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omments5.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4.xml" ContentType="application/vnd.openxmlformats-officedocument.drawing+xml"/>
  <Override PartName="/xl/comments6.xml" ContentType="application/vnd.openxmlformats-officedocument.spreadsheetml.comments+xml"/>
  <Override PartName="/xl/charts/chart26.xml" ContentType="application/vnd.openxmlformats-officedocument.drawingml.chart+xml"/>
  <Override PartName="/xl/comments7.xml" ContentType="application/vnd.openxmlformats-officedocument.spreadsheetml.comments+xml"/>
  <Override PartName="/xl/drawings/drawing5.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7.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drawings/drawing8.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bookViews>
    <workbookView xWindow="-12516" yWindow="696" windowWidth="16608" windowHeight="9252" tabRatio="919" firstSheet="2" activeTab="4"/>
  </bookViews>
  <sheets>
    <sheet name="T" sheetId="9" r:id="rId1"/>
    <sheet name="Manual" sheetId="10" r:id="rId2"/>
    <sheet name="InputQ" sheetId="16" r:id="rId3"/>
    <sheet name="InputY" sheetId="1" r:id="rId4"/>
    <sheet name="InputDFM" sheetId="27" r:id="rId5"/>
    <sheet name="VVP1" sheetId="11" r:id="rId6"/>
    <sheet name="Q1" sheetId="17" r:id="rId7"/>
    <sheet name="VVP2" sheetId="23" r:id="rId8"/>
    <sheet name="VVP3" sheetId="14" r:id="rId9"/>
    <sheet name="Q2" sheetId="22" r:id="rId10"/>
    <sheet name="Labour1" sheetId="8" r:id="rId11"/>
    <sheet name="Labour2" sheetId="19" r:id="rId12"/>
    <sheet name="Sector1" sheetId="7" r:id="rId13"/>
    <sheet name="Sector3" sheetId="21" r:id="rId14"/>
    <sheet name="Sector2" sheetId="6" r:id="rId15"/>
    <sheet name="Tables" sheetId="20" r:id="rId16"/>
    <sheet name="Transfer" sheetId="2" r:id="rId17"/>
    <sheet name="Transfer FDMS+ A" sheetId="25" r:id="rId18"/>
    <sheet name="Transfer FDMS+ Q" sheetId="26" r:id="rId19"/>
    <sheet name="Graphs" sheetId="28" r:id="rId20"/>
  </sheets>
  <functionGroups builtInGroupCount="17"/>
  <externalReferences>
    <externalReference r:id="rId21"/>
    <externalReference r:id="rId22"/>
    <externalReference r:id="rId23"/>
  </externalReferences>
  <definedNames>
    <definedName name="_xlnm._FilterDatabase" localSheetId="3" hidden="1">InputY!$D$3:$E$297</definedName>
    <definedName name="_MatMult_A" localSheetId="9" hidden="1">#REF!</definedName>
    <definedName name="_MatMult_A" localSheetId="7" hidden="1">#REF!</definedName>
    <definedName name="_MatMult_A" hidden="1">#REF!</definedName>
    <definedName name="_MatMult_AxB" localSheetId="9" hidden="1">#REF!</definedName>
    <definedName name="_MatMult_AxB" localSheetId="17" hidden="1">#REF!</definedName>
    <definedName name="_MatMult_AxB" localSheetId="18" hidden="1">#REF!</definedName>
    <definedName name="_MatMult_AxB" localSheetId="7" hidden="1">#REF!</definedName>
    <definedName name="_MatMult_AxB" hidden="1">#REF!</definedName>
    <definedName name="_MatMult_B" localSheetId="9" hidden="1">#REF!</definedName>
    <definedName name="_MatMult_B" localSheetId="7" hidden="1">#REF!</definedName>
    <definedName name="_MatMult_B" hidden="1">#REF!</definedName>
    <definedName name="Codes" localSheetId="17">'Transfer FDMS+ A'!$D:$D</definedName>
    <definedName name="Country">Transfer!$E$94</definedName>
    <definedName name="Currency">Transfer!$H$94</definedName>
    <definedName name="Data" localSheetId="17">'Transfer FDMS+ A'!$1:$1048576</definedName>
    <definedName name="Dates" localSheetId="17">'Transfer FDMS+ A'!$11:$11</definedName>
    <definedName name="dfgsdfg" localSheetId="9" hidden="1">{"'15.01L'!$A$1:$I$62"}</definedName>
    <definedName name="dfgsdfg" localSheetId="13" hidden="1">{"'15.01L'!$A$1:$I$62"}</definedName>
    <definedName name="dfgsdfg" localSheetId="7" hidden="1">{"'15.01L'!$A$1:$I$62"}</definedName>
    <definedName name="dfgsdfg" hidden="1">{"'15.01L'!$A$1:$I$62"}</definedName>
    <definedName name="dsfsdf" localSheetId="9" hidden="1">{"'15.01L'!$A$1:$I$62"}</definedName>
    <definedName name="dsfsdf" localSheetId="13" hidden="1">{"'15.01L'!$A$1:$I$62"}</definedName>
    <definedName name="dsfsdf" localSheetId="7" hidden="1">{"'15.01L'!$A$1:$I$62"}</definedName>
    <definedName name="dsfsdf" hidden="1">{"'15.01L'!$A$1:$I$62"}</definedName>
    <definedName name="fdms_web_query.cfm?cty_BE" localSheetId="4">InputDFM!$A$10:$N$49</definedName>
    <definedName name="HMTL_Ctl" localSheetId="9" hidden="1">{"'15.01L'!$A$1:$I$62"}</definedName>
    <definedName name="HMTL_Ctl" localSheetId="13" hidden="1">{"'15.01L'!$A$1:$I$62"}</definedName>
    <definedName name="HMTL_Ctl" localSheetId="16" hidden="1">{"'15.01L'!$A$1:$I$62"}</definedName>
    <definedName name="HMTL_Ctl" localSheetId="17" hidden="1">{"'15.01L'!$A$1:$I$62"}</definedName>
    <definedName name="HMTL_Ctl" localSheetId="18" hidden="1">{"'15.01L'!$A$1:$I$62"}</definedName>
    <definedName name="HMTL_Ctl" localSheetId="7" hidden="1">{"'15.01L'!$A$1:$I$62"}</definedName>
    <definedName name="HMTL_Ctl" hidden="1">{"'15.01L'!$A$1:$I$62"}</definedName>
    <definedName name="HMTL_Ctl2" localSheetId="9" hidden="1">{"'15.01L'!$A$1:$I$62"}</definedName>
    <definedName name="HMTL_Ctl2" localSheetId="13" hidden="1">{"'15.01L'!$A$1:$I$62"}</definedName>
    <definedName name="HMTL_Ctl2" localSheetId="16" hidden="1">{"'15.01L'!$A$1:$I$62"}</definedName>
    <definedName name="HMTL_Ctl2" localSheetId="17" hidden="1">{"'15.01L'!$A$1:$I$62"}</definedName>
    <definedName name="HMTL_Ctl2" localSheetId="18" hidden="1">{"'15.01L'!$A$1:$I$62"}</definedName>
    <definedName name="HMTL_Ctl2" localSheetId="7" hidden="1">{"'15.01L'!$A$1:$I$62"}</definedName>
    <definedName name="HMTL_Ctl2" hidden="1">{"'15.01L'!$A$1:$I$62"}</definedName>
    <definedName name="HTML_CodePage" hidden="1">1252</definedName>
    <definedName name="HTML_Control" localSheetId="9" hidden="1">{"'15.01L'!$A$1:$I$62"}</definedName>
    <definedName name="HTML_Control" localSheetId="13" hidden="1">{"'15.01L'!$A$1:$I$62"}</definedName>
    <definedName name="HTML_Control" localSheetId="16" hidden="1">{"'15.01L'!$A$1:$I$62"}</definedName>
    <definedName name="HTML_Control" localSheetId="17" hidden="1">{"'15.01L'!$A$1:$I$62"}</definedName>
    <definedName name="HTML_Control" localSheetId="18" hidden="1">{"'15.01L'!$A$1:$I$62"}</definedName>
    <definedName name="HTML_Control" localSheetId="7" hidden="1">{"'15.01L'!$A$1:$I$62"}</definedName>
    <definedName name="HTML_Control" hidden="1">{"'15.01L'!$A$1:$I$62"}</definedName>
    <definedName name="HTML_Control1" localSheetId="9" hidden="1">{"'15.01L'!$A$1:$I$62"}</definedName>
    <definedName name="HTML_Control1" localSheetId="13" hidden="1">{"'15.01L'!$A$1:$I$62"}</definedName>
    <definedName name="HTML_Control1" localSheetId="16" hidden="1">{"'15.01L'!$A$1:$I$62"}</definedName>
    <definedName name="HTML_Control1" localSheetId="17" hidden="1">{"'15.01L'!$A$1:$I$62"}</definedName>
    <definedName name="HTML_Control1" localSheetId="18" hidden="1">{"'15.01L'!$A$1:$I$62"}</definedName>
    <definedName name="HTML_Control1" localSheetId="7" hidden="1">{"'15.01L'!$A$1:$I$62"}</definedName>
    <definedName name="HTML_Control1" hidden="1">{"'15.01L'!$A$1:$I$62"}</definedName>
    <definedName name="HTML_Control2" localSheetId="9" hidden="1">{"'15.01L'!$A$1:$I$62"}</definedName>
    <definedName name="HTML_Control2" localSheetId="13" hidden="1">{"'15.01L'!$A$1:$I$62"}</definedName>
    <definedName name="HTML_Control2" localSheetId="16" hidden="1">{"'15.01L'!$A$1:$I$62"}</definedName>
    <definedName name="HTML_Control2" localSheetId="17" hidden="1">{"'15.01L'!$A$1:$I$62"}</definedName>
    <definedName name="HTML_Control2" localSheetId="18" hidden="1">{"'15.01L'!$A$1:$I$62"}</definedName>
    <definedName name="HTML_Control2" localSheetId="7" hidden="1">{"'15.01L'!$A$1:$I$62"}</definedName>
    <definedName name="HTML_Control2" hidden="1">{"'15.01L'!$A$1:$I$62"}</definedName>
    <definedName name="HTML_Control22" localSheetId="9" hidden="1">{"'15.01L'!$A$1:$I$62"}</definedName>
    <definedName name="HTML_Control22" localSheetId="13" hidden="1">{"'15.01L'!$A$1:$I$62"}</definedName>
    <definedName name="HTML_Control22" localSheetId="16" hidden="1">{"'15.01L'!$A$1:$I$62"}</definedName>
    <definedName name="HTML_Control22" localSheetId="17" hidden="1">{"'15.01L'!$A$1:$I$62"}</definedName>
    <definedName name="HTML_Control22" localSheetId="18" hidden="1">{"'15.01L'!$A$1:$I$62"}</definedName>
    <definedName name="HTML_Control22" localSheetId="7" hidden="1">{"'15.01L'!$A$1:$I$62"}</definedName>
    <definedName name="HTML_Control22" hidden="1">{"'15.01L'!$A$1:$I$62"}</definedName>
    <definedName name="HTML_Control3" localSheetId="9" hidden="1">{"'15.01L'!$A$1:$I$62"}</definedName>
    <definedName name="HTML_Control3" localSheetId="13" hidden="1">{"'15.01L'!$A$1:$I$62"}</definedName>
    <definedName name="HTML_Control3" localSheetId="16" hidden="1">{"'15.01L'!$A$1:$I$62"}</definedName>
    <definedName name="HTML_Control3" localSheetId="17" hidden="1">{"'15.01L'!$A$1:$I$62"}</definedName>
    <definedName name="HTML_Control3" localSheetId="18" hidden="1">{"'15.01L'!$A$1:$I$62"}</definedName>
    <definedName name="HTML_Control3" localSheetId="7" hidden="1">{"'15.01L'!$A$1:$I$62"}</definedName>
    <definedName name="HTML_Control3" hidden="1">{"'15.01L'!$A$1:$I$62"}</definedName>
    <definedName name="HTML_Control33" localSheetId="9" hidden="1">{"'15.01L'!$A$1:$I$62"}</definedName>
    <definedName name="HTML_Control33" localSheetId="13" hidden="1">{"'15.01L'!$A$1:$I$62"}</definedName>
    <definedName name="HTML_Control33" localSheetId="16" hidden="1">{"'15.01L'!$A$1:$I$62"}</definedName>
    <definedName name="HTML_Control33" localSheetId="17" hidden="1">{"'15.01L'!$A$1:$I$62"}</definedName>
    <definedName name="HTML_Control33" localSheetId="18" hidden="1">{"'15.01L'!$A$1:$I$62"}</definedName>
    <definedName name="HTML_Control33" localSheetId="7" hidden="1">{"'15.01L'!$A$1:$I$62"}</definedName>
    <definedName name="HTML_Control33" hidden="1">{"'15.01L'!$A$1:$I$62"}</definedName>
    <definedName name="HTML_Description" hidden="1">""</definedName>
    <definedName name="HTML_Email" hidden="1">""</definedName>
    <definedName name="HTML_Header" hidden="1">"15.01L"</definedName>
    <definedName name="HTML_LastUpdate" hidden="1">"19.11.98"</definedName>
    <definedName name="HTML_LineAfter" hidden="1">FALSE</definedName>
    <definedName name="HTML_LineBefore" hidden="1">FALSE</definedName>
    <definedName name="HTML_Name" hidden="1">"Weitzer &amp; Partner"</definedName>
    <definedName name="HTML_OBDlg2" hidden="1">TRUE</definedName>
    <definedName name="HTML_OBDlg4" hidden="1">TRUE</definedName>
    <definedName name="HTML_OS" hidden="1">0</definedName>
    <definedName name="HTML_PathFile" hidden="1">"C:\jb98\3d\daten\Kap15.ok\j-1501l.htm"</definedName>
    <definedName name="HTML_Title" hidden="1">"j-1501L"</definedName>
    <definedName name="Last_forecast_year">Transfer!$H$95</definedName>
    <definedName name="limcount" hidden="1">1</definedName>
    <definedName name="_xlnm.Print_Area" localSheetId="13">Sector3!$A$1:$N$489</definedName>
    <definedName name="_xlnm.Print_Area" localSheetId="15">Tables!$B$532:$N$548</definedName>
    <definedName name="qy_additional_impact.cfm?cty_BE" localSheetId="4">InputDFM!$A$10:$N$49</definedName>
    <definedName name="qy_additional_impact.cfm?cty_BE_1" localSheetId="4">InputDFM!$A$10:$N$49</definedName>
    <definedName name="qy_transfer_matrix.cfm?cty_BE" localSheetId="4">InputDFM!$A$1:$N$8</definedName>
    <definedName name="qy_transfer_matrix.cfm?cty_BE_1" localSheetId="4">InputDFM!$A$1:$N$8</definedName>
    <definedName name="qy_transfer_matrix.cfm?cty_BE_2" localSheetId="4">InputDFM!$A$1:$N$8</definedName>
    <definedName name="reyherhefgf" localSheetId="9" hidden="1">{"'15.01L'!$A$1:$I$62"}</definedName>
    <definedName name="reyherhefgf" localSheetId="13" hidden="1">{"'15.01L'!$A$1:$I$62"}</definedName>
    <definedName name="reyherhefgf" localSheetId="7" hidden="1">{"'15.01L'!$A$1:$I$62"}</definedName>
    <definedName name="reyherhefgf" hidden="1">{"'15.01L'!$A$1:$I$62"}</definedName>
    <definedName name="rtyertyerther" localSheetId="9" hidden="1">{"'15.01L'!$A$1:$I$62"}</definedName>
    <definedName name="rtyertyerther" localSheetId="13" hidden="1">{"'15.01L'!$A$1:$I$62"}</definedName>
    <definedName name="rtyertyerther" localSheetId="7" hidden="1">{"'15.01L'!$A$1:$I$62"}</definedName>
    <definedName name="rtyertyerther" hidden="1">{"'15.01L'!$A$1:$I$62"}</definedName>
    <definedName name="rtyertyertyerthdfg" localSheetId="9" hidden="1">{"'15.01L'!$A$1:$I$62"}</definedName>
    <definedName name="rtyertyertyerthdfg" localSheetId="13" hidden="1">{"'15.01L'!$A$1:$I$62"}</definedName>
    <definedName name="rtyertyertyerthdfg" localSheetId="7" hidden="1">{"'15.01L'!$A$1:$I$62"}</definedName>
    <definedName name="rtyertyertyerthdfg" hidden="1">{"'15.01L'!$A$1:$I$62"}</definedName>
    <definedName name="sdfgsdfgdfg" localSheetId="9" hidden="1">{"'15.01L'!$A$1:$I$62"}</definedName>
    <definedName name="sdfgsdfgdfg" localSheetId="13" hidden="1">{"'15.01L'!$A$1:$I$62"}</definedName>
    <definedName name="sdfgsdfgdfg" localSheetId="7" hidden="1">{"'15.01L'!$A$1:$I$62"}</definedName>
    <definedName name="sdfgsdfgdfg" hidden="1">{"'15.01L'!$A$1:$I$62"}</definedName>
    <definedName name="sfghertyertyerty" localSheetId="9" hidden="1">{"'15.01L'!$A$1:$I$62"}</definedName>
    <definedName name="sfghertyertyerty" localSheetId="13" hidden="1">{"'15.01L'!$A$1:$I$62"}</definedName>
    <definedName name="sfghertyertyerty" localSheetId="7" hidden="1">{"'15.01L'!$A$1:$I$62"}</definedName>
    <definedName name="sfghertyertyerty" hidden="1">{"'15.01L'!$A$1:$I$62"}</definedName>
    <definedName name="Table_0">Tables!$B$9:$I$46</definedName>
    <definedName name="Table_1">Tables!$B$51:$K$78</definedName>
    <definedName name="Table_10">Tables!$B$400:$N$444</definedName>
    <definedName name="Table_10a">Tables!$B$449:$M$471</definedName>
    <definedName name="Table_10b">Tables!$B$476:$N$492</definedName>
    <definedName name="Table_11">Tables!$B$496:$M$524</definedName>
    <definedName name="Table_12">Tables!$B$532:$N$548</definedName>
    <definedName name="Table_2">Tables!$B$92:$Q$124</definedName>
    <definedName name="Table_3">Tables!$B$136:$K$156</definedName>
    <definedName name="Table_4">Tables!$B$166:$N$203</definedName>
    <definedName name="Table_5">Tables!$B$214:$I$261</definedName>
    <definedName name="Table_6">Tables!$B$269:$N$285</definedName>
    <definedName name="Table_7">Tables!$B$296:$M$318</definedName>
    <definedName name="Table_8">Tables!$B$329:$N$355</definedName>
    <definedName name="Table_9">Tables!$B$366:$N$390</definedName>
    <definedName name="wrtyer5y3e5rthgf" localSheetId="9" hidden="1">{"'15.01L'!$A$1:$I$62"}</definedName>
    <definedName name="wrtyer5y3e5rthgf" localSheetId="13" hidden="1">{"'15.01L'!$A$1:$I$62"}</definedName>
    <definedName name="wrtyer5y3e5rthgf" localSheetId="7" hidden="1">{"'15.01L'!$A$1:$I$62"}</definedName>
    <definedName name="wrtyer5y3e5rthgf" hidden="1">{"'15.01L'!$A$1:$I$62"}</definedName>
  </definedNames>
  <calcPr calcId="145621"/>
</workbook>
</file>

<file path=xl/calcChain.xml><?xml version="1.0" encoding="utf-8"?>
<calcChain xmlns="http://schemas.openxmlformats.org/spreadsheetml/2006/main">
  <c r="AC120" i="1" l="1"/>
  <c r="AC121" i="1"/>
  <c r="AC122" i="1"/>
  <c r="AC123" i="1"/>
  <c r="AC119" i="1"/>
  <c r="AC112" i="1"/>
  <c r="AC113" i="1"/>
  <c r="AC114" i="1"/>
  <c r="AC115" i="1"/>
  <c r="AC116" i="1"/>
  <c r="AC117" i="1"/>
  <c r="AC111" i="1"/>
  <c r="AA8" i="27" l="1"/>
  <c r="X8" i="27"/>
  <c r="W8" i="27"/>
  <c r="T8" i="27"/>
  <c r="S8" i="27"/>
  <c r="P8" i="27"/>
  <c r="P7" i="27"/>
  <c r="Y6" i="27"/>
  <c r="U6" i="27"/>
  <c r="T6" i="27"/>
  <c r="Q6" i="27"/>
  <c r="X5" i="27"/>
  <c r="T5" i="27"/>
  <c r="AA4" i="27"/>
  <c r="X4" i="27"/>
  <c r="W4" i="27"/>
  <c r="T4" i="27"/>
  <c r="S4" i="27"/>
  <c r="P4" i="27"/>
  <c r="AA3" i="27"/>
  <c r="W3" i="27"/>
  <c r="S3" i="27"/>
  <c r="Q3" i="27"/>
  <c r="R3" i="27"/>
  <c r="T3" i="27"/>
  <c r="U3" i="27"/>
  <c r="V3" i="27"/>
  <c r="X3" i="27"/>
  <c r="Y3" i="27"/>
  <c r="Z3" i="27"/>
  <c r="Q4" i="27"/>
  <c r="R4" i="27"/>
  <c r="U4" i="27"/>
  <c r="V4" i="27"/>
  <c r="Y4" i="27"/>
  <c r="Z4" i="27"/>
  <c r="Q5" i="27"/>
  <c r="R5" i="27"/>
  <c r="S5" i="27"/>
  <c r="U5" i="27"/>
  <c r="V5" i="27"/>
  <c r="W5" i="27"/>
  <c r="Y5" i="27"/>
  <c r="Z5" i="27"/>
  <c r="AA5" i="27"/>
  <c r="R6" i="27"/>
  <c r="S6" i="27"/>
  <c r="V6" i="27"/>
  <c r="W6" i="27"/>
  <c r="X6" i="27"/>
  <c r="Z6" i="27"/>
  <c r="AA6" i="27"/>
  <c r="Q7" i="27"/>
  <c r="R7" i="27"/>
  <c r="S7" i="27"/>
  <c r="T7" i="27"/>
  <c r="U7" i="27"/>
  <c r="V7" i="27"/>
  <c r="W7" i="27"/>
  <c r="X7" i="27"/>
  <c r="Y7" i="27"/>
  <c r="Z7" i="27"/>
  <c r="AA7" i="27"/>
  <c r="Q8" i="27"/>
  <c r="R8" i="27"/>
  <c r="U8" i="27"/>
  <c r="V8" i="27"/>
  <c r="Y8" i="27"/>
  <c r="Z8" i="27"/>
  <c r="P5" i="27"/>
  <c r="P6" i="27"/>
  <c r="P3" i="27"/>
  <c r="AC131" i="23" l="1"/>
  <c r="AC115" i="23" l="1"/>
  <c r="H139" i="25" l="1"/>
  <c r="I139" i="25"/>
  <c r="J139" i="25"/>
  <c r="H140" i="25"/>
  <c r="I140" i="25"/>
  <c r="J140" i="25"/>
  <c r="H141" i="25"/>
  <c r="I141" i="25"/>
  <c r="J141" i="25"/>
  <c r="H142" i="25"/>
  <c r="I142" i="25"/>
  <c r="J142" i="25"/>
  <c r="H143" i="25"/>
  <c r="I143" i="25"/>
  <c r="J143" i="25"/>
  <c r="K143" i="25"/>
  <c r="L143" i="25"/>
  <c r="M143" i="25"/>
  <c r="N143" i="25"/>
  <c r="O143" i="25"/>
  <c r="V143" i="25"/>
  <c r="W143" i="25"/>
  <c r="X143" i="25"/>
  <c r="Y143" i="25"/>
  <c r="Z143" i="25"/>
  <c r="AA143" i="25"/>
  <c r="AB143" i="25"/>
  <c r="H144" i="25"/>
  <c r="I144" i="25"/>
  <c r="J144" i="25"/>
  <c r="K144" i="25"/>
  <c r="L144" i="25"/>
  <c r="M144" i="25"/>
  <c r="N144" i="25"/>
  <c r="O144" i="25"/>
  <c r="Z144" i="25"/>
  <c r="AA144" i="25"/>
  <c r="AB144" i="25"/>
  <c r="H145" i="25"/>
  <c r="I145" i="25"/>
  <c r="J145" i="25"/>
  <c r="K145" i="25"/>
  <c r="L145" i="25"/>
  <c r="M145" i="25"/>
  <c r="N145" i="25"/>
  <c r="O145" i="25"/>
  <c r="H146" i="25"/>
  <c r="I146" i="25"/>
  <c r="J146" i="25"/>
  <c r="K146" i="25"/>
  <c r="L146" i="25"/>
  <c r="M146" i="25"/>
  <c r="N146" i="25"/>
  <c r="O146" i="25"/>
  <c r="P146" i="25"/>
  <c r="Q146" i="25"/>
  <c r="R146" i="25"/>
  <c r="S146" i="25"/>
  <c r="T146" i="25"/>
  <c r="U146" i="25"/>
  <c r="V146" i="25"/>
  <c r="W146" i="25"/>
  <c r="X146" i="25"/>
  <c r="Y146" i="25"/>
  <c r="Z146" i="25"/>
  <c r="AA146" i="25"/>
  <c r="AB146" i="25"/>
  <c r="AC146" i="25"/>
  <c r="AD146" i="25"/>
  <c r="AE146" i="25"/>
  <c r="H147" i="25"/>
  <c r="I147" i="25"/>
  <c r="J147" i="25"/>
  <c r="K147" i="25"/>
  <c r="L147" i="25"/>
  <c r="M147" i="25"/>
  <c r="N147" i="25"/>
  <c r="O147" i="25"/>
  <c r="H148" i="25"/>
  <c r="I148" i="25"/>
  <c r="J148" i="25"/>
  <c r="K148" i="25"/>
  <c r="L148" i="25"/>
  <c r="H149" i="25"/>
  <c r="I149" i="25"/>
  <c r="H150" i="25"/>
  <c r="I150" i="25"/>
  <c r="H151" i="25"/>
  <c r="I151" i="25"/>
  <c r="J151" i="25"/>
  <c r="H152" i="25"/>
  <c r="I152" i="25"/>
  <c r="J152" i="25"/>
  <c r="H153" i="25"/>
  <c r="I153" i="25"/>
  <c r="J153" i="25"/>
  <c r="H154" i="25"/>
  <c r="I154" i="25"/>
  <c r="H155" i="25"/>
  <c r="I155" i="25"/>
  <c r="H156" i="25"/>
  <c r="I156" i="25"/>
  <c r="H157" i="25"/>
  <c r="I157" i="25"/>
  <c r="H158" i="25"/>
  <c r="I158" i="25"/>
  <c r="J158" i="25"/>
  <c r="H159" i="25"/>
  <c r="I159" i="25"/>
  <c r="J159" i="25"/>
  <c r="H160" i="25"/>
  <c r="I160" i="25"/>
  <c r="J160" i="25"/>
  <c r="H138" i="25"/>
  <c r="I138" i="25"/>
  <c r="J138" i="25"/>
  <c r="S143" i="25" l="1"/>
  <c r="R143" i="25"/>
  <c r="Q143" i="25"/>
  <c r="P143" i="25"/>
  <c r="T143" i="25"/>
  <c r="T144" i="25" l="1"/>
  <c r="S144" i="25"/>
  <c r="R144" i="25"/>
  <c r="Q144" i="25"/>
  <c r="P144" i="25"/>
  <c r="U143" i="25" l="1"/>
  <c r="U144" i="25" l="1"/>
  <c r="Y144" i="25" l="1"/>
  <c r="W144" i="25"/>
  <c r="X144" i="25"/>
  <c r="V144" i="25"/>
  <c r="AJ8" i="28" l="1"/>
  <c r="AJ9" i="28"/>
  <c r="AJ10" i="28"/>
  <c r="AJ11" i="28"/>
  <c r="AJ12" i="28"/>
  <c r="AJ13" i="28"/>
  <c r="AJ14" i="28"/>
  <c r="AJ15" i="28"/>
  <c r="AJ16" i="28"/>
  <c r="AJ17" i="28"/>
  <c r="AJ18" i="28"/>
  <c r="AJ19" i="28"/>
  <c r="AJ20" i="28"/>
  <c r="AJ21" i="28"/>
  <c r="AJ22" i="28"/>
  <c r="AJ23" i="28"/>
  <c r="AJ24" i="28"/>
  <c r="AJ7" i="28"/>
  <c r="W11" i="28"/>
  <c r="W7" i="28"/>
  <c r="W23" i="28"/>
  <c r="W27" i="28"/>
  <c r="W31" i="28"/>
  <c r="W39" i="28"/>
  <c r="W43" i="28"/>
  <c r="W47" i="28"/>
  <c r="W55" i="28"/>
  <c r="W59" i="28"/>
  <c r="W63" i="28"/>
  <c r="W71" i="28"/>
  <c r="W75" i="28"/>
  <c r="W15" i="28"/>
  <c r="V19" i="28"/>
  <c r="V23" i="28" s="1"/>
  <c r="V27" i="28" s="1"/>
  <c r="V31" i="28" s="1"/>
  <c r="V35" i="28" s="1"/>
  <c r="V39" i="28" s="1"/>
  <c r="V43" i="28" s="1"/>
  <c r="V47" i="28" s="1"/>
  <c r="V51" i="28" s="1"/>
  <c r="V55" i="28" s="1"/>
  <c r="V59" i="28" s="1"/>
  <c r="V63" i="28" s="1"/>
  <c r="V67" i="28" s="1"/>
  <c r="V71" i="28" s="1"/>
  <c r="V75" i="28" s="1"/>
  <c r="AA16" i="28"/>
  <c r="Y16" i="28" s="1"/>
  <c r="AA17" i="28"/>
  <c r="Y17" i="28" s="1"/>
  <c r="AA18" i="28"/>
  <c r="Y18" i="28" s="1"/>
  <c r="AA19" i="28"/>
  <c r="Y19" i="28" s="1"/>
  <c r="AA20" i="28"/>
  <c r="Y20" i="28" s="1"/>
  <c r="AA21" i="28"/>
  <c r="Y21" i="28" s="1"/>
  <c r="AA22" i="28"/>
  <c r="Y22" i="28" s="1"/>
  <c r="AA23" i="28"/>
  <c r="Y23" i="28" s="1"/>
  <c r="AA24" i="28"/>
  <c r="Y24" i="28" s="1"/>
  <c r="AA25" i="28"/>
  <c r="Y25" i="28" s="1"/>
  <c r="AA26" i="28"/>
  <c r="Y26" i="28" s="1"/>
  <c r="AA27" i="28"/>
  <c r="Y27" i="28" s="1"/>
  <c r="AA28" i="28"/>
  <c r="Y28" i="28" s="1"/>
  <c r="AA29" i="28"/>
  <c r="Y29" i="28" s="1"/>
  <c r="AA30" i="28"/>
  <c r="Y30" i="28" s="1"/>
  <c r="AA31" i="28"/>
  <c r="Y31" i="28" s="1"/>
  <c r="AA32" i="28"/>
  <c r="Y32" i="28" s="1"/>
  <c r="AA33" i="28"/>
  <c r="Y33" i="28" s="1"/>
  <c r="AA34" i="28"/>
  <c r="Y34" i="28" s="1"/>
  <c r="AA35" i="28"/>
  <c r="Y35" i="28" s="1"/>
  <c r="AA36" i="28"/>
  <c r="Y36" i="28" s="1"/>
  <c r="AA37" i="28"/>
  <c r="Y37" i="28" s="1"/>
  <c r="AA38" i="28"/>
  <c r="Y38" i="28" s="1"/>
  <c r="AA39" i="28"/>
  <c r="Y39" i="28" s="1"/>
  <c r="AA40" i="28"/>
  <c r="Y40" i="28" s="1"/>
  <c r="AA41" i="28"/>
  <c r="Y41" i="28" s="1"/>
  <c r="AA42" i="28"/>
  <c r="Y42" i="28" s="1"/>
  <c r="AA43" i="28"/>
  <c r="Y43" i="28" s="1"/>
  <c r="AA44" i="28"/>
  <c r="Y44" i="28" s="1"/>
  <c r="AA45" i="28"/>
  <c r="Y45" i="28" s="1"/>
  <c r="AA46" i="28"/>
  <c r="Y46" i="28" s="1"/>
  <c r="AA47" i="28"/>
  <c r="Y47" i="28" s="1"/>
  <c r="AA48" i="28"/>
  <c r="Y48" i="28" s="1"/>
  <c r="AA49" i="28"/>
  <c r="Y49" i="28" s="1"/>
  <c r="AA50" i="28"/>
  <c r="Y50" i="28" s="1"/>
  <c r="AA51" i="28"/>
  <c r="Y51" i="28" s="1"/>
  <c r="AA52" i="28"/>
  <c r="Y52" i="28" s="1"/>
  <c r="AA53" i="28"/>
  <c r="Y53" i="28" s="1"/>
  <c r="AA54" i="28"/>
  <c r="Y54" i="28" s="1"/>
  <c r="AA55" i="28"/>
  <c r="Y55" i="28" s="1"/>
  <c r="AA56" i="28"/>
  <c r="Y56" i="28" s="1"/>
  <c r="AA57" i="28"/>
  <c r="Y57" i="28" s="1"/>
  <c r="AA58" i="28"/>
  <c r="Y58" i="28" s="1"/>
  <c r="AA59" i="28"/>
  <c r="Y59" i="28" s="1"/>
  <c r="AA60" i="28"/>
  <c r="Y60" i="28" s="1"/>
  <c r="AA61" i="28"/>
  <c r="Y61" i="28" s="1"/>
  <c r="AA62" i="28"/>
  <c r="Y62" i="28" s="1"/>
  <c r="AA63" i="28"/>
  <c r="Y63" i="28" s="1"/>
  <c r="AA64" i="28"/>
  <c r="Y64" i="28" s="1"/>
  <c r="AA65" i="28"/>
  <c r="Y65" i="28" s="1"/>
  <c r="AA66" i="28"/>
  <c r="Y66" i="28" s="1"/>
  <c r="AA67" i="28"/>
  <c r="Y67" i="28" s="1"/>
  <c r="AA68" i="28"/>
  <c r="Y68" i="28" s="1"/>
  <c r="AA69" i="28"/>
  <c r="Y69" i="28" s="1"/>
  <c r="AA70" i="28"/>
  <c r="Y70" i="28" s="1"/>
  <c r="AA71" i="28"/>
  <c r="Y71" i="28" s="1"/>
  <c r="AA72" i="28"/>
  <c r="Y72" i="28" s="1"/>
  <c r="AA73" i="28"/>
  <c r="Y73" i="28" s="1"/>
  <c r="AA74" i="28"/>
  <c r="Y74" i="28" s="1"/>
  <c r="AA75" i="28"/>
  <c r="Y75" i="28" s="1"/>
  <c r="AA76" i="28"/>
  <c r="Y76" i="28" s="1"/>
  <c r="AA77" i="28"/>
  <c r="Y77" i="28" s="1"/>
  <c r="AA78" i="28"/>
  <c r="Y78" i="28" s="1"/>
  <c r="AA15" i="28"/>
  <c r="Y15" i="28" s="1"/>
  <c r="W67" i="28" l="1"/>
  <c r="W51" i="28"/>
  <c r="W35" i="28"/>
  <c r="W19" i="28"/>
  <c r="CS231" i="17" l="1"/>
  <c r="CS236" i="17" s="1"/>
  <c r="CS209" i="17"/>
  <c r="CS214" i="17" s="1"/>
  <c r="CS190" i="17"/>
  <c r="CS195" i="17" s="1"/>
  <c r="CS168" i="17"/>
  <c r="CS173" i="17" s="1"/>
  <c r="CS149" i="17"/>
  <c r="CS154" i="17" s="1"/>
  <c r="CS129" i="17"/>
  <c r="CS134" i="17" s="1"/>
  <c r="CS115" i="17"/>
  <c r="CS92" i="17"/>
  <c r="CS84" i="17"/>
  <c r="CS61" i="17"/>
  <c r="CS66" i="17" s="1"/>
  <c r="CS42" i="17"/>
  <c r="CS47" i="17" s="1"/>
  <c r="AB32" i="23" l="1"/>
  <c r="B114" i="25" l="1"/>
  <c r="B115" i="25"/>
  <c r="B116" i="25"/>
  <c r="B117" i="25"/>
  <c r="B118" i="25"/>
  <c r="B119" i="25"/>
  <c r="B120" i="25"/>
  <c r="A116" i="25"/>
  <c r="AE1112" i="7" l="1"/>
  <c r="AE1111" i="7"/>
  <c r="AE1021" i="7"/>
  <c r="AE1020" i="7"/>
  <c r="AE985" i="7"/>
  <c r="AE984" i="7"/>
  <c r="AE949" i="7"/>
  <c r="AE947" i="7"/>
  <c r="AE917" i="7"/>
  <c r="AE859" i="7"/>
  <c r="AE837" i="7"/>
  <c r="AE558" i="7"/>
  <c r="AE561" i="7" s="1"/>
  <c r="AE548" i="7"/>
  <c r="AE514" i="7"/>
  <c r="AE380" i="7"/>
  <c r="AE379" i="7"/>
  <c r="AE222" i="7"/>
  <c r="AE381" i="7" l="1"/>
  <c r="AE951" i="7"/>
  <c r="AL147" i="8" l="1"/>
  <c r="AM147" i="8"/>
  <c r="AN147" i="8"/>
  <c r="AO147" i="8"/>
  <c r="AK147" i="8"/>
  <c r="AM46" i="8" l="1"/>
  <c r="AM47" i="8"/>
  <c r="AM49" i="8"/>
  <c r="AM50" i="8"/>
  <c r="AM51" i="8"/>
  <c r="AP10" i="8"/>
  <c r="AP15" i="8" l="1"/>
  <c r="AP14" i="8"/>
  <c r="AP16" i="8"/>
  <c r="AP17" i="8"/>
  <c r="CR231" i="17" l="1"/>
  <c r="CR236" i="17" s="1"/>
  <c r="CR209" i="17"/>
  <c r="CR214" i="17" s="1"/>
  <c r="CR190" i="17"/>
  <c r="CR195" i="17" s="1"/>
  <c r="CR168" i="17"/>
  <c r="CR173" i="17" s="1"/>
  <c r="CR149" i="17"/>
  <c r="CR154" i="17" s="1"/>
  <c r="CR129" i="17"/>
  <c r="CR134" i="17" s="1"/>
  <c r="CR115" i="17"/>
  <c r="CR84" i="17"/>
  <c r="CR92" i="17" s="1"/>
  <c r="CR61" i="17"/>
  <c r="CR66" i="17" s="1"/>
  <c r="CR42" i="17"/>
  <c r="CR47" i="17" s="1"/>
  <c r="CY20" i="26" l="1"/>
  <c r="CX20" i="26"/>
  <c r="CW20" i="26"/>
  <c r="CV20" i="26"/>
  <c r="CY18" i="26"/>
  <c r="CX18" i="26"/>
  <c r="CW18" i="26"/>
  <c r="CV18" i="26"/>
  <c r="CY16" i="26"/>
  <c r="CX16" i="26"/>
  <c r="CW16" i="26"/>
  <c r="CV16" i="26"/>
  <c r="CY13" i="26"/>
  <c r="CX13" i="26"/>
  <c r="CW13" i="26"/>
  <c r="CV13" i="26"/>
  <c r="CY12" i="26"/>
  <c r="CX12" i="26"/>
  <c r="CW12" i="26"/>
  <c r="CV12" i="26"/>
  <c r="AE109" i="8"/>
  <c r="AE121" i="8" s="1"/>
  <c r="DY82" i="11"/>
  <c r="DY81" i="11"/>
  <c r="DY71" i="11"/>
  <c r="DW71" i="11"/>
  <c r="DY11" i="11"/>
  <c r="DW11" i="11"/>
  <c r="DY8" i="11"/>
  <c r="DW8" i="11"/>
  <c r="DY7" i="11"/>
  <c r="DW7" i="11"/>
  <c r="AE472" i="23"/>
  <c r="AE469" i="23"/>
  <c r="AE464" i="23"/>
  <c r="AE459" i="23"/>
  <c r="AE454" i="23"/>
  <c r="AE449" i="23"/>
  <c r="AE446" i="23"/>
  <c r="AE443" i="23"/>
  <c r="AE440" i="23"/>
  <c r="AE437" i="23"/>
  <c r="AE425" i="23"/>
  <c r="AE413" i="23"/>
  <c r="AE410" i="23"/>
  <c r="AE407" i="23"/>
  <c r="AE404" i="23"/>
  <c r="AE401" i="23"/>
  <c r="AE391" i="23"/>
  <c r="AE384" i="23"/>
  <c r="AE380" i="23"/>
  <c r="AE379" i="23"/>
  <c r="AE374" i="23"/>
  <c r="AE368" i="23"/>
  <c r="AE366" i="23"/>
  <c r="AE365" i="23"/>
  <c r="AE358" i="23"/>
  <c r="AE351" i="23"/>
  <c r="AE347" i="23"/>
  <c r="AE343" i="23"/>
  <c r="AE340" i="23"/>
  <c r="AE338" i="23"/>
  <c r="AE333" i="23"/>
  <c r="AE328" i="23"/>
  <c r="AE322" i="23"/>
  <c r="AE317" i="23"/>
  <c r="AE311" i="23"/>
  <c r="AE308" i="23"/>
  <c r="AE306" i="23"/>
  <c r="AE301" i="23"/>
  <c r="AE296" i="23"/>
  <c r="AE290" i="23"/>
  <c r="AE285" i="23"/>
  <c r="AE279" i="23"/>
  <c r="AE276" i="23"/>
  <c r="AE273" i="23"/>
  <c r="AE267" i="23"/>
  <c r="AE260" i="23"/>
  <c r="AE252" i="23"/>
  <c r="AE247" i="23"/>
  <c r="AE244" i="23"/>
  <c r="AE235" i="23"/>
  <c r="AE223" i="23"/>
  <c r="AE209" i="23"/>
  <c r="AE206" i="23"/>
  <c r="AE204" i="23"/>
  <c r="AE197" i="23"/>
  <c r="AE194" i="23"/>
  <c r="AE191" i="23"/>
  <c r="AE171" i="23"/>
  <c r="AE168" i="23"/>
  <c r="AE165" i="23"/>
  <c r="AE153" i="23"/>
  <c r="AE140" i="23"/>
  <c r="AE137" i="23"/>
  <c r="AE134" i="23"/>
  <c r="AE131" i="23"/>
  <c r="AE128" i="23"/>
  <c r="AE124" i="23"/>
  <c r="AE120" i="23"/>
  <c r="AE117" i="23"/>
  <c r="AE116" i="23"/>
  <c r="AE109" i="23"/>
  <c r="AE104" i="23"/>
  <c r="AE98" i="23"/>
  <c r="AE95" i="23"/>
  <c r="AE94" i="23"/>
  <c r="AE93" i="23"/>
  <c r="AE87" i="23"/>
  <c r="AE82" i="23"/>
  <c r="AE76" i="23"/>
  <c r="AE74" i="23"/>
  <c r="AE73" i="23"/>
  <c r="AE70" i="23"/>
  <c r="AE64" i="23"/>
  <c r="AE57" i="23"/>
  <c r="AE54" i="23"/>
  <c r="DG85" i="17" s="1"/>
  <c r="AE52" i="23"/>
  <c r="DG81" i="17" s="1"/>
  <c r="AE51" i="23"/>
  <c r="AE44" i="23"/>
  <c r="AE41" i="23"/>
  <c r="AE40" i="23"/>
  <c r="AE36" i="23"/>
  <c r="AE35" i="23"/>
  <c r="AE18" i="23"/>
  <c r="AE16" i="23"/>
  <c r="AE15" i="23"/>
  <c r="AE12" i="23"/>
  <c r="AE10" i="23"/>
  <c r="AE9" i="23"/>
  <c r="AE6" i="23"/>
  <c r="CY244" i="17"/>
  <c r="DB231" i="17"/>
  <c r="DB236" i="17" s="1"/>
  <c r="DA231" i="17"/>
  <c r="DA236" i="17" s="1"/>
  <c r="CZ231" i="17"/>
  <c r="CZ236" i="17" s="1"/>
  <c r="CY231" i="17"/>
  <c r="CY236" i="17" s="1"/>
  <c r="CY222" i="17"/>
  <c r="DB209" i="17"/>
  <c r="DB214" i="17" s="1"/>
  <c r="DA209" i="17"/>
  <c r="DA214" i="17" s="1"/>
  <c r="CZ209" i="17"/>
  <c r="CZ214" i="17" s="1"/>
  <c r="CY209" i="17"/>
  <c r="CY214" i="17" s="1"/>
  <c r="CY203" i="17"/>
  <c r="DB200" i="17"/>
  <c r="DA200" i="17"/>
  <c r="CZ200" i="17"/>
  <c r="CY200" i="17"/>
  <c r="DB190" i="17"/>
  <c r="DB195" i="17" s="1"/>
  <c r="DA190" i="17"/>
  <c r="DA195" i="17" s="1"/>
  <c r="CZ190" i="17"/>
  <c r="CZ195" i="17" s="1"/>
  <c r="CY190" i="17"/>
  <c r="CY195" i="17" s="1"/>
  <c r="CY181" i="17"/>
  <c r="DB168" i="17"/>
  <c r="DB173" i="17" s="1"/>
  <c r="DA168" i="17"/>
  <c r="DA173" i="17" s="1"/>
  <c r="CZ168" i="17"/>
  <c r="CZ173" i="17" s="1"/>
  <c r="CY168" i="17"/>
  <c r="CY173" i="17" s="1"/>
  <c r="CY162" i="17"/>
  <c r="DB149" i="17"/>
  <c r="DB154" i="17" s="1"/>
  <c r="DA149" i="17"/>
  <c r="DA154" i="17" s="1"/>
  <c r="CZ149" i="17"/>
  <c r="CZ154" i="17" s="1"/>
  <c r="CY149" i="17"/>
  <c r="CY154" i="17" s="1"/>
  <c r="DB143" i="17"/>
  <c r="DA143" i="17"/>
  <c r="CZ143" i="17"/>
  <c r="CY143" i="17"/>
  <c r="CY140" i="17"/>
  <c r="DB131" i="17"/>
  <c r="DB130" i="17"/>
  <c r="DA130" i="17"/>
  <c r="CZ130" i="17"/>
  <c r="CY130" i="17"/>
  <c r="DB129" i="17"/>
  <c r="DB134" i="17" s="1"/>
  <c r="DA129" i="17"/>
  <c r="DA134" i="17" s="1"/>
  <c r="CZ129" i="17"/>
  <c r="CZ134" i="17" s="1"/>
  <c r="CY129" i="17"/>
  <c r="CY134" i="17" s="1"/>
  <c r="DB126" i="17"/>
  <c r="CY123" i="17"/>
  <c r="DB115" i="17"/>
  <c r="DA115" i="17"/>
  <c r="CZ115" i="17"/>
  <c r="CY115" i="17"/>
  <c r="CY100" i="17"/>
  <c r="DB84" i="17"/>
  <c r="DB92" i="17" s="1"/>
  <c r="DA84" i="17"/>
  <c r="DA92" i="17" s="1"/>
  <c r="CZ84" i="17"/>
  <c r="CZ92" i="17" s="1"/>
  <c r="CY84" i="17"/>
  <c r="CY92" i="17" s="1"/>
  <c r="CY74" i="17"/>
  <c r="DB61" i="17"/>
  <c r="DB66" i="17" s="1"/>
  <c r="DA61" i="17"/>
  <c r="DA66" i="17" s="1"/>
  <c r="CZ61" i="17"/>
  <c r="CZ66" i="17" s="1"/>
  <c r="CY61" i="17"/>
  <c r="CY66" i="17" s="1"/>
  <c r="CY55" i="17"/>
  <c r="DB42" i="17"/>
  <c r="DB47" i="17" s="1"/>
  <c r="DA42" i="17"/>
  <c r="DA47" i="17" s="1"/>
  <c r="CZ42" i="17"/>
  <c r="CZ47" i="17" s="1"/>
  <c r="CY42" i="17"/>
  <c r="CY47" i="17" s="1"/>
  <c r="CY36" i="17"/>
  <c r="DB14" i="17"/>
  <c r="DA14" i="17"/>
  <c r="CZ14" i="17"/>
  <c r="CY14" i="17"/>
  <c r="DB12" i="17"/>
  <c r="DA12" i="17"/>
  <c r="CZ12" i="17"/>
  <c r="CY12" i="17"/>
  <c r="DB7" i="17"/>
  <c r="DA7" i="17"/>
  <c r="CZ7" i="17"/>
  <c r="CY7" i="17"/>
  <c r="DB6" i="17"/>
  <c r="DA6" i="17"/>
  <c r="CZ6" i="17"/>
  <c r="CY6" i="17"/>
  <c r="CY4" i="17"/>
  <c r="CQ231" i="17" l="1"/>
  <c r="CQ236" i="17" s="1"/>
  <c r="CQ209" i="17"/>
  <c r="CQ214" i="17" s="1"/>
  <c r="CQ190" i="17"/>
  <c r="CQ195" i="17" s="1"/>
  <c r="CQ168" i="17"/>
  <c r="CQ173" i="17" s="1"/>
  <c r="CQ149" i="17"/>
  <c r="CQ154" i="17" s="1"/>
  <c r="CQ129" i="17"/>
  <c r="CQ134" i="17" s="1"/>
  <c r="CQ115" i="17"/>
  <c r="CQ84" i="17"/>
  <c r="CQ92" i="17" s="1"/>
  <c r="CQ61" i="17"/>
  <c r="CQ66" i="17" s="1"/>
  <c r="CQ42" i="17"/>
  <c r="CQ47" i="17" s="1"/>
  <c r="S28" i="26" l="1"/>
  <c r="R28" i="26"/>
  <c r="Q28" i="26"/>
  <c r="P28" i="26"/>
  <c r="O28" i="26"/>
  <c r="N28" i="26"/>
  <c r="M28" i="26"/>
  <c r="L28" i="26"/>
  <c r="K28" i="26"/>
  <c r="J28" i="26"/>
  <c r="I28" i="26"/>
  <c r="H28" i="26"/>
  <c r="S27" i="26"/>
  <c r="R27" i="26"/>
  <c r="Q27" i="26"/>
  <c r="P27" i="26"/>
  <c r="O27" i="26"/>
  <c r="N27" i="26"/>
  <c r="M27" i="26"/>
  <c r="L27" i="26"/>
  <c r="K27" i="26"/>
  <c r="J27" i="26"/>
  <c r="I27" i="26"/>
  <c r="H27" i="26"/>
  <c r="S26" i="26"/>
  <c r="R26" i="26"/>
  <c r="Q26" i="26"/>
  <c r="P26" i="26"/>
  <c r="O26" i="26"/>
  <c r="N26" i="26"/>
  <c r="M26" i="26"/>
  <c r="L26" i="26"/>
  <c r="K26" i="26"/>
  <c r="J26" i="26"/>
  <c r="I26" i="26"/>
  <c r="H26" i="26"/>
  <c r="S25" i="26"/>
  <c r="R25" i="26"/>
  <c r="Q25" i="26"/>
  <c r="P25" i="26"/>
  <c r="O25" i="26"/>
  <c r="N25" i="26"/>
  <c r="M25" i="26"/>
  <c r="L25" i="26"/>
  <c r="K25" i="26"/>
  <c r="J25" i="26"/>
  <c r="I25" i="26"/>
  <c r="H25" i="26"/>
  <c r="S24" i="26"/>
  <c r="R24" i="26"/>
  <c r="Q24" i="26"/>
  <c r="P24" i="26"/>
  <c r="O24" i="26"/>
  <c r="N24" i="26"/>
  <c r="M24" i="26"/>
  <c r="L24" i="26"/>
  <c r="K24" i="26"/>
  <c r="J24" i="26"/>
  <c r="I24" i="26"/>
  <c r="H24" i="26"/>
  <c r="S23" i="26"/>
  <c r="R23" i="26"/>
  <c r="Q23" i="26"/>
  <c r="P23" i="26"/>
  <c r="O23" i="26"/>
  <c r="N23" i="26"/>
  <c r="M23" i="26"/>
  <c r="L23" i="26"/>
  <c r="K23" i="26"/>
  <c r="J23" i="26"/>
  <c r="I23" i="26"/>
  <c r="H23" i="26"/>
  <c r="S22" i="26"/>
  <c r="R22" i="26"/>
  <c r="Q22" i="26"/>
  <c r="P22" i="26"/>
  <c r="O22" i="26"/>
  <c r="N22" i="26"/>
  <c r="M22" i="26"/>
  <c r="L22" i="26"/>
  <c r="K22" i="26"/>
  <c r="J22" i="26"/>
  <c r="I22" i="26"/>
  <c r="H22" i="26"/>
  <c r="CU20" i="26"/>
  <c r="CT20" i="26"/>
  <c r="CS20" i="26"/>
  <c r="CR20" i="26"/>
  <c r="CU18" i="26"/>
  <c r="CT18" i="26"/>
  <c r="CS18" i="26"/>
  <c r="CR18" i="26"/>
  <c r="CU16" i="26"/>
  <c r="CT16" i="26"/>
  <c r="CS16" i="26"/>
  <c r="CR16" i="26"/>
  <c r="CU13" i="26"/>
  <c r="CT13" i="26"/>
  <c r="CS13" i="26"/>
  <c r="CR13" i="26"/>
  <c r="CU12" i="26"/>
  <c r="CT12" i="26"/>
  <c r="CS12" i="26"/>
  <c r="CR12" i="26"/>
  <c r="T10" i="26"/>
  <c r="S10" i="26"/>
  <c r="R10" i="26"/>
  <c r="Q10" i="26"/>
  <c r="P10" i="26"/>
  <c r="O10" i="26"/>
  <c r="N10" i="26"/>
  <c r="M10" i="26"/>
  <c r="L10" i="26"/>
  <c r="K10" i="26"/>
  <c r="J10" i="26"/>
  <c r="I10" i="26"/>
  <c r="Q9" i="26"/>
  <c r="P9" i="26"/>
  <c r="O9" i="26"/>
  <c r="N9" i="26"/>
  <c r="M9" i="26"/>
  <c r="L9" i="26"/>
  <c r="K9" i="26"/>
  <c r="J9" i="26"/>
  <c r="I9" i="26"/>
  <c r="H9" i="26"/>
  <c r="G9" i="26"/>
  <c r="F9" i="26"/>
  <c r="G7" i="26"/>
  <c r="A28" i="26" s="1"/>
  <c r="B137" i="25"/>
  <c r="A137" i="25"/>
  <c r="B136" i="25"/>
  <c r="A136" i="25"/>
  <c r="B135" i="25"/>
  <c r="A135" i="25"/>
  <c r="B134" i="25"/>
  <c r="A134" i="25"/>
  <c r="B133" i="25"/>
  <c r="A133" i="25"/>
  <c r="B132" i="25"/>
  <c r="A132" i="25"/>
  <c r="B131" i="25"/>
  <c r="A131" i="25"/>
  <c r="B130" i="25"/>
  <c r="A130" i="25"/>
  <c r="B129" i="25"/>
  <c r="A129" i="25"/>
  <c r="B128" i="25"/>
  <c r="A128" i="25"/>
  <c r="B127" i="25"/>
  <c r="A127" i="25"/>
  <c r="B126" i="25"/>
  <c r="A126" i="25"/>
  <c r="B125" i="25"/>
  <c r="A125" i="25"/>
  <c r="I124" i="25"/>
  <c r="H124" i="25"/>
  <c r="B124" i="25"/>
  <c r="A124" i="25"/>
  <c r="I123" i="25"/>
  <c r="H123" i="25"/>
  <c r="B123" i="25"/>
  <c r="A123" i="25"/>
  <c r="I122" i="25"/>
  <c r="H122" i="25"/>
  <c r="B122" i="25"/>
  <c r="A122" i="25"/>
  <c r="H121" i="25"/>
  <c r="B121" i="25"/>
  <c r="A121" i="25"/>
  <c r="H120" i="25"/>
  <c r="A120" i="25"/>
  <c r="H119" i="25"/>
  <c r="A119" i="25"/>
  <c r="H118" i="25"/>
  <c r="A118" i="25"/>
  <c r="A117" i="25"/>
  <c r="A115" i="25"/>
  <c r="A114" i="25"/>
  <c r="B113" i="25"/>
  <c r="A113" i="25"/>
  <c r="B112" i="25"/>
  <c r="A112" i="25"/>
  <c r="B111" i="25"/>
  <c r="A111" i="25"/>
  <c r="B110" i="25"/>
  <c r="A110" i="25"/>
  <c r="B109" i="25"/>
  <c r="A109" i="25"/>
  <c r="B108" i="25"/>
  <c r="A108" i="25"/>
  <c r="B107" i="25"/>
  <c r="A107" i="25"/>
  <c r="B106" i="25"/>
  <c r="A106" i="25"/>
  <c r="B105" i="25"/>
  <c r="A105" i="25"/>
  <c r="H104" i="25"/>
  <c r="B104" i="25"/>
  <c r="A104" i="25"/>
  <c r="H103" i="25"/>
  <c r="B103" i="25"/>
  <c r="A103" i="25"/>
  <c r="B102" i="25"/>
  <c r="A102" i="25"/>
  <c r="B101" i="25"/>
  <c r="A101" i="25"/>
  <c r="B100" i="25"/>
  <c r="A100" i="25"/>
  <c r="B99" i="25"/>
  <c r="A99" i="25"/>
  <c r="B98" i="25"/>
  <c r="A98" i="25"/>
  <c r="B97" i="25"/>
  <c r="A97" i="25"/>
  <c r="B96" i="25"/>
  <c r="A96" i="25"/>
  <c r="B95" i="25"/>
  <c r="A95" i="25"/>
  <c r="B94" i="25"/>
  <c r="A94" i="25"/>
  <c r="B93" i="25"/>
  <c r="A93" i="25"/>
  <c r="B92" i="25"/>
  <c r="A92" i="25"/>
  <c r="B91" i="25"/>
  <c r="A91" i="25"/>
  <c r="B90" i="25"/>
  <c r="A90" i="25"/>
  <c r="B89" i="25"/>
  <c r="A89" i="25"/>
  <c r="B88" i="25"/>
  <c r="A88" i="25"/>
  <c r="B87" i="25"/>
  <c r="A87" i="25"/>
  <c r="B86" i="25"/>
  <c r="A86" i="25"/>
  <c r="B85" i="25"/>
  <c r="A85" i="25"/>
  <c r="B84" i="25"/>
  <c r="A84" i="25"/>
  <c r="B83" i="25"/>
  <c r="A83" i="25"/>
  <c r="B82" i="25"/>
  <c r="A82" i="25"/>
  <c r="B81" i="25"/>
  <c r="A81" i="25"/>
  <c r="B80" i="25"/>
  <c r="A80" i="25"/>
  <c r="B79" i="25"/>
  <c r="A79" i="25"/>
  <c r="B78" i="25"/>
  <c r="A78" i="25"/>
  <c r="B77" i="25"/>
  <c r="A77" i="25"/>
  <c r="B76" i="25"/>
  <c r="A76" i="25"/>
  <c r="B75" i="25"/>
  <c r="A75" i="25"/>
  <c r="B74" i="25"/>
  <c r="A74" i="25"/>
  <c r="B73" i="25"/>
  <c r="A73" i="25"/>
  <c r="B72" i="25"/>
  <c r="A72" i="25"/>
  <c r="B71" i="25"/>
  <c r="A71" i="25"/>
  <c r="B70" i="25"/>
  <c r="A70" i="25"/>
  <c r="B69" i="25"/>
  <c r="A69" i="25"/>
  <c r="B68" i="25"/>
  <c r="A68" i="25"/>
  <c r="B67" i="25"/>
  <c r="A67" i="25"/>
  <c r="B66" i="25"/>
  <c r="A66" i="25"/>
  <c r="B65" i="25"/>
  <c r="A65" i="25"/>
  <c r="B64" i="25"/>
  <c r="A64" i="25"/>
  <c r="B63" i="25"/>
  <c r="A63" i="25"/>
  <c r="B62" i="25"/>
  <c r="A62" i="25"/>
  <c r="B61" i="25"/>
  <c r="A61" i="25"/>
  <c r="B60" i="25"/>
  <c r="A60" i="25"/>
  <c r="B59" i="25"/>
  <c r="A59" i="25"/>
  <c r="B58" i="25"/>
  <c r="A58" i="25"/>
  <c r="B57" i="25"/>
  <c r="A57" i="25"/>
  <c r="B56" i="25"/>
  <c r="A56" i="25"/>
  <c r="B55" i="25"/>
  <c r="A55" i="25"/>
  <c r="B54" i="25"/>
  <c r="A54" i="25"/>
  <c r="B53" i="25"/>
  <c r="A53" i="25"/>
  <c r="B52" i="25"/>
  <c r="A52" i="25"/>
  <c r="B51" i="25"/>
  <c r="A51" i="25"/>
  <c r="B50" i="25"/>
  <c r="A50" i="25"/>
  <c r="B49" i="25"/>
  <c r="A49" i="25"/>
  <c r="B48" i="25"/>
  <c r="A48" i="25"/>
  <c r="B47" i="25"/>
  <c r="A47" i="25"/>
  <c r="B46" i="25"/>
  <c r="A46" i="25"/>
  <c r="B45" i="25"/>
  <c r="A45" i="25"/>
  <c r="B44" i="25"/>
  <c r="A44" i="25"/>
  <c r="B43" i="25"/>
  <c r="A43" i="25"/>
  <c r="B42" i="25"/>
  <c r="A42" i="25"/>
  <c r="B41" i="25"/>
  <c r="A41" i="25"/>
  <c r="B40" i="25"/>
  <c r="A40" i="25"/>
  <c r="B39" i="25"/>
  <c r="A39" i="25"/>
  <c r="B38" i="25"/>
  <c r="A38" i="25"/>
  <c r="B37" i="25"/>
  <c r="A37" i="25"/>
  <c r="B36" i="25"/>
  <c r="A36" i="25"/>
  <c r="B35" i="25"/>
  <c r="A35" i="25"/>
  <c r="B34" i="25"/>
  <c r="A34" i="25"/>
  <c r="B33" i="25"/>
  <c r="A33" i="25"/>
  <c r="B32" i="25"/>
  <c r="A32" i="25"/>
  <c r="B31" i="25"/>
  <c r="A31" i="25"/>
  <c r="B30" i="25"/>
  <c r="A30" i="25"/>
  <c r="B29" i="25"/>
  <c r="A29" i="25"/>
  <c r="B28" i="25"/>
  <c r="A28" i="25"/>
  <c r="B27" i="25"/>
  <c r="A27" i="25"/>
  <c r="B26" i="25"/>
  <c r="A26" i="25"/>
  <c r="B25" i="25"/>
  <c r="A25" i="25"/>
  <c r="B24" i="25"/>
  <c r="A24" i="25"/>
  <c r="B23" i="25"/>
  <c r="A23" i="25"/>
  <c r="B22" i="25"/>
  <c r="A22" i="25"/>
  <c r="B21" i="25"/>
  <c r="A21" i="25"/>
  <c r="B20" i="25"/>
  <c r="A20" i="25"/>
  <c r="B19" i="25"/>
  <c r="A19" i="25"/>
  <c r="B18" i="25"/>
  <c r="A18" i="25"/>
  <c r="B17" i="25"/>
  <c r="A17" i="25"/>
  <c r="B16" i="25"/>
  <c r="A16" i="25"/>
  <c r="B15" i="25"/>
  <c r="A15" i="25"/>
  <c r="B14" i="25"/>
  <c r="A14" i="25"/>
  <c r="B13" i="25"/>
  <c r="A13" i="25"/>
  <c r="B12" i="25"/>
  <c r="A12" i="25"/>
  <c r="I11" i="25"/>
  <c r="I118" i="25" s="1"/>
  <c r="I9" i="25"/>
  <c r="J9" i="25" s="1"/>
  <c r="K9" i="25" s="1"/>
  <c r="L9" i="25" s="1"/>
  <c r="M9" i="25" s="1"/>
  <c r="N9" i="25" s="1"/>
  <c r="O9" i="25" s="1"/>
  <c r="P9" i="25" s="1"/>
  <c r="Q9" i="25" s="1"/>
  <c r="R9" i="25" s="1"/>
  <c r="S9" i="25" s="1"/>
  <c r="T9" i="25" s="1"/>
  <c r="U9" i="25" s="1"/>
  <c r="V9" i="25" s="1"/>
  <c r="W9" i="25" s="1"/>
  <c r="X9" i="25" s="1"/>
  <c r="Y9" i="25" s="1"/>
  <c r="Z9" i="25" s="1"/>
  <c r="AA9" i="25" s="1"/>
  <c r="AB9" i="25" s="1"/>
  <c r="AC9" i="25" s="1"/>
  <c r="AD9" i="25" s="1"/>
  <c r="AE9" i="25" s="1"/>
  <c r="J6" i="25"/>
  <c r="G6" i="26" s="1"/>
  <c r="J5" i="25"/>
  <c r="G5" i="26" s="1"/>
  <c r="AB302" i="2"/>
  <c r="D302" i="2"/>
  <c r="B302" i="2"/>
  <c r="AB301" i="2"/>
  <c r="B301" i="2"/>
  <c r="AB300" i="2"/>
  <c r="D300" i="2"/>
  <c r="B300" i="2"/>
  <c r="AB299" i="2"/>
  <c r="B299" i="2"/>
  <c r="AB298" i="2"/>
  <c r="G298" i="2"/>
  <c r="F298" i="2"/>
  <c r="E298" i="2"/>
  <c r="D298" i="2"/>
  <c r="C298" i="2"/>
  <c r="B298" i="2"/>
  <c r="AB297" i="2"/>
  <c r="G297" i="2"/>
  <c r="F297" i="2"/>
  <c r="E297" i="2"/>
  <c r="D297" i="2"/>
  <c r="C297" i="2"/>
  <c r="B297" i="2"/>
  <c r="AB296" i="2"/>
  <c r="B296" i="2"/>
  <c r="AB295" i="2"/>
  <c r="B295" i="2"/>
  <c r="AB294" i="2"/>
  <c r="B294" i="2"/>
  <c r="AB293" i="2"/>
  <c r="B293" i="2"/>
  <c r="AB292" i="2"/>
  <c r="B292" i="2"/>
  <c r="AB291" i="2"/>
  <c r="B291" i="2"/>
  <c r="AB290" i="2"/>
  <c r="B290" i="2"/>
  <c r="AB289" i="2"/>
  <c r="B289" i="2"/>
  <c r="AB288" i="2"/>
  <c r="B288" i="2"/>
  <c r="AB287" i="2"/>
  <c r="B287" i="2"/>
  <c r="AB286" i="2"/>
  <c r="B286" i="2"/>
  <c r="AB285" i="2"/>
  <c r="B285" i="2"/>
  <c r="AB284" i="2"/>
  <c r="B284" i="2"/>
  <c r="AO280" i="2"/>
  <c r="BF280" i="2" s="1"/>
  <c r="AN280" i="2"/>
  <c r="BE280" i="2" s="1"/>
  <c r="AM280" i="2"/>
  <c r="BD280" i="2" s="1"/>
  <c r="AL280" i="2"/>
  <c r="BC280" i="2" s="1"/>
  <c r="AK280" i="2"/>
  <c r="BB280" i="2" s="1"/>
  <c r="AJ280" i="2"/>
  <c r="BA280" i="2" s="1"/>
  <c r="AI280" i="2"/>
  <c r="AZ280" i="2" s="1"/>
  <c r="AH280" i="2"/>
  <c r="AY280" i="2" s="1"/>
  <c r="AG280" i="2"/>
  <c r="AX280" i="2" s="1"/>
  <c r="AF280" i="2"/>
  <c r="AW280" i="2" s="1"/>
  <c r="AE280" i="2"/>
  <c r="AV280" i="2" s="1"/>
  <c r="AD280" i="2"/>
  <c r="AU280" i="2" s="1"/>
  <c r="AC280" i="2"/>
  <c r="AB280" i="2"/>
  <c r="C280" i="2"/>
  <c r="AO279" i="2"/>
  <c r="BF279" i="2" s="1"/>
  <c r="AN279" i="2"/>
  <c r="BE279" i="2" s="1"/>
  <c r="AM279" i="2"/>
  <c r="BD279" i="2" s="1"/>
  <c r="AL279" i="2"/>
  <c r="BC279" i="2" s="1"/>
  <c r="AK279" i="2"/>
  <c r="BB279" i="2" s="1"/>
  <c r="AJ279" i="2"/>
  <c r="BA279" i="2" s="1"/>
  <c r="AI279" i="2"/>
  <c r="AZ279" i="2" s="1"/>
  <c r="AH279" i="2"/>
  <c r="AY279" i="2" s="1"/>
  <c r="AG279" i="2"/>
  <c r="AX279" i="2" s="1"/>
  <c r="AF279" i="2"/>
  <c r="AW279" i="2" s="1"/>
  <c r="AE279" i="2"/>
  <c r="AV279" i="2" s="1"/>
  <c r="AD279" i="2"/>
  <c r="AU279" i="2" s="1"/>
  <c r="AC279" i="2"/>
  <c r="AT279" i="2" s="1"/>
  <c r="AB279" i="2"/>
  <c r="AO278" i="2"/>
  <c r="BF278" i="2" s="1"/>
  <c r="AN278" i="2"/>
  <c r="BE278" i="2" s="1"/>
  <c r="AM278" i="2"/>
  <c r="BD278" i="2" s="1"/>
  <c r="AL278" i="2"/>
  <c r="BC278" i="2" s="1"/>
  <c r="AK278" i="2"/>
  <c r="BB278" i="2" s="1"/>
  <c r="AJ278" i="2"/>
  <c r="BA278" i="2" s="1"/>
  <c r="AI278" i="2"/>
  <c r="AZ278" i="2" s="1"/>
  <c r="AH278" i="2"/>
  <c r="AY278" i="2" s="1"/>
  <c r="AG278" i="2"/>
  <c r="AX278" i="2" s="1"/>
  <c r="AF278" i="2"/>
  <c r="AW278" i="2" s="1"/>
  <c r="AE278" i="2"/>
  <c r="AV278" i="2" s="1"/>
  <c r="AD278" i="2"/>
  <c r="AU278" i="2" s="1"/>
  <c r="AC278" i="2"/>
  <c r="AT278" i="2" s="1"/>
  <c r="AB278" i="2"/>
  <c r="AO277" i="2"/>
  <c r="BF277" i="2" s="1"/>
  <c r="AN277" i="2"/>
  <c r="BE277" i="2" s="1"/>
  <c r="AM277" i="2"/>
  <c r="BD277" i="2" s="1"/>
  <c r="AL277" i="2"/>
  <c r="BC277" i="2" s="1"/>
  <c r="AK277" i="2"/>
  <c r="BB277" i="2" s="1"/>
  <c r="AJ277" i="2"/>
  <c r="BA277" i="2" s="1"/>
  <c r="AI277" i="2"/>
  <c r="AZ277" i="2" s="1"/>
  <c r="AH277" i="2"/>
  <c r="AY277" i="2" s="1"/>
  <c r="AG277" i="2"/>
  <c r="AF277" i="2"/>
  <c r="AE277" i="2"/>
  <c r="AD277" i="2"/>
  <c r="AC277" i="2"/>
  <c r="AB277" i="2"/>
  <c r="AO276" i="2"/>
  <c r="BF276" i="2" s="1"/>
  <c r="AN276" i="2"/>
  <c r="BE276" i="2" s="1"/>
  <c r="AM276" i="2"/>
  <c r="BD276" i="2" s="1"/>
  <c r="AL276" i="2"/>
  <c r="BC276" i="2" s="1"/>
  <c r="AK276" i="2"/>
  <c r="BB276" i="2" s="1"/>
  <c r="AJ276" i="2"/>
  <c r="BA276" i="2" s="1"/>
  <c r="AI276" i="2"/>
  <c r="AZ276" i="2" s="1"/>
  <c r="AH276" i="2"/>
  <c r="AY276" i="2" s="1"/>
  <c r="AG276" i="2"/>
  <c r="AF276" i="2"/>
  <c r="AE276" i="2"/>
  <c r="AD276" i="2"/>
  <c r="AC276" i="2"/>
  <c r="AB276" i="2"/>
  <c r="AO275" i="2"/>
  <c r="BF275" i="2" s="1"/>
  <c r="AN275" i="2"/>
  <c r="BE275" i="2" s="1"/>
  <c r="AM275" i="2"/>
  <c r="BD275" i="2" s="1"/>
  <c r="AL275" i="2"/>
  <c r="BC275" i="2" s="1"/>
  <c r="AK275" i="2"/>
  <c r="BB275" i="2" s="1"/>
  <c r="AJ275" i="2"/>
  <c r="BA275" i="2" s="1"/>
  <c r="AI275" i="2"/>
  <c r="AZ275" i="2" s="1"/>
  <c r="AH275" i="2"/>
  <c r="AY275" i="2" s="1"/>
  <c r="AG275" i="2"/>
  <c r="AF275" i="2"/>
  <c r="AE275" i="2"/>
  <c r="AD275" i="2"/>
  <c r="AC275" i="2"/>
  <c r="AB275" i="2"/>
  <c r="AO274" i="2"/>
  <c r="BF274" i="2" s="1"/>
  <c r="AN274" i="2"/>
  <c r="BE274" i="2" s="1"/>
  <c r="AM274" i="2"/>
  <c r="BD274" i="2" s="1"/>
  <c r="AL274" i="2"/>
  <c r="BC274" i="2" s="1"/>
  <c r="AK274" i="2"/>
  <c r="BB274" i="2" s="1"/>
  <c r="AJ274" i="2"/>
  <c r="BA274" i="2" s="1"/>
  <c r="AI274" i="2"/>
  <c r="AZ274" i="2" s="1"/>
  <c r="AH274" i="2"/>
  <c r="AY274" i="2" s="1"/>
  <c r="AG274" i="2"/>
  <c r="AF274" i="2"/>
  <c r="AE274" i="2"/>
  <c r="AD274" i="2"/>
  <c r="AC274" i="2"/>
  <c r="AB274" i="2"/>
  <c r="AO273" i="2"/>
  <c r="BF273" i="2" s="1"/>
  <c r="AN273" i="2"/>
  <c r="BE273" i="2" s="1"/>
  <c r="AM273" i="2"/>
  <c r="BD273" i="2" s="1"/>
  <c r="AL273" i="2"/>
  <c r="BC273" i="2" s="1"/>
  <c r="AK273" i="2"/>
  <c r="BB273" i="2" s="1"/>
  <c r="AJ273" i="2"/>
  <c r="BA273" i="2" s="1"/>
  <c r="AI273" i="2"/>
  <c r="AZ273" i="2" s="1"/>
  <c r="AH273" i="2"/>
  <c r="AY273" i="2" s="1"/>
  <c r="AG273" i="2"/>
  <c r="AF273" i="2"/>
  <c r="AE273" i="2"/>
  <c r="AD273" i="2"/>
  <c r="AC273" i="2"/>
  <c r="AB273" i="2"/>
  <c r="AO272" i="2"/>
  <c r="BF272" i="2" s="1"/>
  <c r="AN272" i="2"/>
  <c r="BE272" i="2" s="1"/>
  <c r="AM272" i="2"/>
  <c r="BD272" i="2" s="1"/>
  <c r="AL272" i="2"/>
  <c r="BC272" i="2" s="1"/>
  <c r="AK272" i="2"/>
  <c r="BB272" i="2" s="1"/>
  <c r="AJ272" i="2"/>
  <c r="BA272" i="2" s="1"/>
  <c r="AI272" i="2"/>
  <c r="AZ272" i="2" s="1"/>
  <c r="AH272" i="2"/>
  <c r="AY272" i="2" s="1"/>
  <c r="AG272" i="2"/>
  <c r="AF272" i="2"/>
  <c r="AE272" i="2"/>
  <c r="AD272" i="2"/>
  <c r="AC272" i="2"/>
  <c r="AB272" i="2"/>
  <c r="AO271" i="2"/>
  <c r="AN271" i="2"/>
  <c r="AM271" i="2"/>
  <c r="AL271" i="2"/>
  <c r="AK271" i="2"/>
  <c r="AJ271" i="2"/>
  <c r="AI271" i="2"/>
  <c r="AH271" i="2"/>
  <c r="AG271" i="2"/>
  <c r="AF271" i="2"/>
  <c r="AE271" i="2"/>
  <c r="AD271" i="2"/>
  <c r="AC271" i="2"/>
  <c r="AT271" i="2" s="1"/>
  <c r="AB271" i="2"/>
  <c r="N271" i="2"/>
  <c r="L271" i="2"/>
  <c r="J271" i="2"/>
  <c r="AO270" i="2"/>
  <c r="AN270" i="2"/>
  <c r="AM270" i="2"/>
  <c r="AL270" i="2"/>
  <c r="AK270" i="2"/>
  <c r="AJ270" i="2"/>
  <c r="AI270" i="2"/>
  <c r="AH270" i="2"/>
  <c r="AG270" i="2"/>
  <c r="AF270" i="2"/>
  <c r="AE270" i="2"/>
  <c r="AD270" i="2"/>
  <c r="AC270" i="2"/>
  <c r="AT270" i="2" s="1"/>
  <c r="AB270" i="2"/>
  <c r="O270" i="2"/>
  <c r="N270" i="2"/>
  <c r="M270" i="2"/>
  <c r="L270" i="2"/>
  <c r="K270" i="2"/>
  <c r="L121" i="20" s="1"/>
  <c r="J270" i="2"/>
  <c r="AO269" i="2"/>
  <c r="AN269" i="2"/>
  <c r="AM269" i="2"/>
  <c r="AL269" i="2"/>
  <c r="AK269" i="2"/>
  <c r="AJ269" i="2"/>
  <c r="AI269" i="2"/>
  <c r="AH269" i="2"/>
  <c r="AG269" i="2"/>
  <c r="AF269" i="2"/>
  <c r="AE269" i="2"/>
  <c r="AD269" i="2"/>
  <c r="AC269" i="2"/>
  <c r="AT269" i="2" s="1"/>
  <c r="AB269" i="2"/>
  <c r="N269" i="2"/>
  <c r="M269" i="2"/>
  <c r="L269" i="2"/>
  <c r="J269" i="2"/>
  <c r="AO268" i="2"/>
  <c r="AN268" i="2"/>
  <c r="AM268" i="2"/>
  <c r="AL268" i="2"/>
  <c r="AK268" i="2"/>
  <c r="AJ268" i="2"/>
  <c r="AI268" i="2"/>
  <c r="AH268" i="2"/>
  <c r="AG268" i="2"/>
  <c r="AF268" i="2"/>
  <c r="AE268" i="2"/>
  <c r="AD268" i="2"/>
  <c r="AC268" i="2"/>
  <c r="AT268" i="2" s="1"/>
  <c r="AB268" i="2"/>
  <c r="N268" i="2"/>
  <c r="L268" i="2"/>
  <c r="J268" i="2"/>
  <c r="AO267" i="2"/>
  <c r="AN267" i="2"/>
  <c r="AM267" i="2"/>
  <c r="AL267" i="2"/>
  <c r="AK267" i="2"/>
  <c r="AJ267" i="2"/>
  <c r="AI267" i="2"/>
  <c r="AH267" i="2"/>
  <c r="AG267" i="2"/>
  <c r="AF267" i="2"/>
  <c r="AE267" i="2"/>
  <c r="AD267" i="2"/>
  <c r="AC267" i="2"/>
  <c r="AT267" i="2" s="1"/>
  <c r="AB267" i="2"/>
  <c r="N267" i="2"/>
  <c r="M267" i="2"/>
  <c r="L267" i="2"/>
  <c r="J267" i="2"/>
  <c r="K118" i="20" s="1"/>
  <c r="AO266" i="2"/>
  <c r="AN266" i="2"/>
  <c r="AM266" i="2"/>
  <c r="AL266" i="2"/>
  <c r="AK266" i="2"/>
  <c r="AJ266" i="2"/>
  <c r="AI266" i="2"/>
  <c r="AH266" i="2"/>
  <c r="AG266" i="2"/>
  <c r="AF266" i="2"/>
  <c r="AE266" i="2"/>
  <c r="AD266" i="2"/>
  <c r="AC266" i="2"/>
  <c r="AT266" i="2" s="1"/>
  <c r="AB266" i="2"/>
  <c r="AO265" i="2"/>
  <c r="BF265" i="2" s="1"/>
  <c r="AN265" i="2"/>
  <c r="BE265" i="2" s="1"/>
  <c r="AM265" i="2"/>
  <c r="BD265" i="2" s="1"/>
  <c r="AL265" i="2"/>
  <c r="BC265" i="2" s="1"/>
  <c r="AK265" i="2"/>
  <c r="BB265" i="2" s="1"/>
  <c r="AJ265" i="2"/>
  <c r="BA265" i="2" s="1"/>
  <c r="AI265" i="2"/>
  <c r="AZ265" i="2" s="1"/>
  <c r="AH265" i="2"/>
  <c r="AY265" i="2" s="1"/>
  <c r="AG265" i="2"/>
  <c r="AF265" i="2"/>
  <c r="AE265" i="2"/>
  <c r="AD265" i="2"/>
  <c r="AC265" i="2"/>
  <c r="AB265" i="2"/>
  <c r="AO264" i="2"/>
  <c r="BF264" i="2" s="1"/>
  <c r="AN264" i="2"/>
  <c r="BE264" i="2" s="1"/>
  <c r="AM264" i="2"/>
  <c r="BD264" i="2" s="1"/>
  <c r="AL264" i="2"/>
  <c r="BC264" i="2" s="1"/>
  <c r="AK264" i="2"/>
  <c r="BB264" i="2" s="1"/>
  <c r="AJ264" i="2"/>
  <c r="BA264" i="2" s="1"/>
  <c r="AI264" i="2"/>
  <c r="AZ264" i="2" s="1"/>
  <c r="AH264" i="2"/>
  <c r="AY264" i="2" s="1"/>
  <c r="AG264" i="2"/>
  <c r="AF264" i="2"/>
  <c r="AE264" i="2"/>
  <c r="AD264" i="2"/>
  <c r="AC264" i="2"/>
  <c r="AB264" i="2"/>
  <c r="AO263" i="2"/>
  <c r="BF263" i="2" s="1"/>
  <c r="AN263" i="2"/>
  <c r="BE263" i="2" s="1"/>
  <c r="AM263" i="2"/>
  <c r="BD263" i="2" s="1"/>
  <c r="AL263" i="2"/>
  <c r="BC263" i="2" s="1"/>
  <c r="AK263" i="2"/>
  <c r="BB263" i="2" s="1"/>
  <c r="AJ263" i="2"/>
  <c r="BA263" i="2" s="1"/>
  <c r="AI263" i="2"/>
  <c r="AZ263" i="2" s="1"/>
  <c r="AH263" i="2"/>
  <c r="AY263" i="2" s="1"/>
  <c r="AG263" i="2"/>
  <c r="AF263" i="2"/>
  <c r="AE263" i="2"/>
  <c r="AD263" i="2"/>
  <c r="AC263" i="2"/>
  <c r="AO460" i="20" s="1"/>
  <c r="AB263" i="2"/>
  <c r="AO262" i="2"/>
  <c r="BF262" i="2" s="1"/>
  <c r="AN262" i="2"/>
  <c r="BE262" i="2" s="1"/>
  <c r="AM262" i="2"/>
  <c r="BD262" i="2" s="1"/>
  <c r="AL262" i="2"/>
  <c r="BC262" i="2" s="1"/>
  <c r="AK262" i="2"/>
  <c r="BB262" i="2" s="1"/>
  <c r="AJ262" i="2"/>
  <c r="BA262" i="2" s="1"/>
  <c r="AI262" i="2"/>
  <c r="AZ262" i="2" s="1"/>
  <c r="AH262" i="2"/>
  <c r="AY262" i="2" s="1"/>
  <c r="AG262" i="2"/>
  <c r="AF262" i="2"/>
  <c r="AE262" i="2"/>
  <c r="AD262" i="2"/>
  <c r="AC262" i="2"/>
  <c r="AO454" i="20" s="1"/>
  <c r="AB262" i="2"/>
  <c r="AO261" i="2"/>
  <c r="BF261" i="2" s="1"/>
  <c r="AN261" i="2"/>
  <c r="BE261" i="2" s="1"/>
  <c r="AM261" i="2"/>
  <c r="BD261" i="2" s="1"/>
  <c r="AL261" i="2"/>
  <c r="BC261" i="2" s="1"/>
  <c r="AK261" i="2"/>
  <c r="BB261" i="2" s="1"/>
  <c r="AJ261" i="2"/>
  <c r="BA261" i="2" s="1"/>
  <c r="AI261" i="2"/>
  <c r="AZ261" i="2" s="1"/>
  <c r="AH261" i="2"/>
  <c r="AY261" i="2" s="1"/>
  <c r="AG261" i="2"/>
  <c r="AF261" i="2"/>
  <c r="AE261" i="2"/>
  <c r="AD261" i="2"/>
  <c r="AC261" i="2"/>
  <c r="AB261" i="2"/>
  <c r="AO260" i="2"/>
  <c r="BF260" i="2" s="1"/>
  <c r="AN260" i="2"/>
  <c r="BE260" i="2" s="1"/>
  <c r="AM260" i="2"/>
  <c r="BD260" i="2" s="1"/>
  <c r="AL260" i="2"/>
  <c r="BC260" i="2" s="1"/>
  <c r="AK260" i="2"/>
  <c r="BB260" i="2" s="1"/>
  <c r="AJ260" i="2"/>
  <c r="BA260" i="2" s="1"/>
  <c r="AI260" i="2"/>
  <c r="AZ260" i="2" s="1"/>
  <c r="AH260" i="2"/>
  <c r="AY260" i="2" s="1"/>
  <c r="AG260" i="2"/>
  <c r="AX260" i="2" s="1"/>
  <c r="AF260" i="2"/>
  <c r="AW260" i="2" s="1"/>
  <c r="AE260" i="2"/>
  <c r="AV260" i="2" s="1"/>
  <c r="AD260" i="2"/>
  <c r="AU260" i="2" s="1"/>
  <c r="AC260" i="2"/>
  <c r="AO468" i="20" s="1"/>
  <c r="AB260" i="2"/>
  <c r="AO259" i="2"/>
  <c r="BF259" i="2" s="1"/>
  <c r="AN259" i="2"/>
  <c r="BE259" i="2" s="1"/>
  <c r="AM259" i="2"/>
  <c r="BD259" i="2" s="1"/>
  <c r="AL259" i="2"/>
  <c r="BC259" i="2" s="1"/>
  <c r="AK259" i="2"/>
  <c r="BB259" i="2" s="1"/>
  <c r="AJ259" i="2"/>
  <c r="BA259" i="2" s="1"/>
  <c r="AI259" i="2"/>
  <c r="AZ259" i="2" s="1"/>
  <c r="AH259" i="2"/>
  <c r="AY259" i="2" s="1"/>
  <c r="AG259" i="2"/>
  <c r="AX259" i="2" s="1"/>
  <c r="AF259" i="2"/>
  <c r="AW259" i="2" s="1"/>
  <c r="AE259" i="2"/>
  <c r="AV259" i="2" s="1"/>
  <c r="AD259" i="2"/>
  <c r="AU259" i="2" s="1"/>
  <c r="AC259" i="2"/>
  <c r="AO462" i="20" s="1"/>
  <c r="AB259" i="2"/>
  <c r="AO258" i="2"/>
  <c r="BF258" i="2" s="1"/>
  <c r="AN258" i="2"/>
  <c r="BE258" i="2" s="1"/>
  <c r="AM258" i="2"/>
  <c r="BD258" i="2" s="1"/>
  <c r="AL258" i="2"/>
  <c r="BC258" i="2" s="1"/>
  <c r="AK258" i="2"/>
  <c r="BB258" i="2" s="1"/>
  <c r="AJ258" i="2"/>
  <c r="BA258" i="2" s="1"/>
  <c r="AI258" i="2"/>
  <c r="AZ258" i="2" s="1"/>
  <c r="AH258" i="2"/>
  <c r="AY258" i="2" s="1"/>
  <c r="AG258" i="2"/>
  <c r="AX258" i="2" s="1"/>
  <c r="AF258" i="2"/>
  <c r="AW258" i="2" s="1"/>
  <c r="AE258" i="2"/>
  <c r="AV258" i="2" s="1"/>
  <c r="AD258" i="2"/>
  <c r="AU258" i="2" s="1"/>
  <c r="AC258" i="2"/>
  <c r="AO456" i="20" s="1"/>
  <c r="AB258" i="2"/>
  <c r="AO257" i="2"/>
  <c r="BF257" i="2" s="1"/>
  <c r="AN257" i="2"/>
  <c r="BE257" i="2" s="1"/>
  <c r="AM257" i="2"/>
  <c r="BD257" i="2" s="1"/>
  <c r="AL257" i="2"/>
  <c r="BC257" i="2" s="1"/>
  <c r="AK257" i="2"/>
  <c r="BB257" i="2" s="1"/>
  <c r="AJ257" i="2"/>
  <c r="BA257" i="2" s="1"/>
  <c r="AI257" i="2"/>
  <c r="AZ257" i="2" s="1"/>
  <c r="AH257" i="2"/>
  <c r="AY257" i="2" s="1"/>
  <c r="AG257" i="2"/>
  <c r="AX257" i="2" s="1"/>
  <c r="AF257" i="2"/>
  <c r="AW257" i="2" s="1"/>
  <c r="AE257" i="2"/>
  <c r="AV257" i="2" s="1"/>
  <c r="AD257" i="2"/>
  <c r="AU257" i="2" s="1"/>
  <c r="AC257" i="2"/>
  <c r="AT257" i="2" s="1"/>
  <c r="AB257" i="2"/>
  <c r="AO256" i="2"/>
  <c r="BF256" i="2" s="1"/>
  <c r="AN256" i="2"/>
  <c r="BE256" i="2" s="1"/>
  <c r="AM256" i="2"/>
  <c r="BD256" i="2" s="1"/>
  <c r="AL256" i="2"/>
  <c r="BC256" i="2" s="1"/>
  <c r="AK256" i="2"/>
  <c r="BB256" i="2" s="1"/>
  <c r="AJ256" i="2"/>
  <c r="BA256" i="2" s="1"/>
  <c r="AI256" i="2"/>
  <c r="AZ256" i="2" s="1"/>
  <c r="AH256" i="2"/>
  <c r="AY256" i="2" s="1"/>
  <c r="AG256" i="2"/>
  <c r="AF256" i="2"/>
  <c r="AE256" i="2"/>
  <c r="AD256" i="2"/>
  <c r="AC256" i="2"/>
  <c r="AB256" i="2"/>
  <c r="AO255" i="2"/>
  <c r="BF255" i="2" s="1"/>
  <c r="AN255" i="2"/>
  <c r="BE255" i="2" s="1"/>
  <c r="AM255" i="2"/>
  <c r="BD255" i="2" s="1"/>
  <c r="AL255" i="2"/>
  <c r="BC255" i="2" s="1"/>
  <c r="AK255" i="2"/>
  <c r="BB255" i="2" s="1"/>
  <c r="AJ255" i="2"/>
  <c r="BA255" i="2" s="1"/>
  <c r="AI255" i="2"/>
  <c r="AZ255" i="2" s="1"/>
  <c r="AH255" i="2"/>
  <c r="AY255" i="2" s="1"/>
  <c r="AG255" i="2"/>
  <c r="AF255" i="2"/>
  <c r="AE255" i="2"/>
  <c r="AD255" i="2"/>
  <c r="AC255" i="2"/>
  <c r="AB255" i="2"/>
  <c r="AO254" i="2"/>
  <c r="BF254" i="2" s="1"/>
  <c r="AN254" i="2"/>
  <c r="BE254" i="2" s="1"/>
  <c r="AM254" i="2"/>
  <c r="BD254" i="2" s="1"/>
  <c r="AL254" i="2"/>
  <c r="BC254" i="2" s="1"/>
  <c r="AK254" i="2"/>
  <c r="BB254" i="2" s="1"/>
  <c r="AJ254" i="2"/>
  <c r="BA254" i="2" s="1"/>
  <c r="AI254" i="2"/>
  <c r="AZ254" i="2" s="1"/>
  <c r="AH254" i="2"/>
  <c r="AY254" i="2" s="1"/>
  <c r="AG254" i="2"/>
  <c r="AF254" i="2"/>
  <c r="AE254" i="2"/>
  <c r="AD254" i="2"/>
  <c r="AC254" i="2"/>
  <c r="AB254" i="2"/>
  <c r="AO253" i="2"/>
  <c r="BF253" i="2" s="1"/>
  <c r="AN253" i="2"/>
  <c r="BE253" i="2" s="1"/>
  <c r="AM253" i="2"/>
  <c r="BD253" i="2" s="1"/>
  <c r="AL253" i="2"/>
  <c r="BC253" i="2" s="1"/>
  <c r="AK253" i="2"/>
  <c r="BB253" i="2" s="1"/>
  <c r="AJ253" i="2"/>
  <c r="BA253" i="2" s="1"/>
  <c r="AI253" i="2"/>
  <c r="AZ253" i="2" s="1"/>
  <c r="AH253" i="2"/>
  <c r="AY253" i="2" s="1"/>
  <c r="AG253" i="2"/>
  <c r="AF253" i="2"/>
  <c r="AE253" i="2"/>
  <c r="AD253" i="2"/>
  <c r="AC253" i="2"/>
  <c r="AB253" i="2"/>
  <c r="AO252" i="2"/>
  <c r="BF252" i="2" s="1"/>
  <c r="AN252" i="2"/>
  <c r="BE252" i="2" s="1"/>
  <c r="AM252" i="2"/>
  <c r="BD252" i="2" s="1"/>
  <c r="AL252" i="2"/>
  <c r="BC252" i="2" s="1"/>
  <c r="AK252" i="2"/>
  <c r="BB252" i="2" s="1"/>
  <c r="AJ252" i="2"/>
  <c r="BA252" i="2" s="1"/>
  <c r="AI252" i="2"/>
  <c r="AZ252" i="2" s="1"/>
  <c r="AH252" i="2"/>
  <c r="AY252" i="2" s="1"/>
  <c r="AG252" i="2"/>
  <c r="AF252" i="2"/>
  <c r="AE252" i="2"/>
  <c r="AD252" i="2"/>
  <c r="AN545" i="20" s="1"/>
  <c r="AC252" i="2"/>
  <c r="AB252" i="2"/>
  <c r="AO251" i="2"/>
  <c r="BF251" i="2" s="1"/>
  <c r="AN251" i="2"/>
  <c r="BE251" i="2" s="1"/>
  <c r="AM251" i="2"/>
  <c r="BD251" i="2" s="1"/>
  <c r="AL251" i="2"/>
  <c r="BC251" i="2" s="1"/>
  <c r="AK251" i="2"/>
  <c r="BB251" i="2" s="1"/>
  <c r="AJ251" i="2"/>
  <c r="BA251" i="2" s="1"/>
  <c r="AI251" i="2"/>
  <c r="AZ251" i="2" s="1"/>
  <c r="AH251" i="2"/>
  <c r="AY251" i="2" s="1"/>
  <c r="AG251" i="2"/>
  <c r="AF251" i="2"/>
  <c r="AE251" i="2"/>
  <c r="AD251" i="2"/>
  <c r="AC251" i="2"/>
  <c r="AB251" i="2"/>
  <c r="AO250" i="2"/>
  <c r="BF250" i="2" s="1"/>
  <c r="AN250" i="2"/>
  <c r="BE250" i="2" s="1"/>
  <c r="AM250" i="2"/>
  <c r="BD250" i="2" s="1"/>
  <c r="AL250" i="2"/>
  <c r="BC250" i="2" s="1"/>
  <c r="AK250" i="2"/>
  <c r="BB250" i="2" s="1"/>
  <c r="AJ250" i="2"/>
  <c r="BA250" i="2" s="1"/>
  <c r="AI250" i="2"/>
  <c r="AZ250" i="2" s="1"/>
  <c r="AH250" i="2"/>
  <c r="AY250" i="2" s="1"/>
  <c r="AG250" i="2"/>
  <c r="AF250" i="2"/>
  <c r="AE250" i="2"/>
  <c r="AP544" i="20" s="1"/>
  <c r="AD250" i="2"/>
  <c r="AN544" i="20" s="1"/>
  <c r="AC250" i="2"/>
  <c r="AB250" i="2"/>
  <c r="AO249" i="2"/>
  <c r="BF249" i="2" s="1"/>
  <c r="AN249" i="2"/>
  <c r="BE249" i="2" s="1"/>
  <c r="AM249" i="2"/>
  <c r="BD249" i="2" s="1"/>
  <c r="AL249" i="2"/>
  <c r="BC249" i="2" s="1"/>
  <c r="AK249" i="2"/>
  <c r="BB249" i="2" s="1"/>
  <c r="AJ249" i="2"/>
  <c r="BA249" i="2" s="1"/>
  <c r="AI249" i="2"/>
  <c r="AZ249" i="2" s="1"/>
  <c r="AH249" i="2"/>
  <c r="AY249" i="2" s="1"/>
  <c r="AG249" i="2"/>
  <c r="AF249" i="2"/>
  <c r="AR541" i="20" s="1"/>
  <c r="AE249" i="2"/>
  <c r="AD249" i="2"/>
  <c r="AC249" i="2"/>
  <c r="AB249" i="2"/>
  <c r="AO248" i="2"/>
  <c r="BF248" i="2" s="1"/>
  <c r="AN248" i="2"/>
  <c r="BE248" i="2" s="1"/>
  <c r="AM248" i="2"/>
  <c r="BD248" i="2" s="1"/>
  <c r="AL248" i="2"/>
  <c r="BC248" i="2" s="1"/>
  <c r="AK248" i="2"/>
  <c r="BB248" i="2" s="1"/>
  <c r="AJ248" i="2"/>
  <c r="BA248" i="2" s="1"/>
  <c r="AI248" i="2"/>
  <c r="AZ248" i="2" s="1"/>
  <c r="AH248" i="2"/>
  <c r="AY248" i="2" s="1"/>
  <c r="AG248" i="2"/>
  <c r="AF248" i="2"/>
  <c r="AE248" i="2"/>
  <c r="AD248" i="2"/>
  <c r="AC248" i="2"/>
  <c r="AB248" i="2"/>
  <c r="AO247" i="2"/>
  <c r="BF247" i="2" s="1"/>
  <c r="AN247" i="2"/>
  <c r="BE247" i="2" s="1"/>
  <c r="AM247" i="2"/>
  <c r="BD247" i="2" s="1"/>
  <c r="AL247" i="2"/>
  <c r="BC247" i="2" s="1"/>
  <c r="AK247" i="2"/>
  <c r="BB247" i="2" s="1"/>
  <c r="AJ247" i="2"/>
  <c r="BA247" i="2" s="1"/>
  <c r="AI247" i="2"/>
  <c r="AZ247" i="2" s="1"/>
  <c r="AH247" i="2"/>
  <c r="AY247" i="2" s="1"/>
  <c r="AG247" i="2"/>
  <c r="AF247" i="2"/>
  <c r="AR542" i="20" s="1"/>
  <c r="AE247" i="2"/>
  <c r="AD247" i="2"/>
  <c r="AM540" i="20" s="1"/>
  <c r="AC247" i="2"/>
  <c r="AB247" i="2"/>
  <c r="AO246" i="2"/>
  <c r="BF246" i="2" s="1"/>
  <c r="AN246" i="2"/>
  <c r="BE246" i="2" s="1"/>
  <c r="AM246" i="2"/>
  <c r="BD246" i="2" s="1"/>
  <c r="AL246" i="2"/>
  <c r="BC246" i="2" s="1"/>
  <c r="AK246" i="2"/>
  <c r="BB246" i="2" s="1"/>
  <c r="AJ246" i="2"/>
  <c r="BA246" i="2" s="1"/>
  <c r="AI246" i="2"/>
  <c r="AZ246" i="2" s="1"/>
  <c r="AH246" i="2"/>
  <c r="AY246" i="2" s="1"/>
  <c r="AG246" i="2"/>
  <c r="AF246" i="2"/>
  <c r="AE246" i="2"/>
  <c r="AP485" i="20" s="1"/>
  <c r="AD246" i="2"/>
  <c r="AN421" i="20" s="1"/>
  <c r="AC246" i="2"/>
  <c r="AB246" i="2"/>
  <c r="AO245" i="2"/>
  <c r="BF245" i="2" s="1"/>
  <c r="AN245" i="2"/>
  <c r="BE245" i="2" s="1"/>
  <c r="AM245" i="2"/>
  <c r="BD245" i="2" s="1"/>
  <c r="AL245" i="2"/>
  <c r="BC245" i="2" s="1"/>
  <c r="AK245" i="2"/>
  <c r="BB245" i="2" s="1"/>
  <c r="AJ245" i="2"/>
  <c r="BA245" i="2" s="1"/>
  <c r="AI245" i="2"/>
  <c r="AZ245" i="2" s="1"/>
  <c r="AH245" i="2"/>
  <c r="AY245" i="2" s="1"/>
  <c r="AG245" i="2"/>
  <c r="AT484" i="20" s="1"/>
  <c r="AF245" i="2"/>
  <c r="AR484" i="20" s="1"/>
  <c r="AE245" i="2"/>
  <c r="AD245" i="2"/>
  <c r="AC245" i="2"/>
  <c r="AB245" i="2"/>
  <c r="AO244" i="2"/>
  <c r="BF244" i="2" s="1"/>
  <c r="AN244" i="2"/>
  <c r="BE244" i="2" s="1"/>
  <c r="AM244" i="2"/>
  <c r="BD244" i="2" s="1"/>
  <c r="AL244" i="2"/>
  <c r="BC244" i="2" s="1"/>
  <c r="AK244" i="2"/>
  <c r="BB244" i="2" s="1"/>
  <c r="AJ244" i="2"/>
  <c r="BA244" i="2" s="1"/>
  <c r="AI244" i="2"/>
  <c r="AZ244" i="2" s="1"/>
  <c r="AH244" i="2"/>
  <c r="AY244" i="2" s="1"/>
  <c r="AG244" i="2"/>
  <c r="AT486" i="20" s="1"/>
  <c r="AF244" i="2"/>
  <c r="AR486" i="20" s="1"/>
  <c r="AE244" i="2"/>
  <c r="AP486" i="20" s="1"/>
  <c r="AD244" i="2"/>
  <c r="AN486" i="20" s="1"/>
  <c r="AC244" i="2"/>
  <c r="AB244" i="2"/>
  <c r="AO243" i="2"/>
  <c r="BF243" i="2" s="1"/>
  <c r="AN243" i="2"/>
  <c r="BE243" i="2" s="1"/>
  <c r="AM243" i="2"/>
  <c r="BD243" i="2" s="1"/>
  <c r="AL243" i="2"/>
  <c r="BC243" i="2" s="1"/>
  <c r="AK243" i="2"/>
  <c r="BB243" i="2" s="1"/>
  <c r="AJ243" i="2"/>
  <c r="BA243" i="2" s="1"/>
  <c r="AI243" i="2"/>
  <c r="AZ243" i="2" s="1"/>
  <c r="AH243" i="2"/>
  <c r="AY243" i="2" s="1"/>
  <c r="AG243" i="2"/>
  <c r="AF243" i="2"/>
  <c r="AR488" i="20" s="1"/>
  <c r="AE243" i="2"/>
  <c r="AD243" i="2"/>
  <c r="AC243" i="2"/>
  <c r="AB243" i="2"/>
  <c r="AO242" i="2"/>
  <c r="BF242" i="2" s="1"/>
  <c r="AN242" i="2"/>
  <c r="BE242" i="2" s="1"/>
  <c r="AM242" i="2"/>
  <c r="BD242" i="2" s="1"/>
  <c r="AL242" i="2"/>
  <c r="BC242" i="2" s="1"/>
  <c r="AK242" i="2"/>
  <c r="BB242" i="2" s="1"/>
  <c r="AJ242" i="2"/>
  <c r="BA242" i="2" s="1"/>
  <c r="AI242" i="2"/>
  <c r="AZ242" i="2" s="1"/>
  <c r="AH242" i="2"/>
  <c r="AY242" i="2" s="1"/>
  <c r="AG242" i="2"/>
  <c r="AS521" i="20" s="1"/>
  <c r="AF242" i="2"/>
  <c r="AQ521" i="20" s="1"/>
  <c r="AE242" i="2"/>
  <c r="AO521" i="20" s="1"/>
  <c r="AD242" i="2"/>
  <c r="AM521" i="20" s="1"/>
  <c r="AC242" i="2"/>
  <c r="AB242" i="2"/>
  <c r="AO241" i="2"/>
  <c r="BF241" i="2" s="1"/>
  <c r="AN241" i="2"/>
  <c r="BE241" i="2" s="1"/>
  <c r="AM241" i="2"/>
  <c r="BD241" i="2" s="1"/>
  <c r="AL241" i="2"/>
  <c r="BC241" i="2" s="1"/>
  <c r="AK241" i="2"/>
  <c r="BB241" i="2" s="1"/>
  <c r="AJ241" i="2"/>
  <c r="BA241" i="2" s="1"/>
  <c r="AI241" i="2"/>
  <c r="AZ241" i="2" s="1"/>
  <c r="AH241" i="2"/>
  <c r="AY241" i="2" s="1"/>
  <c r="AG241" i="2"/>
  <c r="AF241" i="2"/>
  <c r="AQ517" i="20" s="1"/>
  <c r="AE241" i="2"/>
  <c r="AO517" i="20" s="1"/>
  <c r="AD241" i="2"/>
  <c r="AC241" i="2"/>
  <c r="AB241" i="2"/>
  <c r="AO240" i="2"/>
  <c r="BF240" i="2" s="1"/>
  <c r="AN240" i="2"/>
  <c r="BE240" i="2" s="1"/>
  <c r="AM240" i="2"/>
  <c r="BD240" i="2" s="1"/>
  <c r="AL240" i="2"/>
  <c r="BC240" i="2" s="1"/>
  <c r="AK240" i="2"/>
  <c r="BB240" i="2" s="1"/>
  <c r="AJ240" i="2"/>
  <c r="BA240" i="2" s="1"/>
  <c r="AI240" i="2"/>
  <c r="AZ240" i="2" s="1"/>
  <c r="AH240" i="2"/>
  <c r="AY240" i="2" s="1"/>
  <c r="AG240" i="2"/>
  <c r="AF240" i="2"/>
  <c r="AE240" i="2"/>
  <c r="AD240" i="2"/>
  <c r="AM516" i="20" s="1"/>
  <c r="AC240" i="2"/>
  <c r="AB240" i="2"/>
  <c r="AO239" i="2"/>
  <c r="BF239" i="2" s="1"/>
  <c r="AN239" i="2"/>
  <c r="BE239" i="2" s="1"/>
  <c r="AM239" i="2"/>
  <c r="BD239" i="2" s="1"/>
  <c r="AL239" i="2"/>
  <c r="BC239" i="2" s="1"/>
  <c r="AK239" i="2"/>
  <c r="BB239" i="2" s="1"/>
  <c r="AJ239" i="2"/>
  <c r="BA239" i="2" s="1"/>
  <c r="AI239" i="2"/>
  <c r="AZ239" i="2" s="1"/>
  <c r="AH239" i="2"/>
  <c r="AY239" i="2" s="1"/>
  <c r="AG239" i="2"/>
  <c r="AS510" i="20" s="1"/>
  <c r="AF239" i="2"/>
  <c r="AE239" i="2"/>
  <c r="AD239" i="2"/>
  <c r="AM510" i="20" s="1"/>
  <c r="AC239" i="2"/>
  <c r="AB239" i="2"/>
  <c r="AO238" i="2"/>
  <c r="BF238" i="2" s="1"/>
  <c r="AN238" i="2"/>
  <c r="BE238" i="2" s="1"/>
  <c r="AM238" i="2"/>
  <c r="BD238" i="2" s="1"/>
  <c r="AL238" i="2"/>
  <c r="BC238" i="2" s="1"/>
  <c r="AK238" i="2"/>
  <c r="BB238" i="2" s="1"/>
  <c r="AJ238" i="2"/>
  <c r="BA238" i="2" s="1"/>
  <c r="AI238" i="2"/>
  <c r="AZ238" i="2" s="1"/>
  <c r="AH238" i="2"/>
  <c r="AY238" i="2" s="1"/>
  <c r="AG238" i="2"/>
  <c r="AS508" i="20" s="1"/>
  <c r="AF238" i="2"/>
  <c r="AE238" i="2"/>
  <c r="AO508" i="20" s="1"/>
  <c r="AD238" i="2"/>
  <c r="AM508" i="20" s="1"/>
  <c r="AC238" i="2"/>
  <c r="AB238" i="2"/>
  <c r="AO237" i="2"/>
  <c r="BF237" i="2" s="1"/>
  <c r="AN237" i="2"/>
  <c r="BE237" i="2" s="1"/>
  <c r="AM237" i="2"/>
  <c r="BD237" i="2" s="1"/>
  <c r="AL237" i="2"/>
  <c r="BC237" i="2" s="1"/>
  <c r="AK237" i="2"/>
  <c r="BB237" i="2" s="1"/>
  <c r="AJ237" i="2"/>
  <c r="BA237" i="2" s="1"/>
  <c r="AI237" i="2"/>
  <c r="AZ237" i="2" s="1"/>
  <c r="AH237" i="2"/>
  <c r="AY237" i="2" s="1"/>
  <c r="AG237" i="2"/>
  <c r="AF237" i="2"/>
  <c r="AE237" i="2"/>
  <c r="AD237" i="2"/>
  <c r="AC237" i="2"/>
  <c r="AB237" i="2"/>
  <c r="AO236" i="2"/>
  <c r="BF236" i="2" s="1"/>
  <c r="AN236" i="2"/>
  <c r="BE236" i="2" s="1"/>
  <c r="AM236" i="2"/>
  <c r="BD236" i="2" s="1"/>
  <c r="AL236" i="2"/>
  <c r="BC236" i="2" s="1"/>
  <c r="AK236" i="2"/>
  <c r="BB236" i="2" s="1"/>
  <c r="AJ236" i="2"/>
  <c r="BA236" i="2" s="1"/>
  <c r="AI236" i="2"/>
  <c r="AZ236" i="2" s="1"/>
  <c r="AH236" i="2"/>
  <c r="AY236" i="2" s="1"/>
  <c r="AG236" i="2"/>
  <c r="AX236" i="2" s="1"/>
  <c r="AF236" i="2"/>
  <c r="AW236" i="2" s="1"/>
  <c r="AE236" i="2"/>
  <c r="AV236" i="2" s="1"/>
  <c r="AD236" i="2"/>
  <c r="AU236" i="2" s="1"/>
  <c r="AC236" i="2"/>
  <c r="AT236" i="2" s="1"/>
  <c r="AB236" i="2"/>
  <c r="AO235" i="2"/>
  <c r="BF235" i="2" s="1"/>
  <c r="AN235" i="2"/>
  <c r="BE235" i="2" s="1"/>
  <c r="AM235" i="2"/>
  <c r="BD235" i="2" s="1"/>
  <c r="AL235" i="2"/>
  <c r="BC235" i="2" s="1"/>
  <c r="AK235" i="2"/>
  <c r="BB235" i="2" s="1"/>
  <c r="AJ235" i="2"/>
  <c r="BA235" i="2" s="1"/>
  <c r="AI235" i="2"/>
  <c r="AZ235" i="2" s="1"/>
  <c r="AH235" i="2"/>
  <c r="AY235" i="2" s="1"/>
  <c r="AG235" i="2"/>
  <c r="AX235" i="2" s="1"/>
  <c r="AF235" i="2"/>
  <c r="AW235" i="2" s="1"/>
  <c r="AE235" i="2"/>
  <c r="AV235" i="2" s="1"/>
  <c r="AD235" i="2"/>
  <c r="AU235" i="2" s="1"/>
  <c r="AC235" i="2"/>
  <c r="AB235" i="2"/>
  <c r="AO234" i="2"/>
  <c r="BF234" i="2" s="1"/>
  <c r="AN234" i="2"/>
  <c r="BE234" i="2" s="1"/>
  <c r="AM234" i="2"/>
  <c r="BD234" i="2" s="1"/>
  <c r="AL234" i="2"/>
  <c r="BC234" i="2" s="1"/>
  <c r="AK234" i="2"/>
  <c r="BB234" i="2" s="1"/>
  <c r="AJ234" i="2"/>
  <c r="BA234" i="2" s="1"/>
  <c r="AI234" i="2"/>
  <c r="AZ234" i="2" s="1"/>
  <c r="AH234" i="2"/>
  <c r="AY234" i="2" s="1"/>
  <c r="AG234" i="2"/>
  <c r="AX234" i="2" s="1"/>
  <c r="AF234" i="2"/>
  <c r="AW234" i="2" s="1"/>
  <c r="AE234" i="2"/>
  <c r="AV234" i="2" s="1"/>
  <c r="AD234" i="2"/>
  <c r="AU234" i="2" s="1"/>
  <c r="AC234" i="2"/>
  <c r="AB234" i="2"/>
  <c r="AO233" i="2"/>
  <c r="BF233" i="2" s="1"/>
  <c r="AN233" i="2"/>
  <c r="BE233" i="2" s="1"/>
  <c r="AM233" i="2"/>
  <c r="BD233" i="2" s="1"/>
  <c r="AL233" i="2"/>
  <c r="BC233" i="2" s="1"/>
  <c r="AK233" i="2"/>
  <c r="BB233" i="2" s="1"/>
  <c r="AJ233" i="2"/>
  <c r="BA233" i="2" s="1"/>
  <c r="AI233" i="2"/>
  <c r="AZ233" i="2" s="1"/>
  <c r="AH233" i="2"/>
  <c r="AY233" i="2" s="1"/>
  <c r="AG233" i="2"/>
  <c r="AF233" i="2"/>
  <c r="AE233" i="2"/>
  <c r="AD233" i="2"/>
  <c r="AC233" i="2"/>
  <c r="AB233" i="2"/>
  <c r="AO232" i="2"/>
  <c r="BF232" i="2" s="1"/>
  <c r="AN232" i="2"/>
  <c r="BE232" i="2" s="1"/>
  <c r="AM232" i="2"/>
  <c r="BD232" i="2" s="1"/>
  <c r="AL232" i="2"/>
  <c r="BC232" i="2" s="1"/>
  <c r="AK232" i="2"/>
  <c r="BB232" i="2" s="1"/>
  <c r="AJ232" i="2"/>
  <c r="BA232" i="2" s="1"/>
  <c r="AI232" i="2"/>
  <c r="AZ232" i="2" s="1"/>
  <c r="AH232" i="2"/>
  <c r="AY232" i="2" s="1"/>
  <c r="AG232" i="2"/>
  <c r="AF232" i="2"/>
  <c r="AE232" i="2"/>
  <c r="AD232" i="2"/>
  <c r="AC232" i="2"/>
  <c r="AB232" i="2"/>
  <c r="AO231" i="2"/>
  <c r="BF231" i="2" s="1"/>
  <c r="AN231" i="2"/>
  <c r="BE231" i="2" s="1"/>
  <c r="AM231" i="2"/>
  <c r="BD231" i="2" s="1"/>
  <c r="AL231" i="2"/>
  <c r="BC231" i="2" s="1"/>
  <c r="AK231" i="2"/>
  <c r="BB231" i="2" s="1"/>
  <c r="AJ231" i="2"/>
  <c r="BA231" i="2" s="1"/>
  <c r="AI231" i="2"/>
  <c r="AZ231" i="2" s="1"/>
  <c r="AH231" i="2"/>
  <c r="AY231" i="2" s="1"/>
  <c r="AG231" i="2"/>
  <c r="AF231" i="2"/>
  <c r="AE231" i="2"/>
  <c r="AD231" i="2"/>
  <c r="AC231" i="2"/>
  <c r="AB231" i="2"/>
  <c r="AO230" i="2"/>
  <c r="BF230" i="2" s="1"/>
  <c r="AN230" i="2"/>
  <c r="BE230" i="2" s="1"/>
  <c r="AM230" i="2"/>
  <c r="BD230" i="2" s="1"/>
  <c r="AL230" i="2"/>
  <c r="BC230" i="2" s="1"/>
  <c r="AK230" i="2"/>
  <c r="BB230" i="2" s="1"/>
  <c r="AJ230" i="2"/>
  <c r="BA230" i="2" s="1"/>
  <c r="AI230" i="2"/>
  <c r="AZ230" i="2" s="1"/>
  <c r="AH230" i="2"/>
  <c r="AY230" i="2" s="1"/>
  <c r="AG230" i="2"/>
  <c r="AF230" i="2"/>
  <c r="AE230" i="2"/>
  <c r="AD230" i="2"/>
  <c r="AC230" i="2"/>
  <c r="AB230" i="2"/>
  <c r="AO229" i="2"/>
  <c r="BF229" i="2" s="1"/>
  <c r="AN229" i="2"/>
  <c r="BE229" i="2" s="1"/>
  <c r="AM229" i="2"/>
  <c r="BD229" i="2" s="1"/>
  <c r="AL229" i="2"/>
  <c r="BC229" i="2" s="1"/>
  <c r="AK229" i="2"/>
  <c r="BB229" i="2" s="1"/>
  <c r="AJ229" i="2"/>
  <c r="BA229" i="2" s="1"/>
  <c r="AI229" i="2"/>
  <c r="AZ229" i="2" s="1"/>
  <c r="AH229" i="2"/>
  <c r="AY229" i="2" s="1"/>
  <c r="AG229" i="2"/>
  <c r="AF229" i="2"/>
  <c r="AE229" i="2"/>
  <c r="AD229" i="2"/>
  <c r="AC229" i="2"/>
  <c r="AB229" i="2"/>
  <c r="AO228" i="2"/>
  <c r="BF228" i="2" s="1"/>
  <c r="AN228" i="2"/>
  <c r="BE228" i="2" s="1"/>
  <c r="AM228" i="2"/>
  <c r="BD228" i="2" s="1"/>
  <c r="AL228" i="2"/>
  <c r="BC228" i="2" s="1"/>
  <c r="AK228" i="2"/>
  <c r="BB228" i="2" s="1"/>
  <c r="AJ228" i="2"/>
  <c r="BA228" i="2" s="1"/>
  <c r="AI228" i="2"/>
  <c r="AZ228" i="2" s="1"/>
  <c r="AH228" i="2"/>
  <c r="AY228" i="2" s="1"/>
  <c r="AG228" i="2"/>
  <c r="AF228" i="2"/>
  <c r="AR441" i="20" s="1"/>
  <c r="AE228" i="2"/>
  <c r="AP441" i="20" s="1"/>
  <c r="AD228" i="2"/>
  <c r="AN441" i="20" s="1"/>
  <c r="AC228" i="2"/>
  <c r="AB228" i="2"/>
  <c r="AO227" i="2"/>
  <c r="BF227" i="2" s="1"/>
  <c r="AN227" i="2"/>
  <c r="BE227" i="2" s="1"/>
  <c r="AM227" i="2"/>
  <c r="BD227" i="2" s="1"/>
  <c r="AL227" i="2"/>
  <c r="BC227" i="2" s="1"/>
  <c r="AK227" i="2"/>
  <c r="BB227" i="2" s="1"/>
  <c r="AJ227" i="2"/>
  <c r="BA227" i="2" s="1"/>
  <c r="AI227" i="2"/>
  <c r="AZ227" i="2" s="1"/>
  <c r="AH227" i="2"/>
  <c r="AY227" i="2" s="1"/>
  <c r="AG227" i="2"/>
  <c r="AT431" i="20" s="1"/>
  <c r="AF227" i="2"/>
  <c r="AR431" i="20" s="1"/>
  <c r="AE227" i="2"/>
  <c r="AD227" i="2"/>
  <c r="AN431" i="20" s="1"/>
  <c r="AC227" i="2"/>
  <c r="AB227" i="2"/>
  <c r="AO226" i="2"/>
  <c r="BF226" i="2" s="1"/>
  <c r="AN226" i="2"/>
  <c r="BE226" i="2" s="1"/>
  <c r="AM226" i="2"/>
  <c r="BD226" i="2" s="1"/>
  <c r="AL226" i="2"/>
  <c r="BC226" i="2" s="1"/>
  <c r="AK226" i="2"/>
  <c r="BB226" i="2" s="1"/>
  <c r="AJ226" i="2"/>
  <c r="BA226" i="2" s="1"/>
  <c r="AI226" i="2"/>
  <c r="AZ226" i="2" s="1"/>
  <c r="AH226" i="2"/>
  <c r="AY226" i="2" s="1"/>
  <c r="AG226" i="2"/>
  <c r="AF226" i="2"/>
  <c r="AR430" i="20" s="1"/>
  <c r="AE226" i="2"/>
  <c r="AP430" i="20" s="1"/>
  <c r="AD226" i="2"/>
  <c r="AN430" i="20" s="1"/>
  <c r="AC226" i="2"/>
  <c r="AB226" i="2"/>
  <c r="AO225" i="2"/>
  <c r="BF225" i="2" s="1"/>
  <c r="AN225" i="2"/>
  <c r="BE225" i="2" s="1"/>
  <c r="AM225" i="2"/>
  <c r="BD225" i="2" s="1"/>
  <c r="AL225" i="2"/>
  <c r="BC225" i="2" s="1"/>
  <c r="AK225" i="2"/>
  <c r="BB225" i="2" s="1"/>
  <c r="AJ225" i="2"/>
  <c r="BA225" i="2" s="1"/>
  <c r="AI225" i="2"/>
  <c r="AZ225" i="2" s="1"/>
  <c r="AH225" i="2"/>
  <c r="AY225" i="2" s="1"/>
  <c r="AG225" i="2"/>
  <c r="AT429" i="20" s="1"/>
  <c r="AF225" i="2"/>
  <c r="AR429" i="20" s="1"/>
  <c r="AE225" i="2"/>
  <c r="AD225" i="2"/>
  <c r="AN429" i="20" s="1"/>
  <c r="AC225" i="2"/>
  <c r="AB225" i="2"/>
  <c r="AO224" i="2"/>
  <c r="BF224" i="2" s="1"/>
  <c r="AN224" i="2"/>
  <c r="BE224" i="2" s="1"/>
  <c r="AM224" i="2"/>
  <c r="BD224" i="2" s="1"/>
  <c r="AL224" i="2"/>
  <c r="BC224" i="2" s="1"/>
  <c r="AK224" i="2"/>
  <c r="BB224" i="2" s="1"/>
  <c r="AJ224" i="2"/>
  <c r="BA224" i="2" s="1"/>
  <c r="AI224" i="2"/>
  <c r="AZ224" i="2" s="1"/>
  <c r="AH224" i="2"/>
  <c r="AY224" i="2" s="1"/>
  <c r="AG224" i="2"/>
  <c r="AF224" i="2"/>
  <c r="AR425" i="20" s="1"/>
  <c r="AE224" i="2"/>
  <c r="AP425" i="20" s="1"/>
  <c r="AD224" i="2"/>
  <c r="AN425" i="20" s="1"/>
  <c r="AC224" i="2"/>
  <c r="AB224" i="2"/>
  <c r="AO223" i="2"/>
  <c r="BF223" i="2" s="1"/>
  <c r="AN223" i="2"/>
  <c r="BE223" i="2" s="1"/>
  <c r="AM223" i="2"/>
  <c r="BD223" i="2" s="1"/>
  <c r="AL223" i="2"/>
  <c r="BC223" i="2" s="1"/>
  <c r="AK223" i="2"/>
  <c r="BB223" i="2" s="1"/>
  <c r="AJ223" i="2"/>
  <c r="BA223" i="2" s="1"/>
  <c r="AI223" i="2"/>
  <c r="AZ223" i="2" s="1"/>
  <c r="AH223" i="2"/>
  <c r="AY223" i="2" s="1"/>
  <c r="AG223" i="2"/>
  <c r="AF223" i="2"/>
  <c r="AR424" i="20" s="1"/>
  <c r="AE223" i="2"/>
  <c r="AD223" i="2"/>
  <c r="AN424" i="20" s="1"/>
  <c r="AC223" i="2"/>
  <c r="AB223" i="2"/>
  <c r="AO222" i="2"/>
  <c r="BF222" i="2" s="1"/>
  <c r="AN222" i="2"/>
  <c r="BE222" i="2" s="1"/>
  <c r="AM222" i="2"/>
  <c r="BD222" i="2" s="1"/>
  <c r="AL222" i="2"/>
  <c r="BC222" i="2" s="1"/>
  <c r="AK222" i="2"/>
  <c r="BB222" i="2" s="1"/>
  <c r="AJ222" i="2"/>
  <c r="BA222" i="2" s="1"/>
  <c r="AI222" i="2"/>
  <c r="AZ222" i="2" s="1"/>
  <c r="AH222" i="2"/>
  <c r="AY222" i="2" s="1"/>
  <c r="AG222" i="2"/>
  <c r="AF222" i="2"/>
  <c r="AR423" i="20" s="1"/>
  <c r="AE222" i="2"/>
  <c r="AP423" i="20" s="1"/>
  <c r="AD222" i="2"/>
  <c r="AN423" i="20" s="1"/>
  <c r="AC222" i="2"/>
  <c r="AB222" i="2"/>
  <c r="AO221" i="2"/>
  <c r="BF221" i="2" s="1"/>
  <c r="AN221" i="2"/>
  <c r="BE221" i="2" s="1"/>
  <c r="AM221" i="2"/>
  <c r="BD221" i="2" s="1"/>
  <c r="AL221" i="2"/>
  <c r="BC221" i="2" s="1"/>
  <c r="AK221" i="2"/>
  <c r="BB221" i="2" s="1"/>
  <c r="AJ221" i="2"/>
  <c r="BA221" i="2" s="1"/>
  <c r="AI221" i="2"/>
  <c r="AZ221" i="2" s="1"/>
  <c r="AH221" i="2"/>
  <c r="AY221" i="2" s="1"/>
  <c r="AG221" i="2"/>
  <c r="AT422" i="20" s="1"/>
  <c r="AF221" i="2"/>
  <c r="AR422" i="20" s="1"/>
  <c r="AE221" i="2"/>
  <c r="AD221" i="2"/>
  <c r="AN422" i="20" s="1"/>
  <c r="AC221" i="2"/>
  <c r="AB221" i="2"/>
  <c r="AO220" i="2"/>
  <c r="BF220" i="2" s="1"/>
  <c r="AN220" i="2"/>
  <c r="BE220" i="2" s="1"/>
  <c r="AM220" i="2"/>
  <c r="BD220" i="2" s="1"/>
  <c r="AL220" i="2"/>
  <c r="BC220" i="2" s="1"/>
  <c r="AK220" i="2"/>
  <c r="BB220" i="2" s="1"/>
  <c r="AJ220" i="2"/>
  <c r="BA220" i="2" s="1"/>
  <c r="AI220" i="2"/>
  <c r="AZ220" i="2" s="1"/>
  <c r="AH220" i="2"/>
  <c r="AY220" i="2" s="1"/>
  <c r="AG220" i="2"/>
  <c r="AF220" i="2"/>
  <c r="AR419" i="20" s="1"/>
  <c r="AE220" i="2"/>
  <c r="AP419" i="20" s="1"/>
  <c r="AD220" i="2"/>
  <c r="AC220" i="2"/>
  <c r="AB220" i="2"/>
  <c r="AO219" i="2"/>
  <c r="BF219" i="2" s="1"/>
  <c r="AN219" i="2"/>
  <c r="BE219" i="2" s="1"/>
  <c r="AM219" i="2"/>
  <c r="BD219" i="2" s="1"/>
  <c r="AL219" i="2"/>
  <c r="BC219" i="2" s="1"/>
  <c r="AK219" i="2"/>
  <c r="BB219" i="2" s="1"/>
  <c r="AJ219" i="2"/>
  <c r="BA219" i="2" s="1"/>
  <c r="AI219" i="2"/>
  <c r="AZ219" i="2" s="1"/>
  <c r="AH219" i="2"/>
  <c r="AY219" i="2" s="1"/>
  <c r="AG219" i="2"/>
  <c r="AT490" i="20" s="1"/>
  <c r="AF219" i="2"/>
  <c r="AR490" i="20" s="1"/>
  <c r="AE219" i="2"/>
  <c r="AD219" i="2"/>
  <c r="AC219" i="2"/>
  <c r="AB219" i="2"/>
  <c r="AO218" i="2"/>
  <c r="BF218" i="2" s="1"/>
  <c r="AN218" i="2"/>
  <c r="BE218" i="2" s="1"/>
  <c r="AM218" i="2"/>
  <c r="BD218" i="2" s="1"/>
  <c r="AL218" i="2"/>
  <c r="BC218" i="2" s="1"/>
  <c r="AK218" i="2"/>
  <c r="BB218" i="2" s="1"/>
  <c r="AJ218" i="2"/>
  <c r="BA218" i="2" s="1"/>
  <c r="AI218" i="2"/>
  <c r="AZ218" i="2" s="1"/>
  <c r="AH218" i="2"/>
  <c r="AY218" i="2" s="1"/>
  <c r="AG218" i="2"/>
  <c r="AF218" i="2"/>
  <c r="AR491" i="20" s="1"/>
  <c r="AE218" i="2"/>
  <c r="AP491" i="20" s="1"/>
  <c r="AD218" i="2"/>
  <c r="AC218" i="2"/>
  <c r="AB218" i="2"/>
  <c r="AO217" i="2"/>
  <c r="BF217" i="2" s="1"/>
  <c r="AN217" i="2"/>
  <c r="BE217" i="2" s="1"/>
  <c r="AM217" i="2"/>
  <c r="BD217" i="2" s="1"/>
  <c r="AL217" i="2"/>
  <c r="BC217" i="2" s="1"/>
  <c r="AK217" i="2"/>
  <c r="BB217" i="2" s="1"/>
  <c r="AJ217" i="2"/>
  <c r="BA217" i="2" s="1"/>
  <c r="AI217" i="2"/>
  <c r="AZ217" i="2" s="1"/>
  <c r="AH217" i="2"/>
  <c r="AY217" i="2" s="1"/>
  <c r="AG217" i="2"/>
  <c r="AF217" i="2"/>
  <c r="AE217" i="2"/>
  <c r="AD217" i="2"/>
  <c r="AC217" i="2"/>
  <c r="AB217" i="2"/>
  <c r="AO216" i="2"/>
  <c r="BF216" i="2" s="1"/>
  <c r="AN216" i="2"/>
  <c r="BE216" i="2" s="1"/>
  <c r="AM216" i="2"/>
  <c r="BD216" i="2" s="1"/>
  <c r="AL216" i="2"/>
  <c r="BC216" i="2" s="1"/>
  <c r="AK216" i="2"/>
  <c r="BB216" i="2" s="1"/>
  <c r="AJ216" i="2"/>
  <c r="BA216" i="2" s="1"/>
  <c r="AI216" i="2"/>
  <c r="AZ216" i="2" s="1"/>
  <c r="AH216" i="2"/>
  <c r="AY216" i="2" s="1"/>
  <c r="AG216" i="2"/>
  <c r="AT414" i="20" s="1"/>
  <c r="AF216" i="2"/>
  <c r="AR414" i="20" s="1"/>
  <c r="AE216" i="2"/>
  <c r="AD216" i="2"/>
  <c r="AC216" i="2"/>
  <c r="AB216" i="2"/>
  <c r="AO215" i="2"/>
  <c r="BF215" i="2" s="1"/>
  <c r="AN215" i="2"/>
  <c r="BE215" i="2" s="1"/>
  <c r="AM215" i="2"/>
  <c r="BD215" i="2" s="1"/>
  <c r="AL215" i="2"/>
  <c r="BC215" i="2" s="1"/>
  <c r="AK215" i="2"/>
  <c r="BB215" i="2" s="1"/>
  <c r="AJ215" i="2"/>
  <c r="BA215" i="2" s="1"/>
  <c r="AI215" i="2"/>
  <c r="AZ215" i="2" s="1"/>
  <c r="AH215" i="2"/>
  <c r="AY215" i="2" s="1"/>
  <c r="AG215" i="2"/>
  <c r="AF215" i="2"/>
  <c r="AR413" i="20" s="1"/>
  <c r="AE215" i="2"/>
  <c r="AP413" i="20" s="1"/>
  <c r="AD215" i="2"/>
  <c r="AN413" i="20" s="1"/>
  <c r="AC215" i="2"/>
  <c r="AB215" i="2"/>
  <c r="AO214" i="2"/>
  <c r="BF214" i="2" s="1"/>
  <c r="AN214" i="2"/>
  <c r="BE214" i="2" s="1"/>
  <c r="AM214" i="2"/>
  <c r="BD214" i="2" s="1"/>
  <c r="AL214" i="2"/>
  <c r="BC214" i="2" s="1"/>
  <c r="AK214" i="2"/>
  <c r="BB214" i="2" s="1"/>
  <c r="AJ214" i="2"/>
  <c r="BA214" i="2" s="1"/>
  <c r="AI214" i="2"/>
  <c r="AZ214" i="2" s="1"/>
  <c r="AH214" i="2"/>
  <c r="AY214" i="2" s="1"/>
  <c r="AG214" i="2"/>
  <c r="AF214" i="2"/>
  <c r="AR408" i="20" s="1"/>
  <c r="AE214" i="2"/>
  <c r="AD214" i="2"/>
  <c r="AC214" i="2"/>
  <c r="AB214" i="2"/>
  <c r="AO213" i="2"/>
  <c r="BF213" i="2" s="1"/>
  <c r="AN213" i="2"/>
  <c r="BE213" i="2" s="1"/>
  <c r="AM213" i="2"/>
  <c r="BD213" i="2" s="1"/>
  <c r="AL213" i="2"/>
  <c r="BC213" i="2" s="1"/>
  <c r="AK213" i="2"/>
  <c r="BB213" i="2" s="1"/>
  <c r="AJ213" i="2"/>
  <c r="BA213" i="2" s="1"/>
  <c r="AI213" i="2"/>
  <c r="AZ213" i="2" s="1"/>
  <c r="AH213" i="2"/>
  <c r="AY213" i="2" s="1"/>
  <c r="AG213" i="2"/>
  <c r="AF213" i="2"/>
  <c r="AR407" i="20" s="1"/>
  <c r="AE213" i="2"/>
  <c r="AD213" i="2"/>
  <c r="AN407" i="20" s="1"/>
  <c r="AC213" i="2"/>
  <c r="AB213" i="2"/>
  <c r="AO212" i="2"/>
  <c r="BF212" i="2" s="1"/>
  <c r="AN212" i="2"/>
  <c r="BE212" i="2" s="1"/>
  <c r="AM212" i="2"/>
  <c r="BD212" i="2" s="1"/>
  <c r="AL212" i="2"/>
  <c r="BC212" i="2" s="1"/>
  <c r="AK212" i="2"/>
  <c r="BB212" i="2" s="1"/>
  <c r="AJ212" i="2"/>
  <c r="BA212" i="2" s="1"/>
  <c r="AI212" i="2"/>
  <c r="AZ212" i="2" s="1"/>
  <c r="AH212" i="2"/>
  <c r="AY212" i="2" s="1"/>
  <c r="AG212" i="2"/>
  <c r="AF212" i="2"/>
  <c r="AE212" i="2"/>
  <c r="AD212" i="2"/>
  <c r="AC212" i="2"/>
  <c r="AB212" i="2"/>
  <c r="AO211" i="2"/>
  <c r="BF211" i="2" s="1"/>
  <c r="AN211" i="2"/>
  <c r="BE211" i="2" s="1"/>
  <c r="AM211" i="2"/>
  <c r="BD211" i="2" s="1"/>
  <c r="AL211" i="2"/>
  <c r="BC211" i="2" s="1"/>
  <c r="AK211" i="2"/>
  <c r="BB211" i="2" s="1"/>
  <c r="AJ211" i="2"/>
  <c r="BA211" i="2" s="1"/>
  <c r="AI211" i="2"/>
  <c r="AZ211" i="2" s="1"/>
  <c r="AH211" i="2"/>
  <c r="AY211" i="2" s="1"/>
  <c r="AG211" i="2"/>
  <c r="AF211" i="2"/>
  <c r="AE211" i="2"/>
  <c r="AD211" i="2"/>
  <c r="AC211" i="2"/>
  <c r="AB211" i="2"/>
  <c r="AO210" i="2"/>
  <c r="BF210" i="2" s="1"/>
  <c r="AN210" i="2"/>
  <c r="BE210" i="2" s="1"/>
  <c r="AM210" i="2"/>
  <c r="BD210" i="2" s="1"/>
  <c r="AL210" i="2"/>
  <c r="BC210" i="2" s="1"/>
  <c r="AK210" i="2"/>
  <c r="BB210" i="2" s="1"/>
  <c r="AJ210" i="2"/>
  <c r="BA210" i="2" s="1"/>
  <c r="AI210" i="2"/>
  <c r="AZ210" i="2" s="1"/>
  <c r="AH210" i="2"/>
  <c r="AY210" i="2" s="1"/>
  <c r="AG210" i="2"/>
  <c r="AF210" i="2"/>
  <c r="AR387" i="20" s="1"/>
  <c r="AE210" i="2"/>
  <c r="AD210" i="2"/>
  <c r="AC210" i="2"/>
  <c r="AB210" i="2"/>
  <c r="AO209" i="2"/>
  <c r="BF209" i="2" s="1"/>
  <c r="AN209" i="2"/>
  <c r="BE209" i="2" s="1"/>
  <c r="AM209" i="2"/>
  <c r="BD209" i="2" s="1"/>
  <c r="AL209" i="2"/>
  <c r="BC209" i="2" s="1"/>
  <c r="AK209" i="2"/>
  <c r="BB209" i="2" s="1"/>
  <c r="AJ209" i="2"/>
  <c r="BA209" i="2" s="1"/>
  <c r="AI209" i="2"/>
  <c r="AZ209" i="2" s="1"/>
  <c r="AH209" i="2"/>
  <c r="AY209" i="2" s="1"/>
  <c r="AG209" i="2"/>
  <c r="AT386" i="20" s="1"/>
  <c r="AF209" i="2"/>
  <c r="AE209" i="2"/>
  <c r="AD209" i="2"/>
  <c r="AN386" i="20" s="1"/>
  <c r="AC209" i="2"/>
  <c r="AB209" i="2"/>
  <c r="AO208" i="2"/>
  <c r="BF208" i="2" s="1"/>
  <c r="AN208" i="2"/>
  <c r="BE208" i="2" s="1"/>
  <c r="AM208" i="2"/>
  <c r="BD208" i="2" s="1"/>
  <c r="AL208" i="2"/>
  <c r="BC208" i="2" s="1"/>
  <c r="AK208" i="2"/>
  <c r="BB208" i="2" s="1"/>
  <c r="AJ208" i="2"/>
  <c r="BA208" i="2" s="1"/>
  <c r="AI208" i="2"/>
  <c r="AZ208" i="2" s="1"/>
  <c r="AH208" i="2"/>
  <c r="AY208" i="2" s="1"/>
  <c r="AG208" i="2"/>
  <c r="AT383" i="20" s="1"/>
  <c r="AF208" i="2"/>
  <c r="AR383" i="20" s="1"/>
  <c r="AE208" i="2"/>
  <c r="AP383" i="20" s="1"/>
  <c r="AD208" i="2"/>
  <c r="AN383" i="20" s="1"/>
  <c r="AC208" i="2"/>
  <c r="AB208" i="2"/>
  <c r="AO207" i="2"/>
  <c r="BF207" i="2" s="1"/>
  <c r="AN207" i="2"/>
  <c r="BE207" i="2" s="1"/>
  <c r="AM207" i="2"/>
  <c r="BD207" i="2" s="1"/>
  <c r="AL207" i="2"/>
  <c r="BC207" i="2" s="1"/>
  <c r="AK207" i="2"/>
  <c r="BB207" i="2" s="1"/>
  <c r="AJ207" i="2"/>
  <c r="BA207" i="2" s="1"/>
  <c r="AI207" i="2"/>
  <c r="AZ207" i="2" s="1"/>
  <c r="AH207" i="2"/>
  <c r="AY207" i="2" s="1"/>
  <c r="AG207" i="2"/>
  <c r="AT382" i="20" s="1"/>
  <c r="AF207" i="2"/>
  <c r="AE207" i="2"/>
  <c r="AD207" i="2"/>
  <c r="AN410" i="20" s="1"/>
  <c r="AC207" i="2"/>
  <c r="AB207" i="2"/>
  <c r="AO206" i="2"/>
  <c r="BF206" i="2" s="1"/>
  <c r="AN206" i="2"/>
  <c r="BE206" i="2" s="1"/>
  <c r="AM206" i="2"/>
  <c r="BD206" i="2" s="1"/>
  <c r="AL206" i="2"/>
  <c r="BC206" i="2" s="1"/>
  <c r="AK206" i="2"/>
  <c r="BB206" i="2" s="1"/>
  <c r="AJ206" i="2"/>
  <c r="BA206" i="2" s="1"/>
  <c r="AI206" i="2"/>
  <c r="AZ206" i="2" s="1"/>
  <c r="AH206" i="2"/>
  <c r="AY206" i="2" s="1"/>
  <c r="AG206" i="2"/>
  <c r="AT381" i="20" s="1"/>
  <c r="AF206" i="2"/>
  <c r="AR381" i="20" s="1"/>
  <c r="AE206" i="2"/>
  <c r="AD206" i="2"/>
  <c r="AC206" i="2"/>
  <c r="AB206" i="2"/>
  <c r="AO205" i="2"/>
  <c r="BF205" i="2" s="1"/>
  <c r="AN205" i="2"/>
  <c r="BE205" i="2" s="1"/>
  <c r="AM205" i="2"/>
  <c r="BD205" i="2" s="1"/>
  <c r="AL205" i="2"/>
  <c r="BC205" i="2" s="1"/>
  <c r="AK205" i="2"/>
  <c r="BB205" i="2" s="1"/>
  <c r="AJ205" i="2"/>
  <c r="BA205" i="2" s="1"/>
  <c r="AI205" i="2"/>
  <c r="AZ205" i="2" s="1"/>
  <c r="AH205" i="2"/>
  <c r="AY205" i="2" s="1"/>
  <c r="AG205" i="2"/>
  <c r="AT380" i="20" s="1"/>
  <c r="AF205" i="2"/>
  <c r="AE205" i="2"/>
  <c r="AP380" i="20" s="1"/>
  <c r="AD205" i="2"/>
  <c r="AN380" i="20" s="1"/>
  <c r="AC205" i="2"/>
  <c r="AB205" i="2"/>
  <c r="AO204" i="2"/>
  <c r="BF204" i="2" s="1"/>
  <c r="AN204" i="2"/>
  <c r="BE204" i="2" s="1"/>
  <c r="AM204" i="2"/>
  <c r="BD204" i="2" s="1"/>
  <c r="AL204" i="2"/>
  <c r="BC204" i="2" s="1"/>
  <c r="AK204" i="2"/>
  <c r="BB204" i="2" s="1"/>
  <c r="AJ204" i="2"/>
  <c r="BA204" i="2" s="1"/>
  <c r="AI204" i="2"/>
  <c r="AZ204" i="2" s="1"/>
  <c r="AH204" i="2"/>
  <c r="AY204" i="2" s="1"/>
  <c r="AG204" i="2"/>
  <c r="AF204" i="2"/>
  <c r="AE204" i="2"/>
  <c r="AD204" i="2"/>
  <c r="AC204" i="2"/>
  <c r="AB204" i="2"/>
  <c r="AO203" i="2"/>
  <c r="BF203" i="2" s="1"/>
  <c r="AN203" i="2"/>
  <c r="BE203" i="2" s="1"/>
  <c r="AM203" i="2"/>
  <c r="BD203" i="2" s="1"/>
  <c r="AL203" i="2"/>
  <c r="BC203" i="2" s="1"/>
  <c r="AK203" i="2"/>
  <c r="BB203" i="2" s="1"/>
  <c r="AJ203" i="2"/>
  <c r="BA203" i="2" s="1"/>
  <c r="AI203" i="2"/>
  <c r="AZ203" i="2" s="1"/>
  <c r="AH203" i="2"/>
  <c r="AY203" i="2" s="1"/>
  <c r="AG203" i="2"/>
  <c r="AT378" i="20" s="1"/>
  <c r="AF203" i="2"/>
  <c r="AE203" i="2"/>
  <c r="AP378" i="20" s="1"/>
  <c r="AD203" i="2"/>
  <c r="AN378" i="20" s="1"/>
  <c r="AC203" i="2"/>
  <c r="AB203" i="2"/>
  <c r="AO202" i="2"/>
  <c r="BF202" i="2" s="1"/>
  <c r="AN202" i="2"/>
  <c r="BE202" i="2" s="1"/>
  <c r="AM202" i="2"/>
  <c r="BD202" i="2" s="1"/>
  <c r="AL202" i="2"/>
  <c r="BC202" i="2" s="1"/>
  <c r="AK202" i="2"/>
  <c r="BB202" i="2" s="1"/>
  <c r="AJ202" i="2"/>
  <c r="BA202" i="2" s="1"/>
  <c r="AI202" i="2"/>
  <c r="AZ202" i="2" s="1"/>
  <c r="AH202" i="2"/>
  <c r="AY202" i="2" s="1"/>
  <c r="AG202" i="2"/>
  <c r="AT377" i="20" s="1"/>
  <c r="AF202" i="2"/>
  <c r="AR377" i="20" s="1"/>
  <c r="AE202" i="2"/>
  <c r="AP377" i="20" s="1"/>
  <c r="AD202" i="2"/>
  <c r="AC202" i="2"/>
  <c r="AB202" i="2"/>
  <c r="AO201" i="2"/>
  <c r="BF201" i="2" s="1"/>
  <c r="AN201" i="2"/>
  <c r="BE201" i="2" s="1"/>
  <c r="AM201" i="2"/>
  <c r="BD201" i="2" s="1"/>
  <c r="AL201" i="2"/>
  <c r="BC201" i="2" s="1"/>
  <c r="AK201" i="2"/>
  <c r="BB201" i="2" s="1"/>
  <c r="AJ201" i="2"/>
  <c r="BA201" i="2" s="1"/>
  <c r="AI201" i="2"/>
  <c r="AZ201" i="2" s="1"/>
  <c r="AH201" i="2"/>
  <c r="AY201" i="2" s="1"/>
  <c r="AG201" i="2"/>
  <c r="AT376" i="20" s="1"/>
  <c r="AF201" i="2"/>
  <c r="AE201" i="2"/>
  <c r="AP376" i="20" s="1"/>
  <c r="AD201" i="2"/>
  <c r="AN376" i="20" s="1"/>
  <c r="AC201" i="2"/>
  <c r="AB201" i="2"/>
  <c r="AO200" i="2"/>
  <c r="BF200" i="2" s="1"/>
  <c r="AN200" i="2"/>
  <c r="BE200" i="2" s="1"/>
  <c r="AM200" i="2"/>
  <c r="BD200" i="2" s="1"/>
  <c r="AL200" i="2"/>
  <c r="BC200" i="2" s="1"/>
  <c r="AK200" i="2"/>
  <c r="BB200" i="2" s="1"/>
  <c r="AJ200" i="2"/>
  <c r="BA200" i="2" s="1"/>
  <c r="AI200" i="2"/>
  <c r="AZ200" i="2" s="1"/>
  <c r="AH200" i="2"/>
  <c r="AY200" i="2" s="1"/>
  <c r="AG200" i="2"/>
  <c r="AT375" i="20" s="1"/>
  <c r="AF200" i="2"/>
  <c r="AR375" i="20" s="1"/>
  <c r="AE200" i="2"/>
  <c r="AD200" i="2"/>
  <c r="AC200" i="2"/>
  <c r="AB200" i="2"/>
  <c r="AO199" i="2"/>
  <c r="BF199" i="2" s="1"/>
  <c r="AN199" i="2"/>
  <c r="BE199" i="2" s="1"/>
  <c r="AM199" i="2"/>
  <c r="BD199" i="2" s="1"/>
  <c r="AL199" i="2"/>
  <c r="BC199" i="2" s="1"/>
  <c r="AK199" i="2"/>
  <c r="BB199" i="2" s="1"/>
  <c r="AJ199" i="2"/>
  <c r="BA199" i="2" s="1"/>
  <c r="AI199" i="2"/>
  <c r="AZ199" i="2" s="1"/>
  <c r="AH199" i="2"/>
  <c r="AY199" i="2" s="1"/>
  <c r="AG199" i="2"/>
  <c r="AX199" i="2" s="1"/>
  <c r="AF199" i="2"/>
  <c r="AW199" i="2" s="1"/>
  <c r="AE199" i="2"/>
  <c r="AV199" i="2" s="1"/>
  <c r="AD199" i="2"/>
  <c r="AU199" i="2" s="1"/>
  <c r="AC199" i="2"/>
  <c r="AT199" i="2" s="1"/>
  <c r="AB199" i="2"/>
  <c r="AO198" i="2"/>
  <c r="BF198" i="2" s="1"/>
  <c r="AN198" i="2"/>
  <c r="BE198" i="2" s="1"/>
  <c r="AM198" i="2"/>
  <c r="BD198" i="2" s="1"/>
  <c r="AL198" i="2"/>
  <c r="BC198" i="2" s="1"/>
  <c r="AK198" i="2"/>
  <c r="BB198" i="2" s="1"/>
  <c r="AJ198" i="2"/>
  <c r="BA198" i="2" s="1"/>
  <c r="AI198" i="2"/>
  <c r="AZ198" i="2" s="1"/>
  <c r="AH198" i="2"/>
  <c r="AY198" i="2" s="1"/>
  <c r="AG198" i="2"/>
  <c r="AX198" i="2" s="1"/>
  <c r="AF198" i="2"/>
  <c r="AW198" i="2" s="1"/>
  <c r="AE198" i="2"/>
  <c r="AV198" i="2" s="1"/>
  <c r="AD198" i="2"/>
  <c r="AU198" i="2" s="1"/>
  <c r="AC198" i="2"/>
  <c r="AT198" i="2" s="1"/>
  <c r="AB198" i="2"/>
  <c r="AO197" i="2"/>
  <c r="BF197" i="2" s="1"/>
  <c r="AN197" i="2"/>
  <c r="BE197" i="2" s="1"/>
  <c r="AM197" i="2"/>
  <c r="BD197" i="2" s="1"/>
  <c r="AL197" i="2"/>
  <c r="BC197" i="2" s="1"/>
  <c r="AK197" i="2"/>
  <c r="BB197" i="2" s="1"/>
  <c r="AJ197" i="2"/>
  <c r="BA197" i="2" s="1"/>
  <c r="AI197" i="2"/>
  <c r="AZ197" i="2" s="1"/>
  <c r="AH197" i="2"/>
  <c r="AY197" i="2" s="1"/>
  <c r="AG197" i="2"/>
  <c r="AF197" i="2"/>
  <c r="AR352" i="20" s="1"/>
  <c r="AE197" i="2"/>
  <c r="AP352" i="20" s="1"/>
  <c r="AD197" i="2"/>
  <c r="AC197" i="2"/>
  <c r="AB197" i="2"/>
  <c r="AO196" i="2"/>
  <c r="BF196" i="2" s="1"/>
  <c r="AN196" i="2"/>
  <c r="BE196" i="2" s="1"/>
  <c r="AM196" i="2"/>
  <c r="BD196" i="2" s="1"/>
  <c r="AL196" i="2"/>
  <c r="BC196" i="2" s="1"/>
  <c r="AK196" i="2"/>
  <c r="BB196" i="2" s="1"/>
  <c r="AJ196" i="2"/>
  <c r="BA196" i="2" s="1"/>
  <c r="AI196" i="2"/>
  <c r="AZ196" i="2" s="1"/>
  <c r="AH196" i="2"/>
  <c r="AY196" i="2" s="1"/>
  <c r="AG196" i="2"/>
  <c r="AT351" i="20" s="1"/>
  <c r="AF196" i="2"/>
  <c r="AE196" i="2"/>
  <c r="AD196" i="2"/>
  <c r="AC196" i="2"/>
  <c r="AB196" i="2"/>
  <c r="AO195" i="2"/>
  <c r="BF195" i="2" s="1"/>
  <c r="AN195" i="2"/>
  <c r="BE195" i="2" s="1"/>
  <c r="AM195" i="2"/>
  <c r="BD195" i="2" s="1"/>
  <c r="AL195" i="2"/>
  <c r="BC195" i="2" s="1"/>
  <c r="AK195" i="2"/>
  <c r="BB195" i="2" s="1"/>
  <c r="AJ195" i="2"/>
  <c r="BA195" i="2" s="1"/>
  <c r="AI195" i="2"/>
  <c r="AZ195" i="2" s="1"/>
  <c r="AH195" i="2"/>
  <c r="AY195" i="2" s="1"/>
  <c r="AG195" i="2"/>
  <c r="AF195" i="2"/>
  <c r="AE195" i="2"/>
  <c r="AP348" i="20" s="1"/>
  <c r="AD195" i="2"/>
  <c r="AN348" i="20" s="1"/>
  <c r="AC195" i="2"/>
  <c r="AB195" i="2"/>
  <c r="AO194" i="2"/>
  <c r="BF194" i="2" s="1"/>
  <c r="AN194" i="2"/>
  <c r="BE194" i="2" s="1"/>
  <c r="AM194" i="2"/>
  <c r="BD194" i="2" s="1"/>
  <c r="AL194" i="2"/>
  <c r="BC194" i="2" s="1"/>
  <c r="AK194" i="2"/>
  <c r="BB194" i="2" s="1"/>
  <c r="AJ194" i="2"/>
  <c r="BA194" i="2" s="1"/>
  <c r="AI194" i="2"/>
  <c r="AZ194" i="2" s="1"/>
  <c r="AH194" i="2"/>
  <c r="AY194" i="2" s="1"/>
  <c r="AG194" i="2"/>
  <c r="AF194" i="2"/>
  <c r="AE194" i="2"/>
  <c r="AD194" i="2"/>
  <c r="AN345" i="20" s="1"/>
  <c r="AC194" i="2"/>
  <c r="AB194" i="2"/>
  <c r="AO193" i="2"/>
  <c r="BF193" i="2" s="1"/>
  <c r="AN193" i="2"/>
  <c r="BE193" i="2" s="1"/>
  <c r="AM193" i="2"/>
  <c r="BD193" i="2" s="1"/>
  <c r="AL193" i="2"/>
  <c r="BC193" i="2" s="1"/>
  <c r="AK193" i="2"/>
  <c r="BB193" i="2" s="1"/>
  <c r="AJ193" i="2"/>
  <c r="BA193" i="2" s="1"/>
  <c r="AI193" i="2"/>
  <c r="AZ193" i="2" s="1"/>
  <c r="AH193" i="2"/>
  <c r="AY193" i="2" s="1"/>
  <c r="AG193" i="2"/>
  <c r="AF193" i="2"/>
  <c r="AE193" i="2"/>
  <c r="AP343" i="20" s="1"/>
  <c r="AD193" i="2"/>
  <c r="AN343" i="20" s="1"/>
  <c r="AC193" i="2"/>
  <c r="AB193" i="2"/>
  <c r="AO192" i="2"/>
  <c r="BF192" i="2" s="1"/>
  <c r="AN192" i="2"/>
  <c r="BE192" i="2" s="1"/>
  <c r="AM192" i="2"/>
  <c r="BD192" i="2" s="1"/>
  <c r="AL192" i="2"/>
  <c r="BC192" i="2" s="1"/>
  <c r="AK192" i="2"/>
  <c r="BB192" i="2" s="1"/>
  <c r="AJ192" i="2"/>
  <c r="BA192" i="2" s="1"/>
  <c r="AI192" i="2"/>
  <c r="AZ192" i="2" s="1"/>
  <c r="AH192" i="2"/>
  <c r="AY192" i="2" s="1"/>
  <c r="AG192" i="2"/>
  <c r="AT409" i="20" s="1"/>
  <c r="AF192" i="2"/>
  <c r="AE192" i="2"/>
  <c r="AD192" i="2"/>
  <c r="AC192" i="2"/>
  <c r="AB192" i="2"/>
  <c r="AO191" i="2"/>
  <c r="BF191" i="2" s="1"/>
  <c r="AN191" i="2"/>
  <c r="BE191" i="2" s="1"/>
  <c r="AM191" i="2"/>
  <c r="BD191" i="2" s="1"/>
  <c r="AL191" i="2"/>
  <c r="BC191" i="2" s="1"/>
  <c r="AK191" i="2"/>
  <c r="BB191" i="2" s="1"/>
  <c r="AJ191" i="2"/>
  <c r="BA191" i="2" s="1"/>
  <c r="AI191" i="2"/>
  <c r="AZ191" i="2" s="1"/>
  <c r="AH191" i="2"/>
  <c r="AY191" i="2" s="1"/>
  <c r="AG191" i="2"/>
  <c r="AF191" i="2"/>
  <c r="AR341" i="20" s="1"/>
  <c r="AE191" i="2"/>
  <c r="AP341" i="20" s="1"/>
  <c r="AD191" i="2"/>
  <c r="AC191" i="2"/>
  <c r="AB191" i="2"/>
  <c r="AO190" i="2"/>
  <c r="BF190" i="2" s="1"/>
  <c r="AN190" i="2"/>
  <c r="BE190" i="2" s="1"/>
  <c r="AM190" i="2"/>
  <c r="BD190" i="2" s="1"/>
  <c r="AL190" i="2"/>
  <c r="BC190" i="2" s="1"/>
  <c r="AK190" i="2"/>
  <c r="BB190" i="2" s="1"/>
  <c r="AJ190" i="2"/>
  <c r="BA190" i="2" s="1"/>
  <c r="AI190" i="2"/>
  <c r="AZ190" i="2" s="1"/>
  <c r="AH190" i="2"/>
  <c r="AY190" i="2" s="1"/>
  <c r="AG190" i="2"/>
  <c r="AF190" i="2"/>
  <c r="AE190" i="2"/>
  <c r="AD190" i="2"/>
  <c r="AC190" i="2"/>
  <c r="AB190" i="2"/>
  <c r="AO189" i="2"/>
  <c r="BF189" i="2" s="1"/>
  <c r="AN189" i="2"/>
  <c r="BE189" i="2" s="1"/>
  <c r="AM189" i="2"/>
  <c r="BD189" i="2" s="1"/>
  <c r="AL189" i="2"/>
  <c r="BC189" i="2" s="1"/>
  <c r="AK189" i="2"/>
  <c r="BB189" i="2" s="1"/>
  <c r="AJ189" i="2"/>
  <c r="BA189" i="2" s="1"/>
  <c r="AI189" i="2"/>
  <c r="AZ189" i="2" s="1"/>
  <c r="AH189" i="2"/>
  <c r="AY189" i="2" s="1"/>
  <c r="AG189" i="2"/>
  <c r="AF189" i="2"/>
  <c r="AE189" i="2"/>
  <c r="AD189" i="2"/>
  <c r="AC189" i="2"/>
  <c r="AB189" i="2"/>
  <c r="AO188" i="2"/>
  <c r="BF188" i="2" s="1"/>
  <c r="AN188" i="2"/>
  <c r="BE188" i="2" s="1"/>
  <c r="AM188" i="2"/>
  <c r="BD188" i="2" s="1"/>
  <c r="AL188" i="2"/>
  <c r="BC188" i="2" s="1"/>
  <c r="AK188" i="2"/>
  <c r="BB188" i="2" s="1"/>
  <c r="AJ188" i="2"/>
  <c r="BA188" i="2" s="1"/>
  <c r="AI188" i="2"/>
  <c r="AZ188" i="2" s="1"/>
  <c r="AH188" i="2"/>
  <c r="AY188" i="2" s="1"/>
  <c r="AG188" i="2"/>
  <c r="AF188" i="2"/>
  <c r="AE188" i="2"/>
  <c r="AD188" i="2"/>
  <c r="AN339" i="20" s="1"/>
  <c r="AC188" i="2"/>
  <c r="AB188" i="2"/>
  <c r="AO187" i="2"/>
  <c r="BF187" i="2" s="1"/>
  <c r="AN187" i="2"/>
  <c r="BE187" i="2" s="1"/>
  <c r="AM187" i="2"/>
  <c r="BD187" i="2" s="1"/>
  <c r="AL187" i="2"/>
  <c r="BC187" i="2" s="1"/>
  <c r="AK187" i="2"/>
  <c r="BB187" i="2" s="1"/>
  <c r="AJ187" i="2"/>
  <c r="BA187" i="2" s="1"/>
  <c r="AI187" i="2"/>
  <c r="AZ187" i="2" s="1"/>
  <c r="AH187" i="2"/>
  <c r="AY187" i="2" s="1"/>
  <c r="AG187" i="2"/>
  <c r="AF187" i="2"/>
  <c r="AE187" i="2"/>
  <c r="AP338" i="20" s="1"/>
  <c r="AD187" i="2"/>
  <c r="AC187" i="2"/>
  <c r="AB187" i="2"/>
  <c r="AO186" i="2"/>
  <c r="BF186" i="2" s="1"/>
  <c r="AN186" i="2"/>
  <c r="BE186" i="2" s="1"/>
  <c r="AM186" i="2"/>
  <c r="BD186" i="2" s="1"/>
  <c r="AL186" i="2"/>
  <c r="BC186" i="2" s="1"/>
  <c r="AK186" i="2"/>
  <c r="BB186" i="2" s="1"/>
  <c r="AJ186" i="2"/>
  <c r="BA186" i="2" s="1"/>
  <c r="AI186" i="2"/>
  <c r="AZ186" i="2" s="1"/>
  <c r="AH186" i="2"/>
  <c r="AY186" i="2" s="1"/>
  <c r="AG186" i="2"/>
  <c r="AX186" i="2" s="1"/>
  <c r="AF186" i="2"/>
  <c r="AW186" i="2" s="1"/>
  <c r="AE186" i="2"/>
  <c r="AV186" i="2" s="1"/>
  <c r="AD186" i="2"/>
  <c r="AU186" i="2" s="1"/>
  <c r="AC186" i="2"/>
  <c r="AT186" i="2" s="1"/>
  <c r="AB186" i="2"/>
  <c r="AO185" i="2"/>
  <c r="BF185" i="2" s="1"/>
  <c r="AN185" i="2"/>
  <c r="BE185" i="2" s="1"/>
  <c r="AM185" i="2"/>
  <c r="BD185" i="2" s="1"/>
  <c r="AL185" i="2"/>
  <c r="BC185" i="2" s="1"/>
  <c r="AK185" i="2"/>
  <c r="BB185" i="2" s="1"/>
  <c r="AJ185" i="2"/>
  <c r="BA185" i="2" s="1"/>
  <c r="AI185" i="2"/>
  <c r="AZ185" i="2" s="1"/>
  <c r="AH185" i="2"/>
  <c r="AY185" i="2" s="1"/>
  <c r="AG185" i="2"/>
  <c r="AF185" i="2"/>
  <c r="AE185" i="2"/>
  <c r="AD185" i="2"/>
  <c r="AC185" i="2"/>
  <c r="AB185" i="2"/>
  <c r="AO184" i="2"/>
  <c r="BF184" i="2" s="1"/>
  <c r="AN184" i="2"/>
  <c r="BE184" i="2" s="1"/>
  <c r="AM184" i="2"/>
  <c r="BD184" i="2" s="1"/>
  <c r="AL184" i="2"/>
  <c r="BC184" i="2" s="1"/>
  <c r="AK184" i="2"/>
  <c r="BB184" i="2" s="1"/>
  <c r="AJ184" i="2"/>
  <c r="BA184" i="2" s="1"/>
  <c r="AI184" i="2"/>
  <c r="AZ184" i="2" s="1"/>
  <c r="AH184" i="2"/>
  <c r="AY184" i="2" s="1"/>
  <c r="AG184" i="2"/>
  <c r="AX184" i="2" s="1"/>
  <c r="AF184" i="2"/>
  <c r="AW184" i="2" s="1"/>
  <c r="AE184" i="2"/>
  <c r="AV184" i="2" s="1"/>
  <c r="AD184" i="2"/>
  <c r="AU184" i="2" s="1"/>
  <c r="AC184" i="2"/>
  <c r="AT184" i="2" s="1"/>
  <c r="AB184" i="2"/>
  <c r="AO183" i="2"/>
  <c r="BF183" i="2" s="1"/>
  <c r="AN183" i="2"/>
  <c r="BE183" i="2" s="1"/>
  <c r="AM183" i="2"/>
  <c r="BD183" i="2" s="1"/>
  <c r="AL183" i="2"/>
  <c r="BC183" i="2" s="1"/>
  <c r="AK183" i="2"/>
  <c r="BB183" i="2" s="1"/>
  <c r="AJ183" i="2"/>
  <c r="BA183" i="2" s="1"/>
  <c r="AI183" i="2"/>
  <c r="AZ183" i="2" s="1"/>
  <c r="AH183" i="2"/>
  <c r="AY183" i="2" s="1"/>
  <c r="AG183" i="2"/>
  <c r="AF183" i="2"/>
  <c r="AE183" i="2"/>
  <c r="AD183" i="2"/>
  <c r="AC183" i="2"/>
  <c r="AB183" i="2"/>
  <c r="AO182" i="2"/>
  <c r="BF182" i="2" s="1"/>
  <c r="AN182" i="2"/>
  <c r="BE182" i="2" s="1"/>
  <c r="AM182" i="2"/>
  <c r="BD182" i="2" s="1"/>
  <c r="AL182" i="2"/>
  <c r="BC182" i="2" s="1"/>
  <c r="AK182" i="2"/>
  <c r="BB182" i="2" s="1"/>
  <c r="AJ182" i="2"/>
  <c r="BA182" i="2" s="1"/>
  <c r="AI182" i="2"/>
  <c r="AZ182" i="2" s="1"/>
  <c r="AH182" i="2"/>
  <c r="AY182" i="2" s="1"/>
  <c r="AG182" i="2"/>
  <c r="AX182" i="2" s="1"/>
  <c r="AF182" i="2"/>
  <c r="AW182" i="2" s="1"/>
  <c r="AE182" i="2"/>
  <c r="AV182" i="2" s="1"/>
  <c r="AD182" i="2"/>
  <c r="AU182" i="2" s="1"/>
  <c r="AC182" i="2"/>
  <c r="AT182" i="2" s="1"/>
  <c r="AB182" i="2"/>
  <c r="AO181" i="2"/>
  <c r="BF181" i="2" s="1"/>
  <c r="AN181" i="2"/>
  <c r="BE181" i="2" s="1"/>
  <c r="AM181" i="2"/>
  <c r="BD181" i="2" s="1"/>
  <c r="AL181" i="2"/>
  <c r="BC181" i="2" s="1"/>
  <c r="AK181" i="2"/>
  <c r="BB181" i="2" s="1"/>
  <c r="AJ181" i="2"/>
  <c r="BA181" i="2" s="1"/>
  <c r="AI181" i="2"/>
  <c r="AZ181" i="2" s="1"/>
  <c r="AH181" i="2"/>
  <c r="AY181" i="2" s="1"/>
  <c r="AG181" i="2"/>
  <c r="AX181" i="2" s="1"/>
  <c r="AF181" i="2"/>
  <c r="AW181" i="2" s="1"/>
  <c r="AE181" i="2"/>
  <c r="AV181" i="2" s="1"/>
  <c r="AD181" i="2"/>
  <c r="AU181" i="2" s="1"/>
  <c r="AC181" i="2"/>
  <c r="AT181" i="2" s="1"/>
  <c r="AB181" i="2"/>
  <c r="AO180" i="2"/>
  <c r="BF180" i="2" s="1"/>
  <c r="AN180" i="2"/>
  <c r="BE180" i="2" s="1"/>
  <c r="AM180" i="2"/>
  <c r="BD180" i="2" s="1"/>
  <c r="AL180" i="2"/>
  <c r="BC180" i="2" s="1"/>
  <c r="AK180" i="2"/>
  <c r="BB180" i="2" s="1"/>
  <c r="AJ180" i="2"/>
  <c r="BA180" i="2" s="1"/>
  <c r="AI180" i="2"/>
  <c r="AZ180" i="2" s="1"/>
  <c r="AH180" i="2"/>
  <c r="AY180" i="2" s="1"/>
  <c r="AG180" i="2"/>
  <c r="AX180" i="2" s="1"/>
  <c r="AF180" i="2"/>
  <c r="AW180" i="2" s="1"/>
  <c r="AE180" i="2"/>
  <c r="AV180" i="2" s="1"/>
  <c r="AD180" i="2"/>
  <c r="AU180" i="2" s="1"/>
  <c r="AC180" i="2"/>
  <c r="AT180" i="2" s="1"/>
  <c r="AB180" i="2"/>
  <c r="AO179" i="2"/>
  <c r="BF179" i="2" s="1"/>
  <c r="AN179" i="2"/>
  <c r="BE179" i="2" s="1"/>
  <c r="AM179" i="2"/>
  <c r="BD179" i="2" s="1"/>
  <c r="AL179" i="2"/>
  <c r="BC179" i="2" s="1"/>
  <c r="AK179" i="2"/>
  <c r="BB179" i="2" s="1"/>
  <c r="AJ179" i="2"/>
  <c r="BA179" i="2" s="1"/>
  <c r="AI179" i="2"/>
  <c r="AZ179" i="2" s="1"/>
  <c r="AH179" i="2"/>
  <c r="AY179" i="2" s="1"/>
  <c r="AG179" i="2"/>
  <c r="AF179" i="2"/>
  <c r="AQ307" i="20" s="1"/>
  <c r="AE179" i="2"/>
  <c r="AD179" i="2"/>
  <c r="AC179" i="2"/>
  <c r="AB179" i="2"/>
  <c r="AO178" i="2"/>
  <c r="BF178" i="2" s="1"/>
  <c r="AN178" i="2"/>
  <c r="BE178" i="2" s="1"/>
  <c r="AM178" i="2"/>
  <c r="BD178" i="2" s="1"/>
  <c r="AL178" i="2"/>
  <c r="BC178" i="2" s="1"/>
  <c r="AK178" i="2"/>
  <c r="BB178" i="2" s="1"/>
  <c r="AJ178" i="2"/>
  <c r="BA178" i="2" s="1"/>
  <c r="AI178" i="2"/>
  <c r="AZ178" i="2" s="1"/>
  <c r="AH178" i="2"/>
  <c r="AY178" i="2" s="1"/>
  <c r="AG178" i="2"/>
  <c r="AS311" i="20" s="1"/>
  <c r="AF178" i="2"/>
  <c r="AE178" i="2"/>
  <c r="AO311" i="20" s="1"/>
  <c r="AD178" i="2"/>
  <c r="AM311" i="20" s="1"/>
  <c r="AC178" i="2"/>
  <c r="AB178" i="2"/>
  <c r="AO177" i="2"/>
  <c r="BF177" i="2" s="1"/>
  <c r="AN177" i="2"/>
  <c r="BE177" i="2" s="1"/>
  <c r="AM177" i="2"/>
  <c r="BD177" i="2" s="1"/>
  <c r="AL177" i="2"/>
  <c r="BC177" i="2" s="1"/>
  <c r="AK177" i="2"/>
  <c r="BB177" i="2" s="1"/>
  <c r="AJ177" i="2"/>
  <c r="BA177" i="2" s="1"/>
  <c r="AI177" i="2"/>
  <c r="AZ177" i="2" s="1"/>
  <c r="AH177" i="2"/>
  <c r="AY177" i="2" s="1"/>
  <c r="AG177" i="2"/>
  <c r="AF177" i="2"/>
  <c r="AE177" i="2"/>
  <c r="AD177" i="2"/>
  <c r="AC177" i="2"/>
  <c r="AB177" i="2"/>
  <c r="AO176" i="2"/>
  <c r="BF176" i="2" s="1"/>
  <c r="AN176" i="2"/>
  <c r="BE176" i="2" s="1"/>
  <c r="AM176" i="2"/>
  <c r="BD176" i="2" s="1"/>
  <c r="AL176" i="2"/>
  <c r="BC176" i="2" s="1"/>
  <c r="AK176" i="2"/>
  <c r="BB176" i="2" s="1"/>
  <c r="AJ176" i="2"/>
  <c r="BA176" i="2" s="1"/>
  <c r="AI176" i="2"/>
  <c r="AZ176" i="2" s="1"/>
  <c r="AH176" i="2"/>
  <c r="AY176" i="2" s="1"/>
  <c r="AG176" i="2"/>
  <c r="AS304" i="20" s="1"/>
  <c r="AF176" i="2"/>
  <c r="AQ304" i="20" s="1"/>
  <c r="AE176" i="2"/>
  <c r="AD176" i="2"/>
  <c r="AM304" i="20" s="1"/>
  <c r="AC176" i="2"/>
  <c r="AB176" i="2"/>
  <c r="AO175" i="2"/>
  <c r="BF175" i="2" s="1"/>
  <c r="AN175" i="2"/>
  <c r="BE175" i="2" s="1"/>
  <c r="AM175" i="2"/>
  <c r="BD175" i="2" s="1"/>
  <c r="AL175" i="2"/>
  <c r="BC175" i="2" s="1"/>
  <c r="AK175" i="2"/>
  <c r="BB175" i="2" s="1"/>
  <c r="AJ175" i="2"/>
  <c r="BA175" i="2" s="1"/>
  <c r="AI175" i="2"/>
  <c r="AZ175" i="2" s="1"/>
  <c r="AH175" i="2"/>
  <c r="AY175" i="2" s="1"/>
  <c r="AG175" i="2"/>
  <c r="AF175" i="2"/>
  <c r="AE175" i="2"/>
  <c r="AO303" i="20" s="1"/>
  <c r="AD175" i="2"/>
  <c r="AM303" i="20" s="1"/>
  <c r="AC175" i="2"/>
  <c r="AB175" i="2"/>
  <c r="AO174" i="2"/>
  <c r="BF174" i="2" s="1"/>
  <c r="AN174" i="2"/>
  <c r="BE174" i="2" s="1"/>
  <c r="AM174" i="2"/>
  <c r="BD174" i="2" s="1"/>
  <c r="AL174" i="2"/>
  <c r="BC174" i="2" s="1"/>
  <c r="AK174" i="2"/>
  <c r="BB174" i="2" s="1"/>
  <c r="AJ174" i="2"/>
  <c r="BA174" i="2" s="1"/>
  <c r="AI174" i="2"/>
  <c r="AZ174" i="2" s="1"/>
  <c r="AH174" i="2"/>
  <c r="AY174" i="2" s="1"/>
  <c r="AG174" i="2"/>
  <c r="AX174" i="2" s="1"/>
  <c r="AF174" i="2"/>
  <c r="AW174" i="2" s="1"/>
  <c r="AE174" i="2"/>
  <c r="AV174" i="2" s="1"/>
  <c r="AD174" i="2"/>
  <c r="AU174" i="2" s="1"/>
  <c r="AC174" i="2"/>
  <c r="AT174" i="2" s="1"/>
  <c r="AB174" i="2"/>
  <c r="AO173" i="2"/>
  <c r="BF173" i="2" s="1"/>
  <c r="AN173" i="2"/>
  <c r="BE173" i="2" s="1"/>
  <c r="AM173" i="2"/>
  <c r="BD173" i="2" s="1"/>
  <c r="AL173" i="2"/>
  <c r="BC173" i="2" s="1"/>
  <c r="AK173" i="2"/>
  <c r="BB173" i="2" s="1"/>
  <c r="AJ173" i="2"/>
  <c r="BA173" i="2" s="1"/>
  <c r="AI173" i="2"/>
  <c r="AZ173" i="2" s="1"/>
  <c r="AH173" i="2"/>
  <c r="AY173" i="2" s="1"/>
  <c r="AG173" i="2"/>
  <c r="AX173" i="2" s="1"/>
  <c r="AF173" i="2"/>
  <c r="AW173" i="2" s="1"/>
  <c r="AE173" i="2"/>
  <c r="AV173" i="2" s="1"/>
  <c r="AD173" i="2"/>
  <c r="AU173" i="2" s="1"/>
  <c r="AC173" i="2"/>
  <c r="AT173" i="2" s="1"/>
  <c r="AB173" i="2"/>
  <c r="AO172" i="2"/>
  <c r="BF172" i="2" s="1"/>
  <c r="AN172" i="2"/>
  <c r="BE172" i="2" s="1"/>
  <c r="AM172" i="2"/>
  <c r="BD172" i="2" s="1"/>
  <c r="AL172" i="2"/>
  <c r="BC172" i="2" s="1"/>
  <c r="AK172" i="2"/>
  <c r="BB172" i="2" s="1"/>
  <c r="AJ172" i="2"/>
  <c r="BA172" i="2" s="1"/>
  <c r="AI172" i="2"/>
  <c r="AZ172" i="2" s="1"/>
  <c r="AH172" i="2"/>
  <c r="AY172" i="2" s="1"/>
  <c r="AG172" i="2"/>
  <c r="AX172" i="2" s="1"/>
  <c r="AF172" i="2"/>
  <c r="AW172" i="2" s="1"/>
  <c r="AE172" i="2"/>
  <c r="AV172" i="2" s="1"/>
  <c r="AD172" i="2"/>
  <c r="AU172" i="2" s="1"/>
  <c r="AC172" i="2"/>
  <c r="AT172" i="2" s="1"/>
  <c r="AB172" i="2"/>
  <c r="AO171" i="2"/>
  <c r="BF171" i="2" s="1"/>
  <c r="AN171" i="2"/>
  <c r="BE171" i="2" s="1"/>
  <c r="AM171" i="2"/>
  <c r="BD171" i="2" s="1"/>
  <c r="AL171" i="2"/>
  <c r="BC171" i="2" s="1"/>
  <c r="AK171" i="2"/>
  <c r="BB171" i="2" s="1"/>
  <c r="AJ171" i="2"/>
  <c r="BA171" i="2" s="1"/>
  <c r="AI171" i="2"/>
  <c r="AZ171" i="2" s="1"/>
  <c r="AH171" i="2"/>
  <c r="AY171" i="2" s="1"/>
  <c r="AG171" i="2"/>
  <c r="AX171" i="2" s="1"/>
  <c r="AF171" i="2"/>
  <c r="AW171" i="2" s="1"/>
  <c r="AE171" i="2"/>
  <c r="AV171" i="2" s="1"/>
  <c r="AD171" i="2"/>
  <c r="AU171" i="2" s="1"/>
  <c r="AC171" i="2"/>
  <c r="AT171" i="2" s="1"/>
  <c r="AB171" i="2"/>
  <c r="AO170" i="2"/>
  <c r="BF170" i="2" s="1"/>
  <c r="AN170" i="2"/>
  <c r="BE170" i="2" s="1"/>
  <c r="AM170" i="2"/>
  <c r="BD170" i="2" s="1"/>
  <c r="AL170" i="2"/>
  <c r="BC170" i="2" s="1"/>
  <c r="AK170" i="2"/>
  <c r="BB170" i="2" s="1"/>
  <c r="AJ170" i="2"/>
  <c r="BA170" i="2" s="1"/>
  <c r="AI170" i="2"/>
  <c r="AZ170" i="2" s="1"/>
  <c r="AH170" i="2"/>
  <c r="AY170" i="2" s="1"/>
  <c r="AG170" i="2"/>
  <c r="AX170" i="2" s="1"/>
  <c r="AF170" i="2"/>
  <c r="AW170" i="2" s="1"/>
  <c r="AE170" i="2"/>
  <c r="AV170" i="2" s="1"/>
  <c r="AD170" i="2"/>
  <c r="AU170" i="2" s="1"/>
  <c r="AC170" i="2"/>
  <c r="AT170" i="2" s="1"/>
  <c r="AB170" i="2"/>
  <c r="AO169" i="2"/>
  <c r="BF169" i="2" s="1"/>
  <c r="AN169" i="2"/>
  <c r="BE169" i="2" s="1"/>
  <c r="AM169" i="2"/>
  <c r="BD169" i="2" s="1"/>
  <c r="AL169" i="2"/>
  <c r="BC169" i="2" s="1"/>
  <c r="AK169" i="2"/>
  <c r="BB169" i="2" s="1"/>
  <c r="AJ169" i="2"/>
  <c r="BA169" i="2" s="1"/>
  <c r="AI169" i="2"/>
  <c r="AZ169" i="2" s="1"/>
  <c r="AH169" i="2"/>
  <c r="AY169" i="2" s="1"/>
  <c r="AG169" i="2"/>
  <c r="AX169" i="2" s="1"/>
  <c r="AF169" i="2"/>
  <c r="AW169" i="2" s="1"/>
  <c r="AE169" i="2"/>
  <c r="AV169" i="2" s="1"/>
  <c r="AD169" i="2"/>
  <c r="AU169" i="2" s="1"/>
  <c r="AC169" i="2"/>
  <c r="AT169" i="2" s="1"/>
  <c r="AB169" i="2"/>
  <c r="AO168" i="2"/>
  <c r="BF168" i="2" s="1"/>
  <c r="AN168" i="2"/>
  <c r="BE168" i="2" s="1"/>
  <c r="AM168" i="2"/>
  <c r="BD168" i="2" s="1"/>
  <c r="AL168" i="2"/>
  <c r="BC168" i="2" s="1"/>
  <c r="AK168" i="2"/>
  <c r="BB168" i="2" s="1"/>
  <c r="AJ168" i="2"/>
  <c r="BA168" i="2" s="1"/>
  <c r="AI168" i="2"/>
  <c r="AZ168" i="2" s="1"/>
  <c r="AH168" i="2"/>
  <c r="AY168" i="2" s="1"/>
  <c r="AG168" i="2"/>
  <c r="AX168" i="2" s="1"/>
  <c r="AF168" i="2"/>
  <c r="AW168" i="2" s="1"/>
  <c r="AE168" i="2"/>
  <c r="AV168" i="2" s="1"/>
  <c r="AD168" i="2"/>
  <c r="AU168" i="2" s="1"/>
  <c r="AC168" i="2"/>
  <c r="AT168" i="2" s="1"/>
  <c r="AB168" i="2"/>
  <c r="AO167" i="2"/>
  <c r="BF167" i="2" s="1"/>
  <c r="AN167" i="2"/>
  <c r="BE167" i="2" s="1"/>
  <c r="AM167" i="2"/>
  <c r="BD167" i="2" s="1"/>
  <c r="AL167" i="2"/>
  <c r="BC167" i="2" s="1"/>
  <c r="AK167" i="2"/>
  <c r="BB167" i="2" s="1"/>
  <c r="AJ167" i="2"/>
  <c r="BA167" i="2" s="1"/>
  <c r="AI167" i="2"/>
  <c r="AZ167" i="2" s="1"/>
  <c r="AH167" i="2"/>
  <c r="AY167" i="2" s="1"/>
  <c r="AG167" i="2"/>
  <c r="AX167" i="2" s="1"/>
  <c r="AF167" i="2"/>
  <c r="AW167" i="2" s="1"/>
  <c r="AE167" i="2"/>
  <c r="AV167" i="2" s="1"/>
  <c r="AD167" i="2"/>
  <c r="AU167" i="2" s="1"/>
  <c r="AC167" i="2"/>
  <c r="AT167" i="2" s="1"/>
  <c r="AB167" i="2"/>
  <c r="AO166" i="2"/>
  <c r="BF166" i="2" s="1"/>
  <c r="AN166" i="2"/>
  <c r="BE166" i="2" s="1"/>
  <c r="AM166" i="2"/>
  <c r="BD166" i="2" s="1"/>
  <c r="AL166" i="2"/>
  <c r="BC166" i="2" s="1"/>
  <c r="AK166" i="2"/>
  <c r="BB166" i="2" s="1"/>
  <c r="AJ166" i="2"/>
  <c r="BA166" i="2" s="1"/>
  <c r="AI166" i="2"/>
  <c r="AZ166" i="2" s="1"/>
  <c r="AH166" i="2"/>
  <c r="AY166" i="2" s="1"/>
  <c r="AG166" i="2"/>
  <c r="AX166" i="2" s="1"/>
  <c r="AF166" i="2"/>
  <c r="AW166" i="2" s="1"/>
  <c r="AE166" i="2"/>
  <c r="AV166" i="2" s="1"/>
  <c r="AD166" i="2"/>
  <c r="AD302" i="2" s="1"/>
  <c r="AC166" i="2"/>
  <c r="AT166" i="2" s="1"/>
  <c r="AB166" i="2"/>
  <c r="AO165" i="2"/>
  <c r="BF165" i="2" s="1"/>
  <c r="AN165" i="2"/>
  <c r="BE165" i="2" s="1"/>
  <c r="AM165" i="2"/>
  <c r="BD165" i="2" s="1"/>
  <c r="AL165" i="2"/>
  <c r="BC165" i="2" s="1"/>
  <c r="AK165" i="2"/>
  <c r="BB165" i="2" s="1"/>
  <c r="AJ165" i="2"/>
  <c r="BA165" i="2" s="1"/>
  <c r="AI165" i="2"/>
  <c r="AZ165" i="2" s="1"/>
  <c r="AH165" i="2"/>
  <c r="AY165" i="2" s="1"/>
  <c r="AG165" i="2"/>
  <c r="AX165" i="2" s="1"/>
  <c r="AF165" i="2"/>
  <c r="AW165" i="2" s="1"/>
  <c r="AE165" i="2"/>
  <c r="AV165" i="2" s="1"/>
  <c r="AD165" i="2"/>
  <c r="AU165" i="2" s="1"/>
  <c r="AC165" i="2"/>
  <c r="AT165" i="2" s="1"/>
  <c r="AB165" i="2"/>
  <c r="AO164" i="2"/>
  <c r="BF164" i="2" s="1"/>
  <c r="AN164" i="2"/>
  <c r="BE164" i="2" s="1"/>
  <c r="AM164" i="2"/>
  <c r="BD164" i="2" s="1"/>
  <c r="AL164" i="2"/>
  <c r="AK164" i="2"/>
  <c r="BB164" i="2" s="1"/>
  <c r="AJ164" i="2"/>
  <c r="BA164" i="2" s="1"/>
  <c r="AI164" i="2"/>
  <c r="AZ164" i="2" s="1"/>
  <c r="AH164" i="2"/>
  <c r="AY164" i="2" s="1"/>
  <c r="AG164" i="2"/>
  <c r="AF164" i="2"/>
  <c r="AW164" i="2" s="1"/>
  <c r="AE164" i="2"/>
  <c r="AV164" i="2" s="1"/>
  <c r="AD164" i="2"/>
  <c r="AC164" i="2"/>
  <c r="AT164" i="2" s="1"/>
  <c r="AB164" i="2"/>
  <c r="AO163" i="2"/>
  <c r="BF163" i="2" s="1"/>
  <c r="AN163" i="2"/>
  <c r="BE163" i="2" s="1"/>
  <c r="AM163" i="2"/>
  <c r="BD163" i="2" s="1"/>
  <c r="AL163" i="2"/>
  <c r="BC163" i="2" s="1"/>
  <c r="AK163" i="2"/>
  <c r="BB163" i="2" s="1"/>
  <c r="AJ163" i="2"/>
  <c r="BA163" i="2" s="1"/>
  <c r="AI163" i="2"/>
  <c r="AZ163" i="2" s="1"/>
  <c r="AH163" i="2"/>
  <c r="AY163" i="2" s="1"/>
  <c r="AG163" i="2"/>
  <c r="AF163" i="2"/>
  <c r="AE163" i="2"/>
  <c r="AD163" i="2"/>
  <c r="AC163" i="2"/>
  <c r="AB163" i="2"/>
  <c r="AO162" i="2"/>
  <c r="BF162" i="2" s="1"/>
  <c r="AN162" i="2"/>
  <c r="BE162" i="2" s="1"/>
  <c r="AM162" i="2"/>
  <c r="BD162" i="2" s="1"/>
  <c r="AL162" i="2"/>
  <c r="BC162" i="2" s="1"/>
  <c r="AK162" i="2"/>
  <c r="BB162" i="2" s="1"/>
  <c r="AJ162" i="2"/>
  <c r="BA162" i="2" s="1"/>
  <c r="AI162" i="2"/>
  <c r="AZ162" i="2" s="1"/>
  <c r="AH162" i="2"/>
  <c r="AY162" i="2" s="1"/>
  <c r="AG162" i="2"/>
  <c r="AF162" i="2"/>
  <c r="AE162" i="2"/>
  <c r="AD162" i="2"/>
  <c r="AC162" i="2"/>
  <c r="AB162" i="2"/>
  <c r="AO161" i="2"/>
  <c r="BF161" i="2" s="1"/>
  <c r="AN161" i="2"/>
  <c r="BE161" i="2" s="1"/>
  <c r="AM161" i="2"/>
  <c r="BD161" i="2" s="1"/>
  <c r="AL161" i="2"/>
  <c r="BC161" i="2" s="1"/>
  <c r="AK161" i="2"/>
  <c r="BB161" i="2" s="1"/>
  <c r="AJ161" i="2"/>
  <c r="BA161" i="2" s="1"/>
  <c r="AI161" i="2"/>
  <c r="AZ161" i="2" s="1"/>
  <c r="AH161" i="2"/>
  <c r="AY161" i="2" s="1"/>
  <c r="AG161" i="2"/>
  <c r="AT194" i="20" s="1"/>
  <c r="AF161" i="2"/>
  <c r="AE161" i="2"/>
  <c r="AP194" i="20" s="1"/>
  <c r="AD161" i="2"/>
  <c r="AN194" i="20" s="1"/>
  <c r="AC161" i="2"/>
  <c r="AB161" i="2"/>
  <c r="AO160" i="2"/>
  <c r="BF160" i="2" s="1"/>
  <c r="AN160" i="2"/>
  <c r="BE160" i="2" s="1"/>
  <c r="AM160" i="2"/>
  <c r="BD160" i="2" s="1"/>
  <c r="AL160" i="2"/>
  <c r="BC160" i="2" s="1"/>
  <c r="AK160" i="2"/>
  <c r="AK280" i="20" s="1"/>
  <c r="AJ160" i="2"/>
  <c r="BA160" i="2" s="1"/>
  <c r="AI160" i="2"/>
  <c r="AZ160" i="2" s="1"/>
  <c r="AH160" i="2"/>
  <c r="AY160" i="2" s="1"/>
  <c r="AG160" i="2"/>
  <c r="AF160" i="2"/>
  <c r="AW160" i="2" s="1"/>
  <c r="AE160" i="2"/>
  <c r="AV160" i="2" s="1"/>
  <c r="AD160" i="2"/>
  <c r="AC160" i="2"/>
  <c r="AT160" i="2" s="1"/>
  <c r="AB160" i="2"/>
  <c r="AO159" i="2"/>
  <c r="BF159" i="2" s="1"/>
  <c r="AN159" i="2"/>
  <c r="BE159" i="2" s="1"/>
  <c r="AM159" i="2"/>
  <c r="BD159" i="2" s="1"/>
  <c r="AL159" i="2"/>
  <c r="BC159" i="2" s="1"/>
  <c r="AK159" i="2"/>
  <c r="BB159" i="2" s="1"/>
  <c r="AJ159" i="2"/>
  <c r="BA159" i="2" s="1"/>
  <c r="AI159" i="2"/>
  <c r="AZ159" i="2" s="1"/>
  <c r="AH159" i="2"/>
  <c r="AY159" i="2" s="1"/>
  <c r="AG159" i="2"/>
  <c r="AF159" i="2"/>
  <c r="AE159" i="2"/>
  <c r="AP197" i="20" s="1"/>
  <c r="AD159" i="2"/>
  <c r="AN197" i="20" s="1"/>
  <c r="AC159" i="2"/>
  <c r="AB159" i="2"/>
  <c r="AO158" i="2"/>
  <c r="BF158" i="2" s="1"/>
  <c r="AN158" i="2"/>
  <c r="BE158" i="2" s="1"/>
  <c r="AM158" i="2"/>
  <c r="BD158" i="2" s="1"/>
  <c r="AL158" i="2"/>
  <c r="BC158" i="2" s="1"/>
  <c r="AK158" i="2"/>
  <c r="BB158" i="2" s="1"/>
  <c r="AJ158" i="2"/>
  <c r="BA158" i="2" s="1"/>
  <c r="AI158" i="2"/>
  <c r="AZ158" i="2" s="1"/>
  <c r="AH158" i="2"/>
  <c r="AY158" i="2" s="1"/>
  <c r="AG158" i="2"/>
  <c r="AF158" i="2"/>
  <c r="AE158" i="2"/>
  <c r="AD158" i="2"/>
  <c r="AC158" i="2"/>
  <c r="AB158" i="2"/>
  <c r="AO157" i="2"/>
  <c r="BF157" i="2" s="1"/>
  <c r="AN157" i="2"/>
  <c r="BE157" i="2" s="1"/>
  <c r="AM157" i="2"/>
  <c r="BD157" i="2" s="1"/>
  <c r="AL157" i="2"/>
  <c r="BC157" i="2" s="1"/>
  <c r="AK157" i="2"/>
  <c r="BB157" i="2" s="1"/>
  <c r="AJ157" i="2"/>
  <c r="BA157" i="2" s="1"/>
  <c r="AI157" i="2"/>
  <c r="AZ157" i="2" s="1"/>
  <c r="AH157" i="2"/>
  <c r="AY157" i="2" s="1"/>
  <c r="AG157" i="2"/>
  <c r="AF157" i="2"/>
  <c r="AE157" i="2"/>
  <c r="AE323" i="2" s="1"/>
  <c r="AD157" i="2"/>
  <c r="AC157" i="2"/>
  <c r="AB157" i="2"/>
  <c r="AO156" i="2"/>
  <c r="BF156" i="2" s="1"/>
  <c r="AN156" i="2"/>
  <c r="BE156" i="2" s="1"/>
  <c r="AM156" i="2"/>
  <c r="BD156" i="2" s="1"/>
  <c r="AL156" i="2"/>
  <c r="BC156" i="2" s="1"/>
  <c r="AK156" i="2"/>
  <c r="BB156" i="2" s="1"/>
  <c r="AJ156" i="2"/>
  <c r="BA156" i="2" s="1"/>
  <c r="AI156" i="2"/>
  <c r="AZ156" i="2" s="1"/>
  <c r="AH156" i="2"/>
  <c r="AY156" i="2" s="1"/>
  <c r="AG156" i="2"/>
  <c r="AX156" i="2" s="1"/>
  <c r="AF156" i="2"/>
  <c r="AW156" i="2" s="1"/>
  <c r="AE156" i="2"/>
  <c r="AV156" i="2" s="1"/>
  <c r="AD156" i="2"/>
  <c r="AU156" i="2" s="1"/>
  <c r="AC156" i="2"/>
  <c r="AT156" i="2" s="1"/>
  <c r="AB156" i="2"/>
  <c r="AO155" i="2"/>
  <c r="BF155" i="2" s="1"/>
  <c r="AN155" i="2"/>
  <c r="BE155" i="2" s="1"/>
  <c r="AM155" i="2"/>
  <c r="BD155" i="2" s="1"/>
  <c r="AL155" i="2"/>
  <c r="BC155" i="2" s="1"/>
  <c r="AK155" i="2"/>
  <c r="BB155" i="2" s="1"/>
  <c r="AJ155" i="2"/>
  <c r="BA155" i="2" s="1"/>
  <c r="AI155" i="2"/>
  <c r="AZ155" i="2" s="1"/>
  <c r="AH155" i="2"/>
  <c r="AY155" i="2" s="1"/>
  <c r="AG155" i="2"/>
  <c r="AF155" i="2"/>
  <c r="AE155" i="2"/>
  <c r="AD155" i="2"/>
  <c r="AC155" i="2"/>
  <c r="AB155" i="2"/>
  <c r="AO154" i="2"/>
  <c r="BF154" i="2" s="1"/>
  <c r="AN154" i="2"/>
  <c r="BE154" i="2" s="1"/>
  <c r="AM154" i="2"/>
  <c r="BD154" i="2" s="1"/>
  <c r="AL154" i="2"/>
  <c r="BC154" i="2" s="1"/>
  <c r="AK154" i="2"/>
  <c r="BB154" i="2" s="1"/>
  <c r="AJ154" i="2"/>
  <c r="BA154" i="2" s="1"/>
  <c r="AI154" i="2"/>
  <c r="AZ154" i="2" s="1"/>
  <c r="AH154" i="2"/>
  <c r="AY154" i="2" s="1"/>
  <c r="AG154" i="2"/>
  <c r="AF154" i="2"/>
  <c r="AE154" i="2"/>
  <c r="AD154" i="2"/>
  <c r="AC154" i="2"/>
  <c r="AB154" i="2"/>
  <c r="AO153" i="2"/>
  <c r="BF153" i="2" s="1"/>
  <c r="AN153" i="2"/>
  <c r="BE153" i="2" s="1"/>
  <c r="AM153" i="2"/>
  <c r="BD153" i="2" s="1"/>
  <c r="AL153" i="2"/>
  <c r="BC153" i="2" s="1"/>
  <c r="AK153" i="2"/>
  <c r="BB153" i="2" s="1"/>
  <c r="AJ153" i="2"/>
  <c r="BA153" i="2" s="1"/>
  <c r="AI153" i="2"/>
  <c r="AZ153" i="2" s="1"/>
  <c r="AH153" i="2"/>
  <c r="AY153" i="2" s="1"/>
  <c r="AG153" i="2"/>
  <c r="AX153" i="2" s="1"/>
  <c r="AF153" i="2"/>
  <c r="AW153" i="2" s="1"/>
  <c r="AE153" i="2"/>
  <c r="AV153" i="2" s="1"/>
  <c r="AD153" i="2"/>
  <c r="AU153" i="2" s="1"/>
  <c r="AC153" i="2"/>
  <c r="AT153" i="2" s="1"/>
  <c r="AB153" i="2"/>
  <c r="AO152" i="2"/>
  <c r="BF152" i="2" s="1"/>
  <c r="AN152" i="2"/>
  <c r="BE152" i="2" s="1"/>
  <c r="AM152" i="2"/>
  <c r="BD152" i="2" s="1"/>
  <c r="AL152" i="2"/>
  <c r="BC152" i="2" s="1"/>
  <c r="AK152" i="2"/>
  <c r="BB152" i="2" s="1"/>
  <c r="AJ152" i="2"/>
  <c r="BA152" i="2" s="1"/>
  <c r="AI152" i="2"/>
  <c r="AZ152" i="2" s="1"/>
  <c r="AH152" i="2"/>
  <c r="AY152" i="2" s="1"/>
  <c r="AG152" i="2"/>
  <c r="AX152" i="2" s="1"/>
  <c r="AF152" i="2"/>
  <c r="AW152" i="2" s="1"/>
  <c r="AE152" i="2"/>
  <c r="AV152" i="2" s="1"/>
  <c r="AD152" i="2"/>
  <c r="AU152" i="2" s="1"/>
  <c r="AC152" i="2"/>
  <c r="AT152" i="2" s="1"/>
  <c r="AB152" i="2"/>
  <c r="AO151" i="2"/>
  <c r="BF151" i="2" s="1"/>
  <c r="AN151" i="2"/>
  <c r="BE151" i="2" s="1"/>
  <c r="AM151" i="2"/>
  <c r="BD151" i="2" s="1"/>
  <c r="AL151" i="2"/>
  <c r="BC151" i="2" s="1"/>
  <c r="AK151" i="2"/>
  <c r="BB151" i="2" s="1"/>
  <c r="AJ151" i="2"/>
  <c r="BA151" i="2" s="1"/>
  <c r="AI151" i="2"/>
  <c r="AZ151" i="2" s="1"/>
  <c r="AH151" i="2"/>
  <c r="AY151" i="2" s="1"/>
  <c r="AG151" i="2"/>
  <c r="AF151" i="2"/>
  <c r="AR200" i="20" s="1"/>
  <c r="AE151" i="2"/>
  <c r="AP200" i="20" s="1"/>
  <c r="AD151" i="2"/>
  <c r="AC151" i="2"/>
  <c r="AB151" i="2"/>
  <c r="AO150" i="2"/>
  <c r="BF150" i="2" s="1"/>
  <c r="AN150" i="2"/>
  <c r="BE150" i="2" s="1"/>
  <c r="AM150" i="2"/>
  <c r="BD150" i="2" s="1"/>
  <c r="AL150" i="2"/>
  <c r="BC150" i="2" s="1"/>
  <c r="AK150" i="2"/>
  <c r="BB150" i="2" s="1"/>
  <c r="AJ150" i="2"/>
  <c r="BA150" i="2" s="1"/>
  <c r="AI150" i="2"/>
  <c r="AZ150" i="2" s="1"/>
  <c r="AH150" i="2"/>
  <c r="AY150" i="2" s="1"/>
  <c r="AG150" i="2"/>
  <c r="AT199" i="20" s="1"/>
  <c r="AF150" i="2"/>
  <c r="AR199" i="20" s="1"/>
  <c r="AE150" i="2"/>
  <c r="AD150" i="2"/>
  <c r="AN199" i="20" s="1"/>
  <c r="AC150" i="2"/>
  <c r="AB150" i="2"/>
  <c r="AO149" i="2"/>
  <c r="BF149" i="2" s="1"/>
  <c r="AN149" i="2"/>
  <c r="BE149" i="2" s="1"/>
  <c r="AM149" i="2"/>
  <c r="BD149" i="2" s="1"/>
  <c r="AL149" i="2"/>
  <c r="BC149" i="2" s="1"/>
  <c r="AK149" i="2"/>
  <c r="BB149" i="2" s="1"/>
  <c r="AJ149" i="2"/>
  <c r="BA149" i="2" s="1"/>
  <c r="AI149" i="2"/>
  <c r="AZ149" i="2" s="1"/>
  <c r="AH149" i="2"/>
  <c r="AY149" i="2" s="1"/>
  <c r="AG149" i="2"/>
  <c r="AX149" i="2" s="1"/>
  <c r="AF149" i="2"/>
  <c r="AW149" i="2" s="1"/>
  <c r="AE149" i="2"/>
  <c r="AV149" i="2" s="1"/>
  <c r="AD149" i="2"/>
  <c r="AU149" i="2" s="1"/>
  <c r="AC149" i="2"/>
  <c r="AT149" i="2" s="1"/>
  <c r="AB149" i="2"/>
  <c r="AO148" i="2"/>
  <c r="BF148" i="2" s="1"/>
  <c r="AN148" i="2"/>
  <c r="BE148" i="2" s="1"/>
  <c r="AM148" i="2"/>
  <c r="BD148" i="2" s="1"/>
  <c r="AL148" i="2"/>
  <c r="BC148" i="2" s="1"/>
  <c r="AK148" i="2"/>
  <c r="BB148" i="2" s="1"/>
  <c r="AJ148" i="2"/>
  <c r="BA148" i="2" s="1"/>
  <c r="AI148" i="2"/>
  <c r="AZ148" i="2" s="1"/>
  <c r="AH148" i="2"/>
  <c r="AY148" i="2" s="1"/>
  <c r="AG148" i="2"/>
  <c r="AX148" i="2" s="1"/>
  <c r="AF148" i="2"/>
  <c r="AW148" i="2" s="1"/>
  <c r="AE148" i="2"/>
  <c r="AV148" i="2" s="1"/>
  <c r="AD148" i="2"/>
  <c r="AU148" i="2" s="1"/>
  <c r="AC148" i="2"/>
  <c r="AT148" i="2" s="1"/>
  <c r="AB148" i="2"/>
  <c r="AO147" i="2"/>
  <c r="BF147" i="2" s="1"/>
  <c r="AN147" i="2"/>
  <c r="BE147" i="2" s="1"/>
  <c r="AM147" i="2"/>
  <c r="BD147" i="2" s="1"/>
  <c r="AL147" i="2"/>
  <c r="BC147" i="2" s="1"/>
  <c r="AK147" i="2"/>
  <c r="BB147" i="2" s="1"/>
  <c r="AJ147" i="2"/>
  <c r="BA147" i="2" s="1"/>
  <c r="AI147" i="2"/>
  <c r="AZ147" i="2" s="1"/>
  <c r="AH147" i="2"/>
  <c r="AY147" i="2" s="1"/>
  <c r="AG147" i="2"/>
  <c r="AT187" i="20" s="1"/>
  <c r="AF147" i="2"/>
  <c r="AE147" i="2"/>
  <c r="AD147" i="2"/>
  <c r="AC147" i="2"/>
  <c r="AB147" i="2"/>
  <c r="AO146" i="2"/>
  <c r="BF146" i="2" s="1"/>
  <c r="AN146" i="2"/>
  <c r="BE146" i="2" s="1"/>
  <c r="AM146" i="2"/>
  <c r="BD146" i="2" s="1"/>
  <c r="AL146" i="2"/>
  <c r="BC146" i="2" s="1"/>
  <c r="AK146" i="2"/>
  <c r="BB146" i="2" s="1"/>
  <c r="AJ146" i="2"/>
  <c r="BA146" i="2" s="1"/>
  <c r="AI146" i="2"/>
  <c r="AZ146" i="2" s="1"/>
  <c r="AH146" i="2"/>
  <c r="AY146" i="2" s="1"/>
  <c r="AG146" i="2"/>
  <c r="AF146" i="2"/>
  <c r="AE146" i="2"/>
  <c r="AD146" i="2"/>
  <c r="AN186" i="20" s="1"/>
  <c r="AC146" i="2"/>
  <c r="AB146" i="2"/>
  <c r="AO145" i="2"/>
  <c r="BF145" i="2" s="1"/>
  <c r="AN145" i="2"/>
  <c r="BE145" i="2" s="1"/>
  <c r="AM145" i="2"/>
  <c r="BD145" i="2" s="1"/>
  <c r="AL145" i="2"/>
  <c r="BC145" i="2" s="1"/>
  <c r="AK145" i="2"/>
  <c r="BB145" i="2" s="1"/>
  <c r="AJ145" i="2"/>
  <c r="BA145" i="2" s="1"/>
  <c r="AI145" i="2"/>
  <c r="AZ145" i="2" s="1"/>
  <c r="AH145" i="2"/>
  <c r="AY145" i="2" s="1"/>
  <c r="AG145" i="2"/>
  <c r="AF145" i="2"/>
  <c r="AR185" i="20" s="1"/>
  <c r="AE145" i="2"/>
  <c r="AD145" i="2"/>
  <c r="AN185" i="20" s="1"/>
  <c r="AC145" i="2"/>
  <c r="AB145" i="2"/>
  <c r="AO144" i="2"/>
  <c r="BF144" i="2" s="1"/>
  <c r="AN144" i="2"/>
  <c r="BE144" i="2" s="1"/>
  <c r="AM144" i="2"/>
  <c r="BD144" i="2" s="1"/>
  <c r="AL144" i="2"/>
  <c r="BC144" i="2" s="1"/>
  <c r="AK144" i="2"/>
  <c r="BB144" i="2" s="1"/>
  <c r="AJ144" i="2"/>
  <c r="BA144" i="2" s="1"/>
  <c r="AI144" i="2"/>
  <c r="AZ144" i="2" s="1"/>
  <c r="AH144" i="2"/>
  <c r="AY144" i="2" s="1"/>
  <c r="AG144" i="2"/>
  <c r="AF144" i="2"/>
  <c r="AE144" i="2"/>
  <c r="AO511" i="20" s="1"/>
  <c r="AD144" i="2"/>
  <c r="AN190" i="20" s="1"/>
  <c r="AC144" i="2"/>
  <c r="AB144" i="2"/>
  <c r="AO143" i="2"/>
  <c r="BF143" i="2" s="1"/>
  <c r="AN143" i="2"/>
  <c r="BE143" i="2" s="1"/>
  <c r="AM143" i="2"/>
  <c r="BD143" i="2" s="1"/>
  <c r="AL143" i="2"/>
  <c r="BC143" i="2" s="1"/>
  <c r="AK143" i="2"/>
  <c r="BB143" i="2" s="1"/>
  <c r="AJ143" i="2"/>
  <c r="BA143" i="2" s="1"/>
  <c r="AI143" i="2"/>
  <c r="AZ143" i="2" s="1"/>
  <c r="AH143" i="2"/>
  <c r="AY143" i="2" s="1"/>
  <c r="AG143" i="2"/>
  <c r="AS505" i="20" s="1"/>
  <c r="AF143" i="2"/>
  <c r="AQ505" i="20" s="1"/>
  <c r="AE143" i="2"/>
  <c r="AD143" i="2"/>
  <c r="AC143" i="2"/>
  <c r="AB143" i="2"/>
  <c r="AO142" i="2"/>
  <c r="BF142" i="2" s="1"/>
  <c r="AN142" i="2"/>
  <c r="BE142" i="2" s="1"/>
  <c r="AM142" i="2"/>
  <c r="BD142" i="2" s="1"/>
  <c r="AL142" i="2"/>
  <c r="BC142" i="2" s="1"/>
  <c r="AK142" i="2"/>
  <c r="BB142" i="2" s="1"/>
  <c r="AJ142" i="2"/>
  <c r="BA142" i="2" s="1"/>
  <c r="AI142" i="2"/>
  <c r="AZ142" i="2" s="1"/>
  <c r="AH142" i="2"/>
  <c r="AY142" i="2" s="1"/>
  <c r="AG142" i="2"/>
  <c r="AF142" i="2"/>
  <c r="AE142" i="2"/>
  <c r="AD142" i="2"/>
  <c r="AC142" i="2"/>
  <c r="AB142" i="2"/>
  <c r="AO141" i="2"/>
  <c r="BF141" i="2" s="1"/>
  <c r="AN141" i="2"/>
  <c r="BE141" i="2" s="1"/>
  <c r="AM141" i="2"/>
  <c r="BD141" i="2" s="1"/>
  <c r="AL141" i="2"/>
  <c r="BC141" i="2" s="1"/>
  <c r="AK141" i="2"/>
  <c r="BB141" i="2" s="1"/>
  <c r="AJ141" i="2"/>
  <c r="BA141" i="2" s="1"/>
  <c r="AI141" i="2"/>
  <c r="AZ141" i="2" s="1"/>
  <c r="AH141" i="2"/>
  <c r="AY141" i="2" s="1"/>
  <c r="AG141" i="2"/>
  <c r="AF141" i="2"/>
  <c r="AE141" i="2"/>
  <c r="AD141" i="2"/>
  <c r="AC141" i="2"/>
  <c r="AB141" i="2"/>
  <c r="AO140" i="2"/>
  <c r="BF140" i="2" s="1"/>
  <c r="AN140" i="2"/>
  <c r="BE140" i="2" s="1"/>
  <c r="AM140" i="2"/>
  <c r="BD140" i="2" s="1"/>
  <c r="AL140" i="2"/>
  <c r="BC140" i="2" s="1"/>
  <c r="AK140" i="2"/>
  <c r="BB140" i="2" s="1"/>
  <c r="AJ140" i="2"/>
  <c r="BA140" i="2" s="1"/>
  <c r="AI140" i="2"/>
  <c r="AZ140" i="2" s="1"/>
  <c r="AH140" i="2"/>
  <c r="AY140" i="2" s="1"/>
  <c r="AG140" i="2"/>
  <c r="AF140" i="2"/>
  <c r="AE140" i="2"/>
  <c r="AD140" i="2"/>
  <c r="AC140" i="2"/>
  <c r="AB140" i="2"/>
  <c r="AO139" i="2"/>
  <c r="BF139" i="2" s="1"/>
  <c r="AN139" i="2"/>
  <c r="BE139" i="2" s="1"/>
  <c r="AM139" i="2"/>
  <c r="BD139" i="2" s="1"/>
  <c r="AL139" i="2"/>
  <c r="BC139" i="2" s="1"/>
  <c r="AK139" i="2"/>
  <c r="BB139" i="2" s="1"/>
  <c r="AJ139" i="2"/>
  <c r="BA139" i="2" s="1"/>
  <c r="AI139" i="2"/>
  <c r="AZ139" i="2" s="1"/>
  <c r="AH139" i="2"/>
  <c r="AY139" i="2" s="1"/>
  <c r="AG139" i="2"/>
  <c r="AF139" i="2"/>
  <c r="AE139" i="2"/>
  <c r="AD139" i="2"/>
  <c r="AC139" i="2"/>
  <c r="AB139" i="2"/>
  <c r="AO138" i="2"/>
  <c r="BF138" i="2" s="1"/>
  <c r="AN138" i="2"/>
  <c r="BE138" i="2" s="1"/>
  <c r="AM138" i="2"/>
  <c r="BD138" i="2" s="1"/>
  <c r="AL138" i="2"/>
  <c r="BC138" i="2" s="1"/>
  <c r="AK138" i="2"/>
  <c r="BB138" i="2" s="1"/>
  <c r="AJ138" i="2"/>
  <c r="BA138" i="2" s="1"/>
  <c r="AI138" i="2"/>
  <c r="AZ138" i="2" s="1"/>
  <c r="AH138" i="2"/>
  <c r="AY138" i="2" s="1"/>
  <c r="AG138" i="2"/>
  <c r="AF138" i="2"/>
  <c r="AR176" i="20" s="1"/>
  <c r="AE138" i="2"/>
  <c r="AD138" i="2"/>
  <c r="AN176" i="20" s="1"/>
  <c r="AC138" i="2"/>
  <c r="AB138" i="2"/>
  <c r="AO137" i="2"/>
  <c r="BF137" i="2" s="1"/>
  <c r="AN137" i="2"/>
  <c r="BE137" i="2" s="1"/>
  <c r="AM137" i="2"/>
  <c r="BD137" i="2" s="1"/>
  <c r="AL137" i="2"/>
  <c r="BC137" i="2" s="1"/>
  <c r="AK137" i="2"/>
  <c r="BB137" i="2" s="1"/>
  <c r="AJ137" i="2"/>
  <c r="BA137" i="2" s="1"/>
  <c r="AI137" i="2"/>
  <c r="AZ137" i="2" s="1"/>
  <c r="AH137" i="2"/>
  <c r="AY137" i="2" s="1"/>
  <c r="AG137" i="2"/>
  <c r="AF137" i="2"/>
  <c r="AR175" i="20" s="1"/>
  <c r="AE137" i="2"/>
  <c r="AD137" i="2"/>
  <c r="AN489" i="20" s="1"/>
  <c r="AC137" i="2"/>
  <c r="AB137" i="2"/>
  <c r="AO136" i="2"/>
  <c r="BF136" i="2" s="1"/>
  <c r="AN136" i="2"/>
  <c r="BE136" i="2" s="1"/>
  <c r="AM136" i="2"/>
  <c r="BD136" i="2" s="1"/>
  <c r="AL136" i="2"/>
  <c r="BC136" i="2" s="1"/>
  <c r="AK136" i="2"/>
  <c r="BB136" i="2" s="1"/>
  <c r="AJ136" i="2"/>
  <c r="BA136" i="2" s="1"/>
  <c r="AI136" i="2"/>
  <c r="AZ136" i="2" s="1"/>
  <c r="AH136" i="2"/>
  <c r="AY136" i="2" s="1"/>
  <c r="AG136" i="2"/>
  <c r="AF136" i="2"/>
  <c r="AE136" i="2"/>
  <c r="AD136" i="2"/>
  <c r="AN174" i="20" s="1"/>
  <c r="AC136" i="2"/>
  <c r="AB136" i="2"/>
  <c r="AO135" i="2"/>
  <c r="BF135" i="2" s="1"/>
  <c r="AN135" i="2"/>
  <c r="BE135" i="2" s="1"/>
  <c r="AM135" i="2"/>
  <c r="BD135" i="2" s="1"/>
  <c r="AL135" i="2"/>
  <c r="BC135" i="2" s="1"/>
  <c r="AK135" i="2"/>
  <c r="BB135" i="2" s="1"/>
  <c r="AJ135" i="2"/>
  <c r="BA135" i="2" s="1"/>
  <c r="AI135" i="2"/>
  <c r="AZ135" i="2" s="1"/>
  <c r="AH135" i="2"/>
  <c r="AY135" i="2" s="1"/>
  <c r="AG135" i="2"/>
  <c r="AX135" i="2" s="1"/>
  <c r="AF135" i="2"/>
  <c r="AW135" i="2" s="1"/>
  <c r="AE135" i="2"/>
  <c r="AV135" i="2" s="1"/>
  <c r="AD135" i="2"/>
  <c r="AU135" i="2" s="1"/>
  <c r="AC135" i="2"/>
  <c r="AT135" i="2" s="1"/>
  <c r="AB135" i="2"/>
  <c r="AO134" i="2"/>
  <c r="BF134" i="2" s="1"/>
  <c r="AN134" i="2"/>
  <c r="BE134" i="2" s="1"/>
  <c r="AM134" i="2"/>
  <c r="BD134" i="2" s="1"/>
  <c r="AL134" i="2"/>
  <c r="BC134" i="2" s="1"/>
  <c r="AK134" i="2"/>
  <c r="BB134" i="2" s="1"/>
  <c r="AJ134" i="2"/>
  <c r="BA134" i="2" s="1"/>
  <c r="AI134" i="2"/>
  <c r="AZ134" i="2" s="1"/>
  <c r="AH134" i="2"/>
  <c r="AY134" i="2" s="1"/>
  <c r="AG134" i="2"/>
  <c r="AX134" i="2" s="1"/>
  <c r="AF134" i="2"/>
  <c r="AW134" i="2" s="1"/>
  <c r="AE134" i="2"/>
  <c r="AV134" i="2" s="1"/>
  <c r="AD134" i="2"/>
  <c r="AU134" i="2" s="1"/>
  <c r="AC134" i="2"/>
  <c r="AT134" i="2" s="1"/>
  <c r="AB134" i="2"/>
  <c r="AO133" i="2"/>
  <c r="BF133" i="2" s="1"/>
  <c r="AN133" i="2"/>
  <c r="BE133" i="2" s="1"/>
  <c r="AM133" i="2"/>
  <c r="BD133" i="2" s="1"/>
  <c r="AL133" i="2"/>
  <c r="BC133" i="2" s="1"/>
  <c r="AK133" i="2"/>
  <c r="BB133" i="2" s="1"/>
  <c r="AJ133" i="2"/>
  <c r="BA133" i="2" s="1"/>
  <c r="AI133" i="2"/>
  <c r="AZ133" i="2" s="1"/>
  <c r="AH133" i="2"/>
  <c r="AY133" i="2" s="1"/>
  <c r="AG133" i="2"/>
  <c r="AF133" i="2"/>
  <c r="AE133" i="2"/>
  <c r="AD133" i="2"/>
  <c r="AC133" i="2"/>
  <c r="AB133" i="2"/>
  <c r="AO132" i="2"/>
  <c r="BF132" i="2" s="1"/>
  <c r="AN132" i="2"/>
  <c r="BE132" i="2" s="1"/>
  <c r="AM132" i="2"/>
  <c r="BD132" i="2" s="1"/>
  <c r="AL132" i="2"/>
  <c r="BC132" i="2" s="1"/>
  <c r="AK132" i="2"/>
  <c r="BB132" i="2" s="1"/>
  <c r="AJ132" i="2"/>
  <c r="BA132" i="2" s="1"/>
  <c r="AI132" i="2"/>
  <c r="AZ132" i="2" s="1"/>
  <c r="AH132" i="2"/>
  <c r="AY132" i="2" s="1"/>
  <c r="AG132" i="2"/>
  <c r="AX132" i="2" s="1"/>
  <c r="AF132" i="2"/>
  <c r="AW132" i="2" s="1"/>
  <c r="AE132" i="2"/>
  <c r="AV132" i="2" s="1"/>
  <c r="AD132" i="2"/>
  <c r="AD300" i="2" s="1"/>
  <c r="AC132" i="2"/>
  <c r="AT132" i="2" s="1"/>
  <c r="AB132" i="2"/>
  <c r="AO131" i="2"/>
  <c r="BF131" i="2" s="1"/>
  <c r="AN131" i="2"/>
  <c r="BE131" i="2" s="1"/>
  <c r="AM131" i="2"/>
  <c r="BD131" i="2" s="1"/>
  <c r="AL131" i="2"/>
  <c r="BC131" i="2" s="1"/>
  <c r="AK131" i="2"/>
  <c r="BB131" i="2" s="1"/>
  <c r="AJ131" i="2"/>
  <c r="BA131" i="2" s="1"/>
  <c r="AI131" i="2"/>
  <c r="AZ131" i="2" s="1"/>
  <c r="AH131" i="2"/>
  <c r="AY131" i="2" s="1"/>
  <c r="AG131" i="2"/>
  <c r="AF131" i="2"/>
  <c r="AE131" i="2"/>
  <c r="AD131" i="2"/>
  <c r="AC131" i="2"/>
  <c r="AB131" i="2"/>
  <c r="AO130" i="2"/>
  <c r="BF130" i="2" s="1"/>
  <c r="AN130" i="2"/>
  <c r="BE130" i="2" s="1"/>
  <c r="AM130" i="2"/>
  <c r="BD130" i="2" s="1"/>
  <c r="AL130" i="2"/>
  <c r="BC130" i="2" s="1"/>
  <c r="AK130" i="2"/>
  <c r="BB130" i="2" s="1"/>
  <c r="AJ130" i="2"/>
  <c r="BA130" i="2" s="1"/>
  <c r="AI130" i="2"/>
  <c r="AZ130" i="2" s="1"/>
  <c r="AH130" i="2"/>
  <c r="AY130" i="2" s="1"/>
  <c r="AG130" i="2"/>
  <c r="AG298" i="2" s="1"/>
  <c r="AF130" i="2"/>
  <c r="AF298" i="2" s="1"/>
  <c r="AE130" i="2"/>
  <c r="AE298" i="2" s="1"/>
  <c r="AD130" i="2"/>
  <c r="AD298" i="2" s="1"/>
  <c r="AC130" i="2"/>
  <c r="AC298" i="2" s="1"/>
  <c r="AB130" i="2"/>
  <c r="AO129" i="2"/>
  <c r="BF129" i="2" s="1"/>
  <c r="AN129" i="2"/>
  <c r="BE129" i="2" s="1"/>
  <c r="AM129" i="2"/>
  <c r="BD129" i="2" s="1"/>
  <c r="AL129" i="2"/>
  <c r="BC129" i="2" s="1"/>
  <c r="AK129" i="2"/>
  <c r="BB129" i="2" s="1"/>
  <c r="AJ129" i="2"/>
  <c r="BA129" i="2" s="1"/>
  <c r="AI129" i="2"/>
  <c r="AZ129" i="2" s="1"/>
  <c r="AH129" i="2"/>
  <c r="AY129" i="2" s="1"/>
  <c r="AG129" i="2"/>
  <c r="AG297" i="2" s="1"/>
  <c r="AF129" i="2"/>
  <c r="AF297" i="2" s="1"/>
  <c r="AE129" i="2"/>
  <c r="AE297" i="2" s="1"/>
  <c r="AD129" i="2"/>
  <c r="AD297" i="2" s="1"/>
  <c r="AC129" i="2"/>
  <c r="AC297" i="2" s="1"/>
  <c r="AB129" i="2"/>
  <c r="AO128" i="2"/>
  <c r="BF128" i="2" s="1"/>
  <c r="AN128" i="2"/>
  <c r="BE128" i="2" s="1"/>
  <c r="AM128" i="2"/>
  <c r="BD128" i="2" s="1"/>
  <c r="AL128" i="2"/>
  <c r="BC128" i="2" s="1"/>
  <c r="AK128" i="2"/>
  <c r="BB128" i="2" s="1"/>
  <c r="AJ128" i="2"/>
  <c r="BA128" i="2" s="1"/>
  <c r="AI128" i="2"/>
  <c r="AZ128" i="2" s="1"/>
  <c r="AH128" i="2"/>
  <c r="AY128" i="2" s="1"/>
  <c r="AG128" i="2"/>
  <c r="AF128" i="2"/>
  <c r="AE128" i="2"/>
  <c r="AD128" i="2"/>
  <c r="AD296" i="2" s="1"/>
  <c r="AN146" i="20" s="1"/>
  <c r="W146" i="20" s="1"/>
  <c r="AC128" i="2"/>
  <c r="AB128" i="2"/>
  <c r="AO127" i="2"/>
  <c r="BF127" i="2" s="1"/>
  <c r="AN127" i="2"/>
  <c r="BE127" i="2" s="1"/>
  <c r="AM127" i="2"/>
  <c r="BD127" i="2" s="1"/>
  <c r="AL127" i="2"/>
  <c r="BC127" i="2" s="1"/>
  <c r="AK127" i="2"/>
  <c r="BB127" i="2" s="1"/>
  <c r="AJ127" i="2"/>
  <c r="BA127" i="2" s="1"/>
  <c r="AI127" i="2"/>
  <c r="AZ127" i="2" s="1"/>
  <c r="AH127" i="2"/>
  <c r="AY127" i="2" s="1"/>
  <c r="AG127" i="2"/>
  <c r="AX127" i="2" s="1"/>
  <c r="AF127" i="2"/>
  <c r="AW127" i="2" s="1"/>
  <c r="AE127" i="2"/>
  <c r="AV127" i="2" s="1"/>
  <c r="AD127" i="2"/>
  <c r="AU127" i="2" s="1"/>
  <c r="AC127" i="2"/>
  <c r="AT127" i="2" s="1"/>
  <c r="AB127" i="2"/>
  <c r="AO126" i="2"/>
  <c r="BF126" i="2" s="1"/>
  <c r="AN126" i="2"/>
  <c r="BE126" i="2" s="1"/>
  <c r="AM126" i="2"/>
  <c r="BD126" i="2" s="1"/>
  <c r="AL126" i="2"/>
  <c r="BC126" i="2" s="1"/>
  <c r="AK126" i="2"/>
  <c r="BB126" i="2" s="1"/>
  <c r="AJ126" i="2"/>
  <c r="BA126" i="2" s="1"/>
  <c r="AI126" i="2"/>
  <c r="AZ126" i="2" s="1"/>
  <c r="AH126" i="2"/>
  <c r="AY126" i="2" s="1"/>
  <c r="AG126" i="2"/>
  <c r="AX126" i="2" s="1"/>
  <c r="AF126" i="2"/>
  <c r="AW126" i="2" s="1"/>
  <c r="AE126" i="2"/>
  <c r="AV126" i="2" s="1"/>
  <c r="AD126" i="2"/>
  <c r="AU126" i="2" s="1"/>
  <c r="AC126" i="2"/>
  <c r="AT126" i="2" s="1"/>
  <c r="AB126" i="2"/>
  <c r="AO125" i="2"/>
  <c r="AX117" i="20" s="1"/>
  <c r="AN125" i="2"/>
  <c r="AW117" i="20" s="1"/>
  <c r="AM125" i="2"/>
  <c r="AV117" i="20" s="1"/>
  <c r="AL125" i="2"/>
  <c r="AU117" i="20" s="1"/>
  <c r="AK125" i="2"/>
  <c r="AT117" i="20" s="1"/>
  <c r="AJ125" i="2"/>
  <c r="AS117" i="20" s="1"/>
  <c r="AI125" i="2"/>
  <c r="AR117" i="20" s="1"/>
  <c r="AH125" i="2"/>
  <c r="AQ117" i="20" s="1"/>
  <c r="AG125" i="2"/>
  <c r="AP117" i="20" s="1"/>
  <c r="AF125" i="2"/>
  <c r="AO117" i="20" s="1"/>
  <c r="AE125" i="2"/>
  <c r="AN117" i="20" s="1"/>
  <c r="AD125" i="2"/>
  <c r="AM117" i="20" s="1"/>
  <c r="AC125" i="2"/>
  <c r="AT125" i="2" s="1"/>
  <c r="AB125" i="2"/>
  <c r="AO124" i="2"/>
  <c r="AX113" i="20" s="1"/>
  <c r="AN124" i="2"/>
  <c r="AW113" i="20" s="1"/>
  <c r="AM124" i="2"/>
  <c r="AV113" i="20" s="1"/>
  <c r="AL124" i="2"/>
  <c r="AU113" i="20" s="1"/>
  <c r="AK124" i="2"/>
  <c r="AT113" i="20" s="1"/>
  <c r="AJ124" i="2"/>
  <c r="AS113" i="20" s="1"/>
  <c r="AI124" i="2"/>
  <c r="AR113" i="20" s="1"/>
  <c r="AH124" i="2"/>
  <c r="AQ113" i="20" s="1"/>
  <c r="AG124" i="2"/>
  <c r="AP113" i="20" s="1"/>
  <c r="AF124" i="2"/>
  <c r="AO113" i="20" s="1"/>
  <c r="AE124" i="2"/>
  <c r="AN113" i="20" s="1"/>
  <c r="AD124" i="2"/>
  <c r="AM113" i="20" s="1"/>
  <c r="AC124" i="2"/>
  <c r="AT124" i="2" s="1"/>
  <c r="AB124" i="2"/>
  <c r="AO123" i="2"/>
  <c r="AX112" i="20" s="1"/>
  <c r="AN123" i="2"/>
  <c r="AW112" i="20" s="1"/>
  <c r="AM123" i="2"/>
  <c r="AV112" i="20" s="1"/>
  <c r="AL123" i="2"/>
  <c r="AU112" i="20" s="1"/>
  <c r="AK123" i="2"/>
  <c r="AT112" i="20" s="1"/>
  <c r="AJ123" i="2"/>
  <c r="AS112" i="20" s="1"/>
  <c r="AI123" i="2"/>
  <c r="AR112" i="20" s="1"/>
  <c r="AH123" i="2"/>
  <c r="AQ112" i="20" s="1"/>
  <c r="AG123" i="2"/>
  <c r="AP112" i="20" s="1"/>
  <c r="AF123" i="2"/>
  <c r="AO112" i="20" s="1"/>
  <c r="AE123" i="2"/>
  <c r="AN112" i="20" s="1"/>
  <c r="AD123" i="2"/>
  <c r="AM112" i="20" s="1"/>
  <c r="AC123" i="2"/>
  <c r="AT123" i="2" s="1"/>
  <c r="AB123" i="2"/>
  <c r="O123" i="2"/>
  <c r="N123" i="2"/>
  <c r="M123" i="2"/>
  <c r="AO122" i="2"/>
  <c r="AX111" i="20" s="1"/>
  <c r="AN122" i="2"/>
  <c r="AW111" i="20" s="1"/>
  <c r="AM122" i="2"/>
  <c r="AV111" i="20" s="1"/>
  <c r="AL122" i="2"/>
  <c r="AU111" i="20" s="1"/>
  <c r="AK122" i="2"/>
  <c r="AT111" i="20" s="1"/>
  <c r="AJ122" i="2"/>
  <c r="AS111" i="20" s="1"/>
  <c r="AI122" i="2"/>
  <c r="AR111" i="20" s="1"/>
  <c r="AH122" i="2"/>
  <c r="AQ111" i="20" s="1"/>
  <c r="AG122" i="2"/>
  <c r="AP111" i="20" s="1"/>
  <c r="AF122" i="2"/>
  <c r="AO111" i="20" s="1"/>
  <c r="AE122" i="2"/>
  <c r="AN111" i="20" s="1"/>
  <c r="AD122" i="2"/>
  <c r="AM111" i="20" s="1"/>
  <c r="AC122" i="2"/>
  <c r="AT122" i="2" s="1"/>
  <c r="AB122" i="2"/>
  <c r="AO121" i="2"/>
  <c r="AX110" i="20" s="1"/>
  <c r="AN121" i="2"/>
  <c r="AW110" i="20" s="1"/>
  <c r="AM121" i="2"/>
  <c r="AV110" i="20" s="1"/>
  <c r="AL121" i="2"/>
  <c r="AU110" i="20" s="1"/>
  <c r="AK121" i="2"/>
  <c r="AT110" i="20" s="1"/>
  <c r="AJ121" i="2"/>
  <c r="AS110" i="20" s="1"/>
  <c r="AI121" i="2"/>
  <c r="AR110" i="20" s="1"/>
  <c r="AH121" i="2"/>
  <c r="AQ110" i="20" s="1"/>
  <c r="AG121" i="2"/>
  <c r="AP110" i="20" s="1"/>
  <c r="AF121" i="2"/>
  <c r="AO110" i="20" s="1"/>
  <c r="AE121" i="2"/>
  <c r="AN110" i="20" s="1"/>
  <c r="AD121" i="2"/>
  <c r="AM110" i="20" s="1"/>
  <c r="AC121" i="2"/>
  <c r="AT121" i="2" s="1"/>
  <c r="AB121" i="2"/>
  <c r="O121" i="2"/>
  <c r="N121" i="2"/>
  <c r="M121" i="2"/>
  <c r="AO120" i="2"/>
  <c r="AX109" i="20" s="1"/>
  <c r="AN120" i="2"/>
  <c r="AW109" i="20" s="1"/>
  <c r="AM120" i="2"/>
  <c r="AV109" i="20" s="1"/>
  <c r="AL120" i="2"/>
  <c r="AU109" i="20" s="1"/>
  <c r="AK120" i="2"/>
  <c r="AT109" i="20" s="1"/>
  <c r="AJ120" i="2"/>
  <c r="AS109" i="20" s="1"/>
  <c r="AI120" i="2"/>
  <c r="AR109" i="20" s="1"/>
  <c r="AH120" i="2"/>
  <c r="AQ109" i="20" s="1"/>
  <c r="AG120" i="2"/>
  <c r="AP109" i="20" s="1"/>
  <c r="AF120" i="2"/>
  <c r="AO109" i="20" s="1"/>
  <c r="AE120" i="2"/>
  <c r="AN109" i="20" s="1"/>
  <c r="AD120" i="2"/>
  <c r="AM109" i="20" s="1"/>
  <c r="AC120" i="2"/>
  <c r="AT120" i="2" s="1"/>
  <c r="AB120" i="2"/>
  <c r="AO119" i="2"/>
  <c r="AX107" i="20" s="1"/>
  <c r="AN119" i="2"/>
  <c r="AW107" i="20" s="1"/>
  <c r="AM119" i="2"/>
  <c r="AV107" i="20" s="1"/>
  <c r="AL119" i="2"/>
  <c r="AU107" i="20" s="1"/>
  <c r="AK119" i="2"/>
  <c r="AT107" i="20" s="1"/>
  <c r="AJ119" i="2"/>
  <c r="AS107" i="20" s="1"/>
  <c r="AI119" i="2"/>
  <c r="AR107" i="20" s="1"/>
  <c r="AH119" i="2"/>
  <c r="AQ107" i="20" s="1"/>
  <c r="AG119" i="2"/>
  <c r="AP107" i="20" s="1"/>
  <c r="AF119" i="2"/>
  <c r="AO107" i="20" s="1"/>
  <c r="AE119" i="2"/>
  <c r="AN107" i="20" s="1"/>
  <c r="AD119" i="2"/>
  <c r="AM107" i="20" s="1"/>
  <c r="AC119" i="2"/>
  <c r="AT119" i="2" s="1"/>
  <c r="AB119" i="2"/>
  <c r="AO118" i="2"/>
  <c r="AX106" i="20" s="1"/>
  <c r="AN118" i="2"/>
  <c r="AW106" i="20" s="1"/>
  <c r="AM118" i="2"/>
  <c r="AV106" i="20" s="1"/>
  <c r="AL118" i="2"/>
  <c r="AU106" i="20" s="1"/>
  <c r="AK118" i="2"/>
  <c r="AT106" i="20" s="1"/>
  <c r="AJ118" i="2"/>
  <c r="AS106" i="20" s="1"/>
  <c r="AI118" i="2"/>
  <c r="AR106" i="20" s="1"/>
  <c r="AH118" i="2"/>
  <c r="AQ106" i="20" s="1"/>
  <c r="AG118" i="2"/>
  <c r="AP106" i="20" s="1"/>
  <c r="AF118" i="2"/>
  <c r="AO106" i="20" s="1"/>
  <c r="AE118" i="2"/>
  <c r="AN106" i="20" s="1"/>
  <c r="AD118" i="2"/>
  <c r="AM106" i="20" s="1"/>
  <c r="AC118" i="2"/>
  <c r="AT118" i="2" s="1"/>
  <c r="AB118" i="2"/>
  <c r="AO117" i="2"/>
  <c r="AX105" i="20" s="1"/>
  <c r="AN117" i="2"/>
  <c r="AW105" i="20" s="1"/>
  <c r="AM117" i="2"/>
  <c r="AV105" i="20" s="1"/>
  <c r="AL117" i="2"/>
  <c r="AU105" i="20" s="1"/>
  <c r="AK117" i="2"/>
  <c r="AT105" i="20" s="1"/>
  <c r="AJ117" i="2"/>
  <c r="AS105" i="20" s="1"/>
  <c r="AI117" i="2"/>
  <c r="AR105" i="20" s="1"/>
  <c r="AH117" i="2"/>
  <c r="AQ105" i="20" s="1"/>
  <c r="AG117" i="2"/>
  <c r="AP105" i="20" s="1"/>
  <c r="AF117" i="2"/>
  <c r="AO105" i="20" s="1"/>
  <c r="AE117" i="2"/>
  <c r="AN105" i="20" s="1"/>
  <c r="AD117" i="2"/>
  <c r="AM105" i="20" s="1"/>
  <c r="AC117" i="2"/>
  <c r="AT117" i="2" s="1"/>
  <c r="AB117" i="2"/>
  <c r="AO116" i="2"/>
  <c r="AX104" i="20" s="1"/>
  <c r="AN116" i="2"/>
  <c r="AW104" i="20" s="1"/>
  <c r="AM116" i="2"/>
  <c r="AV104" i="20" s="1"/>
  <c r="AL116" i="2"/>
  <c r="AU104" i="20" s="1"/>
  <c r="AK116" i="2"/>
  <c r="AT104" i="20" s="1"/>
  <c r="AJ116" i="2"/>
  <c r="AS104" i="20" s="1"/>
  <c r="AI116" i="2"/>
  <c r="AR104" i="20" s="1"/>
  <c r="AH116" i="2"/>
  <c r="AQ104" i="20" s="1"/>
  <c r="AG116" i="2"/>
  <c r="AP104" i="20" s="1"/>
  <c r="AF116" i="2"/>
  <c r="AO104" i="20" s="1"/>
  <c r="AE116" i="2"/>
  <c r="AN104" i="20" s="1"/>
  <c r="AD116" i="2"/>
  <c r="AM104" i="20" s="1"/>
  <c r="AC116" i="2"/>
  <c r="AT116" i="2" s="1"/>
  <c r="AB116" i="2"/>
  <c r="L116" i="2"/>
  <c r="AO115" i="2"/>
  <c r="AX103" i="20" s="1"/>
  <c r="AN115" i="2"/>
  <c r="AW103" i="20" s="1"/>
  <c r="AM115" i="2"/>
  <c r="AV103" i="20" s="1"/>
  <c r="AL115" i="2"/>
  <c r="AU103" i="20" s="1"/>
  <c r="AK115" i="2"/>
  <c r="AT103" i="20" s="1"/>
  <c r="AJ115" i="2"/>
  <c r="AS103" i="20" s="1"/>
  <c r="AI115" i="2"/>
  <c r="AR103" i="20" s="1"/>
  <c r="AH115" i="2"/>
  <c r="AQ103" i="20" s="1"/>
  <c r="AG115" i="2"/>
  <c r="AP103" i="20" s="1"/>
  <c r="AF115" i="2"/>
  <c r="AO103" i="20" s="1"/>
  <c r="AE115" i="2"/>
  <c r="AN103" i="20" s="1"/>
  <c r="AD115" i="2"/>
  <c r="AM103" i="20" s="1"/>
  <c r="AC115" i="2"/>
  <c r="AT115" i="2" s="1"/>
  <c r="AB115" i="2"/>
  <c r="M115" i="2"/>
  <c r="BD115" i="2" s="1"/>
  <c r="AO114" i="2"/>
  <c r="BF114" i="2" s="1"/>
  <c r="AN114" i="2"/>
  <c r="BE114" i="2" s="1"/>
  <c r="AM114" i="2"/>
  <c r="BD114" i="2" s="1"/>
  <c r="AL114" i="2"/>
  <c r="BC114" i="2" s="1"/>
  <c r="AK114" i="2"/>
  <c r="BB114" i="2" s="1"/>
  <c r="AJ114" i="2"/>
  <c r="BA114" i="2" s="1"/>
  <c r="AI114" i="2"/>
  <c r="AZ114" i="2" s="1"/>
  <c r="AH114" i="2"/>
  <c r="AY114" i="2" s="1"/>
  <c r="AG114" i="2"/>
  <c r="AX114" i="2" s="1"/>
  <c r="AF114" i="2"/>
  <c r="AW114" i="2" s="1"/>
  <c r="AE114" i="2"/>
  <c r="AV114" i="2" s="1"/>
  <c r="AD114" i="2"/>
  <c r="AU114" i="2" s="1"/>
  <c r="AC114" i="2"/>
  <c r="AT114" i="2" s="1"/>
  <c r="AB114" i="2"/>
  <c r="AO113" i="2"/>
  <c r="BF113" i="2" s="1"/>
  <c r="AN113" i="2"/>
  <c r="BE113" i="2" s="1"/>
  <c r="AM113" i="2"/>
  <c r="BD113" i="2" s="1"/>
  <c r="AL113" i="2"/>
  <c r="BC113" i="2" s="1"/>
  <c r="AK113" i="2"/>
  <c r="BB113" i="2" s="1"/>
  <c r="AJ113" i="2"/>
  <c r="BA113" i="2" s="1"/>
  <c r="AI113" i="2"/>
  <c r="AZ113" i="2" s="1"/>
  <c r="AH113" i="2"/>
  <c r="AY113" i="2" s="1"/>
  <c r="AG113" i="2"/>
  <c r="AX113" i="2" s="1"/>
  <c r="AF113" i="2"/>
  <c r="AW113" i="2" s="1"/>
  <c r="AE113" i="2"/>
  <c r="AV113" i="2" s="1"/>
  <c r="AD113" i="2"/>
  <c r="AU113" i="2" s="1"/>
  <c r="AC113" i="2"/>
  <c r="AT113" i="2" s="1"/>
  <c r="AB113" i="2"/>
  <c r="AO112" i="2"/>
  <c r="BF112" i="2" s="1"/>
  <c r="AN112" i="2"/>
  <c r="BE112" i="2" s="1"/>
  <c r="AM112" i="2"/>
  <c r="BD112" i="2" s="1"/>
  <c r="AL112" i="2"/>
  <c r="BC112" i="2" s="1"/>
  <c r="AK112" i="2"/>
  <c r="BB112" i="2" s="1"/>
  <c r="AJ112" i="2"/>
  <c r="BA112" i="2" s="1"/>
  <c r="AI112" i="2"/>
  <c r="AZ112" i="2" s="1"/>
  <c r="AH112" i="2"/>
  <c r="AY112" i="2" s="1"/>
  <c r="AG112" i="2"/>
  <c r="AF112" i="2"/>
  <c r="AE112" i="2"/>
  <c r="AD112" i="2"/>
  <c r="AD295" i="2" s="1"/>
  <c r="AC112" i="2"/>
  <c r="AB112" i="2"/>
  <c r="AO111" i="2"/>
  <c r="BF111" i="2" s="1"/>
  <c r="AN111" i="2"/>
  <c r="BE111" i="2" s="1"/>
  <c r="AM111" i="2"/>
  <c r="BD111" i="2" s="1"/>
  <c r="AL111" i="2"/>
  <c r="BC111" i="2" s="1"/>
  <c r="AK111" i="2"/>
  <c r="BB111" i="2" s="1"/>
  <c r="AJ111" i="2"/>
  <c r="BA111" i="2" s="1"/>
  <c r="AI111" i="2"/>
  <c r="AZ111" i="2" s="1"/>
  <c r="AH111" i="2"/>
  <c r="AY111" i="2" s="1"/>
  <c r="AG111" i="2"/>
  <c r="AF111" i="2"/>
  <c r="AE111" i="2"/>
  <c r="AD111" i="2"/>
  <c r="AD294" i="2" s="1"/>
  <c r="AC111" i="2"/>
  <c r="AB111" i="2"/>
  <c r="AO110" i="2"/>
  <c r="BF110" i="2" s="1"/>
  <c r="AN110" i="2"/>
  <c r="BE110" i="2" s="1"/>
  <c r="AM110" i="2"/>
  <c r="BD110" i="2" s="1"/>
  <c r="AL110" i="2"/>
  <c r="BC110" i="2" s="1"/>
  <c r="AK110" i="2"/>
  <c r="BB110" i="2" s="1"/>
  <c r="AJ110" i="2"/>
  <c r="BA110" i="2" s="1"/>
  <c r="AI110" i="2"/>
  <c r="AZ110" i="2" s="1"/>
  <c r="AH110" i="2"/>
  <c r="AY110" i="2" s="1"/>
  <c r="AG110" i="2"/>
  <c r="AF110" i="2"/>
  <c r="AE110" i="2"/>
  <c r="AD110" i="2"/>
  <c r="AC110" i="2"/>
  <c r="AB110" i="2"/>
  <c r="AO109" i="2"/>
  <c r="BF109" i="2" s="1"/>
  <c r="AN109" i="2"/>
  <c r="BE109" i="2" s="1"/>
  <c r="AM109" i="2"/>
  <c r="BD109" i="2" s="1"/>
  <c r="AL109" i="2"/>
  <c r="BC109" i="2" s="1"/>
  <c r="AK109" i="2"/>
  <c r="BB109" i="2" s="1"/>
  <c r="AJ109" i="2"/>
  <c r="BA109" i="2" s="1"/>
  <c r="AI109" i="2"/>
  <c r="AZ109" i="2" s="1"/>
  <c r="AH109" i="2"/>
  <c r="AY109" i="2" s="1"/>
  <c r="AG109" i="2"/>
  <c r="AF109" i="2"/>
  <c r="AE109" i="2"/>
  <c r="AD109" i="2"/>
  <c r="AD292" i="2" s="1"/>
  <c r="AC109" i="2"/>
  <c r="AB109" i="2"/>
  <c r="AO108" i="2"/>
  <c r="BF108" i="2" s="1"/>
  <c r="AN108" i="2"/>
  <c r="BE108" i="2" s="1"/>
  <c r="AM108" i="2"/>
  <c r="BD108" i="2" s="1"/>
  <c r="AL108" i="2"/>
  <c r="BC108" i="2" s="1"/>
  <c r="AK108" i="2"/>
  <c r="BB108" i="2" s="1"/>
  <c r="AJ108" i="2"/>
  <c r="BA108" i="2" s="1"/>
  <c r="AI108" i="2"/>
  <c r="AZ108" i="2" s="1"/>
  <c r="AH108" i="2"/>
  <c r="AY108" i="2" s="1"/>
  <c r="AG108" i="2"/>
  <c r="AF108" i="2"/>
  <c r="AE108" i="2"/>
  <c r="AD108" i="2"/>
  <c r="AC108" i="2"/>
  <c r="AB108" i="2"/>
  <c r="AO107" i="2"/>
  <c r="BF107" i="2" s="1"/>
  <c r="AN107" i="2"/>
  <c r="BE107" i="2" s="1"/>
  <c r="AM107" i="2"/>
  <c r="BD107" i="2" s="1"/>
  <c r="AL107" i="2"/>
  <c r="BC107" i="2" s="1"/>
  <c r="AK107" i="2"/>
  <c r="BB107" i="2" s="1"/>
  <c r="AJ107" i="2"/>
  <c r="BA107" i="2" s="1"/>
  <c r="AI107" i="2"/>
  <c r="AZ107" i="2" s="1"/>
  <c r="AH107" i="2"/>
  <c r="AY107" i="2" s="1"/>
  <c r="AG107" i="2"/>
  <c r="AF107" i="2"/>
  <c r="AE107" i="2"/>
  <c r="AD107" i="2"/>
  <c r="AC107" i="2"/>
  <c r="AB107" i="2"/>
  <c r="AO106" i="2"/>
  <c r="BF106" i="2" s="1"/>
  <c r="AN106" i="2"/>
  <c r="BE106" i="2" s="1"/>
  <c r="AM106" i="2"/>
  <c r="BD106" i="2" s="1"/>
  <c r="AL106" i="2"/>
  <c r="BC106" i="2" s="1"/>
  <c r="AK106" i="2"/>
  <c r="BB106" i="2" s="1"/>
  <c r="AJ106" i="2"/>
  <c r="BA106" i="2" s="1"/>
  <c r="AI106" i="2"/>
  <c r="AZ106" i="2" s="1"/>
  <c r="AH106" i="2"/>
  <c r="AY106" i="2" s="1"/>
  <c r="AG106" i="2"/>
  <c r="AF106" i="2"/>
  <c r="AE106" i="2"/>
  <c r="AD106" i="2"/>
  <c r="AD289" i="2" s="1"/>
  <c r="AN153" i="20" s="1"/>
  <c r="W153" i="20" s="1"/>
  <c r="AC106" i="2"/>
  <c r="AB106" i="2"/>
  <c r="AO105" i="2"/>
  <c r="BF105" i="2" s="1"/>
  <c r="AN105" i="2"/>
  <c r="BE105" i="2" s="1"/>
  <c r="AM105" i="2"/>
  <c r="BD105" i="2" s="1"/>
  <c r="AL105" i="2"/>
  <c r="BC105" i="2" s="1"/>
  <c r="AK105" i="2"/>
  <c r="BB105" i="2" s="1"/>
  <c r="AJ105" i="2"/>
  <c r="BA105" i="2" s="1"/>
  <c r="AI105" i="2"/>
  <c r="AZ105" i="2" s="1"/>
  <c r="AH105" i="2"/>
  <c r="AY105" i="2" s="1"/>
  <c r="AG105" i="2"/>
  <c r="AF105" i="2"/>
  <c r="AE105" i="2"/>
  <c r="AD105" i="2"/>
  <c r="AD288" i="2" s="1"/>
  <c r="AN152" i="20" s="1"/>
  <c r="W152" i="20" s="1"/>
  <c r="AC105" i="2"/>
  <c r="AB105" i="2"/>
  <c r="AO104" i="2"/>
  <c r="BF104" i="2" s="1"/>
  <c r="AN104" i="2"/>
  <c r="BE104" i="2" s="1"/>
  <c r="AM104" i="2"/>
  <c r="BD104" i="2" s="1"/>
  <c r="AL104" i="2"/>
  <c r="BC104" i="2" s="1"/>
  <c r="AK104" i="2"/>
  <c r="BB104" i="2" s="1"/>
  <c r="AJ104" i="2"/>
  <c r="BA104" i="2" s="1"/>
  <c r="AI104" i="2"/>
  <c r="AZ104" i="2" s="1"/>
  <c r="AH104" i="2"/>
  <c r="AY104" i="2" s="1"/>
  <c r="AG104" i="2"/>
  <c r="AF104" i="2"/>
  <c r="AE104" i="2"/>
  <c r="AD104" i="2"/>
  <c r="AD287" i="2" s="1"/>
  <c r="AN149" i="20" s="1"/>
  <c r="W149" i="20" s="1"/>
  <c r="AC104" i="2"/>
  <c r="AB104" i="2"/>
  <c r="AO103" i="2"/>
  <c r="BF103" i="2" s="1"/>
  <c r="AN103" i="2"/>
  <c r="BE103" i="2" s="1"/>
  <c r="AM103" i="2"/>
  <c r="BD103" i="2" s="1"/>
  <c r="AL103" i="2"/>
  <c r="BC103" i="2" s="1"/>
  <c r="AK103" i="2"/>
  <c r="BB103" i="2" s="1"/>
  <c r="AJ103" i="2"/>
  <c r="BA103" i="2" s="1"/>
  <c r="AI103" i="2"/>
  <c r="AZ103" i="2" s="1"/>
  <c r="AH103" i="2"/>
  <c r="AY103" i="2" s="1"/>
  <c r="AG103" i="2"/>
  <c r="AF103" i="2"/>
  <c r="AE103" i="2"/>
  <c r="AD103" i="2"/>
  <c r="AC103" i="2"/>
  <c r="AB103" i="2"/>
  <c r="AO102" i="2"/>
  <c r="BF102" i="2" s="1"/>
  <c r="AN102" i="2"/>
  <c r="BE102" i="2" s="1"/>
  <c r="AM102" i="2"/>
  <c r="BD102" i="2" s="1"/>
  <c r="AL102" i="2"/>
  <c r="BC102" i="2" s="1"/>
  <c r="AK102" i="2"/>
  <c r="BB102" i="2" s="1"/>
  <c r="AJ102" i="2"/>
  <c r="BA102" i="2" s="1"/>
  <c r="AI102" i="2"/>
  <c r="AZ102" i="2" s="1"/>
  <c r="AH102" i="2"/>
  <c r="AY102" i="2" s="1"/>
  <c r="AG102" i="2"/>
  <c r="AF102" i="2"/>
  <c r="AE102" i="2"/>
  <c r="AD102" i="2"/>
  <c r="AD285" i="2" s="1"/>
  <c r="AC102" i="2"/>
  <c r="AB102" i="2"/>
  <c r="AO101" i="2"/>
  <c r="BF101" i="2" s="1"/>
  <c r="AN101" i="2"/>
  <c r="BE101" i="2" s="1"/>
  <c r="AM101" i="2"/>
  <c r="BD101" i="2" s="1"/>
  <c r="AL101" i="2"/>
  <c r="BC101" i="2" s="1"/>
  <c r="AK101" i="2"/>
  <c r="BB101" i="2" s="1"/>
  <c r="AJ101" i="2"/>
  <c r="BA101" i="2" s="1"/>
  <c r="AI101" i="2"/>
  <c r="AZ101" i="2" s="1"/>
  <c r="AH101" i="2"/>
  <c r="AY101" i="2" s="1"/>
  <c r="AG101" i="2"/>
  <c r="AF101" i="2"/>
  <c r="AE101" i="2"/>
  <c r="AD101" i="2"/>
  <c r="AC101" i="2"/>
  <c r="AB101" i="2"/>
  <c r="AD100" i="2"/>
  <c r="AE100" i="2" s="1"/>
  <c r="AF100" i="2" s="1"/>
  <c r="AG100" i="2" s="1"/>
  <c r="AC100" i="2"/>
  <c r="C100" i="2"/>
  <c r="C256" i="2" s="1"/>
  <c r="AO99" i="2"/>
  <c r="AN99" i="2"/>
  <c r="AM99" i="2"/>
  <c r="AL99" i="2"/>
  <c r="AK99" i="2"/>
  <c r="AJ99" i="2"/>
  <c r="AI99" i="2"/>
  <c r="AH99" i="2"/>
  <c r="AG99" i="2"/>
  <c r="AF99" i="2"/>
  <c r="AE99" i="2"/>
  <c r="AD99" i="2"/>
  <c r="O99" i="2"/>
  <c r="N99" i="2"/>
  <c r="M99" i="2"/>
  <c r="L99" i="2"/>
  <c r="K99" i="2"/>
  <c r="J99" i="2"/>
  <c r="I99" i="2"/>
  <c r="H99" i="2"/>
  <c r="G99" i="2"/>
  <c r="F99" i="2"/>
  <c r="E99" i="2"/>
  <c r="D99" i="2"/>
  <c r="AO98" i="2"/>
  <c r="AN98" i="2"/>
  <c r="AM98" i="2"/>
  <c r="AL98" i="2"/>
  <c r="AK98" i="2"/>
  <c r="AJ98" i="2"/>
  <c r="AI98" i="2"/>
  <c r="AH98" i="2"/>
  <c r="AG98" i="2"/>
  <c r="AF98" i="2"/>
  <c r="AE98" i="2"/>
  <c r="AD98" i="2"/>
  <c r="O98" i="2"/>
  <c r="N98" i="2"/>
  <c r="M98" i="2"/>
  <c r="L98" i="2"/>
  <c r="K98" i="2"/>
  <c r="J98" i="2"/>
  <c r="I98" i="2"/>
  <c r="H98" i="2"/>
  <c r="G98" i="2"/>
  <c r="F98" i="2"/>
  <c r="E98" i="2"/>
  <c r="D98" i="2"/>
  <c r="AU548" i="20"/>
  <c r="AD548" i="20"/>
  <c r="M548" i="20"/>
  <c r="AM537" i="20"/>
  <c r="AP537" i="20" s="1"/>
  <c r="AR537" i="20" s="1"/>
  <c r="AT537" i="20" s="1"/>
  <c r="V537" i="20"/>
  <c r="Y537" i="20" s="1"/>
  <c r="AA537" i="20" s="1"/>
  <c r="AC537" i="20" s="1"/>
  <c r="AT536" i="20"/>
  <c r="AK536" i="20"/>
  <c r="AC536" i="20"/>
  <c r="T536" i="20"/>
  <c r="L536" i="20"/>
  <c r="C536" i="20"/>
  <c r="AK535" i="20"/>
  <c r="T535" i="20"/>
  <c r="C535" i="20"/>
  <c r="AT524" i="20"/>
  <c r="AC524" i="20"/>
  <c r="L524" i="20"/>
  <c r="AM501" i="20"/>
  <c r="AO501" i="20" s="1"/>
  <c r="AQ501" i="20" s="1"/>
  <c r="AS501" i="20" s="1"/>
  <c r="V501" i="20"/>
  <c r="X501" i="20" s="1"/>
  <c r="Z501" i="20" s="1"/>
  <c r="AB501" i="20" s="1"/>
  <c r="AS500" i="20"/>
  <c r="AB500" i="20"/>
  <c r="K500" i="20"/>
  <c r="AK499" i="20"/>
  <c r="T499" i="20"/>
  <c r="C499" i="20"/>
  <c r="AK498" i="20"/>
  <c r="T498" i="20"/>
  <c r="C498" i="20"/>
  <c r="AU492" i="20"/>
  <c r="AD492" i="20"/>
  <c r="M492" i="20"/>
  <c r="AN481" i="20"/>
  <c r="AP481" i="20" s="1"/>
  <c r="AR481" i="20" s="1"/>
  <c r="AT481" i="20" s="1"/>
  <c r="W481" i="20"/>
  <c r="Y481" i="20" s="1"/>
  <c r="AA481" i="20" s="1"/>
  <c r="AC481" i="20" s="1"/>
  <c r="AT480" i="20"/>
  <c r="AC480" i="20"/>
  <c r="L480" i="20"/>
  <c r="AK479" i="20"/>
  <c r="T479" i="20"/>
  <c r="C479" i="20"/>
  <c r="AK478" i="20"/>
  <c r="T478" i="20"/>
  <c r="C478" i="20"/>
  <c r="AT471" i="20"/>
  <c r="AC471" i="20"/>
  <c r="L471" i="20"/>
  <c r="AC470" i="20"/>
  <c r="AA470" i="20"/>
  <c r="Y470" i="20"/>
  <c r="K470" i="20"/>
  <c r="AC469" i="20"/>
  <c r="AA469" i="20"/>
  <c r="Y469" i="20"/>
  <c r="AC468" i="20"/>
  <c r="AB468" i="20"/>
  <c r="AA468" i="20"/>
  <c r="Z468" i="20"/>
  <c r="Y468" i="20"/>
  <c r="AC467" i="20"/>
  <c r="AA467" i="20"/>
  <c r="Y467" i="20"/>
  <c r="AC466" i="20"/>
  <c r="AB466" i="20"/>
  <c r="AA466" i="20"/>
  <c r="Z466" i="20"/>
  <c r="Y466" i="20"/>
  <c r="G466" i="20"/>
  <c r="AC464" i="20"/>
  <c r="AA464" i="20"/>
  <c r="Y464" i="20"/>
  <c r="K464" i="20"/>
  <c r="AC463" i="20"/>
  <c r="AA463" i="20"/>
  <c r="Y463" i="20"/>
  <c r="AC462" i="20"/>
  <c r="AB462" i="20"/>
  <c r="AA462" i="20"/>
  <c r="Z462" i="20"/>
  <c r="Y462" i="20"/>
  <c r="AC461" i="20"/>
  <c r="AA461" i="20"/>
  <c r="Y461" i="20"/>
  <c r="AC460" i="20"/>
  <c r="AB460" i="20"/>
  <c r="AA460" i="20"/>
  <c r="Z460" i="20"/>
  <c r="Y460" i="20"/>
  <c r="G460" i="20"/>
  <c r="AC458" i="20"/>
  <c r="AA458" i="20"/>
  <c r="Y458" i="20"/>
  <c r="K458" i="20"/>
  <c r="AC457" i="20"/>
  <c r="AA457" i="20"/>
  <c r="Y457" i="20"/>
  <c r="AC456" i="20"/>
  <c r="AB456" i="20"/>
  <c r="AA456" i="20"/>
  <c r="Z456" i="20"/>
  <c r="Y456" i="20"/>
  <c r="AC455" i="20"/>
  <c r="AA455" i="20"/>
  <c r="Y455" i="20"/>
  <c r="AC454" i="20"/>
  <c r="AB454" i="20"/>
  <c r="AA454" i="20"/>
  <c r="Z454" i="20"/>
  <c r="Y454" i="20"/>
  <c r="G454" i="20"/>
  <c r="AO453" i="20"/>
  <c r="X453" i="20"/>
  <c r="X459" i="20" s="1"/>
  <c r="X465" i="20" s="1"/>
  <c r="AS452" i="20"/>
  <c r="AB452" i="20"/>
  <c r="K452" i="20"/>
  <c r="AK451" i="20"/>
  <c r="T451" i="20"/>
  <c r="C451" i="20"/>
  <c r="AU444" i="20"/>
  <c r="AD444" i="20"/>
  <c r="M444" i="20"/>
  <c r="AC443" i="20"/>
  <c r="AA443" i="20"/>
  <c r="Y443" i="20"/>
  <c r="W443" i="20"/>
  <c r="AD428" i="20"/>
  <c r="AB428" i="20"/>
  <c r="Z428" i="20"/>
  <c r="X428" i="20"/>
  <c r="Y405" i="20"/>
  <c r="AA405" i="20" s="1"/>
  <c r="AC405" i="20" s="1"/>
  <c r="W405" i="20"/>
  <c r="AT404" i="20"/>
  <c r="AC404" i="20"/>
  <c r="L404" i="20"/>
  <c r="AK403" i="20"/>
  <c r="T403" i="20"/>
  <c r="C403" i="20"/>
  <c r="AK402" i="20"/>
  <c r="T402" i="20"/>
  <c r="C402" i="20"/>
  <c r="J394" i="20"/>
  <c r="H394" i="20"/>
  <c r="F394" i="20"/>
  <c r="AU390" i="20"/>
  <c r="AD390" i="20"/>
  <c r="M390" i="20"/>
  <c r="AP373" i="20"/>
  <c r="AR373" i="20" s="1"/>
  <c r="AT373" i="20" s="1"/>
  <c r="AN373" i="20"/>
  <c r="Y373" i="20"/>
  <c r="AA373" i="20" s="1"/>
  <c r="AC373" i="20" s="1"/>
  <c r="W373" i="20"/>
  <c r="AT372" i="20"/>
  <c r="AC372" i="20"/>
  <c r="L372" i="20"/>
  <c r="AK371" i="20"/>
  <c r="T371" i="20"/>
  <c r="C371" i="20"/>
  <c r="AK370" i="20"/>
  <c r="T370" i="20"/>
  <c r="C370" i="20"/>
  <c r="AU355" i="20"/>
  <c r="AD355" i="20"/>
  <c r="M355" i="20"/>
  <c r="AN336" i="20"/>
  <c r="AP336" i="20" s="1"/>
  <c r="AR336" i="20" s="1"/>
  <c r="AT336" i="20" s="1"/>
  <c r="W336" i="20"/>
  <c r="Y336" i="20" s="1"/>
  <c r="AA336" i="20" s="1"/>
  <c r="AC336" i="20" s="1"/>
  <c r="AT335" i="20"/>
  <c r="AC335" i="20"/>
  <c r="L335" i="20"/>
  <c r="AK334" i="20"/>
  <c r="T334" i="20"/>
  <c r="C334" i="20"/>
  <c r="AK333" i="20"/>
  <c r="T333" i="20"/>
  <c r="C333" i="20"/>
  <c r="AT318" i="20"/>
  <c r="AC318" i="20"/>
  <c r="L318" i="20"/>
  <c r="AM301" i="20"/>
  <c r="AO301" i="20" s="1"/>
  <c r="AQ301" i="20" s="1"/>
  <c r="AS301" i="20" s="1"/>
  <c r="V301" i="20"/>
  <c r="X301" i="20" s="1"/>
  <c r="Z301" i="20" s="1"/>
  <c r="AB301" i="20" s="1"/>
  <c r="AS300" i="20"/>
  <c r="AB300" i="20"/>
  <c r="K300" i="20"/>
  <c r="AK299" i="20"/>
  <c r="T299" i="20"/>
  <c r="C299" i="20"/>
  <c r="AU285" i="20"/>
  <c r="AD285" i="20"/>
  <c r="M285" i="20"/>
  <c r="T283" i="20"/>
  <c r="C283" i="20"/>
  <c r="T282" i="20"/>
  <c r="C282" i="20"/>
  <c r="T281" i="20"/>
  <c r="C281" i="20"/>
  <c r="T280" i="20"/>
  <c r="C280" i="20"/>
  <c r="T279" i="20"/>
  <c r="C279" i="20"/>
  <c r="AN275" i="20"/>
  <c r="AP275" i="20" s="1"/>
  <c r="AR275" i="20" s="1"/>
  <c r="AT275" i="20" s="1"/>
  <c r="W275" i="20"/>
  <c r="Y275" i="20" s="1"/>
  <c r="AA275" i="20" s="1"/>
  <c r="AC275" i="20" s="1"/>
  <c r="AT274" i="20"/>
  <c r="AC274" i="20"/>
  <c r="L274" i="20"/>
  <c r="AK273" i="20"/>
  <c r="T273" i="20"/>
  <c r="C273" i="20"/>
  <c r="AK272" i="20"/>
  <c r="T272" i="20"/>
  <c r="C272" i="20"/>
  <c r="AP261" i="20"/>
  <c r="Y261" i="20"/>
  <c r="H261" i="20"/>
  <c r="V219" i="20"/>
  <c r="W219" i="20" s="1"/>
  <c r="X219" i="20" s="1"/>
  <c r="Y219" i="20" s="1"/>
  <c r="AO218" i="20"/>
  <c r="X218" i="20"/>
  <c r="G218" i="20"/>
  <c r="AK217" i="20"/>
  <c r="T217" i="20"/>
  <c r="C217" i="20"/>
  <c r="AK216" i="20"/>
  <c r="T216" i="20"/>
  <c r="C216" i="20"/>
  <c r="AU203" i="20"/>
  <c r="AD203" i="20"/>
  <c r="M203" i="20"/>
  <c r="AD191" i="20"/>
  <c r="AB191" i="20"/>
  <c r="Z191" i="20"/>
  <c r="X191" i="20"/>
  <c r="AD190" i="20"/>
  <c r="AB190" i="20"/>
  <c r="Z190" i="20"/>
  <c r="X190" i="20"/>
  <c r="AD189" i="20"/>
  <c r="AB189" i="20"/>
  <c r="Z189" i="20"/>
  <c r="X189" i="20"/>
  <c r="AD188" i="20"/>
  <c r="AB188" i="20"/>
  <c r="Z188" i="20"/>
  <c r="X188" i="20"/>
  <c r="AD178" i="20"/>
  <c r="AB178" i="20"/>
  <c r="Z178" i="20"/>
  <c r="X178" i="20"/>
  <c r="AN172" i="20"/>
  <c r="AP172" i="20" s="1"/>
  <c r="AR172" i="20" s="1"/>
  <c r="AT172" i="20" s="1"/>
  <c r="W172" i="20"/>
  <c r="Y172" i="20" s="1"/>
  <c r="AA172" i="20" s="1"/>
  <c r="AC172" i="20" s="1"/>
  <c r="AT170" i="20"/>
  <c r="AC170" i="20"/>
  <c r="L170" i="20"/>
  <c r="AK169" i="20"/>
  <c r="T169" i="20"/>
  <c r="C169" i="20"/>
  <c r="AK168" i="20"/>
  <c r="T168" i="20"/>
  <c r="C168" i="20"/>
  <c r="AR156" i="20"/>
  <c r="AA156" i="20"/>
  <c r="J156" i="20"/>
  <c r="AN143" i="20"/>
  <c r="AP143" i="20" s="1"/>
  <c r="AQ143" i="20" s="1"/>
  <c r="AR143" i="20" s="1"/>
  <c r="W143" i="20"/>
  <c r="Y143" i="20" s="1"/>
  <c r="Z143" i="20" s="1"/>
  <c r="AA143" i="20" s="1"/>
  <c r="AQ142" i="20"/>
  <c r="Z142" i="20"/>
  <c r="I142" i="20"/>
  <c r="AK140" i="20"/>
  <c r="T140" i="20"/>
  <c r="C140" i="20"/>
  <c r="AK139" i="20"/>
  <c r="T139" i="20"/>
  <c r="C139" i="20"/>
  <c r="AX124" i="20"/>
  <c r="AG124" i="20"/>
  <c r="P124" i="20"/>
  <c r="AM99" i="20"/>
  <c r="AQ99" i="20" s="1"/>
  <c r="AU99" i="20" s="1"/>
  <c r="Z99" i="20"/>
  <c r="AD99" i="20" s="1"/>
  <c r="V99" i="20"/>
  <c r="AW98" i="20"/>
  <c r="AF98" i="20"/>
  <c r="O98" i="20"/>
  <c r="AK96" i="20"/>
  <c r="T96" i="20"/>
  <c r="C96" i="20"/>
  <c r="AK95" i="20"/>
  <c r="T95" i="20"/>
  <c r="C95" i="20"/>
  <c r="AR78" i="20"/>
  <c r="AA78" i="20"/>
  <c r="J78" i="20"/>
  <c r="AN77" i="20"/>
  <c r="F77" i="20"/>
  <c r="AN76" i="20"/>
  <c r="W76" i="20" s="1"/>
  <c r="F76" i="20"/>
  <c r="AN75" i="20"/>
  <c r="W75" i="20" s="1"/>
  <c r="F75" i="20"/>
  <c r="AN73" i="20"/>
  <c r="W73" i="20" s="1"/>
  <c r="F73" i="20"/>
  <c r="AN72" i="20"/>
  <c r="W72" i="20" s="1"/>
  <c r="F72" i="20"/>
  <c r="AN71" i="20"/>
  <c r="W71" i="20" s="1"/>
  <c r="F71" i="20"/>
  <c r="AN70" i="20"/>
  <c r="W70" i="20" s="1"/>
  <c r="F70" i="20"/>
  <c r="AN69" i="20"/>
  <c r="W69" i="20" s="1"/>
  <c r="F69" i="20"/>
  <c r="AN68" i="20"/>
  <c r="W68" i="20" s="1"/>
  <c r="F68" i="20"/>
  <c r="AN67" i="20"/>
  <c r="W67" i="20" s="1"/>
  <c r="F67" i="20"/>
  <c r="AN66" i="20"/>
  <c r="W66" i="20" s="1"/>
  <c r="F66" i="20"/>
  <c r="AN65" i="20"/>
  <c r="W65" i="20" s="1"/>
  <c r="F65" i="20"/>
  <c r="AN64" i="20"/>
  <c r="W64" i="20" s="1"/>
  <c r="F64" i="20"/>
  <c r="AN63" i="20"/>
  <c r="W63" i="20" s="1"/>
  <c r="F63" i="20"/>
  <c r="AN62" i="20"/>
  <c r="W62" i="20" s="1"/>
  <c r="F62" i="20"/>
  <c r="AN61" i="20"/>
  <c r="W61" i="20" s="1"/>
  <c r="F61" i="20"/>
  <c r="AN60" i="20"/>
  <c r="W60" i="20" s="1"/>
  <c r="F60" i="20"/>
  <c r="AN58" i="20"/>
  <c r="AP58" i="20" s="1"/>
  <c r="AQ58" i="20" s="1"/>
  <c r="AR58" i="20" s="1"/>
  <c r="W58" i="20"/>
  <c r="Y58" i="20" s="1"/>
  <c r="Z58" i="20" s="1"/>
  <c r="AA58" i="20" s="1"/>
  <c r="AQ57" i="20"/>
  <c r="Z57" i="20"/>
  <c r="I57" i="20"/>
  <c r="AK55" i="20"/>
  <c r="T55" i="20"/>
  <c r="C55" i="20"/>
  <c r="AK54" i="20"/>
  <c r="T54" i="20"/>
  <c r="C54" i="20"/>
  <c r="AP46" i="20"/>
  <c r="Y46" i="20"/>
  <c r="H46" i="20"/>
  <c r="AM16" i="20"/>
  <c r="AN16" i="20" s="1"/>
  <c r="AO16" i="20" s="1"/>
  <c r="AP16" i="20" s="1"/>
  <c r="V16" i="20"/>
  <c r="W16" i="20" s="1"/>
  <c r="X16" i="20" s="1"/>
  <c r="Y16" i="20" s="1"/>
  <c r="E16" i="20"/>
  <c r="F143" i="20" s="1"/>
  <c r="H143" i="20" s="1"/>
  <c r="I143" i="20" s="1"/>
  <c r="J143" i="20" s="1"/>
  <c r="AO15" i="20"/>
  <c r="X15" i="20"/>
  <c r="G15" i="20"/>
  <c r="AK13" i="20"/>
  <c r="T13" i="20"/>
  <c r="C13" i="20"/>
  <c r="AK12" i="20"/>
  <c r="T12" i="20"/>
  <c r="C12" i="20"/>
  <c r="AK10" i="20"/>
  <c r="T10" i="20"/>
  <c r="C10" i="20"/>
  <c r="W6" i="20"/>
  <c r="W5" i="20"/>
  <c r="W4" i="20"/>
  <c r="W3" i="20"/>
  <c r="W2" i="20"/>
  <c r="EQ96" i="6"/>
  <c r="EK96" i="6"/>
  <c r="EE96" i="6"/>
  <c r="DY96" i="6"/>
  <c r="DS96" i="6"/>
  <c r="DM96" i="6"/>
  <c r="DG96" i="6"/>
  <c r="DA96" i="6"/>
  <c r="CU96" i="6"/>
  <c r="CO96" i="6"/>
  <c r="CI96" i="6"/>
  <c r="CC96" i="6"/>
  <c r="BW96" i="6"/>
  <c r="BQ96" i="6"/>
  <c r="BK96" i="6"/>
  <c r="BE96" i="6"/>
  <c r="AY96" i="6"/>
  <c r="AS96" i="6"/>
  <c r="AM96" i="6"/>
  <c r="AG96" i="6"/>
  <c r="AA96" i="6"/>
  <c r="U96" i="6"/>
  <c r="O96" i="6"/>
  <c r="EQ95" i="6"/>
  <c r="EK95" i="6"/>
  <c r="EE95" i="6"/>
  <c r="DY95" i="6"/>
  <c r="DS95" i="6"/>
  <c r="DM95" i="6"/>
  <c r="DG95" i="6"/>
  <c r="DA95" i="6"/>
  <c r="CU95" i="6"/>
  <c r="CO95" i="6"/>
  <c r="CI95" i="6"/>
  <c r="CC95" i="6"/>
  <c r="BW95" i="6"/>
  <c r="BQ95" i="6"/>
  <c r="BK95" i="6"/>
  <c r="BE95" i="6"/>
  <c r="AY95" i="6"/>
  <c r="AS95" i="6"/>
  <c r="AM95" i="6"/>
  <c r="AG95" i="6"/>
  <c r="AA95" i="6"/>
  <c r="U95" i="6"/>
  <c r="O95" i="6"/>
  <c r="EQ93" i="6"/>
  <c r="EO93" i="6"/>
  <c r="EN93" i="6"/>
  <c r="EM93" i="6"/>
  <c r="EK93" i="6"/>
  <c r="EI93" i="6"/>
  <c r="EH93" i="6"/>
  <c r="EG93" i="6"/>
  <c r="EE93" i="6"/>
  <c r="EC93" i="6"/>
  <c r="EB93" i="6"/>
  <c r="EA93" i="6"/>
  <c r="DY93" i="6"/>
  <c r="DW93" i="6"/>
  <c r="DV93" i="6"/>
  <c r="DU93" i="6"/>
  <c r="DS93" i="6"/>
  <c r="DQ93" i="6"/>
  <c r="DP93" i="6"/>
  <c r="DO93" i="6"/>
  <c r="DM93" i="6"/>
  <c r="DK93" i="6"/>
  <c r="DJ93" i="6"/>
  <c r="DI93" i="6"/>
  <c r="DG93" i="6"/>
  <c r="DE93" i="6"/>
  <c r="DD93" i="6"/>
  <c r="DC93" i="6"/>
  <c r="DA93" i="6"/>
  <c r="CY93" i="6"/>
  <c r="CX93" i="6"/>
  <c r="CW93" i="6"/>
  <c r="CU93" i="6"/>
  <c r="CS93" i="6"/>
  <c r="CR93" i="6"/>
  <c r="CQ93" i="6"/>
  <c r="CO93" i="6"/>
  <c r="CM93" i="6"/>
  <c r="CL93" i="6"/>
  <c r="CK93" i="6"/>
  <c r="CI93" i="6"/>
  <c r="CG93" i="6"/>
  <c r="CF93" i="6"/>
  <c r="CE93" i="6"/>
  <c r="CC93" i="6"/>
  <c r="CA93" i="6"/>
  <c r="BZ93" i="6"/>
  <c r="BY93" i="6"/>
  <c r="BW93" i="6"/>
  <c r="BU93" i="6"/>
  <c r="BT93" i="6"/>
  <c r="BS93" i="6"/>
  <c r="BQ93" i="6"/>
  <c r="BO93" i="6"/>
  <c r="BN93" i="6"/>
  <c r="BM93" i="6"/>
  <c r="BK93" i="6"/>
  <c r="BI93" i="6"/>
  <c r="BH93" i="6"/>
  <c r="BG93" i="6"/>
  <c r="BE93" i="6"/>
  <c r="BC93" i="6"/>
  <c r="BB93" i="6"/>
  <c r="BA93" i="6"/>
  <c r="AY93" i="6"/>
  <c r="AW93" i="6"/>
  <c r="AV93" i="6"/>
  <c r="AU93" i="6"/>
  <c r="AS93" i="6"/>
  <c r="AQ93" i="6"/>
  <c r="AP93" i="6"/>
  <c r="AO93" i="6"/>
  <c r="AM93" i="6"/>
  <c r="AK93" i="6"/>
  <c r="AJ93" i="6"/>
  <c r="AI93" i="6"/>
  <c r="AG93" i="6"/>
  <c r="AE93" i="6"/>
  <c r="AD93" i="6"/>
  <c r="AC93" i="6"/>
  <c r="AA93" i="6"/>
  <c r="Y93" i="6"/>
  <c r="X93" i="6"/>
  <c r="W93" i="6"/>
  <c r="U93" i="6"/>
  <c r="S93" i="6"/>
  <c r="R93" i="6"/>
  <c r="Q93" i="6"/>
  <c r="O93" i="6"/>
  <c r="M93" i="6"/>
  <c r="L93" i="6"/>
  <c r="K93" i="6"/>
  <c r="EQ92" i="6"/>
  <c r="EO92" i="6"/>
  <c r="EN92" i="6"/>
  <c r="EM92" i="6"/>
  <c r="EK92" i="6"/>
  <c r="EI92" i="6"/>
  <c r="EH92" i="6"/>
  <c r="EG92" i="6"/>
  <c r="EE92" i="6"/>
  <c r="EC92" i="6"/>
  <c r="EB92" i="6"/>
  <c r="EA92" i="6"/>
  <c r="DY92" i="6"/>
  <c r="DW92" i="6"/>
  <c r="DV92" i="6"/>
  <c r="DU92" i="6"/>
  <c r="DS92" i="6"/>
  <c r="DQ92" i="6"/>
  <c r="DP92" i="6"/>
  <c r="DO92" i="6"/>
  <c r="DM92" i="6"/>
  <c r="DK92" i="6"/>
  <c r="DJ92" i="6"/>
  <c r="DI92" i="6"/>
  <c r="DG92" i="6"/>
  <c r="DE92" i="6"/>
  <c r="DD92" i="6"/>
  <c r="DC92" i="6"/>
  <c r="DA92" i="6"/>
  <c r="CY92" i="6"/>
  <c r="CX92" i="6"/>
  <c r="CW92" i="6"/>
  <c r="CU92" i="6"/>
  <c r="CS92" i="6"/>
  <c r="CR92" i="6"/>
  <c r="CQ92" i="6"/>
  <c r="CO92" i="6"/>
  <c r="CM92" i="6"/>
  <c r="CL92" i="6"/>
  <c r="CK92" i="6"/>
  <c r="CI92" i="6"/>
  <c r="CG92" i="6"/>
  <c r="CF92" i="6"/>
  <c r="CE92" i="6"/>
  <c r="CC92" i="6"/>
  <c r="CA92" i="6"/>
  <c r="BZ92" i="6"/>
  <c r="BY92" i="6"/>
  <c r="BW92" i="6"/>
  <c r="BU92" i="6"/>
  <c r="BT92" i="6"/>
  <c r="BS92" i="6"/>
  <c r="BQ92" i="6"/>
  <c r="BO92" i="6"/>
  <c r="BN92" i="6"/>
  <c r="BM92" i="6"/>
  <c r="BK92" i="6"/>
  <c r="BI92" i="6"/>
  <c r="BH92" i="6"/>
  <c r="BG92" i="6"/>
  <c r="BE92" i="6"/>
  <c r="BC92" i="6"/>
  <c r="BB92" i="6"/>
  <c r="BA92" i="6"/>
  <c r="AY92" i="6"/>
  <c r="AW92" i="6"/>
  <c r="AV92" i="6"/>
  <c r="AU92" i="6"/>
  <c r="AS92" i="6"/>
  <c r="AQ92" i="6"/>
  <c r="AP92" i="6"/>
  <c r="AO92" i="6"/>
  <c r="AM92" i="6"/>
  <c r="AK92" i="6"/>
  <c r="AJ92" i="6"/>
  <c r="AI92" i="6"/>
  <c r="AG92" i="6"/>
  <c r="AE92" i="6"/>
  <c r="AD92" i="6"/>
  <c r="AC92" i="6"/>
  <c r="AA92" i="6"/>
  <c r="Y92" i="6"/>
  <c r="X92" i="6"/>
  <c r="W92" i="6"/>
  <c r="U92" i="6"/>
  <c r="S92" i="6"/>
  <c r="R92" i="6"/>
  <c r="Q92" i="6"/>
  <c r="O92" i="6"/>
  <c r="M92" i="6"/>
  <c r="L92" i="6"/>
  <c r="K92" i="6"/>
  <c r="EQ90" i="6"/>
  <c r="EO90" i="6"/>
  <c r="EN90" i="6"/>
  <c r="EM90" i="6"/>
  <c r="EK90" i="6"/>
  <c r="EI90" i="6"/>
  <c r="EH90" i="6"/>
  <c r="EG90" i="6"/>
  <c r="EE90" i="6"/>
  <c r="EC90" i="6"/>
  <c r="EB90" i="6"/>
  <c r="EA90" i="6"/>
  <c r="DY90" i="6"/>
  <c r="DW90" i="6"/>
  <c r="DV90" i="6"/>
  <c r="DU90" i="6"/>
  <c r="DS90" i="6"/>
  <c r="DQ90" i="6"/>
  <c r="DP90" i="6"/>
  <c r="DO90" i="6"/>
  <c r="DM90" i="6"/>
  <c r="DK90" i="6"/>
  <c r="DJ90" i="6"/>
  <c r="DI90" i="6"/>
  <c r="DG90" i="6"/>
  <c r="DE90" i="6"/>
  <c r="DD90" i="6"/>
  <c r="DC90" i="6"/>
  <c r="DA90" i="6"/>
  <c r="CY90" i="6"/>
  <c r="CX90" i="6"/>
  <c r="CW90" i="6"/>
  <c r="CU90" i="6"/>
  <c r="CS90" i="6"/>
  <c r="CR90" i="6"/>
  <c r="CQ90" i="6"/>
  <c r="CO90" i="6"/>
  <c r="CM90" i="6"/>
  <c r="CL90" i="6"/>
  <c r="CK90" i="6"/>
  <c r="CI90" i="6"/>
  <c r="CG90" i="6"/>
  <c r="CF90" i="6"/>
  <c r="CE90" i="6"/>
  <c r="CC90" i="6"/>
  <c r="CA90" i="6"/>
  <c r="BZ90" i="6"/>
  <c r="BY90" i="6"/>
  <c r="BW90" i="6"/>
  <c r="BU90" i="6"/>
  <c r="BT90" i="6"/>
  <c r="BS90" i="6"/>
  <c r="BQ90" i="6"/>
  <c r="BO90" i="6"/>
  <c r="BN90" i="6"/>
  <c r="BM90" i="6"/>
  <c r="BK90" i="6"/>
  <c r="BI90" i="6"/>
  <c r="BH90" i="6"/>
  <c r="BG90" i="6"/>
  <c r="BE90" i="6"/>
  <c r="BC90" i="6"/>
  <c r="BB90" i="6"/>
  <c r="BA90" i="6"/>
  <c r="AY90" i="6"/>
  <c r="AW90" i="6"/>
  <c r="AV90" i="6"/>
  <c r="AU90" i="6"/>
  <c r="AS90" i="6"/>
  <c r="AQ90" i="6"/>
  <c r="AP90" i="6"/>
  <c r="AO90" i="6"/>
  <c r="AM90" i="6"/>
  <c r="AK90" i="6"/>
  <c r="AJ90" i="6"/>
  <c r="AI90" i="6"/>
  <c r="AG90" i="6"/>
  <c r="AE90" i="6"/>
  <c r="AD90" i="6"/>
  <c r="AC90" i="6"/>
  <c r="AA90" i="6"/>
  <c r="Y90" i="6"/>
  <c r="X90" i="6"/>
  <c r="W90" i="6"/>
  <c r="U90" i="6"/>
  <c r="S90" i="6"/>
  <c r="R90" i="6"/>
  <c r="Q90" i="6"/>
  <c r="O90" i="6"/>
  <c r="M90" i="6"/>
  <c r="L90" i="6"/>
  <c r="K90" i="6"/>
  <c r="EQ88" i="6"/>
  <c r="EK88" i="6"/>
  <c r="EE88" i="6"/>
  <c r="DY88" i="6"/>
  <c r="DS88" i="6"/>
  <c r="DM88" i="6"/>
  <c r="DG88" i="6"/>
  <c r="DA88" i="6"/>
  <c r="CU88" i="6"/>
  <c r="CO88" i="6"/>
  <c r="CI88" i="6"/>
  <c r="CC88" i="6"/>
  <c r="BW88" i="6"/>
  <c r="BQ88" i="6"/>
  <c r="BK88" i="6"/>
  <c r="BE88" i="6"/>
  <c r="AY88" i="6"/>
  <c r="AS88" i="6"/>
  <c r="AM88" i="6"/>
  <c r="AG88" i="6"/>
  <c r="AA88" i="6"/>
  <c r="U88" i="6"/>
  <c r="O88" i="6"/>
  <c r="EQ87" i="6"/>
  <c r="EO87" i="6"/>
  <c r="EN87" i="6"/>
  <c r="EM87" i="6"/>
  <c r="EK87" i="6"/>
  <c r="EI87" i="6"/>
  <c r="EH87" i="6"/>
  <c r="EG87" i="6"/>
  <c r="EE87" i="6"/>
  <c r="EC87" i="6"/>
  <c r="EB87" i="6"/>
  <c r="EA87" i="6"/>
  <c r="DY87" i="6"/>
  <c r="DW87" i="6"/>
  <c r="DV87" i="6"/>
  <c r="DU87" i="6"/>
  <c r="DS87" i="6"/>
  <c r="DQ87" i="6"/>
  <c r="DP87" i="6"/>
  <c r="DO87" i="6"/>
  <c r="DM87" i="6"/>
  <c r="DK87" i="6"/>
  <c r="DJ87" i="6"/>
  <c r="DI87" i="6"/>
  <c r="DG87" i="6"/>
  <c r="DE87" i="6"/>
  <c r="DD87" i="6"/>
  <c r="DC87" i="6"/>
  <c r="DA87" i="6"/>
  <c r="CY87" i="6"/>
  <c r="CX87" i="6"/>
  <c r="CW87" i="6"/>
  <c r="CU87" i="6"/>
  <c r="CS87" i="6"/>
  <c r="CR87" i="6"/>
  <c r="CQ87" i="6"/>
  <c r="CO87" i="6"/>
  <c r="CM87" i="6"/>
  <c r="CL87" i="6"/>
  <c r="CK87" i="6"/>
  <c r="CI87" i="6"/>
  <c r="CG87" i="6"/>
  <c r="CF87" i="6"/>
  <c r="CE87" i="6"/>
  <c r="CC87" i="6"/>
  <c r="CA87" i="6"/>
  <c r="BZ87" i="6"/>
  <c r="BY87" i="6"/>
  <c r="BW87" i="6"/>
  <c r="BU87" i="6"/>
  <c r="BT87" i="6"/>
  <c r="BS87" i="6"/>
  <c r="BQ87" i="6"/>
  <c r="BO87" i="6"/>
  <c r="BN87" i="6"/>
  <c r="BM87" i="6"/>
  <c r="BK87" i="6"/>
  <c r="BI87" i="6"/>
  <c r="BH87" i="6"/>
  <c r="BG87" i="6"/>
  <c r="BE87" i="6"/>
  <c r="BC87" i="6"/>
  <c r="BB87" i="6"/>
  <c r="BA87" i="6"/>
  <c r="AY87" i="6"/>
  <c r="AW87" i="6"/>
  <c r="AV87" i="6"/>
  <c r="AU87" i="6"/>
  <c r="AS87" i="6"/>
  <c r="AQ87" i="6"/>
  <c r="AP87" i="6"/>
  <c r="AO87" i="6"/>
  <c r="AM87" i="6"/>
  <c r="AK87" i="6"/>
  <c r="AJ87" i="6"/>
  <c r="AI87" i="6"/>
  <c r="AG87" i="6"/>
  <c r="AE87" i="6"/>
  <c r="AD87" i="6"/>
  <c r="AC87" i="6"/>
  <c r="AA87" i="6"/>
  <c r="Y87" i="6"/>
  <c r="X87" i="6"/>
  <c r="W87" i="6"/>
  <c r="U87" i="6"/>
  <c r="S87" i="6"/>
  <c r="R87" i="6"/>
  <c r="Q87" i="6"/>
  <c r="O87" i="6"/>
  <c r="M87" i="6"/>
  <c r="L87" i="6"/>
  <c r="K87" i="6"/>
  <c r="EQ86" i="6"/>
  <c r="EO86" i="6"/>
  <c r="EN86" i="6"/>
  <c r="EM86" i="6"/>
  <c r="EK86" i="6"/>
  <c r="EI86" i="6"/>
  <c r="EH86" i="6"/>
  <c r="EG86" i="6"/>
  <c r="EE86" i="6"/>
  <c r="EC86" i="6"/>
  <c r="EB86" i="6"/>
  <c r="EA86" i="6"/>
  <c r="DY86" i="6"/>
  <c r="DW86" i="6"/>
  <c r="DV86" i="6"/>
  <c r="DU86" i="6"/>
  <c r="DS86" i="6"/>
  <c r="DQ86" i="6"/>
  <c r="DP86" i="6"/>
  <c r="DO86" i="6"/>
  <c r="DM86" i="6"/>
  <c r="DK86" i="6"/>
  <c r="DJ86" i="6"/>
  <c r="DI86" i="6"/>
  <c r="DG86" i="6"/>
  <c r="DE86" i="6"/>
  <c r="DD86" i="6"/>
  <c r="DC86" i="6"/>
  <c r="DA86" i="6"/>
  <c r="CY86" i="6"/>
  <c r="CX86" i="6"/>
  <c r="CW86" i="6"/>
  <c r="CU86" i="6"/>
  <c r="CS86" i="6"/>
  <c r="CR86" i="6"/>
  <c r="CQ86" i="6"/>
  <c r="CO86" i="6"/>
  <c r="CM86" i="6"/>
  <c r="CL86" i="6"/>
  <c r="CK86" i="6"/>
  <c r="CI86" i="6"/>
  <c r="CG86" i="6"/>
  <c r="CF86" i="6"/>
  <c r="CE86" i="6"/>
  <c r="CC86" i="6"/>
  <c r="CA86" i="6"/>
  <c r="BZ86" i="6"/>
  <c r="BY86" i="6"/>
  <c r="BW86" i="6"/>
  <c r="BU86" i="6"/>
  <c r="BT86" i="6"/>
  <c r="BS86" i="6"/>
  <c r="BQ86" i="6"/>
  <c r="BO86" i="6"/>
  <c r="BN86" i="6"/>
  <c r="BM86" i="6"/>
  <c r="BK86" i="6"/>
  <c r="BI86" i="6"/>
  <c r="BH86" i="6"/>
  <c r="BG86" i="6"/>
  <c r="BE86" i="6"/>
  <c r="BC86" i="6"/>
  <c r="BB86" i="6"/>
  <c r="BA86" i="6"/>
  <c r="AY86" i="6"/>
  <c r="AW86" i="6"/>
  <c r="AV86" i="6"/>
  <c r="AU86" i="6"/>
  <c r="AS86" i="6"/>
  <c r="AQ86" i="6"/>
  <c r="AP86" i="6"/>
  <c r="AO86" i="6"/>
  <c r="AM86" i="6"/>
  <c r="AK86" i="6"/>
  <c r="AJ86" i="6"/>
  <c r="AI86" i="6"/>
  <c r="AG86" i="6"/>
  <c r="AE86" i="6"/>
  <c r="AD86" i="6"/>
  <c r="AC86" i="6"/>
  <c r="AA86" i="6"/>
  <c r="Y86" i="6"/>
  <c r="X86" i="6"/>
  <c r="W86" i="6"/>
  <c r="U86" i="6"/>
  <c r="S86" i="6"/>
  <c r="R86" i="6"/>
  <c r="Q86" i="6"/>
  <c r="O86" i="6"/>
  <c r="M86" i="6"/>
  <c r="L86" i="6"/>
  <c r="K86" i="6"/>
  <c r="EQ85" i="6"/>
  <c r="EO85" i="6"/>
  <c r="EK85" i="6"/>
  <c r="EI85" i="6"/>
  <c r="EE85" i="6"/>
  <c r="EC85" i="6"/>
  <c r="DY85" i="6"/>
  <c r="DW85" i="6"/>
  <c r="DS85" i="6"/>
  <c r="DQ85" i="6"/>
  <c r="DM85" i="6"/>
  <c r="DK85" i="6"/>
  <c r="DG85" i="6"/>
  <c r="DE85" i="6"/>
  <c r="DA85" i="6"/>
  <c r="CY85" i="6"/>
  <c r="CU85" i="6"/>
  <c r="CS85" i="6"/>
  <c r="CO85" i="6"/>
  <c r="CM85" i="6"/>
  <c r="CI85" i="6"/>
  <c r="CG85" i="6"/>
  <c r="CC85" i="6"/>
  <c r="CA85" i="6"/>
  <c r="BW85" i="6"/>
  <c r="BU85" i="6"/>
  <c r="BQ85" i="6"/>
  <c r="BO85" i="6"/>
  <c r="BK85" i="6"/>
  <c r="BI85" i="6"/>
  <c r="BE85" i="6"/>
  <c r="BC85" i="6"/>
  <c r="AY85" i="6"/>
  <c r="AW85" i="6"/>
  <c r="AS85" i="6"/>
  <c r="AQ85" i="6"/>
  <c r="AM85" i="6"/>
  <c r="AK85" i="6"/>
  <c r="AG85" i="6"/>
  <c r="AE85" i="6"/>
  <c r="AA85" i="6"/>
  <c r="Y85" i="6"/>
  <c r="U85" i="6"/>
  <c r="S85" i="6"/>
  <c r="O85" i="6"/>
  <c r="M85" i="6"/>
  <c r="EQ83" i="6"/>
  <c r="EK83" i="6"/>
  <c r="EE83" i="6"/>
  <c r="DY83" i="6"/>
  <c r="DS83" i="6"/>
  <c r="DM83" i="6"/>
  <c r="DG83" i="6"/>
  <c r="DA83" i="6"/>
  <c r="CU83" i="6"/>
  <c r="CO83" i="6"/>
  <c r="CI83" i="6"/>
  <c r="CC83" i="6"/>
  <c r="BW83" i="6"/>
  <c r="BQ83" i="6"/>
  <c r="BK83" i="6"/>
  <c r="BE83" i="6"/>
  <c r="AY83" i="6"/>
  <c r="AS83" i="6"/>
  <c r="AM83" i="6"/>
  <c r="AG83" i="6"/>
  <c r="AA83" i="6"/>
  <c r="U83" i="6"/>
  <c r="O83" i="6"/>
  <c r="EQ82" i="6"/>
  <c r="EK82" i="6"/>
  <c r="EE82" i="6"/>
  <c r="DY82" i="6"/>
  <c r="DS82" i="6"/>
  <c r="DM82" i="6"/>
  <c r="DG82" i="6"/>
  <c r="DA82" i="6"/>
  <c r="CU82" i="6"/>
  <c r="CO82" i="6"/>
  <c r="CI82" i="6"/>
  <c r="CC82" i="6"/>
  <c r="BW82" i="6"/>
  <c r="BQ82" i="6"/>
  <c r="BK82" i="6"/>
  <c r="BE82" i="6"/>
  <c r="AY82" i="6"/>
  <c r="AS82" i="6"/>
  <c r="AM82" i="6"/>
  <c r="AG82" i="6"/>
  <c r="AA82" i="6"/>
  <c r="U82" i="6"/>
  <c r="O82" i="6"/>
  <c r="EQ80" i="6"/>
  <c r="EP80" i="6"/>
  <c r="EO80" i="6"/>
  <c r="EK80" i="6"/>
  <c r="EJ80" i="6"/>
  <c r="EI80" i="6"/>
  <c r="EE80" i="6"/>
  <c r="ED80" i="6"/>
  <c r="EC80" i="6"/>
  <c r="DY80" i="6"/>
  <c r="DX80" i="6"/>
  <c r="DW80" i="6"/>
  <c r="DS80" i="6"/>
  <c r="DR80" i="6"/>
  <c r="DQ80" i="6"/>
  <c r="DM80" i="6"/>
  <c r="DL80" i="6"/>
  <c r="DK80" i="6"/>
  <c r="DG80" i="6"/>
  <c r="DF80" i="6"/>
  <c r="DE80" i="6"/>
  <c r="DA80" i="6"/>
  <c r="CZ80" i="6"/>
  <c r="CY80" i="6"/>
  <c r="CU80" i="6"/>
  <c r="CT80" i="6"/>
  <c r="CS80" i="6"/>
  <c r="CO80" i="6"/>
  <c r="CN80" i="6"/>
  <c r="CM80" i="6"/>
  <c r="CI80" i="6"/>
  <c r="CH80" i="6"/>
  <c r="CG80" i="6"/>
  <c r="CC80" i="6"/>
  <c r="CB80" i="6"/>
  <c r="CA80" i="6"/>
  <c r="BW80" i="6"/>
  <c r="BV80" i="6"/>
  <c r="BU80" i="6"/>
  <c r="BQ80" i="6"/>
  <c r="BP80" i="6"/>
  <c r="BO80" i="6"/>
  <c r="BK80" i="6"/>
  <c r="BJ80" i="6"/>
  <c r="BI80" i="6"/>
  <c r="BE80" i="6"/>
  <c r="BD80" i="6"/>
  <c r="BC80" i="6"/>
  <c r="AY80" i="6"/>
  <c r="AX80" i="6"/>
  <c r="AW80" i="6"/>
  <c r="AS80" i="6"/>
  <c r="AR80" i="6"/>
  <c r="AQ80" i="6"/>
  <c r="AM80" i="6"/>
  <c r="AL80" i="6"/>
  <c r="AK80" i="6"/>
  <c r="AG80" i="6"/>
  <c r="AF80" i="6"/>
  <c r="AE80" i="6"/>
  <c r="AA80" i="6"/>
  <c r="Z80" i="6"/>
  <c r="Y80" i="6"/>
  <c r="U80" i="6"/>
  <c r="T80" i="6"/>
  <c r="S80" i="6"/>
  <c r="O80" i="6"/>
  <c r="N80" i="6"/>
  <c r="M80" i="6"/>
  <c r="EQ78" i="6"/>
  <c r="EK78" i="6"/>
  <c r="EE78" i="6"/>
  <c r="DY78" i="6"/>
  <c r="DS78" i="6"/>
  <c r="DM78" i="6"/>
  <c r="DG78" i="6"/>
  <c r="DA78" i="6"/>
  <c r="CU78" i="6"/>
  <c r="CO78" i="6"/>
  <c r="CI78" i="6"/>
  <c r="CC78" i="6"/>
  <c r="BW78" i="6"/>
  <c r="BQ78" i="6"/>
  <c r="BK78" i="6"/>
  <c r="BE78" i="6"/>
  <c r="AY78" i="6"/>
  <c r="AS78" i="6"/>
  <c r="AM78" i="6"/>
  <c r="AG78" i="6"/>
  <c r="AA78" i="6"/>
  <c r="U78" i="6"/>
  <c r="O78" i="6"/>
  <c r="EQ76" i="6"/>
  <c r="EP76" i="6"/>
  <c r="EO76" i="6"/>
  <c r="EK76" i="6"/>
  <c r="EJ76" i="6"/>
  <c r="EI76" i="6"/>
  <c r="EE76" i="6"/>
  <c r="ED76" i="6"/>
  <c r="EC76" i="6"/>
  <c r="DY76" i="6"/>
  <c r="DX76" i="6"/>
  <c r="DW76" i="6"/>
  <c r="DS76" i="6"/>
  <c r="DR76" i="6"/>
  <c r="DQ76" i="6"/>
  <c r="DM76" i="6"/>
  <c r="DL76" i="6"/>
  <c r="DK76" i="6"/>
  <c r="DG76" i="6"/>
  <c r="DF76" i="6"/>
  <c r="DE76" i="6"/>
  <c r="DA76" i="6"/>
  <c r="CZ76" i="6"/>
  <c r="CY76" i="6"/>
  <c r="CU76" i="6"/>
  <c r="CT76" i="6"/>
  <c r="CS76" i="6"/>
  <c r="CO76" i="6"/>
  <c r="CN76" i="6"/>
  <c r="CM76" i="6"/>
  <c r="CI76" i="6"/>
  <c r="CH76" i="6"/>
  <c r="CG76" i="6"/>
  <c r="CC76" i="6"/>
  <c r="CB76" i="6"/>
  <c r="CA76" i="6"/>
  <c r="BW76" i="6"/>
  <c r="BV76" i="6"/>
  <c r="BU76" i="6"/>
  <c r="BQ76" i="6"/>
  <c r="BP76" i="6"/>
  <c r="BO76" i="6"/>
  <c r="BK76" i="6"/>
  <c r="BJ76" i="6"/>
  <c r="BI76" i="6"/>
  <c r="BE76" i="6"/>
  <c r="BD76" i="6"/>
  <c r="BC76" i="6"/>
  <c r="AY76" i="6"/>
  <c r="AX76" i="6"/>
  <c r="AW76" i="6"/>
  <c r="AS76" i="6"/>
  <c r="AR76" i="6"/>
  <c r="AQ76" i="6"/>
  <c r="AM76" i="6"/>
  <c r="AL76" i="6"/>
  <c r="AK76" i="6"/>
  <c r="AG76" i="6"/>
  <c r="AF76" i="6"/>
  <c r="AE76" i="6"/>
  <c r="AA76" i="6"/>
  <c r="Z76" i="6"/>
  <c r="Y76" i="6"/>
  <c r="U76" i="6"/>
  <c r="T76" i="6"/>
  <c r="S76" i="6"/>
  <c r="O76" i="6"/>
  <c r="N76" i="6"/>
  <c r="M76" i="6"/>
  <c r="EQ75" i="6"/>
  <c r="EO75" i="6"/>
  <c r="EN75" i="6"/>
  <c r="EM75" i="6"/>
  <c r="EK75" i="6"/>
  <c r="EI75" i="6"/>
  <c r="EH75" i="6"/>
  <c r="EG75" i="6"/>
  <c r="EE75" i="6"/>
  <c r="EC75" i="6"/>
  <c r="EB75" i="6"/>
  <c r="EA75" i="6"/>
  <c r="DY75" i="6"/>
  <c r="DW75" i="6"/>
  <c r="DV75" i="6"/>
  <c r="DU75" i="6"/>
  <c r="DS75" i="6"/>
  <c r="DQ75" i="6"/>
  <c r="DP75" i="6"/>
  <c r="DO75" i="6"/>
  <c r="DM75" i="6"/>
  <c r="DK75" i="6"/>
  <c r="DJ75" i="6"/>
  <c r="DI75" i="6"/>
  <c r="DG75" i="6"/>
  <c r="DE75" i="6"/>
  <c r="DD75" i="6"/>
  <c r="DC75" i="6"/>
  <c r="DA75" i="6"/>
  <c r="CY75" i="6"/>
  <c r="CX75" i="6"/>
  <c r="CW75" i="6"/>
  <c r="CU75" i="6"/>
  <c r="CS75" i="6"/>
  <c r="CR75" i="6"/>
  <c r="CQ75" i="6"/>
  <c r="CO75" i="6"/>
  <c r="CM75" i="6"/>
  <c r="CL75" i="6"/>
  <c r="CK75" i="6"/>
  <c r="CI75" i="6"/>
  <c r="CG75" i="6"/>
  <c r="CF75" i="6"/>
  <c r="CE75" i="6"/>
  <c r="CC75" i="6"/>
  <c r="CA75" i="6"/>
  <c r="BZ75" i="6"/>
  <c r="BY75" i="6"/>
  <c r="BW75" i="6"/>
  <c r="BU75" i="6"/>
  <c r="BT75" i="6"/>
  <c r="BS75" i="6"/>
  <c r="BQ75" i="6"/>
  <c r="BO75" i="6"/>
  <c r="BN75" i="6"/>
  <c r="BM75" i="6"/>
  <c r="BK75" i="6"/>
  <c r="BI75" i="6"/>
  <c r="BH75" i="6"/>
  <c r="BG75" i="6"/>
  <c r="BE75" i="6"/>
  <c r="BC75" i="6"/>
  <c r="BB75" i="6"/>
  <c r="BA75" i="6"/>
  <c r="AY75" i="6"/>
  <c r="AW75" i="6"/>
  <c r="AV75" i="6"/>
  <c r="AU75" i="6"/>
  <c r="AS75" i="6"/>
  <c r="AQ75" i="6"/>
  <c r="AP75" i="6"/>
  <c r="AO75" i="6"/>
  <c r="AM75" i="6"/>
  <c r="AK75" i="6"/>
  <c r="AJ75" i="6"/>
  <c r="AI75" i="6"/>
  <c r="AG75" i="6"/>
  <c r="AE75" i="6"/>
  <c r="AD75" i="6"/>
  <c r="AC75" i="6"/>
  <c r="AA75" i="6"/>
  <c r="Y75" i="6"/>
  <c r="X75" i="6"/>
  <c r="W75" i="6"/>
  <c r="U75" i="6"/>
  <c r="S75" i="6"/>
  <c r="R75" i="6"/>
  <c r="Q75" i="6"/>
  <c r="O75" i="6"/>
  <c r="M75" i="6"/>
  <c r="L75" i="6"/>
  <c r="K75" i="6"/>
  <c r="EQ74" i="6"/>
  <c r="EO74" i="6"/>
  <c r="EN74" i="6"/>
  <c r="EM74" i="6"/>
  <c r="EK74" i="6"/>
  <c r="EI74" i="6"/>
  <c r="EH74" i="6"/>
  <c r="EG74" i="6"/>
  <c r="EE74" i="6"/>
  <c r="EC74" i="6"/>
  <c r="EB74" i="6"/>
  <c r="EA74" i="6"/>
  <c r="DY74" i="6"/>
  <c r="DW74" i="6"/>
  <c r="DV74" i="6"/>
  <c r="DU74" i="6"/>
  <c r="DS74" i="6"/>
  <c r="DQ74" i="6"/>
  <c r="DP74" i="6"/>
  <c r="DO74" i="6"/>
  <c r="DM74" i="6"/>
  <c r="DK74" i="6"/>
  <c r="DJ74" i="6"/>
  <c r="DI74" i="6"/>
  <c r="DG74" i="6"/>
  <c r="DE74" i="6"/>
  <c r="DD74" i="6"/>
  <c r="DC74" i="6"/>
  <c r="DA74" i="6"/>
  <c r="CY74" i="6"/>
  <c r="CX74" i="6"/>
  <c r="CW74" i="6"/>
  <c r="CU74" i="6"/>
  <c r="CS74" i="6"/>
  <c r="CR74" i="6"/>
  <c r="CQ74" i="6"/>
  <c r="CO74" i="6"/>
  <c r="CM74" i="6"/>
  <c r="CL74" i="6"/>
  <c r="CK74" i="6"/>
  <c r="CI74" i="6"/>
  <c r="CG74" i="6"/>
  <c r="CF74" i="6"/>
  <c r="CE74" i="6"/>
  <c r="CC74" i="6"/>
  <c r="CA74" i="6"/>
  <c r="BZ74" i="6"/>
  <c r="BY74" i="6"/>
  <c r="BW74" i="6"/>
  <c r="BU74" i="6"/>
  <c r="BT74" i="6"/>
  <c r="BS74" i="6"/>
  <c r="BQ74" i="6"/>
  <c r="BO74" i="6"/>
  <c r="BN74" i="6"/>
  <c r="BM74" i="6"/>
  <c r="BK74" i="6"/>
  <c r="BI74" i="6"/>
  <c r="BH74" i="6"/>
  <c r="BG74" i="6"/>
  <c r="BE74" i="6"/>
  <c r="BC74" i="6"/>
  <c r="BB74" i="6"/>
  <c r="BA74" i="6"/>
  <c r="AY74" i="6"/>
  <c r="AW74" i="6"/>
  <c r="AV74" i="6"/>
  <c r="AU74" i="6"/>
  <c r="AS74" i="6"/>
  <c r="AQ74" i="6"/>
  <c r="AP74" i="6"/>
  <c r="AO74" i="6"/>
  <c r="AM74" i="6"/>
  <c r="AK74" i="6"/>
  <c r="AJ74" i="6"/>
  <c r="AI74" i="6"/>
  <c r="AG74" i="6"/>
  <c r="AE74" i="6"/>
  <c r="AD74" i="6"/>
  <c r="AC74" i="6"/>
  <c r="AA74" i="6"/>
  <c r="Y74" i="6"/>
  <c r="X74" i="6"/>
  <c r="W74" i="6"/>
  <c r="U74" i="6"/>
  <c r="S74" i="6"/>
  <c r="R74" i="6"/>
  <c r="Q74" i="6"/>
  <c r="O74" i="6"/>
  <c r="M74" i="6"/>
  <c r="L74" i="6"/>
  <c r="K74" i="6"/>
  <c r="EQ72" i="6"/>
  <c r="EO72" i="6"/>
  <c r="EN72" i="6"/>
  <c r="EK72" i="6"/>
  <c r="EI72" i="6"/>
  <c r="EH72" i="6"/>
  <c r="EE72" i="6"/>
  <c r="EC72" i="6"/>
  <c r="EB72" i="6"/>
  <c r="DY72" i="6"/>
  <c r="DW72" i="6"/>
  <c r="DV72" i="6"/>
  <c r="DS72" i="6"/>
  <c r="DQ72" i="6"/>
  <c r="DP72" i="6"/>
  <c r="DM72" i="6"/>
  <c r="DK72" i="6"/>
  <c r="DJ72" i="6"/>
  <c r="DG72" i="6"/>
  <c r="DE72" i="6"/>
  <c r="DD72" i="6"/>
  <c r="DA72" i="6"/>
  <c r="CY72" i="6"/>
  <c r="CX72" i="6"/>
  <c r="CU72" i="6"/>
  <c r="CS72" i="6"/>
  <c r="CR72" i="6"/>
  <c r="CO72" i="6"/>
  <c r="CM72" i="6"/>
  <c r="CL72" i="6"/>
  <c r="CI72" i="6"/>
  <c r="CG72" i="6"/>
  <c r="CF72" i="6"/>
  <c r="CC72" i="6"/>
  <c r="CA72" i="6"/>
  <c r="BZ72" i="6"/>
  <c r="BW72" i="6"/>
  <c r="BU72" i="6"/>
  <c r="BT72" i="6"/>
  <c r="BQ72" i="6"/>
  <c r="BO72" i="6"/>
  <c r="BN72" i="6"/>
  <c r="BK72" i="6"/>
  <c r="BI72" i="6"/>
  <c r="BH72" i="6"/>
  <c r="BE72" i="6"/>
  <c r="BC72" i="6"/>
  <c r="BB72" i="6"/>
  <c r="AY72" i="6"/>
  <c r="AW72" i="6"/>
  <c r="AV72" i="6"/>
  <c r="AS72" i="6"/>
  <c r="AQ72" i="6"/>
  <c r="AP72" i="6"/>
  <c r="AM72" i="6"/>
  <c r="AK72" i="6"/>
  <c r="AJ72" i="6"/>
  <c r="AG72" i="6"/>
  <c r="AE72" i="6"/>
  <c r="AD72" i="6"/>
  <c r="AA72" i="6"/>
  <c r="Y72" i="6"/>
  <c r="X72" i="6"/>
  <c r="U72" i="6"/>
  <c r="S72" i="6"/>
  <c r="R72" i="6"/>
  <c r="O72" i="6"/>
  <c r="M72" i="6"/>
  <c r="L72" i="6"/>
  <c r="EQ71" i="6"/>
  <c r="EK71" i="6"/>
  <c r="EE71" i="6"/>
  <c r="DY71" i="6"/>
  <c r="DS71" i="6"/>
  <c r="DM71" i="6"/>
  <c r="DG71" i="6"/>
  <c r="DA71" i="6"/>
  <c r="CU71" i="6"/>
  <c r="CO71" i="6"/>
  <c r="CI71" i="6"/>
  <c r="CC71" i="6"/>
  <c r="BW71" i="6"/>
  <c r="BQ71" i="6"/>
  <c r="BK71" i="6"/>
  <c r="BE71" i="6"/>
  <c r="AY71" i="6"/>
  <c r="AS71" i="6"/>
  <c r="AM71" i="6"/>
  <c r="AG71" i="6"/>
  <c r="AA71" i="6"/>
  <c r="U71" i="6"/>
  <c r="O71" i="6"/>
  <c r="EQ70" i="6"/>
  <c r="EO70" i="6"/>
  <c r="EN70" i="6"/>
  <c r="EM70" i="6"/>
  <c r="EK70" i="6"/>
  <c r="EI70" i="6"/>
  <c r="EH70" i="6"/>
  <c r="EG70" i="6"/>
  <c r="EE70" i="6"/>
  <c r="EC70" i="6"/>
  <c r="EB70" i="6"/>
  <c r="EA70" i="6"/>
  <c r="DY70" i="6"/>
  <c r="DW70" i="6"/>
  <c r="DV70" i="6"/>
  <c r="DU70" i="6"/>
  <c r="DS70" i="6"/>
  <c r="DQ70" i="6"/>
  <c r="DP70" i="6"/>
  <c r="DO70" i="6"/>
  <c r="DM70" i="6"/>
  <c r="DK70" i="6"/>
  <c r="DJ70" i="6"/>
  <c r="DI70" i="6"/>
  <c r="DG70" i="6"/>
  <c r="DE70" i="6"/>
  <c r="DD70" i="6"/>
  <c r="DC70" i="6"/>
  <c r="DA70" i="6"/>
  <c r="CY70" i="6"/>
  <c r="CX70" i="6"/>
  <c r="CW70" i="6"/>
  <c r="CU70" i="6"/>
  <c r="CS70" i="6"/>
  <c r="CR70" i="6"/>
  <c r="CQ70" i="6"/>
  <c r="CO70" i="6"/>
  <c r="CM70" i="6"/>
  <c r="CL70" i="6"/>
  <c r="CK70" i="6"/>
  <c r="CI70" i="6"/>
  <c r="CG70" i="6"/>
  <c r="CF70" i="6"/>
  <c r="CE70" i="6"/>
  <c r="CC70" i="6"/>
  <c r="CA70" i="6"/>
  <c r="BZ70" i="6"/>
  <c r="BY70" i="6"/>
  <c r="BW70" i="6"/>
  <c r="BU70" i="6"/>
  <c r="BT70" i="6"/>
  <c r="BS70" i="6"/>
  <c r="BQ70" i="6"/>
  <c r="BO70" i="6"/>
  <c r="BN70" i="6"/>
  <c r="BM70" i="6"/>
  <c r="BK70" i="6"/>
  <c r="BI70" i="6"/>
  <c r="BH70" i="6"/>
  <c r="BG70" i="6"/>
  <c r="BE70" i="6"/>
  <c r="BC70" i="6"/>
  <c r="BB70" i="6"/>
  <c r="BA70" i="6"/>
  <c r="AY70" i="6"/>
  <c r="AW70" i="6"/>
  <c r="AV70" i="6"/>
  <c r="AU70" i="6"/>
  <c r="AS70" i="6"/>
  <c r="AQ70" i="6"/>
  <c r="AP70" i="6"/>
  <c r="AO70" i="6"/>
  <c r="AM70" i="6"/>
  <c r="AK70" i="6"/>
  <c r="AJ70" i="6"/>
  <c r="AI70" i="6"/>
  <c r="AG70" i="6"/>
  <c r="AE70" i="6"/>
  <c r="AD70" i="6"/>
  <c r="AC70" i="6"/>
  <c r="AA70" i="6"/>
  <c r="Y70" i="6"/>
  <c r="X70" i="6"/>
  <c r="W70" i="6"/>
  <c r="U70" i="6"/>
  <c r="S70" i="6"/>
  <c r="R70" i="6"/>
  <c r="Q70" i="6"/>
  <c r="O70" i="6"/>
  <c r="M70" i="6"/>
  <c r="L70" i="6"/>
  <c r="K70" i="6"/>
  <c r="EQ68" i="6"/>
  <c r="EO68" i="6"/>
  <c r="EN68" i="6"/>
  <c r="EM68" i="6"/>
  <c r="EK68" i="6"/>
  <c r="EI68" i="6"/>
  <c r="EH68" i="6"/>
  <c r="EG68" i="6"/>
  <c r="EE68" i="6"/>
  <c r="EC68" i="6"/>
  <c r="EB68" i="6"/>
  <c r="EA68" i="6"/>
  <c r="DY68" i="6"/>
  <c r="DW68" i="6"/>
  <c r="DV68" i="6"/>
  <c r="DU68" i="6"/>
  <c r="DS68" i="6"/>
  <c r="DQ68" i="6"/>
  <c r="DP68" i="6"/>
  <c r="DO68" i="6"/>
  <c r="DM68" i="6"/>
  <c r="DK68" i="6"/>
  <c r="DJ68" i="6"/>
  <c r="DI68" i="6"/>
  <c r="DG68" i="6"/>
  <c r="DE68" i="6"/>
  <c r="DD68" i="6"/>
  <c r="DC68" i="6"/>
  <c r="DA68" i="6"/>
  <c r="CY68" i="6"/>
  <c r="CX68" i="6"/>
  <c r="CW68" i="6"/>
  <c r="CU68" i="6"/>
  <c r="CS68" i="6"/>
  <c r="CR68" i="6"/>
  <c r="CQ68" i="6"/>
  <c r="CO68" i="6"/>
  <c r="CM68" i="6"/>
  <c r="CL68" i="6"/>
  <c r="CK68" i="6"/>
  <c r="CI68" i="6"/>
  <c r="CG68" i="6"/>
  <c r="CF68" i="6"/>
  <c r="CE68" i="6"/>
  <c r="CC68" i="6"/>
  <c r="CA68" i="6"/>
  <c r="BZ68" i="6"/>
  <c r="BY68" i="6"/>
  <c r="BW68" i="6"/>
  <c r="BU68" i="6"/>
  <c r="BT68" i="6"/>
  <c r="BS68" i="6"/>
  <c r="BQ68" i="6"/>
  <c r="BO68" i="6"/>
  <c r="BN68" i="6"/>
  <c r="BM68" i="6"/>
  <c r="BK68" i="6"/>
  <c r="BI68" i="6"/>
  <c r="BH68" i="6"/>
  <c r="BG68" i="6"/>
  <c r="BE68" i="6"/>
  <c r="BC68" i="6"/>
  <c r="BB68" i="6"/>
  <c r="BA68" i="6"/>
  <c r="AY68" i="6"/>
  <c r="AW68" i="6"/>
  <c r="AV68" i="6"/>
  <c r="AU68" i="6"/>
  <c r="AS68" i="6"/>
  <c r="AQ68" i="6"/>
  <c r="AP68" i="6"/>
  <c r="AO68" i="6"/>
  <c r="AM68" i="6"/>
  <c r="AK68" i="6"/>
  <c r="AJ68" i="6"/>
  <c r="AI68" i="6"/>
  <c r="AG68" i="6"/>
  <c r="AE68" i="6"/>
  <c r="AD68" i="6"/>
  <c r="AC68" i="6"/>
  <c r="AA68" i="6"/>
  <c r="Y68" i="6"/>
  <c r="X68" i="6"/>
  <c r="W68" i="6"/>
  <c r="U68" i="6"/>
  <c r="S68" i="6"/>
  <c r="R68" i="6"/>
  <c r="Q68" i="6"/>
  <c r="O68" i="6"/>
  <c r="M68" i="6"/>
  <c r="L68" i="6"/>
  <c r="K68" i="6"/>
  <c r="EO66" i="6"/>
  <c r="EN66" i="6"/>
  <c r="EI66" i="6"/>
  <c r="EH66" i="6"/>
  <c r="EC66" i="6"/>
  <c r="EB66" i="6"/>
  <c r="DW66" i="6"/>
  <c r="DV66" i="6"/>
  <c r="DQ66" i="6"/>
  <c r="DP66" i="6"/>
  <c r="DK66" i="6"/>
  <c r="DJ66" i="6"/>
  <c r="DE66" i="6"/>
  <c r="DD66" i="6"/>
  <c r="CY66" i="6"/>
  <c r="CX66" i="6"/>
  <c r="CS66" i="6"/>
  <c r="CR66" i="6"/>
  <c r="CM66" i="6"/>
  <c r="CL66" i="6"/>
  <c r="CG66" i="6"/>
  <c r="CF66" i="6"/>
  <c r="CA66" i="6"/>
  <c r="BZ66" i="6"/>
  <c r="BU66" i="6"/>
  <c r="BT66" i="6"/>
  <c r="BO66" i="6"/>
  <c r="BN66" i="6"/>
  <c r="BI66" i="6"/>
  <c r="BH66" i="6"/>
  <c r="BC66" i="6"/>
  <c r="BB66" i="6"/>
  <c r="AW66" i="6"/>
  <c r="AV66" i="6"/>
  <c r="AQ66" i="6"/>
  <c r="AP66" i="6"/>
  <c r="AK66" i="6"/>
  <c r="AJ66" i="6"/>
  <c r="AE66" i="6"/>
  <c r="AD66" i="6"/>
  <c r="Y66" i="6"/>
  <c r="X66" i="6"/>
  <c r="S66" i="6"/>
  <c r="R66" i="6"/>
  <c r="M66" i="6"/>
  <c r="L66" i="6"/>
  <c r="EO65" i="6"/>
  <c r="EN65" i="6"/>
  <c r="EI65" i="6"/>
  <c r="EH65" i="6"/>
  <c r="EC65" i="6"/>
  <c r="EB65" i="6"/>
  <c r="DW65" i="6"/>
  <c r="DV65" i="6"/>
  <c r="DQ65" i="6"/>
  <c r="DP65" i="6"/>
  <c r="DK65" i="6"/>
  <c r="DJ65" i="6"/>
  <c r="DE65" i="6"/>
  <c r="DD65" i="6"/>
  <c r="CY65" i="6"/>
  <c r="CX65" i="6"/>
  <c r="CS65" i="6"/>
  <c r="CR65" i="6"/>
  <c r="CM65" i="6"/>
  <c r="CL65" i="6"/>
  <c r="CG65" i="6"/>
  <c r="CF65" i="6"/>
  <c r="CA65" i="6"/>
  <c r="BZ65" i="6"/>
  <c r="BU65" i="6"/>
  <c r="BT65" i="6"/>
  <c r="BO65" i="6"/>
  <c r="BN65" i="6"/>
  <c r="BI65" i="6"/>
  <c r="BH65" i="6"/>
  <c r="BC65" i="6"/>
  <c r="BB65" i="6"/>
  <c r="AW65" i="6"/>
  <c r="AV65" i="6"/>
  <c r="AQ65" i="6"/>
  <c r="AP65" i="6"/>
  <c r="AK65" i="6"/>
  <c r="AJ65" i="6"/>
  <c r="AE65" i="6"/>
  <c r="AD65" i="6"/>
  <c r="Y65" i="6"/>
  <c r="X65" i="6"/>
  <c r="S65" i="6"/>
  <c r="R65" i="6"/>
  <c r="M65" i="6"/>
  <c r="L65" i="6"/>
  <c r="EQ64" i="6"/>
  <c r="EP64" i="6"/>
  <c r="EO64" i="6"/>
  <c r="EM64" i="6"/>
  <c r="EK64" i="6"/>
  <c r="EJ64" i="6"/>
  <c r="EI64" i="6"/>
  <c r="EG64" i="6"/>
  <c r="EE64" i="6"/>
  <c r="ED64" i="6"/>
  <c r="EC64" i="6"/>
  <c r="EA64" i="6"/>
  <c r="DY64" i="6"/>
  <c r="DX64" i="6"/>
  <c r="DW64" i="6"/>
  <c r="DU64" i="6"/>
  <c r="DS64" i="6"/>
  <c r="DR64" i="6"/>
  <c r="DQ64" i="6"/>
  <c r="DO64" i="6"/>
  <c r="DM64" i="6"/>
  <c r="DL64" i="6"/>
  <c r="DK64" i="6"/>
  <c r="DI64" i="6"/>
  <c r="DG64" i="6"/>
  <c r="DF64" i="6"/>
  <c r="DE64" i="6"/>
  <c r="DC64" i="6"/>
  <c r="DA64" i="6"/>
  <c r="CZ64" i="6"/>
  <c r="CY64" i="6"/>
  <c r="CW64" i="6"/>
  <c r="CU64" i="6"/>
  <c r="CT64" i="6"/>
  <c r="CS64" i="6"/>
  <c r="CQ64" i="6"/>
  <c r="CO64" i="6"/>
  <c r="CN64" i="6"/>
  <c r="CM64" i="6"/>
  <c r="CK64" i="6"/>
  <c r="CI64" i="6"/>
  <c r="CH64" i="6"/>
  <c r="CG64" i="6"/>
  <c r="CE64" i="6"/>
  <c r="CC64" i="6"/>
  <c r="CB64" i="6"/>
  <c r="CA64" i="6"/>
  <c r="BY64" i="6"/>
  <c r="BW64" i="6"/>
  <c r="BV64" i="6"/>
  <c r="BU64" i="6"/>
  <c r="BS64" i="6"/>
  <c r="BQ64" i="6"/>
  <c r="BP64" i="6"/>
  <c r="BO64" i="6"/>
  <c r="BM64" i="6"/>
  <c r="BK64" i="6"/>
  <c r="BJ64" i="6"/>
  <c r="BI64" i="6"/>
  <c r="BG64" i="6"/>
  <c r="BE64" i="6"/>
  <c r="BD64" i="6"/>
  <c r="BC64" i="6"/>
  <c r="BA64" i="6"/>
  <c r="AY64" i="6"/>
  <c r="AX64" i="6"/>
  <c r="AW64" i="6"/>
  <c r="AU64" i="6"/>
  <c r="AS64" i="6"/>
  <c r="AR64" i="6"/>
  <c r="AQ64" i="6"/>
  <c r="AO64" i="6"/>
  <c r="AM64" i="6"/>
  <c r="AL64" i="6"/>
  <c r="AK64" i="6"/>
  <c r="AI64" i="6"/>
  <c r="AG64" i="6"/>
  <c r="AF64" i="6"/>
  <c r="AE64" i="6"/>
  <c r="AC64" i="6"/>
  <c r="AA64" i="6"/>
  <c r="Z64" i="6"/>
  <c r="Y64" i="6"/>
  <c r="W64" i="6"/>
  <c r="U64" i="6"/>
  <c r="T64" i="6"/>
  <c r="S64" i="6"/>
  <c r="Q64" i="6"/>
  <c r="O64" i="6"/>
  <c r="N64" i="6"/>
  <c r="M64" i="6"/>
  <c r="K64" i="6"/>
  <c r="EQ63" i="6"/>
  <c r="EP63" i="6"/>
  <c r="EO63" i="6"/>
  <c r="EM63" i="6"/>
  <c r="EK63" i="6"/>
  <c r="EJ63" i="6"/>
  <c r="EI63" i="6"/>
  <c r="EG63" i="6"/>
  <c r="EE63" i="6"/>
  <c r="ED63" i="6"/>
  <c r="EC63" i="6"/>
  <c r="EA63" i="6"/>
  <c r="DY63" i="6"/>
  <c r="DX63" i="6"/>
  <c r="DW63" i="6"/>
  <c r="DU63" i="6"/>
  <c r="DS63" i="6"/>
  <c r="DR63" i="6"/>
  <c r="DQ63" i="6"/>
  <c r="DO63" i="6"/>
  <c r="DM63" i="6"/>
  <c r="DL63" i="6"/>
  <c r="DK63" i="6"/>
  <c r="DI63" i="6"/>
  <c r="DG63" i="6"/>
  <c r="DF63" i="6"/>
  <c r="DE63" i="6"/>
  <c r="DC63" i="6"/>
  <c r="DA63" i="6"/>
  <c r="CZ63" i="6"/>
  <c r="CY63" i="6"/>
  <c r="CW63" i="6"/>
  <c r="CU63" i="6"/>
  <c r="CT63" i="6"/>
  <c r="CS63" i="6"/>
  <c r="CQ63" i="6"/>
  <c r="CO63" i="6"/>
  <c r="CN63" i="6"/>
  <c r="CM63" i="6"/>
  <c r="CK63" i="6"/>
  <c r="CI63" i="6"/>
  <c r="CH63" i="6"/>
  <c r="CG63" i="6"/>
  <c r="CE63" i="6"/>
  <c r="CC63" i="6"/>
  <c r="CB63" i="6"/>
  <c r="CA63" i="6"/>
  <c r="BY63" i="6"/>
  <c r="BW63" i="6"/>
  <c r="BV63" i="6"/>
  <c r="BU63" i="6"/>
  <c r="BS63" i="6"/>
  <c r="BQ63" i="6"/>
  <c r="BP63" i="6"/>
  <c r="BO63" i="6"/>
  <c r="BM63" i="6"/>
  <c r="BK63" i="6"/>
  <c r="BJ63" i="6"/>
  <c r="BI63" i="6"/>
  <c r="BG63" i="6"/>
  <c r="BE63" i="6"/>
  <c r="BD63" i="6"/>
  <c r="BC63" i="6"/>
  <c r="BA63" i="6"/>
  <c r="AY63" i="6"/>
  <c r="AX63" i="6"/>
  <c r="AW63" i="6"/>
  <c r="AU63" i="6"/>
  <c r="AS63" i="6"/>
  <c r="AR63" i="6"/>
  <c r="AQ63" i="6"/>
  <c r="AO63" i="6"/>
  <c r="AM63" i="6"/>
  <c r="AL63" i="6"/>
  <c r="AK63" i="6"/>
  <c r="AI63" i="6"/>
  <c r="AG63" i="6"/>
  <c r="AF63" i="6"/>
  <c r="AE63" i="6"/>
  <c r="AC63" i="6"/>
  <c r="AA63" i="6"/>
  <c r="Z63" i="6"/>
  <c r="Y63" i="6"/>
  <c r="W63" i="6"/>
  <c r="U63" i="6"/>
  <c r="T63" i="6"/>
  <c r="S63" i="6"/>
  <c r="Q63" i="6"/>
  <c r="O63" i="6"/>
  <c r="N63" i="6"/>
  <c r="M63" i="6"/>
  <c r="K63" i="6"/>
  <c r="EP62" i="6"/>
  <c r="EO62" i="6"/>
  <c r="EJ62" i="6"/>
  <c r="EI62" i="6"/>
  <c r="ED62" i="6"/>
  <c r="EC62" i="6"/>
  <c r="DX62" i="6"/>
  <c r="DW62" i="6"/>
  <c r="DR62" i="6"/>
  <c r="DQ62" i="6"/>
  <c r="DL62" i="6"/>
  <c r="DK62" i="6"/>
  <c r="DF62" i="6"/>
  <c r="DE62" i="6"/>
  <c r="CZ62" i="6"/>
  <c r="CY62" i="6"/>
  <c r="CT62" i="6"/>
  <c r="CS62" i="6"/>
  <c r="CN62" i="6"/>
  <c r="CM62" i="6"/>
  <c r="CH62" i="6"/>
  <c r="CG62" i="6"/>
  <c r="CB62" i="6"/>
  <c r="CA62" i="6"/>
  <c r="BV62" i="6"/>
  <c r="BU62" i="6"/>
  <c r="BP62" i="6"/>
  <c r="BO62" i="6"/>
  <c r="BJ62" i="6"/>
  <c r="BI62" i="6"/>
  <c r="BD62" i="6"/>
  <c r="BC62" i="6"/>
  <c r="AX62" i="6"/>
  <c r="AW62" i="6"/>
  <c r="AR62" i="6"/>
  <c r="AQ62" i="6"/>
  <c r="AL62" i="6"/>
  <c r="AK62" i="6"/>
  <c r="AF62" i="6"/>
  <c r="AE62" i="6"/>
  <c r="Z62" i="6"/>
  <c r="Y62" i="6"/>
  <c r="T62" i="6"/>
  <c r="S62" i="6"/>
  <c r="N62" i="6"/>
  <c r="M62" i="6"/>
  <c r="EQ61" i="6"/>
  <c r="EK61" i="6"/>
  <c r="EE61" i="6"/>
  <c r="DY61" i="6"/>
  <c r="DS61" i="6"/>
  <c r="DM61" i="6"/>
  <c r="DG61" i="6"/>
  <c r="DA61" i="6"/>
  <c r="CU61" i="6"/>
  <c r="CO61" i="6"/>
  <c r="CI61" i="6"/>
  <c r="CC61" i="6"/>
  <c r="BW61" i="6"/>
  <c r="BQ61" i="6"/>
  <c r="BK61" i="6"/>
  <c r="BE61" i="6"/>
  <c r="AY61" i="6"/>
  <c r="AS61" i="6"/>
  <c r="AM61" i="6"/>
  <c r="AG61" i="6"/>
  <c r="AA61" i="6"/>
  <c r="U61" i="6"/>
  <c r="O61" i="6"/>
  <c r="EQ59" i="6"/>
  <c r="EK59" i="6"/>
  <c r="EE59" i="6"/>
  <c r="DY59" i="6"/>
  <c r="DS59" i="6"/>
  <c r="DM59" i="6"/>
  <c r="DG59" i="6"/>
  <c r="DA59" i="6"/>
  <c r="CU59" i="6"/>
  <c r="CO59" i="6"/>
  <c r="CI59" i="6"/>
  <c r="CC59" i="6"/>
  <c r="BW59" i="6"/>
  <c r="BQ59" i="6"/>
  <c r="BK59" i="6"/>
  <c r="BE59" i="6"/>
  <c r="AY59" i="6"/>
  <c r="AS59" i="6"/>
  <c r="AM59" i="6"/>
  <c r="AG59" i="6"/>
  <c r="AA59" i="6"/>
  <c r="U59" i="6"/>
  <c r="O59" i="6"/>
  <c r="EQ58" i="6"/>
  <c r="EK58" i="6"/>
  <c r="EE58" i="6"/>
  <c r="DY58" i="6"/>
  <c r="DS58" i="6"/>
  <c r="DM58" i="6"/>
  <c r="DG58" i="6"/>
  <c r="DA58" i="6"/>
  <c r="CU58" i="6"/>
  <c r="CO58" i="6"/>
  <c r="CI58" i="6"/>
  <c r="CC58" i="6"/>
  <c r="BW58" i="6"/>
  <c r="BQ58" i="6"/>
  <c r="BK58" i="6"/>
  <c r="BE58" i="6"/>
  <c r="AY58" i="6"/>
  <c r="AS58" i="6"/>
  <c r="AM58" i="6"/>
  <c r="AG58" i="6"/>
  <c r="AA58" i="6"/>
  <c r="U58" i="6"/>
  <c r="O58" i="6"/>
  <c r="EQ57" i="6"/>
  <c r="EK57" i="6"/>
  <c r="EE57" i="6"/>
  <c r="DY57" i="6"/>
  <c r="DS57" i="6"/>
  <c r="DM57" i="6"/>
  <c r="DG57" i="6"/>
  <c r="DA57" i="6"/>
  <c r="CU57" i="6"/>
  <c r="CO57" i="6"/>
  <c r="CI57" i="6"/>
  <c r="CC57" i="6"/>
  <c r="BW57" i="6"/>
  <c r="BQ57" i="6"/>
  <c r="BK57" i="6"/>
  <c r="BE57" i="6"/>
  <c r="AY57" i="6"/>
  <c r="AS57" i="6"/>
  <c r="AM57" i="6"/>
  <c r="AG57" i="6"/>
  <c r="AA57" i="6"/>
  <c r="U57" i="6"/>
  <c r="O57" i="6"/>
  <c r="EQ56" i="6"/>
  <c r="EP56" i="6"/>
  <c r="EO56" i="6"/>
  <c r="EN56" i="6"/>
  <c r="EK56" i="6"/>
  <c r="EJ56" i="6"/>
  <c r="EI56" i="6"/>
  <c r="EH56" i="6"/>
  <c r="EE56" i="6"/>
  <c r="ED56" i="6"/>
  <c r="EC56" i="6"/>
  <c r="EB56" i="6"/>
  <c r="DY56" i="6"/>
  <c r="DX56" i="6"/>
  <c r="DW56" i="6"/>
  <c r="DV56" i="6"/>
  <c r="DS56" i="6"/>
  <c r="DR56" i="6"/>
  <c r="DQ56" i="6"/>
  <c r="DP56" i="6"/>
  <c r="DM56" i="6"/>
  <c r="DL56" i="6"/>
  <c r="DK56" i="6"/>
  <c r="DJ56" i="6"/>
  <c r="DG56" i="6"/>
  <c r="DF56" i="6"/>
  <c r="DE56" i="6"/>
  <c r="DD56" i="6"/>
  <c r="DA56" i="6"/>
  <c r="CZ56" i="6"/>
  <c r="CY56" i="6"/>
  <c r="CX56" i="6"/>
  <c r="CU56" i="6"/>
  <c r="CT56" i="6"/>
  <c r="CS56" i="6"/>
  <c r="CR56" i="6"/>
  <c r="CO56" i="6"/>
  <c r="CN56" i="6"/>
  <c r="CM56" i="6"/>
  <c r="CL56" i="6"/>
  <c r="CI56" i="6"/>
  <c r="CH56" i="6"/>
  <c r="CG56" i="6"/>
  <c r="CF56" i="6"/>
  <c r="CC56" i="6"/>
  <c r="CB56" i="6"/>
  <c r="CA56" i="6"/>
  <c r="BZ56" i="6"/>
  <c r="BW56" i="6"/>
  <c r="BV56" i="6"/>
  <c r="BU56" i="6"/>
  <c r="BT56" i="6"/>
  <c r="BQ56" i="6"/>
  <c r="BP56" i="6"/>
  <c r="BO56" i="6"/>
  <c r="BN56" i="6"/>
  <c r="BK56" i="6"/>
  <c r="BJ56" i="6"/>
  <c r="BI56" i="6"/>
  <c r="BH56" i="6"/>
  <c r="BE56" i="6"/>
  <c r="BD56" i="6"/>
  <c r="BC56" i="6"/>
  <c r="BB56" i="6"/>
  <c r="AY56" i="6"/>
  <c r="AX56" i="6"/>
  <c r="AW56" i="6"/>
  <c r="AV56" i="6"/>
  <c r="AS56" i="6"/>
  <c r="AR56" i="6"/>
  <c r="AQ56" i="6"/>
  <c r="AP56" i="6"/>
  <c r="AM56" i="6"/>
  <c r="AL56" i="6"/>
  <c r="AK56" i="6"/>
  <c r="AJ56" i="6"/>
  <c r="AG56" i="6"/>
  <c r="AF56" i="6"/>
  <c r="AE56" i="6"/>
  <c r="AD56" i="6"/>
  <c r="AA56" i="6"/>
  <c r="Z56" i="6"/>
  <c r="Y56" i="6"/>
  <c r="X56" i="6"/>
  <c r="U56" i="6"/>
  <c r="T56" i="6"/>
  <c r="S56" i="6"/>
  <c r="R56" i="6"/>
  <c r="O56" i="6"/>
  <c r="N56" i="6"/>
  <c r="M56" i="6"/>
  <c r="L56" i="6"/>
  <c r="EQ55" i="6"/>
  <c r="EP55" i="6"/>
  <c r="EO55" i="6"/>
  <c r="EN55" i="6"/>
  <c r="EK55" i="6"/>
  <c r="EJ55" i="6"/>
  <c r="EI55" i="6"/>
  <c r="EH55" i="6"/>
  <c r="EE55" i="6"/>
  <c r="ED55" i="6"/>
  <c r="EC55" i="6"/>
  <c r="EB55" i="6"/>
  <c r="DY55" i="6"/>
  <c r="DX55" i="6"/>
  <c r="DW55" i="6"/>
  <c r="DV55" i="6"/>
  <c r="DS55" i="6"/>
  <c r="DR55" i="6"/>
  <c r="DQ55" i="6"/>
  <c r="DP55" i="6"/>
  <c r="DM55" i="6"/>
  <c r="DL55" i="6"/>
  <c r="DK55" i="6"/>
  <c r="DJ55" i="6"/>
  <c r="DG55" i="6"/>
  <c r="DF55" i="6"/>
  <c r="DE55" i="6"/>
  <c r="DD55" i="6"/>
  <c r="DA55" i="6"/>
  <c r="CZ55" i="6"/>
  <c r="CY55" i="6"/>
  <c r="CX55" i="6"/>
  <c r="CU55" i="6"/>
  <c r="CT55" i="6"/>
  <c r="CS55" i="6"/>
  <c r="CR55" i="6"/>
  <c r="CO55" i="6"/>
  <c r="CN55" i="6"/>
  <c r="CM55" i="6"/>
  <c r="CL55" i="6"/>
  <c r="CI55" i="6"/>
  <c r="CH55" i="6"/>
  <c r="CG55" i="6"/>
  <c r="CF55" i="6"/>
  <c r="CC55" i="6"/>
  <c r="CB55" i="6"/>
  <c r="CA55" i="6"/>
  <c r="BZ55" i="6"/>
  <c r="BW55" i="6"/>
  <c r="BV55" i="6"/>
  <c r="BU55" i="6"/>
  <c r="BT55" i="6"/>
  <c r="BQ55" i="6"/>
  <c r="BP55" i="6"/>
  <c r="BO55" i="6"/>
  <c r="BN55" i="6"/>
  <c r="BK55" i="6"/>
  <c r="BJ55" i="6"/>
  <c r="BI55" i="6"/>
  <c r="BH55" i="6"/>
  <c r="BE55" i="6"/>
  <c r="BD55" i="6"/>
  <c r="BC55" i="6"/>
  <c r="BB55" i="6"/>
  <c r="AY55" i="6"/>
  <c r="AX55" i="6"/>
  <c r="AW55" i="6"/>
  <c r="AV55" i="6"/>
  <c r="AS55" i="6"/>
  <c r="AR55" i="6"/>
  <c r="AQ55" i="6"/>
  <c r="AP55" i="6"/>
  <c r="AM55" i="6"/>
  <c r="AL55" i="6"/>
  <c r="AK55" i="6"/>
  <c r="AJ55" i="6"/>
  <c r="AG55" i="6"/>
  <c r="AF55" i="6"/>
  <c r="AE55" i="6"/>
  <c r="AD55" i="6"/>
  <c r="AA55" i="6"/>
  <c r="Z55" i="6"/>
  <c r="Y55" i="6"/>
  <c r="X55" i="6"/>
  <c r="U55" i="6"/>
  <c r="T55" i="6"/>
  <c r="S55" i="6"/>
  <c r="R55" i="6"/>
  <c r="O55" i="6"/>
  <c r="N55" i="6"/>
  <c r="M55" i="6"/>
  <c r="L55" i="6"/>
  <c r="EQ54" i="6"/>
  <c r="EP54" i="6"/>
  <c r="EO54" i="6"/>
  <c r="EN54" i="6"/>
  <c r="EK54" i="6"/>
  <c r="EJ54" i="6"/>
  <c r="EI54" i="6"/>
  <c r="EH54" i="6"/>
  <c r="EE54" i="6"/>
  <c r="ED54" i="6"/>
  <c r="EC54" i="6"/>
  <c r="EB54" i="6"/>
  <c r="DY54" i="6"/>
  <c r="DX54" i="6"/>
  <c r="DW54" i="6"/>
  <c r="DV54" i="6"/>
  <c r="DS54" i="6"/>
  <c r="DR54" i="6"/>
  <c r="DQ54" i="6"/>
  <c r="DP54" i="6"/>
  <c r="DM54" i="6"/>
  <c r="DL54" i="6"/>
  <c r="DK54" i="6"/>
  <c r="DJ54" i="6"/>
  <c r="DG54" i="6"/>
  <c r="DF54" i="6"/>
  <c r="DE54" i="6"/>
  <c r="DD54" i="6"/>
  <c r="DA54" i="6"/>
  <c r="CZ54" i="6"/>
  <c r="CY54" i="6"/>
  <c r="CX54" i="6"/>
  <c r="CU54" i="6"/>
  <c r="CT54" i="6"/>
  <c r="CS54" i="6"/>
  <c r="CR54" i="6"/>
  <c r="CO54" i="6"/>
  <c r="CN54" i="6"/>
  <c r="CM54" i="6"/>
  <c r="CL54" i="6"/>
  <c r="CI54" i="6"/>
  <c r="CH54" i="6"/>
  <c r="CG54" i="6"/>
  <c r="CF54" i="6"/>
  <c r="CC54" i="6"/>
  <c r="CB54" i="6"/>
  <c r="CA54" i="6"/>
  <c r="BZ54" i="6"/>
  <c r="BW54" i="6"/>
  <c r="BV54" i="6"/>
  <c r="BU54" i="6"/>
  <c r="BT54" i="6"/>
  <c r="BQ54" i="6"/>
  <c r="BP54" i="6"/>
  <c r="BO54" i="6"/>
  <c r="BN54" i="6"/>
  <c r="BK54" i="6"/>
  <c r="BJ54" i="6"/>
  <c r="BI54" i="6"/>
  <c r="BH54" i="6"/>
  <c r="BE54" i="6"/>
  <c r="BD54" i="6"/>
  <c r="BC54" i="6"/>
  <c r="BB54" i="6"/>
  <c r="AY54" i="6"/>
  <c r="AX54" i="6"/>
  <c r="AW54" i="6"/>
  <c r="AV54" i="6"/>
  <c r="AS54" i="6"/>
  <c r="AR54" i="6"/>
  <c r="AQ54" i="6"/>
  <c r="AP54" i="6"/>
  <c r="AM54" i="6"/>
  <c r="AL54" i="6"/>
  <c r="AK54" i="6"/>
  <c r="AJ54" i="6"/>
  <c r="AG54" i="6"/>
  <c r="AF54" i="6"/>
  <c r="AE54" i="6"/>
  <c r="AD54" i="6"/>
  <c r="AA54" i="6"/>
  <c r="Z54" i="6"/>
  <c r="Y54" i="6"/>
  <c r="X54" i="6"/>
  <c r="U54" i="6"/>
  <c r="T54" i="6"/>
  <c r="S54" i="6"/>
  <c r="R54" i="6"/>
  <c r="O54" i="6"/>
  <c r="N54" i="6"/>
  <c r="M54" i="6"/>
  <c r="L54" i="6"/>
  <c r="EP47" i="6"/>
  <c r="EP45" i="6"/>
  <c r="EM2" i="6"/>
  <c r="EG2" i="6"/>
  <c r="EA2" i="6"/>
  <c r="DU2" i="6"/>
  <c r="DO2" i="6"/>
  <c r="DI2" i="6"/>
  <c r="DC2" i="6"/>
  <c r="CW2" i="6"/>
  <c r="CQ2" i="6"/>
  <c r="CK2" i="6"/>
  <c r="CE2" i="6"/>
  <c r="BY2" i="6"/>
  <c r="BS2" i="6"/>
  <c r="BM2" i="6"/>
  <c r="BG2" i="6"/>
  <c r="BA2" i="6"/>
  <c r="AU2" i="6"/>
  <c r="AO2" i="6"/>
  <c r="AI2" i="6"/>
  <c r="AC2" i="6"/>
  <c r="W2" i="6"/>
  <c r="Q2" i="6"/>
  <c r="K2" i="6"/>
  <c r="E2" i="6"/>
  <c r="E51" i="6" s="1"/>
  <c r="K51" i="6" s="1"/>
  <c r="Q51" i="6" s="1"/>
  <c r="W51" i="6" s="1"/>
  <c r="AC51" i="6" s="1"/>
  <c r="AI51" i="6" s="1"/>
  <c r="AO51" i="6" s="1"/>
  <c r="AU51" i="6" s="1"/>
  <c r="BA51" i="6" s="1"/>
  <c r="BG51" i="6" s="1"/>
  <c r="BM51" i="6" s="1"/>
  <c r="BS51" i="6" s="1"/>
  <c r="BY51" i="6" s="1"/>
  <c r="CE51" i="6" s="1"/>
  <c r="CK51" i="6" s="1"/>
  <c r="CQ51" i="6" s="1"/>
  <c r="CW51" i="6" s="1"/>
  <c r="DC51" i="6" s="1"/>
  <c r="DI51" i="6" s="1"/>
  <c r="DO51" i="6" s="1"/>
  <c r="DU51" i="6" s="1"/>
  <c r="EA51" i="6" s="1"/>
  <c r="EG51" i="6" s="1"/>
  <c r="EM51" i="6" s="1"/>
  <c r="S233" i="21"/>
  <c r="R233" i="21"/>
  <c r="Q233" i="21"/>
  <c r="A1141" i="7"/>
  <c r="G1137" i="7"/>
  <c r="H1137" i="7" s="1"/>
  <c r="I1137" i="7" s="1"/>
  <c r="J1137" i="7" s="1"/>
  <c r="K1137" i="7" s="1"/>
  <c r="L1137" i="7" s="1"/>
  <c r="M1137" i="7" s="1"/>
  <c r="N1137" i="7" s="1"/>
  <c r="O1137" i="7" s="1"/>
  <c r="P1137" i="7" s="1"/>
  <c r="Q1137" i="7" s="1"/>
  <c r="R1137" i="7" s="1"/>
  <c r="S1137" i="7" s="1"/>
  <c r="T1137" i="7" s="1"/>
  <c r="U1137" i="7" s="1"/>
  <c r="V1137" i="7" s="1"/>
  <c r="W1137" i="7" s="1"/>
  <c r="X1137" i="7" s="1"/>
  <c r="Y1137" i="7" s="1"/>
  <c r="Z1137" i="7" s="1"/>
  <c r="AA1137" i="7" s="1"/>
  <c r="AB1137" i="7" s="1"/>
  <c r="AC1137" i="7" s="1"/>
  <c r="AD1137" i="7" s="1"/>
  <c r="AE1137" i="7" s="1"/>
  <c r="A1134" i="7"/>
  <c r="G1127" i="7"/>
  <c r="H1127" i="7" s="1"/>
  <c r="I1127" i="7" s="1"/>
  <c r="J1127" i="7" s="1"/>
  <c r="K1127" i="7" s="1"/>
  <c r="L1127" i="7" s="1"/>
  <c r="M1127" i="7" s="1"/>
  <c r="N1127" i="7" s="1"/>
  <c r="O1127" i="7" s="1"/>
  <c r="P1127" i="7" s="1"/>
  <c r="Q1127" i="7" s="1"/>
  <c r="R1127" i="7" s="1"/>
  <c r="S1127" i="7" s="1"/>
  <c r="T1127" i="7" s="1"/>
  <c r="U1127" i="7" s="1"/>
  <c r="V1127" i="7" s="1"/>
  <c r="W1127" i="7" s="1"/>
  <c r="X1127" i="7" s="1"/>
  <c r="Y1127" i="7" s="1"/>
  <c r="Z1127" i="7" s="1"/>
  <c r="AA1127" i="7" s="1"/>
  <c r="AB1127" i="7" s="1"/>
  <c r="AC1127" i="7" s="1"/>
  <c r="AD1127" i="7" s="1"/>
  <c r="AE1127" i="7" s="1"/>
  <c r="A1124" i="7"/>
  <c r="E1122" i="7"/>
  <c r="E1119" i="7"/>
  <c r="G1118" i="7"/>
  <c r="H1118" i="7" s="1"/>
  <c r="I1118" i="7" s="1"/>
  <c r="J1118" i="7" s="1"/>
  <c r="K1118" i="7" s="1"/>
  <c r="L1118" i="7" s="1"/>
  <c r="M1118" i="7" s="1"/>
  <c r="N1118" i="7" s="1"/>
  <c r="O1118" i="7" s="1"/>
  <c r="P1118" i="7" s="1"/>
  <c r="Q1118" i="7" s="1"/>
  <c r="R1118" i="7" s="1"/>
  <c r="S1118" i="7" s="1"/>
  <c r="T1118" i="7" s="1"/>
  <c r="U1118" i="7" s="1"/>
  <c r="V1118" i="7" s="1"/>
  <c r="W1118" i="7" s="1"/>
  <c r="X1118" i="7" s="1"/>
  <c r="Y1118" i="7" s="1"/>
  <c r="Z1118" i="7" s="1"/>
  <c r="AA1118" i="7" s="1"/>
  <c r="AB1118" i="7" s="1"/>
  <c r="AC1118" i="7" s="1"/>
  <c r="AD1118" i="7" s="1"/>
  <c r="AE1118" i="7" s="1"/>
  <c r="F1114" i="7"/>
  <c r="AD1112" i="7"/>
  <c r="E1112" i="7"/>
  <c r="AD1111" i="7"/>
  <c r="F1111" i="7"/>
  <c r="E1111" i="7"/>
  <c r="E1110" i="7"/>
  <c r="H1109" i="7"/>
  <c r="I1109" i="7" s="1"/>
  <c r="J1109" i="7" s="1"/>
  <c r="K1109" i="7" s="1"/>
  <c r="L1109" i="7" s="1"/>
  <c r="M1109" i="7" s="1"/>
  <c r="N1109" i="7" s="1"/>
  <c r="O1109" i="7" s="1"/>
  <c r="P1109" i="7" s="1"/>
  <c r="Q1109" i="7" s="1"/>
  <c r="R1109" i="7" s="1"/>
  <c r="S1109" i="7" s="1"/>
  <c r="T1109" i="7" s="1"/>
  <c r="U1109" i="7" s="1"/>
  <c r="V1109" i="7" s="1"/>
  <c r="W1109" i="7" s="1"/>
  <c r="X1109" i="7" s="1"/>
  <c r="Y1109" i="7" s="1"/>
  <c r="Z1109" i="7" s="1"/>
  <c r="AA1109" i="7" s="1"/>
  <c r="AB1109" i="7" s="1"/>
  <c r="AC1109" i="7" s="1"/>
  <c r="AD1109" i="7" s="1"/>
  <c r="AE1109" i="7" s="1"/>
  <c r="G1109" i="7"/>
  <c r="F1103" i="7"/>
  <c r="I1101" i="7"/>
  <c r="J1101" i="7" s="1"/>
  <c r="K1101" i="7" s="1"/>
  <c r="L1101" i="7" s="1"/>
  <c r="M1101" i="7" s="1"/>
  <c r="N1101" i="7" s="1"/>
  <c r="O1101" i="7" s="1"/>
  <c r="P1101" i="7" s="1"/>
  <c r="Q1101" i="7" s="1"/>
  <c r="R1101" i="7" s="1"/>
  <c r="S1101" i="7" s="1"/>
  <c r="T1101" i="7" s="1"/>
  <c r="U1101" i="7" s="1"/>
  <c r="V1101" i="7" s="1"/>
  <c r="W1101" i="7" s="1"/>
  <c r="X1101" i="7" s="1"/>
  <c r="Y1101" i="7" s="1"/>
  <c r="Z1101" i="7" s="1"/>
  <c r="AA1101" i="7" s="1"/>
  <c r="AB1101" i="7" s="1"/>
  <c r="AC1101" i="7" s="1"/>
  <c r="AD1101" i="7" s="1"/>
  <c r="AE1101" i="7" s="1"/>
  <c r="G1101" i="7"/>
  <c r="H1101" i="7" s="1"/>
  <c r="I1095" i="7"/>
  <c r="J1095" i="7" s="1"/>
  <c r="K1095" i="7" s="1"/>
  <c r="L1095" i="7" s="1"/>
  <c r="M1095" i="7" s="1"/>
  <c r="N1095" i="7" s="1"/>
  <c r="O1095" i="7" s="1"/>
  <c r="P1095" i="7" s="1"/>
  <c r="Q1095" i="7" s="1"/>
  <c r="R1095" i="7" s="1"/>
  <c r="S1095" i="7" s="1"/>
  <c r="T1095" i="7" s="1"/>
  <c r="U1095" i="7" s="1"/>
  <c r="V1095" i="7" s="1"/>
  <c r="W1095" i="7" s="1"/>
  <c r="X1095" i="7" s="1"/>
  <c r="Y1095" i="7" s="1"/>
  <c r="Z1095" i="7" s="1"/>
  <c r="AA1095" i="7" s="1"/>
  <c r="AB1095" i="7" s="1"/>
  <c r="AC1095" i="7" s="1"/>
  <c r="AD1095" i="7" s="1"/>
  <c r="AE1095" i="7" s="1"/>
  <c r="G1095" i="7"/>
  <c r="H1095" i="7" s="1"/>
  <c r="G1090" i="7"/>
  <c r="H1090" i="7" s="1"/>
  <c r="I1090" i="7" s="1"/>
  <c r="J1090" i="7" s="1"/>
  <c r="K1090" i="7" s="1"/>
  <c r="L1090" i="7" s="1"/>
  <c r="M1090" i="7" s="1"/>
  <c r="N1090" i="7" s="1"/>
  <c r="O1090" i="7" s="1"/>
  <c r="P1090" i="7" s="1"/>
  <c r="Q1090" i="7" s="1"/>
  <c r="R1090" i="7" s="1"/>
  <c r="S1090" i="7" s="1"/>
  <c r="T1090" i="7" s="1"/>
  <c r="U1090" i="7" s="1"/>
  <c r="V1090" i="7" s="1"/>
  <c r="W1090" i="7" s="1"/>
  <c r="X1090" i="7" s="1"/>
  <c r="Y1090" i="7" s="1"/>
  <c r="Z1090" i="7" s="1"/>
  <c r="AA1090" i="7" s="1"/>
  <c r="AB1090" i="7" s="1"/>
  <c r="AC1090" i="7" s="1"/>
  <c r="AD1090" i="7" s="1"/>
  <c r="AE1090" i="7" s="1"/>
  <c r="I1085" i="7"/>
  <c r="J1085" i="7" s="1"/>
  <c r="K1085" i="7" s="1"/>
  <c r="L1085" i="7" s="1"/>
  <c r="M1085" i="7" s="1"/>
  <c r="N1085" i="7" s="1"/>
  <c r="O1085" i="7" s="1"/>
  <c r="P1085" i="7" s="1"/>
  <c r="Q1085" i="7" s="1"/>
  <c r="R1085" i="7" s="1"/>
  <c r="S1085" i="7" s="1"/>
  <c r="T1085" i="7" s="1"/>
  <c r="U1085" i="7" s="1"/>
  <c r="V1085" i="7" s="1"/>
  <c r="W1085" i="7" s="1"/>
  <c r="X1085" i="7" s="1"/>
  <c r="Y1085" i="7" s="1"/>
  <c r="Z1085" i="7" s="1"/>
  <c r="AA1085" i="7" s="1"/>
  <c r="AB1085" i="7" s="1"/>
  <c r="AC1085" i="7" s="1"/>
  <c r="AD1085" i="7" s="1"/>
  <c r="AE1085" i="7" s="1"/>
  <c r="G1085" i="7"/>
  <c r="H1085" i="7" s="1"/>
  <c r="E1082" i="7"/>
  <c r="E1081" i="7"/>
  <c r="E1080" i="7"/>
  <c r="E1079" i="7"/>
  <c r="I1078" i="7"/>
  <c r="J1078" i="7" s="1"/>
  <c r="K1078" i="7" s="1"/>
  <c r="L1078" i="7" s="1"/>
  <c r="M1078" i="7" s="1"/>
  <c r="N1078" i="7" s="1"/>
  <c r="O1078" i="7" s="1"/>
  <c r="P1078" i="7" s="1"/>
  <c r="Q1078" i="7" s="1"/>
  <c r="R1078" i="7" s="1"/>
  <c r="S1078" i="7" s="1"/>
  <c r="T1078" i="7" s="1"/>
  <c r="U1078" i="7" s="1"/>
  <c r="V1078" i="7" s="1"/>
  <c r="W1078" i="7" s="1"/>
  <c r="X1078" i="7" s="1"/>
  <c r="Y1078" i="7" s="1"/>
  <c r="Z1078" i="7" s="1"/>
  <c r="AA1078" i="7" s="1"/>
  <c r="AB1078" i="7" s="1"/>
  <c r="AC1078" i="7" s="1"/>
  <c r="AD1078" i="7" s="1"/>
  <c r="AE1078" i="7" s="1"/>
  <c r="G1078" i="7"/>
  <c r="H1078" i="7" s="1"/>
  <c r="I1073" i="7"/>
  <c r="J1073" i="7" s="1"/>
  <c r="K1073" i="7" s="1"/>
  <c r="L1073" i="7" s="1"/>
  <c r="M1073" i="7" s="1"/>
  <c r="N1073" i="7" s="1"/>
  <c r="O1073" i="7" s="1"/>
  <c r="P1073" i="7" s="1"/>
  <c r="Q1073" i="7" s="1"/>
  <c r="R1073" i="7" s="1"/>
  <c r="S1073" i="7" s="1"/>
  <c r="T1073" i="7" s="1"/>
  <c r="U1073" i="7" s="1"/>
  <c r="V1073" i="7" s="1"/>
  <c r="W1073" i="7" s="1"/>
  <c r="X1073" i="7" s="1"/>
  <c r="Y1073" i="7" s="1"/>
  <c r="Z1073" i="7" s="1"/>
  <c r="AA1073" i="7" s="1"/>
  <c r="AB1073" i="7" s="1"/>
  <c r="AC1073" i="7" s="1"/>
  <c r="AD1073" i="7" s="1"/>
  <c r="AE1073" i="7" s="1"/>
  <c r="G1073" i="7"/>
  <c r="H1073" i="7" s="1"/>
  <c r="G1068" i="7"/>
  <c r="H1068" i="7" s="1"/>
  <c r="I1068" i="7" s="1"/>
  <c r="J1068" i="7" s="1"/>
  <c r="K1068" i="7" s="1"/>
  <c r="L1068" i="7" s="1"/>
  <c r="M1068" i="7" s="1"/>
  <c r="N1068" i="7" s="1"/>
  <c r="O1068" i="7" s="1"/>
  <c r="P1068" i="7" s="1"/>
  <c r="Q1068" i="7" s="1"/>
  <c r="R1068" i="7" s="1"/>
  <c r="S1068" i="7" s="1"/>
  <c r="T1068" i="7" s="1"/>
  <c r="U1068" i="7" s="1"/>
  <c r="V1068" i="7" s="1"/>
  <c r="W1068" i="7" s="1"/>
  <c r="X1068" i="7" s="1"/>
  <c r="Y1068" i="7" s="1"/>
  <c r="Z1068" i="7" s="1"/>
  <c r="AA1068" i="7" s="1"/>
  <c r="AB1068" i="7" s="1"/>
  <c r="AC1068" i="7" s="1"/>
  <c r="AD1068" i="7" s="1"/>
  <c r="AE1068" i="7" s="1"/>
  <c r="E1065" i="7"/>
  <c r="E1064" i="7"/>
  <c r="E1063" i="7"/>
  <c r="G1062" i="7"/>
  <c r="H1062" i="7" s="1"/>
  <c r="I1062" i="7" s="1"/>
  <c r="J1062" i="7" s="1"/>
  <c r="K1062" i="7" s="1"/>
  <c r="L1062" i="7" s="1"/>
  <c r="M1062" i="7" s="1"/>
  <c r="N1062" i="7" s="1"/>
  <c r="O1062" i="7" s="1"/>
  <c r="P1062" i="7" s="1"/>
  <c r="Q1062" i="7" s="1"/>
  <c r="R1062" i="7" s="1"/>
  <c r="S1062" i="7" s="1"/>
  <c r="T1062" i="7" s="1"/>
  <c r="U1062" i="7" s="1"/>
  <c r="V1062" i="7" s="1"/>
  <c r="W1062" i="7" s="1"/>
  <c r="X1062" i="7" s="1"/>
  <c r="Y1062" i="7" s="1"/>
  <c r="Z1062" i="7" s="1"/>
  <c r="AA1062" i="7" s="1"/>
  <c r="AB1062" i="7" s="1"/>
  <c r="AC1062" i="7" s="1"/>
  <c r="AD1062" i="7" s="1"/>
  <c r="AE1062" i="7" s="1"/>
  <c r="E1059" i="7"/>
  <c r="E1058" i="7"/>
  <c r="E1057" i="7"/>
  <c r="G1056" i="7"/>
  <c r="H1056" i="7" s="1"/>
  <c r="I1056" i="7" s="1"/>
  <c r="J1056" i="7" s="1"/>
  <c r="K1056" i="7" s="1"/>
  <c r="L1056" i="7" s="1"/>
  <c r="M1056" i="7" s="1"/>
  <c r="N1056" i="7" s="1"/>
  <c r="O1056" i="7" s="1"/>
  <c r="P1056" i="7" s="1"/>
  <c r="Q1056" i="7" s="1"/>
  <c r="R1056" i="7" s="1"/>
  <c r="S1056" i="7" s="1"/>
  <c r="T1056" i="7" s="1"/>
  <c r="U1056" i="7" s="1"/>
  <c r="V1056" i="7" s="1"/>
  <c r="W1056" i="7" s="1"/>
  <c r="X1056" i="7" s="1"/>
  <c r="Y1056" i="7" s="1"/>
  <c r="Z1056" i="7" s="1"/>
  <c r="AA1056" i="7" s="1"/>
  <c r="AB1056" i="7" s="1"/>
  <c r="AC1056" i="7" s="1"/>
  <c r="AD1056" i="7" s="1"/>
  <c r="AE1056" i="7" s="1"/>
  <c r="F1049" i="7"/>
  <c r="E1049" i="7"/>
  <c r="E1047" i="7"/>
  <c r="E1046" i="7"/>
  <c r="E1045" i="7"/>
  <c r="E1044" i="7"/>
  <c r="E1043" i="7"/>
  <c r="E1042" i="7"/>
  <c r="Y1041" i="7"/>
  <c r="Z1041" i="7" s="1"/>
  <c r="G1041" i="7"/>
  <c r="H1041" i="7" s="1"/>
  <c r="I1041" i="7" s="1"/>
  <c r="J1041" i="7" s="1"/>
  <c r="K1041" i="7" s="1"/>
  <c r="L1041" i="7" s="1"/>
  <c r="M1041" i="7" s="1"/>
  <c r="N1041" i="7" s="1"/>
  <c r="O1041" i="7" s="1"/>
  <c r="P1041" i="7" s="1"/>
  <c r="Q1041" i="7" s="1"/>
  <c r="R1041" i="7" s="1"/>
  <c r="S1041" i="7" s="1"/>
  <c r="T1041" i="7" s="1"/>
  <c r="U1041" i="7" s="1"/>
  <c r="V1041" i="7" s="1"/>
  <c r="W1041" i="7" s="1"/>
  <c r="X1041" i="7" s="1"/>
  <c r="AM1040" i="7"/>
  <c r="AM1039" i="7"/>
  <c r="AM1037" i="7"/>
  <c r="AM1033" i="7"/>
  <c r="G1029" i="7"/>
  <c r="H1029" i="7" s="1"/>
  <c r="I1029" i="7" s="1"/>
  <c r="J1029" i="7" s="1"/>
  <c r="K1029" i="7" s="1"/>
  <c r="L1029" i="7" s="1"/>
  <c r="M1029" i="7" s="1"/>
  <c r="N1029" i="7" s="1"/>
  <c r="O1029" i="7" s="1"/>
  <c r="P1029" i="7" s="1"/>
  <c r="Q1029" i="7" s="1"/>
  <c r="R1029" i="7" s="1"/>
  <c r="S1029" i="7" s="1"/>
  <c r="T1029" i="7" s="1"/>
  <c r="U1029" i="7" s="1"/>
  <c r="V1029" i="7" s="1"/>
  <c r="W1029" i="7" s="1"/>
  <c r="X1029" i="7" s="1"/>
  <c r="Y1029" i="7" s="1"/>
  <c r="Z1029" i="7" s="1"/>
  <c r="AM1028" i="7"/>
  <c r="AM1027" i="7"/>
  <c r="G1024" i="7"/>
  <c r="H1024" i="7" s="1"/>
  <c r="I1024" i="7" s="1"/>
  <c r="J1024" i="7" s="1"/>
  <c r="K1024" i="7" s="1"/>
  <c r="L1024" i="7" s="1"/>
  <c r="M1024" i="7" s="1"/>
  <c r="N1024" i="7" s="1"/>
  <c r="O1024" i="7" s="1"/>
  <c r="P1024" i="7" s="1"/>
  <c r="Q1024" i="7" s="1"/>
  <c r="R1024" i="7" s="1"/>
  <c r="S1024" i="7" s="1"/>
  <c r="T1024" i="7" s="1"/>
  <c r="U1024" i="7" s="1"/>
  <c r="V1024" i="7" s="1"/>
  <c r="W1024" i="7" s="1"/>
  <c r="X1024" i="7" s="1"/>
  <c r="Y1024" i="7" s="1"/>
  <c r="Z1024" i="7" s="1"/>
  <c r="AM1023" i="7"/>
  <c r="AM1022" i="7"/>
  <c r="AD1021" i="7"/>
  <c r="AC1021" i="7"/>
  <c r="AB1021" i="7"/>
  <c r="AA1021" i="7"/>
  <c r="Z1021" i="7"/>
  <c r="AM1021" i="7" s="1"/>
  <c r="AD1020" i="7"/>
  <c r="AC1020" i="7"/>
  <c r="AB1020" i="7"/>
  <c r="AA1020" i="7"/>
  <c r="Z1020" i="7"/>
  <c r="AM1020" i="7" s="1"/>
  <c r="G1019" i="7"/>
  <c r="H1019" i="7" s="1"/>
  <c r="I1019" i="7" s="1"/>
  <c r="J1019" i="7" s="1"/>
  <c r="K1019" i="7" s="1"/>
  <c r="L1019" i="7" s="1"/>
  <c r="M1019" i="7" s="1"/>
  <c r="N1019" i="7" s="1"/>
  <c r="O1019" i="7" s="1"/>
  <c r="P1019" i="7" s="1"/>
  <c r="Q1019" i="7" s="1"/>
  <c r="R1019" i="7" s="1"/>
  <c r="S1019" i="7" s="1"/>
  <c r="T1019" i="7" s="1"/>
  <c r="U1019" i="7" s="1"/>
  <c r="V1019" i="7" s="1"/>
  <c r="W1019" i="7" s="1"/>
  <c r="X1019" i="7" s="1"/>
  <c r="Y1019" i="7" s="1"/>
  <c r="Z1019" i="7" s="1"/>
  <c r="AM1018" i="7"/>
  <c r="E1015" i="7"/>
  <c r="G1006" i="7"/>
  <c r="H1006" i="7" s="1"/>
  <c r="I1006" i="7" s="1"/>
  <c r="J1006" i="7" s="1"/>
  <c r="K1006" i="7" s="1"/>
  <c r="L1006" i="7" s="1"/>
  <c r="M1006" i="7" s="1"/>
  <c r="N1006" i="7" s="1"/>
  <c r="O1006" i="7" s="1"/>
  <c r="P1006" i="7" s="1"/>
  <c r="Q1006" i="7" s="1"/>
  <c r="R1006" i="7" s="1"/>
  <c r="S1006" i="7" s="1"/>
  <c r="T1006" i="7" s="1"/>
  <c r="U1006" i="7" s="1"/>
  <c r="V1006" i="7" s="1"/>
  <c r="W1006" i="7" s="1"/>
  <c r="X1006" i="7" s="1"/>
  <c r="Y1006" i="7" s="1"/>
  <c r="Z1006" i="7" s="1"/>
  <c r="AM1005" i="7"/>
  <c r="A1003" i="7"/>
  <c r="F1001" i="7"/>
  <c r="E1001" i="7"/>
  <c r="F993" i="7"/>
  <c r="O992" i="7"/>
  <c r="P992" i="7" s="1"/>
  <c r="Q992" i="7" s="1"/>
  <c r="R992" i="7" s="1"/>
  <c r="S992" i="7" s="1"/>
  <c r="T992" i="7" s="1"/>
  <c r="U992" i="7" s="1"/>
  <c r="V992" i="7" s="1"/>
  <c r="W992" i="7" s="1"/>
  <c r="X992" i="7" s="1"/>
  <c r="Y992" i="7" s="1"/>
  <c r="Z992" i="7" s="1"/>
  <c r="AA992" i="7" s="1"/>
  <c r="AB992" i="7" s="1"/>
  <c r="AC992" i="7" s="1"/>
  <c r="AD992" i="7" s="1"/>
  <c r="AE992" i="7" s="1"/>
  <c r="G992" i="7"/>
  <c r="H992" i="7" s="1"/>
  <c r="I992" i="7" s="1"/>
  <c r="J992" i="7" s="1"/>
  <c r="K992" i="7" s="1"/>
  <c r="L992" i="7" s="1"/>
  <c r="M992" i="7" s="1"/>
  <c r="N992" i="7" s="1"/>
  <c r="G988" i="7"/>
  <c r="H988" i="7" s="1"/>
  <c r="I988" i="7" s="1"/>
  <c r="J988" i="7" s="1"/>
  <c r="K988" i="7" s="1"/>
  <c r="L988" i="7" s="1"/>
  <c r="M988" i="7" s="1"/>
  <c r="N988" i="7" s="1"/>
  <c r="O988" i="7" s="1"/>
  <c r="P988" i="7" s="1"/>
  <c r="Q988" i="7" s="1"/>
  <c r="R988" i="7" s="1"/>
  <c r="S988" i="7" s="1"/>
  <c r="T988" i="7" s="1"/>
  <c r="U988" i="7" s="1"/>
  <c r="V988" i="7" s="1"/>
  <c r="W988" i="7" s="1"/>
  <c r="X988" i="7" s="1"/>
  <c r="Y988" i="7" s="1"/>
  <c r="Z988" i="7" s="1"/>
  <c r="AM986" i="7"/>
  <c r="AD985" i="7"/>
  <c r="AC985" i="7"/>
  <c r="AB985" i="7"/>
  <c r="AA985" i="7"/>
  <c r="Z985" i="7"/>
  <c r="AM985" i="7" s="1"/>
  <c r="AD984" i="7"/>
  <c r="AC984" i="7"/>
  <c r="AB984" i="7"/>
  <c r="AA984" i="7"/>
  <c r="Z984" i="7"/>
  <c r="AM984" i="7" s="1"/>
  <c r="H983" i="7"/>
  <c r="I983" i="7" s="1"/>
  <c r="J983" i="7" s="1"/>
  <c r="K983" i="7" s="1"/>
  <c r="L983" i="7" s="1"/>
  <c r="M983" i="7" s="1"/>
  <c r="N983" i="7" s="1"/>
  <c r="O983" i="7" s="1"/>
  <c r="P983" i="7" s="1"/>
  <c r="Q983" i="7" s="1"/>
  <c r="R983" i="7" s="1"/>
  <c r="S983" i="7" s="1"/>
  <c r="T983" i="7" s="1"/>
  <c r="U983" i="7" s="1"/>
  <c r="V983" i="7" s="1"/>
  <c r="W983" i="7" s="1"/>
  <c r="X983" i="7" s="1"/>
  <c r="Y983" i="7" s="1"/>
  <c r="Z983" i="7" s="1"/>
  <c r="G983" i="7"/>
  <c r="AM982" i="7"/>
  <c r="H973" i="7"/>
  <c r="I973" i="7" s="1"/>
  <c r="J973" i="7" s="1"/>
  <c r="K973" i="7" s="1"/>
  <c r="L973" i="7" s="1"/>
  <c r="M973" i="7" s="1"/>
  <c r="N973" i="7" s="1"/>
  <c r="O973" i="7" s="1"/>
  <c r="P973" i="7" s="1"/>
  <c r="Q973" i="7" s="1"/>
  <c r="R973" i="7" s="1"/>
  <c r="S973" i="7" s="1"/>
  <c r="T973" i="7" s="1"/>
  <c r="U973" i="7" s="1"/>
  <c r="V973" i="7" s="1"/>
  <c r="W973" i="7" s="1"/>
  <c r="X973" i="7" s="1"/>
  <c r="Y973" i="7" s="1"/>
  <c r="Z973" i="7" s="1"/>
  <c r="G973" i="7"/>
  <c r="AM972" i="7"/>
  <c r="A970" i="7"/>
  <c r="G962" i="7"/>
  <c r="H962" i="7" s="1"/>
  <c r="I962" i="7" s="1"/>
  <c r="J962" i="7" s="1"/>
  <c r="K962" i="7" s="1"/>
  <c r="L962" i="7" s="1"/>
  <c r="M962" i="7" s="1"/>
  <c r="N962" i="7" s="1"/>
  <c r="O962" i="7" s="1"/>
  <c r="P962" i="7" s="1"/>
  <c r="Q962" i="7" s="1"/>
  <c r="R962" i="7" s="1"/>
  <c r="S962" i="7" s="1"/>
  <c r="T962" i="7" s="1"/>
  <c r="U962" i="7" s="1"/>
  <c r="V962" i="7" s="1"/>
  <c r="W962" i="7" s="1"/>
  <c r="X962" i="7" s="1"/>
  <c r="Y962" i="7" s="1"/>
  <c r="Z962" i="7" s="1"/>
  <c r="AM961" i="7"/>
  <c r="L959" i="7"/>
  <c r="K959" i="7"/>
  <c r="J959" i="7"/>
  <c r="I959" i="7"/>
  <c r="H959" i="7"/>
  <c r="G959" i="7"/>
  <c r="AM957" i="7"/>
  <c r="H955" i="7"/>
  <c r="I955" i="7" s="1"/>
  <c r="J955" i="7" s="1"/>
  <c r="K955" i="7" s="1"/>
  <c r="L955" i="7" s="1"/>
  <c r="M955" i="7" s="1"/>
  <c r="N955" i="7" s="1"/>
  <c r="O955" i="7" s="1"/>
  <c r="P955" i="7" s="1"/>
  <c r="Q955" i="7" s="1"/>
  <c r="R955" i="7" s="1"/>
  <c r="S955" i="7" s="1"/>
  <c r="T955" i="7" s="1"/>
  <c r="U955" i="7" s="1"/>
  <c r="V955" i="7" s="1"/>
  <c r="W955" i="7" s="1"/>
  <c r="X955" i="7" s="1"/>
  <c r="Y955" i="7" s="1"/>
  <c r="Z955" i="7" s="1"/>
  <c r="G955" i="7"/>
  <c r="AM953" i="7"/>
  <c r="Y951" i="7"/>
  <c r="X951" i="7"/>
  <c r="W951" i="7"/>
  <c r="V951" i="7"/>
  <c r="U951" i="7"/>
  <c r="T951" i="7"/>
  <c r="AM950" i="7"/>
  <c r="AD949" i="7"/>
  <c r="AC949" i="7"/>
  <c r="AB949" i="7"/>
  <c r="AA949" i="7"/>
  <c r="Z949" i="7"/>
  <c r="AM949" i="7" s="1"/>
  <c r="AM948" i="7"/>
  <c r="AD947" i="7"/>
  <c r="AC947" i="7"/>
  <c r="AB947" i="7"/>
  <c r="AA947" i="7"/>
  <c r="Z947" i="7"/>
  <c r="AM947" i="7" s="1"/>
  <c r="A947" i="7"/>
  <c r="G946" i="7"/>
  <c r="H946" i="7" s="1"/>
  <c r="I946" i="7" s="1"/>
  <c r="J946" i="7" s="1"/>
  <c r="K946" i="7" s="1"/>
  <c r="L946" i="7" s="1"/>
  <c r="M946" i="7" s="1"/>
  <c r="N946" i="7" s="1"/>
  <c r="O946" i="7" s="1"/>
  <c r="P946" i="7" s="1"/>
  <c r="Q946" i="7" s="1"/>
  <c r="R946" i="7" s="1"/>
  <c r="S946" i="7" s="1"/>
  <c r="T946" i="7" s="1"/>
  <c r="U946" i="7" s="1"/>
  <c r="V946" i="7" s="1"/>
  <c r="W946" i="7" s="1"/>
  <c r="X946" i="7" s="1"/>
  <c r="Y946" i="7" s="1"/>
  <c r="Z946" i="7" s="1"/>
  <c r="AM945" i="7"/>
  <c r="G940" i="7"/>
  <c r="H940" i="7" s="1"/>
  <c r="I940" i="7" s="1"/>
  <c r="J940" i="7" s="1"/>
  <c r="K940" i="7" s="1"/>
  <c r="L940" i="7" s="1"/>
  <c r="M940" i="7" s="1"/>
  <c r="N940" i="7" s="1"/>
  <c r="O940" i="7" s="1"/>
  <c r="P940" i="7" s="1"/>
  <c r="Q940" i="7" s="1"/>
  <c r="R940" i="7" s="1"/>
  <c r="S940" i="7" s="1"/>
  <c r="T940" i="7" s="1"/>
  <c r="U940" i="7" s="1"/>
  <c r="V940" i="7" s="1"/>
  <c r="W940" i="7" s="1"/>
  <c r="X940" i="7" s="1"/>
  <c r="Y940" i="7" s="1"/>
  <c r="Z940" i="7" s="1"/>
  <c r="AM939" i="7"/>
  <c r="A936" i="7"/>
  <c r="E934" i="7"/>
  <c r="I932" i="7"/>
  <c r="J932" i="7" s="1"/>
  <c r="K932" i="7" s="1"/>
  <c r="L932" i="7" s="1"/>
  <c r="M932" i="7" s="1"/>
  <c r="N932" i="7" s="1"/>
  <c r="O932" i="7" s="1"/>
  <c r="P932" i="7" s="1"/>
  <c r="Q932" i="7" s="1"/>
  <c r="R932" i="7" s="1"/>
  <c r="S932" i="7" s="1"/>
  <c r="T932" i="7" s="1"/>
  <c r="U932" i="7" s="1"/>
  <c r="V932" i="7" s="1"/>
  <c r="W932" i="7" s="1"/>
  <c r="X932" i="7" s="1"/>
  <c r="Y932" i="7" s="1"/>
  <c r="Z932" i="7" s="1"/>
  <c r="G932" i="7"/>
  <c r="H932" i="7" s="1"/>
  <c r="AM931" i="7"/>
  <c r="E928" i="7"/>
  <c r="E927" i="7"/>
  <c r="E926" i="7"/>
  <c r="E925" i="7"/>
  <c r="E924" i="7"/>
  <c r="E923" i="7"/>
  <c r="D923" i="7"/>
  <c r="H922" i="7"/>
  <c r="I922" i="7" s="1"/>
  <c r="J922" i="7" s="1"/>
  <c r="K922" i="7" s="1"/>
  <c r="L922" i="7" s="1"/>
  <c r="M922" i="7" s="1"/>
  <c r="N922" i="7" s="1"/>
  <c r="O922" i="7" s="1"/>
  <c r="P922" i="7" s="1"/>
  <c r="Q922" i="7" s="1"/>
  <c r="R922" i="7" s="1"/>
  <c r="S922" i="7" s="1"/>
  <c r="T922" i="7" s="1"/>
  <c r="U922" i="7" s="1"/>
  <c r="V922" i="7" s="1"/>
  <c r="W922" i="7" s="1"/>
  <c r="X922" i="7" s="1"/>
  <c r="Y922" i="7" s="1"/>
  <c r="Z922" i="7" s="1"/>
  <c r="G922" i="7"/>
  <c r="AM921" i="7"/>
  <c r="E919" i="7"/>
  <c r="E930" i="7" s="1"/>
  <c r="F918" i="7"/>
  <c r="E918" i="7"/>
  <c r="E929" i="7" s="1"/>
  <c r="D918" i="7"/>
  <c r="AD917" i="7"/>
  <c r="AC917" i="7"/>
  <c r="AB917" i="7"/>
  <c r="AA917" i="7"/>
  <c r="Z917" i="7"/>
  <c r="AM917" i="7" s="1"/>
  <c r="Y917" i="7"/>
  <c r="X917" i="7"/>
  <c r="W917" i="7"/>
  <c r="V917" i="7"/>
  <c r="U917" i="7"/>
  <c r="T917" i="7"/>
  <c r="S917" i="7"/>
  <c r="R917" i="7"/>
  <c r="Q917" i="7"/>
  <c r="P917" i="7"/>
  <c r="O917" i="7"/>
  <c r="N917" i="7"/>
  <c r="M917" i="7"/>
  <c r="L917" i="7"/>
  <c r="K917" i="7"/>
  <c r="J917" i="7"/>
  <c r="I917" i="7"/>
  <c r="H917" i="7"/>
  <c r="G917" i="7"/>
  <c r="AM916" i="7"/>
  <c r="AM915" i="7"/>
  <c r="X914" i="7"/>
  <c r="W914" i="7"/>
  <c r="V914" i="7"/>
  <c r="U914" i="7"/>
  <c r="T914" i="7"/>
  <c r="S914" i="7"/>
  <c r="R914" i="7"/>
  <c r="Q914" i="7"/>
  <c r="P914" i="7"/>
  <c r="O914" i="7"/>
  <c r="N914" i="7"/>
  <c r="M914" i="7"/>
  <c r="L914" i="7"/>
  <c r="K914" i="7"/>
  <c r="J914" i="7"/>
  <c r="I914" i="7"/>
  <c r="H914" i="7"/>
  <c r="G914" i="7"/>
  <c r="AM913" i="7"/>
  <c r="G911" i="7"/>
  <c r="H911" i="7" s="1"/>
  <c r="I911" i="7" s="1"/>
  <c r="J911" i="7" s="1"/>
  <c r="K911" i="7" s="1"/>
  <c r="L911" i="7" s="1"/>
  <c r="M911" i="7" s="1"/>
  <c r="N911" i="7" s="1"/>
  <c r="O911" i="7" s="1"/>
  <c r="P911" i="7" s="1"/>
  <c r="Q911" i="7" s="1"/>
  <c r="R911" i="7" s="1"/>
  <c r="S911" i="7" s="1"/>
  <c r="T911" i="7" s="1"/>
  <c r="U911" i="7" s="1"/>
  <c r="V911" i="7" s="1"/>
  <c r="W911" i="7" s="1"/>
  <c r="X911" i="7" s="1"/>
  <c r="Y911" i="7" s="1"/>
  <c r="Z911" i="7" s="1"/>
  <c r="AM910" i="7"/>
  <c r="AM909" i="7"/>
  <c r="I905" i="7"/>
  <c r="J905" i="7" s="1"/>
  <c r="K905" i="7" s="1"/>
  <c r="L905" i="7" s="1"/>
  <c r="M905" i="7" s="1"/>
  <c r="N905" i="7" s="1"/>
  <c r="O905" i="7" s="1"/>
  <c r="P905" i="7" s="1"/>
  <c r="Q905" i="7" s="1"/>
  <c r="R905" i="7" s="1"/>
  <c r="S905" i="7" s="1"/>
  <c r="T905" i="7" s="1"/>
  <c r="U905" i="7" s="1"/>
  <c r="V905" i="7" s="1"/>
  <c r="W905" i="7" s="1"/>
  <c r="X905" i="7" s="1"/>
  <c r="Y905" i="7" s="1"/>
  <c r="Z905" i="7" s="1"/>
  <c r="AM905" i="7" s="1"/>
  <c r="G905" i="7"/>
  <c r="H905" i="7" s="1"/>
  <c r="AM904" i="7"/>
  <c r="AM902" i="7"/>
  <c r="H900" i="7"/>
  <c r="I900" i="7" s="1"/>
  <c r="J900" i="7" s="1"/>
  <c r="K900" i="7" s="1"/>
  <c r="L900" i="7" s="1"/>
  <c r="M900" i="7" s="1"/>
  <c r="N900" i="7" s="1"/>
  <c r="O900" i="7" s="1"/>
  <c r="P900" i="7" s="1"/>
  <c r="Q900" i="7" s="1"/>
  <c r="R900" i="7" s="1"/>
  <c r="S900" i="7" s="1"/>
  <c r="T900" i="7" s="1"/>
  <c r="U900" i="7" s="1"/>
  <c r="V900" i="7" s="1"/>
  <c r="W900" i="7" s="1"/>
  <c r="X900" i="7" s="1"/>
  <c r="Y900" i="7" s="1"/>
  <c r="Z900" i="7" s="1"/>
  <c r="G900" i="7"/>
  <c r="AM899" i="7"/>
  <c r="G895" i="7"/>
  <c r="H895" i="7" s="1"/>
  <c r="I895" i="7" s="1"/>
  <c r="J895" i="7" s="1"/>
  <c r="K895" i="7" s="1"/>
  <c r="L895" i="7" s="1"/>
  <c r="M895" i="7" s="1"/>
  <c r="N895" i="7" s="1"/>
  <c r="O895" i="7" s="1"/>
  <c r="P895" i="7" s="1"/>
  <c r="Q895" i="7" s="1"/>
  <c r="R895" i="7" s="1"/>
  <c r="S895" i="7" s="1"/>
  <c r="T895" i="7" s="1"/>
  <c r="U895" i="7" s="1"/>
  <c r="V895" i="7" s="1"/>
  <c r="W895" i="7" s="1"/>
  <c r="X895" i="7" s="1"/>
  <c r="Y895" i="7" s="1"/>
  <c r="Z895" i="7" s="1"/>
  <c r="AM894" i="7"/>
  <c r="AM893" i="7"/>
  <c r="AM892" i="7"/>
  <c r="AM891" i="7"/>
  <c r="H886" i="7"/>
  <c r="I886" i="7" s="1"/>
  <c r="J886" i="7" s="1"/>
  <c r="K886" i="7" s="1"/>
  <c r="L886" i="7" s="1"/>
  <c r="M886" i="7" s="1"/>
  <c r="N886" i="7" s="1"/>
  <c r="O886" i="7" s="1"/>
  <c r="P886" i="7" s="1"/>
  <c r="Q886" i="7" s="1"/>
  <c r="R886" i="7" s="1"/>
  <c r="S886" i="7" s="1"/>
  <c r="T886" i="7" s="1"/>
  <c r="U886" i="7" s="1"/>
  <c r="V886" i="7" s="1"/>
  <c r="W886" i="7" s="1"/>
  <c r="X886" i="7" s="1"/>
  <c r="Y886" i="7" s="1"/>
  <c r="Z886" i="7" s="1"/>
  <c r="G886" i="7"/>
  <c r="AM885" i="7"/>
  <c r="I880" i="7"/>
  <c r="J880" i="7" s="1"/>
  <c r="K880" i="7" s="1"/>
  <c r="L880" i="7" s="1"/>
  <c r="M880" i="7" s="1"/>
  <c r="N880" i="7" s="1"/>
  <c r="O880" i="7" s="1"/>
  <c r="P880" i="7" s="1"/>
  <c r="Q880" i="7" s="1"/>
  <c r="R880" i="7" s="1"/>
  <c r="S880" i="7" s="1"/>
  <c r="T880" i="7" s="1"/>
  <c r="U880" i="7" s="1"/>
  <c r="V880" i="7" s="1"/>
  <c r="W880" i="7" s="1"/>
  <c r="X880" i="7" s="1"/>
  <c r="Y880" i="7" s="1"/>
  <c r="Z880" i="7" s="1"/>
  <c r="G880" i="7"/>
  <c r="H880" i="7" s="1"/>
  <c r="AM879" i="7"/>
  <c r="A875" i="7"/>
  <c r="H871" i="7"/>
  <c r="I871" i="7" s="1"/>
  <c r="J871" i="7" s="1"/>
  <c r="K871" i="7" s="1"/>
  <c r="L871" i="7" s="1"/>
  <c r="M871" i="7" s="1"/>
  <c r="N871" i="7" s="1"/>
  <c r="O871" i="7" s="1"/>
  <c r="P871" i="7" s="1"/>
  <c r="Q871" i="7" s="1"/>
  <c r="R871" i="7" s="1"/>
  <c r="S871" i="7" s="1"/>
  <c r="T871" i="7" s="1"/>
  <c r="U871" i="7" s="1"/>
  <c r="V871" i="7" s="1"/>
  <c r="W871" i="7" s="1"/>
  <c r="X871" i="7" s="1"/>
  <c r="Y871" i="7" s="1"/>
  <c r="Z871" i="7" s="1"/>
  <c r="G871" i="7"/>
  <c r="AM870" i="7"/>
  <c r="AM869" i="7"/>
  <c r="AM868" i="7"/>
  <c r="AM867" i="7"/>
  <c r="I862" i="7"/>
  <c r="J862" i="7" s="1"/>
  <c r="K862" i="7" s="1"/>
  <c r="L862" i="7" s="1"/>
  <c r="M862" i="7" s="1"/>
  <c r="N862" i="7" s="1"/>
  <c r="O862" i="7" s="1"/>
  <c r="P862" i="7" s="1"/>
  <c r="Q862" i="7" s="1"/>
  <c r="R862" i="7" s="1"/>
  <c r="S862" i="7" s="1"/>
  <c r="T862" i="7" s="1"/>
  <c r="U862" i="7" s="1"/>
  <c r="V862" i="7" s="1"/>
  <c r="W862" i="7" s="1"/>
  <c r="X862" i="7" s="1"/>
  <c r="Y862" i="7" s="1"/>
  <c r="Z862" i="7" s="1"/>
  <c r="G862" i="7"/>
  <c r="H862" i="7" s="1"/>
  <c r="AM861" i="7"/>
  <c r="H856" i="7"/>
  <c r="I856" i="7" s="1"/>
  <c r="J856" i="7" s="1"/>
  <c r="K856" i="7" s="1"/>
  <c r="L856" i="7" s="1"/>
  <c r="M856" i="7" s="1"/>
  <c r="N856" i="7" s="1"/>
  <c r="O856" i="7" s="1"/>
  <c r="P856" i="7" s="1"/>
  <c r="Q856" i="7" s="1"/>
  <c r="R856" i="7" s="1"/>
  <c r="S856" i="7" s="1"/>
  <c r="T856" i="7" s="1"/>
  <c r="U856" i="7" s="1"/>
  <c r="V856" i="7" s="1"/>
  <c r="W856" i="7" s="1"/>
  <c r="X856" i="7" s="1"/>
  <c r="Y856" i="7" s="1"/>
  <c r="Z856" i="7" s="1"/>
  <c r="G856" i="7"/>
  <c r="AM855" i="7"/>
  <c r="A853" i="7"/>
  <c r="A852" i="7"/>
  <c r="A851" i="7"/>
  <c r="A850" i="7"/>
  <c r="G849" i="7"/>
  <c r="H849" i="7" s="1"/>
  <c r="I849" i="7" s="1"/>
  <c r="J849" i="7" s="1"/>
  <c r="K849" i="7" s="1"/>
  <c r="L849" i="7" s="1"/>
  <c r="M849" i="7" s="1"/>
  <c r="N849" i="7" s="1"/>
  <c r="O849" i="7" s="1"/>
  <c r="P849" i="7" s="1"/>
  <c r="Q849" i="7" s="1"/>
  <c r="R849" i="7" s="1"/>
  <c r="S849" i="7" s="1"/>
  <c r="T849" i="7" s="1"/>
  <c r="U849" i="7" s="1"/>
  <c r="V849" i="7" s="1"/>
  <c r="W849" i="7" s="1"/>
  <c r="X849" i="7" s="1"/>
  <c r="Y849" i="7" s="1"/>
  <c r="Z849" i="7" s="1"/>
  <c r="AM848" i="7"/>
  <c r="AM847" i="7"/>
  <c r="AM846" i="7"/>
  <c r="AM845" i="7"/>
  <c r="G840" i="7"/>
  <c r="H840" i="7" s="1"/>
  <c r="I840" i="7" s="1"/>
  <c r="J840" i="7" s="1"/>
  <c r="K840" i="7" s="1"/>
  <c r="L840" i="7" s="1"/>
  <c r="M840" i="7" s="1"/>
  <c r="N840" i="7" s="1"/>
  <c r="O840" i="7" s="1"/>
  <c r="P840" i="7" s="1"/>
  <c r="Q840" i="7" s="1"/>
  <c r="R840" i="7" s="1"/>
  <c r="S840" i="7" s="1"/>
  <c r="T840" i="7" s="1"/>
  <c r="U840" i="7" s="1"/>
  <c r="V840" i="7" s="1"/>
  <c r="W840" i="7" s="1"/>
  <c r="X840" i="7" s="1"/>
  <c r="Y840" i="7" s="1"/>
  <c r="Z840" i="7" s="1"/>
  <c r="AM839" i="7"/>
  <c r="AM833" i="7"/>
  <c r="A831" i="7"/>
  <c r="F830" i="7"/>
  <c r="F1112" i="7" s="1"/>
  <c r="A830" i="7"/>
  <c r="F829" i="7"/>
  <c r="A829" i="7"/>
  <c r="F828" i="7"/>
  <c r="A828" i="7"/>
  <c r="G827" i="7"/>
  <c r="AM826" i="7"/>
  <c r="AM825" i="7"/>
  <c r="AM824" i="7"/>
  <c r="AM823" i="7"/>
  <c r="H812" i="7"/>
  <c r="I812" i="7" s="1"/>
  <c r="J812" i="7" s="1"/>
  <c r="K812" i="7" s="1"/>
  <c r="L812" i="7" s="1"/>
  <c r="M812" i="7" s="1"/>
  <c r="N812" i="7" s="1"/>
  <c r="O812" i="7" s="1"/>
  <c r="P812" i="7" s="1"/>
  <c r="Q812" i="7" s="1"/>
  <c r="R812" i="7" s="1"/>
  <c r="S812" i="7" s="1"/>
  <c r="T812" i="7" s="1"/>
  <c r="U812" i="7" s="1"/>
  <c r="V812" i="7" s="1"/>
  <c r="W812" i="7" s="1"/>
  <c r="X812" i="7" s="1"/>
  <c r="Y812" i="7" s="1"/>
  <c r="Z812" i="7" s="1"/>
  <c r="G812" i="7"/>
  <c r="AM811" i="7"/>
  <c r="AM809" i="7"/>
  <c r="AM802" i="7"/>
  <c r="G800" i="7"/>
  <c r="H800" i="7" s="1"/>
  <c r="I800" i="7" s="1"/>
  <c r="J800" i="7" s="1"/>
  <c r="K800" i="7" s="1"/>
  <c r="L800" i="7" s="1"/>
  <c r="M800" i="7" s="1"/>
  <c r="N800" i="7" s="1"/>
  <c r="O800" i="7" s="1"/>
  <c r="P800" i="7" s="1"/>
  <c r="Q800" i="7" s="1"/>
  <c r="R800" i="7" s="1"/>
  <c r="S800" i="7" s="1"/>
  <c r="T800" i="7" s="1"/>
  <c r="U800" i="7" s="1"/>
  <c r="V800" i="7" s="1"/>
  <c r="W800" i="7" s="1"/>
  <c r="X800" i="7" s="1"/>
  <c r="Y800" i="7" s="1"/>
  <c r="Z800" i="7" s="1"/>
  <c r="AM799" i="7"/>
  <c r="A797" i="7"/>
  <c r="A796" i="7"/>
  <c r="A795" i="7"/>
  <c r="F793" i="7"/>
  <c r="F1110" i="7" s="1"/>
  <c r="A793" i="7"/>
  <c r="A791" i="7"/>
  <c r="F790" i="7"/>
  <c r="A789" i="7"/>
  <c r="F788" i="7"/>
  <c r="F1046" i="7" s="1"/>
  <c r="A788" i="7"/>
  <c r="G787" i="7"/>
  <c r="H787" i="7" s="1"/>
  <c r="I787" i="7" s="1"/>
  <c r="J787" i="7" s="1"/>
  <c r="K787" i="7" s="1"/>
  <c r="L787" i="7" s="1"/>
  <c r="M787" i="7" s="1"/>
  <c r="N787" i="7" s="1"/>
  <c r="O787" i="7" s="1"/>
  <c r="P787" i="7" s="1"/>
  <c r="Q787" i="7" s="1"/>
  <c r="R787" i="7" s="1"/>
  <c r="S787" i="7" s="1"/>
  <c r="T787" i="7" s="1"/>
  <c r="U787" i="7" s="1"/>
  <c r="V787" i="7" s="1"/>
  <c r="W787" i="7" s="1"/>
  <c r="X787" i="7" s="1"/>
  <c r="Y787" i="7" s="1"/>
  <c r="Z787" i="7" s="1"/>
  <c r="AM786" i="7"/>
  <c r="AM785" i="7"/>
  <c r="AM784" i="7"/>
  <c r="AM783" i="7"/>
  <c r="I781" i="7"/>
  <c r="J781" i="7" s="1"/>
  <c r="K781" i="7" s="1"/>
  <c r="L781" i="7" s="1"/>
  <c r="M781" i="7" s="1"/>
  <c r="N781" i="7" s="1"/>
  <c r="O781" i="7" s="1"/>
  <c r="P781" i="7" s="1"/>
  <c r="Q781" i="7" s="1"/>
  <c r="R781" i="7" s="1"/>
  <c r="S781" i="7" s="1"/>
  <c r="T781" i="7" s="1"/>
  <c r="U781" i="7" s="1"/>
  <c r="V781" i="7" s="1"/>
  <c r="W781" i="7" s="1"/>
  <c r="X781" i="7" s="1"/>
  <c r="Y781" i="7" s="1"/>
  <c r="Z781" i="7" s="1"/>
  <c r="G781" i="7"/>
  <c r="H781" i="7" s="1"/>
  <c r="AM780" i="7"/>
  <c r="I775" i="7"/>
  <c r="J775" i="7" s="1"/>
  <c r="K775" i="7" s="1"/>
  <c r="L775" i="7" s="1"/>
  <c r="M775" i="7" s="1"/>
  <c r="N775" i="7" s="1"/>
  <c r="O775" i="7" s="1"/>
  <c r="P775" i="7" s="1"/>
  <c r="Q775" i="7" s="1"/>
  <c r="R775" i="7" s="1"/>
  <c r="S775" i="7" s="1"/>
  <c r="T775" i="7" s="1"/>
  <c r="U775" i="7" s="1"/>
  <c r="V775" i="7" s="1"/>
  <c r="W775" i="7" s="1"/>
  <c r="X775" i="7" s="1"/>
  <c r="Y775" i="7" s="1"/>
  <c r="Z775" i="7" s="1"/>
  <c r="G775" i="7"/>
  <c r="H775" i="7" s="1"/>
  <c r="AM774" i="7"/>
  <c r="I769" i="7"/>
  <c r="J769" i="7" s="1"/>
  <c r="K769" i="7" s="1"/>
  <c r="L769" i="7" s="1"/>
  <c r="M769" i="7" s="1"/>
  <c r="N769" i="7" s="1"/>
  <c r="O769" i="7" s="1"/>
  <c r="P769" i="7" s="1"/>
  <c r="Q769" i="7" s="1"/>
  <c r="R769" i="7" s="1"/>
  <c r="S769" i="7" s="1"/>
  <c r="T769" i="7" s="1"/>
  <c r="U769" i="7" s="1"/>
  <c r="V769" i="7" s="1"/>
  <c r="W769" i="7" s="1"/>
  <c r="X769" i="7" s="1"/>
  <c r="Y769" i="7" s="1"/>
  <c r="Z769" i="7" s="1"/>
  <c r="G769" i="7"/>
  <c r="H769" i="7" s="1"/>
  <c r="AM768" i="7"/>
  <c r="I763" i="7"/>
  <c r="J763" i="7" s="1"/>
  <c r="K763" i="7" s="1"/>
  <c r="L763" i="7" s="1"/>
  <c r="M763" i="7" s="1"/>
  <c r="N763" i="7" s="1"/>
  <c r="O763" i="7" s="1"/>
  <c r="P763" i="7" s="1"/>
  <c r="Q763" i="7" s="1"/>
  <c r="R763" i="7" s="1"/>
  <c r="S763" i="7" s="1"/>
  <c r="T763" i="7" s="1"/>
  <c r="U763" i="7" s="1"/>
  <c r="V763" i="7" s="1"/>
  <c r="W763" i="7" s="1"/>
  <c r="X763" i="7" s="1"/>
  <c r="Y763" i="7" s="1"/>
  <c r="Z763" i="7" s="1"/>
  <c r="G763" i="7"/>
  <c r="H763" i="7" s="1"/>
  <c r="AM762" i="7"/>
  <c r="AM761" i="7"/>
  <c r="AM760" i="7"/>
  <c r="AM759" i="7"/>
  <c r="E757" i="7"/>
  <c r="E756" i="7"/>
  <c r="E755" i="7"/>
  <c r="E754" i="7"/>
  <c r="E753" i="7"/>
  <c r="E752" i="7"/>
  <c r="E751" i="7"/>
  <c r="D751" i="7"/>
  <c r="G750" i="7"/>
  <c r="H750" i="7" s="1"/>
  <c r="I750" i="7" s="1"/>
  <c r="J750" i="7" s="1"/>
  <c r="K750" i="7" s="1"/>
  <c r="L750" i="7" s="1"/>
  <c r="M750" i="7" s="1"/>
  <c r="N750" i="7" s="1"/>
  <c r="O750" i="7" s="1"/>
  <c r="P750" i="7" s="1"/>
  <c r="Q750" i="7" s="1"/>
  <c r="R750" i="7" s="1"/>
  <c r="S750" i="7" s="1"/>
  <c r="T750" i="7" s="1"/>
  <c r="U750" i="7" s="1"/>
  <c r="V750" i="7" s="1"/>
  <c r="W750" i="7" s="1"/>
  <c r="X750" i="7" s="1"/>
  <c r="Y750" i="7" s="1"/>
  <c r="Z750" i="7" s="1"/>
  <c r="AM749" i="7"/>
  <c r="E748" i="7"/>
  <c r="E747" i="7"/>
  <c r="AM746" i="7"/>
  <c r="X746" i="7"/>
  <c r="W746" i="7"/>
  <c r="V746" i="7"/>
  <c r="U746" i="7"/>
  <c r="T746" i="7"/>
  <c r="S746" i="7"/>
  <c r="R746" i="7"/>
  <c r="Q746" i="7"/>
  <c r="P746" i="7"/>
  <c r="O746" i="7"/>
  <c r="N746" i="7"/>
  <c r="M746" i="7"/>
  <c r="L746" i="7"/>
  <c r="K746" i="7"/>
  <c r="J746" i="7"/>
  <c r="I746" i="7"/>
  <c r="H746" i="7"/>
  <c r="E746" i="7"/>
  <c r="AM745" i="7"/>
  <c r="X745" i="7"/>
  <c r="W745" i="7"/>
  <c r="V745" i="7"/>
  <c r="U745" i="7"/>
  <c r="T745" i="7"/>
  <c r="S745" i="7"/>
  <c r="R745" i="7"/>
  <c r="Q745" i="7"/>
  <c r="P745" i="7"/>
  <c r="O745" i="7"/>
  <c r="N745" i="7"/>
  <c r="M745" i="7"/>
  <c r="L745" i="7"/>
  <c r="K745" i="7"/>
  <c r="J745" i="7"/>
  <c r="I745" i="7"/>
  <c r="H745" i="7"/>
  <c r="E745" i="7"/>
  <c r="E744" i="7"/>
  <c r="AM742" i="7"/>
  <c r="X742" i="7"/>
  <c r="W742" i="7"/>
  <c r="V742" i="7"/>
  <c r="U742" i="7"/>
  <c r="T742" i="7"/>
  <c r="S742" i="7"/>
  <c r="R742" i="7"/>
  <c r="Q742" i="7"/>
  <c r="P742" i="7"/>
  <c r="O742" i="7"/>
  <c r="N742" i="7"/>
  <c r="M742" i="7"/>
  <c r="L742" i="7"/>
  <c r="K742" i="7"/>
  <c r="J742" i="7"/>
  <c r="I742" i="7"/>
  <c r="H742" i="7"/>
  <c r="E742" i="7"/>
  <c r="X741" i="7"/>
  <c r="W741" i="7"/>
  <c r="V741" i="7"/>
  <c r="U741" i="7"/>
  <c r="T741" i="7"/>
  <c r="S741" i="7"/>
  <c r="R741" i="7"/>
  <c r="Q741" i="7"/>
  <c r="P741" i="7"/>
  <c r="O741" i="7"/>
  <c r="N741" i="7"/>
  <c r="M741" i="7"/>
  <c r="L741" i="7"/>
  <c r="K741" i="7"/>
  <c r="J741" i="7"/>
  <c r="I741" i="7"/>
  <c r="H741" i="7"/>
  <c r="E741" i="7"/>
  <c r="G740" i="7"/>
  <c r="H740" i="7" s="1"/>
  <c r="I740" i="7" s="1"/>
  <c r="J740" i="7" s="1"/>
  <c r="K740" i="7" s="1"/>
  <c r="L740" i="7" s="1"/>
  <c r="M740" i="7" s="1"/>
  <c r="N740" i="7" s="1"/>
  <c r="O740" i="7" s="1"/>
  <c r="P740" i="7" s="1"/>
  <c r="Q740" i="7" s="1"/>
  <c r="R740" i="7" s="1"/>
  <c r="S740" i="7" s="1"/>
  <c r="T740" i="7" s="1"/>
  <c r="U740" i="7" s="1"/>
  <c r="V740" i="7" s="1"/>
  <c r="W740" i="7" s="1"/>
  <c r="X740" i="7" s="1"/>
  <c r="Y740" i="7" s="1"/>
  <c r="Z740" i="7" s="1"/>
  <c r="AM739" i="7"/>
  <c r="AM738" i="7"/>
  <c r="X735" i="7"/>
  <c r="X747" i="7" s="1"/>
  <c r="W735" i="7"/>
  <c r="V735" i="7"/>
  <c r="U735" i="7"/>
  <c r="T735" i="7"/>
  <c r="T747" i="7" s="1"/>
  <c r="S735" i="7"/>
  <c r="R735" i="7"/>
  <c r="Q735" i="7"/>
  <c r="Q747" i="7" s="1"/>
  <c r="P735" i="7"/>
  <c r="P747" i="7" s="1"/>
  <c r="O735" i="7"/>
  <c r="N735" i="7"/>
  <c r="M735" i="7"/>
  <c r="L735" i="7"/>
  <c r="L747" i="7" s="1"/>
  <c r="K735" i="7"/>
  <c r="J735" i="7"/>
  <c r="I735" i="7"/>
  <c r="H735" i="7"/>
  <c r="H747" i="7" s="1"/>
  <c r="G735" i="7"/>
  <c r="AM734" i="7"/>
  <c r="Y734" i="7"/>
  <c r="Z734" i="7" s="1"/>
  <c r="AA734" i="7" s="1"/>
  <c r="AB734" i="7" s="1"/>
  <c r="AC734" i="7" s="1"/>
  <c r="AD734" i="7" s="1"/>
  <c r="AE734" i="7" s="1"/>
  <c r="Y733" i="7"/>
  <c r="Y735" i="7" s="1"/>
  <c r="X732" i="7"/>
  <c r="W732" i="7"/>
  <c r="V732" i="7"/>
  <c r="U732" i="7"/>
  <c r="T732" i="7"/>
  <c r="S732" i="7"/>
  <c r="R732" i="7"/>
  <c r="Q732" i="7"/>
  <c r="P732" i="7"/>
  <c r="O732" i="7"/>
  <c r="N732" i="7"/>
  <c r="M732" i="7"/>
  <c r="L732" i="7"/>
  <c r="K732" i="7"/>
  <c r="J732" i="7"/>
  <c r="I732" i="7"/>
  <c r="H732" i="7"/>
  <c r="G732" i="7"/>
  <c r="AM730" i="7"/>
  <c r="AA730" i="7"/>
  <c r="AB730" i="7" s="1"/>
  <c r="AC730" i="7" s="1"/>
  <c r="AD730" i="7" s="1"/>
  <c r="AE730" i="7" s="1"/>
  <c r="Y730" i="7"/>
  <c r="Z730" i="7" s="1"/>
  <c r="G728" i="7"/>
  <c r="H728" i="7" s="1"/>
  <c r="I728" i="7" s="1"/>
  <c r="J728" i="7" s="1"/>
  <c r="K728" i="7" s="1"/>
  <c r="L728" i="7" s="1"/>
  <c r="M728" i="7" s="1"/>
  <c r="N728" i="7" s="1"/>
  <c r="O728" i="7" s="1"/>
  <c r="P728" i="7" s="1"/>
  <c r="Q728" i="7" s="1"/>
  <c r="R728" i="7" s="1"/>
  <c r="S728" i="7" s="1"/>
  <c r="T728" i="7" s="1"/>
  <c r="U728" i="7" s="1"/>
  <c r="V728" i="7" s="1"/>
  <c r="W728" i="7" s="1"/>
  <c r="X728" i="7" s="1"/>
  <c r="Y728" i="7" s="1"/>
  <c r="Z728" i="7" s="1"/>
  <c r="AM727" i="7"/>
  <c r="AM726" i="7"/>
  <c r="G716" i="7"/>
  <c r="H716" i="7" s="1"/>
  <c r="I716" i="7" s="1"/>
  <c r="J716" i="7" s="1"/>
  <c r="K716" i="7" s="1"/>
  <c r="L716" i="7" s="1"/>
  <c r="M716" i="7" s="1"/>
  <c r="N716" i="7" s="1"/>
  <c r="O716" i="7" s="1"/>
  <c r="P716" i="7" s="1"/>
  <c r="Q716" i="7" s="1"/>
  <c r="R716" i="7" s="1"/>
  <c r="S716" i="7" s="1"/>
  <c r="T716" i="7" s="1"/>
  <c r="U716" i="7" s="1"/>
  <c r="V716" i="7" s="1"/>
  <c r="W716" i="7" s="1"/>
  <c r="X716" i="7" s="1"/>
  <c r="Y716" i="7" s="1"/>
  <c r="Z716" i="7" s="1"/>
  <c r="AM715" i="7"/>
  <c r="E714" i="7"/>
  <c r="E713" i="7"/>
  <c r="AM712" i="7"/>
  <c r="AM711" i="7"/>
  <c r="AM707" i="7"/>
  <c r="E706" i="7"/>
  <c r="E705" i="7"/>
  <c r="G703" i="7"/>
  <c r="H703" i="7" s="1"/>
  <c r="I703" i="7" s="1"/>
  <c r="J703" i="7" s="1"/>
  <c r="K703" i="7" s="1"/>
  <c r="L703" i="7" s="1"/>
  <c r="M703" i="7" s="1"/>
  <c r="N703" i="7" s="1"/>
  <c r="O703" i="7" s="1"/>
  <c r="P703" i="7" s="1"/>
  <c r="Q703" i="7" s="1"/>
  <c r="R703" i="7" s="1"/>
  <c r="S703" i="7" s="1"/>
  <c r="T703" i="7" s="1"/>
  <c r="U703" i="7" s="1"/>
  <c r="V703" i="7" s="1"/>
  <c r="W703" i="7" s="1"/>
  <c r="X703" i="7" s="1"/>
  <c r="Y703" i="7" s="1"/>
  <c r="Z703" i="7" s="1"/>
  <c r="AM702" i="7"/>
  <c r="AM697" i="7"/>
  <c r="A696" i="7"/>
  <c r="F695" i="7"/>
  <c r="E695" i="7"/>
  <c r="E712" i="7" s="1"/>
  <c r="F694" i="7"/>
  <c r="E694" i="7"/>
  <c r="E711" i="7" s="1"/>
  <c r="E693" i="7"/>
  <c r="E710" i="7" s="1"/>
  <c r="E692" i="7"/>
  <c r="E709" i="7" s="1"/>
  <c r="A692" i="7"/>
  <c r="A690" i="7"/>
  <c r="A689" i="7"/>
  <c r="E688" i="7"/>
  <c r="E704" i="7" s="1"/>
  <c r="G687" i="7"/>
  <c r="H687" i="7" s="1"/>
  <c r="I687" i="7" s="1"/>
  <c r="J687" i="7" s="1"/>
  <c r="K687" i="7" s="1"/>
  <c r="L687" i="7" s="1"/>
  <c r="M687" i="7" s="1"/>
  <c r="N687" i="7" s="1"/>
  <c r="O687" i="7" s="1"/>
  <c r="P687" i="7" s="1"/>
  <c r="Q687" i="7" s="1"/>
  <c r="R687" i="7" s="1"/>
  <c r="S687" i="7" s="1"/>
  <c r="T687" i="7" s="1"/>
  <c r="U687" i="7" s="1"/>
  <c r="V687" i="7" s="1"/>
  <c r="W687" i="7" s="1"/>
  <c r="X687" i="7" s="1"/>
  <c r="Y687" i="7" s="1"/>
  <c r="Z687" i="7" s="1"/>
  <c r="AM686" i="7"/>
  <c r="AM685" i="7"/>
  <c r="AM684" i="7"/>
  <c r="AM683" i="7"/>
  <c r="AM682" i="7"/>
  <c r="J677" i="7"/>
  <c r="K677" i="7" s="1"/>
  <c r="L677" i="7" s="1"/>
  <c r="M677" i="7" s="1"/>
  <c r="N677" i="7" s="1"/>
  <c r="O677" i="7" s="1"/>
  <c r="P677" i="7" s="1"/>
  <c r="Q677" i="7" s="1"/>
  <c r="R677" i="7" s="1"/>
  <c r="S677" i="7" s="1"/>
  <c r="T677" i="7" s="1"/>
  <c r="U677" i="7" s="1"/>
  <c r="V677" i="7" s="1"/>
  <c r="W677" i="7" s="1"/>
  <c r="X677" i="7" s="1"/>
  <c r="Y677" i="7" s="1"/>
  <c r="Z677" i="7" s="1"/>
  <c r="G677" i="7"/>
  <c r="H677" i="7" s="1"/>
  <c r="I677" i="7" s="1"/>
  <c r="AM676" i="7"/>
  <c r="G671" i="7"/>
  <c r="H671" i="7" s="1"/>
  <c r="I671" i="7" s="1"/>
  <c r="J671" i="7" s="1"/>
  <c r="K671" i="7" s="1"/>
  <c r="L671" i="7" s="1"/>
  <c r="M671" i="7" s="1"/>
  <c r="N671" i="7" s="1"/>
  <c r="O671" i="7" s="1"/>
  <c r="P671" i="7" s="1"/>
  <c r="Q671" i="7" s="1"/>
  <c r="R671" i="7" s="1"/>
  <c r="S671" i="7" s="1"/>
  <c r="T671" i="7" s="1"/>
  <c r="U671" i="7" s="1"/>
  <c r="V671" i="7" s="1"/>
  <c r="W671" i="7" s="1"/>
  <c r="X671" i="7" s="1"/>
  <c r="Y671" i="7" s="1"/>
  <c r="Z671" i="7" s="1"/>
  <c r="AM670" i="7"/>
  <c r="E669" i="7"/>
  <c r="F668" i="7"/>
  <c r="A668" i="7"/>
  <c r="F667" i="7"/>
  <c r="A667" i="7"/>
  <c r="F666" i="7"/>
  <c r="A666" i="7"/>
  <c r="G665" i="7"/>
  <c r="H665" i="7" s="1"/>
  <c r="I665" i="7" s="1"/>
  <c r="J665" i="7" s="1"/>
  <c r="K665" i="7" s="1"/>
  <c r="L665" i="7" s="1"/>
  <c r="M665" i="7" s="1"/>
  <c r="N665" i="7" s="1"/>
  <c r="O665" i="7" s="1"/>
  <c r="P665" i="7" s="1"/>
  <c r="Q665" i="7" s="1"/>
  <c r="R665" i="7" s="1"/>
  <c r="S665" i="7" s="1"/>
  <c r="T665" i="7" s="1"/>
  <c r="U665" i="7" s="1"/>
  <c r="V665" i="7" s="1"/>
  <c r="W665" i="7" s="1"/>
  <c r="X665" i="7" s="1"/>
  <c r="Y665" i="7" s="1"/>
  <c r="Z665" i="7" s="1"/>
  <c r="AM664" i="7"/>
  <c r="AM663" i="7"/>
  <c r="AM662" i="7"/>
  <c r="AM660" i="7"/>
  <c r="G655" i="7"/>
  <c r="H655" i="7" s="1"/>
  <c r="I655" i="7" s="1"/>
  <c r="J655" i="7" s="1"/>
  <c r="K655" i="7" s="1"/>
  <c r="L655" i="7" s="1"/>
  <c r="M655" i="7" s="1"/>
  <c r="N655" i="7" s="1"/>
  <c r="O655" i="7" s="1"/>
  <c r="P655" i="7" s="1"/>
  <c r="Q655" i="7" s="1"/>
  <c r="R655" i="7" s="1"/>
  <c r="S655" i="7" s="1"/>
  <c r="T655" i="7" s="1"/>
  <c r="U655" i="7" s="1"/>
  <c r="V655" i="7" s="1"/>
  <c r="W655" i="7" s="1"/>
  <c r="X655" i="7" s="1"/>
  <c r="Y655" i="7" s="1"/>
  <c r="Z655" i="7" s="1"/>
  <c r="AM654" i="7"/>
  <c r="G649" i="7"/>
  <c r="H649" i="7" s="1"/>
  <c r="I649" i="7" s="1"/>
  <c r="J649" i="7" s="1"/>
  <c r="K649" i="7" s="1"/>
  <c r="L649" i="7" s="1"/>
  <c r="M649" i="7" s="1"/>
  <c r="N649" i="7" s="1"/>
  <c r="O649" i="7" s="1"/>
  <c r="P649" i="7" s="1"/>
  <c r="Q649" i="7" s="1"/>
  <c r="R649" i="7" s="1"/>
  <c r="S649" i="7" s="1"/>
  <c r="T649" i="7" s="1"/>
  <c r="U649" i="7" s="1"/>
  <c r="V649" i="7" s="1"/>
  <c r="W649" i="7" s="1"/>
  <c r="X649" i="7" s="1"/>
  <c r="Y649" i="7" s="1"/>
  <c r="Z649" i="7" s="1"/>
  <c r="AM648" i="7"/>
  <c r="G643" i="7"/>
  <c r="H643" i="7" s="1"/>
  <c r="I643" i="7" s="1"/>
  <c r="J643" i="7" s="1"/>
  <c r="K643" i="7" s="1"/>
  <c r="L643" i="7" s="1"/>
  <c r="M643" i="7" s="1"/>
  <c r="N643" i="7" s="1"/>
  <c r="O643" i="7" s="1"/>
  <c r="P643" i="7" s="1"/>
  <c r="Q643" i="7" s="1"/>
  <c r="R643" i="7" s="1"/>
  <c r="S643" i="7" s="1"/>
  <c r="T643" i="7" s="1"/>
  <c r="U643" i="7" s="1"/>
  <c r="V643" i="7" s="1"/>
  <c r="W643" i="7" s="1"/>
  <c r="X643" i="7" s="1"/>
  <c r="Y643" i="7" s="1"/>
  <c r="Z643" i="7" s="1"/>
  <c r="AM642" i="7"/>
  <c r="AM641" i="7"/>
  <c r="AM640" i="7"/>
  <c r="AM639" i="7"/>
  <c r="H634" i="7"/>
  <c r="I634" i="7" s="1"/>
  <c r="J634" i="7" s="1"/>
  <c r="K634" i="7" s="1"/>
  <c r="L634" i="7" s="1"/>
  <c r="M634" i="7" s="1"/>
  <c r="N634" i="7" s="1"/>
  <c r="O634" i="7" s="1"/>
  <c r="P634" i="7" s="1"/>
  <c r="Q634" i="7" s="1"/>
  <c r="R634" i="7" s="1"/>
  <c r="S634" i="7" s="1"/>
  <c r="T634" i="7" s="1"/>
  <c r="U634" i="7" s="1"/>
  <c r="V634" i="7" s="1"/>
  <c r="W634" i="7" s="1"/>
  <c r="X634" i="7" s="1"/>
  <c r="Y634" i="7" s="1"/>
  <c r="Z634" i="7" s="1"/>
  <c r="G634" i="7"/>
  <c r="AM633" i="7"/>
  <c r="G628" i="7"/>
  <c r="H628" i="7" s="1"/>
  <c r="I628" i="7" s="1"/>
  <c r="J628" i="7" s="1"/>
  <c r="K628" i="7" s="1"/>
  <c r="L628" i="7" s="1"/>
  <c r="M628" i="7" s="1"/>
  <c r="N628" i="7" s="1"/>
  <c r="O628" i="7" s="1"/>
  <c r="P628" i="7" s="1"/>
  <c r="Q628" i="7" s="1"/>
  <c r="R628" i="7" s="1"/>
  <c r="S628" i="7" s="1"/>
  <c r="T628" i="7" s="1"/>
  <c r="U628" i="7" s="1"/>
  <c r="V628" i="7" s="1"/>
  <c r="W628" i="7" s="1"/>
  <c r="X628" i="7" s="1"/>
  <c r="Y628" i="7" s="1"/>
  <c r="Z628" i="7" s="1"/>
  <c r="AM627" i="7"/>
  <c r="G622" i="7"/>
  <c r="H622" i="7" s="1"/>
  <c r="I622" i="7" s="1"/>
  <c r="J622" i="7" s="1"/>
  <c r="K622" i="7" s="1"/>
  <c r="L622" i="7" s="1"/>
  <c r="M622" i="7" s="1"/>
  <c r="N622" i="7" s="1"/>
  <c r="O622" i="7" s="1"/>
  <c r="P622" i="7" s="1"/>
  <c r="Q622" i="7" s="1"/>
  <c r="R622" i="7" s="1"/>
  <c r="S622" i="7" s="1"/>
  <c r="T622" i="7" s="1"/>
  <c r="U622" i="7" s="1"/>
  <c r="V622" i="7" s="1"/>
  <c r="W622" i="7" s="1"/>
  <c r="X622" i="7" s="1"/>
  <c r="Y622" i="7" s="1"/>
  <c r="Z622" i="7" s="1"/>
  <c r="AM621" i="7"/>
  <c r="AM620" i="7"/>
  <c r="AM619" i="7"/>
  <c r="AM618" i="7"/>
  <c r="AM617" i="7"/>
  <c r="H609" i="7"/>
  <c r="I609" i="7" s="1"/>
  <c r="J609" i="7" s="1"/>
  <c r="K609" i="7" s="1"/>
  <c r="L609" i="7" s="1"/>
  <c r="M609" i="7" s="1"/>
  <c r="N609" i="7" s="1"/>
  <c r="O609" i="7" s="1"/>
  <c r="P609" i="7" s="1"/>
  <c r="Q609" i="7" s="1"/>
  <c r="R609" i="7" s="1"/>
  <c r="S609" i="7" s="1"/>
  <c r="T609" i="7" s="1"/>
  <c r="U609" i="7" s="1"/>
  <c r="V609" i="7" s="1"/>
  <c r="W609" i="7" s="1"/>
  <c r="X609" i="7" s="1"/>
  <c r="Y609" i="7" s="1"/>
  <c r="Z609" i="7" s="1"/>
  <c r="G609" i="7"/>
  <c r="AM608" i="7"/>
  <c r="H599" i="7"/>
  <c r="I599" i="7" s="1"/>
  <c r="J599" i="7" s="1"/>
  <c r="K599" i="7" s="1"/>
  <c r="L599" i="7" s="1"/>
  <c r="M599" i="7" s="1"/>
  <c r="N599" i="7" s="1"/>
  <c r="O599" i="7" s="1"/>
  <c r="P599" i="7" s="1"/>
  <c r="Q599" i="7" s="1"/>
  <c r="R599" i="7" s="1"/>
  <c r="S599" i="7" s="1"/>
  <c r="T599" i="7" s="1"/>
  <c r="U599" i="7" s="1"/>
  <c r="V599" i="7" s="1"/>
  <c r="W599" i="7" s="1"/>
  <c r="X599" i="7" s="1"/>
  <c r="Y599" i="7" s="1"/>
  <c r="Z599" i="7" s="1"/>
  <c r="G599" i="7"/>
  <c r="AM598" i="7"/>
  <c r="A596" i="7"/>
  <c r="AM595" i="7"/>
  <c r="F593" i="7"/>
  <c r="A593" i="7"/>
  <c r="F592" i="7"/>
  <c r="A592" i="7"/>
  <c r="F591" i="7"/>
  <c r="F1080" i="7" s="1"/>
  <c r="A591" i="7"/>
  <c r="F590" i="7"/>
  <c r="F1082" i="7" s="1"/>
  <c r="A590" i="7"/>
  <c r="F589" i="7"/>
  <c r="F1059" i="7" s="1"/>
  <c r="A589" i="7"/>
  <c r="F588" i="7"/>
  <c r="F1065" i="7" s="1"/>
  <c r="A588" i="7"/>
  <c r="G587" i="7"/>
  <c r="H587" i="7" s="1"/>
  <c r="I587" i="7" s="1"/>
  <c r="J587" i="7" s="1"/>
  <c r="K587" i="7" s="1"/>
  <c r="L587" i="7" s="1"/>
  <c r="M587" i="7" s="1"/>
  <c r="N587" i="7" s="1"/>
  <c r="O587" i="7" s="1"/>
  <c r="P587" i="7" s="1"/>
  <c r="Q587" i="7" s="1"/>
  <c r="R587" i="7" s="1"/>
  <c r="S587" i="7" s="1"/>
  <c r="T587" i="7" s="1"/>
  <c r="U587" i="7" s="1"/>
  <c r="V587" i="7" s="1"/>
  <c r="W587" i="7" s="1"/>
  <c r="X587" i="7" s="1"/>
  <c r="Y587" i="7" s="1"/>
  <c r="Z587" i="7" s="1"/>
  <c r="AM586" i="7"/>
  <c r="AM585" i="7"/>
  <c r="AM584" i="7"/>
  <c r="G575" i="7"/>
  <c r="H575" i="7" s="1"/>
  <c r="I575" i="7" s="1"/>
  <c r="J575" i="7" s="1"/>
  <c r="K575" i="7" s="1"/>
  <c r="L575" i="7" s="1"/>
  <c r="M575" i="7" s="1"/>
  <c r="N575" i="7" s="1"/>
  <c r="O575" i="7" s="1"/>
  <c r="P575" i="7" s="1"/>
  <c r="Q575" i="7" s="1"/>
  <c r="R575" i="7" s="1"/>
  <c r="S575" i="7" s="1"/>
  <c r="T575" i="7" s="1"/>
  <c r="U575" i="7" s="1"/>
  <c r="V575" i="7" s="1"/>
  <c r="W575" i="7" s="1"/>
  <c r="X575" i="7" s="1"/>
  <c r="Y575" i="7" s="1"/>
  <c r="Z575" i="7" s="1"/>
  <c r="AM574" i="7"/>
  <c r="Z570" i="7"/>
  <c r="AM570" i="7" s="1"/>
  <c r="Y570" i="7"/>
  <c r="X570" i="7"/>
  <c r="W570" i="7"/>
  <c r="V570" i="7"/>
  <c r="U570" i="7"/>
  <c r="T570" i="7"/>
  <c r="S570" i="7"/>
  <c r="R570" i="7"/>
  <c r="Q570" i="7"/>
  <c r="P570" i="7"/>
  <c r="O570" i="7"/>
  <c r="N570" i="7"/>
  <c r="M570" i="7"/>
  <c r="L570" i="7"/>
  <c r="K570" i="7"/>
  <c r="J570" i="7"/>
  <c r="I570" i="7"/>
  <c r="H570" i="7"/>
  <c r="AM568" i="7"/>
  <c r="AM566" i="7"/>
  <c r="AM563" i="7"/>
  <c r="AM562" i="7"/>
  <c r="AA561" i="7"/>
  <c r="AM560" i="7"/>
  <c r="AM559" i="7"/>
  <c r="AD558" i="7"/>
  <c r="AD561" i="7" s="1"/>
  <c r="AC558" i="7"/>
  <c r="AC561" i="7" s="1"/>
  <c r="AB558" i="7"/>
  <c r="AB561" i="7" s="1"/>
  <c r="AA558" i="7"/>
  <c r="Z558" i="7"/>
  <c r="Y558" i="7"/>
  <c r="Y561" i="7" s="1"/>
  <c r="X558" i="7"/>
  <c r="W558" i="7"/>
  <c r="V558" i="7"/>
  <c r="U558" i="7"/>
  <c r="T558" i="7"/>
  <c r="S558" i="7"/>
  <c r="R558" i="7"/>
  <c r="Q558" i="7"/>
  <c r="P558" i="7"/>
  <c r="O558" i="7"/>
  <c r="N558" i="7"/>
  <c r="M558" i="7"/>
  <c r="L558" i="7"/>
  <c r="K558" i="7"/>
  <c r="J558" i="7"/>
  <c r="I558" i="7"/>
  <c r="H558" i="7"/>
  <c r="AM557" i="7"/>
  <c r="AM556" i="7"/>
  <c r="AM555" i="7"/>
  <c r="I554" i="7"/>
  <c r="J554" i="7" s="1"/>
  <c r="K554" i="7" s="1"/>
  <c r="L554" i="7" s="1"/>
  <c r="M554" i="7" s="1"/>
  <c r="N554" i="7" s="1"/>
  <c r="O554" i="7" s="1"/>
  <c r="P554" i="7" s="1"/>
  <c r="Q554" i="7" s="1"/>
  <c r="R554" i="7" s="1"/>
  <c r="S554" i="7" s="1"/>
  <c r="T554" i="7" s="1"/>
  <c r="U554" i="7" s="1"/>
  <c r="V554" i="7" s="1"/>
  <c r="W554" i="7" s="1"/>
  <c r="X554" i="7" s="1"/>
  <c r="Y554" i="7" s="1"/>
  <c r="Z554" i="7" s="1"/>
  <c r="G554" i="7"/>
  <c r="H554" i="7" s="1"/>
  <c r="AM553" i="7"/>
  <c r="AM550" i="7"/>
  <c r="AD548" i="7"/>
  <c r="AC548" i="7"/>
  <c r="AB548" i="7"/>
  <c r="AA548" i="7"/>
  <c r="Z548" i="7"/>
  <c r="AM548" i="7" s="1"/>
  <c r="Y548" i="7"/>
  <c r="X548" i="7"/>
  <c r="W548" i="7"/>
  <c r="V548" i="7"/>
  <c r="AM544" i="7"/>
  <c r="G540" i="7"/>
  <c r="H540" i="7" s="1"/>
  <c r="I540" i="7" s="1"/>
  <c r="J540" i="7" s="1"/>
  <c r="K540" i="7" s="1"/>
  <c r="L540" i="7" s="1"/>
  <c r="M540" i="7" s="1"/>
  <c r="N540" i="7" s="1"/>
  <c r="O540" i="7" s="1"/>
  <c r="P540" i="7" s="1"/>
  <c r="Q540" i="7" s="1"/>
  <c r="R540" i="7" s="1"/>
  <c r="S540" i="7" s="1"/>
  <c r="T540" i="7" s="1"/>
  <c r="U540" i="7" s="1"/>
  <c r="V540" i="7" s="1"/>
  <c r="W540" i="7" s="1"/>
  <c r="X540" i="7" s="1"/>
  <c r="Y540" i="7" s="1"/>
  <c r="Z540" i="7" s="1"/>
  <c r="AM539" i="7"/>
  <c r="AM538" i="7"/>
  <c r="G532" i="7"/>
  <c r="H532" i="7" s="1"/>
  <c r="I532" i="7" s="1"/>
  <c r="J532" i="7" s="1"/>
  <c r="K532" i="7" s="1"/>
  <c r="L532" i="7" s="1"/>
  <c r="M532" i="7" s="1"/>
  <c r="N532" i="7" s="1"/>
  <c r="O532" i="7" s="1"/>
  <c r="P532" i="7" s="1"/>
  <c r="Q532" i="7" s="1"/>
  <c r="R532" i="7" s="1"/>
  <c r="S532" i="7" s="1"/>
  <c r="T532" i="7" s="1"/>
  <c r="U532" i="7" s="1"/>
  <c r="V532" i="7" s="1"/>
  <c r="W532" i="7" s="1"/>
  <c r="X532" i="7" s="1"/>
  <c r="Y532" i="7" s="1"/>
  <c r="Z532" i="7" s="1"/>
  <c r="AM531" i="7"/>
  <c r="H525" i="7"/>
  <c r="I525" i="7" s="1"/>
  <c r="J525" i="7" s="1"/>
  <c r="K525" i="7" s="1"/>
  <c r="L525" i="7" s="1"/>
  <c r="M525" i="7" s="1"/>
  <c r="N525" i="7" s="1"/>
  <c r="O525" i="7" s="1"/>
  <c r="P525" i="7" s="1"/>
  <c r="Q525" i="7" s="1"/>
  <c r="R525" i="7" s="1"/>
  <c r="S525" i="7" s="1"/>
  <c r="T525" i="7" s="1"/>
  <c r="U525" i="7" s="1"/>
  <c r="V525" i="7" s="1"/>
  <c r="W525" i="7" s="1"/>
  <c r="X525" i="7" s="1"/>
  <c r="Y525" i="7" s="1"/>
  <c r="Z525" i="7" s="1"/>
  <c r="G525" i="7"/>
  <c r="AM524" i="7"/>
  <c r="F522" i="7"/>
  <c r="F1058" i="7" s="1"/>
  <c r="A522" i="7"/>
  <c r="A521" i="7"/>
  <c r="F520" i="7"/>
  <c r="A520" i="7"/>
  <c r="F519" i="7"/>
  <c r="F1081" i="7" s="1"/>
  <c r="A519" i="7"/>
  <c r="F518" i="7"/>
  <c r="F1064" i="7" s="1"/>
  <c r="A518" i="7"/>
  <c r="G517" i="7"/>
  <c r="H517" i="7" s="1"/>
  <c r="I517" i="7" s="1"/>
  <c r="J517" i="7" s="1"/>
  <c r="K517" i="7" s="1"/>
  <c r="L517" i="7" s="1"/>
  <c r="M517" i="7" s="1"/>
  <c r="N517" i="7" s="1"/>
  <c r="O517" i="7" s="1"/>
  <c r="P517" i="7" s="1"/>
  <c r="Q517" i="7" s="1"/>
  <c r="R517" i="7" s="1"/>
  <c r="S517" i="7" s="1"/>
  <c r="T517" i="7" s="1"/>
  <c r="U517" i="7" s="1"/>
  <c r="V517" i="7" s="1"/>
  <c r="W517" i="7" s="1"/>
  <c r="X517" i="7" s="1"/>
  <c r="Y517" i="7" s="1"/>
  <c r="Z517" i="7" s="1"/>
  <c r="AM516" i="7"/>
  <c r="AM515" i="7"/>
  <c r="AD514" i="7"/>
  <c r="AC514" i="7"/>
  <c r="AB514" i="7"/>
  <c r="AA514" i="7"/>
  <c r="Z514" i="7"/>
  <c r="AM514" i="7" s="1"/>
  <c r="Y514" i="7"/>
  <c r="X514" i="7"/>
  <c r="W514" i="7"/>
  <c r="V514" i="7"/>
  <c r="U514" i="7"/>
  <c r="AM513" i="7"/>
  <c r="G508" i="7"/>
  <c r="H508" i="7" s="1"/>
  <c r="I508" i="7" s="1"/>
  <c r="J508" i="7" s="1"/>
  <c r="K508" i="7" s="1"/>
  <c r="L508" i="7" s="1"/>
  <c r="M508" i="7" s="1"/>
  <c r="N508" i="7" s="1"/>
  <c r="O508" i="7" s="1"/>
  <c r="P508" i="7" s="1"/>
  <c r="Q508" i="7" s="1"/>
  <c r="R508" i="7" s="1"/>
  <c r="S508" i="7" s="1"/>
  <c r="T508" i="7" s="1"/>
  <c r="U508" i="7" s="1"/>
  <c r="V508" i="7" s="1"/>
  <c r="W508" i="7" s="1"/>
  <c r="X508" i="7" s="1"/>
  <c r="Y508" i="7" s="1"/>
  <c r="Z508" i="7" s="1"/>
  <c r="AM507" i="7"/>
  <c r="AM506" i="7"/>
  <c r="G498" i="7"/>
  <c r="H498" i="7" s="1"/>
  <c r="I498" i="7" s="1"/>
  <c r="J498" i="7" s="1"/>
  <c r="K498" i="7" s="1"/>
  <c r="L498" i="7" s="1"/>
  <c r="M498" i="7" s="1"/>
  <c r="N498" i="7" s="1"/>
  <c r="O498" i="7" s="1"/>
  <c r="P498" i="7" s="1"/>
  <c r="Q498" i="7" s="1"/>
  <c r="R498" i="7" s="1"/>
  <c r="S498" i="7" s="1"/>
  <c r="T498" i="7" s="1"/>
  <c r="U498" i="7" s="1"/>
  <c r="V498" i="7" s="1"/>
  <c r="W498" i="7" s="1"/>
  <c r="X498" i="7" s="1"/>
  <c r="Y498" i="7" s="1"/>
  <c r="Z498" i="7" s="1"/>
  <c r="AM497" i="7"/>
  <c r="AM495" i="7"/>
  <c r="H493" i="7"/>
  <c r="I493" i="7" s="1"/>
  <c r="J493" i="7" s="1"/>
  <c r="K493" i="7" s="1"/>
  <c r="L493" i="7" s="1"/>
  <c r="M493" i="7" s="1"/>
  <c r="N493" i="7" s="1"/>
  <c r="O493" i="7" s="1"/>
  <c r="P493" i="7" s="1"/>
  <c r="Q493" i="7" s="1"/>
  <c r="R493" i="7" s="1"/>
  <c r="S493" i="7" s="1"/>
  <c r="T493" i="7" s="1"/>
  <c r="U493" i="7" s="1"/>
  <c r="V493" i="7" s="1"/>
  <c r="W493" i="7" s="1"/>
  <c r="X493" i="7" s="1"/>
  <c r="Y493" i="7" s="1"/>
  <c r="Z493" i="7" s="1"/>
  <c r="G493" i="7"/>
  <c r="AM492" i="7"/>
  <c r="E491" i="7"/>
  <c r="I482" i="7"/>
  <c r="J482" i="7" s="1"/>
  <c r="K482" i="7" s="1"/>
  <c r="L482" i="7" s="1"/>
  <c r="M482" i="7" s="1"/>
  <c r="N482" i="7" s="1"/>
  <c r="O482" i="7" s="1"/>
  <c r="P482" i="7" s="1"/>
  <c r="Q482" i="7" s="1"/>
  <c r="R482" i="7" s="1"/>
  <c r="S482" i="7" s="1"/>
  <c r="T482" i="7" s="1"/>
  <c r="U482" i="7" s="1"/>
  <c r="V482" i="7" s="1"/>
  <c r="W482" i="7" s="1"/>
  <c r="X482" i="7" s="1"/>
  <c r="Y482" i="7" s="1"/>
  <c r="Z482" i="7" s="1"/>
  <c r="G482" i="7"/>
  <c r="H482" i="7" s="1"/>
  <c r="AM481" i="7"/>
  <c r="F477" i="7"/>
  <c r="F1063" i="7" s="1"/>
  <c r="A477" i="7"/>
  <c r="A476" i="7"/>
  <c r="F475" i="7"/>
  <c r="F1079" i="7" s="1"/>
  <c r="A475" i="7"/>
  <c r="F474" i="7"/>
  <c r="F1057" i="7" s="1"/>
  <c r="A474" i="7"/>
  <c r="F472" i="7"/>
  <c r="A472" i="7"/>
  <c r="F471" i="7"/>
  <c r="F1045" i="7" s="1"/>
  <c r="A471" i="7"/>
  <c r="G470" i="7"/>
  <c r="H470" i="7" s="1"/>
  <c r="I470" i="7" s="1"/>
  <c r="J470" i="7" s="1"/>
  <c r="K470" i="7" s="1"/>
  <c r="L470" i="7" s="1"/>
  <c r="M470" i="7" s="1"/>
  <c r="N470" i="7" s="1"/>
  <c r="O470" i="7" s="1"/>
  <c r="P470" i="7" s="1"/>
  <c r="Q470" i="7" s="1"/>
  <c r="R470" i="7" s="1"/>
  <c r="S470" i="7" s="1"/>
  <c r="T470" i="7" s="1"/>
  <c r="U470" i="7" s="1"/>
  <c r="V470" i="7" s="1"/>
  <c r="W470" i="7" s="1"/>
  <c r="X470" i="7" s="1"/>
  <c r="Y470" i="7" s="1"/>
  <c r="Z470" i="7" s="1"/>
  <c r="AM469" i="7"/>
  <c r="AM468" i="7"/>
  <c r="AM467" i="7"/>
  <c r="AM466" i="7"/>
  <c r="AM463" i="7"/>
  <c r="AM461" i="7"/>
  <c r="AM460" i="7"/>
  <c r="AM458" i="7"/>
  <c r="AM457" i="7"/>
  <c r="AM455" i="7"/>
  <c r="G454" i="7"/>
  <c r="AM452" i="7"/>
  <c r="AM450" i="7"/>
  <c r="AM449" i="7"/>
  <c r="AM447" i="7"/>
  <c r="AM446" i="7"/>
  <c r="AM444" i="7"/>
  <c r="G443" i="7"/>
  <c r="X442" i="7"/>
  <c r="W442" i="7"/>
  <c r="V442" i="7"/>
  <c r="U442" i="7"/>
  <c r="T442" i="7"/>
  <c r="S442" i="7"/>
  <c r="R442" i="7"/>
  <c r="Q442" i="7"/>
  <c r="P442" i="7"/>
  <c r="O442" i="7"/>
  <c r="N442" i="7"/>
  <c r="M442" i="7"/>
  <c r="L442" i="7"/>
  <c r="K442" i="7"/>
  <c r="J442" i="7"/>
  <c r="I442" i="7"/>
  <c r="H442" i="7"/>
  <c r="G442" i="7"/>
  <c r="AM441" i="7"/>
  <c r="Y441" i="7"/>
  <c r="AM439" i="7"/>
  <c r="AM438" i="7"/>
  <c r="AM436" i="7"/>
  <c r="AM435" i="7"/>
  <c r="Y435" i="7"/>
  <c r="AM433" i="7"/>
  <c r="G432" i="7"/>
  <c r="X431" i="7"/>
  <c r="W431" i="7"/>
  <c r="V431" i="7"/>
  <c r="U431" i="7"/>
  <c r="T431" i="7"/>
  <c r="S431" i="7"/>
  <c r="R431" i="7"/>
  <c r="Q431" i="7"/>
  <c r="P431" i="7"/>
  <c r="O431" i="7"/>
  <c r="N431" i="7"/>
  <c r="M431" i="7"/>
  <c r="L431" i="7"/>
  <c r="K431" i="7"/>
  <c r="J431" i="7"/>
  <c r="I431" i="7"/>
  <c r="H431" i="7"/>
  <c r="G431" i="7"/>
  <c r="AM430" i="7"/>
  <c r="AM428" i="7"/>
  <c r="W428" i="7"/>
  <c r="V428" i="7"/>
  <c r="U428" i="7"/>
  <c r="T428" i="7"/>
  <c r="S428" i="7"/>
  <c r="R428" i="7"/>
  <c r="Q428" i="7"/>
  <c r="P428" i="7"/>
  <c r="O428" i="7"/>
  <c r="N428" i="7"/>
  <c r="M428" i="7"/>
  <c r="L428" i="7"/>
  <c r="K428" i="7"/>
  <c r="J428" i="7"/>
  <c r="I428" i="7"/>
  <c r="H428" i="7"/>
  <c r="AM427" i="7"/>
  <c r="H426" i="7"/>
  <c r="AM425" i="7"/>
  <c r="AM424" i="7"/>
  <c r="AM422" i="7"/>
  <c r="X418" i="7"/>
  <c r="Y418" i="7" s="1"/>
  <c r="Z418" i="7" s="1"/>
  <c r="AM417" i="7"/>
  <c r="AM415" i="7"/>
  <c r="AM414" i="7"/>
  <c r="AM412" i="7"/>
  <c r="Z411" i="7"/>
  <c r="AM411" i="7" s="1"/>
  <c r="AM409" i="7"/>
  <c r="AM406" i="7"/>
  <c r="AA406" i="7"/>
  <c r="AA408" i="7" s="1"/>
  <c r="AB410" i="7" s="1"/>
  <c r="X406" i="7"/>
  <c r="Z408" i="7" s="1"/>
  <c r="AA410" i="7" s="1"/>
  <c r="W406" i="7"/>
  <c r="V406" i="7"/>
  <c r="U406" i="7"/>
  <c r="T406" i="7"/>
  <c r="S406" i="7"/>
  <c r="R406" i="7"/>
  <c r="Q406" i="7"/>
  <c r="P406" i="7"/>
  <c r="O406" i="7"/>
  <c r="N406" i="7"/>
  <c r="M406" i="7"/>
  <c r="L406" i="7"/>
  <c r="K406" i="7"/>
  <c r="J406" i="7"/>
  <c r="I406" i="7"/>
  <c r="H406" i="7"/>
  <c r="H413" i="7" s="1"/>
  <c r="G406" i="7"/>
  <c r="AM405" i="7"/>
  <c r="AM403" i="7"/>
  <c r="AM402" i="7"/>
  <c r="AM400" i="7"/>
  <c r="AM399" i="7"/>
  <c r="AM397" i="7"/>
  <c r="X393" i="7"/>
  <c r="W393" i="7"/>
  <c r="V393" i="7"/>
  <c r="U393" i="7"/>
  <c r="T393" i="7"/>
  <c r="S393" i="7"/>
  <c r="R393" i="7"/>
  <c r="Q393" i="7"/>
  <c r="P393" i="7"/>
  <c r="O393" i="7"/>
  <c r="N393" i="7"/>
  <c r="M393" i="7"/>
  <c r="L393" i="7"/>
  <c r="K393" i="7"/>
  <c r="J393" i="7"/>
  <c r="J401" i="7" s="1"/>
  <c r="I393" i="7"/>
  <c r="I401" i="7" s="1"/>
  <c r="H393" i="7"/>
  <c r="G393" i="7"/>
  <c r="AM392" i="7"/>
  <c r="AM390" i="7"/>
  <c r="AM389" i="7"/>
  <c r="AM387" i="7"/>
  <c r="AM386" i="7"/>
  <c r="AM384" i="7"/>
  <c r="AD380" i="7"/>
  <c r="AD381" i="7" s="1"/>
  <c r="AD379" i="7"/>
  <c r="AC379" i="7"/>
  <c r="X378" i="7"/>
  <c r="W378" i="7"/>
  <c r="V378" i="7"/>
  <c r="U378" i="7"/>
  <c r="T378" i="7"/>
  <c r="S378" i="7"/>
  <c r="R378" i="7"/>
  <c r="Q378" i="7"/>
  <c r="P378" i="7"/>
  <c r="O378" i="7"/>
  <c r="N378" i="7"/>
  <c r="M378" i="7"/>
  <c r="L378" i="7"/>
  <c r="K378" i="7"/>
  <c r="J378" i="7"/>
  <c r="I378" i="7"/>
  <c r="H378" i="7"/>
  <c r="G378" i="7"/>
  <c r="AM377" i="7"/>
  <c r="AM375" i="7"/>
  <c r="AM374" i="7"/>
  <c r="AM372" i="7"/>
  <c r="AM371" i="7"/>
  <c r="AM369" i="7"/>
  <c r="X364" i="7"/>
  <c r="W364" i="7"/>
  <c r="V364" i="7"/>
  <c r="U364" i="7"/>
  <c r="T364" i="7"/>
  <c r="S364" i="7"/>
  <c r="R364" i="7"/>
  <c r="Q364" i="7"/>
  <c r="P364" i="7"/>
  <c r="O364" i="7"/>
  <c r="N364" i="7"/>
  <c r="M364" i="7"/>
  <c r="L364" i="7"/>
  <c r="K364" i="7"/>
  <c r="J364" i="7"/>
  <c r="I364" i="7"/>
  <c r="H364" i="7"/>
  <c r="G364" i="7"/>
  <c r="G363" i="7"/>
  <c r="H363" i="7" s="1"/>
  <c r="I363" i="7" s="1"/>
  <c r="J363" i="7" s="1"/>
  <c r="K363" i="7" s="1"/>
  <c r="L363" i="7" s="1"/>
  <c r="M363" i="7" s="1"/>
  <c r="N363" i="7" s="1"/>
  <c r="O363" i="7" s="1"/>
  <c r="P363" i="7" s="1"/>
  <c r="Q363" i="7" s="1"/>
  <c r="R363" i="7" s="1"/>
  <c r="S363" i="7" s="1"/>
  <c r="T363" i="7" s="1"/>
  <c r="U363" i="7" s="1"/>
  <c r="V363" i="7" s="1"/>
  <c r="W363" i="7" s="1"/>
  <c r="X363" i="7" s="1"/>
  <c r="Y363" i="7" s="1"/>
  <c r="Z363" i="7" s="1"/>
  <c r="AM362" i="7"/>
  <c r="G357" i="7"/>
  <c r="H357" i="7" s="1"/>
  <c r="I357" i="7" s="1"/>
  <c r="J357" i="7" s="1"/>
  <c r="K357" i="7" s="1"/>
  <c r="L357" i="7" s="1"/>
  <c r="M357" i="7" s="1"/>
  <c r="N357" i="7" s="1"/>
  <c r="O357" i="7" s="1"/>
  <c r="P357" i="7" s="1"/>
  <c r="Q357" i="7" s="1"/>
  <c r="R357" i="7" s="1"/>
  <c r="S357" i="7" s="1"/>
  <c r="T357" i="7" s="1"/>
  <c r="U357" i="7" s="1"/>
  <c r="V357" i="7" s="1"/>
  <c r="W357" i="7" s="1"/>
  <c r="X357" i="7" s="1"/>
  <c r="Y357" i="7" s="1"/>
  <c r="Z357" i="7" s="1"/>
  <c r="AM356" i="7"/>
  <c r="I349" i="7"/>
  <c r="J349" i="7" s="1"/>
  <c r="K349" i="7" s="1"/>
  <c r="L349" i="7" s="1"/>
  <c r="M349" i="7" s="1"/>
  <c r="N349" i="7" s="1"/>
  <c r="O349" i="7" s="1"/>
  <c r="P349" i="7" s="1"/>
  <c r="Q349" i="7" s="1"/>
  <c r="R349" i="7" s="1"/>
  <c r="S349" i="7" s="1"/>
  <c r="T349" i="7" s="1"/>
  <c r="U349" i="7" s="1"/>
  <c r="V349" i="7" s="1"/>
  <c r="W349" i="7" s="1"/>
  <c r="X349" i="7" s="1"/>
  <c r="Y349" i="7" s="1"/>
  <c r="Z349" i="7" s="1"/>
  <c r="G349" i="7"/>
  <c r="H349" i="7" s="1"/>
  <c r="AM348" i="7"/>
  <c r="G341" i="7"/>
  <c r="H341" i="7" s="1"/>
  <c r="I341" i="7" s="1"/>
  <c r="J341" i="7" s="1"/>
  <c r="K341" i="7" s="1"/>
  <c r="L341" i="7" s="1"/>
  <c r="M341" i="7" s="1"/>
  <c r="N341" i="7" s="1"/>
  <c r="O341" i="7" s="1"/>
  <c r="P341" i="7" s="1"/>
  <c r="Q341" i="7" s="1"/>
  <c r="R341" i="7" s="1"/>
  <c r="S341" i="7" s="1"/>
  <c r="T341" i="7" s="1"/>
  <c r="U341" i="7" s="1"/>
  <c r="V341" i="7" s="1"/>
  <c r="W341" i="7" s="1"/>
  <c r="X341" i="7" s="1"/>
  <c r="Y341" i="7" s="1"/>
  <c r="Z341" i="7" s="1"/>
  <c r="AM340" i="7"/>
  <c r="I334" i="7"/>
  <c r="J334" i="7" s="1"/>
  <c r="K334" i="7" s="1"/>
  <c r="L334" i="7" s="1"/>
  <c r="M334" i="7" s="1"/>
  <c r="N334" i="7" s="1"/>
  <c r="O334" i="7" s="1"/>
  <c r="P334" i="7" s="1"/>
  <c r="Q334" i="7" s="1"/>
  <c r="R334" i="7" s="1"/>
  <c r="S334" i="7" s="1"/>
  <c r="T334" i="7" s="1"/>
  <c r="U334" i="7" s="1"/>
  <c r="V334" i="7" s="1"/>
  <c r="W334" i="7" s="1"/>
  <c r="X334" i="7" s="1"/>
  <c r="Y334" i="7" s="1"/>
  <c r="Z334" i="7" s="1"/>
  <c r="G334" i="7"/>
  <c r="H334" i="7" s="1"/>
  <c r="AM333" i="7"/>
  <c r="G329" i="7"/>
  <c r="H329" i="7" s="1"/>
  <c r="I329" i="7" s="1"/>
  <c r="J329" i="7" s="1"/>
  <c r="K329" i="7" s="1"/>
  <c r="L329" i="7" s="1"/>
  <c r="M329" i="7" s="1"/>
  <c r="N329" i="7" s="1"/>
  <c r="O329" i="7" s="1"/>
  <c r="P329" i="7" s="1"/>
  <c r="Q329" i="7" s="1"/>
  <c r="R329" i="7" s="1"/>
  <c r="S329" i="7" s="1"/>
  <c r="T329" i="7" s="1"/>
  <c r="U329" i="7" s="1"/>
  <c r="V329" i="7" s="1"/>
  <c r="W329" i="7" s="1"/>
  <c r="X329" i="7" s="1"/>
  <c r="Y329" i="7" s="1"/>
  <c r="Z329" i="7" s="1"/>
  <c r="AM328" i="7"/>
  <c r="I322" i="7"/>
  <c r="J322" i="7" s="1"/>
  <c r="K322" i="7" s="1"/>
  <c r="L322" i="7" s="1"/>
  <c r="M322" i="7" s="1"/>
  <c r="N322" i="7" s="1"/>
  <c r="O322" i="7" s="1"/>
  <c r="P322" i="7" s="1"/>
  <c r="Q322" i="7" s="1"/>
  <c r="R322" i="7" s="1"/>
  <c r="S322" i="7" s="1"/>
  <c r="T322" i="7" s="1"/>
  <c r="U322" i="7" s="1"/>
  <c r="V322" i="7" s="1"/>
  <c r="W322" i="7" s="1"/>
  <c r="X322" i="7" s="1"/>
  <c r="Y322" i="7" s="1"/>
  <c r="Z322" i="7" s="1"/>
  <c r="G322" i="7"/>
  <c r="H322" i="7" s="1"/>
  <c r="AM321" i="7"/>
  <c r="F319" i="7"/>
  <c r="F1044" i="7" s="1"/>
  <c r="A319" i="7"/>
  <c r="A318" i="7"/>
  <c r="F317" i="7"/>
  <c r="A317" i="7"/>
  <c r="AM315" i="7"/>
  <c r="F310" i="7"/>
  <c r="A310" i="7"/>
  <c r="AM302" i="7"/>
  <c r="F296" i="7"/>
  <c r="A296" i="7"/>
  <c r="G295" i="7"/>
  <c r="H295" i="7" s="1"/>
  <c r="I295" i="7" s="1"/>
  <c r="J295" i="7" s="1"/>
  <c r="K295" i="7" s="1"/>
  <c r="L295" i="7" s="1"/>
  <c r="M295" i="7" s="1"/>
  <c r="N295" i="7" s="1"/>
  <c r="O295" i="7" s="1"/>
  <c r="P295" i="7" s="1"/>
  <c r="Q295" i="7" s="1"/>
  <c r="R295" i="7" s="1"/>
  <c r="S295" i="7" s="1"/>
  <c r="T295" i="7" s="1"/>
  <c r="U295" i="7" s="1"/>
  <c r="V295" i="7" s="1"/>
  <c r="W295" i="7" s="1"/>
  <c r="X295" i="7" s="1"/>
  <c r="Y295" i="7" s="1"/>
  <c r="Z295" i="7" s="1"/>
  <c r="AM294" i="7"/>
  <c r="AM293" i="7"/>
  <c r="AM292" i="7"/>
  <c r="AM291" i="7"/>
  <c r="G286" i="7"/>
  <c r="H286" i="7" s="1"/>
  <c r="I286" i="7" s="1"/>
  <c r="J286" i="7" s="1"/>
  <c r="K286" i="7" s="1"/>
  <c r="L286" i="7" s="1"/>
  <c r="M286" i="7" s="1"/>
  <c r="N286" i="7" s="1"/>
  <c r="O286" i="7" s="1"/>
  <c r="P286" i="7" s="1"/>
  <c r="Q286" i="7" s="1"/>
  <c r="R286" i="7" s="1"/>
  <c r="S286" i="7" s="1"/>
  <c r="T286" i="7" s="1"/>
  <c r="U286" i="7" s="1"/>
  <c r="V286" i="7" s="1"/>
  <c r="W286" i="7" s="1"/>
  <c r="X286" i="7" s="1"/>
  <c r="Y286" i="7" s="1"/>
  <c r="Z286" i="7" s="1"/>
  <c r="AM285" i="7"/>
  <c r="AM279" i="7"/>
  <c r="G274" i="7"/>
  <c r="G280" i="7" s="1"/>
  <c r="H280" i="7" s="1"/>
  <c r="I280" i="7" s="1"/>
  <c r="J280" i="7" s="1"/>
  <c r="K280" i="7" s="1"/>
  <c r="L280" i="7" s="1"/>
  <c r="M280" i="7" s="1"/>
  <c r="N280" i="7" s="1"/>
  <c r="O280" i="7" s="1"/>
  <c r="P280" i="7" s="1"/>
  <c r="Q280" i="7" s="1"/>
  <c r="R280" i="7" s="1"/>
  <c r="S280" i="7" s="1"/>
  <c r="T280" i="7" s="1"/>
  <c r="U280" i="7" s="1"/>
  <c r="V280" i="7" s="1"/>
  <c r="W280" i="7" s="1"/>
  <c r="X280" i="7" s="1"/>
  <c r="Y280" i="7" s="1"/>
  <c r="Z280" i="7" s="1"/>
  <c r="AM273" i="7"/>
  <c r="AM272" i="7"/>
  <c r="AM271" i="7"/>
  <c r="H268" i="7"/>
  <c r="I268" i="7" s="1"/>
  <c r="J268" i="7" s="1"/>
  <c r="K268" i="7" s="1"/>
  <c r="L268" i="7" s="1"/>
  <c r="M268" i="7" s="1"/>
  <c r="N268" i="7" s="1"/>
  <c r="O268" i="7" s="1"/>
  <c r="P268" i="7" s="1"/>
  <c r="Q268" i="7" s="1"/>
  <c r="R268" i="7" s="1"/>
  <c r="S268" i="7" s="1"/>
  <c r="T268" i="7" s="1"/>
  <c r="U268" i="7" s="1"/>
  <c r="V268" i="7" s="1"/>
  <c r="W268" i="7" s="1"/>
  <c r="X268" i="7" s="1"/>
  <c r="Y268" i="7" s="1"/>
  <c r="Z268" i="7" s="1"/>
  <c r="G268" i="7"/>
  <c r="AM267" i="7"/>
  <c r="G264" i="7"/>
  <c r="H264" i="7" s="1"/>
  <c r="I264" i="7" s="1"/>
  <c r="J264" i="7" s="1"/>
  <c r="K264" i="7" s="1"/>
  <c r="L264" i="7" s="1"/>
  <c r="M264" i="7" s="1"/>
  <c r="N264" i="7" s="1"/>
  <c r="O264" i="7" s="1"/>
  <c r="P264" i="7" s="1"/>
  <c r="Q264" i="7" s="1"/>
  <c r="R264" i="7" s="1"/>
  <c r="S264" i="7" s="1"/>
  <c r="T264" i="7" s="1"/>
  <c r="U264" i="7" s="1"/>
  <c r="V264" i="7" s="1"/>
  <c r="W264" i="7" s="1"/>
  <c r="X264" i="7" s="1"/>
  <c r="Y264" i="7" s="1"/>
  <c r="Z264" i="7" s="1"/>
  <c r="AM263" i="7"/>
  <c r="AM261" i="7"/>
  <c r="AM258" i="7"/>
  <c r="A257" i="7"/>
  <c r="G254" i="7"/>
  <c r="G259" i="7" s="1"/>
  <c r="H259" i="7" s="1"/>
  <c r="I259" i="7" s="1"/>
  <c r="J259" i="7" s="1"/>
  <c r="K259" i="7" s="1"/>
  <c r="L259" i="7" s="1"/>
  <c r="M259" i="7" s="1"/>
  <c r="N259" i="7" s="1"/>
  <c r="O259" i="7" s="1"/>
  <c r="P259" i="7" s="1"/>
  <c r="Q259" i="7" s="1"/>
  <c r="R259" i="7" s="1"/>
  <c r="S259" i="7" s="1"/>
  <c r="T259" i="7" s="1"/>
  <c r="U259" i="7" s="1"/>
  <c r="V259" i="7" s="1"/>
  <c r="W259" i="7" s="1"/>
  <c r="X259" i="7" s="1"/>
  <c r="Y259" i="7" s="1"/>
  <c r="Z259" i="7" s="1"/>
  <c r="AM253" i="7"/>
  <c r="G246" i="7"/>
  <c r="H246" i="7" s="1"/>
  <c r="I246" i="7" s="1"/>
  <c r="J246" i="7" s="1"/>
  <c r="K246" i="7" s="1"/>
  <c r="L246" i="7" s="1"/>
  <c r="M246" i="7" s="1"/>
  <c r="N246" i="7" s="1"/>
  <c r="O246" i="7" s="1"/>
  <c r="P246" i="7" s="1"/>
  <c r="Q246" i="7" s="1"/>
  <c r="R246" i="7" s="1"/>
  <c r="S246" i="7" s="1"/>
  <c r="T246" i="7" s="1"/>
  <c r="U246" i="7" s="1"/>
  <c r="V246" i="7" s="1"/>
  <c r="W246" i="7" s="1"/>
  <c r="X246" i="7" s="1"/>
  <c r="Y246" i="7" s="1"/>
  <c r="Z246" i="7" s="1"/>
  <c r="AM245" i="7"/>
  <c r="G238" i="7"/>
  <c r="H238" i="7" s="1"/>
  <c r="I238" i="7" s="1"/>
  <c r="J238" i="7" s="1"/>
  <c r="K238" i="7" s="1"/>
  <c r="L238" i="7" s="1"/>
  <c r="M238" i="7" s="1"/>
  <c r="N238" i="7" s="1"/>
  <c r="O238" i="7" s="1"/>
  <c r="P238" i="7" s="1"/>
  <c r="Q238" i="7" s="1"/>
  <c r="R238" i="7" s="1"/>
  <c r="S238" i="7" s="1"/>
  <c r="T238" i="7" s="1"/>
  <c r="U238" i="7" s="1"/>
  <c r="V238" i="7" s="1"/>
  <c r="W238" i="7" s="1"/>
  <c r="X238" i="7" s="1"/>
  <c r="Y238" i="7" s="1"/>
  <c r="Z238" i="7" s="1"/>
  <c r="F235" i="7"/>
  <c r="A235" i="7"/>
  <c r="F234" i="7"/>
  <c r="A234" i="7"/>
  <c r="F231" i="7"/>
  <c r="A231" i="7"/>
  <c r="A230" i="7"/>
  <c r="F228" i="7"/>
  <c r="A228" i="7"/>
  <c r="F227" i="7"/>
  <c r="A227" i="7"/>
  <c r="G226" i="7"/>
  <c r="H226" i="7" s="1"/>
  <c r="I226" i="7" s="1"/>
  <c r="J226" i="7" s="1"/>
  <c r="K226" i="7" s="1"/>
  <c r="L226" i="7" s="1"/>
  <c r="M226" i="7" s="1"/>
  <c r="N226" i="7" s="1"/>
  <c r="O226" i="7" s="1"/>
  <c r="P226" i="7" s="1"/>
  <c r="Q226" i="7" s="1"/>
  <c r="R226" i="7" s="1"/>
  <c r="S226" i="7" s="1"/>
  <c r="T226" i="7" s="1"/>
  <c r="U226" i="7" s="1"/>
  <c r="V226" i="7" s="1"/>
  <c r="W226" i="7" s="1"/>
  <c r="X226" i="7" s="1"/>
  <c r="Y226" i="7" s="1"/>
  <c r="Z226" i="7" s="1"/>
  <c r="AM224" i="7"/>
  <c r="U223" i="7"/>
  <c r="AD222" i="7"/>
  <c r="AE223" i="7" s="1"/>
  <c r="AC222" i="7"/>
  <c r="AC223" i="7" s="1"/>
  <c r="AB222" i="7"/>
  <c r="AA222" i="7"/>
  <c r="AA223" i="7" s="1"/>
  <c r="Z222" i="7"/>
  <c r="AM222" i="7" s="1"/>
  <c r="Y222" i="7"/>
  <c r="Y223" i="7" s="1"/>
  <c r="X222" i="7"/>
  <c r="W222" i="7"/>
  <c r="W223" i="7" s="1"/>
  <c r="V222" i="7"/>
  <c r="U222" i="7"/>
  <c r="V223" i="7" s="1"/>
  <c r="T222" i="7"/>
  <c r="G217" i="7"/>
  <c r="H217" i="7" s="1"/>
  <c r="I217" i="7" s="1"/>
  <c r="J217" i="7" s="1"/>
  <c r="K217" i="7" s="1"/>
  <c r="L217" i="7" s="1"/>
  <c r="M217" i="7" s="1"/>
  <c r="N217" i="7" s="1"/>
  <c r="O217" i="7" s="1"/>
  <c r="P217" i="7" s="1"/>
  <c r="Q217" i="7" s="1"/>
  <c r="R217" i="7" s="1"/>
  <c r="S217" i="7" s="1"/>
  <c r="T217" i="7" s="1"/>
  <c r="U217" i="7" s="1"/>
  <c r="V217" i="7" s="1"/>
  <c r="W217" i="7" s="1"/>
  <c r="X217" i="7" s="1"/>
  <c r="Y217" i="7" s="1"/>
  <c r="Z217" i="7" s="1"/>
  <c r="AM212" i="7"/>
  <c r="G208" i="7"/>
  <c r="H208" i="7" s="1"/>
  <c r="I208" i="7" s="1"/>
  <c r="J208" i="7" s="1"/>
  <c r="K208" i="7" s="1"/>
  <c r="L208" i="7" s="1"/>
  <c r="M208" i="7" s="1"/>
  <c r="N208" i="7" s="1"/>
  <c r="O208" i="7" s="1"/>
  <c r="P208" i="7" s="1"/>
  <c r="Q208" i="7" s="1"/>
  <c r="R208" i="7" s="1"/>
  <c r="S208" i="7" s="1"/>
  <c r="T208" i="7" s="1"/>
  <c r="U208" i="7" s="1"/>
  <c r="V208" i="7" s="1"/>
  <c r="W208" i="7" s="1"/>
  <c r="X208" i="7" s="1"/>
  <c r="Y208" i="7" s="1"/>
  <c r="Z208" i="7" s="1"/>
  <c r="AM207" i="7"/>
  <c r="A205" i="7"/>
  <c r="AM202" i="7"/>
  <c r="AM201" i="7"/>
  <c r="G197" i="7"/>
  <c r="H197" i="7" s="1"/>
  <c r="I197" i="7" s="1"/>
  <c r="J197" i="7" s="1"/>
  <c r="K197" i="7" s="1"/>
  <c r="L197" i="7" s="1"/>
  <c r="M197" i="7" s="1"/>
  <c r="N197" i="7" s="1"/>
  <c r="O197" i="7" s="1"/>
  <c r="P197" i="7" s="1"/>
  <c r="Q197" i="7" s="1"/>
  <c r="R197" i="7" s="1"/>
  <c r="S197" i="7" s="1"/>
  <c r="T197" i="7" s="1"/>
  <c r="U197" i="7" s="1"/>
  <c r="V197" i="7" s="1"/>
  <c r="W197" i="7" s="1"/>
  <c r="X197" i="7" s="1"/>
  <c r="Y197" i="7" s="1"/>
  <c r="Z197" i="7" s="1"/>
  <c r="AM196" i="7"/>
  <c r="Y195" i="7"/>
  <c r="X195" i="7"/>
  <c r="W195" i="7"/>
  <c r="AM194" i="7"/>
  <c r="X194" i="7"/>
  <c r="AM193" i="7"/>
  <c r="G188" i="7"/>
  <c r="H188" i="7" s="1"/>
  <c r="I188" i="7" s="1"/>
  <c r="J188" i="7" s="1"/>
  <c r="K188" i="7" s="1"/>
  <c r="L188" i="7" s="1"/>
  <c r="M188" i="7" s="1"/>
  <c r="N188" i="7" s="1"/>
  <c r="O188" i="7" s="1"/>
  <c r="P188" i="7" s="1"/>
  <c r="Q188" i="7" s="1"/>
  <c r="R188" i="7" s="1"/>
  <c r="S188" i="7" s="1"/>
  <c r="T188" i="7" s="1"/>
  <c r="U188" i="7" s="1"/>
  <c r="V188" i="7" s="1"/>
  <c r="W188" i="7" s="1"/>
  <c r="X188" i="7" s="1"/>
  <c r="Y188" i="7" s="1"/>
  <c r="Z188" i="7" s="1"/>
  <c r="G182" i="7"/>
  <c r="H182" i="7" s="1"/>
  <c r="I182" i="7" s="1"/>
  <c r="J182" i="7" s="1"/>
  <c r="K182" i="7" s="1"/>
  <c r="L182" i="7" s="1"/>
  <c r="M182" i="7" s="1"/>
  <c r="N182" i="7" s="1"/>
  <c r="O182" i="7" s="1"/>
  <c r="P182" i="7" s="1"/>
  <c r="Q182" i="7" s="1"/>
  <c r="R182" i="7" s="1"/>
  <c r="S182" i="7" s="1"/>
  <c r="T182" i="7" s="1"/>
  <c r="U182" i="7" s="1"/>
  <c r="V182" i="7" s="1"/>
  <c r="W182" i="7" s="1"/>
  <c r="X182" i="7" s="1"/>
  <c r="Y182" i="7" s="1"/>
  <c r="Z182" i="7" s="1"/>
  <c r="A179" i="7"/>
  <c r="AM175" i="7"/>
  <c r="F174" i="7"/>
  <c r="A174" i="7"/>
  <c r="AM170" i="7"/>
  <c r="F169" i="7"/>
  <c r="A169" i="7"/>
  <c r="AM165" i="7"/>
  <c r="F164" i="7"/>
  <c r="A164" i="7"/>
  <c r="G163" i="7"/>
  <c r="H163" i="7" s="1"/>
  <c r="I163" i="7" s="1"/>
  <c r="J163" i="7" s="1"/>
  <c r="K163" i="7" s="1"/>
  <c r="L163" i="7" s="1"/>
  <c r="M163" i="7" s="1"/>
  <c r="N163" i="7" s="1"/>
  <c r="O163" i="7" s="1"/>
  <c r="P163" i="7" s="1"/>
  <c r="Q163" i="7" s="1"/>
  <c r="R163" i="7" s="1"/>
  <c r="S163" i="7" s="1"/>
  <c r="T163" i="7" s="1"/>
  <c r="U163" i="7" s="1"/>
  <c r="V163" i="7" s="1"/>
  <c r="W163" i="7" s="1"/>
  <c r="X163" i="7" s="1"/>
  <c r="Y163" i="7" s="1"/>
  <c r="Z163" i="7" s="1"/>
  <c r="AA163" i="7" s="1"/>
  <c r="AB163" i="7" s="1"/>
  <c r="AC163" i="7" s="1"/>
  <c r="AD163" i="7" s="1"/>
  <c r="AE163" i="7" s="1"/>
  <c r="AM162" i="7"/>
  <c r="AM161" i="7"/>
  <c r="AM160" i="7"/>
  <c r="AM159" i="7"/>
  <c r="G152" i="7"/>
  <c r="H152" i="7" s="1"/>
  <c r="I152" i="7" s="1"/>
  <c r="J152" i="7" s="1"/>
  <c r="K152" i="7" s="1"/>
  <c r="L152" i="7" s="1"/>
  <c r="M152" i="7" s="1"/>
  <c r="N152" i="7" s="1"/>
  <c r="O152" i="7" s="1"/>
  <c r="P152" i="7" s="1"/>
  <c r="Q152" i="7" s="1"/>
  <c r="R152" i="7" s="1"/>
  <c r="S152" i="7" s="1"/>
  <c r="T152" i="7" s="1"/>
  <c r="U152" i="7" s="1"/>
  <c r="V152" i="7" s="1"/>
  <c r="W152" i="7" s="1"/>
  <c r="X152" i="7" s="1"/>
  <c r="Y152" i="7" s="1"/>
  <c r="Z152" i="7" s="1"/>
  <c r="AA152" i="7" s="1"/>
  <c r="AB152" i="7" s="1"/>
  <c r="AC152" i="7" s="1"/>
  <c r="AD152" i="7" s="1"/>
  <c r="AE152" i="7" s="1"/>
  <c r="AM151" i="7"/>
  <c r="AM148" i="7"/>
  <c r="G144" i="7"/>
  <c r="H144" i="7" s="1"/>
  <c r="I144" i="7" s="1"/>
  <c r="J144" i="7" s="1"/>
  <c r="K144" i="7" s="1"/>
  <c r="L144" i="7" s="1"/>
  <c r="M144" i="7" s="1"/>
  <c r="N144" i="7" s="1"/>
  <c r="O144" i="7" s="1"/>
  <c r="P144" i="7" s="1"/>
  <c r="Q144" i="7" s="1"/>
  <c r="R144" i="7" s="1"/>
  <c r="S144" i="7" s="1"/>
  <c r="T144" i="7" s="1"/>
  <c r="U144" i="7" s="1"/>
  <c r="V144" i="7" s="1"/>
  <c r="W144" i="7" s="1"/>
  <c r="X144" i="7" s="1"/>
  <c r="Y144" i="7" s="1"/>
  <c r="Z144" i="7" s="1"/>
  <c r="AM143" i="7"/>
  <c r="F141" i="7"/>
  <c r="F150" i="7" s="1"/>
  <c r="A141" i="7"/>
  <c r="F140" i="7"/>
  <c r="F149" i="7" s="1"/>
  <c r="A140" i="7"/>
  <c r="A139" i="7"/>
  <c r="AM138" i="7"/>
  <c r="F134" i="7"/>
  <c r="F147" i="7" s="1"/>
  <c r="A134" i="7"/>
  <c r="F133" i="7"/>
  <c r="F146" i="7" s="1"/>
  <c r="A133" i="7"/>
  <c r="F132" i="7"/>
  <c r="F145" i="7" s="1"/>
  <c r="A132" i="7"/>
  <c r="G131" i="7"/>
  <c r="H131" i="7" s="1"/>
  <c r="I131" i="7" s="1"/>
  <c r="J131" i="7" s="1"/>
  <c r="K131" i="7" s="1"/>
  <c r="L131" i="7" s="1"/>
  <c r="M131" i="7" s="1"/>
  <c r="N131" i="7" s="1"/>
  <c r="O131" i="7" s="1"/>
  <c r="P131" i="7" s="1"/>
  <c r="Q131" i="7" s="1"/>
  <c r="R131" i="7" s="1"/>
  <c r="S131" i="7" s="1"/>
  <c r="T131" i="7" s="1"/>
  <c r="U131" i="7" s="1"/>
  <c r="V131" i="7" s="1"/>
  <c r="W131" i="7" s="1"/>
  <c r="X131" i="7" s="1"/>
  <c r="Y131" i="7" s="1"/>
  <c r="Z131" i="7" s="1"/>
  <c r="AA131" i="7" s="1"/>
  <c r="AB131" i="7" s="1"/>
  <c r="AC131" i="7" s="1"/>
  <c r="AD131" i="7" s="1"/>
  <c r="AE131" i="7" s="1"/>
  <c r="Y101" i="7"/>
  <c r="Z101" i="7" s="1"/>
  <c r="X101" i="7"/>
  <c r="W101" i="7"/>
  <c r="V101" i="7"/>
  <c r="U101" i="7"/>
  <c r="T101" i="7"/>
  <c r="S101" i="7"/>
  <c r="R101" i="7"/>
  <c r="Q101" i="7"/>
  <c r="P101" i="7"/>
  <c r="O101" i="7"/>
  <c r="N101" i="7"/>
  <c r="M101" i="7"/>
  <c r="L101" i="7"/>
  <c r="K101" i="7"/>
  <c r="J101" i="7"/>
  <c r="I101" i="7"/>
  <c r="H101" i="7"/>
  <c r="G101" i="7"/>
  <c r="Y89" i="7"/>
  <c r="X89" i="7"/>
  <c r="W89" i="7"/>
  <c r="V89" i="7"/>
  <c r="U89" i="7"/>
  <c r="T89" i="7"/>
  <c r="S89" i="7"/>
  <c r="R89" i="7"/>
  <c r="Q89" i="7"/>
  <c r="P89" i="7"/>
  <c r="O89" i="7"/>
  <c r="N89" i="7"/>
  <c r="M89" i="7"/>
  <c r="L89" i="7"/>
  <c r="K89" i="7"/>
  <c r="J89" i="7"/>
  <c r="I89" i="7"/>
  <c r="H89" i="7"/>
  <c r="G89" i="7"/>
  <c r="Y77" i="7"/>
  <c r="X77" i="7"/>
  <c r="W77" i="7"/>
  <c r="V77" i="7"/>
  <c r="U77" i="7"/>
  <c r="T77" i="7"/>
  <c r="S77" i="7"/>
  <c r="R77" i="7"/>
  <c r="Q77" i="7"/>
  <c r="P77" i="7"/>
  <c r="O77" i="7"/>
  <c r="N77" i="7"/>
  <c r="M77" i="7"/>
  <c r="L77" i="7"/>
  <c r="K77" i="7"/>
  <c r="J77" i="7"/>
  <c r="I77" i="7"/>
  <c r="H77" i="7"/>
  <c r="G77" i="7"/>
  <c r="Y61" i="7"/>
  <c r="Z61" i="7" s="1"/>
  <c r="X61" i="7"/>
  <c r="W61" i="7"/>
  <c r="V61" i="7"/>
  <c r="U61" i="7"/>
  <c r="T61" i="7"/>
  <c r="S61" i="7"/>
  <c r="R61" i="7"/>
  <c r="Q61" i="7"/>
  <c r="P61" i="7"/>
  <c r="O61" i="7"/>
  <c r="N61" i="7"/>
  <c r="M61" i="7"/>
  <c r="L61" i="7"/>
  <c r="K61" i="7"/>
  <c r="J61" i="7"/>
  <c r="I61" i="7"/>
  <c r="H61" i="7"/>
  <c r="G61" i="7"/>
  <c r="G60" i="7"/>
  <c r="H60" i="7" s="1"/>
  <c r="I60" i="7" s="1"/>
  <c r="J60" i="7" s="1"/>
  <c r="K60" i="7" s="1"/>
  <c r="L60" i="7" s="1"/>
  <c r="M60" i="7" s="1"/>
  <c r="N60" i="7" s="1"/>
  <c r="O60" i="7" s="1"/>
  <c r="P60" i="7" s="1"/>
  <c r="Q60" i="7" s="1"/>
  <c r="R60" i="7" s="1"/>
  <c r="S60" i="7" s="1"/>
  <c r="T60" i="7" s="1"/>
  <c r="U60" i="7" s="1"/>
  <c r="V60" i="7" s="1"/>
  <c r="W60" i="7" s="1"/>
  <c r="X60" i="7" s="1"/>
  <c r="Y60" i="7" s="1"/>
  <c r="Z60" i="7" s="1"/>
  <c r="AA60" i="7" s="1"/>
  <c r="AB60" i="7" s="1"/>
  <c r="AC60" i="7" s="1"/>
  <c r="AD60" i="7" s="1"/>
  <c r="AE60" i="7" s="1"/>
  <c r="G52" i="7"/>
  <c r="H52" i="7" s="1"/>
  <c r="I52" i="7" s="1"/>
  <c r="J52" i="7" s="1"/>
  <c r="K52" i="7" s="1"/>
  <c r="L52" i="7" s="1"/>
  <c r="M52" i="7" s="1"/>
  <c r="N52" i="7" s="1"/>
  <c r="O52" i="7" s="1"/>
  <c r="P52" i="7" s="1"/>
  <c r="Q52" i="7" s="1"/>
  <c r="R52" i="7" s="1"/>
  <c r="S52" i="7" s="1"/>
  <c r="T52" i="7" s="1"/>
  <c r="U52" i="7" s="1"/>
  <c r="V52" i="7" s="1"/>
  <c r="W52" i="7" s="1"/>
  <c r="X52" i="7" s="1"/>
  <c r="Y52" i="7" s="1"/>
  <c r="Z52" i="7" s="1"/>
  <c r="AA52" i="7" s="1"/>
  <c r="AB52" i="7" s="1"/>
  <c r="AC52" i="7" s="1"/>
  <c r="AD52" i="7" s="1"/>
  <c r="AE52" i="7" s="1"/>
  <c r="H44" i="7"/>
  <c r="I44" i="7" s="1"/>
  <c r="J44" i="7" s="1"/>
  <c r="K44" i="7" s="1"/>
  <c r="L44" i="7" s="1"/>
  <c r="M44" i="7" s="1"/>
  <c r="N44" i="7" s="1"/>
  <c r="O44" i="7" s="1"/>
  <c r="P44" i="7" s="1"/>
  <c r="Q44" i="7" s="1"/>
  <c r="R44" i="7" s="1"/>
  <c r="S44" i="7" s="1"/>
  <c r="T44" i="7" s="1"/>
  <c r="U44" i="7" s="1"/>
  <c r="V44" i="7" s="1"/>
  <c r="W44" i="7" s="1"/>
  <c r="X44" i="7" s="1"/>
  <c r="Y44" i="7" s="1"/>
  <c r="Z44" i="7" s="1"/>
  <c r="AA44" i="7" s="1"/>
  <c r="AB44" i="7" s="1"/>
  <c r="AC44" i="7" s="1"/>
  <c r="AD44" i="7" s="1"/>
  <c r="AE44" i="7" s="1"/>
  <c r="G44" i="7"/>
  <c r="AM39" i="7"/>
  <c r="G35" i="7"/>
  <c r="H35" i="7" s="1"/>
  <c r="I35" i="7" s="1"/>
  <c r="J35" i="7" s="1"/>
  <c r="K35" i="7" s="1"/>
  <c r="L35" i="7" s="1"/>
  <c r="M35" i="7" s="1"/>
  <c r="N35" i="7" s="1"/>
  <c r="O35" i="7" s="1"/>
  <c r="P35" i="7" s="1"/>
  <c r="Q35" i="7" s="1"/>
  <c r="R35" i="7" s="1"/>
  <c r="S35" i="7" s="1"/>
  <c r="T35" i="7" s="1"/>
  <c r="U35" i="7" s="1"/>
  <c r="V35" i="7" s="1"/>
  <c r="W35" i="7" s="1"/>
  <c r="X35" i="7" s="1"/>
  <c r="Y35" i="7" s="1"/>
  <c r="Z35" i="7" s="1"/>
  <c r="AA35" i="7" s="1"/>
  <c r="AB35" i="7" s="1"/>
  <c r="AC35" i="7" s="1"/>
  <c r="AD35" i="7" s="1"/>
  <c r="AE35" i="7" s="1"/>
  <c r="F32" i="7"/>
  <c r="F41" i="7" s="1"/>
  <c r="A32" i="7"/>
  <c r="F31" i="7"/>
  <c r="F157" i="7" s="1"/>
  <c r="A31" i="7"/>
  <c r="A30" i="7"/>
  <c r="AM28" i="7"/>
  <c r="F24" i="7"/>
  <c r="A24" i="7"/>
  <c r="AM22" i="7"/>
  <c r="F18" i="7"/>
  <c r="F37" i="7" s="1"/>
  <c r="A18" i="7"/>
  <c r="AM16" i="7"/>
  <c r="F8" i="7"/>
  <c r="A8" i="7"/>
  <c r="G7" i="7"/>
  <c r="G1" i="7" s="1"/>
  <c r="F254" i="8"/>
  <c r="E254" i="8"/>
  <c r="E253" i="8"/>
  <c r="G252" i="8"/>
  <c r="H252" i="8" s="1"/>
  <c r="I252" i="8" s="1"/>
  <c r="J252" i="8" s="1"/>
  <c r="K252" i="8" s="1"/>
  <c r="L252" i="8" s="1"/>
  <c r="M252" i="8" s="1"/>
  <c r="N252" i="8" s="1"/>
  <c r="O252" i="8" s="1"/>
  <c r="P252" i="8" s="1"/>
  <c r="Q252" i="8" s="1"/>
  <c r="R252" i="8" s="1"/>
  <c r="S252" i="8" s="1"/>
  <c r="T252" i="8" s="1"/>
  <c r="U252" i="8" s="1"/>
  <c r="V252" i="8" s="1"/>
  <c r="W252" i="8" s="1"/>
  <c r="X252" i="8" s="1"/>
  <c r="Y252" i="8" s="1"/>
  <c r="Z252" i="8" s="1"/>
  <c r="AA252" i="8" s="1"/>
  <c r="AB252" i="8" s="1"/>
  <c r="AC252" i="8" s="1"/>
  <c r="AD252" i="8" s="1"/>
  <c r="AE252" i="8" s="1"/>
  <c r="F249" i="8"/>
  <c r="E249" i="8"/>
  <c r="F248" i="8"/>
  <c r="E248" i="8"/>
  <c r="G247" i="8"/>
  <c r="H247" i="8" s="1"/>
  <c r="I247" i="8" s="1"/>
  <c r="J247" i="8" s="1"/>
  <c r="K247" i="8" s="1"/>
  <c r="L247" i="8" s="1"/>
  <c r="M247" i="8" s="1"/>
  <c r="N247" i="8" s="1"/>
  <c r="O247" i="8" s="1"/>
  <c r="P247" i="8" s="1"/>
  <c r="Q247" i="8" s="1"/>
  <c r="R247" i="8" s="1"/>
  <c r="S247" i="8" s="1"/>
  <c r="T247" i="8" s="1"/>
  <c r="U247" i="8" s="1"/>
  <c r="V247" i="8" s="1"/>
  <c r="W247" i="8" s="1"/>
  <c r="X247" i="8" s="1"/>
  <c r="Y247" i="8" s="1"/>
  <c r="Z247" i="8" s="1"/>
  <c r="AA247" i="8" s="1"/>
  <c r="AB247" i="8" s="1"/>
  <c r="AC247" i="8" s="1"/>
  <c r="AD247" i="8" s="1"/>
  <c r="AE247" i="8" s="1"/>
  <c r="F243" i="8"/>
  <c r="G242" i="8"/>
  <c r="H242" i="8" s="1"/>
  <c r="I242" i="8" s="1"/>
  <c r="J242" i="8" s="1"/>
  <c r="K242" i="8" s="1"/>
  <c r="L242" i="8" s="1"/>
  <c r="M242" i="8" s="1"/>
  <c r="N242" i="8" s="1"/>
  <c r="O242" i="8" s="1"/>
  <c r="P242" i="8" s="1"/>
  <c r="Q242" i="8" s="1"/>
  <c r="R242" i="8" s="1"/>
  <c r="S242" i="8" s="1"/>
  <c r="T242" i="8" s="1"/>
  <c r="U242" i="8" s="1"/>
  <c r="V242" i="8" s="1"/>
  <c r="W242" i="8" s="1"/>
  <c r="X242" i="8" s="1"/>
  <c r="Y242" i="8" s="1"/>
  <c r="Z242" i="8" s="1"/>
  <c r="AA242" i="8" s="1"/>
  <c r="AB242" i="8" s="1"/>
  <c r="AC242" i="8" s="1"/>
  <c r="AD242" i="8" s="1"/>
  <c r="AE242" i="8" s="1"/>
  <c r="G236" i="8"/>
  <c r="H236" i="8" s="1"/>
  <c r="I236" i="8" s="1"/>
  <c r="J236" i="8" s="1"/>
  <c r="K236" i="8" s="1"/>
  <c r="L236" i="8" s="1"/>
  <c r="M236" i="8" s="1"/>
  <c r="N236" i="8" s="1"/>
  <c r="O236" i="8" s="1"/>
  <c r="P236" i="8" s="1"/>
  <c r="Q236" i="8" s="1"/>
  <c r="R236" i="8" s="1"/>
  <c r="S236" i="8" s="1"/>
  <c r="T236" i="8" s="1"/>
  <c r="U236" i="8" s="1"/>
  <c r="V236" i="8" s="1"/>
  <c r="W236" i="8" s="1"/>
  <c r="X236" i="8" s="1"/>
  <c r="Y236" i="8" s="1"/>
  <c r="Z236" i="8" s="1"/>
  <c r="AA236" i="8" s="1"/>
  <c r="AB236" i="8" s="1"/>
  <c r="AC236" i="8" s="1"/>
  <c r="AD236" i="8" s="1"/>
  <c r="AE236" i="8" s="1"/>
  <c r="G228" i="8"/>
  <c r="H228" i="8" s="1"/>
  <c r="I228" i="8" s="1"/>
  <c r="J228" i="8" s="1"/>
  <c r="K228" i="8" s="1"/>
  <c r="L228" i="8" s="1"/>
  <c r="M228" i="8" s="1"/>
  <c r="N228" i="8" s="1"/>
  <c r="O228" i="8" s="1"/>
  <c r="P228" i="8" s="1"/>
  <c r="Q228" i="8" s="1"/>
  <c r="R228" i="8" s="1"/>
  <c r="S228" i="8" s="1"/>
  <c r="T228" i="8" s="1"/>
  <c r="U228" i="8" s="1"/>
  <c r="V228" i="8" s="1"/>
  <c r="W228" i="8" s="1"/>
  <c r="X228" i="8" s="1"/>
  <c r="Y228" i="8" s="1"/>
  <c r="Z228" i="8" s="1"/>
  <c r="AA228" i="8" s="1"/>
  <c r="AB228" i="8" s="1"/>
  <c r="AC228" i="8" s="1"/>
  <c r="AD228" i="8" s="1"/>
  <c r="AE228" i="8" s="1"/>
  <c r="G220" i="8"/>
  <c r="H220" i="8" s="1"/>
  <c r="I220" i="8" s="1"/>
  <c r="J220" i="8" s="1"/>
  <c r="K220" i="8" s="1"/>
  <c r="L220" i="8" s="1"/>
  <c r="M220" i="8" s="1"/>
  <c r="N220" i="8" s="1"/>
  <c r="O220" i="8" s="1"/>
  <c r="P220" i="8" s="1"/>
  <c r="Q220" i="8" s="1"/>
  <c r="R220" i="8" s="1"/>
  <c r="S220" i="8" s="1"/>
  <c r="T220" i="8" s="1"/>
  <c r="U220" i="8" s="1"/>
  <c r="V220" i="8" s="1"/>
  <c r="W220" i="8" s="1"/>
  <c r="X220" i="8" s="1"/>
  <c r="Y220" i="8" s="1"/>
  <c r="Z220" i="8" s="1"/>
  <c r="AA220" i="8" s="1"/>
  <c r="AB220" i="8" s="1"/>
  <c r="AC220" i="8" s="1"/>
  <c r="AD220" i="8" s="1"/>
  <c r="AE220" i="8" s="1"/>
  <c r="F217" i="8"/>
  <c r="A217" i="8"/>
  <c r="A216" i="8"/>
  <c r="A214" i="8"/>
  <c r="F211" i="8"/>
  <c r="A211" i="8"/>
  <c r="F210" i="8"/>
  <c r="A210" i="8"/>
  <c r="F209" i="8"/>
  <c r="A209" i="8"/>
  <c r="H208" i="8"/>
  <c r="I208" i="8" s="1"/>
  <c r="J208" i="8" s="1"/>
  <c r="K208" i="8" s="1"/>
  <c r="L208" i="8" s="1"/>
  <c r="M208" i="8" s="1"/>
  <c r="N208" i="8" s="1"/>
  <c r="O208" i="8" s="1"/>
  <c r="P208" i="8" s="1"/>
  <c r="Q208" i="8" s="1"/>
  <c r="R208" i="8" s="1"/>
  <c r="S208" i="8" s="1"/>
  <c r="T208" i="8" s="1"/>
  <c r="U208" i="8" s="1"/>
  <c r="V208" i="8" s="1"/>
  <c r="W208" i="8" s="1"/>
  <c r="X208" i="8" s="1"/>
  <c r="Y208" i="8" s="1"/>
  <c r="Z208" i="8" s="1"/>
  <c r="AA208" i="8" s="1"/>
  <c r="AB208" i="8" s="1"/>
  <c r="AC208" i="8" s="1"/>
  <c r="AD208" i="8" s="1"/>
  <c r="AE208" i="8" s="1"/>
  <c r="G208" i="8"/>
  <c r="H201" i="8"/>
  <c r="I201" i="8" s="1"/>
  <c r="J201" i="8" s="1"/>
  <c r="K201" i="8" s="1"/>
  <c r="L201" i="8" s="1"/>
  <c r="M201" i="8" s="1"/>
  <c r="N201" i="8" s="1"/>
  <c r="O201" i="8" s="1"/>
  <c r="P201" i="8" s="1"/>
  <c r="Q201" i="8" s="1"/>
  <c r="R201" i="8" s="1"/>
  <c r="S201" i="8" s="1"/>
  <c r="T201" i="8" s="1"/>
  <c r="U201" i="8" s="1"/>
  <c r="V201" i="8" s="1"/>
  <c r="W201" i="8" s="1"/>
  <c r="X201" i="8" s="1"/>
  <c r="Y201" i="8" s="1"/>
  <c r="Z201" i="8" s="1"/>
  <c r="AA201" i="8" s="1"/>
  <c r="AB201" i="8" s="1"/>
  <c r="AC201" i="8" s="1"/>
  <c r="AD201" i="8" s="1"/>
  <c r="AE201" i="8" s="1"/>
  <c r="G201" i="8"/>
  <c r="H194" i="8"/>
  <c r="I194" i="8" s="1"/>
  <c r="J194" i="8" s="1"/>
  <c r="K194" i="8" s="1"/>
  <c r="L194" i="8" s="1"/>
  <c r="M194" i="8" s="1"/>
  <c r="N194" i="8" s="1"/>
  <c r="O194" i="8" s="1"/>
  <c r="P194" i="8" s="1"/>
  <c r="Q194" i="8" s="1"/>
  <c r="R194" i="8" s="1"/>
  <c r="S194" i="8" s="1"/>
  <c r="T194" i="8" s="1"/>
  <c r="U194" i="8" s="1"/>
  <c r="V194" i="8" s="1"/>
  <c r="W194" i="8" s="1"/>
  <c r="X194" i="8" s="1"/>
  <c r="Y194" i="8" s="1"/>
  <c r="Z194" i="8" s="1"/>
  <c r="AA194" i="8" s="1"/>
  <c r="AB194" i="8" s="1"/>
  <c r="AC194" i="8" s="1"/>
  <c r="AD194" i="8" s="1"/>
  <c r="AE194" i="8" s="1"/>
  <c r="G194" i="8"/>
  <c r="H187" i="8"/>
  <c r="I187" i="8" s="1"/>
  <c r="J187" i="8" s="1"/>
  <c r="K187" i="8" s="1"/>
  <c r="L187" i="8" s="1"/>
  <c r="M187" i="8" s="1"/>
  <c r="N187" i="8" s="1"/>
  <c r="O187" i="8" s="1"/>
  <c r="P187" i="8" s="1"/>
  <c r="Q187" i="8" s="1"/>
  <c r="R187" i="8" s="1"/>
  <c r="S187" i="8" s="1"/>
  <c r="T187" i="8" s="1"/>
  <c r="U187" i="8" s="1"/>
  <c r="V187" i="8" s="1"/>
  <c r="W187" i="8" s="1"/>
  <c r="X187" i="8" s="1"/>
  <c r="Y187" i="8" s="1"/>
  <c r="Z187" i="8" s="1"/>
  <c r="AA187" i="8" s="1"/>
  <c r="AB187" i="8" s="1"/>
  <c r="AC187" i="8" s="1"/>
  <c r="AD187" i="8" s="1"/>
  <c r="AE187" i="8" s="1"/>
  <c r="G187" i="8"/>
  <c r="H177" i="8"/>
  <c r="I177" i="8" s="1"/>
  <c r="J177" i="8" s="1"/>
  <c r="K177" i="8" s="1"/>
  <c r="L177" i="8" s="1"/>
  <c r="M177" i="8" s="1"/>
  <c r="N177" i="8" s="1"/>
  <c r="O177" i="8" s="1"/>
  <c r="P177" i="8" s="1"/>
  <c r="Q177" i="8" s="1"/>
  <c r="R177" i="8" s="1"/>
  <c r="S177" i="8" s="1"/>
  <c r="T177" i="8" s="1"/>
  <c r="U177" i="8" s="1"/>
  <c r="V177" i="8" s="1"/>
  <c r="W177" i="8" s="1"/>
  <c r="X177" i="8" s="1"/>
  <c r="Y177" i="8" s="1"/>
  <c r="Z177" i="8" s="1"/>
  <c r="AA177" i="8" s="1"/>
  <c r="AB177" i="8" s="1"/>
  <c r="AC177" i="8" s="1"/>
  <c r="AD177" i="8" s="1"/>
  <c r="AE177" i="8" s="1"/>
  <c r="G177" i="8"/>
  <c r="G170" i="8"/>
  <c r="H170" i="8" s="1"/>
  <c r="I170" i="8" s="1"/>
  <c r="J170" i="8" s="1"/>
  <c r="K170" i="8" s="1"/>
  <c r="L170" i="8" s="1"/>
  <c r="M170" i="8" s="1"/>
  <c r="N170" i="8" s="1"/>
  <c r="O170" i="8" s="1"/>
  <c r="P170" i="8" s="1"/>
  <c r="Q170" i="8" s="1"/>
  <c r="R170" i="8" s="1"/>
  <c r="S170" i="8" s="1"/>
  <c r="T170" i="8" s="1"/>
  <c r="U170" i="8" s="1"/>
  <c r="V170" i="8" s="1"/>
  <c r="W170" i="8" s="1"/>
  <c r="X170" i="8" s="1"/>
  <c r="Y170" i="8" s="1"/>
  <c r="Z170" i="8" s="1"/>
  <c r="AA170" i="8" s="1"/>
  <c r="AB170" i="8" s="1"/>
  <c r="AC170" i="8" s="1"/>
  <c r="AD170" i="8" s="1"/>
  <c r="AE170" i="8" s="1"/>
  <c r="G163" i="8"/>
  <c r="H163" i="8" s="1"/>
  <c r="I163" i="8" s="1"/>
  <c r="J163" i="8" s="1"/>
  <c r="K163" i="8" s="1"/>
  <c r="L163" i="8" s="1"/>
  <c r="M163" i="8" s="1"/>
  <c r="N163" i="8" s="1"/>
  <c r="O163" i="8" s="1"/>
  <c r="P163" i="8" s="1"/>
  <c r="Q163" i="8" s="1"/>
  <c r="R163" i="8" s="1"/>
  <c r="S163" i="8" s="1"/>
  <c r="T163" i="8" s="1"/>
  <c r="U163" i="8" s="1"/>
  <c r="V163" i="8" s="1"/>
  <c r="W163" i="8" s="1"/>
  <c r="X163" i="8" s="1"/>
  <c r="Y163" i="8" s="1"/>
  <c r="Z163" i="8" s="1"/>
  <c r="AA163" i="8" s="1"/>
  <c r="AB163" i="8" s="1"/>
  <c r="AC163" i="8" s="1"/>
  <c r="AD163" i="8" s="1"/>
  <c r="AE163" i="8" s="1"/>
  <c r="G156" i="8"/>
  <c r="H156" i="8" s="1"/>
  <c r="I156" i="8" s="1"/>
  <c r="J156" i="8" s="1"/>
  <c r="K156" i="8" s="1"/>
  <c r="L156" i="8" s="1"/>
  <c r="M156" i="8" s="1"/>
  <c r="N156" i="8" s="1"/>
  <c r="O156" i="8" s="1"/>
  <c r="P156" i="8" s="1"/>
  <c r="Q156" i="8" s="1"/>
  <c r="R156" i="8" s="1"/>
  <c r="S156" i="8" s="1"/>
  <c r="T156" i="8" s="1"/>
  <c r="U156" i="8" s="1"/>
  <c r="V156" i="8" s="1"/>
  <c r="W156" i="8" s="1"/>
  <c r="X156" i="8" s="1"/>
  <c r="Y156" i="8" s="1"/>
  <c r="Z156" i="8" s="1"/>
  <c r="AA156" i="8" s="1"/>
  <c r="AB156" i="8" s="1"/>
  <c r="AC156" i="8" s="1"/>
  <c r="AD156" i="8" s="1"/>
  <c r="AE156" i="8" s="1"/>
  <c r="G149" i="8"/>
  <c r="H149" i="8" s="1"/>
  <c r="I149" i="8" s="1"/>
  <c r="J149" i="8" s="1"/>
  <c r="K149" i="8" s="1"/>
  <c r="L149" i="8" s="1"/>
  <c r="M149" i="8" s="1"/>
  <c r="N149" i="8" s="1"/>
  <c r="O149" i="8" s="1"/>
  <c r="P149" i="8" s="1"/>
  <c r="Q149" i="8" s="1"/>
  <c r="R149" i="8" s="1"/>
  <c r="S149" i="8" s="1"/>
  <c r="T149" i="8" s="1"/>
  <c r="U149" i="8" s="1"/>
  <c r="V149" i="8" s="1"/>
  <c r="W149" i="8" s="1"/>
  <c r="X149" i="8" s="1"/>
  <c r="Y149" i="8" s="1"/>
  <c r="Z149" i="8" s="1"/>
  <c r="AA149" i="8" s="1"/>
  <c r="AB149" i="8" s="1"/>
  <c r="AC149" i="8" s="1"/>
  <c r="AD149" i="8" s="1"/>
  <c r="AE149" i="8" s="1"/>
  <c r="G142" i="8"/>
  <c r="H142" i="8" s="1"/>
  <c r="I142" i="8" s="1"/>
  <c r="J142" i="8" s="1"/>
  <c r="K142" i="8" s="1"/>
  <c r="L142" i="8" s="1"/>
  <c r="M142" i="8" s="1"/>
  <c r="N142" i="8" s="1"/>
  <c r="O142" i="8" s="1"/>
  <c r="P142" i="8" s="1"/>
  <c r="Q142" i="8" s="1"/>
  <c r="R142" i="8" s="1"/>
  <c r="S142" i="8" s="1"/>
  <c r="T142" i="8" s="1"/>
  <c r="U142" i="8" s="1"/>
  <c r="V142" i="8" s="1"/>
  <c r="W142" i="8" s="1"/>
  <c r="X142" i="8" s="1"/>
  <c r="Y142" i="8" s="1"/>
  <c r="Z142" i="8" s="1"/>
  <c r="AA142" i="8" s="1"/>
  <c r="AB142" i="8" s="1"/>
  <c r="AC142" i="8" s="1"/>
  <c r="AD142" i="8" s="1"/>
  <c r="AE142" i="8" s="1"/>
  <c r="A137" i="8"/>
  <c r="A135" i="8"/>
  <c r="G132" i="8"/>
  <c r="H132" i="8" s="1"/>
  <c r="I132" i="8" s="1"/>
  <c r="J132" i="8" s="1"/>
  <c r="K132" i="8" s="1"/>
  <c r="L132" i="8" s="1"/>
  <c r="M132" i="8" s="1"/>
  <c r="N132" i="8" s="1"/>
  <c r="O132" i="8" s="1"/>
  <c r="P132" i="8" s="1"/>
  <c r="Q132" i="8" s="1"/>
  <c r="R132" i="8" s="1"/>
  <c r="S132" i="8" s="1"/>
  <c r="T132" i="8" s="1"/>
  <c r="U132" i="8" s="1"/>
  <c r="V132" i="8" s="1"/>
  <c r="W132" i="8" s="1"/>
  <c r="X132" i="8" s="1"/>
  <c r="Y132" i="8" s="1"/>
  <c r="Z132" i="8" s="1"/>
  <c r="AA132" i="8" s="1"/>
  <c r="AB132" i="8" s="1"/>
  <c r="AC132" i="8" s="1"/>
  <c r="AD132" i="8" s="1"/>
  <c r="AE132" i="8" s="1"/>
  <c r="I128" i="8"/>
  <c r="I129" i="8" s="1"/>
  <c r="G117" i="8"/>
  <c r="G110" i="8"/>
  <c r="H110" i="8" s="1"/>
  <c r="I110" i="8" s="1"/>
  <c r="J110" i="8" s="1"/>
  <c r="K110" i="8" s="1"/>
  <c r="L110" i="8" s="1"/>
  <c r="M110" i="8" s="1"/>
  <c r="N110" i="8" s="1"/>
  <c r="O110" i="8" s="1"/>
  <c r="P110" i="8" s="1"/>
  <c r="Q110" i="8" s="1"/>
  <c r="R110" i="8" s="1"/>
  <c r="S110" i="8" s="1"/>
  <c r="T110" i="8" s="1"/>
  <c r="U110" i="8" s="1"/>
  <c r="V110" i="8" s="1"/>
  <c r="W110" i="8" s="1"/>
  <c r="X110" i="8" s="1"/>
  <c r="Y110" i="8" s="1"/>
  <c r="Z110" i="8" s="1"/>
  <c r="AA110" i="8" s="1"/>
  <c r="AB110" i="8" s="1"/>
  <c r="AC110" i="8" s="1"/>
  <c r="AD110" i="8" s="1"/>
  <c r="AE110" i="8" s="1"/>
  <c r="AD109" i="8"/>
  <c r="AD118" i="8" s="1"/>
  <c r="AD121" i="8" s="1"/>
  <c r="E105" i="8"/>
  <c r="E104" i="8"/>
  <c r="H103" i="8"/>
  <c r="I103" i="8" s="1"/>
  <c r="J103" i="8" s="1"/>
  <c r="K103" i="8" s="1"/>
  <c r="L103" i="8" s="1"/>
  <c r="M103" i="8" s="1"/>
  <c r="N103" i="8" s="1"/>
  <c r="O103" i="8" s="1"/>
  <c r="P103" i="8" s="1"/>
  <c r="Q103" i="8" s="1"/>
  <c r="R103" i="8" s="1"/>
  <c r="S103" i="8" s="1"/>
  <c r="T103" i="8" s="1"/>
  <c r="U103" i="8" s="1"/>
  <c r="V103" i="8" s="1"/>
  <c r="W103" i="8" s="1"/>
  <c r="X103" i="8" s="1"/>
  <c r="Y103" i="8" s="1"/>
  <c r="Z103" i="8" s="1"/>
  <c r="AA103" i="8" s="1"/>
  <c r="AB103" i="8" s="1"/>
  <c r="AC103" i="8" s="1"/>
  <c r="AD103" i="8" s="1"/>
  <c r="AE103" i="8" s="1"/>
  <c r="G103" i="8"/>
  <c r="R100" i="8"/>
  <c r="R105" i="8" s="1"/>
  <c r="Q100" i="8"/>
  <c r="P100" i="8"/>
  <c r="P105" i="8" s="1"/>
  <c r="O100" i="8"/>
  <c r="N100" i="8"/>
  <c r="N105" i="8" s="1"/>
  <c r="M100" i="8"/>
  <c r="L100" i="8"/>
  <c r="L105" i="8" s="1"/>
  <c r="K100" i="8"/>
  <c r="J100" i="8"/>
  <c r="J105" i="8" s="1"/>
  <c r="I100" i="8"/>
  <c r="H100" i="8"/>
  <c r="H105" i="8" s="1"/>
  <c r="G100" i="8"/>
  <c r="F100" i="8"/>
  <c r="F105" i="8" s="1"/>
  <c r="A100" i="8"/>
  <c r="R98" i="8"/>
  <c r="R104" i="8" s="1"/>
  <c r="Q98" i="8"/>
  <c r="P98" i="8"/>
  <c r="P104" i="8" s="1"/>
  <c r="O98" i="8"/>
  <c r="N98" i="8"/>
  <c r="N104" i="8" s="1"/>
  <c r="M98" i="8"/>
  <c r="L98" i="8"/>
  <c r="L104" i="8" s="1"/>
  <c r="K98" i="8"/>
  <c r="J98" i="8"/>
  <c r="J104" i="8" s="1"/>
  <c r="I98" i="8"/>
  <c r="H98" i="8"/>
  <c r="H104" i="8" s="1"/>
  <c r="G98" i="8"/>
  <c r="F98" i="8"/>
  <c r="F104" i="8" s="1"/>
  <c r="A98" i="8"/>
  <c r="H97" i="8"/>
  <c r="I97" i="8" s="1"/>
  <c r="J97" i="8" s="1"/>
  <c r="K97" i="8" s="1"/>
  <c r="L97" i="8" s="1"/>
  <c r="M97" i="8" s="1"/>
  <c r="N97" i="8" s="1"/>
  <c r="O97" i="8" s="1"/>
  <c r="P97" i="8" s="1"/>
  <c r="Q97" i="8" s="1"/>
  <c r="R97" i="8" s="1"/>
  <c r="S97" i="8" s="1"/>
  <c r="T97" i="8" s="1"/>
  <c r="U97" i="8" s="1"/>
  <c r="V97" i="8" s="1"/>
  <c r="W97" i="8" s="1"/>
  <c r="X97" i="8" s="1"/>
  <c r="Y97" i="8" s="1"/>
  <c r="Z97" i="8" s="1"/>
  <c r="AA97" i="8" s="1"/>
  <c r="AB97" i="8" s="1"/>
  <c r="AC97" i="8" s="1"/>
  <c r="AD97" i="8" s="1"/>
  <c r="AE97" i="8" s="1"/>
  <c r="G97" i="8"/>
  <c r="E92" i="8"/>
  <c r="H91" i="8"/>
  <c r="I91" i="8" s="1"/>
  <c r="J91" i="8" s="1"/>
  <c r="K91" i="8" s="1"/>
  <c r="L91" i="8" s="1"/>
  <c r="M91" i="8" s="1"/>
  <c r="N91" i="8" s="1"/>
  <c r="O91" i="8" s="1"/>
  <c r="P91" i="8" s="1"/>
  <c r="Q91" i="8" s="1"/>
  <c r="R91" i="8" s="1"/>
  <c r="S91" i="8" s="1"/>
  <c r="T91" i="8" s="1"/>
  <c r="U91" i="8" s="1"/>
  <c r="V91" i="8" s="1"/>
  <c r="W91" i="8" s="1"/>
  <c r="X91" i="8" s="1"/>
  <c r="Y91" i="8" s="1"/>
  <c r="Z91" i="8" s="1"/>
  <c r="AA91" i="8" s="1"/>
  <c r="AB91" i="8" s="1"/>
  <c r="AC91" i="8" s="1"/>
  <c r="AD91" i="8" s="1"/>
  <c r="AE91" i="8" s="1"/>
  <c r="G91" i="8"/>
  <c r="F89" i="8"/>
  <c r="F92" i="8" s="1"/>
  <c r="A89" i="8"/>
  <c r="H88" i="8"/>
  <c r="I88" i="8" s="1"/>
  <c r="J88" i="8" s="1"/>
  <c r="K88" i="8" s="1"/>
  <c r="L88" i="8" s="1"/>
  <c r="M88" i="8" s="1"/>
  <c r="N88" i="8" s="1"/>
  <c r="O88" i="8" s="1"/>
  <c r="P88" i="8" s="1"/>
  <c r="Q88" i="8" s="1"/>
  <c r="R88" i="8" s="1"/>
  <c r="S88" i="8" s="1"/>
  <c r="T88" i="8" s="1"/>
  <c r="U88" i="8" s="1"/>
  <c r="V88" i="8" s="1"/>
  <c r="W88" i="8" s="1"/>
  <c r="X88" i="8" s="1"/>
  <c r="Y88" i="8" s="1"/>
  <c r="Z88" i="8" s="1"/>
  <c r="AA88" i="8" s="1"/>
  <c r="AB88" i="8" s="1"/>
  <c r="AC88" i="8" s="1"/>
  <c r="AD88" i="8" s="1"/>
  <c r="AE88" i="8" s="1"/>
  <c r="G88" i="8"/>
  <c r="H80" i="8"/>
  <c r="I80" i="8" s="1"/>
  <c r="J80" i="8" s="1"/>
  <c r="K80" i="8" s="1"/>
  <c r="L80" i="8" s="1"/>
  <c r="M80" i="8" s="1"/>
  <c r="N80" i="8" s="1"/>
  <c r="O80" i="8" s="1"/>
  <c r="P80" i="8" s="1"/>
  <c r="Q80" i="8" s="1"/>
  <c r="R80" i="8" s="1"/>
  <c r="S80" i="8" s="1"/>
  <c r="T80" i="8" s="1"/>
  <c r="U80" i="8" s="1"/>
  <c r="V80" i="8" s="1"/>
  <c r="W80" i="8" s="1"/>
  <c r="X80" i="8" s="1"/>
  <c r="Y80" i="8" s="1"/>
  <c r="Z80" i="8" s="1"/>
  <c r="AA80" i="8" s="1"/>
  <c r="AB80" i="8" s="1"/>
  <c r="AC80" i="8" s="1"/>
  <c r="AD80" i="8" s="1"/>
  <c r="AE80" i="8" s="1"/>
  <c r="G80" i="8"/>
  <c r="E77" i="8"/>
  <c r="G75" i="8"/>
  <c r="H75" i="8" s="1"/>
  <c r="I75" i="8" s="1"/>
  <c r="J75" i="8" s="1"/>
  <c r="K75" i="8" s="1"/>
  <c r="L75" i="8" s="1"/>
  <c r="M75" i="8" s="1"/>
  <c r="N75" i="8" s="1"/>
  <c r="O75" i="8" s="1"/>
  <c r="P75" i="8" s="1"/>
  <c r="Q75" i="8" s="1"/>
  <c r="R75" i="8" s="1"/>
  <c r="S75" i="8" s="1"/>
  <c r="T75" i="8" s="1"/>
  <c r="U75" i="8" s="1"/>
  <c r="V75" i="8" s="1"/>
  <c r="W75" i="8" s="1"/>
  <c r="X75" i="8" s="1"/>
  <c r="Y75" i="8" s="1"/>
  <c r="Z75" i="8" s="1"/>
  <c r="AA75" i="8" s="1"/>
  <c r="AB75" i="8" s="1"/>
  <c r="AC75" i="8" s="1"/>
  <c r="AD75" i="8" s="1"/>
  <c r="AE75" i="8" s="1"/>
  <c r="G67" i="8"/>
  <c r="H67" i="8" s="1"/>
  <c r="I67" i="8" s="1"/>
  <c r="J67" i="8" s="1"/>
  <c r="K67" i="8" s="1"/>
  <c r="L67" i="8" s="1"/>
  <c r="M67" i="8" s="1"/>
  <c r="N67" i="8" s="1"/>
  <c r="O67" i="8" s="1"/>
  <c r="P67" i="8" s="1"/>
  <c r="Q67" i="8" s="1"/>
  <c r="R67" i="8" s="1"/>
  <c r="S67" i="8" s="1"/>
  <c r="T67" i="8" s="1"/>
  <c r="U67" i="8" s="1"/>
  <c r="V67" i="8" s="1"/>
  <c r="W67" i="8" s="1"/>
  <c r="X67" i="8" s="1"/>
  <c r="Y67" i="8" s="1"/>
  <c r="Z67" i="8" s="1"/>
  <c r="AA67" i="8" s="1"/>
  <c r="AB67" i="8" s="1"/>
  <c r="AC67" i="8" s="1"/>
  <c r="AD67" i="8" s="1"/>
  <c r="AE67" i="8" s="1"/>
  <c r="G56" i="8"/>
  <c r="H56" i="8" s="1"/>
  <c r="I56" i="8" s="1"/>
  <c r="J56" i="8" s="1"/>
  <c r="K56" i="8" s="1"/>
  <c r="L56" i="8" s="1"/>
  <c r="M56" i="8" s="1"/>
  <c r="N56" i="8" s="1"/>
  <c r="O56" i="8" s="1"/>
  <c r="P56" i="8" s="1"/>
  <c r="Q56" i="8" s="1"/>
  <c r="R56" i="8" s="1"/>
  <c r="S56" i="8" s="1"/>
  <c r="T56" i="8" s="1"/>
  <c r="U56" i="8" s="1"/>
  <c r="V56" i="8" s="1"/>
  <c r="W56" i="8" s="1"/>
  <c r="X56" i="8" s="1"/>
  <c r="Y56" i="8" s="1"/>
  <c r="Z56" i="8" s="1"/>
  <c r="AA56" i="8" s="1"/>
  <c r="AB56" i="8" s="1"/>
  <c r="AC56" i="8" s="1"/>
  <c r="AD56" i="8" s="1"/>
  <c r="AE56" i="8" s="1"/>
  <c r="E56" i="8"/>
  <c r="AL51" i="8"/>
  <c r="AK51" i="8"/>
  <c r="AJ51" i="8"/>
  <c r="AI51" i="8"/>
  <c r="AH51" i="8"/>
  <c r="AG51" i="8"/>
  <c r="AJ50" i="8"/>
  <c r="AG50" i="8"/>
  <c r="AL49" i="8"/>
  <c r="AK49" i="8"/>
  <c r="AJ49" i="8"/>
  <c r="AI49" i="8"/>
  <c r="AH49" i="8"/>
  <c r="AG49" i="8"/>
  <c r="AL47" i="8"/>
  <c r="AK47" i="8"/>
  <c r="AJ47" i="8"/>
  <c r="AI47" i="8"/>
  <c r="AH47" i="8"/>
  <c r="AG47" i="8"/>
  <c r="AL46" i="8"/>
  <c r="AK46" i="8"/>
  <c r="AJ46" i="8"/>
  <c r="AI46" i="8"/>
  <c r="AH46" i="8"/>
  <c r="AG46" i="8"/>
  <c r="H45" i="8"/>
  <c r="I45" i="8" s="1"/>
  <c r="J45" i="8" s="1"/>
  <c r="K45" i="8" s="1"/>
  <c r="L45" i="8" s="1"/>
  <c r="M45" i="8" s="1"/>
  <c r="N45" i="8" s="1"/>
  <c r="O45" i="8" s="1"/>
  <c r="P45" i="8" s="1"/>
  <c r="Q45" i="8" s="1"/>
  <c r="R45" i="8" s="1"/>
  <c r="S45" i="8" s="1"/>
  <c r="T45" i="8" s="1"/>
  <c r="U45" i="8" s="1"/>
  <c r="V45" i="8" s="1"/>
  <c r="W45" i="8" s="1"/>
  <c r="X45" i="8" s="1"/>
  <c r="Y45" i="8" s="1"/>
  <c r="Z45" i="8" s="1"/>
  <c r="AA45" i="8" s="1"/>
  <c r="AB45" i="8" s="1"/>
  <c r="AC45" i="8" s="1"/>
  <c r="AD45" i="8" s="1"/>
  <c r="AE45" i="8" s="1"/>
  <c r="G45" i="8"/>
  <c r="F39" i="8"/>
  <c r="A39" i="8"/>
  <c r="A36" i="8"/>
  <c r="F34" i="8"/>
  <c r="A34" i="8"/>
  <c r="F32" i="8"/>
  <c r="A32" i="8"/>
  <c r="F30" i="8"/>
  <c r="A30" i="8"/>
  <c r="A29" i="8"/>
  <c r="H27" i="8"/>
  <c r="I27" i="8" s="1"/>
  <c r="J27" i="8" s="1"/>
  <c r="K27" i="8" s="1"/>
  <c r="L27" i="8" s="1"/>
  <c r="M27" i="8" s="1"/>
  <c r="N27" i="8" s="1"/>
  <c r="O27" i="8" s="1"/>
  <c r="P27" i="8" s="1"/>
  <c r="Q27" i="8" s="1"/>
  <c r="R27" i="8" s="1"/>
  <c r="S27" i="8" s="1"/>
  <c r="T27" i="8" s="1"/>
  <c r="U27" i="8" s="1"/>
  <c r="V27" i="8" s="1"/>
  <c r="W27" i="8" s="1"/>
  <c r="X27" i="8" s="1"/>
  <c r="Y27" i="8" s="1"/>
  <c r="Z27" i="8" s="1"/>
  <c r="AA27" i="8" s="1"/>
  <c r="AB27" i="8" s="1"/>
  <c r="AC27" i="8" s="1"/>
  <c r="AD27" i="8" s="1"/>
  <c r="AE27" i="8" s="1"/>
  <c r="G27" i="8"/>
  <c r="F22" i="8"/>
  <c r="H19" i="8"/>
  <c r="I19" i="8" s="1"/>
  <c r="J19" i="8" s="1"/>
  <c r="K19" i="8" s="1"/>
  <c r="L19" i="8" s="1"/>
  <c r="M19" i="8" s="1"/>
  <c r="N19" i="8" s="1"/>
  <c r="O19" i="8" s="1"/>
  <c r="P19" i="8" s="1"/>
  <c r="Q19" i="8" s="1"/>
  <c r="R19" i="8" s="1"/>
  <c r="S19" i="8" s="1"/>
  <c r="T19" i="8" s="1"/>
  <c r="U19" i="8" s="1"/>
  <c r="V19" i="8" s="1"/>
  <c r="W19" i="8" s="1"/>
  <c r="X19" i="8" s="1"/>
  <c r="Y19" i="8" s="1"/>
  <c r="Z19" i="8" s="1"/>
  <c r="AA19" i="8" s="1"/>
  <c r="AB19" i="8" s="1"/>
  <c r="AC19" i="8" s="1"/>
  <c r="AD19" i="8" s="1"/>
  <c r="AE19" i="8" s="1"/>
  <c r="G19" i="8"/>
  <c r="AN17" i="8"/>
  <c r="AM17" i="8"/>
  <c r="AL17" i="8"/>
  <c r="AK17" i="8"/>
  <c r="AJ17" i="8"/>
  <c r="AI17" i="8"/>
  <c r="AH17" i="8"/>
  <c r="F17" i="8"/>
  <c r="AN16" i="8"/>
  <c r="AM16" i="8"/>
  <c r="AL16" i="8"/>
  <c r="AK16" i="8"/>
  <c r="AJ16" i="8"/>
  <c r="AI16" i="8"/>
  <c r="AH16" i="8"/>
  <c r="AO15" i="8"/>
  <c r="AN15" i="8"/>
  <c r="AM15" i="8"/>
  <c r="AL15" i="8"/>
  <c r="AK15" i="8"/>
  <c r="AJ15" i="8"/>
  <c r="AI15" i="8"/>
  <c r="AH15" i="8"/>
  <c r="AO14" i="8"/>
  <c r="AN14" i="8"/>
  <c r="AM14" i="8"/>
  <c r="AL14" i="8"/>
  <c r="AK14" i="8"/>
  <c r="AJ14" i="8"/>
  <c r="AI14" i="8"/>
  <c r="AH14" i="8"/>
  <c r="H13" i="8"/>
  <c r="I13" i="8" s="1"/>
  <c r="J13" i="8" s="1"/>
  <c r="K13" i="8" s="1"/>
  <c r="L13" i="8" s="1"/>
  <c r="M13" i="8" s="1"/>
  <c r="N13" i="8" s="1"/>
  <c r="O13" i="8" s="1"/>
  <c r="P13" i="8" s="1"/>
  <c r="Q13" i="8" s="1"/>
  <c r="R13" i="8" s="1"/>
  <c r="S13" i="8" s="1"/>
  <c r="T13" i="8" s="1"/>
  <c r="U13" i="8" s="1"/>
  <c r="V13" i="8" s="1"/>
  <c r="W13" i="8" s="1"/>
  <c r="X13" i="8" s="1"/>
  <c r="Y13" i="8" s="1"/>
  <c r="Z13" i="8" s="1"/>
  <c r="AA13" i="8" s="1"/>
  <c r="AB13" i="8" s="1"/>
  <c r="AC13" i="8" s="1"/>
  <c r="AD13" i="8" s="1"/>
  <c r="AE13" i="8" s="1"/>
  <c r="G13" i="8"/>
  <c r="AO17" i="8"/>
  <c r="AO10" i="8"/>
  <c r="AN10" i="8"/>
  <c r="AM10" i="8"/>
  <c r="AL10" i="8"/>
  <c r="AK10" i="8"/>
  <c r="AJ10" i="8"/>
  <c r="AI10" i="8"/>
  <c r="AH10" i="8"/>
  <c r="AO16" i="8"/>
  <c r="F7" i="8"/>
  <c r="F21" i="8" s="1"/>
  <c r="A7" i="8"/>
  <c r="F5" i="8"/>
  <c r="F20" i="8" s="1"/>
  <c r="A5" i="8"/>
  <c r="G4" i="8"/>
  <c r="H4" i="8" s="1"/>
  <c r="I4" i="8" s="1"/>
  <c r="J4" i="8" s="1"/>
  <c r="K4" i="8" s="1"/>
  <c r="L4" i="8" s="1"/>
  <c r="M4" i="8" s="1"/>
  <c r="N4" i="8" s="1"/>
  <c r="O4" i="8" s="1"/>
  <c r="P4" i="8" s="1"/>
  <c r="Q4" i="8" s="1"/>
  <c r="R4" i="8" s="1"/>
  <c r="S4" i="8" s="1"/>
  <c r="T4" i="8" s="1"/>
  <c r="U4" i="8" s="1"/>
  <c r="V4" i="8" s="1"/>
  <c r="W4" i="8" s="1"/>
  <c r="X4" i="8" s="1"/>
  <c r="Y4" i="8" s="1"/>
  <c r="Z4" i="8" s="1"/>
  <c r="AA4" i="8" s="1"/>
  <c r="AB4" i="8" s="1"/>
  <c r="AC4" i="8" s="1"/>
  <c r="AD4" i="8" s="1"/>
  <c r="AE4" i="8" s="1"/>
  <c r="AF294" i="1"/>
  <c r="AE294" i="1"/>
  <c r="AD294" i="1"/>
  <c r="F294" i="1"/>
  <c r="AF293" i="1"/>
  <c r="AE293" i="1"/>
  <c r="AD293" i="1"/>
  <c r="F293" i="1"/>
  <c r="AF292" i="1"/>
  <c r="AE292" i="1"/>
  <c r="AD292" i="1"/>
  <c r="F292" i="1"/>
  <c r="AF290" i="1"/>
  <c r="AE290" i="1"/>
  <c r="AD290" i="1"/>
  <c r="AC290" i="1"/>
  <c r="AB290" i="1"/>
  <c r="AA290" i="1"/>
  <c r="Z290" i="1"/>
  <c r="F290" i="1"/>
  <c r="AF289" i="1"/>
  <c r="AE289" i="1"/>
  <c r="AD289" i="1"/>
  <c r="AC289" i="1"/>
  <c r="AB289" i="1"/>
  <c r="AA289" i="1"/>
  <c r="Z289" i="1"/>
  <c r="F289" i="1"/>
  <c r="AF288" i="1"/>
  <c r="AE288" i="1"/>
  <c r="AD288" i="1"/>
  <c r="AC288" i="1"/>
  <c r="AB288" i="1"/>
  <c r="AA288" i="1"/>
  <c r="Z288" i="1"/>
  <c r="F288" i="1"/>
  <c r="AF287" i="1"/>
  <c r="AE287" i="1"/>
  <c r="AD287" i="1"/>
  <c r="AC287" i="1"/>
  <c r="AB287" i="1"/>
  <c r="AA287" i="1"/>
  <c r="Z287" i="1"/>
  <c r="F287" i="1"/>
  <c r="AF286" i="1"/>
  <c r="AE286" i="1"/>
  <c r="AD286" i="1"/>
  <c r="AC286" i="1"/>
  <c r="AB286" i="1"/>
  <c r="AA286" i="1"/>
  <c r="Z286" i="1"/>
  <c r="F286" i="1"/>
  <c r="AF285" i="1"/>
  <c r="AE285" i="1"/>
  <c r="AD285" i="1"/>
  <c r="AC285" i="1"/>
  <c r="AB285" i="1"/>
  <c r="AA285" i="1"/>
  <c r="Z285" i="1"/>
  <c r="F285" i="1"/>
  <c r="AF284" i="1"/>
  <c r="AE284" i="1"/>
  <c r="AD284" i="1"/>
  <c r="F284" i="1"/>
  <c r="AF282" i="1"/>
  <c r="AE282" i="1"/>
  <c r="AD282" i="1"/>
  <c r="AC282" i="1"/>
  <c r="AB282" i="1"/>
  <c r="AA282" i="1"/>
  <c r="Z282" i="1"/>
  <c r="Y282" i="1"/>
  <c r="X282" i="1"/>
  <c r="W282" i="1"/>
  <c r="V282" i="1"/>
  <c r="U282" i="1"/>
  <c r="T282" i="1"/>
  <c r="S282" i="1"/>
  <c r="R282" i="1"/>
  <c r="R238" i="23" s="1"/>
  <c r="Q282" i="1"/>
  <c r="Q238" i="23" s="1"/>
  <c r="P282" i="1"/>
  <c r="P238" i="23" s="1"/>
  <c r="O282" i="1"/>
  <c r="O238" i="23" s="1"/>
  <c r="N282" i="1"/>
  <c r="N238" i="23" s="1"/>
  <c r="M282" i="1"/>
  <c r="M238" i="23" s="1"/>
  <c r="L282" i="1"/>
  <c r="K282" i="1"/>
  <c r="J282" i="1"/>
  <c r="I282" i="1"/>
  <c r="H282" i="1"/>
  <c r="G282" i="1"/>
  <c r="F282" i="1"/>
  <c r="AF281" i="1"/>
  <c r="AE281" i="1"/>
  <c r="AD281" i="1"/>
  <c r="AC281" i="1"/>
  <c r="F281" i="1"/>
  <c r="AF280" i="1"/>
  <c r="AE280" i="1"/>
  <c r="AD280" i="1"/>
  <c r="AC280" i="1"/>
  <c r="AC29" i="8" s="1"/>
  <c r="G280" i="1"/>
  <c r="G29" i="8" s="1"/>
  <c r="F280" i="1"/>
  <c r="AF279" i="1"/>
  <c r="AE279" i="1"/>
  <c r="AD279" i="1"/>
  <c r="AC279" i="1"/>
  <c r="AB279" i="1"/>
  <c r="AA279" i="1"/>
  <c r="Z279" i="1"/>
  <c r="Y279" i="1"/>
  <c r="X279" i="1"/>
  <c r="W279" i="1"/>
  <c r="V279" i="1"/>
  <c r="U279" i="1"/>
  <c r="T279" i="1"/>
  <c r="S279" i="1"/>
  <c r="R279" i="1"/>
  <c r="Q279" i="1"/>
  <c r="P279" i="1"/>
  <c r="O279" i="1"/>
  <c r="N279" i="1"/>
  <c r="M279" i="1"/>
  <c r="L279" i="1"/>
  <c r="K279" i="1"/>
  <c r="J279" i="1"/>
  <c r="I279" i="1"/>
  <c r="H279" i="1"/>
  <c r="G279" i="1"/>
  <c r="F279" i="1"/>
  <c r="AF278" i="1"/>
  <c r="AE278" i="1"/>
  <c r="AD278" i="1"/>
  <c r="AC278" i="1"/>
  <c r="AB278" i="1"/>
  <c r="AA278" i="1"/>
  <c r="Z278" i="1"/>
  <c r="Y278" i="1"/>
  <c r="X278" i="1"/>
  <c r="W278" i="1"/>
  <c r="V278" i="1"/>
  <c r="U278" i="1"/>
  <c r="T278" i="1"/>
  <c r="S278" i="1"/>
  <c r="R278" i="1"/>
  <c r="Q278" i="1"/>
  <c r="P278" i="1"/>
  <c r="O278" i="1"/>
  <c r="N278" i="1"/>
  <c r="M278" i="1"/>
  <c r="L278" i="1"/>
  <c r="K278" i="1"/>
  <c r="J278" i="1"/>
  <c r="I278" i="1"/>
  <c r="H278" i="1"/>
  <c r="G278" i="1"/>
  <c r="F278" i="1"/>
  <c r="AF276" i="1"/>
  <c r="AE276" i="1"/>
  <c r="AD276" i="1"/>
  <c r="G276" i="1"/>
  <c r="J276" i="17" s="1"/>
  <c r="F276" i="1"/>
  <c r="AF275" i="1"/>
  <c r="AE275" i="1"/>
  <c r="AD275" i="1"/>
  <c r="G275" i="1"/>
  <c r="J275" i="17" s="1"/>
  <c r="F275" i="1"/>
  <c r="AF274" i="1"/>
  <c r="AE274" i="1"/>
  <c r="AD274" i="1"/>
  <c r="G274" i="1"/>
  <c r="G356" i="23" s="1"/>
  <c r="F274" i="1"/>
  <c r="AF273" i="1"/>
  <c r="AE273" i="1"/>
  <c r="AD273" i="1"/>
  <c r="G273" i="1"/>
  <c r="J273" i="17" s="1"/>
  <c r="F273" i="1"/>
  <c r="AF272" i="1"/>
  <c r="AE272" i="1"/>
  <c r="AD272" i="1"/>
  <c r="G272" i="1"/>
  <c r="J272" i="17" s="1"/>
  <c r="F272" i="1"/>
  <c r="AF270" i="1"/>
  <c r="AE270" i="1"/>
  <c r="AD270" i="1"/>
  <c r="AC270" i="1"/>
  <c r="AC356" i="23" s="1"/>
  <c r="AB270" i="1"/>
  <c r="AB356" i="23" s="1"/>
  <c r="AA270" i="1"/>
  <c r="AA356" i="23" s="1"/>
  <c r="Z270" i="1"/>
  <c r="Z356" i="23" s="1"/>
  <c r="Y270" i="1"/>
  <c r="Y356" i="23" s="1"/>
  <c r="X270" i="1"/>
  <c r="X356" i="23" s="1"/>
  <c r="W270" i="1"/>
  <c r="W356" i="23" s="1"/>
  <c r="V270" i="1"/>
  <c r="V356" i="23" s="1"/>
  <c r="U270" i="1"/>
  <c r="U356" i="23" s="1"/>
  <c r="T270" i="1"/>
  <c r="T356" i="23" s="1"/>
  <c r="S270" i="1"/>
  <c r="S356" i="23" s="1"/>
  <c r="R270" i="1"/>
  <c r="R356" i="23" s="1"/>
  <c r="Q270" i="1"/>
  <c r="Q356" i="23" s="1"/>
  <c r="P270" i="1"/>
  <c r="P356" i="23" s="1"/>
  <c r="O270" i="1"/>
  <c r="O356" i="23" s="1"/>
  <c r="N270" i="1"/>
  <c r="N356" i="23" s="1"/>
  <c r="M270" i="1"/>
  <c r="M356" i="23" s="1"/>
  <c r="L270" i="1"/>
  <c r="L356" i="23" s="1"/>
  <c r="K270" i="1"/>
  <c r="K356" i="23" s="1"/>
  <c r="J270" i="1"/>
  <c r="J356" i="23" s="1"/>
  <c r="I270" i="1"/>
  <c r="I356" i="23" s="1"/>
  <c r="H270" i="1"/>
  <c r="H356" i="23" s="1"/>
  <c r="G270" i="1"/>
  <c r="F270" i="1"/>
  <c r="AF269" i="1"/>
  <c r="AE269" i="1"/>
  <c r="AD269" i="1"/>
  <c r="F269" i="1"/>
  <c r="AF268" i="1"/>
  <c r="AE268" i="1"/>
  <c r="AD268" i="1"/>
  <c r="F268" i="1"/>
  <c r="AF266" i="1"/>
  <c r="AE266" i="1"/>
  <c r="AD266" i="1"/>
  <c r="AC266" i="1"/>
  <c r="F266" i="1"/>
  <c r="AF264" i="1"/>
  <c r="AE264" i="1"/>
  <c r="AD264" i="1"/>
  <c r="F264" i="1"/>
  <c r="AF263" i="1"/>
  <c r="AE263" i="1"/>
  <c r="AD263" i="1"/>
  <c r="F263" i="1"/>
  <c r="AF262" i="1"/>
  <c r="AE262" i="1"/>
  <c r="AD262" i="1"/>
  <c r="F262" i="1"/>
  <c r="AF261" i="1"/>
  <c r="AE261" i="1"/>
  <c r="AD261" i="1"/>
  <c r="F261" i="1"/>
  <c r="AF259" i="1"/>
  <c r="AE259" i="1"/>
  <c r="AD259" i="1"/>
  <c r="AC259" i="1"/>
  <c r="F259" i="1"/>
  <c r="AF258" i="1"/>
  <c r="AE258" i="1"/>
  <c r="AD258" i="1"/>
  <c r="AC258" i="1"/>
  <c r="F258" i="1"/>
  <c r="AF255" i="1"/>
  <c r="AE255" i="1"/>
  <c r="AD255" i="1"/>
  <c r="AC255" i="1"/>
  <c r="F255" i="1"/>
  <c r="AF254" i="1"/>
  <c r="AE254" i="1"/>
  <c r="AD254" i="1"/>
  <c r="AC254" i="1"/>
  <c r="F254" i="1"/>
  <c r="AF251" i="1"/>
  <c r="AE251" i="1"/>
  <c r="AD251" i="1"/>
  <c r="AC251" i="1"/>
  <c r="F251" i="1"/>
  <c r="AF250" i="1"/>
  <c r="AE250" i="1"/>
  <c r="AD250" i="1"/>
  <c r="AC250" i="1"/>
  <c r="F250" i="1"/>
  <c r="AF247" i="1"/>
  <c r="AE247" i="1"/>
  <c r="AD247" i="1"/>
  <c r="AC247" i="1"/>
  <c r="F247" i="1"/>
  <c r="AF246" i="1"/>
  <c r="AE246" i="1"/>
  <c r="AD246" i="1"/>
  <c r="AC246" i="1"/>
  <c r="F246" i="1"/>
  <c r="AF243" i="1"/>
  <c r="AE243" i="1"/>
  <c r="AD243" i="1"/>
  <c r="AC243" i="1"/>
  <c r="F243" i="1"/>
  <c r="AF242" i="1"/>
  <c r="AE242" i="1"/>
  <c r="AD242" i="1"/>
  <c r="AC242" i="1"/>
  <c r="F242" i="1"/>
  <c r="AF240" i="1"/>
  <c r="AE240" i="1"/>
  <c r="AD240" i="1"/>
  <c r="AC240" i="1"/>
  <c r="F240" i="1"/>
  <c r="AF237" i="1"/>
  <c r="AE237" i="1"/>
  <c r="AD237" i="1"/>
  <c r="AC237" i="1"/>
  <c r="F237" i="1"/>
  <c r="AF235" i="1"/>
  <c r="AE235" i="1"/>
  <c r="AD235" i="1"/>
  <c r="AC235" i="1"/>
  <c r="F235" i="1"/>
  <c r="AF232" i="1"/>
  <c r="AE232" i="1"/>
  <c r="AD232" i="1"/>
  <c r="AC232" i="1"/>
  <c r="F232" i="1"/>
  <c r="AF231" i="1"/>
  <c r="AE231" i="1"/>
  <c r="AD231" i="1"/>
  <c r="AC231" i="1"/>
  <c r="F231" i="1"/>
  <c r="AF230" i="1"/>
  <c r="AE230" i="1"/>
  <c r="AD230" i="1"/>
  <c r="F230"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AF226" i="1"/>
  <c r="AE226" i="1"/>
  <c r="AD226" i="1"/>
  <c r="F226" i="1"/>
  <c r="AF225" i="1"/>
  <c r="AE225" i="1"/>
  <c r="AD225" i="1"/>
  <c r="AC225" i="1"/>
  <c r="F225" i="1"/>
  <c r="AF224" i="1"/>
  <c r="AE224" i="1"/>
  <c r="AD224" i="1"/>
  <c r="F224" i="1"/>
  <c r="AF222" i="1"/>
  <c r="AE222" i="1"/>
  <c r="AD222" i="1"/>
  <c r="AC222" i="1"/>
  <c r="F222" i="1"/>
  <c r="AF221" i="1"/>
  <c r="AE221" i="1"/>
  <c r="AD221" i="1"/>
  <c r="AC221" i="1"/>
  <c r="F221" i="1"/>
  <c r="AF219" i="1"/>
  <c r="AE219" i="1"/>
  <c r="AD219" i="1"/>
  <c r="AC219" i="1"/>
  <c r="F219" i="1"/>
  <c r="AF218" i="1"/>
  <c r="AE218" i="1"/>
  <c r="AD218" i="1"/>
  <c r="AC218" i="1"/>
  <c r="F218" i="1"/>
  <c r="AF217" i="1"/>
  <c r="AE217" i="1"/>
  <c r="AD217" i="1"/>
  <c r="AC217" i="1"/>
  <c r="F217" i="1"/>
  <c r="AF216" i="1"/>
  <c r="AE216" i="1"/>
  <c r="AD216" i="1"/>
  <c r="AC216" i="1"/>
  <c r="F216" i="1"/>
  <c r="AF210" i="1"/>
  <c r="AE210" i="1"/>
  <c r="AD210" i="1"/>
  <c r="F210" i="1"/>
  <c r="AF209" i="1"/>
  <c r="AE209" i="1"/>
  <c r="AD209" i="1"/>
  <c r="F209" i="1"/>
  <c r="AF208" i="1"/>
  <c r="AE208" i="1"/>
  <c r="AD208" i="1"/>
  <c r="F208" i="1"/>
  <c r="AF207" i="1"/>
  <c r="AE207" i="1"/>
  <c r="AD207" i="1"/>
  <c r="F207" i="1"/>
  <c r="AF204" i="1"/>
  <c r="AE204" i="1"/>
  <c r="AD204" i="1"/>
  <c r="F204" i="1"/>
  <c r="AF203" i="1"/>
  <c r="AE203" i="1"/>
  <c r="AD203" i="1"/>
  <c r="F203" i="1"/>
  <c r="AF202" i="1"/>
  <c r="AE202" i="1"/>
  <c r="AD202" i="1"/>
  <c r="F202" i="1"/>
  <c r="AF200" i="1"/>
  <c r="AE200" i="1"/>
  <c r="AD200" i="1"/>
  <c r="F200" i="1"/>
  <c r="AF199" i="1"/>
  <c r="AE199" i="1"/>
  <c r="AD199" i="1"/>
  <c r="F199" i="1"/>
  <c r="AF197" i="1"/>
  <c r="AE197" i="1"/>
  <c r="AD197" i="1"/>
  <c r="F197" i="1"/>
  <c r="AF196" i="1"/>
  <c r="AE196" i="1"/>
  <c r="AD196" i="1"/>
  <c r="F196" i="1"/>
  <c r="AF195" i="1"/>
  <c r="AE195" i="1"/>
  <c r="AD195" i="1"/>
  <c r="F195" i="1"/>
  <c r="AF194" i="1"/>
  <c r="AE194" i="1"/>
  <c r="AD194" i="1"/>
  <c r="F194" i="1"/>
  <c r="AF193" i="1"/>
  <c r="AE193" i="1"/>
  <c r="AD193" i="1"/>
  <c r="AC193" i="1"/>
  <c r="F193" i="1"/>
  <c r="AF192" i="1"/>
  <c r="AE192" i="1"/>
  <c r="AD192" i="1"/>
  <c r="AC192" i="1"/>
  <c r="F192" i="1"/>
  <c r="AF191" i="1"/>
  <c r="AE191" i="1"/>
  <c r="AD191" i="1"/>
  <c r="F191" i="1"/>
  <c r="AF188" i="1"/>
  <c r="AE188" i="1"/>
  <c r="AD188" i="1"/>
  <c r="F188" i="1"/>
  <c r="AF187" i="1"/>
  <c r="AE187" i="1"/>
  <c r="AD187" i="1"/>
  <c r="F187" i="1"/>
  <c r="AF186" i="1"/>
  <c r="AE186" i="1"/>
  <c r="AD186" i="1"/>
  <c r="F186" i="1"/>
  <c r="AF185" i="1"/>
  <c r="AE185" i="1"/>
  <c r="AD185" i="1"/>
  <c r="F185" i="1"/>
  <c r="AF184" i="1"/>
  <c r="AE184" i="1"/>
  <c r="AD184" i="1"/>
  <c r="F184" i="1"/>
  <c r="AF182" i="1"/>
  <c r="AE182" i="1"/>
  <c r="AD182" i="1"/>
  <c r="F182" i="1"/>
  <c r="AF181" i="1"/>
  <c r="AE181" i="1"/>
  <c r="AD181" i="1"/>
  <c r="F181" i="1"/>
  <c r="AF180" i="1"/>
  <c r="AE180" i="1"/>
  <c r="AD180" i="1"/>
  <c r="F180" i="1"/>
  <c r="AF178" i="1"/>
  <c r="AE178" i="1"/>
  <c r="AD178" i="1"/>
  <c r="F178" i="1"/>
  <c r="AF177" i="1"/>
  <c r="AE177" i="1"/>
  <c r="AD177" i="1"/>
  <c r="F177" i="1"/>
  <c r="AF176" i="1"/>
  <c r="AE176" i="1"/>
  <c r="AD176" i="1"/>
  <c r="F176" i="1"/>
  <c r="AF175" i="1"/>
  <c r="AE175" i="1"/>
  <c r="AD175" i="1"/>
  <c r="F175" i="1"/>
  <c r="AF173" i="1"/>
  <c r="AE173" i="1"/>
  <c r="AD173" i="1"/>
  <c r="F173" i="1"/>
  <c r="AF172" i="1"/>
  <c r="AE172" i="1"/>
  <c r="AD172" i="1"/>
  <c r="F172" i="1"/>
  <c r="AF171" i="1"/>
  <c r="AE171" i="1"/>
  <c r="AD171" i="1"/>
  <c r="F171" i="1"/>
  <c r="AF169" i="1"/>
  <c r="AE169" i="1"/>
  <c r="AD169" i="1"/>
  <c r="F169" i="1"/>
  <c r="AF168" i="1"/>
  <c r="AE168" i="1"/>
  <c r="AD168" i="1"/>
  <c r="F168" i="1"/>
  <c r="AF167" i="1"/>
  <c r="AE167" i="1"/>
  <c r="AD167" i="1"/>
  <c r="F167" i="1"/>
  <c r="AF166" i="1"/>
  <c r="AE166" i="1"/>
  <c r="AD166" i="1"/>
  <c r="G166" i="1"/>
  <c r="F166" i="1"/>
  <c r="AF165" i="1"/>
  <c r="AE165" i="1"/>
  <c r="AD165" i="1"/>
  <c r="F165" i="1"/>
  <c r="AF164" i="1"/>
  <c r="AE164" i="1"/>
  <c r="AD164" i="1"/>
  <c r="F164" i="1"/>
  <c r="AF162" i="1"/>
  <c r="AE162" i="1"/>
  <c r="AD162" i="1"/>
  <c r="F162" i="1"/>
  <c r="AF161" i="1"/>
  <c r="AE161" i="1"/>
  <c r="AD161" i="1"/>
  <c r="F161" i="1"/>
  <c r="AF160" i="1"/>
  <c r="AE160" i="1"/>
  <c r="AD160" i="1"/>
  <c r="G160" i="1"/>
  <c r="F160" i="1"/>
  <c r="AF159" i="1"/>
  <c r="AE159" i="1"/>
  <c r="AD159" i="1"/>
  <c r="F159" i="1"/>
  <c r="AF158" i="1"/>
  <c r="AE158" i="1"/>
  <c r="AD158" i="1"/>
  <c r="F158" i="1"/>
  <c r="AF157" i="1"/>
  <c r="AE157" i="1"/>
  <c r="AD157" i="1"/>
  <c r="F157" i="1"/>
  <c r="AF156" i="1"/>
  <c r="AE156" i="1"/>
  <c r="AD156" i="1"/>
  <c r="F156" i="1"/>
  <c r="AF155" i="1"/>
  <c r="AE155" i="1"/>
  <c r="AD155" i="1"/>
  <c r="F155" i="1"/>
  <c r="AF154" i="1"/>
  <c r="AE154" i="1"/>
  <c r="F154" i="1"/>
  <c r="AF151" i="1"/>
  <c r="AE151" i="1"/>
  <c r="AD151" i="1"/>
  <c r="F151" i="1"/>
  <c r="AF150" i="1"/>
  <c r="AE150" i="1"/>
  <c r="AD150" i="1"/>
  <c r="F150" i="1"/>
  <c r="AF149" i="1"/>
  <c r="AE149" i="1"/>
  <c r="AD149" i="1"/>
  <c r="F149" i="1"/>
  <c r="AF147" i="1"/>
  <c r="AE147" i="1"/>
  <c r="AD147" i="1"/>
  <c r="F147" i="1"/>
  <c r="AF146" i="1"/>
  <c r="AE146" i="1"/>
  <c r="AD146" i="1"/>
  <c r="F146" i="1"/>
  <c r="AF145" i="1"/>
  <c r="AE145" i="1"/>
  <c r="AD145" i="1"/>
  <c r="F145" i="1"/>
  <c r="AF144" i="1"/>
  <c r="AE144" i="1"/>
  <c r="AD144" i="1"/>
  <c r="F144" i="1"/>
  <c r="AF143" i="1"/>
  <c r="AE143" i="1"/>
  <c r="AD143" i="1"/>
  <c r="F143" i="1"/>
  <c r="AF142" i="1"/>
  <c r="AE142" i="1"/>
  <c r="AD142" i="1"/>
  <c r="F142" i="1"/>
  <c r="AF141" i="1"/>
  <c r="AE141" i="1"/>
  <c r="AD141" i="1"/>
  <c r="F141" i="1"/>
  <c r="AF140" i="1"/>
  <c r="AE140" i="1"/>
  <c r="AD140" i="1"/>
  <c r="F140" i="1"/>
  <c r="AF137" i="1"/>
  <c r="AE137" i="1"/>
  <c r="AD137" i="1"/>
  <c r="F137" i="1"/>
  <c r="AF136" i="1"/>
  <c r="AE136" i="1"/>
  <c r="AD136" i="1"/>
  <c r="F136" i="1"/>
  <c r="AF133" i="1"/>
  <c r="AE133" i="1"/>
  <c r="AD133" i="1"/>
  <c r="F133" i="1"/>
  <c r="AF132" i="1"/>
  <c r="AE132" i="1"/>
  <c r="AD132" i="1"/>
  <c r="F132" i="1"/>
  <c r="AF131" i="1"/>
  <c r="AE131" i="1"/>
  <c r="AD131" i="1"/>
  <c r="F131" i="1"/>
  <c r="AF130" i="1"/>
  <c r="AE130" i="1"/>
  <c r="AD130" i="1"/>
  <c r="F130" i="1"/>
  <c r="AF127" i="1"/>
  <c r="AE127" i="1"/>
  <c r="AD127" i="1"/>
  <c r="F127" i="1"/>
  <c r="AF126" i="1"/>
  <c r="AE126" i="1"/>
  <c r="AD126" i="1"/>
  <c r="F126" i="1"/>
  <c r="AF125" i="1"/>
  <c r="AE125" i="1"/>
  <c r="AD125" i="1"/>
  <c r="F125" i="1"/>
  <c r="AF123" i="1"/>
  <c r="AE123" i="1"/>
  <c r="AD123" i="1"/>
  <c r="F123" i="1"/>
  <c r="AF122" i="1"/>
  <c r="AE122" i="1"/>
  <c r="AD122" i="1"/>
  <c r="F122" i="1"/>
  <c r="AF121" i="1"/>
  <c r="AE121" i="1"/>
  <c r="AD121" i="1"/>
  <c r="F121" i="1"/>
  <c r="AF120" i="1"/>
  <c r="AE120" i="1"/>
  <c r="AD120" i="1"/>
  <c r="F120" i="1"/>
  <c r="AF119" i="1"/>
  <c r="AE119" i="1"/>
  <c r="AD119" i="1"/>
  <c r="F119" i="1"/>
  <c r="AF116" i="1"/>
  <c r="AE116" i="1"/>
  <c r="AD116" i="1"/>
  <c r="F116" i="1"/>
  <c r="AF115" i="1"/>
  <c r="AE115" i="1"/>
  <c r="AD115" i="1"/>
  <c r="F115" i="1"/>
  <c r="AF114" i="1"/>
  <c r="AE114" i="1"/>
  <c r="AD114" i="1"/>
  <c r="F114" i="1"/>
  <c r="AF113" i="1"/>
  <c r="AE113" i="1"/>
  <c r="AD113" i="1"/>
  <c r="F113" i="1"/>
  <c r="AF112" i="1"/>
  <c r="AE112" i="1"/>
  <c r="AD112" i="1"/>
  <c r="F112" i="1"/>
  <c r="AF111" i="1"/>
  <c r="AE111" i="1"/>
  <c r="AD111" i="1"/>
  <c r="F111" i="1"/>
  <c r="AF109" i="1"/>
  <c r="AE109" i="1"/>
  <c r="AD109" i="1"/>
  <c r="F109" i="1"/>
  <c r="AF108" i="1"/>
  <c r="AE108" i="1"/>
  <c r="AD108" i="1"/>
  <c r="F108" i="1"/>
  <c r="AF106" i="1"/>
  <c r="AE106" i="1"/>
  <c r="AD106" i="1"/>
  <c r="F106" i="1"/>
  <c r="AF104" i="1"/>
  <c r="AE104" i="1"/>
  <c r="AD104" i="1"/>
  <c r="F104" i="1"/>
  <c r="AF102" i="1"/>
  <c r="AE102" i="1"/>
  <c r="AD102" i="1"/>
  <c r="F102" i="1"/>
  <c r="AF101" i="1"/>
  <c r="AE101" i="1"/>
  <c r="AD101" i="1"/>
  <c r="F101" i="1"/>
  <c r="AF99" i="1"/>
  <c r="AE99" i="1"/>
  <c r="AD99" i="1"/>
  <c r="F99" i="1"/>
  <c r="AF98" i="1"/>
  <c r="AE98" i="1"/>
  <c r="AD98" i="1"/>
  <c r="F98" i="1"/>
  <c r="AF96" i="1"/>
  <c r="AE96" i="1"/>
  <c r="AD96" i="1"/>
  <c r="F96" i="1"/>
  <c r="AF94" i="1"/>
  <c r="AE94" i="1"/>
  <c r="AD94" i="1"/>
  <c r="F94" i="1"/>
  <c r="AF93" i="1"/>
  <c r="AE93" i="1"/>
  <c r="AD93" i="1"/>
  <c r="F93" i="1"/>
  <c r="AF92" i="1"/>
  <c r="AE92" i="1"/>
  <c r="AD92" i="1"/>
  <c r="F92" i="1"/>
  <c r="AF91" i="1"/>
  <c r="AE91" i="1"/>
  <c r="AD91" i="1"/>
  <c r="F91" i="1"/>
  <c r="AF90" i="1"/>
  <c r="AE90" i="1"/>
  <c r="AD90" i="1"/>
  <c r="F90" i="1"/>
  <c r="AF89" i="1"/>
  <c r="AE89" i="1"/>
  <c r="AD89" i="1"/>
  <c r="F89" i="1"/>
  <c r="AF87" i="1"/>
  <c r="AE87" i="1"/>
  <c r="AD87" i="1"/>
  <c r="F87" i="1"/>
  <c r="AF86" i="1"/>
  <c r="AE86" i="1"/>
  <c r="AD86" i="1"/>
  <c r="F86" i="1"/>
  <c r="AF85" i="1"/>
  <c r="AE85" i="1"/>
  <c r="AD85" i="1"/>
  <c r="F85" i="1"/>
  <c r="AF84" i="1"/>
  <c r="AE84" i="1"/>
  <c r="AD84" i="1"/>
  <c r="G84" i="1"/>
  <c r="G1148" i="7" s="1"/>
  <c r="F84" i="1"/>
  <c r="AF83" i="1"/>
  <c r="AE83" i="1"/>
  <c r="AD83" i="1"/>
  <c r="F83" i="1"/>
  <c r="AF81" i="1"/>
  <c r="AE81" i="1"/>
  <c r="AD81" i="1"/>
  <c r="F81" i="1"/>
  <c r="AF79" i="1"/>
  <c r="AE79" i="1"/>
  <c r="AD79" i="1"/>
  <c r="F79" i="1"/>
  <c r="AF78" i="1"/>
  <c r="AE78" i="1"/>
  <c r="AD78" i="1"/>
  <c r="F78" i="1"/>
  <c r="AF77" i="1"/>
  <c r="AE77" i="1"/>
  <c r="AD77" i="1"/>
  <c r="F77" i="1"/>
  <c r="AF76" i="1"/>
  <c r="AE76" i="1"/>
  <c r="AD76" i="1"/>
  <c r="F76" i="1"/>
  <c r="AF75" i="1"/>
  <c r="AE75" i="1"/>
  <c r="AD75" i="1"/>
  <c r="F75" i="1"/>
  <c r="AF74" i="1"/>
  <c r="AE74" i="1"/>
  <c r="AD74" i="1"/>
  <c r="F74" i="1"/>
  <c r="AF71" i="1"/>
  <c r="AE71" i="1"/>
  <c r="AD71" i="1"/>
  <c r="F71" i="1"/>
  <c r="AF69" i="1"/>
  <c r="AE69" i="1"/>
  <c r="AD69" i="1"/>
  <c r="F69" i="1"/>
  <c r="AF65" i="1"/>
  <c r="AE65" i="1"/>
  <c r="AD65" i="1"/>
  <c r="F65" i="1"/>
  <c r="AF64" i="1"/>
  <c r="AE64" i="1"/>
  <c r="AD64" i="1"/>
  <c r="F64" i="1"/>
  <c r="AF63" i="1"/>
  <c r="AE63" i="1"/>
  <c r="AD63" i="1"/>
  <c r="F63" i="1"/>
  <c r="AF62" i="1"/>
  <c r="AE62" i="1"/>
  <c r="AD62" i="1"/>
  <c r="F62" i="1"/>
  <c r="AF57" i="1"/>
  <c r="AE57" i="1"/>
  <c r="AD57" i="1"/>
  <c r="F57" i="1"/>
  <c r="AF55" i="1"/>
  <c r="AE55" i="1"/>
  <c r="AD55" i="1"/>
  <c r="F55" i="1"/>
  <c r="AF53" i="1"/>
  <c r="AE53" i="1"/>
  <c r="AD53" i="1"/>
  <c r="F53" i="1"/>
  <c r="AF52" i="1"/>
  <c r="AE52" i="1"/>
  <c r="AD52" i="1"/>
  <c r="F52" i="1"/>
  <c r="AF51" i="1"/>
  <c r="AE51" i="1"/>
  <c r="AD51" i="1"/>
  <c r="F51" i="1"/>
  <c r="AF49" i="1"/>
  <c r="AE49" i="1"/>
  <c r="AD49" i="1"/>
  <c r="F49" i="1"/>
  <c r="AF48" i="1"/>
  <c r="AE48" i="1"/>
  <c r="AD48" i="1"/>
  <c r="F48" i="1"/>
  <c r="AF47" i="1"/>
  <c r="AE47" i="1"/>
  <c r="AD47" i="1"/>
  <c r="F47" i="1"/>
  <c r="AF45" i="1"/>
  <c r="AE45" i="1"/>
  <c r="AD45" i="1"/>
  <c r="F45" i="1"/>
  <c r="AF44" i="1"/>
  <c r="AE44" i="1"/>
  <c r="AD44" i="1"/>
  <c r="F44" i="1"/>
  <c r="AF43" i="1"/>
  <c r="AE43" i="1"/>
  <c r="AD43" i="1"/>
  <c r="F43" i="1"/>
  <c r="AF41" i="1"/>
  <c r="AE41" i="1"/>
  <c r="AD41" i="1"/>
  <c r="F41" i="1"/>
  <c r="AF40" i="1"/>
  <c r="AE40" i="1"/>
  <c r="AD40" i="1"/>
  <c r="F40" i="1"/>
  <c r="AF38" i="1"/>
  <c r="AE38" i="1"/>
  <c r="AD38" i="1"/>
  <c r="F38" i="1"/>
  <c r="AF37" i="1"/>
  <c r="AE37" i="1"/>
  <c r="AD37" i="1"/>
  <c r="F37" i="1"/>
  <c r="AF36" i="1"/>
  <c r="AE36" i="1"/>
  <c r="AD36" i="1"/>
  <c r="F36" i="1"/>
  <c r="AF34" i="1"/>
  <c r="AE34" i="1"/>
  <c r="AD34" i="1"/>
  <c r="F34" i="1"/>
  <c r="AF30" i="1"/>
  <c r="AE30" i="1"/>
  <c r="AD30" i="1"/>
  <c r="F30" i="1"/>
  <c r="AF29" i="1"/>
  <c r="AE29" i="1"/>
  <c r="AD29" i="1"/>
  <c r="F29" i="1"/>
  <c r="AF28" i="1"/>
  <c r="AE28" i="1"/>
  <c r="AD28" i="1"/>
  <c r="F28" i="1"/>
  <c r="AF24" i="1"/>
  <c r="AE24" i="1"/>
  <c r="AD24" i="1"/>
  <c r="F24" i="1"/>
  <c r="AF23" i="1"/>
  <c r="AE23" i="1"/>
  <c r="AD23" i="1"/>
  <c r="F23" i="1"/>
  <c r="AF22" i="1"/>
  <c r="AE22" i="1"/>
  <c r="AD22" i="1"/>
  <c r="F22" i="1"/>
  <c r="AF21" i="1"/>
  <c r="AE21" i="1"/>
  <c r="AD21" i="1"/>
  <c r="F21" i="1"/>
  <c r="AF19" i="1"/>
  <c r="AE19" i="1"/>
  <c r="AD19" i="1"/>
  <c r="F19" i="1"/>
  <c r="AF18" i="1"/>
  <c r="AE18" i="1"/>
  <c r="AD18" i="1"/>
  <c r="F18" i="1"/>
  <c r="AF15" i="1"/>
  <c r="AE15" i="1"/>
  <c r="AD15" i="1"/>
  <c r="F15" i="1"/>
  <c r="AF13" i="1"/>
  <c r="AE13" i="1"/>
  <c r="AD13" i="1"/>
  <c r="F13" i="1"/>
  <c r="AF9" i="1"/>
  <c r="AE9" i="1"/>
  <c r="AD9" i="1"/>
  <c r="F9" i="1"/>
  <c r="AF8" i="1"/>
  <c r="AE8" i="1"/>
  <c r="AD8" i="1"/>
  <c r="F8" i="1"/>
  <c r="AF6" i="1"/>
  <c r="AE6" i="1"/>
  <c r="AD6" i="1"/>
  <c r="F6" i="1"/>
  <c r="AF5" i="1"/>
  <c r="AE5" i="1"/>
  <c r="AD5" i="1"/>
  <c r="F5" i="1"/>
  <c r="AF4" i="1"/>
  <c r="AE4" i="1"/>
  <c r="AD4" i="1"/>
  <c r="F4" i="1"/>
  <c r="AF3" i="1"/>
  <c r="AE3" i="1"/>
  <c r="AD3" i="1"/>
  <c r="AC3" i="1"/>
  <c r="AB3" i="1"/>
  <c r="AA3" i="1"/>
  <c r="Z3" i="1"/>
  <c r="Y3" i="1"/>
  <c r="X3" i="1"/>
  <c r="W3" i="1"/>
  <c r="V3" i="1"/>
  <c r="U3" i="1"/>
  <c r="T3" i="1"/>
  <c r="S3" i="1"/>
  <c r="R3" i="1"/>
  <c r="Q3" i="1"/>
  <c r="P3" i="1"/>
  <c r="O3" i="1"/>
  <c r="N3" i="1"/>
  <c r="M3" i="1"/>
  <c r="L3" i="1"/>
  <c r="K3" i="1"/>
  <c r="J3" i="1"/>
  <c r="I3" i="1"/>
  <c r="H3" i="1"/>
  <c r="DC70" i="16"/>
  <c r="DB70" i="16"/>
  <c r="DA70" i="16"/>
  <c r="CZ70" i="16"/>
  <c r="CY70" i="16"/>
  <c r="CX70" i="16"/>
  <c r="CW70" i="16"/>
  <c r="CV70" i="16"/>
  <c r="CU70" i="16"/>
  <c r="CT70" i="16"/>
  <c r="CS70" i="16"/>
  <c r="CR70" i="16"/>
  <c r="CQ70" i="16"/>
  <c r="CP70" i="16"/>
  <c r="CO70" i="16"/>
  <c r="CN70" i="16"/>
  <c r="CM70" i="16"/>
  <c r="CL70" i="16"/>
  <c r="CK70" i="16"/>
  <c r="CJ70" i="16"/>
  <c r="CI70" i="16"/>
  <c r="CH70" i="16"/>
  <c r="CG70" i="16"/>
  <c r="CF70" i="16"/>
  <c r="CE70" i="16"/>
  <c r="CD70" i="16"/>
  <c r="CC70" i="16"/>
  <c r="CB70" i="16"/>
  <c r="CA70" i="16"/>
  <c r="BZ70" i="16"/>
  <c r="BY70" i="16"/>
  <c r="BX70" i="16"/>
  <c r="BW70" i="16"/>
  <c r="BV70" i="16"/>
  <c r="BU70" i="16"/>
  <c r="BT70" i="16"/>
  <c r="BS70" i="16"/>
  <c r="BR70" i="16"/>
  <c r="BQ70" i="16"/>
  <c r="BP70" i="16"/>
  <c r="BO70" i="16"/>
  <c r="BN70" i="16"/>
  <c r="BM70" i="16"/>
  <c r="BL70" i="16"/>
  <c r="BK70" i="16"/>
  <c r="BJ70" i="16"/>
  <c r="BI70" i="16"/>
  <c r="BH70" i="16"/>
  <c r="BG70" i="16"/>
  <c r="BF70" i="16"/>
  <c r="BE70" i="16"/>
  <c r="BD70" i="16"/>
  <c r="BC70" i="16"/>
  <c r="BB70" i="16"/>
  <c r="BA70" i="16"/>
  <c r="AZ70" i="16"/>
  <c r="AY70" i="16"/>
  <c r="AX70" i="16"/>
  <c r="AW70" i="16"/>
  <c r="AV70" i="16"/>
  <c r="AU70" i="16"/>
  <c r="AT70" i="16"/>
  <c r="AS70" i="16"/>
  <c r="AR70" i="16"/>
  <c r="AQ70" i="16"/>
  <c r="AP70" i="16"/>
  <c r="AO70" i="16"/>
  <c r="AN70" i="16"/>
  <c r="AM70" i="16"/>
  <c r="AL70" i="16"/>
  <c r="AK70" i="16"/>
  <c r="AJ70" i="16"/>
  <c r="AI70" i="16"/>
  <c r="AH70" i="16"/>
  <c r="AG70" i="16"/>
  <c r="AF70" i="16"/>
  <c r="AE70" i="16"/>
  <c r="AD70" i="16"/>
  <c r="AC70" i="16"/>
  <c r="AB70" i="16"/>
  <c r="AA70" i="16"/>
  <c r="Z70" i="16"/>
  <c r="Y70" i="16"/>
  <c r="X70" i="16"/>
  <c r="W70" i="16"/>
  <c r="V70" i="16"/>
  <c r="U70" i="16"/>
  <c r="T70" i="16"/>
  <c r="S70" i="16"/>
  <c r="R70" i="16"/>
  <c r="Q70" i="16"/>
  <c r="P70" i="16"/>
  <c r="O70" i="16"/>
  <c r="N70" i="16"/>
  <c r="M70" i="16"/>
  <c r="L70" i="16"/>
  <c r="K70" i="16"/>
  <c r="J70" i="16"/>
  <c r="I70" i="16"/>
  <c r="H70" i="16"/>
  <c r="G70" i="16"/>
  <c r="F70" i="16"/>
  <c r="DC69" i="16"/>
  <c r="DB69" i="16"/>
  <c r="DA69" i="16"/>
  <c r="CZ69" i="16"/>
  <c r="CY69" i="16"/>
  <c r="CX69" i="16"/>
  <c r="CW69" i="16"/>
  <c r="CV69" i="16"/>
  <c r="CU69" i="16"/>
  <c r="CT69" i="16"/>
  <c r="CS69" i="16"/>
  <c r="CR69" i="16"/>
  <c r="CQ69" i="16"/>
  <c r="CP69" i="16"/>
  <c r="CO69" i="16"/>
  <c r="CN69" i="16"/>
  <c r="CM69" i="16"/>
  <c r="CL69" i="16"/>
  <c r="CK69" i="16"/>
  <c r="CJ69" i="16"/>
  <c r="CI69" i="16"/>
  <c r="CH69" i="16"/>
  <c r="CG69" i="16"/>
  <c r="CF69" i="16"/>
  <c r="CE69" i="16"/>
  <c r="CD69" i="16"/>
  <c r="CC69" i="16"/>
  <c r="CB69" i="16"/>
  <c r="CA69" i="16"/>
  <c r="BZ69" i="16"/>
  <c r="BY69" i="16"/>
  <c r="BX69" i="16"/>
  <c r="BW69" i="16"/>
  <c r="BV69" i="16"/>
  <c r="BU69" i="16"/>
  <c r="BT69" i="16"/>
  <c r="BS69" i="16"/>
  <c r="BR69" i="16"/>
  <c r="BQ69" i="16"/>
  <c r="BP69" i="16"/>
  <c r="BO69" i="16"/>
  <c r="BN69" i="16"/>
  <c r="BM69" i="16"/>
  <c r="BL69" i="16"/>
  <c r="BK69" i="16"/>
  <c r="BJ69" i="16"/>
  <c r="BI69" i="16"/>
  <c r="BH69" i="16"/>
  <c r="BG69" i="16"/>
  <c r="BF69" i="16"/>
  <c r="BE69" i="16"/>
  <c r="BD69" i="16"/>
  <c r="BC69" i="16"/>
  <c r="BB69" i="16"/>
  <c r="BA69" i="16"/>
  <c r="AZ69" i="16"/>
  <c r="AY69" i="16"/>
  <c r="AX69" i="16"/>
  <c r="AW69" i="16"/>
  <c r="AV69" i="16"/>
  <c r="AU69" i="16"/>
  <c r="AT69" i="16"/>
  <c r="AS69" i="16"/>
  <c r="AR69" i="16"/>
  <c r="AQ69" i="16"/>
  <c r="AP69" i="16"/>
  <c r="AO69" i="16"/>
  <c r="AN69" i="16"/>
  <c r="AM69" i="16"/>
  <c r="AL69" i="16"/>
  <c r="AK69" i="16"/>
  <c r="AJ69" i="16"/>
  <c r="AI69" i="16"/>
  <c r="AH69" i="16"/>
  <c r="AG69" i="16"/>
  <c r="AF69" i="16"/>
  <c r="AE69" i="16"/>
  <c r="AD69" i="16"/>
  <c r="AC69" i="16"/>
  <c r="AB69" i="16"/>
  <c r="AA69" i="16"/>
  <c r="Z69" i="16"/>
  <c r="Y69" i="16"/>
  <c r="X69" i="16"/>
  <c r="W69" i="16"/>
  <c r="V69" i="16"/>
  <c r="U69" i="16"/>
  <c r="T69" i="16"/>
  <c r="S69" i="16"/>
  <c r="R69" i="16"/>
  <c r="Q69" i="16"/>
  <c r="P69" i="16"/>
  <c r="O69" i="16"/>
  <c r="N69" i="16"/>
  <c r="M69" i="16"/>
  <c r="L69" i="16"/>
  <c r="K69" i="16"/>
  <c r="J69" i="16"/>
  <c r="I69" i="16"/>
  <c r="H69" i="16"/>
  <c r="G69" i="16"/>
  <c r="F69" i="16"/>
  <c r="DC68" i="16"/>
  <c r="DB68" i="16"/>
  <c r="DA68" i="16"/>
  <c r="CZ68" i="16"/>
  <c r="CY68" i="16"/>
  <c r="CX68" i="16"/>
  <c r="CW68" i="16"/>
  <c r="CV68" i="16"/>
  <c r="CU68" i="16"/>
  <c r="CT68" i="16"/>
  <c r="CS68" i="16"/>
  <c r="CR68" i="16"/>
  <c r="CQ68" i="16"/>
  <c r="CP68" i="16"/>
  <c r="CO68" i="16"/>
  <c r="CN68" i="16"/>
  <c r="CM68" i="16"/>
  <c r="CL68" i="16"/>
  <c r="CK68" i="16"/>
  <c r="CJ68" i="16"/>
  <c r="CI68" i="16"/>
  <c r="CH68" i="16"/>
  <c r="CG68" i="16"/>
  <c r="CF68" i="16"/>
  <c r="CE68" i="16"/>
  <c r="CD68" i="16"/>
  <c r="CC68" i="16"/>
  <c r="CB68" i="16"/>
  <c r="CA68" i="16"/>
  <c r="BZ68" i="16"/>
  <c r="BY68" i="16"/>
  <c r="BX68" i="16"/>
  <c r="BW68" i="16"/>
  <c r="BV68" i="16"/>
  <c r="BU68" i="16"/>
  <c r="BT68" i="16"/>
  <c r="BS68" i="16"/>
  <c r="BR68" i="16"/>
  <c r="BQ68" i="16"/>
  <c r="BP68" i="16"/>
  <c r="BO68" i="16"/>
  <c r="BN68" i="16"/>
  <c r="BM68" i="16"/>
  <c r="BL68" i="16"/>
  <c r="BK68" i="16"/>
  <c r="BJ68" i="16"/>
  <c r="BI68" i="16"/>
  <c r="BH68" i="16"/>
  <c r="BG68" i="16"/>
  <c r="BF68" i="16"/>
  <c r="BE68" i="16"/>
  <c r="BD68" i="16"/>
  <c r="BC68" i="16"/>
  <c r="BB68" i="16"/>
  <c r="BA68" i="16"/>
  <c r="AZ68" i="16"/>
  <c r="AY68" i="16"/>
  <c r="AX68" i="16"/>
  <c r="AW68" i="16"/>
  <c r="AV68" i="16"/>
  <c r="AU68" i="16"/>
  <c r="AT68" i="16"/>
  <c r="AS68" i="16"/>
  <c r="AR68" i="16"/>
  <c r="AQ68" i="16"/>
  <c r="AP68" i="16"/>
  <c r="AO68" i="16"/>
  <c r="AN68" i="16"/>
  <c r="AM68" i="16"/>
  <c r="AL68" i="16"/>
  <c r="AK68" i="16"/>
  <c r="AJ68" i="16"/>
  <c r="AI68" i="16"/>
  <c r="AH68" i="16"/>
  <c r="AG68" i="16"/>
  <c r="AF68" i="16"/>
  <c r="AE68" i="16"/>
  <c r="AD68" i="16"/>
  <c r="AC68" i="16"/>
  <c r="AB68" i="16"/>
  <c r="AA68" i="16"/>
  <c r="Z68" i="16"/>
  <c r="Y68" i="16"/>
  <c r="X68" i="16"/>
  <c r="W68" i="16"/>
  <c r="V68" i="16"/>
  <c r="U68" i="16"/>
  <c r="T68" i="16"/>
  <c r="S68" i="16"/>
  <c r="R68" i="16"/>
  <c r="Q68" i="16"/>
  <c r="P68" i="16"/>
  <c r="O68" i="16"/>
  <c r="N68" i="16"/>
  <c r="M68" i="16"/>
  <c r="L68" i="16"/>
  <c r="K68" i="16"/>
  <c r="J68" i="16"/>
  <c r="I68" i="16"/>
  <c r="H68" i="16"/>
  <c r="G68" i="16"/>
  <c r="F68" i="16"/>
  <c r="DC67" i="16"/>
  <c r="DB67" i="16"/>
  <c r="DA67" i="16"/>
  <c r="CZ67" i="16"/>
  <c r="CY67" i="16"/>
  <c r="CX67" i="16"/>
  <c r="CW67" i="16"/>
  <c r="CV67" i="16"/>
  <c r="CU67" i="16"/>
  <c r="CT67" i="16"/>
  <c r="CS67" i="16"/>
  <c r="CR67" i="16"/>
  <c r="CQ67" i="16"/>
  <c r="CP67" i="16"/>
  <c r="CO67" i="16"/>
  <c r="CN67" i="16"/>
  <c r="CM67" i="16"/>
  <c r="CL67" i="16"/>
  <c r="CK67" i="16"/>
  <c r="CJ67" i="16"/>
  <c r="CI67" i="16"/>
  <c r="CH67" i="16"/>
  <c r="CG67" i="16"/>
  <c r="CF67" i="16"/>
  <c r="CE67" i="16"/>
  <c r="CD67" i="16"/>
  <c r="CC67" i="16"/>
  <c r="CB67" i="16"/>
  <c r="CA67" i="16"/>
  <c r="BZ67" i="16"/>
  <c r="BY67" i="16"/>
  <c r="BX67" i="16"/>
  <c r="BW67" i="16"/>
  <c r="BV67" i="16"/>
  <c r="BU67" i="16"/>
  <c r="BT67" i="16"/>
  <c r="BS67" i="16"/>
  <c r="BR67" i="16"/>
  <c r="BQ67" i="16"/>
  <c r="BP67" i="16"/>
  <c r="BO67" i="16"/>
  <c r="BN67" i="16"/>
  <c r="BM67" i="16"/>
  <c r="BL67" i="16"/>
  <c r="BK67" i="16"/>
  <c r="BJ67" i="16"/>
  <c r="BI67" i="16"/>
  <c r="BH67" i="16"/>
  <c r="BG67" i="16"/>
  <c r="BF67" i="16"/>
  <c r="BE67" i="16"/>
  <c r="BD67" i="16"/>
  <c r="BC67" i="16"/>
  <c r="BB67" i="16"/>
  <c r="BA67" i="16"/>
  <c r="AZ67" i="16"/>
  <c r="AY67" i="16"/>
  <c r="AX67" i="16"/>
  <c r="AW67" i="16"/>
  <c r="AV67" i="16"/>
  <c r="AU67" i="16"/>
  <c r="AT67" i="16"/>
  <c r="AS67" i="16"/>
  <c r="AR67" i="16"/>
  <c r="AQ67" i="16"/>
  <c r="AP67" i="16"/>
  <c r="AO67" i="16"/>
  <c r="AN67" i="16"/>
  <c r="AM67" i="16"/>
  <c r="AL67" i="16"/>
  <c r="AK67" i="16"/>
  <c r="AJ67" i="16"/>
  <c r="AI67" i="16"/>
  <c r="AH67" i="16"/>
  <c r="AG67" i="16"/>
  <c r="AF67" i="16"/>
  <c r="AE67" i="16"/>
  <c r="AD67" i="16"/>
  <c r="AC67" i="16"/>
  <c r="AB67" i="16"/>
  <c r="AA67" i="16"/>
  <c r="Z67" i="16"/>
  <c r="Y67" i="16"/>
  <c r="X67" i="16"/>
  <c r="W67" i="16"/>
  <c r="V67" i="16"/>
  <c r="U67" i="16"/>
  <c r="T67" i="16"/>
  <c r="S67" i="16"/>
  <c r="R67" i="16"/>
  <c r="Q67" i="16"/>
  <c r="P67" i="16"/>
  <c r="O67" i="16"/>
  <c r="N67" i="16"/>
  <c r="M67" i="16"/>
  <c r="L67" i="16"/>
  <c r="K67" i="16"/>
  <c r="J67" i="16"/>
  <c r="I67" i="16"/>
  <c r="H67" i="16"/>
  <c r="G67" i="16"/>
  <c r="F67" i="16"/>
  <c r="DC66" i="16"/>
  <c r="DB66" i="16"/>
  <c r="DA66" i="16"/>
  <c r="CZ66" i="16"/>
  <c r="CY66" i="16"/>
  <c r="CX66" i="16"/>
  <c r="CW66" i="16"/>
  <c r="CV66" i="16"/>
  <c r="CU66" i="16"/>
  <c r="CT66" i="16"/>
  <c r="CS66" i="16"/>
  <c r="CR66" i="16"/>
  <c r="CQ66" i="16"/>
  <c r="CP66" i="16"/>
  <c r="CO66" i="16"/>
  <c r="CN66" i="16"/>
  <c r="CM66" i="16"/>
  <c r="CL66" i="16"/>
  <c r="CK66" i="16"/>
  <c r="CJ66" i="16"/>
  <c r="CI66" i="16"/>
  <c r="CH66" i="16"/>
  <c r="CG66" i="16"/>
  <c r="CF66" i="16"/>
  <c r="CE66" i="16"/>
  <c r="CD66" i="16"/>
  <c r="CC66" i="16"/>
  <c r="CB66" i="16"/>
  <c r="CA66" i="16"/>
  <c r="BZ66" i="16"/>
  <c r="BY66" i="16"/>
  <c r="BX66" i="16"/>
  <c r="BW66" i="16"/>
  <c r="BV66" i="16"/>
  <c r="BU66" i="16"/>
  <c r="BT66" i="16"/>
  <c r="BS66" i="16"/>
  <c r="BR66" i="16"/>
  <c r="BQ66" i="16"/>
  <c r="BP66" i="16"/>
  <c r="BO66" i="16"/>
  <c r="BN66" i="16"/>
  <c r="BM66" i="16"/>
  <c r="BL66" i="16"/>
  <c r="BK66" i="16"/>
  <c r="BJ66" i="16"/>
  <c r="BI66" i="16"/>
  <c r="BH66" i="16"/>
  <c r="BG66" i="16"/>
  <c r="BF66" i="16"/>
  <c r="BE66" i="16"/>
  <c r="BD66" i="16"/>
  <c r="BC66" i="16"/>
  <c r="BB66" i="16"/>
  <c r="BA66" i="16"/>
  <c r="AZ66" i="16"/>
  <c r="AY66" i="16"/>
  <c r="AX66" i="16"/>
  <c r="AW66" i="16"/>
  <c r="AV66" i="16"/>
  <c r="AU66" i="16"/>
  <c r="AT66" i="16"/>
  <c r="AS66" i="16"/>
  <c r="AR66" i="16"/>
  <c r="AQ66" i="16"/>
  <c r="AP66" i="16"/>
  <c r="AO66" i="16"/>
  <c r="AN66" i="16"/>
  <c r="AM66" i="16"/>
  <c r="AL66" i="16"/>
  <c r="AK66" i="16"/>
  <c r="AJ66" i="16"/>
  <c r="AI66" i="16"/>
  <c r="AH66" i="16"/>
  <c r="AG66" i="16"/>
  <c r="AF66" i="16"/>
  <c r="AE66" i="16"/>
  <c r="AD66" i="16"/>
  <c r="AC66" i="16"/>
  <c r="AB66" i="16"/>
  <c r="AA66" i="16"/>
  <c r="Z66" i="16"/>
  <c r="Y66" i="16"/>
  <c r="X66" i="16"/>
  <c r="W66" i="16"/>
  <c r="V66" i="16"/>
  <c r="U66" i="16"/>
  <c r="T66" i="16"/>
  <c r="S66" i="16"/>
  <c r="R66" i="16"/>
  <c r="Q66" i="16"/>
  <c r="P66" i="16"/>
  <c r="O66" i="16"/>
  <c r="N66" i="16"/>
  <c r="M66" i="16"/>
  <c r="L66" i="16"/>
  <c r="K66" i="16"/>
  <c r="J66" i="16"/>
  <c r="I66" i="16"/>
  <c r="H66" i="16"/>
  <c r="G66" i="16"/>
  <c r="F66" i="16"/>
  <c r="DC65" i="16"/>
  <c r="DB65" i="16"/>
  <c r="DA65" i="16"/>
  <c r="CZ65" i="16"/>
  <c r="CY65" i="16"/>
  <c r="CX65" i="16"/>
  <c r="CW65" i="16"/>
  <c r="CV65" i="16"/>
  <c r="CU65" i="16"/>
  <c r="CT65" i="16"/>
  <c r="CS65" i="16"/>
  <c r="CR65" i="16"/>
  <c r="CQ65" i="16"/>
  <c r="CP65" i="16"/>
  <c r="CO65" i="16"/>
  <c r="CN65" i="16"/>
  <c r="CM65" i="16"/>
  <c r="CL65" i="16"/>
  <c r="CK65" i="16"/>
  <c r="CJ65" i="16"/>
  <c r="CI65" i="16"/>
  <c r="CH65" i="16"/>
  <c r="CG65" i="16"/>
  <c r="CF65" i="16"/>
  <c r="CE65" i="16"/>
  <c r="CD65" i="16"/>
  <c r="CC65" i="16"/>
  <c r="CB65" i="16"/>
  <c r="CA65" i="16"/>
  <c r="BZ65" i="16"/>
  <c r="BY65" i="16"/>
  <c r="BX65" i="16"/>
  <c r="BW65" i="16"/>
  <c r="BV65" i="16"/>
  <c r="BU65" i="16"/>
  <c r="BT65" i="16"/>
  <c r="BS65" i="16"/>
  <c r="BR65" i="16"/>
  <c r="BQ65" i="16"/>
  <c r="BP65" i="16"/>
  <c r="BO65" i="16"/>
  <c r="BN65" i="16"/>
  <c r="BM65" i="16"/>
  <c r="BL65" i="16"/>
  <c r="BK65" i="16"/>
  <c r="BJ65" i="16"/>
  <c r="BI65" i="16"/>
  <c r="BH65" i="16"/>
  <c r="BG65" i="16"/>
  <c r="BF65" i="16"/>
  <c r="BE65" i="16"/>
  <c r="BD65" i="16"/>
  <c r="BC65" i="16"/>
  <c r="BB65" i="16"/>
  <c r="BA65" i="16"/>
  <c r="AZ65" i="16"/>
  <c r="AY65" i="16"/>
  <c r="AX65" i="16"/>
  <c r="AW65" i="16"/>
  <c r="AV65" i="16"/>
  <c r="AU65" i="16"/>
  <c r="AT65" i="16"/>
  <c r="AS65" i="16"/>
  <c r="AR65" i="16"/>
  <c r="AQ65" i="16"/>
  <c r="AP65" i="16"/>
  <c r="AO65" i="16"/>
  <c r="AN65" i="16"/>
  <c r="AM65" i="16"/>
  <c r="AL65" i="16"/>
  <c r="AK65" i="16"/>
  <c r="AJ65" i="16"/>
  <c r="AI65" i="16"/>
  <c r="AH65" i="16"/>
  <c r="AG65" i="16"/>
  <c r="AF65" i="16"/>
  <c r="AE65" i="16"/>
  <c r="AD65" i="16"/>
  <c r="AC65" i="16"/>
  <c r="AB65" i="16"/>
  <c r="AA65" i="16"/>
  <c r="Z65" i="16"/>
  <c r="Y65" i="16"/>
  <c r="X65" i="16"/>
  <c r="W65" i="16"/>
  <c r="V65" i="16"/>
  <c r="U65" i="16"/>
  <c r="T65" i="16"/>
  <c r="S65" i="16"/>
  <c r="R65" i="16"/>
  <c r="Q65" i="16"/>
  <c r="P65" i="16"/>
  <c r="O65" i="16"/>
  <c r="N65" i="16"/>
  <c r="M65" i="16"/>
  <c r="L65" i="16"/>
  <c r="K65" i="16"/>
  <c r="J65" i="16"/>
  <c r="I65" i="16"/>
  <c r="H65" i="16"/>
  <c r="G65" i="16"/>
  <c r="F65" i="16"/>
  <c r="DC64" i="16"/>
  <c r="DB64" i="16"/>
  <c r="DA64" i="16"/>
  <c r="CZ64" i="16"/>
  <c r="CY64" i="16"/>
  <c r="CX64" i="16"/>
  <c r="CW64" i="16"/>
  <c r="CV64" i="16"/>
  <c r="CU64" i="16"/>
  <c r="CT64" i="16"/>
  <c r="CS64" i="16"/>
  <c r="CR64" i="16"/>
  <c r="CQ64" i="16"/>
  <c r="CP64" i="16"/>
  <c r="CO64" i="16"/>
  <c r="CN64" i="16"/>
  <c r="CM64" i="16"/>
  <c r="CL64" i="16"/>
  <c r="CK64" i="16"/>
  <c r="CJ64" i="16"/>
  <c r="CI64" i="16"/>
  <c r="CH64" i="16"/>
  <c r="CG64" i="16"/>
  <c r="CF64" i="16"/>
  <c r="CE64" i="16"/>
  <c r="CD64" i="16"/>
  <c r="CC64" i="16"/>
  <c r="CB64" i="16"/>
  <c r="CA64" i="16"/>
  <c r="BZ64" i="16"/>
  <c r="BY64" i="16"/>
  <c r="BX64" i="16"/>
  <c r="BW64" i="16"/>
  <c r="BV64" i="16"/>
  <c r="BU64" i="16"/>
  <c r="BT64" i="16"/>
  <c r="BS64" i="16"/>
  <c r="BR64" i="16"/>
  <c r="BQ64" i="16"/>
  <c r="BP64" i="16"/>
  <c r="BO64" i="16"/>
  <c r="BN64" i="16"/>
  <c r="BM64" i="16"/>
  <c r="BL64" i="16"/>
  <c r="BK64" i="16"/>
  <c r="BJ64" i="16"/>
  <c r="BI64" i="16"/>
  <c r="BH64" i="16"/>
  <c r="BG64" i="16"/>
  <c r="BF64" i="16"/>
  <c r="BE64" i="16"/>
  <c r="BD64" i="16"/>
  <c r="BC64" i="16"/>
  <c r="BB64" i="16"/>
  <c r="BA64" i="16"/>
  <c r="AZ64" i="16"/>
  <c r="AY64" i="16"/>
  <c r="AX64" i="16"/>
  <c r="AW64" i="16"/>
  <c r="AV64" i="16"/>
  <c r="AU64" i="16"/>
  <c r="AT64" i="16"/>
  <c r="AS64" i="16"/>
  <c r="AR64" i="16"/>
  <c r="AQ64" i="16"/>
  <c r="AP64" i="16"/>
  <c r="AO64" i="16"/>
  <c r="AN64" i="16"/>
  <c r="AM64" i="16"/>
  <c r="AL64" i="16"/>
  <c r="AK64" i="16"/>
  <c r="AJ64" i="16"/>
  <c r="AI64" i="16"/>
  <c r="AH64" i="16"/>
  <c r="AG64" i="16"/>
  <c r="AF64" i="16"/>
  <c r="AE64" i="16"/>
  <c r="AD64" i="16"/>
  <c r="AC64" i="16"/>
  <c r="AB64" i="16"/>
  <c r="AA64" i="16"/>
  <c r="Z64" i="16"/>
  <c r="Y64" i="16"/>
  <c r="X64" i="16"/>
  <c r="W64" i="16"/>
  <c r="V64" i="16"/>
  <c r="U64" i="16"/>
  <c r="T64" i="16"/>
  <c r="S64" i="16"/>
  <c r="R64" i="16"/>
  <c r="Q64" i="16"/>
  <c r="P64" i="16"/>
  <c r="O64" i="16"/>
  <c r="N64" i="16"/>
  <c r="M64" i="16"/>
  <c r="L64" i="16"/>
  <c r="K64" i="16"/>
  <c r="J64" i="16"/>
  <c r="I64" i="16"/>
  <c r="H64" i="16"/>
  <c r="G64" i="16"/>
  <c r="F64" i="16"/>
  <c r="DC63" i="16"/>
  <c r="DB63" i="16"/>
  <c r="DA63" i="16"/>
  <c r="CZ63" i="16"/>
  <c r="CY63" i="16"/>
  <c r="CX63" i="16"/>
  <c r="CW63" i="16"/>
  <c r="CV63" i="16"/>
  <c r="CU63" i="16"/>
  <c r="CT63" i="16"/>
  <c r="CS63" i="16"/>
  <c r="CR63" i="16"/>
  <c r="CQ63" i="16"/>
  <c r="CP63" i="16"/>
  <c r="CO63" i="16"/>
  <c r="CN63" i="16"/>
  <c r="CM63" i="16"/>
  <c r="CL63" i="16"/>
  <c r="CK63" i="16"/>
  <c r="CJ63" i="16"/>
  <c r="CI63" i="16"/>
  <c r="CH63" i="16"/>
  <c r="CG63" i="16"/>
  <c r="CF63" i="16"/>
  <c r="CE63" i="16"/>
  <c r="CD63" i="16"/>
  <c r="CC63" i="16"/>
  <c r="CB63" i="16"/>
  <c r="CA63" i="16"/>
  <c r="BZ63" i="16"/>
  <c r="BY63" i="16"/>
  <c r="BX63" i="16"/>
  <c r="BW63" i="16"/>
  <c r="BV63" i="16"/>
  <c r="BU63" i="16"/>
  <c r="BT63" i="16"/>
  <c r="BS63" i="16"/>
  <c r="BR63" i="16"/>
  <c r="BQ63" i="16"/>
  <c r="BP63" i="16"/>
  <c r="BO63" i="16"/>
  <c r="BN63" i="16"/>
  <c r="BM63" i="16"/>
  <c r="BL63" i="16"/>
  <c r="BK63" i="16"/>
  <c r="BJ63" i="16"/>
  <c r="BI63" i="16"/>
  <c r="BH63" i="16"/>
  <c r="BG63" i="16"/>
  <c r="BF63" i="16"/>
  <c r="BE63" i="16"/>
  <c r="BD63" i="16"/>
  <c r="BC63" i="16"/>
  <c r="BB63" i="16"/>
  <c r="BA63" i="16"/>
  <c r="AZ63" i="16"/>
  <c r="AY63" i="16"/>
  <c r="AX63" i="16"/>
  <c r="AW63" i="16"/>
  <c r="AV63" i="16"/>
  <c r="AU63" i="16"/>
  <c r="AT63" i="16"/>
  <c r="AS63" i="16"/>
  <c r="AR63" i="16"/>
  <c r="AQ63" i="16"/>
  <c r="AP63" i="16"/>
  <c r="AO63" i="16"/>
  <c r="AN63" i="16"/>
  <c r="AM63" i="16"/>
  <c r="AL63" i="16"/>
  <c r="AK63" i="16"/>
  <c r="AJ63" i="16"/>
  <c r="AI63" i="16"/>
  <c r="AH63" i="16"/>
  <c r="AG63" i="16"/>
  <c r="AF63" i="16"/>
  <c r="AE63" i="16"/>
  <c r="AD63" i="16"/>
  <c r="AC63" i="16"/>
  <c r="AB63" i="16"/>
  <c r="AA63" i="16"/>
  <c r="Z63" i="16"/>
  <c r="Y63" i="16"/>
  <c r="X63" i="16"/>
  <c r="W63" i="16"/>
  <c r="V63" i="16"/>
  <c r="U63" i="16"/>
  <c r="T63" i="16"/>
  <c r="S63" i="16"/>
  <c r="R63" i="16"/>
  <c r="Q63" i="16"/>
  <c r="P63" i="16"/>
  <c r="O63" i="16"/>
  <c r="N63" i="16"/>
  <c r="M63" i="16"/>
  <c r="L63" i="16"/>
  <c r="K63" i="16"/>
  <c r="J63" i="16"/>
  <c r="I63" i="16"/>
  <c r="H63" i="16"/>
  <c r="G63" i="16"/>
  <c r="F63" i="16"/>
  <c r="DC62" i="16"/>
  <c r="DB62" i="16"/>
  <c r="DA62" i="16"/>
  <c r="CZ62" i="16"/>
  <c r="CY62" i="16"/>
  <c r="CX62" i="16"/>
  <c r="CW62" i="16"/>
  <c r="CV62" i="16"/>
  <c r="CU62" i="16"/>
  <c r="CT62" i="16"/>
  <c r="CS62" i="16"/>
  <c r="CR62" i="16"/>
  <c r="CQ62" i="16"/>
  <c r="CP62" i="16"/>
  <c r="CO62" i="16"/>
  <c r="CN62" i="16"/>
  <c r="CM62" i="16"/>
  <c r="CL62" i="16"/>
  <c r="CK62" i="16"/>
  <c r="CJ62" i="16"/>
  <c r="CI62" i="16"/>
  <c r="CH62" i="16"/>
  <c r="CG62" i="16"/>
  <c r="CF62" i="16"/>
  <c r="CE62" i="16"/>
  <c r="CD62" i="16"/>
  <c r="CC62" i="16"/>
  <c r="CB62" i="16"/>
  <c r="CA62" i="16"/>
  <c r="BZ62" i="16"/>
  <c r="BY62" i="16"/>
  <c r="BX62" i="16"/>
  <c r="BW62" i="16"/>
  <c r="BV62" i="16"/>
  <c r="BU62" i="16"/>
  <c r="BT62" i="16"/>
  <c r="BS62" i="16"/>
  <c r="BR62" i="16"/>
  <c r="BQ62" i="16"/>
  <c r="BP62" i="16"/>
  <c r="BO62" i="16"/>
  <c r="BN62" i="16"/>
  <c r="BM62" i="16"/>
  <c r="BL62" i="16"/>
  <c r="BK62" i="16"/>
  <c r="BJ62" i="16"/>
  <c r="BI62" i="16"/>
  <c r="BH62" i="16"/>
  <c r="BG62" i="16"/>
  <c r="BF62" i="16"/>
  <c r="BE62" i="16"/>
  <c r="BD62" i="16"/>
  <c r="BC62" i="16"/>
  <c r="BB62" i="16"/>
  <c r="BA62" i="16"/>
  <c r="AZ62" i="16"/>
  <c r="AY62" i="16"/>
  <c r="AX62" i="16"/>
  <c r="AW62" i="16"/>
  <c r="AV62" i="16"/>
  <c r="AU62" i="16"/>
  <c r="AT62" i="16"/>
  <c r="AS62" i="16"/>
  <c r="AR62" i="16"/>
  <c r="AQ62" i="16"/>
  <c r="AP62" i="16"/>
  <c r="AO62" i="16"/>
  <c r="AN62" i="16"/>
  <c r="AM62" i="16"/>
  <c r="AL62" i="16"/>
  <c r="AK62" i="16"/>
  <c r="AJ62" i="16"/>
  <c r="AI62" i="16"/>
  <c r="AH62" i="16"/>
  <c r="AG62" i="16"/>
  <c r="AF62" i="16"/>
  <c r="AE62" i="16"/>
  <c r="AD62" i="16"/>
  <c r="AC62" i="16"/>
  <c r="AB62" i="16"/>
  <c r="AA62" i="16"/>
  <c r="Z62" i="16"/>
  <c r="Y62" i="16"/>
  <c r="X62" i="16"/>
  <c r="W62" i="16"/>
  <c r="V62" i="16"/>
  <c r="U62" i="16"/>
  <c r="T62" i="16"/>
  <c r="S62" i="16"/>
  <c r="R62" i="16"/>
  <c r="Q62" i="16"/>
  <c r="P62" i="16"/>
  <c r="O62" i="16"/>
  <c r="N62" i="16"/>
  <c r="M62" i="16"/>
  <c r="L62" i="16"/>
  <c r="K62" i="16"/>
  <c r="J62" i="16"/>
  <c r="I62" i="16"/>
  <c r="H62" i="16"/>
  <c r="G62" i="16"/>
  <c r="F62" i="16"/>
  <c r="DC61" i="16"/>
  <c r="DB61" i="16"/>
  <c r="DA61" i="16"/>
  <c r="CZ61" i="16"/>
  <c r="CY61" i="16"/>
  <c r="CX61" i="16"/>
  <c r="CW61" i="16"/>
  <c r="CV61" i="16"/>
  <c r="CU61" i="16"/>
  <c r="CT61" i="16"/>
  <c r="CS61" i="16"/>
  <c r="CR61" i="16"/>
  <c r="CQ61" i="16"/>
  <c r="CP61" i="16"/>
  <c r="CO61" i="16"/>
  <c r="CN61" i="16"/>
  <c r="CM61" i="16"/>
  <c r="CL61" i="16"/>
  <c r="CK61" i="16"/>
  <c r="CJ61" i="16"/>
  <c r="CI61" i="16"/>
  <c r="CH61" i="16"/>
  <c r="CG61" i="16"/>
  <c r="CF61" i="16"/>
  <c r="CE61" i="16"/>
  <c r="CD61" i="16"/>
  <c r="CC61" i="16"/>
  <c r="CB61" i="16"/>
  <c r="CA61" i="16"/>
  <c r="BZ61" i="16"/>
  <c r="BY61" i="16"/>
  <c r="BX61" i="16"/>
  <c r="BW61" i="16"/>
  <c r="BV61" i="16"/>
  <c r="BU61" i="16"/>
  <c r="BT61" i="16"/>
  <c r="BS61" i="16"/>
  <c r="BR61" i="16"/>
  <c r="BQ61" i="16"/>
  <c r="BP61" i="16"/>
  <c r="BO61" i="16"/>
  <c r="BN61" i="16"/>
  <c r="BM61" i="16"/>
  <c r="BL61" i="16"/>
  <c r="BK61" i="16"/>
  <c r="BJ61" i="16"/>
  <c r="BI61" i="16"/>
  <c r="BH61" i="16"/>
  <c r="BG61" i="16"/>
  <c r="BF61" i="16"/>
  <c r="BE61" i="16"/>
  <c r="BD61" i="16"/>
  <c r="BC61" i="16"/>
  <c r="BB61" i="16"/>
  <c r="BA61" i="16"/>
  <c r="AZ61" i="16"/>
  <c r="AY61" i="16"/>
  <c r="AX61" i="16"/>
  <c r="AW61" i="16"/>
  <c r="AV61" i="16"/>
  <c r="AU61" i="16"/>
  <c r="AT61" i="16"/>
  <c r="AS61" i="16"/>
  <c r="AR61" i="16"/>
  <c r="AQ61" i="16"/>
  <c r="AP61" i="16"/>
  <c r="AO61" i="16"/>
  <c r="AN61" i="16"/>
  <c r="AM61" i="16"/>
  <c r="AL61" i="16"/>
  <c r="AK61" i="16"/>
  <c r="AJ61" i="16"/>
  <c r="AI61" i="16"/>
  <c r="AH61" i="16"/>
  <c r="AG61" i="16"/>
  <c r="AF61" i="16"/>
  <c r="AE61" i="16"/>
  <c r="AD61" i="16"/>
  <c r="AC61" i="16"/>
  <c r="AB61" i="16"/>
  <c r="AA61" i="16"/>
  <c r="Z61" i="16"/>
  <c r="Y61" i="16"/>
  <c r="X61" i="16"/>
  <c r="W61" i="16"/>
  <c r="V61" i="16"/>
  <c r="U61" i="16"/>
  <c r="T61" i="16"/>
  <c r="S61" i="16"/>
  <c r="R61" i="16"/>
  <c r="Q61" i="16"/>
  <c r="P61" i="16"/>
  <c r="O61" i="16"/>
  <c r="N61" i="16"/>
  <c r="M61" i="16"/>
  <c r="L61" i="16"/>
  <c r="K61" i="16"/>
  <c r="J61" i="16"/>
  <c r="I61" i="16"/>
  <c r="H61" i="16"/>
  <c r="G61" i="16"/>
  <c r="F61" i="16"/>
  <c r="DC60" i="16"/>
  <c r="DB60" i="16"/>
  <c r="DA60" i="16"/>
  <c r="CZ60" i="16"/>
  <c r="CY60" i="16"/>
  <c r="CX60" i="16"/>
  <c r="CW60" i="16"/>
  <c r="CV60" i="16"/>
  <c r="CU60" i="16"/>
  <c r="CT60" i="16"/>
  <c r="CS60" i="16"/>
  <c r="CR60" i="16"/>
  <c r="CQ60" i="16"/>
  <c r="CP60" i="16"/>
  <c r="CO60" i="16"/>
  <c r="CN60" i="16"/>
  <c r="CM60" i="16"/>
  <c r="CL60" i="16"/>
  <c r="CK60" i="16"/>
  <c r="CJ60" i="16"/>
  <c r="CI60" i="16"/>
  <c r="CH60" i="16"/>
  <c r="CG60" i="16"/>
  <c r="CF60" i="16"/>
  <c r="CE60" i="16"/>
  <c r="CD60" i="16"/>
  <c r="CC60" i="16"/>
  <c r="CB60" i="16"/>
  <c r="CA60" i="16"/>
  <c r="BZ60" i="16"/>
  <c r="BY60" i="16"/>
  <c r="BX60" i="16"/>
  <c r="BW60" i="16"/>
  <c r="BV60" i="16"/>
  <c r="BU60" i="16"/>
  <c r="BT60" i="16"/>
  <c r="BS60" i="16"/>
  <c r="BR60" i="16"/>
  <c r="BQ60" i="16"/>
  <c r="BP60" i="16"/>
  <c r="BO60" i="16"/>
  <c r="BN60" i="16"/>
  <c r="BM60" i="16"/>
  <c r="BL60" i="16"/>
  <c r="BK60" i="16"/>
  <c r="BJ60" i="16"/>
  <c r="BI60" i="16"/>
  <c r="BH60" i="16"/>
  <c r="BG60" i="16"/>
  <c r="BF60" i="16"/>
  <c r="BE60" i="16"/>
  <c r="BD60" i="16"/>
  <c r="BC60" i="16"/>
  <c r="BB60" i="16"/>
  <c r="BA60" i="16"/>
  <c r="AZ60" i="16"/>
  <c r="AY60" i="16"/>
  <c r="AX60" i="16"/>
  <c r="AW60" i="16"/>
  <c r="AV60" i="16"/>
  <c r="AU60" i="16"/>
  <c r="AT60" i="16"/>
  <c r="AS60" i="16"/>
  <c r="AR60" i="16"/>
  <c r="AQ60" i="16"/>
  <c r="AP60" i="16"/>
  <c r="AO60" i="16"/>
  <c r="AN60" i="16"/>
  <c r="AM60" i="16"/>
  <c r="AL60" i="16"/>
  <c r="AK60" i="16"/>
  <c r="AJ60" i="16"/>
  <c r="AI60" i="16"/>
  <c r="AH60" i="16"/>
  <c r="AG60" i="16"/>
  <c r="AF60" i="16"/>
  <c r="AE60" i="16"/>
  <c r="AD60" i="16"/>
  <c r="AC60" i="16"/>
  <c r="AB60" i="16"/>
  <c r="AA60" i="16"/>
  <c r="Z60" i="16"/>
  <c r="Y60" i="16"/>
  <c r="X60" i="16"/>
  <c r="W60" i="16"/>
  <c r="V60" i="16"/>
  <c r="U60" i="16"/>
  <c r="T60" i="16"/>
  <c r="S60" i="16"/>
  <c r="R60" i="16"/>
  <c r="Q60" i="16"/>
  <c r="P60" i="16"/>
  <c r="O60" i="16"/>
  <c r="N60" i="16"/>
  <c r="M60" i="16"/>
  <c r="L60" i="16"/>
  <c r="K60" i="16"/>
  <c r="J60" i="16"/>
  <c r="I60" i="16"/>
  <c r="H60" i="16"/>
  <c r="G60" i="16"/>
  <c r="F60" i="16"/>
  <c r="DC59" i="16"/>
  <c r="DB59" i="16"/>
  <c r="DA59" i="16"/>
  <c r="CZ59" i="16"/>
  <c r="CY59" i="16"/>
  <c r="CX59" i="16"/>
  <c r="CW59" i="16"/>
  <c r="CV59" i="16"/>
  <c r="CU59" i="16"/>
  <c r="CT59" i="16"/>
  <c r="CS59" i="16"/>
  <c r="CR59" i="16"/>
  <c r="CQ59" i="16"/>
  <c r="CP59" i="16"/>
  <c r="CO59" i="16"/>
  <c r="CN59" i="16"/>
  <c r="CM59" i="16"/>
  <c r="CL59" i="16"/>
  <c r="CK59" i="16"/>
  <c r="CJ59" i="16"/>
  <c r="CI59" i="16"/>
  <c r="CH59" i="16"/>
  <c r="CG59" i="16"/>
  <c r="CF59" i="16"/>
  <c r="CE59" i="16"/>
  <c r="CD59" i="16"/>
  <c r="CC59" i="16"/>
  <c r="CB59" i="16"/>
  <c r="CA59" i="16"/>
  <c r="BZ59" i="16"/>
  <c r="BY59" i="16"/>
  <c r="BX59" i="16"/>
  <c r="BW59" i="16"/>
  <c r="BV59" i="16"/>
  <c r="BU59" i="16"/>
  <c r="BT59" i="16"/>
  <c r="BS59" i="16"/>
  <c r="BR59" i="16"/>
  <c r="BQ59" i="16"/>
  <c r="BP59" i="16"/>
  <c r="BO59" i="16"/>
  <c r="BN59" i="16"/>
  <c r="BM59" i="16"/>
  <c r="BL59" i="16"/>
  <c r="BK59" i="16"/>
  <c r="BJ59" i="16"/>
  <c r="BI59" i="16"/>
  <c r="BH59" i="16"/>
  <c r="BG59" i="16"/>
  <c r="BF59" i="16"/>
  <c r="BE59" i="16"/>
  <c r="BD59" i="16"/>
  <c r="BC59" i="16"/>
  <c r="BB59" i="16"/>
  <c r="BA59" i="16"/>
  <c r="AZ59" i="16"/>
  <c r="AY59" i="16"/>
  <c r="AX59" i="16"/>
  <c r="AW59" i="16"/>
  <c r="AV59" i="16"/>
  <c r="AU59" i="16"/>
  <c r="AT59" i="16"/>
  <c r="AS59" i="16"/>
  <c r="AR59" i="16"/>
  <c r="AQ59" i="16"/>
  <c r="AP59" i="16"/>
  <c r="AO59" i="16"/>
  <c r="AN59" i="16"/>
  <c r="AM59" i="16"/>
  <c r="AL59" i="16"/>
  <c r="AK59" i="16"/>
  <c r="AJ59" i="16"/>
  <c r="AI59" i="16"/>
  <c r="AH59" i="16"/>
  <c r="AG59" i="16"/>
  <c r="AF59" i="16"/>
  <c r="AE59" i="16"/>
  <c r="AD59" i="16"/>
  <c r="AC59" i="16"/>
  <c r="AB59" i="16"/>
  <c r="AA59" i="16"/>
  <c r="Z59" i="16"/>
  <c r="Y59" i="16"/>
  <c r="X59" i="16"/>
  <c r="W59" i="16"/>
  <c r="V59" i="16"/>
  <c r="U59" i="16"/>
  <c r="T59" i="16"/>
  <c r="S59" i="16"/>
  <c r="R59" i="16"/>
  <c r="Q59" i="16"/>
  <c r="P59" i="16"/>
  <c r="O59" i="16"/>
  <c r="N59" i="16"/>
  <c r="M59" i="16"/>
  <c r="L59" i="16"/>
  <c r="K59" i="16"/>
  <c r="J59" i="16"/>
  <c r="I59" i="16"/>
  <c r="H59" i="16"/>
  <c r="G59" i="16"/>
  <c r="F59" i="16"/>
  <c r="DC58" i="16"/>
  <c r="DB58" i="16"/>
  <c r="DA58" i="16"/>
  <c r="CZ58" i="16"/>
  <c r="CY58" i="16"/>
  <c r="CX58" i="16"/>
  <c r="CW58" i="16"/>
  <c r="CV58" i="16"/>
  <c r="CU58" i="16"/>
  <c r="CT58" i="16"/>
  <c r="CS58" i="16"/>
  <c r="CR58" i="16"/>
  <c r="CQ58" i="16"/>
  <c r="CP58" i="16"/>
  <c r="CO58" i="16"/>
  <c r="CN58" i="16"/>
  <c r="CM58" i="16"/>
  <c r="CL58" i="16"/>
  <c r="CK58" i="16"/>
  <c r="CJ58" i="16"/>
  <c r="CI58" i="16"/>
  <c r="CH58" i="16"/>
  <c r="CG58" i="16"/>
  <c r="CF58" i="16"/>
  <c r="CE58" i="16"/>
  <c r="CD58" i="16"/>
  <c r="CC58" i="16"/>
  <c r="CB58" i="16"/>
  <c r="CA58" i="16"/>
  <c r="BZ58" i="16"/>
  <c r="BY58" i="16"/>
  <c r="BX58" i="16"/>
  <c r="BW58" i="16"/>
  <c r="BV58" i="16"/>
  <c r="BU58" i="16"/>
  <c r="BT58" i="16"/>
  <c r="BS58" i="16"/>
  <c r="BR58" i="16"/>
  <c r="BQ58" i="16"/>
  <c r="BP58" i="16"/>
  <c r="BO58" i="16"/>
  <c r="BN58" i="16"/>
  <c r="BM58" i="16"/>
  <c r="BL58" i="16"/>
  <c r="BK58" i="16"/>
  <c r="BJ58" i="16"/>
  <c r="BI58" i="16"/>
  <c r="BH58" i="16"/>
  <c r="BG58" i="16"/>
  <c r="BF58" i="16"/>
  <c r="BE58" i="16"/>
  <c r="BD58" i="16"/>
  <c r="BC58" i="16"/>
  <c r="BB58" i="16"/>
  <c r="BA58" i="16"/>
  <c r="AZ58" i="16"/>
  <c r="AY58" i="16"/>
  <c r="AX58" i="16"/>
  <c r="AW58" i="16"/>
  <c r="AV58" i="16"/>
  <c r="AU58" i="16"/>
  <c r="AT58" i="16"/>
  <c r="AS58" i="16"/>
  <c r="AR58" i="16"/>
  <c r="AQ58" i="16"/>
  <c r="AP58" i="16"/>
  <c r="AO58" i="16"/>
  <c r="AN58" i="16"/>
  <c r="AM58" i="16"/>
  <c r="AL58" i="16"/>
  <c r="AK58" i="16"/>
  <c r="AJ58" i="16"/>
  <c r="AI58" i="16"/>
  <c r="AH58" i="16"/>
  <c r="AG58" i="16"/>
  <c r="AF58" i="16"/>
  <c r="AE58" i="16"/>
  <c r="AD58" i="16"/>
  <c r="AC58" i="16"/>
  <c r="AB58" i="16"/>
  <c r="AA58" i="16"/>
  <c r="Z58" i="16"/>
  <c r="Y58" i="16"/>
  <c r="X58" i="16"/>
  <c r="W58" i="16"/>
  <c r="V58" i="16"/>
  <c r="U58" i="16"/>
  <c r="T58" i="16"/>
  <c r="S58" i="16"/>
  <c r="R58" i="16"/>
  <c r="Q58" i="16"/>
  <c r="P58" i="16"/>
  <c r="O58" i="16"/>
  <c r="N58" i="16"/>
  <c r="M58" i="16"/>
  <c r="L58" i="16"/>
  <c r="K58" i="16"/>
  <c r="J58" i="16"/>
  <c r="I58" i="16"/>
  <c r="H58" i="16"/>
  <c r="G58" i="16"/>
  <c r="F58" i="16"/>
  <c r="DC57" i="16"/>
  <c r="DB57" i="16"/>
  <c r="DA57" i="16"/>
  <c r="CZ57" i="16"/>
  <c r="CY57" i="16"/>
  <c r="CX57" i="16"/>
  <c r="CW57" i="16"/>
  <c r="CV57" i="16"/>
  <c r="CU57" i="16"/>
  <c r="CT57" i="16"/>
  <c r="CS57" i="16"/>
  <c r="CR57" i="16"/>
  <c r="CQ57" i="16"/>
  <c r="CP57" i="16"/>
  <c r="CO57" i="16"/>
  <c r="CN57" i="16"/>
  <c r="CM57" i="16"/>
  <c r="CL57" i="16"/>
  <c r="CK57" i="16"/>
  <c r="CJ57" i="16"/>
  <c r="CI57" i="16"/>
  <c r="CH57" i="16"/>
  <c r="CG57" i="16"/>
  <c r="CF57" i="16"/>
  <c r="CE57" i="16"/>
  <c r="CD57" i="16"/>
  <c r="CC57" i="16"/>
  <c r="CB57" i="16"/>
  <c r="CA57" i="16"/>
  <c r="BZ57" i="16"/>
  <c r="BY57" i="16"/>
  <c r="BX57" i="16"/>
  <c r="BW57" i="16"/>
  <c r="BV57" i="16"/>
  <c r="BU57" i="16"/>
  <c r="BT57" i="16"/>
  <c r="BS57" i="16"/>
  <c r="BR57" i="16"/>
  <c r="BQ57" i="16"/>
  <c r="BP57" i="16"/>
  <c r="BO57" i="16"/>
  <c r="BN57" i="16"/>
  <c r="BM57" i="16"/>
  <c r="BL57" i="16"/>
  <c r="BK57" i="16"/>
  <c r="BJ57" i="16"/>
  <c r="BI57" i="16"/>
  <c r="BH57" i="16"/>
  <c r="BG57" i="16"/>
  <c r="BF57" i="16"/>
  <c r="BE57" i="16"/>
  <c r="BD57" i="16"/>
  <c r="BC57" i="16"/>
  <c r="BB57" i="16"/>
  <c r="BA57" i="16"/>
  <c r="AZ57" i="16"/>
  <c r="AY57" i="16"/>
  <c r="AX57" i="16"/>
  <c r="AW57" i="16"/>
  <c r="AV57" i="16"/>
  <c r="AU57" i="16"/>
  <c r="AT57" i="16"/>
  <c r="AS57" i="16"/>
  <c r="AR57" i="16"/>
  <c r="AQ57" i="16"/>
  <c r="AP57" i="16"/>
  <c r="AO57" i="16"/>
  <c r="AN57" i="16"/>
  <c r="AM57" i="16"/>
  <c r="AL57" i="16"/>
  <c r="AK57" i="16"/>
  <c r="AJ57" i="16"/>
  <c r="AI57" i="16"/>
  <c r="AH57" i="16"/>
  <c r="AG57" i="16"/>
  <c r="AF57" i="16"/>
  <c r="AE57" i="16"/>
  <c r="AD57" i="16"/>
  <c r="AC57" i="16"/>
  <c r="AB57" i="16"/>
  <c r="AA57" i="16"/>
  <c r="Z57" i="16"/>
  <c r="Y57" i="16"/>
  <c r="X57" i="16"/>
  <c r="W57" i="16"/>
  <c r="V57" i="16"/>
  <c r="U57" i="16"/>
  <c r="T57" i="16"/>
  <c r="S57" i="16"/>
  <c r="R57" i="16"/>
  <c r="Q57" i="16"/>
  <c r="P57" i="16"/>
  <c r="O57" i="16"/>
  <c r="N57" i="16"/>
  <c r="M57" i="16"/>
  <c r="L57" i="16"/>
  <c r="K57" i="16"/>
  <c r="J57" i="16"/>
  <c r="I57" i="16"/>
  <c r="H57" i="16"/>
  <c r="G57" i="16"/>
  <c r="F57" i="16"/>
  <c r="DC56" i="16"/>
  <c r="DB56" i="16"/>
  <c r="DA56" i="16"/>
  <c r="CZ56" i="16"/>
  <c r="CY56" i="16"/>
  <c r="CX56" i="16"/>
  <c r="CW56" i="16"/>
  <c r="CV56" i="16"/>
  <c r="CU56" i="16"/>
  <c r="CT56" i="16"/>
  <c r="CS56" i="16"/>
  <c r="CR56" i="16"/>
  <c r="CQ56" i="16"/>
  <c r="CP56" i="16"/>
  <c r="CO56" i="16"/>
  <c r="CN56" i="16"/>
  <c r="CM56" i="16"/>
  <c r="CL56" i="16"/>
  <c r="CK56" i="16"/>
  <c r="CJ56" i="16"/>
  <c r="CI56" i="16"/>
  <c r="CH56" i="16"/>
  <c r="CG56" i="16"/>
  <c r="CF56" i="16"/>
  <c r="CE56" i="16"/>
  <c r="CD56" i="16"/>
  <c r="CC56" i="16"/>
  <c r="CB56" i="16"/>
  <c r="CA56" i="16"/>
  <c r="BZ56" i="16"/>
  <c r="BY56" i="16"/>
  <c r="BX56" i="16"/>
  <c r="BW56" i="16"/>
  <c r="BV56" i="16"/>
  <c r="BU56" i="16"/>
  <c r="BT56" i="16"/>
  <c r="BS56" i="16"/>
  <c r="BR56" i="16"/>
  <c r="BQ56" i="16"/>
  <c r="BP56" i="16"/>
  <c r="BO56" i="16"/>
  <c r="BN56" i="16"/>
  <c r="BM56" i="16"/>
  <c r="BL56" i="16"/>
  <c r="BK56" i="16"/>
  <c r="BJ56" i="16"/>
  <c r="BI56" i="16"/>
  <c r="BH56" i="16"/>
  <c r="BG56" i="16"/>
  <c r="BF56" i="16"/>
  <c r="BE56" i="16"/>
  <c r="BD56" i="16"/>
  <c r="BC56" i="16"/>
  <c r="BB56" i="16"/>
  <c r="BA56" i="16"/>
  <c r="AZ56" i="16"/>
  <c r="AY56" i="16"/>
  <c r="AX56" i="16"/>
  <c r="AW56" i="16"/>
  <c r="AV56" i="16"/>
  <c r="AU56" i="16"/>
  <c r="AT56" i="16"/>
  <c r="AS56" i="16"/>
  <c r="AR56" i="16"/>
  <c r="AQ56" i="16"/>
  <c r="AP56" i="16"/>
  <c r="AO56" i="16"/>
  <c r="AN56" i="16"/>
  <c r="AM56" i="16"/>
  <c r="AL56" i="16"/>
  <c r="AK56" i="16"/>
  <c r="AJ56" i="16"/>
  <c r="AI56" i="16"/>
  <c r="AH56" i="16"/>
  <c r="AG56" i="16"/>
  <c r="AF56" i="16"/>
  <c r="AE56" i="16"/>
  <c r="AD56" i="16"/>
  <c r="AC56" i="16"/>
  <c r="AB56" i="16"/>
  <c r="AA56" i="16"/>
  <c r="Z56" i="16"/>
  <c r="Y56" i="16"/>
  <c r="X56" i="16"/>
  <c r="W56" i="16"/>
  <c r="V56" i="16"/>
  <c r="U56" i="16"/>
  <c r="T56" i="16"/>
  <c r="S56" i="16"/>
  <c r="R56" i="16"/>
  <c r="Q56" i="16"/>
  <c r="P56" i="16"/>
  <c r="O56" i="16"/>
  <c r="N56" i="16"/>
  <c r="M56" i="16"/>
  <c r="L56" i="16"/>
  <c r="K56" i="16"/>
  <c r="J56" i="16"/>
  <c r="I56" i="16"/>
  <c r="H56" i="16"/>
  <c r="G56" i="16"/>
  <c r="F56" i="16"/>
  <c r="DC55" i="16"/>
  <c r="DB55" i="16"/>
  <c r="DA55" i="16"/>
  <c r="CZ55" i="16"/>
  <c r="CY55" i="16"/>
  <c r="CX55" i="16"/>
  <c r="CW55" i="16"/>
  <c r="CV55" i="16"/>
  <c r="CU55" i="16"/>
  <c r="CT55" i="16"/>
  <c r="CS55" i="16"/>
  <c r="CR55" i="16"/>
  <c r="CQ55" i="16"/>
  <c r="CP55" i="16"/>
  <c r="CO55" i="16"/>
  <c r="CN55" i="16"/>
  <c r="CM55" i="16"/>
  <c r="CL55" i="16"/>
  <c r="CK55" i="16"/>
  <c r="CJ55" i="16"/>
  <c r="CI55" i="16"/>
  <c r="CH55" i="16"/>
  <c r="CG55" i="16"/>
  <c r="CF55" i="16"/>
  <c r="CE55" i="16"/>
  <c r="CD55" i="16"/>
  <c r="CC55" i="16"/>
  <c r="CB55" i="16"/>
  <c r="CA55" i="16"/>
  <c r="BZ55" i="16"/>
  <c r="BY55" i="16"/>
  <c r="BX55" i="16"/>
  <c r="BW55" i="16"/>
  <c r="BV55" i="16"/>
  <c r="BU55" i="16"/>
  <c r="BT55" i="16"/>
  <c r="BS55" i="16"/>
  <c r="BR55" i="16"/>
  <c r="BQ55" i="16"/>
  <c r="BP55" i="16"/>
  <c r="BO55" i="16"/>
  <c r="BN55" i="16"/>
  <c r="BM55" i="16"/>
  <c r="BL55" i="16"/>
  <c r="BK55" i="16"/>
  <c r="BJ55" i="16"/>
  <c r="BI55" i="16"/>
  <c r="BH55" i="16"/>
  <c r="BG55" i="16"/>
  <c r="BF55" i="16"/>
  <c r="BE55" i="16"/>
  <c r="BD55" i="16"/>
  <c r="BC55" i="16"/>
  <c r="BB55" i="16"/>
  <c r="BA55" i="16"/>
  <c r="AZ55" i="16"/>
  <c r="AY55" i="16"/>
  <c r="AX55" i="16"/>
  <c r="AW55" i="16"/>
  <c r="AV55" i="16"/>
  <c r="AU55" i="16"/>
  <c r="AT55" i="16"/>
  <c r="AS55" i="16"/>
  <c r="AR55" i="16"/>
  <c r="AQ55" i="16"/>
  <c r="AP55" i="16"/>
  <c r="AO55" i="16"/>
  <c r="AN55" i="16"/>
  <c r="AM55" i="16"/>
  <c r="AL55" i="16"/>
  <c r="AK55" i="16"/>
  <c r="AJ55" i="16"/>
  <c r="AI55" i="16"/>
  <c r="AH55" i="16"/>
  <c r="AG55" i="16"/>
  <c r="AF55" i="16"/>
  <c r="AE55" i="16"/>
  <c r="AD55" i="16"/>
  <c r="AC55" i="16"/>
  <c r="AB55" i="16"/>
  <c r="AA55" i="16"/>
  <c r="Z55" i="16"/>
  <c r="Y55" i="16"/>
  <c r="X55" i="16"/>
  <c r="W55" i="16"/>
  <c r="V55" i="16"/>
  <c r="U55" i="16"/>
  <c r="T55" i="16"/>
  <c r="S55" i="16"/>
  <c r="R55" i="16"/>
  <c r="Q55" i="16"/>
  <c r="P55" i="16"/>
  <c r="O55" i="16"/>
  <c r="N55" i="16"/>
  <c r="M55" i="16"/>
  <c r="L55" i="16"/>
  <c r="K55" i="16"/>
  <c r="J55" i="16"/>
  <c r="I55" i="16"/>
  <c r="H55" i="16"/>
  <c r="G55" i="16"/>
  <c r="F55" i="16"/>
  <c r="DC54" i="16"/>
  <c r="DB54" i="16"/>
  <c r="DA54" i="16"/>
  <c r="CZ54" i="16"/>
  <c r="CY54" i="16"/>
  <c r="CX54" i="16"/>
  <c r="CW54" i="16"/>
  <c r="CV54" i="16"/>
  <c r="CU54" i="16"/>
  <c r="CT54" i="16"/>
  <c r="CS54" i="16"/>
  <c r="CR54" i="16"/>
  <c r="CQ54" i="16"/>
  <c r="CP54" i="16"/>
  <c r="CO54" i="16"/>
  <c r="CN54" i="16"/>
  <c r="CM54" i="16"/>
  <c r="CL54" i="16"/>
  <c r="CK54" i="16"/>
  <c r="CJ54" i="16"/>
  <c r="CI54" i="16"/>
  <c r="CH54" i="16"/>
  <c r="CG54" i="16"/>
  <c r="CF54" i="16"/>
  <c r="CE54" i="16"/>
  <c r="CD54" i="16"/>
  <c r="CC54" i="16"/>
  <c r="CB54" i="16"/>
  <c r="CA54" i="16"/>
  <c r="BZ54" i="16"/>
  <c r="BY54" i="16"/>
  <c r="BX54" i="16"/>
  <c r="BW54" i="16"/>
  <c r="BV54" i="16"/>
  <c r="BU54" i="16"/>
  <c r="BT54" i="16"/>
  <c r="BS54" i="16"/>
  <c r="BR54" i="16"/>
  <c r="BQ54" i="16"/>
  <c r="BP54" i="16"/>
  <c r="BO54" i="16"/>
  <c r="BN54" i="16"/>
  <c r="BM54" i="16"/>
  <c r="BL54" i="16"/>
  <c r="BK54" i="16"/>
  <c r="BJ54" i="16"/>
  <c r="BI54" i="16"/>
  <c r="BH54" i="16"/>
  <c r="BG54" i="16"/>
  <c r="BF54" i="16"/>
  <c r="BE54" i="16"/>
  <c r="BD54" i="16"/>
  <c r="BC54" i="16"/>
  <c r="BB54" i="16"/>
  <c r="BA54" i="16"/>
  <c r="AZ54" i="16"/>
  <c r="AY54" i="16"/>
  <c r="AX54" i="16"/>
  <c r="AW54" i="16"/>
  <c r="AV54" i="16"/>
  <c r="AU54" i="16"/>
  <c r="AT54" i="16"/>
  <c r="AS54" i="16"/>
  <c r="AR54" i="16"/>
  <c r="AQ54" i="16"/>
  <c r="AP54" i="16"/>
  <c r="AO54" i="16"/>
  <c r="AN54" i="16"/>
  <c r="AM54" i="16"/>
  <c r="AL54" i="16"/>
  <c r="AK54" i="16"/>
  <c r="AJ54" i="16"/>
  <c r="AI54" i="16"/>
  <c r="AH54" i="16"/>
  <c r="AG54" i="16"/>
  <c r="AF54" i="16"/>
  <c r="AE54" i="16"/>
  <c r="AD54" i="16"/>
  <c r="AC54" i="16"/>
  <c r="AB54" i="16"/>
  <c r="AA54" i="16"/>
  <c r="Z54" i="16"/>
  <c r="Y54" i="16"/>
  <c r="X54" i="16"/>
  <c r="W54" i="16"/>
  <c r="V54" i="16"/>
  <c r="U54" i="16"/>
  <c r="T54" i="16"/>
  <c r="S54" i="16"/>
  <c r="R54" i="16"/>
  <c r="Q54" i="16"/>
  <c r="P54" i="16"/>
  <c r="O54" i="16"/>
  <c r="N54" i="16"/>
  <c r="M54" i="16"/>
  <c r="L54" i="16"/>
  <c r="K54" i="16"/>
  <c r="J54" i="16"/>
  <c r="I54" i="16"/>
  <c r="H54" i="16"/>
  <c r="G54" i="16"/>
  <c r="F54" i="16"/>
  <c r="DC53" i="16"/>
  <c r="DB53" i="16"/>
  <c r="DA53" i="16"/>
  <c r="CZ53" i="16"/>
  <c r="CY53" i="16"/>
  <c r="CX53" i="16"/>
  <c r="CW53" i="16"/>
  <c r="CV53" i="16"/>
  <c r="CU53" i="16"/>
  <c r="CT53" i="16"/>
  <c r="CS53" i="16"/>
  <c r="CR53" i="16"/>
  <c r="CQ53" i="16"/>
  <c r="CP53" i="16"/>
  <c r="CO53" i="16"/>
  <c r="CN53" i="16"/>
  <c r="CM53" i="16"/>
  <c r="CL53" i="16"/>
  <c r="CK53" i="16"/>
  <c r="CJ53" i="16"/>
  <c r="CI53" i="16"/>
  <c r="CH53" i="16"/>
  <c r="CG53" i="16"/>
  <c r="CF53" i="16"/>
  <c r="CE53" i="16"/>
  <c r="CD53" i="16"/>
  <c r="CC53" i="16"/>
  <c r="CB53" i="16"/>
  <c r="CA53" i="16"/>
  <c r="BZ53" i="16"/>
  <c r="BY53" i="16"/>
  <c r="BX53" i="16"/>
  <c r="BW53" i="16"/>
  <c r="BV53" i="16"/>
  <c r="BU53" i="16"/>
  <c r="BT53" i="16"/>
  <c r="BS53" i="16"/>
  <c r="BR53" i="16"/>
  <c r="BQ53" i="16"/>
  <c r="BP53" i="16"/>
  <c r="BO53" i="16"/>
  <c r="BN53" i="16"/>
  <c r="BM53" i="16"/>
  <c r="BL53" i="16"/>
  <c r="BK53" i="16"/>
  <c r="BJ53" i="16"/>
  <c r="BI53" i="16"/>
  <c r="BH53" i="16"/>
  <c r="BG53" i="16"/>
  <c r="BF53" i="16"/>
  <c r="BE53" i="16"/>
  <c r="BD53" i="16"/>
  <c r="BC53" i="16"/>
  <c r="BB53" i="16"/>
  <c r="BA53" i="16"/>
  <c r="AZ53" i="16"/>
  <c r="AY53" i="16"/>
  <c r="AX53" i="16"/>
  <c r="AW53" i="16"/>
  <c r="AV53" i="16"/>
  <c r="AU53" i="16"/>
  <c r="AT53" i="16"/>
  <c r="AS53" i="16"/>
  <c r="AR53" i="16"/>
  <c r="AQ53" i="16"/>
  <c r="AP53" i="16"/>
  <c r="AO53" i="16"/>
  <c r="AN53" i="16"/>
  <c r="AM53" i="16"/>
  <c r="AL53" i="16"/>
  <c r="AK53" i="16"/>
  <c r="AJ53" i="16"/>
  <c r="AI53" i="16"/>
  <c r="AH53" i="16"/>
  <c r="AG53" i="16"/>
  <c r="AF53" i="16"/>
  <c r="AE53" i="16"/>
  <c r="AD53" i="16"/>
  <c r="AC53" i="16"/>
  <c r="AB53" i="16"/>
  <c r="AA53" i="16"/>
  <c r="Z53" i="16"/>
  <c r="Y53" i="16"/>
  <c r="X53" i="16"/>
  <c r="W53" i="16"/>
  <c r="V53" i="16"/>
  <c r="U53" i="16"/>
  <c r="T53" i="16"/>
  <c r="S53" i="16"/>
  <c r="R53" i="16"/>
  <c r="Q53" i="16"/>
  <c r="P53" i="16"/>
  <c r="O53" i="16"/>
  <c r="N53" i="16"/>
  <c r="M53" i="16"/>
  <c r="L53" i="16"/>
  <c r="K53" i="16"/>
  <c r="J53" i="16"/>
  <c r="I53" i="16"/>
  <c r="H53" i="16"/>
  <c r="G53" i="16"/>
  <c r="F53" i="16"/>
  <c r="DC51" i="16"/>
  <c r="DB51" i="16"/>
  <c r="DA51" i="16"/>
  <c r="CZ51" i="16"/>
  <c r="CY51" i="16"/>
  <c r="CX51" i="16"/>
  <c r="CW51" i="16"/>
  <c r="CV51" i="16"/>
  <c r="CU51" i="16"/>
  <c r="CT51" i="16"/>
  <c r="CS51" i="16"/>
  <c r="CR51" i="16"/>
  <c r="CQ51" i="16"/>
  <c r="CP51" i="16"/>
  <c r="CO51" i="16"/>
  <c r="CN51" i="16"/>
  <c r="CM51" i="16"/>
  <c r="CL51" i="16"/>
  <c r="CK51" i="16"/>
  <c r="CJ51" i="16"/>
  <c r="CI51" i="16"/>
  <c r="CH51" i="16"/>
  <c r="CG51" i="16"/>
  <c r="CF51" i="16"/>
  <c r="CE51" i="16"/>
  <c r="CD51" i="16"/>
  <c r="CC51" i="16"/>
  <c r="CB51" i="16"/>
  <c r="CA51" i="16"/>
  <c r="BZ51" i="16"/>
  <c r="BY51" i="16"/>
  <c r="BX51" i="16"/>
  <c r="BW51" i="16"/>
  <c r="BV51" i="16"/>
  <c r="BU51" i="16"/>
  <c r="BT51" i="16"/>
  <c r="BS51" i="16"/>
  <c r="BR51" i="16"/>
  <c r="BQ51" i="16"/>
  <c r="BP51" i="16"/>
  <c r="BO51" i="16"/>
  <c r="BN51" i="16"/>
  <c r="BM51" i="16"/>
  <c r="BL51" i="16"/>
  <c r="BK51" i="16"/>
  <c r="BJ51" i="16"/>
  <c r="BI51" i="16"/>
  <c r="BH51" i="16"/>
  <c r="BG51" i="16"/>
  <c r="BF51" i="16"/>
  <c r="BE51" i="16"/>
  <c r="BD51" i="16"/>
  <c r="BC51" i="16"/>
  <c r="BB51" i="16"/>
  <c r="BA51" i="16"/>
  <c r="AZ51" i="16"/>
  <c r="AY51" i="16"/>
  <c r="AX51" i="16"/>
  <c r="AW51" i="16"/>
  <c r="AV51" i="16"/>
  <c r="AU51" i="16"/>
  <c r="AT51" i="16"/>
  <c r="AS51" i="16"/>
  <c r="AR51" i="16"/>
  <c r="AQ51" i="16"/>
  <c r="AP51" i="16"/>
  <c r="AO51" i="16"/>
  <c r="AN51" i="16"/>
  <c r="AM51" i="16"/>
  <c r="AL51" i="16"/>
  <c r="AK51" i="16"/>
  <c r="AJ51" i="16"/>
  <c r="AI51" i="16"/>
  <c r="AH51" i="16"/>
  <c r="AG51" i="16"/>
  <c r="AF51" i="16"/>
  <c r="AE51" i="16"/>
  <c r="AD51" i="16"/>
  <c r="AC51" i="16"/>
  <c r="AB51" i="16"/>
  <c r="AA51" i="16"/>
  <c r="Z51" i="16"/>
  <c r="Y51" i="16"/>
  <c r="X51" i="16"/>
  <c r="W51" i="16"/>
  <c r="V51" i="16"/>
  <c r="U51" i="16"/>
  <c r="T51" i="16"/>
  <c r="S51" i="16"/>
  <c r="R51" i="16"/>
  <c r="Q51" i="16"/>
  <c r="P51" i="16"/>
  <c r="O51" i="16"/>
  <c r="N51" i="16"/>
  <c r="M51" i="16"/>
  <c r="L51" i="16"/>
  <c r="K51" i="16"/>
  <c r="J51" i="16"/>
  <c r="I51" i="16"/>
  <c r="H51" i="16"/>
  <c r="G51" i="16"/>
  <c r="F51" i="16"/>
  <c r="DC50" i="16"/>
  <c r="DB50" i="16"/>
  <c r="DA50" i="16"/>
  <c r="CZ50" i="16"/>
  <c r="CY50" i="16"/>
  <c r="CX50" i="16"/>
  <c r="CW50" i="16"/>
  <c r="CV50" i="16"/>
  <c r="CU50" i="16"/>
  <c r="CT50" i="16"/>
  <c r="CS50" i="16"/>
  <c r="CR50" i="16"/>
  <c r="CQ50" i="16"/>
  <c r="CP50" i="16"/>
  <c r="CO50" i="16"/>
  <c r="CN50" i="16"/>
  <c r="CM50" i="16"/>
  <c r="CL50" i="16"/>
  <c r="CK50" i="16"/>
  <c r="CJ50" i="16"/>
  <c r="CI50" i="16"/>
  <c r="CH50" i="16"/>
  <c r="CG50" i="16"/>
  <c r="CF50" i="16"/>
  <c r="CE50" i="16"/>
  <c r="CD50" i="16"/>
  <c r="CC50" i="16"/>
  <c r="CB50" i="16"/>
  <c r="CA50" i="16"/>
  <c r="BZ50" i="16"/>
  <c r="BY50" i="16"/>
  <c r="BX50" i="16"/>
  <c r="BW50" i="16"/>
  <c r="BV50" i="16"/>
  <c r="BU50" i="16"/>
  <c r="BT50" i="16"/>
  <c r="BS50" i="16"/>
  <c r="BR50" i="16"/>
  <c r="BQ50" i="16"/>
  <c r="BP50" i="16"/>
  <c r="BO50" i="16"/>
  <c r="BN50" i="16"/>
  <c r="BM50" i="16"/>
  <c r="BL50" i="16"/>
  <c r="BK50" i="16"/>
  <c r="BJ50" i="16"/>
  <c r="BI50" i="16"/>
  <c r="BH50" i="16"/>
  <c r="BG50" i="16"/>
  <c r="BF50" i="16"/>
  <c r="BE50" i="16"/>
  <c r="BD50" i="16"/>
  <c r="BC50" i="16"/>
  <c r="BB50" i="16"/>
  <c r="BA50" i="16"/>
  <c r="AZ50" i="16"/>
  <c r="AY50" i="16"/>
  <c r="AX50" i="16"/>
  <c r="AW50" i="16"/>
  <c r="AV50" i="16"/>
  <c r="AU50" i="16"/>
  <c r="AT50" i="16"/>
  <c r="AS50" i="16"/>
  <c r="AR50" i="16"/>
  <c r="AQ50" i="16"/>
  <c r="AP50" i="16"/>
  <c r="AO50" i="16"/>
  <c r="AN50" i="16"/>
  <c r="AM50" i="16"/>
  <c r="AL50" i="16"/>
  <c r="AK50" i="16"/>
  <c r="AJ50" i="16"/>
  <c r="AI50" i="16"/>
  <c r="AH50" i="16"/>
  <c r="AG50" i="16"/>
  <c r="AF50" i="16"/>
  <c r="AE50" i="16"/>
  <c r="AD50" i="16"/>
  <c r="AC50" i="16"/>
  <c r="AB50" i="16"/>
  <c r="AA50" i="16"/>
  <c r="Z50" i="16"/>
  <c r="Y50" i="16"/>
  <c r="X50" i="16"/>
  <c r="W50" i="16"/>
  <c r="V50" i="16"/>
  <c r="U50" i="16"/>
  <c r="T50" i="16"/>
  <c r="S50" i="16"/>
  <c r="R50" i="16"/>
  <c r="Q50" i="16"/>
  <c r="P50" i="16"/>
  <c r="O50" i="16"/>
  <c r="N50" i="16"/>
  <c r="M50" i="16"/>
  <c r="L50" i="16"/>
  <c r="K50" i="16"/>
  <c r="J50" i="16"/>
  <c r="I50" i="16"/>
  <c r="H50" i="16"/>
  <c r="G50" i="16"/>
  <c r="F50" i="16"/>
  <c r="DC49" i="16"/>
  <c r="DB49" i="16"/>
  <c r="DA49" i="16"/>
  <c r="CZ49" i="16"/>
  <c r="CY49" i="16"/>
  <c r="CX49" i="16"/>
  <c r="CW49" i="16"/>
  <c r="CV49" i="16"/>
  <c r="CU49" i="16"/>
  <c r="CT49" i="16"/>
  <c r="CS49" i="16"/>
  <c r="CR49" i="16"/>
  <c r="CQ49" i="16"/>
  <c r="CP49" i="16"/>
  <c r="CO49" i="16"/>
  <c r="CN49" i="16"/>
  <c r="CM49" i="16"/>
  <c r="CL49" i="16"/>
  <c r="CK49" i="16"/>
  <c r="CJ49" i="16"/>
  <c r="CI49" i="16"/>
  <c r="CH49" i="16"/>
  <c r="CG49" i="16"/>
  <c r="CF49" i="16"/>
  <c r="CE49" i="16"/>
  <c r="CD49" i="16"/>
  <c r="CC49" i="16"/>
  <c r="CB49" i="16"/>
  <c r="CA49" i="16"/>
  <c r="BZ49" i="16"/>
  <c r="BY49" i="16"/>
  <c r="BX49" i="16"/>
  <c r="BW49" i="16"/>
  <c r="BV49" i="16"/>
  <c r="BU49" i="16"/>
  <c r="BT49" i="16"/>
  <c r="BS49" i="16"/>
  <c r="BR49" i="16"/>
  <c r="BQ49" i="16"/>
  <c r="BP49" i="16"/>
  <c r="BO49" i="16"/>
  <c r="BN49" i="16"/>
  <c r="BM49" i="16"/>
  <c r="BL49" i="16"/>
  <c r="BK49" i="16"/>
  <c r="BJ49" i="16"/>
  <c r="BI49" i="16"/>
  <c r="BH49" i="16"/>
  <c r="BG49" i="16"/>
  <c r="BF49" i="16"/>
  <c r="BE49" i="16"/>
  <c r="BD49" i="16"/>
  <c r="BC49" i="16"/>
  <c r="BB49" i="16"/>
  <c r="BA49" i="16"/>
  <c r="AZ49" i="16"/>
  <c r="AY49" i="16"/>
  <c r="AX49" i="16"/>
  <c r="AW49" i="16"/>
  <c r="AV49" i="16"/>
  <c r="AU49" i="16"/>
  <c r="AT49" i="16"/>
  <c r="AS49" i="16"/>
  <c r="AR49" i="16"/>
  <c r="AQ49" i="16"/>
  <c r="AP49" i="16"/>
  <c r="AO49" i="16"/>
  <c r="AN49" i="16"/>
  <c r="AM49" i="16"/>
  <c r="AL49" i="16"/>
  <c r="AK49" i="16"/>
  <c r="AJ49" i="16"/>
  <c r="AI49" i="16"/>
  <c r="AH49" i="16"/>
  <c r="AG49" i="16"/>
  <c r="AF49" i="16"/>
  <c r="AE49" i="16"/>
  <c r="AD49" i="16"/>
  <c r="AC49" i="16"/>
  <c r="AB49" i="16"/>
  <c r="AA49" i="16"/>
  <c r="Z49" i="16"/>
  <c r="Y49" i="16"/>
  <c r="X49" i="16"/>
  <c r="W49" i="16"/>
  <c r="V49" i="16"/>
  <c r="U49" i="16"/>
  <c r="T49" i="16"/>
  <c r="S49" i="16"/>
  <c r="R49" i="16"/>
  <c r="Q49" i="16"/>
  <c r="P49" i="16"/>
  <c r="O49" i="16"/>
  <c r="N49" i="16"/>
  <c r="M49" i="16"/>
  <c r="L49" i="16"/>
  <c r="K49" i="16"/>
  <c r="J49" i="16"/>
  <c r="I49" i="16"/>
  <c r="H49" i="16"/>
  <c r="G49" i="16"/>
  <c r="F49" i="16"/>
  <c r="DC48" i="16"/>
  <c r="DB48" i="16"/>
  <c r="DA48" i="16"/>
  <c r="CZ48" i="16"/>
  <c r="CY48" i="16"/>
  <c r="CX48" i="16"/>
  <c r="CW48" i="16"/>
  <c r="CV48" i="16"/>
  <c r="CU48" i="16"/>
  <c r="CT48" i="16"/>
  <c r="CS48" i="16"/>
  <c r="CR48" i="16"/>
  <c r="CQ48" i="16"/>
  <c r="CP48" i="16"/>
  <c r="CO48" i="16"/>
  <c r="CN48" i="16"/>
  <c r="CM48" i="16"/>
  <c r="CL48" i="16"/>
  <c r="CK48" i="16"/>
  <c r="CJ48" i="16"/>
  <c r="CI48" i="16"/>
  <c r="CH48" i="16"/>
  <c r="CG48" i="16"/>
  <c r="CF48" i="16"/>
  <c r="CE48" i="16"/>
  <c r="CD48" i="16"/>
  <c r="CC48" i="16"/>
  <c r="CB48" i="16"/>
  <c r="CA48" i="16"/>
  <c r="BZ48" i="16"/>
  <c r="BY48" i="16"/>
  <c r="BX48" i="16"/>
  <c r="BW48" i="16"/>
  <c r="BV48" i="16"/>
  <c r="BU48" i="16"/>
  <c r="BT48" i="16"/>
  <c r="BS48" i="16"/>
  <c r="BR48" i="16"/>
  <c r="BQ48" i="16"/>
  <c r="BP48" i="16"/>
  <c r="BO48" i="16"/>
  <c r="BN48" i="16"/>
  <c r="BM48" i="16"/>
  <c r="BL48" i="16"/>
  <c r="BK48" i="16"/>
  <c r="BJ48" i="16"/>
  <c r="BI48" i="16"/>
  <c r="BH48" i="16"/>
  <c r="BG48" i="16"/>
  <c r="BF48" i="16"/>
  <c r="BE48" i="16"/>
  <c r="BD48" i="16"/>
  <c r="BC48" i="16"/>
  <c r="BB48" i="16"/>
  <c r="BA48" i="16"/>
  <c r="AZ48" i="16"/>
  <c r="AY48" i="16"/>
  <c r="AX48" i="16"/>
  <c r="AW48" i="16"/>
  <c r="AV48" i="16"/>
  <c r="AU48" i="16"/>
  <c r="AT48" i="16"/>
  <c r="AS48" i="16"/>
  <c r="AR48" i="16"/>
  <c r="AQ48" i="16"/>
  <c r="AP48" i="16"/>
  <c r="AO48" i="16"/>
  <c r="AN48" i="16"/>
  <c r="AM48" i="16"/>
  <c r="AL48" i="16"/>
  <c r="AK48" i="16"/>
  <c r="AJ48" i="16"/>
  <c r="AI48" i="16"/>
  <c r="AH48" i="16"/>
  <c r="AG48" i="16"/>
  <c r="AF48" i="16"/>
  <c r="AE48" i="16"/>
  <c r="AD48" i="16"/>
  <c r="AC48" i="16"/>
  <c r="AB48" i="16"/>
  <c r="AA48" i="16"/>
  <c r="Z48" i="16"/>
  <c r="Y48" i="16"/>
  <c r="X48" i="16"/>
  <c r="W48" i="16"/>
  <c r="V48" i="16"/>
  <c r="U48" i="16"/>
  <c r="T48" i="16"/>
  <c r="S48" i="16"/>
  <c r="R48" i="16"/>
  <c r="Q48" i="16"/>
  <c r="P48" i="16"/>
  <c r="O48" i="16"/>
  <c r="N48" i="16"/>
  <c r="M48" i="16"/>
  <c r="L48" i="16"/>
  <c r="K48" i="16"/>
  <c r="J48" i="16"/>
  <c r="I48" i="16"/>
  <c r="H48" i="16"/>
  <c r="G48" i="16"/>
  <c r="F48" i="16"/>
  <c r="DC47" i="16"/>
  <c r="DB47" i="16"/>
  <c r="DA47" i="16"/>
  <c r="CZ47" i="16"/>
  <c r="CY47" i="16"/>
  <c r="CX47" i="16"/>
  <c r="CW47" i="16"/>
  <c r="CV47" i="16"/>
  <c r="CU47" i="16"/>
  <c r="CT47" i="16"/>
  <c r="CS47" i="16"/>
  <c r="CR47" i="16"/>
  <c r="CQ47" i="16"/>
  <c r="CP47" i="16"/>
  <c r="CO47" i="16"/>
  <c r="CN47" i="16"/>
  <c r="CM47" i="16"/>
  <c r="CL47" i="16"/>
  <c r="CK47" i="16"/>
  <c r="CJ47" i="16"/>
  <c r="CI47" i="16"/>
  <c r="CH47" i="16"/>
  <c r="CG47" i="16"/>
  <c r="CF47" i="16"/>
  <c r="CE47" i="16"/>
  <c r="CD47" i="16"/>
  <c r="CC47" i="16"/>
  <c r="CB47" i="16"/>
  <c r="CA47" i="16"/>
  <c r="BZ47" i="16"/>
  <c r="BY47" i="16"/>
  <c r="BX47" i="16"/>
  <c r="BW47" i="16"/>
  <c r="BV47" i="16"/>
  <c r="BU47" i="16"/>
  <c r="BT47" i="16"/>
  <c r="BS47" i="16"/>
  <c r="BR47" i="16"/>
  <c r="BQ47" i="16"/>
  <c r="BP47" i="16"/>
  <c r="BO47" i="16"/>
  <c r="BN47" i="16"/>
  <c r="BM47" i="16"/>
  <c r="BL47" i="16"/>
  <c r="BK47" i="16"/>
  <c r="BJ47" i="16"/>
  <c r="BI47" i="16"/>
  <c r="BH47" i="16"/>
  <c r="BG47" i="16"/>
  <c r="BF47" i="16"/>
  <c r="BE47" i="16"/>
  <c r="BD47" i="16"/>
  <c r="BC47" i="16"/>
  <c r="BB47" i="16"/>
  <c r="BA47" i="16"/>
  <c r="AZ47" i="16"/>
  <c r="AY47" i="16"/>
  <c r="AX47" i="16"/>
  <c r="AW47" i="16"/>
  <c r="AV47" i="16"/>
  <c r="AU47" i="16"/>
  <c r="AT47" i="16"/>
  <c r="AS47" i="16"/>
  <c r="AR47" i="16"/>
  <c r="AQ47" i="16"/>
  <c r="AP47" i="16"/>
  <c r="AO47" i="16"/>
  <c r="AN47" i="16"/>
  <c r="AM47" i="16"/>
  <c r="AL47" i="16"/>
  <c r="AK47" i="16"/>
  <c r="AJ47" i="16"/>
  <c r="AI47" i="16"/>
  <c r="AH47" i="16"/>
  <c r="AG47" i="16"/>
  <c r="AF47" i="16"/>
  <c r="AE47" i="16"/>
  <c r="AD47" i="16"/>
  <c r="AC47" i="16"/>
  <c r="AB47" i="16"/>
  <c r="AA47" i="16"/>
  <c r="Z47" i="16"/>
  <c r="Y47" i="16"/>
  <c r="X47" i="16"/>
  <c r="W47" i="16"/>
  <c r="V47" i="16"/>
  <c r="U47" i="16"/>
  <c r="T47" i="16"/>
  <c r="S47" i="16"/>
  <c r="R47" i="16"/>
  <c r="Q47" i="16"/>
  <c r="P47" i="16"/>
  <c r="O47" i="16"/>
  <c r="N47" i="16"/>
  <c r="M47" i="16"/>
  <c r="L47" i="16"/>
  <c r="K47" i="16"/>
  <c r="J47" i="16"/>
  <c r="I47" i="16"/>
  <c r="H47" i="16"/>
  <c r="G47" i="16"/>
  <c r="F47" i="16"/>
  <c r="DC46" i="16"/>
  <c r="DB46" i="16"/>
  <c r="DA46" i="16"/>
  <c r="CZ46" i="16"/>
  <c r="CY46" i="16"/>
  <c r="CX46" i="16"/>
  <c r="CW46" i="16"/>
  <c r="CV46" i="16"/>
  <c r="CU46" i="16"/>
  <c r="CT46" i="16"/>
  <c r="CS46" i="16"/>
  <c r="CR46" i="16"/>
  <c r="CQ46" i="16"/>
  <c r="CP46" i="16"/>
  <c r="CO46" i="16"/>
  <c r="CN46" i="16"/>
  <c r="CM46" i="16"/>
  <c r="CL46" i="16"/>
  <c r="CK46" i="16"/>
  <c r="CJ46" i="16"/>
  <c r="CI46" i="16"/>
  <c r="CH46" i="16"/>
  <c r="CG46" i="16"/>
  <c r="CF46" i="16"/>
  <c r="CE46" i="16"/>
  <c r="CD46" i="16"/>
  <c r="CC46" i="16"/>
  <c r="CB46" i="16"/>
  <c r="CA46" i="16"/>
  <c r="BZ46" i="16"/>
  <c r="BY46" i="16"/>
  <c r="BX46" i="16"/>
  <c r="BW46" i="16"/>
  <c r="BV46" i="16"/>
  <c r="BU46" i="16"/>
  <c r="BT46" i="16"/>
  <c r="BS46" i="16"/>
  <c r="BR46" i="16"/>
  <c r="BQ46" i="16"/>
  <c r="BP46" i="16"/>
  <c r="BO46" i="16"/>
  <c r="BN46" i="16"/>
  <c r="BM46" i="16"/>
  <c r="BL46" i="16"/>
  <c r="BK46" i="16"/>
  <c r="BJ46" i="16"/>
  <c r="BI46" i="16"/>
  <c r="BH46" i="16"/>
  <c r="BG46" i="16"/>
  <c r="BF46" i="16"/>
  <c r="BE46" i="16"/>
  <c r="BD46" i="16"/>
  <c r="BC46" i="16"/>
  <c r="BB46" i="16"/>
  <c r="BA46" i="16"/>
  <c r="AZ46" i="16"/>
  <c r="AY46" i="16"/>
  <c r="AX46" i="16"/>
  <c r="AW46" i="16"/>
  <c r="AV46" i="16"/>
  <c r="AU46" i="16"/>
  <c r="AT46" i="16"/>
  <c r="AS46" i="16"/>
  <c r="AR46" i="16"/>
  <c r="AQ46" i="16"/>
  <c r="AP46" i="16"/>
  <c r="AO46" i="16"/>
  <c r="AN46" i="16"/>
  <c r="AM46" i="16"/>
  <c r="AL46" i="16"/>
  <c r="AK46" i="16"/>
  <c r="AJ46" i="16"/>
  <c r="AI46" i="16"/>
  <c r="AH46" i="16"/>
  <c r="AG46" i="16"/>
  <c r="AF46" i="16"/>
  <c r="AE46" i="16"/>
  <c r="AD46" i="16"/>
  <c r="AC46" i="16"/>
  <c r="AB46" i="16"/>
  <c r="AA46" i="16"/>
  <c r="Z46" i="16"/>
  <c r="Y46" i="16"/>
  <c r="X46" i="16"/>
  <c r="W46" i="16"/>
  <c r="V46" i="16"/>
  <c r="U46" i="16"/>
  <c r="T46" i="16"/>
  <c r="S46" i="16"/>
  <c r="R46" i="16"/>
  <c r="Q46" i="16"/>
  <c r="P46" i="16"/>
  <c r="O46" i="16"/>
  <c r="N46" i="16"/>
  <c r="M46" i="16"/>
  <c r="L46" i="16"/>
  <c r="K46" i="16"/>
  <c r="J46" i="16"/>
  <c r="I46" i="16"/>
  <c r="H46" i="16"/>
  <c r="G46" i="16"/>
  <c r="F46" i="16"/>
  <c r="DC45" i="16"/>
  <c r="DB45" i="16"/>
  <c r="DA45" i="16"/>
  <c r="CZ45" i="16"/>
  <c r="CY45" i="16"/>
  <c r="CX45" i="16"/>
  <c r="CW45" i="16"/>
  <c r="CV45" i="16"/>
  <c r="CU45" i="16"/>
  <c r="CT45" i="16"/>
  <c r="CS45" i="16"/>
  <c r="CR45" i="16"/>
  <c r="CQ45" i="16"/>
  <c r="CP45" i="16"/>
  <c r="CO45" i="16"/>
  <c r="CN45" i="16"/>
  <c r="CM45" i="16"/>
  <c r="CL45" i="16"/>
  <c r="CK45" i="16"/>
  <c r="CJ45" i="16"/>
  <c r="CI45" i="16"/>
  <c r="CH45" i="16"/>
  <c r="CG45" i="16"/>
  <c r="CF45" i="16"/>
  <c r="CE45" i="16"/>
  <c r="CD45" i="16"/>
  <c r="CC45" i="16"/>
  <c r="CB45" i="16"/>
  <c r="CA45" i="16"/>
  <c r="BZ45" i="16"/>
  <c r="BY45" i="16"/>
  <c r="BX45" i="16"/>
  <c r="BW45" i="16"/>
  <c r="BV45" i="16"/>
  <c r="BU45" i="16"/>
  <c r="BT45" i="16"/>
  <c r="BS45" i="16"/>
  <c r="BR45" i="16"/>
  <c r="BQ45" i="16"/>
  <c r="BP45" i="16"/>
  <c r="BO45" i="16"/>
  <c r="BN45" i="16"/>
  <c r="BM45" i="16"/>
  <c r="BL45" i="16"/>
  <c r="BK45" i="16"/>
  <c r="BJ45" i="16"/>
  <c r="BI45" i="16"/>
  <c r="BH45" i="16"/>
  <c r="BG45" i="16"/>
  <c r="BF45" i="16"/>
  <c r="BE45" i="16"/>
  <c r="BD45" i="16"/>
  <c r="BC45" i="16"/>
  <c r="BB45" i="16"/>
  <c r="BA45" i="16"/>
  <c r="AZ45" i="16"/>
  <c r="AY45" i="16"/>
  <c r="AX45" i="16"/>
  <c r="AW45" i="16"/>
  <c r="AV45" i="16"/>
  <c r="AU45" i="16"/>
  <c r="AT45" i="16"/>
  <c r="AS45" i="16"/>
  <c r="AR45" i="16"/>
  <c r="AQ45" i="16"/>
  <c r="AP45" i="16"/>
  <c r="AO45" i="16"/>
  <c r="AN45" i="16"/>
  <c r="AM45" i="16"/>
  <c r="AL45" i="16"/>
  <c r="AK45" i="16"/>
  <c r="AJ45" i="16"/>
  <c r="AI45" i="16"/>
  <c r="AH45" i="16"/>
  <c r="AG45" i="16"/>
  <c r="AF45" i="16"/>
  <c r="AE45" i="16"/>
  <c r="AD45" i="16"/>
  <c r="AC45" i="16"/>
  <c r="AB45" i="16"/>
  <c r="AA45" i="16"/>
  <c r="Z45" i="16"/>
  <c r="Y45" i="16"/>
  <c r="X45" i="16"/>
  <c r="W45" i="16"/>
  <c r="V45" i="16"/>
  <c r="U45" i="16"/>
  <c r="T45" i="16"/>
  <c r="S45" i="16"/>
  <c r="R45" i="16"/>
  <c r="Q45" i="16"/>
  <c r="P45" i="16"/>
  <c r="O45" i="16"/>
  <c r="N45" i="16"/>
  <c r="M45" i="16"/>
  <c r="L45" i="16"/>
  <c r="K45" i="16"/>
  <c r="J45" i="16"/>
  <c r="I45" i="16"/>
  <c r="H45" i="16"/>
  <c r="G45" i="16"/>
  <c r="F45" i="16"/>
  <c r="DC44" i="16"/>
  <c r="DB44" i="16"/>
  <c r="DA44" i="16"/>
  <c r="CZ44" i="16"/>
  <c r="CY44" i="16"/>
  <c r="CX44" i="16"/>
  <c r="CW44" i="16"/>
  <c r="CV44" i="16"/>
  <c r="CU44" i="16"/>
  <c r="CT44" i="16"/>
  <c r="CS44" i="16"/>
  <c r="CR44" i="16"/>
  <c r="CQ44" i="16"/>
  <c r="CP44" i="16"/>
  <c r="CO44" i="16"/>
  <c r="CN44" i="16"/>
  <c r="CM44" i="16"/>
  <c r="CL44" i="16"/>
  <c r="CK44" i="16"/>
  <c r="CJ44" i="16"/>
  <c r="CI44" i="16"/>
  <c r="CH44" i="16"/>
  <c r="CG44" i="16"/>
  <c r="CF44" i="16"/>
  <c r="CE44" i="16"/>
  <c r="CD44" i="16"/>
  <c r="CC44" i="16"/>
  <c r="CB44" i="16"/>
  <c r="CA44" i="16"/>
  <c r="BZ44" i="16"/>
  <c r="BY44" i="16"/>
  <c r="BX44" i="16"/>
  <c r="BW44" i="16"/>
  <c r="BV44" i="16"/>
  <c r="BU44" i="16"/>
  <c r="BT44" i="16"/>
  <c r="BS44" i="16"/>
  <c r="BR44" i="16"/>
  <c r="BQ44" i="16"/>
  <c r="BP44" i="16"/>
  <c r="BO44" i="16"/>
  <c r="BN44" i="16"/>
  <c r="BM44" i="16"/>
  <c r="BL44" i="16"/>
  <c r="BK44" i="16"/>
  <c r="BJ44" i="16"/>
  <c r="BI44" i="16"/>
  <c r="BH44" i="16"/>
  <c r="BG44" i="16"/>
  <c r="BF44" i="16"/>
  <c r="BE44" i="16"/>
  <c r="BD44" i="16"/>
  <c r="BC44" i="16"/>
  <c r="BB44" i="16"/>
  <c r="BA44" i="16"/>
  <c r="AZ44" i="16"/>
  <c r="AY44" i="16"/>
  <c r="AX44" i="16"/>
  <c r="AW44" i="16"/>
  <c r="AV44" i="16"/>
  <c r="AU44" i="16"/>
  <c r="AT44" i="16"/>
  <c r="AS44" i="16"/>
  <c r="AR44" i="16"/>
  <c r="AQ44" i="16"/>
  <c r="AP44" i="16"/>
  <c r="AO44" i="16"/>
  <c r="AN44" i="16"/>
  <c r="AM44" i="16"/>
  <c r="AL44" i="16"/>
  <c r="AK44" i="16"/>
  <c r="AJ44" i="16"/>
  <c r="AI44" i="16"/>
  <c r="AH44" i="16"/>
  <c r="AG44" i="16"/>
  <c r="AF44" i="16"/>
  <c r="AE44" i="16"/>
  <c r="AD44" i="16"/>
  <c r="AC44" i="16"/>
  <c r="AB44" i="16"/>
  <c r="AA44" i="16"/>
  <c r="Z44" i="16"/>
  <c r="Y44" i="16"/>
  <c r="X44" i="16"/>
  <c r="W44" i="16"/>
  <c r="V44" i="16"/>
  <c r="U44" i="16"/>
  <c r="T44" i="16"/>
  <c r="S44" i="16"/>
  <c r="R44" i="16"/>
  <c r="Q44" i="16"/>
  <c r="P44" i="16"/>
  <c r="O44" i="16"/>
  <c r="N44" i="16"/>
  <c r="M44" i="16"/>
  <c r="L44" i="16"/>
  <c r="K44" i="16"/>
  <c r="J44" i="16"/>
  <c r="I44" i="16"/>
  <c r="H44" i="16"/>
  <c r="G44" i="16"/>
  <c r="F44" i="16"/>
  <c r="DC43" i="16"/>
  <c r="DB43" i="16"/>
  <c r="DA43" i="16"/>
  <c r="CZ43" i="16"/>
  <c r="CY43" i="16"/>
  <c r="CX43" i="16"/>
  <c r="CW43" i="16"/>
  <c r="CV43" i="16"/>
  <c r="CU43" i="16"/>
  <c r="CT43" i="16"/>
  <c r="CS43" i="16"/>
  <c r="CR43" i="16"/>
  <c r="CQ43" i="16"/>
  <c r="CP43" i="16"/>
  <c r="CO43" i="16"/>
  <c r="CN43" i="16"/>
  <c r="CM43" i="16"/>
  <c r="CL43" i="16"/>
  <c r="CK43" i="16"/>
  <c r="CJ43" i="16"/>
  <c r="CI43" i="16"/>
  <c r="CH43" i="16"/>
  <c r="CG43" i="16"/>
  <c r="CF43" i="16"/>
  <c r="CE43" i="16"/>
  <c r="CD43" i="16"/>
  <c r="CC43" i="16"/>
  <c r="CB43" i="16"/>
  <c r="CA43" i="16"/>
  <c r="BZ43" i="16"/>
  <c r="BY43" i="16"/>
  <c r="BX43" i="16"/>
  <c r="BW43" i="16"/>
  <c r="BV43" i="16"/>
  <c r="BU43" i="16"/>
  <c r="BT43" i="16"/>
  <c r="BS43" i="16"/>
  <c r="BR43" i="16"/>
  <c r="BQ43" i="16"/>
  <c r="BP43" i="16"/>
  <c r="BO43" i="16"/>
  <c r="BN43" i="16"/>
  <c r="BM43" i="16"/>
  <c r="BL43" i="16"/>
  <c r="BK43" i="16"/>
  <c r="BJ43" i="16"/>
  <c r="BI43" i="16"/>
  <c r="BH43" i="16"/>
  <c r="BG43" i="16"/>
  <c r="BF43" i="16"/>
  <c r="BE43" i="16"/>
  <c r="BD43" i="16"/>
  <c r="BC43" i="16"/>
  <c r="BB43" i="16"/>
  <c r="BA43" i="16"/>
  <c r="AZ43" i="16"/>
  <c r="AY43" i="16"/>
  <c r="AX43" i="16"/>
  <c r="AW43" i="16"/>
  <c r="AV43" i="16"/>
  <c r="AU43" i="16"/>
  <c r="AT43" i="16"/>
  <c r="AS43" i="16"/>
  <c r="AR43" i="16"/>
  <c r="AQ43" i="16"/>
  <c r="AP43" i="16"/>
  <c r="AO43" i="16"/>
  <c r="AN43" i="16"/>
  <c r="AM43" i="16"/>
  <c r="AL43" i="16"/>
  <c r="AK43" i="16"/>
  <c r="AJ43" i="16"/>
  <c r="AI43" i="16"/>
  <c r="AH43" i="16"/>
  <c r="AG43" i="16"/>
  <c r="AF43" i="16"/>
  <c r="AE43" i="16"/>
  <c r="AD43" i="16"/>
  <c r="AC43" i="16"/>
  <c r="AB43" i="16"/>
  <c r="AA43" i="16"/>
  <c r="Z43" i="16"/>
  <c r="Y43" i="16"/>
  <c r="X43" i="16"/>
  <c r="W43" i="16"/>
  <c r="V43" i="16"/>
  <c r="U43" i="16"/>
  <c r="T43" i="16"/>
  <c r="S43" i="16"/>
  <c r="R43" i="16"/>
  <c r="Q43" i="16"/>
  <c r="P43" i="16"/>
  <c r="O43" i="16"/>
  <c r="N43" i="16"/>
  <c r="M43" i="16"/>
  <c r="L43" i="16"/>
  <c r="K43" i="16"/>
  <c r="J43" i="16"/>
  <c r="I43" i="16"/>
  <c r="H43" i="16"/>
  <c r="G43" i="16"/>
  <c r="F43" i="16"/>
  <c r="DC42" i="16"/>
  <c r="DB42" i="16"/>
  <c r="DA42" i="16"/>
  <c r="CZ42" i="16"/>
  <c r="CY42" i="16"/>
  <c r="CX42" i="16"/>
  <c r="CW42" i="16"/>
  <c r="CV42" i="16"/>
  <c r="CU42" i="16"/>
  <c r="CT42" i="16"/>
  <c r="CS42" i="16"/>
  <c r="CR42" i="16"/>
  <c r="CQ42" i="16"/>
  <c r="CP42" i="16"/>
  <c r="CO42" i="16"/>
  <c r="CN42" i="16"/>
  <c r="CM42" i="16"/>
  <c r="CL42" i="16"/>
  <c r="CK42" i="16"/>
  <c r="CJ42" i="16"/>
  <c r="CI42" i="16"/>
  <c r="CH42" i="16"/>
  <c r="CG42" i="16"/>
  <c r="CF42" i="16"/>
  <c r="CE42" i="16"/>
  <c r="CD42" i="16"/>
  <c r="CC42" i="16"/>
  <c r="CB42" i="16"/>
  <c r="CA42" i="16"/>
  <c r="BZ42" i="16"/>
  <c r="BY42" i="16"/>
  <c r="BX42" i="16"/>
  <c r="BW42" i="16"/>
  <c r="BV42" i="16"/>
  <c r="BU42" i="16"/>
  <c r="BT42" i="16"/>
  <c r="BS42" i="16"/>
  <c r="BR42" i="16"/>
  <c r="BQ42" i="16"/>
  <c r="BP42" i="16"/>
  <c r="BO42" i="16"/>
  <c r="BN42" i="16"/>
  <c r="BM42" i="16"/>
  <c r="BL42" i="16"/>
  <c r="BK42" i="16"/>
  <c r="BJ42" i="16"/>
  <c r="BI42" i="16"/>
  <c r="BH42" i="16"/>
  <c r="BG42" i="16"/>
  <c r="BF42" i="16"/>
  <c r="BE42" i="16"/>
  <c r="BD42" i="16"/>
  <c r="BC42" i="16"/>
  <c r="BB42" i="16"/>
  <c r="BA42" i="16"/>
  <c r="AZ42" i="16"/>
  <c r="AY42" i="16"/>
  <c r="AX42" i="16"/>
  <c r="AW42" i="16"/>
  <c r="AV42" i="16"/>
  <c r="AU42" i="16"/>
  <c r="AT42" i="16"/>
  <c r="AS42" i="16"/>
  <c r="AR42" i="16"/>
  <c r="AQ42" i="16"/>
  <c r="AP42" i="16"/>
  <c r="AO42" i="16"/>
  <c r="AN42" i="16"/>
  <c r="AM42" i="16"/>
  <c r="AL42" i="16"/>
  <c r="AK42" i="16"/>
  <c r="AJ42" i="16"/>
  <c r="AI42" i="16"/>
  <c r="AH42" i="16"/>
  <c r="AG42" i="16"/>
  <c r="AF42" i="16"/>
  <c r="AE42" i="16"/>
  <c r="AD42" i="16"/>
  <c r="AC42" i="16"/>
  <c r="AB42" i="16"/>
  <c r="AA42" i="16"/>
  <c r="Z42" i="16"/>
  <c r="Y42" i="16"/>
  <c r="X42" i="16"/>
  <c r="W42" i="16"/>
  <c r="V42" i="16"/>
  <c r="U42" i="16"/>
  <c r="T42" i="16"/>
  <c r="S42" i="16"/>
  <c r="R42" i="16"/>
  <c r="Q42" i="16"/>
  <c r="P42" i="16"/>
  <c r="O42" i="16"/>
  <c r="N42" i="16"/>
  <c r="M42" i="16"/>
  <c r="L42" i="16"/>
  <c r="K42" i="16"/>
  <c r="J42" i="16"/>
  <c r="I42" i="16"/>
  <c r="H42" i="16"/>
  <c r="G42" i="16"/>
  <c r="F42" i="16"/>
  <c r="DC41" i="16"/>
  <c r="DB41" i="16"/>
  <c r="DA41" i="16"/>
  <c r="CZ41" i="16"/>
  <c r="CY41" i="16"/>
  <c r="CX41" i="16"/>
  <c r="CW41" i="16"/>
  <c r="CV41" i="16"/>
  <c r="CU41" i="16"/>
  <c r="CT41" i="16"/>
  <c r="CS41" i="16"/>
  <c r="CR41" i="16"/>
  <c r="CQ41" i="16"/>
  <c r="CP41" i="16"/>
  <c r="CO41" i="16"/>
  <c r="CN41" i="16"/>
  <c r="CM41" i="16"/>
  <c r="CL41" i="16"/>
  <c r="CK41" i="16"/>
  <c r="CJ41" i="16"/>
  <c r="CI41" i="16"/>
  <c r="CH41" i="16"/>
  <c r="CG41" i="16"/>
  <c r="CF41" i="16"/>
  <c r="CE41" i="16"/>
  <c r="CD41" i="16"/>
  <c r="CC41" i="16"/>
  <c r="CB41" i="16"/>
  <c r="CA41" i="16"/>
  <c r="BZ41" i="16"/>
  <c r="BY41" i="16"/>
  <c r="BX41" i="16"/>
  <c r="BW41" i="16"/>
  <c r="BV41" i="16"/>
  <c r="BU41" i="16"/>
  <c r="BT41" i="16"/>
  <c r="BS41" i="16"/>
  <c r="BR41" i="16"/>
  <c r="BQ41" i="16"/>
  <c r="BP41" i="16"/>
  <c r="BO41" i="16"/>
  <c r="BN41" i="16"/>
  <c r="BM41" i="16"/>
  <c r="BL41" i="16"/>
  <c r="BK41" i="16"/>
  <c r="BJ41" i="16"/>
  <c r="BI41" i="16"/>
  <c r="BH41" i="16"/>
  <c r="BG41" i="16"/>
  <c r="BF41" i="16"/>
  <c r="BE41" i="16"/>
  <c r="BD41" i="16"/>
  <c r="BC41" i="16"/>
  <c r="BB41" i="16"/>
  <c r="BA41" i="16"/>
  <c r="AZ41" i="16"/>
  <c r="AY41" i="16"/>
  <c r="AX41" i="16"/>
  <c r="AW41" i="16"/>
  <c r="AV41" i="16"/>
  <c r="AU41" i="16"/>
  <c r="AT41" i="16"/>
  <c r="AS41" i="16"/>
  <c r="AR41" i="16"/>
  <c r="AQ41" i="16"/>
  <c r="AP41" i="16"/>
  <c r="AO41" i="16"/>
  <c r="AN41" i="16"/>
  <c r="AM41" i="16"/>
  <c r="AL41" i="16"/>
  <c r="AK41" i="16"/>
  <c r="AJ41" i="16"/>
  <c r="AI41" i="16"/>
  <c r="AH41" i="16"/>
  <c r="AG41" i="16"/>
  <c r="AF41" i="16"/>
  <c r="AE41" i="16"/>
  <c r="AD41" i="16"/>
  <c r="AC41" i="16"/>
  <c r="AB41" i="16"/>
  <c r="AA41" i="16"/>
  <c r="Z41" i="16"/>
  <c r="Y41" i="16"/>
  <c r="X41" i="16"/>
  <c r="W41" i="16"/>
  <c r="V41" i="16"/>
  <c r="U41" i="16"/>
  <c r="T41" i="16"/>
  <c r="S41" i="16"/>
  <c r="R41" i="16"/>
  <c r="Q41" i="16"/>
  <c r="P41" i="16"/>
  <c r="O41" i="16"/>
  <c r="N41" i="16"/>
  <c r="M41" i="16"/>
  <c r="L41" i="16"/>
  <c r="K41" i="16"/>
  <c r="J41" i="16"/>
  <c r="I41" i="16"/>
  <c r="H41" i="16"/>
  <c r="G41" i="16"/>
  <c r="F41" i="16"/>
  <c r="DC40" i="16"/>
  <c r="DB40" i="16"/>
  <c r="DA40" i="16"/>
  <c r="CZ40" i="16"/>
  <c r="CY40" i="16"/>
  <c r="CX40" i="16"/>
  <c r="CW40" i="16"/>
  <c r="CV40" i="16"/>
  <c r="CU40" i="16"/>
  <c r="CT40" i="16"/>
  <c r="CS40" i="16"/>
  <c r="CR40" i="16"/>
  <c r="CQ40" i="16"/>
  <c r="CP40" i="16"/>
  <c r="CO40" i="16"/>
  <c r="CN40" i="16"/>
  <c r="CM40" i="16"/>
  <c r="CL40" i="16"/>
  <c r="CK40" i="16"/>
  <c r="CJ40" i="16"/>
  <c r="CI40" i="16"/>
  <c r="CH40" i="16"/>
  <c r="CG40" i="16"/>
  <c r="CF40" i="16"/>
  <c r="CE40" i="16"/>
  <c r="CD40" i="16"/>
  <c r="CC40" i="16"/>
  <c r="CB40" i="16"/>
  <c r="CA40" i="16"/>
  <c r="BZ40" i="16"/>
  <c r="BY40" i="16"/>
  <c r="BX40" i="16"/>
  <c r="BW40" i="16"/>
  <c r="BV40" i="16"/>
  <c r="BU40" i="16"/>
  <c r="BT40" i="16"/>
  <c r="BS40" i="16"/>
  <c r="BR40" i="16"/>
  <c r="BQ40" i="16"/>
  <c r="BP40" i="16"/>
  <c r="BO40" i="16"/>
  <c r="BN40" i="16"/>
  <c r="BM40" i="16"/>
  <c r="BL40" i="16"/>
  <c r="BK40" i="16"/>
  <c r="BJ40" i="16"/>
  <c r="BI40" i="16"/>
  <c r="BH40" i="16"/>
  <c r="BG40" i="16"/>
  <c r="BF40" i="16"/>
  <c r="BE40" i="16"/>
  <c r="BD40" i="16"/>
  <c r="BC40" i="16"/>
  <c r="BB40" i="16"/>
  <c r="BA40" i="16"/>
  <c r="AZ40" i="16"/>
  <c r="AY40" i="16"/>
  <c r="AX40" i="16"/>
  <c r="AW40" i="16"/>
  <c r="AV40" i="16"/>
  <c r="AU40" i="16"/>
  <c r="AT40" i="16"/>
  <c r="AS40" i="16"/>
  <c r="AR40" i="16"/>
  <c r="AQ40" i="16"/>
  <c r="AP40" i="16"/>
  <c r="AO40" i="16"/>
  <c r="AN40" i="16"/>
  <c r="AM40" i="16"/>
  <c r="AL40" i="16"/>
  <c r="AK40" i="16"/>
  <c r="AJ40" i="16"/>
  <c r="AI40" i="16"/>
  <c r="AH40" i="16"/>
  <c r="AG40" i="16"/>
  <c r="AF40" i="16"/>
  <c r="AE40" i="16"/>
  <c r="AD40" i="16"/>
  <c r="AC40" i="16"/>
  <c r="AB40" i="16"/>
  <c r="AA40" i="16"/>
  <c r="Z40" i="16"/>
  <c r="Y40" i="16"/>
  <c r="X40" i="16"/>
  <c r="W40" i="16"/>
  <c r="V40" i="16"/>
  <c r="U40" i="16"/>
  <c r="T40" i="16"/>
  <c r="S40" i="16"/>
  <c r="R40" i="16"/>
  <c r="Q40" i="16"/>
  <c r="P40" i="16"/>
  <c r="O40" i="16"/>
  <c r="N40" i="16"/>
  <c r="M40" i="16"/>
  <c r="L40" i="16"/>
  <c r="K40" i="16"/>
  <c r="J40" i="16"/>
  <c r="I40" i="16"/>
  <c r="H40" i="16"/>
  <c r="G40" i="16"/>
  <c r="F40" i="16"/>
  <c r="DC39" i="16"/>
  <c r="DB39" i="16"/>
  <c r="DA39" i="16"/>
  <c r="CZ39" i="16"/>
  <c r="CY39" i="16"/>
  <c r="CX39" i="16"/>
  <c r="CW39" i="16"/>
  <c r="CV39" i="16"/>
  <c r="CU39" i="16"/>
  <c r="CT39" i="16"/>
  <c r="CS39" i="16"/>
  <c r="CR39" i="16"/>
  <c r="CQ39" i="16"/>
  <c r="CP39" i="16"/>
  <c r="CO39" i="16"/>
  <c r="CN39" i="16"/>
  <c r="CM39" i="16"/>
  <c r="CL39" i="16"/>
  <c r="CK39" i="16"/>
  <c r="CJ39" i="16"/>
  <c r="CI39" i="16"/>
  <c r="CH39" i="16"/>
  <c r="CG39" i="16"/>
  <c r="CF39" i="16"/>
  <c r="CE39" i="16"/>
  <c r="CD39" i="16"/>
  <c r="CC39" i="16"/>
  <c r="CB39" i="16"/>
  <c r="CA39" i="16"/>
  <c r="BZ39" i="16"/>
  <c r="BY39" i="16"/>
  <c r="BX39" i="16"/>
  <c r="BW39" i="16"/>
  <c r="BV39" i="16"/>
  <c r="BU39" i="16"/>
  <c r="BT39" i="16"/>
  <c r="BS39" i="16"/>
  <c r="BR39" i="16"/>
  <c r="BQ39" i="16"/>
  <c r="BP39" i="16"/>
  <c r="BO39" i="16"/>
  <c r="BN39" i="16"/>
  <c r="BM39" i="16"/>
  <c r="BL39" i="16"/>
  <c r="BK39" i="16"/>
  <c r="BJ39" i="16"/>
  <c r="BI39" i="16"/>
  <c r="BH39" i="16"/>
  <c r="BG39" i="16"/>
  <c r="BF39" i="16"/>
  <c r="BE39" i="16"/>
  <c r="BD39" i="16"/>
  <c r="BC39" i="16"/>
  <c r="BB39" i="16"/>
  <c r="BA39" i="16"/>
  <c r="AZ39" i="16"/>
  <c r="AY39" i="16"/>
  <c r="AX39" i="16"/>
  <c r="AW39" i="16"/>
  <c r="AV39" i="16"/>
  <c r="AU39" i="16"/>
  <c r="AT39" i="16"/>
  <c r="AS39" i="16"/>
  <c r="AR39" i="16"/>
  <c r="AQ39" i="16"/>
  <c r="AP39" i="16"/>
  <c r="AO39" i="16"/>
  <c r="AN39" i="16"/>
  <c r="AM39" i="16"/>
  <c r="AL39" i="16"/>
  <c r="AK39" i="16"/>
  <c r="AJ39" i="16"/>
  <c r="AI39" i="16"/>
  <c r="AH39" i="16"/>
  <c r="AG39" i="16"/>
  <c r="AF39" i="16"/>
  <c r="AE39" i="16"/>
  <c r="AD39" i="16"/>
  <c r="AC39" i="16"/>
  <c r="AB39" i="16"/>
  <c r="AA39" i="16"/>
  <c r="Z39" i="16"/>
  <c r="Y39" i="16"/>
  <c r="X39" i="16"/>
  <c r="W39" i="16"/>
  <c r="V39" i="16"/>
  <c r="U39" i="16"/>
  <c r="T39" i="16"/>
  <c r="S39" i="16"/>
  <c r="R39" i="16"/>
  <c r="Q39" i="16"/>
  <c r="P39" i="16"/>
  <c r="O39" i="16"/>
  <c r="N39" i="16"/>
  <c r="M39" i="16"/>
  <c r="L39" i="16"/>
  <c r="K39" i="16"/>
  <c r="J39" i="16"/>
  <c r="I39" i="16"/>
  <c r="H39" i="16"/>
  <c r="G39" i="16"/>
  <c r="F39" i="16"/>
  <c r="DC38" i="16"/>
  <c r="DB38" i="16"/>
  <c r="DA38" i="16"/>
  <c r="CZ38" i="16"/>
  <c r="CY38" i="16"/>
  <c r="CX38" i="16"/>
  <c r="CW38" i="16"/>
  <c r="CV38" i="16"/>
  <c r="CU38" i="16"/>
  <c r="CT38" i="16"/>
  <c r="CS38" i="16"/>
  <c r="CR38" i="16"/>
  <c r="CQ38" i="16"/>
  <c r="CP38" i="16"/>
  <c r="CO38" i="16"/>
  <c r="CN38" i="16"/>
  <c r="CM38" i="16"/>
  <c r="CL38" i="16"/>
  <c r="CK38" i="16"/>
  <c r="CJ38" i="16"/>
  <c r="CI38" i="16"/>
  <c r="CH38" i="16"/>
  <c r="CG38" i="16"/>
  <c r="CF38" i="16"/>
  <c r="CE38" i="16"/>
  <c r="CD38" i="16"/>
  <c r="CC38" i="16"/>
  <c r="CB38" i="16"/>
  <c r="CA38" i="16"/>
  <c r="BZ38" i="16"/>
  <c r="BY38" i="16"/>
  <c r="BX38" i="16"/>
  <c r="BW38" i="16"/>
  <c r="BV38" i="16"/>
  <c r="BU38" i="16"/>
  <c r="BT38" i="16"/>
  <c r="BS38" i="16"/>
  <c r="BR38" i="16"/>
  <c r="BQ38" i="16"/>
  <c r="BP38" i="16"/>
  <c r="BO38" i="16"/>
  <c r="BN38" i="16"/>
  <c r="BM38" i="16"/>
  <c r="BL38" i="16"/>
  <c r="BK38" i="16"/>
  <c r="BJ38" i="16"/>
  <c r="BI38" i="16"/>
  <c r="BH38" i="16"/>
  <c r="BG38" i="16"/>
  <c r="BF38" i="16"/>
  <c r="BE38" i="16"/>
  <c r="BD38" i="16"/>
  <c r="BC38" i="16"/>
  <c r="BB38" i="16"/>
  <c r="BA38" i="16"/>
  <c r="AZ38" i="16"/>
  <c r="AY38" i="16"/>
  <c r="AX38" i="16"/>
  <c r="AW38" i="16"/>
  <c r="AV38" i="16"/>
  <c r="AU38" i="16"/>
  <c r="AT38" i="16"/>
  <c r="AS38" i="16"/>
  <c r="AR38" i="16"/>
  <c r="AQ38" i="16"/>
  <c r="AP38" i="16"/>
  <c r="AO38" i="16"/>
  <c r="AN38" i="16"/>
  <c r="AM38" i="16"/>
  <c r="AL38" i="16"/>
  <c r="AK38" i="16"/>
  <c r="AJ38" i="16"/>
  <c r="AI38" i="16"/>
  <c r="AH38" i="16"/>
  <c r="AG38" i="16"/>
  <c r="AF38" i="16"/>
  <c r="AE38" i="16"/>
  <c r="AD38" i="16"/>
  <c r="AC38" i="16"/>
  <c r="AB38" i="16"/>
  <c r="AA38" i="16"/>
  <c r="Z38" i="16"/>
  <c r="Y38" i="16"/>
  <c r="X38" i="16"/>
  <c r="W38" i="16"/>
  <c r="V38" i="16"/>
  <c r="U38" i="16"/>
  <c r="T38" i="16"/>
  <c r="S38" i="16"/>
  <c r="R38" i="16"/>
  <c r="Q38" i="16"/>
  <c r="P38" i="16"/>
  <c r="O38" i="16"/>
  <c r="N38" i="16"/>
  <c r="M38" i="16"/>
  <c r="L38" i="16"/>
  <c r="K38" i="16"/>
  <c r="J38" i="16"/>
  <c r="I38" i="16"/>
  <c r="H38" i="16"/>
  <c r="G38" i="16"/>
  <c r="F38" i="16"/>
  <c r="DC37" i="16"/>
  <c r="DB37" i="16"/>
  <c r="DA37" i="16"/>
  <c r="CZ37" i="16"/>
  <c r="CY37" i="16"/>
  <c r="CX37" i="16"/>
  <c r="CW37" i="16"/>
  <c r="CV37" i="16"/>
  <c r="CU37" i="16"/>
  <c r="CT37" i="16"/>
  <c r="CS37" i="16"/>
  <c r="CR37" i="16"/>
  <c r="CQ37" i="16"/>
  <c r="CP37" i="16"/>
  <c r="CO37" i="16"/>
  <c r="CN37" i="16"/>
  <c r="CM37" i="16"/>
  <c r="CL37" i="16"/>
  <c r="CK37" i="16"/>
  <c r="CJ37" i="16"/>
  <c r="CI37" i="16"/>
  <c r="CH37" i="16"/>
  <c r="CG37" i="16"/>
  <c r="CF37" i="16"/>
  <c r="CE37" i="16"/>
  <c r="CD37" i="16"/>
  <c r="CC37" i="16"/>
  <c r="CB37" i="16"/>
  <c r="CA37" i="16"/>
  <c r="BZ37" i="16"/>
  <c r="BY37" i="16"/>
  <c r="BX37" i="16"/>
  <c r="BW37" i="16"/>
  <c r="BV37" i="16"/>
  <c r="BU37" i="16"/>
  <c r="BT37" i="16"/>
  <c r="BS37" i="16"/>
  <c r="BR37" i="16"/>
  <c r="BQ37" i="16"/>
  <c r="BP37" i="16"/>
  <c r="BO37" i="16"/>
  <c r="BN37" i="16"/>
  <c r="BM37" i="16"/>
  <c r="BL37" i="16"/>
  <c r="BK37" i="16"/>
  <c r="BJ37" i="16"/>
  <c r="BI37" i="16"/>
  <c r="BH37" i="16"/>
  <c r="BG37" i="16"/>
  <c r="BF37" i="16"/>
  <c r="BE37" i="16"/>
  <c r="BD37" i="16"/>
  <c r="BC37" i="16"/>
  <c r="BB37" i="16"/>
  <c r="BA37" i="16"/>
  <c r="AZ37" i="16"/>
  <c r="AY37" i="16"/>
  <c r="AX37" i="16"/>
  <c r="AW37" i="16"/>
  <c r="AV37" i="16"/>
  <c r="AU37" i="16"/>
  <c r="AT37" i="16"/>
  <c r="AS37" i="16"/>
  <c r="AR37" i="16"/>
  <c r="AQ37" i="16"/>
  <c r="AP37" i="16"/>
  <c r="AO37" i="16"/>
  <c r="AN37" i="16"/>
  <c r="AM37" i="16"/>
  <c r="AL37" i="16"/>
  <c r="AK37" i="16"/>
  <c r="AJ37" i="16"/>
  <c r="AI37" i="16"/>
  <c r="AH37" i="16"/>
  <c r="AG37" i="16"/>
  <c r="AF37" i="16"/>
  <c r="AE37" i="16"/>
  <c r="AD37" i="16"/>
  <c r="AC37" i="16"/>
  <c r="AB37" i="16"/>
  <c r="AA37" i="16"/>
  <c r="Z37" i="16"/>
  <c r="Y37" i="16"/>
  <c r="X37" i="16"/>
  <c r="W37" i="16"/>
  <c r="V37" i="16"/>
  <c r="U37" i="16"/>
  <c r="T37" i="16"/>
  <c r="S37" i="16"/>
  <c r="R37" i="16"/>
  <c r="Q37" i="16"/>
  <c r="P37" i="16"/>
  <c r="O37" i="16"/>
  <c r="N37" i="16"/>
  <c r="M37" i="16"/>
  <c r="L37" i="16"/>
  <c r="K37" i="16"/>
  <c r="J37" i="16"/>
  <c r="I37" i="16"/>
  <c r="H37" i="16"/>
  <c r="G37" i="16"/>
  <c r="F37" i="16"/>
  <c r="DC36" i="16"/>
  <c r="DB36" i="16"/>
  <c r="DA36" i="16"/>
  <c r="CZ36" i="16"/>
  <c r="CY36" i="16"/>
  <c r="CX36" i="16"/>
  <c r="CW36" i="16"/>
  <c r="CV36" i="16"/>
  <c r="CU36" i="16"/>
  <c r="CT36" i="16"/>
  <c r="CS36" i="16"/>
  <c r="CR36" i="16"/>
  <c r="CQ36" i="16"/>
  <c r="CP36" i="16"/>
  <c r="CO36" i="16"/>
  <c r="CN36" i="16"/>
  <c r="CM36" i="16"/>
  <c r="CL36" i="16"/>
  <c r="CK36" i="16"/>
  <c r="CJ36" i="16"/>
  <c r="CI36" i="16"/>
  <c r="CH36" i="16"/>
  <c r="CG36" i="16"/>
  <c r="CF36" i="16"/>
  <c r="CE36" i="16"/>
  <c r="CD36" i="16"/>
  <c r="CC36" i="16"/>
  <c r="CB36" i="16"/>
  <c r="CA36" i="16"/>
  <c r="BZ36" i="16"/>
  <c r="BY36" i="16"/>
  <c r="BX36" i="16"/>
  <c r="BW36" i="16"/>
  <c r="BV36" i="16"/>
  <c r="BU36" i="16"/>
  <c r="BT36" i="16"/>
  <c r="BS36" i="16"/>
  <c r="BR36" i="16"/>
  <c r="BQ36" i="16"/>
  <c r="BP36" i="16"/>
  <c r="BO36" i="16"/>
  <c r="BN36" i="16"/>
  <c r="BM36" i="16"/>
  <c r="BL36" i="16"/>
  <c r="BK36" i="16"/>
  <c r="BJ36" i="16"/>
  <c r="BI36" i="16"/>
  <c r="BH36" i="16"/>
  <c r="BG36" i="16"/>
  <c r="BF36" i="16"/>
  <c r="BE36" i="16"/>
  <c r="BD36" i="16"/>
  <c r="BC36" i="16"/>
  <c r="BB36" i="16"/>
  <c r="BA36" i="16"/>
  <c r="AZ36" i="16"/>
  <c r="AY36" i="16"/>
  <c r="AX36" i="16"/>
  <c r="AW36" i="16"/>
  <c r="AV36" i="16"/>
  <c r="AU36" i="16"/>
  <c r="AT36" i="16"/>
  <c r="AS36" i="16"/>
  <c r="AR36" i="16"/>
  <c r="AQ36" i="16"/>
  <c r="AP36" i="16"/>
  <c r="AO36" i="16"/>
  <c r="AN36" i="16"/>
  <c r="AM36" i="16"/>
  <c r="AL36" i="16"/>
  <c r="AK36" i="16"/>
  <c r="AJ36" i="16"/>
  <c r="AI36" i="16"/>
  <c r="AH36" i="16"/>
  <c r="AG36" i="16"/>
  <c r="AF36" i="16"/>
  <c r="AE36" i="16"/>
  <c r="AD36" i="16"/>
  <c r="AC36" i="16"/>
  <c r="AB36" i="16"/>
  <c r="AA36" i="16"/>
  <c r="Z36" i="16"/>
  <c r="Y36" i="16"/>
  <c r="X36" i="16"/>
  <c r="W36" i="16"/>
  <c r="V36" i="16"/>
  <c r="U36" i="16"/>
  <c r="T36" i="16"/>
  <c r="S36" i="16"/>
  <c r="R36" i="16"/>
  <c r="Q36" i="16"/>
  <c r="P36" i="16"/>
  <c r="O36" i="16"/>
  <c r="N36" i="16"/>
  <c r="M36" i="16"/>
  <c r="L36" i="16"/>
  <c r="K36" i="16"/>
  <c r="J36" i="16"/>
  <c r="I36" i="16"/>
  <c r="H36" i="16"/>
  <c r="G36" i="16"/>
  <c r="F36" i="16"/>
  <c r="DC35" i="16"/>
  <c r="DB35" i="16"/>
  <c r="DA35" i="16"/>
  <c r="CZ35" i="16"/>
  <c r="CY35" i="16"/>
  <c r="CX35" i="16"/>
  <c r="CW35" i="16"/>
  <c r="CV35" i="16"/>
  <c r="CU35" i="16"/>
  <c r="CT35" i="16"/>
  <c r="CS35" i="16"/>
  <c r="CR35" i="16"/>
  <c r="CQ35" i="16"/>
  <c r="CP35" i="16"/>
  <c r="CO35" i="16"/>
  <c r="CN35" i="16"/>
  <c r="CM35" i="16"/>
  <c r="CL35" i="16"/>
  <c r="CK35" i="16"/>
  <c r="CJ35" i="16"/>
  <c r="CI35" i="16"/>
  <c r="CH35" i="16"/>
  <c r="CG35" i="16"/>
  <c r="CF35" i="16"/>
  <c r="CE35" i="16"/>
  <c r="CD35" i="16"/>
  <c r="CC35" i="16"/>
  <c r="CB35" i="16"/>
  <c r="CA35" i="16"/>
  <c r="BZ35" i="16"/>
  <c r="BY35" i="16"/>
  <c r="BX35" i="16"/>
  <c r="BW35" i="16"/>
  <c r="BV35" i="16"/>
  <c r="BU35" i="16"/>
  <c r="BT35" i="16"/>
  <c r="BS35" i="16"/>
  <c r="BR35" i="16"/>
  <c r="BQ35" i="16"/>
  <c r="BP35" i="16"/>
  <c r="BO35" i="16"/>
  <c r="BN35" i="16"/>
  <c r="BM35" i="16"/>
  <c r="BL35" i="16"/>
  <c r="BK35" i="16"/>
  <c r="BJ35" i="16"/>
  <c r="BI35" i="16"/>
  <c r="BH35" i="16"/>
  <c r="BG35" i="16"/>
  <c r="BF35" i="16"/>
  <c r="BE35" i="16"/>
  <c r="BD35" i="16"/>
  <c r="BC35" i="16"/>
  <c r="BB35" i="16"/>
  <c r="BA35" i="16"/>
  <c r="AZ35" i="16"/>
  <c r="AY35" i="16"/>
  <c r="AX35" i="16"/>
  <c r="AW35" i="16"/>
  <c r="AV35" i="16"/>
  <c r="AU35" i="16"/>
  <c r="AT35" i="16"/>
  <c r="AS35" i="16"/>
  <c r="AR35" i="16"/>
  <c r="AQ35" i="16"/>
  <c r="AP35" i="16"/>
  <c r="AO35" i="16"/>
  <c r="AN35" i="16"/>
  <c r="AM35" i="16"/>
  <c r="AL35" i="16"/>
  <c r="AK35" i="16"/>
  <c r="AJ35" i="16"/>
  <c r="AI35" i="16"/>
  <c r="AH35" i="16"/>
  <c r="AG35" i="16"/>
  <c r="AF35" i="16"/>
  <c r="AE35" i="16"/>
  <c r="AD35" i="16"/>
  <c r="AC35" i="16"/>
  <c r="AB35" i="16"/>
  <c r="AA35" i="16"/>
  <c r="Z35" i="16"/>
  <c r="Y35" i="16"/>
  <c r="X35" i="16"/>
  <c r="W35" i="16"/>
  <c r="V35" i="16"/>
  <c r="U35" i="16"/>
  <c r="T35" i="16"/>
  <c r="S35" i="16"/>
  <c r="R35" i="16"/>
  <c r="Q35" i="16"/>
  <c r="P35" i="16"/>
  <c r="O35" i="16"/>
  <c r="N35" i="16"/>
  <c r="M35" i="16"/>
  <c r="L35" i="16"/>
  <c r="K35" i="16"/>
  <c r="J35" i="16"/>
  <c r="I35" i="16"/>
  <c r="H35" i="16"/>
  <c r="G35" i="16"/>
  <c r="F35" i="16"/>
  <c r="DC34" i="16"/>
  <c r="DB34" i="16"/>
  <c r="DA34" i="16"/>
  <c r="CZ34" i="16"/>
  <c r="CY34" i="16"/>
  <c r="CX34" i="16"/>
  <c r="CW34" i="16"/>
  <c r="CV34" i="16"/>
  <c r="CU34" i="16"/>
  <c r="CT34" i="16"/>
  <c r="CS34" i="16"/>
  <c r="CR34" i="16"/>
  <c r="CQ34" i="16"/>
  <c r="CP34" i="16"/>
  <c r="CO34" i="16"/>
  <c r="CN34" i="16"/>
  <c r="CM34" i="16"/>
  <c r="CL34" i="16"/>
  <c r="CK34" i="16"/>
  <c r="CJ34" i="16"/>
  <c r="CI34" i="16"/>
  <c r="CH34" i="16"/>
  <c r="CG34" i="16"/>
  <c r="CF34" i="16"/>
  <c r="CE34" i="16"/>
  <c r="CD34" i="16"/>
  <c r="CC34" i="16"/>
  <c r="CB34" i="16"/>
  <c r="CA34" i="16"/>
  <c r="BZ34" i="16"/>
  <c r="BY34" i="16"/>
  <c r="BX34" i="16"/>
  <c r="BW34" i="16"/>
  <c r="BV34" i="16"/>
  <c r="BU34" i="16"/>
  <c r="BT34" i="16"/>
  <c r="BS34" i="16"/>
  <c r="BR34" i="16"/>
  <c r="BQ34" i="16"/>
  <c r="BP34" i="16"/>
  <c r="BO34" i="16"/>
  <c r="BN34" i="16"/>
  <c r="BM34" i="16"/>
  <c r="BL34" i="16"/>
  <c r="BK34" i="16"/>
  <c r="BJ34" i="16"/>
  <c r="BI34" i="16"/>
  <c r="BH34" i="16"/>
  <c r="BG34" i="16"/>
  <c r="BF34" i="16"/>
  <c r="BE34" i="16"/>
  <c r="BD34" i="16"/>
  <c r="BC34" i="16"/>
  <c r="BB34" i="16"/>
  <c r="BA34" i="16"/>
  <c r="AZ34" i="16"/>
  <c r="AY34" i="16"/>
  <c r="AX34" i="16"/>
  <c r="AW34" i="16"/>
  <c r="AV34" i="16"/>
  <c r="AU34" i="16"/>
  <c r="AT34" i="16"/>
  <c r="AS34" i="16"/>
  <c r="AR34" i="16"/>
  <c r="AQ34" i="16"/>
  <c r="AP34" i="16"/>
  <c r="AO34" i="16"/>
  <c r="AN34" i="16"/>
  <c r="AM34" i="16"/>
  <c r="AL34" i="16"/>
  <c r="AK34" i="16"/>
  <c r="AJ34" i="16"/>
  <c r="AI34" i="16"/>
  <c r="AH34" i="16"/>
  <c r="AG34" i="16"/>
  <c r="AF34" i="16"/>
  <c r="AE34" i="16"/>
  <c r="AD34" i="16"/>
  <c r="AC34" i="16"/>
  <c r="AB34" i="16"/>
  <c r="AA34" i="16"/>
  <c r="Z34" i="16"/>
  <c r="Y34" i="16"/>
  <c r="X34" i="16"/>
  <c r="W34" i="16"/>
  <c r="V34" i="16"/>
  <c r="U34" i="16"/>
  <c r="T34" i="16"/>
  <c r="S34" i="16"/>
  <c r="R34" i="16"/>
  <c r="Q34" i="16"/>
  <c r="P34" i="16"/>
  <c r="O34" i="16"/>
  <c r="N34" i="16"/>
  <c r="M34" i="16"/>
  <c r="L34" i="16"/>
  <c r="K34" i="16"/>
  <c r="J34" i="16"/>
  <c r="I34" i="16"/>
  <c r="H34" i="16"/>
  <c r="G34" i="16"/>
  <c r="F34" i="16"/>
  <c r="DC32" i="16"/>
  <c r="DB32" i="16"/>
  <c r="DA32" i="16"/>
  <c r="CZ32" i="16"/>
  <c r="CY32" i="16"/>
  <c r="CX32" i="16"/>
  <c r="CW32" i="16"/>
  <c r="CV32" i="16"/>
  <c r="CU32" i="16"/>
  <c r="CT32" i="16"/>
  <c r="CS32" i="16"/>
  <c r="CR32" i="16"/>
  <c r="CQ32" i="16"/>
  <c r="CP32" i="16"/>
  <c r="CO32" i="16"/>
  <c r="CN32" i="16"/>
  <c r="CM32" i="16"/>
  <c r="CL32" i="16"/>
  <c r="CK32" i="16"/>
  <c r="CJ32" i="16"/>
  <c r="CI32" i="16"/>
  <c r="CH32" i="16"/>
  <c r="CG32" i="16"/>
  <c r="CF32" i="16"/>
  <c r="CE32" i="16"/>
  <c r="CD32" i="16"/>
  <c r="CC32" i="16"/>
  <c r="CB32" i="16"/>
  <c r="CA32" i="16"/>
  <c r="BZ32" i="16"/>
  <c r="BY32" i="16"/>
  <c r="BX32" i="16"/>
  <c r="BW32" i="16"/>
  <c r="BV32" i="16"/>
  <c r="BU32" i="16"/>
  <c r="BT32" i="16"/>
  <c r="BS32" i="16"/>
  <c r="BR32" i="16"/>
  <c r="BQ32" i="16"/>
  <c r="BP32" i="16"/>
  <c r="BO32" i="16"/>
  <c r="BN32" i="16"/>
  <c r="BM32" i="16"/>
  <c r="BL32" i="16"/>
  <c r="BK32" i="16"/>
  <c r="BJ32" i="16"/>
  <c r="BI32" i="16"/>
  <c r="BH32" i="16"/>
  <c r="BG32" i="16"/>
  <c r="BF32" i="16"/>
  <c r="BE32" i="16"/>
  <c r="BD32" i="16"/>
  <c r="BC32" i="16"/>
  <c r="BB32" i="16"/>
  <c r="BA32" i="16"/>
  <c r="AZ32" i="16"/>
  <c r="AY32" i="16"/>
  <c r="AX32" i="16"/>
  <c r="AW32" i="16"/>
  <c r="AV32" i="16"/>
  <c r="AU32" i="16"/>
  <c r="AT32" i="16"/>
  <c r="AS32" i="16"/>
  <c r="AR32" i="16"/>
  <c r="AQ32" i="16"/>
  <c r="AP32" i="16"/>
  <c r="AO32" i="16"/>
  <c r="AN32" i="16"/>
  <c r="AM32" i="16"/>
  <c r="AL32" i="16"/>
  <c r="AK32" i="16"/>
  <c r="AJ32" i="16"/>
  <c r="AI32" i="16"/>
  <c r="AH32" i="16"/>
  <c r="AG32" i="16"/>
  <c r="AF32" i="16"/>
  <c r="AE32" i="16"/>
  <c r="AD32" i="16"/>
  <c r="AC32" i="16"/>
  <c r="AB32" i="16"/>
  <c r="AA32" i="16"/>
  <c r="Z32" i="16"/>
  <c r="Y32" i="16"/>
  <c r="X32" i="16"/>
  <c r="W32" i="16"/>
  <c r="V32" i="16"/>
  <c r="U32" i="16"/>
  <c r="T32" i="16"/>
  <c r="S32" i="16"/>
  <c r="R32" i="16"/>
  <c r="Q32" i="16"/>
  <c r="P32" i="16"/>
  <c r="O32" i="16"/>
  <c r="N32" i="16"/>
  <c r="M32" i="16"/>
  <c r="L32" i="16"/>
  <c r="K32" i="16"/>
  <c r="J32" i="16"/>
  <c r="I32" i="16"/>
  <c r="H32" i="16"/>
  <c r="G32" i="16"/>
  <c r="F32" i="16"/>
  <c r="DC31" i="16"/>
  <c r="DB31" i="16"/>
  <c r="DA31" i="16"/>
  <c r="CZ31" i="16"/>
  <c r="CY31" i="16"/>
  <c r="CX31" i="16"/>
  <c r="CW31" i="16"/>
  <c r="CV31" i="16"/>
  <c r="CU31" i="16"/>
  <c r="CT31" i="16"/>
  <c r="CS31" i="16"/>
  <c r="CR31" i="16"/>
  <c r="CQ31" i="16"/>
  <c r="CP31" i="16"/>
  <c r="CO31" i="16"/>
  <c r="CN31" i="16"/>
  <c r="CM31" i="16"/>
  <c r="CL31" i="16"/>
  <c r="CK31" i="16"/>
  <c r="CJ31" i="16"/>
  <c r="CI31" i="16"/>
  <c r="CH31" i="16"/>
  <c r="CG31" i="16"/>
  <c r="CF31" i="16"/>
  <c r="CE31" i="16"/>
  <c r="CD31" i="16"/>
  <c r="CC31" i="16"/>
  <c r="CB31" i="16"/>
  <c r="CA31" i="16"/>
  <c r="BZ31" i="16"/>
  <c r="BY31" i="16"/>
  <c r="BX31" i="16"/>
  <c r="BW31" i="16"/>
  <c r="BV31" i="16"/>
  <c r="BU31" i="16"/>
  <c r="BT31" i="16"/>
  <c r="BS31" i="16"/>
  <c r="BR31" i="16"/>
  <c r="BQ31" i="16"/>
  <c r="BP31" i="16"/>
  <c r="BO31" i="16"/>
  <c r="BN31" i="16"/>
  <c r="BM31" i="16"/>
  <c r="BL31" i="16"/>
  <c r="BK31" i="16"/>
  <c r="BJ31" i="16"/>
  <c r="BI31" i="16"/>
  <c r="BH31" i="16"/>
  <c r="BG31" i="16"/>
  <c r="BF31" i="16"/>
  <c r="BE31" i="16"/>
  <c r="BD31" i="16"/>
  <c r="BC31" i="16"/>
  <c r="BB31" i="16"/>
  <c r="BA31" i="16"/>
  <c r="AZ31" i="16"/>
  <c r="AY31" i="16"/>
  <c r="AX31" i="16"/>
  <c r="AW31" i="16"/>
  <c r="AV31" i="16"/>
  <c r="AU31" i="16"/>
  <c r="AT31" i="16"/>
  <c r="AS31" i="16"/>
  <c r="AR31" i="16"/>
  <c r="AQ31" i="16"/>
  <c r="AP31" i="16"/>
  <c r="AO31" i="16"/>
  <c r="AN31" i="16"/>
  <c r="AM31" i="16"/>
  <c r="AL31" i="16"/>
  <c r="AK31" i="16"/>
  <c r="AJ31" i="16"/>
  <c r="AI31" i="16"/>
  <c r="AH31" i="16"/>
  <c r="AG31" i="16"/>
  <c r="AF31" i="16"/>
  <c r="AE31" i="16"/>
  <c r="AD31" i="16"/>
  <c r="AC31" i="16"/>
  <c r="AB31" i="16"/>
  <c r="AA31" i="16"/>
  <c r="Z31" i="16"/>
  <c r="Y31" i="16"/>
  <c r="X31" i="16"/>
  <c r="W31" i="16"/>
  <c r="V31" i="16"/>
  <c r="U31" i="16"/>
  <c r="T31" i="16"/>
  <c r="S31" i="16"/>
  <c r="R31" i="16"/>
  <c r="Q31" i="16"/>
  <c r="P31" i="16"/>
  <c r="O31" i="16"/>
  <c r="N31" i="16"/>
  <c r="M31" i="16"/>
  <c r="L31" i="16"/>
  <c r="K31" i="16"/>
  <c r="J31" i="16"/>
  <c r="I31" i="16"/>
  <c r="H31" i="16"/>
  <c r="G31" i="16"/>
  <c r="F31" i="16"/>
  <c r="DC30" i="16"/>
  <c r="DB30" i="16"/>
  <c r="DA30" i="16"/>
  <c r="CZ30" i="16"/>
  <c r="CY30" i="16"/>
  <c r="CX30" i="16"/>
  <c r="CW30" i="16"/>
  <c r="CV30" i="16"/>
  <c r="CU30" i="16"/>
  <c r="CT30" i="16"/>
  <c r="CS30" i="16"/>
  <c r="CR30" i="16"/>
  <c r="CQ30" i="16"/>
  <c r="CP30" i="16"/>
  <c r="CO30" i="16"/>
  <c r="CN30" i="16"/>
  <c r="CM30" i="16"/>
  <c r="CL30" i="16"/>
  <c r="CK30" i="16"/>
  <c r="CJ30" i="16"/>
  <c r="CI30" i="16"/>
  <c r="CH30" i="16"/>
  <c r="CG30" i="16"/>
  <c r="CF30" i="16"/>
  <c r="CE30" i="16"/>
  <c r="CD30" i="16"/>
  <c r="CC30" i="16"/>
  <c r="CB30" i="16"/>
  <c r="CA30" i="16"/>
  <c r="BZ30" i="16"/>
  <c r="BY30" i="16"/>
  <c r="BX30" i="16"/>
  <c r="BW30" i="16"/>
  <c r="BV30" i="16"/>
  <c r="BU30" i="16"/>
  <c r="BT30" i="16"/>
  <c r="BS30" i="16"/>
  <c r="BR30" i="16"/>
  <c r="BQ30" i="16"/>
  <c r="BP30" i="16"/>
  <c r="BO30" i="16"/>
  <c r="BN30" i="16"/>
  <c r="BM30" i="16"/>
  <c r="BL30" i="16"/>
  <c r="BK30" i="16"/>
  <c r="BJ30" i="16"/>
  <c r="BI30" i="16"/>
  <c r="BH30" i="16"/>
  <c r="BG30" i="16"/>
  <c r="BF30" i="16"/>
  <c r="BE30" i="16"/>
  <c r="BD30" i="16"/>
  <c r="BC30" i="16"/>
  <c r="BB30" i="16"/>
  <c r="BA30" i="16"/>
  <c r="AZ30" i="16"/>
  <c r="AY30" i="16"/>
  <c r="AX30" i="16"/>
  <c r="AW30" i="16"/>
  <c r="AV30" i="16"/>
  <c r="AU30" i="16"/>
  <c r="AT30" i="16"/>
  <c r="AS30" i="16"/>
  <c r="AR30" i="16"/>
  <c r="AQ30" i="16"/>
  <c r="AP30" i="16"/>
  <c r="AO30" i="16"/>
  <c r="AN30" i="16"/>
  <c r="AM30" i="16"/>
  <c r="AL30" i="16"/>
  <c r="AK30" i="16"/>
  <c r="AJ30" i="16"/>
  <c r="AI30" i="16"/>
  <c r="AH30" i="16"/>
  <c r="AG30" i="16"/>
  <c r="AF30" i="16"/>
  <c r="AE30" i="16"/>
  <c r="AD30" i="16"/>
  <c r="AC30" i="16"/>
  <c r="AB30" i="16"/>
  <c r="AA30" i="16"/>
  <c r="Z30" i="16"/>
  <c r="Y30" i="16"/>
  <c r="X30" i="16"/>
  <c r="W30" i="16"/>
  <c r="V30" i="16"/>
  <c r="U30" i="16"/>
  <c r="T30" i="16"/>
  <c r="S30" i="16"/>
  <c r="R30" i="16"/>
  <c r="Q30" i="16"/>
  <c r="P30" i="16"/>
  <c r="O30" i="16"/>
  <c r="N30" i="16"/>
  <c r="M30" i="16"/>
  <c r="L30" i="16"/>
  <c r="K30" i="16"/>
  <c r="J30" i="16"/>
  <c r="I30" i="16"/>
  <c r="H30" i="16"/>
  <c r="G30" i="16"/>
  <c r="F30" i="16"/>
  <c r="DC29" i="16"/>
  <c r="DB29" i="16"/>
  <c r="DA29" i="16"/>
  <c r="CZ29" i="16"/>
  <c r="CY29" i="16"/>
  <c r="CX29" i="16"/>
  <c r="CW29" i="16"/>
  <c r="CV29" i="16"/>
  <c r="CU29" i="16"/>
  <c r="CT29" i="16"/>
  <c r="CS29" i="16"/>
  <c r="CR29" i="16"/>
  <c r="CQ29" i="16"/>
  <c r="CP29" i="16"/>
  <c r="CO29" i="16"/>
  <c r="CN29" i="16"/>
  <c r="CM29" i="16"/>
  <c r="CL29" i="16"/>
  <c r="CK29" i="16"/>
  <c r="CJ29" i="16"/>
  <c r="CI29" i="16"/>
  <c r="CH29" i="16"/>
  <c r="CG29" i="16"/>
  <c r="CF29" i="16"/>
  <c r="CE29" i="16"/>
  <c r="CD29" i="16"/>
  <c r="CC29" i="16"/>
  <c r="CB29" i="16"/>
  <c r="CA29" i="16"/>
  <c r="BZ29" i="16"/>
  <c r="BY29" i="16"/>
  <c r="BX29" i="16"/>
  <c r="BW29" i="16"/>
  <c r="BV29" i="16"/>
  <c r="BU29" i="16"/>
  <c r="BT29" i="16"/>
  <c r="BS29" i="16"/>
  <c r="BR29" i="16"/>
  <c r="BQ29" i="16"/>
  <c r="BP29" i="16"/>
  <c r="BO29" i="16"/>
  <c r="BN29" i="16"/>
  <c r="BM29" i="16"/>
  <c r="BL29" i="16"/>
  <c r="BK29" i="16"/>
  <c r="BJ29" i="16"/>
  <c r="BI29" i="16"/>
  <c r="BH29" i="16"/>
  <c r="BG29" i="16"/>
  <c r="BF29" i="16"/>
  <c r="BE29" i="16"/>
  <c r="BD29" i="16"/>
  <c r="BC29" i="16"/>
  <c r="BB29" i="16"/>
  <c r="BA29" i="16"/>
  <c r="AZ29" i="16"/>
  <c r="AY29" i="16"/>
  <c r="AX29" i="16"/>
  <c r="AW29" i="16"/>
  <c r="AV29" i="16"/>
  <c r="AU29" i="16"/>
  <c r="AT29" i="16"/>
  <c r="AS29" i="16"/>
  <c r="AR29" i="16"/>
  <c r="AQ29" i="16"/>
  <c r="AP29" i="16"/>
  <c r="AO29" i="16"/>
  <c r="AN29" i="16"/>
  <c r="AM29" i="16"/>
  <c r="AL29" i="16"/>
  <c r="AK29" i="16"/>
  <c r="AJ29" i="16"/>
  <c r="AI29" i="16"/>
  <c r="AH29" i="16"/>
  <c r="AG29" i="16"/>
  <c r="AF29" i="16"/>
  <c r="AE29" i="16"/>
  <c r="AD29" i="16"/>
  <c r="AC29" i="16"/>
  <c r="AB29" i="16"/>
  <c r="AA29" i="16"/>
  <c r="Z29" i="16"/>
  <c r="Y29" i="16"/>
  <c r="X29" i="16"/>
  <c r="W29" i="16"/>
  <c r="V29" i="16"/>
  <c r="U29" i="16"/>
  <c r="T29" i="16"/>
  <c r="S29" i="16"/>
  <c r="R29" i="16"/>
  <c r="Q29" i="16"/>
  <c r="P29" i="16"/>
  <c r="O29" i="16"/>
  <c r="N29" i="16"/>
  <c r="M29" i="16"/>
  <c r="L29" i="16"/>
  <c r="K29" i="16"/>
  <c r="J29" i="16"/>
  <c r="I29" i="16"/>
  <c r="H29" i="16"/>
  <c r="G29" i="16"/>
  <c r="F29" i="16"/>
  <c r="DC28" i="16"/>
  <c r="DB28" i="16"/>
  <c r="DA28" i="16"/>
  <c r="CZ28" i="16"/>
  <c r="CY28" i="16"/>
  <c r="CX28" i="16"/>
  <c r="CW28" i="16"/>
  <c r="CV28" i="16"/>
  <c r="CU28" i="16"/>
  <c r="CT28" i="16"/>
  <c r="CS28" i="16"/>
  <c r="CR28" i="16"/>
  <c r="CQ28" i="16"/>
  <c r="CP28" i="16"/>
  <c r="CO28" i="16"/>
  <c r="CN28" i="16"/>
  <c r="CM28" i="16"/>
  <c r="CL28" i="16"/>
  <c r="CK28" i="16"/>
  <c r="CJ28" i="16"/>
  <c r="CI28" i="16"/>
  <c r="CH28" i="16"/>
  <c r="CG28" i="16"/>
  <c r="CF28" i="16"/>
  <c r="CE28" i="16"/>
  <c r="CD28" i="16"/>
  <c r="CC28" i="16"/>
  <c r="CB28" i="16"/>
  <c r="CA28" i="16"/>
  <c r="BZ28" i="16"/>
  <c r="BY28" i="16"/>
  <c r="BX28" i="16"/>
  <c r="BW28" i="16"/>
  <c r="BV28" i="16"/>
  <c r="BU28" i="16"/>
  <c r="BT28" i="16"/>
  <c r="BS28" i="16"/>
  <c r="BR28" i="16"/>
  <c r="BQ28" i="16"/>
  <c r="BP28" i="16"/>
  <c r="BO28" i="16"/>
  <c r="BN28" i="16"/>
  <c r="BM28" i="16"/>
  <c r="BL28" i="16"/>
  <c r="BK28" i="16"/>
  <c r="BJ28" i="16"/>
  <c r="BI28" i="16"/>
  <c r="BH28" i="16"/>
  <c r="BG28" i="16"/>
  <c r="BF28" i="16"/>
  <c r="BE28" i="16"/>
  <c r="BD28" i="16"/>
  <c r="BC28" i="16"/>
  <c r="BB28" i="16"/>
  <c r="BA28" i="16"/>
  <c r="AZ28" i="16"/>
  <c r="AY28" i="16"/>
  <c r="AX28" i="16"/>
  <c r="AW28" i="16"/>
  <c r="AV28" i="16"/>
  <c r="AU28" i="16"/>
  <c r="AT28" i="16"/>
  <c r="AS28" i="16"/>
  <c r="AR28" i="16"/>
  <c r="AQ28" i="16"/>
  <c r="AP28" i="16"/>
  <c r="AO28" i="16"/>
  <c r="AN28" i="16"/>
  <c r="AM28" i="16"/>
  <c r="AL28" i="16"/>
  <c r="AK28" i="16"/>
  <c r="AJ28" i="16"/>
  <c r="AI28" i="16"/>
  <c r="AH28" i="16"/>
  <c r="AG28" i="16"/>
  <c r="AF28" i="16"/>
  <c r="AE28" i="16"/>
  <c r="AD28" i="16"/>
  <c r="AC28" i="16"/>
  <c r="AB28" i="16"/>
  <c r="AA28" i="16"/>
  <c r="Z28" i="16"/>
  <c r="Y28" i="16"/>
  <c r="X28" i="16"/>
  <c r="W28" i="16"/>
  <c r="V28" i="16"/>
  <c r="U28" i="16"/>
  <c r="T28" i="16"/>
  <c r="S28" i="16"/>
  <c r="R28" i="16"/>
  <c r="Q28" i="16"/>
  <c r="P28" i="16"/>
  <c r="O28" i="16"/>
  <c r="N28" i="16"/>
  <c r="M28" i="16"/>
  <c r="L28" i="16"/>
  <c r="K28" i="16"/>
  <c r="J28" i="16"/>
  <c r="I28" i="16"/>
  <c r="H28" i="16"/>
  <c r="G28" i="16"/>
  <c r="F28" i="16"/>
  <c r="DC27" i="16"/>
  <c r="DB27" i="16"/>
  <c r="DA27" i="16"/>
  <c r="CZ27" i="16"/>
  <c r="CY27" i="16"/>
  <c r="CX27" i="16"/>
  <c r="CW27" i="16"/>
  <c r="CV27" i="16"/>
  <c r="CU27" i="16"/>
  <c r="F27" i="16"/>
  <c r="DC26" i="16"/>
  <c r="DB26" i="16"/>
  <c r="DA26" i="16"/>
  <c r="CZ26" i="16"/>
  <c r="CY26" i="16"/>
  <c r="CX26" i="16"/>
  <c r="CW26" i="16"/>
  <c r="CV26" i="16"/>
  <c r="CU26" i="16"/>
  <c r="F26" i="16"/>
  <c r="DC25" i="16"/>
  <c r="DB25" i="16"/>
  <c r="DA25" i="16"/>
  <c r="CZ25" i="16"/>
  <c r="CY25" i="16"/>
  <c r="CX25" i="16"/>
  <c r="CW25" i="16"/>
  <c r="CV25" i="16"/>
  <c r="CU25" i="16"/>
  <c r="F25" i="16"/>
  <c r="DC23" i="16"/>
  <c r="DB23" i="16"/>
  <c r="DA23" i="16"/>
  <c r="CZ23" i="16"/>
  <c r="CY23" i="16"/>
  <c r="CX23" i="16"/>
  <c r="CW23" i="16"/>
  <c r="CV23" i="16"/>
  <c r="J23" i="16"/>
  <c r="I23" i="16"/>
  <c r="H23" i="16"/>
  <c r="G23" i="16"/>
  <c r="F23" i="16"/>
  <c r="DC22" i="16"/>
  <c r="DB22" i="16"/>
  <c r="DA22" i="16"/>
  <c r="CZ22" i="16"/>
  <c r="CY22" i="16"/>
  <c r="CX22" i="16"/>
  <c r="CW22" i="16"/>
  <c r="CV22" i="16"/>
  <c r="J22" i="16"/>
  <c r="J250" i="17" s="1"/>
  <c r="I22" i="16"/>
  <c r="I250" i="17" s="1"/>
  <c r="H22" i="16"/>
  <c r="H250" i="17" s="1"/>
  <c r="G22" i="16"/>
  <c r="G250" i="17" s="1"/>
  <c r="F22" i="16"/>
  <c r="DC21" i="16"/>
  <c r="DB21" i="16"/>
  <c r="DA21" i="16"/>
  <c r="CZ21" i="16"/>
  <c r="CY21" i="16"/>
  <c r="CX21" i="16"/>
  <c r="CW21" i="16"/>
  <c r="CV21" i="16"/>
  <c r="J21" i="16"/>
  <c r="J249" i="17" s="1"/>
  <c r="I21" i="16"/>
  <c r="I249" i="17" s="1"/>
  <c r="H21" i="16"/>
  <c r="H249" i="17" s="1"/>
  <c r="G21" i="16"/>
  <c r="G249" i="17" s="1"/>
  <c r="F21" i="16"/>
  <c r="DC20" i="16"/>
  <c r="DB20" i="16"/>
  <c r="DA20" i="16"/>
  <c r="CZ20" i="16"/>
  <c r="CY20" i="16"/>
  <c r="CX20" i="16"/>
  <c r="CW20" i="16"/>
  <c r="CV20" i="16"/>
  <c r="J20" i="16"/>
  <c r="J248" i="17" s="1"/>
  <c r="I20" i="16"/>
  <c r="I248" i="17" s="1"/>
  <c r="H20" i="16"/>
  <c r="H248" i="17" s="1"/>
  <c r="G20" i="16"/>
  <c r="G248" i="17" s="1"/>
  <c r="F20" i="16"/>
  <c r="DC19" i="16"/>
  <c r="DB19" i="16"/>
  <c r="DA19" i="16"/>
  <c r="CZ19" i="16"/>
  <c r="CY19" i="16"/>
  <c r="CX19" i="16"/>
  <c r="CW19" i="16"/>
  <c r="CV19" i="16"/>
  <c r="J19" i="16"/>
  <c r="J254" i="17" s="1"/>
  <c r="I19" i="16"/>
  <c r="H19" i="16"/>
  <c r="G19" i="16"/>
  <c r="F19" i="16"/>
  <c r="DC18" i="16"/>
  <c r="DB18" i="16"/>
  <c r="DA18" i="16"/>
  <c r="CZ18" i="16"/>
  <c r="CY18" i="16"/>
  <c r="CX18" i="16"/>
  <c r="CW18" i="16"/>
  <c r="CV18" i="16"/>
  <c r="J18" i="16"/>
  <c r="J246" i="17" s="1"/>
  <c r="I18" i="16"/>
  <c r="I246" i="17" s="1"/>
  <c r="H18" i="16"/>
  <c r="H246" i="17" s="1"/>
  <c r="G18" i="16"/>
  <c r="G246" i="17" s="1"/>
  <c r="F18" i="16"/>
  <c r="DC17" i="16"/>
  <c r="DB17" i="16"/>
  <c r="DA17" i="16"/>
  <c r="CZ17" i="16"/>
  <c r="CY17" i="16"/>
  <c r="CX17" i="16"/>
  <c r="CW17" i="16"/>
  <c r="CV17" i="16"/>
  <c r="F17" i="16"/>
  <c r="DC15" i="16"/>
  <c r="DB15" i="16"/>
  <c r="DA15" i="16"/>
  <c r="CZ15" i="16"/>
  <c r="CY15" i="16"/>
  <c r="CX15" i="16"/>
  <c r="CW15" i="16"/>
  <c r="CV15" i="16"/>
  <c r="CU15" i="16"/>
  <c r="F15" i="16"/>
  <c r="DC13" i="16"/>
  <c r="DB13" i="16"/>
  <c r="DA13" i="16"/>
  <c r="CZ13" i="16"/>
  <c r="CY13" i="16"/>
  <c r="CX13" i="16"/>
  <c r="CW13" i="16"/>
  <c r="CV13" i="16"/>
  <c r="CU13" i="16"/>
  <c r="F13" i="16"/>
  <c r="DC12" i="16"/>
  <c r="DB12" i="16"/>
  <c r="DA12" i="16"/>
  <c r="CZ12" i="16"/>
  <c r="CY12" i="16"/>
  <c r="CX12" i="16"/>
  <c r="CW12" i="16"/>
  <c r="CV12" i="16"/>
  <c r="CU12" i="16"/>
  <c r="F12" i="16"/>
  <c r="DC11" i="16"/>
  <c r="DB11" i="16"/>
  <c r="DA11" i="16"/>
  <c r="CZ11" i="16"/>
  <c r="CY11" i="16"/>
  <c r="CX11" i="16"/>
  <c r="CW11" i="16"/>
  <c r="CV11" i="16"/>
  <c r="CU11" i="16"/>
  <c r="F11" i="16"/>
  <c r="DC10" i="16"/>
  <c r="DB10" i="16"/>
  <c r="DA10" i="16"/>
  <c r="CZ10" i="16"/>
  <c r="CY10" i="16"/>
  <c r="CX10" i="16"/>
  <c r="CW10" i="16"/>
  <c r="CV10" i="16"/>
  <c r="CU10" i="16"/>
  <c r="F10" i="16"/>
  <c r="DC9" i="16"/>
  <c r="DB9" i="16"/>
  <c r="DA9" i="16"/>
  <c r="CZ9" i="16"/>
  <c r="CY9" i="16"/>
  <c r="CX9" i="16"/>
  <c r="CW9" i="16"/>
  <c r="CV9" i="16"/>
  <c r="CU9" i="16"/>
  <c r="F9" i="16"/>
  <c r="DC8" i="16"/>
  <c r="DB8" i="16"/>
  <c r="DA8" i="16"/>
  <c r="CZ8" i="16"/>
  <c r="CY8" i="16"/>
  <c r="CX8" i="16"/>
  <c r="CW8" i="16"/>
  <c r="CV8" i="16"/>
  <c r="CU8" i="16"/>
  <c r="G8" i="16"/>
  <c r="G125" i="17" s="1"/>
  <c r="F8" i="16"/>
  <c r="DC7" i="16"/>
  <c r="DB7" i="16"/>
  <c r="DA7" i="16"/>
  <c r="CZ7" i="16"/>
  <c r="CY7" i="16"/>
  <c r="CX7" i="16"/>
  <c r="CW7" i="16"/>
  <c r="CV7" i="16"/>
  <c r="CU7" i="16"/>
  <c r="F7" i="16"/>
  <c r="DC6" i="16"/>
  <c r="DB6" i="16"/>
  <c r="DA6" i="16"/>
  <c r="CZ6" i="16"/>
  <c r="CY6" i="16"/>
  <c r="CX6" i="16"/>
  <c r="CW6" i="16"/>
  <c r="CV6" i="16"/>
  <c r="CU6" i="16"/>
  <c r="F6" i="16"/>
  <c r="DC5" i="16"/>
  <c r="DB5" i="16"/>
  <c r="DA5" i="16"/>
  <c r="CZ5" i="16"/>
  <c r="CY5" i="16"/>
  <c r="CX5" i="16"/>
  <c r="CW5" i="16"/>
  <c r="CV5" i="16"/>
  <c r="CU5" i="16"/>
  <c r="F5" i="16"/>
  <c r="DC3" i="16"/>
  <c r="DB3" i="16"/>
  <c r="DA3" i="16"/>
  <c r="CZ3" i="16"/>
  <c r="CY3" i="16"/>
  <c r="CX3" i="16"/>
  <c r="CW3" i="16"/>
  <c r="CV3" i="16"/>
  <c r="CU3" i="16"/>
  <c r="CT3" i="16"/>
  <c r="CS3" i="16"/>
  <c r="CR3" i="16"/>
  <c r="CQ3" i="16"/>
  <c r="CP3" i="16"/>
  <c r="CO3" i="16"/>
  <c r="CN3" i="16"/>
  <c r="CM3" i="16"/>
  <c r="CL3" i="16"/>
  <c r="CK3" i="16"/>
  <c r="CJ3" i="16"/>
  <c r="CI3" i="16"/>
  <c r="CH3" i="16"/>
  <c r="CG3" i="16"/>
  <c r="CF3" i="16"/>
  <c r="CE3" i="16"/>
  <c r="CD3" i="16"/>
  <c r="CC3" i="16"/>
  <c r="CB3" i="16"/>
  <c r="CA3" i="16"/>
  <c r="BZ3" i="16"/>
  <c r="BY3" i="16"/>
  <c r="BX3" i="16"/>
  <c r="BW3" i="16"/>
  <c r="BV3" i="16"/>
  <c r="BU3" i="16"/>
  <c r="BT3" i="16"/>
  <c r="BS3" i="16"/>
  <c r="BR3" i="16"/>
  <c r="BQ3" i="16"/>
  <c r="BP3" i="16"/>
  <c r="BO3" i="16"/>
  <c r="BN3" i="16"/>
  <c r="BM3" i="16"/>
  <c r="BL3" i="16"/>
  <c r="BK3" i="16"/>
  <c r="BJ3" i="16"/>
  <c r="BI3" i="16"/>
  <c r="BH3" i="16"/>
  <c r="BG3" i="16"/>
  <c r="BF3" i="16"/>
  <c r="BE3" i="16"/>
  <c r="BD3" i="16"/>
  <c r="BC3" i="16"/>
  <c r="BB3" i="16"/>
  <c r="BA3" i="16"/>
  <c r="AZ3" i="16"/>
  <c r="AY3" i="16"/>
  <c r="AX3" i="16"/>
  <c r="AW3" i="16"/>
  <c r="AV3" i="16"/>
  <c r="AU3" i="16"/>
  <c r="AT3" i="16"/>
  <c r="AS3" i="16"/>
  <c r="AR3" i="16"/>
  <c r="AQ3" i="16"/>
  <c r="AP3" i="16"/>
  <c r="AO3" i="16"/>
  <c r="AN3" i="16"/>
  <c r="AM3" i="16"/>
  <c r="AL3" i="16"/>
  <c r="AK3" i="16"/>
  <c r="AJ3" i="16"/>
  <c r="AI3" i="16"/>
  <c r="AH3" i="16"/>
  <c r="AG3" i="16"/>
  <c r="AF3" i="16"/>
  <c r="AE3" i="16"/>
  <c r="AD3" i="16"/>
  <c r="AC3" i="16"/>
  <c r="AB3" i="16"/>
  <c r="AA3" i="16"/>
  <c r="Z3" i="16"/>
  <c r="Y3" i="16"/>
  <c r="X3" i="16"/>
  <c r="W3" i="16"/>
  <c r="V3" i="16"/>
  <c r="U3" i="16"/>
  <c r="T3" i="16"/>
  <c r="S3" i="16"/>
  <c r="R3" i="16"/>
  <c r="Q3" i="16"/>
  <c r="P3" i="16"/>
  <c r="O3" i="16"/>
  <c r="N3" i="16"/>
  <c r="M3" i="16"/>
  <c r="L3" i="16"/>
  <c r="K3" i="16"/>
  <c r="J3" i="16"/>
  <c r="I3" i="16"/>
  <c r="H3" i="16"/>
  <c r="G3" i="16"/>
  <c r="DC2" i="16"/>
  <c r="CY2" i="16"/>
  <c r="CU2" i="16"/>
  <c r="CQ2" i="16"/>
  <c r="CM2" i="16"/>
  <c r="CI2" i="16"/>
  <c r="CE2" i="16"/>
  <c r="CA2" i="16"/>
  <c r="BW2" i="16"/>
  <c r="BS2" i="16"/>
  <c r="BO2" i="16"/>
  <c r="BK2" i="16"/>
  <c r="BG2" i="16"/>
  <c r="BC2" i="16"/>
  <c r="AY2" i="16"/>
  <c r="AU2" i="16"/>
  <c r="AQ2" i="16"/>
  <c r="AM2" i="16"/>
  <c r="AI2" i="16"/>
  <c r="AE2" i="16"/>
  <c r="AA2" i="16"/>
  <c r="W2" i="16"/>
  <c r="S2" i="16"/>
  <c r="O2" i="16"/>
  <c r="K2" i="16"/>
  <c r="G2" i="16"/>
  <c r="E307" i="17"/>
  <c r="E306" i="17"/>
  <c r="E305" i="17"/>
  <c r="E304" i="17"/>
  <c r="E303" i="17"/>
  <c r="E302" i="17"/>
  <c r="R298" i="17"/>
  <c r="E298" i="17"/>
  <c r="R297" i="17"/>
  <c r="E297" i="17"/>
  <c r="R296" i="17"/>
  <c r="E296" i="17"/>
  <c r="V295" i="17"/>
  <c r="R295" i="17"/>
  <c r="E295" i="17"/>
  <c r="V294" i="17"/>
  <c r="R294" i="17"/>
  <c r="E294" i="17"/>
  <c r="R293" i="17"/>
  <c r="E293" i="17"/>
  <c r="V289" i="17"/>
  <c r="U289" i="17"/>
  <c r="T289" i="17"/>
  <c r="S289" i="17"/>
  <c r="R289" i="17"/>
  <c r="Q289" i="17"/>
  <c r="P289" i="17"/>
  <c r="O289" i="17"/>
  <c r="V286" i="17"/>
  <c r="U286" i="17"/>
  <c r="T286" i="17"/>
  <c r="S286" i="17"/>
  <c r="R286" i="17"/>
  <c r="Q286" i="17"/>
  <c r="P286" i="17"/>
  <c r="O286" i="17"/>
  <c r="N286" i="17"/>
  <c r="M286" i="17"/>
  <c r="L286" i="17"/>
  <c r="K286" i="17"/>
  <c r="E286" i="17"/>
  <c r="V284" i="17"/>
  <c r="U284" i="17"/>
  <c r="T284" i="17"/>
  <c r="S284" i="17"/>
  <c r="R284" i="17"/>
  <c r="Q284" i="17"/>
  <c r="P284" i="17"/>
  <c r="O284" i="17"/>
  <c r="E284" i="17"/>
  <c r="V283" i="17"/>
  <c r="U283" i="17"/>
  <c r="T283" i="17"/>
  <c r="S283" i="17"/>
  <c r="R283" i="17"/>
  <c r="Q283" i="17"/>
  <c r="P283" i="17"/>
  <c r="O283" i="17"/>
  <c r="V282" i="17"/>
  <c r="U282" i="17"/>
  <c r="T282" i="17"/>
  <c r="S282" i="17"/>
  <c r="R282" i="17"/>
  <c r="Q282" i="17"/>
  <c r="P282" i="17"/>
  <c r="O282" i="17"/>
  <c r="V281" i="17"/>
  <c r="U281" i="17"/>
  <c r="T281" i="17"/>
  <c r="S281" i="17"/>
  <c r="R281" i="17"/>
  <c r="Q281" i="17"/>
  <c r="P281" i="17"/>
  <c r="O281" i="17"/>
  <c r="E281" i="17"/>
  <c r="V280" i="17"/>
  <c r="U280" i="17"/>
  <c r="T280" i="17"/>
  <c r="S280" i="17"/>
  <c r="R280" i="17"/>
  <c r="Q280" i="17"/>
  <c r="P280" i="17"/>
  <c r="O280" i="17"/>
  <c r="E280" i="17"/>
  <c r="E277" i="17"/>
  <c r="E276" i="17"/>
  <c r="A276" i="17"/>
  <c r="A275" i="17"/>
  <c r="A274" i="17"/>
  <c r="E273" i="17"/>
  <c r="A273" i="17"/>
  <c r="E272" i="17"/>
  <c r="A272" i="17"/>
  <c r="V268" i="17"/>
  <c r="T268" i="17"/>
  <c r="R268" i="17"/>
  <c r="R299" i="17" s="1"/>
  <c r="P268" i="17"/>
  <c r="N268" i="17"/>
  <c r="N269" i="17" s="1"/>
  <c r="N267" i="17"/>
  <c r="V265" i="17"/>
  <c r="T265" i="17"/>
  <c r="J128" i="8" s="1"/>
  <c r="R265" i="17"/>
  <c r="P265" i="17"/>
  <c r="N265" i="17"/>
  <c r="L265" i="17"/>
  <c r="J265" i="17"/>
  <c r="V263" i="17"/>
  <c r="R263" i="17"/>
  <c r="N263" i="17"/>
  <c r="V262" i="17"/>
  <c r="V296" i="17" s="1"/>
  <c r="R262" i="17"/>
  <c r="N262" i="17"/>
  <c r="V261" i="17"/>
  <c r="R261" i="17"/>
  <c r="N261" i="17"/>
  <c r="V260" i="17"/>
  <c r="R260" i="17"/>
  <c r="N260" i="17"/>
  <c r="V259" i="17"/>
  <c r="R259" i="17"/>
  <c r="N259" i="17"/>
  <c r="N256" i="17"/>
  <c r="A255" i="17"/>
  <c r="N254" i="17"/>
  <c r="A252" i="17"/>
  <c r="N251" i="17"/>
  <c r="A250" i="17"/>
  <c r="A249" i="17"/>
  <c r="A248" i="17"/>
  <c r="A247" i="17"/>
  <c r="A246" i="17"/>
  <c r="CU244" i="17"/>
  <c r="CQ244" i="17"/>
  <c r="CM244" i="17"/>
  <c r="CI244" i="17"/>
  <c r="CE244" i="17"/>
  <c r="CA244" i="17"/>
  <c r="BW244" i="17"/>
  <c r="BS244" i="17"/>
  <c r="BO244" i="17"/>
  <c r="BK244" i="17"/>
  <c r="BG244" i="17"/>
  <c r="BC244" i="17"/>
  <c r="AY244" i="17"/>
  <c r="AU244" i="17"/>
  <c r="AQ244" i="17"/>
  <c r="AM244" i="17"/>
  <c r="AI244" i="17"/>
  <c r="AE244" i="17"/>
  <c r="AA244" i="17"/>
  <c r="W244" i="17"/>
  <c r="S244" i="17"/>
  <c r="O244" i="17"/>
  <c r="K244" i="17"/>
  <c r="G244" i="17"/>
  <c r="CX236" i="17"/>
  <c r="CW236" i="17"/>
  <c r="CV236" i="17"/>
  <c r="CU236" i="17"/>
  <c r="CT236" i="17"/>
  <c r="CP236" i="17"/>
  <c r="CO236" i="17"/>
  <c r="CN236" i="17"/>
  <c r="CM236" i="17"/>
  <c r="CL236" i="17"/>
  <c r="CK236" i="17"/>
  <c r="CJ236" i="17"/>
  <c r="CI236" i="17"/>
  <c r="CH236" i="17"/>
  <c r="CG236" i="17"/>
  <c r="CF236" i="17"/>
  <c r="CE236" i="17"/>
  <c r="CD236" i="17"/>
  <c r="CC236" i="17"/>
  <c r="CB236" i="17"/>
  <c r="CA236" i="17"/>
  <c r="BZ236" i="17"/>
  <c r="BY236" i="17"/>
  <c r="BX236" i="17"/>
  <c r="BW236" i="17"/>
  <c r="BV236" i="17"/>
  <c r="BU236" i="17"/>
  <c r="BT236" i="17"/>
  <c r="BS236" i="17"/>
  <c r="BR236" i="17"/>
  <c r="BQ236" i="17"/>
  <c r="BP236" i="17"/>
  <c r="BO236" i="17"/>
  <c r="BN236" i="17"/>
  <c r="BM236" i="17"/>
  <c r="BL236" i="17"/>
  <c r="BK236" i="17"/>
  <c r="BJ236" i="17"/>
  <c r="BI236" i="17"/>
  <c r="BH236" i="17"/>
  <c r="BG236" i="17"/>
  <c r="BF236" i="17"/>
  <c r="BE236" i="17"/>
  <c r="BD236" i="17"/>
  <c r="BC236" i="17"/>
  <c r="BB236" i="17"/>
  <c r="BA236" i="17"/>
  <c r="AZ236" i="17"/>
  <c r="AY236" i="17"/>
  <c r="AX236" i="17"/>
  <c r="AW236" i="17"/>
  <c r="AV236" i="17"/>
  <c r="AU236" i="17"/>
  <c r="AT236" i="17"/>
  <c r="AS236" i="17"/>
  <c r="AR236" i="17"/>
  <c r="AQ236" i="17"/>
  <c r="AP236" i="17"/>
  <c r="AO236" i="17"/>
  <c r="AN236" i="17"/>
  <c r="AM236" i="17"/>
  <c r="AL236" i="17"/>
  <c r="AK236" i="17"/>
  <c r="AJ236" i="17"/>
  <c r="AI236" i="17"/>
  <c r="AH236" i="17"/>
  <c r="AG236" i="17"/>
  <c r="AF236" i="17"/>
  <c r="AE236" i="17"/>
  <c r="AD236" i="17"/>
  <c r="AC236" i="17"/>
  <c r="AB236" i="17"/>
  <c r="AA236" i="17"/>
  <c r="Z236" i="17"/>
  <c r="Y236" i="17"/>
  <c r="X236" i="17"/>
  <c r="W236" i="17"/>
  <c r="V236" i="17"/>
  <c r="U236" i="17"/>
  <c r="T236" i="17"/>
  <c r="S236" i="17"/>
  <c r="R236" i="17"/>
  <c r="Q236" i="17"/>
  <c r="P236" i="17"/>
  <c r="O236" i="17"/>
  <c r="N236" i="17"/>
  <c r="M236" i="17"/>
  <c r="L236" i="17"/>
  <c r="K236" i="17"/>
  <c r="J236" i="17"/>
  <c r="I236" i="17"/>
  <c r="H236" i="17"/>
  <c r="G236" i="17"/>
  <c r="E232" i="17"/>
  <c r="CX231" i="17"/>
  <c r="CW231" i="17"/>
  <c r="CV231" i="17"/>
  <c r="CU231" i="17"/>
  <c r="CT231" i="17"/>
  <c r="CP231" i="17"/>
  <c r="CO231" i="17"/>
  <c r="CN231" i="17"/>
  <c r="CM231" i="17"/>
  <c r="CL231" i="17"/>
  <c r="CK231" i="17"/>
  <c r="CJ231" i="17"/>
  <c r="CI231" i="17"/>
  <c r="CH231" i="17"/>
  <c r="CG231" i="17"/>
  <c r="CF231" i="17"/>
  <c r="CE231" i="17"/>
  <c r="CD231" i="17"/>
  <c r="CC231" i="17"/>
  <c r="CB231" i="17"/>
  <c r="CA231" i="17"/>
  <c r="BZ231" i="17"/>
  <c r="BY231" i="17"/>
  <c r="BX231" i="17"/>
  <c r="BW231" i="17"/>
  <c r="BV231" i="17"/>
  <c r="BU231" i="17"/>
  <c r="BT231" i="17"/>
  <c r="BS231" i="17"/>
  <c r="BR231" i="17"/>
  <c r="BQ231" i="17"/>
  <c r="BP231" i="17"/>
  <c r="BO231" i="17"/>
  <c r="BN231" i="17"/>
  <c r="BM231" i="17"/>
  <c r="BL231" i="17"/>
  <c r="BK231" i="17"/>
  <c r="BJ231" i="17"/>
  <c r="BI231" i="17"/>
  <c r="BH231" i="17"/>
  <c r="BG231" i="17"/>
  <c r="BF231" i="17"/>
  <c r="BE231" i="17"/>
  <c r="BD231" i="17"/>
  <c r="BC231" i="17"/>
  <c r="BB231" i="17"/>
  <c r="BA231" i="17"/>
  <c r="AZ231" i="17"/>
  <c r="AY231" i="17"/>
  <c r="AX231" i="17"/>
  <c r="AW231" i="17"/>
  <c r="AV231" i="17"/>
  <c r="AU231" i="17"/>
  <c r="AT231" i="17"/>
  <c r="AS231" i="17"/>
  <c r="AR231" i="17"/>
  <c r="AQ231" i="17"/>
  <c r="AP231" i="17"/>
  <c r="AO231" i="17"/>
  <c r="AN231" i="17"/>
  <c r="AM231" i="17"/>
  <c r="AL231" i="17"/>
  <c r="AK231" i="17"/>
  <c r="AJ231" i="17"/>
  <c r="AI231" i="17"/>
  <c r="AH231" i="17"/>
  <c r="AG231" i="17"/>
  <c r="AF231" i="17"/>
  <c r="AE231" i="17"/>
  <c r="AD231" i="17"/>
  <c r="AC231" i="17"/>
  <c r="AB231" i="17"/>
  <c r="AA231" i="17"/>
  <c r="Z231" i="17"/>
  <c r="Y231" i="17"/>
  <c r="X231" i="17"/>
  <c r="W231" i="17"/>
  <c r="V231" i="17"/>
  <c r="U231" i="17"/>
  <c r="T231" i="17"/>
  <c r="S231" i="17"/>
  <c r="R231" i="17"/>
  <c r="Q231" i="17"/>
  <c r="P231" i="17"/>
  <c r="O231" i="17"/>
  <c r="N231" i="17"/>
  <c r="M231" i="17"/>
  <c r="L231" i="17"/>
  <c r="K231" i="17"/>
  <c r="J231" i="17"/>
  <c r="I231" i="17"/>
  <c r="H231" i="17"/>
  <c r="G231" i="17"/>
  <c r="A227" i="17"/>
  <c r="E225" i="17"/>
  <c r="E224" i="17"/>
  <c r="CU222" i="17"/>
  <c r="CQ222" i="17"/>
  <c r="CM222" i="17"/>
  <c r="CI222" i="17"/>
  <c r="CE222" i="17"/>
  <c r="CA222" i="17"/>
  <c r="BW222" i="17"/>
  <c r="BS222" i="17"/>
  <c r="BO222" i="17"/>
  <c r="BK222" i="17"/>
  <c r="BG222" i="17"/>
  <c r="BC222" i="17"/>
  <c r="AY222" i="17"/>
  <c r="AU222" i="17"/>
  <c r="AQ222" i="17"/>
  <c r="AM222" i="17"/>
  <c r="AI222" i="17"/>
  <c r="AE222" i="17"/>
  <c r="AA222" i="17"/>
  <c r="W222" i="17"/>
  <c r="S222" i="17"/>
  <c r="O222" i="17"/>
  <c r="K222" i="17"/>
  <c r="G222" i="17"/>
  <c r="CX214" i="17"/>
  <c r="CW214" i="17"/>
  <c r="CV214" i="17"/>
  <c r="CU214" i="17"/>
  <c r="CT214" i="17"/>
  <c r="CP214" i="17"/>
  <c r="CO214" i="17"/>
  <c r="CN214" i="17"/>
  <c r="CM214" i="17"/>
  <c r="CL214" i="17"/>
  <c r="CK214" i="17"/>
  <c r="CJ214" i="17"/>
  <c r="CI214" i="17"/>
  <c r="CH214" i="17"/>
  <c r="CG214" i="17"/>
  <c r="CF214" i="17"/>
  <c r="CE214" i="17"/>
  <c r="CD214" i="17"/>
  <c r="CC214" i="17"/>
  <c r="CB214" i="17"/>
  <c r="CA214" i="17"/>
  <c r="BZ214" i="17"/>
  <c r="BY214" i="17"/>
  <c r="BX214" i="17"/>
  <c r="BW214" i="17"/>
  <c r="BV214" i="17"/>
  <c r="BU214" i="17"/>
  <c r="BT214" i="17"/>
  <c r="BS214" i="17"/>
  <c r="BR214" i="17"/>
  <c r="BQ214" i="17"/>
  <c r="BP214" i="17"/>
  <c r="BO214" i="17"/>
  <c r="BN214" i="17"/>
  <c r="BM214" i="17"/>
  <c r="BL214" i="17"/>
  <c r="BK214" i="17"/>
  <c r="BJ214" i="17"/>
  <c r="BI214" i="17"/>
  <c r="BH214" i="17"/>
  <c r="BG214" i="17"/>
  <c r="BF214" i="17"/>
  <c r="BE214" i="17"/>
  <c r="BD214" i="17"/>
  <c r="BC214" i="17"/>
  <c r="BB214" i="17"/>
  <c r="BA214" i="17"/>
  <c r="AZ214" i="17"/>
  <c r="AY214" i="17"/>
  <c r="AX214" i="17"/>
  <c r="AW214" i="17"/>
  <c r="AV214" i="17"/>
  <c r="AU214" i="17"/>
  <c r="AT214" i="17"/>
  <c r="AS214" i="17"/>
  <c r="AR214" i="17"/>
  <c r="AQ214" i="17"/>
  <c r="AP214" i="17"/>
  <c r="AO214" i="17"/>
  <c r="AN214" i="17"/>
  <c r="AM214" i="17"/>
  <c r="AL214" i="17"/>
  <c r="AK214" i="17"/>
  <c r="AJ214" i="17"/>
  <c r="AI214" i="17"/>
  <c r="AH214" i="17"/>
  <c r="AG214" i="17"/>
  <c r="AF214" i="17"/>
  <c r="AE214" i="17"/>
  <c r="AD214" i="17"/>
  <c r="AC214" i="17"/>
  <c r="AB214" i="17"/>
  <c r="AA214" i="17"/>
  <c r="Z214" i="17"/>
  <c r="Y214" i="17"/>
  <c r="X214" i="17"/>
  <c r="W214" i="17"/>
  <c r="V214" i="17"/>
  <c r="U214" i="17"/>
  <c r="T214" i="17"/>
  <c r="S214" i="17"/>
  <c r="R214" i="17"/>
  <c r="Q214" i="17"/>
  <c r="P214" i="17"/>
  <c r="O214" i="17"/>
  <c r="N214" i="17"/>
  <c r="M214" i="17"/>
  <c r="L214" i="17"/>
  <c r="K214" i="17"/>
  <c r="J214" i="17"/>
  <c r="I214" i="17"/>
  <c r="H214" i="17"/>
  <c r="G214" i="17"/>
  <c r="E210" i="17"/>
  <c r="CX209" i="17"/>
  <c r="CW209" i="17"/>
  <c r="CV209" i="17"/>
  <c r="CU209" i="17"/>
  <c r="CT209" i="17"/>
  <c r="CP209" i="17"/>
  <c r="CO209" i="17"/>
  <c r="CN209" i="17"/>
  <c r="CM209" i="17"/>
  <c r="CL209" i="17"/>
  <c r="CK209" i="17"/>
  <c r="CJ209" i="17"/>
  <c r="CI209" i="17"/>
  <c r="CH209" i="17"/>
  <c r="CG209" i="17"/>
  <c r="CF209" i="17"/>
  <c r="CE209" i="17"/>
  <c r="CD209" i="17"/>
  <c r="CC209" i="17"/>
  <c r="CB209" i="17"/>
  <c r="CA209" i="17"/>
  <c r="BZ209" i="17"/>
  <c r="BY209" i="17"/>
  <c r="BX209" i="17"/>
  <c r="BW209" i="17"/>
  <c r="BV209" i="17"/>
  <c r="BU209" i="17"/>
  <c r="BT209" i="17"/>
  <c r="BS209" i="17"/>
  <c r="BR209" i="17"/>
  <c r="BQ209" i="17"/>
  <c r="BP209" i="17"/>
  <c r="BO209" i="17"/>
  <c r="BN209" i="17"/>
  <c r="BM209" i="17"/>
  <c r="BL209" i="17"/>
  <c r="BK209" i="17"/>
  <c r="BJ209" i="17"/>
  <c r="BI209" i="17"/>
  <c r="BH209" i="17"/>
  <c r="BG209" i="17"/>
  <c r="BF209" i="17"/>
  <c r="BE209" i="17"/>
  <c r="BD209" i="17"/>
  <c r="BC209" i="17"/>
  <c r="BB209" i="17"/>
  <c r="BA209" i="17"/>
  <c r="AZ209" i="17"/>
  <c r="AY209" i="17"/>
  <c r="AX209" i="17"/>
  <c r="AW209" i="17"/>
  <c r="AV209" i="17"/>
  <c r="AU209" i="17"/>
  <c r="AT209" i="17"/>
  <c r="AS209" i="17"/>
  <c r="AR209" i="17"/>
  <c r="AQ209" i="17"/>
  <c r="AP209" i="17"/>
  <c r="AO209" i="17"/>
  <c r="AN209" i="17"/>
  <c r="AM209" i="17"/>
  <c r="AL209" i="17"/>
  <c r="AK209" i="17"/>
  <c r="AJ209" i="17"/>
  <c r="AI209" i="17"/>
  <c r="AH209" i="17"/>
  <c r="AG209" i="17"/>
  <c r="AF209" i="17"/>
  <c r="AE209" i="17"/>
  <c r="AD209" i="17"/>
  <c r="AC209" i="17"/>
  <c r="AB209" i="17"/>
  <c r="AA209" i="17"/>
  <c r="Z209" i="17"/>
  <c r="Y209" i="17"/>
  <c r="X209" i="17"/>
  <c r="W209" i="17"/>
  <c r="V209" i="17"/>
  <c r="U209" i="17"/>
  <c r="T209" i="17"/>
  <c r="S209" i="17"/>
  <c r="R209" i="17"/>
  <c r="Q209" i="17"/>
  <c r="P209" i="17"/>
  <c r="O209" i="17"/>
  <c r="N209" i="17"/>
  <c r="M209" i="17"/>
  <c r="L209" i="17"/>
  <c r="K209" i="17"/>
  <c r="J209" i="17"/>
  <c r="I209" i="17"/>
  <c r="H209" i="17"/>
  <c r="G209" i="17"/>
  <c r="A205" i="17"/>
  <c r="CU203" i="17"/>
  <c r="CQ203" i="17"/>
  <c r="CM203" i="17"/>
  <c r="CI203" i="17"/>
  <c r="CE203" i="17"/>
  <c r="CA203" i="17"/>
  <c r="BW203" i="17"/>
  <c r="BS203" i="17"/>
  <c r="BO203" i="17"/>
  <c r="BK203" i="17"/>
  <c r="BG203" i="17"/>
  <c r="BC203" i="17"/>
  <c r="AY203" i="17"/>
  <c r="AU203" i="17"/>
  <c r="AQ203" i="17"/>
  <c r="AM203" i="17"/>
  <c r="AI203" i="17"/>
  <c r="AE203" i="17"/>
  <c r="AA203" i="17"/>
  <c r="W203" i="17"/>
  <c r="S203" i="17"/>
  <c r="O203" i="17"/>
  <c r="K203" i="17"/>
  <c r="G203" i="17"/>
  <c r="CX200" i="17"/>
  <c r="CW200" i="17"/>
  <c r="CV200" i="17"/>
  <c r="CU200" i="17"/>
  <c r="CX195" i="17"/>
  <c r="CW195" i="17"/>
  <c r="CV195" i="17"/>
  <c r="CU195" i="17"/>
  <c r="CT195" i="17"/>
  <c r="CP195" i="17"/>
  <c r="CO195" i="17"/>
  <c r="CN195" i="17"/>
  <c r="CM195" i="17"/>
  <c r="CL195" i="17"/>
  <c r="CK195" i="17"/>
  <c r="CJ195" i="17"/>
  <c r="CI195" i="17"/>
  <c r="CH195" i="17"/>
  <c r="CG195" i="17"/>
  <c r="CF195" i="17"/>
  <c r="CE195" i="17"/>
  <c r="CD195" i="17"/>
  <c r="CC195" i="17"/>
  <c r="CB195" i="17"/>
  <c r="CA195" i="17"/>
  <c r="BZ195" i="17"/>
  <c r="BY195" i="17"/>
  <c r="BX195" i="17"/>
  <c r="BW195" i="17"/>
  <c r="BV195" i="17"/>
  <c r="BU195" i="17"/>
  <c r="BT195" i="17"/>
  <c r="BS195" i="17"/>
  <c r="BR195" i="17"/>
  <c r="BQ195" i="17"/>
  <c r="BP195" i="17"/>
  <c r="BO195" i="17"/>
  <c r="BN195" i="17"/>
  <c r="BM195" i="17"/>
  <c r="BL195" i="17"/>
  <c r="BK195" i="17"/>
  <c r="BJ195" i="17"/>
  <c r="BI195" i="17"/>
  <c r="BH195" i="17"/>
  <c r="BG195" i="17"/>
  <c r="BF195" i="17"/>
  <c r="BE195" i="17"/>
  <c r="BD195" i="17"/>
  <c r="BC195" i="17"/>
  <c r="BB195" i="17"/>
  <c r="BA195" i="17"/>
  <c r="AZ195" i="17"/>
  <c r="AY195" i="17"/>
  <c r="AX195" i="17"/>
  <c r="AW195" i="17"/>
  <c r="AV195" i="17"/>
  <c r="AU195" i="17"/>
  <c r="AT195" i="17"/>
  <c r="AS195" i="17"/>
  <c r="AR195" i="17"/>
  <c r="AQ195" i="17"/>
  <c r="AP195" i="17"/>
  <c r="AO195" i="17"/>
  <c r="AN195" i="17"/>
  <c r="AM195" i="17"/>
  <c r="AL195" i="17"/>
  <c r="AK195" i="17"/>
  <c r="AJ195" i="17"/>
  <c r="AI195" i="17"/>
  <c r="AH195" i="17"/>
  <c r="AG195" i="17"/>
  <c r="AF195" i="17"/>
  <c r="AE195" i="17"/>
  <c r="AD195" i="17"/>
  <c r="AC195" i="17"/>
  <c r="AB195" i="17"/>
  <c r="AA195" i="17"/>
  <c r="Z195" i="17"/>
  <c r="Y195" i="17"/>
  <c r="X195" i="17"/>
  <c r="W195" i="17"/>
  <c r="V195" i="17"/>
  <c r="U195" i="17"/>
  <c r="T195" i="17"/>
  <c r="S195" i="17"/>
  <c r="R195" i="17"/>
  <c r="Q195" i="17"/>
  <c r="P195" i="17"/>
  <c r="O195" i="17"/>
  <c r="N195" i="17"/>
  <c r="M195" i="17"/>
  <c r="L195" i="17"/>
  <c r="K195" i="17"/>
  <c r="J195" i="17"/>
  <c r="I195" i="17"/>
  <c r="H195" i="17"/>
  <c r="G195" i="17"/>
  <c r="E191" i="17"/>
  <c r="CX190" i="17"/>
  <c r="CW190" i="17"/>
  <c r="CV190" i="17"/>
  <c r="CU190" i="17"/>
  <c r="CT190" i="17"/>
  <c r="CP190" i="17"/>
  <c r="CO190" i="17"/>
  <c r="CN190" i="17"/>
  <c r="CM190" i="17"/>
  <c r="CL190" i="17"/>
  <c r="CK190" i="17"/>
  <c r="CJ190" i="17"/>
  <c r="CI190" i="17"/>
  <c r="CH190" i="17"/>
  <c r="CG190" i="17"/>
  <c r="CF190" i="17"/>
  <c r="CE190" i="17"/>
  <c r="CD190" i="17"/>
  <c r="CC190" i="17"/>
  <c r="CB190" i="17"/>
  <c r="CA190" i="17"/>
  <c r="BZ190" i="17"/>
  <c r="BY190" i="17"/>
  <c r="BX190" i="17"/>
  <c r="BW190" i="17"/>
  <c r="BV190" i="17"/>
  <c r="BU190" i="17"/>
  <c r="BT190" i="17"/>
  <c r="BS190" i="17"/>
  <c r="BR190" i="17"/>
  <c r="BQ190" i="17"/>
  <c r="BP190" i="17"/>
  <c r="BO190" i="17"/>
  <c r="BN190" i="17"/>
  <c r="BM190" i="17"/>
  <c r="BL190" i="17"/>
  <c r="BK190" i="17"/>
  <c r="BJ190" i="17"/>
  <c r="BI190" i="17"/>
  <c r="BH190" i="17"/>
  <c r="BG190" i="17"/>
  <c r="BF190" i="17"/>
  <c r="BE190" i="17"/>
  <c r="BD190" i="17"/>
  <c r="BC190" i="17"/>
  <c r="BB190" i="17"/>
  <c r="BA190" i="17"/>
  <c r="AZ190" i="17"/>
  <c r="AY190" i="17"/>
  <c r="AX190" i="17"/>
  <c r="AW190" i="17"/>
  <c r="AV190" i="17"/>
  <c r="AU190" i="17"/>
  <c r="AT190" i="17"/>
  <c r="AS190" i="17"/>
  <c r="AR190" i="17"/>
  <c r="AQ190" i="17"/>
  <c r="AP190" i="17"/>
  <c r="AO190" i="17"/>
  <c r="AN190" i="17"/>
  <c r="AM190" i="17"/>
  <c r="AL190" i="17"/>
  <c r="AK190" i="17"/>
  <c r="AJ190" i="17"/>
  <c r="AI190" i="17"/>
  <c r="AH190" i="17"/>
  <c r="AG190" i="17"/>
  <c r="AF190" i="17"/>
  <c r="AE190" i="17"/>
  <c r="AD190" i="17"/>
  <c r="AC190" i="17"/>
  <c r="AB190" i="17"/>
  <c r="AA190" i="17"/>
  <c r="Z190" i="17"/>
  <c r="Y190" i="17"/>
  <c r="X190" i="17"/>
  <c r="W190" i="17"/>
  <c r="V190" i="17"/>
  <c r="U190" i="17"/>
  <c r="T190" i="17"/>
  <c r="S190" i="17"/>
  <c r="R190" i="17"/>
  <c r="Q190" i="17"/>
  <c r="P190" i="17"/>
  <c r="O190" i="17"/>
  <c r="N190" i="17"/>
  <c r="M190" i="17"/>
  <c r="L190" i="17"/>
  <c r="K190" i="17"/>
  <c r="J190" i="17"/>
  <c r="I190" i="17"/>
  <c r="H190" i="17"/>
  <c r="G190" i="17"/>
  <c r="A186" i="17"/>
  <c r="E184" i="17"/>
  <c r="E183" i="17"/>
  <c r="CU181" i="17"/>
  <c r="CQ181" i="17"/>
  <c r="CM181" i="17"/>
  <c r="CI181" i="17"/>
  <c r="CE181" i="17"/>
  <c r="CA181" i="17"/>
  <c r="BW181" i="17"/>
  <c r="BS181" i="17"/>
  <c r="BO181" i="17"/>
  <c r="BK181" i="17"/>
  <c r="BG181" i="17"/>
  <c r="BC181" i="17"/>
  <c r="AY181" i="17"/>
  <c r="AU181" i="17"/>
  <c r="AQ181" i="17"/>
  <c r="AM181" i="17"/>
  <c r="AI181" i="17"/>
  <c r="AE181" i="17"/>
  <c r="AA181" i="17"/>
  <c r="W181" i="17"/>
  <c r="S181" i="17"/>
  <c r="O181" i="17"/>
  <c r="K181" i="17"/>
  <c r="G181" i="17"/>
  <c r="CX173" i="17"/>
  <c r="CW173" i="17"/>
  <c r="CV173" i="17"/>
  <c r="CU173" i="17"/>
  <c r="CT173" i="17"/>
  <c r="CP173" i="17"/>
  <c r="CO173" i="17"/>
  <c r="CN173" i="17"/>
  <c r="CM173" i="17"/>
  <c r="CL173" i="17"/>
  <c r="CK173" i="17"/>
  <c r="CJ173" i="17"/>
  <c r="CI173" i="17"/>
  <c r="CH173" i="17"/>
  <c r="CG173" i="17"/>
  <c r="CF173" i="17"/>
  <c r="CE173" i="17"/>
  <c r="CD173" i="17"/>
  <c r="CC173" i="17"/>
  <c r="CB173" i="17"/>
  <c r="CA173" i="17"/>
  <c r="BZ173" i="17"/>
  <c r="BY173" i="17"/>
  <c r="BX173" i="17"/>
  <c r="BW173" i="17"/>
  <c r="BV173" i="17"/>
  <c r="BU173" i="17"/>
  <c r="BT173" i="17"/>
  <c r="BS173" i="17"/>
  <c r="BR173" i="17"/>
  <c r="BQ173" i="17"/>
  <c r="BP173" i="17"/>
  <c r="BO173" i="17"/>
  <c r="BN173" i="17"/>
  <c r="BM173" i="17"/>
  <c r="BL173" i="17"/>
  <c r="BK173" i="17"/>
  <c r="BJ173" i="17"/>
  <c r="BI173" i="17"/>
  <c r="BH173" i="17"/>
  <c r="BG173" i="17"/>
  <c r="BF173" i="17"/>
  <c r="BE173" i="17"/>
  <c r="BD173" i="17"/>
  <c r="BC173" i="17"/>
  <c r="BB173" i="17"/>
  <c r="BA173" i="17"/>
  <c r="AZ173" i="17"/>
  <c r="AY173" i="17"/>
  <c r="AX173" i="17"/>
  <c r="AW173" i="17"/>
  <c r="AV173" i="17"/>
  <c r="AU173" i="17"/>
  <c r="AT173" i="17"/>
  <c r="AS173" i="17"/>
  <c r="AR173" i="17"/>
  <c r="AQ173" i="17"/>
  <c r="AP173" i="17"/>
  <c r="AO173" i="17"/>
  <c r="AN173" i="17"/>
  <c r="AM173" i="17"/>
  <c r="AL173" i="17"/>
  <c r="AK173" i="17"/>
  <c r="AJ173" i="17"/>
  <c r="AI173" i="17"/>
  <c r="AH173" i="17"/>
  <c r="AG173" i="17"/>
  <c r="AF173" i="17"/>
  <c r="AE173" i="17"/>
  <c r="AD173" i="17"/>
  <c r="AC173" i="17"/>
  <c r="AB173" i="17"/>
  <c r="AA173" i="17"/>
  <c r="Z173" i="17"/>
  <c r="Y173" i="17"/>
  <c r="X173" i="17"/>
  <c r="W173" i="17"/>
  <c r="V173" i="17"/>
  <c r="U173" i="17"/>
  <c r="T173" i="17"/>
  <c r="S173" i="17"/>
  <c r="R173" i="17"/>
  <c r="Q173" i="17"/>
  <c r="P173" i="17"/>
  <c r="O173" i="17"/>
  <c r="N173" i="17"/>
  <c r="M173" i="17"/>
  <c r="L173" i="17"/>
  <c r="K173" i="17"/>
  <c r="J173" i="17"/>
  <c r="I173" i="17"/>
  <c r="H173" i="17"/>
  <c r="G173" i="17"/>
  <c r="E169" i="17"/>
  <c r="CX168" i="17"/>
  <c r="CW168" i="17"/>
  <c r="CV168" i="17"/>
  <c r="CU168" i="17"/>
  <c r="CT168" i="17"/>
  <c r="CP168" i="17"/>
  <c r="CO168" i="17"/>
  <c r="CN168" i="17"/>
  <c r="CM168" i="17"/>
  <c r="CL168" i="17"/>
  <c r="CK168" i="17"/>
  <c r="CJ168" i="17"/>
  <c r="CI168" i="17"/>
  <c r="CH168" i="17"/>
  <c r="CG168" i="17"/>
  <c r="CF168" i="17"/>
  <c r="CE168" i="17"/>
  <c r="CD168" i="17"/>
  <c r="CC168" i="17"/>
  <c r="CB168" i="17"/>
  <c r="CA168" i="17"/>
  <c r="BZ168" i="17"/>
  <c r="BY168" i="17"/>
  <c r="BX168" i="17"/>
  <c r="BW168" i="17"/>
  <c r="BV168" i="17"/>
  <c r="BU168" i="17"/>
  <c r="BT168" i="17"/>
  <c r="BS168" i="17"/>
  <c r="BR168" i="17"/>
  <c r="BQ168" i="17"/>
  <c r="BP168" i="17"/>
  <c r="BO168" i="17"/>
  <c r="BN168" i="17"/>
  <c r="BM168" i="17"/>
  <c r="BL168" i="17"/>
  <c r="BK168" i="17"/>
  <c r="BJ168" i="17"/>
  <c r="BI168" i="17"/>
  <c r="BH168" i="17"/>
  <c r="BG168" i="17"/>
  <c r="BF168" i="17"/>
  <c r="BE168" i="17"/>
  <c r="BD168" i="17"/>
  <c r="BC168" i="17"/>
  <c r="BB168" i="17"/>
  <c r="BA168" i="17"/>
  <c r="AZ168" i="17"/>
  <c r="AY168" i="17"/>
  <c r="AX168" i="17"/>
  <c r="AW168" i="17"/>
  <c r="AV168" i="17"/>
  <c r="AU168" i="17"/>
  <c r="AT168" i="17"/>
  <c r="AS168" i="17"/>
  <c r="AR168" i="17"/>
  <c r="AQ168" i="17"/>
  <c r="AP168" i="17"/>
  <c r="AO168" i="17"/>
  <c r="AN168" i="17"/>
  <c r="AM168" i="17"/>
  <c r="AL168" i="17"/>
  <c r="AK168" i="17"/>
  <c r="AJ168" i="17"/>
  <c r="AI168" i="17"/>
  <c r="AH168" i="17"/>
  <c r="AG168" i="17"/>
  <c r="AF168" i="17"/>
  <c r="AE168" i="17"/>
  <c r="AD168" i="17"/>
  <c r="AC168" i="17"/>
  <c r="AB168" i="17"/>
  <c r="AA168" i="17"/>
  <c r="Z168" i="17"/>
  <c r="Y168" i="17"/>
  <c r="X168" i="17"/>
  <c r="W168" i="17"/>
  <c r="V168" i="17"/>
  <c r="U168" i="17"/>
  <c r="T168" i="17"/>
  <c r="S168" i="17"/>
  <c r="R168" i="17"/>
  <c r="Q168" i="17"/>
  <c r="P168" i="17"/>
  <c r="O168" i="17"/>
  <c r="N168" i="17"/>
  <c r="M168" i="17"/>
  <c r="L168" i="17"/>
  <c r="K168" i="17"/>
  <c r="J168" i="17"/>
  <c r="I168" i="17"/>
  <c r="H168" i="17"/>
  <c r="G168" i="17"/>
  <c r="A164" i="17"/>
  <c r="CU162" i="17"/>
  <c r="CQ162" i="17"/>
  <c r="CM162" i="17"/>
  <c r="CI162" i="17"/>
  <c r="CE162" i="17"/>
  <c r="CA162" i="17"/>
  <c r="BW162" i="17"/>
  <c r="BS162" i="17"/>
  <c r="BO162" i="17"/>
  <c r="BK162" i="17"/>
  <c r="BG162" i="17"/>
  <c r="BC162" i="17"/>
  <c r="AY162" i="17"/>
  <c r="AU162" i="17"/>
  <c r="AQ162" i="17"/>
  <c r="AM162" i="17"/>
  <c r="AI162" i="17"/>
  <c r="AE162" i="17"/>
  <c r="AA162" i="17"/>
  <c r="W162" i="17"/>
  <c r="S162" i="17"/>
  <c r="O162" i="17"/>
  <c r="K162" i="17"/>
  <c r="G162" i="17"/>
  <c r="CX154" i="17"/>
  <c r="CW154" i="17"/>
  <c r="CV154" i="17"/>
  <c r="CU154" i="17"/>
  <c r="CT154" i="17"/>
  <c r="CP154" i="17"/>
  <c r="CO154" i="17"/>
  <c r="CN154" i="17"/>
  <c r="CM154" i="17"/>
  <c r="CL154" i="17"/>
  <c r="CK154" i="17"/>
  <c r="CJ154" i="17"/>
  <c r="CI154" i="17"/>
  <c r="CH154" i="17"/>
  <c r="CG154" i="17"/>
  <c r="CF154" i="17"/>
  <c r="CE154" i="17"/>
  <c r="CD154" i="17"/>
  <c r="CC154" i="17"/>
  <c r="CB154" i="17"/>
  <c r="CA154" i="17"/>
  <c r="BZ154" i="17"/>
  <c r="BY154" i="17"/>
  <c r="BX154" i="17"/>
  <c r="BW154" i="17"/>
  <c r="BV154" i="17"/>
  <c r="BU154" i="17"/>
  <c r="BT154" i="17"/>
  <c r="BS154" i="17"/>
  <c r="BR154" i="17"/>
  <c r="BQ154" i="17"/>
  <c r="BP154" i="17"/>
  <c r="BO154" i="17"/>
  <c r="BN154" i="17"/>
  <c r="BM154" i="17"/>
  <c r="BL154" i="17"/>
  <c r="BK154" i="17"/>
  <c r="BJ154" i="17"/>
  <c r="BI154" i="17"/>
  <c r="BH154" i="17"/>
  <c r="BG154" i="17"/>
  <c r="BF154" i="17"/>
  <c r="BE154" i="17"/>
  <c r="BD154" i="17"/>
  <c r="BC154" i="17"/>
  <c r="BB154" i="17"/>
  <c r="BA154" i="17"/>
  <c r="AZ154" i="17"/>
  <c r="AY154" i="17"/>
  <c r="AX154" i="17"/>
  <c r="AW154" i="17"/>
  <c r="AV154" i="17"/>
  <c r="AU154" i="17"/>
  <c r="AT154" i="17"/>
  <c r="AS154" i="17"/>
  <c r="AR154" i="17"/>
  <c r="AQ154" i="17"/>
  <c r="AP154" i="17"/>
  <c r="AO154" i="17"/>
  <c r="AN154" i="17"/>
  <c r="AM154" i="17"/>
  <c r="AL154" i="17"/>
  <c r="AK154" i="17"/>
  <c r="AJ154" i="17"/>
  <c r="AI154" i="17"/>
  <c r="AH154" i="17"/>
  <c r="AG154" i="17"/>
  <c r="AF154" i="17"/>
  <c r="AE154" i="17"/>
  <c r="AD154" i="17"/>
  <c r="AC154" i="17"/>
  <c r="AB154" i="17"/>
  <c r="AA154" i="17"/>
  <c r="Z154" i="17"/>
  <c r="Y154" i="17"/>
  <c r="X154" i="17"/>
  <c r="W154" i="17"/>
  <c r="V154" i="17"/>
  <c r="U154" i="17"/>
  <c r="T154" i="17"/>
  <c r="S154" i="17"/>
  <c r="R154" i="17"/>
  <c r="Q154" i="17"/>
  <c r="P154" i="17"/>
  <c r="O154" i="17"/>
  <c r="N154" i="17"/>
  <c r="M154" i="17"/>
  <c r="L154" i="17"/>
  <c r="K154" i="17"/>
  <c r="J154" i="17"/>
  <c r="I154" i="17"/>
  <c r="H154" i="17"/>
  <c r="G154" i="17"/>
  <c r="CX149" i="17"/>
  <c r="CW149" i="17"/>
  <c r="CV149" i="17"/>
  <c r="CU149" i="17"/>
  <c r="CT149" i="17"/>
  <c r="CP149" i="17"/>
  <c r="CO149" i="17"/>
  <c r="CN149" i="17"/>
  <c r="CM149" i="17"/>
  <c r="CL149" i="17"/>
  <c r="CK149" i="17"/>
  <c r="CJ149" i="17"/>
  <c r="CI149" i="17"/>
  <c r="CH149" i="17"/>
  <c r="CG149" i="17"/>
  <c r="CF149" i="17"/>
  <c r="CE149" i="17"/>
  <c r="CD149" i="17"/>
  <c r="CC149" i="17"/>
  <c r="CB149" i="17"/>
  <c r="CA149" i="17"/>
  <c r="BZ149" i="17"/>
  <c r="BY149" i="17"/>
  <c r="BX149" i="17"/>
  <c r="BW149" i="17"/>
  <c r="BV149" i="17"/>
  <c r="BU149" i="17"/>
  <c r="BT149" i="17"/>
  <c r="BS149" i="17"/>
  <c r="BR149" i="17"/>
  <c r="BQ149" i="17"/>
  <c r="BP149" i="17"/>
  <c r="BO149" i="17"/>
  <c r="BN149" i="17"/>
  <c r="BM149" i="17"/>
  <c r="BL149" i="17"/>
  <c r="BK149" i="17"/>
  <c r="BJ149" i="17"/>
  <c r="BI149" i="17"/>
  <c r="BH149" i="17"/>
  <c r="BG149" i="17"/>
  <c r="BF149" i="17"/>
  <c r="BE149" i="17"/>
  <c r="BD149" i="17"/>
  <c r="BC149" i="17"/>
  <c r="BB149" i="17"/>
  <c r="BA149" i="17"/>
  <c r="AZ149" i="17"/>
  <c r="AY149" i="17"/>
  <c r="AX149" i="17"/>
  <c r="AW149" i="17"/>
  <c r="AV149" i="17"/>
  <c r="AU149" i="17"/>
  <c r="AT149" i="17"/>
  <c r="AS149" i="17"/>
  <c r="AR149" i="17"/>
  <c r="AQ149" i="17"/>
  <c r="AP149" i="17"/>
  <c r="AO149" i="17"/>
  <c r="AN149" i="17"/>
  <c r="AM149" i="17"/>
  <c r="AL149" i="17"/>
  <c r="AK149" i="17"/>
  <c r="AJ149" i="17"/>
  <c r="AI149" i="17"/>
  <c r="AH149" i="17"/>
  <c r="AG149" i="17"/>
  <c r="AF149" i="17"/>
  <c r="AE149" i="17"/>
  <c r="AD149" i="17"/>
  <c r="AC149" i="17"/>
  <c r="AB149" i="17"/>
  <c r="AA149" i="17"/>
  <c r="Z149" i="17"/>
  <c r="Y149" i="17"/>
  <c r="X149" i="17"/>
  <c r="W149" i="17"/>
  <c r="V149" i="17"/>
  <c r="U149" i="17"/>
  <c r="T149" i="17"/>
  <c r="S149" i="17"/>
  <c r="R149" i="17"/>
  <c r="Q149" i="17"/>
  <c r="P149" i="17"/>
  <c r="O149" i="17"/>
  <c r="N149" i="17"/>
  <c r="M149" i="17"/>
  <c r="L149" i="17"/>
  <c r="K149" i="17"/>
  <c r="J149" i="17"/>
  <c r="I149" i="17"/>
  <c r="H149" i="17"/>
  <c r="G149" i="17"/>
  <c r="A145" i="17"/>
  <c r="CX143" i="17"/>
  <c r="CW143" i="17"/>
  <c r="CV143" i="17"/>
  <c r="CU143" i="17"/>
  <c r="E143" i="17"/>
  <c r="E142" i="17"/>
  <c r="CU140" i="17"/>
  <c r="CQ140" i="17"/>
  <c r="CM140" i="17"/>
  <c r="CI140" i="17"/>
  <c r="CE140" i="17"/>
  <c r="CA140" i="17"/>
  <c r="BW140" i="17"/>
  <c r="BS140" i="17"/>
  <c r="BO140" i="17"/>
  <c r="BK140" i="17"/>
  <c r="BG140" i="17"/>
  <c r="BC140" i="17"/>
  <c r="AY140" i="17"/>
  <c r="AU140" i="17"/>
  <c r="AQ140" i="17"/>
  <c r="AM140" i="17"/>
  <c r="AI140" i="17"/>
  <c r="AE140" i="17"/>
  <c r="AA140" i="17"/>
  <c r="W140" i="17"/>
  <c r="S140" i="17"/>
  <c r="O140" i="17"/>
  <c r="K140" i="17"/>
  <c r="G140" i="17"/>
  <c r="CX134" i="17"/>
  <c r="CW134" i="17"/>
  <c r="CV134" i="17"/>
  <c r="CU134" i="17"/>
  <c r="CT134" i="17"/>
  <c r="CP134" i="17"/>
  <c r="CO134" i="17"/>
  <c r="CN134" i="17"/>
  <c r="CM134" i="17"/>
  <c r="CL134" i="17"/>
  <c r="CK134" i="17"/>
  <c r="CJ134" i="17"/>
  <c r="CI134" i="17"/>
  <c r="CH134" i="17"/>
  <c r="CG134" i="17"/>
  <c r="CF134" i="17"/>
  <c r="CE134" i="17"/>
  <c r="CD134" i="17"/>
  <c r="CC134" i="17"/>
  <c r="CB134" i="17"/>
  <c r="CA134" i="17"/>
  <c r="BZ134" i="17"/>
  <c r="BY134" i="17"/>
  <c r="BX134" i="17"/>
  <c r="BW134" i="17"/>
  <c r="BV134" i="17"/>
  <c r="BU134" i="17"/>
  <c r="BT134" i="17"/>
  <c r="BS134" i="17"/>
  <c r="BR134" i="17"/>
  <c r="BQ134" i="17"/>
  <c r="BP134" i="17"/>
  <c r="BO134" i="17"/>
  <c r="BN134" i="17"/>
  <c r="BM134" i="17"/>
  <c r="BL134" i="17"/>
  <c r="BK134" i="17"/>
  <c r="BJ134" i="17"/>
  <c r="BI134" i="17"/>
  <c r="BH134" i="17"/>
  <c r="BG134" i="17"/>
  <c r="BF134" i="17"/>
  <c r="BE134" i="17"/>
  <c r="BD134" i="17"/>
  <c r="BC134" i="17"/>
  <c r="BB134" i="17"/>
  <c r="BA134" i="17"/>
  <c r="AZ134" i="17"/>
  <c r="AY134" i="17"/>
  <c r="AX134" i="17"/>
  <c r="AW134" i="17"/>
  <c r="AV134" i="17"/>
  <c r="AU134" i="17"/>
  <c r="AT134" i="17"/>
  <c r="AS134" i="17"/>
  <c r="AR134" i="17"/>
  <c r="AQ134" i="17"/>
  <c r="AP134" i="17"/>
  <c r="AO134" i="17"/>
  <c r="AN134" i="17"/>
  <c r="AM134" i="17"/>
  <c r="AL134" i="17"/>
  <c r="AK134" i="17"/>
  <c r="AJ134" i="17"/>
  <c r="AI134" i="17"/>
  <c r="AH134" i="17"/>
  <c r="AG134" i="17"/>
  <c r="AF134" i="17"/>
  <c r="AE134" i="17"/>
  <c r="AD134" i="17"/>
  <c r="AC134" i="17"/>
  <c r="AB134" i="17"/>
  <c r="AA134" i="17"/>
  <c r="Z134" i="17"/>
  <c r="Y134" i="17"/>
  <c r="X134" i="17"/>
  <c r="W134" i="17"/>
  <c r="V134" i="17"/>
  <c r="U134" i="17"/>
  <c r="T134" i="17"/>
  <c r="S134" i="17"/>
  <c r="R134" i="17"/>
  <c r="Q134" i="17"/>
  <c r="P134" i="17"/>
  <c r="O134" i="17"/>
  <c r="N134" i="17"/>
  <c r="M134" i="17"/>
  <c r="L134" i="17"/>
  <c r="K134" i="17"/>
  <c r="J134" i="17"/>
  <c r="I134" i="17"/>
  <c r="H134" i="17"/>
  <c r="G134" i="17"/>
  <c r="CX130" i="17"/>
  <c r="CW130" i="17"/>
  <c r="CV130" i="17"/>
  <c r="E130" i="17"/>
  <c r="CX129" i="17"/>
  <c r="CW129" i="17"/>
  <c r="CV129" i="17"/>
  <c r="CU129" i="17"/>
  <c r="CT129" i="17"/>
  <c r="CP129" i="17"/>
  <c r="CO129" i="17"/>
  <c r="CN129" i="17"/>
  <c r="CM129" i="17"/>
  <c r="CL129" i="17"/>
  <c r="CK129" i="17"/>
  <c r="CJ129" i="17"/>
  <c r="CI129" i="17"/>
  <c r="CH129" i="17"/>
  <c r="CG129" i="17"/>
  <c r="CF129" i="17"/>
  <c r="CE129" i="17"/>
  <c r="CD129" i="17"/>
  <c r="CC129" i="17"/>
  <c r="CB129" i="17"/>
  <c r="CA129" i="17"/>
  <c r="BZ129" i="17"/>
  <c r="BY129" i="17"/>
  <c r="BX129" i="17"/>
  <c r="BW129" i="17"/>
  <c r="BV129" i="17"/>
  <c r="BU129" i="17"/>
  <c r="BT129" i="17"/>
  <c r="BS129" i="17"/>
  <c r="BR129" i="17"/>
  <c r="BQ129" i="17"/>
  <c r="BP129" i="17"/>
  <c r="BO129" i="17"/>
  <c r="BN129" i="17"/>
  <c r="BM129" i="17"/>
  <c r="BL129" i="17"/>
  <c r="BK129" i="17"/>
  <c r="BJ129" i="17"/>
  <c r="BI129" i="17"/>
  <c r="BH129" i="17"/>
  <c r="BG129" i="17"/>
  <c r="BF129" i="17"/>
  <c r="BE129" i="17"/>
  <c r="BD129" i="17"/>
  <c r="BC129" i="17"/>
  <c r="BB129" i="17"/>
  <c r="BA129" i="17"/>
  <c r="AZ129" i="17"/>
  <c r="AY129" i="17"/>
  <c r="AX129" i="17"/>
  <c r="AW129" i="17"/>
  <c r="AV129" i="17"/>
  <c r="AU129" i="17"/>
  <c r="AT129" i="17"/>
  <c r="AS129" i="17"/>
  <c r="AR129" i="17"/>
  <c r="AQ129" i="17"/>
  <c r="AP129" i="17"/>
  <c r="AO129" i="17"/>
  <c r="AN129" i="17"/>
  <c r="AM129" i="17"/>
  <c r="AL129" i="17"/>
  <c r="AK129" i="17"/>
  <c r="AJ129" i="17"/>
  <c r="AI129" i="17"/>
  <c r="AH129" i="17"/>
  <c r="AG129" i="17"/>
  <c r="AF129" i="17"/>
  <c r="AE129" i="17"/>
  <c r="AD129" i="17"/>
  <c r="AC129" i="17"/>
  <c r="AB129" i="17"/>
  <c r="AA129" i="17"/>
  <c r="Z129" i="17"/>
  <c r="Y129" i="17"/>
  <c r="X129" i="17"/>
  <c r="W129" i="17"/>
  <c r="V129" i="17"/>
  <c r="U129" i="17"/>
  <c r="T129" i="17"/>
  <c r="S129" i="17"/>
  <c r="R129" i="17"/>
  <c r="Q129" i="17"/>
  <c r="P129" i="17"/>
  <c r="O129" i="17"/>
  <c r="N129" i="17"/>
  <c r="M129" i="17"/>
  <c r="L129" i="17"/>
  <c r="K129" i="17"/>
  <c r="J129" i="17"/>
  <c r="I129" i="17"/>
  <c r="H129" i="17"/>
  <c r="G129" i="17"/>
  <c r="CX126" i="17"/>
  <c r="A125" i="17"/>
  <c r="CU123" i="17"/>
  <c r="CQ123" i="17"/>
  <c r="CM123" i="17"/>
  <c r="CI123" i="17"/>
  <c r="CE123" i="17"/>
  <c r="CA123" i="17"/>
  <c r="BW123" i="17"/>
  <c r="BS123" i="17"/>
  <c r="BO123" i="17"/>
  <c r="BK123" i="17"/>
  <c r="BG123" i="17"/>
  <c r="BC123" i="17"/>
  <c r="AY123" i="17"/>
  <c r="AU123" i="17"/>
  <c r="AQ123" i="17"/>
  <c r="AM123" i="17"/>
  <c r="AI123" i="17"/>
  <c r="AE123" i="17"/>
  <c r="AA123" i="17"/>
  <c r="W123" i="17"/>
  <c r="S123" i="17"/>
  <c r="O123" i="17"/>
  <c r="K123" i="17"/>
  <c r="G123" i="17"/>
  <c r="CX115" i="17"/>
  <c r="CW115" i="17"/>
  <c r="CV115" i="17"/>
  <c r="CU115" i="17"/>
  <c r="CT115" i="17"/>
  <c r="CP115" i="17"/>
  <c r="CO115" i="17"/>
  <c r="CN115" i="17"/>
  <c r="CM115" i="17"/>
  <c r="CL115" i="17"/>
  <c r="CK115" i="17"/>
  <c r="CJ115" i="17"/>
  <c r="CI115" i="17"/>
  <c r="CH115" i="17"/>
  <c r="CG115" i="17"/>
  <c r="CF115" i="17"/>
  <c r="CE115" i="17"/>
  <c r="CD115" i="17"/>
  <c r="CC115" i="17"/>
  <c r="CB115" i="17"/>
  <c r="CA115" i="17"/>
  <c r="BZ115" i="17"/>
  <c r="BY115" i="17"/>
  <c r="BX115" i="17"/>
  <c r="BW115" i="17"/>
  <c r="BV115" i="17"/>
  <c r="BU115" i="17"/>
  <c r="BT115" i="17"/>
  <c r="BS115" i="17"/>
  <c r="BR115" i="17"/>
  <c r="BQ115" i="17"/>
  <c r="BP115" i="17"/>
  <c r="BO115" i="17"/>
  <c r="BN115" i="17"/>
  <c r="BM115" i="17"/>
  <c r="BL115" i="17"/>
  <c r="BK115" i="17"/>
  <c r="BJ115" i="17"/>
  <c r="BI115" i="17"/>
  <c r="BH115" i="17"/>
  <c r="BG115" i="17"/>
  <c r="BF115" i="17"/>
  <c r="BE115" i="17"/>
  <c r="BD115" i="17"/>
  <c r="BC115" i="17"/>
  <c r="BB115" i="17"/>
  <c r="BA115" i="17"/>
  <c r="AZ115" i="17"/>
  <c r="AY115" i="17"/>
  <c r="AX115" i="17"/>
  <c r="AW115" i="17"/>
  <c r="AV115" i="17"/>
  <c r="AU115" i="17"/>
  <c r="AT115" i="17"/>
  <c r="AS115" i="17"/>
  <c r="AR115" i="17"/>
  <c r="AQ115" i="17"/>
  <c r="AP115" i="17"/>
  <c r="AO115" i="17"/>
  <c r="AN115" i="17"/>
  <c r="AM115" i="17"/>
  <c r="AL115" i="17"/>
  <c r="AK115" i="17"/>
  <c r="AJ115" i="17"/>
  <c r="AI115" i="17"/>
  <c r="AH115" i="17"/>
  <c r="AG115" i="17"/>
  <c r="AF115" i="17"/>
  <c r="AE115" i="17"/>
  <c r="AD115" i="17"/>
  <c r="AC115" i="17"/>
  <c r="AB115" i="17"/>
  <c r="AA115" i="17"/>
  <c r="Z115" i="17"/>
  <c r="Y115" i="17"/>
  <c r="X115" i="17"/>
  <c r="W115" i="17"/>
  <c r="V115" i="17"/>
  <c r="U115" i="17"/>
  <c r="T115" i="17"/>
  <c r="S115" i="17"/>
  <c r="R115" i="17"/>
  <c r="Q115" i="17"/>
  <c r="P115" i="17"/>
  <c r="O115" i="17"/>
  <c r="N115" i="17"/>
  <c r="M115" i="17"/>
  <c r="L115" i="17"/>
  <c r="K115" i="17"/>
  <c r="J115" i="17"/>
  <c r="I115" i="17"/>
  <c r="H115" i="17"/>
  <c r="G115" i="17"/>
  <c r="E111" i="17"/>
  <c r="E106" i="17"/>
  <c r="A106" i="17"/>
  <c r="E104" i="17"/>
  <c r="E103" i="17"/>
  <c r="E102" i="17"/>
  <c r="CU100" i="17"/>
  <c r="CQ100" i="17"/>
  <c r="CM100" i="17"/>
  <c r="CI100" i="17"/>
  <c r="CE100" i="17"/>
  <c r="CA100" i="17"/>
  <c r="BW100" i="17"/>
  <c r="BS100" i="17"/>
  <c r="BO100" i="17"/>
  <c r="BK100" i="17"/>
  <c r="BG100" i="17"/>
  <c r="BC100" i="17"/>
  <c r="AY100" i="17"/>
  <c r="AU100" i="17"/>
  <c r="AQ100" i="17"/>
  <c r="AM100" i="17"/>
  <c r="AI100" i="17"/>
  <c r="AE100" i="17"/>
  <c r="AA100" i="17"/>
  <c r="W100" i="17"/>
  <c r="S100" i="17"/>
  <c r="O100" i="17"/>
  <c r="K100" i="17"/>
  <c r="G100" i="17"/>
  <c r="CX92" i="17"/>
  <c r="CW92" i="17"/>
  <c r="CV92" i="17"/>
  <c r="CU92" i="17"/>
  <c r="CT92" i="17"/>
  <c r="CP92" i="17"/>
  <c r="CO92" i="17"/>
  <c r="CN92" i="17"/>
  <c r="CM92" i="17"/>
  <c r="CL92" i="17"/>
  <c r="CK92" i="17"/>
  <c r="CJ92" i="17"/>
  <c r="CI92" i="17"/>
  <c r="CH92" i="17"/>
  <c r="CG92" i="17"/>
  <c r="CF92" i="17"/>
  <c r="CE92" i="17"/>
  <c r="CD92" i="17"/>
  <c r="CC92" i="17"/>
  <c r="CB92" i="17"/>
  <c r="CA92" i="17"/>
  <c r="BZ92" i="17"/>
  <c r="BY92" i="17"/>
  <c r="BX92" i="17"/>
  <c r="BW92" i="17"/>
  <c r="BV92" i="17"/>
  <c r="BU92" i="17"/>
  <c r="BT92" i="17"/>
  <c r="BS92" i="17"/>
  <c r="BR92" i="17"/>
  <c r="BQ92" i="17"/>
  <c r="BP92" i="17"/>
  <c r="BO92" i="17"/>
  <c r="BN92" i="17"/>
  <c r="BM92" i="17"/>
  <c r="BL92" i="17"/>
  <c r="BK92" i="17"/>
  <c r="BJ92" i="17"/>
  <c r="BI92" i="17"/>
  <c r="BH92" i="17"/>
  <c r="BG92" i="17"/>
  <c r="BF92" i="17"/>
  <c r="BE92" i="17"/>
  <c r="BD92" i="17"/>
  <c r="BC92" i="17"/>
  <c r="BB92" i="17"/>
  <c r="BA92" i="17"/>
  <c r="AZ92" i="17"/>
  <c r="AY92" i="17"/>
  <c r="AX92" i="17"/>
  <c r="AW92" i="17"/>
  <c r="AV92" i="17"/>
  <c r="AU92" i="17"/>
  <c r="AT92" i="17"/>
  <c r="AS92" i="17"/>
  <c r="AR92" i="17"/>
  <c r="AQ92" i="17"/>
  <c r="AP92" i="17"/>
  <c r="AO92" i="17"/>
  <c r="AN92" i="17"/>
  <c r="AM92" i="17"/>
  <c r="AL92" i="17"/>
  <c r="AK92" i="17"/>
  <c r="AJ92" i="17"/>
  <c r="AI92" i="17"/>
  <c r="AH92" i="17"/>
  <c r="AG92" i="17"/>
  <c r="AF92" i="17"/>
  <c r="AE92" i="17"/>
  <c r="AD92" i="17"/>
  <c r="AC92" i="17"/>
  <c r="AB92" i="17"/>
  <c r="AA92" i="17"/>
  <c r="Z92" i="17"/>
  <c r="Y92" i="17"/>
  <c r="X92" i="17"/>
  <c r="W92" i="17"/>
  <c r="V92" i="17"/>
  <c r="U92" i="17"/>
  <c r="T92" i="17"/>
  <c r="S92" i="17"/>
  <c r="R92" i="17"/>
  <c r="Q92" i="17"/>
  <c r="P92" i="17"/>
  <c r="O92" i="17"/>
  <c r="N92" i="17"/>
  <c r="M92" i="17"/>
  <c r="L92" i="17"/>
  <c r="K92" i="17"/>
  <c r="J92" i="17"/>
  <c r="I92" i="17"/>
  <c r="H92" i="17"/>
  <c r="G92" i="17"/>
  <c r="E88" i="17"/>
  <c r="CX84" i="17"/>
  <c r="CW84" i="17"/>
  <c r="CV84" i="17"/>
  <c r="CU84" i="17"/>
  <c r="CT84" i="17"/>
  <c r="CP84" i="17"/>
  <c r="CO84" i="17"/>
  <c r="CN84" i="17"/>
  <c r="CM84" i="17"/>
  <c r="CL84" i="17"/>
  <c r="CK84" i="17"/>
  <c r="CJ84" i="17"/>
  <c r="CI84" i="17"/>
  <c r="CH84" i="17"/>
  <c r="CG84" i="17"/>
  <c r="CF84" i="17"/>
  <c r="CE84" i="17"/>
  <c r="CD84" i="17"/>
  <c r="CC84" i="17"/>
  <c r="CB84" i="17"/>
  <c r="CA84" i="17"/>
  <c r="BZ84" i="17"/>
  <c r="BY84" i="17"/>
  <c r="BX84" i="17"/>
  <c r="BW84" i="17"/>
  <c r="BV84" i="17"/>
  <c r="BU84" i="17"/>
  <c r="BT84" i="17"/>
  <c r="BS84" i="17"/>
  <c r="BR84" i="17"/>
  <c r="BQ84" i="17"/>
  <c r="BP84" i="17"/>
  <c r="BO84" i="17"/>
  <c r="BN84" i="17"/>
  <c r="BM84" i="17"/>
  <c r="BL84" i="17"/>
  <c r="BK84" i="17"/>
  <c r="BJ84" i="17"/>
  <c r="BI84" i="17"/>
  <c r="BH84" i="17"/>
  <c r="BG84" i="17"/>
  <c r="BF84" i="17"/>
  <c r="BE84" i="17"/>
  <c r="BD84" i="17"/>
  <c r="BC84" i="17"/>
  <c r="BB84" i="17"/>
  <c r="BA84" i="17"/>
  <c r="AZ84" i="17"/>
  <c r="AY84" i="17"/>
  <c r="AX84" i="17"/>
  <c r="AW84" i="17"/>
  <c r="AV84" i="17"/>
  <c r="AU84" i="17"/>
  <c r="AT84" i="17"/>
  <c r="AS84" i="17"/>
  <c r="AR84" i="17"/>
  <c r="AQ84" i="17"/>
  <c r="AP84" i="17"/>
  <c r="AO84" i="17"/>
  <c r="AN84" i="17"/>
  <c r="AM84" i="17"/>
  <c r="AL84" i="17"/>
  <c r="AK84" i="17"/>
  <c r="AJ84" i="17"/>
  <c r="AI84" i="17"/>
  <c r="AH84" i="17"/>
  <c r="AG84" i="17"/>
  <c r="AF84" i="17"/>
  <c r="AE84" i="17"/>
  <c r="AD84" i="17"/>
  <c r="AC84" i="17"/>
  <c r="AB84" i="17"/>
  <c r="AA84" i="17"/>
  <c r="Z84" i="17"/>
  <c r="Y84" i="17"/>
  <c r="X84" i="17"/>
  <c r="W84" i="17"/>
  <c r="V84" i="17"/>
  <c r="U84" i="17"/>
  <c r="T84" i="17"/>
  <c r="S84" i="17"/>
  <c r="R84" i="17"/>
  <c r="Q84" i="17"/>
  <c r="P84" i="17"/>
  <c r="O84" i="17"/>
  <c r="N84" i="17"/>
  <c r="M84" i="17"/>
  <c r="L84" i="17"/>
  <c r="K84" i="17"/>
  <c r="J84" i="17"/>
  <c r="I84" i="17"/>
  <c r="H84" i="17"/>
  <c r="G84" i="17"/>
  <c r="A80" i="17"/>
  <c r="CU74" i="17"/>
  <c r="CQ74" i="17"/>
  <c r="CM74" i="17"/>
  <c r="CI74" i="17"/>
  <c r="CE74" i="17"/>
  <c r="CA74" i="17"/>
  <c r="BW74" i="17"/>
  <c r="BS74" i="17"/>
  <c r="BO74" i="17"/>
  <c r="BK74" i="17"/>
  <c r="BG74" i="17"/>
  <c r="BC74" i="17"/>
  <c r="AY74" i="17"/>
  <c r="AU74" i="17"/>
  <c r="AQ74" i="17"/>
  <c r="AM74" i="17"/>
  <c r="AI74" i="17"/>
  <c r="AE74" i="17"/>
  <c r="AA74" i="17"/>
  <c r="W74" i="17"/>
  <c r="S74" i="17"/>
  <c r="O74" i="17"/>
  <c r="K74" i="17"/>
  <c r="G74" i="17"/>
  <c r="CX66" i="17"/>
  <c r="CW66" i="17"/>
  <c r="CV66" i="17"/>
  <c r="CU66" i="17"/>
  <c r="CT66" i="17"/>
  <c r="CP66" i="17"/>
  <c r="CO66" i="17"/>
  <c r="CN66" i="17"/>
  <c r="CM66" i="17"/>
  <c r="CL66" i="17"/>
  <c r="CK66" i="17"/>
  <c r="CJ66" i="17"/>
  <c r="CI66" i="17"/>
  <c r="CH66" i="17"/>
  <c r="CG66" i="17"/>
  <c r="CF66" i="17"/>
  <c r="CE66" i="17"/>
  <c r="CD66" i="17"/>
  <c r="CC66" i="17"/>
  <c r="CB66" i="17"/>
  <c r="CA66" i="17"/>
  <c r="BZ66" i="17"/>
  <c r="BY66" i="17"/>
  <c r="BX66" i="17"/>
  <c r="BW66" i="17"/>
  <c r="BV66" i="17"/>
  <c r="BU66" i="17"/>
  <c r="BT66" i="17"/>
  <c r="BS66" i="17"/>
  <c r="BR66" i="17"/>
  <c r="BQ66" i="17"/>
  <c r="BP66" i="17"/>
  <c r="BO66" i="17"/>
  <c r="BN66" i="17"/>
  <c r="BM66" i="17"/>
  <c r="BL66" i="17"/>
  <c r="BK66" i="17"/>
  <c r="BJ66" i="17"/>
  <c r="BI66" i="17"/>
  <c r="BH66" i="17"/>
  <c r="BG66" i="17"/>
  <c r="BF66" i="17"/>
  <c r="BE66" i="17"/>
  <c r="BD66" i="17"/>
  <c r="BC66" i="17"/>
  <c r="BB66" i="17"/>
  <c r="BA66" i="17"/>
  <c r="AZ66" i="17"/>
  <c r="AY66" i="17"/>
  <c r="AX66" i="17"/>
  <c r="AW66" i="17"/>
  <c r="AV66" i="17"/>
  <c r="AU66" i="17"/>
  <c r="AT66" i="17"/>
  <c r="AS66" i="17"/>
  <c r="AR66" i="17"/>
  <c r="AQ66" i="17"/>
  <c r="AP66" i="17"/>
  <c r="AO66" i="17"/>
  <c r="AN66" i="17"/>
  <c r="AM66" i="17"/>
  <c r="AL66" i="17"/>
  <c r="AK66" i="17"/>
  <c r="AJ66" i="17"/>
  <c r="AI66" i="17"/>
  <c r="AH66" i="17"/>
  <c r="AG66" i="17"/>
  <c r="AF66" i="17"/>
  <c r="AE66" i="17"/>
  <c r="AD66" i="17"/>
  <c r="AC66" i="17"/>
  <c r="AB66" i="17"/>
  <c r="AA66" i="17"/>
  <c r="Z66" i="17"/>
  <c r="Y66" i="17"/>
  <c r="X66" i="17"/>
  <c r="W66" i="17"/>
  <c r="V66" i="17"/>
  <c r="U66" i="17"/>
  <c r="T66" i="17"/>
  <c r="S66" i="17"/>
  <c r="R66" i="17"/>
  <c r="Q66" i="17"/>
  <c r="P66" i="17"/>
  <c r="O66" i="17"/>
  <c r="N66" i="17"/>
  <c r="M66" i="17"/>
  <c r="L66" i="17"/>
  <c r="K66" i="17"/>
  <c r="J66" i="17"/>
  <c r="I66" i="17"/>
  <c r="H66" i="17"/>
  <c r="G66" i="17"/>
  <c r="E62" i="17"/>
  <c r="CX61" i="17"/>
  <c r="CW61" i="17"/>
  <c r="CV61" i="17"/>
  <c r="CU61" i="17"/>
  <c r="CT61" i="17"/>
  <c r="CP61" i="17"/>
  <c r="CO61" i="17"/>
  <c r="CN61" i="17"/>
  <c r="CM61" i="17"/>
  <c r="CL61" i="17"/>
  <c r="CK61" i="17"/>
  <c r="CJ61" i="17"/>
  <c r="CI61" i="17"/>
  <c r="CH61" i="17"/>
  <c r="CG61" i="17"/>
  <c r="CF61" i="17"/>
  <c r="CE61" i="17"/>
  <c r="CD61" i="17"/>
  <c r="CC61" i="17"/>
  <c r="CB61" i="17"/>
  <c r="CA61" i="17"/>
  <c r="BZ61" i="17"/>
  <c r="BY61" i="17"/>
  <c r="BX61" i="17"/>
  <c r="BW61" i="17"/>
  <c r="BV61" i="17"/>
  <c r="BU61" i="17"/>
  <c r="BT61" i="17"/>
  <c r="BS61" i="17"/>
  <c r="BR61" i="17"/>
  <c r="BQ61" i="17"/>
  <c r="BP61" i="17"/>
  <c r="BO61" i="17"/>
  <c r="BN61" i="17"/>
  <c r="BM61" i="17"/>
  <c r="BL61" i="17"/>
  <c r="BK61" i="17"/>
  <c r="BJ61" i="17"/>
  <c r="BI61" i="17"/>
  <c r="BH61" i="17"/>
  <c r="BG61" i="17"/>
  <c r="BF61" i="17"/>
  <c r="BE61" i="17"/>
  <c r="BD61" i="17"/>
  <c r="BC61" i="17"/>
  <c r="BB61" i="17"/>
  <c r="BA61" i="17"/>
  <c r="AZ61" i="17"/>
  <c r="AY61" i="17"/>
  <c r="AX61" i="17"/>
  <c r="AW61" i="17"/>
  <c r="AV61" i="17"/>
  <c r="AU61" i="17"/>
  <c r="AT61" i="17"/>
  <c r="AS61" i="17"/>
  <c r="AR61" i="17"/>
  <c r="AQ61" i="17"/>
  <c r="AP61" i="17"/>
  <c r="AO61" i="17"/>
  <c r="AN61" i="17"/>
  <c r="AM61" i="17"/>
  <c r="AL61" i="17"/>
  <c r="AK61" i="17"/>
  <c r="AJ61" i="17"/>
  <c r="AI61" i="17"/>
  <c r="AH61" i="17"/>
  <c r="AG61" i="17"/>
  <c r="AF61" i="17"/>
  <c r="AE61" i="17"/>
  <c r="AD61" i="17"/>
  <c r="AC61" i="17"/>
  <c r="AB61" i="17"/>
  <c r="AA61" i="17"/>
  <c r="Z61" i="17"/>
  <c r="Y61" i="17"/>
  <c r="X61" i="17"/>
  <c r="W61" i="17"/>
  <c r="V61" i="17"/>
  <c r="U61" i="17"/>
  <c r="T61" i="17"/>
  <c r="S61" i="17"/>
  <c r="R61" i="17"/>
  <c r="Q61" i="17"/>
  <c r="P61" i="17"/>
  <c r="O61" i="17"/>
  <c r="N61" i="17"/>
  <c r="M61" i="17"/>
  <c r="L61" i="17"/>
  <c r="K61" i="17"/>
  <c r="J61" i="17"/>
  <c r="I61" i="17"/>
  <c r="H61" i="17"/>
  <c r="G61" i="17"/>
  <c r="A57" i="17"/>
  <c r="CU55" i="17"/>
  <c r="CQ55" i="17"/>
  <c r="CM55" i="17"/>
  <c r="CI55" i="17"/>
  <c r="CE55" i="17"/>
  <c r="CA55" i="17"/>
  <c r="BW55" i="17"/>
  <c r="BS55" i="17"/>
  <c r="BO55" i="17"/>
  <c r="BK55" i="17"/>
  <c r="BG55" i="17"/>
  <c r="BC55" i="17"/>
  <c r="AY55" i="17"/>
  <c r="AU55" i="17"/>
  <c r="AQ55" i="17"/>
  <c r="AM55" i="17"/>
  <c r="AI55" i="17"/>
  <c r="AE55" i="17"/>
  <c r="AA55" i="17"/>
  <c r="W55" i="17"/>
  <c r="S55" i="17"/>
  <c r="O55" i="17"/>
  <c r="K55" i="17"/>
  <c r="G55" i="17"/>
  <c r="CX47" i="17"/>
  <c r="CW47" i="17"/>
  <c r="CV47" i="17"/>
  <c r="CU47" i="17"/>
  <c r="CT47" i="17"/>
  <c r="CP47" i="17"/>
  <c r="CO47" i="17"/>
  <c r="CN47" i="17"/>
  <c r="CM47" i="17"/>
  <c r="CL47" i="17"/>
  <c r="CK47" i="17"/>
  <c r="CJ47" i="17"/>
  <c r="CI47" i="17"/>
  <c r="CH47" i="17"/>
  <c r="CG47" i="17"/>
  <c r="CF47" i="17"/>
  <c r="CE47" i="17"/>
  <c r="CD47" i="17"/>
  <c r="CC47" i="17"/>
  <c r="CB47" i="17"/>
  <c r="CA47" i="17"/>
  <c r="BZ47" i="17"/>
  <c r="BY47" i="17"/>
  <c r="BX47" i="17"/>
  <c r="BW47" i="17"/>
  <c r="BV47" i="17"/>
  <c r="BU47" i="17"/>
  <c r="BT47" i="17"/>
  <c r="BS47" i="17"/>
  <c r="BR47" i="17"/>
  <c r="BQ47" i="17"/>
  <c r="BP47" i="17"/>
  <c r="BO47" i="17"/>
  <c r="BN47" i="17"/>
  <c r="BM47" i="17"/>
  <c r="BL47" i="17"/>
  <c r="BK47" i="17"/>
  <c r="BJ47" i="17"/>
  <c r="BI47" i="17"/>
  <c r="BH47" i="17"/>
  <c r="BG47" i="17"/>
  <c r="BF47" i="17"/>
  <c r="BE47" i="17"/>
  <c r="BD47" i="17"/>
  <c r="BC47" i="17"/>
  <c r="BB47" i="17"/>
  <c r="BA47" i="17"/>
  <c r="AZ47" i="17"/>
  <c r="AY47" i="17"/>
  <c r="AX47" i="17"/>
  <c r="AW47" i="17"/>
  <c r="AV47" i="17"/>
  <c r="AU47" i="17"/>
  <c r="AT47" i="17"/>
  <c r="AS47" i="17"/>
  <c r="AR47" i="17"/>
  <c r="AQ47" i="17"/>
  <c r="AP47" i="17"/>
  <c r="AO47" i="17"/>
  <c r="AN47" i="17"/>
  <c r="AM47" i="17"/>
  <c r="AL47" i="17"/>
  <c r="AK47" i="17"/>
  <c r="AJ47" i="17"/>
  <c r="AI47" i="17"/>
  <c r="AH47" i="17"/>
  <c r="AG47" i="17"/>
  <c r="AF47" i="17"/>
  <c r="AE47" i="17"/>
  <c r="AD47" i="17"/>
  <c r="AC47" i="17"/>
  <c r="AB47" i="17"/>
  <c r="AA47" i="17"/>
  <c r="Z47" i="17"/>
  <c r="Y47" i="17"/>
  <c r="X47" i="17"/>
  <c r="W47" i="17"/>
  <c r="V47" i="17"/>
  <c r="U47" i="17"/>
  <c r="T47" i="17"/>
  <c r="S47" i="17"/>
  <c r="R47" i="17"/>
  <c r="Q47" i="17"/>
  <c r="P47" i="17"/>
  <c r="O47" i="17"/>
  <c r="N47" i="17"/>
  <c r="M47" i="17"/>
  <c r="L47" i="17"/>
  <c r="K47" i="17"/>
  <c r="J47" i="17"/>
  <c r="I47" i="17"/>
  <c r="H47" i="17"/>
  <c r="G47" i="17"/>
  <c r="E43" i="17"/>
  <c r="CX42" i="17"/>
  <c r="CW42" i="17"/>
  <c r="CV42" i="17"/>
  <c r="CU42" i="17"/>
  <c r="CT42" i="17"/>
  <c r="CP42" i="17"/>
  <c r="CO42" i="17"/>
  <c r="CN42" i="17"/>
  <c r="CM42" i="17"/>
  <c r="CL42" i="17"/>
  <c r="CK42" i="17"/>
  <c r="CJ42" i="17"/>
  <c r="CI42" i="17"/>
  <c r="CH42" i="17"/>
  <c r="CG42" i="17"/>
  <c r="CF42" i="17"/>
  <c r="CE42" i="17"/>
  <c r="CD42" i="17"/>
  <c r="CC42" i="17"/>
  <c r="CB42" i="17"/>
  <c r="CA42" i="17"/>
  <c r="BZ42" i="17"/>
  <c r="BY42" i="17"/>
  <c r="BX42" i="17"/>
  <c r="BW42" i="17"/>
  <c r="BV42" i="17"/>
  <c r="BU42" i="17"/>
  <c r="BT42" i="17"/>
  <c r="BS42" i="17"/>
  <c r="BR42" i="17"/>
  <c r="BQ42" i="17"/>
  <c r="BP42" i="17"/>
  <c r="BO42" i="17"/>
  <c r="BN42" i="17"/>
  <c r="BM42" i="17"/>
  <c r="BL42" i="17"/>
  <c r="BK42" i="17"/>
  <c r="BJ42" i="17"/>
  <c r="BI42" i="17"/>
  <c r="BH42" i="17"/>
  <c r="BG42" i="17"/>
  <c r="BF42" i="17"/>
  <c r="BE42" i="17"/>
  <c r="BD42" i="17"/>
  <c r="BC42" i="17"/>
  <c r="BB42" i="17"/>
  <c r="BA42" i="17"/>
  <c r="AZ42" i="17"/>
  <c r="AY42" i="17"/>
  <c r="AX42" i="17"/>
  <c r="AW42" i="17"/>
  <c r="AV42" i="17"/>
  <c r="AU42" i="17"/>
  <c r="AT42" i="17"/>
  <c r="AS42" i="17"/>
  <c r="AR42" i="17"/>
  <c r="AQ42" i="17"/>
  <c r="AP42" i="17"/>
  <c r="AO42" i="17"/>
  <c r="AN42" i="17"/>
  <c r="AM42" i="17"/>
  <c r="AL42" i="17"/>
  <c r="AK42" i="17"/>
  <c r="AJ42" i="17"/>
  <c r="AI42" i="17"/>
  <c r="AH42" i="17"/>
  <c r="AG42" i="17"/>
  <c r="AF42" i="17"/>
  <c r="AE42" i="17"/>
  <c r="AD42" i="17"/>
  <c r="AC42" i="17"/>
  <c r="AB42" i="17"/>
  <c r="AA42" i="17"/>
  <c r="Z42" i="17"/>
  <c r="Y42" i="17"/>
  <c r="X42" i="17"/>
  <c r="W42" i="17"/>
  <c r="V42" i="17"/>
  <c r="U42" i="17"/>
  <c r="T42" i="17"/>
  <c r="S42" i="17"/>
  <c r="R42" i="17"/>
  <c r="Q42" i="17"/>
  <c r="P42" i="17"/>
  <c r="O42" i="17"/>
  <c r="N42" i="17"/>
  <c r="M42" i="17"/>
  <c r="L42" i="17"/>
  <c r="K42" i="17"/>
  <c r="J42" i="17"/>
  <c r="I42" i="17"/>
  <c r="H42" i="17"/>
  <c r="G42" i="17"/>
  <c r="A38" i="17"/>
  <c r="CU36" i="17"/>
  <c r="CQ36" i="17"/>
  <c r="CM36" i="17"/>
  <c r="CI36" i="17"/>
  <c r="CE36" i="17"/>
  <c r="CA36" i="17"/>
  <c r="BW36" i="17"/>
  <c r="BS36" i="17"/>
  <c r="BO36" i="17"/>
  <c r="BK36" i="17"/>
  <c r="BG36" i="17"/>
  <c r="BC36" i="17"/>
  <c r="AY36" i="17"/>
  <c r="AU36" i="17"/>
  <c r="AQ36" i="17"/>
  <c r="AM36" i="17"/>
  <c r="AI36" i="17"/>
  <c r="AE36" i="17"/>
  <c r="AA36" i="17"/>
  <c r="W36" i="17"/>
  <c r="S36" i="17"/>
  <c r="O36" i="17"/>
  <c r="K36" i="17"/>
  <c r="G36" i="17"/>
  <c r="CX14" i="17"/>
  <c r="K123" i="2" s="1"/>
  <c r="CW14" i="17"/>
  <c r="J123" i="2" s="1"/>
  <c r="CV14" i="17"/>
  <c r="CU14" i="17"/>
  <c r="L123" i="2" s="1"/>
  <c r="CX12" i="17"/>
  <c r="K121" i="2" s="1"/>
  <c r="L110" i="20" s="1"/>
  <c r="CW12" i="17"/>
  <c r="J121" i="2" s="1"/>
  <c r="CV12" i="17"/>
  <c r="CU12" i="17"/>
  <c r="L121" i="2" s="1"/>
  <c r="CX7" i="17"/>
  <c r="O116" i="2" s="1"/>
  <c r="CW7" i="17"/>
  <c r="N116" i="2" s="1"/>
  <c r="CV7" i="17"/>
  <c r="M116" i="2" s="1"/>
  <c r="CU7" i="17"/>
  <c r="CX6" i="17"/>
  <c r="O115" i="2" s="1"/>
  <c r="CW6" i="17"/>
  <c r="N115" i="2" s="1"/>
  <c r="CV6" i="17"/>
  <c r="CU6" i="17"/>
  <c r="L115" i="2" s="1"/>
  <c r="CU4" i="17"/>
  <c r="CQ4" i="17"/>
  <c r="CM4" i="17"/>
  <c r="CI4" i="17"/>
  <c r="CE4" i="17"/>
  <c r="CA4" i="17"/>
  <c r="BW4" i="17"/>
  <c r="BS4" i="17"/>
  <c r="BO4" i="17"/>
  <c r="BK4" i="17"/>
  <c r="BG4" i="17"/>
  <c r="BC4" i="17"/>
  <c r="AY4" i="17"/>
  <c r="AU4" i="17"/>
  <c r="AQ4" i="17"/>
  <c r="AM4" i="17"/>
  <c r="AI4" i="17"/>
  <c r="AE4" i="17"/>
  <c r="AA4" i="17"/>
  <c r="W4" i="17"/>
  <c r="S4" i="17"/>
  <c r="O4" i="17"/>
  <c r="K4" i="17"/>
  <c r="G4" i="17"/>
  <c r="G113" i="11"/>
  <c r="L113" i="11" s="1"/>
  <c r="Q113" i="11" s="1"/>
  <c r="V113" i="11" s="1"/>
  <c r="AA113" i="11" s="1"/>
  <c r="AF113" i="11" s="1"/>
  <c r="AK113" i="11" s="1"/>
  <c r="AP113" i="11" s="1"/>
  <c r="AU113" i="11" s="1"/>
  <c r="AZ113" i="11" s="1"/>
  <c r="BE113" i="11" s="1"/>
  <c r="BJ113" i="11" s="1"/>
  <c r="BO113" i="11" s="1"/>
  <c r="BT113" i="11" s="1"/>
  <c r="BY113" i="11" s="1"/>
  <c r="CD113" i="11" s="1"/>
  <c r="CI113" i="11" s="1"/>
  <c r="CN113" i="11" s="1"/>
  <c r="CS113" i="11" s="1"/>
  <c r="CX113" i="11" s="1"/>
  <c r="DC113" i="11" s="1"/>
  <c r="DH113" i="11" s="1"/>
  <c r="DM113" i="11" s="1"/>
  <c r="DR113" i="11" s="1"/>
  <c r="DW113" i="11" s="1"/>
  <c r="G106" i="11"/>
  <c r="L106" i="11" s="1"/>
  <c r="Q106" i="11" s="1"/>
  <c r="V106" i="11" s="1"/>
  <c r="AA106" i="11" s="1"/>
  <c r="AF106" i="11" s="1"/>
  <c r="AK106" i="11" s="1"/>
  <c r="AP106" i="11" s="1"/>
  <c r="AU106" i="11" s="1"/>
  <c r="AZ106" i="11" s="1"/>
  <c r="BE106" i="11" s="1"/>
  <c r="BJ106" i="11" s="1"/>
  <c r="BO106" i="11" s="1"/>
  <c r="BT106" i="11" s="1"/>
  <c r="BY106" i="11" s="1"/>
  <c r="CD106" i="11" s="1"/>
  <c r="CI106" i="11" s="1"/>
  <c r="CN106" i="11" s="1"/>
  <c r="CS106" i="11" s="1"/>
  <c r="CX106" i="11" s="1"/>
  <c r="DC106" i="11" s="1"/>
  <c r="DH106" i="11" s="1"/>
  <c r="DM106" i="11" s="1"/>
  <c r="DR106" i="11" s="1"/>
  <c r="DW106" i="11" s="1"/>
  <c r="G98" i="11"/>
  <c r="L98" i="11" s="1"/>
  <c r="Q98" i="11" s="1"/>
  <c r="V98" i="11" s="1"/>
  <c r="AA98" i="11" s="1"/>
  <c r="AF98" i="11" s="1"/>
  <c r="AK98" i="11" s="1"/>
  <c r="AP98" i="11" s="1"/>
  <c r="AU98" i="11" s="1"/>
  <c r="AZ98" i="11" s="1"/>
  <c r="BE98" i="11" s="1"/>
  <c r="BJ98" i="11" s="1"/>
  <c r="BO98" i="11" s="1"/>
  <c r="BT98" i="11" s="1"/>
  <c r="BY98" i="11" s="1"/>
  <c r="CD98" i="11" s="1"/>
  <c r="CI98" i="11" s="1"/>
  <c r="CN98" i="11" s="1"/>
  <c r="CS98" i="11" s="1"/>
  <c r="CX98" i="11" s="1"/>
  <c r="DC98" i="11" s="1"/>
  <c r="DH98" i="11" s="1"/>
  <c r="DM98" i="11" s="1"/>
  <c r="DR98" i="11" s="1"/>
  <c r="DW98" i="11" s="1"/>
  <c r="G91" i="11"/>
  <c r="L91" i="11" s="1"/>
  <c r="Q91" i="11" s="1"/>
  <c r="V91" i="11" s="1"/>
  <c r="AA91" i="11" s="1"/>
  <c r="AF91" i="11" s="1"/>
  <c r="AK91" i="11" s="1"/>
  <c r="AP91" i="11" s="1"/>
  <c r="AU91" i="11" s="1"/>
  <c r="AZ91" i="11" s="1"/>
  <c r="BE91" i="11" s="1"/>
  <c r="BJ91" i="11" s="1"/>
  <c r="BO91" i="11" s="1"/>
  <c r="BT91" i="11" s="1"/>
  <c r="BY91" i="11" s="1"/>
  <c r="CD91" i="11" s="1"/>
  <c r="CI91" i="11" s="1"/>
  <c r="CN91" i="11" s="1"/>
  <c r="CS91" i="11" s="1"/>
  <c r="CX91" i="11" s="1"/>
  <c r="DC91" i="11" s="1"/>
  <c r="DH91" i="11" s="1"/>
  <c r="DM91" i="11" s="1"/>
  <c r="DR91" i="11" s="1"/>
  <c r="DW91" i="11" s="1"/>
  <c r="G83" i="11"/>
  <c r="L83" i="11" s="1"/>
  <c r="Q83" i="11" s="1"/>
  <c r="V83" i="11" s="1"/>
  <c r="AA83" i="11" s="1"/>
  <c r="AF83" i="11" s="1"/>
  <c r="AK83" i="11" s="1"/>
  <c r="AP83" i="11" s="1"/>
  <c r="AU83" i="11" s="1"/>
  <c r="AZ83" i="11" s="1"/>
  <c r="BE83" i="11" s="1"/>
  <c r="BJ83" i="11" s="1"/>
  <c r="BO83" i="11" s="1"/>
  <c r="BT83" i="11" s="1"/>
  <c r="BY83" i="11" s="1"/>
  <c r="CD83" i="11" s="1"/>
  <c r="CI83" i="11" s="1"/>
  <c r="CN83" i="11" s="1"/>
  <c r="CS83" i="11" s="1"/>
  <c r="CX83" i="11" s="1"/>
  <c r="DC83" i="11" s="1"/>
  <c r="DH83" i="11" s="1"/>
  <c r="DM83" i="11" s="1"/>
  <c r="DR83" i="11" s="1"/>
  <c r="DW83" i="11" s="1"/>
  <c r="DT82" i="11"/>
  <c r="DT81" i="11"/>
  <c r="G78" i="11"/>
  <c r="L78" i="11" s="1"/>
  <c r="Q78" i="11" s="1"/>
  <c r="V78" i="11" s="1"/>
  <c r="AA78" i="11" s="1"/>
  <c r="AF78" i="11" s="1"/>
  <c r="AK78" i="11" s="1"/>
  <c r="AP78" i="11" s="1"/>
  <c r="AU78" i="11" s="1"/>
  <c r="AZ78" i="11" s="1"/>
  <c r="BE78" i="11" s="1"/>
  <c r="BJ78" i="11" s="1"/>
  <c r="BO78" i="11" s="1"/>
  <c r="BT78" i="11" s="1"/>
  <c r="BY78" i="11" s="1"/>
  <c r="CD78" i="11" s="1"/>
  <c r="CI78" i="11" s="1"/>
  <c r="CN78" i="11" s="1"/>
  <c r="CS78" i="11" s="1"/>
  <c r="CX78" i="11" s="1"/>
  <c r="DC78" i="11" s="1"/>
  <c r="DH78" i="11" s="1"/>
  <c r="DM78" i="11" s="1"/>
  <c r="DR78" i="11" s="1"/>
  <c r="DW78" i="11" s="1"/>
  <c r="DT71" i="11"/>
  <c r="DR71" i="11"/>
  <c r="G68" i="11"/>
  <c r="L68" i="11" s="1"/>
  <c r="Q68" i="11" s="1"/>
  <c r="V68" i="11" s="1"/>
  <c r="AA68" i="11" s="1"/>
  <c r="AF68" i="11" s="1"/>
  <c r="AK68" i="11" s="1"/>
  <c r="AP68" i="11" s="1"/>
  <c r="AU68" i="11" s="1"/>
  <c r="AZ68" i="11" s="1"/>
  <c r="BE68" i="11" s="1"/>
  <c r="BJ68" i="11" s="1"/>
  <c r="BO68" i="11" s="1"/>
  <c r="BT68" i="11" s="1"/>
  <c r="BY68" i="11" s="1"/>
  <c r="CD68" i="11" s="1"/>
  <c r="CI68" i="11" s="1"/>
  <c r="CN68" i="11" s="1"/>
  <c r="CS68" i="11" s="1"/>
  <c r="CX68" i="11" s="1"/>
  <c r="DC68" i="11" s="1"/>
  <c r="DH68" i="11" s="1"/>
  <c r="DM68" i="11" s="1"/>
  <c r="DR68" i="11" s="1"/>
  <c r="DW68" i="11" s="1"/>
  <c r="CI66" i="11"/>
  <c r="G53" i="11"/>
  <c r="L53" i="11" s="1"/>
  <c r="Q53" i="11" s="1"/>
  <c r="V53" i="11" s="1"/>
  <c r="AA53" i="11" s="1"/>
  <c r="AF53" i="11" s="1"/>
  <c r="AK53" i="11" s="1"/>
  <c r="AP53" i="11" s="1"/>
  <c r="AU53" i="11" s="1"/>
  <c r="AZ53" i="11" s="1"/>
  <c r="BE53" i="11" s="1"/>
  <c r="BJ53" i="11" s="1"/>
  <c r="BO53" i="11" s="1"/>
  <c r="BT53" i="11" s="1"/>
  <c r="BY53" i="11" s="1"/>
  <c r="CD53" i="11" s="1"/>
  <c r="CI53" i="11" s="1"/>
  <c r="CN53" i="11" s="1"/>
  <c r="CS53" i="11" s="1"/>
  <c r="CX53" i="11" s="1"/>
  <c r="DC53" i="11" s="1"/>
  <c r="DH53" i="11" s="1"/>
  <c r="DM53" i="11" s="1"/>
  <c r="DR53" i="11" s="1"/>
  <c r="DW53" i="11" s="1"/>
  <c r="G44" i="11"/>
  <c r="L44" i="11" s="1"/>
  <c r="Q44" i="11" s="1"/>
  <c r="V44" i="11" s="1"/>
  <c r="AA44" i="11" s="1"/>
  <c r="AF44" i="11" s="1"/>
  <c r="AK44" i="11" s="1"/>
  <c r="AP44" i="11" s="1"/>
  <c r="AU44" i="11" s="1"/>
  <c r="AZ44" i="11" s="1"/>
  <c r="BE44" i="11" s="1"/>
  <c r="BJ44" i="11" s="1"/>
  <c r="BO44" i="11" s="1"/>
  <c r="BT44" i="11" s="1"/>
  <c r="BY44" i="11" s="1"/>
  <c r="CD44" i="11" s="1"/>
  <c r="CI44" i="11" s="1"/>
  <c r="CN44" i="11" s="1"/>
  <c r="CS44" i="11" s="1"/>
  <c r="CX44" i="11" s="1"/>
  <c r="DC44" i="11" s="1"/>
  <c r="DH44" i="11" s="1"/>
  <c r="DM44" i="11" s="1"/>
  <c r="DR44" i="11" s="1"/>
  <c r="DW44" i="11" s="1"/>
  <c r="G38" i="11"/>
  <c r="L38" i="11" s="1"/>
  <c r="Q38" i="11" s="1"/>
  <c r="V38" i="11" s="1"/>
  <c r="AA38" i="11" s="1"/>
  <c r="AF38" i="11" s="1"/>
  <c r="AK38" i="11" s="1"/>
  <c r="AP38" i="11" s="1"/>
  <c r="AU38" i="11" s="1"/>
  <c r="AZ38" i="11" s="1"/>
  <c r="BE38" i="11" s="1"/>
  <c r="BJ38" i="11" s="1"/>
  <c r="BO38" i="11" s="1"/>
  <c r="BT38" i="11" s="1"/>
  <c r="BY38" i="11" s="1"/>
  <c r="CD38" i="11" s="1"/>
  <c r="CI38" i="11" s="1"/>
  <c r="CN38" i="11" s="1"/>
  <c r="CS38" i="11" s="1"/>
  <c r="CX38" i="11" s="1"/>
  <c r="DC38" i="11" s="1"/>
  <c r="DH38" i="11" s="1"/>
  <c r="DM38" i="11" s="1"/>
  <c r="DR38" i="11" s="1"/>
  <c r="DW38" i="11" s="1"/>
  <c r="G32" i="11"/>
  <c r="L32" i="11" s="1"/>
  <c r="Q32" i="11" s="1"/>
  <c r="V32" i="11" s="1"/>
  <c r="AA32" i="11" s="1"/>
  <c r="AF32" i="11" s="1"/>
  <c r="AK32" i="11" s="1"/>
  <c r="AP32" i="11" s="1"/>
  <c r="AU32" i="11" s="1"/>
  <c r="AZ32" i="11" s="1"/>
  <c r="BE32" i="11" s="1"/>
  <c r="BJ32" i="11" s="1"/>
  <c r="BO32" i="11" s="1"/>
  <c r="BT32" i="11" s="1"/>
  <c r="BY32" i="11" s="1"/>
  <c r="CD32" i="11" s="1"/>
  <c r="CI32" i="11" s="1"/>
  <c r="CN32" i="11" s="1"/>
  <c r="CS32" i="11" s="1"/>
  <c r="CX32" i="11" s="1"/>
  <c r="DC32" i="11" s="1"/>
  <c r="DH32" i="11" s="1"/>
  <c r="DM32" i="11" s="1"/>
  <c r="DR32" i="11" s="1"/>
  <c r="DW32" i="11" s="1"/>
  <c r="G19" i="11"/>
  <c r="L19" i="11" s="1"/>
  <c r="Q19" i="11" s="1"/>
  <c r="V19" i="11" s="1"/>
  <c r="AA19" i="11" s="1"/>
  <c r="AF19" i="11" s="1"/>
  <c r="AK19" i="11" s="1"/>
  <c r="AP19" i="11" s="1"/>
  <c r="AU19" i="11" s="1"/>
  <c r="AZ19" i="11" s="1"/>
  <c r="BE19" i="11" s="1"/>
  <c r="BJ19" i="11" s="1"/>
  <c r="BO19" i="11" s="1"/>
  <c r="BT19" i="11" s="1"/>
  <c r="BY19" i="11" s="1"/>
  <c r="CD19" i="11" s="1"/>
  <c r="CI19" i="11" s="1"/>
  <c r="CN19" i="11" s="1"/>
  <c r="CS19" i="11" s="1"/>
  <c r="CX19" i="11" s="1"/>
  <c r="DC19" i="11" s="1"/>
  <c r="DH19" i="11" s="1"/>
  <c r="DM19" i="11" s="1"/>
  <c r="DR19" i="11" s="1"/>
  <c r="DW19" i="11" s="1"/>
  <c r="DT11" i="11"/>
  <c r="DR11" i="11"/>
  <c r="DT8" i="11"/>
  <c r="DR8" i="11"/>
  <c r="DT7" i="11"/>
  <c r="DR7" i="11"/>
  <c r="G5" i="11"/>
  <c r="L5" i="11" s="1"/>
  <c r="Q5" i="11" s="1"/>
  <c r="V5" i="11" s="1"/>
  <c r="AA5" i="11" s="1"/>
  <c r="AF5" i="11" s="1"/>
  <c r="AK5" i="11" s="1"/>
  <c r="AP5" i="11" s="1"/>
  <c r="AU5" i="11" s="1"/>
  <c r="AZ5" i="11" s="1"/>
  <c r="BE5" i="11" s="1"/>
  <c r="BJ5" i="11" s="1"/>
  <c r="BO5" i="11" s="1"/>
  <c r="BT5" i="11" s="1"/>
  <c r="BY5" i="11" s="1"/>
  <c r="CD5" i="11" s="1"/>
  <c r="CI5" i="11" s="1"/>
  <c r="CN5" i="11" s="1"/>
  <c r="CS5" i="11" s="1"/>
  <c r="CX5" i="11" s="1"/>
  <c r="DC5" i="11" s="1"/>
  <c r="DH5" i="11" s="1"/>
  <c r="DM5" i="11" s="1"/>
  <c r="DR5" i="11" s="1"/>
  <c r="DW5" i="11" s="1"/>
  <c r="D4" i="11"/>
  <c r="G3" i="11"/>
  <c r="AD472" i="23"/>
  <c r="AC472" i="23"/>
  <c r="AB472" i="23"/>
  <c r="AA472" i="23"/>
  <c r="Z472" i="23"/>
  <c r="Y472" i="23"/>
  <c r="X472" i="23"/>
  <c r="W472" i="23"/>
  <c r="V472" i="23"/>
  <c r="U472" i="23"/>
  <c r="T472" i="23"/>
  <c r="S472" i="23"/>
  <c r="R472" i="23"/>
  <c r="Q472" i="23"/>
  <c r="P472" i="23"/>
  <c r="O472" i="23"/>
  <c r="N472" i="23"/>
  <c r="M472" i="23"/>
  <c r="L472" i="23"/>
  <c r="K472" i="23"/>
  <c r="J472" i="23"/>
  <c r="I472" i="23"/>
  <c r="H472" i="23"/>
  <c r="G472" i="23"/>
  <c r="AD469" i="23"/>
  <c r="AC469" i="23"/>
  <c r="AB469" i="23"/>
  <c r="AA469" i="23"/>
  <c r="Z469" i="23"/>
  <c r="Y469" i="23"/>
  <c r="X469" i="23"/>
  <c r="W469" i="23"/>
  <c r="V469" i="23"/>
  <c r="U469" i="23"/>
  <c r="T469" i="23"/>
  <c r="S469" i="23"/>
  <c r="R469" i="23"/>
  <c r="Q469" i="23"/>
  <c r="P469" i="23"/>
  <c r="O469" i="23"/>
  <c r="N469" i="23"/>
  <c r="M469" i="23"/>
  <c r="L469" i="23"/>
  <c r="K469" i="23"/>
  <c r="J469" i="23"/>
  <c r="I469" i="23"/>
  <c r="H469" i="23"/>
  <c r="G469" i="23"/>
  <c r="AD464" i="23"/>
  <c r="AC464" i="23"/>
  <c r="AB464" i="23"/>
  <c r="AA464" i="23"/>
  <c r="Z464" i="23"/>
  <c r="Y464" i="23"/>
  <c r="X464" i="23"/>
  <c r="W464" i="23"/>
  <c r="V464" i="23"/>
  <c r="U464" i="23"/>
  <c r="T464" i="23"/>
  <c r="S464" i="23"/>
  <c r="R464" i="23"/>
  <c r="Q464" i="23"/>
  <c r="P464" i="23"/>
  <c r="O464" i="23"/>
  <c r="N464" i="23"/>
  <c r="M464" i="23"/>
  <c r="L464" i="23"/>
  <c r="K464" i="23"/>
  <c r="J464" i="23"/>
  <c r="I464" i="23"/>
  <c r="H464" i="23"/>
  <c r="G464" i="23"/>
  <c r="AD459" i="23"/>
  <c r="AC459" i="23"/>
  <c r="AB459" i="23"/>
  <c r="AA459" i="23"/>
  <c r="Z459" i="23"/>
  <c r="Y459" i="23"/>
  <c r="X459" i="23"/>
  <c r="W459" i="23"/>
  <c r="V459" i="23"/>
  <c r="U459" i="23"/>
  <c r="T459" i="23"/>
  <c r="S459" i="23"/>
  <c r="R459" i="23"/>
  <c r="Q459" i="23"/>
  <c r="P459" i="23"/>
  <c r="O459" i="23"/>
  <c r="N459" i="23"/>
  <c r="M459" i="23"/>
  <c r="L459" i="23"/>
  <c r="K459" i="23"/>
  <c r="J459" i="23"/>
  <c r="I459" i="23"/>
  <c r="H459" i="23"/>
  <c r="G459" i="23"/>
  <c r="AD454" i="23"/>
  <c r="AC454" i="23"/>
  <c r="AB454" i="23"/>
  <c r="AA454" i="23"/>
  <c r="Z454" i="23"/>
  <c r="Y454" i="23"/>
  <c r="X454" i="23"/>
  <c r="W454" i="23"/>
  <c r="V454" i="23"/>
  <c r="U454" i="23"/>
  <c r="T454" i="23"/>
  <c r="S454" i="23"/>
  <c r="R454" i="23"/>
  <c r="Q454" i="23"/>
  <c r="P454" i="23"/>
  <c r="O454" i="23"/>
  <c r="N454" i="23"/>
  <c r="M454" i="23"/>
  <c r="L454" i="23"/>
  <c r="K454" i="23"/>
  <c r="J454" i="23"/>
  <c r="I454" i="23"/>
  <c r="H454" i="23"/>
  <c r="G454" i="23"/>
  <c r="AD449" i="23"/>
  <c r="AC449" i="23"/>
  <c r="AB449" i="23"/>
  <c r="AA449" i="23"/>
  <c r="Z449" i="23"/>
  <c r="Y449" i="23"/>
  <c r="X449" i="23"/>
  <c r="W449" i="23"/>
  <c r="V449" i="23"/>
  <c r="U449" i="23"/>
  <c r="T449" i="23"/>
  <c r="S449" i="23"/>
  <c r="R449" i="23"/>
  <c r="Q449" i="23"/>
  <c r="P449" i="23"/>
  <c r="O449" i="23"/>
  <c r="N449" i="23"/>
  <c r="M449" i="23"/>
  <c r="L449" i="23"/>
  <c r="K449" i="23"/>
  <c r="J449" i="23"/>
  <c r="I449" i="23"/>
  <c r="H449" i="23"/>
  <c r="G449" i="23"/>
  <c r="AD446" i="23"/>
  <c r="AC446" i="23"/>
  <c r="AB446" i="23"/>
  <c r="AA446" i="23"/>
  <c r="Z446" i="23"/>
  <c r="Y446" i="23"/>
  <c r="X446" i="23"/>
  <c r="W446" i="23"/>
  <c r="V446" i="23"/>
  <c r="U446" i="23"/>
  <c r="T446" i="23"/>
  <c r="S446" i="23"/>
  <c r="R446" i="23"/>
  <c r="Q446" i="23"/>
  <c r="P446" i="23"/>
  <c r="O446" i="23"/>
  <c r="N446" i="23"/>
  <c r="M446" i="23"/>
  <c r="L446" i="23"/>
  <c r="K446" i="23"/>
  <c r="J446" i="23"/>
  <c r="I446" i="23"/>
  <c r="H446" i="23"/>
  <c r="G446" i="23"/>
  <c r="AD443" i="23"/>
  <c r="AC443" i="23"/>
  <c r="AB443" i="23"/>
  <c r="AA443" i="23"/>
  <c r="Z443" i="23"/>
  <c r="Y443" i="23"/>
  <c r="X443" i="23"/>
  <c r="W443" i="23"/>
  <c r="V443" i="23"/>
  <c r="U443" i="23"/>
  <c r="T443" i="23"/>
  <c r="S443" i="23"/>
  <c r="R443" i="23"/>
  <c r="Q443" i="23"/>
  <c r="P443" i="23"/>
  <c r="O443" i="23"/>
  <c r="N443" i="23"/>
  <c r="M443" i="23"/>
  <c r="L443" i="23"/>
  <c r="K443" i="23"/>
  <c r="J443" i="23"/>
  <c r="I443" i="23"/>
  <c r="H443" i="23"/>
  <c r="G443" i="23"/>
  <c r="AD440" i="23"/>
  <c r="AC440" i="23"/>
  <c r="AB440" i="23"/>
  <c r="AA440" i="23"/>
  <c r="Z440" i="23"/>
  <c r="Y440" i="23"/>
  <c r="X440" i="23"/>
  <c r="W440" i="23"/>
  <c r="V440" i="23"/>
  <c r="U440" i="23"/>
  <c r="T440" i="23"/>
  <c r="S440" i="23"/>
  <c r="R440" i="23"/>
  <c r="Q440" i="23"/>
  <c r="P440" i="23"/>
  <c r="O440" i="23"/>
  <c r="N440" i="23"/>
  <c r="M440" i="23"/>
  <c r="L440" i="23"/>
  <c r="K440" i="23"/>
  <c r="J440" i="23"/>
  <c r="I440" i="23"/>
  <c r="H440" i="23"/>
  <c r="G440" i="23"/>
  <c r="AD437" i="23"/>
  <c r="AC437" i="23"/>
  <c r="AB437" i="23"/>
  <c r="AA437" i="23"/>
  <c r="Z437" i="23"/>
  <c r="Y437" i="23"/>
  <c r="X437" i="23"/>
  <c r="W437" i="23"/>
  <c r="V437" i="23"/>
  <c r="U437" i="23"/>
  <c r="T437" i="23"/>
  <c r="S437" i="23"/>
  <c r="R437" i="23"/>
  <c r="Q437" i="23"/>
  <c r="P437" i="23"/>
  <c r="O437" i="23"/>
  <c r="N437" i="23"/>
  <c r="M437" i="23"/>
  <c r="L437" i="23"/>
  <c r="K437" i="23"/>
  <c r="J437" i="23"/>
  <c r="I437" i="23"/>
  <c r="H437" i="23"/>
  <c r="G437" i="23"/>
  <c r="AD425" i="23"/>
  <c r="AC425" i="23"/>
  <c r="AB425" i="23"/>
  <c r="AA425" i="23"/>
  <c r="Z425" i="23"/>
  <c r="Y425" i="23"/>
  <c r="X425" i="23"/>
  <c r="W425" i="23"/>
  <c r="V425" i="23"/>
  <c r="U425" i="23"/>
  <c r="T425" i="23"/>
  <c r="S425" i="23"/>
  <c r="R425" i="23"/>
  <c r="Q425" i="23"/>
  <c r="P425" i="23"/>
  <c r="O425" i="23"/>
  <c r="N425" i="23"/>
  <c r="M425" i="23"/>
  <c r="L425" i="23"/>
  <c r="K425" i="23"/>
  <c r="J425" i="23"/>
  <c r="I425" i="23"/>
  <c r="H425" i="23"/>
  <c r="G425" i="23"/>
  <c r="AD413" i="23"/>
  <c r="AC413" i="23"/>
  <c r="AB413" i="23"/>
  <c r="AA413" i="23"/>
  <c r="Z413" i="23"/>
  <c r="Y413" i="23"/>
  <c r="X413" i="23"/>
  <c r="W413" i="23"/>
  <c r="V413" i="23"/>
  <c r="U413" i="23"/>
  <c r="T413" i="23"/>
  <c r="S413" i="23"/>
  <c r="R413" i="23"/>
  <c r="Q413" i="23"/>
  <c r="P413" i="23"/>
  <c r="O413" i="23"/>
  <c r="N413" i="23"/>
  <c r="M413" i="23"/>
  <c r="L413" i="23"/>
  <c r="K413" i="23"/>
  <c r="J413" i="23"/>
  <c r="I413" i="23"/>
  <c r="H413" i="23"/>
  <c r="G413" i="23"/>
  <c r="AD410" i="23"/>
  <c r="AC410" i="23"/>
  <c r="AB410" i="23"/>
  <c r="AA410" i="23"/>
  <c r="Z410" i="23"/>
  <c r="Y410" i="23"/>
  <c r="X410" i="23"/>
  <c r="W410" i="23"/>
  <c r="V410" i="23"/>
  <c r="U410" i="23"/>
  <c r="T410" i="23"/>
  <c r="S410" i="23"/>
  <c r="R410" i="23"/>
  <c r="Q410" i="23"/>
  <c r="P410" i="23"/>
  <c r="O410" i="23"/>
  <c r="N410" i="23"/>
  <c r="M410" i="23"/>
  <c r="L410" i="23"/>
  <c r="K410" i="23"/>
  <c r="J410" i="23"/>
  <c r="I410" i="23"/>
  <c r="H410" i="23"/>
  <c r="G410" i="23"/>
  <c r="AD407" i="23"/>
  <c r="AC407" i="23"/>
  <c r="AB407" i="23"/>
  <c r="AA407" i="23"/>
  <c r="Z407" i="23"/>
  <c r="Y407" i="23"/>
  <c r="X407" i="23"/>
  <c r="W407" i="23"/>
  <c r="V407" i="23"/>
  <c r="U407" i="23"/>
  <c r="T407" i="23"/>
  <c r="S407" i="23"/>
  <c r="R407" i="23"/>
  <c r="Q407" i="23"/>
  <c r="P407" i="23"/>
  <c r="O407" i="23"/>
  <c r="N407" i="23"/>
  <c r="M407" i="23"/>
  <c r="L407" i="23"/>
  <c r="K407" i="23"/>
  <c r="J407" i="23"/>
  <c r="I407" i="23"/>
  <c r="H407" i="23"/>
  <c r="G407" i="23"/>
  <c r="AD404" i="23"/>
  <c r="AC404" i="23"/>
  <c r="AB404" i="23"/>
  <c r="AA404" i="23"/>
  <c r="Z404" i="23"/>
  <c r="Y404" i="23"/>
  <c r="X404" i="23"/>
  <c r="W404" i="23"/>
  <c r="V404" i="23"/>
  <c r="U404" i="23"/>
  <c r="T404" i="23"/>
  <c r="S404" i="23"/>
  <c r="R404" i="23"/>
  <c r="Q404" i="23"/>
  <c r="P404" i="23"/>
  <c r="O404" i="23"/>
  <c r="N404" i="23"/>
  <c r="M404" i="23"/>
  <c r="L404" i="23"/>
  <c r="K404" i="23"/>
  <c r="J404" i="23"/>
  <c r="I404" i="23"/>
  <c r="H404" i="23"/>
  <c r="G404" i="23"/>
  <c r="AD401" i="23"/>
  <c r="AC401" i="23"/>
  <c r="AB401" i="23"/>
  <c r="AA401" i="23"/>
  <c r="Z401" i="23"/>
  <c r="Y401" i="23"/>
  <c r="X401" i="23"/>
  <c r="W401" i="23"/>
  <c r="V401" i="23"/>
  <c r="U401" i="23"/>
  <c r="T401" i="23"/>
  <c r="S401" i="23"/>
  <c r="R401" i="23"/>
  <c r="Q401" i="23"/>
  <c r="P401" i="23"/>
  <c r="O401" i="23"/>
  <c r="N401" i="23"/>
  <c r="M401" i="23"/>
  <c r="L401" i="23"/>
  <c r="K401" i="23"/>
  <c r="J401" i="23"/>
  <c r="I401" i="23"/>
  <c r="H401" i="23"/>
  <c r="G401" i="23"/>
  <c r="J398" i="23"/>
  <c r="J135" i="25" s="1"/>
  <c r="I398" i="23"/>
  <c r="I135" i="25" s="1"/>
  <c r="H398" i="23"/>
  <c r="H135" i="25" s="1"/>
  <c r="J397" i="23"/>
  <c r="I397" i="23"/>
  <c r="H397" i="23"/>
  <c r="J396" i="23"/>
  <c r="J134" i="25" s="1"/>
  <c r="I396" i="23"/>
  <c r="I134" i="25" s="1"/>
  <c r="H396" i="23"/>
  <c r="H134" i="25" s="1"/>
  <c r="J395" i="23"/>
  <c r="J132" i="25" s="1"/>
  <c r="I395" i="23"/>
  <c r="I132" i="25" s="1"/>
  <c r="H395" i="23"/>
  <c r="H132" i="25" s="1"/>
  <c r="J394" i="23"/>
  <c r="J133" i="25" s="1"/>
  <c r="I394" i="23"/>
  <c r="I133" i="25" s="1"/>
  <c r="H394" i="23"/>
  <c r="H133" i="25" s="1"/>
  <c r="J393" i="23"/>
  <c r="J131" i="25" s="1"/>
  <c r="I393" i="23"/>
  <c r="I131" i="25" s="1"/>
  <c r="H393" i="23"/>
  <c r="H131" i="25" s="1"/>
  <c r="J392" i="23"/>
  <c r="J130" i="25" s="1"/>
  <c r="I392" i="23"/>
  <c r="I130" i="25" s="1"/>
  <c r="H392" i="23"/>
  <c r="H130" i="25" s="1"/>
  <c r="AD391" i="23"/>
  <c r="AC391" i="23"/>
  <c r="AB391" i="23"/>
  <c r="AA391" i="23"/>
  <c r="Z391" i="23"/>
  <c r="Y391" i="23"/>
  <c r="X391" i="23"/>
  <c r="W391" i="23"/>
  <c r="V391" i="23"/>
  <c r="U391" i="23"/>
  <c r="T391" i="23"/>
  <c r="S391" i="23"/>
  <c r="R391" i="23"/>
  <c r="Q391" i="23"/>
  <c r="P391" i="23"/>
  <c r="O391" i="23"/>
  <c r="N391" i="23"/>
  <c r="M391" i="23"/>
  <c r="L391" i="23"/>
  <c r="K391" i="23"/>
  <c r="J391" i="23"/>
  <c r="I391" i="23"/>
  <c r="H391" i="23"/>
  <c r="G391" i="23"/>
  <c r="AD384" i="23"/>
  <c r="AC384" i="23"/>
  <c r="AB384" i="23"/>
  <c r="AA384" i="23"/>
  <c r="Z384" i="23"/>
  <c r="Y384" i="23"/>
  <c r="X384" i="23"/>
  <c r="W384" i="23"/>
  <c r="V384" i="23"/>
  <c r="U384" i="23"/>
  <c r="T384" i="23"/>
  <c r="S384" i="23"/>
  <c r="R384" i="23"/>
  <c r="Q384" i="23"/>
  <c r="P384" i="23"/>
  <c r="O384" i="23"/>
  <c r="N384" i="23"/>
  <c r="M384" i="23"/>
  <c r="L384" i="23"/>
  <c r="K384" i="23"/>
  <c r="J384" i="23"/>
  <c r="I384" i="23"/>
  <c r="H384" i="23"/>
  <c r="G384" i="23"/>
  <c r="AD380" i="23"/>
  <c r="AD379" i="23"/>
  <c r="AC379" i="23"/>
  <c r="AB379" i="23"/>
  <c r="AA379" i="23"/>
  <c r="Z379" i="23"/>
  <c r="Y379" i="23"/>
  <c r="X379" i="23"/>
  <c r="W379" i="23"/>
  <c r="V379" i="23"/>
  <c r="U379" i="23"/>
  <c r="T379" i="23"/>
  <c r="S379" i="23"/>
  <c r="R379" i="23"/>
  <c r="Q379" i="23"/>
  <c r="P379" i="23"/>
  <c r="O379" i="23"/>
  <c r="N379" i="23"/>
  <c r="M379" i="23"/>
  <c r="L379" i="23"/>
  <c r="K379" i="23"/>
  <c r="J379" i="23"/>
  <c r="I379" i="23"/>
  <c r="H379" i="23"/>
  <c r="G379" i="23"/>
  <c r="A377" i="23"/>
  <c r="A376" i="23"/>
  <c r="AD374" i="23"/>
  <c r="AC374" i="23"/>
  <c r="AB374" i="23"/>
  <c r="AA374" i="23"/>
  <c r="Z374" i="23"/>
  <c r="Y374" i="23"/>
  <c r="X374" i="23"/>
  <c r="W374" i="23"/>
  <c r="V374" i="23"/>
  <c r="U374" i="23"/>
  <c r="T374" i="23"/>
  <c r="S374" i="23"/>
  <c r="R374" i="23"/>
  <c r="Q374" i="23"/>
  <c r="P374" i="23"/>
  <c r="O374" i="23"/>
  <c r="N374" i="23"/>
  <c r="M374" i="23"/>
  <c r="L374" i="23"/>
  <c r="K374" i="23"/>
  <c r="J374" i="23"/>
  <c r="I374" i="23"/>
  <c r="H374" i="23"/>
  <c r="G374" i="23"/>
  <c r="AD368" i="23"/>
  <c r="AC368" i="23"/>
  <c r="AB368" i="23"/>
  <c r="AA368" i="23"/>
  <c r="Z368" i="23"/>
  <c r="Y368" i="23"/>
  <c r="X368" i="23"/>
  <c r="W368" i="23"/>
  <c r="V368" i="23"/>
  <c r="U368" i="23"/>
  <c r="T368" i="23"/>
  <c r="S368" i="23"/>
  <c r="R368" i="23"/>
  <c r="Q368" i="23"/>
  <c r="P368" i="23"/>
  <c r="O368" i="23"/>
  <c r="N368" i="23"/>
  <c r="M368" i="23"/>
  <c r="L368" i="23"/>
  <c r="K368" i="23"/>
  <c r="J368" i="23"/>
  <c r="I368" i="23"/>
  <c r="H368" i="23"/>
  <c r="G368" i="23"/>
  <c r="AD365" i="23"/>
  <c r="AC365" i="23"/>
  <c r="AB365" i="23"/>
  <c r="AA365" i="23"/>
  <c r="Z365" i="23"/>
  <c r="Y365" i="23"/>
  <c r="X365" i="23"/>
  <c r="W365" i="23"/>
  <c r="V365" i="23"/>
  <c r="U365" i="23"/>
  <c r="T365" i="23"/>
  <c r="S365" i="23"/>
  <c r="R365" i="23"/>
  <c r="Q365" i="23"/>
  <c r="P365" i="23"/>
  <c r="O365" i="23"/>
  <c r="N365" i="23"/>
  <c r="M365" i="23"/>
  <c r="L365" i="23"/>
  <c r="K365" i="23"/>
  <c r="J365" i="23"/>
  <c r="I365" i="23"/>
  <c r="H365" i="23"/>
  <c r="G365" i="23"/>
  <c r="AD358" i="23"/>
  <c r="AC358" i="23"/>
  <c r="AB358" i="23"/>
  <c r="AA358" i="23"/>
  <c r="Z358" i="23"/>
  <c r="Y358" i="23"/>
  <c r="X358" i="23"/>
  <c r="W358" i="23"/>
  <c r="V358" i="23"/>
  <c r="U358" i="23"/>
  <c r="T358" i="23"/>
  <c r="S358" i="23"/>
  <c r="R358" i="23"/>
  <c r="Q358" i="23"/>
  <c r="P358" i="23"/>
  <c r="O358" i="23"/>
  <c r="N358" i="23"/>
  <c r="M358" i="23"/>
  <c r="L358" i="23"/>
  <c r="K358" i="23"/>
  <c r="J358" i="23"/>
  <c r="I358" i="23"/>
  <c r="H358" i="23"/>
  <c r="G358" i="23"/>
  <c r="A356" i="23"/>
  <c r="A355" i="23"/>
  <c r="AD351" i="23"/>
  <c r="AC351" i="23"/>
  <c r="AB351" i="23"/>
  <c r="AA351" i="23"/>
  <c r="Z351" i="23"/>
  <c r="Y351" i="23"/>
  <c r="X351" i="23"/>
  <c r="W351" i="23"/>
  <c r="V351" i="23"/>
  <c r="U351" i="23"/>
  <c r="T351" i="23"/>
  <c r="S351" i="23"/>
  <c r="R351" i="23"/>
  <c r="Q351" i="23"/>
  <c r="P351" i="23"/>
  <c r="O351" i="23"/>
  <c r="N351" i="23"/>
  <c r="M351" i="23"/>
  <c r="L351" i="23"/>
  <c r="K351" i="23"/>
  <c r="J351" i="23"/>
  <c r="I351" i="23"/>
  <c r="H351" i="23"/>
  <c r="G351" i="23"/>
  <c r="AD347" i="23"/>
  <c r="AC347" i="23"/>
  <c r="AB347" i="23"/>
  <c r="AA347" i="23"/>
  <c r="Z347" i="23"/>
  <c r="Y347" i="23"/>
  <c r="X347" i="23"/>
  <c r="W347" i="23"/>
  <c r="V347" i="23"/>
  <c r="U347" i="23"/>
  <c r="T347" i="23"/>
  <c r="S347" i="23"/>
  <c r="R347" i="23"/>
  <c r="Q347" i="23"/>
  <c r="P347" i="23"/>
  <c r="O347" i="23"/>
  <c r="N347" i="23"/>
  <c r="M347" i="23"/>
  <c r="L347" i="23"/>
  <c r="K347" i="23"/>
  <c r="J347" i="23"/>
  <c r="I347" i="23"/>
  <c r="H347" i="23"/>
  <c r="G347" i="23"/>
  <c r="AD343" i="23"/>
  <c r="AC343" i="23"/>
  <c r="AB343" i="23"/>
  <c r="AA343" i="23"/>
  <c r="Z343" i="23"/>
  <c r="Y343" i="23"/>
  <c r="X343" i="23"/>
  <c r="W343" i="23"/>
  <c r="V343" i="23"/>
  <c r="U343" i="23"/>
  <c r="T343" i="23"/>
  <c r="S343" i="23"/>
  <c r="R343" i="23"/>
  <c r="Q343" i="23"/>
  <c r="P343" i="23"/>
  <c r="O343" i="23"/>
  <c r="N343" i="23"/>
  <c r="M343" i="23"/>
  <c r="L343" i="23"/>
  <c r="K343" i="23"/>
  <c r="J343" i="23"/>
  <c r="I343" i="23"/>
  <c r="H343" i="23"/>
  <c r="G343" i="23"/>
  <c r="AD340" i="23"/>
  <c r="AD338" i="23"/>
  <c r="AC338" i="23"/>
  <c r="AB338" i="23"/>
  <c r="AA338" i="23"/>
  <c r="Z338" i="23"/>
  <c r="Y338" i="23"/>
  <c r="X338" i="23"/>
  <c r="W338" i="23"/>
  <c r="V338" i="23"/>
  <c r="U338" i="23"/>
  <c r="T338" i="23"/>
  <c r="S338" i="23"/>
  <c r="R338" i="23"/>
  <c r="Q338" i="23"/>
  <c r="P338" i="23"/>
  <c r="O338" i="23"/>
  <c r="N338" i="23"/>
  <c r="M338" i="23"/>
  <c r="L338" i="23"/>
  <c r="K338" i="23"/>
  <c r="J338" i="23"/>
  <c r="I338" i="23"/>
  <c r="H338" i="23"/>
  <c r="G338" i="23"/>
  <c r="A335" i="23"/>
  <c r="A334" i="23"/>
  <c r="AD333" i="23"/>
  <c r="AC333" i="23"/>
  <c r="AB333" i="23"/>
  <c r="AA333" i="23"/>
  <c r="Z333" i="23"/>
  <c r="Y333" i="23"/>
  <c r="X333" i="23"/>
  <c r="W333" i="23"/>
  <c r="V333" i="23"/>
  <c r="U333" i="23"/>
  <c r="T333" i="23"/>
  <c r="S333" i="23"/>
  <c r="R333" i="23"/>
  <c r="Q333" i="23"/>
  <c r="P333" i="23"/>
  <c r="O333" i="23"/>
  <c r="N333" i="23"/>
  <c r="M333" i="23"/>
  <c r="L333" i="23"/>
  <c r="K333" i="23"/>
  <c r="J333" i="23"/>
  <c r="I333" i="23"/>
  <c r="H333" i="23"/>
  <c r="G333" i="23"/>
  <c r="AD328" i="23"/>
  <c r="AC328" i="23"/>
  <c r="AB328" i="23"/>
  <c r="AA328" i="23"/>
  <c r="Z328" i="23"/>
  <c r="Y328" i="23"/>
  <c r="X328" i="23"/>
  <c r="W328" i="23"/>
  <c r="V328" i="23"/>
  <c r="U328" i="23"/>
  <c r="T328" i="23"/>
  <c r="S328" i="23"/>
  <c r="R328" i="23"/>
  <c r="Q328" i="23"/>
  <c r="P328" i="23"/>
  <c r="O328" i="23"/>
  <c r="N328" i="23"/>
  <c r="M328" i="23"/>
  <c r="L328" i="23"/>
  <c r="K328" i="23"/>
  <c r="J328" i="23"/>
  <c r="I328" i="23"/>
  <c r="H328" i="23"/>
  <c r="G328" i="23"/>
  <c r="A325" i="23"/>
  <c r="A324" i="23"/>
  <c r="A323" i="23"/>
  <c r="AD322" i="23"/>
  <c r="AC322" i="23"/>
  <c r="AB322" i="23"/>
  <c r="AA322" i="23"/>
  <c r="Z322" i="23"/>
  <c r="Y322" i="23"/>
  <c r="X322" i="23"/>
  <c r="W322" i="23"/>
  <c r="V322" i="23"/>
  <c r="U322" i="23"/>
  <c r="T322" i="23"/>
  <c r="S322" i="23"/>
  <c r="R322" i="23"/>
  <c r="Q322" i="23"/>
  <c r="P322" i="23"/>
  <c r="O322" i="23"/>
  <c r="N322" i="23"/>
  <c r="M322" i="23"/>
  <c r="L322" i="23"/>
  <c r="K322" i="23"/>
  <c r="J322" i="23"/>
  <c r="I322" i="23"/>
  <c r="H322" i="23"/>
  <c r="G322" i="23"/>
  <c r="AD317" i="23"/>
  <c r="AC317" i="23"/>
  <c r="AB317" i="23"/>
  <c r="AA317" i="23"/>
  <c r="Z317" i="23"/>
  <c r="Y317" i="23"/>
  <c r="X317" i="23"/>
  <c r="W317" i="23"/>
  <c r="V317" i="23"/>
  <c r="U317" i="23"/>
  <c r="T317" i="23"/>
  <c r="S317" i="23"/>
  <c r="R317" i="23"/>
  <c r="Q317" i="23"/>
  <c r="P317" i="23"/>
  <c r="O317" i="23"/>
  <c r="N317" i="23"/>
  <c r="M317" i="23"/>
  <c r="L317" i="23"/>
  <c r="K317" i="23"/>
  <c r="J317" i="23"/>
  <c r="I317" i="23"/>
  <c r="H317" i="23"/>
  <c r="G317" i="23"/>
  <c r="AD311" i="23"/>
  <c r="AC311" i="23"/>
  <c r="AB311" i="23"/>
  <c r="AA311" i="23"/>
  <c r="Z311" i="23"/>
  <c r="Y311" i="23"/>
  <c r="X311" i="23"/>
  <c r="W311" i="23"/>
  <c r="V311" i="23"/>
  <c r="U311" i="23"/>
  <c r="T311" i="23"/>
  <c r="S311" i="23"/>
  <c r="R311" i="23"/>
  <c r="Q311" i="23"/>
  <c r="P311" i="23"/>
  <c r="O311" i="23"/>
  <c r="N311" i="23"/>
  <c r="M311" i="23"/>
  <c r="L311" i="23"/>
  <c r="K311" i="23"/>
  <c r="J311" i="23"/>
  <c r="I311" i="23"/>
  <c r="H311" i="23"/>
  <c r="G311" i="23"/>
  <c r="AD308" i="23"/>
  <c r="AD306" i="23"/>
  <c r="AC306" i="23"/>
  <c r="AB306" i="23"/>
  <c r="AA306" i="23"/>
  <c r="Z306" i="23"/>
  <c r="Y306" i="23"/>
  <c r="X306" i="23"/>
  <c r="W306" i="23"/>
  <c r="V306" i="23"/>
  <c r="U306" i="23"/>
  <c r="T306" i="23"/>
  <c r="S306" i="23"/>
  <c r="R306" i="23"/>
  <c r="Q306" i="23"/>
  <c r="P306" i="23"/>
  <c r="O306" i="23"/>
  <c r="N306" i="23"/>
  <c r="M306" i="23"/>
  <c r="L306" i="23"/>
  <c r="K306" i="23"/>
  <c r="J306" i="23"/>
  <c r="I306" i="23"/>
  <c r="H306" i="23"/>
  <c r="G306" i="23"/>
  <c r="A303" i="23"/>
  <c r="A302" i="23"/>
  <c r="AD301" i="23"/>
  <c r="AC301" i="23"/>
  <c r="AB301" i="23"/>
  <c r="AA301" i="23"/>
  <c r="Z301" i="23"/>
  <c r="Y301" i="23"/>
  <c r="X301" i="23"/>
  <c r="W301" i="23"/>
  <c r="V301" i="23"/>
  <c r="U301" i="23"/>
  <c r="T301" i="23"/>
  <c r="S301" i="23"/>
  <c r="R301" i="23"/>
  <c r="Q301" i="23"/>
  <c r="P301" i="23"/>
  <c r="O301" i="23"/>
  <c r="N301" i="23"/>
  <c r="M301" i="23"/>
  <c r="L301" i="23"/>
  <c r="K301" i="23"/>
  <c r="J301" i="23"/>
  <c r="I301" i="23"/>
  <c r="H301" i="23"/>
  <c r="G301" i="23"/>
  <c r="AD296" i="23"/>
  <c r="AC296" i="23"/>
  <c r="AB296" i="23"/>
  <c r="AA296" i="23"/>
  <c r="Z296" i="23"/>
  <c r="Y296" i="23"/>
  <c r="X296" i="23"/>
  <c r="W296" i="23"/>
  <c r="V296" i="23"/>
  <c r="U296" i="23"/>
  <c r="T296" i="23"/>
  <c r="S296" i="23"/>
  <c r="R296" i="23"/>
  <c r="Q296" i="23"/>
  <c r="P296" i="23"/>
  <c r="O296" i="23"/>
  <c r="N296" i="23"/>
  <c r="M296" i="23"/>
  <c r="L296" i="23"/>
  <c r="K296" i="23"/>
  <c r="J296" i="23"/>
  <c r="I296" i="23"/>
  <c r="H296" i="23"/>
  <c r="G296" i="23"/>
  <c r="A293" i="23"/>
  <c r="A292" i="23"/>
  <c r="A291" i="23"/>
  <c r="AD290" i="23"/>
  <c r="AC290" i="23"/>
  <c r="AB290" i="23"/>
  <c r="AA290" i="23"/>
  <c r="Z290" i="23"/>
  <c r="Y290" i="23"/>
  <c r="X290" i="23"/>
  <c r="W290" i="23"/>
  <c r="V290" i="23"/>
  <c r="U290" i="23"/>
  <c r="T290" i="23"/>
  <c r="S290" i="23"/>
  <c r="R290" i="23"/>
  <c r="Q290" i="23"/>
  <c r="P290" i="23"/>
  <c r="O290" i="23"/>
  <c r="N290" i="23"/>
  <c r="M290" i="23"/>
  <c r="L290" i="23"/>
  <c r="K290" i="23"/>
  <c r="J290" i="23"/>
  <c r="I290" i="23"/>
  <c r="H290" i="23"/>
  <c r="G290" i="23"/>
  <c r="AD285" i="23"/>
  <c r="AC285" i="23"/>
  <c r="AB285" i="23"/>
  <c r="AA285" i="23"/>
  <c r="Z285" i="23"/>
  <c r="Y285" i="23"/>
  <c r="X285" i="23"/>
  <c r="W285" i="23"/>
  <c r="V285" i="23"/>
  <c r="U285" i="23"/>
  <c r="T285" i="23"/>
  <c r="S285" i="23"/>
  <c r="R285" i="23"/>
  <c r="Q285" i="23"/>
  <c r="P285" i="23"/>
  <c r="O285" i="23"/>
  <c r="N285" i="23"/>
  <c r="M285" i="23"/>
  <c r="L285" i="23"/>
  <c r="K285" i="23"/>
  <c r="J285" i="23"/>
  <c r="I285" i="23"/>
  <c r="H285" i="23"/>
  <c r="G285" i="23"/>
  <c r="AD279" i="23"/>
  <c r="AC279" i="23"/>
  <c r="AB279" i="23"/>
  <c r="AA279" i="23"/>
  <c r="Z279" i="23"/>
  <c r="Y279" i="23"/>
  <c r="X279" i="23"/>
  <c r="W279" i="23"/>
  <c r="V279" i="23"/>
  <c r="U279" i="23"/>
  <c r="T279" i="23"/>
  <c r="S279" i="23"/>
  <c r="R279" i="23"/>
  <c r="Q279" i="23"/>
  <c r="P279" i="23"/>
  <c r="O279" i="23"/>
  <c r="N279" i="23"/>
  <c r="M279" i="23"/>
  <c r="L279" i="23"/>
  <c r="K279" i="23"/>
  <c r="J279" i="23"/>
  <c r="I279" i="23"/>
  <c r="H279" i="23"/>
  <c r="G279" i="23"/>
  <c r="AD276" i="23"/>
  <c r="AC276" i="23"/>
  <c r="AB276" i="23"/>
  <c r="AA276" i="23"/>
  <c r="Z276" i="23"/>
  <c r="Y276" i="23"/>
  <c r="X276" i="23"/>
  <c r="W276" i="23"/>
  <c r="V276" i="23"/>
  <c r="U276" i="23"/>
  <c r="T276" i="23"/>
  <c r="S276" i="23"/>
  <c r="R276" i="23"/>
  <c r="Q276" i="23"/>
  <c r="P276" i="23"/>
  <c r="O276" i="23"/>
  <c r="N276" i="23"/>
  <c r="M276" i="23"/>
  <c r="L276" i="23"/>
  <c r="K276" i="23"/>
  <c r="J276" i="23"/>
  <c r="I276" i="23"/>
  <c r="H276" i="23"/>
  <c r="G276" i="23"/>
  <c r="A274" i="23"/>
  <c r="AD273" i="23"/>
  <c r="AC273" i="23"/>
  <c r="AB273" i="23"/>
  <c r="AA273" i="23"/>
  <c r="Z273" i="23"/>
  <c r="Y273" i="23"/>
  <c r="X273" i="23"/>
  <c r="W273" i="23"/>
  <c r="V273" i="23"/>
  <c r="U273" i="23"/>
  <c r="T273" i="23"/>
  <c r="S273" i="23"/>
  <c r="R273" i="23"/>
  <c r="Q273" i="23"/>
  <c r="P273" i="23"/>
  <c r="O273" i="23"/>
  <c r="N273" i="23"/>
  <c r="M273" i="23"/>
  <c r="L273" i="23"/>
  <c r="K273" i="23"/>
  <c r="J273" i="23"/>
  <c r="I273" i="23"/>
  <c r="H273" i="23"/>
  <c r="G273" i="23"/>
  <c r="AD267" i="23"/>
  <c r="AC267" i="23"/>
  <c r="AB267" i="23"/>
  <c r="AA267" i="23"/>
  <c r="Z267" i="23"/>
  <c r="Y267" i="23"/>
  <c r="X267" i="23"/>
  <c r="W267" i="23"/>
  <c r="V267" i="23"/>
  <c r="U267" i="23"/>
  <c r="T267" i="23"/>
  <c r="S267" i="23"/>
  <c r="R267" i="23"/>
  <c r="Q267" i="23"/>
  <c r="P267" i="23"/>
  <c r="O267" i="23"/>
  <c r="N267" i="23"/>
  <c r="M267" i="23"/>
  <c r="L267" i="23"/>
  <c r="K267" i="23"/>
  <c r="J267" i="23"/>
  <c r="I267" i="23"/>
  <c r="H267" i="23"/>
  <c r="G267" i="23"/>
  <c r="AD260" i="23"/>
  <c r="AC260" i="23"/>
  <c r="AB260" i="23"/>
  <c r="AA260" i="23"/>
  <c r="Z260" i="23"/>
  <c r="Y260" i="23"/>
  <c r="X260" i="23"/>
  <c r="W260" i="23"/>
  <c r="V260" i="23"/>
  <c r="U260" i="23"/>
  <c r="T260" i="23"/>
  <c r="S260" i="23"/>
  <c r="R260" i="23"/>
  <c r="Q260" i="23"/>
  <c r="P260" i="23"/>
  <c r="O260" i="23"/>
  <c r="N260" i="23"/>
  <c r="M260" i="23"/>
  <c r="L260" i="23"/>
  <c r="K260" i="23"/>
  <c r="J260" i="23"/>
  <c r="I260" i="23"/>
  <c r="H260" i="23"/>
  <c r="G260" i="23"/>
  <c r="AD252" i="23"/>
  <c r="AC252" i="23"/>
  <c r="AB252" i="23"/>
  <c r="AA252" i="23"/>
  <c r="Z252" i="23"/>
  <c r="Y252" i="23"/>
  <c r="X252" i="23"/>
  <c r="W252" i="23"/>
  <c r="V252" i="23"/>
  <c r="U252" i="23"/>
  <c r="T252" i="23"/>
  <c r="S252" i="23"/>
  <c r="R252" i="23"/>
  <c r="Q252" i="23"/>
  <c r="P252" i="23"/>
  <c r="O252" i="23"/>
  <c r="N252" i="23"/>
  <c r="M252" i="23"/>
  <c r="L252" i="23"/>
  <c r="K252" i="23"/>
  <c r="J252" i="23"/>
  <c r="I252" i="23"/>
  <c r="H252" i="23"/>
  <c r="G252" i="23"/>
  <c r="AD247" i="23"/>
  <c r="AC247" i="23"/>
  <c r="AB247" i="23"/>
  <c r="AA247" i="23"/>
  <c r="Z247" i="23"/>
  <c r="Y247" i="23"/>
  <c r="X247" i="23"/>
  <c r="W247" i="23"/>
  <c r="V247" i="23"/>
  <c r="U247" i="23"/>
  <c r="T247" i="23"/>
  <c r="L247" i="23"/>
  <c r="K247" i="23"/>
  <c r="J247" i="23"/>
  <c r="I247" i="23"/>
  <c r="H247" i="23"/>
  <c r="AD244" i="23"/>
  <c r="AC244" i="23"/>
  <c r="AB244" i="23"/>
  <c r="AA244" i="23"/>
  <c r="Z244" i="23"/>
  <c r="Y244" i="23"/>
  <c r="X244" i="23"/>
  <c r="W244" i="23"/>
  <c r="V244" i="23"/>
  <c r="U244" i="23"/>
  <c r="T244" i="23"/>
  <c r="S244" i="23"/>
  <c r="R244" i="23"/>
  <c r="Q244" i="23"/>
  <c r="P244" i="23"/>
  <c r="O244" i="23"/>
  <c r="N244" i="23"/>
  <c r="M244" i="23"/>
  <c r="L244" i="23"/>
  <c r="K244" i="23"/>
  <c r="J244" i="23"/>
  <c r="I244" i="23"/>
  <c r="H244" i="23"/>
  <c r="G244" i="23"/>
  <c r="A240" i="23"/>
  <c r="A238" i="23"/>
  <c r="A237" i="23"/>
  <c r="A236" i="23"/>
  <c r="AD235" i="23"/>
  <c r="AC235" i="23"/>
  <c r="AB235" i="23"/>
  <c r="AA235" i="23"/>
  <c r="Z235" i="23"/>
  <c r="Y235" i="23"/>
  <c r="X235" i="23"/>
  <c r="W235" i="23"/>
  <c r="V235" i="23"/>
  <c r="U235" i="23"/>
  <c r="T235" i="23"/>
  <c r="S235" i="23"/>
  <c r="R235" i="23"/>
  <c r="Q235" i="23"/>
  <c r="P235" i="23"/>
  <c r="O235" i="23"/>
  <c r="N235" i="23"/>
  <c r="M235" i="23"/>
  <c r="L235" i="23"/>
  <c r="K235" i="23"/>
  <c r="J235" i="23"/>
  <c r="I235" i="23"/>
  <c r="H235" i="23"/>
  <c r="G235" i="23"/>
  <c r="AD223" i="23"/>
  <c r="AC223" i="23"/>
  <c r="AB223" i="23"/>
  <c r="AA223" i="23"/>
  <c r="Z223" i="23"/>
  <c r="Y223" i="23"/>
  <c r="X223" i="23"/>
  <c r="W223" i="23"/>
  <c r="V223" i="23"/>
  <c r="U223" i="23"/>
  <c r="T223" i="23"/>
  <c r="S223" i="23"/>
  <c r="R223" i="23"/>
  <c r="Q223" i="23"/>
  <c r="P223" i="23"/>
  <c r="O223" i="23"/>
  <c r="N223" i="23"/>
  <c r="M223" i="23"/>
  <c r="L223" i="23"/>
  <c r="K223" i="23"/>
  <c r="J223" i="23"/>
  <c r="I223" i="23"/>
  <c r="H223" i="23"/>
  <c r="G223" i="23"/>
  <c r="A219" i="23"/>
  <c r="A218" i="23"/>
  <c r="A213" i="23"/>
  <c r="A212" i="23"/>
  <c r="AD209" i="23"/>
  <c r="AC209" i="23"/>
  <c r="AB209" i="23"/>
  <c r="AA209" i="23"/>
  <c r="Z209" i="23"/>
  <c r="Y209" i="23"/>
  <c r="X209" i="23"/>
  <c r="W209" i="23"/>
  <c r="V209" i="23"/>
  <c r="U209" i="23"/>
  <c r="T209" i="23"/>
  <c r="S209" i="23"/>
  <c r="R209" i="23"/>
  <c r="Q209" i="23"/>
  <c r="P209" i="23"/>
  <c r="O209" i="23"/>
  <c r="N209" i="23"/>
  <c r="M209" i="23"/>
  <c r="L209" i="23"/>
  <c r="K209" i="23"/>
  <c r="J209" i="23"/>
  <c r="I209" i="23"/>
  <c r="H209" i="23"/>
  <c r="G209" i="23"/>
  <c r="AD206" i="23"/>
  <c r="AD204" i="23"/>
  <c r="AC204" i="23"/>
  <c r="AB204" i="23"/>
  <c r="AA204" i="23"/>
  <c r="Z204" i="23"/>
  <c r="Y204" i="23"/>
  <c r="X204" i="23"/>
  <c r="W204" i="23"/>
  <c r="V204" i="23"/>
  <c r="U204" i="23"/>
  <c r="T204" i="23"/>
  <c r="S204" i="23"/>
  <c r="R204" i="23"/>
  <c r="Q204" i="23"/>
  <c r="P204" i="23"/>
  <c r="O204" i="23"/>
  <c r="N204" i="23"/>
  <c r="M204" i="23"/>
  <c r="L204" i="23"/>
  <c r="K204" i="23"/>
  <c r="J204" i="23"/>
  <c r="I204" i="23"/>
  <c r="H204" i="23"/>
  <c r="G204" i="23"/>
  <c r="A200" i="23"/>
  <c r="A199" i="23"/>
  <c r="A198" i="23"/>
  <c r="AD197" i="23"/>
  <c r="AC197" i="23"/>
  <c r="AB197" i="23"/>
  <c r="AA197" i="23"/>
  <c r="Z197" i="23"/>
  <c r="Y197" i="23"/>
  <c r="X197" i="23"/>
  <c r="W197" i="23"/>
  <c r="V197" i="23"/>
  <c r="U197" i="23"/>
  <c r="T197" i="23"/>
  <c r="S197" i="23"/>
  <c r="R197" i="23"/>
  <c r="Q197" i="23"/>
  <c r="P197" i="23"/>
  <c r="O197" i="23"/>
  <c r="N197" i="23"/>
  <c r="M197" i="23"/>
  <c r="L197" i="23"/>
  <c r="K197" i="23"/>
  <c r="J197" i="23"/>
  <c r="I197" i="23"/>
  <c r="H197" i="23"/>
  <c r="G197" i="23"/>
  <c r="AD194" i="23"/>
  <c r="AC194" i="23"/>
  <c r="AB194" i="23"/>
  <c r="AA194" i="23"/>
  <c r="Z194" i="23"/>
  <c r="Y194" i="23"/>
  <c r="X194" i="23"/>
  <c r="W194" i="23"/>
  <c r="V194" i="23"/>
  <c r="U194" i="23"/>
  <c r="T194" i="23"/>
  <c r="S194" i="23"/>
  <c r="R194" i="23"/>
  <c r="Q194" i="23"/>
  <c r="P194" i="23"/>
  <c r="O194" i="23"/>
  <c r="N194" i="23"/>
  <c r="M194" i="23"/>
  <c r="L194" i="23"/>
  <c r="K194" i="23"/>
  <c r="J194" i="23"/>
  <c r="I194" i="23"/>
  <c r="H194" i="23"/>
  <c r="G194" i="23"/>
  <c r="A192" i="23"/>
  <c r="AD191" i="23"/>
  <c r="AC191" i="23"/>
  <c r="AB191" i="23"/>
  <c r="AA191" i="23"/>
  <c r="Z191" i="23"/>
  <c r="Y191" i="23"/>
  <c r="X191" i="23"/>
  <c r="W191" i="23"/>
  <c r="V191" i="23"/>
  <c r="U191" i="23"/>
  <c r="T191" i="23"/>
  <c r="S191" i="23"/>
  <c r="R191" i="23"/>
  <c r="Q191" i="23"/>
  <c r="P191" i="23"/>
  <c r="O191" i="23"/>
  <c r="N191" i="23"/>
  <c r="M191" i="23"/>
  <c r="L191" i="23"/>
  <c r="K191" i="23"/>
  <c r="J191" i="23"/>
  <c r="I191" i="23"/>
  <c r="H191" i="23"/>
  <c r="G191" i="23"/>
  <c r="E186" i="23"/>
  <c r="E185" i="23"/>
  <c r="E184" i="23"/>
  <c r="E183" i="23"/>
  <c r="E182" i="23"/>
  <c r="E181" i="23"/>
  <c r="E180" i="23"/>
  <c r="E179" i="23"/>
  <c r="E178" i="23"/>
  <c r="E177" i="23"/>
  <c r="E176" i="23"/>
  <c r="E175" i="23"/>
  <c r="E174" i="23"/>
  <c r="E173" i="23"/>
  <c r="E172" i="23"/>
  <c r="AD171" i="23"/>
  <c r="AC171" i="23"/>
  <c r="AB171" i="23"/>
  <c r="AA171" i="23"/>
  <c r="Z171" i="23"/>
  <c r="Y171" i="23"/>
  <c r="X171" i="23"/>
  <c r="W171" i="23"/>
  <c r="V171" i="23"/>
  <c r="U171" i="23"/>
  <c r="T171" i="23"/>
  <c r="S171" i="23"/>
  <c r="R171" i="23"/>
  <c r="Q171" i="23"/>
  <c r="P171" i="23"/>
  <c r="O171" i="23"/>
  <c r="N171" i="23"/>
  <c r="M171" i="23"/>
  <c r="L171" i="23"/>
  <c r="K171" i="23"/>
  <c r="J171" i="23"/>
  <c r="I171" i="23"/>
  <c r="H171" i="23"/>
  <c r="G171" i="23"/>
  <c r="AD168" i="23"/>
  <c r="AC168" i="23"/>
  <c r="AB168" i="23"/>
  <c r="AA168" i="23"/>
  <c r="Z168" i="23"/>
  <c r="Y168" i="23"/>
  <c r="X168" i="23"/>
  <c r="W168" i="23"/>
  <c r="V168" i="23"/>
  <c r="U168" i="23"/>
  <c r="T168" i="23"/>
  <c r="S168" i="23"/>
  <c r="R168" i="23"/>
  <c r="Q168" i="23"/>
  <c r="P168" i="23"/>
  <c r="O168" i="23"/>
  <c r="N168" i="23"/>
  <c r="M168" i="23"/>
  <c r="L168" i="23"/>
  <c r="K168" i="23"/>
  <c r="J168" i="23"/>
  <c r="I168" i="23"/>
  <c r="H168" i="23"/>
  <c r="G168" i="23"/>
  <c r="A166" i="23"/>
  <c r="AD165" i="23"/>
  <c r="AC165" i="23"/>
  <c r="AB165" i="23"/>
  <c r="AA165" i="23"/>
  <c r="Z165" i="23"/>
  <c r="Y165" i="23"/>
  <c r="X165" i="23"/>
  <c r="W165" i="23"/>
  <c r="V165" i="23"/>
  <c r="U165" i="23"/>
  <c r="T165" i="23"/>
  <c r="S165" i="23"/>
  <c r="R165" i="23"/>
  <c r="Q165" i="23"/>
  <c r="P165" i="23"/>
  <c r="O165" i="23"/>
  <c r="N165" i="23"/>
  <c r="M165" i="23"/>
  <c r="L165" i="23"/>
  <c r="K165" i="23"/>
  <c r="J165" i="23"/>
  <c r="I165" i="23"/>
  <c r="H165" i="23"/>
  <c r="G165" i="23"/>
  <c r="AD153" i="23"/>
  <c r="AC153" i="23"/>
  <c r="AB153" i="23"/>
  <c r="AA153" i="23"/>
  <c r="Z153" i="23"/>
  <c r="Y153" i="23"/>
  <c r="X153" i="23"/>
  <c r="W153" i="23"/>
  <c r="V153" i="23"/>
  <c r="U153" i="23"/>
  <c r="T153" i="23"/>
  <c r="S153" i="23"/>
  <c r="R153" i="23"/>
  <c r="Q153" i="23"/>
  <c r="P153" i="23"/>
  <c r="O153" i="23"/>
  <c r="N153" i="23"/>
  <c r="M153" i="23"/>
  <c r="L153" i="23"/>
  <c r="K153" i="23"/>
  <c r="J153" i="23"/>
  <c r="I153" i="23"/>
  <c r="H153" i="23"/>
  <c r="G153" i="23"/>
  <c r="AD140" i="23"/>
  <c r="AC140" i="23"/>
  <c r="AB140" i="23"/>
  <c r="AA140" i="23"/>
  <c r="Z140" i="23"/>
  <c r="Y140" i="23"/>
  <c r="X140" i="23"/>
  <c r="W140" i="23"/>
  <c r="V140" i="23"/>
  <c r="U140" i="23"/>
  <c r="T140" i="23"/>
  <c r="S140" i="23"/>
  <c r="R140" i="23"/>
  <c r="Q140" i="23"/>
  <c r="P140" i="23"/>
  <c r="O140" i="23"/>
  <c r="N140" i="23"/>
  <c r="M140" i="23"/>
  <c r="L140" i="23"/>
  <c r="K140" i="23"/>
  <c r="J140" i="23"/>
  <c r="I140" i="23"/>
  <c r="H140" i="23"/>
  <c r="G140" i="23"/>
  <c r="AD137" i="23"/>
  <c r="AC137" i="23"/>
  <c r="AB137" i="23"/>
  <c r="AA137" i="23"/>
  <c r="Z137" i="23"/>
  <c r="Y137" i="23"/>
  <c r="X137" i="23"/>
  <c r="W137" i="23"/>
  <c r="V137" i="23"/>
  <c r="U137" i="23"/>
  <c r="T137" i="23"/>
  <c r="S137" i="23"/>
  <c r="R137" i="23"/>
  <c r="Q137" i="23"/>
  <c r="P137" i="23"/>
  <c r="O137" i="23"/>
  <c r="N137" i="23"/>
  <c r="M137" i="23"/>
  <c r="L137" i="23"/>
  <c r="K137" i="23"/>
  <c r="J137" i="23"/>
  <c r="I137" i="23"/>
  <c r="H137" i="23"/>
  <c r="AD134" i="23"/>
  <c r="AC134" i="23"/>
  <c r="AB134" i="23"/>
  <c r="AA134" i="23"/>
  <c r="Z134" i="23"/>
  <c r="Y134" i="23"/>
  <c r="X134" i="23"/>
  <c r="W134" i="23"/>
  <c r="V134" i="23"/>
  <c r="U134" i="23"/>
  <c r="T134" i="23"/>
  <c r="S134" i="23"/>
  <c r="R134" i="23"/>
  <c r="Q134" i="23"/>
  <c r="P134" i="23"/>
  <c r="O134" i="23"/>
  <c r="N134" i="23"/>
  <c r="M134" i="23"/>
  <c r="L134" i="23"/>
  <c r="K134" i="23"/>
  <c r="J134" i="23"/>
  <c r="I134" i="23"/>
  <c r="H134" i="23"/>
  <c r="G134" i="23"/>
  <c r="A132" i="23"/>
  <c r="AD131" i="23"/>
  <c r="AB131" i="23"/>
  <c r="AA131" i="23"/>
  <c r="Z131" i="23"/>
  <c r="Y131" i="23"/>
  <c r="X131" i="23"/>
  <c r="W131" i="23"/>
  <c r="V131" i="23"/>
  <c r="U131" i="23"/>
  <c r="T131" i="23"/>
  <c r="S131" i="23"/>
  <c r="R131" i="23"/>
  <c r="Q131" i="23"/>
  <c r="P131" i="23"/>
  <c r="O131" i="23"/>
  <c r="N131" i="23"/>
  <c r="M131" i="23"/>
  <c r="L131" i="23"/>
  <c r="K131" i="23"/>
  <c r="J131" i="23"/>
  <c r="I131" i="23"/>
  <c r="H131" i="23"/>
  <c r="G131" i="23"/>
  <c r="AD128" i="23"/>
  <c r="AC128" i="23"/>
  <c r="AB128" i="23"/>
  <c r="AA128" i="23"/>
  <c r="Z128" i="23"/>
  <c r="Y128" i="23"/>
  <c r="X128" i="23"/>
  <c r="W128" i="23"/>
  <c r="V128" i="23"/>
  <c r="U128" i="23"/>
  <c r="T128" i="23"/>
  <c r="S128" i="23"/>
  <c r="R128" i="23"/>
  <c r="Q128" i="23"/>
  <c r="P128" i="23"/>
  <c r="O128" i="23"/>
  <c r="N128" i="23"/>
  <c r="M128" i="23"/>
  <c r="L128" i="23"/>
  <c r="K128" i="23"/>
  <c r="J128" i="23"/>
  <c r="I128" i="23"/>
  <c r="H128" i="23"/>
  <c r="G128" i="23"/>
  <c r="AD124" i="23"/>
  <c r="AC124" i="23"/>
  <c r="AB124" i="23"/>
  <c r="AA124" i="23"/>
  <c r="Z124" i="23"/>
  <c r="Y124" i="23"/>
  <c r="X124" i="23"/>
  <c r="W124" i="23"/>
  <c r="V124" i="23"/>
  <c r="U124" i="23"/>
  <c r="T124" i="23"/>
  <c r="S124" i="23"/>
  <c r="R124" i="23"/>
  <c r="Q124" i="23"/>
  <c r="P124" i="23"/>
  <c r="O124" i="23"/>
  <c r="N124" i="23"/>
  <c r="M124" i="23"/>
  <c r="L124" i="23"/>
  <c r="K124" i="23"/>
  <c r="J124" i="23"/>
  <c r="I124" i="23"/>
  <c r="H124" i="23"/>
  <c r="G124" i="23"/>
  <c r="AD120" i="23"/>
  <c r="AC120" i="23"/>
  <c r="AB120" i="23"/>
  <c r="AA120" i="23"/>
  <c r="Z120" i="23"/>
  <c r="Y120" i="23"/>
  <c r="X120" i="23"/>
  <c r="W120" i="23"/>
  <c r="V120" i="23"/>
  <c r="U120" i="23"/>
  <c r="T120" i="23"/>
  <c r="S120" i="23"/>
  <c r="R120" i="23"/>
  <c r="Q120" i="23"/>
  <c r="P120" i="23"/>
  <c r="O120" i="23"/>
  <c r="N120" i="23"/>
  <c r="M120" i="23"/>
  <c r="L120" i="23"/>
  <c r="K120" i="23"/>
  <c r="J120" i="23"/>
  <c r="I120" i="23"/>
  <c r="H120" i="23"/>
  <c r="G120" i="23"/>
  <c r="AD117" i="23"/>
  <c r="AD116" i="23"/>
  <c r="AD115" i="23"/>
  <c r="AE115" i="23" s="1"/>
  <c r="AB115" i="23"/>
  <c r="AA115" i="23"/>
  <c r="Z115" i="23"/>
  <c r="Y115" i="23"/>
  <c r="X115" i="23"/>
  <c r="W115" i="23"/>
  <c r="V115" i="23"/>
  <c r="U115" i="23"/>
  <c r="T115" i="23"/>
  <c r="S115" i="23"/>
  <c r="R115" i="23"/>
  <c r="Q115" i="23"/>
  <c r="P115" i="23"/>
  <c r="O115" i="23"/>
  <c r="N115" i="23"/>
  <c r="M115" i="23"/>
  <c r="L115" i="23"/>
  <c r="K115" i="23"/>
  <c r="J115" i="23"/>
  <c r="I115" i="23"/>
  <c r="H115" i="23"/>
  <c r="G115" i="23"/>
  <c r="A112" i="23"/>
  <c r="A111" i="23"/>
  <c r="A110" i="23"/>
  <c r="AD109" i="23"/>
  <c r="AC109" i="23"/>
  <c r="AB109" i="23"/>
  <c r="AA109" i="23"/>
  <c r="Z109" i="23"/>
  <c r="Y109" i="23"/>
  <c r="X109" i="23"/>
  <c r="W109" i="23"/>
  <c r="V109" i="23"/>
  <c r="U109" i="23"/>
  <c r="T109" i="23"/>
  <c r="S109" i="23"/>
  <c r="R109" i="23"/>
  <c r="Q109" i="23"/>
  <c r="P109" i="23"/>
  <c r="O109" i="23"/>
  <c r="N109" i="23"/>
  <c r="M109" i="23"/>
  <c r="L109" i="23"/>
  <c r="K109" i="23"/>
  <c r="J109" i="23"/>
  <c r="I109" i="23"/>
  <c r="H109" i="23"/>
  <c r="G109" i="23"/>
  <c r="AD104" i="23"/>
  <c r="AC104" i="23"/>
  <c r="AB104" i="23"/>
  <c r="AA104" i="23"/>
  <c r="Z104" i="23"/>
  <c r="Y104" i="23"/>
  <c r="X104" i="23"/>
  <c r="W104" i="23"/>
  <c r="V104" i="23"/>
  <c r="U104" i="23"/>
  <c r="T104" i="23"/>
  <c r="S104" i="23"/>
  <c r="R104" i="23"/>
  <c r="Q104" i="23"/>
  <c r="P104" i="23"/>
  <c r="O104" i="23"/>
  <c r="N104" i="23"/>
  <c r="M104" i="23"/>
  <c r="L104" i="23"/>
  <c r="K104" i="23"/>
  <c r="J104" i="23"/>
  <c r="I104" i="23"/>
  <c r="H104" i="23"/>
  <c r="G104" i="23"/>
  <c r="A101" i="23"/>
  <c r="AD98" i="23"/>
  <c r="AC98" i="23"/>
  <c r="AB98" i="23"/>
  <c r="AA98" i="23"/>
  <c r="Z98" i="23"/>
  <c r="Y98" i="23"/>
  <c r="X98" i="23"/>
  <c r="W98" i="23"/>
  <c r="V98" i="23"/>
  <c r="U98" i="23"/>
  <c r="T98" i="23"/>
  <c r="S98" i="23"/>
  <c r="R98" i="23"/>
  <c r="Q98" i="23"/>
  <c r="P98" i="23"/>
  <c r="O98" i="23"/>
  <c r="N98" i="23"/>
  <c r="M98" i="23"/>
  <c r="L98" i="23"/>
  <c r="K98" i="23"/>
  <c r="J98" i="23"/>
  <c r="I98" i="23"/>
  <c r="H98" i="23"/>
  <c r="G98" i="23"/>
  <c r="AD95" i="23"/>
  <c r="AD94" i="23"/>
  <c r="AD93" i="23"/>
  <c r="AC93" i="23"/>
  <c r="AB93" i="23"/>
  <c r="AA93" i="23"/>
  <c r="Z93" i="23"/>
  <c r="Y93" i="23"/>
  <c r="X93" i="23"/>
  <c r="W93" i="23"/>
  <c r="V93" i="23"/>
  <c r="U93" i="23"/>
  <c r="T93" i="23"/>
  <c r="S93" i="23"/>
  <c r="R93" i="23"/>
  <c r="Q93" i="23"/>
  <c r="P93" i="23"/>
  <c r="O93" i="23"/>
  <c r="N93" i="23"/>
  <c r="M93" i="23"/>
  <c r="L93" i="23"/>
  <c r="K93" i="23"/>
  <c r="J93" i="23"/>
  <c r="I93" i="23"/>
  <c r="H93" i="23"/>
  <c r="G93" i="23"/>
  <c r="A90" i="23"/>
  <c r="A89" i="23"/>
  <c r="A88" i="23"/>
  <c r="AD87" i="23"/>
  <c r="AC87" i="23"/>
  <c r="AB87" i="23"/>
  <c r="AA87" i="23"/>
  <c r="Z87" i="23"/>
  <c r="Y87" i="23"/>
  <c r="X87" i="23"/>
  <c r="W87" i="23"/>
  <c r="V87" i="23"/>
  <c r="U87" i="23"/>
  <c r="T87" i="23"/>
  <c r="S87" i="23"/>
  <c r="R87" i="23"/>
  <c r="Q87" i="23"/>
  <c r="P87" i="23"/>
  <c r="O87" i="23"/>
  <c r="N87" i="23"/>
  <c r="M87" i="23"/>
  <c r="L87" i="23"/>
  <c r="K87" i="23"/>
  <c r="J87" i="23"/>
  <c r="I87" i="23"/>
  <c r="H87" i="23"/>
  <c r="G87" i="23"/>
  <c r="AD82" i="23"/>
  <c r="AC82" i="23"/>
  <c r="AB82" i="23"/>
  <c r="AA82" i="23"/>
  <c r="Z82" i="23"/>
  <c r="Y82" i="23"/>
  <c r="X82" i="23"/>
  <c r="W82" i="23"/>
  <c r="V82" i="23"/>
  <c r="U82" i="23"/>
  <c r="T82" i="23"/>
  <c r="S82" i="23"/>
  <c r="R82" i="23"/>
  <c r="Q82" i="23"/>
  <c r="P82" i="23"/>
  <c r="O82" i="23"/>
  <c r="N82" i="23"/>
  <c r="M82" i="23"/>
  <c r="L82" i="23"/>
  <c r="K82" i="23"/>
  <c r="J82" i="23"/>
  <c r="I82" i="23"/>
  <c r="H82" i="23"/>
  <c r="G82" i="23"/>
  <c r="A79" i="23"/>
  <c r="AD76" i="23"/>
  <c r="AC76" i="23"/>
  <c r="AB76" i="23"/>
  <c r="AA76" i="23"/>
  <c r="Z76" i="23"/>
  <c r="Y76" i="23"/>
  <c r="X76" i="23"/>
  <c r="W76" i="23"/>
  <c r="V76" i="23"/>
  <c r="U76" i="23"/>
  <c r="T76" i="23"/>
  <c r="S76" i="23"/>
  <c r="R76" i="23"/>
  <c r="Q76" i="23"/>
  <c r="P76" i="23"/>
  <c r="O76" i="23"/>
  <c r="N76" i="23"/>
  <c r="M76" i="23"/>
  <c r="L76" i="23"/>
  <c r="K76" i="23"/>
  <c r="J76" i="23"/>
  <c r="I76" i="23"/>
  <c r="H76" i="23"/>
  <c r="G76" i="23"/>
  <c r="AD74" i="23"/>
  <c r="AD73" i="23"/>
  <c r="AC73" i="23"/>
  <c r="AB73" i="23"/>
  <c r="AA73" i="23"/>
  <c r="Z73" i="23"/>
  <c r="Y73" i="23"/>
  <c r="X73" i="23"/>
  <c r="W73" i="23"/>
  <c r="V73" i="23"/>
  <c r="U73" i="23"/>
  <c r="T73" i="23"/>
  <c r="S73" i="23"/>
  <c r="R73" i="23"/>
  <c r="Q73" i="23"/>
  <c r="P73" i="23"/>
  <c r="O73" i="23"/>
  <c r="N73" i="23"/>
  <c r="M73" i="23"/>
  <c r="L73" i="23"/>
  <c r="K73" i="23"/>
  <c r="J73" i="23"/>
  <c r="I73" i="23"/>
  <c r="H73" i="23"/>
  <c r="G73" i="23"/>
  <c r="A71" i="23"/>
  <c r="AD70" i="23"/>
  <c r="AC70" i="23"/>
  <c r="AB70" i="23"/>
  <c r="AA70" i="23"/>
  <c r="Z70" i="23"/>
  <c r="Y70" i="23"/>
  <c r="X70" i="23"/>
  <c r="W70" i="23"/>
  <c r="V70" i="23"/>
  <c r="U70" i="23"/>
  <c r="T70" i="23"/>
  <c r="S70" i="23"/>
  <c r="R70" i="23"/>
  <c r="Q70" i="23"/>
  <c r="P70" i="23"/>
  <c r="O70" i="23"/>
  <c r="N70" i="23"/>
  <c r="M70" i="23"/>
  <c r="L70" i="23"/>
  <c r="K70" i="23"/>
  <c r="J70" i="23"/>
  <c r="I70" i="23"/>
  <c r="H70" i="23"/>
  <c r="G70" i="23"/>
  <c r="AD64" i="23"/>
  <c r="AC64" i="23"/>
  <c r="AB64" i="23"/>
  <c r="AA64" i="23"/>
  <c r="Z64" i="23"/>
  <c r="Y64" i="23"/>
  <c r="X64" i="23"/>
  <c r="W64" i="23"/>
  <c r="V64" i="23"/>
  <c r="U64" i="23"/>
  <c r="T64" i="23"/>
  <c r="S64" i="23"/>
  <c r="R64" i="23"/>
  <c r="Q64" i="23"/>
  <c r="P64" i="23"/>
  <c r="O64" i="23"/>
  <c r="N64" i="23"/>
  <c r="M64" i="23"/>
  <c r="L64" i="23"/>
  <c r="K64" i="23"/>
  <c r="J64" i="23"/>
  <c r="I64" i="23"/>
  <c r="H64" i="23"/>
  <c r="G64" i="23"/>
  <c r="A61" i="23"/>
  <c r="AD57" i="23"/>
  <c r="AC57" i="23"/>
  <c r="AB57" i="23"/>
  <c r="AA57" i="23"/>
  <c r="Z57" i="23"/>
  <c r="Y57" i="23"/>
  <c r="X57" i="23"/>
  <c r="W57" i="23"/>
  <c r="V57" i="23"/>
  <c r="U57" i="23"/>
  <c r="T57" i="23"/>
  <c r="S57" i="23"/>
  <c r="R57" i="23"/>
  <c r="Q57" i="23"/>
  <c r="P57" i="23"/>
  <c r="O57" i="23"/>
  <c r="N57" i="23"/>
  <c r="M57" i="23"/>
  <c r="L57" i="23"/>
  <c r="K57" i="23"/>
  <c r="J57" i="23"/>
  <c r="I57" i="23"/>
  <c r="H57" i="23"/>
  <c r="G57" i="23"/>
  <c r="AD54" i="23"/>
  <c r="DF85" i="17" s="1"/>
  <c r="AD52" i="23"/>
  <c r="DF81" i="17" s="1"/>
  <c r="AD51" i="23"/>
  <c r="AC51" i="23"/>
  <c r="AB51" i="23"/>
  <c r="AA51" i="23"/>
  <c r="Z51" i="23"/>
  <c r="Y51" i="23"/>
  <c r="X51" i="23"/>
  <c r="W51" i="23"/>
  <c r="V51" i="23"/>
  <c r="U51" i="23"/>
  <c r="T51" i="23"/>
  <c r="S51" i="23"/>
  <c r="R51" i="23"/>
  <c r="Q51" i="23"/>
  <c r="P51" i="23"/>
  <c r="O51" i="23"/>
  <c r="N51" i="23"/>
  <c r="M51" i="23"/>
  <c r="L51" i="23"/>
  <c r="K51" i="23"/>
  <c r="J51" i="23"/>
  <c r="I51" i="23"/>
  <c r="H51" i="23"/>
  <c r="G51" i="23"/>
  <c r="A47" i="23"/>
  <c r="AD44" i="23"/>
  <c r="AC44" i="23"/>
  <c r="AB44" i="23"/>
  <c r="AA44" i="23"/>
  <c r="Z44" i="23"/>
  <c r="Y44" i="23"/>
  <c r="X44" i="23"/>
  <c r="W44" i="23"/>
  <c r="V44" i="23"/>
  <c r="U44" i="23"/>
  <c r="T44" i="23"/>
  <c r="S44" i="23"/>
  <c r="R44" i="23"/>
  <c r="Q44" i="23"/>
  <c r="P44" i="23"/>
  <c r="O44" i="23"/>
  <c r="N44" i="23"/>
  <c r="M44" i="23"/>
  <c r="L44" i="23"/>
  <c r="K44" i="23"/>
  <c r="J44" i="23"/>
  <c r="I44" i="23"/>
  <c r="H44" i="23"/>
  <c r="G44" i="23"/>
  <c r="AD41" i="23"/>
  <c r="AD40" i="23"/>
  <c r="AD36" i="23"/>
  <c r="AD35" i="23"/>
  <c r="AC32" i="23"/>
  <c r="AD32" i="23" s="1"/>
  <c r="AE32" i="23" s="1"/>
  <c r="AA32" i="23"/>
  <c r="Z32" i="23"/>
  <c r="Y32" i="23"/>
  <c r="X32" i="23"/>
  <c r="W32" i="23"/>
  <c r="V32" i="23"/>
  <c r="U32" i="23"/>
  <c r="T32" i="23"/>
  <c r="S32" i="23"/>
  <c r="R32" i="23"/>
  <c r="Q32" i="23"/>
  <c r="P32" i="23"/>
  <c r="O32" i="23"/>
  <c r="N32" i="23"/>
  <c r="M32" i="23"/>
  <c r="L32" i="23"/>
  <c r="K32" i="23"/>
  <c r="J32" i="23"/>
  <c r="I32" i="23"/>
  <c r="H32" i="23"/>
  <c r="G32" i="23"/>
  <c r="A29" i="23"/>
  <c r="A28" i="23"/>
  <c r="A27" i="23"/>
  <c r="A23" i="23"/>
  <c r="A22" i="23"/>
  <c r="A21" i="23"/>
  <c r="AD18" i="23"/>
  <c r="AC18" i="23"/>
  <c r="AB18" i="23"/>
  <c r="AA18" i="23"/>
  <c r="Z18" i="23"/>
  <c r="Y18" i="23"/>
  <c r="X18" i="23"/>
  <c r="W18" i="23"/>
  <c r="V18" i="23"/>
  <c r="U18" i="23"/>
  <c r="T18" i="23"/>
  <c r="S18" i="23"/>
  <c r="R18" i="23"/>
  <c r="Q18" i="23"/>
  <c r="P18" i="23"/>
  <c r="O18" i="23"/>
  <c r="N18" i="23"/>
  <c r="M18" i="23"/>
  <c r="L18" i="23"/>
  <c r="K18" i="23"/>
  <c r="J18" i="23"/>
  <c r="I18" i="23"/>
  <c r="H18" i="23"/>
  <c r="G18" i="23"/>
  <c r="AD16" i="23"/>
  <c r="AD15" i="23"/>
  <c r="AC15" i="23"/>
  <c r="AB15" i="23"/>
  <c r="AA15" i="23"/>
  <c r="Z15" i="23"/>
  <c r="Y15" i="23"/>
  <c r="X15" i="23"/>
  <c r="W15" i="23"/>
  <c r="V15" i="23"/>
  <c r="U15" i="23"/>
  <c r="T15" i="23"/>
  <c r="S15" i="23"/>
  <c r="R15" i="23"/>
  <c r="Q15" i="23"/>
  <c r="P15" i="23"/>
  <c r="O15" i="23"/>
  <c r="N15" i="23"/>
  <c r="M15" i="23"/>
  <c r="L15" i="23"/>
  <c r="K15" i="23"/>
  <c r="J15" i="23"/>
  <c r="I15" i="23"/>
  <c r="H15" i="23"/>
  <c r="G15" i="23"/>
  <c r="A13" i="23"/>
  <c r="AD12" i="23"/>
  <c r="AC12" i="23"/>
  <c r="AB12" i="23"/>
  <c r="AA12" i="23"/>
  <c r="Z12" i="23"/>
  <c r="Y12" i="23"/>
  <c r="X12" i="23"/>
  <c r="W12" i="23"/>
  <c r="V12" i="23"/>
  <c r="U12" i="23"/>
  <c r="T12" i="23"/>
  <c r="S12" i="23"/>
  <c r="R12" i="23"/>
  <c r="Q12" i="23"/>
  <c r="P12" i="23"/>
  <c r="O12" i="23"/>
  <c r="N12" i="23"/>
  <c r="M12" i="23"/>
  <c r="L12" i="23"/>
  <c r="K12" i="23"/>
  <c r="J12" i="23"/>
  <c r="I12" i="23"/>
  <c r="H12" i="23"/>
  <c r="G12" i="23"/>
  <c r="AD10" i="23"/>
  <c r="AD9" i="23"/>
  <c r="AC9" i="23"/>
  <c r="AB9" i="23"/>
  <c r="AA9" i="23"/>
  <c r="Z9" i="23"/>
  <c r="Y9" i="23"/>
  <c r="X9" i="23"/>
  <c r="W9" i="23"/>
  <c r="V9" i="23"/>
  <c r="U9" i="23"/>
  <c r="T9" i="23"/>
  <c r="S9" i="23"/>
  <c r="R9" i="23"/>
  <c r="Q9" i="23"/>
  <c r="P9" i="23"/>
  <c r="O9" i="23"/>
  <c r="N9" i="23"/>
  <c r="M9" i="23"/>
  <c r="L9" i="23"/>
  <c r="K9" i="23"/>
  <c r="J9" i="23"/>
  <c r="I9" i="23"/>
  <c r="H9" i="23"/>
  <c r="G9" i="23"/>
  <c r="A7" i="23"/>
  <c r="AD6" i="23"/>
  <c r="AC6" i="23"/>
  <c r="AB6" i="23"/>
  <c r="AA6" i="23"/>
  <c r="Z6" i="23"/>
  <c r="Y6" i="23"/>
  <c r="X6" i="23"/>
  <c r="W6" i="23"/>
  <c r="V6" i="23"/>
  <c r="U6" i="23"/>
  <c r="T6" i="23"/>
  <c r="S6" i="23"/>
  <c r="R6" i="23"/>
  <c r="Q6" i="23"/>
  <c r="P6" i="23"/>
  <c r="O6" i="23"/>
  <c r="N6" i="23"/>
  <c r="M6" i="23"/>
  <c r="L6" i="23"/>
  <c r="K6" i="23"/>
  <c r="J6" i="23"/>
  <c r="I6" i="23"/>
  <c r="H6" i="23"/>
  <c r="G6" i="23"/>
  <c r="AA50" i="27"/>
  <c r="AA51" i="27" s="1"/>
  <c r="Z50" i="27"/>
  <c r="Z51" i="27" s="1"/>
  <c r="Y50" i="27"/>
  <c r="Y51" i="27" s="1"/>
  <c r="X50" i="27"/>
  <c r="X51" i="27" s="1"/>
  <c r="W50" i="27"/>
  <c r="W51" i="27" s="1"/>
  <c r="V50" i="27"/>
  <c r="V51" i="27" s="1"/>
  <c r="U50" i="27"/>
  <c r="U51" i="27" s="1"/>
  <c r="T50" i="27"/>
  <c r="T51" i="27" s="1"/>
  <c r="S50" i="27"/>
  <c r="S51" i="27" s="1"/>
  <c r="R50" i="27"/>
  <c r="R51" i="27" s="1"/>
  <c r="Q50" i="27"/>
  <c r="Q51" i="27" s="1"/>
  <c r="P50" i="27"/>
  <c r="P51" i="27" s="1"/>
  <c r="AO45" i="20" l="1"/>
  <c r="AR187" i="20"/>
  <c r="AR189" i="20"/>
  <c r="AR181" i="20"/>
  <c r="AN180" i="20"/>
  <c r="AM45" i="20"/>
  <c r="AN182" i="20"/>
  <c r="AR489" i="20"/>
  <c r="AO174" i="20"/>
  <c r="AS185" i="20"/>
  <c r="AO186" i="20"/>
  <c r="AS201" i="20"/>
  <c r="AO199" i="20"/>
  <c r="AO38" i="20"/>
  <c r="F46" i="7"/>
  <c r="F154" i="7"/>
  <c r="Z223" i="7"/>
  <c r="AM223" i="7" s="1"/>
  <c r="H7" i="7"/>
  <c r="F49" i="7"/>
  <c r="Y194" i="7"/>
  <c r="H274" i="7"/>
  <c r="I274" i="7" s="1"/>
  <c r="J274" i="7" s="1"/>
  <c r="K274" i="7" s="1"/>
  <c r="L274" i="7" s="1"/>
  <c r="M274" i="7" s="1"/>
  <c r="N274" i="7" s="1"/>
  <c r="O274" i="7" s="1"/>
  <c r="P274" i="7" s="1"/>
  <c r="Q274" i="7" s="1"/>
  <c r="R274" i="7" s="1"/>
  <c r="S274" i="7" s="1"/>
  <c r="T274" i="7" s="1"/>
  <c r="U274" i="7" s="1"/>
  <c r="V274" i="7" s="1"/>
  <c r="W274" i="7" s="1"/>
  <c r="X274" i="7" s="1"/>
  <c r="Y274" i="7" s="1"/>
  <c r="Z274" i="7" s="1"/>
  <c r="J744" i="7"/>
  <c r="N744" i="7"/>
  <c r="R744" i="7"/>
  <c r="V744" i="7"/>
  <c r="Z733" i="7"/>
  <c r="AM733" i="7" s="1"/>
  <c r="X223" i="7"/>
  <c r="AB223" i="7"/>
  <c r="X744" i="7"/>
  <c r="AM144" i="7"/>
  <c r="AA144" i="7"/>
  <c r="AB144" i="7" s="1"/>
  <c r="AC144" i="7" s="1"/>
  <c r="AD144" i="7" s="1"/>
  <c r="AE144" i="7" s="1"/>
  <c r="AM188" i="7"/>
  <c r="AA188" i="7"/>
  <c r="AB188" i="7" s="1"/>
  <c r="AC188" i="7" s="1"/>
  <c r="AD188" i="7" s="1"/>
  <c r="AE188" i="7" s="1"/>
  <c r="AM280" i="7"/>
  <c r="AA280" i="7"/>
  <c r="AB280" i="7" s="1"/>
  <c r="AC280" i="7" s="1"/>
  <c r="AD280" i="7" s="1"/>
  <c r="AE280" i="7" s="1"/>
  <c r="AA322" i="7"/>
  <c r="AB322" i="7" s="1"/>
  <c r="AC322" i="7" s="1"/>
  <c r="AD322" i="7" s="1"/>
  <c r="AE322" i="7" s="1"/>
  <c r="AM322" i="7"/>
  <c r="AA349" i="7"/>
  <c r="AB349" i="7" s="1"/>
  <c r="AC349" i="7" s="1"/>
  <c r="AD349" i="7" s="1"/>
  <c r="AE349" i="7" s="1"/>
  <c r="AM349" i="7"/>
  <c r="AM470" i="7"/>
  <c r="AA470" i="7"/>
  <c r="AB470" i="7" s="1"/>
  <c r="AC470" i="7" s="1"/>
  <c r="AD470" i="7" s="1"/>
  <c r="AE470" i="7" s="1"/>
  <c r="AM508" i="7"/>
  <c r="AA508" i="7"/>
  <c r="AB508" i="7" s="1"/>
  <c r="AC508" i="7" s="1"/>
  <c r="AD508" i="7" s="1"/>
  <c r="AE508" i="7" s="1"/>
  <c r="AM575" i="7"/>
  <c r="AA575" i="7"/>
  <c r="AB575" i="7" s="1"/>
  <c r="AC575" i="7" s="1"/>
  <c r="AD575" i="7" s="1"/>
  <c r="AE575" i="7" s="1"/>
  <c r="AM750" i="7"/>
  <c r="AA750" i="7"/>
  <c r="AB750" i="7" s="1"/>
  <c r="AC750" i="7" s="1"/>
  <c r="AD750" i="7" s="1"/>
  <c r="AE750" i="7" s="1"/>
  <c r="AA886" i="7"/>
  <c r="AB886" i="7" s="1"/>
  <c r="AC886" i="7" s="1"/>
  <c r="AD886" i="7" s="1"/>
  <c r="AE886" i="7" s="1"/>
  <c r="AM886" i="7"/>
  <c r="AA940" i="7"/>
  <c r="AB940" i="7" s="1"/>
  <c r="AC940" i="7" s="1"/>
  <c r="AD940" i="7" s="1"/>
  <c r="AE940" i="7" s="1"/>
  <c r="AM940" i="7"/>
  <c r="AM197" i="7"/>
  <c r="AA197" i="7"/>
  <c r="AB197" i="7" s="1"/>
  <c r="AC197" i="7" s="1"/>
  <c r="AD197" i="7" s="1"/>
  <c r="AE197" i="7" s="1"/>
  <c r="AA264" i="7"/>
  <c r="AB264" i="7" s="1"/>
  <c r="AC264" i="7" s="1"/>
  <c r="AD264" i="7" s="1"/>
  <c r="AE264" i="7" s="1"/>
  <c r="AM264" i="7"/>
  <c r="AA341" i="7"/>
  <c r="AB341" i="7" s="1"/>
  <c r="AC341" i="7" s="1"/>
  <c r="AD341" i="7" s="1"/>
  <c r="AE341" i="7" s="1"/>
  <c r="AM341" i="7"/>
  <c r="AM532" i="7"/>
  <c r="AA532" i="7"/>
  <c r="AB532" i="7" s="1"/>
  <c r="AC532" i="7" s="1"/>
  <c r="AD532" i="7" s="1"/>
  <c r="AE532" i="7" s="1"/>
  <c r="AM628" i="7"/>
  <c r="AA628" i="7"/>
  <c r="AB628" i="7" s="1"/>
  <c r="AC628" i="7" s="1"/>
  <c r="AD628" i="7" s="1"/>
  <c r="AE628" i="7" s="1"/>
  <c r="AM634" i="7"/>
  <c r="AA634" i="7"/>
  <c r="AB634" i="7" s="1"/>
  <c r="AC634" i="7" s="1"/>
  <c r="AD634" i="7" s="1"/>
  <c r="AE634" i="7" s="1"/>
  <c r="AA716" i="7"/>
  <c r="AB716" i="7" s="1"/>
  <c r="AC716" i="7" s="1"/>
  <c r="AD716" i="7" s="1"/>
  <c r="AE716" i="7" s="1"/>
  <c r="AM716" i="7"/>
  <c r="AM800" i="7"/>
  <c r="AA800" i="7"/>
  <c r="AB800" i="7" s="1"/>
  <c r="AC800" i="7" s="1"/>
  <c r="AD800" i="7" s="1"/>
  <c r="AE800" i="7" s="1"/>
  <c r="AM856" i="7"/>
  <c r="AA856" i="7"/>
  <c r="AB856" i="7" s="1"/>
  <c r="AC856" i="7" s="1"/>
  <c r="AD856" i="7" s="1"/>
  <c r="AE856" i="7" s="1"/>
  <c r="AM895" i="7"/>
  <c r="AA895" i="7"/>
  <c r="AB895" i="7" s="1"/>
  <c r="AC895" i="7" s="1"/>
  <c r="AD895" i="7" s="1"/>
  <c r="AE895" i="7" s="1"/>
  <c r="AA1024" i="7"/>
  <c r="AB1024" i="7" s="1"/>
  <c r="AC1024" i="7" s="1"/>
  <c r="AD1024" i="7" s="1"/>
  <c r="AE1024" i="7" s="1"/>
  <c r="AM1024" i="7"/>
  <c r="AA208" i="7"/>
  <c r="AB208" i="7" s="1"/>
  <c r="AC208" i="7" s="1"/>
  <c r="AD208" i="7" s="1"/>
  <c r="AE208" i="7" s="1"/>
  <c r="AM208" i="7"/>
  <c r="AM217" i="7"/>
  <c r="AA217" i="7"/>
  <c r="AB217" i="7" s="1"/>
  <c r="AC217" i="7" s="1"/>
  <c r="AD217" i="7" s="1"/>
  <c r="AE217" i="7" s="1"/>
  <c r="AA295" i="7"/>
  <c r="AB295" i="7" s="1"/>
  <c r="AC295" i="7" s="1"/>
  <c r="AD295" i="7" s="1"/>
  <c r="AE295" i="7" s="1"/>
  <c r="AM295" i="7"/>
  <c r="AA334" i="7"/>
  <c r="AB334" i="7" s="1"/>
  <c r="AC334" i="7" s="1"/>
  <c r="AD334" i="7" s="1"/>
  <c r="AE334" i="7" s="1"/>
  <c r="AM334" i="7"/>
  <c r="AM482" i="7"/>
  <c r="AA482" i="7"/>
  <c r="AB482" i="7" s="1"/>
  <c r="AC482" i="7" s="1"/>
  <c r="AD482" i="7" s="1"/>
  <c r="AE482" i="7" s="1"/>
  <c r="AM517" i="7"/>
  <c r="AA517" i="7"/>
  <c r="AB517" i="7" s="1"/>
  <c r="AC517" i="7" s="1"/>
  <c r="AD517" i="7" s="1"/>
  <c r="AE517" i="7" s="1"/>
  <c r="AM525" i="7"/>
  <c r="AA525" i="7"/>
  <c r="AB525" i="7" s="1"/>
  <c r="AC525" i="7" s="1"/>
  <c r="AD525" i="7" s="1"/>
  <c r="AE525" i="7" s="1"/>
  <c r="AM554" i="7"/>
  <c r="AA554" i="7"/>
  <c r="AB554" i="7" s="1"/>
  <c r="AC554" i="7" s="1"/>
  <c r="AD554" i="7" s="1"/>
  <c r="AE554" i="7" s="1"/>
  <c r="AM609" i="7"/>
  <c r="AA609" i="7"/>
  <c r="AB609" i="7" s="1"/>
  <c r="AC609" i="7" s="1"/>
  <c r="AD609" i="7" s="1"/>
  <c r="AE609" i="7" s="1"/>
  <c r="AM622" i="7"/>
  <c r="AA622" i="7"/>
  <c r="AB622" i="7" s="1"/>
  <c r="AC622" i="7" s="1"/>
  <c r="AD622" i="7" s="1"/>
  <c r="AE622" i="7" s="1"/>
  <c r="AA643" i="7"/>
  <c r="AB643" i="7" s="1"/>
  <c r="AC643" i="7" s="1"/>
  <c r="AD643" i="7" s="1"/>
  <c r="AE643" i="7" s="1"/>
  <c r="AM643" i="7"/>
  <c r="AM665" i="7"/>
  <c r="AA665" i="7"/>
  <c r="AB665" i="7" s="1"/>
  <c r="AC665" i="7" s="1"/>
  <c r="AD665" i="7" s="1"/>
  <c r="AE665" i="7" s="1"/>
  <c r="AA677" i="7"/>
  <c r="AB677" i="7" s="1"/>
  <c r="AC677" i="7" s="1"/>
  <c r="AD677" i="7" s="1"/>
  <c r="AE677" i="7" s="1"/>
  <c r="AM677" i="7"/>
  <c r="AM728" i="7"/>
  <c r="AA728" i="7"/>
  <c r="AB728" i="7" s="1"/>
  <c r="AC728" i="7" s="1"/>
  <c r="AD728" i="7" s="1"/>
  <c r="AE728" i="7" s="1"/>
  <c r="AM787" i="7"/>
  <c r="AA787" i="7"/>
  <c r="AB787" i="7" s="1"/>
  <c r="AC787" i="7" s="1"/>
  <c r="AD787" i="7" s="1"/>
  <c r="AE787" i="7" s="1"/>
  <c r="AA962" i="7"/>
  <c r="AB962" i="7" s="1"/>
  <c r="AC962" i="7" s="1"/>
  <c r="AD962" i="7" s="1"/>
  <c r="AE962" i="7" s="1"/>
  <c r="AM962" i="7"/>
  <c r="AA268" i="7"/>
  <c r="AB268" i="7" s="1"/>
  <c r="AC268" i="7" s="1"/>
  <c r="AD268" i="7" s="1"/>
  <c r="AE268" i="7" s="1"/>
  <c r="AM268" i="7"/>
  <c r="AM540" i="7"/>
  <c r="AA540" i="7"/>
  <c r="AB540" i="7" s="1"/>
  <c r="AC540" i="7" s="1"/>
  <c r="AD540" i="7" s="1"/>
  <c r="AE540" i="7" s="1"/>
  <c r="AA687" i="7"/>
  <c r="AB687" i="7" s="1"/>
  <c r="AC687" i="7" s="1"/>
  <c r="AD687" i="7" s="1"/>
  <c r="AE687" i="7" s="1"/>
  <c r="AM687" i="7"/>
  <c r="AM862" i="7"/>
  <c r="AA862" i="7"/>
  <c r="AB862" i="7" s="1"/>
  <c r="AC862" i="7" s="1"/>
  <c r="AD862" i="7" s="1"/>
  <c r="AE862" i="7" s="1"/>
  <c r="AM871" i="7"/>
  <c r="AA871" i="7"/>
  <c r="AB871" i="7" s="1"/>
  <c r="AC871" i="7" s="1"/>
  <c r="AD871" i="7" s="1"/>
  <c r="AE871" i="7" s="1"/>
  <c r="AA911" i="7"/>
  <c r="AB911" i="7" s="1"/>
  <c r="AC911" i="7" s="1"/>
  <c r="AD911" i="7" s="1"/>
  <c r="AE911" i="7" s="1"/>
  <c r="AM911" i="7"/>
  <c r="AA932" i="7"/>
  <c r="AB932" i="7" s="1"/>
  <c r="AC932" i="7" s="1"/>
  <c r="AD932" i="7" s="1"/>
  <c r="AE932" i="7" s="1"/>
  <c r="AM932" i="7"/>
  <c r="AA946" i="7"/>
  <c r="AB946" i="7" s="1"/>
  <c r="AC946" i="7" s="1"/>
  <c r="AD946" i="7" s="1"/>
  <c r="AE946" i="7" s="1"/>
  <c r="AM946" i="7"/>
  <c r="F153" i="7"/>
  <c r="F36" i="7"/>
  <c r="F45" i="7"/>
  <c r="F1042" i="7"/>
  <c r="F158" i="7"/>
  <c r="F50" i="7"/>
  <c r="AA182" i="7"/>
  <c r="AB182" i="7" s="1"/>
  <c r="AC182" i="7" s="1"/>
  <c r="AD182" i="7" s="1"/>
  <c r="AE182" i="7" s="1"/>
  <c r="AM182" i="7"/>
  <c r="AA246" i="7"/>
  <c r="AB246" i="7" s="1"/>
  <c r="AC246" i="7" s="1"/>
  <c r="AD246" i="7" s="1"/>
  <c r="AE246" i="7" s="1"/>
  <c r="AM246" i="7"/>
  <c r="AM274" i="7"/>
  <c r="AA274" i="7"/>
  <c r="AB274" i="7" s="1"/>
  <c r="AC274" i="7" s="1"/>
  <c r="AD274" i="7" s="1"/>
  <c r="AE274" i="7" s="1"/>
  <c r="AM286" i="7"/>
  <c r="AA286" i="7"/>
  <c r="AB286" i="7" s="1"/>
  <c r="AC286" i="7" s="1"/>
  <c r="AD286" i="7" s="1"/>
  <c r="AE286" i="7" s="1"/>
  <c r="AM587" i="7"/>
  <c r="AA587" i="7"/>
  <c r="AB587" i="7" s="1"/>
  <c r="AC587" i="7" s="1"/>
  <c r="AD587" i="7" s="1"/>
  <c r="AE587" i="7" s="1"/>
  <c r="AA649" i="7"/>
  <c r="AB649" i="7" s="1"/>
  <c r="AC649" i="7" s="1"/>
  <c r="AD649" i="7" s="1"/>
  <c r="AE649" i="7" s="1"/>
  <c r="AM649" i="7"/>
  <c r="AM740" i="7"/>
  <c r="AA740" i="7"/>
  <c r="AB740" i="7" s="1"/>
  <c r="AC740" i="7" s="1"/>
  <c r="AD740" i="7" s="1"/>
  <c r="AE740" i="7" s="1"/>
  <c r="AM849" i="7"/>
  <c r="AA849" i="7"/>
  <c r="AB849" i="7" s="1"/>
  <c r="AC849" i="7" s="1"/>
  <c r="AD849" i="7" s="1"/>
  <c r="AE849" i="7" s="1"/>
  <c r="AM880" i="7"/>
  <c r="AA880" i="7"/>
  <c r="AB880" i="7" s="1"/>
  <c r="AC880" i="7" s="1"/>
  <c r="AD880" i="7" s="1"/>
  <c r="AE880" i="7" s="1"/>
  <c r="AM922" i="7"/>
  <c r="AA922" i="7"/>
  <c r="AB922" i="7" s="1"/>
  <c r="AC922" i="7" s="1"/>
  <c r="AD922" i="7" s="1"/>
  <c r="AE922" i="7" s="1"/>
  <c r="F47" i="7"/>
  <c r="F155" i="7"/>
  <c r="F38" i="7"/>
  <c r="F1043" i="7"/>
  <c r="F40" i="7"/>
  <c r="AA226" i="7"/>
  <c r="AB226" i="7" s="1"/>
  <c r="AC226" i="7" s="1"/>
  <c r="AD226" i="7" s="1"/>
  <c r="AE226" i="7" s="1"/>
  <c r="AM226" i="7"/>
  <c r="AA238" i="7"/>
  <c r="AB238" i="7" s="1"/>
  <c r="AC238" i="7" s="1"/>
  <c r="AD238" i="7" s="1"/>
  <c r="AE238" i="7" s="1"/>
  <c r="AM238" i="7"/>
  <c r="AM259" i="7"/>
  <c r="AA259" i="7"/>
  <c r="AB259" i="7" s="1"/>
  <c r="AC259" i="7" s="1"/>
  <c r="AD259" i="7" s="1"/>
  <c r="AE259" i="7" s="1"/>
  <c r="AA329" i="7"/>
  <c r="AB329" i="7" s="1"/>
  <c r="AC329" i="7" s="1"/>
  <c r="AD329" i="7" s="1"/>
  <c r="AE329" i="7" s="1"/>
  <c r="AM329" i="7"/>
  <c r="AM357" i="7"/>
  <c r="AA357" i="7"/>
  <c r="AB357" i="7" s="1"/>
  <c r="AC357" i="7" s="1"/>
  <c r="AD357" i="7" s="1"/>
  <c r="AE357" i="7" s="1"/>
  <c r="AM493" i="7"/>
  <c r="AA493" i="7"/>
  <c r="AB493" i="7" s="1"/>
  <c r="AC493" i="7" s="1"/>
  <c r="AD493" i="7" s="1"/>
  <c r="AE493" i="7" s="1"/>
  <c r="AA498" i="7"/>
  <c r="AB498" i="7" s="1"/>
  <c r="AC498" i="7" s="1"/>
  <c r="AD498" i="7" s="1"/>
  <c r="AE498" i="7" s="1"/>
  <c r="AM498" i="7"/>
  <c r="AM599" i="7"/>
  <c r="AA599" i="7"/>
  <c r="AB599" i="7" s="1"/>
  <c r="AC599" i="7" s="1"/>
  <c r="AD599" i="7" s="1"/>
  <c r="AE599" i="7" s="1"/>
  <c r="AA655" i="7"/>
  <c r="AB655" i="7" s="1"/>
  <c r="AC655" i="7" s="1"/>
  <c r="AD655" i="7" s="1"/>
  <c r="AE655" i="7" s="1"/>
  <c r="AM655" i="7"/>
  <c r="AA671" i="7"/>
  <c r="AB671" i="7" s="1"/>
  <c r="AC671" i="7" s="1"/>
  <c r="AD671" i="7" s="1"/>
  <c r="AE671" i="7" s="1"/>
  <c r="AM671" i="7"/>
  <c r="AM703" i="7"/>
  <c r="AA703" i="7"/>
  <c r="AB703" i="7" s="1"/>
  <c r="AC703" i="7" s="1"/>
  <c r="AD703" i="7" s="1"/>
  <c r="AE703" i="7" s="1"/>
  <c r="AM763" i="7"/>
  <c r="AA763" i="7"/>
  <c r="AB763" i="7" s="1"/>
  <c r="AC763" i="7" s="1"/>
  <c r="AD763" i="7" s="1"/>
  <c r="AE763" i="7" s="1"/>
  <c r="AA769" i="7"/>
  <c r="AB769" i="7" s="1"/>
  <c r="AC769" i="7" s="1"/>
  <c r="AD769" i="7" s="1"/>
  <c r="AE769" i="7" s="1"/>
  <c r="AM769" i="7"/>
  <c r="AM775" i="7"/>
  <c r="AA775" i="7"/>
  <c r="AB775" i="7" s="1"/>
  <c r="AC775" i="7" s="1"/>
  <c r="AD775" i="7" s="1"/>
  <c r="AE775" i="7" s="1"/>
  <c r="AA781" i="7"/>
  <c r="AB781" i="7" s="1"/>
  <c r="AC781" i="7" s="1"/>
  <c r="AD781" i="7" s="1"/>
  <c r="AE781" i="7" s="1"/>
  <c r="AM781" i="7"/>
  <c r="AM812" i="7"/>
  <c r="AA812" i="7"/>
  <c r="AB812" i="7" s="1"/>
  <c r="AC812" i="7" s="1"/>
  <c r="AD812" i="7" s="1"/>
  <c r="AE812" i="7" s="1"/>
  <c r="AA840" i="7"/>
  <c r="AB840" i="7" s="1"/>
  <c r="AC840" i="7" s="1"/>
  <c r="AD840" i="7" s="1"/>
  <c r="AE840" i="7" s="1"/>
  <c r="AM840" i="7"/>
  <c r="AM955" i="7"/>
  <c r="AA955" i="7"/>
  <c r="AB955" i="7" s="1"/>
  <c r="AC955" i="7" s="1"/>
  <c r="AD955" i="7" s="1"/>
  <c r="AE955" i="7" s="1"/>
  <c r="AM973" i="7"/>
  <c r="AA973" i="7"/>
  <c r="AB973" i="7" s="1"/>
  <c r="AC973" i="7" s="1"/>
  <c r="AD973" i="7" s="1"/>
  <c r="AE973" i="7" s="1"/>
  <c r="H744" i="7"/>
  <c r="I744" i="7"/>
  <c r="L744" i="7"/>
  <c r="M744" i="7"/>
  <c r="P744" i="7"/>
  <c r="Q744" i="7"/>
  <c r="T744" i="7"/>
  <c r="U744" i="7"/>
  <c r="W744" i="7"/>
  <c r="I747" i="7"/>
  <c r="Y747" i="7"/>
  <c r="AM988" i="7"/>
  <c r="AA988" i="7"/>
  <c r="AB988" i="7" s="1"/>
  <c r="AC988" i="7" s="1"/>
  <c r="AD988" i="7" s="1"/>
  <c r="AE988" i="7" s="1"/>
  <c r="AA1041" i="7"/>
  <c r="AB1041" i="7" s="1"/>
  <c r="AC1041" i="7" s="1"/>
  <c r="AD1041" i="7" s="1"/>
  <c r="AE1041" i="7" s="1"/>
  <c r="AM1041" i="7"/>
  <c r="AD223" i="7"/>
  <c r="Z561" i="7"/>
  <c r="AM561" i="7" s="1"/>
  <c r="AM558" i="7"/>
  <c r="K744" i="7"/>
  <c r="M747" i="7"/>
  <c r="AA733" i="7"/>
  <c r="J747" i="7"/>
  <c r="K747" i="7"/>
  <c r="R747" i="7"/>
  <c r="S747" i="7"/>
  <c r="AM1029" i="7"/>
  <c r="AA1029" i="7"/>
  <c r="AB1029" i="7" s="1"/>
  <c r="AC1029" i="7" s="1"/>
  <c r="AD1029" i="7" s="1"/>
  <c r="AE1029" i="7" s="1"/>
  <c r="N747" i="7"/>
  <c r="O747" i="7"/>
  <c r="V747" i="7"/>
  <c r="W747" i="7"/>
  <c r="O744" i="7"/>
  <c r="AM900" i="7"/>
  <c r="AA900" i="7"/>
  <c r="AB900" i="7" s="1"/>
  <c r="AC900" i="7" s="1"/>
  <c r="AD900" i="7" s="1"/>
  <c r="AE900" i="7" s="1"/>
  <c r="AM983" i="7"/>
  <c r="AA983" i="7"/>
  <c r="AB983" i="7" s="1"/>
  <c r="AC983" i="7" s="1"/>
  <c r="AD983" i="7" s="1"/>
  <c r="AE983" i="7" s="1"/>
  <c r="AA1006" i="7"/>
  <c r="AB1006" i="7" s="1"/>
  <c r="AC1006" i="7" s="1"/>
  <c r="AD1006" i="7" s="1"/>
  <c r="AE1006" i="7" s="1"/>
  <c r="AM1006" i="7"/>
  <c r="H254" i="7"/>
  <c r="I254" i="7" s="1"/>
  <c r="J254" i="7" s="1"/>
  <c r="K254" i="7" s="1"/>
  <c r="L254" i="7" s="1"/>
  <c r="M254" i="7" s="1"/>
  <c r="N254" i="7" s="1"/>
  <c r="O254" i="7" s="1"/>
  <c r="P254" i="7" s="1"/>
  <c r="Q254" i="7" s="1"/>
  <c r="R254" i="7" s="1"/>
  <c r="S254" i="7" s="1"/>
  <c r="T254" i="7" s="1"/>
  <c r="U254" i="7" s="1"/>
  <c r="V254" i="7" s="1"/>
  <c r="W254" i="7" s="1"/>
  <c r="X254" i="7" s="1"/>
  <c r="Y254" i="7" s="1"/>
  <c r="Z254" i="7" s="1"/>
  <c r="S744" i="7"/>
  <c r="U747" i="7"/>
  <c r="AA905" i="7"/>
  <c r="AB905" i="7" s="1"/>
  <c r="AC905" i="7" s="1"/>
  <c r="AD905" i="7" s="1"/>
  <c r="AE905" i="7" s="1"/>
  <c r="AM992" i="7"/>
  <c r="AM1019" i="7"/>
  <c r="AA1019" i="7"/>
  <c r="AB1019" i="7" s="1"/>
  <c r="AC1019" i="7" s="1"/>
  <c r="AD1019" i="7" s="1"/>
  <c r="AE1019" i="7" s="1"/>
  <c r="G834" i="7"/>
  <c r="H834" i="7" s="1"/>
  <c r="I834" i="7" s="1"/>
  <c r="J834" i="7" s="1"/>
  <c r="K834" i="7" s="1"/>
  <c r="L834" i="7" s="1"/>
  <c r="M834" i="7" s="1"/>
  <c r="N834" i="7" s="1"/>
  <c r="O834" i="7" s="1"/>
  <c r="P834" i="7" s="1"/>
  <c r="Q834" i="7" s="1"/>
  <c r="R834" i="7" s="1"/>
  <c r="S834" i="7" s="1"/>
  <c r="T834" i="7" s="1"/>
  <c r="U834" i="7" s="1"/>
  <c r="V834" i="7" s="1"/>
  <c r="W834" i="7" s="1"/>
  <c r="X834" i="7" s="1"/>
  <c r="Y834" i="7" s="1"/>
  <c r="Z834" i="7" s="1"/>
  <c r="H827" i="7"/>
  <c r="I827" i="7" s="1"/>
  <c r="J827" i="7" s="1"/>
  <c r="K827" i="7" s="1"/>
  <c r="L827" i="7" s="1"/>
  <c r="M827" i="7" s="1"/>
  <c r="N827" i="7" s="1"/>
  <c r="O827" i="7" s="1"/>
  <c r="P827" i="7" s="1"/>
  <c r="Q827" i="7" s="1"/>
  <c r="R827" i="7" s="1"/>
  <c r="S827" i="7" s="1"/>
  <c r="T827" i="7" s="1"/>
  <c r="U827" i="7" s="1"/>
  <c r="V827" i="7" s="1"/>
  <c r="W827" i="7" s="1"/>
  <c r="X827" i="7" s="1"/>
  <c r="Y827" i="7" s="1"/>
  <c r="Z827" i="7" s="1"/>
  <c r="X454" i="20"/>
  <c r="X460" i="20"/>
  <c r="W77" i="20"/>
  <c r="C302" i="2"/>
  <c r="E302" i="2"/>
  <c r="F302" i="2" s="1"/>
  <c r="G302" i="2" s="1"/>
  <c r="AT280" i="2"/>
  <c r="C300" i="2"/>
  <c r="E300" i="2"/>
  <c r="F300" i="2" s="1"/>
  <c r="G300" i="2" s="1"/>
  <c r="AO43" i="20"/>
  <c r="AR420" i="20"/>
  <c r="AB406" i="7"/>
  <c r="AB408" i="7" s="1"/>
  <c r="AC410" i="7" s="1"/>
  <c r="AC416" i="7" s="1"/>
  <c r="AM418" i="7"/>
  <c r="AA418" i="7"/>
  <c r="AB418" i="7" s="1"/>
  <c r="AC418" i="7" s="1"/>
  <c r="AD418" i="7" s="1"/>
  <c r="AE418" i="7" s="1"/>
  <c r="AA363" i="7"/>
  <c r="AB363" i="7" s="1"/>
  <c r="AC363" i="7" s="1"/>
  <c r="AD363" i="7" s="1"/>
  <c r="AE363" i="7" s="1"/>
  <c r="AM363" i="7"/>
  <c r="AQ174" i="20"/>
  <c r="AU175" i="20"/>
  <c r="AQ176" i="20"/>
  <c r="AT504" i="20"/>
  <c r="AQ186" i="20"/>
  <c r="AO196" i="20"/>
  <c r="AN242" i="20"/>
  <c r="AP38" i="20"/>
  <c r="AO194" i="20"/>
  <c r="AT303" i="20"/>
  <c r="AP307" i="20"/>
  <c r="AO339" i="20"/>
  <c r="AU345" i="20"/>
  <c r="AQ407" i="20"/>
  <c r="AO423" i="20"/>
  <c r="AO425" i="20"/>
  <c r="AO430" i="20"/>
  <c r="AS488" i="20"/>
  <c r="AS484" i="20"/>
  <c r="AO485" i="20"/>
  <c r="AO546" i="20"/>
  <c r="AO545" i="20"/>
  <c r="AU187" i="20"/>
  <c r="AR540" i="20"/>
  <c r="AN304" i="20"/>
  <c r="AP196" i="20"/>
  <c r="AT346" i="20"/>
  <c r="AP176" i="20"/>
  <c r="AS419" i="20"/>
  <c r="AP483" i="20"/>
  <c r="AT201" i="20"/>
  <c r="AS423" i="20"/>
  <c r="AS504" i="20"/>
  <c r="AS174" i="20"/>
  <c r="AQ491" i="20"/>
  <c r="AU429" i="20"/>
  <c r="AS491" i="20"/>
  <c r="AO490" i="20"/>
  <c r="AM34" i="20"/>
  <c r="AP186" i="20"/>
  <c r="AN191" i="20"/>
  <c r="AT304" i="20"/>
  <c r="AT489" i="20"/>
  <c r="AS506" i="20"/>
  <c r="AM544" i="20"/>
  <c r="AU422" i="20"/>
  <c r="AU424" i="20"/>
  <c r="AU180" i="20"/>
  <c r="AM38" i="20"/>
  <c r="AP303" i="20"/>
  <c r="AR307" i="20"/>
  <c r="AU381" i="20"/>
  <c r="AD320" i="2"/>
  <c r="AP308" i="20"/>
  <c r="AR340" i="20"/>
  <c r="AS351" i="20"/>
  <c r="AQ410" i="20"/>
  <c r="AU414" i="20"/>
  <c r="T4" i="20"/>
  <c r="W535" i="20" s="1"/>
  <c r="AN37" i="20"/>
  <c r="AT175" i="20"/>
  <c r="AT185" i="20"/>
  <c r="AU201" i="20"/>
  <c r="AP282" i="20"/>
  <c r="AQ425" i="20"/>
  <c r="AR483" i="20"/>
  <c r="AN490" i="20"/>
  <c r="AO507" i="20"/>
  <c r="AO509" i="20"/>
  <c r="AP174" i="20"/>
  <c r="AS176" i="20"/>
  <c r="AT181" i="20"/>
  <c r="AN183" i="20"/>
  <c r="AU185" i="20"/>
  <c r="AT189" i="20"/>
  <c r="AQ197" i="20"/>
  <c r="AO201" i="20"/>
  <c r="AQ281" i="20"/>
  <c r="AS303" i="20"/>
  <c r="AO307" i="20"/>
  <c r="AT342" i="20"/>
  <c r="AT345" i="20"/>
  <c r="AQ380" i="20"/>
  <c r="AT424" i="20"/>
  <c r="AQ430" i="20"/>
  <c r="AS483" i="20"/>
  <c r="AP507" i="20"/>
  <c r="AP75" i="20"/>
  <c r="AP64" i="20"/>
  <c r="Y64" i="20" s="1"/>
  <c r="AU183" i="20"/>
  <c r="AT178" i="20"/>
  <c r="AP188" i="20"/>
  <c r="AU186" i="20"/>
  <c r="AQ200" i="20"/>
  <c r="AP37" i="20"/>
  <c r="AN38" i="20"/>
  <c r="AP283" i="20"/>
  <c r="AS312" i="20"/>
  <c r="AQ308" i="20"/>
  <c r="AO375" i="20"/>
  <c r="AS386" i="20"/>
  <c r="AO41" i="20"/>
  <c r="AP45" i="20"/>
  <c r="AP182" i="20"/>
  <c r="AP281" i="20"/>
  <c r="AO305" i="20"/>
  <c r="AN382" i="20"/>
  <c r="AU377" i="20"/>
  <c r="AQ382" i="20"/>
  <c r="AU181" i="20"/>
  <c r="AP190" i="20"/>
  <c r="AR198" i="20"/>
  <c r="AN303" i="20"/>
  <c r="AU409" i="20"/>
  <c r="AQ423" i="20"/>
  <c r="AS503" i="20"/>
  <c r="AT503" i="20"/>
  <c r="AT340" i="20"/>
  <c r="AO341" i="20"/>
  <c r="AO378" i="20"/>
  <c r="AO380" i="20"/>
  <c r="AO386" i="20"/>
  <c r="AO309" i="20"/>
  <c r="AO469" i="20"/>
  <c r="AU419" i="20"/>
  <c r="AO429" i="20"/>
  <c r="AM43" i="20"/>
  <c r="AR508" i="20"/>
  <c r="AA508" i="20" s="1"/>
  <c r="AU192" i="20"/>
  <c r="AM40" i="20"/>
  <c r="AM541" i="20"/>
  <c r="AR547" i="20"/>
  <c r="AP77" i="20"/>
  <c r="AR64" i="20"/>
  <c r="AA64" i="20" s="1"/>
  <c r="AQ175" i="20"/>
  <c r="AP311" i="20"/>
  <c r="AS338" i="20"/>
  <c r="AN344" i="20"/>
  <c r="AO342" i="20"/>
  <c r="AO345" i="20"/>
  <c r="AS348" i="20"/>
  <c r="AO377" i="20"/>
  <c r="AS380" i="20"/>
  <c r="AP350" i="20"/>
  <c r="AP43" i="20"/>
  <c r="AU408" i="20"/>
  <c r="AT408" i="20"/>
  <c r="AS512" i="20"/>
  <c r="AS507" i="20"/>
  <c r="BB160" i="2"/>
  <c r="AK279" i="20"/>
  <c r="AX164" i="2"/>
  <c r="AT283" i="20"/>
  <c r="AT282" i="20"/>
  <c r="AT281" i="20"/>
  <c r="AO351" i="20"/>
  <c r="AN351" i="20"/>
  <c r="AR410" i="20"/>
  <c r="AS382" i="20"/>
  <c r="AN418" i="20"/>
  <c r="AS177" i="20"/>
  <c r="AT188" i="20"/>
  <c r="AQ194" i="20"/>
  <c r="AT196" i="20"/>
  <c r="AS200" i="20"/>
  <c r="AO249" i="20"/>
  <c r="X249" i="20" s="1"/>
  <c r="AO312" i="20"/>
  <c r="AS341" i="20"/>
  <c r="AR348" i="20"/>
  <c r="AS352" i="20"/>
  <c r="AN409" i="20"/>
  <c r="AO422" i="20"/>
  <c r="AS430" i="20"/>
  <c r="AU483" i="20"/>
  <c r="AR544" i="20"/>
  <c r="AQ76" i="20"/>
  <c r="AQ518" i="20"/>
  <c r="AQ413" i="20"/>
  <c r="AO424" i="20"/>
  <c r="AS310" i="20"/>
  <c r="AS306" i="20"/>
  <c r="AS343" i="20"/>
  <c r="AR343" i="20"/>
  <c r="BC115" i="2"/>
  <c r="AR338" i="20"/>
  <c r="AN342" i="20"/>
  <c r="AO409" i="20"/>
  <c r="AS425" i="20"/>
  <c r="AO431" i="20"/>
  <c r="AS441" i="20"/>
  <c r="AS463" i="20"/>
  <c r="AO77" i="20"/>
  <c r="AQ467" i="20"/>
  <c r="AQ282" i="20"/>
  <c r="AP304" i="20"/>
  <c r="AT305" i="20"/>
  <c r="AT308" i="20"/>
  <c r="AQ345" i="20"/>
  <c r="AU423" i="20"/>
  <c r="AU430" i="20"/>
  <c r="AC110" i="20"/>
  <c r="AP34" i="20"/>
  <c r="AO40" i="20"/>
  <c r="AQ182" i="20"/>
  <c r="AR188" i="20"/>
  <c r="AR201" i="20"/>
  <c r="AO306" i="20"/>
  <c r="AT410" i="20"/>
  <c r="AT430" i="20"/>
  <c r="AU431" i="20"/>
  <c r="AO413" i="20"/>
  <c r="AM522" i="20"/>
  <c r="AP242" i="20"/>
  <c r="AO467" i="20"/>
  <c r="AT311" i="20"/>
  <c r="AP28" i="20"/>
  <c r="AR192" i="20"/>
  <c r="AQ516" i="20"/>
  <c r="AR191" i="20"/>
  <c r="AM515" i="20"/>
  <c r="AM517" i="20"/>
  <c r="AN416" i="20"/>
  <c r="AN488" i="20"/>
  <c r="AN420" i="20"/>
  <c r="AN484" i="20"/>
  <c r="AU485" i="20"/>
  <c r="AS437" i="20"/>
  <c r="AR426" i="20"/>
  <c r="AR485" i="20"/>
  <c r="AR437" i="20"/>
  <c r="AR421" i="20"/>
  <c r="AN542" i="20"/>
  <c r="AO540" i="20"/>
  <c r="AN547" i="20"/>
  <c r="AN540" i="20"/>
  <c r="AM542" i="20"/>
  <c r="AN541" i="20"/>
  <c r="AS545" i="20"/>
  <c r="AR545" i="20"/>
  <c r="AS279" i="20"/>
  <c r="AR279" i="20"/>
  <c r="AO31" i="20"/>
  <c r="AU160" i="2"/>
  <c r="AN279" i="20"/>
  <c r="AS194" i="20"/>
  <c r="AR195" i="20"/>
  <c r="AR194" i="20"/>
  <c r="AS283" i="20"/>
  <c r="AN282" i="20"/>
  <c r="AR303" i="20"/>
  <c r="AQ303" i="20"/>
  <c r="AO304" i="20"/>
  <c r="AO310" i="20"/>
  <c r="AR304" i="20"/>
  <c r="AP309" i="20"/>
  <c r="AM307" i="20"/>
  <c r="AP305" i="20"/>
  <c r="AM310" i="20"/>
  <c r="AO353" i="20"/>
  <c r="AO347" i="20"/>
  <c r="AO338" i="20"/>
  <c r="AT354" i="20"/>
  <c r="AT350" i="20"/>
  <c r="AU338" i="20"/>
  <c r="AU353" i="20"/>
  <c r="AT349" i="20"/>
  <c r="AT344" i="20"/>
  <c r="AT338" i="20"/>
  <c r="AQ339" i="20"/>
  <c r="AP339" i="20"/>
  <c r="AU341" i="20"/>
  <c r="AT341" i="20"/>
  <c r="AQ342" i="20"/>
  <c r="AQ409" i="20"/>
  <c r="AP342" i="20"/>
  <c r="AP409" i="20"/>
  <c r="AU343" i="20"/>
  <c r="AT343" i="20"/>
  <c r="AU348" i="20"/>
  <c r="AT348" i="20"/>
  <c r="AQ351" i="20"/>
  <c r="AP351" i="20"/>
  <c r="AU352" i="20"/>
  <c r="AT352" i="20"/>
  <c r="AS375" i="20"/>
  <c r="AP388" i="20"/>
  <c r="AS384" i="20"/>
  <c r="AP375" i="20"/>
  <c r="AO379" i="20"/>
  <c r="AO376" i="20"/>
  <c r="AT388" i="20"/>
  <c r="AT379" i="20"/>
  <c r="AT384" i="20"/>
  <c r="AS381" i="20"/>
  <c r="AP381" i="20"/>
  <c r="AO410" i="20"/>
  <c r="AO382" i="20"/>
  <c r="AP387" i="20"/>
  <c r="AS387" i="20"/>
  <c r="AU443" i="20"/>
  <c r="AT195" i="20"/>
  <c r="AU407" i="20"/>
  <c r="AO461" i="20"/>
  <c r="AO408" i="20"/>
  <c r="AO464" i="20"/>
  <c r="AN408" i="20"/>
  <c r="AN436" i="20"/>
  <c r="AQ418" i="20"/>
  <c r="AQ469" i="20"/>
  <c r="AS413" i="20"/>
  <c r="AO414" i="20"/>
  <c r="AN414" i="20"/>
  <c r="AS438" i="20"/>
  <c r="AN438" i="20"/>
  <c r="AQ422" i="20"/>
  <c r="AP422" i="20"/>
  <c r="AQ429" i="20"/>
  <c r="AP429" i="20"/>
  <c r="AS429" i="20"/>
  <c r="AS431" i="20"/>
  <c r="AQ431" i="20"/>
  <c r="AU441" i="20"/>
  <c r="AT441" i="20"/>
  <c r="AT238" i="2"/>
  <c r="AN508" i="20"/>
  <c r="W508" i="20" s="1"/>
  <c r="AP510" i="20"/>
  <c r="Y510" i="20" s="1"/>
  <c r="AO510" i="20"/>
  <c r="AT309" i="20"/>
  <c r="AP345" i="20"/>
  <c r="AS349" i="20"/>
  <c r="AT353" i="20"/>
  <c r="AT407" i="20"/>
  <c r="AR440" i="20"/>
  <c r="AS455" i="20"/>
  <c r="AR546" i="20"/>
  <c r="AP31" i="20"/>
  <c r="AP41" i="20"/>
  <c r="AU194" i="20"/>
  <c r="AQ283" i="20"/>
  <c r="AS340" i="20"/>
  <c r="AO344" i="20"/>
  <c r="AS377" i="20"/>
  <c r="AP431" i="20"/>
  <c r="AR487" i="20"/>
  <c r="AQ515" i="20"/>
  <c r="AS183" i="20"/>
  <c r="AR179" i="20"/>
  <c r="AR177" i="20"/>
  <c r="AR174" i="20"/>
  <c r="AR183" i="20"/>
  <c r="AU177" i="20"/>
  <c r="AU174" i="20"/>
  <c r="AO175" i="20"/>
  <c r="AQ179" i="20"/>
  <c r="AO177" i="20"/>
  <c r="AN175" i="20"/>
  <c r="AO489" i="20"/>
  <c r="AO183" i="20"/>
  <c r="AN179" i="20"/>
  <c r="AN177" i="20"/>
  <c r="AR178" i="20"/>
  <c r="AR76" i="20"/>
  <c r="AN188" i="20"/>
  <c r="AQ181" i="20"/>
  <c r="AM514" i="20"/>
  <c r="AM505" i="20"/>
  <c r="AN503" i="20"/>
  <c r="AN189" i="20"/>
  <c r="AO181" i="20"/>
  <c r="AM520" i="20"/>
  <c r="AM506" i="20"/>
  <c r="AM503" i="20"/>
  <c r="AN181" i="20"/>
  <c r="AO180" i="20"/>
  <c r="AR190" i="20"/>
  <c r="AS182" i="20"/>
  <c r="AS180" i="20"/>
  <c r="AR507" i="20"/>
  <c r="AR182" i="20"/>
  <c r="AR180" i="20"/>
  <c r="AQ523" i="20"/>
  <c r="AQ511" i="20"/>
  <c r="AQ507" i="20"/>
  <c r="AP504" i="20"/>
  <c r="AN504" i="20"/>
  <c r="AQ184" i="20"/>
  <c r="AM504" i="20"/>
  <c r="AO185" i="20"/>
  <c r="AN184" i="20"/>
  <c r="AR509" i="20"/>
  <c r="AS186" i="20"/>
  <c r="AR184" i="20"/>
  <c r="AQ509" i="20"/>
  <c r="AR186" i="20"/>
  <c r="AM518" i="20"/>
  <c r="AN201" i="20"/>
  <c r="AN196" i="20"/>
  <c r="AQ187" i="20"/>
  <c r="AO441" i="20"/>
  <c r="AN354" i="20"/>
  <c r="AN192" i="20"/>
  <c r="AO187" i="20"/>
  <c r="AN178" i="20"/>
  <c r="AN187" i="20"/>
  <c r="AO198" i="20"/>
  <c r="AO200" i="20"/>
  <c r="AN198" i="20"/>
  <c r="AN200" i="20"/>
  <c r="AN249" i="20"/>
  <c r="W249" i="20" s="1"/>
  <c r="AM249" i="20"/>
  <c r="V249" i="20" s="1"/>
  <c r="AR347" i="20"/>
  <c r="AQ151" i="20"/>
  <c r="AO179" i="20"/>
  <c r="AC320" i="2"/>
  <c r="AO182" i="20"/>
  <c r="AO184" i="20"/>
  <c r="AS187" i="20"/>
  <c r="AO308" i="20"/>
  <c r="AS339" i="20"/>
  <c r="AQ341" i="20"/>
  <c r="AQ343" i="20"/>
  <c r="AO348" i="20"/>
  <c r="AS469" i="20"/>
  <c r="AO192" i="20"/>
  <c r="AU486" i="20"/>
  <c r="AU545" i="20"/>
  <c r="AC321" i="2"/>
  <c r="AG321" i="2"/>
  <c r="AO384" i="20"/>
  <c r="AO381" i="20"/>
  <c r="AO387" i="20"/>
  <c r="AP508" i="20"/>
  <c r="Y508" i="20" s="1"/>
  <c r="AP249" i="20"/>
  <c r="Y249" i="20" s="1"/>
  <c r="AO488" i="20"/>
  <c r="AS486" i="20"/>
  <c r="AO484" i="20"/>
  <c r="AS485" i="20"/>
  <c r="AO542" i="20"/>
  <c r="AO541" i="20"/>
  <c r="AU199" i="20"/>
  <c r="AR196" i="20"/>
  <c r="AU196" i="20"/>
  <c r="BC164" i="2"/>
  <c r="AK282" i="20"/>
  <c r="AK283" i="20"/>
  <c r="AS196" i="20"/>
  <c r="AS198" i="20"/>
  <c r="AR281" i="20"/>
  <c r="AT347" i="20"/>
  <c r="AT183" i="20"/>
  <c r="AT179" i="20"/>
  <c r="AT177" i="20"/>
  <c r="AT174" i="20"/>
  <c r="AP487" i="20"/>
  <c r="AP183" i="20"/>
  <c r="AP179" i="20"/>
  <c r="AP177" i="20"/>
  <c r="AP175" i="20"/>
  <c r="AE317" i="2"/>
  <c r="AO504" i="20"/>
  <c r="AP185" i="20"/>
  <c r="AP184" i="20"/>
  <c r="AT509" i="20"/>
  <c r="AT186" i="20"/>
  <c r="AT184" i="20"/>
  <c r="AN353" i="20"/>
  <c r="AN350" i="20"/>
  <c r="AO346" i="20"/>
  <c r="AQ338" i="20"/>
  <c r="AO349" i="20"/>
  <c r="AN346" i="20"/>
  <c r="AO340" i="20"/>
  <c r="AN340" i="20"/>
  <c r="AR354" i="20"/>
  <c r="AR349" i="20"/>
  <c r="AU346" i="20"/>
  <c r="AS344" i="20"/>
  <c r="AU340" i="20"/>
  <c r="AS353" i="20"/>
  <c r="AU349" i="20"/>
  <c r="AR344" i="20"/>
  <c r="AU342" i="20"/>
  <c r="AS409" i="20"/>
  <c r="AN352" i="20"/>
  <c r="AQ352" i="20"/>
  <c r="AO443" i="20"/>
  <c r="AN428" i="20"/>
  <c r="AN439" i="20"/>
  <c r="AO436" i="20"/>
  <c r="AO407" i="20"/>
  <c r="AO195" i="20"/>
  <c r="AO463" i="20"/>
  <c r="AP408" i="20"/>
  <c r="AP414" i="20"/>
  <c r="AQ414" i="20"/>
  <c r="AT192" i="20"/>
  <c r="AT191" i="20"/>
  <c r="AS516" i="20"/>
  <c r="AQ484" i="20"/>
  <c r="AQ420" i="20"/>
  <c r="AP484" i="20"/>
  <c r="AS420" i="20"/>
  <c r="AT485" i="20"/>
  <c r="AU421" i="20"/>
  <c r="AT421" i="20"/>
  <c r="AQ541" i="20"/>
  <c r="AS541" i="20"/>
  <c r="AP541" i="20"/>
  <c r="AU546" i="20"/>
  <c r="AT546" i="20"/>
  <c r="AU544" i="20"/>
  <c r="AO28" i="20"/>
  <c r="AP151" i="20"/>
  <c r="AS175" i="20"/>
  <c r="AO176" i="20"/>
  <c r="AQ177" i="20"/>
  <c r="AS179" i="20"/>
  <c r="AQ180" i="20"/>
  <c r="AS181" i="20"/>
  <c r="AQ183" i="20"/>
  <c r="AS184" i="20"/>
  <c r="AQ185" i="20"/>
  <c r="AN195" i="20"/>
  <c r="AN281" i="20"/>
  <c r="AR282" i="20"/>
  <c r="AR339" i="20"/>
  <c r="AR342" i="20"/>
  <c r="AO343" i="20"/>
  <c r="AR346" i="20"/>
  <c r="AQ348" i="20"/>
  <c r="AR353" i="20"/>
  <c r="AS422" i="20"/>
  <c r="AT423" i="20"/>
  <c r="AN427" i="20"/>
  <c r="AS436" i="20"/>
  <c r="AS457" i="20"/>
  <c r="AN491" i="20"/>
  <c r="AN509" i="20"/>
  <c r="AS509" i="20"/>
  <c r="AM312" i="20"/>
  <c r="AN311" i="20"/>
  <c r="AM306" i="20"/>
  <c r="AM305" i="20"/>
  <c r="AQ310" i="20"/>
  <c r="AT307" i="20"/>
  <c r="AR309" i="20"/>
  <c r="AQ309" i="20"/>
  <c r="AR308" i="20"/>
  <c r="AT389" i="20"/>
  <c r="AT385" i="20"/>
  <c r="AU375" i="20"/>
  <c r="AP384" i="20"/>
  <c r="AS379" i="20"/>
  <c r="AS376" i="20"/>
  <c r="AP379" i="20"/>
  <c r="AQ376" i="20"/>
  <c r="AS378" i="20"/>
  <c r="AQ378" i="20"/>
  <c r="AP410" i="20"/>
  <c r="AP382" i="20"/>
  <c r="AQ386" i="20"/>
  <c r="AP386" i="20"/>
  <c r="AU387" i="20"/>
  <c r="AT387" i="20"/>
  <c r="AO457" i="20"/>
  <c r="AP436" i="20"/>
  <c r="AP418" i="20"/>
  <c r="AO455" i="20"/>
  <c r="AP407" i="20"/>
  <c r="AO458" i="20"/>
  <c r="AS407" i="20"/>
  <c r="AS464" i="20"/>
  <c r="AB464" i="20" s="1"/>
  <c r="AS461" i="20"/>
  <c r="AR438" i="20"/>
  <c r="AQ464" i="20"/>
  <c r="AQ463" i="20"/>
  <c r="AQ461" i="20"/>
  <c r="AR439" i="20"/>
  <c r="AR428" i="20"/>
  <c r="AS418" i="20"/>
  <c r="AR427" i="20"/>
  <c r="AR418" i="20"/>
  <c r="AS408" i="20"/>
  <c r="AR283" i="20"/>
  <c r="AU282" i="20"/>
  <c r="AS197" i="20"/>
  <c r="AU283" i="20"/>
  <c r="AS281" i="20"/>
  <c r="AR197" i="20"/>
  <c r="AU164" i="2"/>
  <c r="AN283" i="20"/>
  <c r="AN34" i="20"/>
  <c r="AO281" i="20"/>
  <c r="AS416" i="20"/>
  <c r="AR416" i="20"/>
  <c r="AU490" i="20"/>
  <c r="AS490" i="20"/>
  <c r="AN437" i="20"/>
  <c r="AN426" i="20"/>
  <c r="AN419" i="20"/>
  <c r="AP424" i="20"/>
  <c r="AS424" i="20"/>
  <c r="AU425" i="20"/>
  <c r="AT425" i="20"/>
  <c r="AS199" i="20"/>
  <c r="AK281" i="20"/>
  <c r="AQ424" i="20"/>
  <c r="AR436" i="20"/>
  <c r="AQ75" i="20"/>
  <c r="AS347" i="20"/>
  <c r="AG320" i="2"/>
  <c r="AT176" i="20"/>
  <c r="AE311" i="2"/>
  <c r="AO506" i="20"/>
  <c r="AO505" i="20"/>
  <c r="AP181" i="20"/>
  <c r="AP180" i="20"/>
  <c r="AP503" i="20"/>
  <c r="AP189" i="20"/>
  <c r="AS522" i="20"/>
  <c r="AS514" i="20"/>
  <c r="AT182" i="20"/>
  <c r="AT180" i="20"/>
  <c r="AP40" i="20"/>
  <c r="AS511" i="20"/>
  <c r="AT507" i="20"/>
  <c r="AO512" i="20"/>
  <c r="AQ436" i="20"/>
  <c r="AQ201" i="20"/>
  <c r="AP195" i="20"/>
  <c r="AP187" i="20"/>
  <c r="AN45" i="20"/>
  <c r="AN43" i="20"/>
  <c r="AP389" i="20"/>
  <c r="AP385" i="20"/>
  <c r="AP354" i="20"/>
  <c r="AP201" i="20"/>
  <c r="AS345" i="20"/>
  <c r="AR345" i="20"/>
  <c r="AR351" i="20"/>
  <c r="AU351" i="20"/>
  <c r="AT413" i="20"/>
  <c r="AS470" i="20"/>
  <c r="AB470" i="20" s="1"/>
  <c r="AR510" i="20"/>
  <c r="AA510" i="20" s="1"/>
  <c r="AQ510" i="20"/>
  <c r="AT510" i="20"/>
  <c r="AC510" i="20" s="1"/>
  <c r="AQ488" i="20"/>
  <c r="AQ416" i="20"/>
  <c r="AP488" i="20"/>
  <c r="AP542" i="20"/>
  <c r="AP540" i="20"/>
  <c r="AQ542" i="20"/>
  <c r="AQ540" i="20"/>
  <c r="AO470" i="20"/>
  <c r="AO466" i="20"/>
  <c r="X466" i="20" s="1"/>
  <c r="AQ470" i="20"/>
  <c r="AO34" i="20"/>
  <c r="AP76" i="20"/>
  <c r="AU176" i="20"/>
  <c r="AP178" i="20"/>
  <c r="AU179" i="20"/>
  <c r="AU182" i="20"/>
  <c r="AU184" i="20"/>
  <c r="AT190" i="20"/>
  <c r="AQ195" i="20"/>
  <c r="AU281" i="20"/>
  <c r="AO282" i="20"/>
  <c r="AS282" i="20"/>
  <c r="AO283" i="20"/>
  <c r="AN338" i="20"/>
  <c r="AN341" i="20"/>
  <c r="AS342" i="20"/>
  <c r="AU344" i="20"/>
  <c r="AS346" i="20"/>
  <c r="AU347" i="20"/>
  <c r="AN349" i="20"/>
  <c r="AR350" i="20"/>
  <c r="AO352" i="20"/>
  <c r="AQ408" i="20"/>
  <c r="AR409" i="20"/>
  <c r="AU413" i="20"/>
  <c r="AS414" i="20"/>
  <c r="AP416" i="20"/>
  <c r="AP420" i="20"/>
  <c r="AN440" i="20"/>
  <c r="AQ443" i="20"/>
  <c r="AS467" i="20"/>
  <c r="AP489" i="20"/>
  <c r="AO491" i="20"/>
  <c r="AO503" i="20"/>
  <c r="AS513" i="20"/>
  <c r="AT544" i="20"/>
  <c r="AT545" i="20"/>
  <c r="AQ199" i="20"/>
  <c r="AQ198" i="20"/>
  <c r="AP199" i="20"/>
  <c r="AP198" i="20"/>
  <c r="AQ196" i="20"/>
  <c r="AU200" i="20"/>
  <c r="AU198" i="20"/>
  <c r="AT200" i="20"/>
  <c r="AT198" i="20"/>
  <c r="AO37" i="20"/>
  <c r="AO242" i="20"/>
  <c r="AQ279" i="20"/>
  <c r="AN31" i="20"/>
  <c r="AP279" i="20"/>
  <c r="AX160" i="2"/>
  <c r="AT279" i="20"/>
  <c r="AT256" i="2"/>
  <c r="AS489" i="20"/>
  <c r="AF311" i="2"/>
  <c r="AQ519" i="20"/>
  <c r="AQ513" i="20"/>
  <c r="AR503" i="20"/>
  <c r="AQ522" i="20"/>
  <c r="AQ514" i="20"/>
  <c r="AQ503" i="20"/>
  <c r="AN507" i="20"/>
  <c r="AM519" i="20"/>
  <c r="AM513" i="20"/>
  <c r="AM512" i="20"/>
  <c r="AM511" i="20"/>
  <c r="AM507" i="20"/>
  <c r="AF317" i="2"/>
  <c r="AR504" i="20"/>
  <c r="AQ504" i="20"/>
  <c r="AM509" i="20"/>
  <c r="AP509" i="20"/>
  <c r="AS439" i="20"/>
  <c r="AS440" i="20"/>
  <c r="AQ441" i="20"/>
  <c r="AS458" i="20"/>
  <c r="AB458" i="20" s="1"/>
  <c r="AT239" i="2"/>
  <c r="AN510" i="20"/>
  <c r="W510" i="20" s="1"/>
  <c r="AO486" i="20"/>
  <c r="AN485" i="20"/>
  <c r="AO421" i="20"/>
  <c r="AU542" i="20"/>
  <c r="AS542" i="20"/>
  <c r="AS540" i="20"/>
  <c r="AN546" i="20"/>
  <c r="AM546" i="20"/>
  <c r="AO544" i="20"/>
  <c r="AM545" i="20"/>
  <c r="AQ506" i="20"/>
  <c r="AQ512" i="20"/>
  <c r="AQ520" i="20"/>
  <c r="AM523" i="20"/>
  <c r="AC324" i="2"/>
  <c r="AG324" i="2"/>
  <c r="AU491" i="20"/>
  <c r="AT491" i="20"/>
  <c r="AQ490" i="20"/>
  <c r="AP490" i="20"/>
  <c r="AT483" i="20"/>
  <c r="AT419" i="20"/>
  <c r="AQ508" i="20"/>
  <c r="AT508" i="20"/>
  <c r="AC508" i="20" s="1"/>
  <c r="AE320" i="2"/>
  <c r="AU488" i="20"/>
  <c r="AT547" i="20"/>
  <c r="AU541" i="20"/>
  <c r="AQ546" i="20"/>
  <c r="AQ545" i="20"/>
  <c r="BE270" i="2"/>
  <c r="AR75" i="20"/>
  <c r="AF312" i="2"/>
  <c r="AD323" i="2"/>
  <c r="AS308" i="20"/>
  <c r="AR151" i="20"/>
  <c r="AO418" i="20"/>
  <c r="AU440" i="20"/>
  <c r="AO487" i="20"/>
  <c r="AQ458" i="20"/>
  <c r="AR77" i="20"/>
  <c r="AN28" i="20"/>
  <c r="AQ64" i="20"/>
  <c r="Z64" i="20" s="1"/>
  <c r="AV130" i="2"/>
  <c r="AQ489" i="20"/>
  <c r="AQ192" i="20"/>
  <c r="AS523" i="20"/>
  <c r="AT487" i="20"/>
  <c r="AN347" i="20"/>
  <c r="AO75" i="20"/>
  <c r="AQ347" i="20"/>
  <c r="AM28" i="20"/>
  <c r="AF318" i="2"/>
  <c r="AQ77" i="20"/>
  <c r="AD299" i="2"/>
  <c r="AN150" i="20" s="1"/>
  <c r="W150" i="20" s="1"/>
  <c r="AO151" i="20"/>
  <c r="AN151" i="20"/>
  <c r="W151" i="20" s="1"/>
  <c r="AQ312" i="20"/>
  <c r="AQ306" i="20"/>
  <c r="AR311" i="20"/>
  <c r="AR305" i="20"/>
  <c r="AQ311" i="20"/>
  <c r="AQ305" i="20"/>
  <c r="AN307" i="20"/>
  <c r="AN305" i="20"/>
  <c r="AS309" i="20"/>
  <c r="AS307" i="20"/>
  <c r="AS305" i="20"/>
  <c r="AM242" i="20"/>
  <c r="AM37" i="20"/>
  <c r="AO279" i="20"/>
  <c r="AO197" i="20"/>
  <c r="AM31" i="20"/>
  <c r="AU197" i="20"/>
  <c r="AT197" i="20"/>
  <c r="AU279" i="20"/>
  <c r="AD290" i="2"/>
  <c r="AC290" i="2" s="1"/>
  <c r="AO76" i="20"/>
  <c r="AO64" i="20"/>
  <c r="X64" i="20" s="1"/>
  <c r="AN309" i="20"/>
  <c r="AN308" i="20"/>
  <c r="AM309" i="20"/>
  <c r="AM308" i="20"/>
  <c r="AU339" i="20"/>
  <c r="AT339" i="20"/>
  <c r="AQ353" i="20"/>
  <c r="AQ349" i="20"/>
  <c r="AQ346" i="20"/>
  <c r="AQ344" i="20"/>
  <c r="AQ340" i="20"/>
  <c r="AN41" i="20"/>
  <c r="AP353" i="20"/>
  <c r="AP349" i="20"/>
  <c r="AP347" i="20"/>
  <c r="AP346" i="20"/>
  <c r="AP344" i="20"/>
  <c r="AP340" i="20"/>
  <c r="AN389" i="20"/>
  <c r="AN388" i="20"/>
  <c r="AN385" i="20"/>
  <c r="AN384" i="20"/>
  <c r="AN379" i="20"/>
  <c r="AN375" i="20"/>
  <c r="AQ384" i="20"/>
  <c r="AQ379" i="20"/>
  <c r="AQ375" i="20"/>
  <c r="AM41" i="20"/>
  <c r="AR384" i="20"/>
  <c r="AR379" i="20"/>
  <c r="AR376" i="20"/>
  <c r="AU384" i="20"/>
  <c r="AU379" i="20"/>
  <c r="AU376" i="20"/>
  <c r="AR389" i="20"/>
  <c r="AR388" i="20"/>
  <c r="AR385" i="20"/>
  <c r="AN377" i="20"/>
  <c r="AQ377" i="20"/>
  <c r="AR378" i="20"/>
  <c r="AU378" i="20"/>
  <c r="AR380" i="20"/>
  <c r="AU380" i="20"/>
  <c r="AN381" i="20"/>
  <c r="AQ381" i="20"/>
  <c r="AU410" i="20"/>
  <c r="AR382" i="20"/>
  <c r="AU382" i="20"/>
  <c r="AS410" i="20"/>
  <c r="AR386" i="20"/>
  <c r="AU386" i="20"/>
  <c r="AN387" i="20"/>
  <c r="AQ387" i="20"/>
  <c r="AP191" i="20"/>
  <c r="AS192" i="20"/>
  <c r="AS195" i="20"/>
  <c r="AO416" i="20"/>
  <c r="AO419" i="20"/>
  <c r="AO420" i="20"/>
  <c r="AS421" i="20"/>
  <c r="AO426" i="20"/>
  <c r="AS426" i="20"/>
  <c r="AO427" i="20"/>
  <c r="AS427" i="20"/>
  <c r="AP428" i="20"/>
  <c r="AO437" i="20"/>
  <c r="AO438" i="20"/>
  <c r="AO439" i="20"/>
  <c r="AO440" i="20"/>
  <c r="AQ483" i="20"/>
  <c r="AU484" i="20"/>
  <c r="AQ485" i="20"/>
  <c r="AQ486" i="20"/>
  <c r="AO515" i="20"/>
  <c r="AO516" i="20"/>
  <c r="AO518" i="20"/>
  <c r="AS520" i="20"/>
  <c r="AT540" i="20"/>
  <c r="AQ544" i="20"/>
  <c r="AP545" i="20"/>
  <c r="AS546" i="20"/>
  <c r="AP547" i="20"/>
  <c r="AN40" i="20"/>
  <c r="AP192" i="20"/>
  <c r="AT416" i="20"/>
  <c r="AT418" i="20"/>
  <c r="AT420" i="20"/>
  <c r="AP421" i="20"/>
  <c r="AP426" i="20"/>
  <c r="AT426" i="20"/>
  <c r="AP427" i="20"/>
  <c r="AT427" i="20"/>
  <c r="AT436" i="20"/>
  <c r="AP437" i="20"/>
  <c r="AT437" i="20"/>
  <c r="AP438" i="20"/>
  <c r="AT438" i="20"/>
  <c r="AP439" i="20"/>
  <c r="AT439" i="20"/>
  <c r="AP440" i="20"/>
  <c r="AT440" i="20"/>
  <c r="AS443" i="20"/>
  <c r="AN483" i="20"/>
  <c r="AN487" i="20"/>
  <c r="AS487" i="20"/>
  <c r="AT488" i="20"/>
  <c r="AS519" i="20"/>
  <c r="AU540" i="20"/>
  <c r="AT541" i="20"/>
  <c r="AP546" i="20"/>
  <c r="AF321" i="2"/>
  <c r="AE312" i="2"/>
  <c r="AU195" i="20"/>
  <c r="AU416" i="20"/>
  <c r="AU418" i="20"/>
  <c r="AQ419" i="20"/>
  <c r="AU420" i="20"/>
  <c r="AQ421" i="20"/>
  <c r="AQ426" i="20"/>
  <c r="AU426" i="20"/>
  <c r="AQ427" i="20"/>
  <c r="AU427" i="20"/>
  <c r="AT428" i="20"/>
  <c r="AU436" i="20"/>
  <c r="AQ437" i="20"/>
  <c r="AU437" i="20"/>
  <c r="AQ438" i="20"/>
  <c r="AU438" i="20"/>
  <c r="AQ439" i="20"/>
  <c r="AU439" i="20"/>
  <c r="AQ440" i="20"/>
  <c r="AQ455" i="20"/>
  <c r="AQ457" i="20"/>
  <c r="AO483" i="20"/>
  <c r="AS515" i="20"/>
  <c r="AS517" i="20"/>
  <c r="AS518" i="20"/>
  <c r="AT542" i="20"/>
  <c r="AS544" i="20"/>
  <c r="AE318" i="2"/>
  <c r="AU129" i="2"/>
  <c r="AF320" i="2"/>
  <c r="AU166" i="2"/>
  <c r="AV129" i="2"/>
  <c r="AW130" i="2"/>
  <c r="AU489" i="20"/>
  <c r="AU132" i="2"/>
  <c r="AF324" i="2"/>
  <c r="BA268" i="2"/>
  <c r="BC271" i="2"/>
  <c r="J116" i="2"/>
  <c r="J115" i="2"/>
  <c r="AC315" i="2"/>
  <c r="AC306" i="2"/>
  <c r="AC309" i="2"/>
  <c r="AG315" i="2"/>
  <c r="AG306" i="2"/>
  <c r="AG309" i="2"/>
  <c r="AE292" i="2"/>
  <c r="AN231" i="20" s="1"/>
  <c r="AC292" i="2"/>
  <c r="AM231" i="20" s="1"/>
  <c r="AC294" i="2"/>
  <c r="AO72" i="20" s="1"/>
  <c r="AE294" i="2"/>
  <c r="AN235" i="20" s="1"/>
  <c r="AD315" i="2"/>
  <c r="AD316" i="2" s="1"/>
  <c r="AD306" i="2"/>
  <c r="AD307" i="2" s="1"/>
  <c r="AD284" i="2"/>
  <c r="AE284" i="2" s="1"/>
  <c r="AD309" i="2"/>
  <c r="AD310" i="2" s="1"/>
  <c r="AE285" i="2"/>
  <c r="AF285" i="2" s="1"/>
  <c r="AC285" i="2"/>
  <c r="AM222" i="20" s="1"/>
  <c r="AD321" i="2"/>
  <c r="AD322" i="2" s="1"/>
  <c r="AN147" i="20" s="1"/>
  <c r="W147" i="20" s="1"/>
  <c r="AD286" i="2"/>
  <c r="AN154" i="20" s="1"/>
  <c r="W154" i="20" s="1"/>
  <c r="AC287" i="2"/>
  <c r="AO149" i="20" s="1"/>
  <c r="AE287" i="2"/>
  <c r="AN224" i="20" s="1"/>
  <c r="AE288" i="2"/>
  <c r="AF288" i="2" s="1"/>
  <c r="AC288" i="2"/>
  <c r="AO152" i="20" s="1"/>
  <c r="AE289" i="2"/>
  <c r="AF289" i="2" s="1"/>
  <c r="AG289" i="2" s="1"/>
  <c r="AR153" i="20" s="1"/>
  <c r="AC289" i="2"/>
  <c r="AO153" i="20" s="1"/>
  <c r="AD291" i="2"/>
  <c r="AE291" i="2" s="1"/>
  <c r="AD312" i="2"/>
  <c r="AD313" i="2" s="1"/>
  <c r="AF309" i="2"/>
  <c r="AF315" i="2"/>
  <c r="AF306" i="2"/>
  <c r="AQ487" i="20"/>
  <c r="AU487" i="20"/>
  <c r="AO513" i="20"/>
  <c r="AO514" i="20"/>
  <c r="AO519" i="20"/>
  <c r="AO520" i="20"/>
  <c r="AO522" i="20"/>
  <c r="AO523" i="20"/>
  <c r="AE306" i="2"/>
  <c r="AE309" i="2"/>
  <c r="AE315" i="2"/>
  <c r="AE321" i="2"/>
  <c r="AC312" i="2"/>
  <c r="AG312" i="2"/>
  <c r="AC318" i="2"/>
  <c r="AG318" i="2"/>
  <c r="AT129" i="2"/>
  <c r="AX129" i="2"/>
  <c r="AU130" i="2"/>
  <c r="AE300" i="2"/>
  <c r="AF300" i="2" s="1"/>
  <c r="AG300" i="2" s="1"/>
  <c r="AC300" i="2"/>
  <c r="AE314" i="2"/>
  <c r="AE305" i="2"/>
  <c r="AE308" i="2"/>
  <c r="AC311" i="2"/>
  <c r="AG311" i="2"/>
  <c r="AC317" i="2"/>
  <c r="AG317" i="2"/>
  <c r="AF323" i="2"/>
  <c r="AD318" i="2"/>
  <c r="AD319" i="2" s="1"/>
  <c r="AD293" i="2"/>
  <c r="AC293" i="2" s="1"/>
  <c r="AM27" i="20" s="1"/>
  <c r="AC295" i="2"/>
  <c r="AM256" i="20" s="1"/>
  <c r="AE295" i="2"/>
  <c r="AF295" i="2" s="1"/>
  <c r="AF305" i="2"/>
  <c r="AF308" i="2"/>
  <c r="AF314" i="2"/>
  <c r="AD311" i="2"/>
  <c r="AD317" i="2"/>
  <c r="AC302" i="2"/>
  <c r="AE302" i="2"/>
  <c r="AF302" i="2" s="1"/>
  <c r="AG302" i="2" s="1"/>
  <c r="AE296" i="2"/>
  <c r="AF296" i="2" s="1"/>
  <c r="AC296" i="2"/>
  <c r="AO146" i="20" s="1"/>
  <c r="AC308" i="2"/>
  <c r="AC314" i="2"/>
  <c r="AC305" i="2"/>
  <c r="AG308" i="2"/>
  <c r="AG314" i="2"/>
  <c r="AG305" i="2"/>
  <c r="AD324" i="2"/>
  <c r="AD325" i="2" s="1"/>
  <c r="AD301" i="2"/>
  <c r="AN280" i="20" s="1"/>
  <c r="AW129" i="2"/>
  <c r="AT130" i="2"/>
  <c r="AX130" i="2"/>
  <c r="AD314" i="2"/>
  <c r="AD305" i="2"/>
  <c r="AD308" i="2"/>
  <c r="AC323" i="2"/>
  <c r="AG323" i="2"/>
  <c r="AE324" i="2"/>
  <c r="BE267" i="2"/>
  <c r="BC269" i="2"/>
  <c r="K115" i="2"/>
  <c r="K116" i="2"/>
  <c r="AB951" i="7"/>
  <c r="I104" i="25"/>
  <c r="I121" i="25"/>
  <c r="I119" i="25"/>
  <c r="J11" i="25"/>
  <c r="I103" i="25"/>
  <c r="I120" i="25"/>
  <c r="F16" i="20"/>
  <c r="F58" i="20"/>
  <c r="H58" i="20" s="1"/>
  <c r="I58" i="20" s="1"/>
  <c r="J58" i="20" s="1"/>
  <c r="E501" i="20"/>
  <c r="G501" i="20" s="1"/>
  <c r="I501" i="20" s="1"/>
  <c r="K501" i="20" s="1"/>
  <c r="F336" i="20"/>
  <c r="H336" i="20" s="1"/>
  <c r="J336" i="20" s="1"/>
  <c r="L336" i="20" s="1"/>
  <c r="F275" i="20"/>
  <c r="H275" i="20" s="1"/>
  <c r="J275" i="20" s="1"/>
  <c r="L275" i="20" s="1"/>
  <c r="F172" i="20"/>
  <c r="H172" i="20" s="1"/>
  <c r="J172" i="20" s="1"/>
  <c r="L172" i="20" s="1"/>
  <c r="E537" i="20"/>
  <c r="H537" i="20" s="1"/>
  <c r="J537" i="20" s="1"/>
  <c r="L537" i="20" s="1"/>
  <c r="F481" i="20"/>
  <c r="H481" i="20" s="1"/>
  <c r="J481" i="20" s="1"/>
  <c r="L481" i="20" s="1"/>
  <c r="F405" i="20"/>
  <c r="H405" i="20" s="1"/>
  <c r="J405" i="20" s="1"/>
  <c r="L405" i="20" s="1"/>
  <c r="F373" i="20"/>
  <c r="H373" i="20" s="1"/>
  <c r="J373" i="20" s="1"/>
  <c r="L373" i="20" s="1"/>
  <c r="E301" i="20"/>
  <c r="G301" i="20" s="1"/>
  <c r="I301" i="20" s="1"/>
  <c r="K301" i="20" s="1"/>
  <c r="E219" i="20"/>
  <c r="F219" i="20" s="1"/>
  <c r="G219" i="20" s="1"/>
  <c r="H219" i="20" s="1"/>
  <c r="AN405" i="20"/>
  <c r="AP405" i="20" s="1"/>
  <c r="AR405" i="20" s="1"/>
  <c r="AT405" i="20" s="1"/>
  <c r="AM219" i="20"/>
  <c r="AN219" i="20" s="1"/>
  <c r="AO219" i="20" s="1"/>
  <c r="AP219" i="20" s="1"/>
  <c r="Z453" i="20"/>
  <c r="D100" i="2"/>
  <c r="C255" i="2"/>
  <c r="AT255" i="2" s="1"/>
  <c r="C238" i="2"/>
  <c r="AT234" i="2" s="1"/>
  <c r="C239" i="2"/>
  <c r="AT235" i="2" s="1"/>
  <c r="C253" i="2"/>
  <c r="AT253" i="2" s="1"/>
  <c r="C254" i="2"/>
  <c r="AT254" i="2" s="1"/>
  <c r="AH50" i="8"/>
  <c r="AL50" i="8"/>
  <c r="AK50" i="8"/>
  <c r="AI50" i="8"/>
  <c r="H419" i="7"/>
  <c r="H421" i="7" s="1"/>
  <c r="P419" i="7"/>
  <c r="A12" i="26"/>
  <c r="B13" i="26"/>
  <c r="A14" i="26"/>
  <c r="A16" i="26"/>
  <c r="B17" i="26"/>
  <c r="A20" i="26"/>
  <c r="B21" i="26"/>
  <c r="B23" i="26"/>
  <c r="B25" i="26"/>
  <c r="B27" i="26"/>
  <c r="A15" i="26"/>
  <c r="B18" i="26"/>
  <c r="A19" i="26"/>
  <c r="B22" i="26"/>
  <c r="B24" i="26"/>
  <c r="B26" i="26"/>
  <c r="B28" i="26"/>
  <c r="B12" i="26"/>
  <c r="A13" i="26"/>
  <c r="B14" i="26"/>
  <c r="B15" i="26"/>
  <c r="B16" i="26"/>
  <c r="A17" i="26"/>
  <c r="A18" i="26"/>
  <c r="B19" i="26"/>
  <c r="B20" i="26"/>
  <c r="A21" i="26"/>
  <c r="A22" i="26"/>
  <c r="A23" i="26"/>
  <c r="A24" i="26"/>
  <c r="A25" i="26"/>
  <c r="A26" i="26"/>
  <c r="A27" i="26"/>
  <c r="F14" i="8"/>
  <c r="F15" i="8"/>
  <c r="I104" i="8"/>
  <c r="K104" i="8"/>
  <c r="M104" i="8"/>
  <c r="O104" i="8"/>
  <c r="Q104" i="8"/>
  <c r="S98" i="8"/>
  <c r="T98" i="8" s="1"/>
  <c r="U98" i="8" s="1"/>
  <c r="V98" i="8" s="1"/>
  <c r="W98" i="8" s="1"/>
  <c r="X98" i="8" s="1"/>
  <c r="Y98" i="8" s="1"/>
  <c r="Z98" i="8" s="1"/>
  <c r="AA98" i="8" s="1"/>
  <c r="AB98" i="8" s="1"/>
  <c r="AC98" i="8" s="1"/>
  <c r="AD98" i="8" s="1"/>
  <c r="AE98" i="8" s="1"/>
  <c r="I105" i="8"/>
  <c r="K105" i="8"/>
  <c r="M105" i="8"/>
  <c r="O105" i="8"/>
  <c r="Q105" i="8"/>
  <c r="S100" i="8"/>
  <c r="T100" i="8" s="1"/>
  <c r="U100" i="8" s="1"/>
  <c r="V100" i="8" s="1"/>
  <c r="W100" i="8" s="1"/>
  <c r="X100" i="8" s="1"/>
  <c r="Y100" i="8" s="1"/>
  <c r="Z100" i="8" s="1"/>
  <c r="AA100" i="8" s="1"/>
  <c r="AB100" i="8" s="1"/>
  <c r="AC100" i="8" s="1"/>
  <c r="AD100" i="8" s="1"/>
  <c r="AE100" i="8" s="1"/>
  <c r="H125" i="8"/>
  <c r="H117" i="8"/>
  <c r="M947" i="7"/>
  <c r="M951" i="7" s="1"/>
  <c r="Q947" i="7"/>
  <c r="R949" i="7"/>
  <c r="R947" i="7"/>
  <c r="O949" i="7"/>
  <c r="O947" i="7"/>
  <c r="S947" i="7"/>
  <c r="P949" i="7"/>
  <c r="N947" i="7"/>
  <c r="N951" i="7" s="1"/>
  <c r="S949" i="7"/>
  <c r="P947" i="7"/>
  <c r="Q949" i="7"/>
  <c r="AE128" i="1"/>
  <c r="AA951" i="7"/>
  <c r="AD951" i="7"/>
  <c r="AC951" i="7"/>
  <c r="Z951" i="7"/>
  <c r="AM951" i="7" s="1"/>
  <c r="J274" i="17"/>
  <c r="J450" i="7"/>
  <c r="N450" i="7"/>
  <c r="R450" i="7"/>
  <c r="V450" i="7"/>
  <c r="AD134" i="1"/>
  <c r="K74" i="7"/>
  <c r="O74" i="7"/>
  <c r="W74" i="7"/>
  <c r="L86" i="7"/>
  <c r="T86" i="7"/>
  <c r="N375" i="7"/>
  <c r="R375" i="7"/>
  <c r="W363" i="23"/>
  <c r="L363" i="23"/>
  <c r="T363" i="23"/>
  <c r="AB363" i="23"/>
  <c r="H254" i="17"/>
  <c r="H247" i="17"/>
  <c r="AE211" i="1"/>
  <c r="AD233" i="1"/>
  <c r="AE244" i="1"/>
  <c r="AC248" i="1"/>
  <c r="L395" i="7"/>
  <c r="K408" i="7"/>
  <c r="L410" i="7" s="1"/>
  <c r="L407" i="7" s="1"/>
  <c r="M415" i="7"/>
  <c r="Q415" i="7"/>
  <c r="W408" i="7"/>
  <c r="X410" i="7" s="1"/>
  <c r="P408" i="7"/>
  <c r="Q410" i="7" s="1"/>
  <c r="S415" i="7"/>
  <c r="W415" i="7"/>
  <c r="V439" i="7"/>
  <c r="J390" i="7"/>
  <c r="K403" i="7"/>
  <c r="AF138" i="1"/>
  <c r="AF205" i="1"/>
  <c r="AF211" i="1"/>
  <c r="AD248" i="1"/>
  <c r="AF252" i="1"/>
  <c r="AD256" i="1"/>
  <c r="H111" i="7"/>
  <c r="L111" i="7"/>
  <c r="P111" i="7"/>
  <c r="S390" i="7"/>
  <c r="W390" i="7"/>
  <c r="H403" i="7"/>
  <c r="T403" i="7"/>
  <c r="X395" i="7"/>
  <c r="AE152" i="1"/>
  <c r="AE205" i="1"/>
  <c r="AF233" i="1"/>
  <c r="AC244" i="1"/>
  <c r="AC252" i="1"/>
  <c r="H86" i="7"/>
  <c r="X86" i="7"/>
  <c r="T98" i="7"/>
  <c r="I375" i="7"/>
  <c r="U375" i="7"/>
  <c r="M395" i="7"/>
  <c r="L415" i="7"/>
  <c r="T415" i="7"/>
  <c r="X450" i="7"/>
  <c r="I363" i="23"/>
  <c r="M363" i="23"/>
  <c r="Q363" i="23"/>
  <c r="U363" i="23"/>
  <c r="Y363" i="23"/>
  <c r="AA363" i="23"/>
  <c r="P363" i="23"/>
  <c r="AD138" i="1"/>
  <c r="AF134" i="1"/>
  <c r="AD152" i="1"/>
  <c r="AD189" i="1"/>
  <c r="AD211" i="1"/>
  <c r="AF244" i="1"/>
  <c r="AE189" i="1"/>
  <c r="AF248" i="1"/>
  <c r="AF256" i="1"/>
  <c r="S247" i="23"/>
  <c r="R247" i="23"/>
  <c r="N247" i="23"/>
  <c r="I254" i="17"/>
  <c r="I247" i="17"/>
  <c r="M247" i="23"/>
  <c r="H363" i="23"/>
  <c r="X363" i="23"/>
  <c r="AD117" i="1"/>
  <c r="AF128" i="1"/>
  <c r="AC233" i="1"/>
  <c r="AF117" i="1"/>
  <c r="AD128" i="1"/>
  <c r="AF189" i="1"/>
  <c r="AE252" i="1"/>
  <c r="AC256" i="1"/>
  <c r="T111" i="7"/>
  <c r="T103" i="7"/>
  <c r="X111" i="7"/>
  <c r="X103" i="7"/>
  <c r="P86" i="7"/>
  <c r="P74" i="7"/>
  <c r="I103" i="7"/>
  <c r="Q111" i="7"/>
  <c r="M450" i="7"/>
  <c r="I390" i="7"/>
  <c r="N403" i="7"/>
  <c r="V403" i="7"/>
  <c r="H401" i="7"/>
  <c r="J419" i="7"/>
  <c r="H407" i="7"/>
  <c r="H415" i="7"/>
  <c r="I450" i="7"/>
  <c r="Q419" i="7"/>
  <c r="N390" i="7"/>
  <c r="R390" i="7"/>
  <c r="V390" i="7"/>
  <c r="Q408" i="7"/>
  <c r="R410" i="7" s="1"/>
  <c r="U408" i="7"/>
  <c r="V410" i="7" s="1"/>
  <c r="AM408" i="7"/>
  <c r="J439" i="7"/>
  <c r="R439" i="7"/>
  <c r="O450" i="7"/>
  <c r="O390" i="7"/>
  <c r="L408" i="7"/>
  <c r="M410" i="7" s="1"/>
  <c r="J74" i="7"/>
  <c r="N74" i="7"/>
  <c r="R74" i="7"/>
  <c r="V74" i="7"/>
  <c r="K98" i="7"/>
  <c r="O98" i="7"/>
  <c r="S98" i="7"/>
  <c r="W98" i="7"/>
  <c r="H103" i="7"/>
  <c r="Y103" i="7"/>
  <c r="O395" i="7"/>
  <c r="S403" i="7"/>
  <c r="S395" i="7"/>
  <c r="X415" i="7"/>
  <c r="K390" i="7"/>
  <c r="S74" i="7"/>
  <c r="K419" i="7"/>
  <c r="O419" i="7"/>
  <c r="O421" i="7" s="1"/>
  <c r="S419" i="7"/>
  <c r="W419" i="7"/>
  <c r="J375" i="7"/>
  <c r="Q395" i="7"/>
  <c r="W395" i="7"/>
  <c r="J403" i="7"/>
  <c r="M408" i="7"/>
  <c r="N410" i="7" s="1"/>
  <c r="J363" i="23"/>
  <c r="V363" i="23"/>
  <c r="N363" i="23"/>
  <c r="R363" i="23"/>
  <c r="S363" i="23"/>
  <c r="J247" i="17"/>
  <c r="G254" i="17"/>
  <c r="G247" i="17"/>
  <c r="O247" i="23"/>
  <c r="P247" i="23"/>
  <c r="Z363" i="23"/>
  <c r="K363" i="23"/>
  <c r="Q247" i="23"/>
  <c r="O363" i="23"/>
  <c r="G143" i="17"/>
  <c r="T74" i="7"/>
  <c r="M98" i="7"/>
  <c r="Q98" i="7"/>
  <c r="R98" i="7"/>
  <c r="V98" i="7"/>
  <c r="U98" i="7"/>
  <c r="Z89" i="7"/>
  <c r="AA89" i="7" s="1"/>
  <c r="AB89" i="7" s="1"/>
  <c r="AC89" i="7" s="1"/>
  <c r="AD89" i="7" s="1"/>
  <c r="AE89" i="7" s="1"/>
  <c r="Y98" i="7"/>
  <c r="J103" i="7"/>
  <c r="J111" i="7"/>
  <c r="J109" i="7"/>
  <c r="N111" i="7"/>
  <c r="O111" i="7"/>
  <c r="S111" i="7"/>
  <c r="R111" i="7"/>
  <c r="R103" i="7"/>
  <c r="V103" i="7"/>
  <c r="W111" i="7"/>
  <c r="AA101" i="7"/>
  <c r="Z103" i="7"/>
  <c r="M74" i="7"/>
  <c r="U74" i="7"/>
  <c r="H74" i="7"/>
  <c r="X74" i="7"/>
  <c r="I86" i="7"/>
  <c r="M86" i="7"/>
  <c r="Q86" i="7"/>
  <c r="U86" i="7"/>
  <c r="Z77" i="7"/>
  <c r="Y86" i="7"/>
  <c r="I98" i="7"/>
  <c r="V111" i="7"/>
  <c r="L74" i="7"/>
  <c r="N98" i="7"/>
  <c r="K439" i="7"/>
  <c r="O439" i="7"/>
  <c r="P439" i="7"/>
  <c r="S439" i="7"/>
  <c r="W439" i="7"/>
  <c r="N103" i="7"/>
  <c r="K111" i="7"/>
  <c r="W375" i="7"/>
  <c r="X419" i="7"/>
  <c r="K375" i="7"/>
  <c r="L419" i="7"/>
  <c r="T419" i="7"/>
  <c r="T421" i="7" s="1"/>
  <c r="S375" i="7"/>
  <c r="O375" i="7"/>
  <c r="AB416" i="7"/>
  <c r="AB413" i="7"/>
  <c r="AE134" i="1"/>
  <c r="AF152" i="1"/>
  <c r="AE233" i="1"/>
  <c r="AD252" i="1"/>
  <c r="AE256" i="1"/>
  <c r="AA61" i="7"/>
  <c r="AB61" i="7" s="1"/>
  <c r="AC61" i="7" s="1"/>
  <c r="AD61" i="7" s="1"/>
  <c r="AE61" i="7" s="1"/>
  <c r="I74" i="7"/>
  <c r="Q74" i="7"/>
  <c r="Y74" i="7"/>
  <c r="L98" i="7"/>
  <c r="P98" i="7"/>
  <c r="X98" i="7"/>
  <c r="I109" i="7"/>
  <c r="I111" i="7"/>
  <c r="M111" i="7"/>
  <c r="Q103" i="7"/>
  <c r="U103" i="7"/>
  <c r="Y111" i="7"/>
  <c r="M103" i="7"/>
  <c r="AE117" i="1"/>
  <c r="AE138" i="1"/>
  <c r="AD205" i="1"/>
  <c r="AD244" i="1"/>
  <c r="AE248" i="1"/>
  <c r="K86" i="7"/>
  <c r="J86" i="7"/>
  <c r="O86" i="7"/>
  <c r="N86" i="7"/>
  <c r="S86" i="7"/>
  <c r="R86" i="7"/>
  <c r="W86" i="7"/>
  <c r="V86" i="7"/>
  <c r="J98" i="7"/>
  <c r="H98" i="7"/>
  <c r="U111" i="7"/>
  <c r="AA413" i="7"/>
  <c r="AA407" i="7"/>
  <c r="AA416" i="7"/>
  <c r="H437" i="7"/>
  <c r="H439" i="7"/>
  <c r="L439" i="7"/>
  <c r="T439" i="7"/>
  <c r="X439" i="7"/>
  <c r="Y431" i="7"/>
  <c r="Z431" i="7" s="1"/>
  <c r="K450" i="7"/>
  <c r="T450" i="7"/>
  <c r="S450" i="7"/>
  <c r="W450" i="7"/>
  <c r="K103" i="7"/>
  <c r="O103" i="7"/>
  <c r="S103" i="7"/>
  <c r="W103" i="7"/>
  <c r="P103" i="7"/>
  <c r="H375" i="7"/>
  <c r="H373" i="7"/>
  <c r="I419" i="7"/>
  <c r="I421" i="7" s="1"/>
  <c r="L375" i="7"/>
  <c r="M375" i="7"/>
  <c r="M419" i="7"/>
  <c r="P375" i="7"/>
  <c r="Q375" i="7"/>
  <c r="T375" i="7"/>
  <c r="X375" i="7"/>
  <c r="Y364" i="7"/>
  <c r="Z364" i="7" s="1"/>
  <c r="Y419" i="7"/>
  <c r="H390" i="7"/>
  <c r="H388" i="7"/>
  <c r="L390" i="7"/>
  <c r="P390" i="7"/>
  <c r="Q390" i="7"/>
  <c r="T390" i="7"/>
  <c r="U390" i="7"/>
  <c r="X390" i="7"/>
  <c r="Y378" i="7"/>
  <c r="M390" i="7"/>
  <c r="K395" i="7"/>
  <c r="W403" i="7"/>
  <c r="O403" i="7"/>
  <c r="I415" i="7"/>
  <c r="O408" i="7"/>
  <c r="P410" i="7" s="1"/>
  <c r="P407" i="7" s="1"/>
  <c r="S408" i="7"/>
  <c r="T410" i="7" s="1"/>
  <c r="U415" i="7"/>
  <c r="U419" i="7"/>
  <c r="L450" i="7"/>
  <c r="Q450" i="7"/>
  <c r="P450" i="7"/>
  <c r="U450" i="7"/>
  <c r="Y442" i="7"/>
  <c r="Z442" i="7" s="1"/>
  <c r="H450" i="7"/>
  <c r="L103" i="7"/>
  <c r="H109" i="7"/>
  <c r="L403" i="7"/>
  <c r="P395" i="7"/>
  <c r="U395" i="7"/>
  <c r="T395" i="7"/>
  <c r="X403" i="7"/>
  <c r="Y393" i="7"/>
  <c r="H395" i="7"/>
  <c r="P403" i="7"/>
  <c r="J415" i="7"/>
  <c r="K415" i="7"/>
  <c r="N415" i="7"/>
  <c r="N419" i="7"/>
  <c r="O415" i="7"/>
  <c r="R415" i="7"/>
  <c r="T408" i="7"/>
  <c r="U410" i="7" s="1"/>
  <c r="U413" i="7" s="1"/>
  <c r="R419" i="7"/>
  <c r="V415" i="7"/>
  <c r="X408" i="7"/>
  <c r="Y410" i="7" s="1"/>
  <c r="Y407" i="7" s="1"/>
  <c r="V419" i="7"/>
  <c r="V421" i="7" s="1"/>
  <c r="V375" i="7"/>
  <c r="I403" i="7"/>
  <c r="M403" i="7"/>
  <c r="Q403" i="7"/>
  <c r="U403" i="7"/>
  <c r="I395" i="7"/>
  <c r="R403" i="7"/>
  <c r="I410" i="7"/>
  <c r="I439" i="7"/>
  <c r="M439" i="7"/>
  <c r="Q439" i="7"/>
  <c r="U439" i="7"/>
  <c r="N439" i="7"/>
  <c r="J408" i="7"/>
  <c r="K410" i="7" s="1"/>
  <c r="K413" i="7" s="1"/>
  <c r="N408" i="7"/>
  <c r="O410" i="7" s="1"/>
  <c r="R408" i="7"/>
  <c r="S410" i="7" s="1"/>
  <c r="S407" i="7" s="1"/>
  <c r="V408" i="7"/>
  <c r="W410" i="7" s="1"/>
  <c r="I408" i="7"/>
  <c r="J410" i="7" s="1"/>
  <c r="J407" i="7" s="1"/>
  <c r="Y408" i="7"/>
  <c r="Z410" i="7" s="1"/>
  <c r="P415" i="7"/>
  <c r="J395" i="7"/>
  <c r="N395" i="7"/>
  <c r="R395" i="7"/>
  <c r="V395" i="7"/>
  <c r="BE116" i="2"/>
  <c r="O104" i="20"/>
  <c r="AF104" i="20" s="1"/>
  <c r="BA270" i="2"/>
  <c r="K121" i="20"/>
  <c r="M103" i="20"/>
  <c r="AD103" i="20" s="1"/>
  <c r="N103" i="20"/>
  <c r="AE103" i="20" s="1"/>
  <c r="M122" i="20"/>
  <c r="O118" i="20"/>
  <c r="K119" i="20"/>
  <c r="BB123" i="2"/>
  <c r="L112" i="20"/>
  <c r="AC112" i="20" s="1"/>
  <c r="BE268" i="2"/>
  <c r="O119" i="20"/>
  <c r="M120" i="20"/>
  <c r="O121" i="20"/>
  <c r="BA267" i="2"/>
  <c r="V299" i="17"/>
  <c r="BC121" i="2"/>
  <c r="M110" i="20"/>
  <c r="AD110" i="20" s="1"/>
  <c r="BC270" i="2"/>
  <c r="M121" i="20"/>
  <c r="BF270" i="2"/>
  <c r="P121" i="20"/>
  <c r="BB270" i="2"/>
  <c r="BD270" i="2"/>
  <c r="N121" i="20"/>
  <c r="N264" i="17"/>
  <c r="N253" i="17"/>
  <c r="N298" i="17"/>
  <c r="V298" i="17"/>
  <c r="N266" i="17"/>
  <c r="BF115" i="2"/>
  <c r="P103" i="20"/>
  <c r="AG103" i="20" s="1"/>
  <c r="BC116" i="2"/>
  <c r="M104" i="20"/>
  <c r="AD104" i="20" s="1"/>
  <c r="BD123" i="2"/>
  <c r="N112" i="20"/>
  <c r="AE112" i="20" s="1"/>
  <c r="BF121" i="2"/>
  <c r="P110" i="20"/>
  <c r="AG110" i="20" s="1"/>
  <c r="BB121" i="2"/>
  <c r="BA269" i="2"/>
  <c r="K120" i="20"/>
  <c r="BE269" i="2"/>
  <c r="O120" i="20"/>
  <c r="V297" i="17"/>
  <c r="BA271" i="2"/>
  <c r="K122" i="20"/>
  <c r="BE271" i="2"/>
  <c r="O122" i="20"/>
  <c r="V293" i="17"/>
  <c r="BC267" i="2"/>
  <c r="M118" i="20"/>
  <c r="BC268" i="2"/>
  <c r="M119" i="20"/>
  <c r="N110" i="20"/>
  <c r="AE110" i="20" s="1"/>
  <c r="BD121" i="2"/>
  <c r="J129" i="8"/>
  <c r="BF123" i="2"/>
  <c r="P112" i="20"/>
  <c r="AG112" i="20" s="1"/>
  <c r="BF116" i="2"/>
  <c r="P104" i="20"/>
  <c r="AG104" i="20" s="1"/>
  <c r="BD116" i="2"/>
  <c r="N104" i="20"/>
  <c r="AE104" i="20" s="1"/>
  <c r="BD269" i="2"/>
  <c r="N120" i="20"/>
  <c r="BD267" i="2"/>
  <c r="N118" i="20"/>
  <c r="BA121" i="2"/>
  <c r="K110" i="20"/>
  <c r="AB110" i="20" s="1"/>
  <c r="BE121" i="2"/>
  <c r="O110" i="20"/>
  <c r="AF110" i="20" s="1"/>
  <c r="BC123" i="2"/>
  <c r="M112" i="20"/>
  <c r="AD112" i="20" s="1"/>
  <c r="BE115" i="2"/>
  <c r="O103" i="20"/>
  <c r="AF103" i="20" s="1"/>
  <c r="BA123" i="2"/>
  <c r="K112" i="20"/>
  <c r="AB112" i="20" s="1"/>
  <c r="BE123" i="2"/>
  <c r="O112" i="20"/>
  <c r="AF112" i="20" s="1"/>
  <c r="I7" i="7"/>
  <c r="H1" i="7"/>
  <c r="AB407" i="7"/>
  <c r="Z735" i="7"/>
  <c r="Z747" i="7" s="1"/>
  <c r="AM747" i="7" s="1"/>
  <c r="AC406" i="7"/>
  <c r="AC408" i="7" s="1"/>
  <c r="AD410" i="7" s="1"/>
  <c r="AA735" i="7"/>
  <c r="AB733" i="7"/>
  <c r="AA827" i="7"/>
  <c r="AB827" i="7" s="1"/>
  <c r="AC827" i="7" s="1"/>
  <c r="AD827" i="7" s="1"/>
  <c r="AE827" i="7" s="1"/>
  <c r="AM827" i="7"/>
  <c r="AA254" i="7"/>
  <c r="AB254" i="7" s="1"/>
  <c r="AC254" i="7" s="1"/>
  <c r="AD254" i="7" s="1"/>
  <c r="AE254" i="7" s="1"/>
  <c r="AM254" i="7"/>
  <c r="AM834" i="7"/>
  <c r="AA834" i="7"/>
  <c r="AB834" i="7" s="1"/>
  <c r="AC834" i="7" s="1"/>
  <c r="AD834" i="7" s="1"/>
  <c r="AE834" i="7" s="1"/>
  <c r="AD406" i="7"/>
  <c r="AE290" i="2"/>
  <c r="AF290" i="2" s="1"/>
  <c r="AG290" i="2" s="1"/>
  <c r="AN259" i="20"/>
  <c r="AN33" i="20"/>
  <c r="AO61" i="20"/>
  <c r="AM254" i="20"/>
  <c r="AM29" i="20"/>
  <c r="AM224" i="20"/>
  <c r="AC284" i="2"/>
  <c r="AO60" i="20" s="1"/>
  <c r="J119" i="25"/>
  <c r="J103" i="25"/>
  <c r="J118" i="25"/>
  <c r="J120" i="25"/>
  <c r="K11" i="25"/>
  <c r="J121" i="25"/>
  <c r="J104" i="25"/>
  <c r="D255" i="2"/>
  <c r="AU255" i="2" s="1"/>
  <c r="E100" i="2"/>
  <c r="D256" i="2"/>
  <c r="AU256" i="2" s="1"/>
  <c r="D254" i="2"/>
  <c r="AU254" i="2" s="1"/>
  <c r="D253" i="2"/>
  <c r="AU253" i="2" s="1"/>
  <c r="D239" i="2"/>
  <c r="E510" i="20" s="1"/>
  <c r="V510" i="20" s="1"/>
  <c r="D238" i="2"/>
  <c r="AU238" i="2" s="1"/>
  <c r="Z459" i="20"/>
  <c r="Z465" i="20" s="1"/>
  <c r="AB453" i="20"/>
  <c r="AB459" i="20" s="1"/>
  <c r="AB465" i="20" s="1"/>
  <c r="G453" i="20"/>
  <c r="G16" i="20"/>
  <c r="H16" i="20" s="1"/>
  <c r="E99" i="20"/>
  <c r="I99" i="20" s="1"/>
  <c r="M99" i="20" s="1"/>
  <c r="I117" i="8"/>
  <c r="L413" i="7"/>
  <c r="AA747" i="7"/>
  <c r="AM735" i="7"/>
  <c r="J7" i="7"/>
  <c r="I1" i="7"/>
  <c r="AC733" i="7"/>
  <c r="AB735" i="7"/>
  <c r="AB747" i="7" s="1"/>
  <c r="AE406" i="7"/>
  <c r="AD408" i="7"/>
  <c r="AE410" i="7" s="1"/>
  <c r="AE413" i="7" s="1"/>
  <c r="K118" i="25"/>
  <c r="K121" i="25"/>
  <c r="K104" i="25"/>
  <c r="K119" i="25"/>
  <c r="K120" i="25"/>
  <c r="K103" i="25"/>
  <c r="L11" i="25"/>
  <c r="AO459" i="20"/>
  <c r="G459" i="20"/>
  <c r="G465" i="20" s="1"/>
  <c r="AQ453" i="20"/>
  <c r="I453" i="20"/>
  <c r="AO465" i="20"/>
  <c r="E256" i="2"/>
  <c r="AV256" i="2" s="1"/>
  <c r="E254" i="2"/>
  <c r="AV254" i="2" s="1"/>
  <c r="E253" i="2"/>
  <c r="AV253" i="2" s="1"/>
  <c r="E239" i="2"/>
  <c r="G510" i="20" s="1"/>
  <c r="E238" i="2"/>
  <c r="AV238" i="2" s="1"/>
  <c r="E255" i="2"/>
  <c r="AV255" i="2" s="1"/>
  <c r="F100" i="2"/>
  <c r="J117" i="8"/>
  <c r="I125" i="8"/>
  <c r="J1" i="7"/>
  <c r="K7" i="7"/>
  <c r="AC735" i="7"/>
  <c r="AC747" i="7" s="1"/>
  <c r="AD733" i="7"/>
  <c r="AE408" i="7"/>
  <c r="L121" i="25"/>
  <c r="L104" i="25"/>
  <c r="L120" i="25"/>
  <c r="L103" i="25"/>
  <c r="M11" i="25"/>
  <c r="L119" i="25"/>
  <c r="L118" i="25"/>
  <c r="AQ459" i="20"/>
  <c r="AQ465" i="20" s="1"/>
  <c r="AS453" i="20"/>
  <c r="AS459" i="20" s="1"/>
  <c r="AS465" i="20" s="1"/>
  <c r="F255" i="2"/>
  <c r="AW255" i="2" s="1"/>
  <c r="G100" i="2"/>
  <c r="F256" i="2"/>
  <c r="AW256" i="2" s="1"/>
  <c r="F254" i="2"/>
  <c r="AW254" i="2" s="1"/>
  <c r="F253" i="2"/>
  <c r="AW253" i="2" s="1"/>
  <c r="F239" i="2"/>
  <c r="I510" i="20" s="1"/>
  <c r="F238" i="2"/>
  <c r="I508" i="20" s="1"/>
  <c r="I459" i="20"/>
  <c r="I465" i="20" s="1"/>
  <c r="K453" i="20"/>
  <c r="K459" i="20" s="1"/>
  <c r="K465" i="20" s="1"/>
  <c r="K125" i="8"/>
  <c r="K117" i="8"/>
  <c r="J125" i="8"/>
  <c r="L7" i="7"/>
  <c r="K1" i="7"/>
  <c r="AE733" i="7"/>
  <c r="AE735" i="7" s="1"/>
  <c r="AD735" i="7"/>
  <c r="AD747" i="7" s="1"/>
  <c r="M120" i="25"/>
  <c r="M103" i="25"/>
  <c r="N11" i="25"/>
  <c r="M121" i="25"/>
  <c r="M104" i="25"/>
  <c r="M119" i="25"/>
  <c r="M118" i="25"/>
  <c r="G256" i="2"/>
  <c r="AX256" i="2" s="1"/>
  <c r="G254" i="2"/>
  <c r="AX254" i="2" s="1"/>
  <c r="G253" i="2"/>
  <c r="AX253" i="2" s="1"/>
  <c r="G239" i="2"/>
  <c r="K510" i="20" s="1"/>
  <c r="AB510" i="20" s="1"/>
  <c r="G238" i="2"/>
  <c r="AX238" i="2" s="1"/>
  <c r="G255" i="2"/>
  <c r="AX255" i="2" s="1"/>
  <c r="L117" i="8"/>
  <c r="L1" i="7"/>
  <c r="M7" i="7"/>
  <c r="AE747" i="7"/>
  <c r="N119" i="25"/>
  <c r="N120" i="25"/>
  <c r="N118" i="25"/>
  <c r="N103" i="25"/>
  <c r="O11" i="25"/>
  <c r="N121" i="25"/>
  <c r="N104" i="25"/>
  <c r="M117" i="8"/>
  <c r="L125" i="8"/>
  <c r="N7" i="7"/>
  <c r="M1" i="7"/>
  <c r="O118" i="25"/>
  <c r="O121" i="25"/>
  <c r="O104" i="25"/>
  <c r="O119" i="25"/>
  <c r="O120" i="25"/>
  <c r="O103" i="25"/>
  <c r="P11" i="25"/>
  <c r="N125" i="8"/>
  <c r="N117" i="8"/>
  <c r="M125" i="8"/>
  <c r="N1" i="7"/>
  <c r="O7" i="7"/>
  <c r="P121" i="25"/>
  <c r="P104" i="25"/>
  <c r="P120" i="25"/>
  <c r="P103" i="25"/>
  <c r="Q11" i="25"/>
  <c r="P118" i="25"/>
  <c r="P119" i="25"/>
  <c r="O125" i="8"/>
  <c r="O117" i="8"/>
  <c r="P7" i="7"/>
  <c r="O1" i="7"/>
  <c r="Q120" i="25"/>
  <c r="Q103" i="25"/>
  <c r="R11" i="25"/>
  <c r="Q119" i="25"/>
  <c r="Q104" i="25"/>
  <c r="Q118" i="25"/>
  <c r="Q121" i="25"/>
  <c r="P125" i="8"/>
  <c r="P117" i="8"/>
  <c r="P1" i="7"/>
  <c r="Q7" i="7"/>
  <c r="R119" i="25"/>
  <c r="R118" i="25"/>
  <c r="R120" i="25"/>
  <c r="R103" i="25"/>
  <c r="S11" i="25"/>
  <c r="R121" i="25"/>
  <c r="R104" i="25"/>
  <c r="Q125" i="8"/>
  <c r="Q117" i="8"/>
  <c r="Q1" i="7"/>
  <c r="R7" i="7"/>
  <c r="S118" i="25"/>
  <c r="S121" i="25"/>
  <c r="S104" i="25"/>
  <c r="S119" i="25"/>
  <c r="S120" i="25"/>
  <c r="S103" i="25"/>
  <c r="T11" i="25"/>
  <c r="R125" i="8"/>
  <c r="R117" i="8"/>
  <c r="S7" i="7"/>
  <c r="R1" i="7"/>
  <c r="T121" i="25"/>
  <c r="T104" i="25"/>
  <c r="T118" i="25"/>
  <c r="T120" i="25"/>
  <c r="T103" i="25"/>
  <c r="U11" i="25"/>
  <c r="T119" i="25"/>
  <c r="S117" i="8"/>
  <c r="T7" i="7"/>
  <c r="S1" i="7"/>
  <c r="U120" i="25"/>
  <c r="U103" i="25"/>
  <c r="V11" i="25"/>
  <c r="U121" i="25"/>
  <c r="U119" i="25"/>
  <c r="U118" i="25"/>
  <c r="U104" i="25"/>
  <c r="T117" i="8"/>
  <c r="T125" i="8" s="1"/>
  <c r="S125" i="8"/>
  <c r="U7" i="7"/>
  <c r="T1" i="7"/>
  <c r="V119" i="25"/>
  <c r="V120" i="25"/>
  <c r="V103" i="25"/>
  <c r="V118" i="25"/>
  <c r="W11" i="25"/>
  <c r="V121" i="25"/>
  <c r="V104" i="25"/>
  <c r="U117" i="8"/>
  <c r="V7" i="7"/>
  <c r="U1" i="7"/>
  <c r="W118" i="25"/>
  <c r="W121" i="25"/>
  <c r="W104" i="25"/>
  <c r="W119" i="25"/>
  <c r="W120" i="25"/>
  <c r="W103" i="25"/>
  <c r="X11" i="25"/>
  <c r="V117" i="8"/>
  <c r="U125" i="8"/>
  <c r="V1" i="7"/>
  <c r="W7" i="7"/>
  <c r="X121" i="25"/>
  <c r="X104" i="25"/>
  <c r="X120" i="25"/>
  <c r="X103" i="25"/>
  <c r="Y11" i="25"/>
  <c r="X119" i="25"/>
  <c r="X118" i="25"/>
  <c r="W117" i="8"/>
  <c r="W125" i="8" s="1"/>
  <c r="V125" i="8"/>
  <c r="X7" i="7"/>
  <c r="W1" i="7"/>
  <c r="Y120" i="25"/>
  <c r="Y103" i="25"/>
  <c r="Z11" i="25"/>
  <c r="Y119" i="25"/>
  <c r="Y121" i="25"/>
  <c r="Y104" i="25"/>
  <c r="Y118" i="25"/>
  <c r="X117" i="8"/>
  <c r="X1" i="7"/>
  <c r="Y7" i="7"/>
  <c r="Z119" i="25"/>
  <c r="Z120" i="25"/>
  <c r="Z118" i="25"/>
  <c r="Z103" i="25"/>
  <c r="AA11" i="25"/>
  <c r="Z121" i="25"/>
  <c r="Z104" i="25"/>
  <c r="Y117" i="8"/>
  <c r="X125" i="8"/>
  <c r="Z7" i="7"/>
  <c r="Y1" i="7"/>
  <c r="AA118" i="25"/>
  <c r="AA121" i="25"/>
  <c r="AA104" i="25"/>
  <c r="AA119" i="25"/>
  <c r="AA120" i="25"/>
  <c r="AA103" i="25"/>
  <c r="AB11" i="25"/>
  <c r="Z117" i="8"/>
  <c r="Y125" i="8"/>
  <c r="Z1" i="7"/>
  <c r="AA7" i="7"/>
  <c r="AB121" i="25"/>
  <c r="AB104" i="25"/>
  <c r="AB120" i="25"/>
  <c r="AB103" i="25"/>
  <c r="AC11" i="25"/>
  <c r="AB118" i="25"/>
  <c r="AB119" i="25"/>
  <c r="AA125" i="8"/>
  <c r="AA117" i="8"/>
  <c r="Z125" i="8"/>
  <c r="AB7" i="7"/>
  <c r="AA1" i="7"/>
  <c r="AC120" i="25"/>
  <c r="AC103" i="25"/>
  <c r="AD11" i="25"/>
  <c r="AC119" i="25"/>
  <c r="AC118" i="25"/>
  <c r="AC121" i="25"/>
  <c r="AC104" i="25"/>
  <c r="AB125" i="8"/>
  <c r="AB117" i="8"/>
  <c r="AB1" i="7"/>
  <c r="AC7" i="7"/>
  <c r="AE11" i="25"/>
  <c r="AD119" i="25"/>
  <c r="AD118" i="25"/>
  <c r="AD120" i="25"/>
  <c r="AD103" i="25"/>
  <c r="AD121" i="25"/>
  <c r="AD104" i="25"/>
  <c r="AC117" i="8"/>
  <c r="AC125" i="8" s="1"/>
  <c r="AD7" i="7"/>
  <c r="AC1" i="7"/>
  <c r="AE104" i="25"/>
  <c r="AE118" i="25"/>
  <c r="AE119" i="25"/>
  <c r="AE120" i="25"/>
  <c r="AE121" i="25"/>
  <c r="AE103" i="25"/>
  <c r="AD125" i="8"/>
  <c r="AD117" i="8"/>
  <c r="AE7" i="7"/>
  <c r="AE1" i="7" s="1"/>
  <c r="AD1" i="7"/>
  <c r="AE117" i="8"/>
  <c r="AE125" i="8" s="1"/>
  <c r="I270" i="2"/>
  <c r="AZ270" i="2" s="1"/>
  <c r="H269" i="2"/>
  <c r="I267" i="2"/>
  <c r="H270" i="2"/>
  <c r="AY270" i="2" s="1"/>
  <c r="H268" i="2"/>
  <c r="AY268" i="2" s="1"/>
  <c r="I269" i="2"/>
  <c r="AZ269" i="2" s="1"/>
  <c r="H267" i="2"/>
  <c r="AY267" i="2" s="1"/>
  <c r="H271" i="2"/>
  <c r="H116" i="2"/>
  <c r="AY116" i="2" s="1"/>
  <c r="I115" i="2"/>
  <c r="J103" i="20" s="1"/>
  <c r="AA103" i="20" s="1"/>
  <c r="H123" i="2"/>
  <c r="I123" i="2"/>
  <c r="H121" i="2"/>
  <c r="I110" i="20" s="1"/>
  <c r="Z110" i="20" s="1"/>
  <c r="H115" i="2"/>
  <c r="AY115" i="2" s="1"/>
  <c r="I121" i="2"/>
  <c r="AZ121" i="2" s="1"/>
  <c r="I116" i="2"/>
  <c r="AB281" i="1"/>
  <c r="AB134" i="8" s="1"/>
  <c r="AB258" i="1"/>
  <c r="AB259" i="1"/>
  <c r="AB255" i="1"/>
  <c r="AB254" i="1"/>
  <c r="AB242" i="1"/>
  <c r="AB251" i="1"/>
  <c r="AB243" i="1"/>
  <c r="AB250" i="1"/>
  <c r="AB231" i="1"/>
  <c r="AB232" i="1"/>
  <c r="AB240" i="1"/>
  <c r="AB237" i="1"/>
  <c r="AB235" i="1"/>
  <c r="J193" i="1"/>
  <c r="J304" i="7" s="1"/>
  <c r="K193" i="1"/>
  <c r="K304" i="7" s="1"/>
  <c r="L193" i="1"/>
  <c r="L304" i="7" s="1"/>
  <c r="M193" i="1"/>
  <c r="M304" i="7" s="1"/>
  <c r="N193" i="1"/>
  <c r="N304" i="7" s="1"/>
  <c r="O193" i="1"/>
  <c r="O304" i="7" s="1"/>
  <c r="P193" i="1"/>
  <c r="P304" i="7" s="1"/>
  <c r="Q193" i="1"/>
  <c r="Q304" i="7" s="1"/>
  <c r="R193" i="1"/>
  <c r="R304" i="7" s="1"/>
  <c r="S193" i="1"/>
  <c r="S304" i="7" s="1"/>
  <c r="T193" i="1"/>
  <c r="T304" i="7" s="1"/>
  <c r="U193" i="1"/>
  <c r="U304" i="7" s="1"/>
  <c r="V193" i="1"/>
  <c r="V304" i="7" s="1"/>
  <c r="W193" i="1"/>
  <c r="W304" i="7" s="1"/>
  <c r="X193" i="1"/>
  <c r="X304" i="7" s="1"/>
  <c r="Y193" i="1"/>
  <c r="Y304" i="7" s="1"/>
  <c r="Z193" i="1"/>
  <c r="Z304" i="7" s="1"/>
  <c r="AM304" i="7" s="1"/>
  <c r="AA193" i="1"/>
  <c r="AA304" i="7" s="1"/>
  <c r="AB193" i="1"/>
  <c r="I193" i="1"/>
  <c r="I304" i="7" s="1"/>
  <c r="H193" i="1"/>
  <c r="H304" i="7" s="1"/>
  <c r="G193" i="1"/>
  <c r="G304" i="7" s="1"/>
  <c r="L192" i="1"/>
  <c r="L297" i="7" s="1"/>
  <c r="M192" i="1"/>
  <c r="M297" i="7" s="1"/>
  <c r="N192" i="1"/>
  <c r="N297" i="7" s="1"/>
  <c r="O192" i="1"/>
  <c r="O297" i="7" s="1"/>
  <c r="P192" i="1"/>
  <c r="P297" i="7" s="1"/>
  <c r="Q192" i="1"/>
  <c r="Q297" i="7" s="1"/>
  <c r="R192" i="1"/>
  <c r="R297" i="7" s="1"/>
  <c r="S192" i="1"/>
  <c r="S297" i="7" s="1"/>
  <c r="T192" i="1"/>
  <c r="T297" i="7" s="1"/>
  <c r="U192" i="1"/>
  <c r="U297" i="7" s="1"/>
  <c r="V192" i="1"/>
  <c r="V297" i="7" s="1"/>
  <c r="W192" i="1"/>
  <c r="W297" i="7" s="1"/>
  <c r="X192" i="1"/>
  <c r="X297" i="7" s="1"/>
  <c r="Y192" i="1"/>
  <c r="Y297" i="7" s="1"/>
  <c r="Z192" i="1"/>
  <c r="Z297" i="7" s="1"/>
  <c r="AM297" i="7" s="1"/>
  <c r="AA192" i="1"/>
  <c r="AA297" i="7" s="1"/>
  <c r="AB192" i="1"/>
  <c r="H192" i="1"/>
  <c r="H297" i="7" s="1"/>
  <c r="I192" i="1"/>
  <c r="I297" i="7" s="1"/>
  <c r="J192" i="1"/>
  <c r="J297" i="7" s="1"/>
  <c r="K192" i="1"/>
  <c r="K297" i="7" s="1"/>
  <c r="G192" i="1"/>
  <c r="G297" i="7" s="1"/>
  <c r="AB266" i="1"/>
  <c r="AB219" i="1"/>
  <c r="AA219" i="1"/>
  <c r="G224" i="1"/>
  <c r="G34" i="8" s="1"/>
  <c r="G225" i="1"/>
  <c r="G39" i="8" s="1"/>
  <c r="H225" i="1"/>
  <c r="H39" i="8" s="1"/>
  <c r="I225" i="1"/>
  <c r="I39" i="8" s="1"/>
  <c r="J225" i="1"/>
  <c r="J39" i="8" s="1"/>
  <c r="K225" i="1"/>
  <c r="K39" i="8" s="1"/>
  <c r="L225" i="1"/>
  <c r="L39" i="8" s="1"/>
  <c r="M225" i="1"/>
  <c r="M39" i="8" s="1"/>
  <c r="N225" i="1"/>
  <c r="N39" i="8" s="1"/>
  <c r="O225" i="1"/>
  <c r="O39" i="8" s="1"/>
  <c r="P225" i="1"/>
  <c r="P39" i="8" s="1"/>
  <c r="Q225" i="1"/>
  <c r="Q39" i="8" s="1"/>
  <c r="R225" i="1"/>
  <c r="R39" i="8" s="1"/>
  <c r="S225" i="1"/>
  <c r="S39" i="8" s="1"/>
  <c r="T225" i="1"/>
  <c r="T39" i="8" s="1"/>
  <c r="U225" i="1"/>
  <c r="U39" i="8" s="1"/>
  <c r="V225" i="1"/>
  <c r="V39" i="8" s="1"/>
  <c r="W225" i="1"/>
  <c r="W39" i="8" s="1"/>
  <c r="X225" i="1"/>
  <c r="X39" i="8" s="1"/>
  <c r="Y225" i="1"/>
  <c r="Y39" i="8" s="1"/>
  <c r="Z225" i="1"/>
  <c r="Z39" i="8" s="1"/>
  <c r="AA225" i="1"/>
  <c r="AA39" i="8" s="1"/>
  <c r="AB225" i="1"/>
  <c r="AB39" i="8" s="1"/>
  <c r="G219" i="1"/>
  <c r="H219" i="1"/>
  <c r="I219" i="1"/>
  <c r="J219" i="1"/>
  <c r="K219" i="1"/>
  <c r="L219" i="1"/>
  <c r="M219" i="1"/>
  <c r="N219" i="1"/>
  <c r="O219" i="1"/>
  <c r="P219" i="1"/>
  <c r="Q219" i="1"/>
  <c r="R219" i="1"/>
  <c r="S219" i="1"/>
  <c r="T219" i="1"/>
  <c r="U219" i="1"/>
  <c r="V219" i="1"/>
  <c r="W219" i="1"/>
  <c r="X219" i="1"/>
  <c r="Y219" i="1"/>
  <c r="Z219" i="1"/>
  <c r="G235" i="1"/>
  <c r="H235" i="1"/>
  <c r="I235" i="1"/>
  <c r="J235" i="1"/>
  <c r="K235" i="1"/>
  <c r="L235" i="1"/>
  <c r="M235" i="1"/>
  <c r="N235" i="1"/>
  <c r="O235" i="1"/>
  <c r="P235" i="1"/>
  <c r="Q235" i="1"/>
  <c r="R235" i="1"/>
  <c r="S235" i="1"/>
  <c r="T235" i="1"/>
  <c r="U235" i="1"/>
  <c r="V235" i="1"/>
  <c r="W235" i="1"/>
  <c r="X235" i="1"/>
  <c r="Y235" i="1"/>
  <c r="Z235" i="1"/>
  <c r="AA235" i="1"/>
  <c r="G237" i="1"/>
  <c r="H237" i="1"/>
  <c r="I237" i="1"/>
  <c r="J237" i="1"/>
  <c r="K237" i="1"/>
  <c r="L237" i="1"/>
  <c r="M237" i="1"/>
  <c r="N237" i="1"/>
  <c r="O237" i="1"/>
  <c r="P237" i="1"/>
  <c r="Q237" i="1"/>
  <c r="Q140" i="7" s="1"/>
  <c r="R237" i="1"/>
  <c r="S237" i="1"/>
  <c r="T237" i="1"/>
  <c r="U237" i="1"/>
  <c r="V237" i="1"/>
  <c r="W237" i="1"/>
  <c r="X237" i="1"/>
  <c r="Y237" i="1"/>
  <c r="Z237" i="1"/>
  <c r="AA237" i="1"/>
  <c r="G231" i="1"/>
  <c r="H231" i="1"/>
  <c r="I231" i="1"/>
  <c r="J231" i="1"/>
  <c r="K231" i="1"/>
  <c r="L231" i="1"/>
  <c r="M231" i="1"/>
  <c r="N231" i="1"/>
  <c r="O231" i="1"/>
  <c r="P231" i="1"/>
  <c r="Q231" i="1"/>
  <c r="R231" i="1"/>
  <c r="S231" i="1"/>
  <c r="T231" i="1"/>
  <c r="U231" i="1"/>
  <c r="V231" i="1"/>
  <c r="W231" i="1"/>
  <c r="X231" i="1"/>
  <c r="Y231" i="1"/>
  <c r="Z231" i="1"/>
  <c r="AA231" i="1"/>
  <c r="G232" i="1"/>
  <c r="H232" i="1"/>
  <c r="I232" i="1"/>
  <c r="J232" i="1"/>
  <c r="K232" i="1"/>
  <c r="L232" i="1"/>
  <c r="M232" i="1"/>
  <c r="N232" i="1"/>
  <c r="O232" i="1"/>
  <c r="P232" i="1"/>
  <c r="Q232" i="1"/>
  <c r="R232" i="1"/>
  <c r="S232" i="1"/>
  <c r="T232" i="1"/>
  <c r="U232" i="1"/>
  <c r="V232" i="1"/>
  <c r="W232" i="1"/>
  <c r="X232" i="1"/>
  <c r="Y232" i="1"/>
  <c r="Z232" i="1"/>
  <c r="AA232" i="1"/>
  <c r="G240" i="1"/>
  <c r="H240" i="1"/>
  <c r="I240" i="1"/>
  <c r="J240" i="1"/>
  <c r="K240" i="1"/>
  <c r="L240" i="1"/>
  <c r="M240" i="1"/>
  <c r="N240" i="1"/>
  <c r="O240" i="1"/>
  <c r="P240" i="1"/>
  <c r="Q240" i="1"/>
  <c r="R240" i="1"/>
  <c r="S240" i="1"/>
  <c r="T240" i="1"/>
  <c r="U240" i="1"/>
  <c r="V240" i="1"/>
  <c r="W240" i="1"/>
  <c r="X240" i="1"/>
  <c r="Y240" i="1"/>
  <c r="Z240" i="1"/>
  <c r="AA240" i="1"/>
  <c r="G243" i="1"/>
  <c r="H243" i="1"/>
  <c r="I243" i="1"/>
  <c r="J243" i="1"/>
  <c r="K243" i="1"/>
  <c r="L243" i="1"/>
  <c r="M243" i="1"/>
  <c r="N243" i="1"/>
  <c r="O243" i="1"/>
  <c r="P243" i="1"/>
  <c r="Q243" i="1"/>
  <c r="R243" i="1"/>
  <c r="S243" i="1"/>
  <c r="T243" i="1"/>
  <c r="U243" i="1"/>
  <c r="V243" i="1"/>
  <c r="W243" i="1"/>
  <c r="X243" i="1"/>
  <c r="Y243" i="1"/>
  <c r="Z243" i="1"/>
  <c r="AA243" i="1"/>
  <c r="G246" i="1"/>
  <c r="H246" i="1"/>
  <c r="I246" i="1"/>
  <c r="J246" i="1"/>
  <c r="K246" i="1"/>
  <c r="L246" i="1"/>
  <c r="M246" i="1"/>
  <c r="N246" i="1"/>
  <c r="O246" i="1"/>
  <c r="P246" i="1"/>
  <c r="Q246" i="1"/>
  <c r="R246" i="1"/>
  <c r="S246" i="1"/>
  <c r="T246" i="1"/>
  <c r="U246" i="1"/>
  <c r="V246" i="1"/>
  <c r="W246" i="1"/>
  <c r="X246" i="1"/>
  <c r="Y246" i="1"/>
  <c r="Z246" i="1"/>
  <c r="AA246" i="1"/>
  <c r="G250" i="1"/>
  <c r="H250" i="1"/>
  <c r="I250" i="1"/>
  <c r="J250" i="1"/>
  <c r="K250" i="1"/>
  <c r="L250" i="1"/>
  <c r="M250" i="1"/>
  <c r="N250" i="1"/>
  <c r="O250" i="1"/>
  <c r="P250" i="1"/>
  <c r="Q250" i="1"/>
  <c r="R250" i="1"/>
  <c r="S250" i="1"/>
  <c r="T250" i="1"/>
  <c r="U250" i="1"/>
  <c r="V250" i="1"/>
  <c r="W250" i="1"/>
  <c r="X250" i="1"/>
  <c r="Y250" i="1"/>
  <c r="Z250" i="1"/>
  <c r="AA250" i="1"/>
  <c r="G254" i="1"/>
  <c r="H254" i="1"/>
  <c r="I254" i="1"/>
  <c r="K254" i="1"/>
  <c r="L254" i="1"/>
  <c r="M254" i="1"/>
  <c r="N254" i="1"/>
  <c r="O254" i="1"/>
  <c r="P254" i="1"/>
  <c r="Q254" i="1"/>
  <c r="R254" i="1"/>
  <c r="S254" i="1"/>
  <c r="T254" i="1"/>
  <c r="U254" i="1"/>
  <c r="V254" i="1"/>
  <c r="W254" i="1"/>
  <c r="X254" i="1"/>
  <c r="Y254" i="1"/>
  <c r="Z254" i="1"/>
  <c r="AA254" i="1"/>
  <c r="G242" i="1"/>
  <c r="H242" i="1"/>
  <c r="I242" i="1"/>
  <c r="J242" i="1"/>
  <c r="K242" i="1"/>
  <c r="L242" i="1"/>
  <c r="M242" i="1"/>
  <c r="N242" i="1"/>
  <c r="O242" i="1"/>
  <c r="P242" i="1"/>
  <c r="Q242" i="1"/>
  <c r="R242" i="1"/>
  <c r="S242" i="1"/>
  <c r="T242" i="1"/>
  <c r="U242" i="1"/>
  <c r="V242" i="1"/>
  <c r="W242" i="1"/>
  <c r="X242" i="1"/>
  <c r="Y242" i="1"/>
  <c r="Z242" i="1"/>
  <c r="AA242" i="1"/>
  <c r="G247" i="1"/>
  <c r="I247" i="1"/>
  <c r="J247" i="1"/>
  <c r="L247" i="1"/>
  <c r="M247" i="1"/>
  <c r="N247" i="1"/>
  <c r="O247" i="1"/>
  <c r="P247" i="1"/>
  <c r="Q247" i="1"/>
  <c r="R247" i="1"/>
  <c r="S247" i="1"/>
  <c r="T247" i="1"/>
  <c r="U247" i="1"/>
  <c r="V247" i="1"/>
  <c r="W247" i="1"/>
  <c r="X247" i="1"/>
  <c r="Y247" i="1"/>
  <c r="Z247" i="1"/>
  <c r="AA247" i="1"/>
  <c r="G251" i="1"/>
  <c r="H251" i="1"/>
  <c r="I251" i="1"/>
  <c r="J251" i="1"/>
  <c r="K251" i="1"/>
  <c r="L251" i="1"/>
  <c r="M251" i="1"/>
  <c r="N251" i="1"/>
  <c r="O251" i="1"/>
  <c r="P251" i="1"/>
  <c r="Q251" i="1"/>
  <c r="R251" i="1"/>
  <c r="S251" i="1"/>
  <c r="T251" i="1"/>
  <c r="U251" i="1"/>
  <c r="V251" i="1"/>
  <c r="W251" i="1"/>
  <c r="X251" i="1"/>
  <c r="Y251" i="1"/>
  <c r="Z251" i="1"/>
  <c r="AA251" i="1"/>
  <c r="G255" i="1"/>
  <c r="H255" i="1"/>
  <c r="I255" i="1"/>
  <c r="J255" i="1"/>
  <c r="K255" i="1"/>
  <c r="L255" i="1"/>
  <c r="M255" i="1"/>
  <c r="N255" i="1"/>
  <c r="O255" i="1"/>
  <c r="P255" i="1"/>
  <c r="Q255" i="1"/>
  <c r="R255" i="1"/>
  <c r="S255" i="1"/>
  <c r="T255" i="1"/>
  <c r="U255" i="1"/>
  <c r="V255" i="1"/>
  <c r="W255" i="1"/>
  <c r="X255" i="1"/>
  <c r="Y255" i="1"/>
  <c r="Z255" i="1"/>
  <c r="AA255" i="1"/>
  <c r="G258" i="1"/>
  <c r="H258" i="1"/>
  <c r="I258" i="1"/>
  <c r="J258" i="1"/>
  <c r="K258" i="1"/>
  <c r="L258" i="1"/>
  <c r="M258" i="1"/>
  <c r="N258" i="1"/>
  <c r="O258" i="1"/>
  <c r="P258" i="1"/>
  <c r="Q258" i="1"/>
  <c r="R258" i="1"/>
  <c r="S258" i="1"/>
  <c r="T258" i="1"/>
  <c r="U258" i="1"/>
  <c r="V258" i="1"/>
  <c r="W258" i="1"/>
  <c r="X258" i="1"/>
  <c r="Y258" i="1"/>
  <c r="Z258" i="1"/>
  <c r="AA258" i="1"/>
  <c r="G259" i="1"/>
  <c r="H259" i="1"/>
  <c r="I259" i="1"/>
  <c r="J259" i="1"/>
  <c r="K259" i="1"/>
  <c r="L259" i="1"/>
  <c r="M259" i="1"/>
  <c r="N259" i="1"/>
  <c r="O259" i="1"/>
  <c r="P259" i="1"/>
  <c r="Q259" i="1"/>
  <c r="R259" i="1"/>
  <c r="S259" i="1"/>
  <c r="T259" i="1"/>
  <c r="U259" i="1"/>
  <c r="V259" i="1"/>
  <c r="W259" i="1"/>
  <c r="X259" i="1"/>
  <c r="Y259" i="1"/>
  <c r="Z259" i="1"/>
  <c r="AA259" i="1"/>
  <c r="G266" i="1"/>
  <c r="H266" i="1"/>
  <c r="I266" i="1"/>
  <c r="J266" i="1"/>
  <c r="K266" i="1"/>
  <c r="L266" i="1"/>
  <c r="M266" i="1"/>
  <c r="N266" i="1"/>
  <c r="O266" i="1"/>
  <c r="P266" i="1"/>
  <c r="Q266" i="1"/>
  <c r="R266" i="1"/>
  <c r="S266" i="1"/>
  <c r="T266" i="1"/>
  <c r="U266" i="1"/>
  <c r="V266" i="1"/>
  <c r="W266" i="1"/>
  <c r="X266" i="1"/>
  <c r="Y266" i="1"/>
  <c r="Z266" i="1"/>
  <c r="AA266" i="1"/>
  <c r="H280" i="1"/>
  <c r="H29" i="8" s="1"/>
  <c r="H47" i="8" s="1"/>
  <c r="I280" i="1"/>
  <c r="I29" i="8" s="1"/>
  <c r="J280" i="1"/>
  <c r="J29" i="8" s="1"/>
  <c r="K280" i="1"/>
  <c r="K29" i="8" s="1"/>
  <c r="L280" i="1"/>
  <c r="L29" i="8" s="1"/>
  <c r="M280" i="1"/>
  <c r="M29" i="8" s="1"/>
  <c r="N280" i="1"/>
  <c r="N29" i="8" s="1"/>
  <c r="O280" i="1"/>
  <c r="O29" i="8" s="1"/>
  <c r="P280" i="1"/>
  <c r="P29" i="8" s="1"/>
  <c r="Q280" i="1"/>
  <c r="Q29" i="8" s="1"/>
  <c r="R280" i="1"/>
  <c r="R29" i="8" s="1"/>
  <c r="S280" i="1"/>
  <c r="S29" i="8" s="1"/>
  <c r="T280" i="1"/>
  <c r="T29" i="8" s="1"/>
  <c r="U280" i="1"/>
  <c r="U29" i="8" s="1"/>
  <c r="V280" i="1"/>
  <c r="V29" i="8" s="1"/>
  <c r="W280" i="1"/>
  <c r="W29" i="8" s="1"/>
  <c r="X280" i="1"/>
  <c r="X29" i="8" s="1"/>
  <c r="Y280" i="1"/>
  <c r="Y29" i="8" s="1"/>
  <c r="Z280" i="1"/>
  <c r="Z29" i="8" s="1"/>
  <c r="AA280" i="1"/>
  <c r="AA29" i="8" s="1"/>
  <c r="AB280" i="1"/>
  <c r="AB29" i="8" s="1"/>
  <c r="AC47" i="8" s="1"/>
  <c r="G281" i="1"/>
  <c r="G134" i="8" s="1"/>
  <c r="H281" i="1"/>
  <c r="H134" i="8" s="1"/>
  <c r="I281" i="1"/>
  <c r="I134" i="8" s="1"/>
  <c r="J281" i="1"/>
  <c r="J134" i="8" s="1"/>
  <c r="K281" i="1"/>
  <c r="K134" i="8" s="1"/>
  <c r="L281" i="1"/>
  <c r="L134" i="8" s="1"/>
  <c r="M281" i="1"/>
  <c r="M134" i="8" s="1"/>
  <c r="N281" i="1"/>
  <c r="N134" i="8" s="1"/>
  <c r="O281" i="1"/>
  <c r="O134" i="8" s="1"/>
  <c r="P281" i="1"/>
  <c r="P134" i="8" s="1"/>
  <c r="Q281" i="1"/>
  <c r="Q134" i="8" s="1"/>
  <c r="R281" i="1"/>
  <c r="R134" i="8" s="1"/>
  <c r="S281" i="1"/>
  <c r="S134" i="8" s="1"/>
  <c r="T281" i="1"/>
  <c r="T134" i="8" s="1"/>
  <c r="U281" i="1"/>
  <c r="U134" i="8" s="1"/>
  <c r="V281" i="1"/>
  <c r="V134" i="8" s="1"/>
  <c r="W281" i="1"/>
  <c r="W134" i="8" s="1"/>
  <c r="X281" i="1"/>
  <c r="X134" i="8" s="1"/>
  <c r="Y281" i="1"/>
  <c r="Y134" i="8" s="1"/>
  <c r="Z281" i="1"/>
  <c r="Z134" i="8" s="1"/>
  <c r="AA281" i="1"/>
  <c r="AA134" i="8" s="1"/>
  <c r="G285" i="1"/>
  <c r="G541" i="7" s="1"/>
  <c r="H285" i="1"/>
  <c r="H541" i="7" s="1"/>
  <c r="I285" i="1"/>
  <c r="I541" i="7" s="1"/>
  <c r="J285" i="1"/>
  <c r="J541" i="7" s="1"/>
  <c r="K285" i="1"/>
  <c r="K541" i="7" s="1"/>
  <c r="L285" i="1"/>
  <c r="L541" i="7" s="1"/>
  <c r="M285" i="1"/>
  <c r="M541" i="7" s="1"/>
  <c r="N285" i="1"/>
  <c r="N541" i="7" s="1"/>
  <c r="O285" i="1"/>
  <c r="O541" i="7" s="1"/>
  <c r="P285" i="1"/>
  <c r="P541" i="7" s="1"/>
  <c r="Q285" i="1"/>
  <c r="Q541" i="7" s="1"/>
  <c r="R285" i="1"/>
  <c r="R541" i="7" s="1"/>
  <c r="S285" i="1"/>
  <c r="S541" i="7" s="1"/>
  <c r="T285" i="1"/>
  <c r="T541" i="7" s="1"/>
  <c r="U285" i="1"/>
  <c r="U541" i="7" s="1"/>
  <c r="V285" i="1"/>
  <c r="V541" i="7" s="1"/>
  <c r="W285" i="1"/>
  <c r="W541" i="7" s="1"/>
  <c r="X285" i="1"/>
  <c r="X541" i="7" s="1"/>
  <c r="Y285" i="1"/>
  <c r="G286" i="1"/>
  <c r="G549" i="7" s="1"/>
  <c r="H286" i="1"/>
  <c r="H549" i="7" s="1"/>
  <c r="I286" i="1"/>
  <c r="I549" i="7" s="1"/>
  <c r="J286" i="1"/>
  <c r="J549" i="7" s="1"/>
  <c r="K286" i="1"/>
  <c r="K549" i="7" s="1"/>
  <c r="L286" i="1"/>
  <c r="L549" i="7" s="1"/>
  <c r="M286" i="1"/>
  <c r="M549" i="7" s="1"/>
  <c r="N286" i="1"/>
  <c r="N549" i="7" s="1"/>
  <c r="O286" i="1"/>
  <c r="O549" i="7" s="1"/>
  <c r="P286" i="1"/>
  <c r="P549" i="7" s="1"/>
  <c r="Q286" i="1"/>
  <c r="Q549" i="7" s="1"/>
  <c r="R286" i="1"/>
  <c r="R549" i="7" s="1"/>
  <c r="S286" i="1"/>
  <c r="S549" i="7" s="1"/>
  <c r="T286" i="1"/>
  <c r="T549" i="7" s="1"/>
  <c r="U286" i="1"/>
  <c r="U549" i="7" s="1"/>
  <c r="V286" i="1"/>
  <c r="V549" i="7" s="1"/>
  <c r="W569" i="7" s="1"/>
  <c r="W286" i="1"/>
  <c r="W549" i="7" s="1"/>
  <c r="X286" i="1"/>
  <c r="X549" i="7" s="1"/>
  <c r="Y286" i="1"/>
  <c r="G287" i="1"/>
  <c r="G542" i="7" s="1"/>
  <c r="H287" i="1"/>
  <c r="H542" i="7" s="1"/>
  <c r="I287" i="1"/>
  <c r="I542" i="7" s="1"/>
  <c r="J287" i="1"/>
  <c r="J542" i="7" s="1"/>
  <c r="K287" i="1"/>
  <c r="K542" i="7" s="1"/>
  <c r="L287" i="1"/>
  <c r="L542" i="7" s="1"/>
  <c r="M287" i="1"/>
  <c r="M542" i="7" s="1"/>
  <c r="N287" i="1"/>
  <c r="N542" i="7" s="1"/>
  <c r="O287" i="1"/>
  <c r="O542" i="7" s="1"/>
  <c r="P287" i="1"/>
  <c r="P542" i="7" s="1"/>
  <c r="Q287" i="1"/>
  <c r="Q542" i="7" s="1"/>
  <c r="R287" i="1"/>
  <c r="R542" i="7" s="1"/>
  <c r="S287" i="1"/>
  <c r="S542" i="7" s="1"/>
  <c r="T287" i="1"/>
  <c r="T542" i="7" s="1"/>
  <c r="U287" i="1"/>
  <c r="U542" i="7" s="1"/>
  <c r="V287" i="1"/>
  <c r="V542" i="7" s="1"/>
  <c r="W287" i="1"/>
  <c r="W542" i="7" s="1"/>
  <c r="X287" i="1"/>
  <c r="X542" i="7" s="1"/>
  <c r="Y287" i="1"/>
  <c r="G288" i="1"/>
  <c r="G543" i="7" s="1"/>
  <c r="H288" i="1"/>
  <c r="H543" i="7" s="1"/>
  <c r="I288" i="1"/>
  <c r="I543" i="7" s="1"/>
  <c r="J288" i="1"/>
  <c r="J543" i="7" s="1"/>
  <c r="K288" i="1"/>
  <c r="K543" i="7" s="1"/>
  <c r="L288" i="1"/>
  <c r="L543" i="7" s="1"/>
  <c r="M288" i="1"/>
  <c r="M543" i="7" s="1"/>
  <c r="N288" i="1"/>
  <c r="N543" i="7" s="1"/>
  <c r="O288" i="1"/>
  <c r="O543" i="7" s="1"/>
  <c r="P288" i="1"/>
  <c r="P543" i="7" s="1"/>
  <c r="Q288" i="1"/>
  <c r="Q543" i="7" s="1"/>
  <c r="R288" i="1"/>
  <c r="R543" i="7" s="1"/>
  <c r="S288" i="1"/>
  <c r="S543" i="7" s="1"/>
  <c r="T288" i="1"/>
  <c r="T543" i="7" s="1"/>
  <c r="U288" i="1"/>
  <c r="U543" i="7" s="1"/>
  <c r="V288" i="1"/>
  <c r="V543" i="7" s="1"/>
  <c r="W559" i="7" s="1"/>
  <c r="W288" i="1"/>
  <c r="W543" i="7" s="1"/>
  <c r="X288" i="1"/>
  <c r="X543" i="7" s="1"/>
  <c r="Y543" i="7" s="1"/>
  <c r="Z543" i="7" s="1"/>
  <c r="Y288" i="1"/>
  <c r="G289" i="1"/>
  <c r="G545" i="7" s="1"/>
  <c r="H289" i="1"/>
  <c r="H545" i="7" s="1"/>
  <c r="I289" i="1"/>
  <c r="I545" i="7" s="1"/>
  <c r="J289" i="1"/>
  <c r="J545" i="7" s="1"/>
  <c r="K289" i="1"/>
  <c r="K545" i="7" s="1"/>
  <c r="L289" i="1"/>
  <c r="L545" i="7" s="1"/>
  <c r="M289" i="1"/>
  <c r="M545" i="7" s="1"/>
  <c r="N289" i="1"/>
  <c r="N545" i="7" s="1"/>
  <c r="O289" i="1"/>
  <c r="O545" i="7" s="1"/>
  <c r="P289" i="1"/>
  <c r="P545" i="7" s="1"/>
  <c r="Q289" i="1"/>
  <c r="Q545" i="7" s="1"/>
  <c r="R289" i="1"/>
  <c r="R545" i="7" s="1"/>
  <c r="S289" i="1"/>
  <c r="S545" i="7" s="1"/>
  <c r="T289" i="1"/>
  <c r="T545" i="7" s="1"/>
  <c r="U289" i="1"/>
  <c r="U545" i="7" s="1"/>
  <c r="V289" i="1"/>
  <c r="V545" i="7" s="1"/>
  <c r="W289" i="1"/>
  <c r="W545" i="7" s="1"/>
  <c r="X289" i="1"/>
  <c r="X545" i="7" s="1"/>
  <c r="Y289" i="1"/>
  <c r="G19" i="1"/>
  <c r="G38" i="8" s="1"/>
  <c r="AB247" i="1"/>
  <c r="H247" i="1"/>
  <c r="AB246" i="1"/>
  <c r="K247" i="1"/>
  <c r="J254" i="1"/>
  <c r="G6" i="1"/>
  <c r="G8" i="8" s="1"/>
  <c r="G5" i="1"/>
  <c r="G7" i="8" s="1"/>
  <c r="AB218" i="1"/>
  <c r="AB47" i="23" s="1"/>
  <c r="AA218" i="1"/>
  <c r="AA47" i="23" s="1"/>
  <c r="Z218" i="1"/>
  <c r="Z47" i="23" s="1"/>
  <c r="Y218" i="1"/>
  <c r="Y47" i="23" s="1"/>
  <c r="X218" i="1"/>
  <c r="X47" i="23" s="1"/>
  <c r="W218" i="1"/>
  <c r="W47" i="23" s="1"/>
  <c r="V218" i="1"/>
  <c r="V47" i="23" s="1"/>
  <c r="U218" i="1"/>
  <c r="U47" i="23" s="1"/>
  <c r="T218" i="1"/>
  <c r="T47" i="23" s="1"/>
  <c r="S218" i="1"/>
  <c r="S47" i="23" s="1"/>
  <c r="R218" i="1"/>
  <c r="R47" i="23" s="1"/>
  <c r="Q218" i="1"/>
  <c r="Q47" i="23" s="1"/>
  <c r="P218" i="1"/>
  <c r="P47" i="23" s="1"/>
  <c r="O218" i="1"/>
  <c r="O47" i="23" s="1"/>
  <c r="N218" i="1"/>
  <c r="N47" i="23" s="1"/>
  <c r="M218" i="1"/>
  <c r="M47" i="23" s="1"/>
  <c r="L218" i="1"/>
  <c r="L47" i="23" s="1"/>
  <c r="K218" i="1"/>
  <c r="K47" i="23" s="1"/>
  <c r="J218" i="1"/>
  <c r="J47" i="23" s="1"/>
  <c r="I218" i="1"/>
  <c r="I47" i="23" s="1"/>
  <c r="H218" i="1"/>
  <c r="H47" i="23" s="1"/>
  <c r="G218" i="1"/>
  <c r="G47" i="23" s="1"/>
  <c r="AB217" i="1"/>
  <c r="AB45" i="23" s="1"/>
  <c r="AA217" i="1"/>
  <c r="AA45" i="23" s="1"/>
  <c r="Z217" i="1"/>
  <c r="Z45" i="23" s="1"/>
  <c r="Y217" i="1"/>
  <c r="Y45" i="23" s="1"/>
  <c r="X217" i="1"/>
  <c r="X45" i="23" s="1"/>
  <c r="W217" i="1"/>
  <c r="W45" i="23" s="1"/>
  <c r="V217" i="1"/>
  <c r="V45" i="23" s="1"/>
  <c r="U217" i="1"/>
  <c r="U45" i="23" s="1"/>
  <c r="T217" i="1"/>
  <c r="T45" i="23" s="1"/>
  <c r="S217" i="1"/>
  <c r="S45" i="23" s="1"/>
  <c r="R217" i="1"/>
  <c r="R45" i="23" s="1"/>
  <c r="Q217" i="1"/>
  <c r="Q45" i="23" s="1"/>
  <c r="P217" i="1"/>
  <c r="P45" i="23" s="1"/>
  <c r="O217" i="1"/>
  <c r="O45" i="23" s="1"/>
  <c r="N217" i="1"/>
  <c r="N45" i="23" s="1"/>
  <c r="M217" i="1"/>
  <c r="M45" i="23" s="1"/>
  <c r="L217" i="1"/>
  <c r="L45" i="23" s="1"/>
  <c r="K217" i="1"/>
  <c r="K45" i="23" s="1"/>
  <c r="J217" i="1"/>
  <c r="J45" i="23" s="1"/>
  <c r="I217" i="1"/>
  <c r="I45" i="23" s="1"/>
  <c r="H217" i="1"/>
  <c r="H45" i="23" s="1"/>
  <c r="G217" i="1"/>
  <c r="G45" i="23" s="1"/>
  <c r="AB216" i="1"/>
  <c r="AB46" i="23" s="1"/>
  <c r="AA216" i="1"/>
  <c r="AA46" i="23" s="1"/>
  <c r="Z216" i="1"/>
  <c r="Z46" i="23" s="1"/>
  <c r="Y216" i="1"/>
  <c r="Y46" i="23" s="1"/>
  <c r="X216" i="1"/>
  <c r="X46" i="23" s="1"/>
  <c r="W216" i="1"/>
  <c r="W46" i="23" s="1"/>
  <c r="V216" i="1"/>
  <c r="V46" i="23" s="1"/>
  <c r="U216" i="1"/>
  <c r="U46" i="23" s="1"/>
  <c r="T216" i="1"/>
  <c r="T46" i="23" s="1"/>
  <c r="S216" i="1"/>
  <c r="S46" i="23" s="1"/>
  <c r="R216" i="1"/>
  <c r="R46" i="23" s="1"/>
  <c r="Q216" i="1"/>
  <c r="Q46" i="23" s="1"/>
  <c r="P216" i="1"/>
  <c r="P46" i="23" s="1"/>
  <c r="O216" i="1"/>
  <c r="O46" i="23" s="1"/>
  <c r="N216" i="1"/>
  <c r="N46" i="23" s="1"/>
  <c r="M216" i="1"/>
  <c r="M46" i="23" s="1"/>
  <c r="L216" i="1"/>
  <c r="L46" i="23" s="1"/>
  <c r="K216" i="1"/>
  <c r="K46" i="23" s="1"/>
  <c r="J216" i="1"/>
  <c r="J46" i="23" s="1"/>
  <c r="I216" i="1"/>
  <c r="I46" i="23" s="1"/>
  <c r="H216" i="1"/>
  <c r="H46" i="23" s="1"/>
  <c r="G216" i="1"/>
  <c r="G46" i="23" s="1"/>
  <c r="CT27" i="16"/>
  <c r="CT78" i="17" s="1"/>
  <c r="CS27" i="16"/>
  <c r="CS78" i="17" s="1"/>
  <c r="CR27" i="16"/>
  <c r="CR78" i="17" s="1"/>
  <c r="CQ27" i="16"/>
  <c r="CQ78" i="17" s="1"/>
  <c r="CP27" i="16"/>
  <c r="CP78" i="17" s="1"/>
  <c r="CO27" i="16"/>
  <c r="CO78" i="17" s="1"/>
  <c r="CN27" i="16"/>
  <c r="CN78" i="17" s="1"/>
  <c r="CM27" i="16"/>
  <c r="CM78" i="17" s="1"/>
  <c r="CL27" i="16"/>
  <c r="CL78" i="17" s="1"/>
  <c r="CK27" i="16"/>
  <c r="CK78" i="17" s="1"/>
  <c r="CJ27" i="16"/>
  <c r="CJ78" i="17" s="1"/>
  <c r="CI27" i="16"/>
  <c r="CI78" i="17" s="1"/>
  <c r="CH27" i="16"/>
  <c r="CH78" i="17" s="1"/>
  <c r="CG27" i="16"/>
  <c r="CG78" i="17" s="1"/>
  <c r="CF27" i="16"/>
  <c r="CF78" i="17" s="1"/>
  <c r="CE27" i="16"/>
  <c r="CE78" i="17" s="1"/>
  <c r="CD27" i="16"/>
  <c r="CD78" i="17" s="1"/>
  <c r="CC27" i="16"/>
  <c r="CC78" i="17" s="1"/>
  <c r="CB27" i="16"/>
  <c r="CB78" i="17" s="1"/>
  <c r="CA27" i="16"/>
  <c r="CA78" i="17" s="1"/>
  <c r="BZ27" i="16"/>
  <c r="BZ78" i="17" s="1"/>
  <c r="BY27" i="16"/>
  <c r="BY78" i="17" s="1"/>
  <c r="BX27" i="16"/>
  <c r="BX78" i="17" s="1"/>
  <c r="BW27" i="16"/>
  <c r="BW78" i="17" s="1"/>
  <c r="BV27" i="16"/>
  <c r="BV78" i="17" s="1"/>
  <c r="BU27" i="16"/>
  <c r="BU78" i="17" s="1"/>
  <c r="BT27" i="16"/>
  <c r="BT78" i="17" s="1"/>
  <c r="BS27" i="16"/>
  <c r="BS78" i="17" s="1"/>
  <c r="BR27" i="16"/>
  <c r="BR78" i="17" s="1"/>
  <c r="BQ27" i="16"/>
  <c r="BQ78" i="17" s="1"/>
  <c r="BP27" i="16"/>
  <c r="BP78" i="17" s="1"/>
  <c r="BO27" i="16"/>
  <c r="BO78" i="17" s="1"/>
  <c r="BN27" i="16"/>
  <c r="BN78" i="17" s="1"/>
  <c r="BM27" i="16"/>
  <c r="BM78" i="17" s="1"/>
  <c r="BL27" i="16"/>
  <c r="BL78" i="17" s="1"/>
  <c r="BK27" i="16"/>
  <c r="BK78" i="17" s="1"/>
  <c r="BJ27" i="16"/>
  <c r="BJ78" i="17" s="1"/>
  <c r="BI27" i="16"/>
  <c r="BI78" i="17" s="1"/>
  <c r="BH27" i="16"/>
  <c r="BH78" i="17" s="1"/>
  <c r="BG27" i="16"/>
  <c r="BG78" i="17" s="1"/>
  <c r="BF27" i="16"/>
  <c r="BF78" i="17" s="1"/>
  <c r="BE27" i="16"/>
  <c r="BE78" i="17" s="1"/>
  <c r="BD27" i="16"/>
  <c r="BD78" i="17" s="1"/>
  <c r="BC27" i="16"/>
  <c r="BC78" i="17" s="1"/>
  <c r="BB27" i="16"/>
  <c r="BB78" i="17" s="1"/>
  <c r="BA27" i="16"/>
  <c r="BA78" i="17" s="1"/>
  <c r="AZ27" i="16"/>
  <c r="AZ78" i="17" s="1"/>
  <c r="AY27" i="16"/>
  <c r="AY78" i="17" s="1"/>
  <c r="AX27" i="16"/>
  <c r="AX78" i="17" s="1"/>
  <c r="AW27" i="16"/>
  <c r="AW78" i="17" s="1"/>
  <c r="AV27" i="16"/>
  <c r="AV78" i="17" s="1"/>
  <c r="AU27" i="16"/>
  <c r="AU78" i="17" s="1"/>
  <c r="AT27" i="16"/>
  <c r="AT78" i="17" s="1"/>
  <c r="AS27" i="16"/>
  <c r="AS78" i="17" s="1"/>
  <c r="AR27" i="16"/>
  <c r="AR78" i="17" s="1"/>
  <c r="AQ27" i="16"/>
  <c r="AQ78" i="17" s="1"/>
  <c r="AP27" i="16"/>
  <c r="AP78" i="17" s="1"/>
  <c r="AO27" i="16"/>
  <c r="AO78" i="17" s="1"/>
  <c r="AN27" i="16"/>
  <c r="AN78" i="17" s="1"/>
  <c r="AM27" i="16"/>
  <c r="AM78" i="17" s="1"/>
  <c r="AL27" i="16"/>
  <c r="AL78" i="17" s="1"/>
  <c r="AK27" i="16"/>
  <c r="AK78" i="17" s="1"/>
  <c r="AJ27" i="16"/>
  <c r="AJ78" i="17" s="1"/>
  <c r="AI27" i="16"/>
  <c r="AI78" i="17" s="1"/>
  <c r="AH27" i="16"/>
  <c r="AH78" i="17" s="1"/>
  <c r="AG27" i="16"/>
  <c r="AG78" i="17" s="1"/>
  <c r="AF27" i="16"/>
  <c r="AF78" i="17" s="1"/>
  <c r="AE27" i="16"/>
  <c r="AE78" i="17" s="1"/>
  <c r="AD27" i="16"/>
  <c r="AD78" i="17" s="1"/>
  <c r="AC27" i="16"/>
  <c r="AC78" i="17" s="1"/>
  <c r="AB27" i="16"/>
  <c r="AB78" i="17" s="1"/>
  <c r="AA27" i="16"/>
  <c r="AA78" i="17" s="1"/>
  <c r="Z27" i="16"/>
  <c r="Z78" i="17" s="1"/>
  <c r="Y27" i="16"/>
  <c r="Y78" i="17" s="1"/>
  <c r="X27" i="16"/>
  <c r="X78" i="17" s="1"/>
  <c r="W27" i="16"/>
  <c r="W78" i="17" s="1"/>
  <c r="V27" i="16"/>
  <c r="V78" i="17" s="1"/>
  <c r="U27" i="16"/>
  <c r="U78" i="17" s="1"/>
  <c r="T27" i="16"/>
  <c r="T78" i="17" s="1"/>
  <c r="S27" i="16"/>
  <c r="S78" i="17" s="1"/>
  <c r="R27" i="16"/>
  <c r="R78" i="17" s="1"/>
  <c r="Q27" i="16"/>
  <c r="Q78" i="17" s="1"/>
  <c r="P27" i="16"/>
  <c r="P78" i="17" s="1"/>
  <c r="O27" i="16"/>
  <c r="O78" i="17" s="1"/>
  <c r="N27" i="16"/>
  <c r="N78" i="17" s="1"/>
  <c r="M27" i="16"/>
  <c r="M78" i="17" s="1"/>
  <c r="L27" i="16"/>
  <c r="L78" i="17" s="1"/>
  <c r="K27" i="16"/>
  <c r="K78" i="17" s="1"/>
  <c r="J27" i="16"/>
  <c r="J78" i="17" s="1"/>
  <c r="I27" i="16"/>
  <c r="I78" i="17" s="1"/>
  <c r="H27" i="16"/>
  <c r="H78" i="17" s="1"/>
  <c r="G27" i="16"/>
  <c r="G78" i="17" s="1"/>
  <c r="CT26" i="16"/>
  <c r="CT77" i="17" s="1"/>
  <c r="CS26" i="16"/>
  <c r="CS77" i="17" s="1"/>
  <c r="CR26" i="16"/>
  <c r="CR77" i="17" s="1"/>
  <c r="CQ26" i="16"/>
  <c r="CQ77" i="17" s="1"/>
  <c r="CP26" i="16"/>
  <c r="CP77" i="17" s="1"/>
  <c r="CO26" i="16"/>
  <c r="CO77" i="17" s="1"/>
  <c r="CN26" i="16"/>
  <c r="CN77" i="17" s="1"/>
  <c r="CM26" i="16"/>
  <c r="CM77" i="17" s="1"/>
  <c r="CL26" i="16"/>
  <c r="CL77" i="17" s="1"/>
  <c r="CK26" i="16"/>
  <c r="CK77" i="17" s="1"/>
  <c r="CJ26" i="16"/>
  <c r="CJ77" i="17" s="1"/>
  <c r="CI26" i="16"/>
  <c r="CI77" i="17" s="1"/>
  <c r="CH26" i="16"/>
  <c r="CH77" i="17" s="1"/>
  <c r="CG26" i="16"/>
  <c r="CG77" i="17" s="1"/>
  <c r="CF26" i="16"/>
  <c r="CF77" i="17" s="1"/>
  <c r="CE26" i="16"/>
  <c r="CE77" i="17" s="1"/>
  <c r="CD26" i="16"/>
  <c r="CD77" i="17" s="1"/>
  <c r="CC26" i="16"/>
  <c r="CC77" i="17" s="1"/>
  <c r="CB26" i="16"/>
  <c r="CB77" i="17" s="1"/>
  <c r="CA26" i="16"/>
  <c r="CA77" i="17" s="1"/>
  <c r="BZ26" i="16"/>
  <c r="BZ77" i="17" s="1"/>
  <c r="BY26" i="16"/>
  <c r="BY77" i="17" s="1"/>
  <c r="BX26" i="16"/>
  <c r="BX77" i="17" s="1"/>
  <c r="BW26" i="16"/>
  <c r="BW77" i="17" s="1"/>
  <c r="BV26" i="16"/>
  <c r="BV77" i="17" s="1"/>
  <c r="BU26" i="16"/>
  <c r="BU77" i="17" s="1"/>
  <c r="BT26" i="16"/>
  <c r="BT77" i="17" s="1"/>
  <c r="BS26" i="16"/>
  <c r="BS77" i="17" s="1"/>
  <c r="BR26" i="16"/>
  <c r="BR77" i="17" s="1"/>
  <c r="BQ26" i="16"/>
  <c r="BQ77" i="17" s="1"/>
  <c r="BP26" i="16"/>
  <c r="BP77" i="17" s="1"/>
  <c r="BO26" i="16"/>
  <c r="BO77" i="17" s="1"/>
  <c r="BN26" i="16"/>
  <c r="BN77" i="17" s="1"/>
  <c r="BM26" i="16"/>
  <c r="BM77" i="17" s="1"/>
  <c r="BL26" i="16"/>
  <c r="BL77" i="17" s="1"/>
  <c r="BK26" i="16"/>
  <c r="BK77" i="17" s="1"/>
  <c r="BJ26" i="16"/>
  <c r="BJ77" i="17" s="1"/>
  <c r="BI26" i="16"/>
  <c r="BI77" i="17" s="1"/>
  <c r="BH26" i="16"/>
  <c r="BH77" i="17" s="1"/>
  <c r="BG26" i="16"/>
  <c r="BG77" i="17" s="1"/>
  <c r="BF26" i="16"/>
  <c r="BF77" i="17" s="1"/>
  <c r="BE26" i="16"/>
  <c r="BE77" i="17" s="1"/>
  <c r="BD26" i="16"/>
  <c r="BD77" i="17" s="1"/>
  <c r="BC26" i="16"/>
  <c r="BC77" i="17" s="1"/>
  <c r="BB26" i="16"/>
  <c r="BB77" i="17" s="1"/>
  <c r="BA26" i="16"/>
  <c r="BA77" i="17" s="1"/>
  <c r="AZ26" i="16"/>
  <c r="AZ77" i="17" s="1"/>
  <c r="AY26" i="16"/>
  <c r="AY77" i="17" s="1"/>
  <c r="AX26" i="16"/>
  <c r="AX77" i="17" s="1"/>
  <c r="AW26" i="16"/>
  <c r="AW77" i="17" s="1"/>
  <c r="AV26" i="16"/>
  <c r="AV77" i="17" s="1"/>
  <c r="AU26" i="16"/>
  <c r="AU77" i="17" s="1"/>
  <c r="AT26" i="16"/>
  <c r="AT77" i="17" s="1"/>
  <c r="AS26" i="16"/>
  <c r="AS77" i="17" s="1"/>
  <c r="AR26" i="16"/>
  <c r="AR77" i="17" s="1"/>
  <c r="AQ26" i="16"/>
  <c r="AQ77" i="17" s="1"/>
  <c r="AP26" i="16"/>
  <c r="AP77" i="17" s="1"/>
  <c r="AO26" i="16"/>
  <c r="AO77" i="17" s="1"/>
  <c r="AN26" i="16"/>
  <c r="AN77" i="17" s="1"/>
  <c r="AM26" i="16"/>
  <c r="AM77" i="17" s="1"/>
  <c r="AL26" i="16"/>
  <c r="AL77" i="17" s="1"/>
  <c r="AK26" i="16"/>
  <c r="AK77" i="17" s="1"/>
  <c r="AJ26" i="16"/>
  <c r="AJ77" i="17" s="1"/>
  <c r="AI26" i="16"/>
  <c r="AI77" i="17" s="1"/>
  <c r="AH26" i="16"/>
  <c r="AH77" i="17" s="1"/>
  <c r="AG26" i="16"/>
  <c r="AG77" i="17" s="1"/>
  <c r="AF26" i="16"/>
  <c r="AF77" i="17" s="1"/>
  <c r="AE26" i="16"/>
  <c r="AE77" i="17" s="1"/>
  <c r="AD26" i="16"/>
  <c r="AD77" i="17" s="1"/>
  <c r="AC26" i="16"/>
  <c r="AC77" i="17" s="1"/>
  <c r="AB26" i="16"/>
  <c r="AB77" i="17" s="1"/>
  <c r="AA26" i="16"/>
  <c r="AA77" i="17" s="1"/>
  <c r="Z26" i="16"/>
  <c r="Z77" i="17" s="1"/>
  <c r="Y26" i="16"/>
  <c r="Y77" i="17" s="1"/>
  <c r="X26" i="16"/>
  <c r="X77" i="17" s="1"/>
  <c r="W26" i="16"/>
  <c r="W77" i="17" s="1"/>
  <c r="V26" i="16"/>
  <c r="V77" i="17" s="1"/>
  <c r="U26" i="16"/>
  <c r="U77" i="17" s="1"/>
  <c r="T26" i="16"/>
  <c r="T77" i="17" s="1"/>
  <c r="S26" i="16"/>
  <c r="S77" i="17" s="1"/>
  <c r="R26" i="16"/>
  <c r="R77" i="17" s="1"/>
  <c r="Q26" i="16"/>
  <c r="Q77" i="17" s="1"/>
  <c r="P26" i="16"/>
  <c r="P77" i="17" s="1"/>
  <c r="O26" i="16"/>
  <c r="O77" i="17" s="1"/>
  <c r="N26" i="16"/>
  <c r="N77" i="17" s="1"/>
  <c r="M26" i="16"/>
  <c r="M77" i="17" s="1"/>
  <c r="L26" i="16"/>
  <c r="L77" i="17" s="1"/>
  <c r="K26" i="16"/>
  <c r="K77" i="17" s="1"/>
  <c r="J26" i="16"/>
  <c r="J77" i="17" s="1"/>
  <c r="I26" i="16"/>
  <c r="I77" i="17" s="1"/>
  <c r="H26" i="16"/>
  <c r="H77" i="17" s="1"/>
  <c r="G26" i="16"/>
  <c r="G77" i="17" s="1"/>
  <c r="CT25" i="16"/>
  <c r="CT76" i="17" s="1"/>
  <c r="CS25" i="16"/>
  <c r="CS76" i="17" s="1"/>
  <c r="CR25" i="16"/>
  <c r="CR76" i="17" s="1"/>
  <c r="CQ25" i="16"/>
  <c r="CQ76" i="17" s="1"/>
  <c r="CP25" i="16"/>
  <c r="CP76" i="17" s="1"/>
  <c r="CO25" i="16"/>
  <c r="CO76" i="17" s="1"/>
  <c r="CN25" i="16"/>
  <c r="CN76" i="17" s="1"/>
  <c r="CM25" i="16"/>
  <c r="CM76" i="17" s="1"/>
  <c r="CL25" i="16"/>
  <c r="CL76" i="17" s="1"/>
  <c r="CK25" i="16"/>
  <c r="CK76" i="17" s="1"/>
  <c r="CJ25" i="16"/>
  <c r="CJ76" i="17" s="1"/>
  <c r="CI25" i="16"/>
  <c r="CI76" i="17" s="1"/>
  <c r="CH25" i="16"/>
  <c r="CH76" i="17" s="1"/>
  <c r="CG25" i="16"/>
  <c r="CG76" i="17" s="1"/>
  <c r="CF25" i="16"/>
  <c r="CF76" i="17" s="1"/>
  <c r="CE25" i="16"/>
  <c r="CE76" i="17" s="1"/>
  <c r="CD25" i="16"/>
  <c r="CD76" i="17" s="1"/>
  <c r="CC25" i="16"/>
  <c r="CC76" i="17" s="1"/>
  <c r="CB25" i="16"/>
  <c r="CB76" i="17" s="1"/>
  <c r="CA25" i="16"/>
  <c r="CA76" i="17" s="1"/>
  <c r="BZ25" i="16"/>
  <c r="BZ76" i="17" s="1"/>
  <c r="BY25" i="16"/>
  <c r="BY76" i="17" s="1"/>
  <c r="BX25" i="16"/>
  <c r="BX76" i="17" s="1"/>
  <c r="BW25" i="16"/>
  <c r="BW76" i="17" s="1"/>
  <c r="BV25" i="16"/>
  <c r="BV76" i="17" s="1"/>
  <c r="BU25" i="16"/>
  <c r="BU76" i="17" s="1"/>
  <c r="BT25" i="16"/>
  <c r="BT76" i="17" s="1"/>
  <c r="BS25" i="16"/>
  <c r="BS76" i="17" s="1"/>
  <c r="BR25" i="16"/>
  <c r="BR76" i="17" s="1"/>
  <c r="BQ25" i="16"/>
  <c r="BQ76" i="17" s="1"/>
  <c r="BP25" i="16"/>
  <c r="BP76" i="17" s="1"/>
  <c r="BO25" i="16"/>
  <c r="BO76" i="17" s="1"/>
  <c r="BN25" i="16"/>
  <c r="BN76" i="17" s="1"/>
  <c r="BM25" i="16"/>
  <c r="BM76" i="17" s="1"/>
  <c r="BL25" i="16"/>
  <c r="BL76" i="17" s="1"/>
  <c r="BK25" i="16"/>
  <c r="BK76" i="17" s="1"/>
  <c r="BJ25" i="16"/>
  <c r="BJ76" i="17" s="1"/>
  <c r="BI25" i="16"/>
  <c r="BI76" i="17" s="1"/>
  <c r="BH25" i="16"/>
  <c r="BH76" i="17" s="1"/>
  <c r="BG25" i="16"/>
  <c r="BG76" i="17" s="1"/>
  <c r="BF25" i="16"/>
  <c r="BF76" i="17" s="1"/>
  <c r="BE25" i="16"/>
  <c r="BE76" i="17" s="1"/>
  <c r="BD25" i="16"/>
  <c r="BD76" i="17" s="1"/>
  <c r="BC25" i="16"/>
  <c r="BC76" i="17" s="1"/>
  <c r="BB25" i="16"/>
  <c r="BB76" i="17" s="1"/>
  <c r="BA25" i="16"/>
  <c r="BA76" i="17" s="1"/>
  <c r="AZ25" i="16"/>
  <c r="AZ76" i="17" s="1"/>
  <c r="AY25" i="16"/>
  <c r="AY76" i="17" s="1"/>
  <c r="AX25" i="16"/>
  <c r="AX76" i="17" s="1"/>
  <c r="AW25" i="16"/>
  <c r="AW76" i="17" s="1"/>
  <c r="AV25" i="16"/>
  <c r="AV76" i="17" s="1"/>
  <c r="AU25" i="16"/>
  <c r="AU76" i="17" s="1"/>
  <c r="AT25" i="16"/>
  <c r="AT76" i="17" s="1"/>
  <c r="AS25" i="16"/>
  <c r="AS76" i="17" s="1"/>
  <c r="AR25" i="16"/>
  <c r="AR76" i="17" s="1"/>
  <c r="AQ25" i="16"/>
  <c r="AQ76" i="17" s="1"/>
  <c r="AP25" i="16"/>
  <c r="AP76" i="17" s="1"/>
  <c r="AO25" i="16"/>
  <c r="AO76" i="17" s="1"/>
  <c r="AN25" i="16"/>
  <c r="AN76" i="17" s="1"/>
  <c r="AM25" i="16"/>
  <c r="AM76" i="17" s="1"/>
  <c r="AL25" i="16"/>
  <c r="AL76" i="17" s="1"/>
  <c r="AK25" i="16"/>
  <c r="AK76" i="17" s="1"/>
  <c r="AJ25" i="16"/>
  <c r="AJ76" i="17" s="1"/>
  <c r="AI25" i="16"/>
  <c r="AI76" i="17" s="1"/>
  <c r="AH25" i="16"/>
  <c r="AH76" i="17" s="1"/>
  <c r="AG25" i="16"/>
  <c r="AG76" i="17" s="1"/>
  <c r="AF25" i="16"/>
  <c r="AF76" i="17" s="1"/>
  <c r="AE25" i="16"/>
  <c r="AE76" i="17" s="1"/>
  <c r="AD25" i="16"/>
  <c r="AD76" i="17" s="1"/>
  <c r="AC25" i="16"/>
  <c r="AC76" i="17" s="1"/>
  <c r="AB25" i="16"/>
  <c r="AB76" i="17" s="1"/>
  <c r="AA25" i="16"/>
  <c r="AA76" i="17" s="1"/>
  <c r="Z25" i="16"/>
  <c r="Z76" i="17" s="1"/>
  <c r="Y25" i="16"/>
  <c r="Y76" i="17" s="1"/>
  <c r="X25" i="16"/>
  <c r="X76" i="17" s="1"/>
  <c r="W25" i="16"/>
  <c r="W76" i="17" s="1"/>
  <c r="V25" i="16"/>
  <c r="V76" i="17" s="1"/>
  <c r="U25" i="16"/>
  <c r="U76" i="17" s="1"/>
  <c r="T25" i="16"/>
  <c r="T76" i="17" s="1"/>
  <c r="S25" i="16"/>
  <c r="S76" i="17" s="1"/>
  <c r="R25" i="16"/>
  <c r="R76" i="17" s="1"/>
  <c r="Q25" i="16"/>
  <c r="Q76" i="17" s="1"/>
  <c r="P25" i="16"/>
  <c r="P76" i="17" s="1"/>
  <c r="O25" i="16"/>
  <c r="O76" i="17" s="1"/>
  <c r="N25" i="16"/>
  <c r="N76" i="17" s="1"/>
  <c r="M25" i="16"/>
  <c r="M76" i="17" s="1"/>
  <c r="L25" i="16"/>
  <c r="L76" i="17" s="1"/>
  <c r="K25" i="16"/>
  <c r="K76" i="17" s="1"/>
  <c r="J25" i="16"/>
  <c r="J76" i="17" s="1"/>
  <c r="I25" i="16"/>
  <c r="I76" i="17" s="1"/>
  <c r="H25" i="16"/>
  <c r="H76" i="17" s="1"/>
  <c r="G25" i="16"/>
  <c r="G76" i="17" s="1"/>
  <c r="CT10" i="16"/>
  <c r="CT205" i="17" s="1"/>
  <c r="CS10" i="16"/>
  <c r="CS205" i="17" s="1"/>
  <c r="CR10" i="16"/>
  <c r="CR205" i="17" s="1"/>
  <c r="CQ10" i="16"/>
  <c r="CQ205" i="17" s="1"/>
  <c r="CP10" i="16"/>
  <c r="CP205" i="17" s="1"/>
  <c r="CP225" i="17" s="1"/>
  <c r="CO10" i="16"/>
  <c r="CO205" i="17" s="1"/>
  <c r="CN10" i="16"/>
  <c r="CN205" i="17" s="1"/>
  <c r="CN225" i="17" s="1"/>
  <c r="CM10" i="16"/>
  <c r="CM205" i="17" s="1"/>
  <c r="CL10" i="16"/>
  <c r="CL205" i="17" s="1"/>
  <c r="CL225" i="17" s="1"/>
  <c r="CK10" i="16"/>
  <c r="CK205" i="17" s="1"/>
  <c r="CJ10" i="16"/>
  <c r="CJ205" i="17" s="1"/>
  <c r="CI10" i="16"/>
  <c r="CI205" i="17" s="1"/>
  <c r="CH10" i="16"/>
  <c r="CH205" i="17" s="1"/>
  <c r="CH225" i="17" s="1"/>
  <c r="CG10" i="16"/>
  <c r="CG205" i="17" s="1"/>
  <c r="CF10" i="16"/>
  <c r="CF205" i="17" s="1"/>
  <c r="CF225" i="17" s="1"/>
  <c r="CE10" i="16"/>
  <c r="CE205" i="17" s="1"/>
  <c r="CD10" i="16"/>
  <c r="CD205" i="17" s="1"/>
  <c r="CC10" i="16"/>
  <c r="CC205" i="17" s="1"/>
  <c r="CB10" i="16"/>
  <c r="CB205" i="17" s="1"/>
  <c r="CA10" i="16"/>
  <c r="CA205" i="17" s="1"/>
  <c r="BZ10" i="16"/>
  <c r="BZ205" i="17" s="1"/>
  <c r="BY10" i="16"/>
  <c r="BY205" i="17" s="1"/>
  <c r="BY225" i="17" s="1"/>
  <c r="BX10" i="16"/>
  <c r="BX205" i="17" s="1"/>
  <c r="BX225" i="17" s="1"/>
  <c r="BW10" i="16"/>
  <c r="BW205" i="17" s="1"/>
  <c r="BW225" i="17" s="1"/>
  <c r="BV10" i="16"/>
  <c r="BV205" i="17" s="1"/>
  <c r="BV225" i="17" s="1"/>
  <c r="BU10" i="16"/>
  <c r="BU205" i="17" s="1"/>
  <c r="BT10" i="16"/>
  <c r="BT205" i="17" s="1"/>
  <c r="BS10" i="16"/>
  <c r="BS205" i="17" s="1"/>
  <c r="BR10" i="16"/>
  <c r="BR205" i="17" s="1"/>
  <c r="BQ10" i="16"/>
  <c r="BQ205" i="17" s="1"/>
  <c r="BP10" i="16"/>
  <c r="BP205" i="17" s="1"/>
  <c r="BO10" i="16"/>
  <c r="BO205" i="17" s="1"/>
  <c r="BN10" i="16"/>
  <c r="BN205" i="17" s="1"/>
  <c r="BM10" i="16"/>
  <c r="BM205" i="17" s="1"/>
  <c r="BL10" i="16"/>
  <c r="BL205" i="17" s="1"/>
  <c r="BK10" i="16"/>
  <c r="BK205" i="17" s="1"/>
  <c r="BJ10" i="16"/>
  <c r="BJ205" i="17" s="1"/>
  <c r="BI10" i="16"/>
  <c r="BI205" i="17" s="1"/>
  <c r="BH10" i="16"/>
  <c r="BH205" i="17" s="1"/>
  <c r="BG10" i="16"/>
  <c r="BG205" i="17" s="1"/>
  <c r="BF10" i="16"/>
  <c r="BF205" i="17" s="1"/>
  <c r="BE10" i="16"/>
  <c r="BE205" i="17" s="1"/>
  <c r="BD10" i="16"/>
  <c r="BD205" i="17" s="1"/>
  <c r="BC10" i="16"/>
  <c r="BC205" i="17" s="1"/>
  <c r="BB10" i="16"/>
  <c r="BB205" i="17" s="1"/>
  <c r="BA10" i="16"/>
  <c r="BA205" i="17" s="1"/>
  <c r="AZ10" i="16"/>
  <c r="AZ205" i="17" s="1"/>
  <c r="AY10" i="16"/>
  <c r="AY205" i="17" s="1"/>
  <c r="AX10" i="16"/>
  <c r="AX205" i="17" s="1"/>
  <c r="AW10" i="16"/>
  <c r="AW205" i="17" s="1"/>
  <c r="AV10" i="16"/>
  <c r="AV205" i="17" s="1"/>
  <c r="AU10" i="16"/>
  <c r="AU205" i="17" s="1"/>
  <c r="AU225" i="17" s="1"/>
  <c r="AT10" i="16"/>
  <c r="AT205" i="17" s="1"/>
  <c r="AS10" i="16"/>
  <c r="AS205" i="17" s="1"/>
  <c r="AR10" i="16"/>
  <c r="AR205" i="17" s="1"/>
  <c r="AR225" i="17" s="1"/>
  <c r="AQ10" i="16"/>
  <c r="AQ205" i="17" s="1"/>
  <c r="AP10" i="16"/>
  <c r="AP205" i="17" s="1"/>
  <c r="AO10" i="16"/>
  <c r="AO205" i="17" s="1"/>
  <c r="AN10" i="16"/>
  <c r="AN205" i="17" s="1"/>
  <c r="AM10" i="16"/>
  <c r="AM205" i="17" s="1"/>
  <c r="AL10" i="16"/>
  <c r="AL205" i="17" s="1"/>
  <c r="AK10" i="16"/>
  <c r="AK205" i="17" s="1"/>
  <c r="AJ10" i="16"/>
  <c r="AJ205" i="17" s="1"/>
  <c r="AJ225" i="17" s="1"/>
  <c r="AI10" i="16"/>
  <c r="AI205" i="17" s="1"/>
  <c r="AH10" i="16"/>
  <c r="AH205" i="17" s="1"/>
  <c r="AH225" i="17" s="1"/>
  <c r="AG10" i="16"/>
  <c r="AG205" i="17" s="1"/>
  <c r="AF10" i="16"/>
  <c r="AF205" i="17" s="1"/>
  <c r="AE10" i="16"/>
  <c r="AE205" i="17" s="1"/>
  <c r="AD10" i="16"/>
  <c r="AD205" i="17" s="1"/>
  <c r="AC10" i="16"/>
  <c r="AC205" i="17" s="1"/>
  <c r="AC225" i="17" s="1"/>
  <c r="AB10" i="16"/>
  <c r="AB205" i="17" s="1"/>
  <c r="AA10" i="16"/>
  <c r="AA205" i="17" s="1"/>
  <c r="Z10" i="16"/>
  <c r="Z205" i="17" s="1"/>
  <c r="Y10" i="16"/>
  <c r="Y205" i="17" s="1"/>
  <c r="X10" i="16"/>
  <c r="X205" i="17" s="1"/>
  <c r="W10" i="16"/>
  <c r="W205" i="17" s="1"/>
  <c r="W225" i="17" s="1"/>
  <c r="V10" i="16"/>
  <c r="V205" i="17" s="1"/>
  <c r="U10" i="16"/>
  <c r="U205" i="17" s="1"/>
  <c r="T10" i="16"/>
  <c r="T205" i="17" s="1"/>
  <c r="S10" i="16"/>
  <c r="S205" i="17" s="1"/>
  <c r="R10" i="16"/>
  <c r="R205" i="17" s="1"/>
  <c r="Q10" i="16"/>
  <c r="Q205" i="17" s="1"/>
  <c r="P10" i="16"/>
  <c r="P205" i="17" s="1"/>
  <c r="O10" i="16"/>
  <c r="O205" i="17" s="1"/>
  <c r="N10" i="16"/>
  <c r="N205" i="17" s="1"/>
  <c r="M10" i="16"/>
  <c r="M205" i="17" s="1"/>
  <c r="L10" i="16"/>
  <c r="L205" i="17" s="1"/>
  <c r="K10" i="16"/>
  <c r="K205" i="17" s="1"/>
  <c r="K225" i="17" s="1"/>
  <c r="J10" i="16"/>
  <c r="J205" i="17" s="1"/>
  <c r="I10" i="16"/>
  <c r="I205" i="17" s="1"/>
  <c r="H10" i="16"/>
  <c r="H205" i="17" s="1"/>
  <c r="G10" i="16"/>
  <c r="G205" i="17" s="1"/>
  <c r="G225" i="17" s="1"/>
  <c r="CT9" i="16"/>
  <c r="CT164" i="17" s="1"/>
  <c r="CS9" i="16"/>
  <c r="CS164" i="17" s="1"/>
  <c r="CR9" i="16"/>
  <c r="CR164" i="17" s="1"/>
  <c r="CQ9" i="16"/>
  <c r="CQ164" i="17" s="1"/>
  <c r="CP9" i="16"/>
  <c r="CP164" i="17" s="1"/>
  <c r="CP184" i="17" s="1"/>
  <c r="CO9" i="16"/>
  <c r="CO164" i="17" s="1"/>
  <c r="CN9" i="16"/>
  <c r="CN164" i="17" s="1"/>
  <c r="CM9" i="16"/>
  <c r="CM164" i="17" s="1"/>
  <c r="CM184" i="17" s="1"/>
  <c r="CL9" i="16"/>
  <c r="CL164" i="17" s="1"/>
  <c r="CK9" i="16"/>
  <c r="CK164" i="17" s="1"/>
  <c r="CJ9" i="16"/>
  <c r="CJ164" i="17" s="1"/>
  <c r="CI9" i="16"/>
  <c r="CI164" i="17" s="1"/>
  <c r="CI184" i="17" s="1"/>
  <c r="CH9" i="16"/>
  <c r="CH164" i="17" s="1"/>
  <c r="CG9" i="16"/>
  <c r="CG164" i="17" s="1"/>
  <c r="CF9" i="16"/>
  <c r="CF164" i="17" s="1"/>
  <c r="CE9" i="16"/>
  <c r="CE164" i="17" s="1"/>
  <c r="CD9" i="16"/>
  <c r="CD164" i="17" s="1"/>
  <c r="CC9" i="16"/>
  <c r="CC164" i="17" s="1"/>
  <c r="CC184" i="17" s="1"/>
  <c r="CB9" i="16"/>
  <c r="CB164" i="17" s="1"/>
  <c r="CB184" i="17" s="1"/>
  <c r="CA9" i="16"/>
  <c r="CA164" i="17" s="1"/>
  <c r="CA184" i="17" s="1"/>
  <c r="BZ9" i="16"/>
  <c r="BZ164" i="17" s="1"/>
  <c r="BY9" i="16"/>
  <c r="BY164" i="17" s="1"/>
  <c r="BX9" i="16"/>
  <c r="BX164" i="17" s="1"/>
  <c r="BW9" i="16"/>
  <c r="BW164" i="17" s="1"/>
  <c r="BV9" i="16"/>
  <c r="BV164" i="17" s="1"/>
  <c r="BU9" i="16"/>
  <c r="BU164" i="17" s="1"/>
  <c r="BT9" i="16"/>
  <c r="BT164" i="17" s="1"/>
  <c r="BS9" i="16"/>
  <c r="BS164" i="17" s="1"/>
  <c r="BR9" i="16"/>
  <c r="BR164" i="17" s="1"/>
  <c r="BQ9" i="16"/>
  <c r="BQ164" i="17" s="1"/>
  <c r="BP9" i="16"/>
  <c r="BP164" i="17" s="1"/>
  <c r="BO9" i="16"/>
  <c r="BO164" i="17" s="1"/>
  <c r="BO184" i="17" s="1"/>
  <c r="BN9" i="16"/>
  <c r="BN164" i="17" s="1"/>
  <c r="BM9" i="16"/>
  <c r="BM164" i="17" s="1"/>
  <c r="BL9" i="16"/>
  <c r="BL164" i="17" s="1"/>
  <c r="BK9" i="16"/>
  <c r="BK164" i="17" s="1"/>
  <c r="BJ9" i="16"/>
  <c r="BJ164" i="17" s="1"/>
  <c r="BI9" i="16"/>
  <c r="BI164" i="17" s="1"/>
  <c r="BH9" i="16"/>
  <c r="BH164" i="17" s="1"/>
  <c r="BG9" i="16"/>
  <c r="BG164" i="17" s="1"/>
  <c r="BG184" i="17" s="1"/>
  <c r="BF9" i="16"/>
  <c r="BF164" i="17" s="1"/>
  <c r="BE9" i="16"/>
  <c r="BE164" i="17" s="1"/>
  <c r="BD9" i="16"/>
  <c r="BD164" i="17" s="1"/>
  <c r="BD184" i="17" s="1"/>
  <c r="BC9" i="16"/>
  <c r="BC164" i="17" s="1"/>
  <c r="BB9" i="16"/>
  <c r="BB164" i="17" s="1"/>
  <c r="BA9" i="16"/>
  <c r="BA164" i="17" s="1"/>
  <c r="AZ9" i="16"/>
  <c r="AZ164" i="17" s="1"/>
  <c r="AY9" i="16"/>
  <c r="AY164" i="17" s="1"/>
  <c r="AX9" i="16"/>
  <c r="AX164" i="17" s="1"/>
  <c r="AW9" i="16"/>
  <c r="AW164" i="17" s="1"/>
  <c r="AV9" i="16"/>
  <c r="AV164" i="17" s="1"/>
  <c r="AU9" i="16"/>
  <c r="AU164" i="17" s="1"/>
  <c r="AT9" i="16"/>
  <c r="AT164" i="17" s="1"/>
  <c r="AS9" i="16"/>
  <c r="AS164" i="17" s="1"/>
  <c r="AS184" i="17" s="1"/>
  <c r="AR9" i="16"/>
  <c r="AR164" i="17" s="1"/>
  <c r="AQ9" i="16"/>
  <c r="AQ164" i="17" s="1"/>
  <c r="AQ184" i="17" s="1"/>
  <c r="AP9" i="16"/>
  <c r="AP164" i="17" s="1"/>
  <c r="AO9" i="16"/>
  <c r="AO164" i="17" s="1"/>
  <c r="AN9" i="16"/>
  <c r="AN164" i="17" s="1"/>
  <c r="AN184" i="17" s="1"/>
  <c r="AM9" i="16"/>
  <c r="AM164" i="17" s="1"/>
  <c r="AM184" i="17" s="1"/>
  <c r="AL9" i="16"/>
  <c r="AL164" i="17" s="1"/>
  <c r="AK9" i="16"/>
  <c r="AK164" i="17" s="1"/>
  <c r="AJ9" i="16"/>
  <c r="AJ164" i="17" s="1"/>
  <c r="AI9" i="16"/>
  <c r="AI164" i="17" s="1"/>
  <c r="AH9" i="16"/>
  <c r="AH164" i="17" s="1"/>
  <c r="AG9" i="16"/>
  <c r="AG164" i="17" s="1"/>
  <c r="AF9" i="16"/>
  <c r="AF164" i="17" s="1"/>
  <c r="AE9" i="16"/>
  <c r="AE164" i="17" s="1"/>
  <c r="AD9" i="16"/>
  <c r="AD164" i="17" s="1"/>
  <c r="AC9" i="16"/>
  <c r="AC164" i="17" s="1"/>
  <c r="AB9" i="16"/>
  <c r="AB164" i="17" s="1"/>
  <c r="AA9" i="16"/>
  <c r="AA164" i="17" s="1"/>
  <c r="Z9" i="16"/>
  <c r="Z164" i="17" s="1"/>
  <c r="Y9" i="16"/>
  <c r="Y164" i="17" s="1"/>
  <c r="X9" i="16"/>
  <c r="X164" i="17" s="1"/>
  <c r="W9" i="16"/>
  <c r="W164" i="17" s="1"/>
  <c r="V9" i="16"/>
  <c r="V164" i="17" s="1"/>
  <c r="U9" i="16"/>
  <c r="U164" i="17" s="1"/>
  <c r="T9" i="16"/>
  <c r="T164" i="17" s="1"/>
  <c r="S9" i="16"/>
  <c r="S164" i="17" s="1"/>
  <c r="S184" i="17" s="1"/>
  <c r="R9" i="16"/>
  <c r="R164" i="17" s="1"/>
  <c r="Q9" i="16"/>
  <c r="Q164" i="17" s="1"/>
  <c r="P9" i="16"/>
  <c r="P164" i="17" s="1"/>
  <c r="O9" i="16"/>
  <c r="O164" i="17" s="1"/>
  <c r="N9" i="16"/>
  <c r="N164" i="17" s="1"/>
  <c r="M9" i="16"/>
  <c r="M164" i="17" s="1"/>
  <c r="L9" i="16"/>
  <c r="L164" i="17" s="1"/>
  <c r="K9" i="16"/>
  <c r="K164" i="17" s="1"/>
  <c r="K184" i="17" s="1"/>
  <c r="J9" i="16"/>
  <c r="J164" i="17" s="1"/>
  <c r="J184" i="17" s="1"/>
  <c r="I9" i="16"/>
  <c r="I164" i="17" s="1"/>
  <c r="I184" i="17" s="1"/>
  <c r="H9" i="16"/>
  <c r="H164" i="17" s="1"/>
  <c r="G9" i="16"/>
  <c r="G164" i="17" s="1"/>
  <c r="CT7" i="16"/>
  <c r="CT80" i="17" s="1"/>
  <c r="CT79" i="17" s="1"/>
  <c r="CS7" i="16"/>
  <c r="CS80" i="17" s="1"/>
  <c r="CR7" i="16"/>
  <c r="CR80" i="17" s="1"/>
  <c r="CQ7" i="16"/>
  <c r="CQ80" i="17" s="1"/>
  <c r="CQ104" i="17" s="1"/>
  <c r="CP7" i="16"/>
  <c r="CP80" i="17" s="1"/>
  <c r="CO7" i="16"/>
  <c r="CO80" i="17" s="1"/>
  <c r="CN7" i="16"/>
  <c r="CN80" i="17" s="1"/>
  <c r="CM7" i="16"/>
  <c r="CM80" i="17" s="1"/>
  <c r="CL7" i="16"/>
  <c r="CL80" i="17" s="1"/>
  <c r="CK7" i="16"/>
  <c r="CK80" i="17" s="1"/>
  <c r="CJ7" i="16"/>
  <c r="CJ80" i="17" s="1"/>
  <c r="CI7" i="16"/>
  <c r="CI80" i="17" s="1"/>
  <c r="CI104" i="17" s="1"/>
  <c r="CH7" i="16"/>
  <c r="CH80" i="17" s="1"/>
  <c r="CG7" i="16"/>
  <c r="CG80" i="17" s="1"/>
  <c r="CF7" i="16"/>
  <c r="CF80" i="17" s="1"/>
  <c r="CF79" i="17" s="1"/>
  <c r="CE7" i="16"/>
  <c r="CE80" i="17" s="1"/>
  <c r="CD7" i="16"/>
  <c r="CD80" i="17" s="1"/>
  <c r="CC7" i="16"/>
  <c r="CC80" i="17" s="1"/>
  <c r="CB7" i="16"/>
  <c r="CB80" i="17" s="1"/>
  <c r="CA7" i="16"/>
  <c r="CA80" i="17" s="1"/>
  <c r="CA104" i="17" s="1"/>
  <c r="BZ7" i="16"/>
  <c r="BZ80" i="17" s="1"/>
  <c r="BY7" i="16"/>
  <c r="BY80" i="17" s="1"/>
  <c r="BX7" i="16"/>
  <c r="BX80" i="17" s="1"/>
  <c r="BW7" i="16"/>
  <c r="BW80" i="17" s="1"/>
  <c r="BV7" i="16"/>
  <c r="BV80" i="17" s="1"/>
  <c r="BU7" i="16"/>
  <c r="BU80" i="17" s="1"/>
  <c r="BT7" i="16"/>
  <c r="BT80" i="17" s="1"/>
  <c r="BS7" i="16"/>
  <c r="BS80" i="17" s="1"/>
  <c r="BR7" i="16"/>
  <c r="BR80" i="17" s="1"/>
  <c r="BQ7" i="16"/>
  <c r="BQ80" i="17" s="1"/>
  <c r="BP7" i="16"/>
  <c r="BP80" i="17" s="1"/>
  <c r="BO7" i="16"/>
  <c r="BO80" i="17" s="1"/>
  <c r="BO104" i="17" s="1"/>
  <c r="BN7" i="16"/>
  <c r="BN80" i="17" s="1"/>
  <c r="BM7" i="16"/>
  <c r="BM80" i="17" s="1"/>
  <c r="BL7" i="16"/>
  <c r="BL80" i="17" s="1"/>
  <c r="BK7" i="16"/>
  <c r="BK80" i="17" s="1"/>
  <c r="BJ7" i="16"/>
  <c r="BJ80" i="17" s="1"/>
  <c r="BI7" i="16"/>
  <c r="BI80" i="17" s="1"/>
  <c r="BH7" i="16"/>
  <c r="BH80" i="17" s="1"/>
  <c r="BG7" i="16"/>
  <c r="BG80" i="17" s="1"/>
  <c r="BF7" i="16"/>
  <c r="BF80" i="17" s="1"/>
  <c r="BE7" i="16"/>
  <c r="BE80" i="17" s="1"/>
  <c r="BD7" i="16"/>
  <c r="BD80" i="17" s="1"/>
  <c r="BC7" i="16"/>
  <c r="BC80" i="17" s="1"/>
  <c r="BB7" i="16"/>
  <c r="BB80" i="17" s="1"/>
  <c r="BB79" i="17" s="1"/>
  <c r="BA7" i="16"/>
  <c r="BA80" i="17" s="1"/>
  <c r="AZ7" i="16"/>
  <c r="AZ80" i="17" s="1"/>
  <c r="AY7" i="16"/>
  <c r="AY80" i="17" s="1"/>
  <c r="AX7" i="16"/>
  <c r="AX80" i="17" s="1"/>
  <c r="AW7" i="16"/>
  <c r="AW80" i="17" s="1"/>
  <c r="AV7" i="16"/>
  <c r="AV80" i="17" s="1"/>
  <c r="AU7" i="16"/>
  <c r="AU80" i="17" s="1"/>
  <c r="AT7" i="16"/>
  <c r="AT80" i="17" s="1"/>
  <c r="AS7" i="16"/>
  <c r="AS80" i="17" s="1"/>
  <c r="AR7" i="16"/>
  <c r="AR80" i="17" s="1"/>
  <c r="AR104" i="17" s="1"/>
  <c r="AQ7" i="16"/>
  <c r="AQ80" i="17" s="1"/>
  <c r="AQ79" i="17" s="1"/>
  <c r="AP7" i="16"/>
  <c r="AP80" i="17" s="1"/>
  <c r="AO7" i="16"/>
  <c r="AO80" i="17" s="1"/>
  <c r="AN7" i="16"/>
  <c r="AN80" i="17" s="1"/>
  <c r="AM7" i="16"/>
  <c r="AM80" i="17" s="1"/>
  <c r="AL7" i="16"/>
  <c r="AL80" i="17" s="1"/>
  <c r="AK7" i="16"/>
  <c r="AK80" i="17" s="1"/>
  <c r="AJ7" i="16"/>
  <c r="AJ80" i="17" s="1"/>
  <c r="AI7" i="16"/>
  <c r="AI80" i="17" s="1"/>
  <c r="AH7" i="16"/>
  <c r="AH80" i="17" s="1"/>
  <c r="AG7" i="16"/>
  <c r="AG80" i="17" s="1"/>
  <c r="AF7" i="16"/>
  <c r="AF80" i="17" s="1"/>
  <c r="AE7" i="16"/>
  <c r="AE80" i="17" s="1"/>
  <c r="AE104" i="17" s="1"/>
  <c r="AD7" i="16"/>
  <c r="AD80" i="17" s="1"/>
  <c r="AD104" i="17" s="1"/>
  <c r="AC7" i="16"/>
  <c r="AC80" i="17" s="1"/>
  <c r="AB7" i="16"/>
  <c r="AB80" i="17" s="1"/>
  <c r="AB79" i="17" s="1"/>
  <c r="AA7" i="16"/>
  <c r="AA80" i="17" s="1"/>
  <c r="AA104" i="17" s="1"/>
  <c r="Z7" i="16"/>
  <c r="Z80" i="17" s="1"/>
  <c r="Y7" i="16"/>
  <c r="Y80" i="17" s="1"/>
  <c r="X7" i="16"/>
  <c r="X80" i="17" s="1"/>
  <c r="W7" i="16"/>
  <c r="W80" i="17" s="1"/>
  <c r="V7" i="16"/>
  <c r="V80" i="17" s="1"/>
  <c r="U7" i="16"/>
  <c r="U80" i="17" s="1"/>
  <c r="T7" i="16"/>
  <c r="T80" i="17" s="1"/>
  <c r="S7" i="16"/>
  <c r="S80" i="17" s="1"/>
  <c r="R7" i="16"/>
  <c r="R80" i="17" s="1"/>
  <c r="Q7" i="16"/>
  <c r="Q80" i="17" s="1"/>
  <c r="P7" i="16"/>
  <c r="P80" i="17" s="1"/>
  <c r="P104" i="17" s="1"/>
  <c r="O7" i="16"/>
  <c r="O80" i="17" s="1"/>
  <c r="N7" i="16"/>
  <c r="N80" i="17" s="1"/>
  <c r="N104" i="17" s="1"/>
  <c r="M7" i="16"/>
  <c r="M80" i="17" s="1"/>
  <c r="L7" i="16"/>
  <c r="L80" i="17" s="1"/>
  <c r="K7" i="16"/>
  <c r="K80" i="17" s="1"/>
  <c r="J7" i="16"/>
  <c r="J80" i="17" s="1"/>
  <c r="J104" i="17" s="1"/>
  <c r="I7" i="16"/>
  <c r="I80" i="17" s="1"/>
  <c r="H7" i="16"/>
  <c r="H80" i="17" s="1"/>
  <c r="G7" i="16"/>
  <c r="G80" i="17" s="1"/>
  <c r="CT6" i="16"/>
  <c r="CT57" i="17" s="1"/>
  <c r="CU57" i="17" s="1"/>
  <c r="CS6" i="16"/>
  <c r="CS57" i="17" s="1"/>
  <c r="CR6" i="16"/>
  <c r="CR57" i="17" s="1"/>
  <c r="CR103" i="17" s="1"/>
  <c r="CQ6" i="16"/>
  <c r="CQ57" i="17" s="1"/>
  <c r="CP6" i="16"/>
  <c r="CP57" i="17" s="1"/>
  <c r="CO6" i="16"/>
  <c r="CO57" i="17" s="1"/>
  <c r="CN6" i="16"/>
  <c r="CN57" i="17" s="1"/>
  <c r="CM6" i="16"/>
  <c r="CM57" i="17" s="1"/>
  <c r="CL6" i="16"/>
  <c r="CL57" i="17" s="1"/>
  <c r="CL103" i="17" s="1"/>
  <c r="CK6" i="16"/>
  <c r="CK57" i="17" s="1"/>
  <c r="CJ6" i="16"/>
  <c r="CJ57" i="17" s="1"/>
  <c r="CI6" i="16"/>
  <c r="CI57" i="17" s="1"/>
  <c r="CH6" i="16"/>
  <c r="CH57" i="17" s="1"/>
  <c r="CG6" i="16"/>
  <c r="CG57" i="17" s="1"/>
  <c r="CF6" i="16"/>
  <c r="CF57" i="17" s="1"/>
  <c r="CE6" i="16"/>
  <c r="CE57" i="17" s="1"/>
  <c r="CD6" i="16"/>
  <c r="CD57" i="17" s="1"/>
  <c r="CC6" i="16"/>
  <c r="CC57" i="17" s="1"/>
  <c r="CB6" i="16"/>
  <c r="CB57" i="17" s="1"/>
  <c r="CA6" i="16"/>
  <c r="CA57" i="17" s="1"/>
  <c r="BZ6" i="16"/>
  <c r="BZ57" i="17" s="1"/>
  <c r="BY6" i="16"/>
  <c r="BY57" i="17" s="1"/>
  <c r="BX6" i="16"/>
  <c r="BX57" i="17" s="1"/>
  <c r="BX103" i="17" s="1"/>
  <c r="BW6" i="16"/>
  <c r="BW57" i="17" s="1"/>
  <c r="BV6" i="16"/>
  <c r="BV57" i="17" s="1"/>
  <c r="BU6" i="16"/>
  <c r="BU57" i="17" s="1"/>
  <c r="BT6" i="16"/>
  <c r="BT57" i="17" s="1"/>
  <c r="BS6" i="16"/>
  <c r="BS57" i="17" s="1"/>
  <c r="BR6" i="16"/>
  <c r="BR57" i="17" s="1"/>
  <c r="BQ6" i="16"/>
  <c r="BQ57" i="17" s="1"/>
  <c r="BP6" i="16"/>
  <c r="BP57" i="17" s="1"/>
  <c r="BO6" i="16"/>
  <c r="BO57" i="17" s="1"/>
  <c r="BN6" i="16"/>
  <c r="BN57" i="17" s="1"/>
  <c r="BM6" i="16"/>
  <c r="BM57" i="17" s="1"/>
  <c r="BL6" i="16"/>
  <c r="BL57" i="17" s="1"/>
  <c r="BL103" i="17" s="1"/>
  <c r="BK6" i="16"/>
  <c r="BK57" i="17" s="1"/>
  <c r="BJ6" i="16"/>
  <c r="BJ57" i="17" s="1"/>
  <c r="BI6" i="16"/>
  <c r="BI57" i="17" s="1"/>
  <c r="BH6" i="16"/>
  <c r="BH57" i="17" s="1"/>
  <c r="BH103" i="17" s="1"/>
  <c r="BG6" i="16"/>
  <c r="BG57" i="17" s="1"/>
  <c r="BG103" i="17" s="1"/>
  <c r="BF6" i="16"/>
  <c r="BF57" i="17" s="1"/>
  <c r="BE6" i="16"/>
  <c r="BE57" i="17" s="1"/>
  <c r="BD6" i="16"/>
  <c r="BD57" i="17" s="1"/>
  <c r="BC6" i="16"/>
  <c r="BC57" i="17" s="1"/>
  <c r="BB6" i="16"/>
  <c r="BB57" i="17" s="1"/>
  <c r="BA6" i="16"/>
  <c r="BA57" i="17" s="1"/>
  <c r="BA103" i="17" s="1"/>
  <c r="AZ6" i="16"/>
  <c r="AZ57" i="17" s="1"/>
  <c r="AZ103" i="17" s="1"/>
  <c r="AY6" i="16"/>
  <c r="AY57" i="17" s="1"/>
  <c r="AX6" i="16"/>
  <c r="AX57" i="17" s="1"/>
  <c r="AW6" i="16"/>
  <c r="AW57" i="17" s="1"/>
  <c r="AV6" i="16"/>
  <c r="AV57" i="17" s="1"/>
  <c r="AU6" i="16"/>
  <c r="AU57" i="17" s="1"/>
  <c r="AT6" i="16"/>
  <c r="AT57" i="17" s="1"/>
  <c r="AS6" i="16"/>
  <c r="AS57" i="17" s="1"/>
  <c r="AR6" i="16"/>
  <c r="AR57" i="17" s="1"/>
  <c r="AQ6" i="16"/>
  <c r="AQ57" i="17" s="1"/>
  <c r="AP6" i="16"/>
  <c r="AP57" i="17" s="1"/>
  <c r="AO6" i="16"/>
  <c r="AO57" i="17" s="1"/>
  <c r="AN6" i="16"/>
  <c r="AN57" i="17" s="1"/>
  <c r="AM6" i="16"/>
  <c r="AM57" i="17" s="1"/>
  <c r="AL6" i="16"/>
  <c r="AL57" i="17" s="1"/>
  <c r="AK6" i="16"/>
  <c r="AK57" i="17" s="1"/>
  <c r="AJ6" i="16"/>
  <c r="AJ57" i="17" s="1"/>
  <c r="AI6" i="16"/>
  <c r="AI57" i="17" s="1"/>
  <c r="AH6" i="16"/>
  <c r="AH57" i="17" s="1"/>
  <c r="AG6" i="16"/>
  <c r="AG57" i="17" s="1"/>
  <c r="AG103" i="17" s="1"/>
  <c r="AF6" i="16"/>
  <c r="AF57" i="17" s="1"/>
  <c r="AE6" i="16"/>
  <c r="AE57" i="17" s="1"/>
  <c r="AD6" i="16"/>
  <c r="AD57" i="17" s="1"/>
  <c r="AC6" i="16"/>
  <c r="AC57" i="17" s="1"/>
  <c r="AB6" i="16"/>
  <c r="AB57" i="17" s="1"/>
  <c r="AA6" i="16"/>
  <c r="AA57" i="17" s="1"/>
  <c r="Z6" i="16"/>
  <c r="Z57" i="17" s="1"/>
  <c r="Y6" i="16"/>
  <c r="Y57" i="17" s="1"/>
  <c r="X6" i="16"/>
  <c r="X57" i="17" s="1"/>
  <c r="W6" i="16"/>
  <c r="W57" i="17" s="1"/>
  <c r="W103" i="17" s="1"/>
  <c r="V6" i="16"/>
  <c r="V57" i="17" s="1"/>
  <c r="U6" i="16"/>
  <c r="U57" i="17" s="1"/>
  <c r="T6" i="16"/>
  <c r="T57" i="17" s="1"/>
  <c r="S6" i="16"/>
  <c r="S57" i="17" s="1"/>
  <c r="R6" i="16"/>
  <c r="R57" i="17" s="1"/>
  <c r="Q6" i="16"/>
  <c r="Q57" i="17" s="1"/>
  <c r="P6" i="16"/>
  <c r="P57" i="17" s="1"/>
  <c r="O6" i="16"/>
  <c r="O57" i="17" s="1"/>
  <c r="N6" i="16"/>
  <c r="N57" i="17" s="1"/>
  <c r="M6" i="16"/>
  <c r="M57" i="17" s="1"/>
  <c r="L6" i="16"/>
  <c r="L57" i="17" s="1"/>
  <c r="K6" i="16"/>
  <c r="K57" i="17" s="1"/>
  <c r="J6" i="16"/>
  <c r="J57" i="17" s="1"/>
  <c r="J103" i="17" s="1"/>
  <c r="I6" i="16"/>
  <c r="I57" i="17" s="1"/>
  <c r="I103" i="17" s="1"/>
  <c r="H6" i="16"/>
  <c r="H57" i="17" s="1"/>
  <c r="G6" i="16"/>
  <c r="G57" i="17" s="1"/>
  <c r="CT5" i="16"/>
  <c r="CT38" i="17" s="1"/>
  <c r="CS5" i="16"/>
  <c r="CS38" i="17" s="1"/>
  <c r="CR5" i="16"/>
  <c r="CR38" i="17" s="1"/>
  <c r="CQ5" i="16"/>
  <c r="CQ38" i="17" s="1"/>
  <c r="CP5" i="16"/>
  <c r="CP38" i="17" s="1"/>
  <c r="CO5" i="16"/>
  <c r="CO38" i="17" s="1"/>
  <c r="CN5" i="16"/>
  <c r="CN38" i="17" s="1"/>
  <c r="CM5" i="16"/>
  <c r="CM38" i="17" s="1"/>
  <c r="CL5" i="16"/>
  <c r="CL38" i="17" s="1"/>
  <c r="CK5" i="16"/>
  <c r="CK38" i="17" s="1"/>
  <c r="CK102" i="17" s="1"/>
  <c r="CJ5" i="16"/>
  <c r="CJ38" i="17" s="1"/>
  <c r="CI5" i="16"/>
  <c r="CI38" i="17" s="1"/>
  <c r="CH5" i="16"/>
  <c r="CH38" i="17" s="1"/>
  <c r="CG5" i="16"/>
  <c r="CG38" i="17" s="1"/>
  <c r="CF5" i="16"/>
  <c r="CF38" i="17" s="1"/>
  <c r="CE5" i="16"/>
  <c r="CE38" i="17" s="1"/>
  <c r="CD5" i="16"/>
  <c r="CD38" i="17" s="1"/>
  <c r="CC5" i="16"/>
  <c r="CC38" i="17" s="1"/>
  <c r="CB5" i="16"/>
  <c r="CB38" i="17" s="1"/>
  <c r="CA5" i="16"/>
  <c r="CA38" i="17" s="1"/>
  <c r="BZ5" i="16"/>
  <c r="BZ38" i="17" s="1"/>
  <c r="BY5" i="16"/>
  <c r="BY38" i="17" s="1"/>
  <c r="BX5" i="16"/>
  <c r="BX38" i="17" s="1"/>
  <c r="BW5" i="16"/>
  <c r="BW38" i="17" s="1"/>
  <c r="BV5" i="16"/>
  <c r="BV38" i="17" s="1"/>
  <c r="BU5" i="16"/>
  <c r="BU38" i="17" s="1"/>
  <c r="BU102" i="17" s="1"/>
  <c r="BT5" i="16"/>
  <c r="BT38" i="17" s="1"/>
  <c r="BS5" i="16"/>
  <c r="BS38" i="17" s="1"/>
  <c r="BR5" i="16"/>
  <c r="BR38" i="17" s="1"/>
  <c r="BQ5" i="16"/>
  <c r="BQ38" i="17" s="1"/>
  <c r="BP5" i="16"/>
  <c r="BP38" i="17" s="1"/>
  <c r="BO5" i="16"/>
  <c r="BO38" i="17" s="1"/>
  <c r="BO102" i="17" s="1"/>
  <c r="BN5" i="16"/>
  <c r="BN38" i="17" s="1"/>
  <c r="BM5" i="16"/>
  <c r="BM38" i="17" s="1"/>
  <c r="BL5" i="16"/>
  <c r="BL38" i="17" s="1"/>
  <c r="BL102" i="17" s="1"/>
  <c r="BK5" i="16"/>
  <c r="BK38" i="17" s="1"/>
  <c r="BJ5" i="16"/>
  <c r="BJ38" i="17" s="1"/>
  <c r="BI5" i="16"/>
  <c r="BI38" i="17" s="1"/>
  <c r="BH5" i="16"/>
  <c r="BH38" i="17" s="1"/>
  <c r="BG5" i="16"/>
  <c r="BG38" i="17" s="1"/>
  <c r="BF5" i="16"/>
  <c r="BF38" i="17" s="1"/>
  <c r="BE5" i="16"/>
  <c r="BE38" i="17" s="1"/>
  <c r="BD5" i="16"/>
  <c r="BD38" i="17" s="1"/>
  <c r="BC5" i="16"/>
  <c r="BC38" i="17" s="1"/>
  <c r="BB5" i="16"/>
  <c r="BB38" i="17" s="1"/>
  <c r="BA5" i="16"/>
  <c r="BA38" i="17" s="1"/>
  <c r="AZ5" i="16"/>
  <c r="AZ38" i="17" s="1"/>
  <c r="AY5" i="16"/>
  <c r="AY38" i="17" s="1"/>
  <c r="AX5" i="16"/>
  <c r="AX38" i="17" s="1"/>
  <c r="AW5" i="16"/>
  <c r="AW38" i="17" s="1"/>
  <c r="AV5" i="16"/>
  <c r="AV38" i="17" s="1"/>
  <c r="AU5" i="16"/>
  <c r="AU38" i="17" s="1"/>
  <c r="AT5" i="16"/>
  <c r="AT38" i="17" s="1"/>
  <c r="AT102" i="17" s="1"/>
  <c r="AS5" i="16"/>
  <c r="AS38" i="17" s="1"/>
  <c r="AR5" i="16"/>
  <c r="AR38" i="17" s="1"/>
  <c r="AQ5" i="16"/>
  <c r="AQ38" i="17" s="1"/>
  <c r="AP5" i="16"/>
  <c r="AP38" i="17" s="1"/>
  <c r="AO5" i="16"/>
  <c r="AO38" i="17" s="1"/>
  <c r="AN5" i="16"/>
  <c r="AN38" i="17" s="1"/>
  <c r="AM5" i="16"/>
  <c r="AM38" i="17" s="1"/>
  <c r="AL5" i="16"/>
  <c r="AL38" i="17" s="1"/>
  <c r="AK5" i="16"/>
  <c r="AK38" i="17" s="1"/>
  <c r="AJ5" i="16"/>
  <c r="AJ38" i="17" s="1"/>
  <c r="AI5" i="16"/>
  <c r="AI38" i="17" s="1"/>
  <c r="AH5" i="16"/>
  <c r="AH38" i="17" s="1"/>
  <c r="AG5" i="16"/>
  <c r="AG38" i="17" s="1"/>
  <c r="AF5" i="16"/>
  <c r="AF38" i="17" s="1"/>
  <c r="AE5" i="16"/>
  <c r="AE38" i="17" s="1"/>
  <c r="AD5" i="16"/>
  <c r="AD38" i="17" s="1"/>
  <c r="AC5" i="16"/>
  <c r="AC38" i="17" s="1"/>
  <c r="AB5" i="16"/>
  <c r="AB38" i="17" s="1"/>
  <c r="AA5" i="16"/>
  <c r="AA38" i="17" s="1"/>
  <c r="Z5" i="16"/>
  <c r="Z38" i="17" s="1"/>
  <c r="Y5" i="16"/>
  <c r="Y38" i="17" s="1"/>
  <c r="X5" i="16"/>
  <c r="X38" i="17" s="1"/>
  <c r="W5" i="16"/>
  <c r="W38" i="17" s="1"/>
  <c r="W102" i="17" s="1"/>
  <c r="V5" i="16"/>
  <c r="V38" i="17" s="1"/>
  <c r="V102" i="17" s="1"/>
  <c r="U5" i="16"/>
  <c r="U38" i="17" s="1"/>
  <c r="T5" i="16"/>
  <c r="T38" i="17" s="1"/>
  <c r="S5" i="16"/>
  <c r="S38" i="17" s="1"/>
  <c r="S102" i="17" s="1"/>
  <c r="R5" i="16"/>
  <c r="R38" i="17" s="1"/>
  <c r="Q5" i="16"/>
  <c r="Q38" i="17" s="1"/>
  <c r="Q102" i="17" s="1"/>
  <c r="P5" i="16"/>
  <c r="P38" i="17" s="1"/>
  <c r="O5" i="16"/>
  <c r="O38" i="17" s="1"/>
  <c r="N5" i="16"/>
  <c r="N38" i="17" s="1"/>
  <c r="M5" i="16"/>
  <c r="M38" i="17" s="1"/>
  <c r="M102" i="17" s="1"/>
  <c r="L5" i="16"/>
  <c r="L38" i="17" s="1"/>
  <c r="K5" i="16"/>
  <c r="K38" i="17" s="1"/>
  <c r="J5" i="16"/>
  <c r="J38" i="17" s="1"/>
  <c r="J102" i="17" s="1"/>
  <c r="I5" i="16"/>
  <c r="I38" i="17" s="1"/>
  <c r="I102" i="17" s="1"/>
  <c r="H5" i="16"/>
  <c r="H38" i="17" s="1"/>
  <c r="G5" i="16"/>
  <c r="G38" i="17" s="1"/>
  <c r="G102" i="17" s="1"/>
  <c r="CT15" i="16"/>
  <c r="CT227" i="17" s="1"/>
  <c r="CS15" i="16"/>
  <c r="CS227" i="17" s="1"/>
  <c r="CR15" i="16"/>
  <c r="CR227" i="17" s="1"/>
  <c r="CQ15" i="16"/>
  <c r="CQ227" i="17" s="1"/>
  <c r="CP15" i="16"/>
  <c r="CP227" i="17" s="1"/>
  <c r="CO15" i="16"/>
  <c r="CO227" i="17" s="1"/>
  <c r="CN15" i="16"/>
  <c r="CN227" i="17" s="1"/>
  <c r="CM15" i="16"/>
  <c r="CM227" i="17" s="1"/>
  <c r="CL15" i="16"/>
  <c r="CL227" i="17" s="1"/>
  <c r="CK15" i="16"/>
  <c r="CK227" i="17" s="1"/>
  <c r="CJ15" i="16"/>
  <c r="CJ227" i="17" s="1"/>
  <c r="CI15" i="16"/>
  <c r="CI227" i="17" s="1"/>
  <c r="CH15" i="16"/>
  <c r="CH227" i="17" s="1"/>
  <c r="CG15" i="16"/>
  <c r="CG227" i="17" s="1"/>
  <c r="CF15" i="16"/>
  <c r="CF227" i="17" s="1"/>
  <c r="CE15" i="16"/>
  <c r="CE227" i="17" s="1"/>
  <c r="CD15" i="16"/>
  <c r="CD227" i="17" s="1"/>
  <c r="CC15" i="16"/>
  <c r="CC227" i="17" s="1"/>
  <c r="CB15" i="16"/>
  <c r="CB227" i="17" s="1"/>
  <c r="CA15" i="16"/>
  <c r="CA227" i="17" s="1"/>
  <c r="BZ15" i="16"/>
  <c r="BZ227" i="17" s="1"/>
  <c r="BY15" i="16"/>
  <c r="BY227" i="17" s="1"/>
  <c r="BX15" i="16"/>
  <c r="BX227" i="17" s="1"/>
  <c r="BW15" i="16"/>
  <c r="BW227" i="17" s="1"/>
  <c r="BV15" i="16"/>
  <c r="BV227" i="17" s="1"/>
  <c r="BU15" i="16"/>
  <c r="BU227" i="17" s="1"/>
  <c r="BT15" i="16"/>
  <c r="BT227" i="17" s="1"/>
  <c r="BS15" i="16"/>
  <c r="BS227" i="17" s="1"/>
  <c r="BR15" i="16"/>
  <c r="BR227" i="17" s="1"/>
  <c r="BQ15" i="16"/>
  <c r="BQ227" i="17" s="1"/>
  <c r="BP15" i="16"/>
  <c r="BP227" i="17" s="1"/>
  <c r="BO15" i="16"/>
  <c r="BO227" i="17" s="1"/>
  <c r="BN15" i="16"/>
  <c r="BN227" i="17" s="1"/>
  <c r="BM15" i="16"/>
  <c r="BM227" i="17" s="1"/>
  <c r="BL15" i="16"/>
  <c r="BL227" i="17" s="1"/>
  <c r="BK15" i="16"/>
  <c r="BK227" i="17" s="1"/>
  <c r="BJ15" i="16"/>
  <c r="BJ227" i="17" s="1"/>
  <c r="BI15" i="16"/>
  <c r="BI227" i="17" s="1"/>
  <c r="BH15" i="16"/>
  <c r="BH227" i="17" s="1"/>
  <c r="BG15" i="16"/>
  <c r="BG227" i="17" s="1"/>
  <c r="BF15" i="16"/>
  <c r="BF227" i="17" s="1"/>
  <c r="BE15" i="16"/>
  <c r="BE227" i="17" s="1"/>
  <c r="BD15" i="16"/>
  <c r="BD227" i="17" s="1"/>
  <c r="BC15" i="16"/>
  <c r="BC227" i="17" s="1"/>
  <c r="BB15" i="16"/>
  <c r="BB227" i="17" s="1"/>
  <c r="BA15" i="16"/>
  <c r="BA227" i="17" s="1"/>
  <c r="AZ15" i="16"/>
  <c r="AZ227" i="17" s="1"/>
  <c r="AY15" i="16"/>
  <c r="AY227" i="17" s="1"/>
  <c r="AX15" i="16"/>
  <c r="AX227" i="17" s="1"/>
  <c r="AW15" i="16"/>
  <c r="AW227" i="17" s="1"/>
  <c r="AV15" i="16"/>
  <c r="AV227" i="17" s="1"/>
  <c r="AU15" i="16"/>
  <c r="AU227" i="17" s="1"/>
  <c r="AT15" i="16"/>
  <c r="AT227" i="17" s="1"/>
  <c r="AS15" i="16"/>
  <c r="AS227" i="17" s="1"/>
  <c r="AR15" i="16"/>
  <c r="AR227" i="17" s="1"/>
  <c r="AQ15" i="16"/>
  <c r="AQ227" i="17" s="1"/>
  <c r="AP15" i="16"/>
  <c r="AP227" i="17" s="1"/>
  <c r="AO15" i="16"/>
  <c r="AO227" i="17" s="1"/>
  <c r="AN15" i="16"/>
  <c r="AN227" i="17" s="1"/>
  <c r="AM15" i="16"/>
  <c r="AM227" i="17" s="1"/>
  <c r="AL15" i="16"/>
  <c r="AL227" i="17" s="1"/>
  <c r="AK15" i="16"/>
  <c r="AK227" i="17" s="1"/>
  <c r="AJ15" i="16"/>
  <c r="AJ227" i="17" s="1"/>
  <c r="AI15" i="16"/>
  <c r="AI227" i="17" s="1"/>
  <c r="AH15" i="16"/>
  <c r="AH227" i="17" s="1"/>
  <c r="AG15" i="16"/>
  <c r="AG227" i="17" s="1"/>
  <c r="AF15" i="16"/>
  <c r="AF227" i="17" s="1"/>
  <c r="AE15" i="16"/>
  <c r="AE227" i="17" s="1"/>
  <c r="AD15" i="16"/>
  <c r="AD227" i="17" s="1"/>
  <c r="AC15" i="16"/>
  <c r="AC227" i="17" s="1"/>
  <c r="AB15" i="16"/>
  <c r="AB227" i="17" s="1"/>
  <c r="AA15" i="16"/>
  <c r="AA227" i="17" s="1"/>
  <c r="Z15" i="16"/>
  <c r="Z227" i="17" s="1"/>
  <c r="Y15" i="16"/>
  <c r="Y227" i="17" s="1"/>
  <c r="X15" i="16"/>
  <c r="X227" i="17" s="1"/>
  <c r="W15" i="16"/>
  <c r="W227" i="17" s="1"/>
  <c r="V15" i="16"/>
  <c r="V227" i="17" s="1"/>
  <c r="U15" i="16"/>
  <c r="U227" i="17" s="1"/>
  <c r="T15" i="16"/>
  <c r="T227" i="17" s="1"/>
  <c r="S15" i="16"/>
  <c r="S227" i="17" s="1"/>
  <c r="R15" i="16"/>
  <c r="R227" i="17" s="1"/>
  <c r="Q15" i="16"/>
  <c r="Q227" i="17" s="1"/>
  <c r="P15" i="16"/>
  <c r="P227" i="17" s="1"/>
  <c r="O15" i="16"/>
  <c r="O227" i="17" s="1"/>
  <c r="N15" i="16"/>
  <c r="N227" i="17" s="1"/>
  <c r="M15" i="16"/>
  <c r="M227" i="17" s="1"/>
  <c r="L15" i="16"/>
  <c r="L227" i="17" s="1"/>
  <c r="K15" i="16"/>
  <c r="K227" i="17" s="1"/>
  <c r="J15" i="16"/>
  <c r="J227" i="17" s="1"/>
  <c r="I15" i="16"/>
  <c r="I227" i="17" s="1"/>
  <c r="H15" i="16"/>
  <c r="H227" i="17" s="1"/>
  <c r="G15" i="16"/>
  <c r="G227" i="17" s="1"/>
  <c r="CT11" i="16"/>
  <c r="I11" i="16"/>
  <c r="I106" i="17" s="1"/>
  <c r="AE11" i="16"/>
  <c r="AE106" i="17" s="1"/>
  <c r="AO11" i="16"/>
  <c r="AO106" i="17" s="1"/>
  <c r="AV11" i="16"/>
  <c r="AV106" i="17" s="1"/>
  <c r="BJ11" i="16"/>
  <c r="BJ106" i="17" s="1"/>
  <c r="BJ142" i="17" s="1"/>
  <c r="BL11" i="16"/>
  <c r="BP11" i="16"/>
  <c r="BT11" i="16"/>
  <c r="BV11" i="16"/>
  <c r="BY11" i="16"/>
  <c r="CC11" i="16"/>
  <c r="CD11" i="16"/>
  <c r="CF11" i="16"/>
  <c r="CH11" i="16"/>
  <c r="CJ11" i="16"/>
  <c r="CM11" i="16"/>
  <c r="CN11" i="16"/>
  <c r="CP11" i="16"/>
  <c r="H8" i="16"/>
  <c r="H125" i="17" s="1"/>
  <c r="AJ11" i="16"/>
  <c r="AJ106" i="17" s="1"/>
  <c r="BM11" i="16"/>
  <c r="R11" i="16"/>
  <c r="R106" i="17" s="1"/>
  <c r="I8" i="16"/>
  <c r="I125" i="17" s="1"/>
  <c r="I143" i="17" s="1"/>
  <c r="J8" i="16"/>
  <c r="J125" i="17" s="1"/>
  <c r="J143" i="17" s="1"/>
  <c r="BD11" i="16"/>
  <c r="BD106" i="17" s="1"/>
  <c r="N11" i="16"/>
  <c r="N106" i="17" s="1"/>
  <c r="N142" i="17" s="1"/>
  <c r="P11" i="16"/>
  <c r="P106" i="17" s="1"/>
  <c r="BC11" i="16"/>
  <c r="BC106" i="17" s="1"/>
  <c r="AC11" i="16"/>
  <c r="AC106" i="17" s="1"/>
  <c r="AC142" i="17" s="1"/>
  <c r="AF11" i="16"/>
  <c r="AF106" i="17" s="1"/>
  <c r="CE11" i="16"/>
  <c r="AA11" i="16"/>
  <c r="AA106" i="17" s="1"/>
  <c r="BA11" i="16"/>
  <c r="BA106" i="17" s="1"/>
  <c r="AS11" i="16"/>
  <c r="AS106" i="17" s="1"/>
  <c r="BF11" i="16"/>
  <c r="BF106" i="17" s="1"/>
  <c r="O11" i="16"/>
  <c r="O106" i="17" s="1"/>
  <c r="O142" i="17" s="1"/>
  <c r="AB11" i="16"/>
  <c r="AB106" i="17" s="1"/>
  <c r="Y11" i="16"/>
  <c r="Y106" i="17" s="1"/>
  <c r="BQ11" i="16"/>
  <c r="AX11" i="16"/>
  <c r="AX106" i="17" s="1"/>
  <c r="AX142" i="17" s="1"/>
  <c r="CL11" i="16"/>
  <c r="AL11" i="16"/>
  <c r="AL106" i="17" s="1"/>
  <c r="CQ11" i="16"/>
  <c r="BO11" i="16"/>
  <c r="BZ11" i="16"/>
  <c r="BW11" i="16"/>
  <c r="BN11" i="16"/>
  <c r="AT11" i="16"/>
  <c r="AT106" i="17" s="1"/>
  <c r="S11" i="16"/>
  <c r="S106" i="17" s="1"/>
  <c r="W11" i="16"/>
  <c r="W106" i="17" s="1"/>
  <c r="BH11" i="16"/>
  <c r="BH106" i="17" s="1"/>
  <c r="AN11" i="16"/>
  <c r="AN106" i="17" s="1"/>
  <c r="U11" i="16"/>
  <c r="U106" i="17" s="1"/>
  <c r="U142" i="17" s="1"/>
  <c r="M11" i="16"/>
  <c r="M106" i="17" s="1"/>
  <c r="CS11" i="16"/>
  <c r="J11" i="16"/>
  <c r="J106" i="17" s="1"/>
  <c r="CI11" i="16"/>
  <c r="BG11" i="16"/>
  <c r="BG106" i="17" s="1"/>
  <c r="BG142" i="17" s="1"/>
  <c r="AI11" i="16"/>
  <c r="AI106" i="17" s="1"/>
  <c r="AM11" i="16"/>
  <c r="AM106" i="17" s="1"/>
  <c r="BS11" i="16"/>
  <c r="BK11" i="16"/>
  <c r="AW11" i="16"/>
  <c r="AW106" i="17" s="1"/>
  <c r="BI11" i="16"/>
  <c r="BI106" i="17" s="1"/>
  <c r="AK11" i="16"/>
  <c r="AK106" i="17" s="1"/>
  <c r="AK142" i="17" s="1"/>
  <c r="CR11" i="16"/>
  <c r="CB11" i="16"/>
  <c r="AZ11" i="16"/>
  <c r="AZ106" i="17" s="1"/>
  <c r="AZ116" i="17" s="1"/>
  <c r="AR11" i="16"/>
  <c r="AR106" i="17" s="1"/>
  <c r="AP11" i="16"/>
  <c r="AP106" i="17" s="1"/>
  <c r="AH11" i="16"/>
  <c r="AH106" i="17" s="1"/>
  <c r="Z11" i="16"/>
  <c r="Z106" i="17" s="1"/>
  <c r="V11" i="16"/>
  <c r="V106" i="17" s="1"/>
  <c r="T11" i="16"/>
  <c r="T106" i="17" s="1"/>
  <c r="AQ11" i="16"/>
  <c r="AQ106" i="17" s="1"/>
  <c r="BB11" i="16"/>
  <c r="BB106" i="17" s="1"/>
  <c r="BB116" i="17" s="1"/>
  <c r="AU11" i="16"/>
  <c r="AU106" i="17" s="1"/>
  <c r="AD11" i="16"/>
  <c r="AD106" i="17" s="1"/>
  <c r="BX11" i="16"/>
  <c r="BR11" i="16"/>
  <c r="K11" i="16"/>
  <c r="K106" i="17" s="1"/>
  <c r="K142" i="17" s="1"/>
  <c r="CO11" i="16"/>
  <c r="CK11" i="16"/>
  <c r="CG11" i="16"/>
  <c r="CA11" i="16"/>
  <c r="BU11" i="16"/>
  <c r="BE11" i="16"/>
  <c r="BE106" i="17" s="1"/>
  <c r="AY11" i="16"/>
  <c r="AY106" i="17" s="1"/>
  <c r="AG11" i="16"/>
  <c r="AG106" i="17" s="1"/>
  <c r="X11" i="16"/>
  <c r="X106" i="17" s="1"/>
  <c r="X116" i="17" s="1"/>
  <c r="Q11" i="16"/>
  <c r="Q106" i="17" s="1"/>
  <c r="CT102" i="17"/>
  <c r="V142" i="17"/>
  <c r="H11" i="16"/>
  <c r="H106" i="17" s="1"/>
  <c r="L11" i="16"/>
  <c r="L106" i="17" s="1"/>
  <c r="I13" i="16"/>
  <c r="I186" i="17" s="1"/>
  <c r="I12" i="16"/>
  <c r="I145" i="17" s="1"/>
  <c r="G11" i="16"/>
  <c r="G106" i="17" s="1"/>
  <c r="G142" i="17" s="1"/>
  <c r="G13" i="16"/>
  <c r="G186" i="17" s="1"/>
  <c r="G224" i="17" s="1"/>
  <c r="G12" i="16"/>
  <c r="G145" i="17" s="1"/>
  <c r="J13" i="16"/>
  <c r="J186" i="17" s="1"/>
  <c r="J224" i="17" s="1"/>
  <c r="J12" i="16"/>
  <c r="J145" i="17" s="1"/>
  <c r="K8" i="16"/>
  <c r="K125" i="17" s="1"/>
  <c r="H13" i="16"/>
  <c r="H186" i="17" s="1"/>
  <c r="H224" i="17" s="1"/>
  <c r="H12" i="16"/>
  <c r="H145" i="17" s="1"/>
  <c r="L8" i="16"/>
  <c r="L125" i="17" s="1"/>
  <c r="K13" i="16"/>
  <c r="K186" i="17" s="1"/>
  <c r="K12" i="16"/>
  <c r="K145" i="17" s="1"/>
  <c r="M8" i="16"/>
  <c r="M125" i="17" s="1"/>
  <c r="L13" i="16"/>
  <c r="L186" i="17" s="1"/>
  <c r="L12" i="16"/>
  <c r="L145" i="17" s="1"/>
  <c r="L183" i="17" s="1"/>
  <c r="N8" i="16"/>
  <c r="N125" i="17" s="1"/>
  <c r="K16" i="26" s="1"/>
  <c r="M12" i="16"/>
  <c r="M145" i="17" s="1"/>
  <c r="M13" i="16"/>
  <c r="M186" i="17" s="1"/>
  <c r="O8" i="16"/>
  <c r="O125" i="17" s="1"/>
  <c r="N13" i="16"/>
  <c r="N186" i="17" s="1"/>
  <c r="N12" i="16"/>
  <c r="N145" i="17" s="1"/>
  <c r="P8" i="16"/>
  <c r="P125" i="17" s="1"/>
  <c r="O12" i="16"/>
  <c r="O145" i="17" s="1"/>
  <c r="O13" i="16"/>
  <c r="O186" i="17" s="1"/>
  <c r="P12" i="16"/>
  <c r="P145" i="17" s="1"/>
  <c r="P13" i="16"/>
  <c r="P186" i="17" s="1"/>
  <c r="Q8" i="16"/>
  <c r="Q125" i="17" s="1"/>
  <c r="Q13" i="16"/>
  <c r="Q186" i="17" s="1"/>
  <c r="Q12" i="16"/>
  <c r="Q145" i="17" s="1"/>
  <c r="R8" i="16"/>
  <c r="R125" i="17" s="1"/>
  <c r="R12" i="16"/>
  <c r="R145" i="17" s="1"/>
  <c r="R13" i="16"/>
  <c r="R186" i="17" s="1"/>
  <c r="S8" i="16"/>
  <c r="S125" i="17" s="1"/>
  <c r="S13" i="16"/>
  <c r="S186" i="17" s="1"/>
  <c r="S12" i="16"/>
  <c r="S145" i="17" s="1"/>
  <c r="T8" i="16"/>
  <c r="T125" i="17" s="1"/>
  <c r="T12" i="16"/>
  <c r="T145" i="17" s="1"/>
  <c r="T183" i="17" s="1"/>
  <c r="T13" i="16"/>
  <c r="T186" i="17" s="1"/>
  <c r="U8" i="16"/>
  <c r="U125" i="17" s="1"/>
  <c r="U13" i="16"/>
  <c r="U186" i="17" s="1"/>
  <c r="U12" i="16"/>
  <c r="U145" i="17" s="1"/>
  <c r="V8" i="16"/>
  <c r="V125" i="17" s="1"/>
  <c r="W8" i="16"/>
  <c r="W125" i="17" s="1"/>
  <c r="T16" i="26" s="1"/>
  <c r="V12" i="16"/>
  <c r="V145" i="17" s="1"/>
  <c r="V13" i="16"/>
  <c r="V186" i="17" s="1"/>
  <c r="W13" i="16"/>
  <c r="W186" i="17" s="1"/>
  <c r="W12" i="16"/>
  <c r="W145" i="17" s="1"/>
  <c r="W183" i="17" s="1"/>
  <c r="X8" i="16"/>
  <c r="X125" i="17" s="1"/>
  <c r="U16" i="26" s="1"/>
  <c r="Y8" i="16"/>
  <c r="Y125" i="17" s="1"/>
  <c r="Y143" i="17" s="1"/>
  <c r="X12" i="16"/>
  <c r="X145" i="17" s="1"/>
  <c r="X13" i="16"/>
  <c r="X186" i="17" s="1"/>
  <c r="X224" i="17" s="1"/>
  <c r="Y13" i="16"/>
  <c r="Y186" i="17" s="1"/>
  <c r="Y12" i="16"/>
  <c r="Y145" i="17" s="1"/>
  <c r="Y183" i="17" s="1"/>
  <c r="Z8" i="16"/>
  <c r="Z125" i="17" s="1"/>
  <c r="Z143" i="17" s="1"/>
  <c r="AA8" i="16"/>
  <c r="AA125" i="17" s="1"/>
  <c r="Z12" i="16"/>
  <c r="Z145" i="17" s="1"/>
  <c r="Z183" i="17" s="1"/>
  <c r="Z13" i="16"/>
  <c r="Z186" i="17" s="1"/>
  <c r="AA13" i="16"/>
  <c r="AA186" i="17" s="1"/>
  <c r="AA224" i="17" s="1"/>
  <c r="AA12" i="16"/>
  <c r="AA145" i="17" s="1"/>
  <c r="AB8" i="16"/>
  <c r="AB125" i="17" s="1"/>
  <c r="Y16" i="26" s="1"/>
  <c r="AB12" i="16"/>
  <c r="AB145" i="17" s="1"/>
  <c r="AB13" i="16"/>
  <c r="AB186" i="17" s="1"/>
  <c r="AC8" i="16"/>
  <c r="AC125" i="17" s="1"/>
  <c r="AD8" i="16"/>
  <c r="AD125" i="17" s="1"/>
  <c r="AC13" i="16"/>
  <c r="AC186" i="17" s="1"/>
  <c r="AC12" i="16"/>
  <c r="AC145" i="17" s="1"/>
  <c r="AE8" i="16"/>
  <c r="AE125" i="17" s="1"/>
  <c r="AE143" i="17" s="1"/>
  <c r="AD12" i="16"/>
  <c r="AD145" i="17" s="1"/>
  <c r="AD183" i="17" s="1"/>
  <c r="AD13" i="16"/>
  <c r="AD186" i="17" s="1"/>
  <c r="AF8" i="16"/>
  <c r="AF125" i="17" s="1"/>
  <c r="AE13" i="16"/>
  <c r="AE186" i="17" s="1"/>
  <c r="AE12" i="16"/>
  <c r="AE145" i="17" s="1"/>
  <c r="AF12" i="16"/>
  <c r="AF145" i="17" s="1"/>
  <c r="AF13" i="16"/>
  <c r="AF186" i="17" s="1"/>
  <c r="AG8" i="16"/>
  <c r="AG125" i="17" s="1"/>
  <c r="AG13" i="16"/>
  <c r="AG186" i="17" s="1"/>
  <c r="AG12" i="16"/>
  <c r="AG145" i="17" s="1"/>
  <c r="AG183" i="17" s="1"/>
  <c r="AH8" i="16"/>
  <c r="AH125" i="17" s="1"/>
  <c r="AH143" i="17" s="1"/>
  <c r="AH12" i="16"/>
  <c r="AH145" i="17" s="1"/>
  <c r="AH13" i="16"/>
  <c r="AH186" i="17" s="1"/>
  <c r="AH224" i="17" s="1"/>
  <c r="AI8" i="16"/>
  <c r="AI125" i="17" s="1"/>
  <c r="AC363" i="23"/>
  <c r="AD29" i="8"/>
  <c r="AD58" i="8" s="1"/>
  <c r="AC109" i="8"/>
  <c r="AC83" i="1"/>
  <c r="AC84" i="1"/>
  <c r="AC1150" i="7" s="1"/>
  <c r="AC180" i="1"/>
  <c r="AC186" i="1"/>
  <c r="AC181" i="1"/>
  <c r="AC182" i="1"/>
  <c r="AC184" i="1"/>
  <c r="AC185" i="1"/>
  <c r="AC187" i="1"/>
  <c r="AC188" i="1"/>
  <c r="AC195" i="1"/>
  <c r="AC199" i="1"/>
  <c r="AC191" i="1"/>
  <c r="AC197" i="1"/>
  <c r="AC200" i="1"/>
  <c r="AC202" i="1"/>
  <c r="AC203" i="1"/>
  <c r="AC208" i="1"/>
  <c r="AC209" i="1"/>
  <c r="AC210" i="1"/>
  <c r="AC207" i="1"/>
  <c r="AC137" i="1"/>
  <c r="AC140" i="1"/>
  <c r="AC142" i="1"/>
  <c r="AC143" i="1"/>
  <c r="AC211" i="8" s="1"/>
  <c r="AC146" i="1"/>
  <c r="AC30" i="7" s="1"/>
  <c r="AC694" i="7" s="1"/>
  <c r="AC150" i="1"/>
  <c r="AC151" i="1"/>
  <c r="AC157" i="1"/>
  <c r="AC156" i="1"/>
  <c r="AC155" i="1"/>
  <c r="AC161" i="1"/>
  <c r="AC162" i="1"/>
  <c r="AC64" i="1"/>
  <c r="AC199" i="23" s="1"/>
  <c r="AC165" i="1"/>
  <c r="AC172" i="1"/>
  <c r="AC176" i="1"/>
  <c r="AC177" i="1"/>
  <c r="AC166" i="1"/>
  <c r="AC169" i="1"/>
  <c r="AC178" i="1"/>
  <c r="AC41" i="1"/>
  <c r="AC5" i="1"/>
  <c r="AC6" i="1"/>
  <c r="G167" i="1"/>
  <c r="G161" i="1"/>
  <c r="G158" i="1"/>
  <c r="G156" i="1"/>
  <c r="G145" i="1"/>
  <c r="G147" i="1"/>
  <c r="G142" i="1"/>
  <c r="G137" i="1"/>
  <c r="AB180" i="1"/>
  <c r="AB186" i="1"/>
  <c r="AB209" i="8" s="1"/>
  <c r="AB181" i="1"/>
  <c r="AB182" i="1"/>
  <c r="AB184" i="1"/>
  <c r="AB217" i="8" s="1"/>
  <c r="AB185" i="1"/>
  <c r="AB137" i="8" s="1"/>
  <c r="D188" i="2" s="1"/>
  <c r="AB187" i="1"/>
  <c r="AB188" i="1"/>
  <c r="AB194" i="1"/>
  <c r="AB195" i="1"/>
  <c r="AB199" i="1"/>
  <c r="AB191" i="1"/>
  <c r="AB196" i="1"/>
  <c r="AB197" i="1"/>
  <c r="AB200" i="1"/>
  <c r="AB202" i="1"/>
  <c r="AB203" i="1"/>
  <c r="AB204" i="1"/>
  <c r="AB208" i="1"/>
  <c r="AB236" i="23" s="1"/>
  <c r="AB209" i="1"/>
  <c r="AB210" i="1"/>
  <c r="AB207" i="1"/>
  <c r="AA136" i="1"/>
  <c r="AB136" i="1"/>
  <c r="AA137" i="1"/>
  <c r="AB137" i="1"/>
  <c r="AB140" i="1"/>
  <c r="AA141" i="1"/>
  <c r="AB141" i="1"/>
  <c r="AA142" i="1"/>
  <c r="AB142" i="1"/>
  <c r="AA143" i="1"/>
  <c r="AA211" i="8" s="1"/>
  <c r="AA146" i="1"/>
  <c r="AA147" i="1"/>
  <c r="AB147" i="1"/>
  <c r="AA144" i="1"/>
  <c r="AB144" i="1"/>
  <c r="AA149" i="1"/>
  <c r="AB149" i="1"/>
  <c r="AA145" i="1"/>
  <c r="AA150" i="1"/>
  <c r="AA151" i="1"/>
  <c r="AB151" i="1"/>
  <c r="AA157" i="1"/>
  <c r="AB157" i="1"/>
  <c r="AB156" i="1"/>
  <c r="AB159" i="1"/>
  <c r="AB155" i="1"/>
  <c r="AB158" i="1"/>
  <c r="AB161" i="1"/>
  <c r="AA162" i="1"/>
  <c r="AB162" i="1"/>
  <c r="AB63" i="1"/>
  <c r="AB198" i="23" s="1"/>
  <c r="AB64" i="1"/>
  <c r="AB199" i="23" s="1"/>
  <c r="AB164" i="1"/>
  <c r="AB165" i="1"/>
  <c r="AB167" i="1"/>
  <c r="AB168" i="1"/>
  <c r="AB171" i="1"/>
  <c r="AB172" i="1"/>
  <c r="AB173" i="1"/>
  <c r="AA176" i="1"/>
  <c r="AB176" i="1"/>
  <c r="AB177" i="1"/>
  <c r="AB160" i="1"/>
  <c r="AB166" i="1"/>
  <c r="AA169" i="1"/>
  <c r="AB169" i="1"/>
  <c r="AA178" i="1"/>
  <c r="AB178" i="1"/>
  <c r="AC125" i="1"/>
  <c r="AC126" i="1"/>
  <c r="AC131" i="1"/>
  <c r="AC132" i="1"/>
  <c r="AC133" i="1"/>
  <c r="AB108" i="1"/>
  <c r="AC108" i="1"/>
  <c r="AB109" i="1"/>
  <c r="AC109" i="1"/>
  <c r="AB65" i="1"/>
  <c r="AB200" i="23" s="1"/>
  <c r="AB62" i="1"/>
  <c r="AB192" i="23" s="1"/>
  <c r="AB79" i="1"/>
  <c r="AB220" i="23" s="1"/>
  <c r="DK9" i="11" s="1"/>
  <c r="AB76" i="1"/>
  <c r="AB74" i="1"/>
  <c r="AB218" i="23" s="1"/>
  <c r="AB31" i="25" s="1"/>
  <c r="AB75" i="1"/>
  <c r="AB71" i="1"/>
  <c r="AB213" i="23" s="1"/>
  <c r="D133" i="2" s="1"/>
  <c r="AU133" i="2" s="1"/>
  <c r="AB69" i="1"/>
  <c r="AB212" i="23" s="1"/>
  <c r="DK57" i="11" s="1"/>
  <c r="AB77" i="1"/>
  <c r="AB78" i="1"/>
  <c r="AB219" i="23" s="1"/>
  <c r="D141" i="2" s="1"/>
  <c r="AU141" i="2" s="1"/>
  <c r="AB81" i="1"/>
  <c r="AB274" i="23" s="1"/>
  <c r="AB292" i="1"/>
  <c r="AB293" i="1"/>
  <c r="AB294" i="1"/>
  <c r="AB83" i="1"/>
  <c r="AB84" i="1"/>
  <c r="AC87" i="1"/>
  <c r="AC293" i="23" s="1"/>
  <c r="DP87" i="11" s="1"/>
  <c r="AC85" i="1"/>
  <c r="AC292" i="23" s="1"/>
  <c r="E143" i="2" s="1"/>
  <c r="AC86" i="1"/>
  <c r="AC291" i="23" s="1"/>
  <c r="AC35" i="25" s="1"/>
  <c r="AC91" i="1"/>
  <c r="AC325" i="23" s="1"/>
  <c r="AC89" i="1"/>
  <c r="AC324" i="23" s="1"/>
  <c r="AC90" i="1"/>
  <c r="AC323" i="23" s="1"/>
  <c r="AC37" i="25" s="1"/>
  <c r="AC92" i="1"/>
  <c r="AC93" i="1"/>
  <c r="AB94" i="1"/>
  <c r="AB96" i="1"/>
  <c r="AB355" i="23" s="1"/>
  <c r="AB99" i="1"/>
  <c r="AB214" i="8" s="1"/>
  <c r="AC230" i="1"/>
  <c r="AC135" i="8" s="1"/>
  <c r="AB101" i="1"/>
  <c r="AB102" i="1"/>
  <c r="AC23" i="1"/>
  <c r="AC36" i="1"/>
  <c r="AC28" i="1"/>
  <c r="AC21" i="23" s="1"/>
  <c r="AC38" i="1"/>
  <c r="AC28" i="23" s="1"/>
  <c r="AD28" i="23" s="1"/>
  <c r="AC43" i="1"/>
  <c r="AC61" i="23" s="1"/>
  <c r="CT108" i="17" s="1"/>
  <c r="AC44" i="1"/>
  <c r="AC79" i="23" s="1"/>
  <c r="AC99" i="23" s="1"/>
  <c r="AC45" i="1"/>
  <c r="AC101" i="23" s="1"/>
  <c r="CT188" i="17" s="1"/>
  <c r="AC49" i="1"/>
  <c r="AC90" i="23" s="1"/>
  <c r="CT166" i="17" s="1"/>
  <c r="AC47" i="1"/>
  <c r="AC89" i="23" s="1"/>
  <c r="AC53" i="1"/>
  <c r="AC112" i="23" s="1"/>
  <c r="AC55" i="1"/>
  <c r="AC166" i="23" s="1"/>
  <c r="AC243" i="8" s="1"/>
  <c r="AC13" i="1"/>
  <c r="AC9" i="1"/>
  <c r="AC30" i="8" s="1"/>
  <c r="E163" i="2" s="1"/>
  <c r="AV163" i="2" s="1"/>
  <c r="AC15" i="1"/>
  <c r="AC224" i="1"/>
  <c r="AC34" i="8" s="1"/>
  <c r="AC55" i="25" s="1"/>
  <c r="AB5" i="1"/>
  <c r="AB7" i="8" s="1"/>
  <c r="AB6" i="1"/>
  <c r="AB8" i="8" s="1"/>
  <c r="AB53" i="25" s="1"/>
  <c r="AB4" i="1"/>
  <c r="AB5" i="8" s="1"/>
  <c r="G178" i="1"/>
  <c r="H178" i="1"/>
  <c r="I178" i="1"/>
  <c r="J178" i="1"/>
  <c r="K178" i="1"/>
  <c r="L178" i="1"/>
  <c r="M178" i="1"/>
  <c r="N178" i="1"/>
  <c r="O178" i="1"/>
  <c r="P178" i="1"/>
  <c r="Q178" i="1"/>
  <c r="R178" i="1"/>
  <c r="S178" i="1"/>
  <c r="T178" i="1"/>
  <c r="U178" i="1"/>
  <c r="V178" i="1"/>
  <c r="W178" i="1"/>
  <c r="X178" i="1"/>
  <c r="Y178" i="1"/>
  <c r="Z178" i="1"/>
  <c r="H169" i="1"/>
  <c r="I169" i="1"/>
  <c r="J169" i="1"/>
  <c r="K169" i="1"/>
  <c r="L169" i="1"/>
  <c r="M169" i="1"/>
  <c r="N169" i="1"/>
  <c r="O169" i="1"/>
  <c r="P169" i="1"/>
  <c r="Q169" i="1"/>
  <c r="R169" i="1"/>
  <c r="S169" i="1"/>
  <c r="T169" i="1"/>
  <c r="U169" i="1"/>
  <c r="V169" i="1"/>
  <c r="W169" i="1"/>
  <c r="X169" i="1"/>
  <c r="Y169" i="1"/>
  <c r="Z169" i="1"/>
  <c r="AB36" i="1"/>
  <c r="AB30" i="1"/>
  <c r="AB23" i="23" s="1"/>
  <c r="AB29" i="1"/>
  <c r="AB22" i="23" s="1"/>
  <c r="AB28" i="1"/>
  <c r="AB21" i="23" s="1"/>
  <c r="AB37" i="1"/>
  <c r="H22" i="1"/>
  <c r="I22" i="1"/>
  <c r="I65" i="1"/>
  <c r="I200" i="23" s="1"/>
  <c r="M65" i="1"/>
  <c r="M200" i="23" s="1"/>
  <c r="N65" i="1"/>
  <c r="N200" i="23" s="1"/>
  <c r="O65" i="1"/>
  <c r="O200" i="23" s="1"/>
  <c r="Q65" i="1"/>
  <c r="Q200" i="23" s="1"/>
  <c r="S65" i="1"/>
  <c r="S200" i="23" s="1"/>
  <c r="U65" i="1"/>
  <c r="U200" i="23" s="1"/>
  <c r="W65" i="1"/>
  <c r="W200" i="23" s="1"/>
  <c r="X65" i="1"/>
  <c r="X200" i="23" s="1"/>
  <c r="Y65" i="1"/>
  <c r="Y200" i="23" s="1"/>
  <c r="I62" i="1"/>
  <c r="I192" i="23" s="1"/>
  <c r="M62" i="1"/>
  <c r="M192" i="23" s="1"/>
  <c r="Q62" i="1"/>
  <c r="Q192" i="23" s="1"/>
  <c r="U62" i="1"/>
  <c r="U192" i="23" s="1"/>
  <c r="V62" i="1"/>
  <c r="V192" i="23" s="1"/>
  <c r="W62" i="1"/>
  <c r="W192" i="23" s="1"/>
  <c r="X62" i="1"/>
  <c r="X192" i="23" s="1"/>
  <c r="I79" i="1"/>
  <c r="I220" i="23" s="1"/>
  <c r="J79" i="1"/>
  <c r="J220" i="23" s="1"/>
  <c r="Y9" i="11" s="1"/>
  <c r="K79" i="1"/>
  <c r="K220" i="23" s="1"/>
  <c r="AD64" i="11" s="1"/>
  <c r="L79" i="1"/>
  <c r="L220" i="23" s="1"/>
  <c r="AI9" i="11" s="1"/>
  <c r="M79" i="1"/>
  <c r="M220" i="23" s="1"/>
  <c r="N79" i="1"/>
  <c r="N220" i="23" s="1"/>
  <c r="N263" i="23" s="1"/>
  <c r="O79" i="1"/>
  <c r="O220" i="23" s="1"/>
  <c r="AX64" i="11" s="1"/>
  <c r="P79" i="1"/>
  <c r="P220" i="23" s="1"/>
  <c r="P263" i="23" s="1"/>
  <c r="Q79" i="1"/>
  <c r="Q220" i="23" s="1"/>
  <c r="BM46" i="6" s="1"/>
  <c r="R79" i="1"/>
  <c r="R220" i="23" s="1"/>
  <c r="S79" i="1"/>
  <c r="S220" i="23" s="1"/>
  <c r="BY46" i="6" s="1"/>
  <c r="T79" i="1"/>
  <c r="T220" i="23" s="1"/>
  <c r="BW64" i="11" s="1"/>
  <c r="U79" i="1"/>
  <c r="U220" i="23" s="1"/>
  <c r="CB64" i="11" s="1"/>
  <c r="W79" i="1"/>
  <c r="W220" i="23" s="1"/>
  <c r="W263" i="23" s="1"/>
  <c r="Y79" i="1"/>
  <c r="Y220" i="23" s="1"/>
  <c r="DI46" i="6" s="1"/>
  <c r="H76" i="1"/>
  <c r="I76" i="1"/>
  <c r="J76" i="1"/>
  <c r="K76" i="1"/>
  <c r="L76" i="1"/>
  <c r="M76" i="1"/>
  <c r="N76" i="1"/>
  <c r="O76" i="1"/>
  <c r="P76" i="1"/>
  <c r="Q76" i="1"/>
  <c r="T76" i="1"/>
  <c r="U76" i="1"/>
  <c r="V76" i="1"/>
  <c r="X76" i="1"/>
  <c r="H74" i="1"/>
  <c r="H218" i="23" s="1"/>
  <c r="J74" i="1"/>
  <c r="J218" i="23" s="1"/>
  <c r="Y62" i="11" s="1"/>
  <c r="K74" i="1"/>
  <c r="K218" i="23" s="1"/>
  <c r="S74" i="1"/>
  <c r="S218" i="23" s="1"/>
  <c r="U74" i="1"/>
  <c r="U218" i="23" s="1"/>
  <c r="CB62" i="11" s="1"/>
  <c r="V74" i="1"/>
  <c r="V218" i="23" s="1"/>
  <c r="V31" i="25" s="1"/>
  <c r="H75" i="1"/>
  <c r="J75" i="1"/>
  <c r="L75" i="1"/>
  <c r="N75" i="1"/>
  <c r="P75" i="1"/>
  <c r="R75" i="1"/>
  <c r="T75" i="1"/>
  <c r="V75" i="1"/>
  <c r="X75" i="1"/>
  <c r="H71" i="1"/>
  <c r="H213" i="23" s="1"/>
  <c r="I71" i="1"/>
  <c r="I213" i="23" s="1"/>
  <c r="I26" i="25" s="1"/>
  <c r="J71" i="1"/>
  <c r="J213" i="23" s="1"/>
  <c r="Y58" i="11" s="1"/>
  <c r="K71" i="1"/>
  <c r="K213" i="23" s="1"/>
  <c r="K26" i="25" s="1"/>
  <c r="M71" i="1"/>
  <c r="M213" i="23" s="1"/>
  <c r="AN58" i="11" s="1"/>
  <c r="O71" i="1"/>
  <c r="O213" i="23" s="1"/>
  <c r="O26" i="25" s="1"/>
  <c r="P71" i="1"/>
  <c r="P213" i="23" s="1"/>
  <c r="P26" i="25" s="1"/>
  <c r="R71" i="1"/>
  <c r="R213" i="23" s="1"/>
  <c r="R26" i="25" s="1"/>
  <c r="T71" i="1"/>
  <c r="T213" i="23" s="1"/>
  <c r="T26" i="25" s="1"/>
  <c r="U71" i="1"/>
  <c r="U213" i="23" s="1"/>
  <c r="V71" i="1"/>
  <c r="V213" i="23" s="1"/>
  <c r="W71" i="1"/>
  <c r="W213" i="23" s="1"/>
  <c r="CL58" i="11" s="1"/>
  <c r="X71" i="1"/>
  <c r="X213" i="23" s="1"/>
  <c r="Y71" i="1"/>
  <c r="Y213" i="23" s="1"/>
  <c r="Y26" i="25" s="1"/>
  <c r="J69" i="1"/>
  <c r="J212" i="23" s="1"/>
  <c r="Y57" i="11" s="1"/>
  <c r="L69" i="1"/>
  <c r="L212" i="23" s="1"/>
  <c r="M69" i="1"/>
  <c r="M212" i="23" s="1"/>
  <c r="O69" i="1"/>
  <c r="O212" i="23" s="1"/>
  <c r="O214" i="23" s="1"/>
  <c r="O30" i="25" s="1"/>
  <c r="P69" i="1"/>
  <c r="P212" i="23" s="1"/>
  <c r="Q69" i="1"/>
  <c r="Q212" i="23" s="1"/>
  <c r="BH57" i="11" s="1"/>
  <c r="S69" i="1"/>
  <c r="S212" i="23" s="1"/>
  <c r="T69" i="1"/>
  <c r="T212" i="23" s="1"/>
  <c r="BW57" i="11" s="1"/>
  <c r="V69" i="1"/>
  <c r="V212" i="23" s="1"/>
  <c r="X69" i="1"/>
  <c r="X212" i="23" s="1"/>
  <c r="CQ57" i="11" s="1"/>
  <c r="Y69" i="1"/>
  <c r="Y212" i="23" s="1"/>
  <c r="H77" i="1"/>
  <c r="I77" i="1"/>
  <c r="J77" i="1"/>
  <c r="K77" i="1"/>
  <c r="L77" i="1"/>
  <c r="M77" i="1"/>
  <c r="N77" i="1"/>
  <c r="O77" i="1"/>
  <c r="P77" i="1"/>
  <c r="Q77" i="1"/>
  <c r="R77" i="1"/>
  <c r="S77" i="1"/>
  <c r="U77" i="1"/>
  <c r="V77" i="1"/>
  <c r="W77" i="1"/>
  <c r="X77" i="1"/>
  <c r="Y77" i="1"/>
  <c r="J78" i="1"/>
  <c r="J219" i="23" s="1"/>
  <c r="Y63" i="11" s="1"/>
  <c r="L78" i="1"/>
  <c r="L219" i="23" s="1"/>
  <c r="AI63" i="11" s="1"/>
  <c r="N78" i="1"/>
  <c r="N219" i="23" s="1"/>
  <c r="S78" i="1"/>
  <c r="S219" i="23" s="1"/>
  <c r="BR63" i="11" s="1"/>
  <c r="T78" i="1"/>
  <c r="T219" i="23" s="1"/>
  <c r="V78" i="1"/>
  <c r="V219" i="23" s="1"/>
  <c r="X78" i="1"/>
  <c r="X219" i="23" s="1"/>
  <c r="CQ63" i="11" s="1"/>
  <c r="Y78" i="1"/>
  <c r="Y219" i="23" s="1"/>
  <c r="I81" i="1"/>
  <c r="J81" i="1"/>
  <c r="K81" i="1"/>
  <c r="L81" i="1"/>
  <c r="N81" i="1"/>
  <c r="P81" i="1"/>
  <c r="Q81" i="1"/>
  <c r="R81" i="1"/>
  <c r="S81" i="1"/>
  <c r="T81" i="1"/>
  <c r="U81" i="1"/>
  <c r="V81" i="1"/>
  <c r="W81" i="1"/>
  <c r="X81" i="1"/>
  <c r="Y81" i="1"/>
  <c r="I292" i="1"/>
  <c r="J292" i="1"/>
  <c r="K292" i="1"/>
  <c r="L292" i="1"/>
  <c r="M292" i="1"/>
  <c r="N292" i="1"/>
  <c r="O292" i="1"/>
  <c r="P292" i="1"/>
  <c r="Q292" i="1"/>
  <c r="R292" i="1"/>
  <c r="S292" i="1"/>
  <c r="T292" i="1"/>
  <c r="U292" i="1"/>
  <c r="V292" i="1"/>
  <c r="W292" i="1"/>
  <c r="X292" i="1"/>
  <c r="H293" i="1"/>
  <c r="J293" i="1"/>
  <c r="L293" i="1"/>
  <c r="N293" i="1"/>
  <c r="P293" i="1"/>
  <c r="R293" i="1"/>
  <c r="T293" i="1"/>
  <c r="V293" i="1"/>
  <c r="X293" i="1"/>
  <c r="H294" i="1"/>
  <c r="J294" i="1"/>
  <c r="L294" i="1"/>
  <c r="M294" i="1"/>
  <c r="O294" i="1"/>
  <c r="Q294" i="1"/>
  <c r="R294" i="1"/>
  <c r="S294" i="1"/>
  <c r="T294" i="1"/>
  <c r="U294" i="1"/>
  <c r="V294" i="1"/>
  <c r="W294" i="1"/>
  <c r="X294" i="1"/>
  <c r="J83" i="1"/>
  <c r="N83" i="1"/>
  <c r="P83" i="1"/>
  <c r="Q83" i="1"/>
  <c r="R83" i="1"/>
  <c r="T83" i="1"/>
  <c r="U83" i="1"/>
  <c r="V83" i="1"/>
  <c r="W83" i="1"/>
  <c r="X83" i="1"/>
  <c r="Y83" i="1"/>
  <c r="H84" i="1"/>
  <c r="H1148" i="7" s="1"/>
  <c r="J84" i="1"/>
  <c r="J1148" i="7" s="1"/>
  <c r="L84" i="1"/>
  <c r="L1148" i="7" s="1"/>
  <c r="M84" i="1"/>
  <c r="M1148" i="7" s="1"/>
  <c r="N84" i="1"/>
  <c r="N1148" i="7" s="1"/>
  <c r="O84" i="1"/>
  <c r="Q84" i="1"/>
  <c r="R84" i="1"/>
  <c r="R1150" i="7" s="1"/>
  <c r="S84" i="1"/>
  <c r="T84" i="1"/>
  <c r="U84" i="1"/>
  <c r="V84" i="1"/>
  <c r="V1150" i="7" s="1"/>
  <c r="W84" i="1"/>
  <c r="X84" i="1"/>
  <c r="Y84" i="1"/>
  <c r="H87" i="1"/>
  <c r="H293" i="23" s="1"/>
  <c r="O13" i="11" s="1"/>
  <c r="I87" i="1"/>
  <c r="I293" i="23" s="1"/>
  <c r="T87" i="11" s="1"/>
  <c r="K87" i="1"/>
  <c r="K293" i="23" s="1"/>
  <c r="L87" i="1"/>
  <c r="L293" i="23" s="1"/>
  <c r="M87" i="1"/>
  <c r="M293" i="23" s="1"/>
  <c r="AN87" i="11" s="1"/>
  <c r="N87" i="1"/>
  <c r="N293" i="23" s="1"/>
  <c r="AS87" i="11" s="1"/>
  <c r="O87" i="1"/>
  <c r="O293" i="23" s="1"/>
  <c r="P87" i="1"/>
  <c r="P293" i="23" s="1"/>
  <c r="P313" i="23" s="1"/>
  <c r="R87" i="1"/>
  <c r="R293" i="23" s="1"/>
  <c r="R313" i="23" s="1"/>
  <c r="T87" i="1"/>
  <c r="T293" i="23" s="1"/>
  <c r="BW87" i="11" s="1"/>
  <c r="U87" i="1"/>
  <c r="U293" i="23" s="1"/>
  <c r="CB13" i="11" s="1"/>
  <c r="V87" i="1"/>
  <c r="V293" i="23" s="1"/>
  <c r="W87" i="1"/>
  <c r="W293" i="23" s="1"/>
  <c r="X87" i="1"/>
  <c r="X293" i="23" s="1"/>
  <c r="CQ87" i="11" s="1"/>
  <c r="H85" i="1"/>
  <c r="H292" i="23" s="1"/>
  <c r="I85" i="1"/>
  <c r="I292" i="23" s="1"/>
  <c r="J85" i="1"/>
  <c r="J292" i="23" s="1"/>
  <c r="Y86" i="11" s="1"/>
  <c r="K85" i="1"/>
  <c r="K292" i="23" s="1"/>
  <c r="L85" i="1"/>
  <c r="L292" i="23" s="1"/>
  <c r="M85" i="1"/>
  <c r="M292" i="23" s="1"/>
  <c r="M34" i="25" s="1"/>
  <c r="N85" i="1"/>
  <c r="N292" i="23" s="1"/>
  <c r="AS86" i="11" s="1"/>
  <c r="O85" i="1"/>
  <c r="O292" i="23" s="1"/>
  <c r="O34" i="25" s="1"/>
  <c r="P85" i="1"/>
  <c r="P292" i="23" s="1"/>
  <c r="Q85" i="1"/>
  <c r="Q292" i="23" s="1"/>
  <c r="R85" i="1"/>
  <c r="R292" i="23" s="1"/>
  <c r="R34" i="25" s="1"/>
  <c r="S85" i="1"/>
  <c r="S292" i="23" s="1"/>
  <c r="T85" i="1"/>
  <c r="T292" i="23" s="1"/>
  <c r="U85" i="1"/>
  <c r="U292" i="23" s="1"/>
  <c r="V85" i="1"/>
  <c r="V292" i="23" s="1"/>
  <c r="CG86" i="11" s="1"/>
  <c r="W85" i="1"/>
  <c r="W292" i="23" s="1"/>
  <c r="W34" i="25" s="1"/>
  <c r="X85" i="1"/>
  <c r="X292" i="23" s="1"/>
  <c r="I86" i="1"/>
  <c r="I291" i="23" s="1"/>
  <c r="I35" i="25" s="1"/>
  <c r="J86" i="1"/>
  <c r="J291" i="23" s="1"/>
  <c r="J35" i="25" s="1"/>
  <c r="K86" i="1"/>
  <c r="K291" i="23" s="1"/>
  <c r="L86" i="1"/>
  <c r="L291" i="23" s="1"/>
  <c r="M86" i="1"/>
  <c r="M291" i="23" s="1"/>
  <c r="AN85" i="11" s="1"/>
  <c r="N86" i="1"/>
  <c r="N291" i="23" s="1"/>
  <c r="O86" i="1"/>
  <c r="O291" i="23" s="1"/>
  <c r="AX85" i="11" s="1"/>
  <c r="P86" i="1"/>
  <c r="P291" i="23" s="1"/>
  <c r="Q86" i="1"/>
  <c r="Q291" i="23" s="1"/>
  <c r="R86" i="1"/>
  <c r="R291" i="23" s="1"/>
  <c r="BM85" i="11" s="1"/>
  <c r="S86" i="1"/>
  <c r="S291" i="23" s="1"/>
  <c r="T86" i="1"/>
  <c r="T291" i="23" s="1"/>
  <c r="U86" i="1"/>
  <c r="U291" i="23" s="1"/>
  <c r="W86" i="1"/>
  <c r="W291" i="23" s="1"/>
  <c r="Y86" i="1"/>
  <c r="Y291" i="23" s="1"/>
  <c r="Y35" i="25" s="1"/>
  <c r="H91" i="1"/>
  <c r="H325" i="23" s="1"/>
  <c r="H353" i="23" s="1"/>
  <c r="I91" i="1"/>
  <c r="I325" i="23" s="1"/>
  <c r="T102" i="11" s="1"/>
  <c r="J91" i="1"/>
  <c r="J325" i="23" s="1"/>
  <c r="Y15" i="11" s="1"/>
  <c r="K91" i="1"/>
  <c r="K325" i="23" s="1"/>
  <c r="AD15" i="11" s="1"/>
  <c r="L91" i="1"/>
  <c r="L325" i="23" s="1"/>
  <c r="M91" i="1"/>
  <c r="M325" i="23" s="1"/>
  <c r="AN15" i="11" s="1"/>
  <c r="N91" i="1"/>
  <c r="N325" i="23" s="1"/>
  <c r="AS102" i="11" s="1"/>
  <c r="O91" i="1"/>
  <c r="O325" i="23" s="1"/>
  <c r="AX15" i="11" s="1"/>
  <c r="Q91" i="1"/>
  <c r="Q325" i="23" s="1"/>
  <c r="S91" i="1"/>
  <c r="S325" i="23" s="1"/>
  <c r="T91" i="1"/>
  <c r="T325" i="23" s="1"/>
  <c r="BW15" i="11" s="1"/>
  <c r="U91" i="1"/>
  <c r="U325" i="23" s="1"/>
  <c r="U353" i="23" s="1"/>
  <c r="V91" i="1"/>
  <c r="V325" i="23" s="1"/>
  <c r="Y91" i="1"/>
  <c r="Y325" i="23" s="1"/>
  <c r="CV15" i="11" s="1"/>
  <c r="H89" i="1"/>
  <c r="H324" i="23" s="1"/>
  <c r="I89" i="1"/>
  <c r="I324" i="23" s="1"/>
  <c r="J89" i="1"/>
  <c r="J324" i="23" s="1"/>
  <c r="K89" i="1"/>
  <c r="K324" i="23" s="1"/>
  <c r="O89" i="1"/>
  <c r="O324" i="23" s="1"/>
  <c r="Q89" i="1"/>
  <c r="Q324" i="23" s="1"/>
  <c r="S89" i="1"/>
  <c r="S324" i="23" s="1"/>
  <c r="X89" i="1"/>
  <c r="X324" i="23" s="1"/>
  <c r="H90" i="1"/>
  <c r="H323" i="23" s="1"/>
  <c r="H37" i="25" s="1"/>
  <c r="J90" i="1"/>
  <c r="J323" i="23" s="1"/>
  <c r="Y100" i="11" s="1"/>
  <c r="M90" i="1"/>
  <c r="M323" i="23" s="1"/>
  <c r="P90" i="1"/>
  <c r="P323" i="23" s="1"/>
  <c r="Q90" i="1"/>
  <c r="Q323" i="23" s="1"/>
  <c r="R90" i="1"/>
  <c r="R323" i="23" s="1"/>
  <c r="R37" i="25" s="1"/>
  <c r="S90" i="1"/>
  <c r="S323" i="23" s="1"/>
  <c r="T90" i="1"/>
  <c r="T323" i="23" s="1"/>
  <c r="V90" i="1"/>
  <c r="V323" i="23" s="1"/>
  <c r="CG100" i="11" s="1"/>
  <c r="X90" i="1"/>
  <c r="X323" i="23" s="1"/>
  <c r="X37" i="25" s="1"/>
  <c r="Y90" i="1"/>
  <c r="Y323" i="23" s="1"/>
  <c r="H92" i="1"/>
  <c r="I92" i="1"/>
  <c r="J92" i="1"/>
  <c r="K92" i="1"/>
  <c r="L92" i="1"/>
  <c r="M92" i="1"/>
  <c r="O92" i="1"/>
  <c r="P92" i="1"/>
  <c r="Q92" i="1"/>
  <c r="R92" i="1"/>
  <c r="T92" i="1"/>
  <c r="U92" i="1"/>
  <c r="V92" i="1"/>
  <c r="W92" i="1"/>
  <c r="Y92" i="1"/>
  <c r="I93" i="1"/>
  <c r="J93" i="1"/>
  <c r="K93" i="1"/>
  <c r="L93" i="1"/>
  <c r="M93" i="1"/>
  <c r="N93" i="1"/>
  <c r="O93" i="1"/>
  <c r="P93" i="1"/>
  <c r="Q93" i="1"/>
  <c r="R93" i="1"/>
  <c r="S93" i="1"/>
  <c r="T93" i="1"/>
  <c r="U93" i="1"/>
  <c r="V93" i="1"/>
  <c r="W93" i="1"/>
  <c r="Y93" i="1"/>
  <c r="H94" i="1"/>
  <c r="I94" i="1"/>
  <c r="J94" i="1"/>
  <c r="K94" i="1"/>
  <c r="L94" i="1"/>
  <c r="M94" i="1"/>
  <c r="Q94" i="1"/>
  <c r="S94" i="1"/>
  <c r="T94" i="1"/>
  <c r="V94" i="1"/>
  <c r="X94" i="1"/>
  <c r="H96" i="1"/>
  <c r="H355" i="23" s="1"/>
  <c r="I96" i="1"/>
  <c r="I355" i="23" s="1"/>
  <c r="O96" i="1"/>
  <c r="O355" i="23" s="1"/>
  <c r="Q96" i="1"/>
  <c r="Q355" i="23" s="1"/>
  <c r="S96" i="1"/>
  <c r="S355" i="23" s="1"/>
  <c r="U96" i="1"/>
  <c r="U355" i="23" s="1"/>
  <c r="W96" i="1"/>
  <c r="W355" i="23" s="1"/>
  <c r="J98" i="1"/>
  <c r="M98" i="1"/>
  <c r="N98" i="1"/>
  <c r="O98" i="1"/>
  <c r="P98" i="1"/>
  <c r="Q98" i="1"/>
  <c r="S98" i="1"/>
  <c r="T98" i="1"/>
  <c r="U98" i="1"/>
  <c r="V98" i="1"/>
  <c r="X98" i="1"/>
  <c r="Y98" i="1"/>
  <c r="H99" i="1"/>
  <c r="H214" i="8" s="1"/>
  <c r="H47" i="25" s="1"/>
  <c r="I99" i="1"/>
  <c r="I214" i="8" s="1"/>
  <c r="J99" i="1"/>
  <c r="J214" i="8" s="1"/>
  <c r="M99" i="1"/>
  <c r="M214" i="8" s="1"/>
  <c r="Q99" i="1"/>
  <c r="Q214" i="8" s="1"/>
  <c r="Q232" i="8" s="1"/>
  <c r="S99" i="1"/>
  <c r="S214" i="8" s="1"/>
  <c r="T99" i="1"/>
  <c r="T214" i="8" s="1"/>
  <c r="V99" i="1"/>
  <c r="V214" i="8" s="1"/>
  <c r="V47" i="25" s="1"/>
  <c r="X99" i="1"/>
  <c r="X214" i="8" s="1"/>
  <c r="X47" i="25" s="1"/>
  <c r="Y99" i="1"/>
  <c r="Y214" i="8" s="1"/>
  <c r="Y47" i="25" s="1"/>
  <c r="J230" i="1"/>
  <c r="J135" i="8" s="1"/>
  <c r="L230" i="1"/>
  <c r="L135" i="8" s="1"/>
  <c r="M230" i="1"/>
  <c r="M135" i="8" s="1"/>
  <c r="Q230" i="1"/>
  <c r="Q135" i="8" s="1"/>
  <c r="R230" i="1"/>
  <c r="R135" i="8" s="1"/>
  <c r="S230" i="1"/>
  <c r="S135" i="8" s="1"/>
  <c r="V230" i="1"/>
  <c r="V135" i="8" s="1"/>
  <c r="W230" i="1"/>
  <c r="W135" i="8" s="1"/>
  <c r="Y230" i="1"/>
  <c r="Y135" i="8" s="1"/>
  <c r="H101" i="1"/>
  <c r="L101" i="1"/>
  <c r="P101" i="1"/>
  <c r="R101" i="1"/>
  <c r="S101" i="1"/>
  <c r="T101" i="1"/>
  <c r="V101" i="1"/>
  <c r="W101" i="1"/>
  <c r="X101" i="1"/>
  <c r="Y101" i="1"/>
  <c r="H102" i="1"/>
  <c r="I102" i="1"/>
  <c r="L102" i="1"/>
  <c r="M102" i="1"/>
  <c r="N102" i="1"/>
  <c r="S102" i="1"/>
  <c r="T102" i="1"/>
  <c r="U102" i="1"/>
  <c r="V102" i="1"/>
  <c r="X102" i="1"/>
  <c r="H104" i="1"/>
  <c r="J104" i="1"/>
  <c r="K104" i="1"/>
  <c r="L104" i="1"/>
  <c r="M104" i="1"/>
  <c r="N104" i="1"/>
  <c r="Q104" i="1"/>
  <c r="R104" i="1"/>
  <c r="S104" i="1"/>
  <c r="T104" i="1"/>
  <c r="W104" i="1"/>
  <c r="X104" i="1"/>
  <c r="Y104" i="1"/>
  <c r="I24" i="1"/>
  <c r="I13" i="23" s="1"/>
  <c r="I59" i="23" s="1"/>
  <c r="J24" i="1"/>
  <c r="J13" i="23" s="1"/>
  <c r="L24" i="1"/>
  <c r="L13" i="23" s="1"/>
  <c r="M24" i="1"/>
  <c r="M13" i="23" s="1"/>
  <c r="N24" i="1"/>
  <c r="N13" i="23" s="1"/>
  <c r="N59" i="23" s="1"/>
  <c r="Q24" i="1"/>
  <c r="Q13" i="23" s="1"/>
  <c r="R24" i="1"/>
  <c r="R13" i="23" s="1"/>
  <c r="S24" i="1"/>
  <c r="S13" i="23" s="1"/>
  <c r="S59" i="23" s="1"/>
  <c r="U24" i="1"/>
  <c r="U13" i="23" s="1"/>
  <c r="X24" i="1"/>
  <c r="X13" i="23" s="1"/>
  <c r="BZ59" i="17" s="1"/>
  <c r="J22" i="1"/>
  <c r="K22" i="1"/>
  <c r="M22" i="1"/>
  <c r="N22" i="1"/>
  <c r="Q22" i="1"/>
  <c r="R22" i="1"/>
  <c r="U22" i="1"/>
  <c r="V22" i="1"/>
  <c r="W22" i="1"/>
  <c r="X22" i="1"/>
  <c r="Y22" i="1"/>
  <c r="H23" i="1"/>
  <c r="I23" i="1"/>
  <c r="J23" i="1"/>
  <c r="L23" i="1"/>
  <c r="P23" i="1"/>
  <c r="S23" i="1"/>
  <c r="T23" i="1"/>
  <c r="U23" i="1"/>
  <c r="V23" i="1"/>
  <c r="X23" i="1"/>
  <c r="Y23" i="1"/>
  <c r="I21" i="1"/>
  <c r="I7" i="23" s="1"/>
  <c r="I58" i="23" s="1"/>
  <c r="J21" i="1"/>
  <c r="J7" i="23" s="1"/>
  <c r="V40" i="17" s="1"/>
  <c r="K21" i="1"/>
  <c r="K7" i="23" s="1"/>
  <c r="L21" i="1"/>
  <c r="L7" i="23" s="1"/>
  <c r="M21" i="1"/>
  <c r="M7" i="23" s="1"/>
  <c r="M58" i="23" s="1"/>
  <c r="N21" i="1"/>
  <c r="N7" i="23" s="1"/>
  <c r="N58" i="23" s="1"/>
  <c r="O21" i="1"/>
  <c r="O7" i="23" s="1"/>
  <c r="P21" i="1"/>
  <c r="P7" i="23" s="1"/>
  <c r="Q21" i="1"/>
  <c r="Q7" i="23" s="1"/>
  <c r="R21" i="1"/>
  <c r="R7" i="23" s="1"/>
  <c r="BB40" i="17" s="1"/>
  <c r="S21" i="1"/>
  <c r="S7" i="23" s="1"/>
  <c r="T21" i="1"/>
  <c r="T7" i="23" s="1"/>
  <c r="T58" i="23" s="1"/>
  <c r="U21" i="1"/>
  <c r="U7" i="23" s="1"/>
  <c r="BN40" i="17" s="1"/>
  <c r="V21" i="1"/>
  <c r="V7" i="23" s="1"/>
  <c r="V58" i="23" s="1"/>
  <c r="W21" i="1"/>
  <c r="W7" i="23" s="1"/>
  <c r="X21" i="1"/>
  <c r="X7" i="23" s="1"/>
  <c r="Y21" i="1"/>
  <c r="Y7" i="23" s="1"/>
  <c r="H40" i="1"/>
  <c r="I40" i="1"/>
  <c r="L40" i="1"/>
  <c r="M40" i="1"/>
  <c r="M48" i="23" s="1"/>
  <c r="O40" i="1"/>
  <c r="O29" i="23" s="1"/>
  <c r="O60" i="23" s="1"/>
  <c r="P40" i="1"/>
  <c r="R40" i="1"/>
  <c r="T40" i="1"/>
  <c r="V40" i="1"/>
  <c r="V48" i="23" s="1"/>
  <c r="W40" i="1"/>
  <c r="Y40" i="1"/>
  <c r="K36" i="1"/>
  <c r="M36" i="1"/>
  <c r="O36" i="1"/>
  <c r="Q36" i="1"/>
  <c r="R36" i="1"/>
  <c r="X36" i="1"/>
  <c r="H34" i="1"/>
  <c r="H27" i="23" s="1"/>
  <c r="N34" i="1"/>
  <c r="N27" i="23" s="1"/>
  <c r="P34" i="1"/>
  <c r="P27" i="23" s="1"/>
  <c r="R34" i="1"/>
  <c r="R27" i="23" s="1"/>
  <c r="S34" i="1"/>
  <c r="S27" i="23" s="1"/>
  <c r="W34" i="1"/>
  <c r="W27" i="23" s="1"/>
  <c r="Y34" i="1"/>
  <c r="Y27" i="23" s="1"/>
  <c r="H30" i="1"/>
  <c r="H23" i="23" s="1"/>
  <c r="J30" i="1"/>
  <c r="J23" i="23" s="1"/>
  <c r="K30" i="1"/>
  <c r="K23" i="23" s="1"/>
  <c r="L30" i="1"/>
  <c r="L23" i="23" s="1"/>
  <c r="M30" i="1"/>
  <c r="M23" i="23" s="1"/>
  <c r="N30" i="1"/>
  <c r="N23" i="23" s="1"/>
  <c r="O30" i="1"/>
  <c r="O23" i="23" s="1"/>
  <c r="P30" i="1"/>
  <c r="P23" i="23" s="1"/>
  <c r="Q30" i="1"/>
  <c r="Q23" i="23" s="1"/>
  <c r="R30" i="1"/>
  <c r="R23" i="23" s="1"/>
  <c r="U30" i="1"/>
  <c r="U23" i="23" s="1"/>
  <c r="V30" i="1"/>
  <c r="V23" i="23" s="1"/>
  <c r="W30" i="1"/>
  <c r="W23" i="23" s="1"/>
  <c r="X30" i="1"/>
  <c r="X23" i="23" s="1"/>
  <c r="Y30" i="1"/>
  <c r="Y23" i="23" s="1"/>
  <c r="H29" i="1"/>
  <c r="H22" i="23" s="1"/>
  <c r="I29" i="1"/>
  <c r="I22" i="23" s="1"/>
  <c r="J29" i="1"/>
  <c r="J22" i="23" s="1"/>
  <c r="K29" i="1"/>
  <c r="K22" i="23" s="1"/>
  <c r="L29" i="1"/>
  <c r="L22" i="23" s="1"/>
  <c r="M29" i="1"/>
  <c r="M22" i="23" s="1"/>
  <c r="O29" i="1"/>
  <c r="O22" i="23" s="1"/>
  <c r="Q29" i="1"/>
  <c r="Q22" i="23" s="1"/>
  <c r="S29" i="1"/>
  <c r="S22" i="23" s="1"/>
  <c r="W29" i="1"/>
  <c r="W22" i="23" s="1"/>
  <c r="Y29" i="1"/>
  <c r="Y22" i="23" s="1"/>
  <c r="J28" i="1"/>
  <c r="J21" i="23" s="1"/>
  <c r="L28" i="1"/>
  <c r="L21" i="23" s="1"/>
  <c r="M28" i="1"/>
  <c r="M21" i="23" s="1"/>
  <c r="O28" i="1"/>
  <c r="O21" i="23" s="1"/>
  <c r="P28" i="1"/>
  <c r="P21" i="23" s="1"/>
  <c r="S28" i="1"/>
  <c r="S21" i="23" s="1"/>
  <c r="T28" i="1"/>
  <c r="T21" i="23" s="1"/>
  <c r="V28" i="1"/>
  <c r="V21" i="23" s="1"/>
  <c r="X28" i="1"/>
  <c r="X21" i="23" s="1"/>
  <c r="H37" i="1"/>
  <c r="J37" i="1"/>
  <c r="M37" i="1"/>
  <c r="P37" i="1"/>
  <c r="R37" i="1"/>
  <c r="V37" i="1"/>
  <c r="W37" i="1"/>
  <c r="Y37" i="1"/>
  <c r="I38" i="1"/>
  <c r="I28" i="23" s="1"/>
  <c r="M38" i="1"/>
  <c r="M28" i="23" s="1"/>
  <c r="O38" i="1"/>
  <c r="O28" i="23" s="1"/>
  <c r="P38" i="1"/>
  <c r="P28" i="23" s="1"/>
  <c r="Q38" i="1"/>
  <c r="Q28" i="23" s="1"/>
  <c r="R38" i="1"/>
  <c r="R28" i="23" s="1"/>
  <c r="S38" i="1"/>
  <c r="S28" i="23" s="1"/>
  <c r="V38" i="1"/>
  <c r="V28" i="23" s="1"/>
  <c r="W38" i="1"/>
  <c r="W28" i="23" s="1"/>
  <c r="X38" i="1"/>
  <c r="X28" i="23" s="1"/>
  <c r="H41" i="1"/>
  <c r="H71" i="23" s="1"/>
  <c r="J41" i="1"/>
  <c r="J71" i="23" s="1"/>
  <c r="J78" i="23" s="1"/>
  <c r="K41" i="1"/>
  <c r="K71" i="23" s="1"/>
  <c r="Z127" i="17" s="1"/>
  <c r="M41" i="1"/>
  <c r="M71" i="23" s="1"/>
  <c r="M78" i="23" s="1"/>
  <c r="N41" i="1"/>
  <c r="N71" i="23" s="1"/>
  <c r="O41" i="1"/>
  <c r="O71" i="23" s="1"/>
  <c r="P41" i="1"/>
  <c r="P71" i="23" s="1"/>
  <c r="Q41" i="1"/>
  <c r="Q71" i="23" s="1"/>
  <c r="R41" i="1"/>
  <c r="R71" i="23" s="1"/>
  <c r="S41" i="1"/>
  <c r="S71" i="23" s="1"/>
  <c r="T41" i="1"/>
  <c r="T71" i="23" s="1"/>
  <c r="BJ127" i="17" s="1"/>
  <c r="U41" i="1"/>
  <c r="U71" i="23" s="1"/>
  <c r="V41" i="1"/>
  <c r="V71" i="23" s="1"/>
  <c r="W41" i="1"/>
  <c r="W71" i="23" s="1"/>
  <c r="J43" i="1"/>
  <c r="J61" i="23" s="1"/>
  <c r="J77" i="23" s="1"/>
  <c r="N43" i="1"/>
  <c r="N61" i="23" s="1"/>
  <c r="N77" i="23" s="1"/>
  <c r="Q43" i="1"/>
  <c r="Q61" i="23" s="1"/>
  <c r="R43" i="1"/>
  <c r="R61" i="23" s="1"/>
  <c r="BB108" i="17" s="1"/>
  <c r="S43" i="1"/>
  <c r="S61" i="23" s="1"/>
  <c r="S77" i="23" s="1"/>
  <c r="T43" i="1"/>
  <c r="T61" i="23" s="1"/>
  <c r="T77" i="23" s="1"/>
  <c r="U43" i="1"/>
  <c r="U61" i="23" s="1"/>
  <c r="V43" i="1"/>
  <c r="V61" i="23" s="1"/>
  <c r="X43" i="1"/>
  <c r="X61" i="23" s="1"/>
  <c r="BZ108" i="17" s="1"/>
  <c r="Y43" i="1"/>
  <c r="Y61" i="23" s="1"/>
  <c r="CD108" i="17" s="1"/>
  <c r="H44" i="1"/>
  <c r="H79" i="23" s="1"/>
  <c r="I44" i="1"/>
  <c r="I79" i="23" s="1"/>
  <c r="R147" i="17" s="1"/>
  <c r="J44" i="1"/>
  <c r="J79" i="23" s="1"/>
  <c r="V147" i="17" s="1"/>
  <c r="K44" i="1"/>
  <c r="K79" i="23" s="1"/>
  <c r="Z147" i="17" s="1"/>
  <c r="L44" i="1"/>
  <c r="L79" i="23" s="1"/>
  <c r="M44" i="1"/>
  <c r="M79" i="23" s="1"/>
  <c r="M99" i="23" s="1"/>
  <c r="N44" i="1"/>
  <c r="N79" i="23" s="1"/>
  <c r="AL147" i="17" s="1"/>
  <c r="O44" i="1"/>
  <c r="O79" i="23" s="1"/>
  <c r="AP147" i="17" s="1"/>
  <c r="P44" i="1"/>
  <c r="P79" i="23" s="1"/>
  <c r="Q44" i="1"/>
  <c r="Q79" i="23" s="1"/>
  <c r="AX147" i="17" s="1"/>
  <c r="R44" i="1"/>
  <c r="R79" i="23" s="1"/>
  <c r="BB147" i="17" s="1"/>
  <c r="S44" i="1"/>
  <c r="S79" i="23" s="1"/>
  <c r="BF147" i="17" s="1"/>
  <c r="T44" i="1"/>
  <c r="T79" i="23" s="1"/>
  <c r="U44" i="1"/>
  <c r="U79" i="23" s="1"/>
  <c r="U99" i="23" s="1"/>
  <c r="V44" i="1"/>
  <c r="V79" i="23" s="1"/>
  <c r="BR147" i="17" s="1"/>
  <c r="W44" i="1"/>
  <c r="W79" i="23" s="1"/>
  <c r="H45" i="1"/>
  <c r="H101" i="23" s="1"/>
  <c r="I45" i="1"/>
  <c r="I101" i="23" s="1"/>
  <c r="J45" i="1"/>
  <c r="J101" i="23" s="1"/>
  <c r="J129" i="23" s="1"/>
  <c r="K45" i="1"/>
  <c r="K101" i="23" s="1"/>
  <c r="Z188" i="17" s="1"/>
  <c r="L45" i="1"/>
  <c r="L101" i="23" s="1"/>
  <c r="AD188" i="17" s="1"/>
  <c r="M45" i="1"/>
  <c r="M101" i="23" s="1"/>
  <c r="N45" i="1"/>
  <c r="N101" i="23" s="1"/>
  <c r="O45" i="1"/>
  <c r="O101" i="23" s="1"/>
  <c r="O129" i="23" s="1"/>
  <c r="R45" i="1"/>
  <c r="R101" i="23" s="1"/>
  <c r="T45" i="1"/>
  <c r="T101" i="23" s="1"/>
  <c r="U45" i="1"/>
  <c r="U101" i="23" s="1"/>
  <c r="W45" i="1"/>
  <c r="W101" i="23" s="1"/>
  <c r="Y45" i="1"/>
  <c r="Y101" i="23" s="1"/>
  <c r="H49" i="1"/>
  <c r="H90" i="23" s="1"/>
  <c r="N166" i="17" s="1"/>
  <c r="I49" i="1"/>
  <c r="I90" i="23" s="1"/>
  <c r="R166" i="17" s="1"/>
  <c r="J49" i="1"/>
  <c r="J90" i="23" s="1"/>
  <c r="L49" i="1"/>
  <c r="L90" i="23" s="1"/>
  <c r="AD166" i="17" s="1"/>
  <c r="O49" i="1"/>
  <c r="O90" i="23" s="1"/>
  <c r="AP166" i="17" s="1"/>
  <c r="P49" i="1"/>
  <c r="P90" i="23" s="1"/>
  <c r="P100" i="23" s="1"/>
  <c r="R49" i="1"/>
  <c r="R90" i="23" s="1"/>
  <c r="S49" i="1"/>
  <c r="S90" i="23" s="1"/>
  <c r="T49" i="1"/>
  <c r="T90" i="23" s="1"/>
  <c r="U49" i="1"/>
  <c r="U90" i="23" s="1"/>
  <c r="V49" i="1"/>
  <c r="V90" i="23" s="1"/>
  <c r="V100" i="23" s="1"/>
  <c r="W49" i="1"/>
  <c r="W90" i="23" s="1"/>
  <c r="X49" i="1"/>
  <c r="X90" i="23" s="1"/>
  <c r="BZ166" i="17" s="1"/>
  <c r="Y49" i="1"/>
  <c r="Y90" i="23" s="1"/>
  <c r="Y100" i="23" s="1"/>
  <c r="H47" i="1"/>
  <c r="H89" i="23" s="1"/>
  <c r="I47" i="1"/>
  <c r="I89" i="23" s="1"/>
  <c r="J47" i="1"/>
  <c r="J89" i="23" s="1"/>
  <c r="K47" i="1"/>
  <c r="K89" i="23" s="1"/>
  <c r="L47" i="1"/>
  <c r="L89" i="23" s="1"/>
  <c r="O47" i="1"/>
  <c r="O89" i="23" s="1"/>
  <c r="P47" i="1"/>
  <c r="P89" i="23" s="1"/>
  <c r="Q47" i="1"/>
  <c r="Q89" i="23" s="1"/>
  <c r="R47" i="1"/>
  <c r="R89" i="23" s="1"/>
  <c r="S47" i="1"/>
  <c r="S89" i="23" s="1"/>
  <c r="T47" i="1"/>
  <c r="T89" i="23" s="1"/>
  <c r="U47" i="1"/>
  <c r="U89" i="23" s="1"/>
  <c r="V47" i="1"/>
  <c r="V89" i="23" s="1"/>
  <c r="W47" i="1"/>
  <c r="W89" i="23" s="1"/>
  <c r="Y47" i="1"/>
  <c r="Y89" i="23" s="1"/>
  <c r="H48" i="1"/>
  <c r="H88" i="23" s="1"/>
  <c r="I48" i="1"/>
  <c r="I88" i="23" s="1"/>
  <c r="J48" i="1"/>
  <c r="J88" i="23" s="1"/>
  <c r="K48" i="1"/>
  <c r="K88" i="23" s="1"/>
  <c r="L48" i="1"/>
  <c r="L88" i="23" s="1"/>
  <c r="P48" i="1"/>
  <c r="P88" i="23" s="1"/>
  <c r="Q48" i="1"/>
  <c r="Q88" i="23" s="1"/>
  <c r="R48" i="1"/>
  <c r="R88" i="23" s="1"/>
  <c r="S48" i="1"/>
  <c r="S88" i="23" s="1"/>
  <c r="T48" i="1"/>
  <c r="T88" i="23" s="1"/>
  <c r="U48" i="1"/>
  <c r="U88" i="23" s="1"/>
  <c r="X48" i="1"/>
  <c r="X88" i="23" s="1"/>
  <c r="H53" i="1"/>
  <c r="H112" i="23" s="1"/>
  <c r="N207" i="17" s="1"/>
  <c r="I53" i="1"/>
  <c r="I112" i="23" s="1"/>
  <c r="N53" i="1"/>
  <c r="N112" i="23" s="1"/>
  <c r="P53" i="1"/>
  <c r="P112" i="23" s="1"/>
  <c r="R53" i="1"/>
  <c r="R112" i="23" s="1"/>
  <c r="R130" i="23" s="1"/>
  <c r="S53" i="1"/>
  <c r="S112" i="23" s="1"/>
  <c r="S130" i="23" s="1"/>
  <c r="T53" i="1"/>
  <c r="T112" i="23" s="1"/>
  <c r="U53" i="1"/>
  <c r="U112" i="23" s="1"/>
  <c r="V53" i="1"/>
  <c r="V112" i="23" s="1"/>
  <c r="V130" i="23" s="1"/>
  <c r="W53" i="1"/>
  <c r="W112" i="23" s="1"/>
  <c r="W130" i="23" s="1"/>
  <c r="X53" i="1"/>
  <c r="X112" i="23" s="1"/>
  <c r="H51" i="1"/>
  <c r="H111" i="23" s="1"/>
  <c r="J51" i="1"/>
  <c r="J111" i="23" s="1"/>
  <c r="K51" i="1"/>
  <c r="K111" i="23" s="1"/>
  <c r="L51" i="1"/>
  <c r="L111" i="23" s="1"/>
  <c r="M51" i="1"/>
  <c r="M111" i="23" s="1"/>
  <c r="O51" i="1"/>
  <c r="O111" i="23" s="1"/>
  <c r="Q51" i="1"/>
  <c r="Q111" i="23" s="1"/>
  <c r="R51" i="1"/>
  <c r="R111" i="23" s="1"/>
  <c r="T51" i="1"/>
  <c r="T111" i="23" s="1"/>
  <c r="V51" i="1"/>
  <c r="V111" i="23" s="1"/>
  <c r="H52" i="1"/>
  <c r="H110" i="23" s="1"/>
  <c r="I52" i="1"/>
  <c r="I110" i="23" s="1"/>
  <c r="J52" i="1"/>
  <c r="J110" i="23" s="1"/>
  <c r="K52" i="1"/>
  <c r="K110" i="23" s="1"/>
  <c r="L52" i="1"/>
  <c r="L110" i="23" s="1"/>
  <c r="M52" i="1"/>
  <c r="M110" i="23" s="1"/>
  <c r="O52" i="1"/>
  <c r="O110" i="23" s="1"/>
  <c r="S52" i="1"/>
  <c r="S110" i="23" s="1"/>
  <c r="T52" i="1"/>
  <c r="T110" i="23" s="1"/>
  <c r="V52" i="1"/>
  <c r="V110" i="23" s="1"/>
  <c r="W52" i="1"/>
  <c r="W110" i="23" s="1"/>
  <c r="X52" i="1"/>
  <c r="X110" i="23" s="1"/>
  <c r="Y52" i="1"/>
  <c r="Y110" i="23" s="1"/>
  <c r="K57" i="1"/>
  <c r="K132" i="23" s="1"/>
  <c r="L57" i="1"/>
  <c r="L132" i="23" s="1"/>
  <c r="M57" i="1"/>
  <c r="M132" i="23" s="1"/>
  <c r="AH229" i="17" s="1"/>
  <c r="N57" i="1"/>
  <c r="N132" i="23" s="1"/>
  <c r="O57" i="1"/>
  <c r="O132" i="23" s="1"/>
  <c r="AP229" i="17" s="1"/>
  <c r="R57" i="1"/>
  <c r="R132" i="23" s="1"/>
  <c r="S57" i="1"/>
  <c r="S132" i="23" s="1"/>
  <c r="U57" i="1"/>
  <c r="U132" i="23" s="1"/>
  <c r="I55" i="1"/>
  <c r="I166" i="23" s="1"/>
  <c r="K55" i="1"/>
  <c r="K166" i="23" s="1"/>
  <c r="K243" i="8" s="1"/>
  <c r="O55" i="1"/>
  <c r="O166" i="23" s="1"/>
  <c r="O243" i="8" s="1"/>
  <c r="Q55" i="1"/>
  <c r="Q166" i="23" s="1"/>
  <c r="Q243" i="8" s="1"/>
  <c r="S55" i="1"/>
  <c r="S166" i="23" s="1"/>
  <c r="S243" i="8" s="1"/>
  <c r="U55" i="1"/>
  <c r="U166" i="23" s="1"/>
  <c r="W55" i="1"/>
  <c r="W166" i="23" s="1"/>
  <c r="W243" i="8" s="1"/>
  <c r="Y55" i="1"/>
  <c r="Y166" i="23" s="1"/>
  <c r="Y243" i="8" s="1"/>
  <c r="Z22" i="1"/>
  <c r="Z21" i="1"/>
  <c r="Z7" i="23" s="1"/>
  <c r="Z40" i="1"/>
  <c r="Z29" i="23" s="1"/>
  <c r="CH82" i="17" s="1"/>
  <c r="Z36" i="1"/>
  <c r="Z30" i="1"/>
  <c r="Z23" i="23" s="1"/>
  <c r="Z38" i="1"/>
  <c r="Z28" i="23" s="1"/>
  <c r="Z43" i="1"/>
  <c r="Z61" i="23" s="1"/>
  <c r="Z77" i="23" s="1"/>
  <c r="Z47" i="1"/>
  <c r="Z89" i="23" s="1"/>
  <c r="Z48" i="1"/>
  <c r="Z88" i="23" s="1"/>
  <c r="Z53" i="1"/>
  <c r="Z112" i="23" s="1"/>
  <c r="Z130" i="23" s="1"/>
  <c r="Z51" i="1"/>
  <c r="Z111" i="23" s="1"/>
  <c r="Z52" i="1"/>
  <c r="Z110" i="23" s="1"/>
  <c r="Z116" i="23" s="1"/>
  <c r="CX100" i="11" s="1"/>
  <c r="Z57" i="1"/>
  <c r="Z132" i="23" s="1"/>
  <c r="CH229" i="17" s="1"/>
  <c r="AA22" i="1"/>
  <c r="AA21" i="1"/>
  <c r="AA7" i="23" s="1"/>
  <c r="CL40" i="17" s="1"/>
  <c r="AA40" i="1"/>
  <c r="AA34" i="1"/>
  <c r="AA27" i="23" s="1"/>
  <c r="AA29" i="1"/>
  <c r="AA22" i="23" s="1"/>
  <c r="AA28" i="1"/>
  <c r="AA21" i="23" s="1"/>
  <c r="AA37" i="1"/>
  <c r="AA38" i="1"/>
  <c r="AA28" i="23" s="1"/>
  <c r="AA41" i="1"/>
  <c r="AA71" i="23" s="1"/>
  <c r="AA44" i="1"/>
  <c r="AA79" i="23" s="1"/>
  <c r="AA99" i="23" s="1"/>
  <c r="AA45" i="1"/>
  <c r="AA101" i="23" s="1"/>
  <c r="CL188" i="17" s="1"/>
  <c r="AA49" i="1"/>
  <c r="AA90" i="23" s="1"/>
  <c r="AA48" i="1"/>
  <c r="AA88" i="23" s="1"/>
  <c r="AA51" i="1"/>
  <c r="AA111" i="23" s="1"/>
  <c r="AA117" i="23" s="1"/>
  <c r="DC101" i="11" s="1"/>
  <c r="AA52" i="1"/>
  <c r="AA110" i="23" s="1"/>
  <c r="AA116" i="23" s="1"/>
  <c r="DC100" i="11" s="1"/>
  <c r="AA55" i="1"/>
  <c r="AA166" i="23" s="1"/>
  <c r="AA65" i="1"/>
  <c r="AA200" i="23" s="1"/>
  <c r="Z79" i="1"/>
  <c r="Z220" i="23" s="1"/>
  <c r="Z29" i="25" s="1"/>
  <c r="Z76" i="1"/>
  <c r="Z74" i="1"/>
  <c r="Z218" i="23" s="1"/>
  <c r="AA74" i="1"/>
  <c r="AA218" i="23" s="1"/>
  <c r="DF62" i="11" s="1"/>
  <c r="Z75" i="1"/>
  <c r="AA75" i="1"/>
  <c r="Z71" i="1"/>
  <c r="Z213" i="23" s="1"/>
  <c r="AA71" i="1"/>
  <c r="AA213" i="23" s="1"/>
  <c r="Z77" i="1"/>
  <c r="AA77" i="1"/>
  <c r="Z78" i="1"/>
  <c r="Z219" i="23" s="1"/>
  <c r="AA78" i="1"/>
  <c r="AA219" i="23" s="1"/>
  <c r="AA32" i="25" s="1"/>
  <c r="Z81" i="1"/>
  <c r="AA81" i="1"/>
  <c r="Z292" i="1"/>
  <c r="AA292" i="1"/>
  <c r="Z293" i="1"/>
  <c r="AA293" i="1"/>
  <c r="Z294" i="1"/>
  <c r="AA294" i="1"/>
  <c r="Z87" i="1"/>
  <c r="Z293" i="23" s="1"/>
  <c r="DA87" i="11" s="1"/>
  <c r="Z91" i="1"/>
  <c r="Z325" i="23" s="1"/>
  <c r="Z353" i="23" s="1"/>
  <c r="AA91" i="1"/>
  <c r="AA325" i="23" s="1"/>
  <c r="DF102" i="11" s="1"/>
  <c r="Z89" i="1"/>
  <c r="Z324" i="23" s="1"/>
  <c r="Z90" i="1"/>
  <c r="Z323" i="23" s="1"/>
  <c r="Z37" i="25" s="1"/>
  <c r="Z92" i="1"/>
  <c r="AA93" i="1"/>
  <c r="Z94" i="1"/>
  <c r="AA94" i="1"/>
  <c r="Z98" i="1"/>
  <c r="AA98" i="1"/>
  <c r="AA99" i="1"/>
  <c r="AA214" i="8" s="1"/>
  <c r="AA230" i="1"/>
  <c r="AA135" i="8" s="1"/>
  <c r="Z101" i="1"/>
  <c r="AA101" i="1"/>
  <c r="AA102" i="1"/>
  <c r="Z104" i="1"/>
  <c r="J180" i="1"/>
  <c r="N180" i="1"/>
  <c r="Q180" i="1"/>
  <c r="R180" i="1"/>
  <c r="S180" i="1"/>
  <c r="T180" i="1"/>
  <c r="U180" i="1"/>
  <c r="V180" i="1"/>
  <c r="W180" i="1"/>
  <c r="X180" i="1"/>
  <c r="Y180" i="1"/>
  <c r="AA180" i="1"/>
  <c r="I186" i="1"/>
  <c r="I209" i="8" s="1"/>
  <c r="J186" i="1"/>
  <c r="J209" i="8" s="1"/>
  <c r="K186" i="1"/>
  <c r="K209" i="8" s="1"/>
  <c r="L186" i="1"/>
  <c r="L209" i="8" s="1"/>
  <c r="M186" i="1"/>
  <c r="M209" i="8" s="1"/>
  <c r="O186" i="1"/>
  <c r="O209" i="8" s="1"/>
  <c r="Q186" i="1"/>
  <c r="Q209" i="8" s="1"/>
  <c r="S186" i="1"/>
  <c r="S209" i="8" s="1"/>
  <c r="W186" i="1"/>
  <c r="W209" i="8" s="1"/>
  <c r="X186" i="1"/>
  <c r="X209" i="8" s="1"/>
  <c r="Y186" i="1"/>
  <c r="Y209" i="8" s="1"/>
  <c r="Z186" i="1"/>
  <c r="Z209" i="8" s="1"/>
  <c r="AA186" i="1"/>
  <c r="AA209" i="8" s="1"/>
  <c r="I181" i="1"/>
  <c r="K181" i="1"/>
  <c r="M181" i="1"/>
  <c r="O181" i="1"/>
  <c r="Q181" i="1"/>
  <c r="R181" i="1"/>
  <c r="V181" i="1"/>
  <c r="W181" i="1"/>
  <c r="X181" i="1"/>
  <c r="Z181" i="1"/>
  <c r="AA181" i="1"/>
  <c r="N182" i="1"/>
  <c r="P182" i="1"/>
  <c r="T182" i="1"/>
  <c r="V182" i="1"/>
  <c r="X182" i="1"/>
  <c r="AA182" i="1"/>
  <c r="I184" i="1"/>
  <c r="I217" i="8" s="1"/>
  <c r="K184" i="1"/>
  <c r="K217" i="8" s="1"/>
  <c r="K58" i="25" s="1"/>
  <c r="M184" i="1"/>
  <c r="M217" i="8" s="1"/>
  <c r="M58" i="25" s="1"/>
  <c r="N184" i="1"/>
  <c r="N217" i="8" s="1"/>
  <c r="O184" i="1"/>
  <c r="O217" i="8" s="1"/>
  <c r="P184" i="1"/>
  <c r="P217" i="8" s="1"/>
  <c r="P58" i="25" s="1"/>
  <c r="T184" i="1"/>
  <c r="T217" i="8" s="1"/>
  <c r="T58" i="25" s="1"/>
  <c r="V184" i="1"/>
  <c r="V217" i="8" s="1"/>
  <c r="W184" i="1"/>
  <c r="W217" i="8" s="1"/>
  <c r="X184" i="1"/>
  <c r="X217" i="8" s="1"/>
  <c r="Y184" i="1"/>
  <c r="Y217" i="8" s="1"/>
  <c r="DJ13" i="6" s="1"/>
  <c r="Z184" i="1"/>
  <c r="Z217" i="8" s="1"/>
  <c r="AA184" i="1"/>
  <c r="AA217" i="8" s="1"/>
  <c r="L185" i="1"/>
  <c r="L137" i="8" s="1"/>
  <c r="N185" i="1"/>
  <c r="N137" i="8" s="1"/>
  <c r="AV14" i="6" s="1"/>
  <c r="O185" i="1"/>
  <c r="O137" i="8" s="1"/>
  <c r="P185" i="1"/>
  <c r="P137" i="8" s="1"/>
  <c r="Q185" i="1"/>
  <c r="Q137" i="8" s="1"/>
  <c r="BN14" i="6" s="1"/>
  <c r="R185" i="1"/>
  <c r="R137" i="8" s="1"/>
  <c r="S185" i="1"/>
  <c r="S137" i="8" s="1"/>
  <c r="T185" i="1"/>
  <c r="T137" i="8" s="1"/>
  <c r="CF14" i="6" s="1"/>
  <c r="U185" i="1"/>
  <c r="U137" i="8" s="1"/>
  <c r="U59" i="25" s="1"/>
  <c r="V185" i="1"/>
  <c r="V137" i="8" s="1"/>
  <c r="W185" i="1"/>
  <c r="W137" i="8" s="1"/>
  <c r="X185" i="1"/>
  <c r="X137" i="8" s="1"/>
  <c r="Y185" i="1"/>
  <c r="Y137" i="8" s="1"/>
  <c r="DJ14" i="6" s="1"/>
  <c r="AA185" i="1"/>
  <c r="AA137" i="8" s="1"/>
  <c r="C188" i="2" s="1"/>
  <c r="I187" i="1"/>
  <c r="L187" i="1"/>
  <c r="M187" i="1"/>
  <c r="N187" i="1"/>
  <c r="O187" i="1"/>
  <c r="Q187" i="1"/>
  <c r="S187" i="1"/>
  <c r="V187" i="1"/>
  <c r="W187" i="1"/>
  <c r="X187" i="1"/>
  <c r="Y187" i="1"/>
  <c r="Z187" i="1"/>
  <c r="AA187" i="1"/>
  <c r="I188" i="1"/>
  <c r="J188" i="1"/>
  <c r="K188" i="1"/>
  <c r="M188" i="1"/>
  <c r="N188" i="1"/>
  <c r="O188" i="1"/>
  <c r="P188" i="1"/>
  <c r="Q188" i="1"/>
  <c r="S188" i="1"/>
  <c r="T188" i="1"/>
  <c r="U188" i="1"/>
  <c r="Y188" i="1"/>
  <c r="Z188" i="1"/>
  <c r="AA188" i="1"/>
  <c r="I194" i="1"/>
  <c r="J194" i="1"/>
  <c r="K194" i="1"/>
  <c r="L194" i="1"/>
  <c r="M194" i="1"/>
  <c r="N194" i="1"/>
  <c r="O194" i="1"/>
  <c r="P194" i="1"/>
  <c r="Q194" i="1"/>
  <c r="R194" i="1"/>
  <c r="U194" i="1"/>
  <c r="V194" i="1"/>
  <c r="W194" i="1"/>
  <c r="X194" i="1"/>
  <c r="Z194" i="1"/>
  <c r="AA194" i="1"/>
  <c r="I195" i="1"/>
  <c r="J195" i="1"/>
  <c r="K195" i="1"/>
  <c r="L195" i="1"/>
  <c r="M195" i="1"/>
  <c r="N195" i="1"/>
  <c r="O195" i="1"/>
  <c r="Q195" i="1"/>
  <c r="R195" i="1"/>
  <c r="S195" i="1"/>
  <c r="T195" i="1"/>
  <c r="U195" i="1"/>
  <c r="V195" i="1"/>
  <c r="W195" i="1"/>
  <c r="X195" i="1"/>
  <c r="Y195" i="1"/>
  <c r="Z195" i="1"/>
  <c r="AA195" i="1"/>
  <c r="J199" i="1"/>
  <c r="L199" i="1"/>
  <c r="M199" i="1"/>
  <c r="N199" i="1"/>
  <c r="P199" i="1"/>
  <c r="R199" i="1"/>
  <c r="T199" i="1"/>
  <c r="V199" i="1"/>
  <c r="W199" i="1"/>
  <c r="Y199" i="1"/>
  <c r="AA199" i="1"/>
  <c r="I191" i="1"/>
  <c r="J191" i="1"/>
  <c r="K191" i="1"/>
  <c r="O191" i="1"/>
  <c r="S191" i="1"/>
  <c r="U191" i="1"/>
  <c r="W191" i="1"/>
  <c r="Y191" i="1"/>
  <c r="AA191" i="1"/>
  <c r="I196" i="1"/>
  <c r="K196" i="1"/>
  <c r="L196" i="1"/>
  <c r="N196" i="1"/>
  <c r="O196" i="1"/>
  <c r="P196" i="1"/>
  <c r="Q196" i="1"/>
  <c r="R196" i="1"/>
  <c r="S196" i="1"/>
  <c r="T196" i="1"/>
  <c r="X196" i="1"/>
  <c r="Y196" i="1"/>
  <c r="I197" i="1"/>
  <c r="K197" i="1"/>
  <c r="L197" i="1"/>
  <c r="M197" i="1"/>
  <c r="N197" i="1"/>
  <c r="O197" i="1"/>
  <c r="P197" i="1"/>
  <c r="R197" i="1"/>
  <c r="S197" i="1"/>
  <c r="U197" i="1"/>
  <c r="V197" i="1"/>
  <c r="W197" i="1"/>
  <c r="X197" i="1"/>
  <c r="Z197" i="1"/>
  <c r="AA197" i="1"/>
  <c r="J200" i="1"/>
  <c r="L200" i="1"/>
  <c r="N200" i="1"/>
  <c r="O200" i="1"/>
  <c r="Q200" i="1"/>
  <c r="R200" i="1"/>
  <c r="T200" i="1"/>
  <c r="U200" i="1"/>
  <c r="V200" i="1"/>
  <c r="W200" i="1"/>
  <c r="Y200" i="1"/>
  <c r="Z200" i="1"/>
  <c r="AA200" i="1"/>
  <c r="I202" i="1"/>
  <c r="J202" i="1"/>
  <c r="K202" i="1"/>
  <c r="L202" i="1"/>
  <c r="M202" i="1"/>
  <c r="N202" i="1"/>
  <c r="O202" i="1"/>
  <c r="P202" i="1"/>
  <c r="Q202" i="1"/>
  <c r="U202" i="1"/>
  <c r="V202" i="1"/>
  <c r="W202" i="1"/>
  <c r="Z202" i="1"/>
  <c r="AA202" i="1"/>
  <c r="K203" i="1"/>
  <c r="M203" i="1"/>
  <c r="N203" i="1"/>
  <c r="O203" i="1"/>
  <c r="P203" i="1"/>
  <c r="Q203" i="1"/>
  <c r="R203" i="1"/>
  <c r="S203" i="1"/>
  <c r="T203" i="1"/>
  <c r="U203" i="1"/>
  <c r="V203" i="1"/>
  <c r="W203" i="1"/>
  <c r="X203" i="1"/>
  <c r="Y203" i="1"/>
  <c r="AA203" i="1"/>
  <c r="I204" i="1"/>
  <c r="L204" i="1"/>
  <c r="M204" i="1"/>
  <c r="M205" i="1" s="1"/>
  <c r="N204" i="1"/>
  <c r="O204" i="1"/>
  <c r="P204" i="1"/>
  <c r="R204" i="1"/>
  <c r="S204" i="1"/>
  <c r="T204" i="1"/>
  <c r="U204" i="1"/>
  <c r="V204" i="1"/>
  <c r="Y204" i="1"/>
  <c r="Z204" i="1"/>
  <c r="AA204" i="1"/>
  <c r="I208" i="1"/>
  <c r="I236" i="23" s="1"/>
  <c r="J208" i="1"/>
  <c r="J236" i="23" s="1"/>
  <c r="K208" i="1"/>
  <c r="K236" i="23" s="1"/>
  <c r="L208" i="1"/>
  <c r="L236" i="23" s="1"/>
  <c r="M208" i="1"/>
  <c r="M236" i="23" s="1"/>
  <c r="N208" i="1"/>
  <c r="N236" i="23" s="1"/>
  <c r="O208" i="1"/>
  <c r="O236" i="23" s="1"/>
  <c r="S208" i="1"/>
  <c r="S236" i="23" s="1"/>
  <c r="U208" i="1"/>
  <c r="U236" i="23" s="1"/>
  <c r="W208" i="1"/>
  <c r="W236" i="23" s="1"/>
  <c r="X208" i="1"/>
  <c r="X236" i="23" s="1"/>
  <c r="Y208" i="1"/>
  <c r="Y236" i="23" s="1"/>
  <c r="Z208" i="1"/>
  <c r="Z236" i="23" s="1"/>
  <c r="AA208" i="1"/>
  <c r="AA236" i="23" s="1"/>
  <c r="I209" i="1"/>
  <c r="K209" i="1"/>
  <c r="O209" i="1"/>
  <c r="Q209" i="1"/>
  <c r="S209" i="1"/>
  <c r="W209" i="1"/>
  <c r="Y209" i="1"/>
  <c r="AA209" i="1"/>
  <c r="I210" i="1"/>
  <c r="J210" i="1"/>
  <c r="K210" i="1"/>
  <c r="L210" i="1"/>
  <c r="M210" i="1"/>
  <c r="N210" i="1"/>
  <c r="O210" i="1"/>
  <c r="O211" i="1" s="1"/>
  <c r="P210" i="1"/>
  <c r="Q210" i="1"/>
  <c r="R210" i="1"/>
  <c r="S210" i="1"/>
  <c r="T210" i="1"/>
  <c r="U210" i="1"/>
  <c r="V210" i="1"/>
  <c r="W210" i="1"/>
  <c r="X210" i="1"/>
  <c r="Y210" i="1"/>
  <c r="Z210" i="1"/>
  <c r="AA210" i="1"/>
  <c r="L207" i="1"/>
  <c r="N207" i="1"/>
  <c r="P207" i="1"/>
  <c r="X207" i="1"/>
  <c r="AA207" i="1"/>
  <c r="H210" i="1"/>
  <c r="H209" i="1"/>
  <c r="H208" i="1"/>
  <c r="H236" i="23" s="1"/>
  <c r="H204" i="1"/>
  <c r="H203" i="1"/>
  <c r="H200" i="1"/>
  <c r="H197" i="1"/>
  <c r="H196" i="1"/>
  <c r="H199" i="1"/>
  <c r="H195" i="1"/>
  <c r="H188" i="1"/>
  <c r="H185" i="1"/>
  <c r="H137" i="8" s="1"/>
  <c r="L14" i="6" s="1"/>
  <c r="H181" i="1"/>
  <c r="H180" i="1"/>
  <c r="H111" i="1"/>
  <c r="I111" i="1"/>
  <c r="J111" i="1"/>
  <c r="K111" i="1"/>
  <c r="L111" i="1"/>
  <c r="M111" i="1"/>
  <c r="N111" i="1"/>
  <c r="O111" i="1"/>
  <c r="P111" i="1"/>
  <c r="R111" i="1"/>
  <c r="S111" i="1"/>
  <c r="T111" i="1"/>
  <c r="U111" i="1"/>
  <c r="V111" i="1"/>
  <c r="W111" i="1"/>
  <c r="X111" i="1"/>
  <c r="Y111" i="1"/>
  <c r="I114" i="1"/>
  <c r="I210" i="8" s="1"/>
  <c r="K114" i="1"/>
  <c r="K210" i="8" s="1"/>
  <c r="L114" i="1"/>
  <c r="L210" i="8" s="1"/>
  <c r="M114" i="1"/>
  <c r="M210" i="8" s="1"/>
  <c r="N114" i="1"/>
  <c r="N210" i="8" s="1"/>
  <c r="O114" i="1"/>
  <c r="O210" i="8" s="1"/>
  <c r="Q114" i="1"/>
  <c r="Q210" i="8" s="1"/>
  <c r="R114" i="1"/>
  <c r="R210" i="8" s="1"/>
  <c r="U114" i="1"/>
  <c r="U210" i="8" s="1"/>
  <c r="V114" i="1"/>
  <c r="V210" i="8" s="1"/>
  <c r="W114" i="1"/>
  <c r="W210" i="8" s="1"/>
  <c r="X114" i="1"/>
  <c r="X210" i="8" s="1"/>
  <c r="Y114" i="1"/>
  <c r="Y210" i="8" s="1"/>
  <c r="Z114" i="1"/>
  <c r="Z210" i="8" s="1"/>
  <c r="H112" i="1"/>
  <c r="J112" i="1"/>
  <c r="L112" i="1"/>
  <c r="M112" i="1"/>
  <c r="N112" i="1"/>
  <c r="O112" i="1"/>
  <c r="P112" i="1"/>
  <c r="Q112" i="1"/>
  <c r="R112" i="1"/>
  <c r="S112" i="1"/>
  <c r="T112" i="1"/>
  <c r="U112" i="1"/>
  <c r="V112" i="1"/>
  <c r="W112" i="1"/>
  <c r="X112" i="1"/>
  <c r="Y112" i="1"/>
  <c r="K113" i="1"/>
  <c r="L113" i="1"/>
  <c r="M113" i="1"/>
  <c r="N113" i="1"/>
  <c r="O113" i="1"/>
  <c r="P113" i="1"/>
  <c r="Q113" i="1"/>
  <c r="S113" i="1"/>
  <c r="T113" i="1"/>
  <c r="U113" i="1"/>
  <c r="V113" i="1"/>
  <c r="W113" i="1"/>
  <c r="X113" i="1"/>
  <c r="Z113" i="1"/>
  <c r="AA113" i="1"/>
  <c r="H115" i="1"/>
  <c r="K115" i="1"/>
  <c r="L115" i="1"/>
  <c r="M115" i="1"/>
  <c r="N115" i="1"/>
  <c r="O115" i="1"/>
  <c r="P115" i="1"/>
  <c r="R115" i="1"/>
  <c r="T115" i="1"/>
  <c r="U115" i="1"/>
  <c r="V115" i="1"/>
  <c r="W115" i="1"/>
  <c r="X115" i="1"/>
  <c r="Y115" i="1"/>
  <c r="Z115" i="1"/>
  <c r="AA115" i="1"/>
  <c r="H116" i="1"/>
  <c r="I116" i="1"/>
  <c r="J116" i="1"/>
  <c r="L116" i="1"/>
  <c r="N116" i="1"/>
  <c r="P116" i="1"/>
  <c r="Q116" i="1"/>
  <c r="R116" i="1"/>
  <c r="T116" i="1"/>
  <c r="V116" i="1"/>
  <c r="X116" i="1"/>
  <c r="Z116" i="1"/>
  <c r="H120" i="1"/>
  <c r="I120" i="1"/>
  <c r="J120" i="1"/>
  <c r="K120" i="1"/>
  <c r="L120" i="1"/>
  <c r="M120" i="1"/>
  <c r="P120" i="1"/>
  <c r="Q120" i="1"/>
  <c r="R120" i="1"/>
  <c r="S120" i="1"/>
  <c r="T120" i="1"/>
  <c r="U120" i="1"/>
  <c r="V120" i="1"/>
  <c r="W120" i="1"/>
  <c r="X120" i="1"/>
  <c r="Y120" i="1"/>
  <c r="Z120" i="1"/>
  <c r="AA120" i="1"/>
  <c r="H122" i="1"/>
  <c r="I122" i="1"/>
  <c r="J122" i="1"/>
  <c r="K122" i="1"/>
  <c r="L122" i="1"/>
  <c r="M122" i="1"/>
  <c r="N122" i="1"/>
  <c r="O122" i="1"/>
  <c r="P122" i="1"/>
  <c r="S122" i="1"/>
  <c r="U122" i="1"/>
  <c r="V122" i="1"/>
  <c r="W122" i="1"/>
  <c r="X122" i="1"/>
  <c r="Y122" i="1"/>
  <c r="Z122" i="1"/>
  <c r="AA122" i="1"/>
  <c r="I119" i="1"/>
  <c r="K119" i="1"/>
  <c r="M119" i="1"/>
  <c r="O119" i="1"/>
  <c r="Q119" i="1"/>
  <c r="R119" i="1"/>
  <c r="T119" i="1"/>
  <c r="V119" i="1"/>
  <c r="Z119" i="1"/>
  <c r="H121" i="1"/>
  <c r="J121" i="1"/>
  <c r="M121" i="1"/>
  <c r="N121" i="1"/>
  <c r="O121" i="1"/>
  <c r="P121" i="1"/>
  <c r="Q121" i="1"/>
  <c r="R121" i="1"/>
  <c r="S121" i="1"/>
  <c r="T121" i="1"/>
  <c r="U121" i="1"/>
  <c r="V121" i="1"/>
  <c r="W121" i="1"/>
  <c r="X121" i="1"/>
  <c r="Y121" i="1"/>
  <c r="Z121" i="1"/>
  <c r="AA121" i="1"/>
  <c r="H123" i="1"/>
  <c r="I123" i="1"/>
  <c r="J123" i="1"/>
  <c r="K123" i="1"/>
  <c r="L123" i="1"/>
  <c r="M123" i="1"/>
  <c r="N123" i="1"/>
  <c r="O123" i="1"/>
  <c r="P123" i="1"/>
  <c r="Q123" i="1"/>
  <c r="R123" i="1"/>
  <c r="S123" i="1"/>
  <c r="T123" i="1"/>
  <c r="U123" i="1"/>
  <c r="V123" i="1"/>
  <c r="X123" i="1"/>
  <c r="Z123" i="1"/>
  <c r="AA123" i="1"/>
  <c r="H125" i="1"/>
  <c r="J125" i="1"/>
  <c r="L125" i="1"/>
  <c r="O125" i="1"/>
  <c r="P125" i="1"/>
  <c r="Q125" i="1"/>
  <c r="R125" i="1"/>
  <c r="S125" i="1"/>
  <c r="T125" i="1"/>
  <c r="U125" i="1"/>
  <c r="V125" i="1"/>
  <c r="W125" i="1"/>
  <c r="X125" i="1"/>
  <c r="Y125" i="1"/>
  <c r="Z125" i="1"/>
  <c r="AA125" i="1"/>
  <c r="K126" i="1"/>
  <c r="L126" i="1"/>
  <c r="M126" i="1"/>
  <c r="O126" i="1"/>
  <c r="P126" i="1"/>
  <c r="Q126" i="1"/>
  <c r="R126" i="1"/>
  <c r="S126" i="1"/>
  <c r="T126" i="1"/>
  <c r="U126" i="1"/>
  <c r="V126" i="1"/>
  <c r="W126" i="1"/>
  <c r="Y126" i="1"/>
  <c r="Z126" i="1"/>
  <c r="H127" i="1"/>
  <c r="I127" i="1"/>
  <c r="J127" i="1"/>
  <c r="N127" i="1"/>
  <c r="O127" i="1"/>
  <c r="P127" i="1"/>
  <c r="Q127" i="1"/>
  <c r="R127" i="1"/>
  <c r="S127" i="1"/>
  <c r="T127" i="1"/>
  <c r="U127" i="1"/>
  <c r="V127" i="1"/>
  <c r="W127" i="1"/>
  <c r="X127" i="1"/>
  <c r="Y127" i="1"/>
  <c r="Y128" i="1" s="1"/>
  <c r="Z127" i="1"/>
  <c r="AA127" i="1"/>
  <c r="H131" i="1"/>
  <c r="H240" i="23" s="1"/>
  <c r="I131" i="1"/>
  <c r="I240" i="23" s="1"/>
  <c r="J131" i="1"/>
  <c r="J240" i="23" s="1"/>
  <c r="M131" i="1"/>
  <c r="M240" i="23" s="1"/>
  <c r="N131" i="1"/>
  <c r="N240" i="23" s="1"/>
  <c r="O131" i="1"/>
  <c r="O240" i="23" s="1"/>
  <c r="P131" i="1"/>
  <c r="P240" i="23" s="1"/>
  <c r="Q131" i="1"/>
  <c r="Q240" i="23" s="1"/>
  <c r="R131" i="1"/>
  <c r="R240" i="23" s="1"/>
  <c r="U131" i="1"/>
  <c r="U240" i="23" s="1"/>
  <c r="V131" i="1"/>
  <c r="V240" i="23" s="1"/>
  <c r="W131" i="1"/>
  <c r="W240" i="23" s="1"/>
  <c r="X131" i="1"/>
  <c r="X240" i="23" s="1"/>
  <c r="Y131" i="1"/>
  <c r="Y240" i="23" s="1"/>
  <c r="Z131" i="1"/>
  <c r="Z240" i="23" s="1"/>
  <c r="AA131" i="1"/>
  <c r="AA240" i="23" s="1"/>
  <c r="H132" i="1"/>
  <c r="I132" i="1"/>
  <c r="J132" i="1"/>
  <c r="N132" i="1"/>
  <c r="O132" i="1"/>
  <c r="P132" i="1"/>
  <c r="Q132" i="1"/>
  <c r="R132" i="1"/>
  <c r="S132" i="1"/>
  <c r="V132" i="1"/>
  <c r="W132" i="1"/>
  <c r="X132" i="1"/>
  <c r="Y132" i="1"/>
  <c r="Z132" i="1"/>
  <c r="AA132" i="1"/>
  <c r="H133" i="1"/>
  <c r="J133" i="1"/>
  <c r="K133" i="1"/>
  <c r="L133" i="1"/>
  <c r="N133" i="1"/>
  <c r="P133" i="1"/>
  <c r="S133" i="1"/>
  <c r="U133" i="1"/>
  <c r="V133" i="1"/>
  <c r="Z133" i="1"/>
  <c r="AA133" i="1"/>
  <c r="J130" i="1"/>
  <c r="L130" i="1"/>
  <c r="O130" i="1"/>
  <c r="P130" i="1"/>
  <c r="Q130" i="1"/>
  <c r="R130" i="1"/>
  <c r="S130" i="1"/>
  <c r="W130" i="1"/>
  <c r="Z130" i="1"/>
  <c r="AB111" i="1"/>
  <c r="AB114" i="1"/>
  <c r="AB210" i="8" s="1"/>
  <c r="AB113" i="1"/>
  <c r="AB115" i="1"/>
  <c r="AB120" i="1"/>
  <c r="AB122" i="1"/>
  <c r="AB119" i="1"/>
  <c r="AB123" i="1"/>
  <c r="AB125" i="1"/>
  <c r="AB126" i="1"/>
  <c r="AB127" i="1"/>
  <c r="AB131" i="1"/>
  <c r="AB240" i="23" s="1"/>
  <c r="AB132" i="1"/>
  <c r="AB133" i="1"/>
  <c r="AB106" i="1"/>
  <c r="AA5" i="1"/>
  <c r="AA7" i="8" s="1"/>
  <c r="AA52" i="25" s="1"/>
  <c r="AA6" i="1"/>
  <c r="AA8" i="8" s="1"/>
  <c r="H136" i="1"/>
  <c r="I136" i="1"/>
  <c r="M136" i="1"/>
  <c r="O136" i="1"/>
  <c r="Q136" i="1"/>
  <c r="U136" i="1"/>
  <c r="V136" i="1"/>
  <c r="W136" i="1"/>
  <c r="Y136" i="1"/>
  <c r="Z136" i="1"/>
  <c r="H137" i="1"/>
  <c r="I137" i="1"/>
  <c r="J137" i="1"/>
  <c r="K137" i="1"/>
  <c r="L137" i="1"/>
  <c r="M137" i="1"/>
  <c r="N137" i="1"/>
  <c r="O137" i="1"/>
  <c r="P137" i="1"/>
  <c r="Q137" i="1"/>
  <c r="R137" i="1"/>
  <c r="S137" i="1"/>
  <c r="T137" i="1"/>
  <c r="U137" i="1"/>
  <c r="V137" i="1"/>
  <c r="W137" i="1"/>
  <c r="X137" i="1"/>
  <c r="Y137" i="1"/>
  <c r="Z137" i="1"/>
  <c r="I140" i="1"/>
  <c r="J140" i="1"/>
  <c r="K140" i="1"/>
  <c r="L140" i="1"/>
  <c r="M140" i="1"/>
  <c r="N140" i="1"/>
  <c r="O140" i="1"/>
  <c r="P140" i="1"/>
  <c r="Q140" i="1"/>
  <c r="R140" i="1"/>
  <c r="S140" i="1"/>
  <c r="T140" i="1"/>
  <c r="U140" i="1"/>
  <c r="V140" i="1"/>
  <c r="W140" i="1"/>
  <c r="X140" i="1"/>
  <c r="Y140" i="1"/>
  <c r="Z140" i="1"/>
  <c r="J141" i="1"/>
  <c r="K141" i="1"/>
  <c r="L141" i="1"/>
  <c r="M141" i="1"/>
  <c r="O141" i="1"/>
  <c r="Q141" i="1"/>
  <c r="R141" i="1"/>
  <c r="S141" i="1"/>
  <c r="T141" i="1"/>
  <c r="U141" i="1"/>
  <c r="V141" i="1"/>
  <c r="W141" i="1"/>
  <c r="X141" i="1"/>
  <c r="Y141" i="1"/>
  <c r="H142" i="1"/>
  <c r="I142" i="1"/>
  <c r="J142" i="1"/>
  <c r="K142" i="1"/>
  <c r="L142" i="1"/>
  <c r="M142" i="1"/>
  <c r="N142" i="1"/>
  <c r="O142" i="1"/>
  <c r="Q142" i="1"/>
  <c r="U142" i="1"/>
  <c r="W142" i="1"/>
  <c r="Y142" i="1"/>
  <c r="H143" i="1"/>
  <c r="H211" i="8" s="1"/>
  <c r="I143" i="1"/>
  <c r="I211" i="8" s="1"/>
  <c r="J143" i="1"/>
  <c r="J211" i="8" s="1"/>
  <c r="K143" i="1"/>
  <c r="K211" i="8" s="1"/>
  <c r="M143" i="1"/>
  <c r="M211" i="8" s="1"/>
  <c r="N143" i="1"/>
  <c r="N211" i="8" s="1"/>
  <c r="O143" i="1"/>
  <c r="O211" i="8" s="1"/>
  <c r="P143" i="1"/>
  <c r="P211" i="8" s="1"/>
  <c r="R143" i="1"/>
  <c r="R211" i="8" s="1"/>
  <c r="S143" i="1"/>
  <c r="S211" i="8" s="1"/>
  <c r="T143" i="1"/>
  <c r="T211" i="8" s="1"/>
  <c r="U143" i="1"/>
  <c r="U211" i="8" s="1"/>
  <c r="V143" i="1"/>
  <c r="V211" i="8" s="1"/>
  <c r="W143" i="1"/>
  <c r="W211" i="8" s="1"/>
  <c r="I146" i="1"/>
  <c r="M146" i="1"/>
  <c r="O146" i="1"/>
  <c r="Q146" i="1"/>
  <c r="U146" i="1"/>
  <c r="W146" i="1"/>
  <c r="Y146" i="1"/>
  <c r="I147" i="1"/>
  <c r="K147" i="1"/>
  <c r="M147" i="1"/>
  <c r="Q147" i="1"/>
  <c r="R147" i="1"/>
  <c r="S147" i="1"/>
  <c r="T147" i="1"/>
  <c r="U147" i="1"/>
  <c r="V147" i="1"/>
  <c r="W147" i="1"/>
  <c r="X147" i="1"/>
  <c r="Y147" i="1"/>
  <c r="H144" i="1"/>
  <c r="I144" i="1"/>
  <c r="K144" i="1"/>
  <c r="L144" i="1"/>
  <c r="N144" i="1"/>
  <c r="O144" i="1"/>
  <c r="P144" i="1"/>
  <c r="Q144" i="1"/>
  <c r="R144" i="1"/>
  <c r="T144" i="1"/>
  <c r="U144" i="1"/>
  <c r="W144" i="1"/>
  <c r="Y144" i="1"/>
  <c r="Z144" i="1"/>
  <c r="I149" i="1"/>
  <c r="K149" i="1"/>
  <c r="O149" i="1"/>
  <c r="P149" i="1"/>
  <c r="Q149" i="1"/>
  <c r="S149" i="1"/>
  <c r="U149" i="1"/>
  <c r="W149" i="1"/>
  <c r="Y149" i="1"/>
  <c r="H145" i="1"/>
  <c r="I145" i="1"/>
  <c r="J145" i="1"/>
  <c r="K145" i="1"/>
  <c r="L145" i="1"/>
  <c r="M145" i="1"/>
  <c r="P145" i="1"/>
  <c r="S145" i="1"/>
  <c r="T145" i="1"/>
  <c r="U145" i="1"/>
  <c r="W145" i="1"/>
  <c r="Y145" i="1"/>
  <c r="I150" i="1"/>
  <c r="K150" i="1"/>
  <c r="M150" i="1"/>
  <c r="R150" i="1"/>
  <c r="S150" i="1"/>
  <c r="U150" i="1"/>
  <c r="W150" i="1"/>
  <c r="Y150" i="1"/>
  <c r="Z150" i="1"/>
  <c r="H151" i="1"/>
  <c r="J151" i="1"/>
  <c r="L151" i="1"/>
  <c r="N151" i="1"/>
  <c r="O151" i="1"/>
  <c r="P151" i="1"/>
  <c r="Q151" i="1"/>
  <c r="R151" i="1"/>
  <c r="S151" i="1"/>
  <c r="T151" i="1"/>
  <c r="U151" i="1"/>
  <c r="V151" i="1"/>
  <c r="W151" i="1"/>
  <c r="X151" i="1"/>
  <c r="Y151" i="1"/>
  <c r="Z151" i="1"/>
  <c r="H154" i="1"/>
  <c r="I154" i="1"/>
  <c r="J154" i="1"/>
  <c r="K154" i="1"/>
  <c r="L154" i="1"/>
  <c r="M154" i="1"/>
  <c r="N154" i="1"/>
  <c r="O154" i="1"/>
  <c r="P154" i="1"/>
  <c r="Q154" i="1"/>
  <c r="R154" i="1"/>
  <c r="S154" i="1"/>
  <c r="U154" i="1"/>
  <c r="V154" i="1"/>
  <c r="W154" i="1"/>
  <c r="X154" i="1"/>
  <c r="Y154" i="1"/>
  <c r="Z154" i="1"/>
  <c r="H157" i="1"/>
  <c r="I157" i="1"/>
  <c r="K157" i="1"/>
  <c r="M157" i="1"/>
  <c r="N157" i="1"/>
  <c r="O157" i="1"/>
  <c r="P157" i="1"/>
  <c r="Q157" i="1"/>
  <c r="R157" i="1"/>
  <c r="S157" i="1"/>
  <c r="T157" i="1"/>
  <c r="V157" i="1"/>
  <c r="W157" i="1"/>
  <c r="X157" i="1"/>
  <c r="Z157" i="1"/>
  <c r="K156" i="1"/>
  <c r="M156" i="1"/>
  <c r="O156" i="1"/>
  <c r="S156" i="1"/>
  <c r="U156" i="1"/>
  <c r="W156" i="1"/>
  <c r="I159" i="1"/>
  <c r="K159" i="1"/>
  <c r="M159" i="1"/>
  <c r="N159" i="1"/>
  <c r="O159" i="1"/>
  <c r="Q159" i="1"/>
  <c r="S159" i="1"/>
  <c r="U159" i="1"/>
  <c r="W159" i="1"/>
  <c r="Y159" i="1"/>
  <c r="H155" i="1"/>
  <c r="J155" i="1"/>
  <c r="L155" i="1"/>
  <c r="P155" i="1"/>
  <c r="R155" i="1"/>
  <c r="T155" i="1"/>
  <c r="X155" i="1"/>
  <c r="Z155" i="1"/>
  <c r="H158" i="1"/>
  <c r="J158" i="1"/>
  <c r="L158" i="1"/>
  <c r="M284" i="1"/>
  <c r="N158" i="1"/>
  <c r="N284" i="1"/>
  <c r="O158" i="1"/>
  <c r="Q158" i="1"/>
  <c r="Q284" i="1"/>
  <c r="S158" i="1"/>
  <c r="V158" i="1"/>
  <c r="V284" i="1"/>
  <c r="X158" i="1"/>
  <c r="Y158" i="1"/>
  <c r="Z158" i="1"/>
  <c r="H161" i="1"/>
  <c r="I161" i="1"/>
  <c r="J161" i="1"/>
  <c r="K161" i="1"/>
  <c r="L161" i="1"/>
  <c r="M161" i="1"/>
  <c r="N161" i="1"/>
  <c r="O161" i="1"/>
  <c r="Q161" i="1"/>
  <c r="R161" i="1"/>
  <c r="S161" i="1"/>
  <c r="T161" i="1"/>
  <c r="U161" i="1"/>
  <c r="V161" i="1"/>
  <c r="X161" i="1"/>
  <c r="Z161" i="1"/>
  <c r="I162" i="1"/>
  <c r="K162" i="1"/>
  <c r="O162" i="1"/>
  <c r="Q162" i="1"/>
  <c r="R162" i="1"/>
  <c r="S162" i="1"/>
  <c r="W162" i="1"/>
  <c r="Y162" i="1"/>
  <c r="H63" i="1"/>
  <c r="H198" i="23" s="1"/>
  <c r="L63" i="1"/>
  <c r="L198" i="23" s="1"/>
  <c r="N63" i="1"/>
  <c r="N198" i="23" s="1"/>
  <c r="P63" i="1"/>
  <c r="P198" i="23" s="1"/>
  <c r="T63" i="1"/>
  <c r="T198" i="23" s="1"/>
  <c r="V63" i="1"/>
  <c r="V198" i="23" s="1"/>
  <c r="W63" i="1"/>
  <c r="W198" i="23" s="1"/>
  <c r="X63" i="1"/>
  <c r="X198" i="23" s="1"/>
  <c r="Z63" i="1"/>
  <c r="Z198" i="23" s="1"/>
  <c r="H64" i="1"/>
  <c r="H199" i="23" s="1"/>
  <c r="I64" i="1"/>
  <c r="I199" i="23" s="1"/>
  <c r="J64" i="1"/>
  <c r="J199" i="23" s="1"/>
  <c r="K64" i="1"/>
  <c r="K199" i="23" s="1"/>
  <c r="L64" i="1"/>
  <c r="L199" i="23" s="1"/>
  <c r="M64" i="1"/>
  <c r="M199" i="23" s="1"/>
  <c r="N64" i="1"/>
  <c r="N199" i="23" s="1"/>
  <c r="O64" i="1"/>
  <c r="O199" i="23" s="1"/>
  <c r="P64" i="1"/>
  <c r="P199" i="23" s="1"/>
  <c r="Q64" i="1"/>
  <c r="Q199" i="23" s="1"/>
  <c r="R64" i="1"/>
  <c r="R199" i="23" s="1"/>
  <c r="S64" i="1"/>
  <c r="S199" i="23" s="1"/>
  <c r="T64" i="1"/>
  <c r="T199" i="23" s="1"/>
  <c r="U64" i="1"/>
  <c r="U199" i="23" s="1"/>
  <c r="V64" i="1"/>
  <c r="V199" i="23" s="1"/>
  <c r="W64" i="1"/>
  <c r="W199" i="23" s="1"/>
  <c r="X64" i="1"/>
  <c r="X199" i="23" s="1"/>
  <c r="Y64" i="1"/>
  <c r="Y199" i="23" s="1"/>
  <c r="Z64" i="1"/>
  <c r="Z199" i="23" s="1"/>
  <c r="H164" i="1"/>
  <c r="I164" i="1"/>
  <c r="J164" i="1"/>
  <c r="K164" i="1"/>
  <c r="L164" i="1"/>
  <c r="M164" i="1"/>
  <c r="N164" i="1"/>
  <c r="O164" i="1"/>
  <c r="P164" i="1"/>
  <c r="Q164" i="1"/>
  <c r="R164" i="1"/>
  <c r="S164" i="1"/>
  <c r="T164" i="1"/>
  <c r="U164" i="1"/>
  <c r="V164" i="1"/>
  <c r="W164" i="1"/>
  <c r="X164" i="1"/>
  <c r="Y164" i="1"/>
  <c r="Z164" i="1"/>
  <c r="I165" i="1"/>
  <c r="M165" i="1"/>
  <c r="O165" i="1"/>
  <c r="Q165" i="1"/>
  <c r="U165" i="1"/>
  <c r="W165" i="1"/>
  <c r="Y165" i="1"/>
  <c r="H167" i="1"/>
  <c r="I167" i="1"/>
  <c r="J167" i="1"/>
  <c r="K167" i="1"/>
  <c r="L167" i="1"/>
  <c r="M167" i="1"/>
  <c r="N167" i="1"/>
  <c r="O167" i="1"/>
  <c r="P167" i="1"/>
  <c r="Q167" i="1"/>
  <c r="R167" i="1"/>
  <c r="S167" i="1"/>
  <c r="T167" i="1"/>
  <c r="U167" i="1"/>
  <c r="V167" i="1"/>
  <c r="W167" i="1"/>
  <c r="X167" i="1"/>
  <c r="Y167" i="1"/>
  <c r="Z167" i="1"/>
  <c r="J168" i="1"/>
  <c r="L168" i="1"/>
  <c r="N168" i="1"/>
  <c r="O168" i="1"/>
  <c r="P168" i="1"/>
  <c r="Q168" i="1"/>
  <c r="R168" i="1"/>
  <c r="S168" i="1"/>
  <c r="T168" i="1"/>
  <c r="U168" i="1"/>
  <c r="V168" i="1"/>
  <c r="W168" i="1"/>
  <c r="X168" i="1"/>
  <c r="Y168" i="1"/>
  <c r="Z168" i="1"/>
  <c r="H171" i="1"/>
  <c r="I171" i="1"/>
  <c r="J171" i="1"/>
  <c r="K171" i="1"/>
  <c r="L171" i="1"/>
  <c r="M171" i="1"/>
  <c r="N171" i="1"/>
  <c r="O171" i="1"/>
  <c r="P171" i="1"/>
  <c r="Q171" i="1"/>
  <c r="R171" i="1"/>
  <c r="S171" i="1"/>
  <c r="T171" i="1"/>
  <c r="U171" i="1"/>
  <c r="V171" i="1"/>
  <c r="W171" i="1"/>
  <c r="X171" i="1"/>
  <c r="Y171" i="1"/>
  <c r="Z171" i="1"/>
  <c r="J172" i="1"/>
  <c r="L172" i="1"/>
  <c r="N172" i="1"/>
  <c r="R172" i="1"/>
  <c r="T172" i="1"/>
  <c r="V172" i="1"/>
  <c r="Z172" i="1"/>
  <c r="H173" i="1"/>
  <c r="J173" i="1"/>
  <c r="L173" i="1"/>
  <c r="N173" i="1"/>
  <c r="P173" i="1"/>
  <c r="R173" i="1"/>
  <c r="T173" i="1"/>
  <c r="V173" i="1"/>
  <c r="X173" i="1"/>
  <c r="Z173" i="1"/>
  <c r="H176" i="1"/>
  <c r="I176" i="1"/>
  <c r="J176" i="1"/>
  <c r="K176" i="1"/>
  <c r="L176" i="1"/>
  <c r="M176" i="1"/>
  <c r="N176" i="1"/>
  <c r="O176" i="1"/>
  <c r="P176" i="1"/>
  <c r="R176" i="1"/>
  <c r="S176" i="1"/>
  <c r="T176" i="1"/>
  <c r="U176" i="1"/>
  <c r="V176" i="1"/>
  <c r="W176" i="1"/>
  <c r="X176" i="1"/>
  <c r="Y176" i="1"/>
  <c r="Z176" i="1"/>
  <c r="H177" i="1"/>
  <c r="I177" i="1"/>
  <c r="J177" i="1"/>
  <c r="K177" i="1"/>
  <c r="L177" i="1"/>
  <c r="N177" i="1"/>
  <c r="O177" i="1"/>
  <c r="P177" i="1"/>
  <c r="Q177" i="1"/>
  <c r="S177" i="1"/>
  <c r="T177" i="1"/>
  <c r="U177" i="1"/>
  <c r="V177" i="1"/>
  <c r="X177" i="1"/>
  <c r="Y177" i="1"/>
  <c r="Z177" i="1"/>
  <c r="H160" i="1"/>
  <c r="I160" i="1"/>
  <c r="J160" i="1"/>
  <c r="K160" i="1"/>
  <c r="L160" i="1"/>
  <c r="M160" i="1"/>
  <c r="N160" i="1"/>
  <c r="O160" i="1"/>
  <c r="P160" i="1"/>
  <c r="Q160" i="1"/>
  <c r="R160" i="1"/>
  <c r="S160" i="1"/>
  <c r="T160" i="1"/>
  <c r="U160" i="1"/>
  <c r="V160" i="1"/>
  <c r="W160" i="1"/>
  <c r="X160" i="1"/>
  <c r="Y160" i="1"/>
  <c r="Z160" i="1"/>
  <c r="H166" i="1"/>
  <c r="I166" i="1"/>
  <c r="J166" i="1"/>
  <c r="K166" i="1"/>
  <c r="L166" i="1"/>
  <c r="M166" i="1"/>
  <c r="N166" i="1"/>
  <c r="O166" i="1"/>
  <c r="P166" i="1"/>
  <c r="Q166" i="1"/>
  <c r="R166" i="1"/>
  <c r="S166" i="1"/>
  <c r="T166" i="1"/>
  <c r="U166" i="1"/>
  <c r="V166" i="1"/>
  <c r="W166" i="1"/>
  <c r="X166" i="1"/>
  <c r="Y166" i="1"/>
  <c r="G108" i="1"/>
  <c r="H108" i="1"/>
  <c r="I108" i="1"/>
  <c r="J108" i="1"/>
  <c r="K108" i="1"/>
  <c r="L108" i="1"/>
  <c r="M108" i="1"/>
  <c r="N108" i="1"/>
  <c r="O108" i="1"/>
  <c r="P108" i="1"/>
  <c r="Q108" i="1"/>
  <c r="R108" i="1"/>
  <c r="S108" i="1"/>
  <c r="T108" i="1"/>
  <c r="U108" i="1"/>
  <c r="V108" i="1"/>
  <c r="W108" i="1"/>
  <c r="X108" i="1"/>
  <c r="Y108" i="1"/>
  <c r="Z108" i="1"/>
  <c r="AA108" i="1"/>
  <c r="G109" i="1"/>
  <c r="H109" i="1"/>
  <c r="I109" i="1"/>
  <c r="J109" i="1"/>
  <c r="K109" i="1"/>
  <c r="L109" i="1"/>
  <c r="M109" i="1"/>
  <c r="N109" i="1"/>
  <c r="O109" i="1"/>
  <c r="P109" i="1"/>
  <c r="Q109" i="1"/>
  <c r="R109" i="1"/>
  <c r="S109" i="1"/>
  <c r="T109" i="1"/>
  <c r="U109" i="1"/>
  <c r="V109" i="1"/>
  <c r="W109" i="1"/>
  <c r="X109" i="1"/>
  <c r="Y109" i="1"/>
  <c r="Z109" i="1"/>
  <c r="AA109" i="1"/>
  <c r="H106" i="1"/>
  <c r="J106" i="1"/>
  <c r="L106" i="1"/>
  <c r="N106" i="1"/>
  <c r="P106" i="1"/>
  <c r="R106" i="1"/>
  <c r="T106" i="1"/>
  <c r="V106" i="1"/>
  <c r="X106" i="1"/>
  <c r="Z106" i="1"/>
  <c r="AB24" i="1"/>
  <c r="AB13" i="23" s="1"/>
  <c r="CP59" i="17" s="1"/>
  <c r="AB23" i="1"/>
  <c r="AB40" i="1"/>
  <c r="G43" i="1"/>
  <c r="G61" i="23" s="1"/>
  <c r="J108" i="17" s="1"/>
  <c r="AB44" i="1"/>
  <c r="AB79" i="23" s="1"/>
  <c r="AB49" i="1"/>
  <c r="AB90" i="23" s="1"/>
  <c r="G47" i="1"/>
  <c r="G89" i="23" s="1"/>
  <c r="AB47" i="1"/>
  <c r="AB89" i="23" s="1"/>
  <c r="AB48" i="1"/>
  <c r="AB88" i="23" s="1"/>
  <c r="AB94" i="23" s="1"/>
  <c r="DH85" i="11" s="1"/>
  <c r="AB53" i="1"/>
  <c r="AB112" i="23" s="1"/>
  <c r="G51" i="1"/>
  <c r="G111" i="23" s="1"/>
  <c r="G52" i="1"/>
  <c r="G110" i="23" s="1"/>
  <c r="AB52" i="1"/>
  <c r="AB110" i="23" s="1"/>
  <c r="AB57" i="1"/>
  <c r="AB132" i="23" s="1"/>
  <c r="G8" i="1"/>
  <c r="G32" i="8" s="1"/>
  <c r="H8" i="1"/>
  <c r="H32" i="8" s="1"/>
  <c r="I8" i="1"/>
  <c r="I32" i="8" s="1"/>
  <c r="J8" i="1"/>
  <c r="J32" i="8" s="1"/>
  <c r="J99" i="8" s="1"/>
  <c r="K8" i="1"/>
  <c r="K32" i="8" s="1"/>
  <c r="L8" i="1"/>
  <c r="L32" i="8" s="1"/>
  <c r="M8" i="1"/>
  <c r="M32" i="8" s="1"/>
  <c r="N8" i="1"/>
  <c r="N32" i="8" s="1"/>
  <c r="O8" i="1"/>
  <c r="O32" i="8" s="1"/>
  <c r="P8" i="1"/>
  <c r="P32" i="8" s="1"/>
  <c r="P99" i="8" s="1"/>
  <c r="Q8" i="1"/>
  <c r="Q32" i="8" s="1"/>
  <c r="Q244" i="8" s="1"/>
  <c r="R8" i="1"/>
  <c r="R32" i="8" s="1"/>
  <c r="R244" i="8" s="1"/>
  <c r="S8" i="1"/>
  <c r="S32" i="8" s="1"/>
  <c r="T8" i="1"/>
  <c r="T32" i="8" s="1"/>
  <c r="U8" i="1"/>
  <c r="U32" i="8" s="1"/>
  <c r="U99" i="8" s="1"/>
  <c r="V8" i="1"/>
  <c r="V32" i="8" s="1"/>
  <c r="W8" i="1"/>
  <c r="W32" i="8" s="1"/>
  <c r="X8" i="1"/>
  <c r="X32" i="8" s="1"/>
  <c r="X244" i="8" s="1"/>
  <c r="Y8" i="1"/>
  <c r="Y32" i="8" s="1"/>
  <c r="Z8" i="1"/>
  <c r="Z32" i="8" s="1"/>
  <c r="Z244" i="8" s="1"/>
  <c r="AA8" i="1"/>
  <c r="AA32" i="8" s="1"/>
  <c r="AB8" i="1"/>
  <c r="AB32" i="8" s="1"/>
  <c r="G13" i="1"/>
  <c r="H13" i="1"/>
  <c r="I13" i="1"/>
  <c r="J13" i="1"/>
  <c r="K13" i="1"/>
  <c r="L13" i="1"/>
  <c r="M13" i="1"/>
  <c r="N13" i="1"/>
  <c r="O13" i="1"/>
  <c r="P13" i="1"/>
  <c r="Q13" i="1"/>
  <c r="R13" i="1"/>
  <c r="S13" i="1"/>
  <c r="T13" i="1"/>
  <c r="U13" i="1"/>
  <c r="V13" i="1"/>
  <c r="W13" i="1"/>
  <c r="X13" i="1"/>
  <c r="Y13" i="1"/>
  <c r="Z13" i="1"/>
  <c r="AA13" i="1"/>
  <c r="AB13" i="1"/>
  <c r="G9" i="1"/>
  <c r="G30" i="8" s="1"/>
  <c r="H9" i="1"/>
  <c r="H30" i="8" s="1"/>
  <c r="I9" i="1"/>
  <c r="I30" i="8" s="1"/>
  <c r="J9" i="1"/>
  <c r="J30" i="8" s="1"/>
  <c r="J49" i="25" s="1"/>
  <c r="K9" i="1"/>
  <c r="K30" i="8" s="1"/>
  <c r="L9" i="1"/>
  <c r="L30" i="8" s="1"/>
  <c r="M9" i="1"/>
  <c r="M30" i="8" s="1"/>
  <c r="M76" i="8" s="1"/>
  <c r="N9" i="1"/>
  <c r="N30" i="8" s="1"/>
  <c r="N49" i="25" s="1"/>
  <c r="O9" i="1"/>
  <c r="O30" i="8" s="1"/>
  <c r="O76" i="8" s="1"/>
  <c r="O101" i="8" s="1"/>
  <c r="P9" i="1"/>
  <c r="P30" i="8" s="1"/>
  <c r="Q9" i="1"/>
  <c r="Q30" i="8" s="1"/>
  <c r="Q49" i="25" s="1"/>
  <c r="R9" i="1"/>
  <c r="R30" i="8" s="1"/>
  <c r="R76" i="8" s="1"/>
  <c r="R101" i="8" s="1"/>
  <c r="S9" i="1"/>
  <c r="S30" i="8" s="1"/>
  <c r="T9" i="1"/>
  <c r="T30" i="8" s="1"/>
  <c r="U9" i="1"/>
  <c r="U30" i="8" s="1"/>
  <c r="V9" i="1"/>
  <c r="V30" i="8" s="1"/>
  <c r="W9" i="1"/>
  <c r="W30" i="8" s="1"/>
  <c r="X9" i="1"/>
  <c r="X30" i="8" s="1"/>
  <c r="Y9" i="1"/>
  <c r="Y30" i="8" s="1"/>
  <c r="Z9" i="1"/>
  <c r="Z30" i="8" s="1"/>
  <c r="AA9" i="1"/>
  <c r="AA30" i="8" s="1"/>
  <c r="AB9" i="1"/>
  <c r="AB30" i="8" s="1"/>
  <c r="G15" i="1"/>
  <c r="H15" i="1"/>
  <c r="I15" i="1"/>
  <c r="J15" i="1"/>
  <c r="K15" i="1"/>
  <c r="L15" i="1"/>
  <c r="M15" i="1"/>
  <c r="N15" i="1"/>
  <c r="O15" i="1"/>
  <c r="P15" i="1"/>
  <c r="Q15" i="1"/>
  <c r="R15" i="1"/>
  <c r="S15" i="1"/>
  <c r="T15" i="1"/>
  <c r="U15" i="1"/>
  <c r="V15" i="1"/>
  <c r="W15" i="1"/>
  <c r="X15" i="1"/>
  <c r="Y15" i="1"/>
  <c r="Z15" i="1"/>
  <c r="AA15" i="1"/>
  <c r="AB15" i="1"/>
  <c r="L224" i="1"/>
  <c r="L34" i="8" s="1"/>
  <c r="N224" i="1"/>
  <c r="N34" i="8" s="1"/>
  <c r="Q224" i="1"/>
  <c r="Q34" i="8" s="1"/>
  <c r="R224" i="1"/>
  <c r="R34" i="8" s="1"/>
  <c r="T224" i="1"/>
  <c r="T34" i="8" s="1"/>
  <c r="V224" i="1"/>
  <c r="V34" i="8" s="1"/>
  <c r="X224" i="1"/>
  <c r="X34" i="8" s="1"/>
  <c r="Y224" i="1"/>
  <c r="Y34" i="8" s="1"/>
  <c r="Y55" i="25" s="1"/>
  <c r="Z224" i="1"/>
  <c r="Z34" i="8" s="1"/>
  <c r="AA224" i="1"/>
  <c r="AA34" i="8" s="1"/>
  <c r="I5" i="1"/>
  <c r="I7" i="8" s="1"/>
  <c r="K5" i="1"/>
  <c r="K7" i="8" s="1"/>
  <c r="K52" i="25" s="1"/>
  <c r="M5" i="1"/>
  <c r="M7" i="8" s="1"/>
  <c r="O5" i="1"/>
  <c r="O7" i="8" s="1"/>
  <c r="Q5" i="1"/>
  <c r="Q7" i="8" s="1"/>
  <c r="S5" i="1"/>
  <c r="S7" i="8" s="1"/>
  <c r="S52" i="25" s="1"/>
  <c r="U5" i="1"/>
  <c r="U7" i="8" s="1"/>
  <c r="W5" i="1"/>
  <c r="W7" i="8" s="1"/>
  <c r="Y5" i="1"/>
  <c r="Y7" i="8" s="1"/>
  <c r="I6" i="1"/>
  <c r="I8" i="8" s="1"/>
  <c r="I53" i="25" s="1"/>
  <c r="K6" i="1"/>
  <c r="K8" i="8" s="1"/>
  <c r="M6" i="1"/>
  <c r="M8" i="8" s="1"/>
  <c r="M53" i="25" s="1"/>
  <c r="O6" i="1"/>
  <c r="O8" i="8" s="1"/>
  <c r="Q6" i="1"/>
  <c r="Q8" i="8" s="1"/>
  <c r="Q53" i="25" s="1"/>
  <c r="S6" i="1"/>
  <c r="S8" i="8" s="1"/>
  <c r="U6" i="1"/>
  <c r="U8" i="8" s="1"/>
  <c r="W6" i="1"/>
  <c r="W8" i="8" s="1"/>
  <c r="Y6" i="1"/>
  <c r="Y8" i="8" s="1"/>
  <c r="Y53" i="25" s="1"/>
  <c r="I4" i="1"/>
  <c r="I5" i="8" s="1"/>
  <c r="K4" i="1"/>
  <c r="K5" i="8" s="1"/>
  <c r="M4" i="1"/>
  <c r="M5" i="8" s="1"/>
  <c r="O4" i="1"/>
  <c r="O5" i="8" s="1"/>
  <c r="O51" i="25" s="1"/>
  <c r="Q4" i="1"/>
  <c r="Q5" i="8" s="1"/>
  <c r="S4" i="1"/>
  <c r="S5" i="8" s="1"/>
  <c r="U4" i="1"/>
  <c r="U5" i="8" s="1"/>
  <c r="W4" i="1"/>
  <c r="W5" i="8" s="1"/>
  <c r="W51" i="25" s="1"/>
  <c r="Y4" i="1"/>
  <c r="Y5" i="8" s="1"/>
  <c r="AA4" i="1"/>
  <c r="AA5" i="8" s="1"/>
  <c r="H230" i="1"/>
  <c r="H135" i="8" s="1"/>
  <c r="AB284" i="1"/>
  <c r="U230" i="1"/>
  <c r="U135" i="8" s="1"/>
  <c r="AB230" i="1"/>
  <c r="AB135" i="8" s="1"/>
  <c r="P230" i="1"/>
  <c r="P135" i="8" s="1"/>
  <c r="N230" i="1"/>
  <c r="N135" i="8" s="1"/>
  <c r="T230" i="1"/>
  <c r="T135" i="8" s="1"/>
  <c r="L284" i="1"/>
  <c r="X230" i="1"/>
  <c r="X135" i="8" s="1"/>
  <c r="H284" i="1"/>
  <c r="I230" i="1"/>
  <c r="I135" i="8" s="1"/>
  <c r="O230" i="1"/>
  <c r="O135" i="8" s="1"/>
  <c r="R284" i="1"/>
  <c r="Z284" i="1"/>
  <c r="P224" i="1"/>
  <c r="P34" i="8" s="1"/>
  <c r="J284" i="1"/>
  <c r="H224" i="1"/>
  <c r="H34" i="8" s="1"/>
  <c r="H55" i="25" s="1"/>
  <c r="Z128" i="1"/>
  <c r="U224" i="1"/>
  <c r="U34" i="8" s="1"/>
  <c r="K224" i="1"/>
  <c r="K34" i="8" s="1"/>
  <c r="J224" i="1"/>
  <c r="J34" i="8" s="1"/>
  <c r="X284" i="1"/>
  <c r="G284" i="1"/>
  <c r="H290" i="1"/>
  <c r="H546" i="7" s="1"/>
  <c r="L290" i="1"/>
  <c r="L546" i="7" s="1"/>
  <c r="X290" i="1"/>
  <c r="X546" i="7" s="1"/>
  <c r="M290" i="1"/>
  <c r="M546" i="7" s="1"/>
  <c r="Q290" i="1"/>
  <c r="Q546" i="7" s="1"/>
  <c r="J290" i="1"/>
  <c r="J546" i="7" s="1"/>
  <c r="N290" i="1"/>
  <c r="N546" i="7" s="1"/>
  <c r="R290" i="1"/>
  <c r="R546" i="7" s="1"/>
  <c r="V290" i="1"/>
  <c r="V546" i="7" s="1"/>
  <c r="M224" i="1"/>
  <c r="M34" i="8" s="1"/>
  <c r="O224" i="1"/>
  <c r="O34" i="8" s="1"/>
  <c r="I224" i="1"/>
  <c r="I34" i="8" s="1"/>
  <c r="I55" i="25" s="1"/>
  <c r="S224" i="1"/>
  <c r="S34" i="8" s="1"/>
  <c r="S55" i="25" s="1"/>
  <c r="W224" i="1"/>
  <c r="W34" i="8" s="1"/>
  <c r="Y284" i="1"/>
  <c r="Z4" i="1"/>
  <c r="Z5" i="8" s="1"/>
  <c r="Z51" i="25" s="1"/>
  <c r="X4" i="1"/>
  <c r="X5" i="8" s="1"/>
  <c r="X51" i="25" s="1"/>
  <c r="V4" i="1"/>
  <c r="V5" i="8" s="1"/>
  <c r="T4" i="1"/>
  <c r="T5" i="8" s="1"/>
  <c r="T51" i="25" s="1"/>
  <c r="R4" i="1"/>
  <c r="R5" i="8" s="1"/>
  <c r="R51" i="25" s="1"/>
  <c r="P4" i="1"/>
  <c r="P5" i="8" s="1"/>
  <c r="N4" i="1"/>
  <c r="N5" i="8" s="1"/>
  <c r="L4" i="1"/>
  <c r="L5" i="8" s="1"/>
  <c r="J4" i="1"/>
  <c r="J5" i="8" s="1"/>
  <c r="H4" i="1"/>
  <c r="H5" i="8" s="1"/>
  <c r="H51" i="25" s="1"/>
  <c r="Z6" i="1"/>
  <c r="Z8" i="8" s="1"/>
  <c r="X6" i="1"/>
  <c r="X8" i="8" s="1"/>
  <c r="X53" i="25" s="1"/>
  <c r="V6" i="1"/>
  <c r="V8" i="8" s="1"/>
  <c r="T6" i="1"/>
  <c r="T8" i="8" s="1"/>
  <c r="R6" i="1"/>
  <c r="R8" i="8" s="1"/>
  <c r="P6" i="1"/>
  <c r="P8" i="8" s="1"/>
  <c r="P53" i="25" s="1"/>
  <c r="N6" i="1"/>
  <c r="N8" i="8" s="1"/>
  <c r="N53" i="25" s="1"/>
  <c r="L6" i="1"/>
  <c r="L8" i="8" s="1"/>
  <c r="J6" i="1"/>
  <c r="J8" i="8" s="1"/>
  <c r="H6" i="1"/>
  <c r="H8" i="8" s="1"/>
  <c r="H53" i="25" s="1"/>
  <c r="Z5" i="1"/>
  <c r="Z7" i="8" s="1"/>
  <c r="X5" i="1"/>
  <c r="X7" i="8" s="1"/>
  <c r="V5" i="1"/>
  <c r="V7" i="8" s="1"/>
  <c r="T5" i="1"/>
  <c r="T7" i="8" s="1"/>
  <c r="R5" i="1"/>
  <c r="R7" i="8" s="1"/>
  <c r="P5" i="1"/>
  <c r="P7" i="8" s="1"/>
  <c r="N5" i="1"/>
  <c r="N7" i="8" s="1"/>
  <c r="N52" i="25" s="1"/>
  <c r="L5" i="1"/>
  <c r="L7" i="8" s="1"/>
  <c r="J5" i="1"/>
  <c r="J7" i="8" s="1"/>
  <c r="H5" i="1"/>
  <c r="H7" i="8" s="1"/>
  <c r="H6" i="8" s="1"/>
  <c r="AB55" i="1"/>
  <c r="AB166" i="23" s="1"/>
  <c r="AB51" i="1"/>
  <c r="AB111" i="23" s="1"/>
  <c r="G48" i="1"/>
  <c r="G88" i="23" s="1"/>
  <c r="AB45" i="1"/>
  <c r="AB101" i="23" s="1"/>
  <c r="AB129" i="23" s="1"/>
  <c r="AB43" i="1"/>
  <c r="AB61" i="23" s="1"/>
  <c r="CP108" i="17" s="1"/>
  <c r="AB41" i="1"/>
  <c r="AB71" i="23" s="1"/>
  <c r="AB21" i="1"/>
  <c r="AB7" i="23" s="1"/>
  <c r="AB22" i="1"/>
  <c r="AA106" i="1"/>
  <c r="Y106" i="1"/>
  <c r="W106" i="1"/>
  <c r="U106" i="1"/>
  <c r="S106" i="1"/>
  <c r="Q106" i="1"/>
  <c r="O106" i="1"/>
  <c r="M106" i="1"/>
  <c r="K106" i="1"/>
  <c r="I106" i="1"/>
  <c r="G106" i="1"/>
  <c r="Z166" i="1"/>
  <c r="W177" i="1"/>
  <c r="R177" i="1"/>
  <c r="M177" i="1"/>
  <c r="Q176" i="1"/>
  <c r="Y173" i="1"/>
  <c r="W173" i="1"/>
  <c r="U173" i="1"/>
  <c r="S173" i="1"/>
  <c r="Q173" i="1"/>
  <c r="O173" i="1"/>
  <c r="M173" i="1"/>
  <c r="K173" i="1"/>
  <c r="I173" i="1"/>
  <c r="Y172" i="1"/>
  <c r="X172" i="1"/>
  <c r="W172" i="1"/>
  <c r="U172" i="1"/>
  <c r="S172" i="1"/>
  <c r="Q172" i="1"/>
  <c r="P172" i="1"/>
  <c r="O172" i="1"/>
  <c r="M172" i="1"/>
  <c r="K172" i="1"/>
  <c r="I172" i="1"/>
  <c r="H172" i="1"/>
  <c r="M168" i="1"/>
  <c r="K168" i="1"/>
  <c r="I168" i="1"/>
  <c r="H168" i="1"/>
  <c r="Z165" i="1"/>
  <c r="X165" i="1"/>
  <c r="V165" i="1"/>
  <c r="T165" i="1"/>
  <c r="S165" i="1"/>
  <c r="R165" i="1"/>
  <c r="P165" i="1"/>
  <c r="N165" i="1"/>
  <c r="L165" i="1"/>
  <c r="K165" i="1"/>
  <c r="J165" i="1"/>
  <c r="H165" i="1"/>
  <c r="Y63" i="1"/>
  <c r="Y198" i="23" s="1"/>
  <c r="U63" i="1"/>
  <c r="U198" i="23" s="1"/>
  <c r="S63" i="1"/>
  <c r="S198" i="23" s="1"/>
  <c r="R63" i="1"/>
  <c r="R198" i="23" s="1"/>
  <c r="Q63" i="1"/>
  <c r="Q198" i="23" s="1"/>
  <c r="O63" i="1"/>
  <c r="O198" i="23" s="1"/>
  <c r="M63" i="1"/>
  <c r="M198" i="23" s="1"/>
  <c r="K63" i="1"/>
  <c r="K198" i="23" s="1"/>
  <c r="J63" i="1"/>
  <c r="J198" i="23" s="1"/>
  <c r="I63" i="1"/>
  <c r="I198" i="23" s="1"/>
  <c r="Z162" i="1"/>
  <c r="X162" i="1"/>
  <c r="V162" i="1"/>
  <c r="U162" i="1"/>
  <c r="T162" i="1"/>
  <c r="P162" i="1"/>
  <c r="N162" i="1"/>
  <c r="M162" i="1"/>
  <c r="L162" i="1"/>
  <c r="J162" i="1"/>
  <c r="H162" i="1"/>
  <c r="Y161" i="1"/>
  <c r="W161" i="1"/>
  <c r="P161" i="1"/>
  <c r="W284" i="1"/>
  <c r="W158" i="1"/>
  <c r="U284" i="1"/>
  <c r="U158" i="1"/>
  <c r="T284" i="1"/>
  <c r="T158" i="1"/>
  <c r="R158" i="1"/>
  <c r="P284" i="1"/>
  <c r="P158" i="1"/>
  <c r="M158" i="1"/>
  <c r="K284" i="1"/>
  <c r="K158" i="1"/>
  <c r="I284" i="1"/>
  <c r="I158" i="1"/>
  <c r="Y155" i="1"/>
  <c r="W155" i="1"/>
  <c r="V155" i="1"/>
  <c r="U155" i="1"/>
  <c r="S155" i="1"/>
  <c r="Q155" i="1"/>
  <c r="O155" i="1"/>
  <c r="N155" i="1"/>
  <c r="M155" i="1"/>
  <c r="K155" i="1"/>
  <c r="I155" i="1"/>
  <c r="Z159" i="1"/>
  <c r="X159" i="1"/>
  <c r="V159" i="1"/>
  <c r="T159" i="1"/>
  <c r="R159" i="1"/>
  <c r="P159" i="1"/>
  <c r="L159" i="1"/>
  <c r="J159" i="1"/>
  <c r="H159" i="1"/>
  <c r="Z156" i="1"/>
  <c r="Y156" i="1"/>
  <c r="X156" i="1"/>
  <c r="V156" i="1"/>
  <c r="T156" i="1"/>
  <c r="R156" i="1"/>
  <c r="Q156" i="1"/>
  <c r="P156" i="1"/>
  <c r="N156" i="1"/>
  <c r="L156" i="1"/>
  <c r="J156" i="1"/>
  <c r="I156" i="1"/>
  <c r="H156" i="1"/>
  <c r="Y157" i="1"/>
  <c r="U157" i="1"/>
  <c r="L157" i="1"/>
  <c r="J157" i="1"/>
  <c r="T154" i="1"/>
  <c r="M151" i="1"/>
  <c r="K151" i="1"/>
  <c r="I151" i="1"/>
  <c r="X150" i="1"/>
  <c r="V150" i="1"/>
  <c r="T150" i="1"/>
  <c r="Q150" i="1"/>
  <c r="P150" i="1"/>
  <c r="O150" i="1"/>
  <c r="N150" i="1"/>
  <c r="L150" i="1"/>
  <c r="J150" i="1"/>
  <c r="H150" i="1"/>
  <c r="Z145" i="1"/>
  <c r="X145" i="1"/>
  <c r="V145" i="1"/>
  <c r="R145" i="1"/>
  <c r="Q145" i="1"/>
  <c r="O145" i="1"/>
  <c r="N145" i="1"/>
  <c r="Z149" i="1"/>
  <c r="X149" i="1"/>
  <c r="V149" i="1"/>
  <c r="T149" i="1"/>
  <c r="R149" i="1"/>
  <c r="N149" i="1"/>
  <c r="M149" i="1"/>
  <c r="L149" i="1"/>
  <c r="J149" i="1"/>
  <c r="H149" i="1"/>
  <c r="X144" i="1"/>
  <c r="V144" i="1"/>
  <c r="S144" i="1"/>
  <c r="M144" i="1"/>
  <c r="J144" i="1"/>
  <c r="Z147" i="1"/>
  <c r="P147" i="1"/>
  <c r="O147" i="1"/>
  <c r="N147" i="1"/>
  <c r="L147" i="1"/>
  <c r="J147" i="1"/>
  <c r="H147" i="1"/>
  <c r="Z146" i="1"/>
  <c r="X146" i="1"/>
  <c r="V146" i="1"/>
  <c r="T146" i="1"/>
  <c r="S146" i="1"/>
  <c r="R146" i="1"/>
  <c r="P146" i="1"/>
  <c r="N146" i="1"/>
  <c r="L146" i="1"/>
  <c r="K146" i="1"/>
  <c r="J146" i="1"/>
  <c r="H146" i="1"/>
  <c r="Z143" i="1"/>
  <c r="Z211" i="8" s="1"/>
  <c r="Y143" i="1"/>
  <c r="Y211" i="8" s="1"/>
  <c r="X143" i="1"/>
  <c r="X211" i="8" s="1"/>
  <c r="Q143" i="1"/>
  <c r="Q211" i="8" s="1"/>
  <c r="L143" i="1"/>
  <c r="L211" i="8" s="1"/>
  <c r="Z142" i="1"/>
  <c r="X142" i="1"/>
  <c r="V142" i="1"/>
  <c r="T142" i="1"/>
  <c r="S142" i="1"/>
  <c r="R142" i="1"/>
  <c r="P142" i="1"/>
  <c r="Z141" i="1"/>
  <c r="P141" i="1"/>
  <c r="N141" i="1"/>
  <c r="I141" i="1"/>
  <c r="H141" i="1"/>
  <c r="H140" i="1"/>
  <c r="X136" i="1"/>
  <c r="T136" i="1"/>
  <c r="S136" i="1"/>
  <c r="R136" i="1"/>
  <c r="P136" i="1"/>
  <c r="N136" i="1"/>
  <c r="L136" i="1"/>
  <c r="K136" i="1"/>
  <c r="J136" i="1"/>
  <c r="AB130" i="1"/>
  <c r="AB121" i="1"/>
  <c r="AB116" i="1"/>
  <c r="AB112" i="1"/>
  <c r="AA130" i="1"/>
  <c r="Y130" i="1"/>
  <c r="X130" i="1"/>
  <c r="V130" i="1"/>
  <c r="U130" i="1"/>
  <c r="T130" i="1"/>
  <c r="N130" i="1"/>
  <c r="M130" i="1"/>
  <c r="K130" i="1"/>
  <c r="I130" i="1"/>
  <c r="H130" i="1"/>
  <c r="Y133" i="1"/>
  <c r="X133" i="1"/>
  <c r="W133" i="1"/>
  <c r="T133" i="1"/>
  <c r="R133" i="1"/>
  <c r="Q133" i="1"/>
  <c r="O133" i="1"/>
  <c r="M133" i="1"/>
  <c r="I133" i="1"/>
  <c r="U132" i="1"/>
  <c r="T132" i="1"/>
  <c r="M132" i="1"/>
  <c r="M134" i="1" s="1"/>
  <c r="L132" i="1"/>
  <c r="K132" i="1"/>
  <c r="T131" i="1"/>
  <c r="T240" i="23" s="1"/>
  <c r="S131" i="1"/>
  <c r="S240" i="23" s="1"/>
  <c r="L131" i="1"/>
  <c r="L240" i="23" s="1"/>
  <c r="L1086" i="7" s="1"/>
  <c r="K131" i="1"/>
  <c r="K240" i="23" s="1"/>
  <c r="M127" i="1"/>
  <c r="L127" i="1"/>
  <c r="K127" i="1"/>
  <c r="AA126" i="1"/>
  <c r="X126" i="1"/>
  <c r="N126" i="1"/>
  <c r="J126" i="1"/>
  <c r="I126" i="1"/>
  <c r="H126" i="1"/>
  <c r="N125" i="1"/>
  <c r="M125" i="1"/>
  <c r="K125" i="1"/>
  <c r="I125" i="1"/>
  <c r="Y123" i="1"/>
  <c r="W123" i="1"/>
  <c r="L121" i="1"/>
  <c r="K121" i="1"/>
  <c r="I121" i="1"/>
  <c r="AA119" i="1"/>
  <c r="Y119" i="1"/>
  <c r="X119" i="1"/>
  <c r="W119" i="1"/>
  <c r="U119" i="1"/>
  <c r="S119" i="1"/>
  <c r="P119" i="1"/>
  <c r="N119" i="1"/>
  <c r="L119" i="1"/>
  <c r="J119" i="1"/>
  <c r="H119" i="1"/>
  <c r="T122" i="1"/>
  <c r="R122" i="1"/>
  <c r="Q122" i="1"/>
  <c r="O120" i="1"/>
  <c r="N120" i="1"/>
  <c r="AA116" i="1"/>
  <c r="Y116" i="1"/>
  <c r="W116" i="1"/>
  <c r="U116" i="1"/>
  <c r="S116" i="1"/>
  <c r="O116" i="1"/>
  <c r="M116" i="1"/>
  <c r="K116" i="1"/>
  <c r="S115" i="1"/>
  <c r="S117" i="1" s="1"/>
  <c r="Q115" i="1"/>
  <c r="J115" i="1"/>
  <c r="I115" i="1"/>
  <c r="Y113" i="1"/>
  <c r="R113" i="1"/>
  <c r="J113" i="1"/>
  <c r="I113" i="1"/>
  <c r="H113" i="1"/>
  <c r="AA112" i="1"/>
  <c r="Z112" i="1"/>
  <c r="K112" i="1"/>
  <c r="I112" i="1"/>
  <c r="AA114" i="1"/>
  <c r="AA210" i="8" s="1"/>
  <c r="T114" i="1"/>
  <c r="T210" i="8" s="1"/>
  <c r="S114" i="1"/>
  <c r="S210" i="8" s="1"/>
  <c r="P114" i="1"/>
  <c r="P210" i="8" s="1"/>
  <c r="J114" i="1"/>
  <c r="J210" i="8" s="1"/>
  <c r="J72" i="25" s="1"/>
  <c r="H114" i="1"/>
  <c r="H210" i="8" s="1"/>
  <c r="AA111" i="1"/>
  <c r="Z111" i="1"/>
  <c r="Q111" i="1"/>
  <c r="H186" i="1"/>
  <c r="H209" i="8" s="1"/>
  <c r="H182" i="1"/>
  <c r="H184" i="1"/>
  <c r="H217" i="8" s="1"/>
  <c r="H58" i="25" s="1"/>
  <c r="H187" i="1"/>
  <c r="H194" i="1"/>
  <c r="H191" i="1"/>
  <c r="H202" i="1"/>
  <c r="H207" i="1"/>
  <c r="Z207" i="1"/>
  <c r="Y207" i="1"/>
  <c r="W207" i="1"/>
  <c r="V207" i="1"/>
  <c r="U207" i="1"/>
  <c r="T207" i="1"/>
  <c r="S207" i="1"/>
  <c r="R207" i="1"/>
  <c r="Q207" i="1"/>
  <c r="O207" i="1"/>
  <c r="M207" i="1"/>
  <c r="K207" i="1"/>
  <c r="J207" i="1"/>
  <c r="I207" i="1"/>
  <c r="Z209" i="1"/>
  <c r="X209" i="1"/>
  <c r="V209" i="1"/>
  <c r="U209" i="1"/>
  <c r="T209" i="1"/>
  <c r="R209" i="1"/>
  <c r="P209" i="1"/>
  <c r="N209" i="1"/>
  <c r="M209" i="1"/>
  <c r="L209" i="1"/>
  <c r="J209" i="1"/>
  <c r="V208" i="1"/>
  <c r="V236" i="23" s="1"/>
  <c r="T208" i="1"/>
  <c r="T236" i="23" s="1"/>
  <c r="R208" i="1"/>
  <c r="R236" i="23" s="1"/>
  <c r="Q208" i="1"/>
  <c r="Q236" i="23" s="1"/>
  <c r="P208" i="1"/>
  <c r="P236" i="23" s="1"/>
  <c r="X204" i="1"/>
  <c r="W204" i="1"/>
  <c r="Q204" i="1"/>
  <c r="K204" i="1"/>
  <c r="J204" i="1"/>
  <c r="Z203" i="1"/>
  <c r="L203" i="1"/>
  <c r="J203" i="1"/>
  <c r="I203" i="1"/>
  <c r="Y202" i="1"/>
  <c r="X202" i="1"/>
  <c r="T202" i="1"/>
  <c r="S202" i="1"/>
  <c r="R202" i="1"/>
  <c r="X200" i="1"/>
  <c r="S200" i="1"/>
  <c r="P200" i="1"/>
  <c r="M200" i="1"/>
  <c r="K200" i="1"/>
  <c r="I200" i="1"/>
  <c r="Y197" i="1"/>
  <c r="T197" i="1"/>
  <c r="Q197" i="1"/>
  <c r="J197" i="1"/>
  <c r="AA196" i="1"/>
  <c r="Z196" i="1"/>
  <c r="W196" i="1"/>
  <c r="V196" i="1"/>
  <c r="U196" i="1"/>
  <c r="M196" i="1"/>
  <c r="J196" i="1"/>
  <c r="Z191" i="1"/>
  <c r="X191" i="1"/>
  <c r="V191" i="1"/>
  <c r="T191" i="1"/>
  <c r="R191" i="1"/>
  <c r="Q191" i="1"/>
  <c r="P191" i="1"/>
  <c r="N191" i="1"/>
  <c r="M191" i="1"/>
  <c r="L191" i="1"/>
  <c r="Z199" i="1"/>
  <c r="X199" i="1"/>
  <c r="U199" i="1"/>
  <c r="S199" i="1"/>
  <c r="Q199" i="1"/>
  <c r="O199" i="1"/>
  <c r="K199" i="1"/>
  <c r="I199" i="1"/>
  <c r="P195" i="1"/>
  <c r="Y194" i="1"/>
  <c r="T194" i="1"/>
  <c r="S194" i="1"/>
  <c r="X188" i="1"/>
  <c r="W188" i="1"/>
  <c r="V188" i="1"/>
  <c r="R188" i="1"/>
  <c r="L188" i="1"/>
  <c r="U187" i="1"/>
  <c r="T187" i="1"/>
  <c r="R187" i="1"/>
  <c r="P187" i="1"/>
  <c r="K187" i="1"/>
  <c r="J187" i="1"/>
  <c r="Z185" i="1"/>
  <c r="Z137" i="8" s="1"/>
  <c r="DP14" i="6" s="1"/>
  <c r="M185" i="1"/>
  <c r="M137" i="8" s="1"/>
  <c r="AP14" i="6" s="1"/>
  <c r="K185" i="1"/>
  <c r="K137" i="8" s="1"/>
  <c r="K59" i="25" s="1"/>
  <c r="J185" i="1"/>
  <c r="J137" i="8" s="1"/>
  <c r="X14" i="6" s="1"/>
  <c r="I185" i="1"/>
  <c r="I137" i="8" s="1"/>
  <c r="U184" i="1"/>
  <c r="U217" i="8" s="1"/>
  <c r="S184" i="1"/>
  <c r="S217" i="8" s="1"/>
  <c r="S19" i="7" s="1"/>
  <c r="R184" i="1"/>
  <c r="R217" i="8" s="1"/>
  <c r="Q184" i="1"/>
  <c r="Q217" i="8" s="1"/>
  <c r="L184" i="1"/>
  <c r="L217" i="8" s="1"/>
  <c r="L58" i="25" s="1"/>
  <c r="J184" i="1"/>
  <c r="J217" i="8" s="1"/>
  <c r="Z182" i="1"/>
  <c r="Y182" i="1"/>
  <c r="W182" i="1"/>
  <c r="U182" i="1"/>
  <c r="S182" i="1"/>
  <c r="R182" i="1"/>
  <c r="Q182" i="1"/>
  <c r="O182" i="1"/>
  <c r="M182" i="1"/>
  <c r="L182" i="1"/>
  <c r="K182" i="1"/>
  <c r="J182" i="1"/>
  <c r="I182" i="1"/>
  <c r="Y181" i="1"/>
  <c r="U181" i="1"/>
  <c r="T181" i="1"/>
  <c r="S181" i="1"/>
  <c r="P181" i="1"/>
  <c r="N181" i="1"/>
  <c r="L181" i="1"/>
  <c r="J181" i="1"/>
  <c r="V186" i="1"/>
  <c r="V209" i="8" s="1"/>
  <c r="U186" i="1"/>
  <c r="U209" i="8" s="1"/>
  <c r="T186" i="1"/>
  <c r="T209" i="8" s="1"/>
  <c r="R186" i="1"/>
  <c r="R209" i="8" s="1"/>
  <c r="P186" i="1"/>
  <c r="P209" i="8" s="1"/>
  <c r="N186" i="1"/>
  <c r="N209" i="8" s="1"/>
  <c r="Z180" i="1"/>
  <c r="P180" i="1"/>
  <c r="O180" i="1"/>
  <c r="M180" i="1"/>
  <c r="L180" i="1"/>
  <c r="K180" i="1"/>
  <c r="I180" i="1"/>
  <c r="AA104" i="1"/>
  <c r="Z102" i="1"/>
  <c r="Z99" i="1"/>
  <c r="Z214" i="8" s="1"/>
  <c r="Z47" i="25" s="1"/>
  <c r="AA96" i="1"/>
  <c r="AA355" i="23" s="1"/>
  <c r="Z96" i="1"/>
  <c r="Z355" i="23" s="1"/>
  <c r="Z93" i="1"/>
  <c r="AA92" i="1"/>
  <c r="AA90" i="1"/>
  <c r="AA323" i="23" s="1"/>
  <c r="AA37" i="25" s="1"/>
  <c r="AA89" i="1"/>
  <c r="AA324" i="23" s="1"/>
  <c r="AA86" i="1"/>
  <c r="AA291" i="23" s="1"/>
  <c r="Z86" i="1"/>
  <c r="Z291" i="23" s="1"/>
  <c r="DA85" i="11" s="1"/>
  <c r="AA85" i="1"/>
  <c r="AA292" i="23" s="1"/>
  <c r="C143" i="2" s="1"/>
  <c r="Z85" i="1"/>
  <c r="Z292" i="23" s="1"/>
  <c r="Z34" i="25" s="1"/>
  <c r="AA87" i="1"/>
  <c r="AA293" i="23" s="1"/>
  <c r="AA84" i="1"/>
  <c r="Z84" i="1"/>
  <c r="Z1148" i="7" s="1"/>
  <c r="AA83" i="1"/>
  <c r="Z83" i="1"/>
  <c r="AA69" i="1"/>
  <c r="AA212" i="23" s="1"/>
  <c r="Z69" i="1"/>
  <c r="Z212" i="23" s="1"/>
  <c r="AA76" i="1"/>
  <c r="AA79" i="1"/>
  <c r="AA220" i="23" s="1"/>
  <c r="DU46" i="6" s="1"/>
  <c r="AA62" i="1"/>
  <c r="AA192" i="23" s="1"/>
  <c r="Z62" i="1"/>
  <c r="Z192" i="23" s="1"/>
  <c r="Z65" i="1"/>
  <c r="Z200" i="23" s="1"/>
  <c r="AA57" i="1"/>
  <c r="AA132" i="23" s="1"/>
  <c r="CL229" i="17" s="1"/>
  <c r="AA53" i="1"/>
  <c r="AA112" i="23" s="1"/>
  <c r="CL207" i="17" s="1"/>
  <c r="AA47" i="1"/>
  <c r="AA89" i="23" s="1"/>
  <c r="AA43" i="1"/>
  <c r="AA61" i="23" s="1"/>
  <c r="AA77" i="23" s="1"/>
  <c r="AA30" i="1"/>
  <c r="AA23" i="23" s="1"/>
  <c r="AA36" i="1"/>
  <c r="AA23" i="1"/>
  <c r="AA24" i="1"/>
  <c r="AA13" i="23" s="1"/>
  <c r="AA59" i="23" s="1"/>
  <c r="Z55" i="1"/>
  <c r="Z166" i="23" s="1"/>
  <c r="Z243" i="8" s="1"/>
  <c r="Z49" i="1"/>
  <c r="Z90" i="23" s="1"/>
  <c r="Z45" i="1"/>
  <c r="Z101" i="23" s="1"/>
  <c r="CH188" i="17" s="1"/>
  <c r="Z44" i="1"/>
  <c r="Z79" i="23" s="1"/>
  <c r="Z99" i="23" s="1"/>
  <c r="Z41" i="1"/>
  <c r="Z71" i="23" s="1"/>
  <c r="Z78" i="23" s="1"/>
  <c r="Z37" i="1"/>
  <c r="Z28" i="1"/>
  <c r="Z21" i="23" s="1"/>
  <c r="Z29" i="1"/>
  <c r="Z22" i="23" s="1"/>
  <c r="Z34" i="1"/>
  <c r="Z27" i="23" s="1"/>
  <c r="Z23" i="1"/>
  <c r="Z24" i="1"/>
  <c r="Z13" i="23" s="1"/>
  <c r="Z59" i="23" s="1"/>
  <c r="X55" i="1"/>
  <c r="X166" i="23" s="1"/>
  <c r="V55" i="1"/>
  <c r="V166" i="23" s="1"/>
  <c r="V243" i="8" s="1"/>
  <c r="T55" i="1"/>
  <c r="T166" i="23" s="1"/>
  <c r="T243" i="8" s="1"/>
  <c r="R55" i="1"/>
  <c r="R166" i="23" s="1"/>
  <c r="P55" i="1"/>
  <c r="P166" i="23" s="1"/>
  <c r="P243" i="8" s="1"/>
  <c r="N55" i="1"/>
  <c r="N166" i="23" s="1"/>
  <c r="M55" i="1"/>
  <c r="M166" i="23" s="1"/>
  <c r="M243" i="8" s="1"/>
  <c r="L55" i="1"/>
  <c r="L166" i="23" s="1"/>
  <c r="J55" i="1"/>
  <c r="J166" i="23" s="1"/>
  <c r="J243" i="8" s="1"/>
  <c r="H55" i="1"/>
  <c r="H166" i="23" s="1"/>
  <c r="H243" i="8" s="1"/>
  <c r="Y57" i="1"/>
  <c r="Y132" i="23" s="1"/>
  <c r="CD229" i="17" s="1"/>
  <c r="X57" i="1"/>
  <c r="X132" i="23" s="1"/>
  <c r="W57" i="1"/>
  <c r="W132" i="23" s="1"/>
  <c r="BV229" i="17" s="1"/>
  <c r="V57" i="1"/>
  <c r="V132" i="23" s="1"/>
  <c r="BR229" i="17" s="1"/>
  <c r="T57" i="1"/>
  <c r="T132" i="23" s="1"/>
  <c r="Q57" i="1"/>
  <c r="Q132" i="23" s="1"/>
  <c r="P57" i="1"/>
  <c r="P132" i="23" s="1"/>
  <c r="AT229" i="17" s="1"/>
  <c r="J57" i="1"/>
  <c r="J132" i="23" s="1"/>
  <c r="I57" i="1"/>
  <c r="I132" i="23" s="1"/>
  <c r="H57" i="1"/>
  <c r="H132" i="23" s="1"/>
  <c r="N229" i="17" s="1"/>
  <c r="U52" i="1"/>
  <c r="U110" i="23" s="1"/>
  <c r="R52" i="1"/>
  <c r="R110" i="23" s="1"/>
  <c r="Q52" i="1"/>
  <c r="Q110" i="23" s="1"/>
  <c r="P52" i="1"/>
  <c r="P110" i="23" s="1"/>
  <c r="N52" i="1"/>
  <c r="N110" i="23" s="1"/>
  <c r="Y51" i="1"/>
  <c r="Y111" i="23" s="1"/>
  <c r="X51" i="1"/>
  <c r="X111" i="23" s="1"/>
  <c r="W51" i="1"/>
  <c r="W111" i="23" s="1"/>
  <c r="U51" i="1"/>
  <c r="U111" i="23" s="1"/>
  <c r="S51" i="1"/>
  <c r="S111" i="23" s="1"/>
  <c r="P51" i="1"/>
  <c r="P111" i="23" s="1"/>
  <c r="N51" i="1"/>
  <c r="N111" i="23" s="1"/>
  <c r="I51" i="1"/>
  <c r="I111" i="23" s="1"/>
  <c r="Y53" i="1"/>
  <c r="Y112" i="23" s="1"/>
  <c r="Y130" i="23" s="1"/>
  <c r="Q53" i="1"/>
  <c r="Q112" i="23" s="1"/>
  <c r="AX207" i="17" s="1"/>
  <c r="O53" i="1"/>
  <c r="O112" i="23" s="1"/>
  <c r="O130" i="23" s="1"/>
  <c r="M53" i="1"/>
  <c r="M112" i="23" s="1"/>
  <c r="AH207" i="17" s="1"/>
  <c r="L53" i="1"/>
  <c r="L112" i="23" s="1"/>
  <c r="AD207" i="17" s="1"/>
  <c r="K53" i="1"/>
  <c r="K112" i="23" s="1"/>
  <c r="Z207" i="17" s="1"/>
  <c r="J53" i="1"/>
  <c r="J112" i="23" s="1"/>
  <c r="V207" i="17" s="1"/>
  <c r="Y48" i="1"/>
  <c r="Y88" i="23" s="1"/>
  <c r="W48" i="1"/>
  <c r="W88" i="23" s="1"/>
  <c r="V48" i="1"/>
  <c r="V88" i="23" s="1"/>
  <c r="O48" i="1"/>
  <c r="O88" i="23" s="1"/>
  <c r="N48" i="1"/>
  <c r="N88" i="23" s="1"/>
  <c r="M48" i="1"/>
  <c r="M88" i="23" s="1"/>
  <c r="X47" i="1"/>
  <c r="X89" i="23" s="1"/>
  <c r="N47" i="1"/>
  <c r="N89" i="23" s="1"/>
  <c r="M47" i="1"/>
  <c r="M89" i="23" s="1"/>
  <c r="Q49" i="1"/>
  <c r="Q90" i="23" s="1"/>
  <c r="Q100" i="23" s="1"/>
  <c r="N49" i="1"/>
  <c r="N90" i="23" s="1"/>
  <c r="N100" i="23" s="1"/>
  <c r="M49" i="1"/>
  <c r="M90" i="23" s="1"/>
  <c r="M100" i="23" s="1"/>
  <c r="K49" i="1"/>
  <c r="K90" i="23" s="1"/>
  <c r="K100" i="23" s="1"/>
  <c r="X45" i="1"/>
  <c r="X101" i="23" s="1"/>
  <c r="BZ188" i="17" s="1"/>
  <c r="V45" i="1"/>
  <c r="V101" i="23" s="1"/>
  <c r="S45" i="1"/>
  <c r="S101" i="23" s="1"/>
  <c r="BF188" i="17" s="1"/>
  <c r="Q45" i="1"/>
  <c r="Q101" i="23" s="1"/>
  <c r="P45" i="1"/>
  <c r="P101" i="23" s="1"/>
  <c r="Y44" i="1"/>
  <c r="Y79" i="23" s="1"/>
  <c r="CD147" i="17" s="1"/>
  <c r="X44" i="1"/>
  <c r="X79" i="23" s="1"/>
  <c r="BZ147" i="17" s="1"/>
  <c r="W43" i="1"/>
  <c r="W61" i="23" s="1"/>
  <c r="BV108" i="17" s="1"/>
  <c r="P43" i="1"/>
  <c r="P61" i="23" s="1"/>
  <c r="AT108" i="17" s="1"/>
  <c r="O43" i="1"/>
  <c r="O61" i="23" s="1"/>
  <c r="M43" i="1"/>
  <c r="M61" i="23" s="1"/>
  <c r="M77" i="23" s="1"/>
  <c r="L43" i="1"/>
  <c r="L61" i="23" s="1"/>
  <c r="K43" i="1"/>
  <c r="K61" i="23" s="1"/>
  <c r="Z108" i="17" s="1"/>
  <c r="I43" i="1"/>
  <c r="I61" i="23" s="1"/>
  <c r="I77" i="23" s="1"/>
  <c r="H43" i="1"/>
  <c r="H61" i="23" s="1"/>
  <c r="Y41" i="1"/>
  <c r="Y71" i="23" s="1"/>
  <c r="Y78" i="23" s="1"/>
  <c r="X41" i="1"/>
  <c r="X71" i="23" s="1"/>
  <c r="BZ127" i="17" s="1"/>
  <c r="L41" i="1"/>
  <c r="L71" i="23" s="1"/>
  <c r="I41" i="1"/>
  <c r="I71" i="23" s="1"/>
  <c r="I78" i="23" s="1"/>
  <c r="Y38" i="1"/>
  <c r="Y28" i="23" s="1"/>
  <c r="U38" i="1"/>
  <c r="U28" i="23" s="1"/>
  <c r="T38" i="1"/>
  <c r="T28" i="23" s="1"/>
  <c r="N38" i="1"/>
  <c r="N28" i="23" s="1"/>
  <c r="L38" i="1"/>
  <c r="L28" i="23" s="1"/>
  <c r="K38" i="1"/>
  <c r="K28" i="23" s="1"/>
  <c r="J38" i="1"/>
  <c r="J28" i="23" s="1"/>
  <c r="H38" i="1"/>
  <c r="H28" i="23" s="1"/>
  <c r="X37" i="1"/>
  <c r="U37" i="1"/>
  <c r="T37" i="1"/>
  <c r="S37" i="1"/>
  <c r="Q37" i="1"/>
  <c r="O37" i="1"/>
  <c r="N37" i="1"/>
  <c r="L37" i="1"/>
  <c r="K37" i="1"/>
  <c r="I37" i="1"/>
  <c r="Y28" i="1"/>
  <c r="Y21" i="23" s="1"/>
  <c r="W28" i="1"/>
  <c r="W21" i="23" s="1"/>
  <c r="U28" i="1"/>
  <c r="U21" i="23" s="1"/>
  <c r="R28" i="1"/>
  <c r="R21" i="23" s="1"/>
  <c r="Q28" i="1"/>
  <c r="Q21" i="23" s="1"/>
  <c r="N28" i="1"/>
  <c r="N21" i="23" s="1"/>
  <c r="K28" i="1"/>
  <c r="K21" i="23" s="1"/>
  <c r="I28" i="1"/>
  <c r="I21" i="23" s="1"/>
  <c r="H28" i="1"/>
  <c r="H21" i="23" s="1"/>
  <c r="X29" i="1"/>
  <c r="X22" i="23" s="1"/>
  <c r="V29" i="1"/>
  <c r="V22" i="23" s="1"/>
  <c r="U29" i="1"/>
  <c r="U22" i="23" s="1"/>
  <c r="T29" i="1"/>
  <c r="T22" i="23" s="1"/>
  <c r="R29" i="1"/>
  <c r="R22" i="23" s="1"/>
  <c r="P29" i="1"/>
  <c r="P22" i="23" s="1"/>
  <c r="N29" i="1"/>
  <c r="N22" i="23" s="1"/>
  <c r="T30" i="1"/>
  <c r="T23" i="23" s="1"/>
  <c r="S30" i="1"/>
  <c r="S23" i="23" s="1"/>
  <c r="I30" i="1"/>
  <c r="I23" i="23" s="1"/>
  <c r="X34" i="1"/>
  <c r="X27" i="23" s="1"/>
  <c r="V34" i="1"/>
  <c r="V27" i="23" s="1"/>
  <c r="U34" i="1"/>
  <c r="U27" i="23" s="1"/>
  <c r="T34" i="1"/>
  <c r="T27" i="23" s="1"/>
  <c r="Q34" i="1"/>
  <c r="Q27" i="23" s="1"/>
  <c r="O34" i="1"/>
  <c r="O27" i="23" s="1"/>
  <c r="M34" i="1"/>
  <c r="M27" i="23" s="1"/>
  <c r="L34" i="1"/>
  <c r="L27" i="23" s="1"/>
  <c r="K34" i="1"/>
  <c r="K27" i="23" s="1"/>
  <c r="J34" i="1"/>
  <c r="J27" i="23" s="1"/>
  <c r="I34" i="1"/>
  <c r="I27" i="23" s="1"/>
  <c r="Y36" i="1"/>
  <c r="W36" i="1"/>
  <c r="U36" i="1"/>
  <c r="T36" i="1"/>
  <c r="S36" i="1"/>
  <c r="P36" i="1"/>
  <c r="N36" i="1"/>
  <c r="L36" i="1"/>
  <c r="J36" i="1"/>
  <c r="I36" i="1"/>
  <c r="H36" i="1"/>
  <c r="X40" i="1"/>
  <c r="X29" i="23" s="1"/>
  <c r="X60" i="23" s="1"/>
  <c r="U40" i="1"/>
  <c r="S40" i="1"/>
  <c r="Q40" i="1"/>
  <c r="Q29" i="23" s="1"/>
  <c r="N40" i="1"/>
  <c r="K40" i="1"/>
  <c r="J40" i="1"/>
  <c r="H21" i="1"/>
  <c r="H7" i="23" s="1"/>
  <c r="N40" i="17" s="1"/>
  <c r="W23" i="1"/>
  <c r="R23" i="1"/>
  <c r="Q23" i="1"/>
  <c r="O23" i="1"/>
  <c r="N23" i="1"/>
  <c r="M23" i="1"/>
  <c r="K23" i="1"/>
  <c r="T22" i="1"/>
  <c r="S22" i="1"/>
  <c r="P22" i="1"/>
  <c r="O22" i="1"/>
  <c r="L22" i="1"/>
  <c r="Y24" i="1"/>
  <c r="Y13" i="23" s="1"/>
  <c r="CD59" i="17" s="1"/>
  <c r="W24" i="1"/>
  <c r="W13" i="23" s="1"/>
  <c r="V24" i="1"/>
  <c r="V13" i="23" s="1"/>
  <c r="V59" i="23" s="1"/>
  <c r="T24" i="1"/>
  <c r="T13" i="23" s="1"/>
  <c r="P24" i="1"/>
  <c r="P13" i="23" s="1"/>
  <c r="AT59" i="17" s="1"/>
  <c r="O24" i="1"/>
  <c r="O13" i="23" s="1"/>
  <c r="AP59" i="17" s="1"/>
  <c r="K24" i="1"/>
  <c r="K13" i="23" s="1"/>
  <c r="H24" i="1"/>
  <c r="H13" i="23" s="1"/>
  <c r="N59" i="17" s="1"/>
  <c r="V104" i="1"/>
  <c r="U104" i="1"/>
  <c r="P104" i="1"/>
  <c r="O104" i="1"/>
  <c r="I104" i="1"/>
  <c r="Y102" i="1"/>
  <c r="W102" i="1"/>
  <c r="R102" i="1"/>
  <c r="Q102" i="1"/>
  <c r="P102" i="1"/>
  <c r="O102" i="1"/>
  <c r="K102" i="1"/>
  <c r="J102" i="1"/>
  <c r="U101" i="1"/>
  <c r="Q101" i="1"/>
  <c r="O101" i="1"/>
  <c r="N101" i="1"/>
  <c r="M101" i="1"/>
  <c r="K101" i="1"/>
  <c r="J101" i="1"/>
  <c r="I101" i="1"/>
  <c r="W99" i="1"/>
  <c r="W214" i="8" s="1"/>
  <c r="U99" i="1"/>
  <c r="U214" i="8" s="1"/>
  <c r="U47" i="25" s="1"/>
  <c r="R99" i="1"/>
  <c r="R214" i="8" s="1"/>
  <c r="P99" i="1"/>
  <c r="P214" i="8" s="1"/>
  <c r="O99" i="1"/>
  <c r="O214" i="8" s="1"/>
  <c r="N99" i="1"/>
  <c r="N214" i="8" s="1"/>
  <c r="L99" i="1"/>
  <c r="L214" i="8" s="1"/>
  <c r="L47" i="25" s="1"/>
  <c r="K99" i="1"/>
  <c r="K214" i="8" s="1"/>
  <c r="K47" i="25" s="1"/>
  <c r="W98" i="1"/>
  <c r="R98" i="1"/>
  <c r="L98" i="1"/>
  <c r="K98" i="1"/>
  <c r="I98" i="1"/>
  <c r="H98" i="1"/>
  <c r="Y96" i="1"/>
  <c r="Y355" i="23" s="1"/>
  <c r="X96" i="1"/>
  <c r="X355" i="23" s="1"/>
  <c r="V96" i="1"/>
  <c r="V355" i="23" s="1"/>
  <c r="T96" i="1"/>
  <c r="T355" i="23" s="1"/>
  <c r="R96" i="1"/>
  <c r="R355" i="23" s="1"/>
  <c r="P96" i="1"/>
  <c r="P355" i="23" s="1"/>
  <c r="N96" i="1"/>
  <c r="N355" i="23" s="1"/>
  <c r="M96" i="1"/>
  <c r="M355" i="23" s="1"/>
  <c r="L96" i="1"/>
  <c r="L355" i="23" s="1"/>
  <c r="K96" i="1"/>
  <c r="K355" i="23" s="1"/>
  <c r="J96" i="1"/>
  <c r="J355" i="23" s="1"/>
  <c r="Y94" i="1"/>
  <c r="W94" i="1"/>
  <c r="U94" i="1"/>
  <c r="R94" i="1"/>
  <c r="P94" i="1"/>
  <c r="O94" i="1"/>
  <c r="N94" i="1"/>
  <c r="X93" i="1"/>
  <c r="H93" i="1"/>
  <c r="X92" i="1"/>
  <c r="S92" i="1"/>
  <c r="N92" i="1"/>
  <c r="W90" i="1"/>
  <c r="W323" i="23" s="1"/>
  <c r="CL100" i="11" s="1"/>
  <c r="U90" i="1"/>
  <c r="U323" i="23" s="1"/>
  <c r="CB100" i="11" s="1"/>
  <c r="O90" i="1"/>
  <c r="O323" i="23" s="1"/>
  <c r="N90" i="1"/>
  <c r="N323" i="23" s="1"/>
  <c r="AS100" i="11" s="1"/>
  <c r="L90" i="1"/>
  <c r="L323" i="23" s="1"/>
  <c r="K90" i="1"/>
  <c r="K323" i="23" s="1"/>
  <c r="AD100" i="11" s="1"/>
  <c r="I90" i="1"/>
  <c r="I323" i="23" s="1"/>
  <c r="Y89" i="1"/>
  <c r="Y324" i="23" s="1"/>
  <c r="W89" i="1"/>
  <c r="W324" i="23" s="1"/>
  <c r="V89" i="1"/>
  <c r="V324" i="23" s="1"/>
  <c r="U89" i="1"/>
  <c r="U324" i="23" s="1"/>
  <c r="T89" i="1"/>
  <c r="T324" i="23" s="1"/>
  <c r="R89" i="1"/>
  <c r="R324" i="23" s="1"/>
  <c r="P89" i="1"/>
  <c r="P324" i="23" s="1"/>
  <c r="N89" i="1"/>
  <c r="N324" i="23" s="1"/>
  <c r="M89" i="1"/>
  <c r="M324" i="23" s="1"/>
  <c r="L89" i="1"/>
  <c r="L324" i="23" s="1"/>
  <c r="X91" i="1"/>
  <c r="X325" i="23" s="1"/>
  <c r="X353" i="23" s="1"/>
  <c r="W91" i="1"/>
  <c r="W325" i="23" s="1"/>
  <c r="W353" i="23" s="1"/>
  <c r="R91" i="1"/>
  <c r="R325" i="23" s="1"/>
  <c r="BM15" i="11" s="1"/>
  <c r="P91" i="1"/>
  <c r="P325" i="23" s="1"/>
  <c r="BC102" i="11" s="1"/>
  <c r="X86" i="1"/>
  <c r="X291" i="23" s="1"/>
  <c r="V86" i="1"/>
  <c r="V291" i="23" s="1"/>
  <c r="CG85" i="11" s="1"/>
  <c r="H86" i="1"/>
  <c r="H291" i="23" s="1"/>
  <c r="O85" i="11" s="1"/>
  <c r="Y85" i="1"/>
  <c r="Y292" i="23" s="1"/>
  <c r="Y34" i="25" s="1"/>
  <c r="Y87" i="1"/>
  <c r="Y293" i="23" s="1"/>
  <c r="S87" i="1"/>
  <c r="S293" i="23" s="1"/>
  <c r="Q87" i="1"/>
  <c r="Q293" i="23" s="1"/>
  <c r="J87" i="1"/>
  <c r="J293" i="23" s="1"/>
  <c r="J313" i="23" s="1"/>
  <c r="P84" i="1"/>
  <c r="P1148" i="7" s="1"/>
  <c r="K84" i="1"/>
  <c r="K1148" i="7" s="1"/>
  <c r="I84" i="1"/>
  <c r="I1148" i="7" s="1"/>
  <c r="S83" i="1"/>
  <c r="O83" i="1"/>
  <c r="M83" i="1"/>
  <c r="L83" i="1"/>
  <c r="K83" i="1"/>
  <c r="I83" i="1"/>
  <c r="H83" i="1"/>
  <c r="Y294" i="1"/>
  <c r="P294" i="1"/>
  <c r="N294" i="1"/>
  <c r="K294" i="1"/>
  <c r="I294" i="1"/>
  <c r="Y293" i="1"/>
  <c r="W293" i="1"/>
  <c r="U293" i="1"/>
  <c r="S293" i="1"/>
  <c r="Q293" i="1"/>
  <c r="O293" i="1"/>
  <c r="M293" i="1"/>
  <c r="K293" i="1"/>
  <c r="I293" i="1"/>
  <c r="Y292" i="1"/>
  <c r="H292" i="1"/>
  <c r="O81" i="1"/>
  <c r="M81" i="1"/>
  <c r="H81" i="1"/>
  <c r="W78" i="1"/>
  <c r="W219" i="23" s="1"/>
  <c r="U78" i="1"/>
  <c r="U219" i="23" s="1"/>
  <c r="R78" i="1"/>
  <c r="R219" i="23" s="1"/>
  <c r="R32" i="25" s="1"/>
  <c r="Q78" i="1"/>
  <c r="Q219" i="23" s="1"/>
  <c r="BH63" i="11" s="1"/>
  <c r="P78" i="1"/>
  <c r="P219" i="23" s="1"/>
  <c r="P32" i="25" s="1"/>
  <c r="O78" i="1"/>
  <c r="O219" i="23" s="1"/>
  <c r="M78" i="1"/>
  <c r="M219" i="23" s="1"/>
  <c r="K78" i="1"/>
  <c r="K219" i="23" s="1"/>
  <c r="I78" i="1"/>
  <c r="I219" i="23" s="1"/>
  <c r="T63" i="11" s="1"/>
  <c r="H78" i="1"/>
  <c r="H219" i="23" s="1"/>
  <c r="O63" i="11" s="1"/>
  <c r="T77" i="1"/>
  <c r="W69" i="1"/>
  <c r="W212" i="23" s="1"/>
  <c r="CL57" i="11" s="1"/>
  <c r="U69" i="1"/>
  <c r="U212" i="23" s="1"/>
  <c r="CB57" i="11" s="1"/>
  <c r="R69" i="1"/>
  <c r="R212" i="23" s="1"/>
  <c r="N69" i="1"/>
  <c r="N212" i="23" s="1"/>
  <c r="K69" i="1"/>
  <c r="K212" i="23" s="1"/>
  <c r="I69" i="1"/>
  <c r="I212" i="23" s="1"/>
  <c r="T57" i="11" s="1"/>
  <c r="H69" i="1"/>
  <c r="H212" i="23" s="1"/>
  <c r="S71" i="1"/>
  <c r="S213" i="23" s="1"/>
  <c r="BR58" i="11" s="1"/>
  <c r="Q71" i="1"/>
  <c r="Q213" i="23" s="1"/>
  <c r="N71" i="1"/>
  <c r="N213" i="23" s="1"/>
  <c r="N26" i="25" s="1"/>
  <c r="L71" i="1"/>
  <c r="L213" i="23" s="1"/>
  <c r="Y75" i="1"/>
  <c r="W75" i="1"/>
  <c r="U75" i="1"/>
  <c r="S75" i="1"/>
  <c r="Q75" i="1"/>
  <c r="O75" i="1"/>
  <c r="M75" i="1"/>
  <c r="K75" i="1"/>
  <c r="I75" i="1"/>
  <c r="Y74" i="1"/>
  <c r="Y218" i="23" s="1"/>
  <c r="X74" i="1"/>
  <c r="X218" i="23" s="1"/>
  <c r="X31" i="25" s="1"/>
  <c r="W74" i="1"/>
  <c r="W218" i="23" s="1"/>
  <c r="W31" i="25" s="1"/>
  <c r="T74" i="1"/>
  <c r="T218" i="23" s="1"/>
  <c r="R74" i="1"/>
  <c r="R218" i="23" s="1"/>
  <c r="R31" i="25" s="1"/>
  <c r="Q74" i="1"/>
  <c r="Q218" i="23" s="1"/>
  <c r="P74" i="1"/>
  <c r="P218" i="23" s="1"/>
  <c r="O74" i="1"/>
  <c r="O218" i="23" s="1"/>
  <c r="O31" i="25" s="1"/>
  <c r="N74" i="1"/>
  <c r="N218" i="23" s="1"/>
  <c r="M74" i="1"/>
  <c r="M218" i="23" s="1"/>
  <c r="L74" i="1"/>
  <c r="L218" i="23" s="1"/>
  <c r="L31" i="25" s="1"/>
  <c r="I74" i="1"/>
  <c r="I218" i="23" s="1"/>
  <c r="Y76" i="1"/>
  <c r="W76" i="1"/>
  <c r="S76" i="1"/>
  <c r="R76" i="1"/>
  <c r="X79" i="1"/>
  <c r="X220" i="23" s="1"/>
  <c r="X29" i="25" s="1"/>
  <c r="V79" i="1"/>
  <c r="V220" i="23" s="1"/>
  <c r="CG64" i="11" s="1"/>
  <c r="H79" i="1"/>
  <c r="H220" i="23" s="1"/>
  <c r="K46" i="6" s="1"/>
  <c r="Y62" i="1"/>
  <c r="Y192" i="23" s="1"/>
  <c r="T62" i="1"/>
  <c r="T192" i="23" s="1"/>
  <c r="S62" i="1"/>
  <c r="S192" i="23" s="1"/>
  <c r="R62" i="1"/>
  <c r="R192" i="23" s="1"/>
  <c r="P62" i="1"/>
  <c r="P192" i="23" s="1"/>
  <c r="O62" i="1"/>
  <c r="O192" i="23" s="1"/>
  <c r="N62" i="1"/>
  <c r="N192" i="23" s="1"/>
  <c r="L62" i="1"/>
  <c r="L192" i="23" s="1"/>
  <c r="K62" i="1"/>
  <c r="K192" i="23" s="1"/>
  <c r="J62" i="1"/>
  <c r="J192" i="23" s="1"/>
  <c r="H62" i="1"/>
  <c r="H192" i="23" s="1"/>
  <c r="V65" i="1"/>
  <c r="V200" i="23" s="1"/>
  <c r="V698" i="7" s="1"/>
  <c r="T65" i="1"/>
  <c r="T200" i="23" s="1"/>
  <c r="R65" i="1"/>
  <c r="R200" i="23" s="1"/>
  <c r="P65" i="1"/>
  <c r="P200" i="23" s="1"/>
  <c r="L65" i="1"/>
  <c r="L200" i="23" s="1"/>
  <c r="K65" i="1"/>
  <c r="K200" i="23" s="1"/>
  <c r="J65" i="1"/>
  <c r="J200" i="23" s="1"/>
  <c r="H65" i="1"/>
  <c r="H200" i="23" s="1"/>
  <c r="AB38" i="1"/>
  <c r="AB28" i="23" s="1"/>
  <c r="AB34" i="1"/>
  <c r="AB27" i="23" s="1"/>
  <c r="G169" i="1"/>
  <c r="AC4" i="1"/>
  <c r="AC5" i="8" s="1"/>
  <c r="AC51" i="25" s="1"/>
  <c r="AC8" i="1"/>
  <c r="AC32" i="8" s="1"/>
  <c r="AC57" i="1"/>
  <c r="AC132" i="23" s="1"/>
  <c r="CT229" i="17" s="1"/>
  <c r="AC52" i="1"/>
  <c r="AC110" i="23" s="1"/>
  <c r="AC51" i="1"/>
  <c r="AC111" i="23" s="1"/>
  <c r="AC48" i="1"/>
  <c r="AC88" i="23" s="1"/>
  <c r="AC37" i="1"/>
  <c r="AC29" i="1"/>
  <c r="AC22" i="23" s="1"/>
  <c r="AC30" i="1"/>
  <c r="AC23" i="23" s="1"/>
  <c r="AC34" i="1"/>
  <c r="AC27" i="23" s="1"/>
  <c r="AC40" i="1"/>
  <c r="AC29" i="23" s="1"/>
  <c r="AC21" i="1"/>
  <c r="AC7" i="23" s="1"/>
  <c r="AC22" i="1"/>
  <c r="AC24" i="1"/>
  <c r="AC13" i="23" s="1"/>
  <c r="AD13" i="23" s="1"/>
  <c r="AC104" i="1"/>
  <c r="AB104" i="1"/>
  <c r="AC102" i="1"/>
  <c r="AC101" i="1"/>
  <c r="AC99" i="1"/>
  <c r="AC214" i="8" s="1"/>
  <c r="AC98" i="1"/>
  <c r="AB98" i="1"/>
  <c r="AC96" i="1"/>
  <c r="AC355" i="23" s="1"/>
  <c r="AC94" i="1"/>
  <c r="AB93" i="1"/>
  <c r="AB92" i="1"/>
  <c r="AB90" i="1"/>
  <c r="AB323" i="23" s="1"/>
  <c r="AB89" i="1"/>
  <c r="AB324" i="23" s="1"/>
  <c r="AB91" i="1"/>
  <c r="AB325" i="23" s="1"/>
  <c r="AB353" i="23" s="1"/>
  <c r="AB86" i="1"/>
  <c r="AB291" i="23" s="1"/>
  <c r="DK85" i="11" s="1"/>
  <c r="AB85" i="1"/>
  <c r="AB292" i="23" s="1"/>
  <c r="AB34" i="25" s="1"/>
  <c r="AB87" i="1"/>
  <c r="AB293" i="23" s="1"/>
  <c r="DK13" i="11" s="1"/>
  <c r="AC294" i="1"/>
  <c r="AC293" i="1"/>
  <c r="AC292" i="1"/>
  <c r="AC81" i="1"/>
  <c r="AC274" i="23" s="1"/>
  <c r="AC78" i="1"/>
  <c r="AC219" i="23" s="1"/>
  <c r="AC32" i="25" s="1"/>
  <c r="AC77" i="1"/>
  <c r="AC69" i="1"/>
  <c r="AC212" i="23" s="1"/>
  <c r="AC71" i="1"/>
  <c r="AC213" i="23" s="1"/>
  <c r="AC75" i="1"/>
  <c r="AC74" i="1"/>
  <c r="AC218" i="23" s="1"/>
  <c r="E140" i="2" s="1"/>
  <c r="AV140" i="2" s="1"/>
  <c r="AC76" i="1"/>
  <c r="AC79" i="1"/>
  <c r="AC220" i="23" s="1"/>
  <c r="DP64" i="11" s="1"/>
  <c r="AC62" i="1"/>
  <c r="AC192" i="23" s="1"/>
  <c r="AC65" i="1"/>
  <c r="AC200" i="23" s="1"/>
  <c r="AC106" i="1"/>
  <c r="AC130" i="1"/>
  <c r="AC127" i="1"/>
  <c r="AA166" i="1"/>
  <c r="AA160" i="1"/>
  <c r="AA177" i="1"/>
  <c r="AA173" i="1"/>
  <c r="AA172" i="1"/>
  <c r="AA171" i="1"/>
  <c r="AA168" i="1"/>
  <c r="AA167" i="1"/>
  <c r="AA165" i="1"/>
  <c r="AA164" i="1"/>
  <c r="AA64" i="1"/>
  <c r="AA199" i="23" s="1"/>
  <c r="AA63" i="1"/>
  <c r="AA198" i="23" s="1"/>
  <c r="AA161" i="1"/>
  <c r="AA284" i="1"/>
  <c r="AA158" i="1"/>
  <c r="AA155" i="1"/>
  <c r="AA159" i="1"/>
  <c r="AA156" i="1"/>
  <c r="AB154" i="1"/>
  <c r="AA154" i="1"/>
  <c r="AB150" i="1"/>
  <c r="AB145" i="1"/>
  <c r="AB146" i="1"/>
  <c r="AB143" i="1"/>
  <c r="AB211" i="8" s="1"/>
  <c r="AA140" i="1"/>
  <c r="G136" i="1"/>
  <c r="G140" i="1"/>
  <c r="G141" i="1"/>
  <c r="G143" i="1"/>
  <c r="G211" i="8" s="1"/>
  <c r="G146" i="1"/>
  <c r="G144" i="1"/>
  <c r="G149" i="1"/>
  <c r="G150" i="1"/>
  <c r="G151" i="1"/>
  <c r="G154" i="1"/>
  <c r="G157" i="1"/>
  <c r="G159" i="1"/>
  <c r="G155" i="1"/>
  <c r="G162" i="1"/>
  <c r="G63" i="1"/>
  <c r="G198" i="23" s="1"/>
  <c r="G64" i="1"/>
  <c r="G199" i="23" s="1"/>
  <c r="G164" i="1"/>
  <c r="G165" i="1"/>
  <c r="G168" i="1"/>
  <c r="G171" i="1"/>
  <c r="G172" i="1"/>
  <c r="G173" i="1"/>
  <c r="G93" i="1"/>
  <c r="AC160" i="1"/>
  <c r="AC173" i="1"/>
  <c r="AC171" i="1"/>
  <c r="AC168" i="1"/>
  <c r="AC167" i="1"/>
  <c r="AC164" i="1"/>
  <c r="AC63" i="1"/>
  <c r="AC198" i="23" s="1"/>
  <c r="AC284" i="1"/>
  <c r="AC158" i="1"/>
  <c r="AC159" i="1"/>
  <c r="AC154" i="1"/>
  <c r="AC145" i="1"/>
  <c r="AC149" i="1"/>
  <c r="AC144" i="1"/>
  <c r="AC147" i="1"/>
  <c r="AC141" i="1"/>
  <c r="AC136" i="1"/>
  <c r="AC204" i="1"/>
  <c r="AC196" i="1"/>
  <c r="AC194" i="1"/>
  <c r="G290" i="1"/>
  <c r="G546" i="7" s="1"/>
  <c r="G92" i="1"/>
  <c r="U290" i="1"/>
  <c r="U546" i="7" s="1"/>
  <c r="P290" i="1"/>
  <c r="P546" i="7" s="1"/>
  <c r="W290" i="1"/>
  <c r="W546" i="7" s="1"/>
  <c r="K290" i="1"/>
  <c r="K546" i="7" s="1"/>
  <c r="I290" i="1"/>
  <c r="I546" i="7" s="1"/>
  <c r="Z230" i="1"/>
  <c r="Z135" i="8" s="1"/>
  <c r="AB224" i="1"/>
  <c r="AB34" i="8" s="1"/>
  <c r="AD154" i="1"/>
  <c r="K230" i="1"/>
  <c r="K135" i="8" s="1"/>
  <c r="Y290" i="1"/>
  <c r="T290" i="1"/>
  <c r="T546" i="7" s="1"/>
  <c r="O290" i="1"/>
  <c r="O546" i="7" s="1"/>
  <c r="O284" i="1"/>
  <c r="S290" i="1"/>
  <c r="S546" i="7" s="1"/>
  <c r="S284" i="1"/>
  <c r="V214" i="23" l="1"/>
  <c r="V215" i="23" s="1"/>
  <c r="R189" i="1"/>
  <c r="AN284" i="20"/>
  <c r="AP60" i="20"/>
  <c r="AF284" i="2"/>
  <c r="AQ60" i="20" s="1"/>
  <c r="AM257" i="20"/>
  <c r="AP152" i="20"/>
  <c r="AM236" i="20"/>
  <c r="AM258" i="20"/>
  <c r="X510" i="20"/>
  <c r="AM33" i="20"/>
  <c r="Z508" i="20"/>
  <c r="AM235" i="20"/>
  <c r="AN225" i="20"/>
  <c r="AC291" i="2"/>
  <c r="AO67" i="20" s="1"/>
  <c r="AM253" i="20"/>
  <c r="AM259" i="20"/>
  <c r="U37" i="25"/>
  <c r="D140" i="2"/>
  <c r="AU140" i="2" s="1"/>
  <c r="W232" i="23"/>
  <c r="Z59" i="25"/>
  <c r="X927" i="7"/>
  <c r="AB27" i="25"/>
  <c r="AB692" i="7"/>
  <c r="P923" i="7"/>
  <c r="R666" i="7"/>
  <c r="BT35" i="6" s="1"/>
  <c r="K1086" i="7"/>
  <c r="DP80" i="11"/>
  <c r="DS80" i="11" s="1"/>
  <c r="DU80" i="11" s="1"/>
  <c r="T306" i="7"/>
  <c r="U307" i="7" s="1"/>
  <c r="AI34" i="11"/>
  <c r="BT36" i="6"/>
  <c r="BW101" i="11"/>
  <c r="V952" i="7"/>
  <c r="V959" i="7" s="1"/>
  <c r="Q9" i="7"/>
  <c r="CQ8" i="11"/>
  <c r="AB522" i="7"/>
  <c r="AC209" i="8"/>
  <c r="AC210" i="8" s="1"/>
  <c r="AD199" i="23"/>
  <c r="L36" i="6"/>
  <c r="AS101" i="11"/>
  <c r="H828" i="7"/>
  <c r="H1075" i="7" s="1"/>
  <c r="C203" i="2"/>
  <c r="AT203" i="2" s="1"/>
  <c r="Q591" i="7"/>
  <c r="BO28" i="6" s="1"/>
  <c r="D145" i="2"/>
  <c r="H853" i="7"/>
  <c r="H866" i="7" s="1"/>
  <c r="P18" i="7"/>
  <c r="P46" i="7" s="1"/>
  <c r="Z1086" i="7"/>
  <c r="BI46" i="6"/>
  <c r="U667" i="7"/>
  <c r="U77" i="25" s="1"/>
  <c r="K590" i="7"/>
  <c r="K1082" i="7" s="1"/>
  <c r="K310" i="7"/>
  <c r="K354" i="7" s="1"/>
  <c r="J591" i="7"/>
  <c r="Z72" i="25"/>
  <c r="K72" i="25"/>
  <c r="H589" i="7"/>
  <c r="L28" i="6" s="1"/>
  <c r="X63" i="7"/>
  <c r="AD46" i="6"/>
  <c r="T588" i="7"/>
  <c r="T1065" i="7" s="1"/>
  <c r="N588" i="7"/>
  <c r="N610" i="7" s="1"/>
  <c r="L589" i="7"/>
  <c r="L522" i="7"/>
  <c r="L1058" i="7" s="1"/>
  <c r="AJ11" i="6"/>
  <c r="T8" i="7"/>
  <c r="CE6" i="6" s="1"/>
  <c r="L8" i="7"/>
  <c r="Q1049" i="7"/>
  <c r="AX101" i="11"/>
  <c r="H36" i="25"/>
  <c r="V853" i="7"/>
  <c r="V866" i="7" s="1"/>
  <c r="L853" i="7"/>
  <c r="L866" i="7" s="1"/>
  <c r="V66" i="25"/>
  <c r="T7" i="11"/>
  <c r="U262" i="23"/>
  <c r="AS8" i="11"/>
  <c r="AB8" i="7"/>
  <c r="D150" i="2" s="1"/>
  <c r="F199" i="20" s="1"/>
  <c r="W199" i="20" s="1"/>
  <c r="AB28" i="25"/>
  <c r="S797" i="7"/>
  <c r="CC40" i="6" s="1"/>
  <c r="AE322" i="2"/>
  <c r="AP147" i="20" s="1"/>
  <c r="AN239" i="20"/>
  <c r="AN221" i="20"/>
  <c r="AP61" i="20"/>
  <c r="X96" i="20"/>
  <c r="W371" i="20"/>
  <c r="AI46" i="6"/>
  <c r="AB59" i="25"/>
  <c r="X1030" i="7"/>
  <c r="BW115" i="11"/>
  <c r="AX86" i="11"/>
  <c r="AY86" i="11" s="1"/>
  <c r="AC316" i="2"/>
  <c r="AM232" i="20" s="1"/>
  <c r="AE313" i="2"/>
  <c r="AF313" i="2" s="1"/>
  <c r="AO229" i="20" s="1"/>
  <c r="AE307" i="2"/>
  <c r="AN226" i="20" s="1"/>
  <c r="AE319" i="2"/>
  <c r="AN233" i="20" s="1"/>
  <c r="X140" i="20"/>
  <c r="V13" i="20"/>
  <c r="W499" i="20"/>
  <c r="W299" i="20"/>
  <c r="W479" i="20"/>
  <c r="W273" i="20"/>
  <c r="W334" i="20"/>
  <c r="V217" i="20"/>
  <c r="X169" i="20"/>
  <c r="BW79" i="17"/>
  <c r="P1049" i="7"/>
  <c r="AB26" i="25"/>
  <c r="AB853" i="7"/>
  <c r="AB866" i="7" s="1"/>
  <c r="R417" i="23"/>
  <c r="BW9" i="11"/>
  <c r="EA46" i="6"/>
  <c r="EA95" i="6" s="1"/>
  <c r="L15" i="8"/>
  <c r="T21" i="8"/>
  <c r="S58" i="25"/>
  <c r="T78" i="7"/>
  <c r="T79" i="7" s="1"/>
  <c r="O29" i="25"/>
  <c r="O450" i="23"/>
  <c r="AB402" i="23"/>
  <c r="S233" i="23"/>
  <c r="I420" i="7"/>
  <c r="I423" i="7" s="1"/>
  <c r="I426" i="7" s="1"/>
  <c r="S99" i="23"/>
  <c r="T789" i="7"/>
  <c r="T1047" i="7" s="1"/>
  <c r="AX47" i="11"/>
  <c r="Q690" i="7"/>
  <c r="Q719" i="7" s="1"/>
  <c r="Z317" i="7"/>
  <c r="AM317" i="7" s="1"/>
  <c r="N32" i="7"/>
  <c r="N963" i="7" s="1"/>
  <c r="AX11" i="6"/>
  <c r="T237" i="23"/>
  <c r="V788" i="7"/>
  <c r="V1046" i="7" s="1"/>
  <c r="O46" i="11"/>
  <c r="S231" i="7"/>
  <c r="S250" i="7" s="1"/>
  <c r="M174" i="7"/>
  <c r="M177" i="7" s="1"/>
  <c r="N141" i="7"/>
  <c r="N90" i="25" s="1"/>
  <c r="R472" i="7"/>
  <c r="BV26" i="6" s="1"/>
  <c r="J592" i="7"/>
  <c r="O100" i="11"/>
  <c r="Y85" i="11"/>
  <c r="J189" i="1"/>
  <c r="T189" i="1"/>
  <c r="T235" i="7" s="1"/>
  <c r="T61" i="25" s="1"/>
  <c r="K1069" i="7"/>
  <c r="W37" i="25"/>
  <c r="AC129" i="23"/>
  <c r="AC135" i="23" s="1"/>
  <c r="AV239" i="2"/>
  <c r="X299" i="23"/>
  <c r="O205" i="1"/>
  <c r="X234" i="8"/>
  <c r="U16" i="23"/>
  <c r="BY49" i="11" s="1"/>
  <c r="Z1150" i="7"/>
  <c r="DA100" i="11"/>
  <c r="DD100" i="11" s="1"/>
  <c r="R45" i="25"/>
  <c r="X48" i="23"/>
  <c r="X49" i="23" s="1"/>
  <c r="X233" i="23"/>
  <c r="D137" i="2"/>
  <c r="AU137" i="2" s="1"/>
  <c r="V1148" i="7"/>
  <c r="V1149" i="7" s="1"/>
  <c r="X14" i="8"/>
  <c r="Z129" i="23"/>
  <c r="Y59" i="23"/>
  <c r="Z66" i="23" s="1"/>
  <c r="BG5" i="6"/>
  <c r="N262" i="23"/>
  <c r="I375" i="23"/>
  <c r="V261" i="23"/>
  <c r="DD13" i="6"/>
  <c r="DJ62" i="6" s="1"/>
  <c r="CQ71" i="11"/>
  <c r="H94" i="23"/>
  <c r="L85" i="11" s="1"/>
  <c r="H117" i="1"/>
  <c r="I211" i="1"/>
  <c r="Y64" i="11"/>
  <c r="AE64" i="11" s="1"/>
  <c r="BM86" i="11"/>
  <c r="Q255" i="23"/>
  <c r="Q40" i="23"/>
  <c r="BE62" i="11" s="1"/>
  <c r="Y40" i="23"/>
  <c r="CS62" i="11" s="1"/>
  <c r="U417" i="23"/>
  <c r="S35" i="23"/>
  <c r="BO57" i="11" s="1"/>
  <c r="DA13" i="11"/>
  <c r="Q234" i="8"/>
  <c r="L130" i="23"/>
  <c r="AB316" i="23"/>
  <c r="I402" i="23"/>
  <c r="AU46" i="6"/>
  <c r="AN13" i="11"/>
  <c r="Y102" i="11"/>
  <c r="Z102" i="11" s="1"/>
  <c r="Q47" i="25"/>
  <c r="V188" i="17"/>
  <c r="Z193" i="17" s="1"/>
  <c r="AB52" i="25"/>
  <c r="AC7" i="8"/>
  <c r="Q86" i="25"/>
  <c r="N31" i="8"/>
  <c r="AC206" i="23"/>
  <c r="Z133" i="7"/>
  <c r="AM133" i="7" s="1"/>
  <c r="N48" i="25"/>
  <c r="I592" i="7"/>
  <c r="I614" i="7" s="1"/>
  <c r="Z471" i="7"/>
  <c r="AM471" i="7" s="1"/>
  <c r="U319" i="7"/>
  <c r="CN23" i="6" s="1"/>
  <c r="CK23" i="6" s="1"/>
  <c r="R32" i="7"/>
  <c r="R80" i="25" s="1"/>
  <c r="R139" i="7"/>
  <c r="R1096" i="7" s="1"/>
  <c r="S688" i="7"/>
  <c r="S993" i="7" s="1"/>
  <c r="S1007" i="7" s="1"/>
  <c r="M692" i="7"/>
  <c r="M109" i="25" s="1"/>
  <c r="R689" i="7"/>
  <c r="S590" i="7"/>
  <c r="S1082" i="7" s="1"/>
  <c r="AA519" i="7"/>
  <c r="AA1081" i="7" s="1"/>
  <c r="H519" i="7"/>
  <c r="S134" i="7"/>
  <c r="CA10" i="6" s="1"/>
  <c r="Q24" i="7"/>
  <c r="BO9" i="6" s="1"/>
  <c r="U666" i="7"/>
  <c r="CL35" i="6" s="1"/>
  <c r="Y588" i="7"/>
  <c r="DJ33" i="6" s="1"/>
  <c r="P477" i="7"/>
  <c r="P1063" i="7" s="1"/>
  <c r="V133" i="7"/>
  <c r="CR10" i="6" s="1"/>
  <c r="J179" i="7"/>
  <c r="J43" i="25" s="1"/>
  <c r="O1134" i="7"/>
  <c r="AB85" i="25"/>
  <c r="AA692" i="7"/>
  <c r="C244" i="2" s="1"/>
  <c r="AT244" i="2" s="1"/>
  <c r="H32" i="25"/>
  <c r="EB14" i="6"/>
  <c r="D218" i="2"/>
  <c r="AU218" i="2" s="1"/>
  <c r="AB262" i="23"/>
  <c r="DK8" i="11"/>
  <c r="DK62" i="11"/>
  <c r="DL62" i="11" s="1"/>
  <c r="AB1124" i="7"/>
  <c r="AC37" i="23"/>
  <c r="AS49" i="11"/>
  <c r="T28" i="25"/>
  <c r="I27" i="25"/>
  <c r="I66" i="25"/>
  <c r="L27" i="25"/>
  <c r="V62" i="7"/>
  <c r="J29" i="25"/>
  <c r="AS9" i="11"/>
  <c r="BS46" i="6"/>
  <c r="BS95" i="6" s="1"/>
  <c r="CV58" i="11"/>
  <c r="M875" i="7"/>
  <c r="R35" i="25"/>
  <c r="J353" i="23"/>
  <c r="P36" i="25"/>
  <c r="I329" i="23"/>
  <c r="X1134" i="7"/>
  <c r="BH16" i="11"/>
  <c r="V48" i="25"/>
  <c r="M8" i="7"/>
  <c r="M126" i="7" s="1"/>
  <c r="M114" i="7" s="1"/>
  <c r="AL59" i="17"/>
  <c r="AP64" i="17" s="1"/>
  <c r="R40" i="17"/>
  <c r="V45" i="17" s="1"/>
  <c r="V108" i="17"/>
  <c r="Z113" i="17" s="1"/>
  <c r="X77" i="23"/>
  <c r="V99" i="23"/>
  <c r="V105" i="23" s="1"/>
  <c r="BB207" i="17"/>
  <c r="BB212" i="17" s="1"/>
  <c r="Z48" i="23"/>
  <c r="Z263" i="23"/>
  <c r="CL14" i="6"/>
  <c r="CL63" i="6" s="1"/>
  <c r="U211" i="1"/>
  <c r="P72" i="25"/>
  <c r="AA24" i="7"/>
  <c r="Y46" i="6"/>
  <c r="U134" i="1"/>
  <c r="Q134" i="1"/>
  <c r="EC46" i="6"/>
  <c r="CZ38" i="6"/>
  <c r="W830" i="7"/>
  <c r="CZ45" i="6" s="1"/>
  <c r="AB117" i="23"/>
  <c r="DH101" i="11" s="1"/>
  <c r="R49" i="25"/>
  <c r="J829" i="7"/>
  <c r="J1092" i="7" s="1"/>
  <c r="M18" i="7"/>
  <c r="M46" i="7" s="1"/>
  <c r="Z205" i="7"/>
  <c r="Z172" i="25" s="1"/>
  <c r="V475" i="7"/>
  <c r="CS24" i="6" s="1"/>
  <c r="O257" i="7"/>
  <c r="O99" i="25" s="1"/>
  <c r="Y589" i="7"/>
  <c r="DJ28" i="6" s="1"/>
  <c r="Z829" i="7"/>
  <c r="DQ45" i="6" s="1"/>
  <c r="BN11" i="6"/>
  <c r="AC90" i="7"/>
  <c r="AC91" i="7" s="1"/>
  <c r="H139" i="7"/>
  <c r="H1096" i="7" s="1"/>
  <c r="AN46" i="11"/>
  <c r="X791" i="7"/>
  <c r="X92" i="25" s="1"/>
  <c r="U1003" i="7"/>
  <c r="U1017" i="7" s="1"/>
  <c r="T830" i="7"/>
  <c r="T1112" i="7" s="1"/>
  <c r="X237" i="23"/>
  <c r="H237" i="23"/>
  <c r="Z788" i="7"/>
  <c r="Z1046" i="7" s="1"/>
  <c r="AM1046" i="7" s="1"/>
  <c r="J788" i="7"/>
  <c r="J1046" i="7" s="1"/>
  <c r="L668" i="7"/>
  <c r="AL35" i="6" s="1"/>
  <c r="O85" i="25"/>
  <c r="N37" i="6"/>
  <c r="K593" i="7"/>
  <c r="AF28" i="6" s="1"/>
  <c r="P471" i="7"/>
  <c r="P83" i="25" s="1"/>
  <c r="P319" i="7"/>
  <c r="O231" i="7"/>
  <c r="O250" i="7" s="1"/>
  <c r="U141" i="7"/>
  <c r="U90" i="25" s="1"/>
  <c r="O228" i="7"/>
  <c r="BD19" i="6" s="1"/>
  <c r="Q30" i="7"/>
  <c r="T11" i="6"/>
  <c r="J689" i="7"/>
  <c r="J110" i="25" s="1"/>
  <c r="Y591" i="7"/>
  <c r="DK28" i="6" s="1"/>
  <c r="Z475" i="7"/>
  <c r="Z503" i="7" s="1"/>
  <c r="AM503" i="7" s="1"/>
  <c r="H475" i="7"/>
  <c r="H1079" i="7" s="1"/>
  <c r="W134" i="7"/>
  <c r="W70" i="25" s="1"/>
  <c r="V72" i="25"/>
  <c r="H18" i="7"/>
  <c r="L9" i="6" s="1"/>
  <c r="O10" i="7"/>
  <c r="T477" i="7"/>
  <c r="T505" i="7" s="1"/>
  <c r="Y522" i="7"/>
  <c r="DJ27" i="6" s="1"/>
  <c r="DI27" i="6" s="1"/>
  <c r="AA164" i="7"/>
  <c r="C162" i="2"/>
  <c r="AT162" i="2" s="1"/>
  <c r="T138" i="23"/>
  <c r="M132" i="7"/>
  <c r="M40" i="25" s="1"/>
  <c r="M48" i="25"/>
  <c r="Y875" i="7"/>
  <c r="Y173" i="25" s="1"/>
  <c r="L789" i="7"/>
  <c r="AL42" i="6" s="1"/>
  <c r="S257" i="7"/>
  <c r="S269" i="7" s="1"/>
  <c r="AB690" i="7"/>
  <c r="AB731" i="7" s="1"/>
  <c r="AB518" i="7"/>
  <c r="EB32" i="6" s="1"/>
  <c r="EB11" i="6"/>
  <c r="G690" i="7"/>
  <c r="G731" i="7" s="1"/>
  <c r="E218" i="2"/>
  <c r="H491" i="20" s="1"/>
  <c r="Y491" i="20" s="1"/>
  <c r="BP11" i="6"/>
  <c r="BM102" i="11"/>
  <c r="DC46" i="6"/>
  <c r="DI95" i="6" s="1"/>
  <c r="AC1102" i="7"/>
  <c r="DK47" i="11"/>
  <c r="AC128" i="1"/>
  <c r="E145" i="2"/>
  <c r="G504" i="20" s="1"/>
  <c r="X504" i="20" s="1"/>
  <c r="AB205" i="7"/>
  <c r="AB221" i="7" s="1"/>
  <c r="AB421" i="23"/>
  <c r="K28" i="25"/>
  <c r="CB8" i="11"/>
  <c r="I62" i="7"/>
  <c r="V27" i="25"/>
  <c r="Y90" i="7"/>
  <c r="Y91" i="7" s="1"/>
  <c r="BM64" i="11"/>
  <c r="W29" i="25"/>
  <c r="U31" i="25"/>
  <c r="AX58" i="11"/>
  <c r="AX57" i="11"/>
  <c r="BM13" i="11"/>
  <c r="CL87" i="11"/>
  <c r="CR87" i="11" s="1"/>
  <c r="N34" i="25"/>
  <c r="K757" i="7"/>
  <c r="Q362" i="23"/>
  <c r="I8" i="7"/>
  <c r="Q6" i="6" s="1"/>
  <c r="N8" i="7"/>
  <c r="AU6" i="6" s="1"/>
  <c r="V205" i="7"/>
  <c r="V172" i="25" s="1"/>
  <c r="J99" i="23"/>
  <c r="O117" i="23"/>
  <c r="AU101" i="11" s="1"/>
  <c r="W117" i="23"/>
  <c r="CI101" i="11" s="1"/>
  <c r="AA58" i="23"/>
  <c r="CL147" i="17"/>
  <c r="AV11" i="6"/>
  <c r="CL11" i="6"/>
  <c r="Y59" i="25"/>
  <c r="Z205" i="1"/>
  <c r="W205" i="1"/>
  <c r="O63" i="7"/>
  <c r="L472" i="7"/>
  <c r="L500" i="7" s="1"/>
  <c r="S1134" i="7"/>
  <c r="S169" i="7"/>
  <c r="S69" i="25" s="1"/>
  <c r="Z689" i="7"/>
  <c r="AM689" i="7" s="1"/>
  <c r="P474" i="7"/>
  <c r="P1057" i="7" s="1"/>
  <c r="AB1141" i="7"/>
  <c r="Q580" i="7"/>
  <c r="P875" i="7"/>
  <c r="P890" i="7" s="1"/>
  <c r="X62" i="7"/>
  <c r="M257" i="7"/>
  <c r="M99" i="25" s="1"/>
  <c r="AA87" i="25"/>
  <c r="L579" i="7"/>
  <c r="O970" i="7"/>
  <c r="O981" i="7" s="1"/>
  <c r="W793" i="7"/>
  <c r="W1110" i="7" s="1"/>
  <c r="W791" i="7"/>
  <c r="W92" i="25" s="1"/>
  <c r="S85" i="25"/>
  <c r="T86" i="25"/>
  <c r="L690" i="7"/>
  <c r="L731" i="7" s="1"/>
  <c r="Q520" i="7"/>
  <c r="Q535" i="7" s="1"/>
  <c r="T471" i="7"/>
  <c r="T499" i="7" s="1"/>
  <c r="Y319" i="7"/>
  <c r="I141" i="7"/>
  <c r="I90" i="25" s="1"/>
  <c r="Y32" i="7"/>
  <c r="Y80" i="25" s="1"/>
  <c r="V139" i="7"/>
  <c r="V1096" i="7" s="1"/>
  <c r="W87" i="25"/>
  <c r="AB590" i="7"/>
  <c r="AB612" i="7" s="1"/>
  <c r="R475" i="7"/>
  <c r="R1079" i="7" s="1"/>
  <c r="N134" i="7"/>
  <c r="AW10" i="6" s="1"/>
  <c r="AE11" i="6"/>
  <c r="AD71" i="11"/>
  <c r="O518" i="7"/>
  <c r="O1064" i="7" s="1"/>
  <c r="K477" i="7"/>
  <c r="AD31" i="6" s="1"/>
  <c r="AC31" i="6" s="1"/>
  <c r="U522" i="7"/>
  <c r="CL27" i="6" s="1"/>
  <c r="CK27" i="6" s="1"/>
  <c r="V474" i="7"/>
  <c r="CR24" i="6" s="1"/>
  <c r="AA18" i="7"/>
  <c r="DV9" i="6" s="1"/>
  <c r="Y8" i="7"/>
  <c r="DI6" i="6" s="1"/>
  <c r="Q927" i="7"/>
  <c r="P789" i="7"/>
  <c r="P113" i="25" s="1"/>
  <c r="K257" i="7"/>
  <c r="K99" i="25" s="1"/>
  <c r="AB257" i="7"/>
  <c r="AB99" i="25" s="1"/>
  <c r="AB793" i="7"/>
  <c r="AB1110" i="7" s="1"/>
  <c r="AB472" i="7"/>
  <c r="AB500" i="7" s="1"/>
  <c r="AA228" i="7"/>
  <c r="O330" i="23"/>
  <c r="L229" i="8"/>
  <c r="T23" i="8"/>
  <c r="DP46" i="11"/>
  <c r="H38" i="6"/>
  <c r="AB698" i="7"/>
  <c r="DP101" i="11"/>
  <c r="DS101" i="11" s="1"/>
  <c r="DU101" i="11" s="1"/>
  <c r="DX101" i="11" s="1"/>
  <c r="P698" i="7"/>
  <c r="P736" i="7" s="1"/>
  <c r="P758" i="7" s="1"/>
  <c r="CB49" i="11"/>
  <c r="H261" i="23"/>
  <c r="R36" i="6"/>
  <c r="BB36" i="6"/>
  <c r="CR36" i="6"/>
  <c r="R853" i="7"/>
  <c r="R866" i="7" s="1"/>
  <c r="R1148" i="7"/>
  <c r="R1149" i="7" s="1"/>
  <c r="T36" i="25"/>
  <c r="Y78" i="7"/>
  <c r="Y79" i="7" s="1"/>
  <c r="V37" i="25"/>
  <c r="L926" i="7"/>
  <c r="BH115" i="11"/>
  <c r="Q756" i="7"/>
  <c r="X255" i="23"/>
  <c r="K179" i="7"/>
  <c r="K192" i="7" s="1"/>
  <c r="U58" i="23"/>
  <c r="V65" i="23" s="1"/>
  <c r="K78" i="23"/>
  <c r="K84" i="23" s="1"/>
  <c r="BF108" i="17"/>
  <c r="BF113" i="17" s="1"/>
  <c r="R99" i="23"/>
  <c r="I100" i="23"/>
  <c r="AT166" i="17"/>
  <c r="AT171" i="17" s="1"/>
  <c r="BR207" i="17"/>
  <c r="CH108" i="17"/>
  <c r="Z66" i="25"/>
  <c r="Z274" i="23"/>
  <c r="Z281" i="23" s="1"/>
  <c r="AA48" i="25"/>
  <c r="P588" i="7"/>
  <c r="BH33" i="6" s="1"/>
  <c r="V63" i="7"/>
  <c r="CG11" i="6"/>
  <c r="Y590" i="7"/>
  <c r="Y1082" i="7" s="1"/>
  <c r="N128" i="1"/>
  <c r="L128" i="1"/>
  <c r="L249" i="23"/>
  <c r="CG72" i="11"/>
  <c r="AB117" i="1"/>
  <c r="T138" i="1"/>
  <c r="P692" i="7"/>
  <c r="P720" i="7" s="1"/>
  <c r="Z688" i="7"/>
  <c r="AM688" i="7" s="1"/>
  <c r="Z592" i="7"/>
  <c r="DR33" i="6" s="1"/>
  <c r="DA46" i="11"/>
  <c r="Q1003" i="7"/>
  <c r="Q96" i="25" s="1"/>
  <c r="T205" i="7"/>
  <c r="T172" i="25" s="1"/>
  <c r="U24" i="7"/>
  <c r="CM9" i="6" s="1"/>
  <c r="AA231" i="7"/>
  <c r="DX21" i="6" s="1"/>
  <c r="K296" i="7"/>
  <c r="K453" i="7" s="1"/>
  <c r="Y593" i="7"/>
  <c r="Y1098" i="7" s="1"/>
  <c r="W1124" i="7"/>
  <c r="J666" i="7"/>
  <c r="J65" i="25" s="1"/>
  <c r="O519" i="7"/>
  <c r="O1081" i="7" s="1"/>
  <c r="Q1141" i="7"/>
  <c r="T970" i="7"/>
  <c r="T981" i="7" s="1"/>
  <c r="CV71" i="11"/>
  <c r="BZ46" i="6"/>
  <c r="AJ46" i="6"/>
  <c r="Z588" i="7"/>
  <c r="DP33" i="6" s="1"/>
  <c r="Y296" i="7"/>
  <c r="Y346" i="7" s="1"/>
  <c r="M589" i="7"/>
  <c r="M1059" i="7" s="1"/>
  <c r="I474" i="7"/>
  <c r="I1057" i="7" s="1"/>
  <c r="V138" i="8"/>
  <c r="AA221" i="8"/>
  <c r="AP11" i="6"/>
  <c r="J164" i="7"/>
  <c r="X8" i="6" s="1"/>
  <c r="Z1124" i="7"/>
  <c r="AA853" i="7"/>
  <c r="R122" i="23"/>
  <c r="J96" i="23"/>
  <c r="V13" i="11" s="1"/>
  <c r="W85" i="23"/>
  <c r="Q74" i="23"/>
  <c r="T416" i="23"/>
  <c r="M35" i="23"/>
  <c r="AK57" i="11" s="1"/>
  <c r="J16" i="23"/>
  <c r="V8" i="11" s="1"/>
  <c r="K205" i="7"/>
  <c r="K221" i="7" s="1"/>
  <c r="N132" i="7"/>
  <c r="AU7" i="6" s="1"/>
  <c r="W48" i="25"/>
  <c r="Q48" i="25"/>
  <c r="M179" i="7"/>
  <c r="AN118" i="11" s="1"/>
  <c r="S753" i="7"/>
  <c r="H755" i="7"/>
  <c r="T1134" i="7"/>
  <c r="O1124" i="7"/>
  <c r="Q36" i="25"/>
  <c r="I78" i="7"/>
  <c r="I79" i="7" s="1"/>
  <c r="K297" i="23"/>
  <c r="S298" i="23"/>
  <c r="W274" i="23"/>
  <c r="W444" i="23" s="1"/>
  <c r="S853" i="7"/>
  <c r="N853" i="7"/>
  <c r="N866" i="7" s="1"/>
  <c r="I274" i="23"/>
  <c r="I444" i="23" s="1"/>
  <c r="V227" i="23"/>
  <c r="W261" i="23"/>
  <c r="M66" i="25"/>
  <c r="CL8" i="11"/>
  <c r="AX49" i="11"/>
  <c r="Q789" i="7"/>
  <c r="BP42" i="6" s="1"/>
  <c r="P257" i="7"/>
  <c r="P99" i="25" s="1"/>
  <c r="AB38" i="25"/>
  <c r="AB237" i="23"/>
  <c r="H21" i="8"/>
  <c r="Q577" i="7"/>
  <c r="G228" i="7"/>
  <c r="G1097" i="7" s="1"/>
  <c r="AA852" i="7"/>
  <c r="DX47" i="6" s="1"/>
  <c r="AC33" i="25"/>
  <c r="BT11" i="6"/>
  <c r="Q253" i="23"/>
  <c r="Y829" i="7"/>
  <c r="Y1092" i="7" s="1"/>
  <c r="O139" i="7"/>
  <c r="BR46" i="11"/>
  <c r="S792" i="7"/>
  <c r="S137" i="25" s="1"/>
  <c r="V594" i="7"/>
  <c r="V136" i="25" s="1"/>
  <c r="Y1003" i="7"/>
  <c r="Y96" i="25" s="1"/>
  <c r="L852" i="7"/>
  <c r="AL47" i="6" s="1"/>
  <c r="L237" i="23"/>
  <c r="L438" i="23" s="1"/>
  <c r="O793" i="7"/>
  <c r="BD44" i="6" s="1"/>
  <c r="N788" i="7"/>
  <c r="AX41" i="6" s="1"/>
  <c r="M791" i="7"/>
  <c r="M92" i="25" s="1"/>
  <c r="K85" i="25"/>
  <c r="H690" i="7"/>
  <c r="H691" i="7" s="1"/>
  <c r="P317" i="7"/>
  <c r="P337" i="7" s="1"/>
  <c r="K471" i="7"/>
  <c r="K83" i="25" s="1"/>
  <c r="U228" i="7"/>
  <c r="CN19" i="6" s="1"/>
  <c r="I139" i="7"/>
  <c r="I1096" i="7" s="1"/>
  <c r="N87" i="25"/>
  <c r="V689" i="7"/>
  <c r="V64" i="7" s="1"/>
  <c r="O590" i="7"/>
  <c r="O1082" i="7" s="1"/>
  <c r="S519" i="7"/>
  <c r="S1081" i="7" s="1"/>
  <c r="Y24" i="7"/>
  <c r="Y71" i="25" s="1"/>
  <c r="DQ11" i="6"/>
  <c r="L474" i="7"/>
  <c r="L502" i="7" s="1"/>
  <c r="BZ11" i="6"/>
  <c r="EJ9" i="6"/>
  <c r="AC85" i="25"/>
  <c r="DP47" i="11"/>
  <c r="E179" i="2"/>
  <c r="AV179" i="2" s="1"/>
  <c r="S87" i="25"/>
  <c r="R99" i="8"/>
  <c r="U35" i="8"/>
  <c r="S563" i="7"/>
  <c r="AC138" i="1"/>
  <c r="M136" i="8"/>
  <c r="N688" i="7"/>
  <c r="N993" i="7" s="1"/>
  <c r="J76" i="8"/>
  <c r="J101" i="8" s="1"/>
  <c r="X38" i="25"/>
  <c r="X923" i="7"/>
  <c r="X306" i="7"/>
  <c r="Y307" i="7" s="1"/>
  <c r="P924" i="7"/>
  <c r="P38" i="25"/>
  <c r="P755" i="7"/>
  <c r="L62" i="7"/>
  <c r="P234" i="8"/>
  <c r="AD85" i="11"/>
  <c r="O190" i="8"/>
  <c r="O248" i="8" s="1"/>
  <c r="W189" i="8"/>
  <c r="W213" i="8" s="1"/>
  <c r="S189" i="8"/>
  <c r="S213" i="8" s="1"/>
  <c r="Q48" i="23"/>
  <c r="Q49" i="23" s="1"/>
  <c r="P752" i="7"/>
  <c r="X253" i="23"/>
  <c r="DK63" i="11"/>
  <c r="N294" i="23"/>
  <c r="N563" i="7"/>
  <c r="V31" i="8"/>
  <c r="AB253" i="23"/>
  <c r="V1069" i="7"/>
  <c r="X926" i="7"/>
  <c r="X753" i="7"/>
  <c r="P757" i="7"/>
  <c r="L9" i="7"/>
  <c r="AB152" i="1"/>
  <c r="AN7" i="11"/>
  <c r="R329" i="23"/>
  <c r="H925" i="7"/>
  <c r="Q116" i="23"/>
  <c r="BE100" i="11" s="1"/>
  <c r="Z28" i="8"/>
  <c r="Z188" i="8" s="1"/>
  <c r="X20" i="8"/>
  <c r="T15" i="8"/>
  <c r="CB37" i="6"/>
  <c r="T72" i="25"/>
  <c r="AP82" i="17"/>
  <c r="O47" i="25"/>
  <c r="X952" i="7"/>
  <c r="X959" i="7" s="1"/>
  <c r="X925" i="7"/>
  <c r="P928" i="7"/>
  <c r="P754" i="7"/>
  <c r="CL102" i="11"/>
  <c r="P580" i="7"/>
  <c r="Y421" i="23"/>
  <c r="CG58" i="11"/>
  <c r="CM58" i="11" s="1"/>
  <c r="X297" i="23"/>
  <c r="O327" i="23"/>
  <c r="H751" i="7"/>
  <c r="R59" i="17"/>
  <c r="R64" i="17" s="1"/>
  <c r="AL40" i="17"/>
  <c r="M29" i="23"/>
  <c r="M60" i="23" s="1"/>
  <c r="T78" i="23"/>
  <c r="J68" i="23"/>
  <c r="O107" i="23"/>
  <c r="V107" i="23"/>
  <c r="CD166" i="17"/>
  <c r="DA15" i="11"/>
  <c r="DB15" i="11" s="1"/>
  <c r="DV14" i="6"/>
  <c r="I87" i="25"/>
  <c r="H15" i="8"/>
  <c r="AC299" i="23"/>
  <c r="DK87" i="11"/>
  <c r="DQ87" i="11" s="1"/>
  <c r="AC927" i="7"/>
  <c r="DP16" i="11"/>
  <c r="DP66" i="11" s="1"/>
  <c r="S928" i="7"/>
  <c r="S923" i="7"/>
  <c r="S924" i="7"/>
  <c r="BR115" i="11"/>
  <c r="I452" i="23"/>
  <c r="T13" i="11"/>
  <c r="S1148" i="7"/>
  <c r="S1149" i="7" s="1"/>
  <c r="S1150" i="7"/>
  <c r="W90" i="7"/>
  <c r="W91" i="7" s="1"/>
  <c r="W115" i="7"/>
  <c r="D147" i="2"/>
  <c r="AU147" i="2" s="1"/>
  <c r="AB924" i="7"/>
  <c r="AB115" i="7"/>
  <c r="DK7" i="11"/>
  <c r="Y115" i="7"/>
  <c r="AC38" i="25"/>
  <c r="AC853" i="7"/>
  <c r="AC866" i="7" s="1"/>
  <c r="AB1069" i="7"/>
  <c r="AB90" i="7"/>
  <c r="AB91" i="7" s="1"/>
  <c r="O262" i="23"/>
  <c r="M27" i="25"/>
  <c r="CL7" i="11"/>
  <c r="AC46" i="6"/>
  <c r="J26" i="25"/>
  <c r="BC58" i="11"/>
  <c r="BW13" i="11"/>
  <c r="CC13" i="11" s="1"/>
  <c r="O297" i="23"/>
  <c r="O331" i="23"/>
  <c r="CB102" i="11"/>
  <c r="I36" i="25"/>
  <c r="P107" i="23"/>
  <c r="Y169" i="23"/>
  <c r="CS118" i="11" s="1"/>
  <c r="T35" i="23"/>
  <c r="BT57" i="11" s="1"/>
  <c r="AD14" i="6"/>
  <c r="AD63" i="6" s="1"/>
  <c r="X928" i="7"/>
  <c r="X582" i="7"/>
  <c r="CQ115" i="11"/>
  <c r="X1034" i="7"/>
  <c r="R402" i="23"/>
  <c r="AC31" i="25"/>
  <c r="DK34" i="11"/>
  <c r="E146" i="2"/>
  <c r="AB1030" i="7"/>
  <c r="O698" i="7"/>
  <c r="CL49" i="11"/>
  <c r="AN34" i="11"/>
  <c r="P62" i="7"/>
  <c r="P90" i="7"/>
  <c r="W66" i="25"/>
  <c r="K263" i="23"/>
  <c r="X263" i="23"/>
  <c r="X270" i="23" s="1"/>
  <c r="CQ64" i="11"/>
  <c r="S576" i="7"/>
  <c r="BR40" i="17"/>
  <c r="BR45" i="17" s="1"/>
  <c r="W99" i="23"/>
  <c r="Q117" i="23"/>
  <c r="BE101" i="11" s="1"/>
  <c r="Y168" i="8"/>
  <c r="Y478" i="7" s="1"/>
  <c r="H230" i="8"/>
  <c r="S230" i="8"/>
  <c r="I190" i="8"/>
  <c r="I248" i="8" s="1"/>
  <c r="Q245" i="8"/>
  <c r="Q249" i="8" s="1"/>
  <c r="P416" i="23"/>
  <c r="AC122" i="23"/>
  <c r="AA29" i="23"/>
  <c r="AA48" i="23"/>
  <c r="AA49" i="23" s="1"/>
  <c r="H48" i="23"/>
  <c r="H49" i="23" s="1"/>
  <c r="H29" i="23"/>
  <c r="H752" i="7"/>
  <c r="H923" i="7"/>
  <c r="H38" i="25"/>
  <c r="K5" i="6"/>
  <c r="H924" i="7"/>
  <c r="W1148" i="7"/>
  <c r="W1149" i="7" s="1"/>
  <c r="W1150" i="7"/>
  <c r="BW63" i="11"/>
  <c r="BX63" i="11" s="1"/>
  <c r="T32" i="25"/>
  <c r="T52" i="25"/>
  <c r="N221" i="8"/>
  <c r="W77" i="23"/>
  <c r="U21" i="8"/>
  <c r="AB757" i="7"/>
  <c r="BR9" i="11"/>
  <c r="O115" i="11"/>
  <c r="S38" i="25"/>
  <c r="AC281" i="23"/>
  <c r="O423" i="23"/>
  <c r="X757" i="7"/>
  <c r="X232" i="8"/>
  <c r="AB58" i="23"/>
  <c r="Z451" i="23"/>
  <c r="X754" i="7"/>
  <c r="X1049" i="7"/>
  <c r="X752" i="7"/>
  <c r="DC5" i="6"/>
  <c r="N78" i="7"/>
  <c r="N79" i="7" s="1"/>
  <c r="V418" i="23"/>
  <c r="DP62" i="11"/>
  <c r="DS62" i="11" s="1"/>
  <c r="AD176" i="23" s="1"/>
  <c r="D136" i="2"/>
  <c r="AU136" i="2" s="1"/>
  <c r="DP100" i="11"/>
  <c r="DS100" i="11" s="1"/>
  <c r="AB756" i="7"/>
  <c r="AB752" i="7"/>
  <c r="M195" i="23"/>
  <c r="AJ36" i="6"/>
  <c r="M261" i="23"/>
  <c r="W9" i="7"/>
  <c r="BA46" i="6"/>
  <c r="Y29" i="25"/>
  <c r="Q78" i="7"/>
  <c r="Q79" i="7" s="1"/>
  <c r="J329" i="23"/>
  <c r="H927" i="7"/>
  <c r="S925" i="7"/>
  <c r="O408" i="23"/>
  <c r="O48" i="23"/>
  <c r="O49" i="23" s="1"/>
  <c r="V29" i="23"/>
  <c r="BR82" i="17" s="1"/>
  <c r="W36" i="23"/>
  <c r="CI58" i="11" s="1"/>
  <c r="M41" i="23"/>
  <c r="AK63" i="11" s="1"/>
  <c r="AL63" i="11" s="1"/>
  <c r="T19" i="7"/>
  <c r="X174" i="17"/>
  <c r="X576" i="7"/>
  <c r="AC329" i="23"/>
  <c r="T202" i="23"/>
  <c r="M74" i="23"/>
  <c r="M95" i="23"/>
  <c r="AK86" i="11" s="1"/>
  <c r="Y450" i="23"/>
  <c r="K189" i="1"/>
  <c r="U189" i="1"/>
  <c r="Z49" i="25"/>
  <c r="S15" i="8"/>
  <c r="V16" i="8"/>
  <c r="J231" i="23"/>
  <c r="Q227" i="23"/>
  <c r="M40" i="23"/>
  <c r="AK62" i="11" s="1"/>
  <c r="AA450" i="23"/>
  <c r="X205" i="1"/>
  <c r="V21" i="8"/>
  <c r="M52" i="8"/>
  <c r="Z121" i="23"/>
  <c r="V121" i="23"/>
  <c r="S450" i="23"/>
  <c r="V451" i="23"/>
  <c r="AF287" i="2"/>
  <c r="AF294" i="2"/>
  <c r="AQ72" i="20" s="1"/>
  <c r="AC299" i="2"/>
  <c r="AO150" i="20" s="1"/>
  <c r="AP146" i="20"/>
  <c r="AM255" i="20"/>
  <c r="AP149" i="20"/>
  <c r="AN257" i="20"/>
  <c r="AE310" i="2"/>
  <c r="AN228" i="20" s="1"/>
  <c r="W403" i="20"/>
  <c r="X55" i="20"/>
  <c r="W452" i="20"/>
  <c r="AO221" i="20"/>
  <c r="AC310" i="2"/>
  <c r="AG284" i="2"/>
  <c r="AM221" i="20"/>
  <c r="AN229" i="20"/>
  <c r="H422" i="23"/>
  <c r="CF48" i="17"/>
  <c r="CN174" i="17"/>
  <c r="H52" i="25"/>
  <c r="R127" i="17"/>
  <c r="P926" i="7"/>
  <c r="BC16" i="11"/>
  <c r="P927" i="7"/>
  <c r="P753" i="7"/>
  <c r="P756" i="7"/>
  <c r="P66" i="25"/>
  <c r="L66" i="25"/>
  <c r="L261" i="23"/>
  <c r="L115" i="7"/>
  <c r="H66" i="25"/>
  <c r="V828" i="7"/>
  <c r="CR45" i="6" s="1"/>
  <c r="W563" i="7"/>
  <c r="Y24" i="8"/>
  <c r="R55" i="25"/>
  <c r="R33" i="8"/>
  <c r="R77" i="8" s="1"/>
  <c r="R78" i="8" s="1"/>
  <c r="V49" i="25"/>
  <c r="V76" i="8"/>
  <c r="V101" i="8" s="1"/>
  <c r="Z99" i="8"/>
  <c r="Z45" i="25"/>
  <c r="V45" i="25"/>
  <c r="V99" i="8"/>
  <c r="N45" i="25"/>
  <c r="N99" i="8"/>
  <c r="J45" i="25"/>
  <c r="J244" i="8"/>
  <c r="J245" i="8" s="1"/>
  <c r="J249" i="8" s="1"/>
  <c r="AB130" i="23"/>
  <c r="CP207" i="17"/>
  <c r="CP212" i="17" s="1"/>
  <c r="CP166" i="17"/>
  <c r="CT171" i="17" s="1"/>
  <c r="AB100" i="23"/>
  <c r="K792" i="7"/>
  <c r="K137" i="25" s="1"/>
  <c r="Y970" i="7"/>
  <c r="Y981" i="7" s="1"/>
  <c r="J970" i="7"/>
  <c r="J981" i="7" s="1"/>
  <c r="T668" i="7"/>
  <c r="T1106" i="7" s="1"/>
  <c r="W85" i="25"/>
  <c r="CB38" i="6"/>
  <c r="BD38" i="6"/>
  <c r="AD47" i="11"/>
  <c r="DR37" i="6"/>
  <c r="CH37" i="6"/>
  <c r="BW46" i="11"/>
  <c r="H86" i="25"/>
  <c r="W174" i="7"/>
  <c r="W177" i="7" s="1"/>
  <c r="AB21" i="8"/>
  <c r="C176" i="2"/>
  <c r="AT176" i="2" s="1"/>
  <c r="AB1086" i="7"/>
  <c r="Q829" i="7"/>
  <c r="BO45" i="6" s="1"/>
  <c r="DQ46" i="6"/>
  <c r="V1086" i="7"/>
  <c r="P1086" i="7"/>
  <c r="J1086" i="7"/>
  <c r="J667" i="7"/>
  <c r="T117" i="1"/>
  <c r="BC11" i="6"/>
  <c r="O72" i="25"/>
  <c r="W169" i="7"/>
  <c r="W172" i="7" s="1"/>
  <c r="N169" i="7"/>
  <c r="N69" i="25" s="1"/>
  <c r="N828" i="7"/>
  <c r="N1075" i="7" s="1"/>
  <c r="X1069" i="7"/>
  <c r="X10" i="7"/>
  <c r="O1069" i="7"/>
  <c r="BB46" i="6"/>
  <c r="N666" i="7"/>
  <c r="N678" i="7" s="1"/>
  <c r="Q59" i="25"/>
  <c r="Q136" i="8"/>
  <c r="L59" i="25"/>
  <c r="AJ14" i="6"/>
  <c r="AP63" i="6" s="1"/>
  <c r="X19" i="7"/>
  <c r="X58" i="25"/>
  <c r="P19" i="7"/>
  <c r="BH13" i="6"/>
  <c r="AD13" i="6"/>
  <c r="AC13" i="6" s="1"/>
  <c r="K19" i="7"/>
  <c r="R164" i="7"/>
  <c r="BT8" i="6" s="1"/>
  <c r="AA1141" i="7"/>
  <c r="Z313" i="23"/>
  <c r="Z345" i="23"/>
  <c r="DA9" i="11"/>
  <c r="DA64" i="11"/>
  <c r="DO46" i="6"/>
  <c r="DU95" i="6" s="1"/>
  <c r="BF229" i="17"/>
  <c r="S470" i="23"/>
  <c r="H130" i="23"/>
  <c r="I118" i="23"/>
  <c r="Q15" i="11" s="1"/>
  <c r="U100" i="23"/>
  <c r="V106" i="23" s="1"/>
  <c r="BN166" i="17"/>
  <c r="U129" i="23"/>
  <c r="BN188" i="17"/>
  <c r="N129" i="23"/>
  <c r="O135" i="23" s="1"/>
  <c r="AL188" i="17"/>
  <c r="N99" i="23"/>
  <c r="O85" i="23"/>
  <c r="P78" i="23"/>
  <c r="AT127" i="17"/>
  <c r="T48" i="23"/>
  <c r="T49" i="23" s="1"/>
  <c r="T29" i="23"/>
  <c r="T423" i="23" s="1"/>
  <c r="Y58" i="23"/>
  <c r="CD40" i="17"/>
  <c r="R10" i="23"/>
  <c r="Q58" i="23"/>
  <c r="BN59" i="17"/>
  <c r="U59" i="23"/>
  <c r="V66" i="23" s="1"/>
  <c r="N205" i="7"/>
  <c r="U179" i="7"/>
  <c r="Q757" i="7"/>
  <c r="Q753" i="7"/>
  <c r="Q752" i="7"/>
  <c r="Q754" i="7"/>
  <c r="BM5" i="6"/>
  <c r="Q923" i="7"/>
  <c r="Q924" i="7"/>
  <c r="Q751" i="7"/>
  <c r="X1141" i="7"/>
  <c r="W1134" i="7"/>
  <c r="K1134" i="7"/>
  <c r="R1124" i="7"/>
  <c r="I1124" i="7"/>
  <c r="Q37" i="25"/>
  <c r="BH100" i="11"/>
  <c r="O78" i="7"/>
  <c r="O344" i="23"/>
  <c r="O36" i="25"/>
  <c r="O101" i="11"/>
  <c r="T353" i="23"/>
  <c r="U360" i="23" s="1"/>
  <c r="BW102" i="11"/>
  <c r="AS15" i="11"/>
  <c r="AT15" i="11" s="1"/>
  <c r="N353" i="23"/>
  <c r="W35" i="25"/>
  <c r="CL85" i="11"/>
  <c r="CM85" i="11" s="1"/>
  <c r="N35" i="25"/>
  <c r="AS85" i="11"/>
  <c r="AT85" i="11" s="1"/>
  <c r="J34" i="25"/>
  <c r="K298" i="23"/>
  <c r="CL13" i="11"/>
  <c r="W313" i="23"/>
  <c r="R452" i="23"/>
  <c r="BM87" i="11"/>
  <c r="N299" i="23"/>
  <c r="M313" i="23"/>
  <c r="H313" i="23"/>
  <c r="O87" i="11"/>
  <c r="U87" i="11" s="1"/>
  <c r="U875" i="7"/>
  <c r="U890" i="7" s="1"/>
  <c r="R274" i="23"/>
  <c r="BS47" i="6" s="1"/>
  <c r="L274" i="23"/>
  <c r="L444" i="23" s="1"/>
  <c r="Y32" i="25"/>
  <c r="CV63" i="11"/>
  <c r="CW63" i="11" s="1"/>
  <c r="S32" i="25"/>
  <c r="T232" i="23"/>
  <c r="U26" i="25"/>
  <c r="CB58" i="11"/>
  <c r="T58" i="11"/>
  <c r="Z58" i="11" s="1"/>
  <c r="I417" i="23"/>
  <c r="H31" i="25"/>
  <c r="O62" i="11"/>
  <c r="CL64" i="11"/>
  <c r="CL9" i="11"/>
  <c r="CW46" i="6"/>
  <c r="BM9" i="11"/>
  <c r="R29" i="25"/>
  <c r="R263" i="23"/>
  <c r="N29" i="25"/>
  <c r="AS64" i="11"/>
  <c r="AY64" i="11" s="1"/>
  <c r="J263" i="23"/>
  <c r="W46" i="6"/>
  <c r="CG7" i="11"/>
  <c r="CG34" i="11"/>
  <c r="I115" i="7"/>
  <c r="I9" i="7"/>
  <c r="U408" i="23"/>
  <c r="N408" i="23"/>
  <c r="AC36" i="25"/>
  <c r="AC344" i="23"/>
  <c r="DP13" i="11"/>
  <c r="DQ13" i="11" s="1"/>
  <c r="AC313" i="23"/>
  <c r="AB792" i="7"/>
  <c r="AB817" i="7" s="1"/>
  <c r="CP188" i="17"/>
  <c r="CP193" i="17" s="1"/>
  <c r="BR188" i="17"/>
  <c r="P582" i="7"/>
  <c r="P751" i="7"/>
  <c r="P306" i="7"/>
  <c r="Q307" i="7" s="1"/>
  <c r="P925" i="7"/>
  <c r="P255" i="23"/>
  <c r="BC115" i="11"/>
  <c r="W462" i="23"/>
  <c r="L90" i="7"/>
  <c r="L91" i="7" s="1"/>
  <c r="AI7" i="11"/>
  <c r="AC48" i="23"/>
  <c r="P257" i="23"/>
  <c r="N121" i="23"/>
  <c r="I16" i="8"/>
  <c r="N113" i="8"/>
  <c r="BG46" i="6"/>
  <c r="BC9" i="11"/>
  <c r="U231" i="23"/>
  <c r="O227" i="23"/>
  <c r="N166" i="8"/>
  <c r="P40" i="23"/>
  <c r="AZ62" i="11" s="1"/>
  <c r="J41" i="23"/>
  <c r="V63" i="11" s="1"/>
  <c r="W63" i="11" s="1"/>
  <c r="X121" i="23"/>
  <c r="AA35" i="23"/>
  <c r="DC57" i="11" s="1"/>
  <c r="T221" i="8"/>
  <c r="M211" i="1"/>
  <c r="L138" i="1"/>
  <c r="H152" i="1"/>
  <c r="O152" i="1"/>
  <c r="AC169" i="23"/>
  <c r="DM118" i="11" s="1"/>
  <c r="AA21" i="8"/>
  <c r="R20" i="8"/>
  <c r="N15" i="8"/>
  <c r="V128" i="1"/>
  <c r="AC416" i="23"/>
  <c r="R226" i="23"/>
  <c r="U422" i="23"/>
  <c r="P1149" i="7"/>
  <c r="P232" i="8"/>
  <c r="U40" i="23"/>
  <c r="BY62" i="11" s="1"/>
  <c r="L35" i="23"/>
  <c r="AF57" i="11" s="1"/>
  <c r="Y422" i="23"/>
  <c r="Q106" i="23"/>
  <c r="J117" i="23"/>
  <c r="V101" i="11" s="1"/>
  <c r="V117" i="23"/>
  <c r="CD101" i="11" s="1"/>
  <c r="R192" i="8"/>
  <c r="I205" i="1"/>
  <c r="L134" i="1"/>
  <c r="J16" i="8"/>
  <c r="R9" i="8"/>
  <c r="L20" i="8"/>
  <c r="W9" i="8"/>
  <c r="V59" i="8"/>
  <c r="J61" i="8"/>
  <c r="AB85" i="23"/>
  <c r="S152" i="1"/>
  <c r="AA134" i="1"/>
  <c r="U128" i="1"/>
  <c r="Q128" i="1"/>
  <c r="H205" i="1"/>
  <c r="Q211" i="1"/>
  <c r="S205" i="1"/>
  <c r="S189" i="1"/>
  <c r="AA166" i="8"/>
  <c r="Z422" i="23"/>
  <c r="S138" i="23"/>
  <c r="V118" i="23"/>
  <c r="R450" i="23"/>
  <c r="L94" i="23"/>
  <c r="AF85" i="11" s="1"/>
  <c r="J451" i="23"/>
  <c r="U96" i="23"/>
  <c r="BY13" i="11" s="1"/>
  <c r="U107" i="23"/>
  <c r="I107" i="23"/>
  <c r="V37" i="23"/>
  <c r="AC345" i="23"/>
  <c r="AC350" i="23" s="1"/>
  <c r="AA152" i="1"/>
  <c r="P578" i="7"/>
  <c r="O49" i="11"/>
  <c r="DA71" i="11"/>
  <c r="CL59" i="17"/>
  <c r="CP64" i="17" s="1"/>
  <c r="AC755" i="7"/>
  <c r="W690" i="7"/>
  <c r="W111" i="25" s="1"/>
  <c r="DF34" i="11"/>
  <c r="L78" i="23"/>
  <c r="M84" i="23" s="1"/>
  <c r="CQ9" i="11"/>
  <c r="AC924" i="7"/>
  <c r="AA875" i="7"/>
  <c r="AA294" i="23"/>
  <c r="L205" i="1"/>
  <c r="X15" i="8"/>
  <c r="L16" i="8"/>
  <c r="T16" i="8"/>
  <c r="AA16" i="8"/>
  <c r="O666" i="7"/>
  <c r="K169" i="7"/>
  <c r="CJ237" i="17"/>
  <c r="CJ1" i="17" s="1"/>
  <c r="AR102" i="17"/>
  <c r="AR48" i="17"/>
  <c r="BD215" i="17"/>
  <c r="AJ79" i="17"/>
  <c r="BP70" i="17"/>
  <c r="CJ70" i="17"/>
  <c r="Q133" i="7"/>
  <c r="AA402" i="23"/>
  <c r="CH127" i="17"/>
  <c r="X107" i="23"/>
  <c r="AD127" i="17"/>
  <c r="AD132" i="17" s="1"/>
  <c r="L753" i="7"/>
  <c r="L1049" i="7"/>
  <c r="U36" i="25"/>
  <c r="BM7" i="11"/>
  <c r="R375" i="23"/>
  <c r="AC306" i="7"/>
  <c r="O875" i="7"/>
  <c r="O890" i="7" s="1"/>
  <c r="Z132" i="7"/>
  <c r="DA117" i="11" s="1"/>
  <c r="T262" i="23"/>
  <c r="P518" i="7"/>
  <c r="N21" i="8"/>
  <c r="AA756" i="7"/>
  <c r="AA16" i="23"/>
  <c r="DC8" i="11" s="1"/>
  <c r="X129" i="23"/>
  <c r="L927" i="7"/>
  <c r="CL62" i="11"/>
  <c r="S90" i="7"/>
  <c r="S91" i="7" s="1"/>
  <c r="R27" i="25"/>
  <c r="O66" i="25"/>
  <c r="J115" i="7"/>
  <c r="J828" i="7"/>
  <c r="X45" i="6" s="1"/>
  <c r="X32" i="7"/>
  <c r="AA34" i="25"/>
  <c r="H59" i="23"/>
  <c r="I66" i="23" s="1"/>
  <c r="BW16" i="11"/>
  <c r="M752" i="7"/>
  <c r="L757" i="7"/>
  <c r="CV7" i="11"/>
  <c r="S195" i="23"/>
  <c r="R62" i="7"/>
  <c r="N27" i="25"/>
  <c r="BW49" i="11"/>
  <c r="AC1034" i="7"/>
  <c r="AC362" i="23"/>
  <c r="AC454" i="7" s="1"/>
  <c r="AA205" i="23"/>
  <c r="M249" i="23"/>
  <c r="N1141" i="7"/>
  <c r="P593" i="7"/>
  <c r="BJ28" i="6" s="1"/>
  <c r="S666" i="7"/>
  <c r="S65" i="25" s="1"/>
  <c r="S36" i="23"/>
  <c r="BO58" i="11" s="1"/>
  <c r="AA477" i="7"/>
  <c r="DV31" i="6" s="1"/>
  <c r="DU31" i="6" s="1"/>
  <c r="Z9" i="7"/>
  <c r="AM9" i="7" s="1"/>
  <c r="Y10" i="7"/>
  <c r="M21" i="8"/>
  <c r="Q20" i="8"/>
  <c r="X74" i="23"/>
  <c r="X111" i="17"/>
  <c r="S95" i="23"/>
  <c r="BO86" i="11" s="1"/>
  <c r="Q68" i="23"/>
  <c r="Q5" i="23" s="1"/>
  <c r="I74" i="23"/>
  <c r="Q262" i="23"/>
  <c r="AS93" i="17"/>
  <c r="AC169" i="17"/>
  <c r="Z18" i="26" s="1"/>
  <c r="I210" i="17"/>
  <c r="I14" i="17" s="1"/>
  <c r="M85" i="17"/>
  <c r="Y85" i="17"/>
  <c r="BQ85" i="17"/>
  <c r="BU85" i="17"/>
  <c r="CO79" i="17"/>
  <c r="U86" i="17"/>
  <c r="AG86" i="17"/>
  <c r="AW86" i="17"/>
  <c r="M87" i="17"/>
  <c r="Q87" i="17"/>
  <c r="AO87" i="17"/>
  <c r="AW87" i="17"/>
  <c r="BI87" i="17"/>
  <c r="CO87" i="17"/>
  <c r="M53" i="23"/>
  <c r="K52" i="23"/>
  <c r="S52" i="23"/>
  <c r="P579" i="7"/>
  <c r="Q582" i="7"/>
  <c r="P576" i="7"/>
  <c r="M168" i="8"/>
  <c r="X460" i="23"/>
  <c r="AW116" i="17"/>
  <c r="BD87" i="17"/>
  <c r="AB141" i="7"/>
  <c r="D223" i="2" s="1"/>
  <c r="F424" i="20" s="1"/>
  <c r="W424" i="20" s="1"/>
  <c r="AA520" i="7"/>
  <c r="C221" i="2" s="1"/>
  <c r="AT221" i="2" s="1"/>
  <c r="AB179" i="7"/>
  <c r="DK118" i="11" s="1"/>
  <c r="N66" i="25"/>
  <c r="L36" i="25"/>
  <c r="V461" i="23"/>
  <c r="S1124" i="7"/>
  <c r="U1141" i="7"/>
  <c r="L179" i="7"/>
  <c r="L366" i="23" s="1"/>
  <c r="J8" i="7"/>
  <c r="J126" i="7" s="1"/>
  <c r="J114" i="7" s="1"/>
  <c r="J132" i="7"/>
  <c r="W7" i="6" s="1"/>
  <c r="AA78" i="7"/>
  <c r="M164" i="7"/>
  <c r="M167" i="7" s="1"/>
  <c r="BH11" i="6"/>
  <c r="N18" i="7"/>
  <c r="AV9" i="6" s="1"/>
  <c r="K133" i="7"/>
  <c r="W133" i="7"/>
  <c r="W154" i="7" s="1"/>
  <c r="P522" i="7"/>
  <c r="X589" i="7"/>
  <c r="X1059" i="7" s="1"/>
  <c r="R296" i="7"/>
  <c r="R346" i="7" s="1"/>
  <c r="V477" i="7"/>
  <c r="CR31" i="6" s="1"/>
  <c r="T666" i="7"/>
  <c r="CF35" i="6" s="1"/>
  <c r="BW71" i="11"/>
  <c r="I828" i="7"/>
  <c r="T828" i="7"/>
  <c r="T1075" i="7" s="1"/>
  <c r="H296" i="7"/>
  <c r="H335" i="7" s="1"/>
  <c r="AA169" i="7"/>
  <c r="AA172" i="7" s="1"/>
  <c r="N310" i="7"/>
  <c r="I519" i="7"/>
  <c r="S32" i="6" s="1"/>
  <c r="N667" i="7"/>
  <c r="N77" i="25" s="1"/>
  <c r="AB310" i="7"/>
  <c r="AB76" i="25" s="1"/>
  <c r="W829" i="7"/>
  <c r="CY45" i="6" s="1"/>
  <c r="I1086" i="7"/>
  <c r="T667" i="7"/>
  <c r="H667" i="7"/>
  <c r="H679" i="7" s="1"/>
  <c r="R590" i="7"/>
  <c r="R1082" i="7" s="1"/>
  <c r="J590" i="7"/>
  <c r="J612" i="7" s="1"/>
  <c r="V519" i="7"/>
  <c r="V1081" i="7" s="1"/>
  <c r="N519" i="7"/>
  <c r="Q310" i="7"/>
  <c r="Q336" i="7" s="1"/>
  <c r="X591" i="7"/>
  <c r="X613" i="7" s="1"/>
  <c r="S591" i="7"/>
  <c r="S1080" i="7" s="1"/>
  <c r="I591" i="7"/>
  <c r="I1080" i="7" s="1"/>
  <c r="U475" i="7"/>
  <c r="K475" i="7"/>
  <c r="AA134" i="7"/>
  <c r="AA155" i="7" s="1"/>
  <c r="Q134" i="7"/>
  <c r="X24" i="7"/>
  <c r="P24" i="7"/>
  <c r="V169" i="7"/>
  <c r="V135" i="7" s="1"/>
  <c r="M169" i="7"/>
  <c r="AQ8" i="6" s="1"/>
  <c r="I169" i="7"/>
  <c r="I69" i="25" s="1"/>
  <c r="L828" i="7"/>
  <c r="Q666" i="7"/>
  <c r="I666" i="7"/>
  <c r="I65" i="25" s="1"/>
  <c r="R588" i="7"/>
  <c r="X518" i="7"/>
  <c r="DD32" i="6" s="1"/>
  <c r="N518" i="7"/>
  <c r="N1064" i="7" s="1"/>
  <c r="S477" i="7"/>
  <c r="I477" i="7"/>
  <c r="J296" i="7"/>
  <c r="J63" i="25" s="1"/>
  <c r="P589" i="7"/>
  <c r="P1059" i="7" s="1"/>
  <c r="T522" i="7"/>
  <c r="CF27" i="6" s="1"/>
  <c r="K522" i="7"/>
  <c r="AD27" i="6" s="1"/>
  <c r="AC27" i="6" s="1"/>
  <c r="U474" i="7"/>
  <c r="K474" i="7"/>
  <c r="K1057" i="7" s="1"/>
  <c r="Z18" i="7"/>
  <c r="U164" i="7"/>
  <c r="Z1141" i="7"/>
  <c r="S8" i="7"/>
  <c r="S39" i="25" s="1"/>
  <c r="Y179" i="7"/>
  <c r="CV118" i="11" s="1"/>
  <c r="O179" i="7"/>
  <c r="O43" i="25" s="1"/>
  <c r="O756" i="7"/>
  <c r="M1141" i="7"/>
  <c r="V1134" i="7"/>
  <c r="N1134" i="7"/>
  <c r="V1124" i="7"/>
  <c r="L1124" i="7"/>
  <c r="CQ101" i="11"/>
  <c r="X875" i="7"/>
  <c r="N875" i="7"/>
  <c r="N890" i="7" s="1"/>
  <c r="U853" i="7"/>
  <c r="U866" i="7" s="1"/>
  <c r="Y262" i="23"/>
  <c r="M698" i="7"/>
  <c r="M725" i="7" s="1"/>
  <c r="E162" i="2"/>
  <c r="AV162" i="2" s="1"/>
  <c r="AB477" i="7"/>
  <c r="AB474" i="7"/>
  <c r="EB24" i="6" s="1"/>
  <c r="AB164" i="7"/>
  <c r="AC688" i="7"/>
  <c r="AC717" i="7" s="1"/>
  <c r="T6" i="8"/>
  <c r="BD37" i="6"/>
  <c r="AB829" i="7"/>
  <c r="AD72" i="11"/>
  <c r="M754" i="7"/>
  <c r="N227" i="23"/>
  <c r="I588" i="7"/>
  <c r="Z30" i="7"/>
  <c r="Z694" i="7" s="1"/>
  <c r="AA594" i="7"/>
  <c r="AA136" i="25" s="1"/>
  <c r="AC179" i="7"/>
  <c r="H214" i="23"/>
  <c r="O274" i="23"/>
  <c r="BA47" i="6" s="1"/>
  <c r="K875" i="7"/>
  <c r="S345" i="23"/>
  <c r="X1124" i="7"/>
  <c r="W1141" i="7"/>
  <c r="Q8" i="7"/>
  <c r="O205" i="7"/>
  <c r="O172" i="25" s="1"/>
  <c r="Z875" i="7"/>
  <c r="Z890" i="7" s="1"/>
  <c r="AM890" i="7" s="1"/>
  <c r="O164" i="7"/>
  <c r="BB8" i="6" s="1"/>
  <c r="Y18" i="7"/>
  <c r="R133" i="7"/>
  <c r="BT10" i="6" s="1"/>
  <c r="Z589" i="7"/>
  <c r="J477" i="7"/>
  <c r="J505" i="7" s="1"/>
  <c r="U828" i="7"/>
  <c r="H474" i="7"/>
  <c r="Z24" i="7"/>
  <c r="Z71" i="25" s="1"/>
  <c r="P310" i="7"/>
  <c r="P354" i="7" s="1"/>
  <c r="K519" i="7"/>
  <c r="K534" i="7" s="1"/>
  <c r="J86" i="25"/>
  <c r="P791" i="7"/>
  <c r="P816" i="7" s="1"/>
  <c r="I793" i="7"/>
  <c r="I818" i="7" s="1"/>
  <c r="P852" i="7"/>
  <c r="K830" i="7"/>
  <c r="O829" i="7"/>
  <c r="O1092" i="7" s="1"/>
  <c r="AA667" i="7"/>
  <c r="S667" i="7"/>
  <c r="AA590" i="7"/>
  <c r="Q590" i="7"/>
  <c r="BO33" i="6" s="1"/>
  <c r="I590" i="7"/>
  <c r="I612" i="7" s="1"/>
  <c r="U519" i="7"/>
  <c r="U1081" i="7" s="1"/>
  <c r="M519" i="7"/>
  <c r="AQ32" i="6" s="1"/>
  <c r="O310" i="7"/>
  <c r="BC30" i="6" s="1"/>
  <c r="W591" i="7"/>
  <c r="W1080" i="7" s="1"/>
  <c r="L591" i="7"/>
  <c r="AK28" i="6" s="1"/>
  <c r="H591" i="7"/>
  <c r="M28" i="6" s="1"/>
  <c r="T475" i="7"/>
  <c r="T1079" i="7" s="1"/>
  <c r="J475" i="7"/>
  <c r="Y24" i="6" s="1"/>
  <c r="Z134" i="7"/>
  <c r="Z70" i="25" s="1"/>
  <c r="L134" i="7"/>
  <c r="W24" i="7"/>
  <c r="CY9" i="6" s="1"/>
  <c r="J24" i="7"/>
  <c r="Y9" i="6" s="1"/>
  <c r="Y169" i="7"/>
  <c r="DK8" i="6" s="1"/>
  <c r="P169" i="7"/>
  <c r="H169" i="7"/>
  <c r="H518" i="7"/>
  <c r="L32" i="6" s="1"/>
  <c r="X828" i="7"/>
  <c r="O850" i="7"/>
  <c r="O863" i="7" s="1"/>
  <c r="M795" i="7"/>
  <c r="M1074" i="7" s="1"/>
  <c r="P666" i="7"/>
  <c r="BH35" i="6" s="1"/>
  <c r="AA588" i="7"/>
  <c r="Q588" i="7"/>
  <c r="BN33" i="6" s="1"/>
  <c r="W518" i="7"/>
  <c r="W1064" i="7" s="1"/>
  <c r="M518" i="7"/>
  <c r="M533" i="7" s="1"/>
  <c r="R477" i="7"/>
  <c r="R1063" i="7" s="1"/>
  <c r="AA296" i="7"/>
  <c r="I296" i="7"/>
  <c r="I453" i="7" s="1"/>
  <c r="N589" i="7"/>
  <c r="N1059" i="7" s="1"/>
  <c r="W522" i="7"/>
  <c r="W537" i="7" s="1"/>
  <c r="N522" i="7"/>
  <c r="N537" i="7" s="1"/>
  <c r="X474" i="7"/>
  <c r="DD24" i="6" s="1"/>
  <c r="N474" i="7"/>
  <c r="N1057" i="7" s="1"/>
  <c r="AA133" i="7"/>
  <c r="X18" i="7"/>
  <c r="I18" i="7"/>
  <c r="T164" i="7"/>
  <c r="T167" i="7" s="1"/>
  <c r="AA8" i="7"/>
  <c r="DF116" i="11" s="1"/>
  <c r="AA1134" i="7"/>
  <c r="R205" i="7"/>
  <c r="X132" i="7"/>
  <c r="CQ117" i="11" s="1"/>
  <c r="I132" i="7"/>
  <c r="Q7" i="6" s="1"/>
  <c r="R8" i="7"/>
  <c r="R45" i="7" s="1"/>
  <c r="X179" i="7"/>
  <c r="N179" i="7"/>
  <c r="L1141" i="7"/>
  <c r="U1134" i="7"/>
  <c r="Q1134" i="7"/>
  <c r="I1134" i="7"/>
  <c r="K1124" i="7"/>
  <c r="Y101" i="11"/>
  <c r="W875" i="7"/>
  <c r="W890" i="7" s="1"/>
  <c r="J875" i="7"/>
  <c r="J890" i="7" s="1"/>
  <c r="X853" i="7"/>
  <c r="X866" i="7" s="1"/>
  <c r="X261" i="23"/>
  <c r="X698" i="7"/>
  <c r="T8" i="11"/>
  <c r="AB875" i="7"/>
  <c r="C220" i="2"/>
  <c r="AT220" i="2" s="1"/>
  <c r="BR72" i="11"/>
  <c r="K249" i="23"/>
  <c r="S72" i="25"/>
  <c r="DA86" i="11"/>
  <c r="P16" i="23"/>
  <c r="AZ8" i="11" s="1"/>
  <c r="M755" i="7"/>
  <c r="AS58" i="11"/>
  <c r="N402" i="23"/>
  <c r="DK102" i="11"/>
  <c r="DL102" i="11" s="1"/>
  <c r="C218" i="2"/>
  <c r="AT218" i="2" s="1"/>
  <c r="T829" i="7"/>
  <c r="CG45" i="6" s="1"/>
  <c r="Q830" i="7"/>
  <c r="BP45" i="6" s="1"/>
  <c r="V228" i="7"/>
  <c r="V248" i="7" s="1"/>
  <c r="S30" i="7"/>
  <c r="S694" i="7" s="1"/>
  <c r="S722" i="7" s="1"/>
  <c r="AB206" i="23"/>
  <c r="N829" i="7"/>
  <c r="N842" i="7" s="1"/>
  <c r="S215" i="8"/>
  <c r="AC174" i="7"/>
  <c r="AC177" i="7" s="1"/>
  <c r="G1134" i="7"/>
  <c r="H205" i="23"/>
  <c r="G174" i="7"/>
  <c r="H8" i="6" s="1"/>
  <c r="AA593" i="7"/>
  <c r="AA1098" i="7" s="1"/>
  <c r="AA788" i="7"/>
  <c r="AA1046" i="7" s="1"/>
  <c r="AC115" i="7"/>
  <c r="AB78" i="7"/>
  <c r="AB1134" i="7"/>
  <c r="AC132" i="7"/>
  <c r="AC40" i="25" s="1"/>
  <c r="T48" i="11"/>
  <c r="CG49" i="11"/>
  <c r="S62" i="7"/>
  <c r="X66" i="25"/>
  <c r="L875" i="7"/>
  <c r="S875" i="7"/>
  <c r="H1134" i="7"/>
  <c r="P1141" i="7"/>
  <c r="Y1141" i="7"/>
  <c r="V578" i="7"/>
  <c r="I179" i="7"/>
  <c r="I366" i="23" s="1"/>
  <c r="R179" i="7"/>
  <c r="BM118" i="11" s="1"/>
  <c r="U8" i="7"/>
  <c r="O132" i="7"/>
  <c r="W132" i="7"/>
  <c r="CW7" i="6" s="1"/>
  <c r="P205" i="7"/>
  <c r="P172" i="25" s="1"/>
  <c r="K164" i="7"/>
  <c r="P164" i="7"/>
  <c r="J18" i="7"/>
  <c r="X9" i="6" s="1"/>
  <c r="S18" i="7"/>
  <c r="BZ9" i="6" s="1"/>
  <c r="I133" i="7"/>
  <c r="M133" i="7"/>
  <c r="S133" i="7"/>
  <c r="S154" i="7" s="1"/>
  <c r="I589" i="7"/>
  <c r="I1059" i="7" s="1"/>
  <c r="S589" i="7"/>
  <c r="S1059" i="7" s="1"/>
  <c r="L296" i="7"/>
  <c r="L346" i="7" s="1"/>
  <c r="P296" i="7"/>
  <c r="BH30" i="6" s="1"/>
  <c r="V296" i="7"/>
  <c r="V335" i="7" s="1"/>
  <c r="M477" i="7"/>
  <c r="M505" i="7" s="1"/>
  <c r="Z477" i="7"/>
  <c r="DP31" i="6" s="1"/>
  <c r="DO31" i="6" s="1"/>
  <c r="T518" i="7"/>
  <c r="T533" i="7" s="1"/>
  <c r="M588" i="7"/>
  <c r="M1065" i="7" s="1"/>
  <c r="R63" i="7"/>
  <c r="K828" i="7"/>
  <c r="K1075" i="7" s="1"/>
  <c r="R828" i="7"/>
  <c r="BT45" i="6" s="1"/>
  <c r="Q169" i="7"/>
  <c r="Q135" i="7" s="1"/>
  <c r="I24" i="7"/>
  <c r="I47" i="7" s="1"/>
  <c r="R134" i="7"/>
  <c r="J310" i="7"/>
  <c r="K324" i="7" s="1"/>
  <c r="S310" i="7"/>
  <c r="S336" i="7" s="1"/>
  <c r="Y310" i="7"/>
  <c r="L519" i="7"/>
  <c r="L1081" i="7" s="1"/>
  <c r="K667" i="7"/>
  <c r="K829" i="7"/>
  <c r="U829" i="7"/>
  <c r="U842" i="7" s="1"/>
  <c r="AA829" i="7"/>
  <c r="AA1092" i="7" s="1"/>
  <c r="I174" i="7"/>
  <c r="V692" i="7"/>
  <c r="BV37" i="6"/>
  <c r="K791" i="7"/>
  <c r="K969" i="7" s="1"/>
  <c r="R791" i="7"/>
  <c r="Q852" i="7"/>
  <c r="BP47" i="6" s="1"/>
  <c r="M970" i="7"/>
  <c r="M981" i="7" s="1"/>
  <c r="Z796" i="7"/>
  <c r="AM796" i="7" s="1"/>
  <c r="AA28" i="8"/>
  <c r="AA188" i="8" s="1"/>
  <c r="AB667" i="7"/>
  <c r="AC667" i="7" s="1"/>
  <c r="AB475" i="7"/>
  <c r="AC475" i="7" s="1"/>
  <c r="EI24" i="6" s="1"/>
  <c r="AB169" i="7"/>
  <c r="EC8" i="6" s="1"/>
  <c r="R829" i="7"/>
  <c r="L829" i="7"/>
  <c r="L842" i="7" s="1"/>
  <c r="DF72" i="11"/>
  <c r="AN72" i="11"/>
  <c r="Z667" i="7"/>
  <c r="Z679" i="7" s="1"/>
  <c r="AM679" i="7" s="1"/>
  <c r="V667" i="7"/>
  <c r="CS35" i="6" s="1"/>
  <c r="R667" i="7"/>
  <c r="L667" i="7"/>
  <c r="Z590" i="7"/>
  <c r="T590" i="7"/>
  <c r="T1082" i="7" s="1"/>
  <c r="P590" i="7"/>
  <c r="P1082" i="7" s="1"/>
  <c r="L590" i="7"/>
  <c r="AK33" i="6" s="1"/>
  <c r="H590" i="7"/>
  <c r="H612" i="7" s="1"/>
  <c r="X519" i="7"/>
  <c r="DE32" i="6" s="1"/>
  <c r="T519" i="7"/>
  <c r="P519" i="7"/>
  <c r="P1081" i="7" s="1"/>
  <c r="J519" i="7"/>
  <c r="T310" i="7"/>
  <c r="T311" i="7" s="1"/>
  <c r="M310" i="7"/>
  <c r="Z591" i="7"/>
  <c r="AM591" i="7" s="1"/>
  <c r="V591" i="7"/>
  <c r="V1080" i="7" s="1"/>
  <c r="O591" i="7"/>
  <c r="O1080" i="7" s="1"/>
  <c r="K591" i="7"/>
  <c r="K1080" i="7" s="1"/>
  <c r="AA475" i="7"/>
  <c r="DW24" i="6" s="1"/>
  <c r="W475" i="7"/>
  <c r="W1079" i="7" s="1"/>
  <c r="S475" i="7"/>
  <c r="S503" i="7" s="1"/>
  <c r="M475" i="7"/>
  <c r="I475" i="7"/>
  <c r="X134" i="7"/>
  <c r="T134" i="7"/>
  <c r="T155" i="7" s="1"/>
  <c r="O134" i="7"/>
  <c r="K134" i="7"/>
  <c r="AE10" i="6" s="1"/>
  <c r="V24" i="7"/>
  <c r="V47" i="7" s="1"/>
  <c r="R24" i="7"/>
  <c r="R71" i="25" s="1"/>
  <c r="N24" i="7"/>
  <c r="N71" i="25" s="1"/>
  <c r="H24" i="7"/>
  <c r="W72" i="25"/>
  <c r="Q72" i="25"/>
  <c r="X169" i="7"/>
  <c r="T169" i="7"/>
  <c r="CG8" i="6" s="1"/>
  <c r="O169" i="7"/>
  <c r="O69" i="25" s="1"/>
  <c r="H164" i="7"/>
  <c r="H522" i="7"/>
  <c r="H588" i="7"/>
  <c r="H1065" i="7" s="1"/>
  <c r="P828" i="7"/>
  <c r="P841" i="7" s="1"/>
  <c r="K666" i="7"/>
  <c r="U588" i="7"/>
  <c r="U1065" i="7" s="1"/>
  <c r="O588" i="7"/>
  <c r="AA518" i="7"/>
  <c r="AA1064" i="7" s="1"/>
  <c r="V518" i="7"/>
  <c r="V533" i="7" s="1"/>
  <c r="L518" i="7"/>
  <c r="L533" i="7" s="1"/>
  <c r="X477" i="7"/>
  <c r="Q477" i="7"/>
  <c r="L477" i="7"/>
  <c r="L505" i="7" s="1"/>
  <c r="O296" i="7"/>
  <c r="AA589" i="7"/>
  <c r="AA1059" i="7" s="1"/>
  <c r="T589" i="7"/>
  <c r="Z522" i="7"/>
  <c r="Z1058" i="7" s="1"/>
  <c r="V522" i="7"/>
  <c r="V1058" i="7" s="1"/>
  <c r="R522" i="7"/>
  <c r="R537" i="7" s="1"/>
  <c r="M522" i="7"/>
  <c r="I522" i="7"/>
  <c r="I537" i="7" s="1"/>
  <c r="W474" i="7"/>
  <c r="Q474" i="7"/>
  <c r="M474" i="7"/>
  <c r="X133" i="7"/>
  <c r="DD10" i="6" s="1"/>
  <c r="N133" i="7"/>
  <c r="W18" i="7"/>
  <c r="W46" i="7" s="1"/>
  <c r="O18" i="7"/>
  <c r="W164" i="7"/>
  <c r="W167" i="7" s="1"/>
  <c r="S164" i="7"/>
  <c r="BZ8" i="6" s="1"/>
  <c r="Z8" i="7"/>
  <c r="Z45" i="7" s="1"/>
  <c r="AM45" i="7" s="1"/>
  <c r="Z179" i="7"/>
  <c r="Z43" i="25" s="1"/>
  <c r="AA274" i="23"/>
  <c r="W205" i="7"/>
  <c r="W221" i="7" s="1"/>
  <c r="Q205" i="7"/>
  <c r="Q172" i="25" s="1"/>
  <c r="V132" i="7"/>
  <c r="H132" i="7"/>
  <c r="H153" i="7" s="1"/>
  <c r="V8" i="7"/>
  <c r="CG116" i="11" s="1"/>
  <c r="P8" i="7"/>
  <c r="V179" i="7"/>
  <c r="CG118" i="11" s="1"/>
  <c r="Q179" i="7"/>
  <c r="Q43" i="25" s="1"/>
  <c r="S1141" i="7"/>
  <c r="K1141" i="7"/>
  <c r="Y1134" i="7"/>
  <c r="P1134" i="7"/>
  <c r="L1134" i="7"/>
  <c r="Y1124" i="7"/>
  <c r="T1124" i="7"/>
  <c r="J1124" i="7"/>
  <c r="V875" i="7"/>
  <c r="Q875" i="7"/>
  <c r="W853" i="7"/>
  <c r="W866" i="7" s="1"/>
  <c r="S274" i="23"/>
  <c r="S444" i="23" s="1"/>
  <c r="N274" i="23"/>
  <c r="I853" i="7"/>
  <c r="AB132" i="7"/>
  <c r="AB40" i="25" s="1"/>
  <c r="AB588" i="7"/>
  <c r="AB610" i="7" s="1"/>
  <c r="AB589" i="7"/>
  <c r="EB28" i="6" s="1"/>
  <c r="AB18" i="7"/>
  <c r="AC18" i="7" s="1"/>
  <c r="EH9" i="6" s="1"/>
  <c r="M851" i="7"/>
  <c r="G1124" i="7"/>
  <c r="AC205" i="7"/>
  <c r="AC221" i="7" s="1"/>
  <c r="AD49" i="11"/>
  <c r="J195" i="23"/>
  <c r="O8" i="7"/>
  <c r="AX116" i="11" s="1"/>
  <c r="Q132" i="7"/>
  <c r="BM7" i="6" s="1"/>
  <c r="I205" i="7"/>
  <c r="I221" i="7" s="1"/>
  <c r="DA8" i="11"/>
  <c r="AA1124" i="7"/>
  <c r="AA205" i="7"/>
  <c r="AA172" i="25" s="1"/>
  <c r="U18" i="7"/>
  <c r="R235" i="7"/>
  <c r="S474" i="7"/>
  <c r="BZ24" i="6" s="1"/>
  <c r="O589" i="7"/>
  <c r="O1059" i="7" s="1"/>
  <c r="Z296" i="7"/>
  <c r="Z335" i="7" s="1"/>
  <c r="AM335" i="7" s="1"/>
  <c r="J518" i="7"/>
  <c r="J533" i="7" s="1"/>
  <c r="P1069" i="7"/>
  <c r="O828" i="7"/>
  <c r="Y828" i="7"/>
  <c r="H133" i="7"/>
  <c r="I134" i="7"/>
  <c r="I155" i="7" s="1"/>
  <c r="N475" i="7"/>
  <c r="T591" i="7"/>
  <c r="W310" i="7"/>
  <c r="W354" i="7" s="1"/>
  <c r="X829" i="7"/>
  <c r="CQ46" i="11"/>
  <c r="BJ37" i="6"/>
  <c r="AB134" i="7"/>
  <c r="AB155" i="7" s="1"/>
  <c r="P829" i="7"/>
  <c r="P842" i="7" s="1"/>
  <c r="Y1086" i="7"/>
  <c r="BC46" i="6"/>
  <c r="Y796" i="7"/>
  <c r="DK40" i="6" s="1"/>
  <c r="X667" i="7"/>
  <c r="DE35" i="6" s="1"/>
  <c r="P667" i="7"/>
  <c r="P77" i="25" s="1"/>
  <c r="V590" i="7"/>
  <c r="V1082" i="7" s="1"/>
  <c r="N590" i="7"/>
  <c r="N1082" i="7" s="1"/>
  <c r="Z519" i="7"/>
  <c r="Z1081" i="7" s="1"/>
  <c r="R519" i="7"/>
  <c r="BU32" i="6" s="1"/>
  <c r="Z310" i="7"/>
  <c r="Z336" i="7" s="1"/>
  <c r="AM336" i="7" s="1"/>
  <c r="I310" i="7"/>
  <c r="M591" i="7"/>
  <c r="Y475" i="7"/>
  <c r="Y503" i="7" s="1"/>
  <c r="Q475" i="7"/>
  <c r="Q503" i="7" s="1"/>
  <c r="V134" i="7"/>
  <c r="V155" i="7" s="1"/>
  <c r="M134" i="7"/>
  <c r="AQ10" i="6" s="1"/>
  <c r="T24" i="7"/>
  <c r="CG9" i="6" s="1"/>
  <c r="L24" i="7"/>
  <c r="L47" i="7" s="1"/>
  <c r="U72" i="25"/>
  <c r="O222" i="8"/>
  <c r="R169" i="7"/>
  <c r="H477" i="7"/>
  <c r="H1063" i="7" s="1"/>
  <c r="AA828" i="7"/>
  <c r="W1069" i="7"/>
  <c r="M666" i="7"/>
  <c r="W588" i="7"/>
  <c r="CX33" i="6" s="1"/>
  <c r="L588" i="7"/>
  <c r="L1065" i="7" s="1"/>
  <c r="S518" i="7"/>
  <c r="S1064" i="7" s="1"/>
  <c r="I518" i="7"/>
  <c r="O477" i="7"/>
  <c r="BB31" i="6" s="1"/>
  <c r="BA31" i="6" s="1"/>
  <c r="U296" i="7"/>
  <c r="W589" i="7"/>
  <c r="J589" i="7"/>
  <c r="X28" i="6" s="1"/>
  <c r="X522" i="7"/>
  <c r="DD27" i="6" s="1"/>
  <c r="DC27" i="6" s="1"/>
  <c r="O522" i="7"/>
  <c r="BB27" i="6" s="1"/>
  <c r="BA27" i="6" s="1"/>
  <c r="Z474" i="7"/>
  <c r="Z1057" i="7" s="1"/>
  <c r="O474" i="7"/>
  <c r="T133" i="7"/>
  <c r="R18" i="7"/>
  <c r="K18" i="7"/>
  <c r="K46" i="7" s="1"/>
  <c r="Y164" i="7"/>
  <c r="Q164" i="7"/>
  <c r="Q167" i="7" s="1"/>
  <c r="AA132" i="7"/>
  <c r="DF117" i="11" s="1"/>
  <c r="AA698" i="7"/>
  <c r="Y205" i="7"/>
  <c r="Y221" i="7" s="1"/>
  <c r="S205" i="7"/>
  <c r="M205" i="7"/>
  <c r="M221" i="7" s="1"/>
  <c r="H205" i="7"/>
  <c r="H172" i="25" s="1"/>
  <c r="T132" i="7"/>
  <c r="CE7" i="6" s="1"/>
  <c r="L132" i="7"/>
  <c r="L153" i="7" s="1"/>
  <c r="X8" i="7"/>
  <c r="CQ116" i="11" s="1"/>
  <c r="H8" i="7"/>
  <c r="T179" i="7"/>
  <c r="T192" i="7" s="1"/>
  <c r="W754" i="7"/>
  <c r="V1141" i="7"/>
  <c r="I1141" i="7"/>
  <c r="R1134" i="7"/>
  <c r="J1134" i="7"/>
  <c r="Q1124" i="7"/>
  <c r="H1124" i="7"/>
  <c r="K36" i="25"/>
  <c r="T875" i="7"/>
  <c r="T890" i="7" s="1"/>
  <c r="ED37" i="6"/>
  <c r="DL37" i="6"/>
  <c r="Z87" i="25"/>
  <c r="CA11" i="6"/>
  <c r="DF101" i="11"/>
  <c r="AT188" i="17"/>
  <c r="AD48" i="11"/>
  <c r="L30" i="7"/>
  <c r="L48" i="7" s="1"/>
  <c r="M229" i="8"/>
  <c r="Y317" i="7"/>
  <c r="H408" i="23"/>
  <c r="U207" i="23"/>
  <c r="L195" i="23"/>
  <c r="AX7" i="11"/>
  <c r="N327" i="23"/>
  <c r="R327" i="23"/>
  <c r="O1141" i="7"/>
  <c r="H179" i="7"/>
  <c r="H366" i="23" s="1"/>
  <c r="K8" i="7"/>
  <c r="K39" i="25" s="1"/>
  <c r="K132" i="7"/>
  <c r="AD117" i="11" s="1"/>
  <c r="R132" i="7"/>
  <c r="DA34" i="11"/>
  <c r="Z226" i="23"/>
  <c r="Z1134" i="7"/>
  <c r="I164" i="7"/>
  <c r="Y133" i="7"/>
  <c r="DJ10" i="6" s="1"/>
  <c r="T474" i="7"/>
  <c r="T1057" i="7" s="1"/>
  <c r="Q589" i="7"/>
  <c r="Q1059" i="7" s="1"/>
  <c r="T296" i="7"/>
  <c r="T464" i="7" s="1"/>
  <c r="W477" i="7"/>
  <c r="K588" i="7"/>
  <c r="K610" i="7" s="1"/>
  <c r="X588" i="7"/>
  <c r="X1065" i="7" s="1"/>
  <c r="Q828" i="7"/>
  <c r="Z828" i="7"/>
  <c r="J134" i="7"/>
  <c r="J70" i="25" s="1"/>
  <c r="O475" i="7"/>
  <c r="O1079" i="7" s="1"/>
  <c r="H310" i="7"/>
  <c r="X310" i="7"/>
  <c r="I667" i="7"/>
  <c r="I829" i="7"/>
  <c r="I1092" i="7" s="1"/>
  <c r="J791" i="7"/>
  <c r="J969" i="7" s="1"/>
  <c r="J980" i="7" s="1"/>
  <c r="V791" i="7"/>
  <c r="W852" i="7"/>
  <c r="W1111" i="7" s="1"/>
  <c r="S830" i="7"/>
  <c r="S843" i="7" s="1"/>
  <c r="Z792" i="7"/>
  <c r="Z137" i="25" s="1"/>
  <c r="AB591" i="7"/>
  <c r="AB613" i="7" s="1"/>
  <c r="S829" i="7"/>
  <c r="S842" i="7" s="1"/>
  <c r="W667" i="7"/>
  <c r="W77" i="25" s="1"/>
  <c r="O667" i="7"/>
  <c r="BC35" i="6" s="1"/>
  <c r="U590" i="7"/>
  <c r="U612" i="7" s="1"/>
  <c r="M590" i="7"/>
  <c r="AQ33" i="6" s="1"/>
  <c r="Y519" i="7"/>
  <c r="Y534" i="7" s="1"/>
  <c r="Q519" i="7"/>
  <c r="Q534" i="7" s="1"/>
  <c r="V310" i="7"/>
  <c r="AA591" i="7"/>
  <c r="DW28" i="6" s="1"/>
  <c r="P591" i="7"/>
  <c r="X475" i="7"/>
  <c r="X503" i="7" s="1"/>
  <c r="P475" i="7"/>
  <c r="BI24" i="6" s="1"/>
  <c r="U134" i="7"/>
  <c r="U155" i="7" s="1"/>
  <c r="P134" i="7"/>
  <c r="S24" i="7"/>
  <c r="O24" i="7"/>
  <c r="U169" i="7"/>
  <c r="L169" i="7"/>
  <c r="L25" i="7" s="1"/>
  <c r="H63" i="7"/>
  <c r="L666" i="7"/>
  <c r="V588" i="7"/>
  <c r="J588" i="7"/>
  <c r="X33" i="6" s="1"/>
  <c r="R518" i="7"/>
  <c r="R533" i="7" s="1"/>
  <c r="Y477" i="7"/>
  <c r="DJ31" i="6" s="1"/>
  <c r="DI31" i="6" s="1"/>
  <c r="N477" i="7"/>
  <c r="N505" i="7" s="1"/>
  <c r="S296" i="7"/>
  <c r="BZ30" i="6" s="1"/>
  <c r="V589" i="7"/>
  <c r="AA522" i="7"/>
  <c r="S522" i="7"/>
  <c r="BZ27" i="6" s="1"/>
  <c r="BY27" i="6" s="1"/>
  <c r="J522" i="7"/>
  <c r="X27" i="6" s="1"/>
  <c r="W27" i="6" s="1"/>
  <c r="R474" i="7"/>
  <c r="J474" i="7"/>
  <c r="P133" i="7"/>
  <c r="Q18" i="7"/>
  <c r="Q37" i="7" s="1"/>
  <c r="X164" i="7"/>
  <c r="N164" i="7"/>
  <c r="N167" i="7" s="1"/>
  <c r="AA179" i="7"/>
  <c r="AA366" i="23" s="1"/>
  <c r="X205" i="7"/>
  <c r="X172" i="25" s="1"/>
  <c r="L205" i="7"/>
  <c r="S132" i="7"/>
  <c r="BY7" i="6" s="1"/>
  <c r="W8" i="7"/>
  <c r="CL116" i="11" s="1"/>
  <c r="S179" i="7"/>
  <c r="BR118" i="11" s="1"/>
  <c r="T1141" i="7"/>
  <c r="H1141" i="7"/>
  <c r="M1134" i="7"/>
  <c r="U1124" i="7"/>
  <c r="P1124" i="7"/>
  <c r="R875" i="7"/>
  <c r="T274" i="23"/>
  <c r="Q90" i="7"/>
  <c r="Q91" i="7" s="1"/>
  <c r="AB296" i="7"/>
  <c r="AB335" i="7" s="1"/>
  <c r="AB133" i="7"/>
  <c r="AC133" i="7" s="1"/>
  <c r="EH10" i="6" s="1"/>
  <c r="DR11" i="6"/>
  <c r="AK46" i="6"/>
  <c r="T222" i="8"/>
  <c r="T63" i="7"/>
  <c r="C145" i="2"/>
  <c r="AT145" i="2" s="1"/>
  <c r="P129" i="23"/>
  <c r="P135" i="23" s="1"/>
  <c r="CD127" i="17"/>
  <c r="L74" i="23"/>
  <c r="X578" i="7"/>
  <c r="T952" i="7"/>
  <c r="T959" i="7" s="1"/>
  <c r="M751" i="7"/>
  <c r="W36" i="25"/>
  <c r="P331" i="23"/>
  <c r="O57" i="11"/>
  <c r="U57" i="11" s="1"/>
  <c r="BW62" i="11"/>
  <c r="BM34" i="11"/>
  <c r="R261" i="23"/>
  <c r="R90" i="7"/>
  <c r="R91" i="7" s="1"/>
  <c r="T698" i="7"/>
  <c r="T736" i="7" s="1"/>
  <c r="T758" i="7" s="1"/>
  <c r="AI8" i="11"/>
  <c r="J32" i="7"/>
  <c r="J50" i="7" s="1"/>
  <c r="Q518" i="7"/>
  <c r="N472" i="7"/>
  <c r="S588" i="7"/>
  <c r="S1065" i="7" s="1"/>
  <c r="I875" i="7"/>
  <c r="AB319" i="7"/>
  <c r="AB360" i="7" s="1"/>
  <c r="S580" i="7"/>
  <c r="X6" i="8"/>
  <c r="T37" i="6"/>
  <c r="CA46" i="6"/>
  <c r="AI72" i="11"/>
  <c r="AE46" i="6"/>
  <c r="Q1069" i="7"/>
  <c r="M59" i="25"/>
  <c r="Z224" i="8"/>
  <c r="AA35" i="25"/>
  <c r="Z90" i="7"/>
  <c r="Z169" i="23"/>
  <c r="CX118" i="11" s="1"/>
  <c r="Z74" i="23"/>
  <c r="K122" i="23"/>
  <c r="V129" i="23"/>
  <c r="X85" i="23"/>
  <c r="P59" i="23"/>
  <c r="T582" i="7"/>
  <c r="M927" i="7"/>
  <c r="M926" i="7"/>
  <c r="J756" i="7"/>
  <c r="R330" i="23"/>
  <c r="I422" i="23"/>
  <c r="O421" i="23"/>
  <c r="R115" i="7"/>
  <c r="R9" i="7"/>
  <c r="R66" i="25"/>
  <c r="N115" i="7"/>
  <c r="K90" i="7"/>
  <c r="K91" i="7" s="1"/>
  <c r="BW8" i="11"/>
  <c r="R207" i="23"/>
  <c r="L28" i="25"/>
  <c r="H262" i="23"/>
  <c r="DK15" i="11"/>
  <c r="AC27" i="25"/>
  <c r="DF47" i="11"/>
  <c r="N139" i="7"/>
  <c r="N296" i="7"/>
  <c r="N346" i="7" s="1"/>
  <c r="I852" i="7"/>
  <c r="I1111" i="7" s="1"/>
  <c r="M228" i="7"/>
  <c r="L133" i="7"/>
  <c r="R35" i="8"/>
  <c r="AB519" i="7"/>
  <c r="AB1081" i="7" s="1"/>
  <c r="G852" i="7"/>
  <c r="G1111" i="7" s="1"/>
  <c r="U852" i="7"/>
  <c r="U1111" i="7" s="1"/>
  <c r="S317" i="7"/>
  <c r="CB30" i="6" s="1"/>
  <c r="H829" i="7"/>
  <c r="L215" i="8"/>
  <c r="S227" i="7"/>
  <c r="CA18" i="6" s="1"/>
  <c r="G319" i="7"/>
  <c r="AB30" i="7"/>
  <c r="AB48" i="7" s="1"/>
  <c r="AA317" i="7"/>
  <c r="DX37" i="6"/>
  <c r="AA970" i="7"/>
  <c r="AA981" i="7" s="1"/>
  <c r="DP8" i="11"/>
  <c r="DS8" i="11" s="1"/>
  <c r="DU8" i="11" s="1"/>
  <c r="DX8" i="11" s="1"/>
  <c r="AB29" i="25"/>
  <c r="AC756" i="7"/>
  <c r="AC8" i="7"/>
  <c r="Q408" i="23"/>
  <c r="Q402" i="23"/>
  <c r="R232" i="23"/>
  <c r="H274" i="23"/>
  <c r="M274" i="23"/>
  <c r="M33" i="25" s="1"/>
  <c r="H875" i="7"/>
  <c r="N1124" i="7"/>
  <c r="R1141" i="7"/>
  <c r="R927" i="7"/>
  <c r="W179" i="7"/>
  <c r="W366" i="23" s="1"/>
  <c r="P132" i="7"/>
  <c r="BG7" i="6" s="1"/>
  <c r="Y132" i="7"/>
  <c r="U205" i="7"/>
  <c r="T37" i="23"/>
  <c r="AA924" i="7"/>
  <c r="L164" i="7"/>
  <c r="AJ8" i="6" s="1"/>
  <c r="Z164" i="7"/>
  <c r="BB11" i="6"/>
  <c r="L18" i="7"/>
  <c r="L46" i="7" s="1"/>
  <c r="T18" i="7"/>
  <c r="J133" i="7"/>
  <c r="O133" i="7"/>
  <c r="BB10" i="6" s="1"/>
  <c r="U133" i="7"/>
  <c r="U154" i="7" s="1"/>
  <c r="Y474" i="7"/>
  <c r="Y502" i="7" s="1"/>
  <c r="K589" i="7"/>
  <c r="K1059" i="7" s="1"/>
  <c r="U589" i="7"/>
  <c r="U1059" i="7" s="1"/>
  <c r="M296" i="7"/>
  <c r="M346" i="7" s="1"/>
  <c r="Q296" i="7"/>
  <c r="Q63" i="25" s="1"/>
  <c r="X296" i="7"/>
  <c r="X346" i="7" s="1"/>
  <c r="U477" i="7"/>
  <c r="CL31" i="6" s="1"/>
  <c r="CK31" i="6" s="1"/>
  <c r="Y518" i="7"/>
  <c r="M828" i="7"/>
  <c r="S828" i="7"/>
  <c r="W828" i="7"/>
  <c r="H666" i="7"/>
  <c r="Z169" i="7"/>
  <c r="Z135" i="7" s="1"/>
  <c r="BU11" i="6"/>
  <c r="K24" i="7"/>
  <c r="K71" i="25" s="1"/>
  <c r="H134" i="7"/>
  <c r="Y134" i="7"/>
  <c r="R591" i="7"/>
  <c r="R1080" i="7" s="1"/>
  <c r="L310" i="7"/>
  <c r="L76" i="25" s="1"/>
  <c r="U310" i="7"/>
  <c r="AA310" i="7"/>
  <c r="W590" i="7"/>
  <c r="W1082" i="7" s="1"/>
  <c r="M667" i="7"/>
  <c r="M679" i="7" s="1"/>
  <c r="M829" i="7"/>
  <c r="V829" i="7"/>
  <c r="CS45" i="6" s="1"/>
  <c r="AB24" i="7"/>
  <c r="EC9" i="6" s="1"/>
  <c r="X692" i="7"/>
  <c r="X109" i="25" s="1"/>
  <c r="I165" i="8"/>
  <c r="V141" i="7"/>
  <c r="V998" i="7" s="1"/>
  <c r="V1012" i="7" s="1"/>
  <c r="Y471" i="7"/>
  <c r="Y499" i="7" s="1"/>
  <c r="Y472" i="7"/>
  <c r="L593" i="7"/>
  <c r="L615" i="7" s="1"/>
  <c r="V593" i="7"/>
  <c r="V1098" i="7" s="1"/>
  <c r="K317" i="7"/>
  <c r="AF30" i="6" s="1"/>
  <c r="Q317" i="7"/>
  <c r="Q337" i="7" s="1"/>
  <c r="W317" i="7"/>
  <c r="CZ30" i="6" s="1"/>
  <c r="K520" i="7"/>
  <c r="K88" i="25" s="1"/>
  <c r="P592" i="7"/>
  <c r="P614" i="7" s="1"/>
  <c r="X592" i="7"/>
  <c r="X1105" i="7" s="1"/>
  <c r="U205" i="23"/>
  <c r="L791" i="7"/>
  <c r="L969" i="7" s="1"/>
  <c r="Z791" i="7"/>
  <c r="Z816" i="7" s="1"/>
  <c r="AM816" i="7" s="1"/>
  <c r="R970" i="7"/>
  <c r="R981" i="7" s="1"/>
  <c r="W792" i="7"/>
  <c r="W817" i="7" s="1"/>
  <c r="O792" i="7"/>
  <c r="O137" i="25" s="1"/>
  <c r="Z594" i="7"/>
  <c r="Z616" i="7" s="1"/>
  <c r="R594" i="7"/>
  <c r="R136" i="25" s="1"/>
  <c r="N594" i="7"/>
  <c r="N136" i="25" s="1"/>
  <c r="J594" i="7"/>
  <c r="J616" i="7" s="1"/>
  <c r="P1003" i="7"/>
  <c r="P96" i="25" s="1"/>
  <c r="L1003" i="7"/>
  <c r="L96" i="25" s="1"/>
  <c r="H1003" i="7"/>
  <c r="H96" i="25" s="1"/>
  <c r="L830" i="7"/>
  <c r="AL45" i="6" s="1"/>
  <c r="V852" i="7"/>
  <c r="CT47" i="6" s="1"/>
  <c r="P237" i="23"/>
  <c r="S793" i="7"/>
  <c r="S1110" i="7" s="1"/>
  <c r="R788" i="7"/>
  <c r="R97" i="25" s="1"/>
  <c r="X668" i="7"/>
  <c r="P668" i="7"/>
  <c r="H668" i="7"/>
  <c r="H1106" i="7" s="1"/>
  <c r="CL47" i="11"/>
  <c r="BR47" i="11"/>
  <c r="AF38" i="6"/>
  <c r="Z86" i="25"/>
  <c r="R592" i="7"/>
  <c r="BV33" i="6" s="1"/>
  <c r="U690" i="7"/>
  <c r="U995" i="7" s="1"/>
  <c r="U1009" i="7" s="1"/>
  <c r="Q593" i="7"/>
  <c r="BP28" i="6" s="1"/>
  <c r="S472" i="7"/>
  <c r="S500" i="7" s="1"/>
  <c r="L319" i="7"/>
  <c r="H319" i="7"/>
  <c r="W231" i="7"/>
  <c r="H231" i="7"/>
  <c r="H997" i="7" s="1"/>
  <c r="H1011" i="7" s="1"/>
  <c r="M141" i="7"/>
  <c r="M158" i="7" s="1"/>
  <c r="H32" i="7"/>
  <c r="CB11" i="6"/>
  <c r="N189" i="8"/>
  <c r="N213" i="8" s="1"/>
  <c r="I688" i="7"/>
  <c r="I993" i="7" s="1"/>
  <c r="I1007" i="7" s="1"/>
  <c r="U692" i="7"/>
  <c r="I692" i="7"/>
  <c r="I203" i="7" s="1"/>
  <c r="S174" i="7"/>
  <c r="N689" i="7"/>
  <c r="N994" i="7" s="1"/>
  <c r="N1008" i="7" s="1"/>
  <c r="DK72" i="11"/>
  <c r="DA72" i="11"/>
  <c r="CS46" i="6"/>
  <c r="BC72" i="11"/>
  <c r="Y72" i="11"/>
  <c r="Y667" i="7"/>
  <c r="Y77" i="25" s="1"/>
  <c r="Q667" i="7"/>
  <c r="Q77" i="25" s="1"/>
  <c r="X590" i="7"/>
  <c r="W519" i="7"/>
  <c r="W534" i="7" s="1"/>
  <c r="R310" i="7"/>
  <c r="U591" i="7"/>
  <c r="U613" i="7" s="1"/>
  <c r="N591" i="7"/>
  <c r="L475" i="7"/>
  <c r="L503" i="7" s="1"/>
  <c r="M24" i="7"/>
  <c r="AQ9" i="6" s="1"/>
  <c r="J169" i="7"/>
  <c r="DD46" i="6"/>
  <c r="AX71" i="11"/>
  <c r="Z518" i="7"/>
  <c r="U518" i="7"/>
  <c r="U533" i="7" s="1"/>
  <c r="K518" i="7"/>
  <c r="W296" i="7"/>
  <c r="W453" i="7" s="1"/>
  <c r="X453" i="7" s="1"/>
  <c r="Y453" i="7" s="1"/>
  <c r="R589" i="7"/>
  <c r="Q522" i="7"/>
  <c r="Q1058" i="7" s="1"/>
  <c r="AA474" i="7"/>
  <c r="V18" i="7"/>
  <c r="CR9" i="6" s="1"/>
  <c r="DP11" i="6"/>
  <c r="V164" i="7"/>
  <c r="V167" i="7" s="1"/>
  <c r="Z853" i="7"/>
  <c r="Z866" i="7" s="1"/>
  <c r="AM866" i="7" s="1"/>
  <c r="N138" i="23"/>
  <c r="V122" i="23"/>
  <c r="U74" i="23"/>
  <c r="M36" i="23"/>
  <c r="AK58" i="11" s="1"/>
  <c r="J10" i="23"/>
  <c r="J205" i="7"/>
  <c r="J172" i="25" s="1"/>
  <c r="U132" i="7"/>
  <c r="U153" i="7" s="1"/>
  <c r="M133" i="8"/>
  <c r="P179" i="7"/>
  <c r="P43" i="25" s="1"/>
  <c r="J1141" i="7"/>
  <c r="M1124" i="7"/>
  <c r="H78" i="7"/>
  <c r="H79" i="7" s="1"/>
  <c r="K331" i="23"/>
  <c r="S295" i="23"/>
  <c r="V274" i="23"/>
  <c r="V444" i="23" s="1"/>
  <c r="P226" i="23"/>
  <c r="X789" i="7"/>
  <c r="DF42" i="6" s="1"/>
  <c r="H789" i="7"/>
  <c r="H1047" i="7" s="1"/>
  <c r="W257" i="7"/>
  <c r="G257" i="7"/>
  <c r="AC78" i="7"/>
  <c r="AA1003" i="7"/>
  <c r="C229" i="2" s="1"/>
  <c r="AT229" i="2" s="1"/>
  <c r="ED38" i="6"/>
  <c r="AA139" i="7"/>
  <c r="AB828" i="7"/>
  <c r="AB1075" i="7" s="1"/>
  <c r="G139" i="7"/>
  <c r="G695" i="7" s="1"/>
  <c r="EJ38" i="6"/>
  <c r="AC472" i="7"/>
  <c r="EJ26" i="6" s="1"/>
  <c r="T195" i="23"/>
  <c r="N83" i="23"/>
  <c r="S136" i="23"/>
  <c r="X117" i="23"/>
  <c r="CN101" i="11" s="1"/>
  <c r="T420" i="7"/>
  <c r="T423" i="7" s="1"/>
  <c r="T426" i="7" s="1"/>
  <c r="H375" i="23"/>
  <c r="Z15" i="8"/>
  <c r="X63" i="8"/>
  <c r="AA206" i="23"/>
  <c r="M231" i="8"/>
  <c r="U169" i="23"/>
  <c r="BY118" i="11" s="1"/>
  <c r="L470" i="23"/>
  <c r="W460" i="23"/>
  <c r="T461" i="23"/>
  <c r="P462" i="23"/>
  <c r="X35" i="23"/>
  <c r="CN57" i="11" s="1"/>
  <c r="CO57" i="11" s="1"/>
  <c r="L402" i="23"/>
  <c r="T460" i="23"/>
  <c r="J297" i="23"/>
  <c r="U451" i="23"/>
  <c r="R298" i="23"/>
  <c r="N298" i="23"/>
  <c r="S416" i="23"/>
  <c r="H417" i="23"/>
  <c r="I138" i="23"/>
  <c r="M563" i="7"/>
  <c r="Q223" i="8"/>
  <c r="R136" i="8"/>
  <c r="O345" i="23"/>
  <c r="AB35" i="23"/>
  <c r="DH57" i="11" s="1"/>
  <c r="H16" i="8"/>
  <c r="I578" i="7"/>
  <c r="X577" i="7"/>
  <c r="R576" i="7"/>
  <c r="AA133" i="8"/>
  <c r="W165" i="8"/>
  <c r="Q189" i="8"/>
  <c r="Q213" i="8" s="1"/>
  <c r="U460" i="23"/>
  <c r="BA237" i="17"/>
  <c r="CS237" i="17"/>
  <c r="CS1" i="17" s="1"/>
  <c r="BM67" i="17"/>
  <c r="CS70" i="17"/>
  <c r="Q579" i="7"/>
  <c r="H578" i="7"/>
  <c r="S577" i="7"/>
  <c r="P166" i="8"/>
  <c r="AB460" i="23"/>
  <c r="Y237" i="17"/>
  <c r="M578" i="7"/>
  <c r="Z53" i="25"/>
  <c r="L9" i="8"/>
  <c r="X52" i="25"/>
  <c r="Z202" i="23"/>
  <c r="AH108" i="17"/>
  <c r="Y74" i="23"/>
  <c r="M255" i="23"/>
  <c r="M928" i="7"/>
  <c r="M756" i="7"/>
  <c r="R462" i="23"/>
  <c r="M853" i="7"/>
  <c r="I232" i="23"/>
  <c r="T31" i="25"/>
  <c r="AS34" i="11"/>
  <c r="J27" i="25"/>
  <c r="H28" i="25"/>
  <c r="E195" i="2"/>
  <c r="AV195" i="2" s="1"/>
  <c r="DP34" i="11"/>
  <c r="DS34" i="11" s="1"/>
  <c r="DU34" i="11" s="1"/>
  <c r="DF46" i="11"/>
  <c r="I222" i="8"/>
  <c r="AA165" i="8"/>
  <c r="AB86" i="25"/>
  <c r="AC130" i="23"/>
  <c r="W306" i="7"/>
  <c r="X307" i="7" s="1"/>
  <c r="Z16" i="8"/>
  <c r="T53" i="25"/>
  <c r="L53" i="25"/>
  <c r="H9" i="8"/>
  <c r="L21" i="8"/>
  <c r="AB10" i="23"/>
  <c r="CB46" i="11"/>
  <c r="R86" i="25"/>
  <c r="L13" i="6"/>
  <c r="K13" i="6" s="1"/>
  <c r="CF46" i="6"/>
  <c r="T10" i="7"/>
  <c r="P245" i="23"/>
  <c r="Z138" i="8"/>
  <c r="Q58" i="25"/>
  <c r="AA255" i="23"/>
  <c r="AA313" i="23"/>
  <c r="Z27" i="25"/>
  <c r="Z28" i="25"/>
  <c r="Q107" i="23"/>
  <c r="X99" i="23"/>
  <c r="Y16" i="23"/>
  <c r="CS49" i="11" s="1"/>
  <c r="O16" i="23"/>
  <c r="AU48" i="11" s="1"/>
  <c r="L224" i="8"/>
  <c r="V1049" i="7"/>
  <c r="R757" i="7"/>
  <c r="M757" i="7"/>
  <c r="M306" i="7"/>
  <c r="N307" i="7" s="1"/>
  <c r="M753" i="7"/>
  <c r="M470" i="23"/>
  <c r="AN16" i="11"/>
  <c r="W329" i="23"/>
  <c r="N37" i="25"/>
  <c r="I37" i="25"/>
  <c r="CL15" i="11"/>
  <c r="R353" i="23"/>
  <c r="R345" i="23"/>
  <c r="X35" i="25"/>
  <c r="R422" i="23"/>
  <c r="I32" i="25"/>
  <c r="Y31" i="25"/>
  <c r="Q421" i="23"/>
  <c r="S27" i="25"/>
  <c r="BR7" i="11"/>
  <c r="R195" i="23"/>
  <c r="O27" i="25"/>
  <c r="N9" i="7"/>
  <c r="N261" i="23"/>
  <c r="AD36" i="6"/>
  <c r="CG8" i="11"/>
  <c r="V262" i="23"/>
  <c r="K262" i="23"/>
  <c r="AD8" i="11"/>
  <c r="H698" i="7"/>
  <c r="AC1049" i="7"/>
  <c r="AC255" i="23"/>
  <c r="AC926" i="7"/>
  <c r="AB37" i="25"/>
  <c r="AC261" i="23"/>
  <c r="AC66" i="25"/>
  <c r="DP7" i="11"/>
  <c r="DS7" i="11" s="1"/>
  <c r="AD172" i="23" s="1"/>
  <c r="AD12" i="25" s="1"/>
  <c r="AA86" i="25"/>
  <c r="R40" i="23"/>
  <c r="BJ62" i="11" s="1"/>
  <c r="W207" i="23"/>
  <c r="DW32" i="6"/>
  <c r="X329" i="23"/>
  <c r="AB263" i="23"/>
  <c r="I262" i="23"/>
  <c r="Q66" i="25"/>
  <c r="T853" i="7"/>
  <c r="CB86" i="11"/>
  <c r="CH86" i="11" s="1"/>
  <c r="W94" i="23"/>
  <c r="CI85" i="11" s="1"/>
  <c r="CJ85" i="11" s="1"/>
  <c r="Z16" i="23"/>
  <c r="W10" i="7"/>
  <c r="N72" i="25"/>
  <c r="AB68" i="23"/>
  <c r="AB5" i="23" s="1"/>
  <c r="I225" i="17"/>
  <c r="CK48" i="17"/>
  <c r="CA43" i="17"/>
  <c r="AF62" i="17"/>
  <c r="AF7" i="17" s="1"/>
  <c r="CA85" i="17"/>
  <c r="CA87" i="17"/>
  <c r="K407" i="7"/>
  <c r="O951" i="7"/>
  <c r="O952" i="7" s="1"/>
  <c r="O959" i="7" s="1"/>
  <c r="T227" i="23"/>
  <c r="Q237" i="17"/>
  <c r="AG237" i="17"/>
  <c r="BI215" i="17"/>
  <c r="CS96" i="17"/>
  <c r="BQ70" i="17"/>
  <c r="V579" i="7"/>
  <c r="O582" i="7"/>
  <c r="R52" i="25"/>
  <c r="T245" i="23"/>
  <c r="AA306" i="7"/>
  <c r="AB307" i="7" s="1"/>
  <c r="R229" i="17"/>
  <c r="R234" i="17" s="1"/>
  <c r="M38" i="25"/>
  <c r="AO5" i="6"/>
  <c r="BM63" i="11"/>
  <c r="BN63" i="11" s="1"/>
  <c r="S417" i="23"/>
  <c r="AX62" i="11"/>
  <c r="S261" i="23"/>
  <c r="S115" i="7"/>
  <c r="AS7" i="11"/>
  <c r="V207" i="23"/>
  <c r="O8" i="11"/>
  <c r="AC9" i="7"/>
  <c r="O563" i="7"/>
  <c r="M579" i="7"/>
  <c r="M576" i="7"/>
  <c r="L52" i="25"/>
  <c r="CP40" i="17"/>
  <c r="CP45" i="17" s="1"/>
  <c r="T1069" i="7"/>
  <c r="Z115" i="7"/>
  <c r="K130" i="23"/>
  <c r="X78" i="23"/>
  <c r="Y84" i="23" s="1"/>
  <c r="Q423" i="23"/>
  <c r="O59" i="23"/>
  <c r="M1049" i="7"/>
  <c r="M582" i="7"/>
  <c r="M924" i="7"/>
  <c r="M925" i="7"/>
  <c r="M923" i="7"/>
  <c r="AN115" i="11"/>
  <c r="T100" i="11"/>
  <c r="T421" i="23"/>
  <c r="S9" i="7"/>
  <c r="S66" i="25"/>
  <c r="BR34" i="11"/>
  <c r="N90" i="7"/>
  <c r="N91" i="7" s="1"/>
  <c r="AV36" i="6"/>
  <c r="V28" i="25"/>
  <c r="K698" i="7"/>
  <c r="AC752" i="7"/>
  <c r="AC987" i="7"/>
  <c r="AB294" i="23"/>
  <c r="EH36" i="6"/>
  <c r="Y15" i="8"/>
  <c r="G138" i="1"/>
  <c r="AN49" i="11"/>
  <c r="R233" i="23"/>
  <c r="O58" i="11"/>
  <c r="Q226" i="23"/>
  <c r="L32" i="25"/>
  <c r="U274" i="23"/>
  <c r="U444" i="23" s="1"/>
  <c r="DF63" i="11"/>
  <c r="AA230" i="8"/>
  <c r="J117" i="1"/>
  <c r="T9" i="8"/>
  <c r="M580" i="7"/>
  <c r="I122" i="23"/>
  <c r="P413" i="7"/>
  <c r="AC698" i="7"/>
  <c r="AC736" i="7" s="1"/>
  <c r="AC207" i="23"/>
  <c r="O226" i="23"/>
  <c r="N226" i="23"/>
  <c r="N214" i="23"/>
  <c r="K579" i="7"/>
  <c r="K306" i="7"/>
  <c r="L307" i="7" s="1"/>
  <c r="K230" i="8"/>
  <c r="K751" i="7"/>
  <c r="K578" i="7"/>
  <c r="K38" i="25"/>
  <c r="AA375" i="23"/>
  <c r="AA66" i="25"/>
  <c r="C136" i="2"/>
  <c r="AT136" i="2" s="1"/>
  <c r="AA9" i="7"/>
  <c r="AA115" i="7"/>
  <c r="AA62" i="7"/>
  <c r="AA261" i="23"/>
  <c r="M237" i="17"/>
  <c r="AC237" i="17"/>
  <c r="AK237" i="17"/>
  <c r="AS237" i="17"/>
  <c r="BY237" i="17"/>
  <c r="BY1" i="17" s="1"/>
  <c r="CG237" i="17"/>
  <c r="CG1" i="17" s="1"/>
  <c r="U48" i="17"/>
  <c r="AC102" i="17"/>
  <c r="AC48" i="17"/>
  <c r="AK48" i="17"/>
  <c r="AS43" i="17"/>
  <c r="AP12" i="26" s="1"/>
  <c r="AS102" i="17"/>
  <c r="AS48" i="17"/>
  <c r="BA48" i="17"/>
  <c r="BI48" i="17"/>
  <c r="BI102" i="17"/>
  <c r="BQ43" i="17"/>
  <c r="BQ6" i="17" s="1"/>
  <c r="BQ102" i="17"/>
  <c r="BQ48" i="17"/>
  <c r="BY102" i="17"/>
  <c r="BY48" i="17"/>
  <c r="CG48" i="17"/>
  <c r="CG102" i="17"/>
  <c r="CO102" i="17"/>
  <c r="CO43" i="17"/>
  <c r="CL12" i="26" s="1"/>
  <c r="CO48" i="17"/>
  <c r="Q103" i="17"/>
  <c r="Q67" i="17"/>
  <c r="Y67" i="17"/>
  <c r="Y103" i="17"/>
  <c r="AO67" i="17"/>
  <c r="AO103" i="17"/>
  <c r="AW103" i="17"/>
  <c r="AW67" i="17"/>
  <c r="BI67" i="17"/>
  <c r="BI62" i="17"/>
  <c r="BF13" i="26" s="1"/>
  <c r="BI103" i="17"/>
  <c r="BQ67" i="17"/>
  <c r="BQ103" i="17"/>
  <c r="BY67" i="17"/>
  <c r="BY103" i="17"/>
  <c r="CG67" i="17"/>
  <c r="CO103" i="17"/>
  <c r="CO67" i="17"/>
  <c r="I104" i="17"/>
  <c r="I105" i="17" s="1"/>
  <c r="I79" i="17"/>
  <c r="Q104" i="17"/>
  <c r="Q79" i="17"/>
  <c r="Q93" i="17"/>
  <c r="Y93" i="17"/>
  <c r="Y79" i="17"/>
  <c r="AG93" i="17"/>
  <c r="AG88" i="17"/>
  <c r="AG8" i="17" s="1"/>
  <c r="AG104" i="17"/>
  <c r="AO93" i="17"/>
  <c r="AO79" i="17"/>
  <c r="AO104" i="17"/>
  <c r="AW104" i="17"/>
  <c r="AW93" i="17"/>
  <c r="AW79" i="17"/>
  <c r="BE93" i="17"/>
  <c r="BE79" i="17"/>
  <c r="BE104" i="17"/>
  <c r="BM93" i="17"/>
  <c r="BM79" i="17"/>
  <c r="BM104" i="17"/>
  <c r="BU93" i="17"/>
  <c r="BU79" i="17"/>
  <c r="BU104" i="17"/>
  <c r="CC93" i="17"/>
  <c r="CC79" i="17"/>
  <c r="CC104" i="17"/>
  <c r="CK93" i="17"/>
  <c r="CK79" i="17"/>
  <c r="CK104" i="17"/>
  <c r="CS104" i="17"/>
  <c r="CS93" i="17"/>
  <c r="CS79" i="17"/>
  <c r="M174" i="17"/>
  <c r="M184" i="17"/>
  <c r="U184" i="17"/>
  <c r="U174" i="17"/>
  <c r="AC184" i="17"/>
  <c r="AC174" i="17"/>
  <c r="AK184" i="17"/>
  <c r="AK174" i="17"/>
  <c r="BA174" i="17"/>
  <c r="BA184" i="17"/>
  <c r="BI184" i="17"/>
  <c r="BI174" i="17"/>
  <c r="BQ174" i="17"/>
  <c r="BQ184" i="17"/>
  <c r="BY184" i="17"/>
  <c r="BY174" i="17"/>
  <c r="BY169" i="17"/>
  <c r="CG174" i="17"/>
  <c r="CG184" i="17"/>
  <c r="CO184" i="17"/>
  <c r="CO174" i="17"/>
  <c r="Q225" i="17"/>
  <c r="Q215" i="17"/>
  <c r="Y215" i="17"/>
  <c r="Y225" i="17"/>
  <c r="AG215" i="17"/>
  <c r="AG225" i="17"/>
  <c r="AO225" i="17"/>
  <c r="AO210" i="17"/>
  <c r="AO215" i="17"/>
  <c r="AW225" i="17"/>
  <c r="AW215" i="17"/>
  <c r="BQ225" i="17"/>
  <c r="BQ215" i="17"/>
  <c r="BY215" i="17"/>
  <c r="BY210" i="17"/>
  <c r="CG225" i="17"/>
  <c r="CG215" i="17"/>
  <c r="CO215" i="17"/>
  <c r="CO225" i="17"/>
  <c r="CK96" i="17"/>
  <c r="BI70" i="17"/>
  <c r="BY70" i="17"/>
  <c r="Q578" i="7"/>
  <c r="Q547" i="7"/>
  <c r="AC31" i="8"/>
  <c r="AD31" i="8" s="1"/>
  <c r="AC45" i="25"/>
  <c r="O9" i="7"/>
  <c r="O62" i="7"/>
  <c r="O90" i="7"/>
  <c r="O91" i="7" s="1"/>
  <c r="O115" i="7"/>
  <c r="O261" i="23"/>
  <c r="AI62" i="11"/>
  <c r="L421" i="23"/>
  <c r="BR87" i="11"/>
  <c r="S313" i="23"/>
  <c r="S319" i="23" s="1"/>
  <c r="S294" i="23"/>
  <c r="W408" i="23"/>
  <c r="W16" i="23"/>
  <c r="CI49" i="11" s="1"/>
  <c r="R118" i="23"/>
  <c r="Q130" i="23"/>
  <c r="R136" i="23" s="1"/>
  <c r="M86" i="25"/>
  <c r="AR37" i="6"/>
  <c r="AC107" i="23"/>
  <c r="AB107" i="23"/>
  <c r="R24" i="8"/>
  <c r="R53" i="25"/>
  <c r="Y1059" i="7"/>
  <c r="U51" i="25"/>
  <c r="U20" i="8"/>
  <c r="V14" i="8"/>
  <c r="Q52" i="25"/>
  <c r="R15" i="8"/>
  <c r="I52" i="25"/>
  <c r="I21" i="8"/>
  <c r="AA63" i="7"/>
  <c r="AB245" i="23"/>
  <c r="N1069" i="7"/>
  <c r="AS71" i="11"/>
  <c r="P59" i="25"/>
  <c r="BH14" i="6"/>
  <c r="BN63" i="6" s="1"/>
  <c r="AA58" i="25"/>
  <c r="C187" i="2"/>
  <c r="AT187" i="2" s="1"/>
  <c r="W58" i="25"/>
  <c r="W19" i="7"/>
  <c r="K221" i="8"/>
  <c r="Z461" i="23"/>
  <c r="Z344" i="23"/>
  <c r="AA214" i="23"/>
  <c r="C139" i="2" s="1"/>
  <c r="AT139" i="2" s="1"/>
  <c r="C133" i="2"/>
  <c r="AT133" i="2" s="1"/>
  <c r="AA78" i="23"/>
  <c r="AA84" i="23" s="1"/>
  <c r="AA10" i="23"/>
  <c r="Z402" i="23"/>
  <c r="CH40" i="17"/>
  <c r="CL45" i="17" s="1"/>
  <c r="U130" i="23"/>
  <c r="V136" i="23" s="1"/>
  <c r="U462" i="23"/>
  <c r="BF127" i="17"/>
  <c r="BJ132" i="17" s="1"/>
  <c r="P74" i="23"/>
  <c r="AP127" i="17"/>
  <c r="Q36" i="23"/>
  <c r="BE58" i="11" s="1"/>
  <c r="Q417" i="23"/>
  <c r="R48" i="23"/>
  <c r="R29" i="23"/>
  <c r="R60" i="23" s="1"/>
  <c r="X375" i="23"/>
  <c r="BZ40" i="17"/>
  <c r="P58" i="23"/>
  <c r="P402" i="23"/>
  <c r="L375" i="23"/>
  <c r="L58" i="23"/>
  <c r="M65" i="23" s="1"/>
  <c r="M232" i="8"/>
  <c r="M166" i="8"/>
  <c r="M145" i="8" s="1"/>
  <c r="M224" i="8"/>
  <c r="W753" i="7"/>
  <c r="W755" i="7"/>
  <c r="W756" i="7"/>
  <c r="W1030" i="7"/>
  <c r="O579" i="7"/>
  <c r="BA5" i="6"/>
  <c r="P460" i="23"/>
  <c r="P37" i="25"/>
  <c r="S462" i="23"/>
  <c r="BR15" i="11"/>
  <c r="BS15" i="11" s="1"/>
  <c r="R297" i="23"/>
  <c r="Q35" i="25"/>
  <c r="Q289" i="23"/>
  <c r="BH86" i="11"/>
  <c r="Q294" i="23"/>
  <c r="M299" i="23"/>
  <c r="AI13" i="11"/>
  <c r="Y274" i="23"/>
  <c r="Y853" i="7"/>
  <c r="K853" i="7"/>
  <c r="K274" i="23"/>
  <c r="K33" i="25" s="1"/>
  <c r="M214" i="23"/>
  <c r="M226" i="23"/>
  <c r="X214" i="23"/>
  <c r="CQ59" i="11" s="1"/>
  <c r="X26" i="25"/>
  <c r="S31" i="25"/>
  <c r="T231" i="23"/>
  <c r="M263" i="23"/>
  <c r="N270" i="23" s="1"/>
  <c r="AO46" i="6"/>
  <c r="M29" i="25"/>
  <c r="N233" i="23"/>
  <c r="U402" i="23"/>
  <c r="CL36" i="6"/>
  <c r="U62" i="7"/>
  <c r="BR49" i="11"/>
  <c r="BR8" i="11"/>
  <c r="S262" i="23"/>
  <c r="T207" i="23"/>
  <c r="AB51" i="25"/>
  <c r="AB9" i="8"/>
  <c r="AB6" i="8"/>
  <c r="DP102" i="11"/>
  <c r="AC326" i="23"/>
  <c r="D187" i="2"/>
  <c r="AU187" i="2" s="1"/>
  <c r="AB234" i="8"/>
  <c r="Y219" i="17"/>
  <c r="Q220" i="17"/>
  <c r="L118" i="17"/>
  <c r="BI225" i="17"/>
  <c r="CC174" i="17"/>
  <c r="Y104" i="17"/>
  <c r="BU48" i="17"/>
  <c r="EG46" i="6"/>
  <c r="DP9" i="11"/>
  <c r="E138" i="2"/>
  <c r="AV138" i="2" s="1"/>
  <c r="J452" i="23"/>
  <c r="J299" i="23"/>
  <c r="J345" i="23"/>
  <c r="U237" i="17"/>
  <c r="AO237" i="17"/>
  <c r="AW237" i="17"/>
  <c r="BE237" i="17"/>
  <c r="BU237" i="17"/>
  <c r="BU1" i="17" s="1"/>
  <c r="CC237" i="17"/>
  <c r="CC1" i="17" s="1"/>
  <c r="CO237" i="17"/>
  <c r="CO1" i="17" s="1"/>
  <c r="Y48" i="17"/>
  <c r="Y102" i="17"/>
  <c r="AG102" i="17"/>
  <c r="AG105" i="17" s="1"/>
  <c r="AG48" i="17"/>
  <c r="AO102" i="17"/>
  <c r="AO48" i="17"/>
  <c r="AW48" i="17"/>
  <c r="AW102" i="17"/>
  <c r="BE48" i="17"/>
  <c r="BE102" i="17"/>
  <c r="BM48" i="17"/>
  <c r="BM102" i="17"/>
  <c r="CC102" i="17"/>
  <c r="CC48" i="17"/>
  <c r="CS48" i="17"/>
  <c r="CS102" i="17"/>
  <c r="M62" i="17"/>
  <c r="M103" i="17"/>
  <c r="U67" i="17"/>
  <c r="U103" i="17"/>
  <c r="AC67" i="17"/>
  <c r="AC103" i="17"/>
  <c r="AK103" i="17"/>
  <c r="AK67" i="17"/>
  <c r="AS67" i="17"/>
  <c r="AS103" i="17"/>
  <c r="BA67" i="17"/>
  <c r="BA62" i="17"/>
  <c r="BE67" i="17"/>
  <c r="BE103" i="17"/>
  <c r="BE62" i="17"/>
  <c r="BM62" i="17"/>
  <c r="BM103" i="17"/>
  <c r="BU67" i="17"/>
  <c r="BU103" i="17"/>
  <c r="CC103" i="17"/>
  <c r="CC67" i="17"/>
  <c r="CK103" i="17"/>
  <c r="CK67" i="17"/>
  <c r="CS67" i="17"/>
  <c r="CS103" i="17"/>
  <c r="M93" i="17"/>
  <c r="M79" i="17"/>
  <c r="M104" i="17"/>
  <c r="U104" i="17"/>
  <c r="U93" i="17"/>
  <c r="U79" i="17"/>
  <c r="AC88" i="17"/>
  <c r="AC93" i="17"/>
  <c r="AC79" i="17"/>
  <c r="AC104" i="17"/>
  <c r="AK93" i="17"/>
  <c r="AK79" i="17"/>
  <c r="AK104" i="17"/>
  <c r="AS104" i="17"/>
  <c r="AS79" i="17"/>
  <c r="BA93" i="17"/>
  <c r="BA104" i="17"/>
  <c r="BA79" i="17"/>
  <c r="BI104" i="17"/>
  <c r="BI79" i="17"/>
  <c r="BQ79" i="17"/>
  <c r="BQ104" i="17"/>
  <c r="BQ93" i="17"/>
  <c r="BY104" i="17"/>
  <c r="BY79" i="17"/>
  <c r="CG79" i="17"/>
  <c r="CG104" i="17"/>
  <c r="CG93" i="17"/>
  <c r="CO104" i="17"/>
  <c r="CO93" i="17"/>
  <c r="Q174" i="17"/>
  <c r="Q184" i="17"/>
  <c r="Y174" i="17"/>
  <c r="Y184" i="17"/>
  <c r="Y185" i="17" s="1"/>
  <c r="AG174" i="17"/>
  <c r="AG184" i="17"/>
  <c r="AG185" i="17" s="1"/>
  <c r="AO184" i="17"/>
  <c r="AO174" i="17"/>
  <c r="AW174" i="17"/>
  <c r="AW184" i="17"/>
  <c r="BE174" i="17"/>
  <c r="BE184" i="17"/>
  <c r="BM174" i="17"/>
  <c r="BU174" i="17"/>
  <c r="BU184" i="17"/>
  <c r="CK174" i="17"/>
  <c r="CK184" i="17"/>
  <c r="CS174" i="17"/>
  <c r="CS184" i="17"/>
  <c r="M225" i="17"/>
  <c r="M215" i="17"/>
  <c r="U225" i="17"/>
  <c r="U215" i="17"/>
  <c r="AK215" i="17"/>
  <c r="AK225" i="17"/>
  <c r="AS215" i="17"/>
  <c r="BA225" i="17"/>
  <c r="BA215" i="17"/>
  <c r="BE215" i="17"/>
  <c r="BE225" i="17"/>
  <c r="BM225" i="17"/>
  <c r="BM215" i="17"/>
  <c r="BU215" i="17"/>
  <c r="BU225" i="17"/>
  <c r="BU210" i="17"/>
  <c r="CC225" i="17"/>
  <c r="CC215" i="17"/>
  <c r="CK215" i="17"/>
  <c r="CK225" i="17"/>
  <c r="CS215" i="17"/>
  <c r="CO96" i="17"/>
  <c r="BM70" i="17"/>
  <c r="BU70" i="17"/>
  <c r="CC70" i="17"/>
  <c r="CG70" i="17"/>
  <c r="CK70" i="17"/>
  <c r="CK86" i="17"/>
  <c r="CO70" i="17"/>
  <c r="DF7" i="11"/>
  <c r="AA90" i="7"/>
  <c r="AA91" i="7" s="1"/>
  <c r="AA118" i="23"/>
  <c r="AD115" i="11"/>
  <c r="J294" i="23"/>
  <c r="K234" i="8"/>
  <c r="K27" i="25"/>
  <c r="K62" i="7"/>
  <c r="AD34" i="11"/>
  <c r="K9" i="7"/>
  <c r="K115" i="7"/>
  <c r="T62" i="7"/>
  <c r="T27" i="25"/>
  <c r="P31" i="25"/>
  <c r="P421" i="23"/>
  <c r="R47" i="25"/>
  <c r="R224" i="8"/>
  <c r="O169" i="23"/>
  <c r="AU118" i="11" s="1"/>
  <c r="N243" i="8"/>
  <c r="BM71" i="11"/>
  <c r="R226" i="8"/>
  <c r="P229" i="8"/>
  <c r="DV36" i="6"/>
  <c r="AA27" i="25"/>
  <c r="V138" i="23"/>
  <c r="W59" i="23"/>
  <c r="W66" i="23" s="1"/>
  <c r="R190" i="8"/>
  <c r="R248" i="8" s="1"/>
  <c r="N232" i="8"/>
  <c r="K232" i="8"/>
  <c r="K925" i="7"/>
  <c r="S299" i="23"/>
  <c r="Y13" i="11"/>
  <c r="AS57" i="11"/>
  <c r="P231" i="23"/>
  <c r="CF36" i="6"/>
  <c r="AX34" i="11"/>
  <c r="K66" i="25"/>
  <c r="AC29" i="25"/>
  <c r="U14" i="8"/>
  <c r="E141" i="2"/>
  <c r="AV141" i="2" s="1"/>
  <c r="DP63" i="11"/>
  <c r="DS63" i="11" s="1"/>
  <c r="DU63" i="11" s="1"/>
  <c r="AC422" i="23"/>
  <c r="R698" i="7"/>
  <c r="R28" i="25"/>
  <c r="Y62" i="7"/>
  <c r="CV34" i="11"/>
  <c r="Y66" i="25"/>
  <c r="X450" i="23"/>
  <c r="CQ85" i="11"/>
  <c r="L78" i="7"/>
  <c r="L79" i="7" s="1"/>
  <c r="L327" i="23"/>
  <c r="V326" i="23"/>
  <c r="V78" i="7"/>
  <c r="V79" i="7" s="1"/>
  <c r="Z232" i="8"/>
  <c r="Z924" i="7"/>
  <c r="AM924" i="7" s="1"/>
  <c r="J59" i="25"/>
  <c r="J168" i="8"/>
  <c r="AG79" i="17"/>
  <c r="AS225" i="17"/>
  <c r="BM184" i="17"/>
  <c r="BY93" i="17"/>
  <c r="CS62" i="17"/>
  <c r="AG67" i="17"/>
  <c r="BA102" i="17"/>
  <c r="BK237" i="17"/>
  <c r="BA69" i="17"/>
  <c r="BW67" i="17"/>
  <c r="CG95" i="17"/>
  <c r="AU79" i="17"/>
  <c r="BG79" i="17"/>
  <c r="BG70" i="17"/>
  <c r="R16" i="8"/>
  <c r="M205" i="23"/>
  <c r="L11" i="6"/>
  <c r="C195" i="2"/>
  <c r="AT195" i="2" s="1"/>
  <c r="K928" i="7"/>
  <c r="AI101" i="11"/>
  <c r="BR13" i="11"/>
  <c r="Y87" i="11"/>
  <c r="Z87" i="11" s="1"/>
  <c r="BC63" i="11"/>
  <c r="BI63" i="11" s="1"/>
  <c r="N416" i="23"/>
  <c r="BC62" i="11"/>
  <c r="M231" i="23"/>
  <c r="Y402" i="23"/>
  <c r="O195" i="23"/>
  <c r="AD7" i="11"/>
  <c r="K261" i="23"/>
  <c r="BM8" i="11"/>
  <c r="AC263" i="23"/>
  <c r="AC28" i="25"/>
  <c r="V344" i="23"/>
  <c r="Z41" i="23"/>
  <c r="CX63" i="11" s="1"/>
  <c r="M55" i="25"/>
  <c r="AB36" i="25"/>
  <c r="AC330" i="23"/>
  <c r="DK101" i="11"/>
  <c r="AB461" i="23"/>
  <c r="D146" i="2"/>
  <c r="DK100" i="11"/>
  <c r="AB289" i="23"/>
  <c r="AB224" i="8"/>
  <c r="AS62" i="11"/>
  <c r="W421" i="23"/>
  <c r="W231" i="23"/>
  <c r="Q344" i="23"/>
  <c r="W752" i="7"/>
  <c r="Y952" i="7"/>
  <c r="Y959" i="7" s="1"/>
  <c r="Y924" i="7"/>
  <c r="T129" i="23"/>
  <c r="M452" i="23"/>
  <c r="N96" i="23"/>
  <c r="AP13" i="11" s="1"/>
  <c r="AH166" i="17"/>
  <c r="AH171" i="17" s="1"/>
  <c r="Y96" i="23"/>
  <c r="CS13" i="11" s="1"/>
  <c r="DF58" i="11"/>
  <c r="H19" i="7"/>
  <c r="H234" i="8"/>
  <c r="H168" i="8"/>
  <c r="AB74" i="23"/>
  <c r="CP127" i="17"/>
  <c r="Y118" i="11"/>
  <c r="CS225" i="17"/>
  <c r="AC215" i="17"/>
  <c r="AS174" i="17"/>
  <c r="BI93" i="17"/>
  <c r="CG103" i="17"/>
  <c r="M67" i="17"/>
  <c r="AK102" i="17"/>
  <c r="AA105" i="23"/>
  <c r="W40" i="23"/>
  <c r="CI62" i="11" s="1"/>
  <c r="O116" i="23"/>
  <c r="AU100" i="11" s="1"/>
  <c r="AV100" i="11" s="1"/>
  <c r="AA36" i="23"/>
  <c r="DC58" i="11" s="1"/>
  <c r="DC71" i="11" s="1"/>
  <c r="BZ36" i="6"/>
  <c r="N375" i="23"/>
  <c r="N195" i="23"/>
  <c r="N62" i="7"/>
  <c r="V408" i="23"/>
  <c r="V233" i="23"/>
  <c r="X40" i="23"/>
  <c r="CN62" i="11" s="1"/>
  <c r="J35" i="23"/>
  <c r="V57" i="11" s="1"/>
  <c r="W57" i="11" s="1"/>
  <c r="X57" i="11" s="1"/>
  <c r="K41" i="23"/>
  <c r="AA63" i="11" s="1"/>
  <c r="AB63" i="11" s="1"/>
  <c r="K177" i="23" s="1"/>
  <c r="K17" i="25" s="1"/>
  <c r="V41" i="23"/>
  <c r="CD63" i="11" s="1"/>
  <c r="J31" i="8"/>
  <c r="N244" i="8"/>
  <c r="V244" i="8"/>
  <c r="V245" i="8" s="1"/>
  <c r="V249" i="8" s="1"/>
  <c r="Z31" i="8"/>
  <c r="N76" i="8"/>
  <c r="Z76" i="8"/>
  <c r="Z101" i="8" s="1"/>
  <c r="J52" i="8"/>
  <c r="V413" i="7"/>
  <c r="V407" i="7"/>
  <c r="Q407" i="7"/>
  <c r="Q413" i="7"/>
  <c r="T249" i="23"/>
  <c r="S23" i="8"/>
  <c r="S35" i="8"/>
  <c r="R31" i="8"/>
  <c r="CP229" i="17"/>
  <c r="CT234" i="17" s="1"/>
  <c r="CT3" i="17" s="1"/>
  <c r="AB470" i="23"/>
  <c r="AB122" i="23"/>
  <c r="W688" i="7"/>
  <c r="CZ11" i="6"/>
  <c r="N117" i="1"/>
  <c r="CS11" i="6"/>
  <c r="K10" i="7"/>
  <c r="K63" i="7"/>
  <c r="U95" i="23"/>
  <c r="BY86" i="11" s="1"/>
  <c r="K121" i="23"/>
  <c r="K451" i="23"/>
  <c r="N85" i="23"/>
  <c r="AX40" i="17"/>
  <c r="BB45" i="17" s="1"/>
  <c r="Q375" i="23"/>
  <c r="AH40" i="17"/>
  <c r="M402" i="23"/>
  <c r="V136" i="8"/>
  <c r="V113" i="8"/>
  <c r="Q928" i="7"/>
  <c r="Q755" i="7"/>
  <c r="Q38" i="25"/>
  <c r="Q306" i="7"/>
  <c r="Q925" i="7"/>
  <c r="Q926" i="7"/>
  <c r="O461" i="23"/>
  <c r="W298" i="23"/>
  <c r="V34" i="25"/>
  <c r="R294" i="23"/>
  <c r="M294" i="23"/>
  <c r="V9" i="7"/>
  <c r="V90" i="7"/>
  <c r="V91" i="7" s="1"/>
  <c r="V115" i="7"/>
  <c r="T34" i="11"/>
  <c r="I261" i="23"/>
  <c r="I90" i="7"/>
  <c r="I91" i="7" s="1"/>
  <c r="U698" i="7"/>
  <c r="U736" i="7" s="1"/>
  <c r="U28" i="25"/>
  <c r="N698" i="7"/>
  <c r="N28" i="25"/>
  <c r="AD21" i="23"/>
  <c r="AE21" i="23" s="1"/>
  <c r="AC35" i="23"/>
  <c r="DM57" i="11" s="1"/>
  <c r="DN57" i="11" s="1"/>
  <c r="DK49" i="11"/>
  <c r="AB207" i="23"/>
  <c r="AG135" i="17"/>
  <c r="AG10" i="17" s="1"/>
  <c r="T578" i="7"/>
  <c r="K577" i="7"/>
  <c r="R582" i="7"/>
  <c r="Q576" i="7"/>
  <c r="L298" i="7"/>
  <c r="J413" i="7"/>
  <c r="G152" i="1"/>
  <c r="AC231" i="23"/>
  <c r="AC166" i="8"/>
  <c r="AC145" i="8" s="1"/>
  <c r="S232" i="23"/>
  <c r="W345" i="23"/>
  <c r="X330" i="23"/>
  <c r="V329" i="23"/>
  <c r="I16" i="23"/>
  <c r="I41" i="23"/>
  <c r="Q63" i="11" s="1"/>
  <c r="R63" i="11" s="1"/>
  <c r="P117" i="23"/>
  <c r="AZ101" i="11" s="1"/>
  <c r="Q460" i="23"/>
  <c r="W169" i="23"/>
  <c r="CI118" i="11" s="1"/>
  <c r="Z40" i="23"/>
  <c r="CX62" i="11" s="1"/>
  <c r="AA121" i="23"/>
  <c r="W134" i="1"/>
  <c r="P138" i="1"/>
  <c r="X138" i="1"/>
  <c r="Q9" i="8"/>
  <c r="K190" i="8"/>
  <c r="K248" i="8" s="1"/>
  <c r="O61" i="8"/>
  <c r="K33" i="8"/>
  <c r="W152" i="1"/>
  <c r="M138" i="1"/>
  <c r="Q257" i="23"/>
  <c r="T205" i="1"/>
  <c r="T116" i="23"/>
  <c r="BT100" i="11" s="1"/>
  <c r="T94" i="23"/>
  <c r="BT85" i="11" s="1"/>
  <c r="L95" i="23"/>
  <c r="AF86" i="11" s="1"/>
  <c r="X41" i="23"/>
  <c r="CN63" i="11" s="1"/>
  <c r="R41" i="23"/>
  <c r="BJ63" i="11" s="1"/>
  <c r="BK63" i="11" s="1"/>
  <c r="S41" i="23"/>
  <c r="BO63" i="11" s="1"/>
  <c r="M37" i="23"/>
  <c r="AG219" i="17"/>
  <c r="U135" i="17"/>
  <c r="U10" i="17" s="1"/>
  <c r="R150" i="17"/>
  <c r="Q135" i="17"/>
  <c r="Q10" i="17" s="1"/>
  <c r="M577" i="7"/>
  <c r="Z189" i="8"/>
  <c r="V28" i="8"/>
  <c r="V188" i="8" s="1"/>
  <c r="N28" i="8"/>
  <c r="N188" i="8" s="1"/>
  <c r="J28" i="8"/>
  <c r="J188" i="8" s="1"/>
  <c r="AB20" i="8"/>
  <c r="L190" i="8"/>
  <c r="V138" i="1"/>
  <c r="H138" i="1"/>
  <c r="J134" i="1"/>
  <c r="O128" i="1"/>
  <c r="X117" i="1"/>
  <c r="M230" i="8"/>
  <c r="S211" i="1"/>
  <c r="Y211" i="1"/>
  <c r="V245" i="23"/>
  <c r="M253" i="23"/>
  <c r="V205" i="1"/>
  <c r="U205" i="1"/>
  <c r="Y189" i="1"/>
  <c r="M189" i="1"/>
  <c r="AA189" i="1"/>
  <c r="O189" i="1"/>
  <c r="X229" i="8"/>
  <c r="Z94" i="23"/>
  <c r="CX85" i="11" s="1"/>
  <c r="V460" i="23"/>
  <c r="U94" i="23"/>
  <c r="BY85" i="11" s="1"/>
  <c r="J450" i="23"/>
  <c r="S451" i="23"/>
  <c r="O121" i="23"/>
  <c r="I95" i="23"/>
  <c r="Q86" i="11" s="1"/>
  <c r="S422" i="23"/>
  <c r="O41" i="23"/>
  <c r="AU63" i="11" s="1"/>
  <c r="V35" i="23"/>
  <c r="CD57" i="11" s="1"/>
  <c r="CE57" i="11" s="1"/>
  <c r="O417" i="23"/>
  <c r="J37" i="23"/>
  <c r="H421" i="23"/>
  <c r="S402" i="23"/>
  <c r="N329" i="23"/>
  <c r="Q462" i="23"/>
  <c r="O452" i="23"/>
  <c r="AC134" i="1"/>
  <c r="AB138" i="1"/>
  <c r="AF157" i="17"/>
  <c r="AC196" i="17"/>
  <c r="U219" i="17"/>
  <c r="M220" i="17"/>
  <c r="BJ111" i="17"/>
  <c r="AU111" i="17"/>
  <c r="AU9" i="17" s="1"/>
  <c r="BV232" i="17"/>
  <c r="BV20" i="17" s="1"/>
  <c r="BF43" i="17"/>
  <c r="BJ43" i="17"/>
  <c r="BG12" i="26" s="1"/>
  <c r="BZ62" i="17"/>
  <c r="BV169" i="17"/>
  <c r="BS18" i="26" s="1"/>
  <c r="J220" i="17"/>
  <c r="N85" i="17"/>
  <c r="V85" i="17"/>
  <c r="AP85" i="17"/>
  <c r="AT85" i="17"/>
  <c r="BB85" i="17"/>
  <c r="BR85" i="17"/>
  <c r="CT85" i="17"/>
  <c r="J86" i="17"/>
  <c r="N86" i="17"/>
  <c r="R86" i="17"/>
  <c r="Z86" i="17"/>
  <c r="AD86" i="17"/>
  <c r="AH86" i="17"/>
  <c r="AL86" i="17"/>
  <c r="AP86" i="17"/>
  <c r="AT86" i="17"/>
  <c r="AX86" i="17"/>
  <c r="BB86" i="17"/>
  <c r="BF86" i="17"/>
  <c r="BR86" i="17"/>
  <c r="R87" i="17"/>
  <c r="AH87" i="17"/>
  <c r="AL87" i="17"/>
  <c r="AP87" i="17"/>
  <c r="BZ87" i="17"/>
  <c r="CD87" i="17"/>
  <c r="V49" i="23"/>
  <c r="I150" i="17"/>
  <c r="I11" i="17" s="1"/>
  <c r="I111" i="17"/>
  <c r="I9" i="17" s="1"/>
  <c r="AD111" i="17"/>
  <c r="AA15" i="26" s="1"/>
  <c r="Y111" i="17"/>
  <c r="V15" i="26" s="1"/>
  <c r="AG232" i="17"/>
  <c r="AG26" i="17" s="1"/>
  <c r="AK232" i="17"/>
  <c r="AK19" i="17" s="1"/>
  <c r="AC593" i="7"/>
  <c r="G237" i="23"/>
  <c r="H689" i="7"/>
  <c r="P174" i="7"/>
  <c r="P177" i="7" s="1"/>
  <c r="P30" i="7"/>
  <c r="J139" i="7"/>
  <c r="J228" i="7"/>
  <c r="J248" i="7" s="1"/>
  <c r="R228" i="7"/>
  <c r="BV19" i="6" s="1"/>
  <c r="Z141" i="7"/>
  <c r="P472" i="7"/>
  <c r="P500" i="7" s="1"/>
  <c r="H593" i="7"/>
  <c r="N28" i="6" s="1"/>
  <c r="T520" i="7"/>
  <c r="X165" i="8"/>
  <c r="AC32" i="7"/>
  <c r="AC319" i="7"/>
  <c r="AC86" i="25"/>
  <c r="AC830" i="7"/>
  <c r="G317" i="7"/>
  <c r="G1104" i="7" s="1"/>
  <c r="G231" i="7"/>
  <c r="G32" i="7"/>
  <c r="G689" i="7"/>
  <c r="G64" i="7" s="1"/>
  <c r="AA791" i="7"/>
  <c r="AA969" i="7" s="1"/>
  <c r="N174" i="7"/>
  <c r="N177" i="7" s="1"/>
  <c r="R692" i="7"/>
  <c r="R109" i="25" s="1"/>
  <c r="N30" i="7"/>
  <c r="N48" i="7" s="1"/>
  <c r="T30" i="7"/>
  <c r="M32" i="7"/>
  <c r="H228" i="7"/>
  <c r="N228" i="7"/>
  <c r="X228" i="7"/>
  <c r="X248" i="7" s="1"/>
  <c r="O141" i="7"/>
  <c r="X141" i="7"/>
  <c r="X158" i="7" s="1"/>
  <c r="T472" i="7"/>
  <c r="Z472" i="7"/>
  <c r="DR26" i="6" s="1"/>
  <c r="X593" i="7"/>
  <c r="M317" i="7"/>
  <c r="AR30" i="6" s="1"/>
  <c r="R520" i="7"/>
  <c r="R88" i="25" s="1"/>
  <c r="T592" i="7"/>
  <c r="T614" i="7" s="1"/>
  <c r="I86" i="25"/>
  <c r="S201" i="23"/>
  <c r="U86" i="25"/>
  <c r="K793" i="7"/>
  <c r="K818" i="7" s="1"/>
  <c r="K852" i="7"/>
  <c r="K865" i="7" s="1"/>
  <c r="M830" i="7"/>
  <c r="Q1120" i="7"/>
  <c r="Q157" i="7"/>
  <c r="S547" i="7"/>
  <c r="S551" i="7" s="1"/>
  <c r="S583" i="7" s="1"/>
  <c r="S831" i="7"/>
  <c r="O831" i="7"/>
  <c r="O1139" i="7" s="1"/>
  <c r="K831" i="7"/>
  <c r="AG45" i="6" s="1"/>
  <c r="G831" i="7"/>
  <c r="X797" i="7"/>
  <c r="T797" i="7"/>
  <c r="P797" i="7"/>
  <c r="P822" i="7" s="1"/>
  <c r="L797" i="7"/>
  <c r="H797" i="7"/>
  <c r="H1138" i="7" s="1"/>
  <c r="Z234" i="7"/>
  <c r="AM234" i="7" s="1"/>
  <c r="V234" i="7"/>
  <c r="CU18" i="6" s="1"/>
  <c r="R234" i="7"/>
  <c r="N234" i="7"/>
  <c r="N251" i="7" s="1"/>
  <c r="J234" i="7"/>
  <c r="J251" i="7" s="1"/>
  <c r="Y140" i="7"/>
  <c r="DM17" i="6" s="1"/>
  <c r="U140" i="7"/>
  <c r="CO17" i="6" s="1"/>
  <c r="M140" i="7"/>
  <c r="AS17" i="6" s="1"/>
  <c r="I140" i="7"/>
  <c r="I100" i="25" s="1"/>
  <c r="Z31" i="7"/>
  <c r="Z49" i="7" s="1"/>
  <c r="AM49" i="7" s="1"/>
  <c r="V31" i="7"/>
  <c r="V1121" i="7" s="1"/>
  <c r="R31" i="7"/>
  <c r="BW16" i="6" s="1"/>
  <c r="N31" i="7"/>
  <c r="J31" i="7"/>
  <c r="J1043" i="7" s="1"/>
  <c r="AC594" i="7"/>
  <c r="G593" i="7"/>
  <c r="G789" i="7"/>
  <c r="H42" i="6" s="1"/>
  <c r="Z692" i="7"/>
  <c r="AM692" i="7" s="1"/>
  <c r="V30" i="7"/>
  <c r="S32" i="7"/>
  <c r="S80" i="25" s="1"/>
  <c r="Q141" i="7"/>
  <c r="BP17" i="6" s="1"/>
  <c r="BM17" i="6" s="1"/>
  <c r="V472" i="7"/>
  <c r="V500" i="7" s="1"/>
  <c r="Z593" i="7"/>
  <c r="M520" i="7"/>
  <c r="Y690" i="7"/>
  <c r="Y46" i="11"/>
  <c r="S791" i="7"/>
  <c r="S969" i="7" s="1"/>
  <c r="L471" i="7"/>
  <c r="L499" i="7" s="1"/>
  <c r="G793" i="7"/>
  <c r="G1110" i="7" s="1"/>
  <c r="G471" i="7"/>
  <c r="AA319" i="7"/>
  <c r="DX38" i="6"/>
  <c r="AA85" i="25"/>
  <c r="Z174" i="7"/>
  <c r="L165" i="8"/>
  <c r="K30" i="7"/>
  <c r="X30" i="7"/>
  <c r="Z139" i="7"/>
  <c r="L228" i="7"/>
  <c r="AL19" i="6" s="1"/>
  <c r="R141" i="7"/>
  <c r="U471" i="7"/>
  <c r="U83" i="25" s="1"/>
  <c r="Q472" i="7"/>
  <c r="BP26" i="6" s="1"/>
  <c r="T593" i="7"/>
  <c r="O317" i="7"/>
  <c r="H592" i="7"/>
  <c r="K201" i="23"/>
  <c r="K699" i="7" s="1"/>
  <c r="P133" i="8"/>
  <c r="R792" i="7"/>
  <c r="J792" i="7"/>
  <c r="J817" i="7" s="1"/>
  <c r="U594" i="7"/>
  <c r="U616" i="7" s="1"/>
  <c r="I594" i="7"/>
  <c r="X970" i="7"/>
  <c r="X981" i="7" s="1"/>
  <c r="N970" i="7"/>
  <c r="N981" i="7" s="1"/>
  <c r="I970" i="7"/>
  <c r="I981" i="7" s="1"/>
  <c r="X1003" i="7"/>
  <c r="X1017" i="7" s="1"/>
  <c r="T1003" i="7"/>
  <c r="O1003" i="7"/>
  <c r="K1003" i="7"/>
  <c r="K96" i="25" s="1"/>
  <c r="Z830" i="7"/>
  <c r="R830" i="7"/>
  <c r="J830" i="7"/>
  <c r="J1112" i="7" s="1"/>
  <c r="T852" i="7"/>
  <c r="CH47" i="6" s="1"/>
  <c r="J852" i="7"/>
  <c r="J865" i="7" s="1"/>
  <c r="W237" i="23"/>
  <c r="S237" i="23"/>
  <c r="S239" i="23" s="1"/>
  <c r="O237" i="23"/>
  <c r="Z793" i="7"/>
  <c r="V793" i="7"/>
  <c r="V818" i="7" s="1"/>
  <c r="R793" i="7"/>
  <c r="BV44" i="6" s="1"/>
  <c r="N793" i="7"/>
  <c r="Y788" i="7"/>
  <c r="U788" i="7"/>
  <c r="U813" i="7" s="1"/>
  <c r="Q788" i="7"/>
  <c r="M788" i="7"/>
  <c r="M97" i="25" s="1"/>
  <c r="I788" i="7"/>
  <c r="I97" i="25" s="1"/>
  <c r="U791" i="7"/>
  <c r="U969" i="7" s="1"/>
  <c r="I791" i="7"/>
  <c r="W668" i="7"/>
  <c r="S668" i="7"/>
  <c r="O668" i="7"/>
  <c r="K668" i="7"/>
  <c r="DA47" i="11"/>
  <c r="CG47" i="11"/>
  <c r="S206" i="23"/>
  <c r="AX38" i="6"/>
  <c r="Z38" i="6"/>
  <c r="P205" i="23"/>
  <c r="Y592" i="7"/>
  <c r="Y614" i="7" s="1"/>
  <c r="Q592" i="7"/>
  <c r="Z690" i="7"/>
  <c r="Z111" i="25" s="1"/>
  <c r="T690" i="7"/>
  <c r="O690" i="7"/>
  <c r="K690" i="7"/>
  <c r="Z520" i="7"/>
  <c r="Z88" i="25" s="1"/>
  <c r="V520" i="7"/>
  <c r="CT32" i="6" s="1"/>
  <c r="O520" i="7"/>
  <c r="BD32" i="6" s="1"/>
  <c r="L520" i="7"/>
  <c r="X317" i="7"/>
  <c r="L317" i="7"/>
  <c r="L337" i="7" s="1"/>
  <c r="W593" i="7"/>
  <c r="O593" i="7"/>
  <c r="O1098" i="7" s="1"/>
  <c r="I593" i="7"/>
  <c r="I615" i="7" s="1"/>
  <c r="O472" i="7"/>
  <c r="O500" i="7" s="1"/>
  <c r="X471" i="7"/>
  <c r="DF25" i="6" s="1"/>
  <c r="S471" i="7"/>
  <c r="S499" i="7" s="1"/>
  <c r="O471" i="7"/>
  <c r="O83" i="25" s="1"/>
  <c r="I471" i="7"/>
  <c r="X319" i="7"/>
  <c r="S319" i="7"/>
  <c r="O319" i="7"/>
  <c r="O1044" i="7" s="1"/>
  <c r="K319" i="7"/>
  <c r="Z231" i="7"/>
  <c r="V231" i="7"/>
  <c r="V89" i="25" s="1"/>
  <c r="R231" i="7"/>
  <c r="R250" i="7" s="1"/>
  <c r="N231" i="7"/>
  <c r="T141" i="7"/>
  <c r="L141" i="7"/>
  <c r="AL17" i="6" s="1"/>
  <c r="AI17" i="6" s="1"/>
  <c r="H141" i="7"/>
  <c r="H90" i="25" s="1"/>
  <c r="S228" i="7"/>
  <c r="S248" i="7" s="1"/>
  <c r="K228" i="7"/>
  <c r="W32" i="7"/>
  <c r="W963" i="7" s="1"/>
  <c r="Q32" i="7"/>
  <c r="L32" i="7"/>
  <c r="Y139" i="7"/>
  <c r="DL10" i="6" s="1"/>
  <c r="U139" i="7"/>
  <c r="U156" i="7" s="1"/>
  <c r="Q139" i="7"/>
  <c r="Y30" i="7"/>
  <c r="O30" i="7"/>
  <c r="CT11" i="6"/>
  <c r="M87" i="25"/>
  <c r="Q692" i="7"/>
  <c r="L692" i="7"/>
  <c r="H692" i="7"/>
  <c r="H203" i="7" s="1"/>
  <c r="V174" i="7"/>
  <c r="R174" i="7"/>
  <c r="L174" i="7"/>
  <c r="Y689" i="7"/>
  <c r="Y110" i="25" s="1"/>
  <c r="U689" i="7"/>
  <c r="Q689" i="7"/>
  <c r="Q994" i="7" s="1"/>
  <c r="Q1008" i="7" s="1"/>
  <c r="M689" i="7"/>
  <c r="I689" i="7"/>
  <c r="I718" i="7" s="1"/>
  <c r="S166" i="8"/>
  <c r="L166" i="8"/>
  <c r="W789" i="7"/>
  <c r="S789" i="7"/>
  <c r="CB42" i="6" s="1"/>
  <c r="O789" i="7"/>
  <c r="BD42" i="6" s="1"/>
  <c r="K789" i="7"/>
  <c r="Z257" i="7"/>
  <c r="Z269" i="7" s="1"/>
  <c r="AM269" i="7" s="1"/>
  <c r="V257" i="7"/>
  <c r="V269" i="7" s="1"/>
  <c r="R257" i="7"/>
  <c r="R99" i="25" s="1"/>
  <c r="N257" i="7"/>
  <c r="J257" i="7"/>
  <c r="AC44" i="8"/>
  <c r="AA257" i="7"/>
  <c r="C232" i="2" s="1"/>
  <c r="AT232" i="2" s="1"/>
  <c r="AB594" i="7"/>
  <c r="AB830" i="7"/>
  <c r="AB788" i="7"/>
  <c r="D230" i="2" s="1"/>
  <c r="AU230" i="2" s="1"/>
  <c r="AB201" i="23"/>
  <c r="AB205" i="23"/>
  <c r="AB520" i="7"/>
  <c r="AB471" i="7"/>
  <c r="AB499" i="7" s="1"/>
  <c r="AB32" i="7"/>
  <c r="AA30" i="7"/>
  <c r="AA48" i="7" s="1"/>
  <c r="AB174" i="7"/>
  <c r="ED8" i="6" s="1"/>
  <c r="G141" i="7"/>
  <c r="G788" i="7"/>
  <c r="G1046" i="7" s="1"/>
  <c r="AC257" i="7"/>
  <c r="AC1003" i="7"/>
  <c r="AC1026" i="7" s="1"/>
  <c r="AC592" i="7"/>
  <c r="AD592" i="7" s="1"/>
  <c r="EP33" i="6" s="1"/>
  <c r="AC471" i="7"/>
  <c r="AC499" i="7" s="1"/>
  <c r="AC87" i="25"/>
  <c r="AC228" i="7"/>
  <c r="AD228" i="7" s="1"/>
  <c r="AA792" i="7"/>
  <c r="S692" i="7"/>
  <c r="S203" i="7" s="1"/>
  <c r="J30" i="7"/>
  <c r="P139" i="7"/>
  <c r="Z228" i="7"/>
  <c r="I472" i="7"/>
  <c r="T26" i="6" s="1"/>
  <c r="R593" i="7"/>
  <c r="I520" i="7"/>
  <c r="W520" i="7"/>
  <c r="CZ32" i="6" s="1"/>
  <c r="U592" i="7"/>
  <c r="U317" i="7"/>
  <c r="CN30" i="6" s="1"/>
  <c r="G30" i="7"/>
  <c r="AA830" i="7"/>
  <c r="AA843" i="7" s="1"/>
  <c r="AC520" i="7"/>
  <c r="E221" i="2" s="1"/>
  <c r="AC793" i="7"/>
  <c r="EJ44" i="6" s="1"/>
  <c r="G201" i="23"/>
  <c r="J48" i="11" s="1"/>
  <c r="AA690" i="7"/>
  <c r="AA793" i="7"/>
  <c r="AA818" i="7" s="1"/>
  <c r="H174" i="7"/>
  <c r="T692" i="7"/>
  <c r="T720" i="7" s="1"/>
  <c r="Y189" i="8"/>
  <c r="Y213" i="8" s="1"/>
  <c r="R30" i="7"/>
  <c r="BV9" i="6" s="1"/>
  <c r="L139" i="7"/>
  <c r="V32" i="7"/>
  <c r="CT16" i="6" s="1"/>
  <c r="T228" i="7"/>
  <c r="T1097" i="7" s="1"/>
  <c r="M231" i="7"/>
  <c r="J472" i="7"/>
  <c r="J500" i="7" s="1"/>
  <c r="X472" i="7"/>
  <c r="J593" i="7"/>
  <c r="Z28" i="6" s="1"/>
  <c r="I317" i="7"/>
  <c r="V317" i="7"/>
  <c r="V337" i="7" s="1"/>
  <c r="P520" i="7"/>
  <c r="N592" i="7"/>
  <c r="Y31" i="8"/>
  <c r="V792" i="7"/>
  <c r="N792" i="7"/>
  <c r="Y594" i="7"/>
  <c r="Y136" i="25" s="1"/>
  <c r="Q594" i="7"/>
  <c r="Q616" i="7" s="1"/>
  <c r="M594" i="7"/>
  <c r="M136" i="25" s="1"/>
  <c r="S970" i="7"/>
  <c r="S981" i="7" s="1"/>
  <c r="K237" i="23"/>
  <c r="CN37" i="6"/>
  <c r="S86" i="25"/>
  <c r="I205" i="23"/>
  <c r="X87" i="25"/>
  <c r="L688" i="7"/>
  <c r="L993" i="7" s="1"/>
  <c r="L1007" i="7" s="1"/>
  <c r="E219" i="2"/>
  <c r="H490" i="20" s="1"/>
  <c r="Y490" i="20" s="1"/>
  <c r="T205" i="23"/>
  <c r="M592" i="7"/>
  <c r="M614" i="7" s="1"/>
  <c r="J471" i="7"/>
  <c r="J499" i="7" s="1"/>
  <c r="H30" i="7"/>
  <c r="U830" i="7"/>
  <c r="N317" i="7"/>
  <c r="H472" i="7"/>
  <c r="L592" i="7"/>
  <c r="L1105" i="7" s="1"/>
  <c r="X852" i="7"/>
  <c r="DF47" i="6" s="1"/>
  <c r="AA472" i="7"/>
  <c r="U55" i="25"/>
  <c r="AC139" i="7"/>
  <c r="AC668" i="7"/>
  <c r="EJ35" i="6" s="1"/>
  <c r="AC237" i="23"/>
  <c r="DP70" i="11" s="1"/>
  <c r="G830" i="7"/>
  <c r="G1112" i="7" s="1"/>
  <c r="G791" i="7"/>
  <c r="G969" i="7" s="1"/>
  <c r="G592" i="7"/>
  <c r="G1105" i="7" s="1"/>
  <c r="M793" i="7"/>
  <c r="M852" i="7"/>
  <c r="AR47" i="6" s="1"/>
  <c r="S852" i="7"/>
  <c r="S865" i="7" s="1"/>
  <c r="Y852" i="7"/>
  <c r="O830" i="7"/>
  <c r="V52" i="8"/>
  <c r="Y792" i="7"/>
  <c r="U792" i="7"/>
  <c r="Q792" i="7"/>
  <c r="Q137" i="25" s="1"/>
  <c r="M792" i="7"/>
  <c r="I792" i="7"/>
  <c r="I137" i="25" s="1"/>
  <c r="X594" i="7"/>
  <c r="T594" i="7"/>
  <c r="T616" i="7" s="1"/>
  <c r="P594" i="7"/>
  <c r="L594" i="7"/>
  <c r="H594" i="7"/>
  <c r="H616" i="7" s="1"/>
  <c r="V970" i="7"/>
  <c r="V981" i="7" s="1"/>
  <c r="Q970" i="7"/>
  <c r="Q981" i="7" s="1"/>
  <c r="L970" i="7"/>
  <c r="L981" i="7" s="1"/>
  <c r="H970" i="7"/>
  <c r="H981" i="7" s="1"/>
  <c r="W1003" i="7"/>
  <c r="W1026" i="7" s="1"/>
  <c r="S1003" i="7"/>
  <c r="S96" i="25" s="1"/>
  <c r="N1003" i="7"/>
  <c r="N96" i="25" s="1"/>
  <c r="J1003" i="7"/>
  <c r="J96" i="25" s="1"/>
  <c r="X830" i="7"/>
  <c r="DF45" i="6" s="1"/>
  <c r="P830" i="7"/>
  <c r="BJ45" i="6" s="1"/>
  <c r="H830" i="7"/>
  <c r="R852" i="7"/>
  <c r="Z237" i="23"/>
  <c r="V237" i="23"/>
  <c r="CG70" i="11" s="1"/>
  <c r="R237" i="23"/>
  <c r="N237" i="23"/>
  <c r="J237" i="23"/>
  <c r="Y793" i="7"/>
  <c r="DL44" i="6" s="1"/>
  <c r="U793" i="7"/>
  <c r="Q793" i="7"/>
  <c r="Q1110" i="7" s="1"/>
  <c r="L793" i="7"/>
  <c r="L1110" i="7" s="1"/>
  <c r="X788" i="7"/>
  <c r="X1046" i="7" s="1"/>
  <c r="T788" i="7"/>
  <c r="T813" i="7" s="1"/>
  <c r="P788" i="7"/>
  <c r="BJ41" i="6" s="1"/>
  <c r="L788" i="7"/>
  <c r="AL41" i="6" s="1"/>
  <c r="H788" i="7"/>
  <c r="H1046" i="7" s="1"/>
  <c r="Q791" i="7"/>
  <c r="Z668" i="7"/>
  <c r="V668" i="7"/>
  <c r="V1106" i="7" s="1"/>
  <c r="R668" i="7"/>
  <c r="N668" i="7"/>
  <c r="J668" i="7"/>
  <c r="I201" i="23"/>
  <c r="I699" i="7" s="1"/>
  <c r="W592" i="7"/>
  <c r="CZ33" i="6" s="1"/>
  <c r="O592" i="7"/>
  <c r="BD33" i="6" s="1"/>
  <c r="X690" i="7"/>
  <c r="X111" i="25" s="1"/>
  <c r="S690" i="7"/>
  <c r="N690" i="7"/>
  <c r="N111" i="25" s="1"/>
  <c r="J690" i="7"/>
  <c r="J719" i="7" s="1"/>
  <c r="Y520" i="7"/>
  <c r="Y996" i="7" s="1"/>
  <c r="Y1010" i="7" s="1"/>
  <c r="S520" i="7"/>
  <c r="J520" i="7"/>
  <c r="J88" i="25" s="1"/>
  <c r="T317" i="7"/>
  <c r="T1104" i="7" s="1"/>
  <c r="J317" i="7"/>
  <c r="J1104" i="7" s="1"/>
  <c r="U593" i="7"/>
  <c r="CN28" i="6" s="1"/>
  <c r="N593" i="7"/>
  <c r="W472" i="7"/>
  <c r="M472" i="7"/>
  <c r="W471" i="7"/>
  <c r="R471" i="7"/>
  <c r="N471" i="7"/>
  <c r="H471" i="7"/>
  <c r="N25" i="6" s="1"/>
  <c r="W319" i="7"/>
  <c r="R319" i="7"/>
  <c r="R339" i="7" s="1"/>
  <c r="N319" i="7"/>
  <c r="N339" i="7" s="1"/>
  <c r="J319" i="7"/>
  <c r="J964" i="7" s="1"/>
  <c r="J975" i="7" s="1"/>
  <c r="Y231" i="7"/>
  <c r="Q231" i="7"/>
  <c r="Q89" i="25" s="1"/>
  <c r="L231" i="7"/>
  <c r="Y141" i="7"/>
  <c r="S141" i="7"/>
  <c r="S998" i="7" s="1"/>
  <c r="S1012" i="7" s="1"/>
  <c r="K141" i="7"/>
  <c r="AF17" i="6" s="1"/>
  <c r="AC17" i="6" s="1"/>
  <c r="Y228" i="7"/>
  <c r="Q228" i="7"/>
  <c r="Q248" i="7" s="1"/>
  <c r="I228" i="7"/>
  <c r="I1097" i="7" s="1"/>
  <c r="U32" i="7"/>
  <c r="U1042" i="7" s="1"/>
  <c r="P32" i="7"/>
  <c r="K32" i="7"/>
  <c r="K1042" i="7" s="1"/>
  <c r="X139" i="7"/>
  <c r="X695" i="7" s="1"/>
  <c r="X723" i="7" s="1"/>
  <c r="T139" i="7"/>
  <c r="M139" i="7"/>
  <c r="AR10" i="6" s="1"/>
  <c r="W30" i="7"/>
  <c r="CZ9" i="6" s="1"/>
  <c r="M30" i="7"/>
  <c r="P231" i="8"/>
  <c r="Y692" i="7"/>
  <c r="O692" i="7"/>
  <c r="K692" i="7"/>
  <c r="Y174" i="7"/>
  <c r="DL8" i="6" s="1"/>
  <c r="U174" i="7"/>
  <c r="U177" i="7" s="1"/>
  <c r="Q174" i="7"/>
  <c r="BP8" i="6" s="1"/>
  <c r="K174" i="7"/>
  <c r="X689" i="7"/>
  <c r="X11" i="7" s="1"/>
  <c r="T689" i="7"/>
  <c r="T64" i="7" s="1"/>
  <c r="P689" i="7"/>
  <c r="P718" i="7" s="1"/>
  <c r="L689" i="7"/>
  <c r="L994" i="7" s="1"/>
  <c r="L1008" i="7" s="1"/>
  <c r="Z789" i="7"/>
  <c r="Z1047" i="7" s="1"/>
  <c r="AM1047" i="7" s="1"/>
  <c r="V789" i="7"/>
  <c r="R789" i="7"/>
  <c r="BV42" i="6" s="1"/>
  <c r="N789" i="7"/>
  <c r="N1047" i="7" s="1"/>
  <c r="J789" i="7"/>
  <c r="Y257" i="7"/>
  <c r="Y99" i="25" s="1"/>
  <c r="U257" i="7"/>
  <c r="U269" i="7" s="1"/>
  <c r="Q257" i="7"/>
  <c r="I257" i="7"/>
  <c r="AB789" i="7"/>
  <c r="AB1047" i="7" s="1"/>
  <c r="AB970" i="7"/>
  <c r="AB981" i="7" s="1"/>
  <c r="AB852" i="7"/>
  <c r="ED47" i="6" s="1"/>
  <c r="AB791" i="7"/>
  <c r="AB969" i="7" s="1"/>
  <c r="AB592" i="7"/>
  <c r="AB317" i="7"/>
  <c r="ED30" i="6" s="1"/>
  <c r="AA471" i="7"/>
  <c r="AA141" i="7"/>
  <c r="AA32" i="7"/>
  <c r="AA963" i="7" s="1"/>
  <c r="AA974" i="7" s="1"/>
  <c r="AA174" i="7"/>
  <c r="DX8" i="6" s="1"/>
  <c r="G472" i="7"/>
  <c r="AC789" i="7"/>
  <c r="AC1047" i="7" s="1"/>
  <c r="AC852" i="7"/>
  <c r="AC690" i="7"/>
  <c r="AC231" i="7"/>
  <c r="AD231" i="7" s="1"/>
  <c r="AC692" i="7"/>
  <c r="J53" i="23"/>
  <c r="N53" i="23"/>
  <c r="R53" i="23"/>
  <c r="AB52" i="23"/>
  <c r="DD81" i="17" s="1"/>
  <c r="J54" i="23"/>
  <c r="V70" i="11" s="1"/>
  <c r="R54" i="23"/>
  <c r="BJ70" i="11" s="1"/>
  <c r="V54" i="23"/>
  <c r="CD70" i="11" s="1"/>
  <c r="Z54" i="23"/>
  <c r="CX70" i="11" s="1"/>
  <c r="S165" i="8"/>
  <c r="G112" i="8"/>
  <c r="H126" i="8" s="1"/>
  <c r="I189" i="8"/>
  <c r="I213" i="8" s="1"/>
  <c r="V831" i="7"/>
  <c r="CU45" i="6" s="1"/>
  <c r="R831" i="7"/>
  <c r="R1139" i="7" s="1"/>
  <c r="N831" i="7"/>
  <c r="N844" i="7" s="1"/>
  <c r="J831" i="7"/>
  <c r="J844" i="7" s="1"/>
  <c r="AA797" i="7"/>
  <c r="AA822" i="7" s="1"/>
  <c r="W797" i="7"/>
  <c r="DA40" i="6" s="1"/>
  <c r="O797" i="7"/>
  <c r="O822" i="7" s="1"/>
  <c r="K797" i="7"/>
  <c r="K1138" i="7" s="1"/>
  <c r="G797" i="7"/>
  <c r="I40" i="6" s="1"/>
  <c r="Y234" i="7"/>
  <c r="Y1122" i="7" s="1"/>
  <c r="U234" i="7"/>
  <c r="Q234" i="7"/>
  <c r="Q1122" i="7" s="1"/>
  <c r="M234" i="7"/>
  <c r="AS18" i="6" s="1"/>
  <c r="I234" i="7"/>
  <c r="I1122" i="7" s="1"/>
  <c r="X140" i="7"/>
  <c r="X157" i="7" s="1"/>
  <c r="T140" i="7"/>
  <c r="T1120" i="7" s="1"/>
  <c r="P140" i="7"/>
  <c r="BK17" i="6" s="1"/>
  <c r="L140" i="7"/>
  <c r="L100" i="25" s="1"/>
  <c r="H140" i="7"/>
  <c r="H157" i="7" s="1"/>
  <c r="Y31" i="7"/>
  <c r="Y1121" i="7" s="1"/>
  <c r="U31" i="7"/>
  <c r="U49" i="7" s="1"/>
  <c r="Q31" i="7"/>
  <c r="Q49" i="7" s="1"/>
  <c r="M31" i="7"/>
  <c r="M49" i="7" s="1"/>
  <c r="I31" i="7"/>
  <c r="I49" i="7" s="1"/>
  <c r="AB31" i="7"/>
  <c r="AC31" i="7" s="1"/>
  <c r="AB797" i="7"/>
  <c r="H791" i="7"/>
  <c r="H969" i="7" s="1"/>
  <c r="H980" i="7" s="1"/>
  <c r="H852" i="7"/>
  <c r="I830" i="7"/>
  <c r="I1112" i="7" s="1"/>
  <c r="Y830" i="7"/>
  <c r="Y843" i="7" s="1"/>
  <c r="W970" i="7"/>
  <c r="W981" i="7" s="1"/>
  <c r="T133" i="8"/>
  <c r="X792" i="7"/>
  <c r="T792" i="7"/>
  <c r="T137" i="25" s="1"/>
  <c r="P792" i="7"/>
  <c r="L792" i="7"/>
  <c r="L137" i="25" s="1"/>
  <c r="H792" i="7"/>
  <c r="H817" i="7" s="1"/>
  <c r="W594" i="7"/>
  <c r="W136" i="25" s="1"/>
  <c r="S594" i="7"/>
  <c r="O594" i="7"/>
  <c r="K594" i="7"/>
  <c r="K136" i="25" s="1"/>
  <c r="Z970" i="7"/>
  <c r="AM970" i="7" s="1"/>
  <c r="U970" i="7"/>
  <c r="U981" i="7" s="1"/>
  <c r="P970" i="7"/>
  <c r="P981" i="7" s="1"/>
  <c r="K970" i="7"/>
  <c r="K981" i="7" s="1"/>
  <c r="Z1003" i="7"/>
  <c r="AM1003" i="7" s="1"/>
  <c r="V1003" i="7"/>
  <c r="V1026" i="7" s="1"/>
  <c r="R1003" i="7"/>
  <c r="M1003" i="7"/>
  <c r="M96" i="25" s="1"/>
  <c r="I1003" i="7"/>
  <c r="I96" i="25" s="1"/>
  <c r="V830" i="7"/>
  <c r="V843" i="7" s="1"/>
  <c r="N830" i="7"/>
  <c r="N1112" i="7" s="1"/>
  <c r="Z852" i="7"/>
  <c r="N852" i="7"/>
  <c r="N1111" i="7" s="1"/>
  <c r="Y237" i="23"/>
  <c r="U237" i="23"/>
  <c r="Q237" i="23"/>
  <c r="M237" i="23"/>
  <c r="I237" i="23"/>
  <c r="X793" i="7"/>
  <c r="T793" i="7"/>
  <c r="T1110" i="7" s="1"/>
  <c r="P793" i="7"/>
  <c r="BJ44" i="6" s="1"/>
  <c r="J793" i="7"/>
  <c r="J818" i="7" s="1"/>
  <c r="W788" i="7"/>
  <c r="CZ41" i="6" s="1"/>
  <c r="S788" i="7"/>
  <c r="CB41" i="6" s="1"/>
  <c r="O788" i="7"/>
  <c r="O1046" i="7" s="1"/>
  <c r="K788" i="7"/>
  <c r="Y791" i="7"/>
  <c r="O791" i="7"/>
  <c r="Y668" i="7"/>
  <c r="DL35" i="6" s="1"/>
  <c r="U668" i="7"/>
  <c r="Q668" i="7"/>
  <c r="Q1106" i="7" s="1"/>
  <c r="M668" i="7"/>
  <c r="I668" i="7"/>
  <c r="I1106" i="7" s="1"/>
  <c r="CH38" i="6"/>
  <c r="L206" i="23"/>
  <c r="S592" i="7"/>
  <c r="S614" i="7" s="1"/>
  <c r="K592" i="7"/>
  <c r="AF33" i="6" s="1"/>
  <c r="V690" i="7"/>
  <c r="V995" i="7" s="1"/>
  <c r="V1009" i="7" s="1"/>
  <c r="R690" i="7"/>
  <c r="M690" i="7"/>
  <c r="I690" i="7"/>
  <c r="X520" i="7"/>
  <c r="N520" i="7"/>
  <c r="AX32" i="6" s="1"/>
  <c r="H520" i="7"/>
  <c r="H996" i="7" s="1"/>
  <c r="H1010" i="7" s="1"/>
  <c r="R317" i="7"/>
  <c r="BV30" i="6" s="1"/>
  <c r="H317" i="7"/>
  <c r="H1104" i="7" s="1"/>
  <c r="S593" i="7"/>
  <c r="S615" i="7" s="1"/>
  <c r="M593" i="7"/>
  <c r="M1098" i="7" s="1"/>
  <c r="U472" i="7"/>
  <c r="CN26" i="6" s="1"/>
  <c r="K472" i="7"/>
  <c r="V471" i="7"/>
  <c r="V1045" i="7" s="1"/>
  <c r="Q471" i="7"/>
  <c r="M471" i="7"/>
  <c r="M1045" i="7" s="1"/>
  <c r="Z319" i="7"/>
  <c r="Z81" i="25" s="1"/>
  <c r="V319" i="7"/>
  <c r="Q319" i="7"/>
  <c r="Q360" i="7" s="1"/>
  <c r="M319" i="7"/>
  <c r="AR23" i="6" s="1"/>
  <c r="AO23" i="6" s="1"/>
  <c r="I319" i="7"/>
  <c r="I339" i="7" s="1"/>
  <c r="X231" i="7"/>
  <c r="X255" i="7" s="1"/>
  <c r="T231" i="7"/>
  <c r="P231" i="7"/>
  <c r="P250" i="7" s="1"/>
  <c r="J231" i="7"/>
  <c r="J997" i="7" s="1"/>
  <c r="J1011" i="7" s="1"/>
  <c r="W141" i="7"/>
  <c r="P141" i="7"/>
  <c r="P158" i="7" s="1"/>
  <c r="J141" i="7"/>
  <c r="W228" i="7"/>
  <c r="W248" i="7" s="1"/>
  <c r="P228" i="7"/>
  <c r="Z32" i="7"/>
  <c r="T32" i="7"/>
  <c r="T1042" i="7" s="1"/>
  <c r="O32" i="7"/>
  <c r="O80" i="25" s="1"/>
  <c r="I32" i="7"/>
  <c r="I50" i="7" s="1"/>
  <c r="W139" i="7"/>
  <c r="S139" i="7"/>
  <c r="CB10" i="6" s="1"/>
  <c r="K139" i="7"/>
  <c r="K695" i="7" s="1"/>
  <c r="K723" i="7" s="1"/>
  <c r="U30" i="7"/>
  <c r="U694" i="7" s="1"/>
  <c r="U722" i="7" s="1"/>
  <c r="I30" i="7"/>
  <c r="T9" i="6" s="1"/>
  <c r="J87" i="25"/>
  <c r="W692" i="7"/>
  <c r="W109" i="25" s="1"/>
  <c r="N692" i="7"/>
  <c r="N109" i="25" s="1"/>
  <c r="J692" i="7"/>
  <c r="J203" i="7" s="1"/>
  <c r="X174" i="7"/>
  <c r="X177" i="7" s="1"/>
  <c r="T174" i="7"/>
  <c r="O174" i="7"/>
  <c r="O177" i="7" s="1"/>
  <c r="J174" i="7"/>
  <c r="W689" i="7"/>
  <c r="W64" i="7" s="1"/>
  <c r="S689" i="7"/>
  <c r="O689" i="7"/>
  <c r="O110" i="25" s="1"/>
  <c r="K689" i="7"/>
  <c r="Y789" i="7"/>
  <c r="Y1047" i="7" s="1"/>
  <c r="U789" i="7"/>
  <c r="U814" i="7" s="1"/>
  <c r="M789" i="7"/>
  <c r="M814" i="7" s="1"/>
  <c r="I789" i="7"/>
  <c r="X257" i="7"/>
  <c r="X269" i="7" s="1"/>
  <c r="T257" i="7"/>
  <c r="T269" i="7" s="1"/>
  <c r="L257" i="7"/>
  <c r="H257" i="7"/>
  <c r="H99" i="25" s="1"/>
  <c r="AA789" i="7"/>
  <c r="AA814" i="7" s="1"/>
  <c r="AB1003" i="7"/>
  <c r="AB1017" i="7" s="1"/>
  <c r="AB668" i="7"/>
  <c r="AB680" i="7" s="1"/>
  <c r="AA592" i="7"/>
  <c r="DX33" i="6" s="1"/>
  <c r="AB593" i="7"/>
  <c r="ED28" i="6" s="1"/>
  <c r="AB231" i="7"/>
  <c r="D222" i="2" s="1"/>
  <c r="AB228" i="7"/>
  <c r="AB139" i="7"/>
  <c r="AB689" i="7"/>
  <c r="G692" i="7"/>
  <c r="G203" i="7" s="1"/>
  <c r="G520" i="7"/>
  <c r="AC792" i="7"/>
  <c r="AC791" i="7"/>
  <c r="E225" i="2" s="1"/>
  <c r="AV225" i="2" s="1"/>
  <c r="AC317" i="7"/>
  <c r="AD317" i="7" s="1"/>
  <c r="AC689" i="7"/>
  <c r="E245" i="2" s="1"/>
  <c r="H484" i="20" s="1"/>
  <c r="Y484" i="20" s="1"/>
  <c r="M49" i="23"/>
  <c r="X547" i="7"/>
  <c r="X551" i="7" s="1"/>
  <c r="O547" i="7"/>
  <c r="Z165" i="8"/>
  <c r="V133" i="8"/>
  <c r="U831" i="7"/>
  <c r="U844" i="7" s="1"/>
  <c r="Q831" i="7"/>
  <c r="M831" i="7"/>
  <c r="M844" i="7" s="1"/>
  <c r="I831" i="7"/>
  <c r="I1139" i="7" s="1"/>
  <c r="Z797" i="7"/>
  <c r="DS40" i="6" s="1"/>
  <c r="V797" i="7"/>
  <c r="V1138" i="7" s="1"/>
  <c r="R797" i="7"/>
  <c r="N797" i="7"/>
  <c r="AY40" i="6" s="1"/>
  <c r="J797" i="7"/>
  <c r="J1138" i="7" s="1"/>
  <c r="X234" i="7"/>
  <c r="X251" i="7" s="1"/>
  <c r="T234" i="7"/>
  <c r="T1122" i="7" s="1"/>
  <c r="P234" i="7"/>
  <c r="P251" i="7" s="1"/>
  <c r="L234" i="7"/>
  <c r="L1122" i="7" s="1"/>
  <c r="H234" i="7"/>
  <c r="H251" i="7" s="1"/>
  <c r="AA140" i="7"/>
  <c r="AA1120" i="7" s="1"/>
  <c r="W140" i="7"/>
  <c r="W1120" i="7" s="1"/>
  <c r="S140" i="7"/>
  <c r="O140" i="7"/>
  <c r="O1120" i="7" s="1"/>
  <c r="K140" i="7"/>
  <c r="K1120" i="7" s="1"/>
  <c r="G140" i="7"/>
  <c r="X31" i="7"/>
  <c r="DG16" i="6" s="1"/>
  <c r="T31" i="7"/>
  <c r="T1121" i="7" s="1"/>
  <c r="P31" i="7"/>
  <c r="BK16" i="6" s="1"/>
  <c r="L31" i="7"/>
  <c r="H31" i="7"/>
  <c r="O16" i="6" s="1"/>
  <c r="AB140" i="7"/>
  <c r="AC140" i="7" s="1"/>
  <c r="V592" i="7"/>
  <c r="CT33" i="6" s="1"/>
  <c r="Q205" i="23"/>
  <c r="N791" i="7"/>
  <c r="N92" i="25" s="1"/>
  <c r="H793" i="7"/>
  <c r="O852" i="7"/>
  <c r="O1111" i="7" s="1"/>
  <c r="Q563" i="7"/>
  <c r="T791" i="7"/>
  <c r="S63" i="8"/>
  <c r="AC141" i="7"/>
  <c r="EJ17" i="6" s="1"/>
  <c r="EG17" i="6" s="1"/>
  <c r="AC788" i="7"/>
  <c r="AD788" i="7" s="1"/>
  <c r="G668" i="7"/>
  <c r="AA689" i="7"/>
  <c r="AA64" i="7" s="1"/>
  <c r="ED11" i="6"/>
  <c r="AA668" i="7"/>
  <c r="AA1106" i="7" s="1"/>
  <c r="AA237" i="23"/>
  <c r="T319" i="7"/>
  <c r="T1044" i="7" s="1"/>
  <c r="U520" i="7"/>
  <c r="U88" i="25" s="1"/>
  <c r="P690" i="7"/>
  <c r="P691" i="7" s="1"/>
  <c r="BM46" i="11"/>
  <c r="P52" i="8"/>
  <c r="N547" i="7"/>
  <c r="AC970" i="7"/>
  <c r="AC981" i="7" s="1"/>
  <c r="T831" i="7"/>
  <c r="T844" i="7" s="1"/>
  <c r="P831" i="7"/>
  <c r="P1139" i="7" s="1"/>
  <c r="L831" i="7"/>
  <c r="AM45" i="6" s="1"/>
  <c r="H831" i="7"/>
  <c r="O45" i="6" s="1"/>
  <c r="Y797" i="7"/>
  <c r="U797" i="7"/>
  <c r="Q797" i="7"/>
  <c r="Q822" i="7" s="1"/>
  <c r="M797" i="7"/>
  <c r="I797" i="7"/>
  <c r="AA234" i="7"/>
  <c r="AA251" i="7" s="1"/>
  <c r="W234" i="7"/>
  <c r="S234" i="7"/>
  <c r="S1122" i="7" s="1"/>
  <c r="O234" i="7"/>
  <c r="K234" i="7"/>
  <c r="G234" i="7"/>
  <c r="Z140" i="7"/>
  <c r="V140" i="7"/>
  <c r="R140" i="7"/>
  <c r="R1120" i="7" s="1"/>
  <c r="N140" i="7"/>
  <c r="N1120" i="7" s="1"/>
  <c r="J140" i="7"/>
  <c r="J157" i="7" s="1"/>
  <c r="AA31" i="7"/>
  <c r="W31" i="7"/>
  <c r="W49" i="7" s="1"/>
  <c r="S31" i="7"/>
  <c r="S1043" i="7" s="1"/>
  <c r="O31" i="7"/>
  <c r="O1121" i="7" s="1"/>
  <c r="K31" i="7"/>
  <c r="K49" i="7" s="1"/>
  <c r="G31" i="7"/>
  <c r="I16" i="6" s="1"/>
  <c r="AB234" i="7"/>
  <c r="AB251" i="7" s="1"/>
  <c r="L142" i="17"/>
  <c r="L116" i="17"/>
  <c r="P116" i="17"/>
  <c r="AI67" i="17"/>
  <c r="P210" i="17"/>
  <c r="O219" i="17"/>
  <c r="U547" i="7"/>
  <c r="N133" i="8"/>
  <c r="N165" i="8"/>
  <c r="T547" i="7"/>
  <c r="AB77" i="23"/>
  <c r="AB83" i="23" s="1"/>
  <c r="CV46" i="11"/>
  <c r="AF37" i="6"/>
  <c r="CG46" i="6"/>
  <c r="T230" i="8"/>
  <c r="J230" i="8"/>
  <c r="R58" i="25"/>
  <c r="P221" i="8"/>
  <c r="Z752" i="7"/>
  <c r="AM752" i="7" s="1"/>
  <c r="AA83" i="23"/>
  <c r="Q138" i="23"/>
  <c r="K77" i="23"/>
  <c r="T927" i="7"/>
  <c r="T362" i="23"/>
  <c r="T752" i="7"/>
  <c r="BS5" i="6"/>
  <c r="BM16" i="11"/>
  <c r="R577" i="7"/>
  <c r="R255" i="23"/>
  <c r="N470" i="23"/>
  <c r="K362" i="23"/>
  <c r="J470" i="23"/>
  <c r="X462" i="23"/>
  <c r="N451" i="23"/>
  <c r="BC8" i="11"/>
  <c r="P408" i="23"/>
  <c r="J261" i="23"/>
  <c r="J62" i="7"/>
  <c r="J402" i="23"/>
  <c r="J66" i="25"/>
  <c r="J90" i="7"/>
  <c r="J9" i="7"/>
  <c r="J375" i="23"/>
  <c r="K195" i="23"/>
  <c r="I233" i="23"/>
  <c r="H263" i="23"/>
  <c r="H29" i="25"/>
  <c r="O64" i="11"/>
  <c r="M31" i="25"/>
  <c r="M421" i="23"/>
  <c r="BH62" i="11"/>
  <c r="Q231" i="23"/>
  <c r="Y231" i="23"/>
  <c r="CV62" i="11"/>
  <c r="I416" i="23"/>
  <c r="I226" i="23"/>
  <c r="I214" i="23"/>
  <c r="I221" i="23" s="1"/>
  <c r="BH87" i="11"/>
  <c r="Q313" i="23"/>
  <c r="R319" i="23" s="1"/>
  <c r="N344" i="23"/>
  <c r="N36" i="25"/>
  <c r="N316" i="23"/>
  <c r="N461" i="23"/>
  <c r="R316" i="23"/>
  <c r="R78" i="7"/>
  <c r="R344" i="23"/>
  <c r="R326" i="23"/>
  <c r="R36" i="25"/>
  <c r="BM101" i="11"/>
  <c r="T408" i="23"/>
  <c r="T59" i="23"/>
  <c r="BJ59" i="17"/>
  <c r="N36" i="23"/>
  <c r="AP58" i="11" s="1"/>
  <c r="AQ58" i="11" s="1"/>
  <c r="N417" i="23"/>
  <c r="Z118" i="23"/>
  <c r="Z4" i="23" s="1"/>
  <c r="CD207" i="17"/>
  <c r="Y121" i="23"/>
  <c r="Z117" i="23"/>
  <c r="CX101" i="11" s="1"/>
  <c r="R460" i="23"/>
  <c r="R116" i="23"/>
  <c r="BJ100" i="11" s="1"/>
  <c r="S116" i="23"/>
  <c r="BO100" i="11" s="1"/>
  <c r="M169" i="23"/>
  <c r="AK118" i="11" s="1"/>
  <c r="S257" i="23"/>
  <c r="S1086" i="7"/>
  <c r="X223" i="8"/>
  <c r="Z37" i="6"/>
  <c r="J201" i="23"/>
  <c r="J699" i="7" s="1"/>
  <c r="S21" i="8"/>
  <c r="R23" i="8"/>
  <c r="R21" i="8"/>
  <c r="R6" i="8"/>
  <c r="J53" i="25"/>
  <c r="K16" i="8"/>
  <c r="Y16" i="8"/>
  <c r="X16" i="8"/>
  <c r="J20" i="8"/>
  <c r="J14" i="8"/>
  <c r="P51" i="25"/>
  <c r="P20" i="8"/>
  <c r="W20" i="8"/>
  <c r="V51" i="25"/>
  <c r="V20" i="8"/>
  <c r="W55" i="25"/>
  <c r="P28" i="8"/>
  <c r="P188" i="8" s="1"/>
  <c r="AB451" i="23"/>
  <c r="Q201" i="23"/>
  <c r="BH48" i="11" s="1"/>
  <c r="AR38" i="6"/>
  <c r="M201" i="23"/>
  <c r="M699" i="7" s="1"/>
  <c r="DP46" i="6"/>
  <c r="Z253" i="23"/>
  <c r="Z234" i="8"/>
  <c r="AA345" i="23"/>
  <c r="AB40" i="23"/>
  <c r="DH62" i="11" s="1"/>
  <c r="DI62" i="11" s="1"/>
  <c r="AA40" i="23"/>
  <c r="DC62" i="11" s="1"/>
  <c r="H99" i="23"/>
  <c r="N147" i="17"/>
  <c r="R152" i="17" s="1"/>
  <c r="U757" i="7"/>
  <c r="U756" i="7"/>
  <c r="I756" i="7"/>
  <c r="I926" i="7"/>
  <c r="I928" i="7"/>
  <c r="T289" i="23"/>
  <c r="X1148" i="7"/>
  <c r="X1149" i="7" s="1"/>
  <c r="X1150" i="7"/>
  <c r="P274" i="23"/>
  <c r="BC80" i="11" s="1"/>
  <c r="P853" i="7"/>
  <c r="J853" i="7"/>
  <c r="J274" i="23"/>
  <c r="V32" i="25"/>
  <c r="CG63" i="11"/>
  <c r="AI57" i="11"/>
  <c r="L416" i="23"/>
  <c r="W417" i="23"/>
  <c r="W26" i="25"/>
  <c r="BM58" i="11"/>
  <c r="R227" i="23"/>
  <c r="AD58" i="11"/>
  <c r="AE58" i="11" s="1"/>
  <c r="K227" i="23"/>
  <c r="K31" i="25"/>
  <c r="AD62" i="11"/>
  <c r="AE62" i="11" s="1"/>
  <c r="L231" i="23"/>
  <c r="T263" i="23"/>
  <c r="T233" i="23"/>
  <c r="CE46" i="6"/>
  <c r="CE95" i="6" s="1"/>
  <c r="BC64" i="11"/>
  <c r="BD64" i="11" s="1"/>
  <c r="P29" i="25"/>
  <c r="P233" i="23"/>
  <c r="L233" i="23"/>
  <c r="L263" i="23"/>
  <c r="L29" i="25"/>
  <c r="CQ34" i="11"/>
  <c r="DD36" i="6"/>
  <c r="CQ7" i="11"/>
  <c r="X27" i="25"/>
  <c r="X115" i="7"/>
  <c r="X9" i="7"/>
  <c r="Q115" i="7"/>
  <c r="BH34" i="11"/>
  <c r="Q27" i="25"/>
  <c r="BH7" i="11"/>
  <c r="BN36" i="6"/>
  <c r="CQ49" i="11"/>
  <c r="X28" i="25"/>
  <c r="X262" i="23"/>
  <c r="BH8" i="11"/>
  <c r="Q28" i="25"/>
  <c r="BH49" i="11"/>
  <c r="Q698" i="7"/>
  <c r="I698" i="7"/>
  <c r="T49" i="11"/>
  <c r="I28" i="25"/>
  <c r="I207" i="23"/>
  <c r="D177" i="2"/>
  <c r="AU177" i="2" s="1"/>
  <c r="AC8" i="8"/>
  <c r="AC9" i="8" s="1"/>
  <c r="AC49" i="25"/>
  <c r="AC76" i="8"/>
  <c r="AC101" i="8" s="1"/>
  <c r="AC28" i="8"/>
  <c r="AD89" i="23"/>
  <c r="AE89" i="23" s="1"/>
  <c r="AC451" i="23"/>
  <c r="AC77" i="23"/>
  <c r="AC68" i="23"/>
  <c r="AC5" i="23" s="1"/>
  <c r="AB232" i="8"/>
  <c r="D161" i="2"/>
  <c r="F194" i="20" s="1"/>
  <c r="W194" i="20" s="1"/>
  <c r="AB47" i="25"/>
  <c r="E144" i="2"/>
  <c r="E311" i="2" s="1"/>
  <c r="DP85" i="11"/>
  <c r="DS85" i="11" s="1"/>
  <c r="DU85" i="11" s="1"/>
  <c r="AC297" i="23"/>
  <c r="AB417" i="23"/>
  <c r="DK58" i="11"/>
  <c r="D138" i="2"/>
  <c r="DK64" i="11"/>
  <c r="AA688" i="7"/>
  <c r="AA717" i="7" s="1"/>
  <c r="DX11" i="6"/>
  <c r="AA189" i="8"/>
  <c r="AA213" i="8" s="1"/>
  <c r="K116" i="17"/>
  <c r="AZ62" i="17"/>
  <c r="Z53" i="23"/>
  <c r="H58" i="8"/>
  <c r="P547" i="7"/>
  <c r="P581" i="7" s="1"/>
  <c r="P577" i="7"/>
  <c r="L547" i="7"/>
  <c r="W568" i="7"/>
  <c r="K582" i="7"/>
  <c r="J547" i="7"/>
  <c r="T62" i="11"/>
  <c r="Z62" i="11" s="1"/>
  <c r="I421" i="23"/>
  <c r="I31" i="25"/>
  <c r="S231" i="23"/>
  <c r="R421" i="23"/>
  <c r="BM62" i="11"/>
  <c r="V226" i="23"/>
  <c r="U214" i="23"/>
  <c r="U418" i="23" s="1"/>
  <c r="O232" i="23"/>
  <c r="O422" i="23"/>
  <c r="W5" i="6"/>
  <c r="J578" i="7"/>
  <c r="J577" i="7"/>
  <c r="J924" i="7"/>
  <c r="R751" i="7"/>
  <c r="R928" i="7"/>
  <c r="R756" i="7"/>
  <c r="R578" i="7"/>
  <c r="R755" i="7"/>
  <c r="R754" i="7"/>
  <c r="R926" i="7"/>
  <c r="R38" i="25"/>
  <c r="R1049" i="7"/>
  <c r="R925" i="7"/>
  <c r="R306" i="7"/>
  <c r="R753" i="7"/>
  <c r="T757" i="7"/>
  <c r="T754" i="7"/>
  <c r="T470" i="23"/>
  <c r="T38" i="25"/>
  <c r="T255" i="23"/>
  <c r="T925" i="7"/>
  <c r="T579" i="7"/>
  <c r="T234" i="8"/>
  <c r="T1049" i="7"/>
  <c r="T923" i="7"/>
  <c r="T755" i="7"/>
  <c r="T928" i="7"/>
  <c r="T753" i="7"/>
  <c r="T751" i="7"/>
  <c r="N48" i="23"/>
  <c r="N29" i="23"/>
  <c r="N108" i="17"/>
  <c r="N113" i="17" s="1"/>
  <c r="H77" i="23"/>
  <c r="I83" i="23" s="1"/>
  <c r="AP108" i="17"/>
  <c r="AT113" i="17" s="1"/>
  <c r="O68" i="23"/>
  <c r="O5" i="23" s="1"/>
  <c r="V229" i="17"/>
  <c r="J138" i="23"/>
  <c r="R243" i="8"/>
  <c r="R245" i="8" s="1"/>
  <c r="R249" i="8" s="1"/>
  <c r="R169" i="23"/>
  <c r="BJ118" i="11" s="1"/>
  <c r="AA1148" i="7"/>
  <c r="AA1150" i="7"/>
  <c r="CL13" i="6"/>
  <c r="U19" i="7"/>
  <c r="BI11" i="6"/>
  <c r="P230" i="8"/>
  <c r="BP37" i="6"/>
  <c r="R205" i="23"/>
  <c r="BH46" i="11"/>
  <c r="X219" i="17"/>
  <c r="BK174" i="17"/>
  <c r="AA79" i="17"/>
  <c r="N582" i="7"/>
  <c r="Q60" i="23"/>
  <c r="P222" i="8"/>
  <c r="U58" i="25"/>
  <c r="V221" i="8"/>
  <c r="X169" i="23"/>
  <c r="CN118" i="11" s="1"/>
  <c r="L68" i="23"/>
  <c r="R232" i="8"/>
  <c r="T576" i="7"/>
  <c r="T756" i="7"/>
  <c r="T926" i="7"/>
  <c r="T924" i="7"/>
  <c r="R470" i="23"/>
  <c r="R362" i="23"/>
  <c r="R923" i="7"/>
  <c r="BM115" i="11"/>
  <c r="R579" i="7"/>
  <c r="J579" i="7"/>
  <c r="N460" i="23"/>
  <c r="D179" i="2"/>
  <c r="AN34" i="8"/>
  <c r="AB55" i="25"/>
  <c r="AB298" i="23"/>
  <c r="DK86" i="11"/>
  <c r="D143" i="2"/>
  <c r="N231" i="23"/>
  <c r="N31" i="25"/>
  <c r="O231" i="23"/>
  <c r="M227" i="23"/>
  <c r="AI58" i="11"/>
  <c r="L26" i="25"/>
  <c r="U32" i="25"/>
  <c r="U232" i="23"/>
  <c r="N757" i="7"/>
  <c r="N362" i="23"/>
  <c r="N751" i="7"/>
  <c r="S29" i="23"/>
  <c r="S48" i="23"/>
  <c r="S49" i="23" s="1"/>
  <c r="R96" i="23"/>
  <c r="BJ13" i="11" s="1"/>
  <c r="Q96" i="23"/>
  <c r="BE13" i="11" s="1"/>
  <c r="Q122" i="23"/>
  <c r="W136" i="23"/>
  <c r="U138" i="23"/>
  <c r="BJ229" i="17"/>
  <c r="Z423" i="23"/>
  <c r="Z60" i="23"/>
  <c r="Z35" i="25"/>
  <c r="Z297" i="23"/>
  <c r="R168" i="8"/>
  <c r="BT13" i="6"/>
  <c r="BS13" i="6" s="1"/>
  <c r="R234" i="8"/>
  <c r="T257" i="23"/>
  <c r="T1086" i="7"/>
  <c r="Z205" i="23"/>
  <c r="Y205" i="23"/>
  <c r="Y86" i="25"/>
  <c r="Q452" i="23"/>
  <c r="P1150" i="7"/>
  <c r="O853" i="7"/>
  <c r="CB63" i="11"/>
  <c r="O32" i="25"/>
  <c r="R416" i="23"/>
  <c r="L227" i="23"/>
  <c r="N421" i="23"/>
  <c r="O9" i="11"/>
  <c r="X36" i="6"/>
  <c r="Y7" i="11"/>
  <c r="P207" i="23"/>
  <c r="AB35" i="25"/>
  <c r="AC298" i="23"/>
  <c r="Y117" i="23"/>
  <c r="CS101" i="11" s="1"/>
  <c r="L214" i="23"/>
  <c r="AI59" i="11" s="1"/>
  <c r="Z48" i="25"/>
  <c r="Z133" i="8"/>
  <c r="Z136" i="8"/>
  <c r="AC33" i="8"/>
  <c r="AD33" i="8" s="1"/>
  <c r="E159" i="2"/>
  <c r="AV159" i="2" s="1"/>
  <c r="AC99" i="8"/>
  <c r="BM57" i="11"/>
  <c r="BN57" i="11" s="1"/>
  <c r="R214" i="23"/>
  <c r="R30" i="25" s="1"/>
  <c r="K232" i="23"/>
  <c r="K422" i="23"/>
  <c r="P232" i="23"/>
  <c r="P422" i="23"/>
  <c r="W422" i="23"/>
  <c r="W32" i="25"/>
  <c r="I297" i="23"/>
  <c r="H450" i="23"/>
  <c r="K326" i="23"/>
  <c r="K37" i="25"/>
  <c r="K460" i="23"/>
  <c r="K926" i="7"/>
  <c r="K923" i="7"/>
  <c r="K576" i="7"/>
  <c r="K754" i="7"/>
  <c r="K753" i="7"/>
  <c r="K257" i="23"/>
  <c r="AC5" i="6"/>
  <c r="K755" i="7"/>
  <c r="K1049" i="7"/>
  <c r="K255" i="23"/>
  <c r="K927" i="7"/>
  <c r="V289" i="23"/>
  <c r="V756" i="7"/>
  <c r="V927" i="7"/>
  <c r="V306" i="7"/>
  <c r="W307" i="7" s="1"/>
  <c r="V753" i="7"/>
  <c r="K48" i="23"/>
  <c r="K49" i="23" s="1"/>
  <c r="K29" i="23"/>
  <c r="K60" i="23" s="1"/>
  <c r="R108" i="17"/>
  <c r="I68" i="23"/>
  <c r="L77" i="23"/>
  <c r="M83" i="23" s="1"/>
  <c r="M68" i="23"/>
  <c r="P77" i="23"/>
  <c r="P68" i="23"/>
  <c r="P5" i="23" s="1"/>
  <c r="Z207" i="23"/>
  <c r="Z262" i="23"/>
  <c r="Z698" i="7"/>
  <c r="Z736" i="7" s="1"/>
  <c r="Z408" i="23"/>
  <c r="AB299" i="23"/>
  <c r="DF87" i="11"/>
  <c r="DG87" i="11" s="1"/>
  <c r="AA299" i="23"/>
  <c r="DF13" i="11"/>
  <c r="C144" i="2"/>
  <c r="AT144" i="2" s="1"/>
  <c r="DF85" i="11"/>
  <c r="DL85" i="11" s="1"/>
  <c r="AA460" i="23"/>
  <c r="C146" i="2"/>
  <c r="AA329" i="23"/>
  <c r="AA752" i="7"/>
  <c r="AA926" i="7"/>
  <c r="DF16" i="11"/>
  <c r="AA755" i="7"/>
  <c r="DF115" i="11"/>
  <c r="AA470" i="23"/>
  <c r="DU5" i="6"/>
  <c r="AA38" i="25"/>
  <c r="T226" i="8"/>
  <c r="BZ13" i="6"/>
  <c r="S234" i="8"/>
  <c r="S226" i="8"/>
  <c r="H229" i="8"/>
  <c r="H215" i="8"/>
  <c r="H72" i="25"/>
  <c r="M11" i="6"/>
  <c r="AA72" i="25"/>
  <c r="DW11" i="6"/>
  <c r="Q165" i="8"/>
  <c r="Q87" i="25"/>
  <c r="Q231" i="8"/>
  <c r="AX82" i="17"/>
  <c r="J51" i="25"/>
  <c r="X9" i="8"/>
  <c r="J9" i="8"/>
  <c r="AB243" i="8"/>
  <c r="AB78" i="23"/>
  <c r="K86" i="25"/>
  <c r="Y231" i="8"/>
  <c r="Q688" i="7"/>
  <c r="BW72" i="11"/>
  <c r="AA222" i="8"/>
  <c r="T253" i="23"/>
  <c r="U226" i="8"/>
  <c r="R19" i="7"/>
  <c r="AA1030" i="7"/>
  <c r="AA987" i="7"/>
  <c r="AA289" i="23"/>
  <c r="DA49" i="11"/>
  <c r="X243" i="8"/>
  <c r="X245" i="8" s="1"/>
  <c r="X249" i="8" s="1"/>
  <c r="N169" i="23"/>
  <c r="AP118" i="11" s="1"/>
  <c r="AX166" i="17"/>
  <c r="Y99" i="23"/>
  <c r="O77" i="23"/>
  <c r="O83" i="23" s="1"/>
  <c r="AD108" i="17"/>
  <c r="H68" i="23"/>
  <c r="T16" i="23"/>
  <c r="V754" i="7"/>
  <c r="CE5" i="6"/>
  <c r="T577" i="7"/>
  <c r="R752" i="7"/>
  <c r="R924" i="7"/>
  <c r="AD16" i="11"/>
  <c r="K752" i="7"/>
  <c r="K756" i="7"/>
  <c r="K924" i="7"/>
  <c r="Y16" i="11"/>
  <c r="K329" i="23"/>
  <c r="H35" i="25"/>
  <c r="CL63" i="11"/>
  <c r="CR63" i="11" s="1"/>
  <c r="AX63" i="11"/>
  <c r="U226" i="23"/>
  <c r="L417" i="23"/>
  <c r="R231" i="23"/>
  <c r="AN62" i="11"/>
  <c r="CG9" i="11"/>
  <c r="Y34" i="11"/>
  <c r="AC244" i="8"/>
  <c r="AC245" i="8" s="1"/>
  <c r="AC249" i="8" s="1"/>
  <c r="AB344" i="23"/>
  <c r="Z113" i="8"/>
  <c r="R223" i="8"/>
  <c r="K253" i="23"/>
  <c r="W14" i="8"/>
  <c r="U121" i="23"/>
  <c r="AC201" i="23"/>
  <c r="EJ37" i="6"/>
  <c r="AC205" i="23"/>
  <c r="G189" i="8"/>
  <c r="G213" i="8" s="1"/>
  <c r="H11" i="6"/>
  <c r="DP49" i="11"/>
  <c r="E137" i="2"/>
  <c r="H489" i="20" s="1"/>
  <c r="Y489" i="20" s="1"/>
  <c r="AC202" i="23"/>
  <c r="AC262" i="23"/>
  <c r="AB444" i="23"/>
  <c r="H402" i="23"/>
  <c r="H62" i="7"/>
  <c r="H115" i="7"/>
  <c r="BC7" i="11"/>
  <c r="P261" i="23"/>
  <c r="P27" i="25"/>
  <c r="T90" i="7"/>
  <c r="T9" i="7"/>
  <c r="Y195" i="23"/>
  <c r="DJ36" i="6"/>
  <c r="Y261" i="23"/>
  <c r="Y27" i="25"/>
  <c r="Y375" i="23"/>
  <c r="Y9" i="7"/>
  <c r="CQ62" i="11"/>
  <c r="X421" i="23"/>
  <c r="Q26" i="25"/>
  <c r="BH58" i="11"/>
  <c r="P353" i="23"/>
  <c r="BC15" i="11"/>
  <c r="BD15" i="11" s="1"/>
  <c r="M36" i="25"/>
  <c r="AN101" i="11"/>
  <c r="V316" i="23"/>
  <c r="CG101" i="11"/>
  <c r="V36" i="25"/>
  <c r="AI100" i="11"/>
  <c r="AJ100" i="11" s="1"/>
  <c r="L329" i="23"/>
  <c r="L460" i="23"/>
  <c r="BR59" i="17"/>
  <c r="V16" i="23"/>
  <c r="I10" i="23"/>
  <c r="H58" i="23"/>
  <c r="I65" i="23" s="1"/>
  <c r="Z35" i="23"/>
  <c r="CX57" i="11" s="1"/>
  <c r="N450" i="23"/>
  <c r="O94" i="23"/>
  <c r="AU85" i="11" s="1"/>
  <c r="J462" i="23"/>
  <c r="J130" i="23"/>
  <c r="J122" i="23"/>
  <c r="J118" i="23"/>
  <c r="V15" i="11" s="1"/>
  <c r="O462" i="23"/>
  <c r="O118" i="23"/>
  <c r="AU15" i="11" s="1"/>
  <c r="AA68" i="23"/>
  <c r="AA5" i="23" s="1"/>
  <c r="CL108" i="17"/>
  <c r="DF64" i="11"/>
  <c r="AA29" i="25"/>
  <c r="DD11" i="6"/>
  <c r="BN46" i="6"/>
  <c r="BH71" i="11"/>
  <c r="Q10" i="7"/>
  <c r="Q63" i="7"/>
  <c r="V10" i="7"/>
  <c r="CR46" i="6"/>
  <c r="CG71" i="11"/>
  <c r="Y11" i="6"/>
  <c r="K222" i="8"/>
  <c r="J222" i="8"/>
  <c r="J6" i="8"/>
  <c r="J15" i="8"/>
  <c r="P6" i="8"/>
  <c r="P52" i="25"/>
  <c r="V53" i="25"/>
  <c r="V9" i="8"/>
  <c r="U33" i="8"/>
  <c r="U77" i="8" s="1"/>
  <c r="U52" i="8"/>
  <c r="H133" i="8"/>
  <c r="H166" i="8"/>
  <c r="H180" i="8" s="1"/>
  <c r="X35" i="8"/>
  <c r="X52" i="8"/>
  <c r="X24" i="8"/>
  <c r="X23" i="8"/>
  <c r="M101" i="8"/>
  <c r="R165" i="8"/>
  <c r="R231" i="8"/>
  <c r="CB72" i="11"/>
  <c r="U249" i="23"/>
  <c r="J1069" i="7"/>
  <c r="Y71" i="11"/>
  <c r="N205" i="1"/>
  <c r="X59" i="25"/>
  <c r="X168" i="8"/>
  <c r="Y138" i="8"/>
  <c r="P226" i="8"/>
  <c r="BB13" i="6"/>
  <c r="O234" i="8"/>
  <c r="R13" i="6"/>
  <c r="Q13" i="6" s="1"/>
  <c r="I168" i="8"/>
  <c r="K229" i="8"/>
  <c r="Z78" i="7"/>
  <c r="Z79" i="7" s="1"/>
  <c r="Z316" i="23"/>
  <c r="DF8" i="11"/>
  <c r="AA408" i="23"/>
  <c r="U243" i="8"/>
  <c r="V169" i="23"/>
  <c r="CD118" i="11" s="1"/>
  <c r="T117" i="23"/>
  <c r="BT101" i="11" s="1"/>
  <c r="P130" i="23"/>
  <c r="P136" i="23" s="1"/>
  <c r="P122" i="23"/>
  <c r="Q118" i="23"/>
  <c r="Q95" i="23"/>
  <c r="BE86" i="11" s="1"/>
  <c r="P121" i="23"/>
  <c r="Y48" i="23"/>
  <c r="Y29" i="23"/>
  <c r="Z42" i="23" s="1"/>
  <c r="CX9" i="11" s="1"/>
  <c r="L29" i="23"/>
  <c r="L48" i="23"/>
  <c r="M55" i="23" s="1"/>
  <c r="W229" i="8"/>
  <c r="W927" i="7"/>
  <c r="W578" i="7"/>
  <c r="W1049" i="7"/>
  <c r="W757" i="7"/>
  <c r="W952" i="7"/>
  <c r="W959" i="7" s="1"/>
  <c r="O230" i="8"/>
  <c r="O752" i="7"/>
  <c r="O1049" i="7"/>
  <c r="O926" i="7"/>
  <c r="O925" i="7"/>
  <c r="P362" i="23"/>
  <c r="O232" i="8"/>
  <c r="T37" i="25"/>
  <c r="U329" i="23"/>
  <c r="L330" i="23"/>
  <c r="K78" i="7"/>
  <c r="K79" i="7" s="1"/>
  <c r="Y353" i="23"/>
  <c r="CV102" i="11"/>
  <c r="Q316" i="23"/>
  <c r="Q34" i="25"/>
  <c r="I294" i="23"/>
  <c r="T86" i="11"/>
  <c r="Z86" i="11" s="1"/>
  <c r="V452" i="23"/>
  <c r="V313" i="23"/>
  <c r="Y1150" i="7"/>
  <c r="Y1148" i="7"/>
  <c r="Y1149" i="7" s="1"/>
  <c r="U1148" i="7"/>
  <c r="U1149" i="7" s="1"/>
  <c r="U1150" i="7"/>
  <c r="Q1150" i="7"/>
  <c r="Q1148" i="7"/>
  <c r="Q1149" i="7" s="1"/>
  <c r="Q274" i="23"/>
  <c r="Q853" i="7"/>
  <c r="Q866" i="7" s="1"/>
  <c r="X32" i="25"/>
  <c r="AS63" i="11"/>
  <c r="N32" i="25"/>
  <c r="Y226" i="23"/>
  <c r="Y214" i="23"/>
  <c r="CB9" i="11"/>
  <c r="U263" i="23"/>
  <c r="Q263" i="23"/>
  <c r="Q29" i="25"/>
  <c r="Q46" i="6"/>
  <c r="Q95" i="6" s="1"/>
  <c r="T64" i="11"/>
  <c r="U66" i="25"/>
  <c r="U27" i="25"/>
  <c r="U115" i="7"/>
  <c r="Y28" i="25"/>
  <c r="Y408" i="23"/>
  <c r="N207" i="23"/>
  <c r="M28" i="25"/>
  <c r="AB1150" i="7"/>
  <c r="AB1148" i="7"/>
  <c r="AB168" i="8"/>
  <c r="AB58" i="25"/>
  <c r="K133" i="8"/>
  <c r="I547" i="7"/>
  <c r="I551" i="7" s="1"/>
  <c r="AC233" i="23"/>
  <c r="W232" i="8"/>
  <c r="V36" i="23"/>
  <c r="CD58" i="11" s="1"/>
  <c r="U416" i="23"/>
  <c r="K118" i="23"/>
  <c r="AA15" i="11" s="1"/>
  <c r="AB15" i="11" s="1"/>
  <c r="H547" i="7"/>
  <c r="U113" i="8"/>
  <c r="S33" i="8"/>
  <c r="O138" i="1"/>
  <c r="AI135" i="17"/>
  <c r="AI10" i="17" s="1"/>
  <c r="AA155" i="17"/>
  <c r="Q951" i="7"/>
  <c r="Q952" i="7" s="1"/>
  <c r="Q959" i="7" s="1"/>
  <c r="Z245" i="8"/>
  <c r="Z249" i="8" s="1"/>
  <c r="K580" i="7"/>
  <c r="N422" i="23"/>
  <c r="J74" i="23"/>
  <c r="M547" i="7"/>
  <c r="K196" i="17"/>
  <c r="R28" i="8"/>
  <c r="R188" i="8" s="1"/>
  <c r="K252" i="1"/>
  <c r="T233" i="1"/>
  <c r="T216" i="8" s="1"/>
  <c r="S951" i="7"/>
  <c r="S952" i="7" s="1"/>
  <c r="S959" i="7" s="1"/>
  <c r="AC224" i="8"/>
  <c r="E161" i="2"/>
  <c r="AC190" i="8"/>
  <c r="AC248" i="8" s="1"/>
  <c r="J48" i="23"/>
  <c r="J29" i="23"/>
  <c r="U29" i="23"/>
  <c r="U48" i="23"/>
  <c r="U49" i="23" s="1"/>
  <c r="J40" i="23"/>
  <c r="V62" i="11" s="1"/>
  <c r="K40" i="23"/>
  <c r="AA62" i="11" s="1"/>
  <c r="AB62" i="11" s="1"/>
  <c r="T36" i="23"/>
  <c r="BT58" i="11" s="1"/>
  <c r="BU58" i="11" s="1"/>
  <c r="U36" i="23"/>
  <c r="BY58" i="11" s="1"/>
  <c r="T417" i="23"/>
  <c r="H416" i="23"/>
  <c r="I35" i="23"/>
  <c r="Q57" i="11" s="1"/>
  <c r="Q416" i="23"/>
  <c r="R35" i="23"/>
  <c r="BJ57" i="11" s="1"/>
  <c r="BK57" i="11" s="1"/>
  <c r="T422" i="23"/>
  <c r="U41" i="23"/>
  <c r="BY63" i="11" s="1"/>
  <c r="N118" i="23"/>
  <c r="M462" i="23"/>
  <c r="M122" i="23"/>
  <c r="M118" i="23"/>
  <c r="AK15" i="11" s="1"/>
  <c r="X138" i="23"/>
  <c r="BZ229" i="17"/>
  <c r="BZ234" i="17" s="1"/>
  <c r="BZ3" i="17" s="1"/>
  <c r="Z122" i="23"/>
  <c r="Z96" i="23"/>
  <c r="CX13" i="11" s="1"/>
  <c r="CH166" i="17"/>
  <c r="Z927" i="7"/>
  <c r="AM927" i="7" s="1"/>
  <c r="DO5" i="6"/>
  <c r="Z756" i="7"/>
  <c r="AM756" i="7" s="1"/>
  <c r="DA16" i="11"/>
  <c r="Z231" i="8"/>
  <c r="Z757" i="7"/>
  <c r="AM757" i="7" s="1"/>
  <c r="Z38" i="25"/>
  <c r="Z1049" i="7"/>
  <c r="AM1049" i="7" s="1"/>
  <c r="Z255" i="23"/>
  <c r="Z230" i="8"/>
  <c r="Z928" i="7"/>
  <c r="AM928" i="7" s="1"/>
  <c r="Z578" i="7"/>
  <c r="AM578" i="7" s="1"/>
  <c r="Z987" i="7"/>
  <c r="AM987" i="7" s="1"/>
  <c r="Z755" i="7"/>
  <c r="AM755" i="7" s="1"/>
  <c r="Z470" i="23"/>
  <c r="J19" i="7"/>
  <c r="J226" i="8"/>
  <c r="L168" i="8"/>
  <c r="AJ13" i="6"/>
  <c r="M226" i="8"/>
  <c r="L226" i="8"/>
  <c r="X13" i="6"/>
  <c r="Z1034" i="7"/>
  <c r="AM1034" i="7" s="1"/>
  <c r="Z289" i="23"/>
  <c r="Z100" i="23"/>
  <c r="Z106" i="23" s="1"/>
  <c r="P169" i="23"/>
  <c r="AZ118" i="11" s="1"/>
  <c r="L243" i="8"/>
  <c r="Z257" i="23"/>
  <c r="CV87" i="11"/>
  <c r="CW87" i="11" s="1"/>
  <c r="Y299" i="23"/>
  <c r="K6" i="8"/>
  <c r="K14" i="8"/>
  <c r="K51" i="25"/>
  <c r="L14" i="8"/>
  <c r="O52" i="25"/>
  <c r="P21" i="8"/>
  <c r="O6" i="8"/>
  <c r="W52" i="8"/>
  <c r="AG34" i="8"/>
  <c r="W63" i="8"/>
  <c r="V24" i="8"/>
  <c r="J58" i="25"/>
  <c r="Z926" i="7"/>
  <c r="AM926" i="7" s="1"/>
  <c r="Q169" i="23"/>
  <c r="BE118" i="11" s="1"/>
  <c r="L169" i="23"/>
  <c r="AF118" i="11" s="1"/>
  <c r="M121" i="23"/>
  <c r="Y345" i="23"/>
  <c r="Z417" i="23"/>
  <c r="K416" i="23"/>
  <c r="K214" i="23"/>
  <c r="K215" i="23" s="1"/>
  <c r="X326" i="23"/>
  <c r="CQ15" i="11"/>
  <c r="CW15" i="11" s="1"/>
  <c r="CQ102" i="11"/>
  <c r="X331" i="23"/>
  <c r="X68" i="23"/>
  <c r="X5" i="23" s="1"/>
  <c r="W68" i="23"/>
  <c r="W5" i="23" s="1"/>
  <c r="N16" i="8"/>
  <c r="L19" i="7"/>
  <c r="Z306" i="7"/>
  <c r="Z1030" i="7"/>
  <c r="AM1030" i="7" s="1"/>
  <c r="M130" i="23"/>
  <c r="J362" i="23"/>
  <c r="Y294" i="23"/>
  <c r="AC47" i="25"/>
  <c r="O36" i="23"/>
  <c r="AU58" i="11" s="1"/>
  <c r="Z229" i="8"/>
  <c r="U362" i="23"/>
  <c r="U37" i="23"/>
  <c r="Y331" i="23"/>
  <c r="Y298" i="23"/>
  <c r="Y451" i="23"/>
  <c r="Z298" i="23"/>
  <c r="Q168" i="8"/>
  <c r="BN13" i="6"/>
  <c r="Q19" i="7"/>
  <c r="DA115" i="11"/>
  <c r="Y138" i="23"/>
  <c r="Y35" i="23"/>
  <c r="CS57" i="11" s="1"/>
  <c r="CT57" i="11" s="1"/>
  <c r="H223" i="8"/>
  <c r="G165" i="8"/>
  <c r="G688" i="7"/>
  <c r="G993" i="7" s="1"/>
  <c r="O460" i="23"/>
  <c r="O329" i="23"/>
  <c r="O37" i="25"/>
  <c r="R14" i="6"/>
  <c r="X63" i="6" s="1"/>
  <c r="I136" i="8"/>
  <c r="I59" i="25"/>
  <c r="O48" i="25"/>
  <c r="O166" i="8"/>
  <c r="AB133" i="8"/>
  <c r="AB48" i="25"/>
  <c r="AB136" i="8"/>
  <c r="AB166" i="8"/>
  <c r="T20" i="8"/>
  <c r="T14" i="8"/>
  <c r="S14" i="8"/>
  <c r="U53" i="25"/>
  <c r="U16" i="8"/>
  <c r="U24" i="8"/>
  <c r="W52" i="25"/>
  <c r="W35" i="8"/>
  <c r="W23" i="8"/>
  <c r="X21" i="8"/>
  <c r="C179" i="2"/>
  <c r="AT179" i="2" s="1"/>
  <c r="AM34" i="8"/>
  <c r="N33" i="8"/>
  <c r="N77" i="8" s="1"/>
  <c r="N55" i="25"/>
  <c r="N63" i="8"/>
  <c r="O63" i="8"/>
  <c r="N35" i="8"/>
  <c r="AC59" i="8"/>
  <c r="AN30" i="8"/>
  <c r="AC48" i="8"/>
  <c r="X76" i="8"/>
  <c r="X190" i="8"/>
  <c r="X248" i="8" s="1"/>
  <c r="L28" i="8"/>
  <c r="L188" i="8" s="1"/>
  <c r="H76" i="8"/>
  <c r="H49" i="25"/>
  <c r="H28" i="8"/>
  <c r="H188" i="8" s="1"/>
  <c r="H190" i="8"/>
  <c r="AC50" i="8"/>
  <c r="AN32" i="8"/>
  <c r="T31" i="8"/>
  <c r="L99" i="8"/>
  <c r="L244" i="8"/>
  <c r="Y85" i="25"/>
  <c r="DL38" i="6"/>
  <c r="CV47" i="11"/>
  <c r="Y202" i="23"/>
  <c r="Y201" i="23"/>
  <c r="Y699" i="7" s="1"/>
  <c r="CN38" i="6"/>
  <c r="U202" i="23"/>
  <c r="U201" i="23"/>
  <c r="CB48" i="11" s="1"/>
  <c r="T47" i="11"/>
  <c r="I85" i="25"/>
  <c r="T38" i="6"/>
  <c r="W86" i="25"/>
  <c r="W201" i="23"/>
  <c r="AS46" i="11"/>
  <c r="N86" i="25"/>
  <c r="N201" i="23"/>
  <c r="AX37" i="6"/>
  <c r="U152" i="1"/>
  <c r="U231" i="7"/>
  <c r="U250" i="7" s="1"/>
  <c r="U231" i="8"/>
  <c r="U87" i="25"/>
  <c r="U189" i="8"/>
  <c r="U213" i="8" s="1"/>
  <c r="U215" i="8"/>
  <c r="BJ11" i="6"/>
  <c r="P688" i="7"/>
  <c r="P87" i="25"/>
  <c r="AF11" i="6"/>
  <c r="K165" i="8"/>
  <c r="K688" i="7"/>
  <c r="K231" i="8"/>
  <c r="L223" i="8"/>
  <c r="EC11" i="6"/>
  <c r="AB222" i="8"/>
  <c r="CQ72" i="11"/>
  <c r="DE46" i="6"/>
  <c r="X1086" i="7"/>
  <c r="X257" i="23"/>
  <c r="BM72" i="11"/>
  <c r="BU46" i="6"/>
  <c r="R1086" i="7"/>
  <c r="S249" i="23"/>
  <c r="N1086" i="7"/>
  <c r="AW46" i="6"/>
  <c r="AS72" i="11"/>
  <c r="H1086" i="7"/>
  <c r="O72" i="11"/>
  <c r="M46" i="6"/>
  <c r="Y222" i="8"/>
  <c r="DE11" i="6"/>
  <c r="X72" i="25"/>
  <c r="X230" i="8"/>
  <c r="R72" i="25"/>
  <c r="S222" i="8"/>
  <c r="R230" i="8"/>
  <c r="R215" i="8"/>
  <c r="AQ11" i="6"/>
  <c r="M72" i="25"/>
  <c r="O71" i="11"/>
  <c r="L46" i="6"/>
  <c r="Z10" i="7"/>
  <c r="Z245" i="23"/>
  <c r="U63" i="7"/>
  <c r="U253" i="23"/>
  <c r="U1069" i="7"/>
  <c r="U10" i="7"/>
  <c r="CB71" i="11"/>
  <c r="CL46" i="6"/>
  <c r="AN71" i="11"/>
  <c r="AP46" i="6"/>
  <c r="M10" i="7"/>
  <c r="M63" i="7"/>
  <c r="M1069" i="7"/>
  <c r="R46" i="6"/>
  <c r="I63" i="7"/>
  <c r="I253" i="23"/>
  <c r="T71" i="11"/>
  <c r="I10" i="7"/>
  <c r="CX14" i="6"/>
  <c r="X138" i="8"/>
  <c r="W59" i="25"/>
  <c r="W138" i="8"/>
  <c r="S59" i="25"/>
  <c r="BZ14" i="6"/>
  <c r="S168" i="8"/>
  <c r="O59" i="25"/>
  <c r="BB14" i="6"/>
  <c r="Z58" i="25"/>
  <c r="DP13" i="6"/>
  <c r="DO13" i="6" s="1"/>
  <c r="Z168" i="8"/>
  <c r="Z19" i="7"/>
  <c r="AM19" i="7" s="1"/>
  <c r="V58" i="25"/>
  <c r="V19" i="7"/>
  <c r="CR13" i="6"/>
  <c r="AV13" i="6"/>
  <c r="N19" i="7"/>
  <c r="N58" i="25"/>
  <c r="X11" i="6"/>
  <c r="DF15" i="11"/>
  <c r="AA353" i="23"/>
  <c r="AB360" i="23" s="1"/>
  <c r="Z232" i="23"/>
  <c r="DA63" i="11"/>
  <c r="Z32" i="25"/>
  <c r="Z26" i="25"/>
  <c r="Z227" i="23"/>
  <c r="DA58" i="11"/>
  <c r="Z214" i="23"/>
  <c r="Z215" i="23" s="1"/>
  <c r="Z31" i="25"/>
  <c r="DA62" i="11"/>
  <c r="DG62" i="11" s="1"/>
  <c r="Z421" i="23"/>
  <c r="AA243" i="8"/>
  <c r="AB169" i="23"/>
  <c r="DH118" i="11" s="1"/>
  <c r="CL166" i="17"/>
  <c r="AA122" i="23"/>
  <c r="I243" i="8"/>
  <c r="J169" i="23"/>
  <c r="V118" i="11" s="1"/>
  <c r="I169" i="23"/>
  <c r="Q118" i="11" s="1"/>
  <c r="Z229" i="17"/>
  <c r="K470" i="23"/>
  <c r="I116" i="23"/>
  <c r="Q100" i="11" s="1"/>
  <c r="I460" i="23"/>
  <c r="S117" i="23"/>
  <c r="BO101" i="11" s="1"/>
  <c r="R461" i="23"/>
  <c r="L121" i="23"/>
  <c r="L461" i="23"/>
  <c r="X130" i="23"/>
  <c r="Y136" i="23" s="1"/>
  <c r="BZ207" i="17"/>
  <c r="Y118" i="23"/>
  <c r="Y4" i="23" s="1"/>
  <c r="T130" i="23"/>
  <c r="T136" i="23" s="1"/>
  <c r="T462" i="23"/>
  <c r="BJ207" i="17"/>
  <c r="T122" i="23"/>
  <c r="AL207" i="17"/>
  <c r="N130" i="23"/>
  <c r="O136" i="23" s="1"/>
  <c r="N462" i="23"/>
  <c r="W121" i="23"/>
  <c r="X95" i="23"/>
  <c r="CN86" i="11" s="1"/>
  <c r="BV166" i="17"/>
  <c r="BZ171" i="17" s="1"/>
  <c r="W96" i="23"/>
  <c r="CI13" i="11" s="1"/>
  <c r="W100" i="23"/>
  <c r="W106" i="23" s="1"/>
  <c r="W122" i="23"/>
  <c r="BF166" i="17"/>
  <c r="S100" i="23"/>
  <c r="S452" i="23"/>
  <c r="L100" i="23"/>
  <c r="L452" i="23"/>
  <c r="M96" i="23"/>
  <c r="AK13" i="11" s="1"/>
  <c r="Y129" i="23"/>
  <c r="CD188" i="17"/>
  <c r="CD193" i="17" s="1"/>
  <c r="Z107" i="23"/>
  <c r="BB188" i="17"/>
  <c r="R129" i="23"/>
  <c r="S107" i="23"/>
  <c r="L129" i="23"/>
  <c r="M107" i="23"/>
  <c r="N188" i="17"/>
  <c r="H129" i="23"/>
  <c r="T99" i="23"/>
  <c r="U85" i="23"/>
  <c r="BJ147" i="17"/>
  <c r="BJ152" i="17" s="1"/>
  <c r="P99" i="23"/>
  <c r="AT147" i="17"/>
  <c r="AX152" i="17" s="1"/>
  <c r="L99" i="23"/>
  <c r="M105" i="23" s="1"/>
  <c r="AD147" i="17"/>
  <c r="AD152" i="17" s="1"/>
  <c r="M85" i="23"/>
  <c r="V68" i="23"/>
  <c r="V5" i="23" s="1"/>
  <c r="U68" i="23"/>
  <c r="U5" i="23" s="1"/>
  <c r="BN108" i="17"/>
  <c r="U77" i="23"/>
  <c r="U83" i="23" s="1"/>
  <c r="AX108" i="17"/>
  <c r="AX113" i="17" s="1"/>
  <c r="Q77" i="23"/>
  <c r="BR127" i="17"/>
  <c r="W74" i="23"/>
  <c r="V78" i="23"/>
  <c r="BB127" i="17"/>
  <c r="R78" i="23"/>
  <c r="N78" i="23"/>
  <c r="N84" i="23" s="1"/>
  <c r="AL127" i="17"/>
  <c r="N127" i="17"/>
  <c r="H78" i="23"/>
  <c r="I84" i="23" s="1"/>
  <c r="O416" i="23"/>
  <c r="O35" i="23"/>
  <c r="AU57" i="11" s="1"/>
  <c r="Y417" i="23"/>
  <c r="Y36" i="23"/>
  <c r="CS58" i="11" s="1"/>
  <c r="W29" i="23"/>
  <c r="W48" i="23"/>
  <c r="P29" i="23"/>
  <c r="AT82" i="17" s="1"/>
  <c r="P48" i="23"/>
  <c r="I29" i="23"/>
  <c r="I48" i="23"/>
  <c r="W58" i="23"/>
  <c r="W65" i="23" s="1"/>
  <c r="BV40" i="17"/>
  <c r="X10" i="23"/>
  <c r="W10" i="23"/>
  <c r="S58" i="23"/>
  <c r="T65" i="23" s="1"/>
  <c r="BF40" i="17"/>
  <c r="BF45" i="17" s="1"/>
  <c r="T10" i="23"/>
  <c r="S375" i="23"/>
  <c r="AP40" i="17"/>
  <c r="O58" i="23"/>
  <c r="P10" i="23"/>
  <c r="O402" i="23"/>
  <c r="O375" i="23"/>
  <c r="Z40" i="17"/>
  <c r="Z45" i="17" s="1"/>
  <c r="L10" i="23"/>
  <c r="K58" i="23"/>
  <c r="K375" i="23"/>
  <c r="K402" i="23"/>
  <c r="R59" i="23"/>
  <c r="S66" i="23" s="1"/>
  <c r="BB59" i="17"/>
  <c r="AD59" i="17"/>
  <c r="L59" i="23"/>
  <c r="M16" i="23"/>
  <c r="Y136" i="8"/>
  <c r="Y48" i="25"/>
  <c r="Y133" i="8"/>
  <c r="R48" i="25"/>
  <c r="R113" i="8"/>
  <c r="R133" i="8"/>
  <c r="R166" i="8"/>
  <c r="R180" i="8" s="1"/>
  <c r="J48" i="25"/>
  <c r="J133" i="8"/>
  <c r="J136" i="8"/>
  <c r="J113" i="8"/>
  <c r="T224" i="8"/>
  <c r="T190" i="8"/>
  <c r="T248" i="8" s="1"/>
  <c r="T47" i="25"/>
  <c r="T232" i="8"/>
  <c r="U224" i="8"/>
  <c r="J166" i="8"/>
  <c r="J47" i="25"/>
  <c r="K224" i="8"/>
  <c r="J190" i="8"/>
  <c r="CB16" i="11"/>
  <c r="U927" i="7"/>
  <c r="U1034" i="7"/>
  <c r="U306" i="7"/>
  <c r="U582" i="7"/>
  <c r="U755" i="7"/>
  <c r="U924" i="7"/>
  <c r="U926" i="7"/>
  <c r="U751" i="7"/>
  <c r="U952" i="7"/>
  <c r="U959" i="7" s="1"/>
  <c r="U578" i="7"/>
  <c r="U579" i="7"/>
  <c r="U752" i="7"/>
  <c r="CB115" i="11"/>
  <c r="U576" i="7"/>
  <c r="U577" i="7"/>
  <c r="U923" i="7"/>
  <c r="U234" i="8"/>
  <c r="U255" i="23"/>
  <c r="U753" i="7"/>
  <c r="U1030" i="7"/>
  <c r="U754" i="7"/>
  <c r="V362" i="23"/>
  <c r="I231" i="8"/>
  <c r="T115" i="11"/>
  <c r="I255" i="23"/>
  <c r="I576" i="7"/>
  <c r="I362" i="23"/>
  <c r="I757" i="7"/>
  <c r="I579" i="7"/>
  <c r="I577" i="7"/>
  <c r="I754" i="7"/>
  <c r="I752" i="7"/>
  <c r="I306" i="7"/>
  <c r="J307" i="7" s="1"/>
  <c r="Q5" i="6"/>
  <c r="I923" i="7"/>
  <c r="I925" i="7"/>
  <c r="I755" i="7"/>
  <c r="I753" i="7"/>
  <c r="T16" i="11"/>
  <c r="Z329" i="23"/>
  <c r="CV100" i="11"/>
  <c r="CY100" i="11" s="1"/>
  <c r="Y37" i="25"/>
  <c r="S37" i="25"/>
  <c r="BR100" i="11"/>
  <c r="S289" i="23"/>
  <c r="S460" i="23"/>
  <c r="S329" i="23"/>
  <c r="M460" i="23"/>
  <c r="M37" i="25"/>
  <c r="AN100" i="11"/>
  <c r="S78" i="7"/>
  <c r="S79" i="7" s="1"/>
  <c r="S36" i="25"/>
  <c r="S327" i="23"/>
  <c r="S326" i="23"/>
  <c r="S330" i="23"/>
  <c r="T330" i="23"/>
  <c r="BR101" i="11"/>
  <c r="T327" i="23"/>
  <c r="J461" i="23"/>
  <c r="J78" i="7"/>
  <c r="J36" i="25"/>
  <c r="J326" i="23"/>
  <c r="K330" i="23"/>
  <c r="J344" i="23"/>
  <c r="V353" i="23"/>
  <c r="W360" i="23" s="1"/>
  <c r="CG102" i="11"/>
  <c r="V345" i="23"/>
  <c r="V462" i="23"/>
  <c r="W331" i="23"/>
  <c r="CG15" i="11"/>
  <c r="BH15" i="11"/>
  <c r="Q353" i="23"/>
  <c r="R331" i="23"/>
  <c r="BH102" i="11"/>
  <c r="L353" i="23"/>
  <c r="AI102" i="11"/>
  <c r="AI15" i="11"/>
  <c r="AJ15" i="11" s="1"/>
  <c r="H462" i="23"/>
  <c r="O102" i="11"/>
  <c r="U102" i="11" s="1"/>
  <c r="H345" i="23"/>
  <c r="I331" i="23"/>
  <c r="H326" i="23"/>
  <c r="O15" i="11"/>
  <c r="T297" i="23"/>
  <c r="U297" i="23"/>
  <c r="T35" i="25"/>
  <c r="BW85" i="11"/>
  <c r="T450" i="23"/>
  <c r="T455" i="23" s="1"/>
  <c r="P450" i="23"/>
  <c r="P35" i="25"/>
  <c r="BC85" i="11"/>
  <c r="BD85" i="11" s="1"/>
  <c r="AI85" i="11"/>
  <c r="AO85" i="11" s="1"/>
  <c r="M297" i="23"/>
  <c r="L450" i="23"/>
  <c r="L35" i="25"/>
  <c r="X316" i="23"/>
  <c r="X34" i="25"/>
  <c r="CQ86" i="11"/>
  <c r="X451" i="23"/>
  <c r="X298" i="23"/>
  <c r="T298" i="23"/>
  <c r="T294" i="23"/>
  <c r="T34" i="25"/>
  <c r="T344" i="23"/>
  <c r="BW86" i="11"/>
  <c r="BC86" i="11"/>
  <c r="P34" i="25"/>
  <c r="P294" i="23"/>
  <c r="P451" i="23"/>
  <c r="L451" i="23"/>
  <c r="M295" i="23"/>
  <c r="L34" i="25"/>
  <c r="L298" i="23"/>
  <c r="AI86" i="11"/>
  <c r="I298" i="23"/>
  <c r="O86" i="11"/>
  <c r="H344" i="23"/>
  <c r="H451" i="23"/>
  <c r="H294" i="23"/>
  <c r="U313" i="23"/>
  <c r="CB87" i="11"/>
  <c r="CC87" i="11" s="1"/>
  <c r="U452" i="23"/>
  <c r="P299" i="23"/>
  <c r="O299" i="23"/>
  <c r="AX87" i="11"/>
  <c r="AY87" i="11" s="1"/>
  <c r="O313" i="23"/>
  <c r="P319" i="23" s="1"/>
  <c r="AD87" i="11"/>
  <c r="K294" i="23"/>
  <c r="K313" i="23"/>
  <c r="K319" i="23" s="1"/>
  <c r="AD13" i="11"/>
  <c r="T1150" i="7"/>
  <c r="T1148" i="7"/>
  <c r="T1149" i="7" s="1"/>
  <c r="O1150" i="7"/>
  <c r="O1148" i="7"/>
  <c r="O1149" i="7" s="1"/>
  <c r="Y8" i="11"/>
  <c r="J408" i="23"/>
  <c r="Q207" i="23"/>
  <c r="P28" i="25"/>
  <c r="I195" i="23"/>
  <c r="H9" i="7"/>
  <c r="H27" i="25"/>
  <c r="O34" i="11"/>
  <c r="Q195" i="23"/>
  <c r="P375" i="23"/>
  <c r="P115" i="7"/>
  <c r="BC34" i="11"/>
  <c r="T261" i="23"/>
  <c r="T66" i="25"/>
  <c r="T115" i="7"/>
  <c r="T402" i="23"/>
  <c r="W233" i="23"/>
  <c r="V263" i="23"/>
  <c r="CQ46" i="6"/>
  <c r="T40" i="23"/>
  <c r="BT62" i="11" s="1"/>
  <c r="P36" i="23"/>
  <c r="AZ58" i="11" s="1"/>
  <c r="R107" i="23"/>
  <c r="AX188" i="17"/>
  <c r="N452" i="23"/>
  <c r="N122" i="23"/>
  <c r="Q470" i="23"/>
  <c r="AX229" i="17"/>
  <c r="AX234" i="17" s="1"/>
  <c r="AX3" i="17" s="1"/>
  <c r="T169" i="23"/>
  <c r="BT118" i="11" s="1"/>
  <c r="Z261" i="23"/>
  <c r="DA7" i="11"/>
  <c r="Z195" i="23"/>
  <c r="AA195" i="23"/>
  <c r="AA226" i="23"/>
  <c r="Z416" i="23"/>
  <c r="AB330" i="23"/>
  <c r="AA36" i="25"/>
  <c r="AA224" i="8"/>
  <c r="Z215" i="8"/>
  <c r="Z190" i="8"/>
  <c r="Z248" i="8" s="1"/>
  <c r="V215" i="8"/>
  <c r="L189" i="8"/>
  <c r="L213" i="8" s="1"/>
  <c r="L87" i="25"/>
  <c r="AL11" i="6"/>
  <c r="CR11" i="6"/>
  <c r="N215" i="8"/>
  <c r="Z166" i="8"/>
  <c r="AA316" i="23"/>
  <c r="DA57" i="11"/>
  <c r="Z375" i="23"/>
  <c r="DP36" i="6"/>
  <c r="Z62" i="7"/>
  <c r="AA130" i="23"/>
  <c r="CH59" i="17"/>
  <c r="W138" i="23"/>
  <c r="L118" i="23"/>
  <c r="AF15" i="11" s="1"/>
  <c r="AG15" i="11" s="1"/>
  <c r="AL166" i="17"/>
  <c r="AP171" i="17" s="1"/>
  <c r="Q129" i="23"/>
  <c r="X231" i="23"/>
  <c r="Q31" i="25"/>
  <c r="I231" i="23"/>
  <c r="V29" i="25"/>
  <c r="T375" i="23"/>
  <c r="BW34" i="11"/>
  <c r="BW7" i="11"/>
  <c r="BH36" i="6"/>
  <c r="P195" i="23"/>
  <c r="P9" i="7"/>
  <c r="H90" i="7"/>
  <c r="H91" i="7" s="1"/>
  <c r="O7" i="11"/>
  <c r="BC49" i="11"/>
  <c r="P262" i="23"/>
  <c r="J28" i="25"/>
  <c r="W221" i="8"/>
  <c r="U195" i="23"/>
  <c r="AA202" i="23"/>
  <c r="C219" i="2"/>
  <c r="AT219" i="2" s="1"/>
  <c r="AA201" i="23"/>
  <c r="AC195" i="23"/>
  <c r="E136" i="2"/>
  <c r="H174" i="20" s="1"/>
  <c r="Y174" i="20" s="1"/>
  <c r="AC62" i="7"/>
  <c r="AC226" i="23"/>
  <c r="DP57" i="11"/>
  <c r="DS57" i="11" s="1"/>
  <c r="DU57" i="11" s="1"/>
  <c r="AB313" i="23"/>
  <c r="AB452" i="23"/>
  <c r="BH13" i="11"/>
  <c r="Q299" i="23"/>
  <c r="V450" i="23"/>
  <c r="V35" i="25"/>
  <c r="X289" i="23"/>
  <c r="CQ16" i="11"/>
  <c r="X924" i="7"/>
  <c r="X751" i="7"/>
  <c r="X755" i="7"/>
  <c r="X362" i="23"/>
  <c r="X756" i="7"/>
  <c r="X579" i="7"/>
  <c r="X987" i="7"/>
  <c r="X470" i="23"/>
  <c r="I202" i="23"/>
  <c r="T46" i="11"/>
  <c r="J205" i="23"/>
  <c r="AA14" i="8"/>
  <c r="Z14" i="8"/>
  <c r="Y45" i="6"/>
  <c r="T316" i="23"/>
  <c r="AB95" i="23"/>
  <c r="DH86" i="11" s="1"/>
  <c r="O15" i="8"/>
  <c r="I121" i="23"/>
  <c r="N116" i="23"/>
  <c r="AP100" i="11" s="1"/>
  <c r="V116" i="23"/>
  <c r="CD100" i="11" s="1"/>
  <c r="CE100" i="11" s="1"/>
  <c r="K138" i="23"/>
  <c r="AA452" i="23"/>
  <c r="AA231" i="8"/>
  <c r="U229" i="8"/>
  <c r="W189" i="1"/>
  <c r="I408" i="23"/>
  <c r="Q62" i="7"/>
  <c r="Q261" i="23"/>
  <c r="X90" i="7"/>
  <c r="X91" i="7" s="1"/>
  <c r="AI64" i="11"/>
  <c r="AJ64" i="11" s="1"/>
  <c r="T29" i="25"/>
  <c r="Q214" i="23"/>
  <c r="L422" i="23"/>
  <c r="V232" i="23"/>
  <c r="X274" i="23"/>
  <c r="K299" i="23"/>
  <c r="Q331" i="23"/>
  <c r="N326" i="23"/>
  <c r="I40" i="23"/>
  <c r="Q62" i="11" s="1"/>
  <c r="S37" i="23"/>
  <c r="W35" i="23"/>
  <c r="CI57" i="11" s="1"/>
  <c r="Z138" i="23"/>
  <c r="AA866" i="7"/>
  <c r="O134" i="1"/>
  <c r="AA223" i="8"/>
  <c r="O143" i="17"/>
  <c r="O144" i="17" s="1"/>
  <c r="O130" i="17"/>
  <c r="AQ237" i="17"/>
  <c r="BO237" i="17"/>
  <c r="CI237" i="17"/>
  <c r="CI1" i="17" s="1"/>
  <c r="AA48" i="17"/>
  <c r="BG48" i="17"/>
  <c r="CE48" i="17"/>
  <c r="O67" i="17"/>
  <c r="S67" i="17"/>
  <c r="AM67" i="17"/>
  <c r="AQ67" i="17"/>
  <c r="AU67" i="17"/>
  <c r="BO67" i="17"/>
  <c r="BS67" i="17"/>
  <c r="K93" i="17"/>
  <c r="M95" i="17"/>
  <c r="O104" i="17"/>
  <c r="O79" i="17"/>
  <c r="O174" i="17"/>
  <c r="O184" i="17"/>
  <c r="W174" i="17"/>
  <c r="AI174" i="17"/>
  <c r="AQ174" i="17"/>
  <c r="CQ184" i="17"/>
  <c r="CS176" i="17"/>
  <c r="AY215" i="17"/>
  <c r="BG225" i="17"/>
  <c r="BK215" i="17"/>
  <c r="BO215" i="17"/>
  <c r="BO70" i="17"/>
  <c r="Z419" i="7"/>
  <c r="AM419" i="7" s="1"/>
  <c r="Z378" i="7"/>
  <c r="AM378" i="7" s="1"/>
  <c r="W421" i="7"/>
  <c r="W420" i="7"/>
  <c r="W423" i="7" s="1"/>
  <c r="W426" i="7" s="1"/>
  <c r="M407" i="7"/>
  <c r="M413" i="7"/>
  <c r="AC952" i="7"/>
  <c r="AC959" i="7" s="1"/>
  <c r="I128" i="1"/>
  <c r="L152" i="1"/>
  <c r="Q152" i="1"/>
  <c r="Z20" i="8"/>
  <c r="T33" i="8"/>
  <c r="T59" i="8"/>
  <c r="AA9" i="8"/>
  <c r="Z150" i="17"/>
  <c r="Z11" i="17" s="1"/>
  <c r="AE232" i="17"/>
  <c r="BW43" i="17"/>
  <c r="BT12" i="26" s="1"/>
  <c r="CT39" i="17"/>
  <c r="CU38" i="17"/>
  <c r="CV38" i="17" s="1"/>
  <c r="AY62" i="17"/>
  <c r="BS169" i="17"/>
  <c r="BP18" i="26" s="1"/>
  <c r="K85" i="17"/>
  <c r="AI85" i="17"/>
  <c r="AY85" i="17"/>
  <c r="BK85" i="17"/>
  <c r="W86" i="17"/>
  <c r="W87" i="17"/>
  <c r="AE87" i="17"/>
  <c r="AU87" i="17"/>
  <c r="BC87" i="17"/>
  <c r="BK87" i="17"/>
  <c r="BS87" i="17"/>
  <c r="V94" i="23"/>
  <c r="CD85" i="11" s="1"/>
  <c r="I470" i="23"/>
  <c r="Q117" i="1"/>
  <c r="J138" i="1"/>
  <c r="Q202" i="23"/>
  <c r="S135" i="17"/>
  <c r="S10" i="17" s="1"/>
  <c r="O155" i="17"/>
  <c r="P239" i="17"/>
  <c r="AC239" i="17"/>
  <c r="P155" i="17"/>
  <c r="M183" i="17"/>
  <c r="H142" i="17"/>
  <c r="AF237" i="17"/>
  <c r="AA364" i="7"/>
  <c r="AB364" i="7" s="1"/>
  <c r="AC364" i="7" s="1"/>
  <c r="AD364" i="7" s="1"/>
  <c r="AE364" i="7" s="1"/>
  <c r="AM364" i="7"/>
  <c r="AO232" i="17"/>
  <c r="BQ232" i="17"/>
  <c r="BY239" i="17"/>
  <c r="CK232" i="17"/>
  <c r="CK28" i="17" s="1"/>
  <c r="CS232" i="17"/>
  <c r="M43" i="17"/>
  <c r="Y43" i="17"/>
  <c r="AG62" i="17"/>
  <c r="AS88" i="17"/>
  <c r="AS8" i="17" s="1"/>
  <c r="BE88" i="17"/>
  <c r="CG88" i="17"/>
  <c r="Q169" i="17"/>
  <c r="AO169" i="17"/>
  <c r="AL18" i="26" s="1"/>
  <c r="I85" i="17"/>
  <c r="Q85" i="17"/>
  <c r="U85" i="17"/>
  <c r="X85" i="17"/>
  <c r="AC85" i="17"/>
  <c r="AG85" i="17"/>
  <c r="AK85" i="17"/>
  <c r="AS85" i="17"/>
  <c r="AW85" i="17"/>
  <c r="BA85" i="17"/>
  <c r="BE85" i="17"/>
  <c r="BI85" i="17"/>
  <c r="BM85" i="17"/>
  <c r="BY85" i="17"/>
  <c r="CC85" i="17"/>
  <c r="CG85" i="17"/>
  <c r="CK85" i="17"/>
  <c r="I86" i="17"/>
  <c r="M86" i="17"/>
  <c r="Q86" i="17"/>
  <c r="Y86" i="17"/>
  <c r="AC86" i="17"/>
  <c r="AK86" i="17"/>
  <c r="AO86" i="17"/>
  <c r="AS86" i="17"/>
  <c r="BA86" i="17"/>
  <c r="BE86" i="17"/>
  <c r="BQ86" i="17"/>
  <c r="I87" i="17"/>
  <c r="U87" i="17"/>
  <c r="AC87" i="17"/>
  <c r="AG87" i="17"/>
  <c r="AK87" i="17"/>
  <c r="AS87" i="17"/>
  <c r="BA87" i="17"/>
  <c r="BE87" i="17"/>
  <c r="BM87" i="17"/>
  <c r="BQ87" i="17"/>
  <c r="BY87" i="17"/>
  <c r="CC87" i="17"/>
  <c r="CG87" i="17"/>
  <c r="CK87" i="17"/>
  <c r="CS87" i="17"/>
  <c r="I53" i="23"/>
  <c r="Q53" i="23"/>
  <c r="U53" i="23"/>
  <c r="Y53" i="23"/>
  <c r="O52" i="23"/>
  <c r="W52" i="23"/>
  <c r="AA52" i="23"/>
  <c r="DC81" i="17" s="1"/>
  <c r="I54" i="23"/>
  <c r="Q70" i="11" s="1"/>
  <c r="M54" i="23"/>
  <c r="AK70" i="11" s="1"/>
  <c r="Q54" i="23"/>
  <c r="BE70" i="11" s="1"/>
  <c r="U54" i="23"/>
  <c r="BY70" i="11" s="1"/>
  <c r="Y54" i="23"/>
  <c r="CS70" i="11" s="1"/>
  <c r="AB252" i="1"/>
  <c r="AA952" i="7"/>
  <c r="AA959" i="7" s="1"/>
  <c r="AP65" i="20"/>
  <c r="AO69" i="20"/>
  <c r="AF291" i="2"/>
  <c r="AO230" i="20" s="1"/>
  <c r="AP67" i="20"/>
  <c r="AN230" i="20"/>
  <c r="AO225" i="20"/>
  <c r="AQ152" i="20"/>
  <c r="AG288" i="2"/>
  <c r="AO222" i="20"/>
  <c r="AQ61" i="20"/>
  <c r="AQ66" i="20"/>
  <c r="AO235" i="20"/>
  <c r="AN278" i="20"/>
  <c r="AE301" i="2"/>
  <c r="AQ284" i="20" s="1"/>
  <c r="AF292" i="2"/>
  <c r="AO239" i="20" s="1"/>
  <c r="AN222" i="20"/>
  <c r="AP153" i="20"/>
  <c r="AE325" i="2"/>
  <c r="AF325" i="2" s="1"/>
  <c r="AG325" i="2" s="1"/>
  <c r="AC313" i="2"/>
  <c r="AO66" i="20" s="1"/>
  <c r="AF307" i="2"/>
  <c r="AG307" i="2" s="1"/>
  <c r="AC301" i="2"/>
  <c r="AO278" i="20" s="1"/>
  <c r="AE286" i="2"/>
  <c r="AF286" i="2" s="1"/>
  <c r="AP68" i="20"/>
  <c r="AE316" i="2"/>
  <c r="AN232" i="20" s="1"/>
  <c r="AN236" i="20"/>
  <c r="AC325" i="2"/>
  <c r="Z510" i="20"/>
  <c r="AM35" i="20"/>
  <c r="AP72" i="20"/>
  <c r="AM225" i="20"/>
  <c r="AO73" i="20"/>
  <c r="AN254" i="20"/>
  <c r="AO71" i="20"/>
  <c r="AC319" i="2"/>
  <c r="AO70" i="20" s="1"/>
  <c r="AC307" i="2"/>
  <c r="AO63" i="20" s="1"/>
  <c r="AM239" i="20"/>
  <c r="AC322" i="2"/>
  <c r="AO147" i="20" s="1"/>
  <c r="Z952" i="7"/>
  <c r="AX239" i="2"/>
  <c r="K508" i="20"/>
  <c r="AB508" i="20" s="1"/>
  <c r="AW239" i="2"/>
  <c r="G508" i="20"/>
  <c r="X508" i="20" s="1"/>
  <c r="AU239" i="2"/>
  <c r="AW238" i="2"/>
  <c r="E508" i="20"/>
  <c r="V508" i="20" s="1"/>
  <c r="Y165" i="8"/>
  <c r="Y688" i="7"/>
  <c r="DL11" i="6"/>
  <c r="Z223" i="8"/>
  <c r="Y87" i="25"/>
  <c r="V253" i="23"/>
  <c r="CQ5" i="6"/>
  <c r="V751" i="7"/>
  <c r="V582" i="7"/>
  <c r="CG115" i="11"/>
  <c r="O418" i="23"/>
  <c r="AX59" i="11"/>
  <c r="O215" i="23"/>
  <c r="X226" i="23"/>
  <c r="W214" i="23"/>
  <c r="W416" i="23"/>
  <c r="W226" i="23"/>
  <c r="M232" i="23"/>
  <c r="AN63" i="11"/>
  <c r="AO63" i="11" s="1"/>
  <c r="Q32" i="25"/>
  <c r="Q422" i="23"/>
  <c r="X215" i="8"/>
  <c r="DF11" i="6"/>
  <c r="X189" i="8"/>
  <c r="I231" i="7"/>
  <c r="I255" i="7" s="1"/>
  <c r="I152" i="1"/>
  <c r="K202" i="23"/>
  <c r="AD46" i="11"/>
  <c r="K205" i="23"/>
  <c r="K15" i="8"/>
  <c r="K21" i="8"/>
  <c r="J21" i="8"/>
  <c r="Q21" i="8"/>
  <c r="P15" i="8"/>
  <c r="W15" i="8"/>
  <c r="W21" i="8"/>
  <c r="V52" i="25"/>
  <c r="L6" i="8"/>
  <c r="L51" i="25"/>
  <c r="J33" i="8"/>
  <c r="J55" i="25"/>
  <c r="J63" i="8"/>
  <c r="J35" i="8"/>
  <c r="P35" i="8"/>
  <c r="I51" i="25"/>
  <c r="I14" i="8"/>
  <c r="I20" i="8"/>
  <c r="S24" i="8"/>
  <c r="S16" i="8"/>
  <c r="M6" i="8"/>
  <c r="M15" i="8"/>
  <c r="M63" i="8"/>
  <c r="L52" i="8"/>
  <c r="W113" i="8"/>
  <c r="W190" i="8"/>
  <c r="W248" i="8" s="1"/>
  <c r="K48" i="8"/>
  <c r="K113" i="8"/>
  <c r="W99" i="8"/>
  <c r="W45" i="25"/>
  <c r="G31" i="8"/>
  <c r="X206" i="23"/>
  <c r="X202" i="23"/>
  <c r="P206" i="23"/>
  <c r="P202" i="23"/>
  <c r="O47" i="11"/>
  <c r="H202" i="23"/>
  <c r="CG46" i="11"/>
  <c r="V205" i="23"/>
  <c r="V202" i="23"/>
  <c r="AL37" i="6"/>
  <c r="L205" i="23"/>
  <c r="U223" i="8"/>
  <c r="T87" i="25"/>
  <c r="T231" i="8"/>
  <c r="O231" i="8"/>
  <c r="O223" i="8"/>
  <c r="N134" i="1"/>
  <c r="W1086" i="7"/>
  <c r="CY46" i="6"/>
  <c r="L222" i="8"/>
  <c r="L230" i="8"/>
  <c r="L219" i="17"/>
  <c r="L224" i="17"/>
  <c r="K231" i="7"/>
  <c r="K152" i="1"/>
  <c r="L563" i="7"/>
  <c r="K563" i="7"/>
  <c r="K547" i="7"/>
  <c r="K551" i="7" s="1"/>
  <c r="K583" i="7" s="1"/>
  <c r="AC223" i="8"/>
  <c r="AB231" i="8"/>
  <c r="AB87" i="25"/>
  <c r="AC227" i="23"/>
  <c r="DP58" i="11"/>
  <c r="DS58" i="11" s="1"/>
  <c r="AD185" i="23" s="1"/>
  <c r="AC214" i="23"/>
  <c r="AC30" i="25" s="1"/>
  <c r="D142" i="2"/>
  <c r="AU142" i="2" s="1"/>
  <c r="DK11" i="11"/>
  <c r="AB281" i="23"/>
  <c r="AB33" i="25"/>
  <c r="EA47" i="6"/>
  <c r="AC20" i="8"/>
  <c r="AC14" i="8"/>
  <c r="AD5" i="8"/>
  <c r="AE5" i="8" s="1"/>
  <c r="E175" i="2"/>
  <c r="G303" i="20" s="1"/>
  <c r="X303" i="20" s="1"/>
  <c r="V257" i="23"/>
  <c r="V231" i="8"/>
  <c r="W362" i="23"/>
  <c r="V470" i="23"/>
  <c r="V926" i="7"/>
  <c r="V928" i="7"/>
  <c r="V576" i="7"/>
  <c r="V1034" i="7"/>
  <c r="V755" i="7"/>
  <c r="V925" i="7"/>
  <c r="V757" i="7"/>
  <c r="V38" i="25"/>
  <c r="CG16" i="11"/>
  <c r="V1030" i="7"/>
  <c r="V229" i="8"/>
  <c r="DI5" i="6"/>
  <c r="Y926" i="7"/>
  <c r="Y578" i="7"/>
  <c r="V6" i="8"/>
  <c r="R14" i="8"/>
  <c r="P14" i="8"/>
  <c r="M14" i="8"/>
  <c r="Z9" i="8"/>
  <c r="V15" i="8"/>
  <c r="J52" i="25"/>
  <c r="S205" i="23"/>
  <c r="R201" i="23"/>
  <c r="Y223" i="8"/>
  <c r="X688" i="7"/>
  <c r="X993" i="7" s="1"/>
  <c r="X1007" i="7" s="1"/>
  <c r="X231" i="8"/>
  <c r="V577" i="7"/>
  <c r="V924" i="7"/>
  <c r="V923" i="7"/>
  <c r="V255" i="23"/>
  <c r="V752" i="7"/>
  <c r="Q232" i="23"/>
  <c r="DK80" i="11"/>
  <c r="AC26" i="25"/>
  <c r="D220" i="2"/>
  <c r="F483" i="20" s="1"/>
  <c r="W483" i="20" s="1"/>
  <c r="V35" i="8"/>
  <c r="H37" i="6"/>
  <c r="J46" i="11"/>
  <c r="Q226" i="8"/>
  <c r="U221" i="8"/>
  <c r="AA362" i="23"/>
  <c r="AA927" i="7"/>
  <c r="AA757" i="7"/>
  <c r="AA928" i="7"/>
  <c r="AA1049" i="7"/>
  <c r="AA1034" i="7"/>
  <c r="C147" i="2"/>
  <c r="AT147" i="2" s="1"/>
  <c r="AA461" i="23"/>
  <c r="AA95" i="23"/>
  <c r="DC86" i="11" s="1"/>
  <c r="CV86" i="11"/>
  <c r="BB32" i="6"/>
  <c r="I33" i="8"/>
  <c r="I77" i="8" s="1"/>
  <c r="I52" i="8"/>
  <c r="R547" i="7"/>
  <c r="R580" i="7"/>
  <c r="R299" i="23"/>
  <c r="Q345" i="23"/>
  <c r="W297" i="23"/>
  <c r="V297" i="23"/>
  <c r="M329" i="23"/>
  <c r="L37" i="25"/>
  <c r="O326" i="23"/>
  <c r="P329" i="23"/>
  <c r="AX100" i="11"/>
  <c r="AY100" i="11" s="1"/>
  <c r="Z294" i="23"/>
  <c r="Z450" i="23"/>
  <c r="AA297" i="23"/>
  <c r="AA326" i="23"/>
  <c r="AA330" i="23"/>
  <c r="AB329" i="23"/>
  <c r="DF100" i="11"/>
  <c r="AA229" i="8"/>
  <c r="AA234" i="8"/>
  <c r="AA232" i="8"/>
  <c r="AA253" i="23"/>
  <c r="N106" i="23"/>
  <c r="AD110" i="23"/>
  <c r="AE110" i="23" s="1"/>
  <c r="AC460" i="23"/>
  <c r="DX19" i="6"/>
  <c r="AA37" i="23"/>
  <c r="AB37" i="23"/>
  <c r="AB118" i="23"/>
  <c r="AA462" i="23"/>
  <c r="AE33" i="6"/>
  <c r="O55" i="25"/>
  <c r="O52" i="8"/>
  <c r="AC10" i="23"/>
  <c r="J205" i="1"/>
  <c r="V547" i="7"/>
  <c r="V580" i="7"/>
  <c r="R563" i="7"/>
  <c r="AA6" i="8"/>
  <c r="C175" i="2"/>
  <c r="AT175" i="2" s="1"/>
  <c r="S6" i="8"/>
  <c r="S51" i="25"/>
  <c r="V55" i="25"/>
  <c r="AH34" i="8"/>
  <c r="V63" i="8"/>
  <c r="AB28" i="8"/>
  <c r="AB76" i="8"/>
  <c r="AB190" i="8"/>
  <c r="X49" i="25"/>
  <c r="Y48" i="8"/>
  <c r="AB45" i="25"/>
  <c r="AB31" i="8"/>
  <c r="X31" i="8"/>
  <c r="T244" i="8"/>
  <c r="T245" i="8" s="1"/>
  <c r="T249" i="8" s="1"/>
  <c r="T99" i="8"/>
  <c r="P31" i="8"/>
  <c r="H244" i="8"/>
  <c r="H245" i="8" s="1"/>
  <c r="H249" i="8" s="1"/>
  <c r="H45" i="25"/>
  <c r="H99" i="8"/>
  <c r="CB47" i="11"/>
  <c r="U85" i="25"/>
  <c r="BP38" i="6"/>
  <c r="BH47" i="11"/>
  <c r="Q85" i="25"/>
  <c r="AN47" i="11"/>
  <c r="M85" i="25"/>
  <c r="M202" i="23"/>
  <c r="CZ37" i="6"/>
  <c r="CL46" i="11"/>
  <c r="Y152" i="1"/>
  <c r="U165" i="8"/>
  <c r="U688" i="7"/>
  <c r="P165" i="8"/>
  <c r="P189" i="8"/>
  <c r="P213" i="8" s="1"/>
  <c r="K189" i="8"/>
  <c r="K223" i="8"/>
  <c r="Q138" i="1"/>
  <c r="D203" i="2"/>
  <c r="F378" i="20" s="1"/>
  <c r="W378" i="20" s="1"/>
  <c r="AB72" i="25"/>
  <c r="H1069" i="7"/>
  <c r="H10" i="7"/>
  <c r="Z63" i="7"/>
  <c r="Z1069" i="7"/>
  <c r="I1069" i="7"/>
  <c r="I245" i="23"/>
  <c r="AB96" i="23"/>
  <c r="DH13" i="11" s="1"/>
  <c r="AA100" i="23"/>
  <c r="AC95" i="23"/>
  <c r="DM86" i="11" s="1"/>
  <c r="AI143" i="17"/>
  <c r="AF16" i="26"/>
  <c r="G77" i="23"/>
  <c r="AB99" i="8"/>
  <c r="V33" i="8"/>
  <c r="AA24" i="8"/>
  <c r="S220" i="17"/>
  <c r="S183" i="17"/>
  <c r="S185" i="17" s="1"/>
  <c r="AY142" i="17"/>
  <c r="AY116" i="17"/>
  <c r="Z142" i="17"/>
  <c r="Z144" i="17" s="1"/>
  <c r="Z111" i="17"/>
  <c r="BJ237" i="17"/>
  <c r="CT237" i="17"/>
  <c r="CT1" i="17" s="1"/>
  <c r="AD48" i="17"/>
  <c r="AL102" i="17"/>
  <c r="AL48" i="17"/>
  <c r="BR43" i="17"/>
  <c r="BO12" i="26" s="1"/>
  <c r="BR48" i="17"/>
  <c r="BS43" i="17"/>
  <c r="BP12" i="26" s="1"/>
  <c r="CP102" i="17"/>
  <c r="CP48" i="17"/>
  <c r="V103" i="17"/>
  <c r="V62" i="17"/>
  <c r="V7" i="17" s="1"/>
  <c r="AL103" i="17"/>
  <c r="AL62" i="17"/>
  <c r="AT88" i="17"/>
  <c r="AT79" i="17"/>
  <c r="BB104" i="17"/>
  <c r="BB93" i="17"/>
  <c r="BN79" i="17"/>
  <c r="BN93" i="17"/>
  <c r="CL93" i="17"/>
  <c r="AT184" i="17"/>
  <c r="AT174" i="17"/>
  <c r="BN184" i="17"/>
  <c r="BO169" i="17"/>
  <c r="BL18" i="26" s="1"/>
  <c r="N225" i="17"/>
  <c r="O210" i="17"/>
  <c r="L20" i="26" s="1"/>
  <c r="R215" i="17"/>
  <c r="S210" i="17"/>
  <c r="S14" i="17" s="1"/>
  <c r="R220" i="17"/>
  <c r="BF215" i="17"/>
  <c r="S85" i="17"/>
  <c r="R85" i="17"/>
  <c r="AE85" i="17"/>
  <c r="AD85" i="17"/>
  <c r="BN85" i="17"/>
  <c r="BO85" i="17"/>
  <c r="CL96" i="17"/>
  <c r="CP96" i="17"/>
  <c r="BJ70" i="17"/>
  <c r="BJ86" i="17"/>
  <c r="BV70" i="17"/>
  <c r="CH70" i="17"/>
  <c r="CH86" i="17"/>
  <c r="CL70" i="17"/>
  <c r="CP70" i="17"/>
  <c r="CU77" i="17"/>
  <c r="CV77" i="17" s="1"/>
  <c r="CW77" i="17" s="1"/>
  <c r="CT70" i="17"/>
  <c r="N87" i="17"/>
  <c r="O87" i="17"/>
  <c r="CT87" i="17"/>
  <c r="CU78" i="17"/>
  <c r="CV78" i="17" s="1"/>
  <c r="CW78" i="17" s="1"/>
  <c r="CX78" i="17" s="1"/>
  <c r="CY78" i="17" s="1"/>
  <c r="V53" i="23"/>
  <c r="W53" i="23"/>
  <c r="H52" i="23"/>
  <c r="I52" i="23"/>
  <c r="M52" i="23"/>
  <c r="L52" i="23"/>
  <c r="Q52" i="23"/>
  <c r="P52" i="23"/>
  <c r="T52" i="23"/>
  <c r="U52" i="23"/>
  <c r="X52" i="23"/>
  <c r="Y52" i="23"/>
  <c r="N54" i="23"/>
  <c r="AP70" i="11" s="1"/>
  <c r="O54" i="23"/>
  <c r="AU70" i="11" s="1"/>
  <c r="X118" i="17"/>
  <c r="X142" i="17"/>
  <c r="U111" i="17"/>
  <c r="T142" i="17"/>
  <c r="AP142" i="17"/>
  <c r="AP116" i="17"/>
  <c r="M142" i="17"/>
  <c r="M111" i="17"/>
  <c r="M9" i="17" s="1"/>
  <c r="W116" i="17"/>
  <c r="W142" i="17"/>
  <c r="Y142" i="17"/>
  <c r="Y144" i="17" s="1"/>
  <c r="Y118" i="17"/>
  <c r="AC116" i="17"/>
  <c r="AS111" i="17"/>
  <c r="AS142" i="17"/>
  <c r="N111" i="17"/>
  <c r="N9" i="17" s="1"/>
  <c r="R142" i="17"/>
  <c r="S111" i="17"/>
  <c r="R116" i="17"/>
  <c r="AE142" i="17"/>
  <c r="AE144" i="17" s="1"/>
  <c r="AE111" i="17"/>
  <c r="H232" i="17"/>
  <c r="H20" i="17" s="1"/>
  <c r="I232" i="17"/>
  <c r="I23" i="17" s="1"/>
  <c r="M232" i="17"/>
  <c r="M28" i="17" s="1"/>
  <c r="L239" i="17"/>
  <c r="T237" i="17"/>
  <c r="X237" i="17"/>
  <c r="Y232" i="17"/>
  <c r="Y28" i="17" s="1"/>
  <c r="AR237" i="17"/>
  <c r="AV237" i="17"/>
  <c r="BA232" i="17"/>
  <c r="BA20" i="17" s="1"/>
  <c r="AZ237" i="17"/>
  <c r="BI232" i="17"/>
  <c r="BI26" i="17" s="1"/>
  <c r="BI239" i="17"/>
  <c r="BL237" i="17"/>
  <c r="BM232" i="17"/>
  <c r="BM26" i="17" s="1"/>
  <c r="BT237" i="17"/>
  <c r="BT1" i="17" s="1"/>
  <c r="BU232" i="17"/>
  <c r="CB237" i="17"/>
  <c r="CB1" i="17" s="1"/>
  <c r="CN237" i="17"/>
  <c r="CN1" i="17" s="1"/>
  <c r="CO232" i="17"/>
  <c r="CL21" i="26" s="1"/>
  <c r="H102" i="17"/>
  <c r="I43" i="17"/>
  <c r="I6" i="17" s="1"/>
  <c r="P102" i="17"/>
  <c r="P43" i="17"/>
  <c r="M12" i="26" s="1"/>
  <c r="Q43" i="17"/>
  <c r="N12" i="26" s="1"/>
  <c r="P48" i="17"/>
  <c r="T102" i="17"/>
  <c r="U43" i="17"/>
  <c r="T48" i="17"/>
  <c r="U50" i="17"/>
  <c r="AB102" i="17"/>
  <c r="AC43" i="17"/>
  <c r="AF48" i="17"/>
  <c r="AG43" i="17"/>
  <c r="AF102" i="17"/>
  <c r="AJ102" i="17"/>
  <c r="AJ48" i="17"/>
  <c r="AK43" i="17"/>
  <c r="AN102" i="17"/>
  <c r="AN48" i="17"/>
  <c r="AO43" i="17"/>
  <c r="AV48" i="17"/>
  <c r="AW43" i="17"/>
  <c r="AV102" i="17"/>
  <c r="AZ102" i="17"/>
  <c r="BA43" i="17"/>
  <c r="AZ48" i="17"/>
  <c r="BD102" i="17"/>
  <c r="BE50" i="17"/>
  <c r="BE43" i="17"/>
  <c r="BH102" i="17"/>
  <c r="BI43" i="17"/>
  <c r="BM43" i="17"/>
  <c r="BP102" i="17"/>
  <c r="BQ50" i="17"/>
  <c r="BT102" i="17"/>
  <c r="BT48" i="17"/>
  <c r="BU43" i="17"/>
  <c r="BR12" i="26" s="1"/>
  <c r="BY43" i="17"/>
  <c r="BX102" i="17"/>
  <c r="CB102" i="17"/>
  <c r="CB48" i="17"/>
  <c r="CC43" i="17"/>
  <c r="CF50" i="17"/>
  <c r="CF102" i="17"/>
  <c r="CG43" i="17"/>
  <c r="CJ43" i="17"/>
  <c r="CJ102" i="17"/>
  <c r="CJ48" i="17"/>
  <c r="CK43" i="17"/>
  <c r="CN102" i="17"/>
  <c r="CO50" i="17"/>
  <c r="CN48" i="17"/>
  <c r="CP39" i="17"/>
  <c r="AB154" i="23" s="1"/>
  <c r="CR102" i="17"/>
  <c r="CS43" i="17"/>
  <c r="CS6" i="17" s="1"/>
  <c r="F115" i="2" s="1"/>
  <c r="AW115" i="2" s="1"/>
  <c r="H62" i="17"/>
  <c r="H7" i="17" s="1"/>
  <c r="H103" i="17"/>
  <c r="I62" i="17"/>
  <c r="I7" i="17" s="1"/>
  <c r="L103" i="17"/>
  <c r="N58" i="17"/>
  <c r="P103" i="17"/>
  <c r="P67" i="17"/>
  <c r="Q62" i="17"/>
  <c r="V58" i="17"/>
  <c r="V69" i="17" s="1"/>
  <c r="T69" i="17"/>
  <c r="U62" i="17"/>
  <c r="X103" i="17"/>
  <c r="Y62" i="17"/>
  <c r="V13" i="26" s="1"/>
  <c r="AB103" i="17"/>
  <c r="AC62" i="17"/>
  <c r="AJ103" i="17"/>
  <c r="AJ67" i="17"/>
  <c r="AK62" i="17"/>
  <c r="AK7" i="17" s="1"/>
  <c r="AN103" i="17"/>
  <c r="AO62" i="17"/>
  <c r="AS62" i="17"/>
  <c r="AR69" i="17"/>
  <c r="AV103" i="17"/>
  <c r="AV67" i="17"/>
  <c r="AW69" i="17"/>
  <c r="AW62" i="17"/>
  <c r="BD103" i="17"/>
  <c r="BD67" i="17"/>
  <c r="BP103" i="17"/>
  <c r="BQ62" i="17"/>
  <c r="BP67" i="17"/>
  <c r="BT67" i="17"/>
  <c r="BT103" i="17"/>
  <c r="BU62" i="17"/>
  <c r="BX67" i="17"/>
  <c r="BY62" i="17"/>
  <c r="CB103" i="17"/>
  <c r="CB69" i="17"/>
  <c r="CC62" i="17"/>
  <c r="CF103" i="17"/>
  <c r="CF69" i="17"/>
  <c r="CF67" i="17"/>
  <c r="CG62" i="17"/>
  <c r="CJ103" i="17"/>
  <c r="CK62" i="17"/>
  <c r="CK7" i="17" s="1"/>
  <c r="CN103" i="17"/>
  <c r="CN67" i="17"/>
  <c r="CO62" i="17"/>
  <c r="H104" i="17"/>
  <c r="H79" i="17"/>
  <c r="L93" i="17"/>
  <c r="M88" i="17"/>
  <c r="P93" i="17"/>
  <c r="Q88" i="17"/>
  <c r="P79" i="17"/>
  <c r="T104" i="17"/>
  <c r="T93" i="17"/>
  <c r="T79" i="17"/>
  <c r="U88" i="17"/>
  <c r="Z81" i="17"/>
  <c r="AC94" i="17" s="1"/>
  <c r="Y88" i="17"/>
  <c r="V14" i="26" s="1"/>
  <c r="X104" i="17"/>
  <c r="X79" i="17"/>
  <c r="Y95" i="17"/>
  <c r="AF93" i="17"/>
  <c r="AJ104" i="17"/>
  <c r="AK88" i="17"/>
  <c r="AJ93" i="17"/>
  <c r="AN93" i="17"/>
  <c r="AO88" i="17"/>
  <c r="AO8" i="17" s="1"/>
  <c r="AV104" i="17"/>
  <c r="AV95" i="17"/>
  <c r="AV93" i="17"/>
  <c r="AV79" i="17"/>
  <c r="AW88" i="17"/>
  <c r="AZ104" i="17"/>
  <c r="AZ93" i="17"/>
  <c r="AZ79" i="17"/>
  <c r="BA88" i="17"/>
  <c r="AX14" i="26" s="1"/>
  <c r="BH79" i="17"/>
  <c r="BI88" i="17"/>
  <c r="BI8" i="17" s="1"/>
  <c r="BM88" i="17"/>
  <c r="BL93" i="17"/>
  <c r="BP93" i="17"/>
  <c r="BP104" i="17"/>
  <c r="BP79" i="17"/>
  <c r="BQ88" i="17"/>
  <c r="BT93" i="17"/>
  <c r="BT79" i="17"/>
  <c r="BU88" i="17"/>
  <c r="BR14" i="26" s="1"/>
  <c r="BT104" i="17"/>
  <c r="BY88" i="17"/>
  <c r="BX93" i="17"/>
  <c r="CB104" i="17"/>
  <c r="CB79" i="17"/>
  <c r="CC88" i="17"/>
  <c r="CK88" i="17"/>
  <c r="CJ79" i="17"/>
  <c r="CN104" i="17"/>
  <c r="CO88" i="17"/>
  <c r="CN93" i="17"/>
  <c r="CN79" i="17"/>
  <c r="CO95" i="17"/>
  <c r="CR104" i="17"/>
  <c r="CS88" i="17"/>
  <c r="I169" i="17"/>
  <c r="I12" i="17" s="1"/>
  <c r="H184" i="17"/>
  <c r="L184" i="17"/>
  <c r="L185" i="17" s="1"/>
  <c r="M169" i="17"/>
  <c r="T184" i="17"/>
  <c r="T185" i="17" s="1"/>
  <c r="U169" i="17"/>
  <c r="X184" i="17"/>
  <c r="Y169" i="17"/>
  <c r="V18" i="26" s="1"/>
  <c r="AB174" i="17"/>
  <c r="AB184" i="17"/>
  <c r="AF174" i="17"/>
  <c r="AF184" i="17"/>
  <c r="AG169" i="17"/>
  <c r="AD18" i="26" s="1"/>
  <c r="AK169" i="17"/>
  <c r="AH18" i="26" s="1"/>
  <c r="AJ184" i="17"/>
  <c r="AR184" i="17"/>
  <c r="AS169" i="17"/>
  <c r="AV184" i="17"/>
  <c r="AW169" i="17"/>
  <c r="AZ184" i="17"/>
  <c r="BA169" i="17"/>
  <c r="AZ174" i="17"/>
  <c r="BD174" i="17"/>
  <c r="BE176" i="17"/>
  <c r="BD169" i="17"/>
  <c r="BE169" i="17"/>
  <c r="BE12" i="17" s="1"/>
  <c r="BH184" i="17"/>
  <c r="BH174" i="17"/>
  <c r="BI169" i="17"/>
  <c r="BF18" i="26" s="1"/>
  <c r="BM169" i="17"/>
  <c r="BL184" i="17"/>
  <c r="BL174" i="17"/>
  <c r="BP184" i="17"/>
  <c r="BP174" i="17"/>
  <c r="BQ169" i="17"/>
  <c r="BT169" i="17"/>
  <c r="BT184" i="17"/>
  <c r="BU176" i="17"/>
  <c r="BU169" i="17"/>
  <c r="BX184" i="17"/>
  <c r="BX174" i="17"/>
  <c r="CC176" i="17"/>
  <c r="CB174" i="17"/>
  <c r="CC169" i="17"/>
  <c r="CC12" i="17" s="1"/>
  <c r="CF174" i="17"/>
  <c r="CF184" i="17"/>
  <c r="CG169" i="17"/>
  <c r="CG12" i="17" s="1"/>
  <c r="CK169" i="17"/>
  <c r="CJ184" i="17"/>
  <c r="CJ174" i="17"/>
  <c r="CN184" i="17"/>
  <c r="CO169" i="17"/>
  <c r="CR184" i="17"/>
  <c r="CR174" i="17"/>
  <c r="CS169" i="17"/>
  <c r="CS200" i="17" s="1"/>
  <c r="H225" i="17"/>
  <c r="H226" i="17" s="1"/>
  <c r="M210" i="17"/>
  <c r="L225" i="17"/>
  <c r="P225" i="17"/>
  <c r="P215" i="17"/>
  <c r="Q210" i="17"/>
  <c r="T225" i="17"/>
  <c r="U210" i="17"/>
  <c r="T215" i="17"/>
  <c r="Y210" i="17"/>
  <c r="X225" i="17"/>
  <c r="X226" i="17" s="1"/>
  <c r="AB215" i="17"/>
  <c r="AB225" i="17"/>
  <c r="AD206" i="17"/>
  <c r="L162" i="23" s="1"/>
  <c r="AC210" i="17"/>
  <c r="AC14" i="17" s="1"/>
  <c r="AC217" i="17"/>
  <c r="AG210" i="17"/>
  <c r="AF215" i="17"/>
  <c r="AF225" i="17"/>
  <c r="AJ215" i="17"/>
  <c r="AK210" i="17"/>
  <c r="AH20" i="26" s="1"/>
  <c r="AN225" i="17"/>
  <c r="AN215" i="17"/>
  <c r="AR215" i="17"/>
  <c r="AS210" i="17"/>
  <c r="AR217" i="17"/>
  <c r="AS217" i="17"/>
  <c r="AV225" i="17"/>
  <c r="AW210" i="17"/>
  <c r="AV217" i="17"/>
  <c r="AZ225" i="17"/>
  <c r="AZ215" i="17"/>
  <c r="BA210" i="17"/>
  <c r="BD225" i="17"/>
  <c r="BE217" i="17"/>
  <c r="BE210" i="17"/>
  <c r="BH225" i="17"/>
  <c r="BI210" i="17"/>
  <c r="BH215" i="17"/>
  <c r="BL225" i="17"/>
  <c r="BM210" i="17"/>
  <c r="BM14" i="17" s="1"/>
  <c r="BP225" i="17"/>
  <c r="BP215" i="17"/>
  <c r="BQ210" i="17"/>
  <c r="BT215" i="17"/>
  <c r="BT225" i="17"/>
  <c r="BX217" i="17"/>
  <c r="BX215" i="17"/>
  <c r="CB225" i="17"/>
  <c r="CB217" i="17"/>
  <c r="CC210" i="17"/>
  <c r="CC14" i="17" s="1"/>
  <c r="CB215" i="17"/>
  <c r="CF215" i="17"/>
  <c r="CG210" i="17"/>
  <c r="CD20" i="26" s="1"/>
  <c r="CJ215" i="17"/>
  <c r="CK210" i="17"/>
  <c r="CJ225" i="17"/>
  <c r="CN217" i="17"/>
  <c r="CO210" i="17"/>
  <c r="CN215" i="17"/>
  <c r="CR225" i="17"/>
  <c r="CR215" i="17"/>
  <c r="CS210" i="17"/>
  <c r="CT206" i="17"/>
  <c r="CT217" i="17" s="1"/>
  <c r="AN85" i="17"/>
  <c r="AO85" i="17"/>
  <c r="CN85" i="17"/>
  <c r="CN96" i="17"/>
  <c r="CR96" i="17"/>
  <c r="BH70" i="17"/>
  <c r="BI86" i="17"/>
  <c r="BM86" i="17"/>
  <c r="BL70" i="17"/>
  <c r="BT70" i="17"/>
  <c r="BU86" i="17"/>
  <c r="BX70" i="17"/>
  <c r="BY86" i="17"/>
  <c r="CC86" i="17"/>
  <c r="CB70" i="17"/>
  <c r="CG86" i="17"/>
  <c r="CF70" i="17"/>
  <c r="DC80" i="17"/>
  <c r="CN70" i="17"/>
  <c r="CO86" i="17"/>
  <c r="CR70" i="17"/>
  <c r="X87" i="17"/>
  <c r="Y87" i="17"/>
  <c r="BT87" i="17"/>
  <c r="BU87" i="17"/>
  <c r="AC61" i="8"/>
  <c r="L294" i="23"/>
  <c r="AX13" i="11"/>
  <c r="U299" i="23"/>
  <c r="W452" i="23"/>
  <c r="H34" i="25"/>
  <c r="S316" i="23"/>
  <c r="U450" i="23"/>
  <c r="Q326" i="23"/>
  <c r="L344" i="23"/>
  <c r="I582" i="7"/>
  <c r="I924" i="7"/>
  <c r="I751" i="7"/>
  <c r="I1049" i="7"/>
  <c r="I38" i="25"/>
  <c r="I927" i="7"/>
  <c r="U1049" i="7"/>
  <c r="U925" i="7"/>
  <c r="CK5" i="6"/>
  <c r="U928" i="7"/>
  <c r="U38" i="25"/>
  <c r="T41" i="23"/>
  <c r="BT63" i="11" s="1"/>
  <c r="BU63" i="11" s="1"/>
  <c r="T177" i="23" s="1"/>
  <c r="T17" i="25" s="1"/>
  <c r="T83" i="23"/>
  <c r="Y107" i="23"/>
  <c r="S169" i="23"/>
  <c r="BO118" i="11" s="1"/>
  <c r="Z36" i="23"/>
  <c r="CX58" i="11" s="1"/>
  <c r="AA169" i="23"/>
  <c r="DC118" i="11" s="1"/>
  <c r="Q205" i="1"/>
  <c r="U245" i="23"/>
  <c r="H189" i="1"/>
  <c r="Q222" i="8"/>
  <c r="X128" i="1"/>
  <c r="R134" i="1"/>
  <c r="Y134" i="1"/>
  <c r="Y851" i="7" s="1"/>
  <c r="Y864" i="7" s="1"/>
  <c r="N138" i="1"/>
  <c r="X135" i="17"/>
  <c r="X10" i="17" s="1"/>
  <c r="V150" i="17"/>
  <c r="G219" i="17"/>
  <c r="K143" i="17"/>
  <c r="K144" i="17" s="1"/>
  <c r="K135" i="17"/>
  <c r="K10" i="17" s="1"/>
  <c r="CS86" i="17"/>
  <c r="CS85" i="17"/>
  <c r="CO85" i="17"/>
  <c r="I88" i="17"/>
  <c r="I8" i="17" s="1"/>
  <c r="CL39" i="17"/>
  <c r="AA154" i="23" s="1"/>
  <c r="AS232" i="17"/>
  <c r="I183" i="17"/>
  <c r="I185" i="17" s="1"/>
  <c r="M155" i="17"/>
  <c r="J150" i="17"/>
  <c r="J11" i="17" s="1"/>
  <c r="T85" i="17"/>
  <c r="BL215" i="17"/>
  <c r="X215" i="17"/>
  <c r="BT174" i="17"/>
  <c r="CJ104" i="17"/>
  <c r="CJ67" i="17"/>
  <c r="L67" i="17"/>
  <c r="X48" i="17"/>
  <c r="Z21" i="8"/>
  <c r="X33" i="8"/>
  <c r="X77" i="8" s="1"/>
  <c r="Q59" i="8"/>
  <c r="J48" i="8"/>
  <c r="I28" i="8"/>
  <c r="I188" i="8" s="1"/>
  <c r="H231" i="8"/>
  <c r="U138" i="1"/>
  <c r="I138" i="1"/>
  <c r="V134" i="1"/>
  <c r="O249" i="23"/>
  <c r="T128" i="1"/>
  <c r="I215" i="8"/>
  <c r="AA211" i="1"/>
  <c r="Y205" i="1"/>
  <c r="R205" i="1"/>
  <c r="I189" i="1"/>
  <c r="Q189" i="1"/>
  <c r="Y221" i="8"/>
  <c r="AA421" i="23"/>
  <c r="AA94" i="23"/>
  <c r="DC85" i="11" s="1"/>
  <c r="DD85" i="11" s="1"/>
  <c r="AA41" i="23"/>
  <c r="DC63" i="11" s="1"/>
  <c r="L138" i="23"/>
  <c r="J116" i="23"/>
  <c r="V100" i="11" s="1"/>
  <c r="M117" i="23"/>
  <c r="AK101" i="11" s="1"/>
  <c r="K94" i="23"/>
  <c r="AA85" i="11" s="1"/>
  <c r="P95" i="23"/>
  <c r="AZ86" i="11" s="1"/>
  <c r="X416" i="23"/>
  <c r="P35" i="23"/>
  <c r="AZ57" i="11" s="1"/>
  <c r="AB211" i="1"/>
  <c r="AF135" i="17"/>
  <c r="AF10" i="17" s="1"/>
  <c r="W211" i="1"/>
  <c r="K211" i="1"/>
  <c r="N37" i="23"/>
  <c r="S40" i="23"/>
  <c r="BO62" i="11" s="1"/>
  <c r="AE220" i="17"/>
  <c r="AE183" i="17"/>
  <c r="AB220" i="17"/>
  <c r="W155" i="17"/>
  <c r="AD416" i="7"/>
  <c r="AD407" i="7"/>
  <c r="I413" i="7"/>
  <c r="I407" i="7"/>
  <c r="AE191" i="17"/>
  <c r="AB19" i="26" s="1"/>
  <c r="P135" i="17"/>
  <c r="P10" i="17" s="1"/>
  <c r="L135" i="17"/>
  <c r="L10" i="17" s="1"/>
  <c r="H111" i="17"/>
  <c r="H9" i="17" s="1"/>
  <c r="AC58" i="8"/>
  <c r="AN29" i="8"/>
  <c r="U58" i="8"/>
  <c r="AG111" i="17"/>
  <c r="X112" i="8"/>
  <c r="T112" i="8"/>
  <c r="P112" i="8"/>
  <c r="L112" i="8"/>
  <c r="H112" i="8"/>
  <c r="R112" i="8"/>
  <c r="N112" i="8"/>
  <c r="M256" i="1"/>
  <c r="AA256" i="1"/>
  <c r="W256" i="1"/>
  <c r="S256" i="1"/>
  <c r="O256" i="1"/>
  <c r="K256" i="1"/>
  <c r="S233" i="1"/>
  <c r="S216" i="8" s="1"/>
  <c r="AA244" i="1"/>
  <c r="W244" i="1"/>
  <c r="S244" i="1"/>
  <c r="O244" i="1"/>
  <c r="K244" i="1"/>
  <c r="G244" i="1"/>
  <c r="AD7" i="23"/>
  <c r="AE7" i="23" s="1"/>
  <c r="AE58" i="23" s="1"/>
  <c r="AC232" i="8"/>
  <c r="AC1030" i="7"/>
  <c r="AC757" i="7"/>
  <c r="EG5" i="6"/>
  <c r="E147" i="2"/>
  <c r="H187" i="20" s="1"/>
  <c r="Y187" i="20" s="1"/>
  <c r="AC928" i="7"/>
  <c r="DP115" i="11"/>
  <c r="E133" i="2"/>
  <c r="AV133" i="2" s="1"/>
  <c r="M257" i="23"/>
  <c r="AC48" i="7"/>
  <c r="AC231" i="8"/>
  <c r="M234" i="8"/>
  <c r="L326" i="23"/>
  <c r="S362" i="23"/>
  <c r="R257" i="23"/>
  <c r="Z452" i="23"/>
  <c r="AA96" i="23"/>
  <c r="DC13" i="11" s="1"/>
  <c r="U168" i="8"/>
  <c r="V226" i="8"/>
  <c r="M206" i="23"/>
  <c r="O59" i="8"/>
  <c r="W49" i="25"/>
  <c r="V23" i="8"/>
  <c r="N52" i="8"/>
  <c r="Y546" i="7"/>
  <c r="Z546" i="7" s="1"/>
  <c r="X563" i="7"/>
  <c r="X580" i="7"/>
  <c r="DL16" i="6"/>
  <c r="DI16" i="6" s="1"/>
  <c r="P63" i="8"/>
  <c r="P33" i="8"/>
  <c r="P77" i="8" s="1"/>
  <c r="I48" i="25"/>
  <c r="I166" i="8"/>
  <c r="Y9" i="8"/>
  <c r="Y14" i="8"/>
  <c r="K53" i="25"/>
  <c r="K9" i="8"/>
  <c r="U15" i="8"/>
  <c r="U52" i="25"/>
  <c r="AA99" i="8"/>
  <c r="AA61" i="8"/>
  <c r="S45" i="25"/>
  <c r="S31" i="8"/>
  <c r="K31" i="8"/>
  <c r="M152" i="1"/>
  <c r="U421" i="23"/>
  <c r="V40" i="23"/>
  <c r="CD62" i="11" s="1"/>
  <c r="CE62" i="11" s="1"/>
  <c r="L122" i="23"/>
  <c r="L462" i="23"/>
  <c r="L59" i="8"/>
  <c r="S48" i="8"/>
  <c r="AA48" i="8"/>
  <c r="K35" i="8"/>
  <c r="K52" i="8"/>
  <c r="S191" i="17"/>
  <c r="P19" i="26" s="1"/>
  <c r="S224" i="17"/>
  <c r="AA66" i="23"/>
  <c r="AC289" i="23"/>
  <c r="Z231" i="23"/>
  <c r="V234" i="8"/>
  <c r="V232" i="8"/>
  <c r="V230" i="8"/>
  <c r="S113" i="8"/>
  <c r="T61" i="8"/>
  <c r="I9" i="8"/>
  <c r="Q51" i="25"/>
  <c r="Y51" i="25"/>
  <c r="X133" i="8"/>
  <c r="X166" i="8"/>
  <c r="Z48" i="8"/>
  <c r="Y49" i="25"/>
  <c r="V48" i="8"/>
  <c r="U59" i="8"/>
  <c r="AK32" i="8"/>
  <c r="AJ32" i="8"/>
  <c r="V50" i="8"/>
  <c r="U244" i="8"/>
  <c r="M244" i="8"/>
  <c r="M245" i="8" s="1"/>
  <c r="M61" i="8"/>
  <c r="I31" i="8"/>
  <c r="AB116" i="23"/>
  <c r="DH100" i="11" s="1"/>
  <c r="AC116" i="23"/>
  <c r="DM100" i="11" s="1"/>
  <c r="AF224" i="17"/>
  <c r="AF219" i="17"/>
  <c r="AC183" i="17"/>
  <c r="AC220" i="17"/>
  <c r="Z224" i="17"/>
  <c r="AD196" i="17"/>
  <c r="AB16" i="23"/>
  <c r="I230" i="8"/>
  <c r="BM47" i="11"/>
  <c r="P16" i="8"/>
  <c r="K116" i="23"/>
  <c r="AA100" i="11" s="1"/>
  <c r="AB100" i="11" s="1"/>
  <c r="O133" i="8"/>
  <c r="O136" i="8"/>
  <c r="D162" i="2"/>
  <c r="AU162" i="2" s="1"/>
  <c r="AB113" i="8"/>
  <c r="U9" i="8"/>
  <c r="AA55" i="25"/>
  <c r="AA52" i="8"/>
  <c r="AB49" i="25"/>
  <c r="AB48" i="8"/>
  <c r="T49" i="25"/>
  <c r="T48" i="8"/>
  <c r="P49" i="25"/>
  <c r="P76" i="8"/>
  <c r="L76" i="8"/>
  <c r="L49" i="25"/>
  <c r="D159" i="2"/>
  <c r="AU159" i="2" s="1"/>
  <c r="AB244" i="8"/>
  <c r="AI32" i="8"/>
  <c r="P45" i="25"/>
  <c r="P244" i="8"/>
  <c r="P245" i="8" s="1"/>
  <c r="L31" i="8"/>
  <c r="W196" i="17"/>
  <c r="P183" i="17"/>
  <c r="P220" i="17"/>
  <c r="T155" i="17"/>
  <c r="M198" i="17"/>
  <c r="AA74" i="23"/>
  <c r="CX13" i="6"/>
  <c r="CW13" i="6" s="1"/>
  <c r="AA215" i="8"/>
  <c r="I134" i="1"/>
  <c r="L45" i="25"/>
  <c r="P61" i="8"/>
  <c r="T45" i="25"/>
  <c r="X45" i="25"/>
  <c r="AB61" i="8"/>
  <c r="T28" i="8"/>
  <c r="X28" i="8"/>
  <c r="X188" i="8" s="1"/>
  <c r="D163" i="2"/>
  <c r="AA23" i="8"/>
  <c r="O21" i="8"/>
  <c r="W6" i="8"/>
  <c r="AA51" i="25"/>
  <c r="O35" i="8"/>
  <c r="AG191" i="17"/>
  <c r="R117" i="1"/>
  <c r="P37" i="23"/>
  <c r="O37" i="23"/>
  <c r="O196" i="17"/>
  <c r="O191" i="17"/>
  <c r="L19" i="26" s="1"/>
  <c r="O224" i="17"/>
  <c r="AZ118" i="17"/>
  <c r="AZ142" i="17"/>
  <c r="AM142" i="17"/>
  <c r="AM111" i="17"/>
  <c r="J142" i="17"/>
  <c r="J144" i="17" s="1"/>
  <c r="N116" i="17"/>
  <c r="AO111" i="17"/>
  <c r="AN111" i="17"/>
  <c r="AN118" i="17"/>
  <c r="AA111" i="17"/>
  <c r="AA116" i="17"/>
  <c r="AB111" i="17"/>
  <c r="AE116" i="17"/>
  <c r="BD111" i="17"/>
  <c r="BC142" i="17"/>
  <c r="BD118" i="17"/>
  <c r="BC116" i="17"/>
  <c r="AK111" i="17"/>
  <c r="AJ116" i="17"/>
  <c r="AV142" i="17"/>
  <c r="N232" i="17"/>
  <c r="N20" i="17" s="1"/>
  <c r="N237" i="17"/>
  <c r="R237" i="17"/>
  <c r="V237" i="17"/>
  <c r="Z237" i="17"/>
  <c r="Z232" i="17"/>
  <c r="Z26" i="17" s="1"/>
  <c r="AD237" i="17"/>
  <c r="AH237" i="17"/>
  <c r="AL237" i="17"/>
  <c r="AP232" i="17"/>
  <c r="AP24" i="17" s="1"/>
  <c r="AP237" i="17"/>
  <c r="AT237" i="17"/>
  <c r="AX237" i="17"/>
  <c r="AX228" i="17"/>
  <c r="AX239" i="17" s="1"/>
  <c r="BB237" i="17"/>
  <c r="BB232" i="17"/>
  <c r="BF237" i="17"/>
  <c r="BF232" i="17"/>
  <c r="BF228" i="17"/>
  <c r="BN237" i="17"/>
  <c r="BN232" i="17"/>
  <c r="BR237" i="17"/>
  <c r="BZ232" i="17"/>
  <c r="BZ20" i="17" s="1"/>
  <c r="BZ237" i="17"/>
  <c r="BZ1" i="17" s="1"/>
  <c r="CD237" i="17"/>
  <c r="CD1" i="17" s="1"/>
  <c r="CH237" i="17"/>
  <c r="CH1" i="17" s="1"/>
  <c r="CL237" i="17"/>
  <c r="CL1" i="17" s="1"/>
  <c r="CP237" i="17"/>
  <c r="CP1" i="17" s="1"/>
  <c r="N48" i="17"/>
  <c r="N102" i="17"/>
  <c r="N43" i="17"/>
  <c r="N6" i="17" s="1"/>
  <c r="R48" i="17"/>
  <c r="R102" i="17"/>
  <c r="R43" i="17"/>
  <c r="Z102" i="17"/>
  <c r="Z43" i="17"/>
  <c r="Z48" i="17"/>
  <c r="AD43" i="17"/>
  <c r="AD102" i="17"/>
  <c r="AH43" i="17"/>
  <c r="AH48" i="17"/>
  <c r="AH102" i="17"/>
  <c r="AP48" i="17"/>
  <c r="AP102" i="17"/>
  <c r="AP43" i="17"/>
  <c r="AX43" i="17"/>
  <c r="AX48" i="17"/>
  <c r="BB48" i="17"/>
  <c r="BB102" i="17"/>
  <c r="BJ102" i="17"/>
  <c r="BJ48" i="17"/>
  <c r="BN48" i="17"/>
  <c r="BN102" i="17"/>
  <c r="BN39" i="17"/>
  <c r="BV43" i="17"/>
  <c r="BV48" i="17"/>
  <c r="BZ48" i="17"/>
  <c r="BZ102" i="17"/>
  <c r="CD48" i="17"/>
  <c r="CH102" i="17"/>
  <c r="CH48" i="17"/>
  <c r="CL48" i="17"/>
  <c r="CL43" i="17"/>
  <c r="CL102" i="17"/>
  <c r="N103" i="17"/>
  <c r="N62" i="17"/>
  <c r="N67" i="17"/>
  <c r="R62" i="17"/>
  <c r="R103" i="17"/>
  <c r="Z67" i="17"/>
  <c r="Z103" i="17"/>
  <c r="AD103" i="17"/>
  <c r="AD67" i="17"/>
  <c r="AD62" i="17"/>
  <c r="AH103" i="17"/>
  <c r="AH62" i="17"/>
  <c r="AP62" i="17"/>
  <c r="AP103" i="17"/>
  <c r="AT62" i="17"/>
  <c r="AT103" i="17"/>
  <c r="AT67" i="17"/>
  <c r="AX103" i="17"/>
  <c r="AX62" i="17"/>
  <c r="BB67" i="17"/>
  <c r="BB62" i="17"/>
  <c r="BF67" i="17"/>
  <c r="BF103" i="17"/>
  <c r="BJ103" i="17"/>
  <c r="BJ62" i="17"/>
  <c r="BJ67" i="17"/>
  <c r="BN67" i="17"/>
  <c r="BR67" i="17"/>
  <c r="BR103" i="17"/>
  <c r="BV67" i="17"/>
  <c r="BV103" i="17"/>
  <c r="BZ103" i="17"/>
  <c r="BZ67" i="17"/>
  <c r="CD103" i="17"/>
  <c r="CD67" i="17"/>
  <c r="CH103" i="17"/>
  <c r="CH67" i="17"/>
  <c r="CH62" i="17"/>
  <c r="CP103" i="17"/>
  <c r="CP62" i="17"/>
  <c r="CT103" i="17"/>
  <c r="CT67" i="17"/>
  <c r="N93" i="17"/>
  <c r="N79" i="17"/>
  <c r="R104" i="17"/>
  <c r="R79" i="17"/>
  <c r="R93" i="17"/>
  <c r="V93" i="17"/>
  <c r="V79" i="17"/>
  <c r="Z88" i="17"/>
  <c r="Z79" i="17"/>
  <c r="Z104" i="17"/>
  <c r="AD93" i="17"/>
  <c r="AH93" i="17"/>
  <c r="AH79" i="17"/>
  <c r="AL93" i="17"/>
  <c r="AL104" i="17"/>
  <c r="AP93" i="17"/>
  <c r="AP79" i="17"/>
  <c r="AT93" i="17"/>
  <c r="AT104" i="17"/>
  <c r="AX88" i="17"/>
  <c r="AX79" i="17"/>
  <c r="AX93" i="17"/>
  <c r="AX104" i="17"/>
  <c r="BF79" i="17"/>
  <c r="BF88" i="17"/>
  <c r="BJ93" i="17"/>
  <c r="BJ104" i="17"/>
  <c r="BN104" i="17"/>
  <c r="BN88" i="17"/>
  <c r="BR88" i="17"/>
  <c r="BR79" i="17"/>
  <c r="BR104" i="17"/>
  <c r="BV93" i="17"/>
  <c r="BV104" i="17"/>
  <c r="BV79" i="17"/>
  <c r="BV81" i="17"/>
  <c r="BX94" i="17" s="1"/>
  <c r="BV88" i="17"/>
  <c r="BZ93" i="17"/>
  <c r="BZ81" i="17"/>
  <c r="BZ79" i="17"/>
  <c r="CD93" i="17"/>
  <c r="CH104" i="17"/>
  <c r="CH81" i="17"/>
  <c r="CI94" i="17" s="1"/>
  <c r="CH79" i="17"/>
  <c r="CL79" i="17"/>
  <c r="CL104" i="17"/>
  <c r="CP104" i="17"/>
  <c r="CP93" i="17"/>
  <c r="N184" i="17"/>
  <c r="R174" i="17"/>
  <c r="R169" i="17"/>
  <c r="V174" i="17"/>
  <c r="Z174" i="17"/>
  <c r="AA169" i="17"/>
  <c r="AD174" i="17"/>
  <c r="AD184" i="17"/>
  <c r="AD185" i="17" s="1"/>
  <c r="AH169" i="17"/>
  <c r="AH174" i="17"/>
  <c r="AH184" i="17"/>
  <c r="AH165" i="17"/>
  <c r="AL169" i="17"/>
  <c r="AL174" i="17"/>
  <c r="AP184" i="17"/>
  <c r="AX184" i="17"/>
  <c r="AX169" i="17"/>
  <c r="BB184" i="17"/>
  <c r="BB174" i="17"/>
  <c r="BF174" i="17"/>
  <c r="BF184" i="17"/>
  <c r="BJ174" i="17"/>
  <c r="BJ184" i="17"/>
  <c r="BN174" i="17"/>
  <c r="BN169" i="17"/>
  <c r="BZ174" i="17"/>
  <c r="CD184" i="17"/>
  <c r="CD174" i="17"/>
  <c r="CE169" i="17"/>
  <c r="CH184" i="17"/>
  <c r="CH174" i="17"/>
  <c r="CL169" i="17"/>
  <c r="CL184" i="17"/>
  <c r="CL174" i="17"/>
  <c r="CT174" i="17"/>
  <c r="N215" i="17"/>
  <c r="R225" i="17"/>
  <c r="R206" i="17"/>
  <c r="R217" i="17" s="1"/>
  <c r="V225" i="17"/>
  <c r="V215" i="17"/>
  <c r="Z215" i="17"/>
  <c r="Z225" i="17"/>
  <c r="AD215" i="17"/>
  <c r="AL225" i="17"/>
  <c r="AL215" i="17"/>
  <c r="AP215" i="17"/>
  <c r="AP225" i="17"/>
  <c r="AT225" i="17"/>
  <c r="AT215" i="17"/>
  <c r="AT210" i="17"/>
  <c r="AX215" i="17"/>
  <c r="AX225" i="17"/>
  <c r="BB225" i="17"/>
  <c r="BB215" i="17"/>
  <c r="BF225" i="17"/>
  <c r="BJ215" i="17"/>
  <c r="BN225" i="17"/>
  <c r="BN215" i="17"/>
  <c r="BR225" i="17"/>
  <c r="BR215" i="17"/>
  <c r="BS210" i="17"/>
  <c r="BS14" i="17" s="1"/>
  <c r="BZ215" i="17"/>
  <c r="BZ210" i="17"/>
  <c r="CA210" i="17"/>
  <c r="CA14" i="17" s="1"/>
  <c r="CD225" i="17"/>
  <c r="CD210" i="17"/>
  <c r="CH215" i="17"/>
  <c r="CH210" i="17"/>
  <c r="CH14" i="17" s="1"/>
  <c r="CT225" i="17"/>
  <c r="CT215" i="17"/>
  <c r="CD85" i="17"/>
  <c r="CE85" i="17"/>
  <c r="BN70" i="17"/>
  <c r="BZ70" i="17"/>
  <c r="Y569" i="7"/>
  <c r="Y549" i="7"/>
  <c r="CT228" i="17"/>
  <c r="AH219" i="17"/>
  <c r="V135" i="17"/>
  <c r="V10" i="17" s="1"/>
  <c r="CT48" i="17"/>
  <c r="CT58" i="17"/>
  <c r="CT69" i="17" s="1"/>
  <c r="CU76" i="17"/>
  <c r="CV76" i="17" s="1"/>
  <c r="CW76" i="17" s="1"/>
  <c r="AY86" i="17"/>
  <c r="AQ86" i="17"/>
  <c r="AI86" i="17"/>
  <c r="AA86" i="17"/>
  <c r="S86" i="17"/>
  <c r="K86" i="17"/>
  <c r="BC169" i="17"/>
  <c r="BB165" i="17"/>
  <c r="BB176" i="17" s="1"/>
  <c r="AU169" i="17"/>
  <c r="Z228" i="17"/>
  <c r="J135" i="17"/>
  <c r="J10" i="17" s="1"/>
  <c r="AA142" i="17"/>
  <c r="AN116" i="17"/>
  <c r="AZ111" i="17"/>
  <c r="AY111" i="17"/>
  <c r="BR70" i="17"/>
  <c r="CP79" i="17"/>
  <c r="BJ79" i="17"/>
  <c r="AD79" i="17"/>
  <c r="CP215" i="17"/>
  <c r="CL215" i="17"/>
  <c r="BJ225" i="17"/>
  <c r="AD225" i="17"/>
  <c r="CP174" i="17"/>
  <c r="BV184" i="17"/>
  <c r="BR184" i="17"/>
  <c r="AL184" i="17"/>
  <c r="R184" i="17"/>
  <c r="BZ104" i="17"/>
  <c r="BR93" i="17"/>
  <c r="Z93" i="17"/>
  <c r="CL67" i="17"/>
  <c r="BF62" i="17"/>
  <c r="AP67" i="17"/>
  <c r="Z62" i="17"/>
  <c r="J62" i="17"/>
  <c r="J7" i="17" s="1"/>
  <c r="BR102" i="17"/>
  <c r="AT48" i="17"/>
  <c r="AX116" i="17"/>
  <c r="Z95" i="23"/>
  <c r="CX86" i="11" s="1"/>
  <c r="AH226" i="17"/>
  <c r="AH191" i="17"/>
  <c r="V219" i="17"/>
  <c r="Q155" i="17"/>
  <c r="N219" i="17"/>
  <c r="J219" i="17"/>
  <c r="CT93" i="17"/>
  <c r="CT104" i="17"/>
  <c r="CU164" i="17"/>
  <c r="CU184" i="17" s="1"/>
  <c r="DE76" i="17"/>
  <c r="BF206" i="17"/>
  <c r="CP228" i="17"/>
  <c r="AB163" i="23" s="1"/>
  <c r="CH228" i="17"/>
  <c r="Z163" i="23" s="1"/>
  <c r="BZ228" i="17"/>
  <c r="CA238" i="17" s="1"/>
  <c r="AV116" i="17"/>
  <c r="BC111" i="17"/>
  <c r="AB118" i="17"/>
  <c r="AN142" i="17"/>
  <c r="BV86" i="17"/>
  <c r="AL79" i="17"/>
  <c r="J79" i="17"/>
  <c r="CP210" i="17"/>
  <c r="BZ225" i="17"/>
  <c r="BV215" i="17"/>
  <c r="AH215" i="17"/>
  <c r="J225" i="17"/>
  <c r="J226" i="17" s="1"/>
  <c r="BZ184" i="17"/>
  <c r="BV174" i="17"/>
  <c r="BR174" i="17"/>
  <c r="AX174" i="17"/>
  <c r="V184" i="17"/>
  <c r="N174" i="17"/>
  <c r="CH93" i="17"/>
  <c r="BF93" i="17"/>
  <c r="AP104" i="17"/>
  <c r="AH104" i="17"/>
  <c r="BN103" i="17"/>
  <c r="AX67" i="17"/>
  <c r="AH67" i="17"/>
  <c r="R67" i="17"/>
  <c r="BV102" i="17"/>
  <c r="BF102" i="17"/>
  <c r="AX102" i="17"/>
  <c r="AT142" i="17"/>
  <c r="V86" i="17"/>
  <c r="R138" i="1"/>
  <c r="K87" i="25"/>
  <c r="CN11" i="6"/>
  <c r="N205" i="23"/>
  <c r="M16" i="8"/>
  <c r="K20" i="8"/>
  <c r="AF143" i="17"/>
  <c r="AA191" i="17"/>
  <c r="AA13" i="17" s="1"/>
  <c r="V220" i="17"/>
  <c r="U155" i="17"/>
  <c r="Q150" i="17"/>
  <c r="CT88" i="17"/>
  <c r="CQ14" i="26" s="1"/>
  <c r="CU205" i="17"/>
  <c r="CV205" i="17" s="1"/>
  <c r="BW86" i="17"/>
  <c r="BC86" i="17"/>
  <c r="AU86" i="17"/>
  <c r="AM86" i="17"/>
  <c r="AE86" i="17"/>
  <c r="O86" i="17"/>
  <c r="CQ88" i="17"/>
  <c r="AY88" i="17"/>
  <c r="AY8" i="17" s="1"/>
  <c r="AX81" i="17"/>
  <c r="AT81" i="17"/>
  <c r="AM88" i="17"/>
  <c r="AJ14" i="26" s="1"/>
  <c r="AL81" i="17"/>
  <c r="CH58" i="17"/>
  <c r="CD58" i="17"/>
  <c r="CE68" i="17" s="1"/>
  <c r="BK62" i="17"/>
  <c r="BH13" i="26" s="1"/>
  <c r="BF58" i="17"/>
  <c r="BF69" i="17" s="1"/>
  <c r="J58" i="17"/>
  <c r="K68" i="17" s="1"/>
  <c r="CQ43" i="17"/>
  <c r="AJ142" i="17"/>
  <c r="CD70" i="17"/>
  <c r="CD79" i="17"/>
  <c r="CD215" i="17"/>
  <c r="BB210" i="17"/>
  <c r="N210" i="17"/>
  <c r="CD169" i="17"/>
  <c r="AP174" i="17"/>
  <c r="Z184" i="17"/>
  <c r="Z185" i="17" s="1"/>
  <c r="V169" i="17"/>
  <c r="CL88" i="17"/>
  <c r="CD104" i="17"/>
  <c r="BF104" i="17"/>
  <c r="AP88" i="17"/>
  <c r="V104" i="17"/>
  <c r="CP67" i="17"/>
  <c r="BB103" i="17"/>
  <c r="AL67" i="17"/>
  <c r="V67" i="17"/>
  <c r="CD102" i="17"/>
  <c r="BF48" i="17"/>
  <c r="V48" i="17"/>
  <c r="BV237" i="17"/>
  <c r="BV1" i="17" s="1"/>
  <c r="CT184" i="17"/>
  <c r="AM87" i="17"/>
  <c r="CL86" i="17"/>
  <c r="AL111" i="17"/>
  <c r="AL9" i="17" s="1"/>
  <c r="AL142" i="17"/>
  <c r="AF111" i="17"/>
  <c r="AF118" i="17"/>
  <c r="AF142" i="17"/>
  <c r="AG118" i="17"/>
  <c r="L237" i="17"/>
  <c r="P237" i="17"/>
  <c r="AB237" i="17"/>
  <c r="AJ237" i="17"/>
  <c r="AN237" i="17"/>
  <c r="BD237" i="17"/>
  <c r="BH237" i="17"/>
  <c r="BP237" i="17"/>
  <c r="BX237" i="17"/>
  <c r="BX1" i="17" s="1"/>
  <c r="CF237" i="17"/>
  <c r="CF1" i="17" s="1"/>
  <c r="CR237" i="17"/>
  <c r="CR1" i="17" s="1"/>
  <c r="L48" i="17"/>
  <c r="L102" i="17"/>
  <c r="X43" i="17"/>
  <c r="X102" i="17"/>
  <c r="AB48" i="17"/>
  <c r="BD48" i="17"/>
  <c r="BH48" i="17"/>
  <c r="BL48" i="17"/>
  <c r="BP48" i="17"/>
  <c r="BX48" i="17"/>
  <c r="CR48" i="17"/>
  <c r="T103" i="17"/>
  <c r="T67" i="17"/>
  <c r="X67" i="17"/>
  <c r="AB67" i="17"/>
  <c r="AF67" i="17"/>
  <c r="AF103" i="17"/>
  <c r="AN67" i="17"/>
  <c r="AR67" i="17"/>
  <c r="AR103" i="17"/>
  <c r="AZ67" i="17"/>
  <c r="BH67" i="17"/>
  <c r="BL67" i="17"/>
  <c r="CB67" i="17"/>
  <c r="CR67" i="17"/>
  <c r="L79" i="17"/>
  <c r="L104" i="17"/>
  <c r="X93" i="17"/>
  <c r="AB104" i="17"/>
  <c r="AB93" i="17"/>
  <c r="AF104" i="17"/>
  <c r="AF79" i="17"/>
  <c r="AN104" i="17"/>
  <c r="AN79" i="17"/>
  <c r="AR93" i="17"/>
  <c r="AR79" i="17"/>
  <c r="BD104" i="17"/>
  <c r="BD79" i="17"/>
  <c r="BD93" i="17"/>
  <c r="BH93" i="17"/>
  <c r="BH104" i="17"/>
  <c r="BL104" i="17"/>
  <c r="BL106" i="17" s="1"/>
  <c r="BL79" i="17"/>
  <c r="BX104" i="17"/>
  <c r="BX79" i="17"/>
  <c r="CB93" i="17"/>
  <c r="CF93" i="17"/>
  <c r="CF104" i="17"/>
  <c r="CJ93" i="17"/>
  <c r="CR93" i="17"/>
  <c r="CR79" i="17"/>
  <c r="L174" i="17"/>
  <c r="P174" i="17"/>
  <c r="P184" i="17"/>
  <c r="T174" i="17"/>
  <c r="AJ174" i="17"/>
  <c r="AN174" i="17"/>
  <c r="AR174" i="17"/>
  <c r="AV174" i="17"/>
  <c r="L215" i="17"/>
  <c r="AV215" i="17"/>
  <c r="R420" i="7"/>
  <c r="R423" i="7" s="1"/>
  <c r="R426" i="7" s="1"/>
  <c r="R421" i="7"/>
  <c r="AA543" i="7"/>
  <c r="AM543" i="7"/>
  <c r="V112" i="8"/>
  <c r="Y256" i="1"/>
  <c r="Q256" i="1"/>
  <c r="H248" i="1"/>
  <c r="Z112" i="8"/>
  <c r="J112" i="8"/>
  <c r="U256" i="1"/>
  <c r="J248" i="1"/>
  <c r="AB112" i="8"/>
  <c r="AM431" i="7"/>
  <c r="AA431" i="7"/>
  <c r="AB431" i="7" s="1"/>
  <c r="AC431" i="7" s="1"/>
  <c r="AD431" i="7" s="1"/>
  <c r="AE431" i="7" s="1"/>
  <c r="U407" i="7"/>
  <c r="P951" i="7"/>
  <c r="P952" i="7" s="1"/>
  <c r="P959" i="7" s="1"/>
  <c r="R951" i="7"/>
  <c r="R952" i="7" s="1"/>
  <c r="R959" i="7" s="1"/>
  <c r="H256" i="1"/>
  <c r="Y252" i="1"/>
  <c r="U252" i="1"/>
  <c r="Q252" i="1"/>
  <c r="M252" i="1"/>
  <c r="I252" i="1"/>
  <c r="Z248" i="1"/>
  <c r="V248" i="1"/>
  <c r="R248" i="1"/>
  <c r="N248" i="1"/>
  <c r="S413" i="7"/>
  <c r="AD413" i="7"/>
  <c r="AG296" i="2"/>
  <c r="AR146" i="20" s="1"/>
  <c r="AQ146" i="20"/>
  <c r="AQ73" i="20"/>
  <c r="AO258" i="20"/>
  <c r="AO253" i="20"/>
  <c r="AO33" i="20"/>
  <c r="AO257" i="20"/>
  <c r="AO236" i="20"/>
  <c r="AO29" i="20"/>
  <c r="AO256" i="20"/>
  <c r="AG295" i="2"/>
  <c r="AO259" i="20"/>
  <c r="AO254" i="20"/>
  <c r="AM229" i="20"/>
  <c r="AM228" i="20"/>
  <c r="AO65" i="20"/>
  <c r="AG313" i="2"/>
  <c r="AG287" i="2"/>
  <c r="AP66" i="20"/>
  <c r="AP63" i="20"/>
  <c r="AQ153" i="20"/>
  <c r="AG285" i="2"/>
  <c r="AC286" i="2"/>
  <c r="AE293" i="2"/>
  <c r="AO68" i="20"/>
  <c r="AN29" i="20"/>
  <c r="AN253" i="20"/>
  <c r="AN258" i="20"/>
  <c r="AP154" i="20"/>
  <c r="AM234" i="20"/>
  <c r="AF310" i="2"/>
  <c r="AP73" i="20"/>
  <c r="AN256" i="20"/>
  <c r="AE299" i="2"/>
  <c r="L41" i="23"/>
  <c r="AF63" i="11" s="1"/>
  <c r="AC16" i="26"/>
  <c r="AD191" i="17"/>
  <c r="AD13" i="17" s="1"/>
  <c r="AC224" i="17"/>
  <c r="AC226" i="17" s="1"/>
  <c r="AA219" i="17"/>
  <c r="Y191" i="17"/>
  <c r="V19" i="26" s="1"/>
  <c r="Z135" i="17"/>
  <c r="Z10" i="17" s="1"/>
  <c r="T220" i="17"/>
  <c r="S196" i="17"/>
  <c r="Q130" i="17"/>
  <c r="N196" i="17"/>
  <c r="AA205" i="1"/>
  <c r="M130" i="17"/>
  <c r="M135" i="17"/>
  <c r="M10" i="17" s="1"/>
  <c r="J16" i="26"/>
  <c r="N130" i="17"/>
  <c r="G144" i="17"/>
  <c r="G183" i="17"/>
  <c r="K155" i="17"/>
  <c r="AG198" i="17"/>
  <c r="AD220" i="17"/>
  <c r="AC219" i="17"/>
  <c r="AD130" i="17"/>
  <c r="AB143" i="17"/>
  <c r="Z191" i="17"/>
  <c r="W19" i="26" s="1"/>
  <c r="R155" i="17"/>
  <c r="M143" i="17"/>
  <c r="M150" i="17"/>
  <c r="L220" i="17"/>
  <c r="M157" i="17"/>
  <c r="K224" i="17"/>
  <c r="K226" i="17" s="1"/>
  <c r="K191" i="17"/>
  <c r="L130" i="17"/>
  <c r="I16" i="26"/>
  <c r="L143" i="17"/>
  <c r="AH126" i="17"/>
  <c r="M158" i="23" s="1"/>
  <c r="Z196" i="17"/>
  <c r="N150" i="17"/>
  <c r="N11" i="17" s="1"/>
  <c r="N155" i="17"/>
  <c r="H191" i="17"/>
  <c r="H13" i="17" s="1"/>
  <c r="H219" i="17"/>
  <c r="J111" i="17"/>
  <c r="J9" i="17" s="1"/>
  <c r="BI142" i="17"/>
  <c r="AB248" i="1"/>
  <c r="H568" i="7"/>
  <c r="Y244" i="1"/>
  <c r="U244" i="1"/>
  <c r="Q244" i="1"/>
  <c r="M244" i="1"/>
  <c r="I244" i="1"/>
  <c r="Z233" i="1"/>
  <c r="Z216" i="8" s="1"/>
  <c r="V233" i="1"/>
  <c r="V216" i="8" s="1"/>
  <c r="R233" i="1"/>
  <c r="R216" i="8" s="1"/>
  <c r="N233" i="1"/>
  <c r="N216" i="8" s="1"/>
  <c r="J233" i="1"/>
  <c r="J216" i="8" s="1"/>
  <c r="AA233" i="1"/>
  <c r="AA216" i="8" s="1"/>
  <c r="W233" i="1"/>
  <c r="W216" i="8" s="1"/>
  <c r="O233" i="1"/>
  <c r="O216" i="8" s="1"/>
  <c r="K233" i="1"/>
  <c r="K216" i="8" s="1"/>
  <c r="G233" i="1"/>
  <c r="G216" i="8" s="1"/>
  <c r="V305" i="7"/>
  <c r="AB233" i="1"/>
  <c r="AB216" i="8" s="1"/>
  <c r="AT116" i="17"/>
  <c r="L157" i="17"/>
  <c r="H150" i="17"/>
  <c r="H11" i="17" s="1"/>
  <c r="O111" i="17"/>
  <c r="AT111" i="17"/>
  <c r="AT9" i="17" s="1"/>
  <c r="BG116" i="17"/>
  <c r="AD116" i="17"/>
  <c r="H557" i="7"/>
  <c r="H561" i="7" s="1"/>
  <c r="AA252" i="1"/>
  <c r="W252" i="1"/>
  <c r="S252" i="1"/>
  <c r="O252" i="1"/>
  <c r="G252" i="1"/>
  <c r="X248" i="1"/>
  <c r="T248" i="1"/>
  <c r="P248" i="1"/>
  <c r="L248" i="1"/>
  <c r="X233" i="1"/>
  <c r="X216" i="8" s="1"/>
  <c r="P233" i="1"/>
  <c r="P216" i="8" s="1"/>
  <c r="L233" i="1"/>
  <c r="L216" i="8" s="1"/>
  <c r="H233" i="1"/>
  <c r="H216" i="8" s="1"/>
  <c r="Z1149" i="7"/>
  <c r="O113" i="8"/>
  <c r="Q6" i="8"/>
  <c r="Z138" i="1"/>
  <c r="Z84" i="23"/>
  <c r="N6" i="8"/>
  <c r="H31" i="8"/>
  <c r="AB121" i="23"/>
  <c r="AC470" i="23"/>
  <c r="Z136" i="23"/>
  <c r="P253" i="23"/>
  <c r="T134" i="1"/>
  <c r="Y138" i="1"/>
  <c r="AB134" i="1"/>
  <c r="Z134" i="1"/>
  <c r="Z851" i="7" s="1"/>
  <c r="P134" i="1"/>
  <c r="P128" i="1"/>
  <c r="Z117" i="1"/>
  <c r="L117" i="1"/>
  <c r="P116" i="23"/>
  <c r="AZ100" i="11" s="1"/>
  <c r="R36" i="23"/>
  <c r="BJ58" i="11" s="1"/>
  <c r="AB205" i="1"/>
  <c r="AC189" i="1"/>
  <c r="AF130" i="17"/>
  <c r="AC130" i="17"/>
  <c r="AB135" i="17"/>
  <c r="AB10" i="17" s="1"/>
  <c r="Z219" i="17"/>
  <c r="Y224" i="17"/>
  <c r="X143" i="17"/>
  <c r="V191" i="17"/>
  <c r="H134" i="1"/>
  <c r="S128" i="1"/>
  <c r="R128" i="1"/>
  <c r="V117" i="1"/>
  <c r="P117" i="1"/>
  <c r="H211" i="1"/>
  <c r="Z460" i="23"/>
  <c r="N41" i="23"/>
  <c r="AP63" i="11" s="1"/>
  <c r="AB189" i="1"/>
  <c r="AC152" i="1"/>
  <c r="AC211" i="1"/>
  <c r="AG220" i="17"/>
  <c r="AE135" i="17"/>
  <c r="AE10" i="17" s="1"/>
  <c r="T150" i="17"/>
  <c r="R183" i="17"/>
  <c r="Q183" i="17"/>
  <c r="N183" i="17"/>
  <c r="AB16" i="26"/>
  <c r="V224" i="17"/>
  <c r="N220" i="17"/>
  <c r="J105" i="17"/>
  <c r="BB111" i="17"/>
  <c r="AH116" i="17"/>
  <c r="AD142" i="17"/>
  <c r="J232" i="17"/>
  <c r="AH232" i="17"/>
  <c r="BE232" i="17"/>
  <c r="BY232" i="17"/>
  <c r="CT232" i="17"/>
  <c r="J43" i="17"/>
  <c r="J6" i="17" s="1"/>
  <c r="AL43" i="17"/>
  <c r="AT43" i="17"/>
  <c r="BB43" i="17"/>
  <c r="BN43" i="17"/>
  <c r="BZ43" i="17"/>
  <c r="CD43" i="17"/>
  <c r="CH43" i="17"/>
  <c r="CP43" i="17"/>
  <c r="CT43" i="17"/>
  <c r="BN62" i="17"/>
  <c r="BR62" i="17"/>
  <c r="BV62" i="17"/>
  <c r="CD62" i="17"/>
  <c r="CL62" i="17"/>
  <c r="CT62" i="17"/>
  <c r="J88" i="17"/>
  <c r="J8" i="17" s="1"/>
  <c r="N88" i="17"/>
  <c r="R88" i="17"/>
  <c r="V88" i="17"/>
  <c r="AD88" i="17"/>
  <c r="AH88" i="17"/>
  <c r="AL88" i="17"/>
  <c r="BB88" i="17"/>
  <c r="BJ88" i="17"/>
  <c r="BZ88" i="17"/>
  <c r="BB142" i="17"/>
  <c r="H85" i="17"/>
  <c r="L85" i="17"/>
  <c r="W85" i="17"/>
  <c r="AF85" i="17"/>
  <c r="AJ85" i="17"/>
  <c r="AM85" i="17"/>
  <c r="AZ85" i="17"/>
  <c r="BL85" i="17"/>
  <c r="BP85" i="17"/>
  <c r="CB85" i="17"/>
  <c r="CF85" i="17"/>
  <c r="H86" i="17"/>
  <c r="L86" i="17"/>
  <c r="P86" i="17"/>
  <c r="T86" i="17"/>
  <c r="X86" i="17"/>
  <c r="AB86" i="17"/>
  <c r="AF86" i="17"/>
  <c r="AJ86" i="17"/>
  <c r="AN86" i="17"/>
  <c r="AR86" i="17"/>
  <c r="AV86" i="17"/>
  <c r="AZ86" i="17"/>
  <c r="BD86" i="17"/>
  <c r="H87" i="17"/>
  <c r="L87" i="17"/>
  <c r="P87" i="17"/>
  <c r="T87" i="17"/>
  <c r="AB87" i="17"/>
  <c r="AF87" i="17"/>
  <c r="AJ87" i="17"/>
  <c r="AN87" i="17"/>
  <c r="AR87" i="17"/>
  <c r="AV87" i="17"/>
  <c r="AZ87" i="17"/>
  <c r="BH87" i="17"/>
  <c r="BL87" i="17"/>
  <c r="BP87" i="17"/>
  <c r="BX87" i="17"/>
  <c r="CB87" i="17"/>
  <c r="H53" i="23"/>
  <c r="X53" i="23"/>
  <c r="J52" i="23"/>
  <c r="N52" i="23"/>
  <c r="R52" i="23"/>
  <c r="V52" i="23"/>
  <c r="Z52" i="23"/>
  <c r="H54" i="23"/>
  <c r="L70" i="11" s="1"/>
  <c r="P54" i="23"/>
  <c r="AZ70" i="11" s="1"/>
  <c r="BQ17" i="6"/>
  <c r="M952" i="7"/>
  <c r="M959" i="7" s="1"/>
  <c r="Y112" i="8"/>
  <c r="U112" i="8"/>
  <c r="Q112" i="8"/>
  <c r="M112" i="8"/>
  <c r="I112" i="8"/>
  <c r="X256" i="1"/>
  <c r="T256" i="1"/>
  <c r="P256" i="1"/>
  <c r="L256" i="1"/>
  <c r="G256" i="1"/>
  <c r="X252" i="1"/>
  <c r="T252" i="1"/>
  <c r="P252" i="1"/>
  <c r="L252" i="1"/>
  <c r="H252" i="1"/>
  <c r="Y248" i="1"/>
  <c r="U248" i="1"/>
  <c r="Q248" i="1"/>
  <c r="M248" i="1"/>
  <c r="I248" i="1"/>
  <c r="Z244" i="1"/>
  <c r="V244" i="1"/>
  <c r="R244" i="1"/>
  <c r="N244" i="1"/>
  <c r="J244" i="1"/>
  <c r="Y233" i="1"/>
  <c r="Y216" i="8" s="1"/>
  <c r="U233" i="1"/>
  <c r="U216" i="8" s="1"/>
  <c r="Q233" i="1"/>
  <c r="Q216" i="8" s="1"/>
  <c r="M233" i="1"/>
  <c r="M216" i="8" s="1"/>
  <c r="I233" i="1"/>
  <c r="I216" i="8" s="1"/>
  <c r="AA298" i="7"/>
  <c r="T298" i="7"/>
  <c r="H305" i="7"/>
  <c r="AA305" i="7"/>
  <c r="AB256" i="1"/>
  <c r="CD88" i="17"/>
  <c r="CH88" i="17"/>
  <c r="CP88" i="17"/>
  <c r="J169" i="17"/>
  <c r="J12" i="17" s="1"/>
  <c r="N169" i="17"/>
  <c r="Z169" i="17"/>
  <c r="AD169" i="17"/>
  <c r="AP169" i="17"/>
  <c r="AT169" i="17"/>
  <c r="BB169" i="17"/>
  <c r="BF169" i="17"/>
  <c r="BJ169" i="17"/>
  <c r="BR169" i="17"/>
  <c r="BZ169" i="17"/>
  <c r="CH169" i="17"/>
  <c r="CP169" i="17"/>
  <c r="CT169" i="17"/>
  <c r="J210" i="17"/>
  <c r="J14" i="17" s="1"/>
  <c r="R210" i="17"/>
  <c r="V210" i="17"/>
  <c r="Z210" i="17"/>
  <c r="AD210" i="17"/>
  <c r="AH210" i="17"/>
  <c r="AL210" i="17"/>
  <c r="AP210" i="17"/>
  <c r="AX210" i="17"/>
  <c r="BF210" i="17"/>
  <c r="BJ210" i="17"/>
  <c r="BN210" i="17"/>
  <c r="BR210" i="17"/>
  <c r="BV210" i="17"/>
  <c r="CL210" i="17"/>
  <c r="CT210" i="17"/>
  <c r="J85" i="17"/>
  <c r="Z85" i="17"/>
  <c r="AH85" i="17"/>
  <c r="AL85" i="17"/>
  <c r="AX85" i="17"/>
  <c r="BF85" i="17"/>
  <c r="BJ85" i="17"/>
  <c r="BV85" i="17"/>
  <c r="BZ85" i="17"/>
  <c r="CH85" i="17"/>
  <c r="CL85" i="17"/>
  <c r="CP85" i="17"/>
  <c r="BN86" i="17"/>
  <c r="BZ86" i="17"/>
  <c r="CD86" i="17"/>
  <c r="CP86" i="17"/>
  <c r="CT86" i="17"/>
  <c r="J87" i="17"/>
  <c r="V87" i="17"/>
  <c r="Z87" i="17"/>
  <c r="AD87" i="17"/>
  <c r="AT87" i="17"/>
  <c r="AX87" i="17"/>
  <c r="BB87" i="17"/>
  <c r="BF87" i="17"/>
  <c r="BJ87" i="17"/>
  <c r="BN87" i="17"/>
  <c r="BR87" i="17"/>
  <c r="BV87" i="17"/>
  <c r="CH87" i="17"/>
  <c r="CL87" i="17"/>
  <c r="CP87" i="17"/>
  <c r="Q100" i="25"/>
  <c r="I256" i="1"/>
  <c r="Z252" i="1"/>
  <c r="V252" i="1"/>
  <c r="R252" i="1"/>
  <c r="N252" i="1"/>
  <c r="J252" i="1"/>
  <c r="AA248" i="1"/>
  <c r="W248" i="1"/>
  <c r="S248" i="1"/>
  <c r="O248" i="1"/>
  <c r="G248" i="1"/>
  <c r="X244" i="1"/>
  <c r="T244" i="1"/>
  <c r="P244" i="1"/>
  <c r="L244" i="1"/>
  <c r="H244" i="1"/>
  <c r="J83" i="23"/>
  <c r="V725" i="7"/>
  <c r="V736" i="7"/>
  <c r="X360" i="23"/>
  <c r="P737" i="7"/>
  <c r="J84" i="23"/>
  <c r="L45" i="6"/>
  <c r="AC59" i="23"/>
  <c r="AC408" i="23"/>
  <c r="CT59" i="17"/>
  <c r="AD27" i="23"/>
  <c r="AE27" i="23" s="1"/>
  <c r="AC421" i="23"/>
  <c r="AC40" i="23"/>
  <c r="DM62" i="11" s="1"/>
  <c r="AC121" i="23"/>
  <c r="AC461" i="23"/>
  <c r="AD111" i="23"/>
  <c r="AE111" i="23" s="1"/>
  <c r="AB422" i="23"/>
  <c r="AC41" i="23"/>
  <c r="DM63" i="11" s="1"/>
  <c r="M207" i="23"/>
  <c r="AI48" i="11"/>
  <c r="L262" i="23"/>
  <c r="L408" i="23"/>
  <c r="L698" i="7"/>
  <c r="Q327" i="23"/>
  <c r="Q330" i="23"/>
  <c r="P461" i="23"/>
  <c r="P316" i="23"/>
  <c r="P327" i="23"/>
  <c r="P78" i="7"/>
  <c r="U344" i="23"/>
  <c r="U330" i="23"/>
  <c r="U78" i="7"/>
  <c r="U79" i="7" s="1"/>
  <c r="CB101" i="11"/>
  <c r="V330" i="23"/>
  <c r="Y326" i="23"/>
  <c r="Z330" i="23"/>
  <c r="Y330" i="23"/>
  <c r="Y344" i="23"/>
  <c r="Y36" i="25"/>
  <c r="J580" i="7"/>
  <c r="J231" i="8"/>
  <c r="J257" i="23"/>
  <c r="J926" i="7"/>
  <c r="J752" i="7"/>
  <c r="J753" i="7"/>
  <c r="J757" i="7"/>
  <c r="J925" i="7"/>
  <c r="J306" i="7"/>
  <c r="J253" i="23"/>
  <c r="J232" i="8"/>
  <c r="J751" i="7"/>
  <c r="J255" i="23"/>
  <c r="J754" i="7"/>
  <c r="J928" i="7"/>
  <c r="O362" i="23"/>
  <c r="N253" i="23"/>
  <c r="N579" i="7"/>
  <c r="N925" i="7"/>
  <c r="AS16" i="11"/>
  <c r="N753" i="7"/>
  <c r="N1049" i="7"/>
  <c r="N928" i="7"/>
  <c r="N234" i="8"/>
  <c r="N50" i="7"/>
  <c r="N754" i="7"/>
  <c r="N923" i="7"/>
  <c r="N756" i="7"/>
  <c r="N255" i="23"/>
  <c r="N927" i="7"/>
  <c r="N755" i="7"/>
  <c r="N926" i="7"/>
  <c r="Q224" i="8"/>
  <c r="P47" i="25"/>
  <c r="P224" i="8"/>
  <c r="V224" i="8"/>
  <c r="U166" i="8"/>
  <c r="U232" i="8"/>
  <c r="L16" i="23"/>
  <c r="K59" i="23"/>
  <c r="Z59" i="17"/>
  <c r="S245" i="23"/>
  <c r="BT46" i="6"/>
  <c r="R1069" i="7"/>
  <c r="R245" i="23"/>
  <c r="K172" i="25"/>
  <c r="X157" i="17"/>
  <c r="X155" i="17"/>
  <c r="X150" i="17"/>
  <c r="X183" i="17"/>
  <c r="I219" i="17"/>
  <c r="I224" i="17"/>
  <c r="M196" i="17"/>
  <c r="I191" i="17"/>
  <c r="I13" i="17" s="1"/>
  <c r="J191" i="17"/>
  <c r="J13" i="17" s="1"/>
  <c r="W407" i="7"/>
  <c r="W413" i="7"/>
  <c r="O420" i="7"/>
  <c r="O423" i="7" s="1"/>
  <c r="O426" i="7" s="1"/>
  <c r="N421" i="7"/>
  <c r="N420" i="7"/>
  <c r="N423" i="7" s="1"/>
  <c r="N426" i="7" s="1"/>
  <c r="U421" i="7"/>
  <c r="U420" i="7"/>
  <c r="U423" i="7" s="1"/>
  <c r="U426" i="7" s="1"/>
  <c r="V420" i="7"/>
  <c r="V423" i="7" s="1"/>
  <c r="V426" i="7" s="1"/>
  <c r="M420" i="7"/>
  <c r="M423" i="7" s="1"/>
  <c r="M426" i="7" s="1"/>
  <c r="M421" i="7"/>
  <c r="L420" i="7"/>
  <c r="L423" i="7" s="1"/>
  <c r="L426" i="7" s="1"/>
  <c r="L421" i="7"/>
  <c r="AA77" i="7"/>
  <c r="N407" i="7"/>
  <c r="N413" i="7"/>
  <c r="K421" i="7"/>
  <c r="K420" i="7"/>
  <c r="K423" i="7" s="1"/>
  <c r="K426" i="7" s="1"/>
  <c r="R407" i="7"/>
  <c r="R413" i="7"/>
  <c r="Q421" i="7"/>
  <c r="Q420" i="7"/>
  <c r="Q423" i="7" s="1"/>
  <c r="Q426" i="7" s="1"/>
  <c r="J421" i="7"/>
  <c r="J420" i="7"/>
  <c r="J423" i="7" s="1"/>
  <c r="J426" i="7" s="1"/>
  <c r="X407" i="7"/>
  <c r="X416" i="7"/>
  <c r="X413" i="7"/>
  <c r="N952" i="7"/>
  <c r="N959" i="7" s="1"/>
  <c r="BA115" i="2"/>
  <c r="K103" i="20"/>
  <c r="AB103" i="20" s="1"/>
  <c r="N14" i="8"/>
  <c r="R253" i="23"/>
  <c r="X423" i="23"/>
  <c r="BZ82" i="17"/>
  <c r="U190" i="8"/>
  <c r="P190" i="8"/>
  <c r="CV115" i="11"/>
  <c r="Y306" i="7"/>
  <c r="Z307" i="7" s="1"/>
  <c r="Y362" i="23"/>
  <c r="N924" i="7"/>
  <c r="AS115" i="11"/>
  <c r="N38" i="25"/>
  <c r="N577" i="7"/>
  <c r="M362" i="23"/>
  <c r="AI5" i="6"/>
  <c r="L924" i="7"/>
  <c r="L751" i="7"/>
  <c r="J38" i="25"/>
  <c r="J927" i="7"/>
  <c r="J582" i="7"/>
  <c r="J576" i="7"/>
  <c r="Y461" i="23"/>
  <c r="U461" i="23"/>
  <c r="BC101" i="11"/>
  <c r="P326" i="23"/>
  <c r="L207" i="23"/>
  <c r="K207" i="23"/>
  <c r="J202" i="23"/>
  <c r="AC423" i="23"/>
  <c r="CT82" i="17"/>
  <c r="AC60" i="23"/>
  <c r="AC16" i="23"/>
  <c r="Y253" i="23"/>
  <c r="U563" i="7"/>
  <c r="T563" i="7"/>
  <c r="T580" i="7"/>
  <c r="AB63" i="8"/>
  <c r="AC52" i="8"/>
  <c r="AB33" i="8"/>
  <c r="AB24" i="8"/>
  <c r="AB52" i="8"/>
  <c r="AC63" i="8"/>
  <c r="AB23" i="8"/>
  <c r="AB35" i="8"/>
  <c r="W547" i="7"/>
  <c r="W580" i="7"/>
  <c r="G547" i="7"/>
  <c r="H563" i="7"/>
  <c r="AB215" i="8"/>
  <c r="AB165" i="8"/>
  <c r="AB223" i="8"/>
  <c r="AB189" i="8"/>
  <c r="AB688" i="7"/>
  <c r="DP11" i="11"/>
  <c r="EG47" i="6"/>
  <c r="AC277" i="23"/>
  <c r="E142" i="2"/>
  <c r="S207" i="23"/>
  <c r="BM49" i="11"/>
  <c r="R262" i="23"/>
  <c r="R202" i="23"/>
  <c r="R408" i="23"/>
  <c r="V221" i="23"/>
  <c r="V30" i="25"/>
  <c r="CG59" i="11"/>
  <c r="X16" i="23"/>
  <c r="BV59" i="17"/>
  <c r="U65" i="23"/>
  <c r="K68" i="23"/>
  <c r="Y85" i="23"/>
  <c r="P138" i="23"/>
  <c r="P470" i="23"/>
  <c r="AA85" i="23"/>
  <c r="CH147" i="17"/>
  <c r="Z85" i="23"/>
  <c r="T215" i="8"/>
  <c r="T229" i="8"/>
  <c r="CF11" i="6"/>
  <c r="AH155" i="17"/>
  <c r="AH183" i="17"/>
  <c r="AH220" i="17"/>
  <c r="AH150" i="17"/>
  <c r="X220" i="17"/>
  <c r="W224" i="17"/>
  <c r="W226" i="17" s="1"/>
  <c r="X191" i="17"/>
  <c r="W191" i="17"/>
  <c r="W219" i="17"/>
  <c r="Y198" i="17"/>
  <c r="X198" i="17"/>
  <c r="T224" i="17"/>
  <c r="T191" i="17"/>
  <c r="T219" i="17"/>
  <c r="U191" i="17"/>
  <c r="T198" i="17"/>
  <c r="U198" i="17"/>
  <c r="T196" i="17"/>
  <c r="X196" i="17"/>
  <c r="Q191" i="17"/>
  <c r="Q198" i="17"/>
  <c r="U196" i="17"/>
  <c r="Q196" i="17"/>
  <c r="Q224" i="17"/>
  <c r="R191" i="17"/>
  <c r="Q219" i="17"/>
  <c r="AC402" i="23"/>
  <c r="AC375" i="23"/>
  <c r="CT40" i="17"/>
  <c r="AD22" i="23"/>
  <c r="AE22" i="23" s="1"/>
  <c r="AC36" i="23"/>
  <c r="DM58" i="11" s="1"/>
  <c r="DM71" i="11" s="1"/>
  <c r="AC417" i="23"/>
  <c r="AD88" i="23"/>
  <c r="AE88" i="23" s="1"/>
  <c r="AC450" i="23"/>
  <c r="AC94" i="23"/>
  <c r="DM85" i="11" s="1"/>
  <c r="DN85" i="11" s="1"/>
  <c r="AC138" i="23"/>
  <c r="J207" i="23"/>
  <c r="J698" i="7"/>
  <c r="Y49" i="11"/>
  <c r="J262" i="23"/>
  <c r="M326" i="23"/>
  <c r="M78" i="7"/>
  <c r="M327" i="23"/>
  <c r="M461" i="23"/>
  <c r="N330" i="23"/>
  <c r="W316" i="23"/>
  <c r="W326" i="23"/>
  <c r="CL101" i="11"/>
  <c r="W330" i="23"/>
  <c r="W461" i="23"/>
  <c r="L580" i="7"/>
  <c r="L752" i="7"/>
  <c r="L576" i="7"/>
  <c r="L582" i="7"/>
  <c r="L923" i="7"/>
  <c r="L754" i="7"/>
  <c r="L362" i="23"/>
  <c r="L255" i="23"/>
  <c r="L234" i="8"/>
  <c r="L257" i="23"/>
  <c r="L925" i="7"/>
  <c r="AI16" i="11"/>
  <c r="L38" i="25"/>
  <c r="L577" i="7"/>
  <c r="L756" i="7"/>
  <c r="L755" i="7"/>
  <c r="L232" i="8"/>
  <c r="L231" i="8"/>
  <c r="Y229" i="8"/>
  <c r="Y1030" i="7"/>
  <c r="Y38" i="25"/>
  <c r="Y755" i="7"/>
  <c r="Y1034" i="7"/>
  <c r="Y255" i="23"/>
  <c r="Y470" i="23"/>
  <c r="Y756" i="7"/>
  <c r="Y232" i="8"/>
  <c r="Y234" i="8"/>
  <c r="Y230" i="8"/>
  <c r="Y757" i="7"/>
  <c r="CV16" i="11"/>
  <c r="Y1049" i="7"/>
  <c r="Y987" i="7"/>
  <c r="Z362" i="23"/>
  <c r="N224" i="8"/>
  <c r="N190" i="8"/>
  <c r="O224" i="8"/>
  <c r="W215" i="8"/>
  <c r="X224" i="8"/>
  <c r="W224" i="8"/>
  <c r="W47" i="25"/>
  <c r="W166" i="8"/>
  <c r="BC71" i="11"/>
  <c r="P63" i="7"/>
  <c r="P10" i="7"/>
  <c r="Q245" i="23"/>
  <c r="AX46" i="11"/>
  <c r="O202" i="23"/>
  <c r="O86" i="25"/>
  <c r="O205" i="23"/>
  <c r="O192" i="8"/>
  <c r="AA15" i="8"/>
  <c r="Z23" i="8"/>
  <c r="Z52" i="25"/>
  <c r="Q16" i="8"/>
  <c r="P9" i="8"/>
  <c r="O14" i="8"/>
  <c r="O20" i="8"/>
  <c r="N20" i="8"/>
  <c r="N9" i="8"/>
  <c r="N51" i="25"/>
  <c r="R135" i="17"/>
  <c r="R10" i="17" s="1"/>
  <c r="O16" i="26"/>
  <c r="R130" i="17"/>
  <c r="R143" i="17"/>
  <c r="P224" i="17"/>
  <c r="P196" i="17"/>
  <c r="P219" i="17"/>
  <c r="P191" i="17"/>
  <c r="P198" i="17"/>
  <c r="N1007" i="7"/>
  <c r="Z6" i="8"/>
  <c r="O201" i="23"/>
  <c r="R10" i="7"/>
  <c r="BH46" i="6"/>
  <c r="J234" i="8"/>
  <c r="P215" i="8"/>
  <c r="K16" i="23"/>
  <c r="N47" i="25"/>
  <c r="Y928" i="7"/>
  <c r="Y927" i="7"/>
  <c r="Y752" i="7"/>
  <c r="N576" i="7"/>
  <c r="AU5" i="6"/>
  <c r="N578" i="7"/>
  <c r="N306" i="7"/>
  <c r="O307" i="7" s="1"/>
  <c r="N752" i="7"/>
  <c r="L306" i="7"/>
  <c r="M307" i="7" s="1"/>
  <c r="L578" i="7"/>
  <c r="L928" i="7"/>
  <c r="AI115" i="11"/>
  <c r="J755" i="7"/>
  <c r="J1049" i="7"/>
  <c r="J923" i="7"/>
  <c r="Y115" i="11"/>
  <c r="CV101" i="11"/>
  <c r="W78" i="7"/>
  <c r="W79" i="7" s="1"/>
  <c r="P330" i="23"/>
  <c r="M330" i="23"/>
  <c r="Y316" i="23"/>
  <c r="L202" i="23"/>
  <c r="AI49" i="11"/>
  <c r="K408" i="23"/>
  <c r="Y48" i="11"/>
  <c r="AB41" i="23"/>
  <c r="DH63" i="11" s="1"/>
  <c r="AC117" i="23"/>
  <c r="DM101" i="11" s="1"/>
  <c r="AC58" i="23"/>
  <c r="P563" i="7"/>
  <c r="O580" i="7"/>
  <c r="N231" i="8"/>
  <c r="J229" i="8"/>
  <c r="N105" i="23"/>
  <c r="P344" i="23"/>
  <c r="N257" i="23"/>
  <c r="N230" i="8"/>
  <c r="L253" i="23"/>
  <c r="Y257" i="23"/>
  <c r="U316" i="23"/>
  <c r="Z35" i="8"/>
  <c r="N580" i="7"/>
  <c r="K166" i="8"/>
  <c r="K48" i="25"/>
  <c r="J563" i="7"/>
  <c r="I580" i="7"/>
  <c r="I563" i="7"/>
  <c r="U580" i="7"/>
  <c r="V563" i="7"/>
  <c r="J47" i="11"/>
  <c r="H206" i="23"/>
  <c r="D144" i="2"/>
  <c r="AB450" i="23"/>
  <c r="AB297" i="23"/>
  <c r="AB345" i="23"/>
  <c r="AB331" i="23"/>
  <c r="AB326" i="23"/>
  <c r="AC331" i="23"/>
  <c r="AB462" i="23"/>
  <c r="S214" i="23"/>
  <c r="S26" i="25"/>
  <c r="S227" i="23"/>
  <c r="L226" i="23"/>
  <c r="K226" i="23"/>
  <c r="AD57" i="11"/>
  <c r="AE57" i="11" s="1"/>
  <c r="AD63" i="11"/>
  <c r="L232" i="23"/>
  <c r="K32" i="25"/>
  <c r="N232" i="23"/>
  <c r="M32" i="25"/>
  <c r="M422" i="23"/>
  <c r="Q47" i="6"/>
  <c r="Z299" i="23"/>
  <c r="CV13" i="11"/>
  <c r="Y452" i="23"/>
  <c r="Y313" i="23"/>
  <c r="N65" i="23"/>
  <c r="T107" i="23"/>
  <c r="S129" i="23"/>
  <c r="L96" i="23"/>
  <c r="AF13" i="11" s="1"/>
  <c r="K452" i="23"/>
  <c r="K96" i="23"/>
  <c r="AA13" i="11" s="1"/>
  <c r="Z166" i="17"/>
  <c r="O95" i="23"/>
  <c r="AU86" i="11" s="1"/>
  <c r="AV86" i="11" s="1"/>
  <c r="N95" i="23"/>
  <c r="AP86" i="11" s="1"/>
  <c r="M94" i="23"/>
  <c r="AK85" i="11" s="1"/>
  <c r="N94" i="23"/>
  <c r="AP85" i="11" s="1"/>
  <c r="AQ85" i="11" s="1"/>
  <c r="M450" i="23"/>
  <c r="W450" i="23"/>
  <c r="X94" i="23"/>
  <c r="CN85" i="11" s="1"/>
  <c r="P118" i="23"/>
  <c r="AP207" i="17"/>
  <c r="AB138" i="23"/>
  <c r="AA138" i="23"/>
  <c r="AB233" i="23"/>
  <c r="C138" i="2"/>
  <c r="AT138" i="2" s="1"/>
  <c r="AA233" i="23"/>
  <c r="DF9" i="11"/>
  <c r="AA263" i="23"/>
  <c r="AB226" i="23"/>
  <c r="AA416" i="23"/>
  <c r="DF57" i="11"/>
  <c r="AA451" i="23"/>
  <c r="AA298" i="23"/>
  <c r="AA344" i="23"/>
  <c r="DF86" i="11"/>
  <c r="O221" i="8"/>
  <c r="N229" i="8"/>
  <c r="S221" i="8"/>
  <c r="R221" i="8"/>
  <c r="R229" i="8"/>
  <c r="K168" i="8"/>
  <c r="K136" i="8"/>
  <c r="AD135" i="17"/>
  <c r="AD10" i="17" s="1"/>
  <c r="AD143" i="17"/>
  <c r="AA16" i="26"/>
  <c r="AE130" i="17"/>
  <c r="Y155" i="17"/>
  <c r="Y150" i="17"/>
  <c r="Y220" i="17"/>
  <c r="Y157" i="17"/>
  <c r="S130" i="17"/>
  <c r="L40" i="23"/>
  <c r="AF62" i="11" s="1"/>
  <c r="K421" i="23"/>
  <c r="P55" i="25"/>
  <c r="I133" i="8"/>
  <c r="I113" i="8"/>
  <c r="T166" i="8"/>
  <c r="T113" i="8"/>
  <c r="T48" i="25"/>
  <c r="U48" i="25"/>
  <c r="U133" i="8"/>
  <c r="U136" i="8"/>
  <c r="S9" i="8"/>
  <c r="S53" i="25"/>
  <c r="U6" i="8"/>
  <c r="U23" i="8"/>
  <c r="M52" i="25"/>
  <c r="M35" i="8"/>
  <c r="Z55" i="25"/>
  <c r="Z33" i="8"/>
  <c r="AL34" i="8"/>
  <c r="Z52" i="8"/>
  <c r="Z63" i="8"/>
  <c r="AA63" i="8"/>
  <c r="AK34" i="8"/>
  <c r="T55" i="25"/>
  <c r="U63" i="8"/>
  <c r="T52" i="8"/>
  <c r="T24" i="8"/>
  <c r="T63" i="8"/>
  <c r="L33" i="8"/>
  <c r="L55" i="25"/>
  <c r="L63" i="8"/>
  <c r="AA49" i="25"/>
  <c r="AL30" i="8"/>
  <c r="AA113" i="8"/>
  <c r="AB59" i="8"/>
  <c r="C163" i="2"/>
  <c r="AT163" i="2" s="1"/>
  <c r="AA59" i="8"/>
  <c r="AA76" i="8"/>
  <c r="W48" i="8"/>
  <c r="AH30" i="8"/>
  <c r="X48" i="8"/>
  <c r="W59" i="8"/>
  <c r="W76" i="8"/>
  <c r="AI30" i="8"/>
  <c r="W28" i="8"/>
  <c r="S28" i="8"/>
  <c r="S76" i="8"/>
  <c r="S59" i="8"/>
  <c r="S49" i="25"/>
  <c r="O48" i="8"/>
  <c r="O28" i="8"/>
  <c r="P48" i="8"/>
  <c r="O49" i="25"/>
  <c r="K28" i="8"/>
  <c r="L48" i="8"/>
  <c r="K59" i="8"/>
  <c r="K76" i="8"/>
  <c r="K49" i="25"/>
  <c r="G28" i="8"/>
  <c r="H59" i="8"/>
  <c r="G76" i="8"/>
  <c r="AA244" i="8"/>
  <c r="AA45" i="25"/>
  <c r="AA33" i="8"/>
  <c r="C159" i="2"/>
  <c r="AL32" i="8"/>
  <c r="AA50" i="8"/>
  <c r="AB50" i="8"/>
  <c r="AA31" i="8"/>
  <c r="AH32" i="8"/>
  <c r="W31" i="8"/>
  <c r="W61" i="8"/>
  <c r="W244" i="8"/>
  <c r="W245" i="8" s="1"/>
  <c r="W50" i="8"/>
  <c r="X50" i="8"/>
  <c r="W33" i="8"/>
  <c r="S61" i="8"/>
  <c r="S50" i="8"/>
  <c r="S99" i="8"/>
  <c r="S244" i="8"/>
  <c r="S245" i="8" s="1"/>
  <c r="O244" i="8"/>
  <c r="O245" i="8" s="1"/>
  <c r="O31" i="8"/>
  <c r="O50" i="8"/>
  <c r="O45" i="25"/>
  <c r="O33" i="8"/>
  <c r="P50" i="8"/>
  <c r="O99" i="8"/>
  <c r="K45" i="25"/>
  <c r="K61" i="8"/>
  <c r="L61" i="8"/>
  <c r="K244" i="8"/>
  <c r="K245" i="8" s="1"/>
  <c r="K50" i="8"/>
  <c r="K99" i="8"/>
  <c r="G244" i="8"/>
  <c r="H61" i="8"/>
  <c r="H50" i="8"/>
  <c r="G99" i="8"/>
  <c r="G33" i="8"/>
  <c r="G121" i="23"/>
  <c r="AB29" i="23"/>
  <c r="AB48" i="23"/>
  <c r="CQ47" i="11"/>
  <c r="X85" i="25"/>
  <c r="DF38" i="6"/>
  <c r="Y206" i="23"/>
  <c r="T206" i="23"/>
  <c r="U206" i="23"/>
  <c r="T85" i="25"/>
  <c r="T201" i="23"/>
  <c r="BW47" i="11"/>
  <c r="P85" i="25"/>
  <c r="Q206" i="23"/>
  <c r="BJ38" i="6"/>
  <c r="BC47" i="11"/>
  <c r="AL38" i="6"/>
  <c r="L85" i="25"/>
  <c r="AI47" i="11"/>
  <c r="N38" i="6"/>
  <c r="H201" i="23"/>
  <c r="H85" i="25"/>
  <c r="I206" i="23"/>
  <c r="CT37" i="6"/>
  <c r="V201" i="23"/>
  <c r="W205" i="23"/>
  <c r="V86" i="25"/>
  <c r="L86" i="25"/>
  <c r="L201" i="23"/>
  <c r="L699" i="7" s="1"/>
  <c r="AI46" i="11"/>
  <c r="T688" i="7"/>
  <c r="T223" i="8"/>
  <c r="CH11" i="6"/>
  <c r="T189" i="8"/>
  <c r="T165" i="8"/>
  <c r="P223" i="8"/>
  <c r="BD11" i="6"/>
  <c r="O189" i="8"/>
  <c r="O165" i="8"/>
  <c r="O688" i="7"/>
  <c r="O87" i="25"/>
  <c r="J688" i="7"/>
  <c r="J223" i="8"/>
  <c r="Z11" i="6"/>
  <c r="J189" i="8"/>
  <c r="J215" i="8"/>
  <c r="J165" i="8"/>
  <c r="W138" i="1"/>
  <c r="AA53" i="25"/>
  <c r="AB16" i="8"/>
  <c r="C177" i="2"/>
  <c r="AT177" i="2" s="1"/>
  <c r="AA249" i="23"/>
  <c r="AA1086" i="7"/>
  <c r="AB249" i="23"/>
  <c r="AA257" i="23"/>
  <c r="DW46" i="6"/>
  <c r="X249" i="23"/>
  <c r="W257" i="23"/>
  <c r="CL72" i="11"/>
  <c r="W249" i="23"/>
  <c r="BH72" i="11"/>
  <c r="Q249" i="23"/>
  <c r="R249" i="23"/>
  <c r="Q1086" i="7"/>
  <c r="BO46" i="6"/>
  <c r="M1086" i="7"/>
  <c r="N249" i="23"/>
  <c r="AQ46" i="6"/>
  <c r="W222" i="8"/>
  <c r="CY11" i="6"/>
  <c r="X222" i="8"/>
  <c r="W230" i="8"/>
  <c r="BO11" i="6"/>
  <c r="Q230" i="8"/>
  <c r="R222" i="8"/>
  <c r="L72" i="25"/>
  <c r="AK11" i="6"/>
  <c r="M222" i="8"/>
  <c r="Y63" i="7"/>
  <c r="Y245" i="23"/>
  <c r="Y1069" i="7"/>
  <c r="DJ46" i="6"/>
  <c r="S63" i="7"/>
  <c r="S10" i="7"/>
  <c r="BR71" i="11"/>
  <c r="S253" i="23"/>
  <c r="S1069" i="7"/>
  <c r="M245" i="23"/>
  <c r="L63" i="7"/>
  <c r="AI71" i="11"/>
  <c r="L1069" i="7"/>
  <c r="L10" i="7"/>
  <c r="L245" i="23"/>
  <c r="P205" i="1"/>
  <c r="Z189" i="1"/>
  <c r="N189" i="1"/>
  <c r="AA136" i="8"/>
  <c r="AB138" i="8"/>
  <c r="AA59" i="25"/>
  <c r="V59" i="25"/>
  <c r="V168" i="8"/>
  <c r="CR14" i="6"/>
  <c r="R59" i="25"/>
  <c r="S138" i="8"/>
  <c r="BT14" i="6"/>
  <c r="N59" i="25"/>
  <c r="N136" i="8"/>
  <c r="N168" i="8"/>
  <c r="Y226" i="8"/>
  <c r="Y58" i="25"/>
  <c r="Z226" i="8"/>
  <c r="Y19" i="7"/>
  <c r="CF13" i="6"/>
  <c r="CE13" i="6" s="1"/>
  <c r="T168" i="8"/>
  <c r="N226" i="8"/>
  <c r="M19" i="7"/>
  <c r="AP13" i="6"/>
  <c r="M192" i="8"/>
  <c r="DV11" i="6"/>
  <c r="AB221" i="8"/>
  <c r="CX11" i="6"/>
  <c r="X221" i="8"/>
  <c r="M215" i="8"/>
  <c r="M221" i="8"/>
  <c r="I229" i="8"/>
  <c r="J221" i="8"/>
  <c r="R11" i="6"/>
  <c r="Z462" i="23"/>
  <c r="AA331" i="23"/>
  <c r="Z331" i="23"/>
  <c r="Z326" i="23"/>
  <c r="DA102" i="11"/>
  <c r="AA129" i="23"/>
  <c r="BN229" i="17"/>
  <c r="U470" i="23"/>
  <c r="AL229" i="17"/>
  <c r="AP234" i="17" s="1"/>
  <c r="O138" i="23"/>
  <c r="Y116" i="23"/>
  <c r="CS100" i="11" s="1"/>
  <c r="Y460" i="23"/>
  <c r="M116" i="23"/>
  <c r="AK100" i="11" s="1"/>
  <c r="L116" i="23"/>
  <c r="AF100" i="11" s="1"/>
  <c r="AG100" i="11" s="1"/>
  <c r="H116" i="23"/>
  <c r="L100" i="11" s="1"/>
  <c r="H460" i="23"/>
  <c r="R117" i="23"/>
  <c r="BJ101" i="11" s="1"/>
  <c r="Q121" i="23"/>
  <c r="K117" i="23"/>
  <c r="AA101" i="11" s="1"/>
  <c r="L117" i="23"/>
  <c r="AF101" i="11" s="1"/>
  <c r="W118" i="23"/>
  <c r="BV207" i="17"/>
  <c r="X118" i="23"/>
  <c r="BF207" i="17"/>
  <c r="T118" i="23"/>
  <c r="S118" i="23"/>
  <c r="S122" i="23"/>
  <c r="I130" i="23"/>
  <c r="I136" i="23" s="1"/>
  <c r="R207" i="17"/>
  <c r="Q94" i="23"/>
  <c r="BE85" i="11" s="1"/>
  <c r="P94" i="23"/>
  <c r="AZ85" i="11" s="1"/>
  <c r="BA85" i="11" s="1"/>
  <c r="I94" i="23"/>
  <c r="Q85" i="11" s="1"/>
  <c r="R85" i="11" s="1"/>
  <c r="I180" i="23" s="1"/>
  <c r="I20" i="25" s="1"/>
  <c r="J94" i="23"/>
  <c r="V85" i="11" s="1"/>
  <c r="W95" i="23"/>
  <c r="CI86" i="11" s="1"/>
  <c r="CJ86" i="11" s="1"/>
  <c r="W179" i="23" s="1"/>
  <c r="W19" i="25" s="1"/>
  <c r="V95" i="23"/>
  <c r="CD86" i="11" s="1"/>
  <c r="R121" i="23"/>
  <c r="R95" i="23"/>
  <c r="BJ86" i="11" s="1"/>
  <c r="R451" i="23"/>
  <c r="H95" i="23"/>
  <c r="L86" i="11" s="1"/>
  <c r="H121" i="23"/>
  <c r="V96" i="23"/>
  <c r="CD13" i="11" s="1"/>
  <c r="CE13" i="11" s="1"/>
  <c r="BR166" i="17"/>
  <c r="S96" i="23"/>
  <c r="BO13" i="11" s="1"/>
  <c r="BB166" i="17"/>
  <c r="R100" i="23"/>
  <c r="R106" i="23" s="1"/>
  <c r="J100" i="23"/>
  <c r="V166" i="17"/>
  <c r="V171" i="17" s="1"/>
  <c r="W129" i="23"/>
  <c r="BV188" i="17"/>
  <c r="BZ193" i="17" s="1"/>
  <c r="AP188" i="17"/>
  <c r="K129" i="23"/>
  <c r="K107" i="23"/>
  <c r="L107" i="23"/>
  <c r="BV147" i="17"/>
  <c r="BZ152" i="17" s="1"/>
  <c r="T85" i="23"/>
  <c r="S85" i="23"/>
  <c r="P85" i="23"/>
  <c r="O99" i="23"/>
  <c r="K85" i="23"/>
  <c r="L85" i="23"/>
  <c r="K99" i="23"/>
  <c r="Z68" i="23"/>
  <c r="Z5" i="23" s="1"/>
  <c r="Y77" i="23"/>
  <c r="Y68" i="23"/>
  <c r="Y5" i="23" s="1"/>
  <c r="T68" i="23"/>
  <c r="T5" i="23" s="1"/>
  <c r="BJ108" i="17"/>
  <c r="AL108" i="17"/>
  <c r="BN127" i="17"/>
  <c r="U78" i="23"/>
  <c r="V74" i="23"/>
  <c r="U158" i="23"/>
  <c r="R74" i="23"/>
  <c r="Q78" i="23"/>
  <c r="AX127" i="17"/>
  <c r="N74" i="23"/>
  <c r="AH127" i="17"/>
  <c r="I36" i="23"/>
  <c r="Q58" i="11" s="1"/>
  <c r="J36" i="23"/>
  <c r="V58" i="11" s="1"/>
  <c r="X37" i="23"/>
  <c r="W37" i="23"/>
  <c r="Q37" i="23"/>
  <c r="R37" i="23"/>
  <c r="V10" i="23"/>
  <c r="V402" i="23"/>
  <c r="V375" i="23"/>
  <c r="S10" i="23"/>
  <c r="R58" i="23"/>
  <c r="O10" i="23"/>
  <c r="N10" i="23"/>
  <c r="K10" i="23"/>
  <c r="J58" i="23"/>
  <c r="X408" i="23"/>
  <c r="X59" i="23"/>
  <c r="AX59" i="17"/>
  <c r="AX64" i="17" s="1"/>
  <c r="Q59" i="23"/>
  <c r="R16" i="23"/>
  <c r="V59" i="17"/>
  <c r="J59" i="23"/>
  <c r="J66" i="23" s="1"/>
  <c r="W136" i="8"/>
  <c r="W133" i="8"/>
  <c r="Q133" i="8"/>
  <c r="Q113" i="8"/>
  <c r="Q166" i="8"/>
  <c r="Y190" i="8"/>
  <c r="Y166" i="8"/>
  <c r="Y224" i="8"/>
  <c r="S232" i="8"/>
  <c r="S47" i="25"/>
  <c r="S190" i="8"/>
  <c r="I232" i="8"/>
  <c r="I47" i="25"/>
  <c r="J224" i="8"/>
  <c r="I224" i="8"/>
  <c r="S229" i="8"/>
  <c r="S757" i="7"/>
  <c r="S579" i="7"/>
  <c r="S255" i="23"/>
  <c r="S231" i="8"/>
  <c r="S926" i="7"/>
  <c r="S756" i="7"/>
  <c r="S1049" i="7"/>
  <c r="S306" i="7"/>
  <c r="T307" i="7" s="1"/>
  <c r="BY5" i="6"/>
  <c r="S927" i="7"/>
  <c r="S754" i="7"/>
  <c r="BR16" i="11"/>
  <c r="S755" i="7"/>
  <c r="S752" i="7"/>
  <c r="S578" i="7"/>
  <c r="S751" i="7"/>
  <c r="S582" i="7"/>
  <c r="H253" i="23"/>
  <c r="O16" i="11"/>
  <c r="H753" i="7"/>
  <c r="H579" i="7"/>
  <c r="H232" i="8"/>
  <c r="H255" i="23"/>
  <c r="H926" i="7"/>
  <c r="H757" i="7"/>
  <c r="H754" i="7"/>
  <c r="H306" i="7"/>
  <c r="I307" i="7" s="1"/>
  <c r="H756" i="7"/>
  <c r="H580" i="7"/>
  <c r="H257" i="23"/>
  <c r="H928" i="7"/>
  <c r="H582" i="7"/>
  <c r="H577" i="7"/>
  <c r="H1049" i="7"/>
  <c r="H576" i="7"/>
  <c r="Y329" i="23"/>
  <c r="CQ100" i="11"/>
  <c r="BM100" i="11"/>
  <c r="R289" i="23"/>
  <c r="J37" i="25"/>
  <c r="J460" i="23"/>
  <c r="Q461" i="23"/>
  <c r="BH101" i="11"/>
  <c r="J330" i="23"/>
  <c r="T101" i="11"/>
  <c r="I461" i="23"/>
  <c r="I330" i="23"/>
  <c r="V331" i="23"/>
  <c r="CB15" i="11"/>
  <c r="U345" i="23"/>
  <c r="U326" i="23"/>
  <c r="U331" i="23"/>
  <c r="AX102" i="11"/>
  <c r="O353" i="23"/>
  <c r="AD102" i="11"/>
  <c r="K345" i="23"/>
  <c r="L331" i="23"/>
  <c r="K353" i="23"/>
  <c r="CV85" i="11"/>
  <c r="Y289" i="23"/>
  <c r="S297" i="23"/>
  <c r="BR85" i="11"/>
  <c r="BS85" i="11" s="1"/>
  <c r="S35" i="25"/>
  <c r="P297" i="23"/>
  <c r="O35" i="25"/>
  <c r="L297" i="23"/>
  <c r="K450" i="23"/>
  <c r="K35" i="25"/>
  <c r="W451" i="23"/>
  <c r="W294" i="23"/>
  <c r="W344" i="23"/>
  <c r="CL86" i="11"/>
  <c r="CM86" i="11" s="1"/>
  <c r="T295" i="23"/>
  <c r="S344" i="23"/>
  <c r="S34" i="25"/>
  <c r="BR86" i="11"/>
  <c r="P295" i="23"/>
  <c r="P298" i="23"/>
  <c r="O295" i="23"/>
  <c r="O298" i="23"/>
  <c r="O451" i="23"/>
  <c r="O316" i="23"/>
  <c r="O294" i="23"/>
  <c r="L295" i="23"/>
  <c r="AD86" i="11"/>
  <c r="K34" i="25"/>
  <c r="K344" i="23"/>
  <c r="X313" i="23"/>
  <c r="X294" i="23"/>
  <c r="X452" i="23"/>
  <c r="CQ13" i="11"/>
  <c r="X345" i="23"/>
  <c r="T313" i="23"/>
  <c r="T345" i="23"/>
  <c r="T452" i="23"/>
  <c r="N313" i="23"/>
  <c r="N345" i="23"/>
  <c r="AS13" i="11"/>
  <c r="I345" i="23"/>
  <c r="I313" i="23"/>
  <c r="I299" i="23"/>
  <c r="J32" i="25"/>
  <c r="J422" i="23"/>
  <c r="V416" i="23"/>
  <c r="CG57" i="11"/>
  <c r="BC57" i="11"/>
  <c r="P214" i="23"/>
  <c r="P221" i="23" s="1"/>
  <c r="J416" i="23"/>
  <c r="J214" i="23"/>
  <c r="V26" i="25"/>
  <c r="W227" i="23"/>
  <c r="P227" i="23"/>
  <c r="P417" i="23"/>
  <c r="J417" i="23"/>
  <c r="J227" i="23"/>
  <c r="CG62" i="11"/>
  <c r="V231" i="23"/>
  <c r="K231" i="23"/>
  <c r="J31" i="25"/>
  <c r="Z233" i="23"/>
  <c r="Y263" i="23"/>
  <c r="CV64" i="11"/>
  <c r="CV9" i="11"/>
  <c r="BR64" i="11"/>
  <c r="S263" i="23"/>
  <c r="S29" i="25"/>
  <c r="O233" i="23"/>
  <c r="O221" i="23"/>
  <c r="O263" i="23"/>
  <c r="AX9" i="11"/>
  <c r="AD9" i="11"/>
  <c r="K233" i="23"/>
  <c r="K29" i="25"/>
  <c r="W375" i="23"/>
  <c r="W27" i="25"/>
  <c r="W195" i="23"/>
  <c r="X195" i="23"/>
  <c r="W62" i="7"/>
  <c r="CL34" i="11"/>
  <c r="CX36" i="6"/>
  <c r="W402" i="23"/>
  <c r="M375" i="23"/>
  <c r="M115" i="7"/>
  <c r="M62" i="7"/>
  <c r="AP36" i="6"/>
  <c r="M90" i="7"/>
  <c r="M91" i="7" s="1"/>
  <c r="M9" i="7"/>
  <c r="W698" i="7"/>
  <c r="W202" i="23"/>
  <c r="X207" i="23"/>
  <c r="W28" i="25"/>
  <c r="W262" i="23"/>
  <c r="O207" i="23"/>
  <c r="AX8" i="11"/>
  <c r="O28" i="25"/>
  <c r="AB36" i="23"/>
  <c r="DH58" i="11" s="1"/>
  <c r="DH71" i="11" s="1"/>
  <c r="AB15" i="8"/>
  <c r="D176" i="2"/>
  <c r="AC96" i="23"/>
  <c r="DM13" i="11" s="1"/>
  <c r="DN13" i="11" s="1"/>
  <c r="AC100" i="23"/>
  <c r="AC452" i="23"/>
  <c r="AB230" i="8"/>
  <c r="AB928" i="7"/>
  <c r="EA5" i="6"/>
  <c r="DK115" i="11"/>
  <c r="AB306" i="7"/>
  <c r="AB952" i="7"/>
  <c r="AB959" i="7" s="1"/>
  <c r="AB927" i="7"/>
  <c r="AB755" i="7"/>
  <c r="AB1049" i="7"/>
  <c r="AB229" i="8"/>
  <c r="AB362" i="23"/>
  <c r="AB257" i="23"/>
  <c r="AB255" i="23"/>
  <c r="AB926" i="7"/>
  <c r="AB987" i="7"/>
  <c r="DK16" i="11"/>
  <c r="AB1034" i="7"/>
  <c r="DP86" i="11"/>
  <c r="AC316" i="23"/>
  <c r="AC34" i="25"/>
  <c r="AC294" i="23"/>
  <c r="AB32" i="25"/>
  <c r="AB232" i="23"/>
  <c r="AB9" i="7"/>
  <c r="AB66" i="25"/>
  <c r="AB62" i="7"/>
  <c r="AB261" i="23"/>
  <c r="D195" i="2"/>
  <c r="EB36" i="6"/>
  <c r="AB375" i="23"/>
  <c r="AA138" i="1"/>
  <c r="AB10" i="7"/>
  <c r="AB63" i="7"/>
  <c r="DK71" i="11"/>
  <c r="EB46" i="6"/>
  <c r="AF220" i="17"/>
  <c r="AF183" i="17"/>
  <c r="AF150" i="17"/>
  <c r="AF155" i="17"/>
  <c r="W135" i="17"/>
  <c r="W10" i="17" s="1"/>
  <c r="W130" i="17"/>
  <c r="W143" i="17"/>
  <c r="O183" i="17"/>
  <c r="P150" i="17"/>
  <c r="O150" i="17"/>
  <c r="P157" i="17"/>
  <c r="Q157" i="17"/>
  <c r="S155" i="17"/>
  <c r="K183" i="17"/>
  <c r="K150" i="17"/>
  <c r="K220" i="17"/>
  <c r="Y462" i="23"/>
  <c r="Y122" i="23"/>
  <c r="S461" i="23"/>
  <c r="S121" i="23"/>
  <c r="K226" i="8"/>
  <c r="K55" i="25"/>
  <c r="K63" i="8"/>
  <c r="H63" i="8"/>
  <c r="H33" i="8"/>
  <c r="H52" i="8"/>
  <c r="H35" i="8"/>
  <c r="I63" i="8"/>
  <c r="X48" i="25"/>
  <c r="X113" i="8"/>
  <c r="P48" i="25"/>
  <c r="P113" i="8"/>
  <c r="H113" i="8"/>
  <c r="H48" i="25"/>
  <c r="M51" i="25"/>
  <c r="M9" i="8"/>
  <c r="W53" i="25"/>
  <c r="W24" i="8"/>
  <c r="O53" i="25"/>
  <c r="O9" i="8"/>
  <c r="Y6" i="8"/>
  <c r="Y23" i="8"/>
  <c r="Y52" i="25"/>
  <c r="Y35" i="8"/>
  <c r="I6" i="8"/>
  <c r="I35" i="8"/>
  <c r="I15" i="8"/>
  <c r="Y63" i="8"/>
  <c r="Y52" i="8"/>
  <c r="X55" i="25"/>
  <c r="AJ34" i="8"/>
  <c r="AI34" i="8"/>
  <c r="R63" i="8"/>
  <c r="Q55" i="25"/>
  <c r="Q52" i="8"/>
  <c r="R52" i="8"/>
  <c r="Q63" i="8"/>
  <c r="Q33" i="8"/>
  <c r="Q35" i="8"/>
  <c r="Z59" i="8"/>
  <c r="Y28" i="8"/>
  <c r="Y188" i="8" s="1"/>
  <c r="Y59" i="8"/>
  <c r="Y113" i="8"/>
  <c r="AJ30" i="8"/>
  <c r="Y76" i="8"/>
  <c r="AK30" i="8"/>
  <c r="U48" i="8"/>
  <c r="AG30" i="8"/>
  <c r="U49" i="25"/>
  <c r="U28" i="8"/>
  <c r="U76" i="8"/>
  <c r="Q48" i="8"/>
  <c r="Q190" i="8"/>
  <c r="R48" i="8"/>
  <c r="Q28" i="8"/>
  <c r="Q76" i="8"/>
  <c r="R59" i="8"/>
  <c r="N48" i="8"/>
  <c r="M49" i="25"/>
  <c r="M59" i="8"/>
  <c r="M28" i="8"/>
  <c r="M113" i="8"/>
  <c r="N59" i="8"/>
  <c r="M48" i="8"/>
  <c r="I48" i="8"/>
  <c r="I59" i="8"/>
  <c r="J59" i="8"/>
  <c r="I76" i="8"/>
  <c r="I49" i="25"/>
  <c r="Y33" i="8"/>
  <c r="Y61" i="8"/>
  <c r="Y244" i="8"/>
  <c r="Y245" i="8" s="1"/>
  <c r="Z61" i="8"/>
  <c r="Y45" i="25"/>
  <c r="Y99" i="8"/>
  <c r="Y50" i="8"/>
  <c r="Z50" i="8"/>
  <c r="V61" i="8"/>
  <c r="U61" i="8"/>
  <c r="U50" i="8"/>
  <c r="AG32" i="8"/>
  <c r="U31" i="8"/>
  <c r="U45" i="25"/>
  <c r="R61" i="8"/>
  <c r="Q50" i="8"/>
  <c r="Q99" i="8"/>
  <c r="R50" i="8"/>
  <c r="Q61" i="8"/>
  <c r="Q31" i="8"/>
  <c r="Q45" i="25"/>
  <c r="M45" i="25"/>
  <c r="M31" i="8"/>
  <c r="M99" i="8"/>
  <c r="N61" i="8"/>
  <c r="M50" i="8"/>
  <c r="N50" i="8"/>
  <c r="M33" i="8"/>
  <c r="J50" i="8"/>
  <c r="I45" i="25"/>
  <c r="I50" i="8"/>
  <c r="I244" i="8"/>
  <c r="I61" i="8"/>
  <c r="I99" i="8"/>
  <c r="AB99" i="23"/>
  <c r="CP147" i="17"/>
  <c r="AB59" i="23"/>
  <c r="AB66" i="23" s="1"/>
  <c r="AB408" i="23"/>
  <c r="Z85" i="25"/>
  <c r="Z206" i="23"/>
  <c r="Z201" i="23"/>
  <c r="DR38" i="6"/>
  <c r="V85" i="25"/>
  <c r="V206" i="23"/>
  <c r="W206" i="23"/>
  <c r="CT38" i="6"/>
  <c r="R85" i="25"/>
  <c r="BV38" i="6"/>
  <c r="R206" i="23"/>
  <c r="O206" i="23"/>
  <c r="AS47" i="11"/>
  <c r="N206" i="23"/>
  <c r="N85" i="25"/>
  <c r="N202" i="23"/>
  <c r="J85" i="25"/>
  <c r="K206" i="23"/>
  <c r="J206" i="23"/>
  <c r="Y47" i="11"/>
  <c r="X201" i="23"/>
  <c r="X86" i="25"/>
  <c r="X205" i="23"/>
  <c r="DF37" i="6"/>
  <c r="P86" i="25"/>
  <c r="P201" i="23"/>
  <c r="BC46" i="11"/>
  <c r="Z152" i="1"/>
  <c r="V223" i="8"/>
  <c r="V87" i="25"/>
  <c r="W223" i="8"/>
  <c r="V688" i="7"/>
  <c r="V189" i="8"/>
  <c r="V165" i="8"/>
  <c r="R87" i="25"/>
  <c r="R688" i="7"/>
  <c r="S223" i="8"/>
  <c r="BV11" i="6"/>
  <c r="R189" i="8"/>
  <c r="M165" i="8"/>
  <c r="M189" i="8"/>
  <c r="M688" i="7"/>
  <c r="N223" i="8"/>
  <c r="M223" i="8"/>
  <c r="AR11" i="6"/>
  <c r="H189" i="8"/>
  <c r="H688" i="7"/>
  <c r="N11" i="6"/>
  <c r="H87" i="25"/>
  <c r="I223" i="8"/>
  <c r="H165" i="8"/>
  <c r="Z249" i="23"/>
  <c r="Y249" i="23"/>
  <c r="CV72" i="11"/>
  <c r="DK46" i="6"/>
  <c r="V249" i="23"/>
  <c r="U257" i="23"/>
  <c r="CM46" i="6"/>
  <c r="U1086" i="7"/>
  <c r="O1086" i="7"/>
  <c r="P249" i="23"/>
  <c r="AX72" i="11"/>
  <c r="O257" i="23"/>
  <c r="T72" i="11"/>
  <c r="I249" i="23"/>
  <c r="J249" i="23"/>
  <c r="I257" i="23"/>
  <c r="S46" i="6"/>
  <c r="Z222" i="8"/>
  <c r="Y72" i="25"/>
  <c r="DK11" i="6"/>
  <c r="V222" i="8"/>
  <c r="U230" i="8"/>
  <c r="CM11" i="6"/>
  <c r="AW11" i="6"/>
  <c r="N222" i="8"/>
  <c r="I72" i="25"/>
  <c r="S11" i="6"/>
  <c r="H136" i="8"/>
  <c r="H59" i="25"/>
  <c r="DV46" i="6"/>
  <c r="DF71" i="11"/>
  <c r="AA245" i="23"/>
  <c r="AA10" i="7"/>
  <c r="AA1069" i="7"/>
  <c r="CX46" i="6"/>
  <c r="CL71" i="11"/>
  <c r="X245" i="23"/>
  <c r="W63" i="7"/>
  <c r="W253" i="23"/>
  <c r="O245" i="23"/>
  <c r="N10" i="7"/>
  <c r="N63" i="7"/>
  <c r="AV46" i="6"/>
  <c r="N245" i="23"/>
  <c r="X46" i="6"/>
  <c r="J10" i="7"/>
  <c r="J245" i="23"/>
  <c r="J63" i="7"/>
  <c r="K245" i="23"/>
  <c r="X136" i="8"/>
  <c r="DD14" i="6"/>
  <c r="T59" i="25"/>
  <c r="U138" i="8"/>
  <c r="T136" i="8"/>
  <c r="T138" i="8"/>
  <c r="P136" i="8"/>
  <c r="P168" i="8"/>
  <c r="AA19" i="7"/>
  <c r="DV13" i="6"/>
  <c r="AA168" i="8"/>
  <c r="AA226" i="8"/>
  <c r="X226" i="8"/>
  <c r="W234" i="8"/>
  <c r="W168" i="8"/>
  <c r="W226" i="8"/>
  <c r="O58" i="25"/>
  <c r="O19" i="7"/>
  <c r="O226" i="8"/>
  <c r="O168" i="8"/>
  <c r="I234" i="8"/>
  <c r="I19" i="7"/>
  <c r="I58" i="25"/>
  <c r="I226" i="8"/>
  <c r="Z221" i="8"/>
  <c r="DJ11" i="6"/>
  <c r="Q229" i="8"/>
  <c r="AD11" i="6"/>
  <c r="L221" i="8"/>
  <c r="C161" i="2"/>
  <c r="AT161" i="2" s="1"/>
  <c r="AA47" i="25"/>
  <c r="AA190" i="8"/>
  <c r="Z36" i="25"/>
  <c r="DA101" i="11"/>
  <c r="C141" i="2"/>
  <c r="AT141" i="2" s="1"/>
  <c r="AA232" i="23"/>
  <c r="AA422" i="23"/>
  <c r="AA227" i="23"/>
  <c r="AA417" i="23"/>
  <c r="AA26" i="25"/>
  <c r="AB227" i="23"/>
  <c r="AA31" i="25"/>
  <c r="AA231" i="23"/>
  <c r="C140" i="2"/>
  <c r="AT140" i="2" s="1"/>
  <c r="AB231" i="23"/>
  <c r="C137" i="2"/>
  <c r="AA262" i="23"/>
  <c r="DF49" i="11"/>
  <c r="AA28" i="25"/>
  <c r="CL127" i="17"/>
  <c r="CH207" i="17"/>
  <c r="CL212" i="17" s="1"/>
  <c r="Z58" i="23"/>
  <c r="Z10" i="23"/>
  <c r="BB229" i="17"/>
  <c r="R138" i="23"/>
  <c r="M138" i="23"/>
  <c r="AD229" i="17"/>
  <c r="W116" i="23"/>
  <c r="CI100" i="11" s="1"/>
  <c r="CJ100" i="11" s="1"/>
  <c r="X116" i="23"/>
  <c r="CN100" i="11" s="1"/>
  <c r="CO100" i="11" s="1"/>
  <c r="H117" i="23"/>
  <c r="L101" i="11" s="1"/>
  <c r="H461" i="23"/>
  <c r="BN207" i="17"/>
  <c r="U122" i="23"/>
  <c r="U118" i="23"/>
  <c r="AT207" i="17"/>
  <c r="S94" i="23"/>
  <c r="BO85" i="11" s="1"/>
  <c r="BP85" i="11" s="1"/>
  <c r="R94" i="23"/>
  <c r="BJ85" i="11" s="1"/>
  <c r="T121" i="23"/>
  <c r="T451" i="23"/>
  <c r="T95" i="23"/>
  <c r="BT86" i="11" s="1"/>
  <c r="J95" i="23"/>
  <c r="V86" i="11" s="1"/>
  <c r="K95" i="23"/>
  <c r="AA86" i="11" s="1"/>
  <c r="AB86" i="11" s="1"/>
  <c r="J121" i="23"/>
  <c r="X96" i="23"/>
  <c r="CN13" i="11" s="1"/>
  <c r="X100" i="23"/>
  <c r="X122" i="23"/>
  <c r="BJ166" i="17"/>
  <c r="T96" i="23"/>
  <c r="BT13" i="11" s="1"/>
  <c r="T100" i="23"/>
  <c r="O100" i="23"/>
  <c r="O106" i="23" s="1"/>
  <c r="O96" i="23"/>
  <c r="AU13" i="11" s="1"/>
  <c r="O122" i="23"/>
  <c r="P96" i="23"/>
  <c r="AZ13" i="11" s="1"/>
  <c r="I96" i="23"/>
  <c r="Q13" i="11" s="1"/>
  <c r="R13" i="11" s="1"/>
  <c r="H100" i="23"/>
  <c r="H122" i="23"/>
  <c r="H452" i="23"/>
  <c r="BJ188" i="17"/>
  <c r="M129" i="23"/>
  <c r="AH188" i="17"/>
  <c r="AH193" i="17" s="1"/>
  <c r="N107" i="23"/>
  <c r="J107" i="23"/>
  <c r="R188" i="17"/>
  <c r="I129" i="23"/>
  <c r="V85" i="23"/>
  <c r="BN147" i="17"/>
  <c r="Q85" i="23"/>
  <c r="Q99" i="23"/>
  <c r="R85" i="23"/>
  <c r="AH147" i="17"/>
  <c r="AL152" i="17" s="1"/>
  <c r="I85" i="23"/>
  <c r="I99" i="23"/>
  <c r="J85" i="23"/>
  <c r="V77" i="23"/>
  <c r="BR108" i="17"/>
  <c r="R77" i="23"/>
  <c r="S68" i="23"/>
  <c r="S5" i="23" s="1"/>
  <c r="R68" i="23"/>
  <c r="R5" i="23" s="1"/>
  <c r="BV127" i="17"/>
  <c r="W78" i="23"/>
  <c r="S78" i="23"/>
  <c r="T74" i="23"/>
  <c r="S74" i="23"/>
  <c r="O78" i="23"/>
  <c r="O74" i="23"/>
  <c r="K74" i="23"/>
  <c r="V127" i="17"/>
  <c r="W41" i="23"/>
  <c r="CI63" i="11" s="1"/>
  <c r="V422" i="23"/>
  <c r="P41" i="23"/>
  <c r="AZ63" i="11" s="1"/>
  <c r="Q41" i="23"/>
  <c r="BE63" i="11" s="1"/>
  <c r="L36" i="23"/>
  <c r="AF58" i="11" s="1"/>
  <c r="K36" i="23"/>
  <c r="AA58" i="11" s="1"/>
  <c r="AB58" i="11" s="1"/>
  <c r="K417" i="23"/>
  <c r="Y37" i="23"/>
  <c r="Z37" i="23"/>
  <c r="K37" i="23"/>
  <c r="L37" i="23"/>
  <c r="Y10" i="23"/>
  <c r="X58" i="23"/>
  <c r="X402" i="23"/>
  <c r="U10" i="23"/>
  <c r="BJ40" i="17"/>
  <c r="Q10" i="23"/>
  <c r="AT40" i="17"/>
  <c r="M10" i="23"/>
  <c r="AD40" i="17"/>
  <c r="BF59" i="17"/>
  <c r="S16" i="23"/>
  <c r="N16" i="23"/>
  <c r="AH59" i="17"/>
  <c r="M59" i="23"/>
  <c r="S136" i="8"/>
  <c r="S133" i="8"/>
  <c r="S48" i="25"/>
  <c r="L113" i="8"/>
  <c r="L48" i="25"/>
  <c r="L136" i="8"/>
  <c r="L133" i="8"/>
  <c r="V190" i="8"/>
  <c r="V166" i="8"/>
  <c r="M47" i="25"/>
  <c r="M190" i="8"/>
  <c r="W1034" i="7"/>
  <c r="CL115" i="11"/>
  <c r="W926" i="7"/>
  <c r="W577" i="7"/>
  <c r="CW5" i="6"/>
  <c r="W582" i="7"/>
  <c r="W923" i="7"/>
  <c r="W231" i="8"/>
  <c r="W928" i="7"/>
  <c r="CL16" i="11"/>
  <c r="W470" i="23"/>
  <c r="W925" i="7"/>
  <c r="W924" i="7"/>
  <c r="W255" i="23"/>
  <c r="W289" i="23"/>
  <c r="W751" i="7"/>
  <c r="W579" i="7"/>
  <c r="W38" i="25"/>
  <c r="W576" i="7"/>
  <c r="O751" i="7"/>
  <c r="O757" i="7"/>
  <c r="O255" i="23"/>
  <c r="O753" i="7"/>
  <c r="O576" i="7"/>
  <c r="O578" i="7"/>
  <c r="O470" i="23"/>
  <c r="O253" i="23"/>
  <c r="O38" i="25"/>
  <c r="O754" i="7"/>
  <c r="O755" i="7"/>
  <c r="O577" i="7"/>
  <c r="O306" i="7"/>
  <c r="P307" i="7" s="1"/>
  <c r="AX115" i="11"/>
  <c r="O923" i="7"/>
  <c r="O229" i="8"/>
  <c r="AX16" i="11"/>
  <c r="O928" i="7"/>
  <c r="O924" i="7"/>
  <c r="O927" i="7"/>
  <c r="T329" i="23"/>
  <c r="BW100" i="11"/>
  <c r="CC100" i="11" s="1"/>
  <c r="Q329" i="23"/>
  <c r="BC100" i="11"/>
  <c r="X78" i="7"/>
  <c r="X79" i="7" s="1"/>
  <c r="X36" i="25"/>
  <c r="X344" i="23"/>
  <c r="AD101" i="11"/>
  <c r="K461" i="23"/>
  <c r="BR102" i="11"/>
  <c r="T331" i="23"/>
  <c r="S353" i="23"/>
  <c r="N331" i="23"/>
  <c r="M353" i="23"/>
  <c r="M331" i="23"/>
  <c r="AN102" i="11"/>
  <c r="M345" i="23"/>
  <c r="J331" i="23"/>
  <c r="I353" i="23"/>
  <c r="I360" i="23" s="1"/>
  <c r="I326" i="23"/>
  <c r="T15" i="11"/>
  <c r="I462" i="23"/>
  <c r="U35" i="25"/>
  <c r="CB85" i="11"/>
  <c r="U289" i="23"/>
  <c r="BH85" i="11"/>
  <c r="BN85" i="11" s="1"/>
  <c r="Q450" i="23"/>
  <c r="Q297" i="23"/>
  <c r="M35" i="25"/>
  <c r="N297" i="23"/>
  <c r="T85" i="11"/>
  <c r="U85" i="11" s="1"/>
  <c r="I450" i="23"/>
  <c r="U34" i="25"/>
  <c r="U294" i="23"/>
  <c r="V298" i="23"/>
  <c r="U298" i="23"/>
  <c r="R295" i="23"/>
  <c r="Q295" i="23"/>
  <c r="Q298" i="23"/>
  <c r="Q451" i="23"/>
  <c r="AN86" i="11"/>
  <c r="N295" i="23"/>
  <c r="M298" i="23"/>
  <c r="M344" i="23"/>
  <c r="J298" i="23"/>
  <c r="I344" i="23"/>
  <c r="I451" i="23"/>
  <c r="I34" i="25"/>
  <c r="W299" i="23"/>
  <c r="CG13" i="11"/>
  <c r="V294" i="23"/>
  <c r="CG87" i="11"/>
  <c r="V299" i="23"/>
  <c r="P452" i="23"/>
  <c r="BC87" i="11"/>
  <c r="BC13" i="11"/>
  <c r="P345" i="23"/>
  <c r="L313" i="23"/>
  <c r="AI87" i="11"/>
  <c r="AO87" i="11" s="1"/>
  <c r="L299" i="23"/>
  <c r="L345" i="23"/>
  <c r="Y232" i="23"/>
  <c r="X422" i="23"/>
  <c r="Y416" i="23"/>
  <c r="CV57" i="11"/>
  <c r="T226" i="23"/>
  <c r="BR57" i="11"/>
  <c r="M416" i="23"/>
  <c r="AN57" i="11"/>
  <c r="Y227" i="23"/>
  <c r="X227" i="23"/>
  <c r="X417" i="23"/>
  <c r="CQ58" i="11"/>
  <c r="T214" i="23"/>
  <c r="U227" i="23"/>
  <c r="BW58" i="11"/>
  <c r="M417" i="23"/>
  <c r="M26" i="25"/>
  <c r="I227" i="23"/>
  <c r="H26" i="25"/>
  <c r="S421" i="23"/>
  <c r="BR62" i="11"/>
  <c r="CK46" i="6"/>
  <c r="U233" i="23"/>
  <c r="U29" i="25"/>
  <c r="BH9" i="11"/>
  <c r="BH64" i="11"/>
  <c r="Q233" i="23"/>
  <c r="AN64" i="11"/>
  <c r="AN9" i="11"/>
  <c r="AO9" i="11" s="1"/>
  <c r="M233" i="23"/>
  <c r="J233" i="23"/>
  <c r="T9" i="11"/>
  <c r="I263" i="23"/>
  <c r="I29" i="25"/>
  <c r="V195" i="23"/>
  <c r="CB7" i="11"/>
  <c r="CB34" i="11"/>
  <c r="U9" i="7"/>
  <c r="U261" i="23"/>
  <c r="U375" i="23"/>
  <c r="U90" i="7"/>
  <c r="U91" i="7" s="1"/>
  <c r="CV49" i="11"/>
  <c r="Y698" i="7"/>
  <c r="CV8" i="11"/>
  <c r="Y207" i="23"/>
  <c r="S698" i="7"/>
  <c r="S28" i="25"/>
  <c r="S408" i="23"/>
  <c r="AN8" i="11"/>
  <c r="AN48" i="11"/>
  <c r="M262" i="23"/>
  <c r="M408" i="23"/>
  <c r="AB14" i="8"/>
  <c r="D175" i="2"/>
  <c r="AU175" i="2" s="1"/>
  <c r="AC118" i="23"/>
  <c r="CT207" i="17"/>
  <c r="AC85" i="23"/>
  <c r="CT147" i="17"/>
  <c r="AC113" i="8"/>
  <c r="AC48" i="25"/>
  <c r="AC353" i="23"/>
  <c r="AC360" i="23" s="1"/>
  <c r="DP15" i="11"/>
  <c r="AC462" i="23"/>
  <c r="AB214" i="23"/>
  <c r="AB416" i="23"/>
  <c r="AB202" i="23"/>
  <c r="DK46" i="11"/>
  <c r="D219" i="2"/>
  <c r="AB19" i="7"/>
  <c r="EB13" i="6"/>
  <c r="AB226" i="8"/>
  <c r="E220" i="2"/>
  <c r="H419" i="20" s="1"/>
  <c r="Y419" i="20" s="1"/>
  <c r="EJ11" i="6"/>
  <c r="AE224" i="17"/>
  <c r="AE196" i="17"/>
  <c r="AF198" i="17"/>
  <c r="AE219" i="17"/>
  <c r="AB224" i="17"/>
  <c r="AB219" i="17"/>
  <c r="AB198" i="17"/>
  <c r="AB196" i="17"/>
  <c r="AC198" i="17"/>
  <c r="AB191" i="17"/>
  <c r="AC191" i="17"/>
  <c r="AF196" i="17"/>
  <c r="AA183" i="17"/>
  <c r="AA150" i="17"/>
  <c r="AA220" i="17"/>
  <c r="AB150" i="17"/>
  <c r="AE155" i="17"/>
  <c r="AB157" i="17"/>
  <c r="AA143" i="17"/>
  <c r="AD126" i="17"/>
  <c r="AA135" i="17"/>
  <c r="AA10" i="17" s="1"/>
  <c r="AB130" i="17"/>
  <c r="AA130" i="17"/>
  <c r="X16" i="26"/>
  <c r="U143" i="17"/>
  <c r="U144" i="17" s="1"/>
  <c r="R16" i="26"/>
  <c r="V130" i="17"/>
  <c r="U130" i="17"/>
  <c r="H220" i="17"/>
  <c r="H183" i="17"/>
  <c r="L155" i="17"/>
  <c r="AC232" i="23"/>
  <c r="Y233" i="23"/>
  <c r="J226" i="23"/>
  <c r="S226" i="23"/>
  <c r="J232" i="23"/>
  <c r="X232" i="23"/>
  <c r="Y297" i="23"/>
  <c r="O215" i="8"/>
  <c r="Q16" i="23"/>
  <c r="J421" i="23"/>
  <c r="O40" i="23"/>
  <c r="AU62" i="11" s="1"/>
  <c r="V421" i="23"/>
  <c r="Q35" i="23"/>
  <c r="BE57" i="11" s="1"/>
  <c r="M451" i="23"/>
  <c r="Y95" i="23"/>
  <c r="CS86" i="11" s="1"/>
  <c r="I117" i="23"/>
  <c r="Q101" i="11" s="1"/>
  <c r="U117" i="23"/>
  <c r="BY101" i="11" s="1"/>
  <c r="U116" i="23"/>
  <c r="BY100" i="11" s="1"/>
  <c r="K169" i="23"/>
  <c r="AA118" i="11" s="1"/>
  <c r="AA107" i="23"/>
  <c r="P189" i="1"/>
  <c r="L189" i="1"/>
  <c r="X189" i="1"/>
  <c r="W245" i="23"/>
  <c r="N211" i="1"/>
  <c r="I117" i="1"/>
  <c r="K117" i="1"/>
  <c r="U117" i="1"/>
  <c r="S138" i="1"/>
  <c r="AO29" i="8"/>
  <c r="AE29" i="8"/>
  <c r="AH135" i="17"/>
  <c r="AH10" i="17" s="1"/>
  <c r="AH130" i="17"/>
  <c r="AI130" i="17"/>
  <c r="AE16" i="26"/>
  <c r="AG155" i="17"/>
  <c r="AG150" i="17"/>
  <c r="AG130" i="17"/>
  <c r="AD16" i="26"/>
  <c r="AG143" i="17"/>
  <c r="AC135" i="17"/>
  <c r="AC10" i="17" s="1"/>
  <c r="Z16" i="26"/>
  <c r="AC143" i="17"/>
  <c r="AC144" i="17" s="1"/>
  <c r="V16" i="26"/>
  <c r="Y135" i="17"/>
  <c r="Y10" i="17" s="1"/>
  <c r="V155" i="17"/>
  <c r="V183" i="17"/>
  <c r="U157" i="17"/>
  <c r="U150" i="17"/>
  <c r="U183" i="17"/>
  <c r="U220" i="17"/>
  <c r="T130" i="17"/>
  <c r="T143" i="17"/>
  <c r="T135" i="17"/>
  <c r="T10" i="17" s="1"/>
  <c r="P143" i="17"/>
  <c r="M16" i="26"/>
  <c r="P130" i="17"/>
  <c r="N974" i="7"/>
  <c r="AC205" i="1"/>
  <c r="AC722" i="7"/>
  <c r="T299" i="23"/>
  <c r="S331" i="23"/>
  <c r="T326" i="23"/>
  <c r="K215" i="8"/>
  <c r="I37" i="23"/>
  <c r="V417" i="23"/>
  <c r="K35" i="23"/>
  <c r="AA57" i="11" s="1"/>
  <c r="AB57" i="11" s="1"/>
  <c r="U35" i="23"/>
  <c r="BY57" i="11" s="1"/>
  <c r="BZ57" i="11" s="1"/>
  <c r="CA57" i="11" s="1"/>
  <c r="Y41" i="23"/>
  <c r="CS63" i="11" s="1"/>
  <c r="CT63" i="11" s="1"/>
  <c r="Y177" i="23" s="1"/>
  <c r="Y17" i="25" s="1"/>
  <c r="W107" i="23"/>
  <c r="Y94" i="23"/>
  <c r="CS85" i="11" s="1"/>
  <c r="X461" i="23"/>
  <c r="H470" i="23"/>
  <c r="AA138" i="8"/>
  <c r="L211" i="1"/>
  <c r="R211" i="1"/>
  <c r="X211" i="1"/>
  <c r="O117" i="1"/>
  <c r="Y117" i="1"/>
  <c r="AA128" i="1"/>
  <c r="V152" i="1"/>
  <c r="M20" i="8"/>
  <c r="S52" i="8"/>
  <c r="X59" i="8"/>
  <c r="H48" i="8"/>
  <c r="X61" i="8"/>
  <c r="T50" i="8"/>
  <c r="L50" i="8"/>
  <c r="R152" i="1"/>
  <c r="AB128" i="1"/>
  <c r="S134" i="1"/>
  <c r="W128" i="1"/>
  <c r="AG157" i="17"/>
  <c r="AC155" i="17"/>
  <c r="AC157" i="17"/>
  <c r="AD150" i="17"/>
  <c r="AC150" i="17"/>
  <c r="AD155" i="17"/>
  <c r="Z155" i="17"/>
  <c r="Z220" i="17"/>
  <c r="Y130" i="17"/>
  <c r="Q16" i="26"/>
  <c r="S143" i="17"/>
  <c r="P16" i="26"/>
  <c r="R224" i="17"/>
  <c r="R219" i="17"/>
  <c r="V196" i="17"/>
  <c r="R196" i="17"/>
  <c r="L196" i="17"/>
  <c r="L191" i="17"/>
  <c r="L198" i="17"/>
  <c r="K205" i="1"/>
  <c r="J211" i="1"/>
  <c r="P211" i="1"/>
  <c r="V211" i="1"/>
  <c r="U222" i="8"/>
  <c r="M117" i="1"/>
  <c r="W117" i="1"/>
  <c r="J128" i="1"/>
  <c r="K128" i="1"/>
  <c r="Q215" i="8"/>
  <c r="Y215" i="8"/>
  <c r="J152" i="1"/>
  <c r="P152" i="1"/>
  <c r="X152" i="1"/>
  <c r="S202" i="23"/>
  <c r="L35" i="8"/>
  <c r="T35" i="8"/>
  <c r="Z24" i="8"/>
  <c r="Q14" i="8"/>
  <c r="Y20" i="8"/>
  <c r="AG224" i="17"/>
  <c r="AD219" i="17"/>
  <c r="Z126" i="17"/>
  <c r="Y127" i="17" s="1"/>
  <c r="W16" i="26"/>
  <c r="V126" i="17"/>
  <c r="J158" i="23" s="1"/>
  <c r="V143" i="17"/>
  <c r="K130" i="17"/>
  <c r="H16" i="26"/>
  <c r="R111" i="17"/>
  <c r="Q142" i="17"/>
  <c r="Q116" i="17"/>
  <c r="Q111" i="17"/>
  <c r="BE142" i="17"/>
  <c r="BE111" i="17"/>
  <c r="BI116" i="17"/>
  <c r="BE118" i="17"/>
  <c r="BE116" i="17"/>
  <c r="AQ111" i="17"/>
  <c r="AS118" i="17"/>
  <c r="AQ142" i="17"/>
  <c r="AR118" i="17"/>
  <c r="AQ116" i="17"/>
  <c r="AR111" i="17"/>
  <c r="AU116" i="17"/>
  <c r="AH111" i="17"/>
  <c r="AL116" i="17"/>
  <c r="AH142" i="17"/>
  <c r="AH144" i="17" s="1"/>
  <c r="AW142" i="17"/>
  <c r="AW111" i="17"/>
  <c r="AX111" i="17"/>
  <c r="AW118" i="17"/>
  <c r="BA116" i="17"/>
  <c r="AI111" i="17"/>
  <c r="AJ118" i="17"/>
  <c r="AI142" i="17"/>
  <c r="AJ111" i="17"/>
  <c r="AM116" i="17"/>
  <c r="AI116" i="17"/>
  <c r="BI111" i="17"/>
  <c r="BH116" i="17"/>
  <c r="BH142" i="17"/>
  <c r="BH111" i="17"/>
  <c r="BF111" i="17"/>
  <c r="BF116" i="17"/>
  <c r="BG111" i="17"/>
  <c r="BF142" i="17"/>
  <c r="P142" i="17"/>
  <c r="P111" i="17"/>
  <c r="P118" i="17"/>
  <c r="T116" i="17"/>
  <c r="I130" i="17"/>
  <c r="I135" i="17"/>
  <c r="I10" i="17" s="1"/>
  <c r="J130" i="17"/>
  <c r="H135" i="17"/>
  <c r="H10" i="17" s="1"/>
  <c r="J126" i="17"/>
  <c r="H130" i="17"/>
  <c r="H143" i="17"/>
  <c r="AS116" i="17"/>
  <c r="AO118" i="17"/>
  <c r="AO142" i="17"/>
  <c r="AP111" i="17"/>
  <c r="AO116" i="17"/>
  <c r="J228" i="17"/>
  <c r="M238" i="17" s="1"/>
  <c r="G135" i="17"/>
  <c r="K237" i="17"/>
  <c r="L232" i="17"/>
  <c r="L23" i="17" s="1"/>
  <c r="K232" i="17"/>
  <c r="N228" i="17"/>
  <c r="M229" i="17" s="1"/>
  <c r="P232" i="17"/>
  <c r="P20" i="17" s="1"/>
  <c r="O237" i="17"/>
  <c r="R228" i="17"/>
  <c r="Q239" i="17"/>
  <c r="O232" i="17"/>
  <c r="O20" i="17" s="1"/>
  <c r="T239" i="17"/>
  <c r="S232" i="17"/>
  <c r="S24" i="17" s="1"/>
  <c r="T232" i="17"/>
  <c r="V228" i="17"/>
  <c r="W238" i="17" s="1"/>
  <c r="S237" i="17"/>
  <c r="W237" i="17"/>
  <c r="X232" i="17"/>
  <c r="X18" i="17" s="1"/>
  <c r="W232" i="17"/>
  <c r="W24" i="17" s="1"/>
  <c r="Y239" i="17"/>
  <c r="X239" i="17"/>
  <c r="AA232" i="17"/>
  <c r="AA26" i="17" s="1"/>
  <c r="AB232" i="17"/>
  <c r="AB19" i="17" s="1"/>
  <c r="AB239" i="17"/>
  <c r="AA237" i="17"/>
  <c r="AD228" i="17"/>
  <c r="L163" i="23" s="1"/>
  <c r="AH228" i="17"/>
  <c r="AJ238" i="17" s="1"/>
  <c r="AF239" i="17"/>
  <c r="AE237" i="17"/>
  <c r="AG239" i="17"/>
  <c r="AF232" i="17"/>
  <c r="AF24" i="17" s="1"/>
  <c r="AJ239" i="17"/>
  <c r="AI237" i="17"/>
  <c r="AI232" i="17"/>
  <c r="AI26" i="17" s="1"/>
  <c r="AL228" i="17"/>
  <c r="AO238" i="17" s="1"/>
  <c r="AM237" i="17"/>
  <c r="AN239" i="17"/>
  <c r="AM232" i="17"/>
  <c r="AM24" i="17" s="1"/>
  <c r="AO239" i="17"/>
  <c r="AQ232" i="17"/>
  <c r="AQ18" i="17" s="1"/>
  <c r="AR239" i="17"/>
  <c r="AR232" i="17"/>
  <c r="AT228" i="17"/>
  <c r="AV238" i="17" s="1"/>
  <c r="AV239" i="17"/>
  <c r="AU237" i="17"/>
  <c r="AV232" i="17"/>
  <c r="AV19" i="17" s="1"/>
  <c r="AW239" i="17"/>
  <c r="AU232" i="17"/>
  <c r="AU18" i="17" s="1"/>
  <c r="AZ232" i="17"/>
  <c r="AZ18" i="17" s="1"/>
  <c r="AY237" i="17"/>
  <c r="AZ239" i="17"/>
  <c r="AY232" i="17"/>
  <c r="AY24" i="17" s="1"/>
  <c r="BC232" i="17"/>
  <c r="BD232" i="17"/>
  <c r="BC237" i="17"/>
  <c r="BD239" i="17"/>
  <c r="BE239" i="17"/>
  <c r="BH239" i="17"/>
  <c r="BG237" i="17"/>
  <c r="BG232" i="17"/>
  <c r="BH232" i="17"/>
  <c r="BH24" i="17" s="1"/>
  <c r="BJ228" i="17"/>
  <c r="BL238" i="17" s="1"/>
  <c r="BL239" i="17"/>
  <c r="BN228" i="17"/>
  <c r="BQ238" i="17" s="1"/>
  <c r="BM239" i="17"/>
  <c r="BK232" i="17"/>
  <c r="BL232" i="17"/>
  <c r="BL18" i="17" s="1"/>
  <c r="BP232" i="17"/>
  <c r="BP26" i="17" s="1"/>
  <c r="BQ239" i="17"/>
  <c r="BO232" i="17"/>
  <c r="BO20" i="17" s="1"/>
  <c r="BP239" i="17"/>
  <c r="BR228" i="17"/>
  <c r="BQ229" i="17" s="1"/>
  <c r="BT232" i="17"/>
  <c r="BT18" i="17" s="1"/>
  <c r="BV228" i="17"/>
  <c r="BU229" i="17" s="1"/>
  <c r="BT239" i="17"/>
  <c r="BS237" i="17"/>
  <c r="BS1" i="17" s="1"/>
  <c r="BS232" i="17"/>
  <c r="BS26" i="17" s="1"/>
  <c r="BX239" i="17"/>
  <c r="BW232" i="17"/>
  <c r="BW24" i="17" s="1"/>
  <c r="BW237" i="17"/>
  <c r="BW1" i="17" s="1"/>
  <c r="BX232" i="17"/>
  <c r="BX26" i="17" s="1"/>
  <c r="CA232" i="17"/>
  <c r="CA19" i="17" s="1"/>
  <c r="CB239" i="17"/>
  <c r="CD228" i="17"/>
  <c r="CE238" i="17" s="1"/>
  <c r="CB232" i="17"/>
  <c r="CB24" i="17" s="1"/>
  <c r="CA237" i="17"/>
  <c r="CA1" i="17" s="1"/>
  <c r="CC239" i="17"/>
  <c r="CF232" i="17"/>
  <c r="CF18" i="17" s="1"/>
  <c r="CE237" i="17"/>
  <c r="CE1" i="17" s="1"/>
  <c r="CF239" i="17"/>
  <c r="CE232" i="17"/>
  <c r="CE26" i="17" s="1"/>
  <c r="CG239" i="17"/>
  <c r="CL228" i="17"/>
  <c r="CK229" i="17" s="1"/>
  <c r="CJ239" i="17"/>
  <c r="CI232" i="17"/>
  <c r="CI26" i="17" s="1"/>
  <c r="CK239" i="17"/>
  <c r="CJ232" i="17"/>
  <c r="CJ18" i="17" s="1"/>
  <c r="CN232" i="17"/>
  <c r="CN19" i="17" s="1"/>
  <c r="CN239" i="17"/>
  <c r="CM232" i="17"/>
  <c r="CM20" i="17" s="1"/>
  <c r="F7" i="28" s="1"/>
  <c r="CM237" i="17"/>
  <c r="CM1" i="17" s="1"/>
  <c r="CQ237" i="17"/>
  <c r="CQ1" i="17" s="1"/>
  <c r="CR239" i="17"/>
  <c r="CR232" i="17"/>
  <c r="CR24" i="17" s="1"/>
  <c r="CS239" i="17"/>
  <c r="J39" i="17"/>
  <c r="M49" i="17" s="1"/>
  <c r="H43" i="17"/>
  <c r="H6" i="17" s="1"/>
  <c r="L43" i="17"/>
  <c r="K102" i="17"/>
  <c r="L50" i="17"/>
  <c r="K43" i="17"/>
  <c r="K48" i="17"/>
  <c r="M50" i="17"/>
  <c r="N39" i="17"/>
  <c r="O43" i="17"/>
  <c r="P50" i="17"/>
  <c r="R39" i="17"/>
  <c r="T49" i="17" s="1"/>
  <c r="Q50" i="17"/>
  <c r="O102" i="17"/>
  <c r="T43" i="17"/>
  <c r="S43" i="17"/>
  <c r="S48" i="17"/>
  <c r="V39" i="17"/>
  <c r="U40" i="17" s="1"/>
  <c r="X50" i="17"/>
  <c r="W48" i="17"/>
  <c r="Y50" i="17"/>
  <c r="Z39" i="17"/>
  <c r="AB49" i="17" s="1"/>
  <c r="W43" i="17"/>
  <c r="AB43" i="17"/>
  <c r="AA102" i="17"/>
  <c r="AC50" i="17"/>
  <c r="AB50" i="17"/>
  <c r="AA43" i="17"/>
  <c r="AF50" i="17"/>
  <c r="AF43" i="17"/>
  <c r="AE48" i="17"/>
  <c r="AE43" i="17"/>
  <c r="AE102" i="17"/>
  <c r="AG50" i="17"/>
  <c r="AJ50" i="17"/>
  <c r="AI102" i="17"/>
  <c r="AL39" i="17"/>
  <c r="N154" i="23" s="1"/>
  <c r="AK50" i="17"/>
  <c r="AJ43" i="17"/>
  <c r="AI43" i="17"/>
  <c r="AN50" i="17"/>
  <c r="AN43" i="17"/>
  <c r="AP39" i="17"/>
  <c r="AS49" i="17" s="1"/>
  <c r="AM48" i="17"/>
  <c r="AO50" i="17"/>
  <c r="AM43" i="17"/>
  <c r="AR43" i="17"/>
  <c r="AR50" i="17"/>
  <c r="AQ102" i="17"/>
  <c r="AT39" i="17"/>
  <c r="P154" i="23" s="1"/>
  <c r="AQ48" i="17"/>
  <c r="AS50" i="17"/>
  <c r="AV43" i="17"/>
  <c r="AU48" i="17"/>
  <c r="AW50" i="17"/>
  <c r="AU102" i="17"/>
  <c r="AX39" i="17"/>
  <c r="AY49" i="17" s="1"/>
  <c r="AW49" i="17"/>
  <c r="AV50" i="17"/>
  <c r="AZ50" i="17"/>
  <c r="BB39" i="17"/>
  <c r="BA40" i="17" s="1"/>
  <c r="AY48" i="17"/>
  <c r="AZ43" i="17"/>
  <c r="AY102" i="17"/>
  <c r="BA50" i="17"/>
  <c r="BD50" i="17"/>
  <c r="BF39" i="17"/>
  <c r="BC43" i="17"/>
  <c r="BD43" i="17"/>
  <c r="BC102" i="17"/>
  <c r="BG43" i="17"/>
  <c r="BI50" i="17"/>
  <c r="BG102" i="17"/>
  <c r="BH50" i="17"/>
  <c r="BH43" i="17"/>
  <c r="BJ39" i="17"/>
  <c r="T154" i="23" s="1"/>
  <c r="BK43" i="17"/>
  <c r="BL50" i="17"/>
  <c r="BK48" i="17"/>
  <c r="BM50" i="17"/>
  <c r="BL43" i="17"/>
  <c r="BK102" i="17"/>
  <c r="BP50" i="17"/>
  <c r="BP43" i="17"/>
  <c r="BO43" i="17"/>
  <c r="BO48" i="17"/>
  <c r="BR39" i="17"/>
  <c r="BU49" i="17" s="1"/>
  <c r="BS48" i="17"/>
  <c r="BU50" i="17"/>
  <c r="BT43" i="17"/>
  <c r="BT50" i="17"/>
  <c r="BS102" i="17"/>
  <c r="BV39" i="17"/>
  <c r="BW48" i="17"/>
  <c r="BX43" i="17"/>
  <c r="BW102" i="17"/>
  <c r="BY50" i="17"/>
  <c r="BZ39" i="17"/>
  <c r="CB50" i="17"/>
  <c r="CA102" i="17"/>
  <c r="CA48" i="17"/>
  <c r="CD39" i="17"/>
  <c r="CE49" i="17" s="1"/>
  <c r="CC50" i="17"/>
  <c r="CF43" i="17"/>
  <c r="CE102" i="17"/>
  <c r="CG50" i="17"/>
  <c r="CH39" i="17"/>
  <c r="Z154" i="23" s="1"/>
  <c r="CE43" i="17"/>
  <c r="CJ50" i="17"/>
  <c r="CI48" i="17"/>
  <c r="CI43" i="17"/>
  <c r="CI102" i="17"/>
  <c r="CK50" i="17"/>
  <c r="CN50" i="17"/>
  <c r="CN43" i="17"/>
  <c r="CM43" i="17"/>
  <c r="CM48" i="17"/>
  <c r="CM102" i="17"/>
  <c r="CR50" i="17"/>
  <c r="CR43" i="17"/>
  <c r="CQ102" i="17"/>
  <c r="CS50" i="17"/>
  <c r="CQ48" i="17"/>
  <c r="G103" i="17"/>
  <c r="L69" i="17"/>
  <c r="K62" i="17"/>
  <c r="K67" i="17"/>
  <c r="K103" i="17"/>
  <c r="M69" i="17"/>
  <c r="P69" i="17"/>
  <c r="O103" i="17"/>
  <c r="Q69" i="17"/>
  <c r="P62" i="17"/>
  <c r="R58" i="17"/>
  <c r="T68" i="17" s="1"/>
  <c r="O62" i="17"/>
  <c r="T62" i="17"/>
  <c r="S103" i="17"/>
  <c r="U69" i="17"/>
  <c r="S62" i="17"/>
  <c r="X62" i="17"/>
  <c r="X69" i="17"/>
  <c r="W67" i="17"/>
  <c r="W62" i="17"/>
  <c r="Z58" i="17"/>
  <c r="AC68" i="17" s="1"/>
  <c r="AB69" i="17"/>
  <c r="AB62" i="17"/>
  <c r="AA67" i="17"/>
  <c r="AD58" i="17"/>
  <c r="AF68" i="17" s="1"/>
  <c r="AC69" i="17"/>
  <c r="AA62" i="17"/>
  <c r="AF69" i="17"/>
  <c r="AE103" i="17"/>
  <c r="AE67" i="17"/>
  <c r="AE62" i="17"/>
  <c r="AG69" i="17"/>
  <c r="AJ62" i="17"/>
  <c r="AJ69" i="17"/>
  <c r="AI62" i="17"/>
  <c r="AK69" i="17"/>
  <c r="AI103" i="17"/>
  <c r="AN69" i="17"/>
  <c r="AN62" i="17"/>
  <c r="AM62" i="17"/>
  <c r="AP58" i="17"/>
  <c r="AO69" i="17"/>
  <c r="AM103" i="17"/>
  <c r="AR62" i="17"/>
  <c r="AQ62" i="17"/>
  <c r="AS69" i="17"/>
  <c r="AT58" i="17"/>
  <c r="AS59" i="17" s="1"/>
  <c r="AQ103" i="17"/>
  <c r="AR68" i="17"/>
  <c r="AV69" i="17"/>
  <c r="AV62" i="17"/>
  <c r="AU103" i="17"/>
  <c r="AX58" i="17"/>
  <c r="AY68" i="17" s="1"/>
  <c r="AU62" i="17"/>
  <c r="AZ69" i="17"/>
  <c r="AY67" i="17"/>
  <c r="BB58" i="17"/>
  <c r="AY103" i="17"/>
  <c r="BD62" i="17"/>
  <c r="BD69" i="17"/>
  <c r="BC67" i="17"/>
  <c r="BE69" i="17"/>
  <c r="BC62" i="17"/>
  <c r="BC103" i="17"/>
  <c r="BH69" i="17"/>
  <c r="BG62" i="17"/>
  <c r="BH62" i="17"/>
  <c r="BG67" i="17"/>
  <c r="BI69" i="17"/>
  <c r="BJ58" i="17"/>
  <c r="BK67" i="17"/>
  <c r="BM69" i="17"/>
  <c r="BL62" i="17"/>
  <c r="BL69" i="17"/>
  <c r="BN58" i="17"/>
  <c r="BP68" i="17" s="1"/>
  <c r="BK103" i="17"/>
  <c r="BP62" i="17"/>
  <c r="BP69" i="17"/>
  <c r="BR58" i="17"/>
  <c r="BQ69" i="17"/>
  <c r="BO62" i="17"/>
  <c r="BO103" i="17"/>
  <c r="BO106" i="17" s="1"/>
  <c r="BT69" i="17"/>
  <c r="BT62" i="17"/>
  <c r="BV58" i="17"/>
  <c r="BX68" i="17" s="1"/>
  <c r="BS62" i="17"/>
  <c r="BS103" i="17"/>
  <c r="BU69" i="17"/>
  <c r="BX69" i="17"/>
  <c r="BX62" i="17"/>
  <c r="BZ58" i="17"/>
  <c r="BW103" i="17"/>
  <c r="BY69" i="17"/>
  <c r="BW62" i="17"/>
  <c r="CB62" i="17"/>
  <c r="CA103" i="17"/>
  <c r="CA62" i="17"/>
  <c r="CC69" i="17"/>
  <c r="CA67" i="17"/>
  <c r="CF62" i="17"/>
  <c r="CE62" i="17"/>
  <c r="CE67" i="17"/>
  <c r="CG69" i="17"/>
  <c r="CJ69" i="17"/>
  <c r="CI62" i="17"/>
  <c r="CJ62" i="17"/>
  <c r="CK69" i="17"/>
  <c r="CI103" i="17"/>
  <c r="CI67" i="17"/>
  <c r="CN62" i="17"/>
  <c r="CM62" i="17"/>
  <c r="CN69" i="17"/>
  <c r="CP58" i="17"/>
  <c r="CQ68" i="17" s="1"/>
  <c r="CM67" i="17"/>
  <c r="CR62" i="17"/>
  <c r="CQ103" i="17"/>
  <c r="CS69" i="17"/>
  <c r="CR69" i="17"/>
  <c r="CQ62" i="17"/>
  <c r="CQ67" i="17"/>
  <c r="H88" i="17"/>
  <c r="H8" i="17" s="1"/>
  <c r="J81" i="17"/>
  <c r="G104" i="17"/>
  <c r="L95" i="17"/>
  <c r="N81" i="17"/>
  <c r="Q94" i="17" s="1"/>
  <c r="L88" i="17"/>
  <c r="K104" i="17"/>
  <c r="K88" i="17"/>
  <c r="K79" i="17"/>
  <c r="P88" i="17"/>
  <c r="O93" i="17"/>
  <c r="P95" i="17"/>
  <c r="R81" i="17"/>
  <c r="U94" i="17" s="1"/>
  <c r="O88" i="17"/>
  <c r="T95" i="17"/>
  <c r="S88" i="17"/>
  <c r="V81" i="17"/>
  <c r="T88" i="17"/>
  <c r="U95" i="17"/>
  <c r="S104" i="17"/>
  <c r="S79" i="17"/>
  <c r="X88" i="17"/>
  <c r="X95" i="17"/>
  <c r="W104" i="17"/>
  <c r="W88" i="17"/>
  <c r="W79" i="17"/>
  <c r="AB95" i="17"/>
  <c r="AA88" i="17"/>
  <c r="AB88" i="17"/>
  <c r="AA93" i="17"/>
  <c r="AD81" i="17"/>
  <c r="AF94" i="17" s="1"/>
  <c r="AC95" i="17"/>
  <c r="AE88" i="17"/>
  <c r="AF88" i="17"/>
  <c r="AF95" i="17"/>
  <c r="AE93" i="17"/>
  <c r="AH81" i="17"/>
  <c r="AE79" i="17"/>
  <c r="AJ95" i="17"/>
  <c r="AI104" i="17"/>
  <c r="AK95" i="17"/>
  <c r="AJ88" i="17"/>
  <c r="AI88" i="17"/>
  <c r="AI93" i="17"/>
  <c r="AI79" i="17"/>
  <c r="AN88" i="17"/>
  <c r="AM104" i="17"/>
  <c r="AO95" i="17"/>
  <c r="AN95" i="17"/>
  <c r="AM93" i="17"/>
  <c r="AP81" i="17"/>
  <c r="AR94" i="17" s="1"/>
  <c r="AM79" i="17"/>
  <c r="AR95" i="17"/>
  <c r="AQ88" i="17"/>
  <c r="AR88" i="17"/>
  <c r="AQ104" i="17"/>
  <c r="AQ93" i="17"/>
  <c r="AS95" i="17"/>
  <c r="AU104" i="17"/>
  <c r="AV88" i="17"/>
  <c r="AU88" i="17"/>
  <c r="AU93" i="17"/>
  <c r="AW95" i="17"/>
  <c r="AZ95" i="17"/>
  <c r="AZ88" i="17"/>
  <c r="BB81" i="17"/>
  <c r="BC94" i="17" s="1"/>
  <c r="AY93" i="17"/>
  <c r="AY104" i="17"/>
  <c r="AY79" i="17"/>
  <c r="BC88" i="17"/>
  <c r="BE95" i="17"/>
  <c r="BD88" i="17"/>
  <c r="BF81" i="17"/>
  <c r="BH94" i="17" s="1"/>
  <c r="BD95" i="17"/>
  <c r="BC93" i="17"/>
  <c r="BH95" i="17"/>
  <c r="BG88" i="17"/>
  <c r="BI95" i="17"/>
  <c r="BJ81" i="17"/>
  <c r="BL94" i="17" s="1"/>
  <c r="BG93" i="17"/>
  <c r="BL88" i="17"/>
  <c r="BK88" i="17"/>
  <c r="BM95" i="17"/>
  <c r="BL95" i="17"/>
  <c r="BK93" i="17"/>
  <c r="BK104" i="17"/>
  <c r="BK79" i="17"/>
  <c r="BP88" i="17"/>
  <c r="BR81" i="17"/>
  <c r="BQ95" i="17"/>
  <c r="BO93" i="17"/>
  <c r="BP95" i="17"/>
  <c r="BO79" i="17"/>
  <c r="BT95" i="17"/>
  <c r="BS88" i="17"/>
  <c r="BU95" i="17"/>
  <c r="BS104" i="17"/>
  <c r="BT88" i="17"/>
  <c r="BS93" i="17"/>
  <c r="BX88" i="17"/>
  <c r="BW93" i="17"/>
  <c r="BW104" i="17"/>
  <c r="BY95" i="17"/>
  <c r="BX95" i="17"/>
  <c r="BW88" i="17"/>
  <c r="CB88" i="17"/>
  <c r="CD81" i="17"/>
  <c r="CF94" i="17" s="1"/>
  <c r="CB95" i="17"/>
  <c r="CA93" i="17"/>
  <c r="CA88" i="17"/>
  <c r="CA79" i="17"/>
  <c r="CF88" i="17"/>
  <c r="CE93" i="17"/>
  <c r="CE88" i="17"/>
  <c r="CE104" i="17"/>
  <c r="CF95" i="17"/>
  <c r="CE79" i="17"/>
  <c r="CJ88" i="17"/>
  <c r="CI93" i="17"/>
  <c r="CL81" i="17"/>
  <c r="CN94" i="17" s="1"/>
  <c r="CI79" i="17"/>
  <c r="CJ95" i="17"/>
  <c r="CI88" i="17"/>
  <c r="CN95" i="17"/>
  <c r="CM104" i="17"/>
  <c r="CM79" i="17"/>
  <c r="CN88" i="17"/>
  <c r="CP81" i="17"/>
  <c r="CR94" i="17" s="1"/>
  <c r="CM93" i="17"/>
  <c r="CR88" i="17"/>
  <c r="CR95" i="17"/>
  <c r="CQ93" i="17"/>
  <c r="G184" i="17"/>
  <c r="H169" i="17"/>
  <c r="H12" i="17" s="1"/>
  <c r="J165" i="17"/>
  <c r="M175" i="17" s="1"/>
  <c r="K174" i="17"/>
  <c r="M176" i="17"/>
  <c r="N165" i="17"/>
  <c r="M166" i="17" s="1"/>
  <c r="L169" i="17"/>
  <c r="L176" i="17"/>
  <c r="K169" i="17"/>
  <c r="P176" i="17"/>
  <c r="R165" i="17"/>
  <c r="Q166" i="17" s="1"/>
  <c r="Q176" i="17"/>
  <c r="P169" i="17"/>
  <c r="O169" i="17"/>
  <c r="T169" i="17"/>
  <c r="T176" i="17"/>
  <c r="S169" i="17"/>
  <c r="S174" i="17"/>
  <c r="V165" i="17"/>
  <c r="Y175" i="17" s="1"/>
  <c r="U176" i="17"/>
  <c r="W169" i="17"/>
  <c r="Y176" i="17"/>
  <c r="Z165" i="17"/>
  <c r="AA175" i="17" s="1"/>
  <c r="X169" i="17"/>
  <c r="W184" i="17"/>
  <c r="W185" i="17" s="1"/>
  <c r="X176" i="17"/>
  <c r="AB169" i="17"/>
  <c r="AB176" i="17"/>
  <c r="AA174" i="17"/>
  <c r="AC176" i="17"/>
  <c r="AD165" i="17"/>
  <c r="AE175" i="17" s="1"/>
  <c r="AA184" i="17"/>
  <c r="AF169" i="17"/>
  <c r="AE174" i="17"/>
  <c r="AG176" i="17"/>
  <c r="AF176" i="17"/>
  <c r="AE184" i="17"/>
  <c r="AE169" i="17"/>
  <c r="AJ176" i="17"/>
  <c r="AJ169" i="17"/>
  <c r="AI169" i="17"/>
  <c r="AK176" i="17"/>
  <c r="AL165" i="17"/>
  <c r="AO175" i="17" s="1"/>
  <c r="AI184" i="17"/>
  <c r="AP165" i="17"/>
  <c r="O160" i="23" s="1"/>
  <c r="AN169" i="17"/>
  <c r="AM169" i="17"/>
  <c r="AM174" i="17"/>
  <c r="AO176" i="17"/>
  <c r="AR176" i="17"/>
  <c r="AR169" i="17"/>
  <c r="AT165" i="17"/>
  <c r="AQ169" i="17"/>
  <c r="AS176" i="17"/>
  <c r="AV176" i="17"/>
  <c r="AV169" i="17"/>
  <c r="AU174" i="17"/>
  <c r="AU184" i="17"/>
  <c r="AX165" i="17"/>
  <c r="AW176" i="17"/>
  <c r="AZ169" i="17"/>
  <c r="AZ176" i="17"/>
  <c r="AY184" i="17"/>
  <c r="BA176" i="17"/>
  <c r="AY169" i="17"/>
  <c r="AY174" i="17"/>
  <c r="BD176" i="17"/>
  <c r="BF165" i="17"/>
  <c r="BC174" i="17"/>
  <c r="BH176" i="17"/>
  <c r="BG169" i="17"/>
  <c r="BG174" i="17"/>
  <c r="BH169" i="17"/>
  <c r="BJ165" i="17"/>
  <c r="BL175" i="17" s="1"/>
  <c r="BI176" i="17"/>
  <c r="BL169" i="17"/>
  <c r="BL176" i="17"/>
  <c r="BN165" i="17"/>
  <c r="BM176" i="17"/>
  <c r="BK169" i="17"/>
  <c r="BK184" i="17"/>
  <c r="BP176" i="17"/>
  <c r="BP169" i="17"/>
  <c r="BO174" i="17"/>
  <c r="BR165" i="17"/>
  <c r="V160" i="23" s="1"/>
  <c r="BS174" i="17"/>
  <c r="BT176" i="17"/>
  <c r="BS184" i="17"/>
  <c r="BV165" i="17"/>
  <c r="BX175" i="17" s="1"/>
  <c r="BX169" i="17"/>
  <c r="BX176" i="17"/>
  <c r="BW174" i="17"/>
  <c r="BY176" i="17"/>
  <c r="BZ165" i="17"/>
  <c r="CC175" i="17" s="1"/>
  <c r="BW184" i="17"/>
  <c r="CB169" i="17"/>
  <c r="CB176" i="17"/>
  <c r="CA174" i="17"/>
  <c r="CA169" i="17"/>
  <c r="CF169" i="17"/>
  <c r="CF176" i="17"/>
  <c r="CE174" i="17"/>
  <c r="CE184" i="17"/>
  <c r="CG176" i="17"/>
  <c r="CH165" i="17"/>
  <c r="CJ169" i="17"/>
  <c r="CJ176" i="17"/>
  <c r="CI169" i="17"/>
  <c r="CL165" i="17"/>
  <c r="CI174" i="17"/>
  <c r="CK176" i="17"/>
  <c r="CN176" i="17"/>
  <c r="CM174" i="17"/>
  <c r="CP165" i="17"/>
  <c r="CQ175" i="17" s="1"/>
  <c r="CN169" i="17"/>
  <c r="CO176" i="17"/>
  <c r="CM169" i="17"/>
  <c r="CR169" i="17"/>
  <c r="CR176" i="17"/>
  <c r="CQ174" i="17"/>
  <c r="CQ169" i="17"/>
  <c r="CT165" i="17"/>
  <c r="AC160" i="23" s="1"/>
  <c r="H210" i="17"/>
  <c r="H14" i="17" s="1"/>
  <c r="J206" i="17"/>
  <c r="L216" i="17" s="1"/>
  <c r="G220" i="17"/>
  <c r="L217" i="17"/>
  <c r="K210" i="17"/>
  <c r="N206" i="17"/>
  <c r="P216" i="17" s="1"/>
  <c r="M217" i="17"/>
  <c r="L210" i="17"/>
  <c r="K215" i="17"/>
  <c r="K219" i="17"/>
  <c r="P217" i="17"/>
  <c r="O215" i="17"/>
  <c r="Q217" i="17"/>
  <c r="O225" i="17"/>
  <c r="T210" i="17"/>
  <c r="V206" i="17"/>
  <c r="U207" i="17" s="1"/>
  <c r="T217" i="17"/>
  <c r="S215" i="17"/>
  <c r="S225" i="17"/>
  <c r="U217" i="17"/>
  <c r="S219" i="17"/>
  <c r="X210" i="17"/>
  <c r="X217" i="17"/>
  <c r="Z206" i="17"/>
  <c r="AB216" i="17" s="1"/>
  <c r="W215" i="17"/>
  <c r="Y217" i="17"/>
  <c r="W220" i="17"/>
  <c r="W210" i="17"/>
  <c r="AB210" i="17"/>
  <c r="AA210" i="17"/>
  <c r="AA215" i="17"/>
  <c r="AB217" i="17"/>
  <c r="AA225" i="17"/>
  <c r="AA226" i="17" s="1"/>
  <c r="AF210" i="17"/>
  <c r="AE215" i="17"/>
  <c r="AF217" i="17"/>
  <c r="AE210" i="17"/>
  <c r="AF216" i="17"/>
  <c r="AE225" i="17"/>
  <c r="AG217" i="17"/>
  <c r="AJ217" i="17"/>
  <c r="AI210" i="17"/>
  <c r="AJ210" i="17"/>
  <c r="AL206" i="17"/>
  <c r="AO216" i="17" s="1"/>
  <c r="AK217" i="17"/>
  <c r="AI215" i="17"/>
  <c r="AN217" i="17"/>
  <c r="AN210" i="17"/>
  <c r="AP206" i="17"/>
  <c r="O162" i="23" s="1"/>
  <c r="AO217" i="17"/>
  <c r="AM210" i="17"/>
  <c r="AM215" i="17"/>
  <c r="AR210" i="17"/>
  <c r="AQ215" i="17"/>
  <c r="AQ225" i="17"/>
  <c r="AT206" i="17"/>
  <c r="P162" i="23" s="1"/>
  <c r="AV210" i="17"/>
  <c r="AU210" i="17"/>
  <c r="AW217" i="17"/>
  <c r="AU215" i="17"/>
  <c r="AX206" i="17"/>
  <c r="BA216" i="17" s="1"/>
  <c r="AZ210" i="17"/>
  <c r="AY210" i="17"/>
  <c r="AZ217" i="17"/>
  <c r="BB206" i="17"/>
  <c r="BE216" i="17" s="1"/>
  <c r="AY225" i="17"/>
  <c r="BD210" i="17"/>
  <c r="BC215" i="17"/>
  <c r="BD217" i="17"/>
  <c r="BC225" i="17"/>
  <c r="BC210" i="17"/>
  <c r="BH210" i="17"/>
  <c r="BH217" i="17"/>
  <c r="BG215" i="17"/>
  <c r="BI217" i="17"/>
  <c r="BG210" i="17"/>
  <c r="BJ206" i="17"/>
  <c r="BK216" i="17" s="1"/>
  <c r="BL210" i="17"/>
  <c r="BK210" i="17"/>
  <c r="BM217" i="17"/>
  <c r="BK225" i="17"/>
  <c r="BN206" i="17"/>
  <c r="BP217" i="17"/>
  <c r="BO210" i="17"/>
  <c r="BP210" i="17"/>
  <c r="BO225" i="17"/>
  <c r="BR206" i="17"/>
  <c r="BQ217" i="17"/>
  <c r="BT217" i="17"/>
  <c r="BS215" i="17"/>
  <c r="BS225" i="17"/>
  <c r="BU217" i="17"/>
  <c r="BT210" i="17"/>
  <c r="BV206" i="17"/>
  <c r="BX216" i="17" s="1"/>
  <c r="BX210" i="17"/>
  <c r="BZ206" i="17"/>
  <c r="CA216" i="17" s="1"/>
  <c r="BW215" i="17"/>
  <c r="BY217" i="17"/>
  <c r="BW210" i="17"/>
  <c r="CB210" i="17"/>
  <c r="CD206" i="17"/>
  <c r="CA225" i="17"/>
  <c r="CC217" i="17"/>
  <c r="CF210" i="17"/>
  <c r="CF217" i="17"/>
  <c r="CE225" i="17"/>
  <c r="CH206" i="17"/>
  <c r="CE215" i="17"/>
  <c r="CG217" i="17"/>
  <c r="CJ210" i="17"/>
  <c r="CL206" i="17"/>
  <c r="CM216" i="17" s="1"/>
  <c r="CI225" i="17"/>
  <c r="CK217" i="17"/>
  <c r="CJ217" i="17"/>
  <c r="CI210" i="17"/>
  <c r="CN210" i="17"/>
  <c r="CM215" i="17"/>
  <c r="CP206" i="17"/>
  <c r="CM225" i="17"/>
  <c r="CO217" i="17"/>
  <c r="CR217" i="17"/>
  <c r="CQ210" i="17"/>
  <c r="CS217" i="17"/>
  <c r="CR210" i="17"/>
  <c r="CQ225" i="17"/>
  <c r="P85" i="17"/>
  <c r="O85" i="17"/>
  <c r="AB85" i="17"/>
  <c r="AA85" i="17"/>
  <c r="AR85" i="17"/>
  <c r="AQ85" i="17"/>
  <c r="AV85" i="17"/>
  <c r="AU85" i="17"/>
  <c r="BD85" i="17"/>
  <c r="BC85" i="17"/>
  <c r="BH85" i="17"/>
  <c r="BG85" i="17"/>
  <c r="BT85" i="17"/>
  <c r="BS85" i="17"/>
  <c r="BX85" i="17"/>
  <c r="BW85" i="17"/>
  <c r="CJ85" i="17"/>
  <c r="CI85" i="17"/>
  <c r="CM96" i="17"/>
  <c r="CM85" i="17"/>
  <c r="CQ96" i="17"/>
  <c r="CR85" i="17"/>
  <c r="CQ85" i="17"/>
  <c r="BH86" i="17"/>
  <c r="BG86" i="17"/>
  <c r="BL86" i="17"/>
  <c r="BK70" i="17"/>
  <c r="BK86" i="17"/>
  <c r="BO86" i="17"/>
  <c r="BP86" i="17"/>
  <c r="BS86" i="17"/>
  <c r="BT86" i="17"/>
  <c r="BS70" i="17"/>
  <c r="BX86" i="17"/>
  <c r="BW70" i="17"/>
  <c r="CB86" i="17"/>
  <c r="CA86" i="17"/>
  <c r="CA70" i="17"/>
  <c r="CE70" i="17"/>
  <c r="CF86" i="17"/>
  <c r="CI70" i="17"/>
  <c r="CJ86" i="17"/>
  <c r="CI86" i="17"/>
  <c r="CM70" i="17"/>
  <c r="CM86" i="17"/>
  <c r="CN86" i="17"/>
  <c r="DD80" i="17"/>
  <c r="CR86" i="17"/>
  <c r="CQ86" i="17"/>
  <c r="CQ70" i="17"/>
  <c r="CF87" i="17"/>
  <c r="CE87" i="17"/>
  <c r="CJ87" i="17"/>
  <c r="DC84" i="17"/>
  <c r="CI73" i="17"/>
  <c r="CI87" i="17"/>
  <c r="CM73" i="17"/>
  <c r="CN87" i="17"/>
  <c r="CM87" i="17"/>
  <c r="DD84" i="17"/>
  <c r="CQ87" i="17"/>
  <c r="DE84" i="17"/>
  <c r="CR87" i="17"/>
  <c r="CQ73" i="17"/>
  <c r="L53" i="23"/>
  <c r="K53" i="23"/>
  <c r="P53" i="23"/>
  <c r="O53" i="23"/>
  <c r="T53" i="23"/>
  <c r="S53" i="23"/>
  <c r="AB53" i="23"/>
  <c r="DD77" i="17" s="1"/>
  <c r="AA53" i="23"/>
  <c r="DC77" i="17" s="1"/>
  <c r="L54" i="23"/>
  <c r="AF70" i="11" s="1"/>
  <c r="K54" i="23"/>
  <c r="AA70" i="11" s="1"/>
  <c r="T54" i="23"/>
  <c r="BT70" i="11" s="1"/>
  <c r="S54" i="23"/>
  <c r="BO70" i="11" s="1"/>
  <c r="X54" i="23"/>
  <c r="CN70" i="11" s="1"/>
  <c r="W54" i="23"/>
  <c r="CI70" i="11" s="1"/>
  <c r="AB54" i="23"/>
  <c r="AA54" i="23"/>
  <c r="S224" i="8"/>
  <c r="N40" i="23"/>
  <c r="AP62" i="11" s="1"/>
  <c r="X36" i="23"/>
  <c r="CN58" i="11" s="1"/>
  <c r="CO58" i="11" s="1"/>
  <c r="N35" i="23"/>
  <c r="AP57" i="11" s="1"/>
  <c r="N68" i="23"/>
  <c r="N5" i="23" s="1"/>
  <c r="K462" i="23"/>
  <c r="N117" i="23"/>
  <c r="AP101" i="11" s="1"/>
  <c r="AA207" i="23"/>
  <c r="AB195" i="23"/>
  <c r="Q221" i="8"/>
  <c r="V189" i="1"/>
  <c r="T211" i="1"/>
  <c r="Z211" i="1"/>
  <c r="I221" i="8"/>
  <c r="AA117" i="1"/>
  <c r="H128" i="1"/>
  <c r="M128" i="1"/>
  <c r="K134" i="1"/>
  <c r="X134" i="1"/>
  <c r="X851" i="7" s="1"/>
  <c r="K138" i="1"/>
  <c r="N152" i="1"/>
  <c r="T152" i="1"/>
  <c r="X99" i="8"/>
  <c r="AM32" i="8"/>
  <c r="P59" i="8"/>
  <c r="T76" i="8"/>
  <c r="AM30" i="8"/>
  <c r="AA35" i="8"/>
  <c r="Q15" i="8"/>
  <c r="Y21" i="8"/>
  <c r="O16" i="8"/>
  <c r="W16" i="8"/>
  <c r="S20" i="8"/>
  <c r="AA20" i="8"/>
  <c r="AG196" i="17"/>
  <c r="AH196" i="17"/>
  <c r="AF191" i="17"/>
  <c r="AE150" i="17"/>
  <c r="AD224" i="17"/>
  <c r="AB183" i="17"/>
  <c r="AB155" i="17"/>
  <c r="AA196" i="17"/>
  <c r="Z130" i="17"/>
  <c r="W150" i="17"/>
  <c r="X130" i="17"/>
  <c r="S16" i="26"/>
  <c r="U224" i="17"/>
  <c r="Y196" i="17"/>
  <c r="S150" i="17"/>
  <c r="T157" i="17"/>
  <c r="Q143" i="17"/>
  <c r="N16" i="26"/>
  <c r="O220" i="17"/>
  <c r="N191" i="17"/>
  <c r="N224" i="17"/>
  <c r="L16" i="26"/>
  <c r="O135" i="17"/>
  <c r="O10" i="17" s="1"/>
  <c r="R126" i="17"/>
  <c r="M224" i="17"/>
  <c r="M219" i="17"/>
  <c r="M191" i="17"/>
  <c r="N126" i="17"/>
  <c r="N143" i="17"/>
  <c r="N144" i="17" s="1"/>
  <c r="N135" i="17"/>
  <c r="N10" i="17" s="1"/>
  <c r="CT81" i="17"/>
  <c r="G226" i="17"/>
  <c r="CE73" i="17"/>
  <c r="BW87" i="17"/>
  <c r="BO87" i="17"/>
  <c r="BG87" i="17"/>
  <c r="AY87" i="17"/>
  <c r="AQ87" i="17"/>
  <c r="AI87" i="17"/>
  <c r="AA87" i="17"/>
  <c r="S87" i="17"/>
  <c r="K87" i="17"/>
  <c r="DE80" i="17"/>
  <c r="CE86" i="17"/>
  <c r="CQ79" i="17"/>
  <c r="DD76" i="17"/>
  <c r="DC76" i="17"/>
  <c r="BS79" i="17"/>
  <c r="BC79" i="17"/>
  <c r="G79" i="17"/>
  <c r="CQ215" i="17"/>
  <c r="CM210" i="17"/>
  <c r="CI215" i="17"/>
  <c r="CE210" i="17"/>
  <c r="CA215" i="17"/>
  <c r="BA217" i="17"/>
  <c r="AQ210" i="17"/>
  <c r="AM225" i="17"/>
  <c r="AI225" i="17"/>
  <c r="AH206" i="17"/>
  <c r="AG207" i="17" s="1"/>
  <c r="CD165" i="17"/>
  <c r="CF175" i="17" s="1"/>
  <c r="BW169" i="17"/>
  <c r="BQ176" i="17"/>
  <c r="BC184" i="17"/>
  <c r="CS95" i="17"/>
  <c r="CM88" i="17"/>
  <c r="CK95" i="17"/>
  <c r="CC95" i="17"/>
  <c r="BO88" i="17"/>
  <c r="BN81" i="17"/>
  <c r="BP94" i="17" s="1"/>
  <c r="BG104" i="17"/>
  <c r="BC104" i="17"/>
  <c r="BA95" i="17"/>
  <c r="AG95" i="17"/>
  <c r="W93" i="17"/>
  <c r="S93" i="17"/>
  <c r="Q95" i="17"/>
  <c r="CO69" i="17"/>
  <c r="CM103" i="17"/>
  <c r="CL58" i="17"/>
  <c r="CN68" i="17" s="1"/>
  <c r="CE103" i="17"/>
  <c r="AL58" i="17"/>
  <c r="AH58" i="17"/>
  <c r="AA103" i="17"/>
  <c r="Y69" i="17"/>
  <c r="BC48" i="17"/>
  <c r="AY43" i="17"/>
  <c r="AU43" i="17"/>
  <c r="AQ43" i="17"/>
  <c r="AM102" i="17"/>
  <c r="AI48" i="17"/>
  <c r="AH39" i="17"/>
  <c r="AK49" i="17" s="1"/>
  <c r="AD39" i="17"/>
  <c r="AE49" i="17" s="1"/>
  <c r="O48" i="17"/>
  <c r="CQ232" i="17"/>
  <c r="CQ24" i="17" s="1"/>
  <c r="BB228" i="17"/>
  <c r="AP228" i="17"/>
  <c r="U239" i="17"/>
  <c r="BL217" i="17"/>
  <c r="AN176" i="17"/>
  <c r="BH88" i="17"/>
  <c r="L62" i="17"/>
  <c r="CB43" i="17"/>
  <c r="BX50" i="17"/>
  <c r="T50" i="17"/>
  <c r="AN232" i="17"/>
  <c r="AN20" i="17" s="1"/>
  <c r="AJ232" i="17"/>
  <c r="Q118" i="17"/>
  <c r="S1138" i="7"/>
  <c r="X562" i="7"/>
  <c r="Y545" i="7"/>
  <c r="T562" i="7"/>
  <c r="U562" i="7"/>
  <c r="Q562" i="7"/>
  <c r="P562" i="7"/>
  <c r="L562" i="7"/>
  <c r="M562" i="7"/>
  <c r="I562" i="7"/>
  <c r="H562" i="7"/>
  <c r="W557" i="7"/>
  <c r="W561" i="7" s="1"/>
  <c r="X557" i="7"/>
  <c r="X559" i="7"/>
  <c r="T557" i="7"/>
  <c r="T561" i="7" s="1"/>
  <c r="S557" i="7"/>
  <c r="S561" i="7" s="1"/>
  <c r="P557" i="7"/>
  <c r="P561" i="7" s="1"/>
  <c r="O557" i="7"/>
  <c r="O561" i="7" s="1"/>
  <c r="K557" i="7"/>
  <c r="K561" i="7" s="1"/>
  <c r="L557" i="7"/>
  <c r="L561" i="7" s="1"/>
  <c r="W556" i="7"/>
  <c r="V556" i="7"/>
  <c r="S556" i="7"/>
  <c r="R556" i="7"/>
  <c r="N556" i="7"/>
  <c r="O556" i="7"/>
  <c r="K556" i="7"/>
  <c r="J556" i="7"/>
  <c r="U568" i="7"/>
  <c r="V568" i="7"/>
  <c r="V569" i="7"/>
  <c r="R568" i="7"/>
  <c r="Q568" i="7"/>
  <c r="N568" i="7"/>
  <c r="M568" i="7"/>
  <c r="J568" i="7"/>
  <c r="I568" i="7"/>
  <c r="X555" i="7"/>
  <c r="Y541" i="7"/>
  <c r="U555" i="7"/>
  <c r="T555" i="7"/>
  <c r="Q555" i="7"/>
  <c r="P555" i="7"/>
  <c r="M555" i="7"/>
  <c r="L555" i="7"/>
  <c r="H555" i="7"/>
  <c r="I555" i="7"/>
  <c r="AB58" i="8"/>
  <c r="AL29" i="8"/>
  <c r="AA58" i="8"/>
  <c r="AB47" i="8"/>
  <c r="AM29" i="8"/>
  <c r="AA47" i="8"/>
  <c r="X58" i="8"/>
  <c r="AH29" i="8"/>
  <c r="X47" i="8"/>
  <c r="W47" i="8"/>
  <c r="W58" i="8"/>
  <c r="AI29" i="8"/>
  <c r="T58" i="8"/>
  <c r="T47" i="8"/>
  <c r="S58" i="8"/>
  <c r="S47" i="8"/>
  <c r="P58" i="8"/>
  <c r="O47" i="8"/>
  <c r="P47" i="8"/>
  <c r="O58" i="8"/>
  <c r="L58" i="8"/>
  <c r="L47" i="8"/>
  <c r="K47" i="8"/>
  <c r="L150" i="17"/>
  <c r="J183" i="17"/>
  <c r="J185" i="17" s="1"/>
  <c r="M118" i="17"/>
  <c r="L111" i="17"/>
  <c r="K58" i="8"/>
  <c r="K298" i="7"/>
  <c r="J298" i="7"/>
  <c r="W298" i="7"/>
  <c r="X298" i="7"/>
  <c r="P298" i="7"/>
  <c r="O298" i="7"/>
  <c r="X305" i="7"/>
  <c r="W305" i="7"/>
  <c r="T305" i="7"/>
  <c r="S305" i="7"/>
  <c r="P305" i="7"/>
  <c r="O305" i="7"/>
  <c r="L305" i="7"/>
  <c r="K305" i="7"/>
  <c r="S298" i="7"/>
  <c r="W562" i="7"/>
  <c r="V562" i="7"/>
  <c r="R562" i="7"/>
  <c r="S562" i="7"/>
  <c r="O562" i="7"/>
  <c r="N562" i="7"/>
  <c r="J562" i="7"/>
  <c r="K562" i="7"/>
  <c r="AG142" i="17"/>
  <c r="AG116" i="17"/>
  <c r="K111" i="17"/>
  <c r="O116" i="17"/>
  <c r="AV118" i="17"/>
  <c r="AU142" i="17"/>
  <c r="AV111" i="17"/>
  <c r="V111" i="17"/>
  <c r="W111" i="17"/>
  <c r="V116" i="17"/>
  <c r="Z116" i="17"/>
  <c r="AR142" i="17"/>
  <c r="AR116" i="17"/>
  <c r="AK116" i="17"/>
  <c r="AK118" i="17"/>
  <c r="U116" i="17"/>
  <c r="Y116" i="17"/>
  <c r="U118" i="17"/>
  <c r="T111" i="17"/>
  <c r="S142" i="17"/>
  <c r="T118" i="17"/>
  <c r="S116" i="17"/>
  <c r="AB116" i="17"/>
  <c r="AF116" i="17"/>
  <c r="AB142" i="17"/>
  <c r="BA142" i="17"/>
  <c r="BA118" i="17"/>
  <c r="BA111" i="17"/>
  <c r="BB107" i="17"/>
  <c r="AC111" i="17"/>
  <c r="AC118" i="17"/>
  <c r="BD142" i="17"/>
  <c r="BD116" i="17"/>
  <c r="BJ116" i="17"/>
  <c r="I142" i="17"/>
  <c r="I144" i="17" s="1"/>
  <c r="M116" i="17"/>
  <c r="M239" i="17"/>
  <c r="Q232" i="17"/>
  <c r="R232" i="17"/>
  <c r="U232" i="17"/>
  <c r="V232" i="17"/>
  <c r="AD232" i="17"/>
  <c r="AC232" i="17"/>
  <c r="AK239" i="17"/>
  <c r="AL232" i="17"/>
  <c r="AT232" i="17"/>
  <c r="AS239" i="17"/>
  <c r="AW232" i="17"/>
  <c r="AX232" i="17"/>
  <c r="BA239" i="17"/>
  <c r="BJ232" i="17"/>
  <c r="BI237" i="17"/>
  <c r="BM237" i="17"/>
  <c r="BQ237" i="17"/>
  <c r="BR232" i="17"/>
  <c r="BU239" i="17"/>
  <c r="CC232" i="17"/>
  <c r="CD232" i="17"/>
  <c r="CG232" i="17"/>
  <c r="CH232" i="17"/>
  <c r="CL232" i="17"/>
  <c r="CK237" i="17"/>
  <c r="CK1" i="17" s="1"/>
  <c r="CP232" i="17"/>
  <c r="CO239" i="17"/>
  <c r="M48" i="17"/>
  <c r="Q48" i="17"/>
  <c r="V43" i="17"/>
  <c r="U102" i="17"/>
  <c r="U305" i="7"/>
  <c r="V557" i="7"/>
  <c r="V559" i="7"/>
  <c r="U557" i="7"/>
  <c r="U561" i="7" s="1"/>
  <c r="R557" i="7"/>
  <c r="R561" i="7" s="1"/>
  <c r="Q557" i="7"/>
  <c r="Q561" i="7" s="1"/>
  <c r="N557" i="7"/>
  <c r="N561" i="7" s="1"/>
  <c r="M557" i="7"/>
  <c r="M561" i="7" s="1"/>
  <c r="J557" i="7"/>
  <c r="J561" i="7" s="1"/>
  <c r="I557" i="7"/>
  <c r="I561" i="7" s="1"/>
  <c r="Y542" i="7"/>
  <c r="X556" i="7"/>
  <c r="T556" i="7"/>
  <c r="U556" i="7"/>
  <c r="Q556" i="7"/>
  <c r="P556" i="7"/>
  <c r="L556" i="7"/>
  <c r="M556" i="7"/>
  <c r="I556" i="7"/>
  <c r="H556" i="7"/>
  <c r="X568" i="7"/>
  <c r="X569" i="7"/>
  <c r="S568" i="7"/>
  <c r="T568" i="7"/>
  <c r="P568" i="7"/>
  <c r="O568" i="7"/>
  <c r="K568" i="7"/>
  <c r="L568" i="7"/>
  <c r="W555" i="7"/>
  <c r="V555" i="7"/>
  <c r="S555" i="7"/>
  <c r="R555" i="7"/>
  <c r="O555" i="7"/>
  <c r="N555" i="7"/>
  <c r="K555" i="7"/>
  <c r="J555" i="7"/>
  <c r="AA112" i="8"/>
  <c r="W112" i="8"/>
  <c r="S112" i="8"/>
  <c r="O112" i="8"/>
  <c r="K112" i="8"/>
  <c r="AK29" i="8"/>
  <c r="Z47" i="8"/>
  <c r="Y47" i="8"/>
  <c r="Z58" i="8"/>
  <c r="AJ29" i="8"/>
  <c r="Y58" i="8"/>
  <c r="V58" i="8"/>
  <c r="V47" i="8"/>
  <c r="U47" i="8"/>
  <c r="AG29" i="8"/>
  <c r="R58" i="8"/>
  <c r="R47" i="8"/>
  <c r="Q47" i="8"/>
  <c r="Q58" i="8"/>
  <c r="N47" i="8"/>
  <c r="M47" i="8"/>
  <c r="N58" i="8"/>
  <c r="M58" i="8"/>
  <c r="J58" i="8"/>
  <c r="J47" i="8"/>
  <c r="I58" i="8"/>
  <c r="I47" i="8"/>
  <c r="Z256" i="1"/>
  <c r="V256" i="1"/>
  <c r="R256" i="1"/>
  <c r="N256" i="1"/>
  <c r="I298" i="7"/>
  <c r="H298" i="7"/>
  <c r="Z298" i="7"/>
  <c r="AM298" i="7" s="1"/>
  <c r="Y298" i="7"/>
  <c r="U298" i="7"/>
  <c r="V298" i="7"/>
  <c r="R298" i="7"/>
  <c r="Q298" i="7"/>
  <c r="N298" i="7"/>
  <c r="M298" i="7"/>
  <c r="J305" i="7"/>
  <c r="I305" i="7"/>
  <c r="Y305" i="7"/>
  <c r="Z305" i="7"/>
  <c r="AM305" i="7" s="1"/>
  <c r="R305" i="7"/>
  <c r="Q305" i="7"/>
  <c r="N305" i="7"/>
  <c r="M305" i="7"/>
  <c r="AB244" i="1"/>
  <c r="Z413" i="7"/>
  <c r="AM413" i="7" s="1"/>
  <c r="AM410" i="7"/>
  <c r="Z407" i="7"/>
  <c r="AM407" i="7" s="1"/>
  <c r="Z416" i="7"/>
  <c r="AM416" i="7" s="1"/>
  <c r="O407" i="7"/>
  <c r="O413" i="7"/>
  <c r="Y416" i="7"/>
  <c r="Y413" i="7"/>
  <c r="Y395" i="7"/>
  <c r="Z393" i="7"/>
  <c r="T407" i="7"/>
  <c r="T413" i="7"/>
  <c r="Y421" i="7"/>
  <c r="Y420" i="7"/>
  <c r="Y423" i="7" s="1"/>
  <c r="X420" i="7"/>
  <c r="X423" i="7" s="1"/>
  <c r="X421" i="7"/>
  <c r="AB101" i="7"/>
  <c r="AA103" i="7"/>
  <c r="S421" i="7"/>
  <c r="S420" i="7"/>
  <c r="S423" i="7" s="1"/>
  <c r="S426" i="7" s="1"/>
  <c r="P421" i="7"/>
  <c r="P420" i="7"/>
  <c r="P423" i="7" s="1"/>
  <c r="P426" i="7" s="1"/>
  <c r="AC413" i="7"/>
  <c r="AC407" i="7"/>
  <c r="I220" i="17"/>
  <c r="G35" i="8"/>
  <c r="AA442" i="7"/>
  <c r="AM442" i="7"/>
  <c r="AE416" i="7"/>
  <c r="AE407" i="7"/>
  <c r="K248" i="1"/>
  <c r="J256" i="1"/>
  <c r="I119" i="20"/>
  <c r="J121" i="20"/>
  <c r="AT64" i="17"/>
  <c r="AZ115" i="2"/>
  <c r="J120" i="20"/>
  <c r="CX59" i="17"/>
  <c r="AE13" i="23"/>
  <c r="AD59" i="23"/>
  <c r="CD64" i="17"/>
  <c r="I103" i="20"/>
  <c r="Z103" i="20" s="1"/>
  <c r="AY121" i="2"/>
  <c r="U63" i="11"/>
  <c r="AT143" i="2"/>
  <c r="BV234" i="17"/>
  <c r="BV3" i="17" s="1"/>
  <c r="BB116" i="2"/>
  <c r="L104" i="20"/>
  <c r="AC104" i="20" s="1"/>
  <c r="I121" i="20"/>
  <c r="Z212" i="17"/>
  <c r="AH212" i="17"/>
  <c r="CD152" i="17"/>
  <c r="AP152" i="17"/>
  <c r="I122" i="20"/>
  <c r="AY271" i="2"/>
  <c r="BA116" i="2"/>
  <c r="K104" i="20"/>
  <c r="AB104" i="20" s="1"/>
  <c r="AE100" i="11"/>
  <c r="AD212" i="17"/>
  <c r="CR57" i="11"/>
  <c r="F339" i="20"/>
  <c r="W339" i="20" s="1"/>
  <c r="AU188" i="2"/>
  <c r="R171" i="17"/>
  <c r="DJ15" i="6"/>
  <c r="DI13" i="6"/>
  <c r="I120" i="20"/>
  <c r="AY269" i="2"/>
  <c r="BB115" i="2"/>
  <c r="L103" i="20"/>
  <c r="AC103" i="20" s="1"/>
  <c r="AC207" i="17"/>
  <c r="AZ116" i="2"/>
  <c r="J104" i="20"/>
  <c r="AA104" i="20" s="1"/>
  <c r="J110" i="20"/>
  <c r="AA110" i="20" s="1"/>
  <c r="AT234" i="17"/>
  <c r="AZ123" i="2"/>
  <c r="J112" i="20"/>
  <c r="AA112" i="20" s="1"/>
  <c r="I104" i="20"/>
  <c r="Z104" i="20" s="1"/>
  <c r="H181" i="20"/>
  <c r="Y181" i="20" s="1"/>
  <c r="G503" i="20"/>
  <c r="X503" i="20" s="1"/>
  <c r="AV143" i="2"/>
  <c r="CC66" i="11"/>
  <c r="CC64" i="11"/>
  <c r="CH64" i="11"/>
  <c r="CC57" i="11"/>
  <c r="AT87" i="11"/>
  <c r="AE15" i="11"/>
  <c r="CM100" i="11"/>
  <c r="V152" i="17"/>
  <c r="Z152" i="17"/>
  <c r="BB152" i="17"/>
  <c r="BF152" i="17"/>
  <c r="AD193" i="17"/>
  <c r="CL234" i="17"/>
  <c r="CL3" i="17" s="1"/>
  <c r="AT188" i="2"/>
  <c r="G339" i="20"/>
  <c r="X339" i="20" s="1"/>
  <c r="AE28" i="23"/>
  <c r="I112" i="20"/>
  <c r="Z112" i="20" s="1"/>
  <c r="AY123" i="2"/>
  <c r="DP63" i="6"/>
  <c r="AV63" i="6"/>
  <c r="CH234" i="17"/>
  <c r="CH3" i="17" s="1"/>
  <c r="CL193" i="17"/>
  <c r="Z63" i="11"/>
  <c r="Z57" i="11"/>
  <c r="J118" i="20"/>
  <c r="AZ267" i="2"/>
  <c r="CH100" i="11"/>
  <c r="I118" i="20"/>
  <c r="CF33" i="6" l="1"/>
  <c r="X720" i="7"/>
  <c r="AC405" i="23"/>
  <c r="N1042" i="7"/>
  <c r="R672" i="7"/>
  <c r="DK116" i="11"/>
  <c r="DL116" i="11" s="1"/>
  <c r="AC352" i="7"/>
  <c r="Y177" i="7"/>
  <c r="U505" i="7"/>
  <c r="AM875" i="7"/>
  <c r="AF316" i="2"/>
  <c r="AQ69" i="20" s="1"/>
  <c r="AP69" i="20"/>
  <c r="AP70" i="20"/>
  <c r="Y611" i="7"/>
  <c r="J153" i="7"/>
  <c r="W1112" i="7"/>
  <c r="J190" i="7"/>
  <c r="U673" i="7"/>
  <c r="AD209" i="8"/>
  <c r="AP60" i="6"/>
  <c r="S612" i="7"/>
  <c r="H611" i="7"/>
  <c r="T45" i="7"/>
  <c r="V97" i="25"/>
  <c r="Q613" i="7"/>
  <c r="N998" i="7"/>
  <c r="N1012" i="7" s="1"/>
  <c r="AH21" i="26"/>
  <c r="EB45" i="6"/>
  <c r="AF322" i="2"/>
  <c r="AG294" i="2"/>
  <c r="AN237" i="20"/>
  <c r="AM230" i="20"/>
  <c r="AM233" i="20"/>
  <c r="AM238" i="20"/>
  <c r="AF319" i="2"/>
  <c r="AO237" i="20" s="1"/>
  <c r="W33" i="25"/>
  <c r="N126" i="7"/>
  <c r="N114" i="7" s="1"/>
  <c r="R678" i="7"/>
  <c r="N1065" i="7"/>
  <c r="V25" i="7"/>
  <c r="W26" i="7" s="1"/>
  <c r="AB45" i="7"/>
  <c r="AE30" i="6"/>
  <c r="T39" i="25"/>
  <c r="U1058" i="7"/>
  <c r="BC117" i="11"/>
  <c r="K76" i="25"/>
  <c r="O600" i="7"/>
  <c r="Y615" i="7"/>
  <c r="AV33" i="6"/>
  <c r="BH9" i="6"/>
  <c r="P464" i="7"/>
  <c r="AB39" i="25"/>
  <c r="T610" i="7"/>
  <c r="EA6" i="6"/>
  <c r="Q20" i="7"/>
  <c r="Q21" i="7" s="1"/>
  <c r="O354" i="7"/>
  <c r="Y890" i="7"/>
  <c r="Z455" i="23"/>
  <c r="V534" i="7"/>
  <c r="EH11" i="6"/>
  <c r="EH60" i="6" s="1"/>
  <c r="L537" i="7"/>
  <c r="AJ27" i="6"/>
  <c r="AI27" i="6" s="1"/>
  <c r="AI76" i="6" s="1"/>
  <c r="J457" i="23"/>
  <c r="L860" i="7"/>
  <c r="M860" i="7"/>
  <c r="H841" i="7"/>
  <c r="I457" i="23"/>
  <c r="O1065" i="7"/>
  <c r="U679" i="7"/>
  <c r="CA28" i="6"/>
  <c r="AR8" i="6"/>
  <c r="J842" i="7"/>
  <c r="AA616" i="7"/>
  <c r="AC229" i="8"/>
  <c r="EC33" i="6"/>
  <c r="AC269" i="23"/>
  <c r="W105" i="23"/>
  <c r="AC93" i="7"/>
  <c r="AC96" i="7" s="1"/>
  <c r="U308" i="7"/>
  <c r="U309" i="7" s="1"/>
  <c r="CM35" i="6"/>
  <c r="CS84" i="6" s="1"/>
  <c r="M24" i="6"/>
  <c r="M530" i="7"/>
  <c r="BA86" i="11"/>
  <c r="BB86" i="11" s="1"/>
  <c r="CC115" i="11"/>
  <c r="BD10" i="6"/>
  <c r="O1096" i="7"/>
  <c r="S866" i="7"/>
  <c r="S860" i="7"/>
  <c r="AB725" i="7"/>
  <c r="AB736" i="7"/>
  <c r="Y964" i="7"/>
  <c r="Y975" i="7" s="1"/>
  <c r="Y339" i="7"/>
  <c r="Y360" i="7"/>
  <c r="Q694" i="7"/>
  <c r="Q722" i="7" s="1"/>
  <c r="BP9" i="6"/>
  <c r="BV58" i="6" s="1"/>
  <c r="L611" i="7"/>
  <c r="AJ28" i="6"/>
  <c r="L1059" i="7"/>
  <c r="F185" i="20"/>
  <c r="W185" i="20" s="1"/>
  <c r="AU145" i="2"/>
  <c r="AB537" i="7"/>
  <c r="EB27" i="6"/>
  <c r="EA27" i="6" s="1"/>
  <c r="AB203" i="7"/>
  <c r="D244" i="2"/>
  <c r="F486" i="20" s="1"/>
  <c r="W486" i="20" s="1"/>
  <c r="AB720" i="7"/>
  <c r="S822" i="7"/>
  <c r="AB109" i="25"/>
  <c r="W346" i="7"/>
  <c r="CX30" i="6"/>
  <c r="H339" i="7"/>
  <c r="H964" i="7"/>
  <c r="H975" i="7" s="1"/>
  <c r="L10" i="6"/>
  <c r="I146" i="7"/>
  <c r="AA167" i="7"/>
  <c r="DV8" i="6"/>
  <c r="P81" i="25"/>
  <c r="P1044" i="7"/>
  <c r="AA47" i="7"/>
  <c r="C202" i="2"/>
  <c r="AT202" i="2" s="1"/>
  <c r="R64" i="7"/>
  <c r="R994" i="7"/>
  <c r="R1008" i="7" s="1"/>
  <c r="J1105" i="7"/>
  <c r="J614" i="7"/>
  <c r="L126" i="7"/>
  <c r="L114" i="7" s="1"/>
  <c r="M123" i="7" s="1"/>
  <c r="L45" i="7"/>
  <c r="AI6" i="6"/>
  <c r="L39" i="25"/>
  <c r="J1080" i="7"/>
  <c r="J613" i="7"/>
  <c r="Y28" i="6"/>
  <c r="W28" i="6" s="1"/>
  <c r="Y1044" i="7"/>
  <c r="T81" i="7"/>
  <c r="T87" i="7" s="1"/>
  <c r="AI116" i="11"/>
  <c r="H46" i="7"/>
  <c r="Z33" i="6"/>
  <c r="AF82" i="6" s="1"/>
  <c r="V46" i="7"/>
  <c r="AB1058" i="7"/>
  <c r="U269" i="23"/>
  <c r="AC474" i="7"/>
  <c r="EH24" i="6" s="1"/>
  <c r="EH73" i="6" s="1"/>
  <c r="W610" i="7"/>
  <c r="EC30" i="6"/>
  <c r="AC106" i="23"/>
  <c r="L324" i="7"/>
  <c r="L352" i="7" s="1"/>
  <c r="T126" i="7"/>
  <c r="T114" i="7" s="1"/>
  <c r="X110" i="25"/>
  <c r="Q1080" i="7"/>
  <c r="Y1065" i="7"/>
  <c r="J405" i="23"/>
  <c r="V327" i="7"/>
  <c r="V358" i="7" s="1"/>
  <c r="H1059" i="7"/>
  <c r="V269" i="23"/>
  <c r="K336" i="7"/>
  <c r="AB1122" i="7"/>
  <c r="AM520" i="7"/>
  <c r="J1058" i="7"/>
  <c r="AP31" i="6"/>
  <c r="AO31" i="6" s="1"/>
  <c r="R65" i="25"/>
  <c r="BW116" i="11"/>
  <c r="S183" i="7"/>
  <c r="Y335" i="7"/>
  <c r="Z83" i="25"/>
  <c r="X221" i="7"/>
  <c r="K612" i="7"/>
  <c r="BP32" i="6"/>
  <c r="D157" i="2"/>
  <c r="D323" i="2" s="1"/>
  <c r="Z337" i="7"/>
  <c r="AM337" i="7" s="1"/>
  <c r="T814" i="7"/>
  <c r="M1063" i="7"/>
  <c r="AB530" i="7"/>
  <c r="S105" i="23"/>
  <c r="CR8" i="11"/>
  <c r="AT101" i="11"/>
  <c r="AY101" i="11"/>
  <c r="F218" i="2"/>
  <c r="AW218" i="2" s="1"/>
  <c r="AT8" i="11"/>
  <c r="R85" i="6"/>
  <c r="BT85" i="6"/>
  <c r="BZ85" i="6"/>
  <c r="AJ95" i="6"/>
  <c r="AD85" i="25"/>
  <c r="AV101" i="11"/>
  <c r="AW101" i="11" s="1"/>
  <c r="AE199" i="23"/>
  <c r="DN71" i="11"/>
  <c r="AJ34" i="11"/>
  <c r="EP38" i="6"/>
  <c r="EP87" i="6" s="1"/>
  <c r="BD101" i="11"/>
  <c r="BA101" i="11"/>
  <c r="BB101" i="11" s="1"/>
  <c r="AO34" i="11"/>
  <c r="AU150" i="2"/>
  <c r="E504" i="20"/>
  <c r="V504" i="20" s="1"/>
  <c r="D317" i="2"/>
  <c r="BZ101" i="11"/>
  <c r="CA101" i="11" s="1"/>
  <c r="BI95" i="6"/>
  <c r="N330" i="7"/>
  <c r="BJ7" i="11"/>
  <c r="BK7" i="11" s="1"/>
  <c r="R141" i="23" s="1"/>
  <c r="BJ20" i="11" s="1"/>
  <c r="N796" i="7"/>
  <c r="AW40" i="6" s="1"/>
  <c r="Q331" i="7"/>
  <c r="T12" i="7"/>
  <c r="AC102" i="7"/>
  <c r="L795" i="7"/>
  <c r="L1074" i="7" s="1"/>
  <c r="V796" i="7"/>
  <c r="CS40" i="6" s="1"/>
  <c r="N46" i="6"/>
  <c r="P46" i="6" s="1"/>
  <c r="V93" i="25"/>
  <c r="O438" i="23"/>
  <c r="H182" i="8"/>
  <c r="Q850" i="7"/>
  <c r="Q863" i="7" s="1"/>
  <c r="Z350" i="23"/>
  <c r="K235" i="7"/>
  <c r="K61" i="25" s="1"/>
  <c r="M42" i="7"/>
  <c r="ED46" i="6"/>
  <c r="EF46" i="6" s="1"/>
  <c r="X1001" i="7"/>
  <c r="X1015" i="7" s="1"/>
  <c r="Q851" i="7"/>
  <c r="BO47" i="6" s="1"/>
  <c r="I850" i="7"/>
  <c r="I1070" i="7" s="1"/>
  <c r="I1071" i="7" s="1"/>
  <c r="I67" i="25" s="1"/>
  <c r="J235" i="7"/>
  <c r="J252" i="7" s="1"/>
  <c r="U239" i="23"/>
  <c r="U256" i="23" s="1"/>
  <c r="DH34" i="11"/>
  <c r="DI34" i="11" s="1"/>
  <c r="DJ34" i="11" s="1"/>
  <c r="AA230" i="7"/>
  <c r="AA249" i="7" s="1"/>
  <c r="Y182" i="8"/>
  <c r="L796" i="7"/>
  <c r="AK40" i="6" s="1"/>
  <c r="W795" i="7"/>
  <c r="W1074" i="7" s="1"/>
  <c r="BT16" i="11"/>
  <c r="BT115" i="11" s="1"/>
  <c r="BU115" i="11" s="1"/>
  <c r="BV115" i="11" s="1"/>
  <c r="U851" i="7"/>
  <c r="U1087" i="7" s="1"/>
  <c r="H227" i="7"/>
  <c r="H74" i="25" s="1"/>
  <c r="O795" i="7"/>
  <c r="BB40" i="6" s="1"/>
  <c r="AI95" i="6"/>
  <c r="BX115" i="11"/>
  <c r="J61" i="25"/>
  <c r="V346" i="7"/>
  <c r="S255" i="7"/>
  <c r="S256" i="7" s="1"/>
  <c r="V503" i="7"/>
  <c r="U50" i="7"/>
  <c r="CB21" i="6"/>
  <c r="H150" i="7"/>
  <c r="BY8" i="11"/>
  <c r="BZ8" i="11" s="1"/>
  <c r="CA8" i="11" s="1"/>
  <c r="CT46" i="6"/>
  <c r="CV46" i="6" s="1"/>
  <c r="O533" i="7"/>
  <c r="BP21" i="6"/>
  <c r="S1017" i="7"/>
  <c r="V192" i="7"/>
  <c r="J106" i="23"/>
  <c r="X12" i="7"/>
  <c r="X13" i="7" s="1"/>
  <c r="Y14" i="7" s="1"/>
  <c r="I281" i="23"/>
  <c r="Q319" i="23"/>
  <c r="Y821" i="7"/>
  <c r="M43" i="25"/>
  <c r="N717" i="7"/>
  <c r="X241" i="23"/>
  <c r="X258" i="23" s="1"/>
  <c r="S155" i="7"/>
  <c r="R1064" i="7"/>
  <c r="K464" i="7"/>
  <c r="N80" i="25"/>
  <c r="S89" i="25"/>
  <c r="W76" i="25"/>
  <c r="U158" i="7"/>
  <c r="T11" i="11"/>
  <c r="S997" i="7"/>
  <c r="S1011" i="7" s="1"/>
  <c r="W816" i="7"/>
  <c r="R500" i="7"/>
  <c r="W93" i="7"/>
  <c r="W96" i="7" s="1"/>
  <c r="CH42" i="6"/>
  <c r="CH91" i="6" s="1"/>
  <c r="DA11" i="11"/>
  <c r="P714" i="7"/>
  <c r="AN117" i="11"/>
  <c r="I405" i="23"/>
  <c r="K335" i="7"/>
  <c r="K12" i="26"/>
  <c r="I106" i="23"/>
  <c r="N691" i="7"/>
  <c r="Q997" i="7"/>
  <c r="Q1011" i="7" s="1"/>
  <c r="U964" i="7"/>
  <c r="U975" i="7" s="1"/>
  <c r="M366" i="23"/>
  <c r="M369" i="23" s="1"/>
  <c r="V1075" i="7"/>
  <c r="AC65" i="23"/>
  <c r="T83" i="25"/>
  <c r="M192" i="7"/>
  <c r="DQ35" i="6"/>
  <c r="V156" i="7"/>
  <c r="AX16" i="6"/>
  <c r="AU16" i="6" s="1"/>
  <c r="N10" i="6"/>
  <c r="BM11" i="11"/>
  <c r="Q714" i="7"/>
  <c r="U150" i="7"/>
  <c r="N264" i="23"/>
  <c r="N265" i="23" s="1"/>
  <c r="T113" i="25"/>
  <c r="BY48" i="11"/>
  <c r="AB405" i="23"/>
  <c r="Z719" i="7"/>
  <c r="AM719" i="7" s="1"/>
  <c r="N600" i="7"/>
  <c r="AA45" i="6"/>
  <c r="AG94" i="6" s="1"/>
  <c r="R242" i="7"/>
  <c r="L221" i="23"/>
  <c r="AD132" i="7"/>
  <c r="AD40" i="25" s="1"/>
  <c r="AC90" i="25"/>
  <c r="I1121" i="7"/>
  <c r="DF21" i="6"/>
  <c r="V453" i="7"/>
  <c r="W461" i="7" s="1"/>
  <c r="CR30" i="6"/>
  <c r="CX79" i="6" s="1"/>
  <c r="T33" i="6"/>
  <c r="X1038" i="7"/>
  <c r="AI13" i="16"/>
  <c r="AI186" i="17" s="1"/>
  <c r="AI12" i="16"/>
  <c r="AI145" i="17" s="1"/>
  <c r="AI23" i="17" s="1"/>
  <c r="O1070" i="7"/>
  <c r="I268" i="23"/>
  <c r="I380" i="23"/>
  <c r="J836" i="7"/>
  <c r="T215" i="7"/>
  <c r="Q486" i="7"/>
  <c r="AJ8" i="16"/>
  <c r="AJ125" i="17" s="1"/>
  <c r="V221" i="7"/>
  <c r="J537" i="7"/>
  <c r="N813" i="7"/>
  <c r="H1001" i="7"/>
  <c r="H1015" i="7" s="1"/>
  <c r="U537" i="7"/>
  <c r="J189" i="7"/>
  <c r="BV10" i="6"/>
  <c r="CB59" i="6" s="1"/>
  <c r="Y135" i="7"/>
  <c r="Z136" i="7" s="1"/>
  <c r="AM136" i="7" s="1"/>
  <c r="W679" i="7"/>
  <c r="R20" i="7"/>
  <c r="R21" i="7" s="1"/>
  <c r="N1046" i="7"/>
  <c r="P964" i="7"/>
  <c r="P975" i="7" s="1"/>
  <c r="T254" i="23"/>
  <c r="Y605" i="7"/>
  <c r="T221" i="7"/>
  <c r="I1105" i="7"/>
  <c r="AA203" i="7"/>
  <c r="H12" i="7"/>
  <c r="P486" i="7"/>
  <c r="T93" i="25"/>
  <c r="AB269" i="23"/>
  <c r="AK9" i="6"/>
  <c r="AQ58" i="6" s="1"/>
  <c r="CH46" i="6"/>
  <c r="CJ46" i="6" s="1"/>
  <c r="J167" i="7"/>
  <c r="Q1047" i="7"/>
  <c r="J604" i="7"/>
  <c r="AC860" i="7"/>
  <c r="BJ30" i="6"/>
  <c r="S453" i="7"/>
  <c r="P502" i="7"/>
  <c r="V154" i="7"/>
  <c r="S63" i="25"/>
  <c r="CB45" i="6"/>
  <c r="ED44" i="6"/>
  <c r="EJ93" i="6" s="1"/>
  <c r="D246" i="2"/>
  <c r="AU246" i="2" s="1"/>
  <c r="BN9" i="6"/>
  <c r="Y794" i="7"/>
  <c r="Y819" i="7" s="1"/>
  <c r="T149" i="7"/>
  <c r="X537" i="7"/>
  <c r="X614" i="7"/>
  <c r="R405" i="23"/>
  <c r="H1114" i="7"/>
  <c r="R884" i="7"/>
  <c r="I369" i="23"/>
  <c r="I216" i="7" s="1"/>
  <c r="AB65" i="23"/>
  <c r="L31" i="6"/>
  <c r="K31" i="6" s="1"/>
  <c r="AA135" i="23"/>
  <c r="AB719" i="7"/>
  <c r="DL23" i="6"/>
  <c r="DI23" i="6" s="1"/>
  <c r="AA487" i="7"/>
  <c r="AB818" i="7"/>
  <c r="S346" i="7"/>
  <c r="Q47" i="7"/>
  <c r="T173" i="25"/>
  <c r="AB709" i="7"/>
  <c r="P339" i="7"/>
  <c r="BH24" i="6"/>
  <c r="S43" i="25"/>
  <c r="Z1079" i="7"/>
  <c r="Z1091" i="7"/>
  <c r="J1065" i="7"/>
  <c r="AB691" i="7"/>
  <c r="P360" i="7"/>
  <c r="T241" i="23"/>
  <c r="T242" i="23" s="1"/>
  <c r="T438" i="23"/>
  <c r="AC706" i="7"/>
  <c r="CX10" i="6"/>
  <c r="CX59" i="6" s="1"/>
  <c r="Q71" i="25"/>
  <c r="CA33" i="6"/>
  <c r="I81" i="7"/>
  <c r="I87" i="7" s="1"/>
  <c r="AA183" i="7"/>
  <c r="Y81" i="25"/>
  <c r="J183" i="7"/>
  <c r="Q38" i="7"/>
  <c r="BJ6" i="17"/>
  <c r="AK20" i="17"/>
  <c r="AA20" i="17"/>
  <c r="CC9" i="11"/>
  <c r="BX9" i="11"/>
  <c r="EG95" i="6"/>
  <c r="I1043" i="7"/>
  <c r="T100" i="25"/>
  <c r="CS238" i="17"/>
  <c r="AB502" i="7"/>
  <c r="M135" i="7"/>
  <c r="N136" i="7" s="1"/>
  <c r="R997" i="7"/>
  <c r="R1011" i="7" s="1"/>
  <c r="U241" i="23"/>
  <c r="U258" i="23" s="1"/>
  <c r="Z996" i="7"/>
  <c r="Z1010" i="7" s="1"/>
  <c r="AB1106" i="7"/>
  <c r="CP239" i="17"/>
  <c r="Z691" i="7"/>
  <c r="AM691" i="7" s="1"/>
  <c r="AX17" i="6"/>
  <c r="AU17" i="6" s="1"/>
  <c r="AB172" i="25"/>
  <c r="N535" i="7"/>
  <c r="Z98" i="25"/>
  <c r="AA16" i="6"/>
  <c r="K1045" i="7"/>
  <c r="AA534" i="7"/>
  <c r="AP9" i="6"/>
  <c r="AV58" i="6" s="1"/>
  <c r="U254" i="23"/>
  <c r="Z614" i="7"/>
  <c r="AM614" i="7" s="1"/>
  <c r="AC590" i="7"/>
  <c r="O126" i="7"/>
  <c r="U678" i="7"/>
  <c r="V813" i="7"/>
  <c r="Q805" i="7"/>
  <c r="J366" i="23"/>
  <c r="J369" i="23" s="1"/>
  <c r="H503" i="7"/>
  <c r="AB1082" i="7"/>
  <c r="Q332" i="7"/>
  <c r="Q443" i="7"/>
  <c r="Q445" i="7" s="1"/>
  <c r="Q448" i="7" s="1"/>
  <c r="O89" i="25"/>
  <c r="CQ238" i="17"/>
  <c r="CR238" i="17"/>
  <c r="AB1057" i="7"/>
  <c r="Y43" i="25"/>
  <c r="T28" i="6"/>
  <c r="T77" i="6" s="1"/>
  <c r="M1047" i="7"/>
  <c r="W813" i="7"/>
  <c r="AM690" i="7"/>
  <c r="Z1065" i="7"/>
  <c r="N158" i="7"/>
  <c r="Q102" i="7"/>
  <c r="Q104" i="7" s="1"/>
  <c r="Z1121" i="7"/>
  <c r="AF25" i="6"/>
  <c r="H83" i="23"/>
  <c r="K499" i="7"/>
  <c r="DR30" i="6"/>
  <c r="Z1045" i="7"/>
  <c r="AM1045" i="7" s="1"/>
  <c r="O455" i="23"/>
  <c r="Z269" i="23"/>
  <c r="AM592" i="7"/>
  <c r="U65" i="25"/>
  <c r="J192" i="7"/>
  <c r="R429" i="23"/>
  <c r="CT41" i="6"/>
  <c r="CZ90" i="6" s="1"/>
  <c r="I487" i="7"/>
  <c r="AB602" i="7"/>
  <c r="Z603" i="7"/>
  <c r="AM603" i="7" s="1"/>
  <c r="BE105" i="17"/>
  <c r="J70" i="8"/>
  <c r="AA434" i="23"/>
  <c r="S533" i="7"/>
  <c r="I1098" i="7"/>
  <c r="I1099" i="7" s="1"/>
  <c r="AB354" i="7"/>
  <c r="N20" i="7"/>
  <c r="T537" i="7"/>
  <c r="X31" i="6"/>
  <c r="W31" i="6" s="1"/>
  <c r="AC80" i="6" s="1"/>
  <c r="L865" i="7"/>
  <c r="P262" i="7"/>
  <c r="Q500" i="7"/>
  <c r="M816" i="7"/>
  <c r="L111" i="25"/>
  <c r="P455" i="23"/>
  <c r="I70" i="25"/>
  <c r="Z1104" i="7"/>
  <c r="P814" i="7"/>
  <c r="J191" i="7"/>
  <c r="O242" i="7"/>
  <c r="L93" i="7"/>
  <c r="L99" i="7" s="1"/>
  <c r="S1047" i="7"/>
  <c r="AB269" i="7"/>
  <c r="AS117" i="11"/>
  <c r="AT117" i="11" s="1"/>
  <c r="AP28" i="6"/>
  <c r="X239" i="23"/>
  <c r="X65" i="7" s="1"/>
  <c r="Q111" i="25"/>
  <c r="R167" i="7"/>
  <c r="AA71" i="25"/>
  <c r="Y613" i="7"/>
  <c r="M45" i="7"/>
  <c r="P203" i="7"/>
  <c r="Y126" i="7"/>
  <c r="Y114" i="7" s="1"/>
  <c r="CL117" i="11"/>
  <c r="CR117" i="11" s="1"/>
  <c r="G699" i="7"/>
  <c r="T1045" i="7"/>
  <c r="M191" i="7"/>
  <c r="CV116" i="11"/>
  <c r="CW116" i="11" s="1"/>
  <c r="N155" i="7"/>
  <c r="Z994" i="7"/>
  <c r="AM994" i="7" s="1"/>
  <c r="K346" i="7"/>
  <c r="N347" i="7" s="1"/>
  <c r="L530" i="7"/>
  <c r="T1001" i="7"/>
  <c r="T1015" i="7" s="1"/>
  <c r="I695" i="7"/>
  <c r="I723" i="7" s="1"/>
  <c r="R11" i="7"/>
  <c r="G691" i="7"/>
  <c r="R1075" i="7"/>
  <c r="P602" i="7"/>
  <c r="T842" i="7"/>
  <c r="DC48" i="11"/>
  <c r="AI118" i="11"/>
  <c r="AO118" i="11" s="1"/>
  <c r="G995" i="7"/>
  <c r="BC32" i="6"/>
  <c r="O1110" i="7"/>
  <c r="N70" i="25"/>
  <c r="CW47" i="6"/>
  <c r="Q153" i="7"/>
  <c r="P606" i="7"/>
  <c r="P505" i="7"/>
  <c r="BV16" i="6"/>
  <c r="BS16" i="6" s="1"/>
  <c r="Z444" i="23"/>
  <c r="T835" i="7"/>
  <c r="K323" i="7"/>
  <c r="K344" i="7" s="1"/>
  <c r="DA80" i="11"/>
  <c r="O818" i="7"/>
  <c r="O534" i="7"/>
  <c r="Y1058" i="7"/>
  <c r="Y1080" i="7"/>
  <c r="K63" i="25"/>
  <c r="Q691" i="7"/>
  <c r="AA456" i="23"/>
  <c r="CL11" i="11"/>
  <c r="N45" i="7"/>
  <c r="BB82" i="17"/>
  <c r="BB90" i="17" s="1"/>
  <c r="AP8" i="6"/>
  <c r="AP57" i="6" s="1"/>
  <c r="Y842" i="7"/>
  <c r="CH25" i="6"/>
  <c r="Y39" i="25"/>
  <c r="J841" i="7"/>
  <c r="U245" i="8"/>
  <c r="U249" i="8" s="1"/>
  <c r="U256" i="8" s="1"/>
  <c r="N841" i="7"/>
  <c r="M153" i="7"/>
  <c r="S70" i="25"/>
  <c r="V695" i="7"/>
  <c r="V723" i="7" s="1"/>
  <c r="R110" i="25"/>
  <c r="M611" i="7"/>
  <c r="T1114" i="7"/>
  <c r="Y45" i="7"/>
  <c r="AO7" i="6"/>
  <c r="AU56" i="6" s="1"/>
  <c r="I156" i="7"/>
  <c r="Z135" i="23"/>
  <c r="Q731" i="7"/>
  <c r="W281" i="23"/>
  <c r="AD30" i="6"/>
  <c r="CL80" i="11"/>
  <c r="R50" i="7"/>
  <c r="K1063" i="7"/>
  <c r="R718" i="7"/>
  <c r="L191" i="7"/>
  <c r="Z277" i="23"/>
  <c r="Y836" i="7"/>
  <c r="AA277" i="23"/>
  <c r="AB860" i="7"/>
  <c r="DK24" i="6"/>
  <c r="Y994" i="7"/>
  <c r="Y1008" i="7" s="1"/>
  <c r="S534" i="7"/>
  <c r="M601" i="7"/>
  <c r="Q995" i="7"/>
  <c r="Q1009" i="7" s="1"/>
  <c r="N39" i="25"/>
  <c r="DK45" i="6"/>
  <c r="DQ94" i="6" s="1"/>
  <c r="M36" i="7"/>
  <c r="P109" i="25"/>
  <c r="K816" i="7"/>
  <c r="T600" i="7"/>
  <c r="AV45" i="6"/>
  <c r="CT10" i="6"/>
  <c r="BW70" i="11"/>
  <c r="BW73" i="11" s="1"/>
  <c r="BW75" i="11" s="1"/>
  <c r="V505" i="7"/>
  <c r="Y93" i="7"/>
  <c r="Y99" i="7" s="1"/>
  <c r="T239" i="23"/>
  <c r="V423" i="23"/>
  <c r="AC215" i="7"/>
  <c r="M136" i="23"/>
  <c r="J380" i="23"/>
  <c r="P46" i="11"/>
  <c r="W268" i="23"/>
  <c r="O81" i="25"/>
  <c r="K270" i="23"/>
  <c r="Z500" i="7"/>
  <c r="AM500" i="7" s="1"/>
  <c r="ED25" i="6"/>
  <c r="K189" i="7"/>
  <c r="EJ87" i="6"/>
  <c r="U46" i="11"/>
  <c r="R100" i="11"/>
  <c r="S100" i="11" s="1"/>
  <c r="BD47" i="11"/>
  <c r="L691" i="7"/>
  <c r="BD60" i="6"/>
  <c r="H111" i="25"/>
  <c r="W818" i="7"/>
  <c r="L995" i="7"/>
  <c r="L1009" i="7" s="1"/>
  <c r="W843" i="7"/>
  <c r="ED26" i="6"/>
  <c r="J192" i="8"/>
  <c r="BJ42" i="6"/>
  <c r="BP91" i="6" s="1"/>
  <c r="H995" i="7"/>
  <c r="H1009" i="7" s="1"/>
  <c r="M706" i="7"/>
  <c r="X179" i="8"/>
  <c r="O255" i="7"/>
  <c r="O256" i="7" s="1"/>
  <c r="O897" i="7" s="1"/>
  <c r="T696" i="7"/>
  <c r="T966" i="7" s="1"/>
  <c r="T977" i="7" s="1"/>
  <c r="X438" i="23"/>
  <c r="X806" i="7"/>
  <c r="L1097" i="7"/>
  <c r="U1026" i="7"/>
  <c r="T10" i="6"/>
  <c r="L719" i="7"/>
  <c r="H706" i="7"/>
  <c r="H719" i="7"/>
  <c r="V438" i="23"/>
  <c r="G230" i="7"/>
  <c r="H20" i="6" s="1"/>
  <c r="AC484" i="7"/>
  <c r="O997" i="7"/>
  <c r="O1011" i="7" s="1"/>
  <c r="BD21" i="6"/>
  <c r="AC696" i="7"/>
  <c r="AC966" i="7" s="1"/>
  <c r="AC977" i="7" s="1"/>
  <c r="DL28" i="6"/>
  <c r="DI28" i="6" s="1"/>
  <c r="V606" i="7"/>
  <c r="AA993" i="7"/>
  <c r="AA1007" i="7" s="1"/>
  <c r="CH35" i="6"/>
  <c r="Q113" i="25"/>
  <c r="H731" i="7"/>
  <c r="H743" i="7" s="1"/>
  <c r="CZ44" i="6"/>
  <c r="P1047" i="7"/>
  <c r="CB26" i="6"/>
  <c r="CB75" i="6" s="1"/>
  <c r="J150" i="7"/>
  <c r="I706" i="7"/>
  <c r="M438" i="23"/>
  <c r="M441" i="23" s="1"/>
  <c r="DS70" i="11"/>
  <c r="DU70" i="11" s="1"/>
  <c r="O806" i="7"/>
  <c r="J148" i="7"/>
  <c r="G239" i="23"/>
  <c r="AL46" i="6"/>
  <c r="AN46" i="6" s="1"/>
  <c r="AB241" i="23"/>
  <c r="AB258" i="23" s="1"/>
  <c r="O70" i="11"/>
  <c r="R70" i="11" s="1"/>
  <c r="I184" i="23" s="1"/>
  <c r="I24" i="25" s="1"/>
  <c r="AQ15" i="26"/>
  <c r="U47" i="7"/>
  <c r="W456" i="23"/>
  <c r="U81" i="25"/>
  <c r="K186" i="7"/>
  <c r="M189" i="7"/>
  <c r="P269" i="7"/>
  <c r="BK18" i="6"/>
  <c r="CO24" i="17"/>
  <c r="V429" i="23"/>
  <c r="I135" i="7"/>
  <c r="J136" i="7" s="1"/>
  <c r="X673" i="7"/>
  <c r="V77" i="25"/>
  <c r="U1044" i="7"/>
  <c r="M150" i="7"/>
  <c r="L814" i="7"/>
  <c r="Q190" i="7"/>
  <c r="AD118" i="11"/>
  <c r="AG118" i="11" s="1"/>
  <c r="L186" i="23" s="1"/>
  <c r="L44" i="25" s="1"/>
  <c r="M186" i="7"/>
  <c r="N801" i="7"/>
  <c r="DU6" i="6"/>
  <c r="EA55" i="6" s="1"/>
  <c r="Z483" i="7"/>
  <c r="AM483" i="7" s="1"/>
  <c r="R503" i="7"/>
  <c r="U998" i="7"/>
  <c r="U1012" i="7" s="1"/>
  <c r="AB85" i="11"/>
  <c r="K180" i="23" s="1"/>
  <c r="K20" i="25" s="1"/>
  <c r="L1047" i="7"/>
  <c r="CM32" i="6"/>
  <c r="Q996" i="7"/>
  <c r="Q1010" i="7" s="1"/>
  <c r="P610" i="7"/>
  <c r="L186" i="7"/>
  <c r="Q268" i="23"/>
  <c r="W146" i="7"/>
  <c r="W794" i="7"/>
  <c r="W819" i="7" s="1"/>
  <c r="J1075" i="7"/>
  <c r="Z154" i="7"/>
  <c r="AM154" i="7" s="1"/>
  <c r="Z534" i="7"/>
  <c r="AM534" i="7" s="1"/>
  <c r="U429" i="23"/>
  <c r="O156" i="7"/>
  <c r="L116" i="7"/>
  <c r="M118" i="7" s="1"/>
  <c r="M121" i="7" s="1"/>
  <c r="S25" i="7"/>
  <c r="T26" i="7" s="1"/>
  <c r="O39" i="25"/>
  <c r="V60" i="23"/>
  <c r="I534" i="7"/>
  <c r="M203" i="7"/>
  <c r="M836" i="7"/>
  <c r="W489" i="7"/>
  <c r="Q189" i="7"/>
  <c r="K190" i="7"/>
  <c r="AE85" i="11"/>
  <c r="CU48" i="17"/>
  <c r="O117" i="11"/>
  <c r="V38" i="7"/>
  <c r="AB455" i="23"/>
  <c r="T118" i="11"/>
  <c r="Z118" i="11" s="1"/>
  <c r="Z95" i="17"/>
  <c r="U360" i="7"/>
  <c r="K366" i="23"/>
  <c r="P603" i="7"/>
  <c r="Y610" i="7"/>
  <c r="K43" i="25"/>
  <c r="W40" i="25"/>
  <c r="I45" i="7"/>
  <c r="J813" i="7"/>
  <c r="V81" i="7"/>
  <c r="V84" i="7" s="1"/>
  <c r="AC433" i="23"/>
  <c r="P836" i="7"/>
  <c r="CL118" i="11"/>
  <c r="CM118" i="11" s="1"/>
  <c r="BU24" i="6"/>
  <c r="K269" i="7"/>
  <c r="AA530" i="7"/>
  <c r="L113" i="25"/>
  <c r="J994" i="7"/>
  <c r="J1008" i="7" s="1"/>
  <c r="Q88" i="25"/>
  <c r="Q600" i="7"/>
  <c r="U339" i="7"/>
  <c r="R444" i="23"/>
  <c r="S447" i="23" s="1"/>
  <c r="Z433" i="23"/>
  <c r="Z537" i="7"/>
  <c r="AM537" i="7" s="1"/>
  <c r="Z221" i="7"/>
  <c r="AM221" i="7" s="1"/>
  <c r="O695" i="7"/>
  <c r="O723" i="7" s="1"/>
  <c r="N97" i="25"/>
  <c r="Z1105" i="7"/>
  <c r="Q405" i="23"/>
  <c r="P1065" i="7"/>
  <c r="L270" i="23"/>
  <c r="H156" i="7"/>
  <c r="CH45" i="6"/>
  <c r="W969" i="7"/>
  <c r="W990" i="7" s="1"/>
  <c r="L136" i="23"/>
  <c r="AB38" i="7"/>
  <c r="L126" i="23"/>
  <c r="CY10" i="6"/>
  <c r="DP10" i="6"/>
  <c r="DP59" i="6" s="1"/>
  <c r="O36" i="7"/>
  <c r="AM205" i="7"/>
  <c r="L125" i="23"/>
  <c r="Y433" i="23"/>
  <c r="AB998" i="7"/>
  <c r="AB1012" i="7" s="1"/>
  <c r="R613" i="7"/>
  <c r="S405" i="23"/>
  <c r="AM829" i="7"/>
  <c r="K817" i="7"/>
  <c r="W153" i="7"/>
  <c r="J527" i="7"/>
  <c r="DD13" i="11"/>
  <c r="DE13" i="11" s="1"/>
  <c r="BF62" i="11"/>
  <c r="Q176" i="23" s="1"/>
  <c r="Q16" i="25" s="1"/>
  <c r="CW71" i="11"/>
  <c r="F175" i="20"/>
  <c r="W175" i="20" s="1"/>
  <c r="L1111" i="7"/>
  <c r="X254" i="23"/>
  <c r="P499" i="7"/>
  <c r="DW9" i="6"/>
  <c r="EC58" i="6" s="1"/>
  <c r="X1114" i="7"/>
  <c r="N835" i="7"/>
  <c r="P725" i="7"/>
  <c r="T473" i="23"/>
  <c r="DJ30" i="6"/>
  <c r="Y455" i="23"/>
  <c r="DF46" i="6"/>
  <c r="DH46" i="6" s="1"/>
  <c r="Y186" i="7"/>
  <c r="V1079" i="7"/>
  <c r="V1083" i="7" s="1"/>
  <c r="V75" i="25" s="1"/>
  <c r="BF14" i="26"/>
  <c r="T47" i="6"/>
  <c r="G177" i="7"/>
  <c r="O281" i="23"/>
  <c r="CQ70" i="11"/>
  <c r="CQ73" i="11" s="1"/>
  <c r="CQ75" i="11" s="1"/>
  <c r="AB486" i="7"/>
  <c r="V884" i="7"/>
  <c r="G175" i="20"/>
  <c r="X175" i="20" s="1"/>
  <c r="Z64" i="11"/>
  <c r="W835" i="7"/>
  <c r="N172" i="7"/>
  <c r="T324" i="7"/>
  <c r="T352" i="7" s="1"/>
  <c r="N19" i="17"/>
  <c r="M453" i="7"/>
  <c r="Y963" i="7"/>
  <c r="Y974" i="7" s="1"/>
  <c r="CF31" i="6"/>
  <c r="CE31" i="6" s="1"/>
  <c r="CK80" i="6" s="1"/>
  <c r="T166" i="7"/>
  <c r="CV49" i="17"/>
  <c r="V120" i="8"/>
  <c r="N135" i="7"/>
  <c r="O136" i="7" s="1"/>
  <c r="T1063" i="7"/>
  <c r="Y1026" i="7"/>
  <c r="V49" i="11"/>
  <c r="W49" i="11" s="1"/>
  <c r="X49" i="11" s="1"/>
  <c r="V48" i="11"/>
  <c r="W48" i="11" s="1"/>
  <c r="X48" i="11" s="1"/>
  <c r="AB190" i="7"/>
  <c r="N190" i="7"/>
  <c r="N884" i="7"/>
  <c r="F489" i="20"/>
  <c r="W489" i="20" s="1"/>
  <c r="BM54" i="6"/>
  <c r="DC13" i="6"/>
  <c r="DC62" i="6" s="1"/>
  <c r="AC95" i="6"/>
  <c r="CR71" i="11"/>
  <c r="DG13" i="11"/>
  <c r="CW58" i="11"/>
  <c r="AO13" i="11"/>
  <c r="V193" i="17"/>
  <c r="AL57" i="11"/>
  <c r="AM57" i="11" s="1"/>
  <c r="AQ13" i="11"/>
  <c r="AR13" i="11" s="1"/>
  <c r="BN86" i="11"/>
  <c r="BG54" i="6"/>
  <c r="BP86" i="11"/>
  <c r="S179" i="23" s="1"/>
  <c r="S19" i="25" s="1"/>
  <c r="BA95" i="6"/>
  <c r="Q884" i="7"/>
  <c r="AA229" i="7"/>
  <c r="AA55" i="23"/>
  <c r="CP12" i="26"/>
  <c r="D216" i="2"/>
  <c r="F414" i="20" s="1"/>
  <c r="W414" i="20" s="1"/>
  <c r="J348" i="23"/>
  <c r="I64" i="7"/>
  <c r="W80" i="25"/>
  <c r="V166" i="7"/>
  <c r="Y9" i="17"/>
  <c r="V254" i="23"/>
  <c r="BD25" i="6"/>
  <c r="AA484" i="7"/>
  <c r="O268" i="23"/>
  <c r="K535" i="7"/>
  <c r="I269" i="23"/>
  <c r="V487" i="7"/>
  <c r="M268" i="23"/>
  <c r="O269" i="23"/>
  <c r="CD18" i="26"/>
  <c r="AB813" i="7"/>
  <c r="AR216" i="17"/>
  <c r="AV20" i="17"/>
  <c r="AM20" i="17"/>
  <c r="CO28" i="17"/>
  <c r="BV28" i="17"/>
  <c r="AB97" i="25"/>
  <c r="W50" i="7"/>
  <c r="T348" i="23"/>
  <c r="AB806" i="7"/>
  <c r="L158" i="7"/>
  <c r="BW118" i="11"/>
  <c r="BX118" i="11" s="1"/>
  <c r="Y718" i="7"/>
  <c r="AC418" i="23"/>
  <c r="X1097" i="7"/>
  <c r="U348" i="23"/>
  <c r="R253" i="8"/>
  <c r="BV12" i="17"/>
  <c r="V239" i="23"/>
  <c r="V1114" i="7"/>
  <c r="J1121" i="7"/>
  <c r="X718" i="7"/>
  <c r="H264" i="23"/>
  <c r="H265" i="23" s="1"/>
  <c r="C211" i="2"/>
  <c r="AT211" i="2" s="1"/>
  <c r="J606" i="7"/>
  <c r="V467" i="23"/>
  <c r="BN28" i="6"/>
  <c r="BM28" i="6" s="1"/>
  <c r="V456" i="23"/>
  <c r="I41" i="7"/>
  <c r="V135" i="23"/>
  <c r="Z93" i="7"/>
  <c r="U186" i="7"/>
  <c r="X83" i="23"/>
  <c r="CC166" i="17"/>
  <c r="N145" i="7"/>
  <c r="T428" i="23"/>
  <c r="P6" i="17"/>
  <c r="AB428" i="23"/>
  <c r="L998" i="7"/>
  <c r="L1012" i="7" s="1"/>
  <c r="Q464" i="7"/>
  <c r="J69" i="25"/>
  <c r="V99" i="25"/>
  <c r="P489" i="7"/>
  <c r="BZ60" i="6"/>
  <c r="DL47" i="11"/>
  <c r="AY57" i="11"/>
  <c r="T86" i="6"/>
  <c r="BA57" i="11"/>
  <c r="BB57" i="11" s="1"/>
  <c r="AP95" i="6"/>
  <c r="AY49" i="11"/>
  <c r="H189" i="20"/>
  <c r="Y189" i="20" s="1"/>
  <c r="H504" i="20"/>
  <c r="Y504" i="20" s="1"/>
  <c r="I185" i="20"/>
  <c r="Z185" i="20" s="1"/>
  <c r="AT46" i="11"/>
  <c r="DP82" i="6"/>
  <c r="DC95" i="6"/>
  <c r="BB85" i="6"/>
  <c r="CM8" i="11"/>
  <c r="BV212" i="17"/>
  <c r="H36" i="6"/>
  <c r="BA58" i="11"/>
  <c r="P185" i="23" s="1"/>
  <c r="P25" i="25" s="1"/>
  <c r="AQ118" i="11"/>
  <c r="N186" i="23" s="1"/>
  <c r="N44" i="25" s="1"/>
  <c r="DA50" i="11"/>
  <c r="AE95" i="6"/>
  <c r="W13" i="11"/>
  <c r="X13" i="11" s="1"/>
  <c r="CL60" i="6"/>
  <c r="BY95" i="6"/>
  <c r="CR60" i="6"/>
  <c r="X85" i="6"/>
  <c r="CB86" i="6"/>
  <c r="W8" i="11"/>
  <c r="J173" i="23" s="1"/>
  <c r="J13" i="25" s="1"/>
  <c r="DK50" i="11"/>
  <c r="DQ47" i="11"/>
  <c r="AL26" i="6"/>
  <c r="H360" i="7"/>
  <c r="L680" i="7"/>
  <c r="Q605" i="7"/>
  <c r="V865" i="7"/>
  <c r="D226" i="2"/>
  <c r="F430" i="20" s="1"/>
  <c r="W430" i="20" s="1"/>
  <c r="I680" i="7"/>
  <c r="Y1017" i="7"/>
  <c r="Z499" i="7"/>
  <c r="AM499" i="7" s="1"/>
  <c r="V616" i="7"/>
  <c r="X816" i="7"/>
  <c r="S717" i="7"/>
  <c r="CN17" i="6"/>
  <c r="CK17" i="6" s="1"/>
  <c r="L1106" i="7"/>
  <c r="O269" i="7"/>
  <c r="P270" i="7" s="1"/>
  <c r="Q1102" i="7"/>
  <c r="M720" i="7"/>
  <c r="L669" i="7"/>
  <c r="AM35" i="6" s="1"/>
  <c r="H438" i="23"/>
  <c r="H239" i="23"/>
  <c r="H254" i="23"/>
  <c r="H1044" i="7"/>
  <c r="AB93" i="25"/>
  <c r="O197" i="8"/>
  <c r="H241" i="23"/>
  <c r="H242" i="23" s="1"/>
  <c r="AB1098" i="7"/>
  <c r="Y243" i="7"/>
  <c r="X203" i="7"/>
  <c r="N23" i="6"/>
  <c r="K23" i="6" s="1"/>
  <c r="DF33" i="6"/>
  <c r="DF82" i="6" s="1"/>
  <c r="H93" i="25"/>
  <c r="Q48" i="7"/>
  <c r="C222" i="2"/>
  <c r="AT222" i="2" s="1"/>
  <c r="J11" i="7"/>
  <c r="U865" i="7"/>
  <c r="V192" i="8"/>
  <c r="L93" i="25"/>
  <c r="X969" i="7"/>
  <c r="X990" i="7" s="1"/>
  <c r="L484" i="7"/>
  <c r="J705" i="7"/>
  <c r="Y705" i="7"/>
  <c r="L674" i="7"/>
  <c r="Z473" i="7"/>
  <c r="Z511" i="7" s="1"/>
  <c r="K1098" i="7"/>
  <c r="D232" i="2"/>
  <c r="AU232" i="2" s="1"/>
  <c r="AV218" i="2"/>
  <c r="J718" i="7"/>
  <c r="O120" i="8"/>
  <c r="U143" i="7"/>
  <c r="DR25" i="6"/>
  <c r="DR24" i="6" s="1"/>
  <c r="J64" i="7"/>
  <c r="S99" i="25"/>
  <c r="Y1106" i="7"/>
  <c r="R1097" i="7"/>
  <c r="K615" i="7"/>
  <c r="I148" i="7"/>
  <c r="F491" i="20"/>
  <c r="W491" i="20" s="1"/>
  <c r="DQ101" i="11"/>
  <c r="CP152" i="17"/>
  <c r="BS64" i="11"/>
  <c r="EB60" i="6"/>
  <c r="DN62" i="11"/>
  <c r="DO62" i="11" s="1"/>
  <c r="CY58" i="11"/>
  <c r="Z185" i="23" s="1"/>
  <c r="Z25" i="25" s="1"/>
  <c r="AE71" i="11"/>
  <c r="AE60" i="6"/>
  <c r="BN82" i="6"/>
  <c r="AG85" i="11"/>
  <c r="AH85" i="11" s="1"/>
  <c r="H185" i="20"/>
  <c r="Y185" i="20" s="1"/>
  <c r="AL64" i="17"/>
  <c r="DW60" i="6"/>
  <c r="BJ93" i="6"/>
  <c r="I491" i="20"/>
  <c r="Z491" i="20" s="1"/>
  <c r="CZ36" i="6"/>
  <c r="CW36" i="6" s="1"/>
  <c r="CJ101" i="11"/>
  <c r="CK101" i="11" s="1"/>
  <c r="BD49" i="11"/>
  <c r="BP60" i="6"/>
  <c r="BX46" i="11"/>
  <c r="R45" i="17"/>
  <c r="BH85" i="6"/>
  <c r="BS46" i="11"/>
  <c r="AV60" i="6"/>
  <c r="BT60" i="6"/>
  <c r="M93" i="25"/>
  <c r="J478" i="7"/>
  <c r="J479" i="7" s="1"/>
  <c r="AB227" i="7"/>
  <c r="M32" i="6"/>
  <c r="S81" i="6" s="1"/>
  <c r="H1081" i="7"/>
  <c r="AB533" i="7"/>
  <c r="O248" i="7"/>
  <c r="T77" i="25"/>
  <c r="Q221" i="7"/>
  <c r="R24" i="6"/>
  <c r="Z146" i="7"/>
  <c r="AM146" i="7" s="1"/>
  <c r="W215" i="7"/>
  <c r="S176" i="7"/>
  <c r="BZ35" i="6"/>
  <c r="BZ84" i="6" s="1"/>
  <c r="P173" i="25"/>
  <c r="T817" i="7"/>
  <c r="I39" i="25"/>
  <c r="C230" i="2"/>
  <c r="AT230" i="2" s="1"/>
  <c r="Z842" i="7"/>
  <c r="AM842" i="7" s="1"/>
  <c r="U428" i="23"/>
  <c r="O444" i="23"/>
  <c r="Z49" i="23"/>
  <c r="U411" i="23"/>
  <c r="AV145" i="2"/>
  <c r="Q98" i="25"/>
  <c r="W155" i="7"/>
  <c r="O321" i="23"/>
  <c r="H610" i="7"/>
  <c r="AB25" i="7"/>
  <c r="AC26" i="7" s="1"/>
  <c r="AA97" i="25"/>
  <c r="M890" i="7"/>
  <c r="AA199" i="7"/>
  <c r="C204" i="2" s="1"/>
  <c r="AT204" i="2" s="1"/>
  <c r="I1110" i="7"/>
  <c r="I1113" i="7" s="1"/>
  <c r="Z717" i="7"/>
  <c r="AM717" i="7" s="1"/>
  <c r="AB438" i="23"/>
  <c r="U1097" i="7"/>
  <c r="J1079" i="7"/>
  <c r="Y537" i="7"/>
  <c r="M804" i="7"/>
  <c r="T1064" i="7"/>
  <c r="W527" i="7"/>
  <c r="Z96" i="25"/>
  <c r="U157" i="7"/>
  <c r="V1057" i="7"/>
  <c r="W994" i="7"/>
  <c r="W1008" i="7" s="1"/>
  <c r="M42" i="23"/>
  <c r="AK9" i="11" s="1"/>
  <c r="AL9" i="11" s="1"/>
  <c r="AM9" i="11" s="1"/>
  <c r="CH72" i="11"/>
  <c r="V113" i="17"/>
  <c r="O167" i="7"/>
  <c r="BJ25" i="6"/>
  <c r="O230" i="7"/>
  <c r="BD20" i="6" s="1"/>
  <c r="U859" i="7"/>
  <c r="AA708" i="7"/>
  <c r="Y63" i="25"/>
  <c r="DR41" i="6"/>
  <c r="S817" i="7"/>
  <c r="R350" i="23"/>
  <c r="AA865" i="7"/>
  <c r="U850" i="7"/>
  <c r="U863" i="7" s="1"/>
  <c r="S235" i="7"/>
  <c r="S61" i="25" s="1"/>
  <c r="X795" i="7"/>
  <c r="X1074" i="7" s="1"/>
  <c r="U235" i="7"/>
  <c r="CL18" i="6" s="1"/>
  <c r="X804" i="7"/>
  <c r="S135" i="7"/>
  <c r="T136" i="7" s="1"/>
  <c r="S172" i="7"/>
  <c r="H1122" i="7"/>
  <c r="Z40" i="7"/>
  <c r="AM40" i="7" s="1"/>
  <c r="W1138" i="7"/>
  <c r="O612" i="7"/>
  <c r="AB185" i="7"/>
  <c r="AB1045" i="7"/>
  <c r="S433" i="23"/>
  <c r="DQ60" i="6"/>
  <c r="CS10" i="6"/>
  <c r="AM519" i="7"/>
  <c r="CG35" i="6"/>
  <c r="EC10" i="6"/>
  <c r="EC12" i="6" s="1"/>
  <c r="I110" i="25"/>
  <c r="Y11" i="7"/>
  <c r="BV21" i="6"/>
  <c r="O964" i="7"/>
  <c r="O975" i="7" s="1"/>
  <c r="AX44" i="6"/>
  <c r="BD93" i="6" s="1"/>
  <c r="I616" i="7"/>
  <c r="Q114" i="8"/>
  <c r="DR32" i="6"/>
  <c r="R173" i="25"/>
  <c r="U1082" i="7"/>
  <c r="U71" i="25"/>
  <c r="R42" i="23"/>
  <c r="BJ9" i="11" s="1"/>
  <c r="BK9" i="11" s="1"/>
  <c r="R143" i="23" s="1"/>
  <c r="BJ22" i="11" s="1"/>
  <c r="H1017" i="7"/>
  <c r="J308" i="7"/>
  <c r="J309" i="7" s="1"/>
  <c r="Z39" i="25"/>
  <c r="DV28" i="6"/>
  <c r="EB77" i="6" s="1"/>
  <c r="L33" i="6"/>
  <c r="AB172" i="7"/>
  <c r="T80" i="25"/>
  <c r="N40" i="25"/>
  <c r="T25" i="7"/>
  <c r="AA360" i="23"/>
  <c r="S46" i="7"/>
  <c r="AH82" i="17"/>
  <c r="AG82" i="17" s="1"/>
  <c r="I33" i="25"/>
  <c r="Q814" i="7"/>
  <c r="AA801" i="7"/>
  <c r="AJ9" i="6"/>
  <c r="M173" i="25"/>
  <c r="AS116" i="11"/>
  <c r="AY116" i="11" s="1"/>
  <c r="S678" i="7"/>
  <c r="T44" i="6"/>
  <c r="Z836" i="7"/>
  <c r="AM836" i="7" s="1"/>
  <c r="Z993" i="7"/>
  <c r="AM993" i="7" s="1"/>
  <c r="S610" i="7"/>
  <c r="BN47" i="6"/>
  <c r="L90" i="25"/>
  <c r="Z995" i="7"/>
  <c r="AM995" i="7" s="1"/>
  <c r="Q802" i="7"/>
  <c r="AB254" i="23"/>
  <c r="AB1001" i="7"/>
  <c r="AB1015" i="7" s="1"/>
  <c r="U248" i="7"/>
  <c r="Z610" i="7"/>
  <c r="AM610" i="7" s="1"/>
  <c r="I502" i="7"/>
  <c r="Y680" i="7"/>
  <c r="Y47" i="7"/>
  <c r="Y50" i="7"/>
  <c r="L254" i="23"/>
  <c r="AO6" i="6"/>
  <c r="AA1111" i="7"/>
  <c r="AB177" i="7"/>
  <c r="Z613" i="7"/>
  <c r="AM613" i="7" s="1"/>
  <c r="Z981" i="7"/>
  <c r="X145" i="7"/>
  <c r="I126" i="7"/>
  <c r="I114" i="7" s="1"/>
  <c r="J123" i="7" s="1"/>
  <c r="Y600" i="7"/>
  <c r="L354" i="7"/>
  <c r="R183" i="7"/>
  <c r="J186" i="7"/>
  <c r="N153" i="7"/>
  <c r="J678" i="7"/>
  <c r="J49" i="7"/>
  <c r="R484" i="7"/>
  <c r="I277" i="23"/>
  <c r="Z91" i="7"/>
  <c r="AA93" i="7" s="1"/>
  <c r="AA99" i="7" s="1"/>
  <c r="W1119" i="7"/>
  <c r="DS16" i="6"/>
  <c r="BJ23" i="6"/>
  <c r="BG23" i="6" s="1"/>
  <c r="CA32" i="6"/>
  <c r="CA81" i="6" s="1"/>
  <c r="Z110" i="25"/>
  <c r="P678" i="7"/>
  <c r="AA250" i="7"/>
  <c r="S190" i="7"/>
  <c r="AC518" i="7"/>
  <c r="AD518" i="7" s="1"/>
  <c r="AE518" i="7" s="1"/>
  <c r="AA248" i="7"/>
  <c r="V994" i="7"/>
  <c r="V1008" i="7" s="1"/>
  <c r="M969" i="7"/>
  <c r="M980" i="7" s="1"/>
  <c r="AA720" i="7"/>
  <c r="Y8" i="6"/>
  <c r="BH31" i="6"/>
  <c r="BG31" i="6" s="1"/>
  <c r="BG80" i="6" s="1"/>
  <c r="V502" i="7"/>
  <c r="AB191" i="7"/>
  <c r="Y612" i="7"/>
  <c r="V251" i="7"/>
  <c r="V859" i="7"/>
  <c r="AA1079" i="7"/>
  <c r="DF8" i="6"/>
  <c r="DL57" i="6" s="1"/>
  <c r="S156" i="7"/>
  <c r="P40" i="25"/>
  <c r="J97" i="25"/>
  <c r="U611" i="7"/>
  <c r="I717" i="7"/>
  <c r="I158" i="7"/>
  <c r="I1082" i="7"/>
  <c r="S672" i="7"/>
  <c r="Z813" i="7"/>
  <c r="AM813" i="7" s="1"/>
  <c r="Q1017" i="7"/>
  <c r="AC172" i="25"/>
  <c r="Z718" i="7"/>
  <c r="AM718" i="7" s="1"/>
  <c r="T154" i="7"/>
  <c r="AC134" i="7"/>
  <c r="AD134" i="7" s="1"/>
  <c r="AD70" i="25" s="1"/>
  <c r="O360" i="7"/>
  <c r="O1097" i="7"/>
  <c r="O1099" i="7" s="1"/>
  <c r="O84" i="25" s="1"/>
  <c r="AB111" i="25"/>
  <c r="AI70" i="11"/>
  <c r="AI73" i="11" s="1"/>
  <c r="AI74" i="11" s="1"/>
  <c r="L239" i="23"/>
  <c r="Z64" i="7"/>
  <c r="AX171" i="17"/>
  <c r="S484" i="7"/>
  <c r="AA46" i="7"/>
  <c r="AA502" i="7"/>
  <c r="K844" i="7"/>
  <c r="R478" i="7"/>
  <c r="R479" i="7" s="1"/>
  <c r="N102" i="7"/>
  <c r="N104" i="7" s="1"/>
  <c r="CL28" i="6"/>
  <c r="K505" i="7"/>
  <c r="P153" i="7"/>
  <c r="AA89" i="25"/>
  <c r="X794" i="7"/>
  <c r="X819" i="7" s="1"/>
  <c r="V12" i="7"/>
  <c r="U837" i="7"/>
  <c r="AA706" i="7"/>
  <c r="K240" i="7"/>
  <c r="S327" i="7"/>
  <c r="S358" i="7" s="1"/>
  <c r="S438" i="23"/>
  <c r="L12" i="7"/>
  <c r="O125" i="23"/>
  <c r="W350" i="23"/>
  <c r="T843" i="7"/>
  <c r="Z97" i="25"/>
  <c r="T17" i="6"/>
  <c r="Q17" i="6" s="1"/>
  <c r="AK30" i="6"/>
  <c r="AC993" i="7"/>
  <c r="AC1007" i="7" s="1"/>
  <c r="C201" i="2"/>
  <c r="AT201" i="2" s="1"/>
  <c r="Y1042" i="7"/>
  <c r="V11" i="7"/>
  <c r="K1104" i="7"/>
  <c r="AT49" i="11"/>
  <c r="W612" i="7"/>
  <c r="L394" i="7"/>
  <c r="L396" i="7" s="1"/>
  <c r="CF95" i="6"/>
  <c r="R603" i="7"/>
  <c r="P1001" i="7"/>
  <c r="P1015" i="7" s="1"/>
  <c r="U708" i="7"/>
  <c r="Y199" i="7"/>
  <c r="Y312" i="7" s="1"/>
  <c r="AA313" i="7" s="1"/>
  <c r="DI101" i="11"/>
  <c r="AB181" i="23" s="1"/>
  <c r="D110" i="2" s="1"/>
  <c r="AU110" i="2" s="1"/>
  <c r="I526" i="7"/>
  <c r="M26" i="7"/>
  <c r="K672" i="7"/>
  <c r="P183" i="7"/>
  <c r="CH49" i="11"/>
  <c r="AA255" i="7"/>
  <c r="AA256" i="7" s="1"/>
  <c r="AA897" i="7" s="1"/>
  <c r="AA907" i="7" s="1"/>
  <c r="X268" i="23"/>
  <c r="I486" i="7"/>
  <c r="X171" i="7"/>
  <c r="BN60" i="6"/>
  <c r="BO16" i="11"/>
  <c r="BO115" i="11" s="1"/>
  <c r="BP115" i="11" s="1"/>
  <c r="BQ115" i="11" s="1"/>
  <c r="U796" i="7"/>
  <c r="CM40" i="6" s="1"/>
  <c r="L696" i="7"/>
  <c r="L966" i="7" s="1"/>
  <c r="L977" i="7" s="1"/>
  <c r="BI115" i="11"/>
  <c r="BJ34" i="11"/>
  <c r="BK34" i="11" s="1"/>
  <c r="BL34" i="11" s="1"/>
  <c r="E317" i="2"/>
  <c r="DK10" i="11"/>
  <c r="DK12" i="11" s="1"/>
  <c r="AB230" i="7"/>
  <c r="ED20" i="6" s="1"/>
  <c r="L1057" i="7"/>
  <c r="L1060" i="7" s="1"/>
  <c r="L62" i="25" s="1"/>
  <c r="AJ24" i="6"/>
  <c r="AM475" i="7"/>
  <c r="DQ24" i="6"/>
  <c r="DW73" i="6" s="1"/>
  <c r="X93" i="25"/>
  <c r="DX46" i="6"/>
  <c r="DZ46" i="6" s="1"/>
  <c r="M478" i="7"/>
  <c r="M479" i="7" s="1"/>
  <c r="Z795" i="7"/>
  <c r="S98" i="25"/>
  <c r="AB473" i="7"/>
  <c r="D215" i="2" s="1"/>
  <c r="I813" i="7"/>
  <c r="R890" i="7"/>
  <c r="EB9" i="6"/>
  <c r="EB58" i="6" s="1"/>
  <c r="AY9" i="11"/>
  <c r="K455" i="23"/>
  <c r="Q84" i="23"/>
  <c r="J120" i="8"/>
  <c r="L248" i="7"/>
  <c r="AB1114" i="7"/>
  <c r="AD472" i="7"/>
  <c r="AE472" i="7" s="1"/>
  <c r="P1104" i="7"/>
  <c r="U96" i="25"/>
  <c r="DK70" i="11"/>
  <c r="AB1064" i="7"/>
  <c r="CN47" i="6"/>
  <c r="CN96" i="6" s="1"/>
  <c r="AA503" i="7"/>
  <c r="W841" i="7"/>
  <c r="H1098" i="7"/>
  <c r="N43" i="25"/>
  <c r="AJ35" i="6"/>
  <c r="Z11" i="7"/>
  <c r="AM11" i="7" s="1"/>
  <c r="S20" i="7"/>
  <c r="S21" i="7" s="1"/>
  <c r="S23" i="7" s="1"/>
  <c r="O346" i="23"/>
  <c r="T804" i="7"/>
  <c r="R93" i="25"/>
  <c r="Z1092" i="7"/>
  <c r="X35" i="6"/>
  <c r="I998" i="7"/>
  <c r="I1012" i="7" s="1"/>
  <c r="P1045" i="7"/>
  <c r="AA611" i="7"/>
  <c r="BB60" i="6"/>
  <c r="T227" i="7"/>
  <c r="CG18" i="6" s="1"/>
  <c r="CG67" i="6" s="1"/>
  <c r="DB71" i="11"/>
  <c r="BI16" i="11"/>
  <c r="EB63" i="6"/>
  <c r="Q454" i="7"/>
  <c r="G505" i="20"/>
  <c r="X505" i="20" s="1"/>
  <c r="K838" i="7"/>
  <c r="EE18" i="6"/>
  <c r="AB83" i="25"/>
  <c r="Y81" i="7"/>
  <c r="Y84" i="7" s="1"/>
  <c r="V434" i="23"/>
  <c r="AB20" i="7"/>
  <c r="AB21" i="7" s="1"/>
  <c r="AB23" i="7" s="1"/>
  <c r="AJ33" i="6"/>
  <c r="Q487" i="7"/>
  <c r="AB70" i="25"/>
  <c r="H109" i="25"/>
  <c r="S242" i="7"/>
  <c r="AX70" i="11"/>
  <c r="AX73" i="11" s="1"/>
  <c r="U136" i="25"/>
  <c r="CM33" i="6"/>
  <c r="CX85" i="6"/>
  <c r="H534" i="7"/>
  <c r="V39" i="25"/>
  <c r="W172" i="25"/>
  <c r="BP13" i="11"/>
  <c r="S147" i="23" s="1"/>
  <c r="BO26" i="11" s="1"/>
  <c r="W110" i="25"/>
  <c r="AR25" i="6"/>
  <c r="AM788" i="7"/>
  <c r="L433" i="23"/>
  <c r="O611" i="7"/>
  <c r="M423" i="23"/>
  <c r="AC500" i="7"/>
  <c r="N36" i="7"/>
  <c r="AA704" i="7"/>
  <c r="S74" i="25"/>
  <c r="Q1070" i="7"/>
  <c r="Q1071" i="7" s="1"/>
  <c r="Q67" i="25" s="1"/>
  <c r="Z731" i="7"/>
  <c r="AM731" i="7" s="1"/>
  <c r="AB239" i="23"/>
  <c r="AB12" i="7"/>
  <c r="AM588" i="7"/>
  <c r="X842" i="7"/>
  <c r="AN116" i="11"/>
  <c r="R423" i="23"/>
  <c r="R435" i="23" s="1"/>
  <c r="DQ28" i="6"/>
  <c r="DW77" i="6" s="1"/>
  <c r="DF19" i="6"/>
  <c r="H19" i="6"/>
  <c r="T116" i="11"/>
  <c r="AC332" i="7"/>
  <c r="Y473" i="7"/>
  <c r="Y511" i="7" s="1"/>
  <c r="AN70" i="11"/>
  <c r="AQ70" i="11" s="1"/>
  <c r="N184" i="23" s="1"/>
  <c r="N24" i="25" s="1"/>
  <c r="Z1080" i="7"/>
  <c r="I43" i="25"/>
  <c r="DK33" i="6"/>
  <c r="Q330" i="7"/>
  <c r="M1119" i="7"/>
  <c r="Z126" i="8"/>
  <c r="AM31" i="7"/>
  <c r="K1139" i="7"/>
  <c r="K1140" i="7" s="1"/>
  <c r="K107" i="25" s="1"/>
  <c r="BC33" i="6"/>
  <c r="M499" i="7"/>
  <c r="S527" i="7"/>
  <c r="AA997" i="7"/>
  <c r="AA1011" i="7" s="1"/>
  <c r="M269" i="7"/>
  <c r="AA1097" i="7"/>
  <c r="V110" i="25"/>
  <c r="P1079" i="7"/>
  <c r="N611" i="7"/>
  <c r="W147" i="7"/>
  <c r="V841" i="7"/>
  <c r="V718" i="7"/>
  <c r="AB43" i="25"/>
  <c r="T1105" i="7"/>
  <c r="CT28" i="6"/>
  <c r="CT77" i="6" s="1"/>
  <c r="CH33" i="6"/>
  <c r="I1017" i="7"/>
  <c r="R695" i="7"/>
  <c r="R723" i="7" s="1"/>
  <c r="Z41" i="6"/>
  <c r="BN13" i="11"/>
  <c r="AP32" i="6"/>
  <c r="M473" i="7"/>
  <c r="M501" i="7" s="1"/>
  <c r="H136" i="25"/>
  <c r="H695" i="7"/>
  <c r="H723" i="7" s="1"/>
  <c r="V1092" i="7"/>
  <c r="U489" i="7"/>
  <c r="T80" i="11"/>
  <c r="S10" i="6"/>
  <c r="M600" i="7"/>
  <c r="U1063" i="7"/>
  <c r="Z600" i="7"/>
  <c r="AM600" i="7" s="1"/>
  <c r="Z55" i="23"/>
  <c r="T679" i="7"/>
  <c r="P483" i="7"/>
  <c r="AB995" i="7"/>
  <c r="AB1009" i="7" s="1"/>
  <c r="L1001" i="7"/>
  <c r="L1015" i="7" s="1"/>
  <c r="K489" i="7"/>
  <c r="R156" i="7"/>
  <c r="R126" i="23"/>
  <c r="R335" i="7"/>
  <c r="DJ62" i="11"/>
  <c r="CB44" i="6"/>
  <c r="CB93" i="6" s="1"/>
  <c r="R348" i="23"/>
  <c r="P327" i="7"/>
  <c r="P358" i="7" s="1"/>
  <c r="R1042" i="7"/>
  <c r="K801" i="7"/>
  <c r="J93" i="25"/>
  <c r="Z438" i="23"/>
  <c r="S230" i="7"/>
  <c r="CB20" i="6" s="1"/>
  <c r="AA242" i="7"/>
  <c r="R380" i="23"/>
  <c r="V411" i="23"/>
  <c r="I20" i="7"/>
  <c r="I21" i="7" s="1"/>
  <c r="CD16" i="11"/>
  <c r="CE16" i="11" s="1"/>
  <c r="V183" i="23" s="1"/>
  <c r="V23" i="25" s="1"/>
  <c r="M39" i="25"/>
  <c r="T269" i="23"/>
  <c r="CS32" i="6"/>
  <c r="DK9" i="6"/>
  <c r="S247" i="7"/>
  <c r="G696" i="7"/>
  <c r="G966" i="7" s="1"/>
  <c r="L241" i="23"/>
  <c r="L242" i="23" s="1"/>
  <c r="AC153" i="7"/>
  <c r="AA109" i="25"/>
  <c r="R963" i="7"/>
  <c r="R974" i="7" s="1"/>
  <c r="AC46" i="7"/>
  <c r="L851" i="7"/>
  <c r="AK47" i="6" s="1"/>
  <c r="Y526" i="7"/>
  <c r="L1114" i="7"/>
  <c r="CG60" i="6"/>
  <c r="T603" i="7"/>
  <c r="AY58" i="11"/>
  <c r="AA198" i="7"/>
  <c r="C189" i="2" s="1"/>
  <c r="CA8" i="6"/>
  <c r="CG57" i="6" s="1"/>
  <c r="CC49" i="11"/>
  <c r="BD58" i="11"/>
  <c r="DO47" i="6"/>
  <c r="Z33" i="25"/>
  <c r="DV63" i="6"/>
  <c r="AP45" i="17"/>
  <c r="DP50" i="11"/>
  <c r="DU47" i="11"/>
  <c r="DZ47" i="11" s="1"/>
  <c r="G307" i="20"/>
  <c r="X307" i="20" s="1"/>
  <c r="AB137" i="25"/>
  <c r="AB1102" i="7"/>
  <c r="DG18" i="6"/>
  <c r="T98" i="25"/>
  <c r="Q1043" i="7"/>
  <c r="L1120" i="7"/>
  <c r="BE16" i="6"/>
  <c r="BK65" i="6" s="1"/>
  <c r="BQ40" i="6"/>
  <c r="W11" i="7"/>
  <c r="J90" i="25"/>
  <c r="K53" i="7"/>
  <c r="K57" i="7" s="1"/>
  <c r="AC731" i="7"/>
  <c r="AC743" i="7" s="1"/>
  <c r="M254" i="23"/>
  <c r="X843" i="7"/>
  <c r="N865" i="7"/>
  <c r="H81" i="25"/>
  <c r="Q806" i="7"/>
  <c r="T805" i="7"/>
  <c r="Y251" i="7"/>
  <c r="Y818" i="7"/>
  <c r="L157" i="7"/>
  <c r="M246" i="23"/>
  <c r="AR41" i="6"/>
  <c r="AR90" i="6" s="1"/>
  <c r="J98" i="25"/>
  <c r="Z1043" i="7"/>
  <c r="AM1043" i="7" s="1"/>
  <c r="D212" i="2"/>
  <c r="AU212" i="2" s="1"/>
  <c r="R814" i="7"/>
  <c r="Y1110" i="7"/>
  <c r="R1044" i="7"/>
  <c r="V1111" i="7"/>
  <c r="T963" i="7"/>
  <c r="T974" i="7" s="1"/>
  <c r="X801" i="7"/>
  <c r="W694" i="7"/>
  <c r="W722" i="7" s="1"/>
  <c r="DF41" i="6"/>
  <c r="DF90" i="6" s="1"/>
  <c r="I865" i="7"/>
  <c r="Z535" i="7"/>
  <c r="AM535" i="7" s="1"/>
  <c r="O1045" i="7"/>
  <c r="T680" i="7"/>
  <c r="H307" i="20"/>
  <c r="Y307" i="20" s="1"/>
  <c r="P1017" i="7"/>
  <c r="Y709" i="7"/>
  <c r="Y229" i="7"/>
  <c r="K149" i="7"/>
  <c r="U499" i="7"/>
  <c r="W691" i="7"/>
  <c r="X1122" i="7"/>
  <c r="BQ16" i="6"/>
  <c r="BW65" i="6" s="1"/>
  <c r="AM17" i="6"/>
  <c r="AS66" i="6" s="1"/>
  <c r="I243" i="7"/>
  <c r="BE40" i="6"/>
  <c r="BE89" i="6" s="1"/>
  <c r="BW45" i="6"/>
  <c r="O838" i="7"/>
  <c r="Q1138" i="7"/>
  <c r="AB337" i="7"/>
  <c r="BJ21" i="6"/>
  <c r="K111" i="8"/>
  <c r="AC111" i="25"/>
  <c r="AX47" i="6"/>
  <c r="AX96" i="6" s="1"/>
  <c r="P1110" i="7"/>
  <c r="AC995" i="7"/>
  <c r="AC1009" i="7" s="1"/>
  <c r="AA93" i="25"/>
  <c r="Z1017" i="7"/>
  <c r="AM1017" i="7" s="1"/>
  <c r="Z192" i="8"/>
  <c r="K483" i="7"/>
  <c r="J998" i="7"/>
  <c r="J1012" i="7" s="1"/>
  <c r="X196" i="8"/>
  <c r="J360" i="7"/>
  <c r="R256" i="8"/>
  <c r="W995" i="7"/>
  <c r="W1009" i="7" s="1"/>
  <c r="BI58" i="11"/>
  <c r="BF58" i="11"/>
  <c r="Q185" i="23" s="1"/>
  <c r="Q25" i="25" s="1"/>
  <c r="CD171" i="17"/>
  <c r="DU62" i="11"/>
  <c r="DX62" i="11" s="1"/>
  <c r="DZ62" i="11" s="1"/>
  <c r="EA62" i="11" s="1"/>
  <c r="AE231" i="23" s="1"/>
  <c r="AT90" i="17"/>
  <c r="G509" i="20"/>
  <c r="X509" i="20" s="1"/>
  <c r="DI54" i="6"/>
  <c r="CH58" i="11"/>
  <c r="F174" i="20"/>
  <c r="W174" i="20" s="1"/>
  <c r="BU57" i="11"/>
  <c r="BV57" i="11" s="1"/>
  <c r="CM7" i="11"/>
  <c r="AV146" i="2"/>
  <c r="DG15" i="11"/>
  <c r="U13" i="11"/>
  <c r="DQ62" i="11"/>
  <c r="CH102" i="11"/>
  <c r="CH171" i="17"/>
  <c r="F177" i="20"/>
  <c r="W177" i="20" s="1"/>
  <c r="DL7" i="11"/>
  <c r="AL62" i="11"/>
  <c r="M176" i="23" s="1"/>
  <c r="M16" i="25" s="1"/>
  <c r="CH86" i="6"/>
  <c r="CB36" i="6"/>
  <c r="BY36" i="6" s="1"/>
  <c r="CJ58" i="11"/>
  <c r="W185" i="23" s="1"/>
  <c r="W25" i="25" s="1"/>
  <c r="Z243" i="7"/>
  <c r="AM243" i="7" s="1"/>
  <c r="AE216" i="17"/>
  <c r="CU225" i="17"/>
  <c r="R321" i="23"/>
  <c r="H505" i="7"/>
  <c r="L71" i="25"/>
  <c r="BO24" i="6"/>
  <c r="BO73" i="6" s="1"/>
  <c r="AA1026" i="7"/>
  <c r="Q1098" i="7"/>
  <c r="S158" i="7"/>
  <c r="S335" i="7"/>
  <c r="AJ31" i="6"/>
  <c r="AI31" i="6" s="1"/>
  <c r="AI80" i="6" s="1"/>
  <c r="K65" i="25"/>
  <c r="T147" i="7"/>
  <c r="AB679" i="7"/>
  <c r="CI8" i="11"/>
  <c r="CJ8" i="11" s="1"/>
  <c r="W142" i="23" s="1"/>
  <c r="CI21" i="11" s="1"/>
  <c r="BO8" i="6"/>
  <c r="S155" i="23"/>
  <c r="T43" i="25"/>
  <c r="W859" i="7"/>
  <c r="BZ28" i="6"/>
  <c r="J221" i="7"/>
  <c r="DD33" i="6"/>
  <c r="DD82" i="6" s="1"/>
  <c r="H154" i="7"/>
  <c r="L144" i="17"/>
  <c r="S366" i="23"/>
  <c r="Q311" i="7"/>
  <c r="T354" i="7"/>
  <c r="S464" i="7"/>
  <c r="T465" i="7" s="1"/>
  <c r="J1001" i="7"/>
  <c r="J1015" i="7" s="1"/>
  <c r="Q46" i="7"/>
  <c r="S502" i="7"/>
  <c r="N484" i="7"/>
  <c r="R837" i="7"/>
  <c r="N528" i="7"/>
  <c r="O45" i="7"/>
  <c r="W865" i="7"/>
  <c r="Y308" i="7"/>
  <c r="Y309" i="7" s="1"/>
  <c r="O198" i="7"/>
  <c r="O60" i="25" s="1"/>
  <c r="AA195" i="8"/>
  <c r="AB884" i="7"/>
  <c r="Z434" i="23"/>
  <c r="L149" i="7"/>
  <c r="N26" i="17"/>
  <c r="U503" i="7"/>
  <c r="AB1038" i="7"/>
  <c r="T262" i="7"/>
  <c r="Q192" i="7"/>
  <c r="L1063" i="7"/>
  <c r="AD35" i="6"/>
  <c r="AK45" i="6"/>
  <c r="D208" i="2"/>
  <c r="AU208" i="2" s="1"/>
  <c r="S1057" i="7"/>
  <c r="W1104" i="7"/>
  <c r="AV14" i="26"/>
  <c r="T366" i="23"/>
  <c r="CZ47" i="6"/>
  <c r="DF96" i="6" s="1"/>
  <c r="X610" i="7"/>
  <c r="H502" i="7"/>
  <c r="J610" i="7"/>
  <c r="P466" i="23"/>
  <c r="DN63" i="11"/>
  <c r="AC177" i="23" s="1"/>
  <c r="E106" i="2" s="1"/>
  <c r="AV106" i="2" s="1"/>
  <c r="AA836" i="7"/>
  <c r="P189" i="7"/>
  <c r="X1081" i="7"/>
  <c r="S323" i="7"/>
  <c r="S344" i="7" s="1"/>
  <c r="Q76" i="25"/>
  <c r="AC348" i="23"/>
  <c r="K678" i="7"/>
  <c r="AL45" i="17"/>
  <c r="Q105" i="17"/>
  <c r="O603" i="7"/>
  <c r="T190" i="7"/>
  <c r="AO7" i="11"/>
  <c r="J1120" i="7"/>
  <c r="CC18" i="6"/>
  <c r="AG216" i="17"/>
  <c r="BI68" i="17"/>
  <c r="S602" i="7"/>
  <c r="W666" i="7"/>
  <c r="W669" i="7" s="1"/>
  <c r="DQ30" i="6"/>
  <c r="AC588" i="7"/>
  <c r="AD588" i="7" s="1"/>
  <c r="P429" i="23"/>
  <c r="S180" i="7"/>
  <c r="T186" i="7"/>
  <c r="EJ8" i="6"/>
  <c r="EJ57" i="6" s="1"/>
  <c r="S1079" i="7"/>
  <c r="S1083" i="7" s="1"/>
  <c r="S75" i="25" s="1"/>
  <c r="Q186" i="7"/>
  <c r="S192" i="7"/>
  <c r="L405" i="23"/>
  <c r="CY35" i="6"/>
  <c r="DE84" i="6" s="1"/>
  <c r="BA6" i="6"/>
  <c r="BA55" i="6" s="1"/>
  <c r="I705" i="7"/>
  <c r="DL63" i="11"/>
  <c r="Q611" i="7"/>
  <c r="S191" i="7"/>
  <c r="S268" i="23"/>
  <c r="S486" i="7"/>
  <c r="S455" i="23"/>
  <c r="CC102" i="11"/>
  <c r="O411" i="23"/>
  <c r="AX86" i="6"/>
  <c r="AR36" i="6"/>
  <c r="AO36" i="6" s="1"/>
  <c r="F187" i="20"/>
  <c r="W187" i="20" s="1"/>
  <c r="AJ85" i="6"/>
  <c r="H184" i="20"/>
  <c r="Y184" i="20" s="1"/>
  <c r="H186" i="20"/>
  <c r="Y186" i="20" s="1"/>
  <c r="AT34" i="11"/>
  <c r="BJ86" i="6"/>
  <c r="BZ13" i="11"/>
  <c r="CA13" i="11" s="1"/>
  <c r="BG95" i="6"/>
  <c r="CL10" i="11"/>
  <c r="BX13" i="11"/>
  <c r="Z13" i="11"/>
  <c r="BS9" i="11"/>
  <c r="AX35" i="6"/>
  <c r="N674" i="7"/>
  <c r="T30" i="6"/>
  <c r="I1104" i="7"/>
  <c r="M250" i="7"/>
  <c r="M997" i="7"/>
  <c r="M1011" i="7" s="1"/>
  <c r="M255" i="7"/>
  <c r="M256" i="7" s="1"/>
  <c r="M897" i="7" s="1"/>
  <c r="M907" i="7" s="1"/>
  <c r="H177" i="7"/>
  <c r="N8" i="6"/>
  <c r="N57" i="6" s="1"/>
  <c r="H191" i="7"/>
  <c r="Z14" i="26"/>
  <c r="AC8" i="17"/>
  <c r="BA7" i="17"/>
  <c r="AX13" i="26"/>
  <c r="CL82" i="17"/>
  <c r="CL90" i="17" s="1"/>
  <c r="AA60" i="23"/>
  <c r="AA67" i="23" s="1"/>
  <c r="AA423" i="23"/>
  <c r="AA435" i="23" s="1"/>
  <c r="AA42" i="23"/>
  <c r="DC9" i="11" s="1"/>
  <c r="DD9" i="11" s="1"/>
  <c r="DE9" i="11" s="1"/>
  <c r="P91" i="7"/>
  <c r="Q93" i="7" s="1"/>
  <c r="P93" i="7"/>
  <c r="P99" i="7" s="1"/>
  <c r="O736" i="7"/>
  <c r="O725" i="7"/>
  <c r="G1138" i="7"/>
  <c r="AA1138" i="7"/>
  <c r="X859" i="7"/>
  <c r="Q551" i="7"/>
  <c r="Q583" i="7" s="1"/>
  <c r="Q581" i="7"/>
  <c r="AL20" i="26"/>
  <c r="AO14" i="17"/>
  <c r="AC185" i="17"/>
  <c r="AA736" i="7"/>
  <c r="AA748" i="7" s="1"/>
  <c r="AB714" i="7"/>
  <c r="AD9" i="6"/>
  <c r="AD58" i="6" s="1"/>
  <c r="L20" i="7"/>
  <c r="L21" i="7" s="1"/>
  <c r="W611" i="7"/>
  <c r="W1059" i="7"/>
  <c r="R252" i="7"/>
  <c r="BT18" i="6"/>
  <c r="CQ7" i="6"/>
  <c r="CW56" i="6" s="1"/>
  <c r="V153" i="7"/>
  <c r="CG117" i="11"/>
  <c r="T1059" i="7"/>
  <c r="T611" i="7"/>
  <c r="CF28" i="6"/>
  <c r="O172" i="7"/>
  <c r="O25" i="7"/>
  <c r="P26" i="7" s="1"/>
  <c r="O184" i="7"/>
  <c r="X70" i="25"/>
  <c r="X155" i="7"/>
  <c r="AM590" i="7"/>
  <c r="Z602" i="7"/>
  <c r="AM602" i="7" s="1"/>
  <c r="V109" i="25"/>
  <c r="V709" i="7"/>
  <c r="V203" i="7"/>
  <c r="V720" i="7"/>
  <c r="K673" i="7"/>
  <c r="AE35" i="6"/>
  <c r="K311" i="7"/>
  <c r="J76" i="25"/>
  <c r="AX117" i="11"/>
  <c r="BA7" i="6"/>
  <c r="AW45" i="6"/>
  <c r="N1092" i="7"/>
  <c r="Q837" i="7"/>
  <c r="Q843" i="7"/>
  <c r="Q1112" i="7"/>
  <c r="BS6" i="6"/>
  <c r="BM116" i="11"/>
  <c r="R39" i="25"/>
  <c r="X46" i="7"/>
  <c r="X37" i="7"/>
  <c r="AA346" i="7"/>
  <c r="AA323" i="7"/>
  <c r="AA344" i="7" s="1"/>
  <c r="C192" i="2"/>
  <c r="AT192" i="2" s="1"/>
  <c r="P172" i="7"/>
  <c r="P190" i="7"/>
  <c r="AF45" i="6"/>
  <c r="AL94" i="6" s="1"/>
  <c r="K1112" i="7"/>
  <c r="K843" i="7"/>
  <c r="AA1063" i="7"/>
  <c r="AA505" i="7"/>
  <c r="X80" i="25"/>
  <c r="X41" i="7"/>
  <c r="O173" i="25"/>
  <c r="P884" i="7"/>
  <c r="Q166" i="7"/>
  <c r="BN10" i="6"/>
  <c r="BT59" i="6" s="1"/>
  <c r="CD15" i="11"/>
  <c r="CE15" i="11" s="1"/>
  <c r="V149" i="23" s="1"/>
  <c r="V4" i="23"/>
  <c r="O79" i="7"/>
  <c r="P81" i="7" s="1"/>
  <c r="O81" i="7"/>
  <c r="O84" i="7" s="1"/>
  <c r="U192" i="7"/>
  <c r="U43" i="25"/>
  <c r="CB118" i="11"/>
  <c r="CE118" i="11" s="1"/>
  <c r="CF118" i="11" s="1"/>
  <c r="U366" i="23"/>
  <c r="Y20" i="7"/>
  <c r="Y21" i="7" s="1"/>
  <c r="Y23" i="7" s="1"/>
  <c r="W25" i="7"/>
  <c r="X26" i="7" s="1"/>
  <c r="W69" i="25"/>
  <c r="CY8" i="6"/>
  <c r="W135" i="7"/>
  <c r="X136" i="7" s="1"/>
  <c r="J77" i="25"/>
  <c r="Y35" i="6"/>
  <c r="J679" i="7"/>
  <c r="R56" i="25"/>
  <c r="R147" i="8"/>
  <c r="N82" i="17"/>
  <c r="M82" i="17" s="1"/>
  <c r="H60" i="23"/>
  <c r="H423" i="23"/>
  <c r="F201" i="20"/>
  <c r="W201" i="20" s="1"/>
  <c r="Z421" i="7"/>
  <c r="AM421" i="7" s="1"/>
  <c r="U1043" i="7"/>
  <c r="X26" i="17"/>
  <c r="S216" i="17"/>
  <c r="U216" i="17"/>
  <c r="AA486" i="7"/>
  <c r="BZ32" i="6"/>
  <c r="K135" i="7"/>
  <c r="L136" i="7" s="1"/>
  <c r="DQ33" i="6"/>
  <c r="AC185" i="7"/>
  <c r="R841" i="7"/>
  <c r="DV30" i="6"/>
  <c r="R126" i="7"/>
  <c r="Y60" i="8"/>
  <c r="Q154" i="7"/>
  <c r="AD668" i="7"/>
  <c r="EP35" i="6" s="1"/>
  <c r="EP84" i="6" s="1"/>
  <c r="S835" i="7"/>
  <c r="BB47" i="6"/>
  <c r="W860" i="7"/>
  <c r="I173" i="25"/>
  <c r="I890" i="7"/>
  <c r="Q1064" i="7"/>
  <c r="BN32" i="6"/>
  <c r="J502" i="7"/>
  <c r="J1057" i="7"/>
  <c r="J486" i="7"/>
  <c r="O71" i="25"/>
  <c r="BC9" i="6"/>
  <c r="W324" i="7"/>
  <c r="CS30" i="6"/>
  <c r="V76" i="25"/>
  <c r="V354" i="7"/>
  <c r="EC28" i="6"/>
  <c r="EC77" i="6" s="1"/>
  <c r="AC591" i="7"/>
  <c r="AD591" i="7" s="1"/>
  <c r="J816" i="7"/>
  <c r="J92" i="25"/>
  <c r="H336" i="7"/>
  <c r="H76" i="25"/>
  <c r="H354" i="7"/>
  <c r="Q1075" i="7"/>
  <c r="Q841" i="7"/>
  <c r="H192" i="7"/>
  <c r="H189" i="7"/>
  <c r="CL30" i="6"/>
  <c r="U346" i="7"/>
  <c r="M155" i="7"/>
  <c r="N147" i="7"/>
  <c r="AQ28" i="6"/>
  <c r="AQ77" i="6" s="1"/>
  <c r="M613" i="7"/>
  <c r="DQ32" i="6"/>
  <c r="DW81" i="6" s="1"/>
  <c r="Z527" i="7"/>
  <c r="AM527" i="7" s="1"/>
  <c r="X77" i="25"/>
  <c r="X679" i="7"/>
  <c r="BB45" i="6"/>
  <c r="O841" i="7"/>
  <c r="AM296" i="7"/>
  <c r="DP30" i="6"/>
  <c r="Z63" i="25"/>
  <c r="I866" i="7"/>
  <c r="I860" i="7"/>
  <c r="BB33" i="6"/>
  <c r="BH82" i="6" s="1"/>
  <c r="O610" i="7"/>
  <c r="P600" i="7"/>
  <c r="M9" i="6"/>
  <c r="H71" i="25"/>
  <c r="H47" i="7"/>
  <c r="K155" i="7"/>
  <c r="K70" i="25"/>
  <c r="K171" i="7"/>
  <c r="I1079" i="7"/>
  <c r="I503" i="7"/>
  <c r="S24" i="6"/>
  <c r="P534" i="7"/>
  <c r="P527" i="7"/>
  <c r="BI32" i="6"/>
  <c r="L1082" i="7"/>
  <c r="L612" i="7"/>
  <c r="L602" i="7"/>
  <c r="AK35" i="6"/>
  <c r="L77" i="25"/>
  <c r="L679" i="7"/>
  <c r="D200" i="2"/>
  <c r="F375" i="20" s="1"/>
  <c r="W375" i="20" s="1"/>
  <c r="AB135" i="7"/>
  <c r="AC136" i="7" s="1"/>
  <c r="DQ40" i="6"/>
  <c r="DQ89" i="6" s="1"/>
  <c r="Z821" i="7"/>
  <c r="AM821" i="7" s="1"/>
  <c r="R92" i="25"/>
  <c r="R816" i="7"/>
  <c r="R969" i="7"/>
  <c r="R980" i="7" s="1"/>
  <c r="I177" i="7"/>
  <c r="T8" i="6"/>
  <c r="K1092" i="7"/>
  <c r="K836" i="7"/>
  <c r="AE45" i="6"/>
  <c r="AE94" i="6" s="1"/>
  <c r="AK32" i="6"/>
  <c r="AQ81" i="6" s="1"/>
  <c r="L534" i="7"/>
  <c r="R155" i="7"/>
  <c r="S147" i="7"/>
  <c r="R10" i="6"/>
  <c r="I154" i="7"/>
  <c r="AD8" i="6"/>
  <c r="AJ57" i="6" s="1"/>
  <c r="K183" i="7"/>
  <c r="CB116" i="11"/>
  <c r="CH116" i="11" s="1"/>
  <c r="U39" i="25"/>
  <c r="U36" i="7"/>
  <c r="U126" i="7"/>
  <c r="U114" i="7" s="1"/>
  <c r="U116" i="7" s="1"/>
  <c r="V118" i="7" s="1"/>
  <c r="N551" i="7"/>
  <c r="N583" i="7" s="1"/>
  <c r="O564" i="7"/>
  <c r="O567" i="7" s="1"/>
  <c r="S157" i="7"/>
  <c r="CC17" i="6"/>
  <c r="N337" i="7"/>
  <c r="N1104" i="7"/>
  <c r="L1096" i="7"/>
  <c r="L695" i="7"/>
  <c r="L723" i="7" s="1"/>
  <c r="L156" i="7"/>
  <c r="BJ13" i="26"/>
  <c r="BM7" i="17"/>
  <c r="AL86" i="11"/>
  <c r="M179" i="23" s="1"/>
  <c r="M19" i="25" s="1"/>
  <c r="AV24" i="17"/>
  <c r="P20" i="7"/>
  <c r="P21" i="7" s="1"/>
  <c r="AM474" i="7"/>
  <c r="N530" i="7"/>
  <c r="U38" i="7"/>
  <c r="H33" i="6"/>
  <c r="U601" i="7"/>
  <c r="AC12" i="17"/>
  <c r="BN26" i="17"/>
  <c r="BN24" i="17"/>
  <c r="AE8" i="6"/>
  <c r="AI80" i="11"/>
  <c r="S457" i="23"/>
  <c r="W125" i="23"/>
  <c r="I185" i="7"/>
  <c r="CX28" i="6"/>
  <c r="AC1001" i="7"/>
  <c r="AC1015" i="7" s="1"/>
  <c r="AC239" i="23"/>
  <c r="AA46" i="8"/>
  <c r="AB528" i="7"/>
  <c r="Q97" i="25"/>
  <c r="Q813" i="7"/>
  <c r="Y995" i="7"/>
  <c r="Y1009" i="7" s="1"/>
  <c r="Y719" i="7"/>
  <c r="AA125" i="23"/>
  <c r="AA319" i="23"/>
  <c r="M866" i="7"/>
  <c r="N860" i="7"/>
  <c r="U115" i="11"/>
  <c r="L99" i="25"/>
  <c r="L262" i="7"/>
  <c r="Q255" i="7"/>
  <c r="Q250" i="7"/>
  <c r="R83" i="25"/>
  <c r="R499" i="7"/>
  <c r="DC34" i="11"/>
  <c r="DD34" i="11" s="1"/>
  <c r="DE34" i="11" s="1"/>
  <c r="DC7" i="11"/>
  <c r="DD7" i="11" s="1"/>
  <c r="AA172" i="23" s="1"/>
  <c r="AA12" i="25" s="1"/>
  <c r="R114" i="8"/>
  <c r="T252" i="7"/>
  <c r="CF18" i="6"/>
  <c r="I434" i="23"/>
  <c r="L221" i="7"/>
  <c r="L172" i="25"/>
  <c r="CA9" i="6"/>
  <c r="S171" i="7"/>
  <c r="AC310" i="7"/>
  <c r="AC76" i="25" s="1"/>
  <c r="D207" i="2"/>
  <c r="AU207" i="2" s="1"/>
  <c r="CF45" i="6"/>
  <c r="T841" i="7"/>
  <c r="V1063" i="7"/>
  <c r="V489" i="7"/>
  <c r="L192" i="7"/>
  <c r="L43" i="25"/>
  <c r="CR64" i="11"/>
  <c r="N172" i="25"/>
  <c r="N221" i="7"/>
  <c r="N65" i="25"/>
  <c r="AV35" i="6"/>
  <c r="I319" i="23"/>
  <c r="V114" i="8"/>
  <c r="BZ63" i="11"/>
  <c r="U177" i="23" s="1"/>
  <c r="U17" i="25" s="1"/>
  <c r="Z125" i="23"/>
  <c r="P411" i="23"/>
  <c r="AM472" i="7"/>
  <c r="Z484" i="7"/>
  <c r="AM484" i="7" s="1"/>
  <c r="AB93" i="7"/>
  <c r="AB99" i="7" s="1"/>
  <c r="CC106" i="17"/>
  <c r="CC105" i="17" s="1"/>
  <c r="Q65" i="23"/>
  <c r="X105" i="23"/>
  <c r="I429" i="23"/>
  <c r="AK24" i="6"/>
  <c r="L1079" i="7"/>
  <c r="X680" i="7"/>
  <c r="DF35" i="6"/>
  <c r="DL84" i="6" s="1"/>
  <c r="J146" i="7"/>
  <c r="AM164" i="7"/>
  <c r="Z167" i="7"/>
  <c r="AM167" i="7" s="1"/>
  <c r="U172" i="25"/>
  <c r="U215" i="7"/>
  <c r="AZ49" i="11"/>
  <c r="BA49" i="11" s="1"/>
  <c r="BB49" i="11" s="1"/>
  <c r="AZ48" i="11"/>
  <c r="S215" i="7"/>
  <c r="O884" i="7"/>
  <c r="AD24" i="6"/>
  <c r="K502" i="7"/>
  <c r="Q135" i="23"/>
  <c r="Z250" i="8"/>
  <c r="AA473" i="23"/>
  <c r="K55" i="23"/>
  <c r="S62" i="8"/>
  <c r="BS115" i="11"/>
  <c r="V243" i="7"/>
  <c r="H484" i="7"/>
  <c r="AC176" i="7"/>
  <c r="AB805" i="7"/>
  <c r="W185" i="7"/>
  <c r="AC126" i="23"/>
  <c r="DQ100" i="11"/>
  <c r="N268" i="23"/>
  <c r="P467" i="23"/>
  <c r="J311" i="7"/>
  <c r="I38" i="7"/>
  <c r="Q859" i="7"/>
  <c r="U835" i="7"/>
  <c r="J600" i="7"/>
  <c r="P186" i="7"/>
  <c r="L487" i="7"/>
  <c r="Q54" i="6"/>
  <c r="Y268" i="23"/>
  <c r="V125" i="23"/>
  <c r="P434" i="23"/>
  <c r="CC63" i="11"/>
  <c r="R457" i="23"/>
  <c r="V20" i="7"/>
  <c r="V21" i="7" s="1"/>
  <c r="V23" i="7" s="1"/>
  <c r="X467" i="23"/>
  <c r="T40" i="7"/>
  <c r="H243" i="7"/>
  <c r="H176" i="7"/>
  <c r="S243" i="7"/>
  <c r="K456" i="23"/>
  <c r="U135" i="23"/>
  <c r="X20" i="7"/>
  <c r="X21" i="7" s="1"/>
  <c r="X23" i="7" s="1"/>
  <c r="AC136" i="23"/>
  <c r="Y180" i="7"/>
  <c r="N672" i="7"/>
  <c r="W166" i="7"/>
  <c r="DL34" i="11"/>
  <c r="AM237" i="20"/>
  <c r="AO280" i="20"/>
  <c r="AN255" i="20"/>
  <c r="AO224" i="20"/>
  <c r="AQ149" i="20"/>
  <c r="R101" i="11"/>
  <c r="I181" i="23" s="1"/>
  <c r="I21" i="25" s="1"/>
  <c r="AV85" i="11"/>
  <c r="O180" i="23" s="1"/>
  <c r="O20" i="25" s="1"/>
  <c r="AQ280" i="20"/>
  <c r="AR60" i="20"/>
  <c r="AP221" i="20"/>
  <c r="AN35" i="20"/>
  <c r="AM226" i="20"/>
  <c r="DO11" i="6"/>
  <c r="CR9" i="11"/>
  <c r="DD8" i="11"/>
  <c r="AA173" i="23" s="1"/>
  <c r="AA13" i="25" s="1"/>
  <c r="BM95" i="6"/>
  <c r="ED86" i="6"/>
  <c r="AD15" i="6"/>
  <c r="BZ49" i="11"/>
  <c r="CA49" i="11" s="1"/>
  <c r="AT64" i="11"/>
  <c r="BN171" i="17"/>
  <c r="CM34" i="11"/>
  <c r="DG9" i="11"/>
  <c r="CO85" i="11"/>
  <c r="X180" i="23" s="1"/>
  <c r="X20" i="25" s="1"/>
  <c r="R62" i="11"/>
  <c r="I176" i="23" s="1"/>
  <c r="I16" i="25" s="1"/>
  <c r="AU223" i="2"/>
  <c r="DN118" i="11"/>
  <c r="AC186" i="23" s="1"/>
  <c r="AY85" i="11"/>
  <c r="DO95" i="6"/>
  <c r="G185" i="20"/>
  <c r="X185" i="20" s="1"/>
  <c r="F504" i="20"/>
  <c r="W504" i="20" s="1"/>
  <c r="CO207" i="17"/>
  <c r="CO13" i="11"/>
  <c r="X147" i="23" s="1"/>
  <c r="CN26" i="11" s="1"/>
  <c r="BS7" i="11"/>
  <c r="Q127" i="17"/>
  <c r="BD115" i="11"/>
  <c r="DB64" i="11"/>
  <c r="W58" i="11"/>
  <c r="W59" i="11" s="1"/>
  <c r="J24" i="23" s="1"/>
  <c r="DG64" i="11"/>
  <c r="BI60" i="6"/>
  <c r="U58" i="11"/>
  <c r="BH15" i="6"/>
  <c r="CM64" i="11"/>
  <c r="AY15" i="11"/>
  <c r="BM166" i="17"/>
  <c r="DX36" i="6"/>
  <c r="DU36" i="6" s="1"/>
  <c r="DG34" i="11"/>
  <c r="CT193" i="17"/>
  <c r="BK100" i="11"/>
  <c r="R182" i="23" s="1"/>
  <c r="R22" i="25" s="1"/>
  <c r="BN87" i="11"/>
  <c r="CE58" i="11"/>
  <c r="V185" i="23" s="1"/>
  <c r="V25" i="25" s="1"/>
  <c r="DB63" i="11"/>
  <c r="DD71" i="11"/>
  <c r="BS87" i="11"/>
  <c r="CC46" i="11"/>
  <c r="BF234" i="17"/>
  <c r="BF3" i="17" s="1"/>
  <c r="R15" i="11"/>
  <c r="I149" i="23" s="1"/>
  <c r="Q28" i="11" s="1"/>
  <c r="BR193" i="17"/>
  <c r="DX86" i="6"/>
  <c r="BD36" i="6"/>
  <c r="BA36" i="6" s="1"/>
  <c r="DQ63" i="11"/>
  <c r="AJ63" i="6"/>
  <c r="BG13" i="6"/>
  <c r="DJ76" i="6"/>
  <c r="AC127" i="17"/>
  <c r="CW95" i="6"/>
  <c r="CA95" i="6"/>
  <c r="AV58" i="11"/>
  <c r="O185" i="23" s="1"/>
  <c r="O25" i="25" s="1"/>
  <c r="BJ234" i="17"/>
  <c r="BJ3" i="17" s="1"/>
  <c r="BN64" i="17"/>
  <c r="BS54" i="6"/>
  <c r="CH36" i="6"/>
  <c r="CE36" i="6" s="1"/>
  <c r="DR86" i="6"/>
  <c r="AT58" i="11"/>
  <c r="CM13" i="11"/>
  <c r="V132" i="17"/>
  <c r="AJ15" i="6"/>
  <c r="AV15" i="11"/>
  <c r="AW15" i="11" s="1"/>
  <c r="BR64" i="17"/>
  <c r="BN7" i="11"/>
  <c r="CN86" i="6"/>
  <c r="BD87" i="6"/>
  <c r="BZ62" i="11"/>
  <c r="CA62" i="11" s="1"/>
  <c r="CH132" i="17"/>
  <c r="H581" i="7"/>
  <c r="H551" i="7"/>
  <c r="H583" i="7" s="1"/>
  <c r="BT8" i="11"/>
  <c r="BU8" i="11" s="1"/>
  <c r="T173" i="23" s="1"/>
  <c r="T13" i="25" s="1"/>
  <c r="BT48" i="11"/>
  <c r="Y105" i="23"/>
  <c r="Z105" i="23"/>
  <c r="V564" i="7"/>
  <c r="S110" i="25"/>
  <c r="S11" i="7"/>
  <c r="S606" i="7"/>
  <c r="S136" i="25"/>
  <c r="K191" i="7"/>
  <c r="AF8" i="6"/>
  <c r="K109" i="25"/>
  <c r="K709" i="7"/>
  <c r="AR9" i="6"/>
  <c r="M694" i="7"/>
  <c r="M722" i="7" s="1"/>
  <c r="Y255" i="7"/>
  <c r="Y256" i="7" s="1"/>
  <c r="Y897" i="7" s="1"/>
  <c r="Y997" i="7"/>
  <c r="Y1011" i="7" s="1"/>
  <c r="Y250" i="7"/>
  <c r="Y242" i="7"/>
  <c r="W964" i="7"/>
  <c r="W975" i="7" s="1"/>
  <c r="W81" i="25"/>
  <c r="W483" i="7"/>
  <c r="W83" i="25"/>
  <c r="S996" i="7"/>
  <c r="S1010" i="7" s="1"/>
  <c r="S88" i="25"/>
  <c r="S719" i="7"/>
  <c r="S706" i="7"/>
  <c r="Z248" i="7"/>
  <c r="AM248" i="7" s="1"/>
  <c r="Z1097" i="7"/>
  <c r="O1047" i="7"/>
  <c r="P802" i="7"/>
  <c r="S145" i="8"/>
  <c r="S159" i="8" s="1"/>
  <c r="S164" i="8"/>
  <c r="S178" i="8" s="1"/>
  <c r="U994" i="7"/>
  <c r="U1008" i="7" s="1"/>
  <c r="U11" i="7"/>
  <c r="BP10" i="6"/>
  <c r="R148" i="7"/>
  <c r="Q80" i="25"/>
  <c r="Q50" i="7"/>
  <c r="H158" i="7"/>
  <c r="I150" i="7"/>
  <c r="N255" i="7"/>
  <c r="N997" i="7"/>
  <c r="N1011" i="7" s="1"/>
  <c r="K964" i="7"/>
  <c r="K975" i="7" s="1"/>
  <c r="AF23" i="6"/>
  <c r="AC23" i="6" s="1"/>
  <c r="I1045" i="7"/>
  <c r="I499" i="7"/>
  <c r="I483" i="7"/>
  <c r="T719" i="7"/>
  <c r="T731" i="7"/>
  <c r="S680" i="7"/>
  <c r="T674" i="7"/>
  <c r="Y97" i="25"/>
  <c r="Y801" i="7"/>
  <c r="Y813" i="7"/>
  <c r="Z1110" i="7"/>
  <c r="DR44" i="6"/>
  <c r="DR93" i="6" s="1"/>
  <c r="Z843" i="7"/>
  <c r="AM843" i="7" s="1"/>
  <c r="AM830" i="7"/>
  <c r="G1098" i="7"/>
  <c r="H28" i="6"/>
  <c r="N77" i="6" s="1"/>
  <c r="T500" i="7"/>
  <c r="CH26" i="6"/>
  <c r="X30" i="25"/>
  <c r="X215" i="23"/>
  <c r="X221" i="23"/>
  <c r="X418" i="23"/>
  <c r="X113" i="25"/>
  <c r="X1047" i="7"/>
  <c r="AM518" i="7"/>
  <c r="Z533" i="7"/>
  <c r="AM533" i="7" s="1"/>
  <c r="R336" i="7"/>
  <c r="R324" i="7"/>
  <c r="R352" i="7" s="1"/>
  <c r="DK35" i="6"/>
  <c r="DK84" i="6" s="1"/>
  <c r="Y666" i="7"/>
  <c r="Y669" i="7" s="1"/>
  <c r="I720" i="7"/>
  <c r="I109" i="25"/>
  <c r="W89" i="25"/>
  <c r="CZ21" i="6"/>
  <c r="W255" i="7"/>
  <c r="P680" i="7"/>
  <c r="BJ35" i="6"/>
  <c r="P1114" i="7"/>
  <c r="P241" i="23"/>
  <c r="P258" i="23" s="1"/>
  <c r="P239" i="23"/>
  <c r="I179" i="8"/>
  <c r="AQ45" i="6"/>
  <c r="N836" i="7"/>
  <c r="M842" i="7"/>
  <c r="AA311" i="7"/>
  <c r="AA324" i="7"/>
  <c r="AA352" i="7" s="1"/>
  <c r="Z172" i="7"/>
  <c r="AM172" i="7" s="1"/>
  <c r="AA184" i="7"/>
  <c r="M1075" i="7"/>
  <c r="M1076" i="7" s="1"/>
  <c r="M68" i="25" s="1"/>
  <c r="AP45" i="6"/>
  <c r="DD30" i="6"/>
  <c r="X335" i="7"/>
  <c r="L601" i="7"/>
  <c r="AD28" i="6"/>
  <c r="AD77" i="6" s="1"/>
  <c r="W191" i="7"/>
  <c r="W192" i="7"/>
  <c r="W43" i="25"/>
  <c r="W190" i="7"/>
  <c r="H890" i="7"/>
  <c r="H173" i="25"/>
  <c r="AA337" i="7"/>
  <c r="AA325" i="7"/>
  <c r="DX30" i="6"/>
  <c r="ED79" i="6" s="1"/>
  <c r="T277" i="23"/>
  <c r="T444" i="23"/>
  <c r="U447" i="23" s="1"/>
  <c r="AA192" i="7"/>
  <c r="AA191" i="7"/>
  <c r="AB186" i="7"/>
  <c r="BH10" i="6"/>
  <c r="BH59" i="6" s="1"/>
  <c r="P166" i="7"/>
  <c r="CR33" i="6"/>
  <c r="CX82" i="6" s="1"/>
  <c r="V610" i="7"/>
  <c r="U69" i="25"/>
  <c r="U135" i="7"/>
  <c r="V136" i="7" s="1"/>
  <c r="V137" i="7" s="1"/>
  <c r="U70" i="25"/>
  <c r="U147" i="7"/>
  <c r="V790" i="7"/>
  <c r="CT43" i="6" s="1"/>
  <c r="X354" i="7"/>
  <c r="X76" i="25"/>
  <c r="K126" i="7"/>
  <c r="L36" i="7"/>
  <c r="O116" i="11"/>
  <c r="H126" i="7"/>
  <c r="X725" i="7"/>
  <c r="X736" i="7"/>
  <c r="X758" i="7" s="1"/>
  <c r="X366" i="23"/>
  <c r="X369" i="23" s="1"/>
  <c r="X43" i="25"/>
  <c r="X192" i="7"/>
  <c r="R9" i="6"/>
  <c r="X58" i="6" s="1"/>
  <c r="I37" i="7"/>
  <c r="J37" i="7"/>
  <c r="X502" i="7"/>
  <c r="X1057" i="7"/>
  <c r="I346" i="7"/>
  <c r="I335" i="7"/>
  <c r="I464" i="7"/>
  <c r="I63" i="25"/>
  <c r="H172" i="7"/>
  <c r="M8" i="6"/>
  <c r="H69" i="25"/>
  <c r="O311" i="7"/>
  <c r="O336" i="7"/>
  <c r="O76" i="25"/>
  <c r="O842" i="7"/>
  <c r="BC45" i="6"/>
  <c r="P92" i="25"/>
  <c r="P969" i="7"/>
  <c r="P980" i="7" s="1"/>
  <c r="Z38" i="7"/>
  <c r="AM38" i="7" s="1"/>
  <c r="AM24" i="7"/>
  <c r="Z611" i="7"/>
  <c r="AM611" i="7" s="1"/>
  <c r="AA601" i="7"/>
  <c r="H215" i="23"/>
  <c r="O59" i="11"/>
  <c r="H221" i="23"/>
  <c r="Z1102" i="7"/>
  <c r="Z48" i="7"/>
  <c r="AM48" i="7" s="1"/>
  <c r="AM30" i="7"/>
  <c r="AB489" i="7"/>
  <c r="AB505" i="7"/>
  <c r="AB1063" i="7"/>
  <c r="BR116" i="11"/>
  <c r="S126" i="7"/>
  <c r="BY6" i="6"/>
  <c r="BY8" i="6" s="1"/>
  <c r="S36" i="7"/>
  <c r="U530" i="7"/>
  <c r="T299" i="7"/>
  <c r="V300" i="7" s="1"/>
  <c r="T1058" i="7"/>
  <c r="S505" i="7"/>
  <c r="S1063" i="7"/>
  <c r="S1066" i="7" s="1"/>
  <c r="S64" i="25" s="1"/>
  <c r="I678" i="7"/>
  <c r="I669" i="7"/>
  <c r="I1132" i="7" s="1"/>
  <c r="R35" i="6"/>
  <c r="BO10" i="6"/>
  <c r="Q155" i="7"/>
  <c r="J603" i="7"/>
  <c r="S28" i="6"/>
  <c r="S77" i="6" s="1"/>
  <c r="AW32" i="6"/>
  <c r="N1081" i="7"/>
  <c r="H77" i="25"/>
  <c r="M35" i="6"/>
  <c r="N673" i="7"/>
  <c r="N679" i="7"/>
  <c r="H464" i="7"/>
  <c r="H346" i="7"/>
  <c r="T678" i="7"/>
  <c r="U672" i="7"/>
  <c r="AA535" i="7"/>
  <c r="AA88" i="25"/>
  <c r="K69" i="25"/>
  <c r="K172" i="7"/>
  <c r="K25" i="7"/>
  <c r="L26" i="7" s="1"/>
  <c r="L27" i="7" s="1"/>
  <c r="K184" i="7"/>
  <c r="O65" i="25"/>
  <c r="BB35" i="6"/>
  <c r="BH84" i="6" s="1"/>
  <c r="O678" i="7"/>
  <c r="I795" i="7"/>
  <c r="R40" i="6" s="1"/>
  <c r="M1139" i="7"/>
  <c r="U1139" i="7"/>
  <c r="U1121" i="7"/>
  <c r="J243" i="7"/>
  <c r="L70" i="8"/>
  <c r="BE175" i="17"/>
  <c r="J672" i="7"/>
  <c r="S489" i="7"/>
  <c r="AE24" i="6"/>
  <c r="AE73" i="6" s="1"/>
  <c r="Y1046" i="7"/>
  <c r="BP16" i="6"/>
  <c r="M1082" i="7"/>
  <c r="O672" i="7"/>
  <c r="Q156" i="7"/>
  <c r="V33" i="7"/>
  <c r="L1098" i="7"/>
  <c r="J473" i="7"/>
  <c r="J82" i="25" s="1"/>
  <c r="K611" i="7"/>
  <c r="L717" i="7"/>
  <c r="DX32" i="6"/>
  <c r="T884" i="7"/>
  <c r="Y323" i="7"/>
  <c r="Y344" i="7" s="1"/>
  <c r="H199" i="7"/>
  <c r="L215" i="7"/>
  <c r="M200" i="7"/>
  <c r="S45" i="7"/>
  <c r="AA354" i="7"/>
  <c r="Q16" i="11"/>
  <c r="Q115" i="11" s="1"/>
  <c r="R115" i="11" s="1"/>
  <c r="S115" i="11" s="1"/>
  <c r="V40" i="7"/>
  <c r="H233" i="8"/>
  <c r="U17" i="6"/>
  <c r="T489" i="7"/>
  <c r="R505" i="7"/>
  <c r="AE9" i="17"/>
  <c r="AB15" i="26"/>
  <c r="R215" i="7"/>
  <c r="AS6" i="17"/>
  <c r="DR9" i="6"/>
  <c r="N1017" i="7"/>
  <c r="DQ9" i="6"/>
  <c r="AA719" i="7"/>
  <c r="AA240" i="7"/>
  <c r="BQ15" i="17"/>
  <c r="BQ18" i="17"/>
  <c r="W126" i="7"/>
  <c r="W114" i="7" s="1"/>
  <c r="W116" i="7" s="1"/>
  <c r="X118" i="7" s="1"/>
  <c r="T323" i="7"/>
  <c r="T344" i="7" s="1"/>
  <c r="R526" i="7"/>
  <c r="P487" i="7"/>
  <c r="Q1081" i="7"/>
  <c r="K177" i="7"/>
  <c r="S691" i="7"/>
  <c r="N534" i="7"/>
  <c r="P438" i="23"/>
  <c r="R221" i="7"/>
  <c r="O77" i="25"/>
  <c r="J136" i="25"/>
  <c r="Y673" i="7"/>
  <c r="AD139" i="7"/>
  <c r="U810" i="7"/>
  <c r="BC70" i="11"/>
  <c r="Z720" i="7"/>
  <c r="AM720" i="7" s="1"/>
  <c r="Z203" i="7"/>
  <c r="Z109" i="25"/>
  <c r="X144" i="8"/>
  <c r="X158" i="8" s="1"/>
  <c r="R467" i="23"/>
  <c r="L268" i="23"/>
  <c r="CP13" i="26"/>
  <c r="CS7" i="17"/>
  <c r="F116" i="2" s="1"/>
  <c r="AW116" i="2" s="1"/>
  <c r="H30" i="25"/>
  <c r="K337" i="7"/>
  <c r="BX12" i="26"/>
  <c r="CA6" i="17"/>
  <c r="H418" i="23"/>
  <c r="S184" i="7"/>
  <c r="R172" i="7"/>
  <c r="T47" i="7"/>
  <c r="T71" i="25"/>
  <c r="Y1079" i="7"/>
  <c r="Z487" i="7"/>
  <c r="AM487" i="7" s="1"/>
  <c r="R534" i="7"/>
  <c r="R527" i="7"/>
  <c r="R1081" i="7"/>
  <c r="R1083" i="7" s="1"/>
  <c r="R75" i="25" s="1"/>
  <c r="Q40" i="25"/>
  <c r="BH117" i="11"/>
  <c r="Q145" i="7"/>
  <c r="AV10" i="6"/>
  <c r="BB59" i="6" s="1"/>
  <c r="N154" i="7"/>
  <c r="W1057" i="7"/>
  <c r="W486" i="7"/>
  <c r="O335" i="7"/>
  <c r="P323" i="7"/>
  <c r="P344" i="7" s="1"/>
  <c r="X25" i="7"/>
  <c r="Y26" i="7" s="1"/>
  <c r="X184" i="7"/>
  <c r="AW9" i="6"/>
  <c r="AW58" i="6" s="1"/>
  <c r="O38" i="7"/>
  <c r="BC10" i="6"/>
  <c r="P147" i="7"/>
  <c r="O70" i="25"/>
  <c r="M1079" i="7"/>
  <c r="AQ24" i="6"/>
  <c r="M336" i="7"/>
  <c r="M311" i="7"/>
  <c r="T1081" i="7"/>
  <c r="T527" i="7"/>
  <c r="S673" i="7"/>
  <c r="Y76" i="25"/>
  <c r="Z324" i="7"/>
  <c r="AM324" i="7" s="1"/>
  <c r="CS8" i="6"/>
  <c r="V172" i="7"/>
  <c r="V69" i="25"/>
  <c r="P615" i="7"/>
  <c r="P1098" i="7"/>
  <c r="AC330" i="7"/>
  <c r="AC443" i="7"/>
  <c r="AC331" i="7"/>
  <c r="AC344" i="7"/>
  <c r="AA884" i="7"/>
  <c r="AA173" i="25"/>
  <c r="S795" i="7"/>
  <c r="BZ40" i="6" s="1"/>
  <c r="M850" i="7"/>
  <c r="M863" i="7" s="1"/>
  <c r="AI11" i="11"/>
  <c r="L33" i="25"/>
  <c r="AI47" i="6"/>
  <c r="L281" i="23"/>
  <c r="U173" i="25"/>
  <c r="U884" i="7"/>
  <c r="T60" i="23"/>
  <c r="BJ82" i="17"/>
  <c r="BI82" i="17" s="1"/>
  <c r="Q1092" i="7"/>
  <c r="Q842" i="7"/>
  <c r="Y221" i="23"/>
  <c r="Y215" i="23"/>
  <c r="R179" i="8"/>
  <c r="Z254" i="23"/>
  <c r="AC817" i="7"/>
  <c r="E212" i="2"/>
  <c r="AV212" i="2" s="1"/>
  <c r="AB695" i="7"/>
  <c r="AB723" i="7" s="1"/>
  <c r="ED10" i="6"/>
  <c r="I1047" i="7"/>
  <c r="I113" i="25"/>
  <c r="K705" i="7"/>
  <c r="K718" i="7"/>
  <c r="CZ10" i="6"/>
  <c r="W156" i="7"/>
  <c r="BP23" i="6"/>
  <c r="BM23" i="6" s="1"/>
  <c r="Q964" i="7"/>
  <c r="Q975" i="7" s="1"/>
  <c r="P963" i="7"/>
  <c r="P974" i="7" s="1"/>
  <c r="BJ16" i="6"/>
  <c r="BG16" i="6" s="1"/>
  <c r="AL21" i="6"/>
  <c r="L89" i="25"/>
  <c r="AX25" i="6"/>
  <c r="O483" i="7"/>
  <c r="U818" i="7"/>
  <c r="U1110" i="7"/>
  <c r="Y817" i="7"/>
  <c r="Y805" i="7"/>
  <c r="N26" i="6"/>
  <c r="T75" i="6" s="1"/>
  <c r="H500" i="7"/>
  <c r="BV28" i="6"/>
  <c r="BV77" i="6" s="1"/>
  <c r="R1098" i="7"/>
  <c r="BD9" i="6"/>
  <c r="O1102" i="7"/>
  <c r="T483" i="7"/>
  <c r="S473" i="7"/>
  <c r="S511" i="7" s="1"/>
  <c r="K995" i="7"/>
  <c r="K1009" i="7" s="1"/>
  <c r="K706" i="7"/>
  <c r="BD17" i="6"/>
  <c r="BA17" i="6" s="1"/>
  <c r="O150" i="7"/>
  <c r="M80" i="25"/>
  <c r="M53" i="7"/>
  <c r="M57" i="7" s="1"/>
  <c r="EJ16" i="6"/>
  <c r="EG16" i="6" s="1"/>
  <c r="AC50" i="7"/>
  <c r="O81" i="8"/>
  <c r="N192" i="8"/>
  <c r="N199" i="8" s="1"/>
  <c r="N228" i="23"/>
  <c r="M418" i="23"/>
  <c r="DF59" i="11"/>
  <c r="AA221" i="23"/>
  <c r="BV18" i="26"/>
  <c r="BY200" i="17"/>
  <c r="AS59" i="11"/>
  <c r="AY59" i="11" s="1"/>
  <c r="N221" i="23"/>
  <c r="N30" i="25"/>
  <c r="N215" i="23"/>
  <c r="AC725" i="7"/>
  <c r="AC714" i="7"/>
  <c r="W262" i="7"/>
  <c r="W269" i="7"/>
  <c r="X270" i="7" s="1"/>
  <c r="AM853" i="7"/>
  <c r="AA860" i="7"/>
  <c r="AD32" i="6"/>
  <c r="K533" i="7"/>
  <c r="X612" i="7"/>
  <c r="Y602" i="7"/>
  <c r="DE33" i="6"/>
  <c r="L81" i="25"/>
  <c r="M327" i="7"/>
  <c r="M358" i="7" s="1"/>
  <c r="L360" i="7"/>
  <c r="L339" i="7"/>
  <c r="L843" i="7"/>
  <c r="L1112" i="7"/>
  <c r="BJ33" i="6"/>
  <c r="P1105" i="7"/>
  <c r="DL25" i="6"/>
  <c r="Y83" i="25"/>
  <c r="Y1045" i="7"/>
  <c r="AB47" i="7"/>
  <c r="AB199" i="7"/>
  <c r="D204" i="2" s="1"/>
  <c r="AU204" i="2" s="1"/>
  <c r="AB171" i="7"/>
  <c r="D202" i="2"/>
  <c r="AQ35" i="6"/>
  <c r="M673" i="7"/>
  <c r="L311" i="7"/>
  <c r="L336" i="7"/>
  <c r="AE9" i="6"/>
  <c r="L38" i="7"/>
  <c r="CX45" i="6"/>
  <c r="CX94" i="6" s="1"/>
  <c r="W1075" i="7"/>
  <c r="U37" i="7"/>
  <c r="CF9" i="6"/>
  <c r="CF58" i="6" s="1"/>
  <c r="L167" i="7"/>
  <c r="M183" i="7"/>
  <c r="O11" i="11"/>
  <c r="H33" i="25"/>
  <c r="AC45" i="7"/>
  <c r="E150" i="2"/>
  <c r="AV150" i="2" s="1"/>
  <c r="G1044" i="7"/>
  <c r="G964" i="7"/>
  <c r="H327" i="7"/>
  <c r="S337" i="7"/>
  <c r="S1104" i="7"/>
  <c r="N150" i="7"/>
  <c r="AR19" i="6"/>
  <c r="AR68" i="6" s="1"/>
  <c r="M248" i="7"/>
  <c r="N1096" i="7"/>
  <c r="N156" i="7"/>
  <c r="BZ33" i="6"/>
  <c r="CF82" i="6" s="1"/>
  <c r="S585" i="7"/>
  <c r="J1042" i="7"/>
  <c r="J80" i="25"/>
  <c r="EB30" i="6"/>
  <c r="AB323" i="7"/>
  <c r="AB344" i="7" s="1"/>
  <c r="AB63" i="25"/>
  <c r="DD8" i="6"/>
  <c r="X167" i="7"/>
  <c r="X166" i="7"/>
  <c r="X180" i="7"/>
  <c r="V611" i="7"/>
  <c r="V1059" i="7"/>
  <c r="S71" i="25"/>
  <c r="S199" i="7"/>
  <c r="S38" i="7"/>
  <c r="Y487" i="7"/>
  <c r="X1079" i="7"/>
  <c r="X487" i="7"/>
  <c r="I842" i="7"/>
  <c r="S45" i="6"/>
  <c r="Y94" i="6" s="1"/>
  <c r="T63" i="25"/>
  <c r="T453" i="7"/>
  <c r="T335" i="7"/>
  <c r="BM117" i="11"/>
  <c r="R153" i="7"/>
  <c r="AI7" i="6"/>
  <c r="M145" i="7"/>
  <c r="S172" i="25"/>
  <c r="S221" i="7"/>
  <c r="BT9" i="6"/>
  <c r="BZ58" i="6" s="1"/>
  <c r="R46" i="7"/>
  <c r="R37" i="7"/>
  <c r="O1058" i="7"/>
  <c r="O537" i="7"/>
  <c r="U453" i="7"/>
  <c r="U323" i="7"/>
  <c r="U344" i="7" s="1"/>
  <c r="U335" i="7"/>
  <c r="U464" i="7"/>
  <c r="U465" i="7" s="1"/>
  <c r="U63" i="25"/>
  <c r="I40" i="25"/>
  <c r="T117" i="11"/>
  <c r="I142" i="7"/>
  <c r="I153" i="7"/>
  <c r="AB600" i="7"/>
  <c r="AA600" i="7"/>
  <c r="X1075" i="7"/>
  <c r="X1076" i="7" s="1"/>
  <c r="X68" i="25" s="1"/>
  <c r="X835" i="7"/>
  <c r="X841" i="7"/>
  <c r="Y69" i="25"/>
  <c r="Y184" i="7"/>
  <c r="Y172" i="7"/>
  <c r="Y25" i="7"/>
  <c r="Z26" i="7" s="1"/>
  <c r="AM26" i="7" s="1"/>
  <c r="DQ10" i="6"/>
  <c r="Z147" i="7"/>
  <c r="AM147" i="7" s="1"/>
  <c r="AM134" i="7"/>
  <c r="L1080" i="7"/>
  <c r="L613" i="7"/>
  <c r="M603" i="7"/>
  <c r="U534" i="7"/>
  <c r="V527" i="7"/>
  <c r="S77" i="25"/>
  <c r="T673" i="7"/>
  <c r="S679" i="7"/>
  <c r="Y46" i="7"/>
  <c r="Z37" i="7"/>
  <c r="AM37" i="7" s="1"/>
  <c r="Q126" i="7"/>
  <c r="Q114" i="7" s="1"/>
  <c r="Q39" i="25"/>
  <c r="K884" i="7"/>
  <c r="K173" i="25"/>
  <c r="R33" i="6"/>
  <c r="I1065" i="7"/>
  <c r="AB842" i="7"/>
  <c r="AC829" i="7"/>
  <c r="EI45" i="6" s="1"/>
  <c r="AB189" i="7"/>
  <c r="AB167" i="7"/>
  <c r="X890" i="7"/>
  <c r="Y884" i="7"/>
  <c r="O366" i="23"/>
  <c r="O192" i="7"/>
  <c r="U198" i="7"/>
  <c r="U218" i="7" s="1"/>
  <c r="CL8" i="6"/>
  <c r="U189" i="7"/>
  <c r="CL24" i="6"/>
  <c r="CR73" i="6" s="1"/>
  <c r="U1057" i="7"/>
  <c r="AJ45" i="6"/>
  <c r="L832" i="7"/>
  <c r="L841" i="7"/>
  <c r="P47" i="7"/>
  <c r="P171" i="7"/>
  <c r="I835" i="7"/>
  <c r="J835" i="7"/>
  <c r="I841" i="7"/>
  <c r="I1075" i="7"/>
  <c r="BT30" i="6"/>
  <c r="BZ79" i="6" s="1"/>
  <c r="R464" i="7"/>
  <c r="R63" i="25"/>
  <c r="R453" i="7"/>
  <c r="AD10" i="6"/>
  <c r="K154" i="7"/>
  <c r="P526" i="7"/>
  <c r="BH32" i="6"/>
  <c r="BH81" i="6" s="1"/>
  <c r="I40" i="7"/>
  <c r="L1044" i="7"/>
  <c r="AZ20" i="17"/>
  <c r="U53" i="7"/>
  <c r="U57" i="7" s="1"/>
  <c r="AC1105" i="7"/>
  <c r="EB31" i="6"/>
  <c r="EA31" i="6" s="1"/>
  <c r="EA80" i="6" s="1"/>
  <c r="AI117" i="11"/>
  <c r="M65" i="25"/>
  <c r="N603" i="7"/>
  <c r="BD72" i="11"/>
  <c r="U110" i="25"/>
  <c r="K81" i="25"/>
  <c r="O473" i="7"/>
  <c r="O511" i="7" s="1"/>
  <c r="K111" i="25"/>
  <c r="Z1112" i="7"/>
  <c r="R30" i="6"/>
  <c r="AC137" i="25"/>
  <c r="AB166" i="7"/>
  <c r="DJ95" i="6"/>
  <c r="W99" i="25"/>
  <c r="Y183" i="7"/>
  <c r="U860" i="7"/>
  <c r="M30" i="25"/>
  <c r="V92" i="25"/>
  <c r="J45" i="7"/>
  <c r="L610" i="7"/>
  <c r="AX8" i="6"/>
  <c r="N418" i="23"/>
  <c r="X831" i="7"/>
  <c r="X832" i="7" s="1"/>
  <c r="M321" i="23"/>
  <c r="K146" i="7"/>
  <c r="AC828" i="7"/>
  <c r="AD828" i="7" s="1"/>
  <c r="AA1104" i="7"/>
  <c r="O154" i="7"/>
  <c r="M865" i="7"/>
  <c r="AB71" i="25"/>
  <c r="R346" i="23"/>
  <c r="T36" i="7"/>
  <c r="H281" i="23"/>
  <c r="R145" i="7"/>
  <c r="R528" i="7"/>
  <c r="V714" i="7"/>
  <c r="AA418" i="23"/>
  <c r="DS18" i="6"/>
  <c r="X1082" i="7"/>
  <c r="M47" i="7"/>
  <c r="BA19" i="17"/>
  <c r="BA15" i="17"/>
  <c r="DD45" i="6"/>
  <c r="R1057" i="7"/>
  <c r="AA466" i="23"/>
  <c r="BY12" i="17"/>
  <c r="P324" i="7"/>
  <c r="P352" i="7" s="1"/>
  <c r="K199" i="7"/>
  <c r="K312" i="7" s="1"/>
  <c r="M313" i="7" s="1"/>
  <c r="Q527" i="7"/>
  <c r="K110" i="25"/>
  <c r="O228" i="23"/>
  <c r="AC154" i="23"/>
  <c r="CT50" i="17"/>
  <c r="AC296" i="7"/>
  <c r="E192" i="2" s="1"/>
  <c r="H444" i="23"/>
  <c r="I447" i="23" s="1"/>
  <c r="AA996" i="7"/>
  <c r="AA1010" i="7" s="1"/>
  <c r="I145" i="7"/>
  <c r="Z155" i="7"/>
  <c r="AM155" i="7" s="1"/>
  <c r="CA35" i="6"/>
  <c r="W997" i="7"/>
  <c r="W1011" i="7" s="1"/>
  <c r="M77" i="25"/>
  <c r="H453" i="7"/>
  <c r="I461" i="7" s="1"/>
  <c r="M1097" i="7"/>
  <c r="K890" i="7"/>
  <c r="BC24" i="6"/>
  <c r="BI73" i="6" s="1"/>
  <c r="AC24" i="7"/>
  <c r="E202" i="2" s="1"/>
  <c r="H377" i="20" s="1"/>
  <c r="Y377" i="20" s="1"/>
  <c r="K866" i="7"/>
  <c r="L49" i="23"/>
  <c r="L55" i="23"/>
  <c r="R354" i="7"/>
  <c r="T346" i="7"/>
  <c r="X63" i="25"/>
  <c r="K47" i="7"/>
  <c r="AD28" i="8"/>
  <c r="AD57" i="8" s="1"/>
  <c r="AC57" i="8"/>
  <c r="X486" i="7"/>
  <c r="R90" i="25"/>
  <c r="R158" i="7"/>
  <c r="AA179" i="8"/>
  <c r="AC1098" i="7"/>
  <c r="EJ28" i="6"/>
  <c r="EJ77" i="6" s="1"/>
  <c r="Z199" i="7"/>
  <c r="AM199" i="7" s="1"/>
  <c r="AC270" i="23"/>
  <c r="BZ31" i="6"/>
  <c r="BY31" i="6" s="1"/>
  <c r="I600" i="7"/>
  <c r="DV45" i="6"/>
  <c r="AA841" i="7"/>
  <c r="AA1075" i="7"/>
  <c r="Q796" i="7"/>
  <c r="BO40" i="6" s="1"/>
  <c r="V530" i="7"/>
  <c r="Y835" i="7"/>
  <c r="R299" i="7"/>
  <c r="T300" i="7" s="1"/>
  <c r="M1087" i="7"/>
  <c r="M1088" i="7" s="1"/>
  <c r="M78" i="25" s="1"/>
  <c r="AQ47" i="6"/>
  <c r="Z366" i="23"/>
  <c r="AA369" i="23" s="1"/>
  <c r="Z186" i="7"/>
  <c r="AM186" i="7" s="1"/>
  <c r="Z192" i="7"/>
  <c r="AM192" i="7" s="1"/>
  <c r="BB9" i="6"/>
  <c r="O46" i="7"/>
  <c r="O166" i="7"/>
  <c r="M1057" i="7"/>
  <c r="M502" i="7"/>
  <c r="M1058" i="7"/>
  <c r="AP27" i="6"/>
  <c r="BN31" i="6"/>
  <c r="Q1063" i="7"/>
  <c r="AA533" i="7"/>
  <c r="AB526" i="7"/>
  <c r="DV32" i="6"/>
  <c r="EB81" i="6" s="1"/>
  <c r="BC8" i="6"/>
  <c r="O135" i="7"/>
  <c r="O190" i="7"/>
  <c r="V71" i="25"/>
  <c r="CS9" i="6"/>
  <c r="CS58" i="6" s="1"/>
  <c r="R842" i="7"/>
  <c r="R1092" i="7"/>
  <c r="AL28" i="8"/>
  <c r="AA57" i="8"/>
  <c r="Q865" i="7"/>
  <c r="Q1111" i="7"/>
  <c r="U1092" i="7"/>
  <c r="CM45" i="6"/>
  <c r="CM94" i="6" s="1"/>
  <c r="K77" i="25"/>
  <c r="L673" i="7"/>
  <c r="K679" i="7"/>
  <c r="Y30" i="6"/>
  <c r="J336" i="7"/>
  <c r="J354" i="7"/>
  <c r="AP33" i="6"/>
  <c r="M610" i="7"/>
  <c r="V63" i="25"/>
  <c r="V323" i="7"/>
  <c r="V344" i="7" s="1"/>
  <c r="V464" i="7"/>
  <c r="R28" i="6"/>
  <c r="R77" i="6" s="1"/>
  <c r="I601" i="7"/>
  <c r="I611" i="7"/>
  <c r="P167" i="7"/>
  <c r="BH8" i="6"/>
  <c r="BH57" i="6" s="1"/>
  <c r="Q183" i="7"/>
  <c r="O153" i="7"/>
  <c r="O40" i="25"/>
  <c r="P145" i="7"/>
  <c r="O145" i="7"/>
  <c r="S890" i="7"/>
  <c r="S173" i="25"/>
  <c r="DX28" i="6"/>
  <c r="AA615" i="7"/>
  <c r="S8" i="6"/>
  <c r="I172" i="7"/>
  <c r="I190" i="7"/>
  <c r="I184" i="7"/>
  <c r="I25" i="7"/>
  <c r="J26" i="7" s="1"/>
  <c r="X465" i="23"/>
  <c r="U15" i="26"/>
  <c r="X9" i="17"/>
  <c r="AA180" i="8"/>
  <c r="AA164" i="8"/>
  <c r="AA140" i="8"/>
  <c r="AA145" i="8"/>
  <c r="AA159" i="8" s="1"/>
  <c r="H795" i="7"/>
  <c r="H230" i="7"/>
  <c r="N145" i="8"/>
  <c r="N159" i="8" s="1"/>
  <c r="N180" i="8"/>
  <c r="R33" i="25"/>
  <c r="R281" i="23"/>
  <c r="BM80" i="11"/>
  <c r="S277" i="23"/>
  <c r="X185" i="7"/>
  <c r="CZ8" i="6"/>
  <c r="J455" i="23"/>
  <c r="BI100" i="11"/>
  <c r="Q308" i="7"/>
  <c r="Q309" i="7" s="1"/>
  <c r="AB264" i="23"/>
  <c r="O360" i="23"/>
  <c r="V405" i="23"/>
  <c r="BI72" i="11"/>
  <c r="Z119" i="8"/>
  <c r="AR105" i="17"/>
  <c r="AN28" i="8"/>
  <c r="BX7" i="11"/>
  <c r="AA173" i="8"/>
  <c r="W126" i="23"/>
  <c r="CP171" i="17"/>
  <c r="J126" i="23"/>
  <c r="R465" i="23"/>
  <c r="N473" i="23"/>
  <c r="Z810" i="7"/>
  <c r="AM810" i="7" s="1"/>
  <c r="P149" i="7"/>
  <c r="X191" i="7"/>
  <c r="U805" i="7"/>
  <c r="R191" i="7"/>
  <c r="O669" i="7"/>
  <c r="BE35" i="6" s="1"/>
  <c r="T838" i="7"/>
  <c r="M837" i="7"/>
  <c r="BM10" i="11"/>
  <c r="CD45" i="17"/>
  <c r="AI10" i="11"/>
  <c r="X198" i="7"/>
  <c r="X168" i="7" s="1"/>
  <c r="J530" i="7"/>
  <c r="H180" i="7"/>
  <c r="P199" i="7"/>
  <c r="P173" i="7" s="1"/>
  <c r="L147" i="7"/>
  <c r="AC191" i="7"/>
  <c r="O37" i="7"/>
  <c r="BX102" i="11"/>
  <c r="W1038" i="7"/>
  <c r="DD95" i="6"/>
  <c r="AC457" i="23"/>
  <c r="N93" i="7"/>
  <c r="N99" i="7" s="1"/>
  <c r="J429" i="23"/>
  <c r="Q125" i="23"/>
  <c r="AB467" i="23"/>
  <c r="W466" i="23"/>
  <c r="Y226" i="17"/>
  <c r="AB125" i="23"/>
  <c r="M144" i="17"/>
  <c r="X164" i="8"/>
  <c r="X178" i="8" s="1"/>
  <c r="R564" i="7"/>
  <c r="R567" i="7" s="1"/>
  <c r="T380" i="23"/>
  <c r="DD57" i="11"/>
  <c r="DE57" i="11" s="1"/>
  <c r="W467" i="23"/>
  <c r="R132" i="17"/>
  <c r="O1071" i="7"/>
  <c r="O67" i="25" s="1"/>
  <c r="L704" i="7"/>
  <c r="W319" i="23"/>
  <c r="AA81" i="7"/>
  <c r="AL58" i="11"/>
  <c r="AM58" i="11" s="1"/>
  <c r="X484" i="7"/>
  <c r="Q380" i="23"/>
  <c r="AB473" i="23"/>
  <c r="AK31" i="8"/>
  <c r="CY63" i="11"/>
  <c r="Z177" i="23" s="1"/>
  <c r="Z17" i="25" s="1"/>
  <c r="AJ7" i="11"/>
  <c r="CR85" i="11"/>
  <c r="BX49" i="11"/>
  <c r="M167" i="8"/>
  <c r="M181" i="8" s="1"/>
  <c r="AT132" i="17"/>
  <c r="I714" i="7"/>
  <c r="S434" i="23"/>
  <c r="M473" i="23"/>
  <c r="W447" i="23"/>
  <c r="U603" i="7"/>
  <c r="CA60" i="6"/>
  <c r="S832" i="7"/>
  <c r="I836" i="7"/>
  <c r="Q526" i="7"/>
  <c r="K38" i="7"/>
  <c r="AA673" i="7"/>
  <c r="AA147" i="7"/>
  <c r="N25" i="7"/>
  <c r="O26" i="7" s="1"/>
  <c r="AW8" i="6"/>
  <c r="AW57" i="6" s="1"/>
  <c r="DB72" i="11"/>
  <c r="CE86" i="11"/>
  <c r="V179" i="23" s="1"/>
  <c r="V19" i="25" s="1"/>
  <c r="CH60" i="6"/>
  <c r="CM116" i="11"/>
  <c r="ED36" i="6"/>
  <c r="EA36" i="6" s="1"/>
  <c r="BC95" i="6"/>
  <c r="BN62" i="11"/>
  <c r="S350" i="23"/>
  <c r="AS45" i="6"/>
  <c r="AS94" i="6" s="1"/>
  <c r="DG17" i="6"/>
  <c r="DM66" i="6" s="1"/>
  <c r="I70" i="8"/>
  <c r="CF49" i="17"/>
  <c r="W613" i="7"/>
  <c r="X36" i="7"/>
  <c r="V83" i="23"/>
  <c r="X126" i="23"/>
  <c r="L486" i="7"/>
  <c r="M25" i="7"/>
  <c r="N26" i="7" s="1"/>
  <c r="U172" i="7"/>
  <c r="X69" i="25"/>
  <c r="L801" i="7"/>
  <c r="X1042" i="7"/>
  <c r="X145" i="8"/>
  <c r="X159" i="8" s="1"/>
  <c r="P1064" i="7"/>
  <c r="U527" i="7"/>
  <c r="J503" i="7"/>
  <c r="G176" i="7"/>
  <c r="M487" i="7"/>
  <c r="AA180" i="7"/>
  <c r="J47" i="7"/>
  <c r="X473" i="7"/>
  <c r="X82" i="25" s="1"/>
  <c r="N173" i="8"/>
  <c r="Z140" i="8"/>
  <c r="U25" i="7"/>
  <c r="V26" i="7" s="1"/>
  <c r="K720" i="7"/>
  <c r="P672" i="7"/>
  <c r="AA1114" i="7"/>
  <c r="CY28" i="6"/>
  <c r="H113" i="25"/>
  <c r="Z19" i="6"/>
  <c r="AA190" i="7"/>
  <c r="K600" i="7"/>
  <c r="T465" i="23"/>
  <c r="W36" i="7"/>
  <c r="CM8" i="6"/>
  <c r="CM57" i="6" s="1"/>
  <c r="V147" i="7"/>
  <c r="BN12" i="26"/>
  <c r="AD116" i="11"/>
  <c r="I171" i="7"/>
  <c r="AB394" i="7"/>
  <c r="R428" i="23"/>
  <c r="X47" i="7"/>
  <c r="AC695" i="7"/>
  <c r="AC723" i="7" s="1"/>
  <c r="N526" i="7"/>
  <c r="N199" i="7"/>
  <c r="N219" i="7" s="1"/>
  <c r="CM24" i="6"/>
  <c r="CS73" i="6" s="1"/>
  <c r="O602" i="7"/>
  <c r="T706" i="7"/>
  <c r="Y606" i="7"/>
  <c r="I674" i="7"/>
  <c r="CR27" i="6"/>
  <c r="CR76" i="6" s="1"/>
  <c r="N171" i="7"/>
  <c r="O147" i="7"/>
  <c r="L603" i="7"/>
  <c r="S537" i="7"/>
  <c r="W884" i="7"/>
  <c r="I71" i="25"/>
  <c r="Y41" i="7"/>
  <c r="Y837" i="7"/>
  <c r="Y731" i="7"/>
  <c r="P146" i="7"/>
  <c r="AA890" i="7"/>
  <c r="N612" i="7"/>
  <c r="U1112" i="7"/>
  <c r="T737" i="7"/>
  <c r="J49" i="23"/>
  <c r="BM59" i="11"/>
  <c r="O606" i="7"/>
  <c r="M678" i="7"/>
  <c r="H221" i="7"/>
  <c r="M199" i="7"/>
  <c r="M219" i="7" s="1"/>
  <c r="AV28" i="6"/>
  <c r="AL9" i="6"/>
  <c r="J240" i="7"/>
  <c r="BD16" i="6"/>
  <c r="BA16" i="6" s="1"/>
  <c r="W179" i="8"/>
  <c r="J1097" i="7"/>
  <c r="K804" i="7"/>
  <c r="V615" i="7"/>
  <c r="M503" i="7"/>
  <c r="EC32" i="6"/>
  <c r="EC81" i="6" s="1"/>
  <c r="W39" i="25"/>
  <c r="AA43" i="25"/>
  <c r="X38" i="7"/>
  <c r="S33" i="6"/>
  <c r="K203" i="7"/>
  <c r="K213" i="7" s="1"/>
  <c r="S995" i="7"/>
  <c r="S1009" i="7" s="1"/>
  <c r="H185" i="7"/>
  <c r="BO30" i="6"/>
  <c r="V215" i="7"/>
  <c r="X156" i="7"/>
  <c r="H605" i="7"/>
  <c r="N601" i="7"/>
  <c r="AB694" i="7"/>
  <c r="AB722" i="7" s="1"/>
  <c r="P154" i="7"/>
  <c r="Y145" i="7"/>
  <c r="S42" i="7"/>
  <c r="O18" i="6"/>
  <c r="Z420" i="7"/>
  <c r="Z423" i="7" s="1"/>
  <c r="Q1121" i="7"/>
  <c r="AA1119" i="7"/>
  <c r="K1121" i="7"/>
  <c r="H144" i="17"/>
  <c r="M360" i="23"/>
  <c r="J20" i="7"/>
  <c r="J21" i="7" s="1"/>
  <c r="DP24" i="6"/>
  <c r="O489" i="7"/>
  <c r="Q70" i="25"/>
  <c r="U1079" i="7"/>
  <c r="I613" i="7"/>
  <c r="T995" i="7"/>
  <c r="T1009" i="7" s="1"/>
  <c r="CB35" i="6"/>
  <c r="U1098" i="7"/>
  <c r="AA177" i="7"/>
  <c r="AM310" i="7"/>
  <c r="AC1104" i="7"/>
  <c r="H680" i="7"/>
  <c r="BX16" i="11"/>
  <c r="BH118" i="11"/>
  <c r="V126" i="7"/>
  <c r="V114" i="7" s="1"/>
  <c r="Z530" i="7"/>
  <c r="AM530" i="7" s="1"/>
  <c r="X135" i="7"/>
  <c r="CG33" i="6"/>
  <c r="Z17" i="6"/>
  <c r="W17" i="6" s="1"/>
  <c r="AA269" i="7"/>
  <c r="AA270" i="7" s="1"/>
  <c r="AA189" i="7"/>
  <c r="N308" i="7"/>
  <c r="N309" i="7" s="1"/>
  <c r="L790" i="7"/>
  <c r="AL43" i="6" s="1"/>
  <c r="BA18" i="17"/>
  <c r="S611" i="7"/>
  <c r="AB325" i="7"/>
  <c r="J335" i="7"/>
  <c r="N859" i="7"/>
  <c r="AR46" i="6"/>
  <c r="M1114" i="7"/>
  <c r="W616" i="7"/>
  <c r="Z673" i="7"/>
  <c r="AM673" i="7" s="1"/>
  <c r="Y36" i="7"/>
  <c r="CA24" i="6"/>
  <c r="I192" i="7"/>
  <c r="J158" i="7"/>
  <c r="H1092" i="7"/>
  <c r="L527" i="7"/>
  <c r="DW45" i="6"/>
  <c r="DW94" i="6" s="1"/>
  <c r="V836" i="7"/>
  <c r="M1092" i="7"/>
  <c r="O80" i="11"/>
  <c r="P794" i="7"/>
  <c r="X308" i="7"/>
  <c r="X309" i="7" s="1"/>
  <c r="Z228" i="23"/>
  <c r="U996" i="7"/>
  <c r="U1010" i="7" s="1"/>
  <c r="Q453" i="7"/>
  <c r="T725" i="7"/>
  <c r="N695" i="7"/>
  <c r="N723" i="7" s="1"/>
  <c r="R221" i="23"/>
  <c r="CC45" i="6"/>
  <c r="R185" i="17"/>
  <c r="P818" i="7"/>
  <c r="W411" i="23"/>
  <c r="Z20" i="26"/>
  <c r="X213" i="8"/>
  <c r="M1120" i="7"/>
  <c r="AB100" i="25"/>
  <c r="C233" i="2"/>
  <c r="AT233" i="2" s="1"/>
  <c r="AK28" i="17"/>
  <c r="I46" i="7"/>
  <c r="Z528" i="7"/>
  <c r="AM528" i="7" s="1"/>
  <c r="U199" i="7"/>
  <c r="U173" i="7" s="1"/>
  <c r="O527" i="7"/>
  <c r="X154" i="7"/>
  <c r="AC719" i="7"/>
  <c r="E246" i="2"/>
  <c r="I167" i="8"/>
  <c r="I181" i="8" s="1"/>
  <c r="DF118" i="11"/>
  <c r="DL118" i="11" s="1"/>
  <c r="AB1104" i="7"/>
  <c r="M38" i="7"/>
  <c r="R612" i="7"/>
  <c r="M48" i="7"/>
  <c r="M612" i="7"/>
  <c r="AC1038" i="7"/>
  <c r="AA1001" i="7"/>
  <c r="AA1015" i="7" s="1"/>
  <c r="T35" i="6"/>
  <c r="Z1026" i="7"/>
  <c r="AM1026" i="7" s="1"/>
  <c r="O171" i="7"/>
  <c r="Z354" i="7"/>
  <c r="AM354" i="7" s="1"/>
  <c r="U606" i="7"/>
  <c r="X78" i="8"/>
  <c r="X56" i="25" s="1"/>
  <c r="R172" i="25"/>
  <c r="EB10" i="6"/>
  <c r="X603" i="7"/>
  <c r="V602" i="7"/>
  <c r="P503" i="7"/>
  <c r="M526" i="7"/>
  <c r="O47" i="7"/>
  <c r="I802" i="7"/>
  <c r="AA1038" i="7"/>
  <c r="AA817" i="7"/>
  <c r="D214" i="2"/>
  <c r="F408" i="20" s="1"/>
  <c r="W408" i="20" s="1"/>
  <c r="P76" i="25"/>
  <c r="AB366" i="23"/>
  <c r="AB369" i="23" s="1"/>
  <c r="X324" i="7"/>
  <c r="X352" i="7" s="1"/>
  <c r="Y679" i="7"/>
  <c r="V612" i="7"/>
  <c r="V535" i="7"/>
  <c r="P215" i="7"/>
  <c r="T199" i="7"/>
  <c r="T173" i="7" s="1"/>
  <c r="T76" i="25"/>
  <c r="P612" i="7"/>
  <c r="T612" i="7"/>
  <c r="V679" i="7"/>
  <c r="W705" i="7"/>
  <c r="S1096" i="7"/>
  <c r="T50" i="7"/>
  <c r="O801" i="7"/>
  <c r="Y246" i="23"/>
  <c r="J40" i="25"/>
  <c r="AF32" i="6"/>
  <c r="K47" i="6"/>
  <c r="Q96" i="6" s="1"/>
  <c r="K92" i="25"/>
  <c r="Z240" i="7"/>
  <c r="AM240" i="7" s="1"/>
  <c r="AM228" i="7"/>
  <c r="I411" i="23"/>
  <c r="V605" i="7"/>
  <c r="S349" i="23"/>
  <c r="X533" i="7"/>
  <c r="AB527" i="7"/>
  <c r="U841" i="7"/>
  <c r="S321" i="23"/>
  <c r="I251" i="7"/>
  <c r="CQ118" i="11"/>
  <c r="CW118" i="11" s="1"/>
  <c r="W45" i="7"/>
  <c r="N467" i="23"/>
  <c r="U183" i="7"/>
  <c r="AV24" i="6"/>
  <c r="AV31" i="6"/>
  <c r="CX32" i="6"/>
  <c r="DD81" i="6" s="1"/>
  <c r="V1065" i="7"/>
  <c r="P65" i="25"/>
  <c r="H135" i="7"/>
  <c r="I136" i="7" s="1"/>
  <c r="U190" i="7"/>
  <c r="W71" i="25"/>
  <c r="CM10" i="6"/>
  <c r="AA1080" i="7"/>
  <c r="O836" i="7"/>
  <c r="CA45" i="6"/>
  <c r="CG94" i="6" s="1"/>
  <c r="AB1080" i="7"/>
  <c r="T150" i="7"/>
  <c r="Z23" i="6"/>
  <c r="W23" i="6" s="1"/>
  <c r="AR26" i="6"/>
  <c r="X719" i="7"/>
  <c r="DA70" i="11"/>
  <c r="DA73" i="11" s="1"/>
  <c r="DA75" i="11" s="1"/>
  <c r="W96" i="25"/>
  <c r="W250" i="7"/>
  <c r="M841" i="7"/>
  <c r="L816" i="7"/>
  <c r="Y486" i="7"/>
  <c r="O835" i="7"/>
  <c r="O1075" i="7"/>
  <c r="Y146" i="7"/>
  <c r="BH116" i="11"/>
  <c r="K45" i="7"/>
  <c r="AC801" i="7"/>
  <c r="Z184" i="7"/>
  <c r="AM184" i="7" s="1"/>
  <c r="J859" i="7"/>
  <c r="J324" i="7"/>
  <c r="J352" i="7" s="1"/>
  <c r="X10" i="6"/>
  <c r="X12" i="6" s="1"/>
  <c r="Z502" i="7"/>
  <c r="AM502" i="7" s="1"/>
  <c r="O148" i="7"/>
  <c r="T46" i="7"/>
  <c r="I794" i="7"/>
  <c r="I819" i="7" s="1"/>
  <c r="AA99" i="25"/>
  <c r="Y281" i="23"/>
  <c r="Z287" i="23" s="1"/>
  <c r="BH28" i="6"/>
  <c r="I489" i="7"/>
  <c r="L1075" i="7"/>
  <c r="X71" i="25"/>
  <c r="R311" i="7"/>
  <c r="Y1091" i="7"/>
  <c r="Y1093" i="7" s="1"/>
  <c r="Y79" i="25" s="1"/>
  <c r="P1092" i="7"/>
  <c r="AL30" i="6"/>
  <c r="AR79" i="6" s="1"/>
  <c r="K136" i="23"/>
  <c r="AC200" i="7"/>
  <c r="AC693" i="7" s="1"/>
  <c r="AD693" i="7" s="1"/>
  <c r="N533" i="7"/>
  <c r="U167" i="7"/>
  <c r="W719" i="7"/>
  <c r="M30" i="6"/>
  <c r="Q53" i="7"/>
  <c r="Q57" i="7" s="1"/>
  <c r="V45" i="7"/>
  <c r="W184" i="7"/>
  <c r="O189" i="7"/>
  <c r="X311" i="7"/>
  <c r="DE30" i="6"/>
  <c r="T49" i="7"/>
  <c r="R616" i="7"/>
  <c r="I433" i="23"/>
  <c r="R844" i="7"/>
  <c r="EJ21" i="6"/>
  <c r="R1047" i="7"/>
  <c r="U49" i="11"/>
  <c r="T33" i="25"/>
  <c r="S1058" i="7"/>
  <c r="W311" i="7"/>
  <c r="L489" i="7"/>
  <c r="T65" i="25"/>
  <c r="N669" i="7"/>
  <c r="N681" i="7" s="1"/>
  <c r="W731" i="7"/>
  <c r="Z150" i="7"/>
  <c r="AM150" i="7" s="1"/>
  <c r="Y489" i="7"/>
  <c r="R835" i="7"/>
  <c r="U748" i="7"/>
  <c r="I199" i="7"/>
  <c r="I173" i="7" s="1"/>
  <c r="AE32" i="6"/>
  <c r="CB11" i="11"/>
  <c r="X39" i="25"/>
  <c r="Q533" i="7"/>
  <c r="I36" i="7"/>
  <c r="CY33" i="6"/>
  <c r="CW33" i="6" s="1"/>
  <c r="K6" i="6"/>
  <c r="Q55" i="6" s="1"/>
  <c r="Q835" i="7"/>
  <c r="AB964" i="7"/>
  <c r="AB975" i="7" s="1"/>
  <c r="AB841" i="7"/>
  <c r="X336" i="7"/>
  <c r="S37" i="7"/>
  <c r="AD133" i="7"/>
  <c r="EN10" i="6" s="1"/>
  <c r="EN59" i="6" s="1"/>
  <c r="M835" i="7"/>
  <c r="X146" i="7"/>
  <c r="O324" i="7"/>
  <c r="O352" i="7" s="1"/>
  <c r="M864" i="7"/>
  <c r="CE47" i="6"/>
  <c r="L84" i="23"/>
  <c r="R166" i="7"/>
  <c r="M444" i="23"/>
  <c r="P611" i="7"/>
  <c r="Z311" i="7"/>
  <c r="AM311" i="7" s="1"/>
  <c r="DL72" i="11"/>
  <c r="U324" i="7"/>
  <c r="U352" i="7" s="1"/>
  <c r="O487" i="7"/>
  <c r="I198" i="7"/>
  <c r="I218" i="7" s="1"/>
  <c r="R171" i="7"/>
  <c r="T20" i="7"/>
  <c r="T21" i="7" s="1"/>
  <c r="T23" i="7" s="1"/>
  <c r="V190" i="7"/>
  <c r="M142" i="7"/>
  <c r="O530" i="7"/>
  <c r="R487" i="7"/>
  <c r="AA20" i="7"/>
  <c r="AA21" i="7" s="1"/>
  <c r="AA23" i="7" s="1"/>
  <c r="S600" i="7"/>
  <c r="S603" i="7"/>
  <c r="DY11" i="6"/>
  <c r="AV216" i="17"/>
  <c r="AC13" i="26"/>
  <c r="AP35" i="6"/>
  <c r="S30" i="6"/>
  <c r="BU33" i="6"/>
  <c r="BU82" i="6" s="1"/>
  <c r="DL21" i="6"/>
  <c r="S167" i="7"/>
  <c r="N486" i="7"/>
  <c r="AQ30" i="6"/>
  <c r="I1044" i="7"/>
  <c r="Y311" i="7"/>
  <c r="V835" i="7"/>
  <c r="CB59" i="11"/>
  <c r="CH59" i="11" s="1"/>
  <c r="L804" i="7"/>
  <c r="T530" i="7"/>
  <c r="N186" i="7"/>
  <c r="K1065" i="7"/>
  <c r="T613" i="7"/>
  <c r="R115" i="8"/>
  <c r="BN30" i="6"/>
  <c r="BN79" i="6" s="1"/>
  <c r="J71" i="25"/>
  <c r="Q836" i="7"/>
  <c r="J171" i="7"/>
  <c r="V199" i="7"/>
  <c r="V312" i="7" s="1"/>
  <c r="BI33" i="6"/>
  <c r="BO82" i="6" s="1"/>
  <c r="AF10" i="6"/>
  <c r="Z44" i="6"/>
  <c r="J473" i="23"/>
  <c r="N1063" i="7"/>
  <c r="J1114" i="7"/>
  <c r="N78" i="8"/>
  <c r="N147" i="8" s="1"/>
  <c r="AC6" i="6"/>
  <c r="Q601" i="7"/>
  <c r="AC997" i="7"/>
  <c r="AC1011" i="7" s="1"/>
  <c r="N12" i="7"/>
  <c r="K1081" i="7"/>
  <c r="M324" i="7"/>
  <c r="M352" i="7" s="1"/>
  <c r="Z183" i="7"/>
  <c r="AM183" i="7" s="1"/>
  <c r="Y38" i="7"/>
  <c r="K996" i="7"/>
  <c r="K1010" i="7" s="1"/>
  <c r="K486" i="7"/>
  <c r="U487" i="7"/>
  <c r="DO7" i="6"/>
  <c r="AM132" i="7"/>
  <c r="CC62" i="11"/>
  <c r="CU40" i="6"/>
  <c r="DA89" i="6" s="1"/>
  <c r="O100" i="25"/>
  <c r="CI16" i="6"/>
  <c r="EE11" i="6"/>
  <c r="G1119" i="7"/>
  <c r="U18" i="6"/>
  <c r="DM18" i="6"/>
  <c r="R838" i="7"/>
  <c r="Y1138" i="7"/>
  <c r="AD9" i="17"/>
  <c r="P20" i="26"/>
  <c r="X173" i="25"/>
  <c r="N321" i="23"/>
  <c r="W360" i="7"/>
  <c r="H39" i="25"/>
  <c r="X126" i="7"/>
  <c r="AV32" i="6"/>
  <c r="I354" i="7"/>
  <c r="CS33" i="6"/>
  <c r="D201" i="2"/>
  <c r="F376" i="20" s="1"/>
  <c r="W376" i="20" s="1"/>
  <c r="AX21" i="6"/>
  <c r="L327" i="7"/>
  <c r="L358" i="7" s="1"/>
  <c r="I83" i="25"/>
  <c r="T41" i="6"/>
  <c r="DL41" i="6"/>
  <c r="I606" i="7"/>
  <c r="R606" i="7"/>
  <c r="Q679" i="7"/>
  <c r="Q963" i="7"/>
  <c r="Q974" i="7" s="1"/>
  <c r="M602" i="7"/>
  <c r="T183" i="7"/>
  <c r="W502" i="7"/>
  <c r="O453" i="7"/>
  <c r="AA526" i="7"/>
  <c r="Y241" i="23"/>
  <c r="Y242" i="23" s="1"/>
  <c r="DE8" i="6"/>
  <c r="DK57" i="6" s="1"/>
  <c r="O155" i="7"/>
  <c r="K603" i="7"/>
  <c r="M76" i="25"/>
  <c r="V666" i="7"/>
  <c r="V678" i="7" s="1"/>
  <c r="L1092" i="7"/>
  <c r="AB487" i="7"/>
  <c r="W718" i="7"/>
  <c r="CH16" i="6"/>
  <c r="CE16" i="6" s="1"/>
  <c r="BD41" i="6"/>
  <c r="BD90" i="6" s="1"/>
  <c r="I254" i="23"/>
  <c r="W1092" i="7"/>
  <c r="Q1082" i="7"/>
  <c r="V184" i="7"/>
  <c r="AC691" i="7"/>
  <c r="DJ24" i="6"/>
  <c r="DJ73" i="6" s="1"/>
  <c r="W277" i="23"/>
  <c r="G1047" i="7"/>
  <c r="Y154" i="7"/>
  <c r="ED9" i="6"/>
  <c r="R186" i="7"/>
  <c r="S311" i="7"/>
  <c r="X50" i="7"/>
  <c r="H23" i="6"/>
  <c r="AM477" i="7"/>
  <c r="W337" i="7"/>
  <c r="C207" i="2"/>
  <c r="T601" i="7"/>
  <c r="W831" i="7"/>
  <c r="W838" i="7" s="1"/>
  <c r="P533" i="7"/>
  <c r="S40" i="25"/>
  <c r="AB246" i="23"/>
  <c r="I111" i="25"/>
  <c r="CG32" i="6"/>
  <c r="J487" i="7"/>
  <c r="Z837" i="7"/>
  <c r="AM837" i="7" s="1"/>
  <c r="X836" i="7"/>
  <c r="Y533" i="7"/>
  <c r="L718" i="7"/>
  <c r="Y831" i="7"/>
  <c r="Y832" i="7" s="1"/>
  <c r="S884" i="7"/>
  <c r="AW35" i="6"/>
  <c r="Z346" i="7"/>
  <c r="DP8" i="6"/>
  <c r="N183" i="7"/>
  <c r="W145" i="7"/>
  <c r="AR15" i="26"/>
  <c r="CD132" i="17"/>
  <c r="CC8" i="11"/>
  <c r="H348" i="20"/>
  <c r="Y348" i="20" s="1"/>
  <c r="X243" i="7"/>
  <c r="AB225" i="8"/>
  <c r="Q40" i="7"/>
  <c r="M149" i="7"/>
  <c r="I11" i="6"/>
  <c r="V1119" i="7"/>
  <c r="O810" i="7"/>
  <c r="AS11" i="6"/>
  <c r="AA243" i="7"/>
  <c r="CG200" i="17"/>
  <c r="BG68" i="17"/>
  <c r="BT24" i="17"/>
  <c r="AZ24" i="17"/>
  <c r="BB170" i="17"/>
  <c r="BJ88" i="11" s="1"/>
  <c r="CM19" i="17"/>
  <c r="BH68" i="17"/>
  <c r="J241" i="23"/>
  <c r="J242" i="23" s="1"/>
  <c r="AD217" i="17"/>
  <c r="W533" i="7"/>
  <c r="H185" i="17"/>
  <c r="O113" i="25"/>
  <c r="BX62" i="11"/>
  <c r="K466" i="23"/>
  <c r="W1017" i="7"/>
  <c r="W822" i="7"/>
  <c r="AX118" i="11"/>
  <c r="BA118" i="11" s="1"/>
  <c r="M218" i="8"/>
  <c r="H45" i="7"/>
  <c r="DC6" i="6"/>
  <c r="DI55" i="6" s="1"/>
  <c r="BE59" i="17"/>
  <c r="X114" i="8"/>
  <c r="U502" i="7"/>
  <c r="N184" i="7"/>
  <c r="DE9" i="6"/>
  <c r="V70" i="25"/>
  <c r="Q1079" i="7"/>
  <c r="Q354" i="7"/>
  <c r="K1044" i="7"/>
  <c r="S1106" i="7"/>
  <c r="K1114" i="7"/>
  <c r="I136" i="25"/>
  <c r="U615" i="7"/>
  <c r="BO35" i="6"/>
  <c r="Q615" i="7"/>
  <c r="Q1042" i="7"/>
  <c r="Y89" i="25"/>
  <c r="Z76" i="25"/>
  <c r="U171" i="7"/>
  <c r="M171" i="7"/>
  <c r="AC92" i="25"/>
  <c r="AB1026" i="7"/>
  <c r="X714" i="7"/>
  <c r="CM62" i="11"/>
  <c r="Q366" i="23"/>
  <c r="CQ6" i="6"/>
  <c r="W135" i="23"/>
  <c r="I465" i="23"/>
  <c r="CX8" i="6"/>
  <c r="Z20" i="7"/>
  <c r="Z21" i="7" s="1"/>
  <c r="CX24" i="6"/>
  <c r="DD73" i="6" s="1"/>
  <c r="V600" i="7"/>
  <c r="X190" i="7"/>
  <c r="X172" i="7"/>
  <c r="AE28" i="6"/>
  <c r="W673" i="7"/>
  <c r="AB1079" i="7"/>
  <c r="K185" i="7"/>
  <c r="U41" i="7"/>
  <c r="M1044" i="7"/>
  <c r="O97" i="25"/>
  <c r="DL46" i="6"/>
  <c r="W842" i="7"/>
  <c r="AB183" i="7"/>
  <c r="Z801" i="7"/>
  <c r="AM801" i="7" s="1"/>
  <c r="Q612" i="7"/>
  <c r="AD690" i="7"/>
  <c r="F246" i="2" s="1"/>
  <c r="J154" i="7"/>
  <c r="R61" i="25"/>
  <c r="AA806" i="7"/>
  <c r="AB176" i="7"/>
  <c r="R366" i="23"/>
  <c r="BJ8" i="6"/>
  <c r="BP57" i="6" s="1"/>
  <c r="DF16" i="6"/>
  <c r="DL65" i="6" s="1"/>
  <c r="S794" i="7"/>
  <c r="S819" i="7" s="1"/>
  <c r="T672" i="7"/>
  <c r="N324" i="7"/>
  <c r="N352" i="7" s="1"/>
  <c r="L473" i="7"/>
  <c r="AE115" i="11"/>
  <c r="O859" i="7"/>
  <c r="T669" i="7"/>
  <c r="CI35" i="6" s="1"/>
  <c r="P806" i="7"/>
  <c r="J198" i="7"/>
  <c r="J60" i="25" s="1"/>
  <c r="BR117" i="11"/>
  <c r="T189" i="7"/>
  <c r="T534" i="7"/>
  <c r="M1001" i="7"/>
  <c r="M1015" i="7" s="1"/>
  <c r="Y155" i="7"/>
  <c r="L813" i="7"/>
  <c r="L1017" i="7"/>
  <c r="M736" i="7"/>
  <c r="M737" i="7" s="1"/>
  <c r="W102" i="7"/>
  <c r="W104" i="7" s="1"/>
  <c r="Y1075" i="7"/>
  <c r="M325" i="7"/>
  <c r="N489" i="7"/>
  <c r="H43" i="25"/>
  <c r="Z323" i="7"/>
  <c r="Z344" i="7" s="1"/>
  <c r="AB200" i="7"/>
  <c r="M190" i="7"/>
  <c r="N46" i="7"/>
  <c r="U526" i="7"/>
  <c r="Y42" i="23"/>
  <c r="CS9" i="11" s="1"/>
  <c r="CT9" i="11" s="1"/>
  <c r="Y143" i="23" s="1"/>
  <c r="CS22" i="11" s="1"/>
  <c r="O199" i="7"/>
  <c r="O173" i="7" s="1"/>
  <c r="M241" i="23"/>
  <c r="M12" i="7"/>
  <c r="R47" i="7"/>
  <c r="W606" i="7"/>
  <c r="X153" i="7"/>
  <c r="AA603" i="7"/>
  <c r="R198" i="7"/>
  <c r="R275" i="7" s="1"/>
  <c r="N502" i="7"/>
  <c r="AC77" i="8"/>
  <c r="AC78" i="8" s="1"/>
  <c r="AA837" i="7"/>
  <c r="M45" i="6"/>
  <c r="AA842" i="7"/>
  <c r="I673" i="7"/>
  <c r="P198" i="7"/>
  <c r="AC180" i="8"/>
  <c r="I175" i="8"/>
  <c r="Q335" i="7"/>
  <c r="U714" i="7"/>
  <c r="S93" i="7"/>
  <c r="S99" i="7" s="1"/>
  <c r="K331" i="7"/>
  <c r="S838" i="7"/>
  <c r="Q530" i="7"/>
  <c r="CO6" i="17"/>
  <c r="V537" i="7"/>
  <c r="M354" i="7"/>
  <c r="K500" i="7"/>
  <c r="C157" i="2"/>
  <c r="AT157" i="2" s="1"/>
  <c r="X189" i="7"/>
  <c r="X814" i="7"/>
  <c r="AA241" i="23"/>
  <c r="AA438" i="23"/>
  <c r="N149" i="7"/>
  <c r="I26" i="17"/>
  <c r="I24" i="17"/>
  <c r="I25" i="17" s="1"/>
  <c r="AB154" i="7"/>
  <c r="W1044" i="7"/>
  <c r="Z1001" i="7"/>
  <c r="AM1001" i="7" s="1"/>
  <c r="S189" i="7"/>
  <c r="N189" i="7"/>
  <c r="M1064" i="7"/>
  <c r="O526" i="7"/>
  <c r="AB1044" i="7"/>
  <c r="V336" i="7"/>
  <c r="N323" i="7"/>
  <c r="N344" i="7" s="1"/>
  <c r="AD14" i="26"/>
  <c r="P221" i="7"/>
  <c r="Q158" i="7"/>
  <c r="N47" i="7"/>
  <c r="CG10" i="6"/>
  <c r="CG59" i="6" s="1"/>
  <c r="T602" i="7"/>
  <c r="V673" i="7"/>
  <c r="S695" i="7"/>
  <c r="S723" i="7" s="1"/>
  <c r="O813" i="7"/>
  <c r="T136" i="25"/>
  <c r="V350" i="23"/>
  <c r="Q142" i="7"/>
  <c r="DC49" i="11"/>
  <c r="DD49" i="11" s="1"/>
  <c r="DE49" i="11" s="1"/>
  <c r="DR19" i="6"/>
  <c r="DX68" i="6" s="1"/>
  <c r="AA111" i="8"/>
  <c r="L434" i="23"/>
  <c r="AA613" i="7"/>
  <c r="X45" i="7"/>
  <c r="AB319" i="23"/>
  <c r="N457" i="23"/>
  <c r="BD34" i="11"/>
  <c r="U34" i="11"/>
  <c r="M240" i="7"/>
  <c r="U864" i="7"/>
  <c r="CC16" i="11"/>
  <c r="CW6" i="6"/>
  <c r="S380" i="23"/>
  <c r="AB126" i="23"/>
  <c r="CF8" i="6"/>
  <c r="CF57" i="6" s="1"/>
  <c r="H25" i="7"/>
  <c r="I26" i="7" s="1"/>
  <c r="DW35" i="6"/>
  <c r="AB603" i="7"/>
  <c r="Z46" i="6"/>
  <c r="AB46" i="6" s="1"/>
  <c r="DR46" i="6"/>
  <c r="DT46" i="6" s="1"/>
  <c r="H674" i="7"/>
  <c r="Z817" i="7"/>
  <c r="L97" i="25"/>
  <c r="H63" i="25"/>
  <c r="AB277" i="23"/>
  <c r="Z69" i="25"/>
  <c r="R36" i="7"/>
  <c r="I884" i="7"/>
  <c r="Z12" i="7"/>
  <c r="AM12" i="7" s="1"/>
  <c r="AB192" i="7"/>
  <c r="AM169" i="7"/>
  <c r="DQ8" i="6"/>
  <c r="Z153" i="7"/>
  <c r="AM153" i="7" s="1"/>
  <c r="U20" i="7"/>
  <c r="U21" i="7" s="1"/>
  <c r="U23" i="7" s="1"/>
  <c r="AB167" i="8"/>
  <c r="AB146" i="8" s="1"/>
  <c r="AC146" i="8" s="1"/>
  <c r="O814" i="7"/>
  <c r="BI45" i="6"/>
  <c r="O499" i="7"/>
  <c r="AA725" i="7"/>
  <c r="W137" i="25"/>
  <c r="L198" i="7"/>
  <c r="CS8" i="11"/>
  <c r="CT8" i="11" s="1"/>
  <c r="Y173" i="23" s="1"/>
  <c r="Y13" i="25" s="1"/>
  <c r="K613" i="7"/>
  <c r="Z40" i="25"/>
  <c r="Y125" i="23"/>
  <c r="R67" i="23"/>
  <c r="AC456" i="23"/>
  <c r="CW7" i="11"/>
  <c r="L1046" i="7"/>
  <c r="BJ46" i="6"/>
  <c r="BL46" i="6" s="1"/>
  <c r="CG95" i="6"/>
  <c r="V36" i="7"/>
  <c r="N35" i="6"/>
  <c r="P93" i="25"/>
  <c r="N837" i="7"/>
  <c r="X963" i="7"/>
  <c r="X974" i="7" s="1"/>
  <c r="L240" i="7"/>
  <c r="I144" i="8"/>
  <c r="I158" i="8" s="1"/>
  <c r="R93" i="7"/>
  <c r="R96" i="7" s="1"/>
  <c r="CO62" i="11"/>
  <c r="X176" i="23" s="1"/>
  <c r="X16" i="25" s="1"/>
  <c r="P336" i="7"/>
  <c r="W602" i="7"/>
  <c r="CO106" i="17"/>
  <c r="CO105" i="17" s="1"/>
  <c r="BA105" i="17"/>
  <c r="CK106" i="17"/>
  <c r="CK142" i="17" s="1"/>
  <c r="AC105" i="17"/>
  <c r="AA444" i="23"/>
  <c r="AB447" i="23" s="1"/>
  <c r="W180" i="7"/>
  <c r="BN45" i="6"/>
  <c r="BT94" i="6" s="1"/>
  <c r="Q215" i="7"/>
  <c r="ED23" i="6"/>
  <c r="EA23" i="6" s="1"/>
  <c r="V37" i="7"/>
  <c r="AC154" i="7"/>
  <c r="K264" i="23"/>
  <c r="K280" i="23" s="1"/>
  <c r="CF30" i="6"/>
  <c r="CF79" i="6" s="1"/>
  <c r="Z25" i="7"/>
  <c r="U465" i="23"/>
  <c r="BH60" i="6"/>
  <c r="T146" i="7"/>
  <c r="I191" i="7"/>
  <c r="T526" i="7"/>
  <c r="W530" i="7"/>
  <c r="M182" i="8"/>
  <c r="M537" i="7"/>
  <c r="L15" i="6"/>
  <c r="BY11" i="6"/>
  <c r="AD142" i="23"/>
  <c r="DR21" i="11" s="1"/>
  <c r="DQ102" i="11"/>
  <c r="CY94" i="6"/>
  <c r="AK95" i="6"/>
  <c r="U8" i="11"/>
  <c r="DQ34" i="11"/>
  <c r="DQ8" i="11"/>
  <c r="H282" i="20"/>
  <c r="Y282" i="20" s="1"/>
  <c r="EJ36" i="6"/>
  <c r="EG36" i="6" s="1"/>
  <c r="CT49" i="11"/>
  <c r="CU49" i="11" s="1"/>
  <c r="AY71" i="11"/>
  <c r="AO72" i="11"/>
  <c r="CM49" i="11"/>
  <c r="CH45" i="17"/>
  <c r="CL50" i="11"/>
  <c r="DG8" i="11"/>
  <c r="DB34" i="11"/>
  <c r="CJ49" i="11"/>
  <c r="CK49" i="11" s="1"/>
  <c r="CR116" i="11"/>
  <c r="AD177" i="23"/>
  <c r="F106" i="2" s="1"/>
  <c r="AW106" i="2" s="1"/>
  <c r="AT72" i="11"/>
  <c r="CN87" i="6"/>
  <c r="AC62" i="11"/>
  <c r="CT101" i="11"/>
  <c r="Y181" i="23" s="1"/>
  <c r="Y21" i="25" s="1"/>
  <c r="BV86" i="6"/>
  <c r="V234" i="17"/>
  <c r="BS34" i="11"/>
  <c r="AV85" i="6"/>
  <c r="BS47" i="11"/>
  <c r="DD86" i="11"/>
  <c r="DE86" i="11" s="1"/>
  <c r="R57" i="11"/>
  <c r="S57" i="11" s="1"/>
  <c r="Z86" i="6"/>
  <c r="AJ8" i="11"/>
  <c r="DB8" i="11"/>
  <c r="BV36" i="6"/>
  <c r="BS36" i="6" s="1"/>
  <c r="AB101" i="11"/>
  <c r="AB102" i="11" s="1"/>
  <c r="AQ95" i="6"/>
  <c r="AB13" i="11"/>
  <c r="K147" i="23" s="1"/>
  <c r="AA26" i="11" s="1"/>
  <c r="DB86" i="11"/>
  <c r="DG72" i="11"/>
  <c r="CY118" i="11"/>
  <c r="Z186" i="23" s="1"/>
  <c r="Z44" i="25" s="1"/>
  <c r="AE72" i="11"/>
  <c r="H796" i="7"/>
  <c r="M40" i="6" s="1"/>
  <c r="P227" i="7"/>
  <c r="P247" i="7" s="1"/>
  <c r="BQ14" i="17"/>
  <c r="BN20" i="26"/>
  <c r="K89" i="25"/>
  <c r="AF21" i="6"/>
  <c r="CK26" i="17"/>
  <c r="CK20" i="17"/>
  <c r="D7" i="28" s="1"/>
  <c r="Q42" i="7"/>
  <c r="I42" i="7"/>
  <c r="CS16" i="11"/>
  <c r="CS115" i="11" s="1"/>
  <c r="CT115" i="11" s="1"/>
  <c r="CU115" i="11" s="1"/>
  <c r="O860" i="7"/>
  <c r="O866" i="7"/>
  <c r="S60" i="23"/>
  <c r="S67" i="23" s="1"/>
  <c r="S42" i="23"/>
  <c r="BO9" i="11" s="1"/>
  <c r="BP9" i="11" s="1"/>
  <c r="S143" i="23" s="1"/>
  <c r="BO22" i="11" s="1"/>
  <c r="K239" i="23"/>
  <c r="K1001" i="7"/>
  <c r="K1015" i="7" s="1"/>
  <c r="N1105" i="7"/>
  <c r="N614" i="7"/>
  <c r="J1098" i="7"/>
  <c r="J615" i="7"/>
  <c r="AC1110" i="7"/>
  <c r="AC818" i="7"/>
  <c r="AC806" i="7"/>
  <c r="U614" i="7"/>
  <c r="U604" i="7"/>
  <c r="AB50" i="7"/>
  <c r="ED16" i="6"/>
  <c r="AB606" i="7"/>
  <c r="AC606" i="7"/>
  <c r="K1047" i="7"/>
  <c r="L802" i="7"/>
  <c r="K814" i="7"/>
  <c r="O731" i="7"/>
  <c r="O706" i="7"/>
  <c r="W93" i="25"/>
  <c r="X246" i="23"/>
  <c r="W1001" i="7"/>
  <c r="W1015" i="7" s="1"/>
  <c r="DF9" i="6"/>
  <c r="DF58" i="6" s="1"/>
  <c r="X694" i="7"/>
  <c r="X722" i="7" s="1"/>
  <c r="AA235" i="7"/>
  <c r="C190" i="2" s="1"/>
  <c r="AT190" i="2" s="1"/>
  <c r="O42" i="7"/>
  <c r="J182" i="8"/>
  <c r="R725" i="7"/>
  <c r="R736" i="7"/>
  <c r="R1059" i="7"/>
  <c r="BT28" i="6"/>
  <c r="R611" i="7"/>
  <c r="R601" i="7"/>
  <c r="N16" i="6"/>
  <c r="K16" i="6" s="1"/>
  <c r="H50" i="7"/>
  <c r="J796" i="7"/>
  <c r="W796" i="7"/>
  <c r="W1091" i="7" s="1"/>
  <c r="X850" i="7"/>
  <c r="X1070" i="7" s="1"/>
  <c r="X1071" i="7" s="1"/>
  <c r="X67" i="25" s="1"/>
  <c r="U227" i="7"/>
  <c r="U74" i="25" s="1"/>
  <c r="K12" i="7"/>
  <c r="X42" i="7"/>
  <c r="Z235" i="7"/>
  <c r="BH45" i="6"/>
  <c r="R1065" i="7"/>
  <c r="N335" i="7"/>
  <c r="J215" i="7"/>
  <c r="Z1063" i="7"/>
  <c r="R199" i="7"/>
  <c r="K601" i="7"/>
  <c r="K605" i="7"/>
  <c r="U804" i="7"/>
  <c r="Z198" i="7"/>
  <c r="Z171" i="25" s="1"/>
  <c r="K215" i="7"/>
  <c r="U55" i="23"/>
  <c r="Z227" i="7"/>
  <c r="Z247" i="7" s="1"/>
  <c r="AM247" i="7" s="1"/>
  <c r="W850" i="7"/>
  <c r="CX47" i="6" s="1"/>
  <c r="V851" i="7"/>
  <c r="CS47" i="6" s="1"/>
  <c r="Q795" i="7"/>
  <c r="L199" i="7"/>
  <c r="L173" i="7" s="1"/>
  <c r="Z33" i="7"/>
  <c r="AM33" i="7" s="1"/>
  <c r="CL10" i="6"/>
  <c r="CR59" i="6" s="1"/>
  <c r="K145" i="7"/>
  <c r="V42" i="23"/>
  <c r="CD9" i="11" s="1"/>
  <c r="CE9" i="11" s="1"/>
  <c r="V143" i="23" s="1"/>
  <c r="CD22" i="11" s="1"/>
  <c r="BN82" i="17"/>
  <c r="BR90" i="17" s="1"/>
  <c r="CV117" i="11"/>
  <c r="CW117" i="11" s="1"/>
  <c r="R1111" i="7"/>
  <c r="R859" i="7"/>
  <c r="X136" i="25"/>
  <c r="X616" i="7"/>
  <c r="O1112" i="7"/>
  <c r="BD45" i="6"/>
  <c r="P837" i="7"/>
  <c r="M1110" i="7"/>
  <c r="M806" i="7"/>
  <c r="M794" i="7"/>
  <c r="M819" i="7" s="1"/>
  <c r="M818" i="7"/>
  <c r="AR44" i="6"/>
  <c r="P996" i="7"/>
  <c r="P1010" i="7" s="1"/>
  <c r="BJ32" i="6"/>
  <c r="BJ81" i="6" s="1"/>
  <c r="T528" i="7"/>
  <c r="T535" i="7"/>
  <c r="G438" i="23"/>
  <c r="H246" i="23"/>
  <c r="J70" i="11"/>
  <c r="M70" i="11" s="1"/>
  <c r="AB696" i="7"/>
  <c r="AB724" i="7" s="1"/>
  <c r="M335" i="7"/>
  <c r="R394" i="7"/>
  <c r="R396" i="7" s="1"/>
  <c r="R494" i="7"/>
  <c r="R496" i="7" s="1"/>
  <c r="M494" i="7"/>
  <c r="M496" i="7" s="1"/>
  <c r="M394" i="7"/>
  <c r="M396" i="7" s="1"/>
  <c r="AB465" i="23"/>
  <c r="N277" i="23"/>
  <c r="DL26" i="6"/>
  <c r="DR75" i="6" s="1"/>
  <c r="Y500" i="7"/>
  <c r="H70" i="25"/>
  <c r="H155" i="7"/>
  <c r="H678" i="7"/>
  <c r="H669" i="7"/>
  <c r="I672" i="7"/>
  <c r="L35" i="6"/>
  <c r="H65" i="25"/>
  <c r="S1075" i="7"/>
  <c r="BZ45" i="6"/>
  <c r="S841" i="7"/>
  <c r="J147" i="7"/>
  <c r="K147" i="7"/>
  <c r="Y10" i="6"/>
  <c r="J155" i="7"/>
  <c r="P126" i="7"/>
  <c r="P114" i="7" s="1"/>
  <c r="P116" i="7" s="1"/>
  <c r="Q118" i="7" s="1"/>
  <c r="BC116" i="11"/>
  <c r="BD116" i="11" s="1"/>
  <c r="P39" i="25"/>
  <c r="P45" i="7"/>
  <c r="BG6" i="6"/>
  <c r="P36" i="7"/>
  <c r="Q502" i="7"/>
  <c r="BN24" i="6"/>
  <c r="X1063" i="7"/>
  <c r="X505" i="7"/>
  <c r="DD31" i="6"/>
  <c r="V526" i="7"/>
  <c r="CR32" i="6"/>
  <c r="V1064" i="7"/>
  <c r="H1064" i="7"/>
  <c r="H1066" i="7" s="1"/>
  <c r="H64" i="25" s="1"/>
  <c r="H533" i="7"/>
  <c r="CK15" i="17"/>
  <c r="D10" i="28" s="1"/>
  <c r="K227" i="7"/>
  <c r="AE18" i="6" s="1"/>
  <c r="X235" i="7"/>
  <c r="W1114" i="7"/>
  <c r="X606" i="7"/>
  <c r="P25" i="7"/>
  <c r="T350" i="23"/>
  <c r="P1075" i="7"/>
  <c r="R600" i="7"/>
  <c r="CN21" i="6"/>
  <c r="M323" i="7"/>
  <c r="M344" i="7" s="1"/>
  <c r="H46" i="6"/>
  <c r="Q185" i="7"/>
  <c r="Q325" i="7"/>
  <c r="AA606" i="7"/>
  <c r="AH13" i="26"/>
  <c r="T218" i="8"/>
  <c r="AG24" i="17"/>
  <c r="P184" i="7"/>
  <c r="AT16" i="11"/>
  <c r="H171" i="7"/>
  <c r="H1057" i="7"/>
  <c r="W233" i="8"/>
  <c r="AJ175" i="17"/>
  <c r="AK175" i="17"/>
  <c r="R227" i="7"/>
  <c r="S239" i="7" s="1"/>
  <c r="I851" i="7"/>
  <c r="S1119" i="7"/>
  <c r="S218" i="8"/>
  <c r="R795" i="7"/>
  <c r="R1074" i="7" s="1"/>
  <c r="R1076" i="7" s="1"/>
  <c r="R68" i="25" s="1"/>
  <c r="H255" i="7"/>
  <c r="I260" i="7" s="1"/>
  <c r="P64" i="7"/>
  <c r="O843" i="7"/>
  <c r="AA16" i="11"/>
  <c r="AA115" i="11" s="1"/>
  <c r="AB115" i="11" s="1"/>
  <c r="AC115" i="11" s="1"/>
  <c r="U394" i="7"/>
  <c r="U396" i="7" s="1"/>
  <c r="U494" i="7"/>
  <c r="U496" i="7" s="1"/>
  <c r="CX27" i="6"/>
  <c r="CW27" i="6" s="1"/>
  <c r="DC76" i="6" s="1"/>
  <c r="M1081" i="7"/>
  <c r="DW33" i="6"/>
  <c r="P97" i="25"/>
  <c r="Z136" i="25"/>
  <c r="U102" i="7"/>
  <c r="U104" i="7" s="1"/>
  <c r="P835" i="7"/>
  <c r="V146" i="7"/>
  <c r="U166" i="7"/>
  <c r="R610" i="7"/>
  <c r="AP30" i="6"/>
  <c r="Q177" i="7"/>
  <c r="H1042" i="7"/>
  <c r="I418" i="23"/>
  <c r="I30" i="25"/>
  <c r="J601" i="7"/>
  <c r="O98" i="25"/>
  <c r="O1043" i="7"/>
  <c r="Z157" i="7"/>
  <c r="AM157" i="7" s="1"/>
  <c r="AA149" i="7"/>
  <c r="AM140" i="7"/>
  <c r="M822" i="7"/>
  <c r="M1138" i="7"/>
  <c r="M810" i="7"/>
  <c r="T339" i="7"/>
  <c r="T964" i="7"/>
  <c r="T975" i="7" s="1"/>
  <c r="T360" i="7"/>
  <c r="AC150" i="7"/>
  <c r="E223" i="2"/>
  <c r="I424" i="20" s="1"/>
  <c r="Z424" i="20" s="1"/>
  <c r="AC158" i="7"/>
  <c r="AC998" i="7"/>
  <c r="AC1012" i="7" s="1"/>
  <c r="T969" i="7"/>
  <c r="T980" i="7" s="1"/>
  <c r="T816" i="7"/>
  <c r="T92" i="25"/>
  <c r="H49" i="7"/>
  <c r="H1043" i="7"/>
  <c r="AM18" i="6"/>
  <c r="AS67" i="6" s="1"/>
  <c r="L251" i="7"/>
  <c r="CO45" i="6"/>
  <c r="CU94" i="6" s="1"/>
  <c r="U838" i="7"/>
  <c r="AA604" i="7"/>
  <c r="AA1105" i="7"/>
  <c r="AA614" i="7"/>
  <c r="H269" i="7"/>
  <c r="H262" i="7"/>
  <c r="Z963" i="7"/>
  <c r="DR16" i="6"/>
  <c r="DR65" i="6" s="1"/>
  <c r="Z53" i="7"/>
  <c r="Z57" i="7" s="1"/>
  <c r="AM57" i="7" s="1"/>
  <c r="T997" i="7"/>
  <c r="T1011" i="7" s="1"/>
  <c r="T242" i="7"/>
  <c r="T89" i="25"/>
  <c r="T250" i="7"/>
  <c r="BP25" i="6"/>
  <c r="Q1045" i="7"/>
  <c r="M111" i="25"/>
  <c r="M995" i="7"/>
  <c r="M1009" i="7" s="1"/>
  <c r="Q241" i="23"/>
  <c r="DR47" i="6"/>
  <c r="DX96" i="6" s="1"/>
  <c r="AA859" i="7"/>
  <c r="T45" i="6"/>
  <c r="I843" i="7"/>
  <c r="EE16" i="6"/>
  <c r="AB40" i="7"/>
  <c r="AB98" i="25"/>
  <c r="P157" i="7"/>
  <c r="P1120" i="7"/>
  <c r="M251" i="7"/>
  <c r="M243" i="7"/>
  <c r="V1139" i="7"/>
  <c r="V1140" i="7" s="1"/>
  <c r="V844" i="7"/>
  <c r="AC604" i="7"/>
  <c r="AB604" i="7"/>
  <c r="V1047" i="7"/>
  <c r="V113" i="25"/>
  <c r="P80" i="25"/>
  <c r="Q41" i="7"/>
  <c r="N964" i="7"/>
  <c r="N975" i="7" s="1"/>
  <c r="N81" i="25"/>
  <c r="AX23" i="6"/>
  <c r="AX72" i="6" s="1"/>
  <c r="CZ26" i="6"/>
  <c r="W473" i="7"/>
  <c r="W965" i="7" s="1"/>
  <c r="W976" i="7" s="1"/>
  <c r="O614" i="7"/>
  <c r="O604" i="7"/>
  <c r="R438" i="23"/>
  <c r="R239" i="23"/>
  <c r="L179" i="8"/>
  <c r="AA360" i="7"/>
  <c r="AA339" i="7"/>
  <c r="M708" i="7"/>
  <c r="O40" i="6"/>
  <c r="O89" i="6" s="1"/>
  <c r="H822" i="7"/>
  <c r="DG40" i="6"/>
  <c r="DG89" i="6" s="1"/>
  <c r="X810" i="7"/>
  <c r="R709" i="7"/>
  <c r="G997" i="7"/>
  <c r="G255" i="7"/>
  <c r="G256" i="7" s="1"/>
  <c r="V795" i="7"/>
  <c r="CR40" i="6" s="1"/>
  <c r="S850" i="7"/>
  <c r="S863" i="7" s="1"/>
  <c r="J1059" i="7"/>
  <c r="Q1104" i="7"/>
  <c r="U33" i="25"/>
  <c r="CB80" i="11"/>
  <c r="AC264" i="23"/>
  <c r="R42" i="7"/>
  <c r="DH7" i="11"/>
  <c r="DI7" i="11" s="1"/>
  <c r="AB141" i="23" s="1"/>
  <c r="DH20" i="11" s="1"/>
  <c r="P180" i="8"/>
  <c r="P145" i="8"/>
  <c r="P159" i="8" s="1"/>
  <c r="P173" i="8"/>
  <c r="S428" i="23"/>
  <c r="AA96" i="25"/>
  <c r="AA1017" i="7"/>
  <c r="BC118" i="11"/>
  <c r="P366" i="23"/>
  <c r="P192" i="7"/>
  <c r="P191" i="7"/>
  <c r="J172" i="7"/>
  <c r="J184" i="7"/>
  <c r="J25" i="7"/>
  <c r="K26" i="7" s="1"/>
  <c r="J135" i="7"/>
  <c r="K136" i="7" s="1"/>
  <c r="U1080" i="7"/>
  <c r="CM28" i="6"/>
  <c r="CY32" i="6"/>
  <c r="DE81" i="6" s="1"/>
  <c r="W1081" i="7"/>
  <c r="W1083" i="7" s="1"/>
  <c r="W75" i="25" s="1"/>
  <c r="CB8" i="6"/>
  <c r="S177" i="7"/>
  <c r="S200" i="7"/>
  <c r="R502" i="7"/>
  <c r="BT24" i="6"/>
  <c r="BZ73" i="6" s="1"/>
  <c r="V601" i="7"/>
  <c r="W601" i="7"/>
  <c r="CR28" i="6"/>
  <c r="S526" i="7"/>
  <c r="BT32" i="6"/>
  <c r="L65" i="25"/>
  <c r="L678" i="7"/>
  <c r="L672" i="7"/>
  <c r="Q147" i="7"/>
  <c r="P70" i="25"/>
  <c r="P155" i="7"/>
  <c r="BI10" i="6"/>
  <c r="BI28" i="6"/>
  <c r="BO77" i="6" s="1"/>
  <c r="Q603" i="7"/>
  <c r="P1080" i="7"/>
  <c r="P613" i="7"/>
  <c r="Y1081" i="7"/>
  <c r="Y527" i="7"/>
  <c r="DK32" i="6"/>
  <c r="O679" i="7"/>
  <c r="O673" i="7"/>
  <c r="S1092" i="7"/>
  <c r="S836" i="7"/>
  <c r="AB601" i="7"/>
  <c r="AC589" i="7"/>
  <c r="AB1059" i="7"/>
  <c r="AB611" i="7"/>
  <c r="EA7" i="6"/>
  <c r="AB153" i="7"/>
  <c r="DK117" i="11"/>
  <c r="DL117" i="11" s="1"/>
  <c r="D151" i="2"/>
  <c r="F196" i="20" s="1"/>
  <c r="W196" i="20" s="1"/>
  <c r="N33" i="25"/>
  <c r="N281" i="23"/>
  <c r="AS80" i="11"/>
  <c r="AU47" i="6"/>
  <c r="BA96" i="6" s="1"/>
  <c r="N444" i="23"/>
  <c r="AS11" i="11"/>
  <c r="V173" i="25"/>
  <c r="V890" i="7"/>
  <c r="V171" i="7"/>
  <c r="DE10" i="6"/>
  <c r="X199" i="7"/>
  <c r="X219" i="7" s="1"/>
  <c r="X147" i="7"/>
  <c r="CY24" i="6"/>
  <c r="CY73" i="6" s="1"/>
  <c r="W503" i="7"/>
  <c r="W487" i="7"/>
  <c r="CS28" i="6"/>
  <c r="V603" i="7"/>
  <c r="W603" i="7"/>
  <c r="V613" i="7"/>
  <c r="K527" i="7"/>
  <c r="J534" i="7"/>
  <c r="J1081" i="7"/>
  <c r="Y32" i="6"/>
  <c r="Y81" i="6" s="1"/>
  <c r="M33" i="6"/>
  <c r="I602" i="7"/>
  <c r="H1082" i="7"/>
  <c r="Z612" i="7"/>
  <c r="AM612" i="7" s="1"/>
  <c r="Z1082" i="7"/>
  <c r="R679" i="7"/>
  <c r="R77" i="25"/>
  <c r="R673" i="7"/>
  <c r="BU35" i="6"/>
  <c r="AM667" i="7"/>
  <c r="Z77" i="25"/>
  <c r="Z666" i="7"/>
  <c r="R836" i="7"/>
  <c r="BU45" i="6"/>
  <c r="Q172" i="7"/>
  <c r="Q25" i="7"/>
  <c r="R26" i="7" s="1"/>
  <c r="Q184" i="7"/>
  <c r="Q69" i="25"/>
  <c r="Q199" i="7"/>
  <c r="Q173" i="7" s="1"/>
  <c r="Q171" i="7"/>
  <c r="L890" i="7"/>
  <c r="L173" i="25"/>
  <c r="M884" i="7"/>
  <c r="L884" i="7"/>
  <c r="AC145" i="7"/>
  <c r="E151" i="2"/>
  <c r="DP117" i="11"/>
  <c r="EG7" i="6"/>
  <c r="DX41" i="6"/>
  <c r="AB801" i="7"/>
  <c r="AA813" i="7"/>
  <c r="S48" i="7"/>
  <c r="CB9" i="6"/>
  <c r="S1102" i="7"/>
  <c r="T1092" i="7"/>
  <c r="U836" i="7"/>
  <c r="T832" i="7"/>
  <c r="T836" i="7"/>
  <c r="AA39" i="25"/>
  <c r="C150" i="2"/>
  <c r="AT150" i="2" s="1"/>
  <c r="AB36" i="7"/>
  <c r="AA36" i="7"/>
  <c r="AA45" i="7"/>
  <c r="Z171" i="7"/>
  <c r="AM171" i="7" s="1"/>
  <c r="AA38" i="7"/>
  <c r="Z47" i="7"/>
  <c r="AM47" i="7" s="1"/>
  <c r="AB198" i="7"/>
  <c r="EB8" i="6"/>
  <c r="T850" i="7"/>
  <c r="T863" i="7" s="1"/>
  <c r="AK16" i="11"/>
  <c r="AK115" i="11" s="1"/>
  <c r="AL115" i="11" s="1"/>
  <c r="AM115" i="11" s="1"/>
  <c r="N235" i="7"/>
  <c r="H851" i="7"/>
  <c r="H864" i="7" s="1"/>
  <c r="AB795" i="7"/>
  <c r="AB1074" i="7" s="1"/>
  <c r="AB1076" i="7" s="1"/>
  <c r="AB68" i="25" s="1"/>
  <c r="T851" i="7"/>
  <c r="T864" i="7" s="1"/>
  <c r="P218" i="8"/>
  <c r="K850" i="7"/>
  <c r="K1070" i="7" s="1"/>
  <c r="K1071" i="7" s="1"/>
  <c r="K67" i="25" s="1"/>
  <c r="AF16" i="11"/>
  <c r="AF115" i="11" s="1"/>
  <c r="AG115" i="11" s="1"/>
  <c r="AH115" i="11" s="1"/>
  <c r="X796" i="7"/>
  <c r="DE40" i="6" s="1"/>
  <c r="DK89" i="6" s="1"/>
  <c r="AD13" i="26"/>
  <c r="AG7" i="17"/>
  <c r="CX16" i="11"/>
  <c r="CX115" i="11" s="1"/>
  <c r="CY115" i="11" s="1"/>
  <c r="CZ115" i="11" s="1"/>
  <c r="AC42" i="7"/>
  <c r="CN16" i="11"/>
  <c r="CN115" i="11" s="1"/>
  <c r="CO115" i="11" s="1"/>
  <c r="CP115" i="11" s="1"/>
  <c r="P332" i="7"/>
  <c r="X182" i="8"/>
  <c r="N795" i="7"/>
  <c r="V837" i="7"/>
  <c r="CN45" i="6"/>
  <c r="U832" i="7"/>
  <c r="U843" i="7"/>
  <c r="Z606" i="7"/>
  <c r="Y616" i="7"/>
  <c r="E216" i="2"/>
  <c r="AC473" i="7"/>
  <c r="EJ25" i="6"/>
  <c r="N262" i="7"/>
  <c r="N269" i="7"/>
  <c r="L164" i="8"/>
  <c r="L178" i="8" s="1"/>
  <c r="L145" i="8"/>
  <c r="M152" i="8" s="1"/>
  <c r="U97" i="25"/>
  <c r="U801" i="7"/>
  <c r="BJ9" i="6"/>
  <c r="P200" i="7"/>
  <c r="P693" i="7" s="1"/>
  <c r="P721" i="7" s="1"/>
  <c r="P694" i="7"/>
  <c r="P722" i="7" s="1"/>
  <c r="H696" i="7"/>
  <c r="H724" i="7" s="1"/>
  <c r="T795" i="7"/>
  <c r="K77" i="8"/>
  <c r="K78" i="8" s="1"/>
  <c r="K51" i="8"/>
  <c r="DC15" i="11"/>
  <c r="DD15" i="11" s="1"/>
  <c r="AA149" i="23" s="1"/>
  <c r="DC28" i="11" s="1"/>
  <c r="AA4" i="23"/>
  <c r="V34" i="11"/>
  <c r="W34" i="11" s="1"/>
  <c r="X34" i="11" s="1"/>
  <c r="V7" i="11"/>
  <c r="W7" i="11" s="1"/>
  <c r="X7" i="11" s="1"/>
  <c r="AP16" i="11"/>
  <c r="AP115" i="11" s="1"/>
  <c r="AQ115" i="11" s="1"/>
  <c r="AR115" i="11" s="1"/>
  <c r="H89" i="25"/>
  <c r="N21" i="6"/>
  <c r="U111" i="25"/>
  <c r="U691" i="7"/>
  <c r="R1046" i="7"/>
  <c r="BV41" i="6"/>
  <c r="CB90" i="6" s="1"/>
  <c r="R790" i="7"/>
  <c r="BV43" i="6" s="1"/>
  <c r="L37" i="7"/>
  <c r="L166" i="7"/>
  <c r="M37" i="7"/>
  <c r="DI7" i="6"/>
  <c r="Z145" i="7"/>
  <c r="AM145" i="7" s="1"/>
  <c r="Y40" i="25"/>
  <c r="Y153" i="7"/>
  <c r="M277" i="23"/>
  <c r="AN80" i="11"/>
  <c r="AO47" i="6"/>
  <c r="AN11" i="11"/>
  <c r="L154" i="7"/>
  <c r="AJ10" i="6"/>
  <c r="N464" i="7"/>
  <c r="N63" i="25"/>
  <c r="Z394" i="7"/>
  <c r="AM394" i="7" s="1"/>
  <c r="DP45" i="6"/>
  <c r="AM828" i="7"/>
  <c r="Z841" i="7"/>
  <c r="AM841" i="7" s="1"/>
  <c r="Z835" i="7"/>
  <c r="AM835" i="7" s="1"/>
  <c r="Z1075" i="7"/>
  <c r="X489" i="7"/>
  <c r="W1063" i="7"/>
  <c r="W505" i="7"/>
  <c r="CX31" i="6"/>
  <c r="CW31" i="6" s="1"/>
  <c r="I167" i="7"/>
  <c r="R8" i="6"/>
  <c r="I183" i="7"/>
  <c r="I189" i="7"/>
  <c r="AC7" i="6"/>
  <c r="K153" i="7"/>
  <c r="K40" i="25"/>
  <c r="Z325" i="7"/>
  <c r="AM325" i="7" s="1"/>
  <c r="Y337" i="7"/>
  <c r="Y1104" i="7"/>
  <c r="U145" i="7"/>
  <c r="T142" i="7"/>
  <c r="T40" i="25"/>
  <c r="T145" i="7"/>
  <c r="BW117" i="11"/>
  <c r="M215" i="7"/>
  <c r="M172" i="25"/>
  <c r="Y172" i="25"/>
  <c r="Y215" i="7"/>
  <c r="DU7" i="6"/>
  <c r="C151" i="2"/>
  <c r="AA153" i="7"/>
  <c r="Y198" i="7"/>
  <c r="Y171" i="25" s="1"/>
  <c r="Y189" i="7"/>
  <c r="Y167" i="7"/>
  <c r="BB24" i="6"/>
  <c r="O486" i="7"/>
  <c r="O502" i="7"/>
  <c r="R32" i="6"/>
  <c r="R81" i="6" s="1"/>
  <c r="I533" i="7"/>
  <c r="I1064" i="7"/>
  <c r="R180" i="7"/>
  <c r="R184" i="7"/>
  <c r="R135" i="7"/>
  <c r="S136" i="7" s="1"/>
  <c r="R190" i="7"/>
  <c r="BU8" i="6"/>
  <c r="L8" i="6"/>
  <c r="H167" i="7"/>
  <c r="H198" i="7"/>
  <c r="H171" i="25" s="1"/>
  <c r="L835" i="7"/>
  <c r="K835" i="7"/>
  <c r="AA489" i="7"/>
  <c r="Z489" i="7"/>
  <c r="AM489" i="7" s="1"/>
  <c r="Z505" i="7"/>
  <c r="AM505" i="7" s="1"/>
  <c r="L63" i="25"/>
  <c r="L323" i="7"/>
  <c r="L344" i="7" s="1"/>
  <c r="L453" i="7"/>
  <c r="L464" i="7"/>
  <c r="L465" i="7" s="1"/>
  <c r="L335" i="7"/>
  <c r="N146" i="7"/>
  <c r="AP10" i="6"/>
  <c r="M154" i="7"/>
  <c r="M146" i="7"/>
  <c r="M166" i="7"/>
  <c r="AK10" i="6"/>
  <c r="AQ59" i="6" s="1"/>
  <c r="L171" i="7"/>
  <c r="L155" i="7"/>
  <c r="I603" i="7"/>
  <c r="H613" i="7"/>
  <c r="AA612" i="7"/>
  <c r="AA602" i="7"/>
  <c r="C208" i="2"/>
  <c r="AT208" i="2" s="1"/>
  <c r="AB673" i="7"/>
  <c r="AA679" i="7"/>
  <c r="BJ47" i="6"/>
  <c r="BP96" i="6" s="1"/>
  <c r="P865" i="7"/>
  <c r="AM18" i="7"/>
  <c r="DP9" i="6"/>
  <c r="DV58" i="6" s="1"/>
  <c r="Z46" i="7"/>
  <c r="AM46" i="7" s="1"/>
  <c r="K1058" i="7"/>
  <c r="K1060" i="7" s="1"/>
  <c r="K62" i="25" s="1"/>
  <c r="K530" i="7"/>
  <c r="R31" i="6"/>
  <c r="Q31" i="6" s="1"/>
  <c r="I505" i="7"/>
  <c r="BN35" i="6"/>
  <c r="BT84" i="6" s="1"/>
  <c r="Q672" i="7"/>
  <c r="Q678" i="7"/>
  <c r="Q65" i="25"/>
  <c r="AA227" i="7"/>
  <c r="DW18" i="6" s="1"/>
  <c r="T19" i="17"/>
  <c r="T20" i="17"/>
  <c r="T23" i="17"/>
  <c r="V850" i="7"/>
  <c r="V863" i="7" s="1"/>
  <c r="AC83" i="25"/>
  <c r="N99" i="25"/>
  <c r="Z215" i="7"/>
  <c r="AM215" i="7" s="1"/>
  <c r="Z255" i="7"/>
  <c r="Z256" i="7" s="1"/>
  <c r="U706" i="7"/>
  <c r="V1110" i="7"/>
  <c r="H250" i="7"/>
  <c r="L51" i="8"/>
  <c r="M464" i="7"/>
  <c r="H41" i="6"/>
  <c r="P330" i="7"/>
  <c r="M281" i="23"/>
  <c r="CP14" i="17"/>
  <c r="CM20" i="26"/>
  <c r="BC175" i="17"/>
  <c r="R160" i="23"/>
  <c r="BD175" i="17"/>
  <c r="S163" i="23"/>
  <c r="BG238" i="17"/>
  <c r="BI238" i="17"/>
  <c r="L70" i="25"/>
  <c r="N453" i="7"/>
  <c r="AE26" i="17"/>
  <c r="AE23" i="17"/>
  <c r="AE18" i="17"/>
  <c r="K444" i="23"/>
  <c r="L447" i="23" s="1"/>
  <c r="N280" i="23"/>
  <c r="AA42" i="7"/>
  <c r="AA1082" i="7"/>
  <c r="I1063" i="7"/>
  <c r="O323" i="7"/>
  <c r="AA350" i="23"/>
  <c r="H963" i="7"/>
  <c r="H974" i="7" s="1"/>
  <c r="K83" i="23"/>
  <c r="L83" i="23"/>
  <c r="P994" i="7"/>
  <c r="P1008" i="7" s="1"/>
  <c r="P110" i="25"/>
  <c r="O203" i="7"/>
  <c r="O109" i="25"/>
  <c r="P709" i="7"/>
  <c r="O720" i="7"/>
  <c r="DL17" i="6"/>
  <c r="Y150" i="7"/>
  <c r="Y998" i="7"/>
  <c r="Y1012" i="7" s="1"/>
  <c r="Y158" i="7"/>
  <c r="J339" i="7"/>
  <c r="J81" i="25"/>
  <c r="H83" i="25"/>
  <c r="H473" i="7"/>
  <c r="H511" i="7" s="1"/>
  <c r="H1045" i="7"/>
  <c r="M484" i="7"/>
  <c r="M500" i="7"/>
  <c r="Z30" i="6"/>
  <c r="AF79" i="6" s="1"/>
  <c r="K325" i="7"/>
  <c r="J337" i="7"/>
  <c r="Y88" i="25"/>
  <c r="Y535" i="7"/>
  <c r="DL32" i="6"/>
  <c r="X731" i="7"/>
  <c r="X691" i="7"/>
  <c r="X995" i="7"/>
  <c r="X1009" i="7" s="1"/>
  <c r="X706" i="7"/>
  <c r="Z35" i="6"/>
  <c r="J1106" i="7"/>
  <c r="DR35" i="6"/>
  <c r="DR84" i="6" s="1"/>
  <c r="AM668" i="7"/>
  <c r="N438" i="23"/>
  <c r="N93" i="25"/>
  <c r="N246" i="23"/>
  <c r="U817" i="7"/>
  <c r="U137" i="25"/>
  <c r="AC535" i="7"/>
  <c r="AC528" i="7"/>
  <c r="BS21" i="26"/>
  <c r="BV15" i="17"/>
  <c r="BV26" i="17"/>
  <c r="BV18" i="17"/>
  <c r="J13" i="26"/>
  <c r="M7" i="17"/>
  <c r="DJ8" i="6"/>
  <c r="K537" i="7"/>
  <c r="Z100" i="11"/>
  <c r="U100" i="11"/>
  <c r="Z92" i="25"/>
  <c r="Z969" i="7"/>
  <c r="Z990" i="7" s="1"/>
  <c r="AM990" i="7" s="1"/>
  <c r="AM791" i="7"/>
  <c r="V158" i="7"/>
  <c r="CT17" i="6"/>
  <c r="CQ17" i="6" s="1"/>
  <c r="V150" i="7"/>
  <c r="V324" i="7"/>
  <c r="V352" i="7" s="1"/>
  <c r="U311" i="7"/>
  <c r="CM30" i="6"/>
  <c r="U354" i="7"/>
  <c r="U76" i="25"/>
  <c r="V311" i="7"/>
  <c r="Q411" i="23"/>
  <c r="S35" i="6"/>
  <c r="I679" i="7"/>
  <c r="J673" i="7"/>
  <c r="DO6" i="6"/>
  <c r="Z36" i="7"/>
  <c r="AM36" i="7" s="1"/>
  <c r="DA116" i="11"/>
  <c r="DG116" i="11" s="1"/>
  <c r="AM8" i="7"/>
  <c r="BT27" i="6"/>
  <c r="BS27" i="6" s="1"/>
  <c r="R1058" i="7"/>
  <c r="R530" i="7"/>
  <c r="S530" i="7"/>
  <c r="DV10" i="6"/>
  <c r="AA146" i="7"/>
  <c r="AA154" i="7"/>
  <c r="AA166" i="7"/>
  <c r="BT31" i="6"/>
  <c r="BS31" i="6" s="1"/>
  <c r="R489" i="7"/>
  <c r="DV33" i="6"/>
  <c r="DV82" i="6" s="1"/>
  <c r="AA1065" i="7"/>
  <c r="AA610" i="7"/>
  <c r="P180" i="7"/>
  <c r="BI8" i="6"/>
  <c r="P69" i="25"/>
  <c r="Z1059" i="7"/>
  <c r="Z1060" i="7" s="1"/>
  <c r="Z62" i="25" s="1"/>
  <c r="AM589" i="7"/>
  <c r="DP28" i="6"/>
  <c r="DP77" i="6" s="1"/>
  <c r="Z601" i="7"/>
  <c r="AM601" i="7" s="1"/>
  <c r="DJ9" i="6"/>
  <c r="Y37" i="7"/>
  <c r="Y166" i="7"/>
  <c r="Z173" i="25"/>
  <c r="Z884" i="7"/>
  <c r="AM884" i="7" s="1"/>
  <c r="O221" i="7"/>
  <c r="O215" i="7"/>
  <c r="L1091" i="7"/>
  <c r="N76" i="25"/>
  <c r="AW30" i="6"/>
  <c r="BC79" i="6" s="1"/>
  <c r="N336" i="7"/>
  <c r="BH27" i="6"/>
  <c r="P537" i="7"/>
  <c r="P1058" i="7"/>
  <c r="P1060" i="7" s="1"/>
  <c r="P62" i="25" s="1"/>
  <c r="P530" i="7"/>
  <c r="BS63" i="11"/>
  <c r="CO229" i="17"/>
  <c r="AJ72" i="11"/>
  <c r="AV26" i="17"/>
  <c r="CA18" i="17"/>
  <c r="W227" i="7"/>
  <c r="P850" i="7"/>
  <c r="P1070" i="7" s="1"/>
  <c r="P1071" i="7" s="1"/>
  <c r="P67" i="25" s="1"/>
  <c r="S851" i="7"/>
  <c r="S1087" i="7" s="1"/>
  <c r="S1088" i="7" s="1"/>
  <c r="S78" i="25" s="1"/>
  <c r="AA796" i="7"/>
  <c r="AA1091" i="7" s="1"/>
  <c r="AA1093" i="7" s="1"/>
  <c r="R850" i="7"/>
  <c r="BV24" i="17"/>
  <c r="N215" i="7"/>
  <c r="W42" i="7"/>
  <c r="N70" i="8"/>
  <c r="Z850" i="7"/>
  <c r="AM850" i="7" s="1"/>
  <c r="AB42" i="7"/>
  <c r="BV19" i="17"/>
  <c r="DQ15" i="11"/>
  <c r="AA40" i="25"/>
  <c r="O1057" i="7"/>
  <c r="R69" i="25"/>
  <c r="AB146" i="7"/>
  <c r="P135" i="7"/>
  <c r="Q136" i="7" s="1"/>
  <c r="Q137" i="7" s="1"/>
  <c r="AB145" i="7"/>
  <c r="Q191" i="7"/>
  <c r="Q1057" i="7"/>
  <c r="Q1060" i="7" s="1"/>
  <c r="Q62" i="25" s="1"/>
  <c r="R486" i="7"/>
  <c r="I166" i="7"/>
  <c r="G12" i="7"/>
  <c r="K327" i="7"/>
  <c r="K358" i="7" s="1"/>
  <c r="N311" i="7"/>
  <c r="CX15" i="11"/>
  <c r="CY15" i="11" s="1"/>
  <c r="L24" i="6"/>
  <c r="M10" i="6"/>
  <c r="O88" i="25"/>
  <c r="AA37" i="7"/>
  <c r="J1044" i="7"/>
  <c r="Q180" i="7"/>
  <c r="AJ30" i="6"/>
  <c r="S601" i="7"/>
  <c r="U42" i="23"/>
  <c r="BY9" i="11" s="1"/>
  <c r="BZ9" i="11" s="1"/>
  <c r="CA9" i="11" s="1"/>
  <c r="Q176" i="7"/>
  <c r="H45" i="6"/>
  <c r="H166" i="7"/>
  <c r="AA196" i="8"/>
  <c r="M527" i="7"/>
  <c r="P1106" i="7"/>
  <c r="Q200" i="7"/>
  <c r="Q693" i="7" s="1"/>
  <c r="I180" i="7"/>
  <c r="J611" i="7"/>
  <c r="I147" i="7"/>
  <c r="T88" i="25"/>
  <c r="I77" i="25"/>
  <c r="P1111" i="7"/>
  <c r="V90" i="25"/>
  <c r="K41" i="7"/>
  <c r="Q185" i="17"/>
  <c r="AB235" i="7"/>
  <c r="EB18" i="6" s="1"/>
  <c r="H850" i="7"/>
  <c r="L47" i="6" s="1"/>
  <c r="S796" i="7"/>
  <c r="S821" i="7" s="1"/>
  <c r="AA795" i="7"/>
  <c r="L105" i="17"/>
  <c r="V801" i="7"/>
  <c r="T72" i="8"/>
  <c r="Z494" i="7"/>
  <c r="Z496" i="7" s="1"/>
  <c r="AM496" i="7" s="1"/>
  <c r="M534" i="7"/>
  <c r="AB850" i="7"/>
  <c r="I235" i="7"/>
  <c r="I252" i="7" s="1"/>
  <c r="BA14" i="17"/>
  <c r="AX20" i="26"/>
  <c r="BA18" i="26"/>
  <c r="BD12" i="17"/>
  <c r="CJ6" i="17"/>
  <c r="CG12" i="26"/>
  <c r="BZ12" i="26"/>
  <c r="CC6" i="17"/>
  <c r="AW6" i="17"/>
  <c r="AT12" i="26"/>
  <c r="P164" i="8"/>
  <c r="P178" i="8" s="1"/>
  <c r="CB50" i="11"/>
  <c r="O262" i="7"/>
  <c r="J795" i="7"/>
  <c r="J820" i="7" s="1"/>
  <c r="U731" i="7"/>
  <c r="H499" i="7"/>
  <c r="K80" i="25"/>
  <c r="K841" i="7"/>
  <c r="N354" i="7"/>
  <c r="O837" i="7"/>
  <c r="AV30" i="6"/>
  <c r="CS28" i="17"/>
  <c r="CS19" i="17"/>
  <c r="CS20" i="17"/>
  <c r="L7" i="28" s="1"/>
  <c r="W235" i="7"/>
  <c r="P42" i="7"/>
  <c r="AB136" i="23"/>
  <c r="AA136" i="23"/>
  <c r="V457" i="23"/>
  <c r="U336" i="7"/>
  <c r="U719" i="7"/>
  <c r="R167" i="8"/>
  <c r="R146" i="8" s="1"/>
  <c r="R145" i="8"/>
  <c r="R159" i="8" s="1"/>
  <c r="W1058" i="7"/>
  <c r="W526" i="7"/>
  <c r="H1080" i="7"/>
  <c r="N527" i="7"/>
  <c r="AA77" i="25"/>
  <c r="P11" i="7"/>
  <c r="DL36" i="6"/>
  <c r="DI36" i="6" s="1"/>
  <c r="H145" i="8"/>
  <c r="H159" i="8" s="1"/>
  <c r="G144" i="8"/>
  <c r="G158" i="8" s="1"/>
  <c r="DL30" i="6"/>
  <c r="AD45" i="6"/>
  <c r="AD94" i="6" s="1"/>
  <c r="J454" i="7"/>
  <c r="J456" i="7" s="1"/>
  <c r="J331" i="7"/>
  <c r="J526" i="7"/>
  <c r="Q36" i="7"/>
  <c r="V860" i="7"/>
  <c r="J199" i="7"/>
  <c r="J312" i="7" s="1"/>
  <c r="L313" i="7" s="1"/>
  <c r="U146" i="7"/>
  <c r="L81" i="7"/>
  <c r="L87" i="7" s="1"/>
  <c r="T153" i="7"/>
  <c r="BT33" i="6"/>
  <c r="BT82" i="6" s="1"/>
  <c r="S172" i="8"/>
  <c r="R144" i="8"/>
  <c r="R158" i="8" s="1"/>
  <c r="W438" i="23"/>
  <c r="H80" i="25"/>
  <c r="M63" i="25"/>
  <c r="N443" i="7"/>
  <c r="N445" i="7" s="1"/>
  <c r="N448" i="7" s="1"/>
  <c r="R443" i="7"/>
  <c r="R445" i="7" s="1"/>
  <c r="R448" i="7" s="1"/>
  <c r="R330" i="7"/>
  <c r="L551" i="7"/>
  <c r="L581" i="7"/>
  <c r="Q467" i="23"/>
  <c r="R813" i="7"/>
  <c r="AB243" i="7"/>
  <c r="AC234" i="7"/>
  <c r="AC1122" i="7" s="1"/>
  <c r="S49" i="7"/>
  <c r="CC16" i="6"/>
  <c r="CC65" i="6" s="1"/>
  <c r="S1121" i="7"/>
  <c r="N157" i="7"/>
  <c r="N100" i="25"/>
  <c r="O149" i="7"/>
  <c r="AY17" i="6"/>
  <c r="AY66" i="6" s="1"/>
  <c r="I18" i="6"/>
  <c r="G1122" i="7"/>
  <c r="W251" i="7"/>
  <c r="DA18" i="6"/>
  <c r="W1122" i="7"/>
  <c r="L844" i="7"/>
  <c r="L1139" i="7"/>
  <c r="M838" i="7"/>
  <c r="L838" i="7"/>
  <c r="C245" i="2"/>
  <c r="AT245" i="2" s="1"/>
  <c r="AA994" i="7"/>
  <c r="AA1008" i="7" s="1"/>
  <c r="AA705" i="7"/>
  <c r="AM16" i="6"/>
  <c r="L1121" i="7"/>
  <c r="I17" i="6"/>
  <c r="G1120" i="7"/>
  <c r="N822" i="7"/>
  <c r="N810" i="7"/>
  <c r="N1138" i="7"/>
  <c r="AC718" i="7"/>
  <c r="AC64" i="7"/>
  <c r="AB248" i="7"/>
  <c r="ED19" i="6"/>
  <c r="ED68" i="6" s="1"/>
  <c r="AR42" i="6"/>
  <c r="AR91" i="6" s="1"/>
  <c r="M113" i="25"/>
  <c r="O180" i="7"/>
  <c r="P185" i="7"/>
  <c r="CT23" i="6"/>
  <c r="CQ23" i="6" s="1"/>
  <c r="CQ72" i="6" s="1"/>
  <c r="W327" i="7"/>
  <c r="W358" i="7" s="1"/>
  <c r="V360" i="7"/>
  <c r="V339" i="7"/>
  <c r="N88" i="25"/>
  <c r="N996" i="7"/>
  <c r="N1010" i="7" s="1"/>
  <c r="R111" i="25"/>
  <c r="R995" i="7"/>
  <c r="R1009" i="7" s="1"/>
  <c r="Y969" i="7"/>
  <c r="Y804" i="7"/>
  <c r="Y806" i="7"/>
  <c r="X1110" i="7"/>
  <c r="U438" i="23"/>
  <c r="CB70" i="11"/>
  <c r="CB73" i="11" s="1"/>
  <c r="R96" i="25"/>
  <c r="R1017" i="7"/>
  <c r="J40" i="7"/>
  <c r="I98" i="25"/>
  <c r="U16" i="6"/>
  <c r="U65" i="6" s="1"/>
  <c r="Y40" i="7"/>
  <c r="Y1043" i="7"/>
  <c r="Y98" i="25"/>
  <c r="T157" i="7"/>
  <c r="CI17" i="6"/>
  <c r="CO66" i="6" s="1"/>
  <c r="Q251" i="7"/>
  <c r="BQ18" i="6"/>
  <c r="K822" i="7"/>
  <c r="K810" i="7"/>
  <c r="AG40" i="6"/>
  <c r="J1139" i="7"/>
  <c r="J1140" i="7" s="1"/>
  <c r="J107" i="25" s="1"/>
  <c r="J838" i="7"/>
  <c r="AB794" i="7"/>
  <c r="AB819" i="7" s="1"/>
  <c r="D225" i="2"/>
  <c r="I269" i="7"/>
  <c r="I262" i="7"/>
  <c r="J113" i="25"/>
  <c r="Z42" i="6"/>
  <c r="J814" i="7"/>
  <c r="J694" i="7"/>
  <c r="J722" i="7" s="1"/>
  <c r="J48" i="7"/>
  <c r="AA200" i="7"/>
  <c r="AA693" i="7" s="1"/>
  <c r="AA721" i="7" s="1"/>
  <c r="DX9" i="6"/>
  <c r="CZ42" i="6"/>
  <c r="DF91" i="6" s="1"/>
  <c r="W1047" i="7"/>
  <c r="T158" i="7"/>
  <c r="T998" i="7"/>
  <c r="T1012" i="7" s="1"/>
  <c r="S964" i="7"/>
  <c r="S975" i="7" s="1"/>
  <c r="S1044" i="7"/>
  <c r="BD28" i="6"/>
  <c r="BJ77" i="6" s="1"/>
  <c r="O615" i="7"/>
  <c r="L535" i="7"/>
  <c r="AL32" i="6"/>
  <c r="BP33" i="6"/>
  <c r="BV82" i="6" s="1"/>
  <c r="Q1105" i="7"/>
  <c r="I816" i="7"/>
  <c r="I804" i="7"/>
  <c r="I969" i="7"/>
  <c r="I980" i="7" s="1"/>
  <c r="R801" i="7"/>
  <c r="BP41" i="6"/>
  <c r="BP90" i="6" s="1"/>
  <c r="S1114" i="7"/>
  <c r="S93" i="25"/>
  <c r="N33" i="6"/>
  <c r="H604" i="7"/>
  <c r="DR8" i="6"/>
  <c r="DX57" i="6" s="1"/>
  <c r="Z185" i="7"/>
  <c r="AM185" i="7" s="1"/>
  <c r="Z191" i="7"/>
  <c r="AM191" i="7" s="1"/>
  <c r="V176" i="7"/>
  <c r="V1102" i="7"/>
  <c r="W40" i="7"/>
  <c r="V49" i="7"/>
  <c r="U149" i="7"/>
  <c r="R1122" i="7"/>
  <c r="R243" i="7"/>
  <c r="AM40" i="6"/>
  <c r="L822" i="7"/>
  <c r="G1139" i="7"/>
  <c r="I45" i="6"/>
  <c r="O94" i="6" s="1"/>
  <c r="N191" i="7"/>
  <c r="N185" i="7"/>
  <c r="O235" i="7"/>
  <c r="O61" i="25" s="1"/>
  <c r="X227" i="7"/>
  <c r="J851" i="7"/>
  <c r="J1087" i="7" s="1"/>
  <c r="J1088" i="7" s="1"/>
  <c r="J78" i="25" s="1"/>
  <c r="W230" i="7"/>
  <c r="CZ20" i="6" s="1"/>
  <c r="W851" i="7"/>
  <c r="R307" i="7"/>
  <c r="S308" i="7" s="1"/>
  <c r="S309" i="7" s="1"/>
  <c r="R308" i="7"/>
  <c r="R309" i="7" s="1"/>
  <c r="CR85" i="6"/>
  <c r="CL85" i="6"/>
  <c r="AU95" i="6"/>
  <c r="AO95" i="6"/>
  <c r="AA145" i="7"/>
  <c r="R25" i="7"/>
  <c r="S26" i="7" s="1"/>
  <c r="BP30" i="6"/>
  <c r="AY7" i="11"/>
  <c r="AS10" i="11"/>
  <c r="S429" i="23"/>
  <c r="T429" i="23"/>
  <c r="H47" i="6"/>
  <c r="Z166" i="7"/>
  <c r="AM166" i="7" s="1"/>
  <c r="L146" i="7"/>
  <c r="W144" i="8"/>
  <c r="X172" i="8"/>
  <c r="H10" i="6"/>
  <c r="H148" i="7"/>
  <c r="G1096" i="7"/>
  <c r="AA1096" i="7"/>
  <c r="DX10" i="6"/>
  <c r="AA695" i="7"/>
  <c r="AA723" i="7" s="1"/>
  <c r="AA156" i="7"/>
  <c r="H814" i="7"/>
  <c r="N42" i="6"/>
  <c r="N91" i="6" s="1"/>
  <c r="V183" i="7"/>
  <c r="V189" i="7"/>
  <c r="CR8" i="6"/>
  <c r="CR12" i="6" s="1"/>
  <c r="V198" i="7"/>
  <c r="V168" i="7" s="1"/>
  <c r="BN27" i="6"/>
  <c r="BM27" i="6" s="1"/>
  <c r="Q537" i="7"/>
  <c r="W63" i="25"/>
  <c r="X323" i="7"/>
  <c r="X344" i="7" s="1"/>
  <c r="W335" i="7"/>
  <c r="W464" i="7"/>
  <c r="W323" i="7"/>
  <c r="W344" i="7" s="1"/>
  <c r="AX26" i="6"/>
  <c r="N500" i="7"/>
  <c r="Z16" i="6"/>
  <c r="W16" i="6" s="1"/>
  <c r="J963" i="7"/>
  <c r="J974" i="7" s="1"/>
  <c r="T837" i="7"/>
  <c r="S1112" i="7"/>
  <c r="V816" i="7"/>
  <c r="W804" i="7"/>
  <c r="V969" i="7"/>
  <c r="V980" i="7" s="1"/>
  <c r="I76" i="25"/>
  <c r="I324" i="7"/>
  <c r="I352" i="7" s="1"/>
  <c r="I336" i="7"/>
  <c r="I311" i="7"/>
  <c r="N602" i="7"/>
  <c r="AW33" i="6"/>
  <c r="AW24" i="6"/>
  <c r="N1079" i="7"/>
  <c r="N503" i="7"/>
  <c r="N487" i="7"/>
  <c r="Y841" i="7"/>
  <c r="DJ45" i="6"/>
  <c r="U1070" i="7"/>
  <c r="U1071" i="7" s="1"/>
  <c r="U67" i="25" s="1"/>
  <c r="J1064" i="7"/>
  <c r="X32" i="6"/>
  <c r="O601" i="7"/>
  <c r="BB28" i="6"/>
  <c r="P601" i="7"/>
  <c r="I215" i="7"/>
  <c r="I172" i="25"/>
  <c r="X527" i="7"/>
  <c r="S354" i="7"/>
  <c r="S324" i="7"/>
  <c r="S352" i="7" s="1"/>
  <c r="CA30" i="6"/>
  <c r="BY30" i="6" s="1"/>
  <c r="S76" i="25"/>
  <c r="R70" i="25"/>
  <c r="R147" i="7"/>
  <c r="BU10" i="6"/>
  <c r="CA59" i="6" s="1"/>
  <c r="X860" i="7"/>
  <c r="Y860" i="7"/>
  <c r="W173" i="25"/>
  <c r="X884" i="7"/>
  <c r="O186" i="7"/>
  <c r="N366" i="23"/>
  <c r="N192" i="7"/>
  <c r="AS118" i="11"/>
  <c r="AT118" i="11" s="1"/>
  <c r="P71" i="25"/>
  <c r="BI9" i="6"/>
  <c r="BO58" i="6" s="1"/>
  <c r="P38" i="7"/>
  <c r="K503" i="7"/>
  <c r="K1079" i="7"/>
  <c r="K487" i="7"/>
  <c r="Y603" i="7"/>
  <c r="X1080" i="7"/>
  <c r="DE28" i="6"/>
  <c r="J1082" i="7"/>
  <c r="K602" i="7"/>
  <c r="J602" i="7"/>
  <c r="Y33" i="6"/>
  <c r="J39" i="25"/>
  <c r="W6" i="6"/>
  <c r="W55" i="6" s="1"/>
  <c r="Y116" i="11"/>
  <c r="K36" i="7"/>
  <c r="J36" i="7"/>
  <c r="S146" i="7"/>
  <c r="BZ10" i="6"/>
  <c r="BY10" i="6" s="1"/>
  <c r="J489" i="7"/>
  <c r="X611" i="7"/>
  <c r="DD28" i="6"/>
  <c r="U226" i="17"/>
  <c r="K851" i="7"/>
  <c r="K1087" i="7" s="1"/>
  <c r="K1088" i="7" s="1"/>
  <c r="K78" i="25" s="1"/>
  <c r="S47" i="7"/>
  <c r="BJ16" i="11"/>
  <c r="BK16" i="11" s="1"/>
  <c r="R151" i="23" s="1"/>
  <c r="BJ29" i="11" s="1"/>
  <c r="DW10" i="6"/>
  <c r="BI35" i="6"/>
  <c r="BI84" i="6" s="1"/>
  <c r="DL86" i="6"/>
  <c r="M70" i="25"/>
  <c r="AA805" i="7"/>
  <c r="Q505" i="7"/>
  <c r="X601" i="7"/>
  <c r="J299" i="7"/>
  <c r="L300" i="7" s="1"/>
  <c r="L605" i="7"/>
  <c r="Y1063" i="7"/>
  <c r="S142" i="7"/>
  <c r="S153" i="7"/>
  <c r="BD71" i="11"/>
  <c r="AL28" i="6"/>
  <c r="H190" i="7"/>
  <c r="J166" i="7"/>
  <c r="L794" i="7"/>
  <c r="Z189" i="7"/>
  <c r="AM189" i="7" s="1"/>
  <c r="R411" i="23"/>
  <c r="X215" i="7"/>
  <c r="AA63" i="25"/>
  <c r="M198" i="7"/>
  <c r="M60" i="25" s="1"/>
  <c r="P335" i="7"/>
  <c r="I527" i="7"/>
  <c r="X600" i="7"/>
  <c r="BU9" i="6"/>
  <c r="BU58" i="6" s="1"/>
  <c r="T33" i="7"/>
  <c r="K1064" i="7"/>
  <c r="DC7" i="6"/>
  <c r="T487" i="7"/>
  <c r="N616" i="7"/>
  <c r="DW30" i="6"/>
  <c r="H842" i="7"/>
  <c r="AD33" i="6"/>
  <c r="AC33" i="6" s="1"/>
  <c r="R45" i="6"/>
  <c r="T1080" i="7"/>
  <c r="BS7" i="6"/>
  <c r="BS56" i="6" s="1"/>
  <c r="Q323" i="7"/>
  <c r="Q344" i="7" s="1"/>
  <c r="N142" i="7"/>
  <c r="AX10" i="6"/>
  <c r="V227" i="7"/>
  <c r="P796" i="7"/>
  <c r="P821" i="7" s="1"/>
  <c r="V218" i="8"/>
  <c r="AB1092" i="7"/>
  <c r="BV106" i="17"/>
  <c r="BV142" i="17" s="1"/>
  <c r="AL23" i="6"/>
  <c r="AI23" i="6" s="1"/>
  <c r="AO72" i="6" s="1"/>
  <c r="AA1058" i="7"/>
  <c r="DD9" i="6"/>
  <c r="AA186" i="7"/>
  <c r="P669" i="7"/>
  <c r="BK35" i="6" s="1"/>
  <c r="M820" i="7"/>
  <c r="X530" i="7"/>
  <c r="Y795" i="7"/>
  <c r="T796" i="7"/>
  <c r="T1091" i="7" s="1"/>
  <c r="J46" i="8"/>
  <c r="L135" i="7"/>
  <c r="M136" i="7" s="1"/>
  <c r="U602" i="7"/>
  <c r="DP32" i="6"/>
  <c r="Q1065" i="7"/>
  <c r="AA221" i="7"/>
  <c r="Q350" i="23"/>
  <c r="AV8" i="6"/>
  <c r="BB57" i="6" s="1"/>
  <c r="AP40" i="6"/>
  <c r="Y505" i="7"/>
  <c r="R323" i="7"/>
  <c r="R344" i="7" s="1"/>
  <c r="R146" i="7"/>
  <c r="K526" i="7"/>
  <c r="BI30" i="6"/>
  <c r="BI79" i="6" s="1"/>
  <c r="T171" i="7"/>
  <c r="CG30" i="6"/>
  <c r="X534" i="7"/>
  <c r="K62" i="8"/>
  <c r="Y117" i="11"/>
  <c r="V842" i="7"/>
  <c r="X33" i="7"/>
  <c r="DR60" i="6"/>
  <c r="O613" i="7"/>
  <c r="D192" i="2"/>
  <c r="F342" i="20" s="1"/>
  <c r="W342" i="20" s="1"/>
  <c r="X102" i="7"/>
  <c r="X104" i="7" s="1"/>
  <c r="U42" i="7"/>
  <c r="CI16" i="11"/>
  <c r="CI115" i="11" s="1"/>
  <c r="CJ115" i="11" s="1"/>
  <c r="CK115" i="11" s="1"/>
  <c r="Z42" i="7"/>
  <c r="AM42" i="7" s="1"/>
  <c r="AX193" i="17"/>
  <c r="CM47" i="6"/>
  <c r="X186" i="7"/>
  <c r="L380" i="23"/>
  <c r="Q83" i="23"/>
  <c r="X24" i="6"/>
  <c r="AV27" i="6"/>
  <c r="DV27" i="6"/>
  <c r="DU27" i="6" s="1"/>
  <c r="X526" i="7"/>
  <c r="L190" i="7"/>
  <c r="W171" i="7"/>
  <c r="T503" i="7"/>
  <c r="DE24" i="6"/>
  <c r="BO32" i="6"/>
  <c r="R602" i="7"/>
  <c r="Q182" i="8"/>
  <c r="L30" i="6"/>
  <c r="W836" i="7"/>
  <c r="L92" i="25"/>
  <c r="U221" i="7"/>
  <c r="U45" i="7"/>
  <c r="T502" i="7"/>
  <c r="P346" i="7"/>
  <c r="R43" i="25"/>
  <c r="K20" i="7"/>
  <c r="K21" i="7" s="1"/>
  <c r="T434" i="23"/>
  <c r="AC494" i="7"/>
  <c r="AC496" i="7" s="1"/>
  <c r="T37" i="7"/>
  <c r="K167" i="7"/>
  <c r="CF10" i="6"/>
  <c r="J464" i="7"/>
  <c r="X1064" i="7"/>
  <c r="W1065" i="7"/>
  <c r="AB147" i="7"/>
  <c r="AB336" i="7"/>
  <c r="Y601" i="7"/>
  <c r="T336" i="7"/>
  <c r="AB90" i="25"/>
  <c r="R614" i="7"/>
  <c r="O433" i="23"/>
  <c r="R182" i="8"/>
  <c r="R154" i="7"/>
  <c r="J145" i="7"/>
  <c r="O183" i="7"/>
  <c r="I323" i="7"/>
  <c r="I344" i="7" s="1"/>
  <c r="X1106" i="7"/>
  <c r="L836" i="7"/>
  <c r="BE16" i="11"/>
  <c r="BE115" i="11" s="1"/>
  <c r="BF115" i="11" s="1"/>
  <c r="BG115" i="11" s="1"/>
  <c r="AF36" i="6"/>
  <c r="AC36" i="6" s="1"/>
  <c r="CF32" i="6"/>
  <c r="V191" i="7"/>
  <c r="CM47" i="11"/>
  <c r="K832" i="7"/>
  <c r="M235" i="7"/>
  <c r="M61" i="25" s="1"/>
  <c r="Q610" i="7"/>
  <c r="V696" i="7"/>
  <c r="X696" i="7"/>
  <c r="X724" i="7" s="1"/>
  <c r="N37" i="7"/>
  <c r="J346" i="7"/>
  <c r="U600" i="7"/>
  <c r="H478" i="7"/>
  <c r="H479" i="7" s="1"/>
  <c r="AB494" i="7"/>
  <c r="AB496" i="7" s="1"/>
  <c r="M1080" i="7"/>
  <c r="W189" i="7"/>
  <c r="Y171" i="7"/>
  <c r="DK10" i="6"/>
  <c r="Y366" i="23"/>
  <c r="L145" i="7"/>
  <c r="K198" i="7"/>
  <c r="K209" i="7" s="1"/>
  <c r="V486" i="7"/>
  <c r="X1058" i="7"/>
  <c r="AA70" i="25"/>
  <c r="Q673" i="7"/>
  <c r="CK6" i="6"/>
  <c r="CK55" i="6" s="1"/>
  <c r="L189" i="7"/>
  <c r="CQ47" i="6"/>
  <c r="CG80" i="11"/>
  <c r="CG11" i="11"/>
  <c r="V33" i="25"/>
  <c r="V281" i="23"/>
  <c r="CB117" i="11"/>
  <c r="CK7" i="6"/>
  <c r="U40" i="25"/>
  <c r="CL32" i="6"/>
  <c r="U1064" i="7"/>
  <c r="U203" i="7"/>
  <c r="U109" i="25"/>
  <c r="U720" i="7"/>
  <c r="P12" i="7"/>
  <c r="P254" i="23"/>
  <c r="Z526" i="7"/>
  <c r="AM526" i="7" s="1"/>
  <c r="DJ32" i="6"/>
  <c r="DJ81" i="6" s="1"/>
  <c r="Y1064" i="7"/>
  <c r="T281" i="23"/>
  <c r="BW11" i="11"/>
  <c r="BW80" i="11"/>
  <c r="Q489" i="7"/>
  <c r="L694" i="7"/>
  <c r="L722" i="7" s="1"/>
  <c r="L1102" i="7"/>
  <c r="BN8" i="6"/>
  <c r="Q198" i="7"/>
  <c r="W336" i="7"/>
  <c r="CY30" i="6"/>
  <c r="J42" i="7"/>
  <c r="BY47" i="6"/>
  <c r="S281" i="23"/>
  <c r="BR11" i="11"/>
  <c r="S33" i="25"/>
  <c r="BR80" i="11"/>
  <c r="Q173" i="25"/>
  <c r="Q890" i="7"/>
  <c r="K7" i="6"/>
  <c r="Q56" i="6" s="1"/>
  <c r="H40" i="25"/>
  <c r="CX9" i="6"/>
  <c r="CX58" i="6" s="1"/>
  <c r="W37" i="7"/>
  <c r="I1058" i="7"/>
  <c r="I1060" i="7" s="1"/>
  <c r="I62" i="25" s="1"/>
  <c r="R27" i="6"/>
  <c r="X76" i="6" s="1"/>
  <c r="I530" i="7"/>
  <c r="AM522" i="7"/>
  <c r="DP27" i="6"/>
  <c r="H1058" i="7"/>
  <c r="H537" i="7"/>
  <c r="L27" i="6"/>
  <c r="K27" i="6" s="1"/>
  <c r="AB69" i="25"/>
  <c r="AB184" i="7"/>
  <c r="J173" i="25"/>
  <c r="J884" i="7"/>
  <c r="CL45" i="6"/>
  <c r="U1075" i="7"/>
  <c r="AC192" i="7"/>
  <c r="AC43" i="25"/>
  <c r="AC186" i="7"/>
  <c r="E157" i="2"/>
  <c r="AC366" i="23"/>
  <c r="DP118" i="11"/>
  <c r="DQ118" i="11" s="1"/>
  <c r="C200" i="2"/>
  <c r="AA69" i="25"/>
  <c r="DW8" i="6"/>
  <c r="EC57" i="6" s="1"/>
  <c r="AA25" i="7"/>
  <c r="AA135" i="7"/>
  <c r="AB136" i="7" s="1"/>
  <c r="Q146" i="7"/>
  <c r="N1080" i="7"/>
  <c r="AW28" i="6"/>
  <c r="N64" i="7"/>
  <c r="N110" i="25"/>
  <c r="Y147" i="7"/>
  <c r="AC39" i="25"/>
  <c r="EG6" i="6"/>
  <c r="AB534" i="7"/>
  <c r="AC519" i="7"/>
  <c r="V43" i="25"/>
  <c r="V366" i="23"/>
  <c r="O464" i="7"/>
  <c r="BB30" i="6"/>
  <c r="BH79" i="6" s="1"/>
  <c r="T69" i="25"/>
  <c r="T135" i="7"/>
  <c r="U136" i="7" s="1"/>
  <c r="CT19" i="6"/>
  <c r="CT68" i="6" s="1"/>
  <c r="V1097" i="7"/>
  <c r="V1099" i="7" s="1"/>
  <c r="V84" i="25" s="1"/>
  <c r="AX80" i="11"/>
  <c r="BD80" i="11" s="1"/>
  <c r="O33" i="25"/>
  <c r="AD173" i="23"/>
  <c r="V235" i="7"/>
  <c r="V299" i="7" s="1"/>
  <c r="M227" i="7"/>
  <c r="M74" i="25" s="1"/>
  <c r="J850" i="7"/>
  <c r="AB796" i="7"/>
  <c r="AB821" i="7" s="1"/>
  <c r="Y227" i="7"/>
  <c r="Y74" i="25" s="1"/>
  <c r="L850" i="7"/>
  <c r="S818" i="7"/>
  <c r="I227" i="7"/>
  <c r="L235" i="7"/>
  <c r="AJ18" i="6" s="1"/>
  <c r="J433" i="23"/>
  <c r="AC20" i="7"/>
  <c r="V42" i="7"/>
  <c r="N173" i="25"/>
  <c r="O817" i="7"/>
  <c r="Y192" i="7"/>
  <c r="L40" i="25"/>
  <c r="U126" i="23"/>
  <c r="J323" i="7"/>
  <c r="O505" i="7"/>
  <c r="M172" i="7"/>
  <c r="M69" i="25"/>
  <c r="T38" i="7"/>
  <c r="Y530" i="7"/>
  <c r="L184" i="7"/>
  <c r="N1058" i="7"/>
  <c r="N1060" i="7" s="1"/>
  <c r="N62" i="25" s="1"/>
  <c r="DA118" i="11"/>
  <c r="M71" i="25"/>
  <c r="Y467" i="23"/>
  <c r="O185" i="17"/>
  <c r="AB37" i="7"/>
  <c r="AB346" i="7"/>
  <c r="AC308" i="7"/>
  <c r="AC304" i="7" s="1"/>
  <c r="AD307" i="7" s="1"/>
  <c r="T319" i="23"/>
  <c r="J465" i="23"/>
  <c r="V186" i="7"/>
  <c r="T175" i="8"/>
  <c r="M486" i="7"/>
  <c r="O63" i="25"/>
  <c r="U610" i="7"/>
  <c r="P795" i="7"/>
  <c r="BH40" i="6" s="1"/>
  <c r="L172" i="7"/>
  <c r="N38" i="7"/>
  <c r="W38" i="7"/>
  <c r="AB503" i="7"/>
  <c r="U184" i="7"/>
  <c r="Z486" i="7"/>
  <c r="AM486" i="7" s="1"/>
  <c r="S166" i="7"/>
  <c r="N198" i="7"/>
  <c r="N218" i="7" s="1"/>
  <c r="O277" i="23"/>
  <c r="T486" i="7"/>
  <c r="S9" i="6"/>
  <c r="Y324" i="7"/>
  <c r="Y352" i="7" s="1"/>
  <c r="AA171" i="7"/>
  <c r="N180" i="7"/>
  <c r="X325" i="7"/>
  <c r="AJ49" i="11"/>
  <c r="AA336" i="7"/>
  <c r="S145" i="7"/>
  <c r="K37" i="7"/>
  <c r="AB324" i="7"/>
  <c r="AB352" i="7" s="1"/>
  <c r="BC28" i="6"/>
  <c r="G491" i="20"/>
  <c r="X491" i="20" s="1"/>
  <c r="M796" i="7"/>
  <c r="AQ40" i="6" s="1"/>
  <c r="K796" i="7"/>
  <c r="K795" i="7"/>
  <c r="O227" i="7"/>
  <c r="N850" i="7"/>
  <c r="AV47" i="6" s="1"/>
  <c r="P235" i="7"/>
  <c r="P252" i="7" s="1"/>
  <c r="CS207" i="17"/>
  <c r="Q456" i="23"/>
  <c r="J453" i="7"/>
  <c r="O1063" i="7"/>
  <c r="W600" i="7"/>
  <c r="M184" i="7"/>
  <c r="AA527" i="7"/>
  <c r="P673" i="7"/>
  <c r="X666" i="7"/>
  <c r="U1088" i="7"/>
  <c r="U78" i="25" s="1"/>
  <c r="M147" i="7"/>
  <c r="AM179" i="7"/>
  <c r="AB46" i="7"/>
  <c r="AX10" i="11"/>
  <c r="L321" i="23"/>
  <c r="X66" i="23"/>
  <c r="S456" i="23"/>
  <c r="AU16" i="11"/>
  <c r="X183" i="7"/>
  <c r="AP24" i="6"/>
  <c r="O346" i="7"/>
  <c r="CL33" i="6"/>
  <c r="CL82" i="6" s="1"/>
  <c r="W199" i="7"/>
  <c r="W173" i="7" s="1"/>
  <c r="T70" i="25"/>
  <c r="EC24" i="6"/>
  <c r="EC73" i="6" s="1"/>
  <c r="T184" i="7"/>
  <c r="Q602" i="7"/>
  <c r="Y479" i="7"/>
  <c r="Y1057" i="7"/>
  <c r="Y1060" i="7" s="1"/>
  <c r="Y62" i="25" s="1"/>
  <c r="K114" i="8"/>
  <c r="AX11" i="11"/>
  <c r="L526" i="7"/>
  <c r="S487" i="7"/>
  <c r="Y1087" i="7"/>
  <c r="Y1088" i="7" s="1"/>
  <c r="Y78" i="25" s="1"/>
  <c r="R192" i="7"/>
  <c r="J1063" i="7"/>
  <c r="J38" i="7"/>
  <c r="DK30" i="6"/>
  <c r="V240" i="7"/>
  <c r="Y336" i="7"/>
  <c r="L600" i="7"/>
  <c r="Y354" i="7"/>
  <c r="BA28" i="17"/>
  <c r="S613" i="7"/>
  <c r="W183" i="7"/>
  <c r="DP116" i="11"/>
  <c r="K166" i="7"/>
  <c r="O118" i="11"/>
  <c r="J46" i="7"/>
  <c r="K180" i="7"/>
  <c r="R38" i="7"/>
  <c r="N166" i="7"/>
  <c r="M180" i="7"/>
  <c r="P453" i="7"/>
  <c r="I1081" i="7"/>
  <c r="I610" i="7"/>
  <c r="AA335" i="7"/>
  <c r="U466" i="23"/>
  <c r="I226" i="17"/>
  <c r="X40" i="25"/>
  <c r="R189" i="7"/>
  <c r="I186" i="7"/>
  <c r="N718" i="7"/>
  <c r="AB311" i="7"/>
  <c r="AA76" i="25"/>
  <c r="AB836" i="7"/>
  <c r="CG28" i="6"/>
  <c r="Z81" i="7"/>
  <c r="Z87" i="7" s="1"/>
  <c r="R40" i="25"/>
  <c r="Q346" i="7"/>
  <c r="R796" i="7"/>
  <c r="R1091" i="7" s="1"/>
  <c r="L227" i="7"/>
  <c r="AK18" i="6" s="1"/>
  <c r="P851" i="7"/>
  <c r="BI47" i="6" s="1"/>
  <c r="EC45" i="6"/>
  <c r="CV216" i="17"/>
  <c r="L964" i="7"/>
  <c r="L975" i="7" s="1"/>
  <c r="AF226" i="17"/>
  <c r="Q235" i="7"/>
  <c r="Q299" i="7" s="1"/>
  <c r="S300" i="7" s="1"/>
  <c r="AA850" i="7"/>
  <c r="R851" i="7"/>
  <c r="H235" i="7"/>
  <c r="L69" i="25"/>
  <c r="Z1064" i="7"/>
  <c r="AA537" i="7"/>
  <c r="AA454" i="7"/>
  <c r="AB339" i="7"/>
  <c r="N851" i="7"/>
  <c r="N864" i="7" s="1"/>
  <c r="W120" i="8"/>
  <c r="Q324" i="7"/>
  <c r="Q352" i="7" s="1"/>
  <c r="Q227" i="7"/>
  <c r="I796" i="7"/>
  <c r="I821" i="7" s="1"/>
  <c r="O851" i="7"/>
  <c r="O854" i="7" s="1"/>
  <c r="P311" i="7"/>
  <c r="W349" i="23"/>
  <c r="S186" i="7"/>
  <c r="J167" i="8"/>
  <c r="J181" i="8" s="1"/>
  <c r="L65" i="23"/>
  <c r="M457" i="23"/>
  <c r="T467" i="23"/>
  <c r="O20" i="7"/>
  <c r="O21" i="7" s="1"/>
  <c r="CL95" i="6"/>
  <c r="AK8" i="6"/>
  <c r="AQ57" i="6" s="1"/>
  <c r="Y190" i="7"/>
  <c r="W47" i="7"/>
  <c r="CG24" i="6"/>
  <c r="P63" i="25"/>
  <c r="CF24" i="6"/>
  <c r="O503" i="7"/>
  <c r="T198" i="7"/>
  <c r="AB215" i="7"/>
  <c r="X30" i="6"/>
  <c r="Y380" i="23"/>
  <c r="Y42" i="7"/>
  <c r="R1105" i="7"/>
  <c r="AB84" i="23"/>
  <c r="ED17" i="6"/>
  <c r="EA17" i="6" s="1"/>
  <c r="EG66" i="6" s="1"/>
  <c r="AA215" i="7"/>
  <c r="C317" i="2"/>
  <c r="M180" i="8"/>
  <c r="AB158" i="7"/>
  <c r="L183" i="7"/>
  <c r="BY16" i="11"/>
  <c r="N613" i="7"/>
  <c r="V16" i="11"/>
  <c r="W16" i="11" s="1"/>
  <c r="J183" i="23" s="1"/>
  <c r="J23" i="25" s="1"/>
  <c r="L837" i="7"/>
  <c r="N11" i="7"/>
  <c r="K842" i="7"/>
  <c r="K42" i="7"/>
  <c r="U725" i="7"/>
  <c r="K454" i="7"/>
  <c r="CS48" i="11"/>
  <c r="Y674" i="7"/>
  <c r="AB180" i="7"/>
  <c r="Y325" i="7"/>
  <c r="AF87" i="6"/>
  <c r="H802" i="7"/>
  <c r="H41" i="7"/>
  <c r="H708" i="7"/>
  <c r="Y235" i="7"/>
  <c r="Y225" i="7" s="1"/>
  <c r="U795" i="7"/>
  <c r="U1074" i="7" s="1"/>
  <c r="Y850" i="7"/>
  <c r="Y863" i="7" s="1"/>
  <c r="O796" i="7"/>
  <c r="BC40" i="6" s="1"/>
  <c r="BP63" i="11"/>
  <c r="M696" i="7"/>
  <c r="P696" i="7"/>
  <c r="P108" i="25" s="1"/>
  <c r="N227" i="7"/>
  <c r="N42" i="7"/>
  <c r="CG106" i="17"/>
  <c r="CG142" i="17" s="1"/>
  <c r="U486" i="7"/>
  <c r="S198" i="7"/>
  <c r="S60" i="25" s="1"/>
  <c r="W186" i="7"/>
  <c r="Y70" i="25"/>
  <c r="P433" i="23"/>
  <c r="BU106" i="17"/>
  <c r="P679" i="7"/>
  <c r="AB81" i="25"/>
  <c r="J227" i="7"/>
  <c r="J74" i="25" s="1"/>
  <c r="L494" i="7"/>
  <c r="L496" i="7" s="1"/>
  <c r="BU28" i="6"/>
  <c r="DF50" i="11"/>
  <c r="Z190" i="7"/>
  <c r="AM190" i="7" s="1"/>
  <c r="T42" i="7"/>
  <c r="AA1057" i="7"/>
  <c r="DV24" i="6"/>
  <c r="BU30" i="6"/>
  <c r="R76" i="25"/>
  <c r="X602" i="7"/>
  <c r="M998" i="7"/>
  <c r="M1012" i="7" s="1"/>
  <c r="M90" i="25"/>
  <c r="AR17" i="6"/>
  <c r="O146" i="7"/>
  <c r="T172" i="7"/>
  <c r="L42" i="7"/>
  <c r="M672" i="7"/>
  <c r="DE45" i="6"/>
  <c r="X1092" i="7"/>
  <c r="CL9" i="6"/>
  <c r="CR58" i="6" s="1"/>
  <c r="U46" i="7"/>
  <c r="EB33" i="6"/>
  <c r="AB1065" i="7"/>
  <c r="V145" i="7"/>
  <c r="V40" i="25"/>
  <c r="AA33" i="25"/>
  <c r="DF80" i="11"/>
  <c r="DU47" i="6"/>
  <c r="AA281" i="23"/>
  <c r="AA287" i="23" s="1"/>
  <c r="DF11" i="11"/>
  <c r="C142" i="2"/>
  <c r="AJ32" i="6"/>
  <c r="L1064" i="7"/>
  <c r="EC35" i="6"/>
  <c r="AB77" i="25"/>
  <c r="M489" i="7"/>
  <c r="AB173" i="25"/>
  <c r="AB890" i="7"/>
  <c r="Q45" i="7"/>
  <c r="BM6" i="6"/>
  <c r="W198" i="7"/>
  <c r="P37" i="7"/>
  <c r="H111" i="8"/>
  <c r="P860" i="7"/>
  <c r="G790" i="7"/>
  <c r="Q705" i="7"/>
  <c r="H483" i="7"/>
  <c r="M105" i="17"/>
  <c r="AO105" i="17"/>
  <c r="AY34" i="11"/>
  <c r="Y135" i="23"/>
  <c r="AC859" i="7"/>
  <c r="CS106" i="17"/>
  <c r="CS105" i="17" s="1"/>
  <c r="K49" i="8"/>
  <c r="AK105" i="17"/>
  <c r="AW105" i="17"/>
  <c r="O93" i="7"/>
  <c r="O99" i="7" s="1"/>
  <c r="BD62" i="11"/>
  <c r="R434" i="23"/>
  <c r="R360" i="23"/>
  <c r="BS13" i="11"/>
  <c r="H176" i="20"/>
  <c r="Y176" i="20" s="1"/>
  <c r="BX34" i="11"/>
  <c r="AT7" i="11"/>
  <c r="BX15" i="11"/>
  <c r="EH85" i="6"/>
  <c r="W100" i="11"/>
  <c r="AE8" i="11"/>
  <c r="CM15" i="11"/>
  <c r="AD141" i="23"/>
  <c r="DG46" i="11"/>
  <c r="F101" i="2"/>
  <c r="AW101" i="2" s="1"/>
  <c r="DQ7" i="11"/>
  <c r="BA62" i="11"/>
  <c r="BB62" i="11" s="1"/>
  <c r="CH8" i="11"/>
  <c r="AY62" i="11"/>
  <c r="DL101" i="11"/>
  <c r="R58" i="11"/>
  <c r="X62" i="6"/>
  <c r="DU7" i="11"/>
  <c r="DV7" i="11" s="1"/>
  <c r="CN12" i="26"/>
  <c r="CQ6" i="17"/>
  <c r="D115" i="2" s="1"/>
  <c r="E103" i="20" s="1"/>
  <c r="V103" i="20" s="1"/>
  <c r="Y155" i="23"/>
  <c r="CF68" i="17"/>
  <c r="AW94" i="17"/>
  <c r="AT95" i="17"/>
  <c r="AV94" i="17"/>
  <c r="AU94" i="17"/>
  <c r="S17" i="26"/>
  <c r="V11" i="17"/>
  <c r="AP18" i="26"/>
  <c r="AS12" i="17"/>
  <c r="AW8" i="17"/>
  <c r="AT14" i="26"/>
  <c r="BI20" i="17"/>
  <c r="BI24" i="17"/>
  <c r="BI32" i="17" s="1"/>
  <c r="W215" i="23"/>
  <c r="W30" i="25"/>
  <c r="W270" i="23"/>
  <c r="V270" i="23"/>
  <c r="V264" i="23"/>
  <c r="V280" i="23" s="1"/>
  <c r="AA411" i="23"/>
  <c r="CD8" i="11"/>
  <c r="CE8" i="11" s="1"/>
  <c r="CD48" i="11"/>
  <c r="CE48" i="11" s="1"/>
  <c r="CD49" i="11"/>
  <c r="CE49" i="11" s="1"/>
  <c r="CF49" i="11" s="1"/>
  <c r="J551" i="7"/>
  <c r="J583" i="7" s="1"/>
  <c r="J581" i="7"/>
  <c r="P14" i="17"/>
  <c r="M20" i="26"/>
  <c r="U337" i="7"/>
  <c r="U1104" i="7"/>
  <c r="AA1102" i="7"/>
  <c r="AA176" i="7"/>
  <c r="AA694" i="7"/>
  <c r="AA722" i="7" s="1"/>
  <c r="D221" i="2"/>
  <c r="AB535" i="7"/>
  <c r="ED32" i="6"/>
  <c r="AB837" i="7"/>
  <c r="AB831" i="7"/>
  <c r="J99" i="25"/>
  <c r="J262" i="7"/>
  <c r="M718" i="7"/>
  <c r="M994" i="7"/>
  <c r="M1008" i="7" s="1"/>
  <c r="M11" i="7"/>
  <c r="N705" i="7"/>
  <c r="O176" i="7"/>
  <c r="O694" i="7"/>
  <c r="O722" i="7" s="1"/>
  <c r="Y142" i="7"/>
  <c r="Y695" i="7"/>
  <c r="Y723" i="7" s="1"/>
  <c r="Y156" i="7"/>
  <c r="Y1096" i="7"/>
  <c r="V997" i="7"/>
  <c r="V1011" i="7" s="1"/>
  <c r="V250" i="7"/>
  <c r="V255" i="7"/>
  <c r="S360" i="7"/>
  <c r="S339" i="7"/>
  <c r="S83" i="25"/>
  <c r="S1045" i="7"/>
  <c r="L528" i="7"/>
  <c r="L88" i="25"/>
  <c r="L996" i="7"/>
  <c r="L1010" i="7" s="1"/>
  <c r="K691" i="7"/>
  <c r="L706" i="7"/>
  <c r="K680" i="7"/>
  <c r="K669" i="7"/>
  <c r="AF35" i="6"/>
  <c r="AL84" i="6" s="1"/>
  <c r="K1106" i="7"/>
  <c r="R794" i="7"/>
  <c r="R818" i="7"/>
  <c r="S806" i="7"/>
  <c r="R1110" i="7"/>
  <c r="S254" i="23"/>
  <c r="S12" i="7"/>
  <c r="S1001" i="7"/>
  <c r="S1015" i="7" s="1"/>
  <c r="K837" i="7"/>
  <c r="J843" i="7"/>
  <c r="M528" i="7"/>
  <c r="AR32" i="6"/>
  <c r="T41" i="7"/>
  <c r="S50" i="7"/>
  <c r="S963" i="7"/>
  <c r="S974" i="7" s="1"/>
  <c r="N1121" i="7"/>
  <c r="N1043" i="7"/>
  <c r="I1120" i="7"/>
  <c r="I157" i="7"/>
  <c r="AA18" i="6"/>
  <c r="J1122" i="7"/>
  <c r="T1138" i="7"/>
  <c r="T810" i="7"/>
  <c r="N240" i="7"/>
  <c r="N248" i="7"/>
  <c r="J156" i="7"/>
  <c r="Z10" i="6"/>
  <c r="J1096" i="7"/>
  <c r="AK15" i="17"/>
  <c r="AK24" i="17"/>
  <c r="AK26" i="17"/>
  <c r="AK18" i="17"/>
  <c r="BG15" i="26"/>
  <c r="BJ9" i="17"/>
  <c r="L248" i="8"/>
  <c r="L197" i="8"/>
  <c r="O17" i="26"/>
  <c r="R11" i="17"/>
  <c r="L255" i="8"/>
  <c r="M405" i="23"/>
  <c r="N405" i="23"/>
  <c r="N101" i="8"/>
  <c r="N81" i="8"/>
  <c r="Q465" i="23"/>
  <c r="BY14" i="17"/>
  <c r="BV20" i="26"/>
  <c r="Y105" i="17"/>
  <c r="BQ106" i="17"/>
  <c r="O66" i="23"/>
  <c r="P66" i="23"/>
  <c r="CX48" i="11"/>
  <c r="CX8" i="11"/>
  <c r="CY8" i="11" s="1"/>
  <c r="CZ8" i="11" s="1"/>
  <c r="CX49" i="11"/>
  <c r="CY49" i="11" s="1"/>
  <c r="CZ49" i="11" s="1"/>
  <c r="T866" i="7"/>
  <c r="T860" i="7"/>
  <c r="H725" i="7"/>
  <c r="H736" i="7"/>
  <c r="BY94" i="17"/>
  <c r="BW94" i="17"/>
  <c r="BV95" i="17"/>
  <c r="BD9" i="17"/>
  <c r="BA15" i="26"/>
  <c r="BU7" i="17"/>
  <c r="BR13" i="26"/>
  <c r="BN13" i="26"/>
  <c r="BQ7" i="17"/>
  <c r="AO19" i="17"/>
  <c r="AO18" i="17"/>
  <c r="I443" i="7"/>
  <c r="I445" i="7" s="1"/>
  <c r="I448" i="7" s="1"/>
  <c r="I331" i="7"/>
  <c r="T91" i="7"/>
  <c r="U93" i="7" s="1"/>
  <c r="T93" i="7"/>
  <c r="L418" i="23"/>
  <c r="L215" i="23"/>
  <c r="L30" i="25"/>
  <c r="V228" i="23"/>
  <c r="U30" i="25"/>
  <c r="U221" i="23"/>
  <c r="U215" i="23"/>
  <c r="AZ7" i="17"/>
  <c r="AW13" i="26"/>
  <c r="U270" i="23"/>
  <c r="U551" i="7"/>
  <c r="V565" i="7"/>
  <c r="U581" i="7"/>
  <c r="U564" i="7"/>
  <c r="U567" i="7" s="1"/>
  <c r="N203" i="7"/>
  <c r="O709" i="7"/>
  <c r="N720" i="7"/>
  <c r="N709" i="7"/>
  <c r="P248" i="7"/>
  <c r="BJ19" i="6"/>
  <c r="BJ68" i="6" s="1"/>
  <c r="W150" i="7"/>
  <c r="W158" i="7"/>
  <c r="X89" i="25"/>
  <c r="X997" i="7"/>
  <c r="X1011" i="7" s="1"/>
  <c r="X250" i="7"/>
  <c r="X242" i="7"/>
  <c r="V1044" i="7"/>
  <c r="V81" i="25"/>
  <c r="V964" i="7"/>
  <c r="V975" i="7" s="1"/>
  <c r="V499" i="7"/>
  <c r="V83" i="25"/>
  <c r="CT25" i="6"/>
  <c r="S1098" i="7"/>
  <c r="CB28" i="6"/>
  <c r="R691" i="7"/>
  <c r="R719" i="7"/>
  <c r="R706" i="7"/>
  <c r="R731" i="7"/>
  <c r="BP35" i="6"/>
  <c r="Q680" i="7"/>
  <c r="Q669" i="7"/>
  <c r="Q674" i="7"/>
  <c r="Z804" i="7"/>
  <c r="AM804" i="7" s="1"/>
  <c r="Y816" i="7"/>
  <c r="Y92" i="25"/>
  <c r="W801" i="7"/>
  <c r="W97" i="25"/>
  <c r="W1046" i="7"/>
  <c r="X818" i="7"/>
  <c r="DF44" i="6"/>
  <c r="U12" i="7"/>
  <c r="U246" i="23"/>
  <c r="CN46" i="6"/>
  <c r="CP46" i="6" s="1"/>
  <c r="U1114" i="7"/>
  <c r="U93" i="25"/>
  <c r="U1001" i="7"/>
  <c r="U1015" i="7" s="1"/>
  <c r="AX45" i="6"/>
  <c r="N843" i="7"/>
  <c r="O616" i="7"/>
  <c r="O136" i="25"/>
  <c r="L805" i="7"/>
  <c r="L817" i="7"/>
  <c r="DM16" i="6"/>
  <c r="Y53" i="7"/>
  <c r="Y57" i="7" s="1"/>
  <c r="Y49" i="7"/>
  <c r="AC720" i="7"/>
  <c r="AC109" i="25"/>
  <c r="AA90" i="25"/>
  <c r="AA158" i="7"/>
  <c r="Z814" i="7"/>
  <c r="AM814" i="7" s="1"/>
  <c r="Z790" i="7"/>
  <c r="AM790" i="7" s="1"/>
  <c r="T718" i="7"/>
  <c r="U705" i="7"/>
  <c r="T705" i="7"/>
  <c r="CN8" i="6"/>
  <c r="U191" i="7"/>
  <c r="U180" i="7"/>
  <c r="Y109" i="25"/>
  <c r="Y720" i="7"/>
  <c r="Y203" i="7"/>
  <c r="Y248" i="7"/>
  <c r="Y240" i="7"/>
  <c r="J995" i="7"/>
  <c r="J1009" i="7" s="1"/>
  <c r="J731" i="7"/>
  <c r="Q92" i="25"/>
  <c r="Q816" i="7"/>
  <c r="Q790" i="7"/>
  <c r="T790" i="7"/>
  <c r="T1046" i="7"/>
  <c r="R1114" i="7"/>
  <c r="R12" i="7"/>
  <c r="R241" i="23"/>
  <c r="N45" i="6"/>
  <c r="H837" i="7"/>
  <c r="H1112" i="7"/>
  <c r="H843" i="7"/>
  <c r="L136" i="25"/>
  <c r="L616" i="7"/>
  <c r="Y1111" i="7"/>
  <c r="Z859" i="7"/>
  <c r="AM859" i="7" s="1"/>
  <c r="AC254" i="23"/>
  <c r="EJ46" i="6"/>
  <c r="E226" i="2"/>
  <c r="DX26" i="6"/>
  <c r="AA500" i="7"/>
  <c r="O805" i="7"/>
  <c r="N805" i="7"/>
  <c r="P535" i="7"/>
  <c r="Q528" i="7"/>
  <c r="P88" i="25"/>
  <c r="DF26" i="6"/>
  <c r="X500" i="7"/>
  <c r="Y484" i="7"/>
  <c r="CH19" i="6"/>
  <c r="CN68" i="6" s="1"/>
  <c r="U240" i="7"/>
  <c r="T248" i="7"/>
  <c r="AC88" i="25"/>
  <c r="EJ32" i="6"/>
  <c r="AD520" i="7"/>
  <c r="F221" i="2" s="1"/>
  <c r="J422" i="20" s="1"/>
  <c r="AA422" i="20" s="1"/>
  <c r="AC996" i="7"/>
  <c r="AC1010" i="7" s="1"/>
  <c r="G694" i="7"/>
  <c r="G200" i="7"/>
  <c r="G204" i="7" s="1"/>
  <c r="AC483" i="7"/>
  <c r="AC1045" i="7"/>
  <c r="AD471" i="7"/>
  <c r="F216" i="2" s="1"/>
  <c r="J414" i="20" s="1"/>
  <c r="AA414" i="20" s="1"/>
  <c r="K802" i="7"/>
  <c r="L180" i="8"/>
  <c r="M173" i="8"/>
  <c r="BV8" i="6"/>
  <c r="S185" i="7"/>
  <c r="R177" i="7"/>
  <c r="R176" i="7"/>
  <c r="R185" i="7"/>
  <c r="Q109" i="25"/>
  <c r="Q203" i="7"/>
  <c r="Y694" i="7"/>
  <c r="Y722" i="7" s="1"/>
  <c r="Y1102" i="7"/>
  <c r="L50" i="7"/>
  <c r="L1042" i="7"/>
  <c r="DR21" i="6"/>
  <c r="Z250" i="7"/>
  <c r="AM250" i="7" s="1"/>
  <c r="X1044" i="7"/>
  <c r="X81" i="25"/>
  <c r="CZ28" i="6"/>
  <c r="W615" i="7"/>
  <c r="W605" i="7"/>
  <c r="Z604" i="7"/>
  <c r="AM604" i="7" s="1"/>
  <c r="Y1105" i="7"/>
  <c r="V804" i="7"/>
  <c r="U816" i="7"/>
  <c r="U92" i="25"/>
  <c r="CN41" i="6"/>
  <c r="U1046" i="7"/>
  <c r="W806" i="7"/>
  <c r="CT44" i="6"/>
  <c r="V794" i="7"/>
  <c r="V819" i="7" s="1"/>
  <c r="W246" i="23"/>
  <c r="CZ46" i="6"/>
  <c r="W239" i="23"/>
  <c r="W254" i="23"/>
  <c r="S837" i="7"/>
  <c r="R832" i="7"/>
  <c r="R137" i="25"/>
  <c r="R817" i="7"/>
  <c r="S805" i="7"/>
  <c r="BD30" i="6"/>
  <c r="O337" i="7"/>
  <c r="X48" i="7"/>
  <c r="X1102" i="7"/>
  <c r="S816" i="7"/>
  <c r="S804" i="7"/>
  <c r="S92" i="25"/>
  <c r="Z605" i="7"/>
  <c r="AM605" i="7" s="1"/>
  <c r="Z615" i="7"/>
  <c r="AM615" i="7" s="1"/>
  <c r="CT9" i="6"/>
  <c r="CZ58" i="6" s="1"/>
  <c r="V48" i="7"/>
  <c r="V694" i="7"/>
  <c r="V722" i="7" s="1"/>
  <c r="M157" i="7"/>
  <c r="M100" i="25"/>
  <c r="AY18" i="6"/>
  <c r="AY67" i="6" s="1"/>
  <c r="N1122" i="7"/>
  <c r="AR45" i="6"/>
  <c r="M832" i="7"/>
  <c r="M843" i="7"/>
  <c r="M1112" i="7"/>
  <c r="M1104" i="7"/>
  <c r="M337" i="7"/>
  <c r="X998" i="7"/>
  <c r="X1012" i="7" s="1"/>
  <c r="DF17" i="6"/>
  <c r="DC17" i="6" s="1"/>
  <c r="X90" i="25"/>
  <c r="H1097" i="7"/>
  <c r="N19" i="6"/>
  <c r="H248" i="7"/>
  <c r="H240" i="7"/>
  <c r="R203" i="7"/>
  <c r="R720" i="7"/>
  <c r="C225" i="2"/>
  <c r="AT225" i="2" s="1"/>
  <c r="AA92" i="25"/>
  <c r="Z998" i="7"/>
  <c r="Z158" i="7"/>
  <c r="AM158" i="7" s="1"/>
  <c r="AG28" i="17"/>
  <c r="AG23" i="17"/>
  <c r="AG15" i="17"/>
  <c r="AC140" i="8"/>
  <c r="AC173" i="8"/>
  <c r="N725" i="7"/>
  <c r="N714" i="7"/>
  <c r="Z60" i="8"/>
  <c r="Z49" i="8"/>
  <c r="BU14" i="17"/>
  <c r="BR20" i="26"/>
  <c r="M228" i="23"/>
  <c r="M221" i="23"/>
  <c r="CV11" i="11"/>
  <c r="CV80" i="11"/>
  <c r="CK47" i="6"/>
  <c r="V277" i="23"/>
  <c r="U277" i="23"/>
  <c r="U281" i="23"/>
  <c r="K736" i="7"/>
  <c r="K725" i="7"/>
  <c r="Q433" i="23"/>
  <c r="AA172" i="8"/>
  <c r="AA144" i="8"/>
  <c r="R105" i="17"/>
  <c r="K21" i="26"/>
  <c r="N24" i="17"/>
  <c r="N18" i="17"/>
  <c r="BU12" i="17"/>
  <c r="BR18" i="26"/>
  <c r="AB21" i="26"/>
  <c r="AE15" i="17"/>
  <c r="AE24" i="17"/>
  <c r="DG115" i="11"/>
  <c r="Y360" i="23"/>
  <c r="Z360" i="23"/>
  <c r="T55" i="23"/>
  <c r="S55" i="23"/>
  <c r="O465" i="23"/>
  <c r="C251" i="2"/>
  <c r="AT251" i="2" s="1"/>
  <c r="AA1149" i="7"/>
  <c r="Z113" i="25"/>
  <c r="BC11" i="11"/>
  <c r="P33" i="25"/>
  <c r="P277" i="23"/>
  <c r="J1102" i="7"/>
  <c r="T66" i="23"/>
  <c r="U66" i="23"/>
  <c r="R79" i="7"/>
  <c r="S81" i="7" s="1"/>
  <c r="R81" i="7"/>
  <c r="R84" i="7" s="1"/>
  <c r="R843" i="7"/>
  <c r="H40" i="7"/>
  <c r="G1043" i="7"/>
  <c r="W1121" i="7"/>
  <c r="W98" i="25"/>
  <c r="R157" i="7"/>
  <c r="R100" i="25"/>
  <c r="K251" i="7"/>
  <c r="K243" i="7"/>
  <c r="AG18" i="6"/>
  <c r="CO40" i="6"/>
  <c r="U822" i="7"/>
  <c r="U1138" i="7"/>
  <c r="P844" i="7"/>
  <c r="BK45" i="6"/>
  <c r="Q706" i="7"/>
  <c r="P731" i="7"/>
  <c r="C226" i="2"/>
  <c r="AT226" i="2" s="1"/>
  <c r="AA239" i="23"/>
  <c r="AA254" i="23"/>
  <c r="DF70" i="11"/>
  <c r="AA12" i="7"/>
  <c r="H35" i="6"/>
  <c r="G1106" i="7"/>
  <c r="V614" i="7"/>
  <c r="V1105" i="7"/>
  <c r="V604" i="7"/>
  <c r="AA142" i="7"/>
  <c r="DY17" i="6"/>
  <c r="R822" i="7"/>
  <c r="BW40" i="6"/>
  <c r="R1138" i="7"/>
  <c r="R1140" i="7" s="1"/>
  <c r="R107" i="25" s="1"/>
  <c r="S810" i="7"/>
  <c r="R810" i="7"/>
  <c r="AB242" i="7"/>
  <c r="AB255" i="7"/>
  <c r="AB997" i="7"/>
  <c r="AB1011" i="7" s="1"/>
  <c r="U262" i="7"/>
  <c r="T99" i="25"/>
  <c r="O50" i="7"/>
  <c r="O41" i="7"/>
  <c r="J242" i="7"/>
  <c r="I81" i="25"/>
  <c r="I964" i="7"/>
  <c r="I975" i="7" s="1"/>
  <c r="Z1044" i="7"/>
  <c r="AM1044" i="7" s="1"/>
  <c r="DR23" i="6"/>
  <c r="Z339" i="7"/>
  <c r="AM339" i="7" s="1"/>
  <c r="X88" i="25"/>
  <c r="X996" i="7"/>
  <c r="X1010" i="7" s="1"/>
  <c r="X1018" i="7" s="1"/>
  <c r="V691" i="7"/>
  <c r="V719" i="7"/>
  <c r="CN35" i="6"/>
  <c r="V674" i="7"/>
  <c r="AF41" i="6"/>
  <c r="K813" i="7"/>
  <c r="T46" i="6"/>
  <c r="I239" i="23"/>
  <c r="I12" i="7"/>
  <c r="Z246" i="23"/>
  <c r="Y239" i="23"/>
  <c r="CV70" i="11"/>
  <c r="CY70" i="11" s="1"/>
  <c r="Z184" i="23" s="1"/>
  <c r="Z24" i="25" s="1"/>
  <c r="V96" i="25"/>
  <c r="V1017" i="7"/>
  <c r="AA483" i="7"/>
  <c r="AA1045" i="7"/>
  <c r="Q269" i="7"/>
  <c r="X64" i="7"/>
  <c r="X994" i="7"/>
  <c r="X1008" i="7" s="1"/>
  <c r="X705" i="7"/>
  <c r="Y191" i="7"/>
  <c r="Y185" i="7"/>
  <c r="T156" i="7"/>
  <c r="T695" i="7"/>
  <c r="T723" i="7" s="1"/>
  <c r="T1096" i="7"/>
  <c r="CH10" i="6"/>
  <c r="CH59" i="6" s="1"/>
  <c r="CN16" i="6"/>
  <c r="U963" i="7"/>
  <c r="U974" i="7" s="1"/>
  <c r="U80" i="25"/>
  <c r="K90" i="25"/>
  <c r="K998" i="7"/>
  <c r="K1012" i="7" s="1"/>
  <c r="K150" i="7"/>
  <c r="K158" i="7"/>
  <c r="L150" i="7"/>
  <c r="N1098" i="7"/>
  <c r="N615" i="7"/>
  <c r="R669" i="7"/>
  <c r="BW35" i="6" s="1"/>
  <c r="R680" i="7"/>
  <c r="R1106" i="7"/>
  <c r="H97" i="25"/>
  <c r="H813" i="7"/>
  <c r="N41" i="6"/>
  <c r="H801" i="7"/>
  <c r="X813" i="7"/>
  <c r="X790" i="7"/>
  <c r="X97" i="25"/>
  <c r="V246" i="23"/>
  <c r="V241" i="23"/>
  <c r="P843" i="7"/>
  <c r="P1112" i="7"/>
  <c r="P136" i="25"/>
  <c r="P616" i="7"/>
  <c r="M137" i="25"/>
  <c r="M817" i="7"/>
  <c r="M805" i="7"/>
  <c r="S1111" i="7"/>
  <c r="CB47" i="6"/>
  <c r="CH96" i="6" s="1"/>
  <c r="AC680" i="7"/>
  <c r="AC1106" i="7"/>
  <c r="X1111" i="7"/>
  <c r="X865" i="7"/>
  <c r="J1045" i="7"/>
  <c r="J483" i="7"/>
  <c r="M606" i="7"/>
  <c r="V805" i="7"/>
  <c r="W805" i="7"/>
  <c r="V325" i="7"/>
  <c r="J484" i="7"/>
  <c r="V50" i="7"/>
  <c r="V963" i="7"/>
  <c r="V974" i="7" s="1"/>
  <c r="AA995" i="7"/>
  <c r="AA1009" i="7" s="1"/>
  <c r="AB706" i="7"/>
  <c r="AH13" i="17"/>
  <c r="AE19" i="26"/>
  <c r="CT239" i="17"/>
  <c r="CT233" i="17"/>
  <c r="CT2" i="17" s="1"/>
  <c r="AC163" i="23"/>
  <c r="I162" i="23"/>
  <c r="T216" i="17"/>
  <c r="W330" i="7"/>
  <c r="W443" i="7"/>
  <c r="W445" i="7" s="1"/>
  <c r="W448" i="7" s="1"/>
  <c r="W332" i="7"/>
  <c r="T60" i="8"/>
  <c r="Z349" i="23"/>
  <c r="Y350" i="23"/>
  <c r="T59" i="11"/>
  <c r="I228" i="23"/>
  <c r="I215" i="23"/>
  <c r="O865" i="7"/>
  <c r="AA1043" i="7"/>
  <c r="AA1121" i="7"/>
  <c r="V142" i="7"/>
  <c r="V1120" i="7"/>
  <c r="O243" i="7"/>
  <c r="I1138" i="7"/>
  <c r="I1140" i="7" s="1"/>
  <c r="U40" i="6"/>
  <c r="Y822" i="7"/>
  <c r="Y810" i="7"/>
  <c r="DM40" i="6"/>
  <c r="DS89" i="6" s="1"/>
  <c r="T1139" i="7"/>
  <c r="CI45" i="6"/>
  <c r="U535" i="7"/>
  <c r="U528" i="7"/>
  <c r="CN32" i="6"/>
  <c r="CT81" i="6" s="1"/>
  <c r="N44" i="6"/>
  <c r="H1110" i="7"/>
  <c r="D233" i="2"/>
  <c r="AU233" i="2" s="1"/>
  <c r="AB1120" i="7"/>
  <c r="AB142" i="7"/>
  <c r="EE17" i="6"/>
  <c r="AB157" i="7"/>
  <c r="T1043" i="7"/>
  <c r="T53" i="7"/>
  <c r="BE17" i="6"/>
  <c r="O157" i="7"/>
  <c r="Q844" i="7"/>
  <c r="BQ45" i="6"/>
  <c r="O551" i="7"/>
  <c r="O581" i="7"/>
  <c r="D245" i="2"/>
  <c r="AB718" i="7"/>
  <c r="C248" i="2"/>
  <c r="AT248" i="2" s="1"/>
  <c r="AA113" i="25"/>
  <c r="AA1047" i="7"/>
  <c r="X99" i="25"/>
  <c r="DL42" i="6"/>
  <c r="DL91" i="6" s="1"/>
  <c r="Y113" i="25"/>
  <c r="CD63" i="17"/>
  <c r="CS50" i="11" s="1"/>
  <c r="AG226" i="17"/>
  <c r="AB118" i="11"/>
  <c r="K186" i="23" s="1"/>
  <c r="K44" i="25" s="1"/>
  <c r="AV62" i="11"/>
  <c r="O176" i="23" s="1"/>
  <c r="O16" i="25" s="1"/>
  <c r="V93" i="7"/>
  <c r="Q455" i="23"/>
  <c r="G348" i="20"/>
  <c r="X348" i="20" s="1"/>
  <c r="Y264" i="23"/>
  <c r="Y280" i="23" s="1"/>
  <c r="J228" i="23"/>
  <c r="BK86" i="11"/>
  <c r="BL86" i="11" s="1"/>
  <c r="T253" i="8"/>
  <c r="AA428" i="23"/>
  <c r="W455" i="23"/>
  <c r="M434" i="23"/>
  <c r="DI63" i="11"/>
  <c r="DJ63" i="11" s="1"/>
  <c r="K411" i="23"/>
  <c r="BA54" i="6"/>
  <c r="AC51" i="8"/>
  <c r="AC473" i="23"/>
  <c r="J49" i="8"/>
  <c r="U433" i="23"/>
  <c r="AC465" i="23"/>
  <c r="DF60" i="6"/>
  <c r="I93" i="7"/>
  <c r="I99" i="7" s="1"/>
  <c r="Q360" i="23"/>
  <c r="AV63" i="11"/>
  <c r="O177" i="23" s="1"/>
  <c r="O17" i="25" s="1"/>
  <c r="CG10" i="11"/>
  <c r="L428" i="23"/>
  <c r="K268" i="23"/>
  <c r="H832" i="7"/>
  <c r="V473" i="7"/>
  <c r="V965" i="7" s="1"/>
  <c r="BM106" i="17"/>
  <c r="DP10" i="11"/>
  <c r="M270" i="23"/>
  <c r="S467" i="23"/>
  <c r="Z405" i="23"/>
  <c r="BI105" i="17"/>
  <c r="AU49" i="11"/>
  <c r="AV49" i="11" s="1"/>
  <c r="AW49" i="11" s="1"/>
  <c r="AU8" i="11"/>
  <c r="AV8" i="11" s="1"/>
  <c r="AW8" i="11" s="1"/>
  <c r="Q229" i="17"/>
  <c r="M429" i="23"/>
  <c r="P457" i="23"/>
  <c r="I126" i="23"/>
  <c r="BU13" i="11"/>
  <c r="BV13" i="11" s="1"/>
  <c r="V428" i="23"/>
  <c r="DN101" i="11"/>
  <c r="AC429" i="23"/>
  <c r="Q473" i="23"/>
  <c r="AJ105" i="17"/>
  <c r="W352" i="7"/>
  <c r="CH46" i="11"/>
  <c r="AE87" i="11"/>
  <c r="BZ85" i="11"/>
  <c r="CA85" i="11" s="1"/>
  <c r="P65" i="23"/>
  <c r="BZ45" i="17"/>
  <c r="BH63" i="6"/>
  <c r="BN71" i="11"/>
  <c r="P268" i="23"/>
  <c r="AT62" i="11"/>
  <c r="R473" i="23"/>
  <c r="R433" i="23"/>
  <c r="S859" i="7"/>
  <c r="N604" i="7"/>
  <c r="CF85" i="6"/>
  <c r="F338" i="20"/>
  <c r="W338" i="20" s="1"/>
  <c r="BS8" i="11"/>
  <c r="CZ60" i="6"/>
  <c r="CP234" i="17"/>
  <c r="CP3" i="17" s="1"/>
  <c r="G338" i="20"/>
  <c r="X338" i="20" s="1"/>
  <c r="F186" i="20"/>
  <c r="W186" i="20" s="1"/>
  <c r="CT85" i="11"/>
  <c r="BF63" i="11"/>
  <c r="Q177" i="23" s="1"/>
  <c r="Q17" i="25" s="1"/>
  <c r="BK58" i="11"/>
  <c r="AL101" i="11"/>
  <c r="M181" i="23" s="1"/>
  <c r="M21" i="25" s="1"/>
  <c r="DG7" i="11"/>
  <c r="CY62" i="11"/>
  <c r="Z176" i="23" s="1"/>
  <c r="Z16" i="25" s="1"/>
  <c r="BX87" i="11"/>
  <c r="H509" i="20"/>
  <c r="Y509" i="20" s="1"/>
  <c r="AU146" i="2"/>
  <c r="DQ9" i="11"/>
  <c r="DL58" i="11"/>
  <c r="CW34" i="11"/>
  <c r="F184" i="20"/>
  <c r="W184" i="20" s="1"/>
  <c r="BX8" i="11"/>
  <c r="I186" i="20"/>
  <c r="Z186" i="20" s="1"/>
  <c r="I184" i="20"/>
  <c r="Z184" i="20" s="1"/>
  <c r="E509" i="20"/>
  <c r="V509" i="20" s="1"/>
  <c r="DI100" i="11"/>
  <c r="O10" i="11"/>
  <c r="BZ86" i="11"/>
  <c r="AV57" i="11"/>
  <c r="AW57" i="11" s="1"/>
  <c r="AP132" i="17"/>
  <c r="DD58" i="11"/>
  <c r="AA185" i="23" s="1"/>
  <c r="AA25" i="25" s="1"/>
  <c r="X583" i="7"/>
  <c r="X552" i="7"/>
  <c r="EP41" i="6"/>
  <c r="AD97" i="25"/>
  <c r="AD89" i="25"/>
  <c r="AD255" i="7"/>
  <c r="AA546" i="7"/>
  <c r="AM546" i="7"/>
  <c r="Z580" i="7"/>
  <c r="AM580" i="7" s="1"/>
  <c r="CO15" i="17"/>
  <c r="H10" i="28" s="1"/>
  <c r="CO18" i="17"/>
  <c r="V330" i="7"/>
  <c r="V454" i="7"/>
  <c r="P405" i="23"/>
  <c r="O405" i="23"/>
  <c r="BE166" i="17"/>
  <c r="S175" i="8"/>
  <c r="S167" i="8"/>
  <c r="S181" i="8" s="1"/>
  <c r="K30" i="25"/>
  <c r="L228" i="23"/>
  <c r="AD59" i="11"/>
  <c r="AJ59" i="11" s="1"/>
  <c r="K221" i="23"/>
  <c r="I182" i="8"/>
  <c r="J175" i="8"/>
  <c r="I478" i="7"/>
  <c r="K423" i="23"/>
  <c r="K156" i="23"/>
  <c r="Y269" i="23"/>
  <c r="X264" i="23"/>
  <c r="X265" i="23" s="1"/>
  <c r="T332" i="7"/>
  <c r="T443" i="7"/>
  <c r="T445" i="7" s="1"/>
  <c r="T448" i="7" s="1"/>
  <c r="T454" i="7"/>
  <c r="I48" i="7"/>
  <c r="I33" i="7"/>
  <c r="Z80" i="25"/>
  <c r="Z41" i="7"/>
  <c r="AM41" i="7" s="1"/>
  <c r="P998" i="7"/>
  <c r="P1012" i="7" s="1"/>
  <c r="P90" i="25"/>
  <c r="P150" i="7"/>
  <c r="Q81" i="25"/>
  <c r="Q327" i="7"/>
  <c r="Q358" i="7" s="1"/>
  <c r="Q83" i="25"/>
  <c r="Q473" i="7"/>
  <c r="AR28" i="6"/>
  <c r="M615" i="7"/>
  <c r="N32" i="6"/>
  <c r="H535" i="7"/>
  <c r="M719" i="7"/>
  <c r="M731" i="7"/>
  <c r="M743" i="7" s="1"/>
  <c r="S604" i="7"/>
  <c r="S1105" i="7"/>
  <c r="M680" i="7"/>
  <c r="M669" i="7"/>
  <c r="M674" i="7"/>
  <c r="O92" i="25"/>
  <c r="O816" i="7"/>
  <c r="O794" i="7"/>
  <c r="Q246" i="23"/>
  <c r="Q1114" i="7"/>
  <c r="K616" i="7"/>
  <c r="K606" i="7"/>
  <c r="X137" i="25"/>
  <c r="X805" i="7"/>
  <c r="X817" i="7"/>
  <c r="AD859" i="7"/>
  <c r="AC865" i="7"/>
  <c r="AC1111" i="7"/>
  <c r="C213" i="2"/>
  <c r="AT213" i="2" s="1"/>
  <c r="AA50" i="7"/>
  <c r="AA80" i="25"/>
  <c r="K241" i="23"/>
  <c r="K438" i="23"/>
  <c r="L441" i="23" s="1"/>
  <c r="R694" i="7"/>
  <c r="R722" i="7" s="1"/>
  <c r="R200" i="7"/>
  <c r="R693" i="7" s="1"/>
  <c r="I528" i="7"/>
  <c r="I996" i="7"/>
  <c r="I1010" i="7" s="1"/>
  <c r="I535" i="7"/>
  <c r="P142" i="7"/>
  <c r="P148" i="7"/>
  <c r="AC1112" i="7"/>
  <c r="AC843" i="7"/>
  <c r="EJ45" i="6"/>
  <c r="EP94" i="6" s="1"/>
  <c r="AD11" i="11"/>
  <c r="AD80" i="11"/>
  <c r="K281" i="23"/>
  <c r="AC47" i="6"/>
  <c r="L277" i="23"/>
  <c r="BY106" i="17"/>
  <c r="BY105" i="17" s="1"/>
  <c r="AS105" i="17"/>
  <c r="BR10" i="11"/>
  <c r="G174" i="20"/>
  <c r="X174" i="20" s="1"/>
  <c r="T243" i="7"/>
  <c r="D231" i="2"/>
  <c r="AU231" i="2" s="1"/>
  <c r="AB1121" i="7"/>
  <c r="N40" i="7"/>
  <c r="U40" i="7"/>
  <c r="H1120" i="7"/>
  <c r="M1122" i="7"/>
  <c r="DY40" i="6"/>
  <c r="DY89" i="6" s="1"/>
  <c r="V838" i="7"/>
  <c r="U105" i="17"/>
  <c r="P100" i="25"/>
  <c r="P40" i="7"/>
  <c r="G1121" i="7"/>
  <c r="O40" i="7"/>
  <c r="DA16" i="6"/>
  <c r="W1043" i="7"/>
  <c r="AA17" i="6"/>
  <c r="S149" i="7"/>
  <c r="DS17" i="6"/>
  <c r="Z1120" i="7"/>
  <c r="K1122" i="7"/>
  <c r="DY18" i="6"/>
  <c r="H1139" i="7"/>
  <c r="H1140" i="7" s="1"/>
  <c r="P838" i="7"/>
  <c r="AO24" i="17"/>
  <c r="M226" i="17"/>
  <c r="W49" i="17"/>
  <c r="K49" i="17"/>
  <c r="CO20" i="17"/>
  <c r="H7" i="28" s="1"/>
  <c r="CS15" i="17"/>
  <c r="F124" i="2" s="1"/>
  <c r="X456" i="23"/>
  <c r="AB483" i="7"/>
  <c r="O49" i="7"/>
  <c r="W84" i="23"/>
  <c r="W53" i="7"/>
  <c r="W57" i="7" s="1"/>
  <c r="K246" i="23"/>
  <c r="I1102" i="7"/>
  <c r="CH21" i="6"/>
  <c r="AC994" i="7"/>
  <c r="AC1008" i="7" s="1"/>
  <c r="AB615" i="7"/>
  <c r="DX42" i="6"/>
  <c r="AB49" i="7"/>
  <c r="Y262" i="7"/>
  <c r="M802" i="7"/>
  <c r="Y814" i="7"/>
  <c r="M380" i="23"/>
  <c r="S251" i="7"/>
  <c r="BE207" i="17"/>
  <c r="P832" i="7"/>
  <c r="J109" i="25"/>
  <c r="W695" i="7"/>
  <c r="W723" i="7" s="1"/>
  <c r="O53" i="7"/>
  <c r="O57" i="7" s="1"/>
  <c r="AM32" i="7"/>
  <c r="I360" i="7"/>
  <c r="J327" i="7"/>
  <c r="J358" i="7" s="1"/>
  <c r="AM319" i="7"/>
  <c r="Q499" i="7"/>
  <c r="Y528" i="7"/>
  <c r="M1106" i="7"/>
  <c r="U680" i="7"/>
  <c r="Q93" i="25"/>
  <c r="Y1114" i="7"/>
  <c r="Q339" i="7"/>
  <c r="V814" i="7"/>
  <c r="ED33" i="6"/>
  <c r="ED82" i="6" s="1"/>
  <c r="Y175" i="8"/>
  <c r="L269" i="7"/>
  <c r="AX33" i="6"/>
  <c r="AB605" i="7"/>
  <c r="J806" i="7"/>
  <c r="AD793" i="7"/>
  <c r="AE793" i="7" s="1"/>
  <c r="T327" i="7"/>
  <c r="T358" i="7" s="1"/>
  <c r="K564" i="7"/>
  <c r="K567" i="7" s="1"/>
  <c r="AC1097" i="7"/>
  <c r="U674" i="7"/>
  <c r="K64" i="7"/>
  <c r="Y254" i="23"/>
  <c r="Y269" i="7"/>
  <c r="Z270" i="7" s="1"/>
  <c r="AM270" i="7" s="1"/>
  <c r="J264" i="23"/>
  <c r="J280" i="23" s="1"/>
  <c r="AB705" i="7"/>
  <c r="AA11" i="7"/>
  <c r="AA816" i="7"/>
  <c r="K142" i="7"/>
  <c r="J605" i="7"/>
  <c r="Q226" i="17"/>
  <c r="H804" i="7"/>
  <c r="G1102" i="7"/>
  <c r="AA794" i="7"/>
  <c r="AA819" i="7" s="1"/>
  <c r="X528" i="7"/>
  <c r="EJ19" i="6"/>
  <c r="AA405" i="23"/>
  <c r="V331" i="7"/>
  <c r="CS15" i="11"/>
  <c r="CT15" i="11" s="1"/>
  <c r="CU15" i="11" s="1"/>
  <c r="J268" i="23"/>
  <c r="K418" i="23"/>
  <c r="R1102" i="7"/>
  <c r="CD106" i="17"/>
  <c r="CD142" i="17" s="1"/>
  <c r="AA718" i="7"/>
  <c r="CO26" i="17"/>
  <c r="AV105" i="17"/>
  <c r="BI7" i="17"/>
  <c r="AA41" i="7"/>
  <c r="X262" i="7"/>
  <c r="EJ47" i="6"/>
  <c r="EP96" i="6" s="1"/>
  <c r="P465" i="23"/>
  <c r="J200" i="7"/>
  <c r="S720" i="7"/>
  <c r="BJ17" i="6"/>
  <c r="BG17" i="6" s="1"/>
  <c r="L606" i="7"/>
  <c r="Z164" i="8"/>
  <c r="Z178" i="8" s="1"/>
  <c r="Z145" i="8"/>
  <c r="Z159" i="8" s="1"/>
  <c r="I500" i="7"/>
  <c r="BF82" i="17"/>
  <c r="S423" i="23"/>
  <c r="T435" i="23" s="1"/>
  <c r="T42" i="23"/>
  <c r="BT9" i="11" s="1"/>
  <c r="BU9" i="11" s="1"/>
  <c r="BV9" i="11" s="1"/>
  <c r="N454" i="7"/>
  <c r="N331" i="7"/>
  <c r="N332" i="7"/>
  <c r="R48" i="7"/>
  <c r="AL82" i="17"/>
  <c r="AP90" i="17" s="1"/>
  <c r="N60" i="23"/>
  <c r="S307" i="7"/>
  <c r="T308" i="7" s="1"/>
  <c r="T309" i="7" s="1"/>
  <c r="AC83" i="23"/>
  <c r="BD47" i="6"/>
  <c r="P859" i="7"/>
  <c r="P1121" i="7"/>
  <c r="P1043" i="7"/>
  <c r="P98" i="25"/>
  <c r="P49" i="7"/>
  <c r="K157" i="7"/>
  <c r="K100" i="25"/>
  <c r="AG17" i="6"/>
  <c r="AA157" i="7"/>
  <c r="AA100" i="25"/>
  <c r="AB149" i="7"/>
  <c r="T251" i="7"/>
  <c r="CI18" i="6"/>
  <c r="T110" i="25"/>
  <c r="T11" i="7"/>
  <c r="T13" i="7" s="1"/>
  <c r="U14" i="7" s="1"/>
  <c r="T994" i="7"/>
  <c r="T1008" i="7" s="1"/>
  <c r="M156" i="7"/>
  <c r="M1096" i="7"/>
  <c r="M695" i="7"/>
  <c r="M723" i="7" s="1"/>
  <c r="N148" i="7"/>
  <c r="P53" i="7"/>
  <c r="P50" i="7"/>
  <c r="P41" i="7"/>
  <c r="P1042" i="7"/>
  <c r="Y1097" i="7"/>
  <c r="DL19" i="6"/>
  <c r="Z229" i="7"/>
  <c r="AM229" i="7" s="1"/>
  <c r="L997" i="7"/>
  <c r="L1011" i="7" s="1"/>
  <c r="L255" i="7"/>
  <c r="L250" i="7"/>
  <c r="N1044" i="7"/>
  <c r="N360" i="7"/>
  <c r="O327" i="7"/>
  <c r="O358" i="7" s="1"/>
  <c r="N83" i="25"/>
  <c r="N1045" i="7"/>
  <c r="N473" i="7"/>
  <c r="N965" i="7" s="1"/>
  <c r="N499" i="7"/>
  <c r="W500" i="7"/>
  <c r="W484" i="7"/>
  <c r="CH30" i="6"/>
  <c r="U325" i="7"/>
  <c r="T325" i="7"/>
  <c r="T337" i="7"/>
  <c r="J111" i="25"/>
  <c r="J691" i="7"/>
  <c r="O1105" i="7"/>
  <c r="P604" i="7"/>
  <c r="N680" i="7"/>
  <c r="N1106" i="7"/>
  <c r="R804" i="7"/>
  <c r="Q969" i="7"/>
  <c r="Q980" i="7" s="1"/>
  <c r="Q804" i="7"/>
  <c r="CH41" i="6"/>
  <c r="T97" i="25"/>
  <c r="CN44" i="6"/>
  <c r="V806" i="7"/>
  <c r="BM70" i="11"/>
  <c r="BP70" i="11" s="1"/>
  <c r="BV46" i="6"/>
  <c r="BX46" i="6" s="1"/>
  <c r="R1001" i="7"/>
  <c r="R1015" i="7" s="1"/>
  <c r="R254" i="23"/>
  <c r="I817" i="7"/>
  <c r="I805" i="7"/>
  <c r="Y137" i="25"/>
  <c r="Z805" i="7"/>
  <c r="AC246" i="23"/>
  <c r="AC93" i="25"/>
  <c r="AC12" i="7"/>
  <c r="AC1114" i="7"/>
  <c r="AA473" i="7"/>
  <c r="AB484" i="7"/>
  <c r="H694" i="7"/>
  <c r="H722" i="7" s="1"/>
  <c r="H200" i="7"/>
  <c r="H693" i="7" s="1"/>
  <c r="AB88" i="25"/>
  <c r="AB996" i="7"/>
  <c r="AB1010" i="7" s="1"/>
  <c r="Z262" i="7"/>
  <c r="AM262" i="7" s="1"/>
  <c r="L709" i="7"/>
  <c r="O48" i="7"/>
  <c r="O200" i="7"/>
  <c r="O33" i="7"/>
  <c r="T90" i="25"/>
  <c r="CH17" i="6"/>
  <c r="CB25" i="6"/>
  <c r="S483" i="7"/>
  <c r="K731" i="7"/>
  <c r="L743" i="7" s="1"/>
  <c r="K719" i="7"/>
  <c r="Q614" i="7"/>
  <c r="Q604" i="7"/>
  <c r="R604" i="7"/>
  <c r="Q1046" i="7"/>
  <c r="Q801" i="7"/>
  <c r="S241" i="23"/>
  <c r="BR70" i="11"/>
  <c r="BR73" i="11" s="1"/>
  <c r="T246" i="23"/>
  <c r="S246" i="23"/>
  <c r="Z45" i="6"/>
  <c r="J837" i="7"/>
  <c r="J832" i="7"/>
  <c r="J805" i="7"/>
  <c r="H614" i="7"/>
  <c r="I604" i="7"/>
  <c r="H1105" i="7"/>
  <c r="U483" i="7"/>
  <c r="U1045" i="7"/>
  <c r="V483" i="7"/>
  <c r="AM139" i="7"/>
  <c r="DR10" i="6"/>
  <c r="Z156" i="7"/>
  <c r="AM156" i="7" s="1"/>
  <c r="Z1096" i="7"/>
  <c r="Z695" i="7"/>
  <c r="AA1044" i="7"/>
  <c r="DX23" i="6"/>
  <c r="DU23" i="6" s="1"/>
  <c r="AB327" i="7"/>
  <c r="AB358" i="7" s="1"/>
  <c r="AA327" i="7"/>
  <c r="AA358" i="7" s="1"/>
  <c r="AA81" i="25"/>
  <c r="S53" i="7"/>
  <c r="S57" i="7" s="1"/>
  <c r="CB16" i="6"/>
  <c r="BY16" i="6" s="1"/>
  <c r="S41" i="7"/>
  <c r="S1042" i="7"/>
  <c r="S33" i="7"/>
  <c r="N53" i="7"/>
  <c r="N57" i="7" s="1"/>
  <c r="N98" i="25"/>
  <c r="N49" i="7"/>
  <c r="AY16" i="6"/>
  <c r="Z251" i="7"/>
  <c r="AM251" i="7" s="1"/>
  <c r="Z1122" i="7"/>
  <c r="T822" i="7"/>
  <c r="CI40" i="6"/>
  <c r="CI89" i="6" s="1"/>
  <c r="O844" i="7"/>
  <c r="BE45" i="6"/>
  <c r="O832" i="7"/>
  <c r="R996" i="7"/>
  <c r="R1010" i="7" s="1"/>
  <c r="R535" i="7"/>
  <c r="BV32" i="6"/>
  <c r="T484" i="7"/>
  <c r="T473" i="7"/>
  <c r="T511" i="7" s="1"/>
  <c r="P473" i="7"/>
  <c r="BJ26" i="6"/>
  <c r="Q484" i="7"/>
  <c r="J695" i="7"/>
  <c r="J723" i="7" s="1"/>
  <c r="J142" i="7"/>
  <c r="O240" i="7"/>
  <c r="BW13" i="26"/>
  <c r="BZ7" i="17"/>
  <c r="O429" i="23"/>
  <c r="Q48" i="11"/>
  <c r="Q8" i="11"/>
  <c r="R8" i="11" s="1"/>
  <c r="S8" i="11" s="1"/>
  <c r="Q49" i="11"/>
  <c r="R49" i="11" s="1"/>
  <c r="S49" i="11" s="1"/>
  <c r="N245" i="8"/>
  <c r="N249" i="8" s="1"/>
  <c r="BO49" i="17"/>
  <c r="U154" i="23"/>
  <c r="U467" i="23"/>
  <c r="K394" i="7"/>
  <c r="K396" i="7" s="1"/>
  <c r="K494" i="7"/>
  <c r="K496" i="7" s="1"/>
  <c r="R164" i="8"/>
  <c r="R178" i="8" s="1"/>
  <c r="R140" i="8"/>
  <c r="J332" i="7"/>
  <c r="J102" i="7"/>
  <c r="J104" i="7" s="1"/>
  <c r="J443" i="7"/>
  <c r="J445" i="7" s="1"/>
  <c r="J448" i="7" s="1"/>
  <c r="AA126" i="23"/>
  <c r="Q270" i="23"/>
  <c r="R270" i="23"/>
  <c r="AC1046" i="7"/>
  <c r="AC97" i="25"/>
  <c r="E230" i="2"/>
  <c r="AV230" i="2" s="1"/>
  <c r="AC969" i="7"/>
  <c r="AC980" i="7" s="1"/>
  <c r="AC816" i="7"/>
  <c r="S705" i="7"/>
  <c r="S994" i="7"/>
  <c r="S1008" i="7" s="1"/>
  <c r="U185" i="7"/>
  <c r="T200" i="7"/>
  <c r="T178" i="7" s="1"/>
  <c r="X709" i="7"/>
  <c r="W720" i="7"/>
  <c r="W709" i="7"/>
  <c r="W229" i="7"/>
  <c r="CZ19" i="6"/>
  <c r="X229" i="7"/>
  <c r="W1097" i="7"/>
  <c r="J89" i="25"/>
  <c r="J250" i="7"/>
  <c r="Z327" i="7"/>
  <c r="AM327" i="7" s="1"/>
  <c r="Z360" i="7"/>
  <c r="K473" i="7"/>
  <c r="K511" i="7" s="1"/>
  <c r="K484" i="7"/>
  <c r="N30" i="6"/>
  <c r="H337" i="7"/>
  <c r="DF32" i="6"/>
  <c r="X535" i="7"/>
  <c r="V706" i="7"/>
  <c r="V731" i="7"/>
  <c r="W706" i="7"/>
  <c r="V111" i="25"/>
  <c r="K790" i="7"/>
  <c r="AF43" i="6" s="1"/>
  <c r="K97" i="25"/>
  <c r="J794" i="7"/>
  <c r="J1110" i="7"/>
  <c r="T70" i="11"/>
  <c r="I438" i="23"/>
  <c r="I241" i="23"/>
  <c r="I258" i="23" s="1"/>
  <c r="I1001" i="7"/>
  <c r="I1015" i="7" s="1"/>
  <c r="I246" i="23"/>
  <c r="Y12" i="7"/>
  <c r="Y93" i="25"/>
  <c r="Y1001" i="7"/>
  <c r="Y1015" i="7" s="1"/>
  <c r="CT45" i="6"/>
  <c r="V1112" i="7"/>
  <c r="U1031" i="7"/>
  <c r="U1032" i="7" s="1"/>
  <c r="P817" i="7"/>
  <c r="P805" i="7"/>
  <c r="H816" i="7"/>
  <c r="H790" i="7"/>
  <c r="H92" i="25"/>
  <c r="U243" i="7"/>
  <c r="U251" i="7"/>
  <c r="N1139" i="7"/>
  <c r="N838" i="7"/>
  <c r="AC242" i="7"/>
  <c r="AC89" i="25"/>
  <c r="H26" i="6"/>
  <c r="G473" i="7"/>
  <c r="G965" i="7" s="1"/>
  <c r="AA499" i="7"/>
  <c r="AA83" i="25"/>
  <c r="AB865" i="7"/>
  <c r="AB1111" i="7"/>
  <c r="N606" i="7"/>
  <c r="M616" i="7"/>
  <c r="CT30" i="6"/>
  <c r="W325" i="7"/>
  <c r="V53" i="7"/>
  <c r="W41" i="7"/>
  <c r="V1042" i="7"/>
  <c r="V41" i="7"/>
  <c r="T109" i="25"/>
  <c r="U709" i="7"/>
  <c r="AA731" i="7"/>
  <c r="AB743" i="7" s="1"/>
  <c r="AA111" i="25"/>
  <c r="AA691" i="7"/>
  <c r="DX45" i="6"/>
  <c r="AA831" i="7"/>
  <c r="DY45" i="6" s="1"/>
  <c r="AA1112" i="7"/>
  <c r="AC1044" i="7"/>
  <c r="E214" i="2"/>
  <c r="BE7" i="17"/>
  <c r="BB13" i="26"/>
  <c r="Y866" i="7"/>
  <c r="Z860" i="7"/>
  <c r="AM860" i="7" s="1"/>
  <c r="R49" i="23"/>
  <c r="R55" i="23"/>
  <c r="AB1043" i="7"/>
  <c r="U98" i="25"/>
  <c r="CO16" i="6"/>
  <c r="N243" i="7"/>
  <c r="O1138" i="7"/>
  <c r="O1140" i="7" s="1"/>
  <c r="AA810" i="7"/>
  <c r="AY45" i="6"/>
  <c r="Q149" i="7"/>
  <c r="X40" i="7"/>
  <c r="J149" i="7"/>
  <c r="J100" i="25"/>
  <c r="R149" i="7"/>
  <c r="BW17" i="6"/>
  <c r="BW66" i="6" s="1"/>
  <c r="Z100" i="25"/>
  <c r="L243" i="7"/>
  <c r="AA1122" i="7"/>
  <c r="AS40" i="6"/>
  <c r="AY89" i="6" s="1"/>
  <c r="H838" i="7"/>
  <c r="Q838" i="7"/>
  <c r="CT8" i="17"/>
  <c r="G117" i="2" s="1"/>
  <c r="H105" i="20" s="1"/>
  <c r="Y105" i="20" s="1"/>
  <c r="G185" i="17"/>
  <c r="BV89" i="17"/>
  <c r="CI65" i="11" s="1"/>
  <c r="CO19" i="17"/>
  <c r="H28" i="17"/>
  <c r="U380" i="23"/>
  <c r="O473" i="23"/>
  <c r="U125" i="23"/>
  <c r="K93" i="25"/>
  <c r="V137" i="25"/>
  <c r="I694" i="7"/>
  <c r="I722" i="7" s="1"/>
  <c r="T255" i="7"/>
  <c r="AB380" i="23"/>
  <c r="M262" i="7"/>
  <c r="H844" i="7"/>
  <c r="J709" i="7"/>
  <c r="W203" i="7"/>
  <c r="W1096" i="7"/>
  <c r="O1042" i="7"/>
  <c r="Z1042" i="7"/>
  <c r="AM1042" i="7" s="1"/>
  <c r="I327" i="7"/>
  <c r="I358" i="7" s="1"/>
  <c r="Z964" i="7"/>
  <c r="Q483" i="7"/>
  <c r="H88" i="25"/>
  <c r="M691" i="7"/>
  <c r="U1106" i="7"/>
  <c r="K1046" i="7"/>
  <c r="S813" i="7"/>
  <c r="U806" i="7"/>
  <c r="J246" i="23"/>
  <c r="Y438" i="23"/>
  <c r="S616" i="7"/>
  <c r="S64" i="7"/>
  <c r="CT42" i="6"/>
  <c r="Y790" i="7"/>
  <c r="AA348" i="23"/>
  <c r="O65" i="23"/>
  <c r="K11" i="7"/>
  <c r="W240" i="7"/>
  <c r="AC794" i="7"/>
  <c r="AC819" i="7" s="1"/>
  <c r="V832" i="7"/>
  <c r="CI48" i="11"/>
  <c r="M605" i="7"/>
  <c r="AA790" i="7"/>
  <c r="AA815" i="7" s="1"/>
  <c r="I837" i="7"/>
  <c r="K994" i="7"/>
  <c r="K1008" i="7" s="1"/>
  <c r="T191" i="7"/>
  <c r="X140" i="8"/>
  <c r="Y580" i="7"/>
  <c r="S473" i="23"/>
  <c r="AA110" i="25"/>
  <c r="AA804" i="7"/>
  <c r="AB859" i="7"/>
  <c r="AH185" i="17"/>
  <c r="H9" i="6"/>
  <c r="X240" i="7"/>
  <c r="V1104" i="7"/>
  <c r="AA666" i="7"/>
  <c r="X125" i="23"/>
  <c r="Z26" i="6"/>
  <c r="Z75" i="6" s="1"/>
  <c r="J720" i="7"/>
  <c r="T203" i="7"/>
  <c r="T213" i="7" s="1"/>
  <c r="J330" i="7"/>
  <c r="X19" i="26"/>
  <c r="J126" i="8"/>
  <c r="BR106" i="17"/>
  <c r="BR142" i="17" s="1"/>
  <c r="R114" i="7"/>
  <c r="R116" i="7" s="1"/>
  <c r="S118" i="7" s="1"/>
  <c r="AF26" i="6"/>
  <c r="I1114" i="7"/>
  <c r="H137" i="25"/>
  <c r="AC250" i="7"/>
  <c r="C246" i="2"/>
  <c r="AT246" i="2" s="1"/>
  <c r="Q1044" i="7"/>
  <c r="H705" i="7"/>
  <c r="AC837" i="7"/>
  <c r="U669" i="7"/>
  <c r="V817" i="7"/>
  <c r="AD51" i="25"/>
  <c r="AD20" i="8"/>
  <c r="F175" i="2"/>
  <c r="AW175" i="2" s="1"/>
  <c r="S718" i="7"/>
  <c r="CH8" i="6"/>
  <c r="O963" i="7"/>
  <c r="O974" i="7" s="1"/>
  <c r="Z50" i="7"/>
  <c r="AM50" i="7" s="1"/>
  <c r="T23" i="6"/>
  <c r="Q23" i="6" s="1"/>
  <c r="CB33" i="6"/>
  <c r="CB82" i="6" s="1"/>
  <c r="AR35" i="6"/>
  <c r="I93" i="25"/>
  <c r="P137" i="25"/>
  <c r="AV13" i="26"/>
  <c r="AY7" i="17"/>
  <c r="I348" i="23"/>
  <c r="W837" i="7"/>
  <c r="O4" i="23"/>
  <c r="AD837" i="7"/>
  <c r="X142" i="7"/>
  <c r="V80" i="25"/>
  <c r="N804" i="7"/>
  <c r="N969" i="7"/>
  <c r="N980" i="7" s="1"/>
  <c r="N816" i="7"/>
  <c r="H1121" i="7"/>
  <c r="H53" i="7"/>
  <c r="H98" i="25"/>
  <c r="X49" i="7"/>
  <c r="X1121" i="7"/>
  <c r="X1043" i="7"/>
  <c r="X53" i="7"/>
  <c r="X98" i="25"/>
  <c r="S100" i="25"/>
  <c r="S1120" i="7"/>
  <c r="AA40" i="6"/>
  <c r="J822" i="7"/>
  <c r="AM797" i="7"/>
  <c r="Z1138" i="7"/>
  <c r="Z822" i="7"/>
  <c r="AM822" i="7" s="1"/>
  <c r="Y565" i="7"/>
  <c r="X581" i="7"/>
  <c r="M1102" i="7"/>
  <c r="M176" i="7"/>
  <c r="X1096" i="7"/>
  <c r="X200" i="7"/>
  <c r="DF10" i="6"/>
  <c r="I248" i="7"/>
  <c r="T19" i="6"/>
  <c r="I240" i="7"/>
  <c r="S90" i="25"/>
  <c r="CB17" i="6"/>
  <c r="BY17" i="6" s="1"/>
  <c r="CZ23" i="6"/>
  <c r="CW23" i="6" s="1"/>
  <c r="W339" i="7"/>
  <c r="W1045" i="7"/>
  <c r="CZ25" i="6"/>
  <c r="W499" i="7"/>
  <c r="CB32" i="6"/>
  <c r="S535" i="7"/>
  <c r="S528" i="7"/>
  <c r="S731" i="7"/>
  <c r="S111" i="25"/>
  <c r="V680" i="7"/>
  <c r="CT35" i="6"/>
  <c r="L818" i="7"/>
  <c r="AL44" i="6"/>
  <c r="J12" i="7"/>
  <c r="J438" i="23"/>
  <c r="Y70" i="11"/>
  <c r="AB70" i="11" s="1"/>
  <c r="J254" i="23"/>
  <c r="Z241" i="23"/>
  <c r="Z1114" i="7"/>
  <c r="Z239" i="23"/>
  <c r="Z93" i="25"/>
  <c r="AA246" i="23"/>
  <c r="X837" i="7"/>
  <c r="X1112" i="7"/>
  <c r="V1031" i="7"/>
  <c r="V1032" i="7" s="1"/>
  <c r="R805" i="7"/>
  <c r="Q817" i="7"/>
  <c r="M1111" i="7"/>
  <c r="M859" i="7"/>
  <c r="AC1096" i="7"/>
  <c r="AC156" i="7"/>
  <c r="EJ10" i="6"/>
  <c r="N325" i="7"/>
  <c r="O325" i="7"/>
  <c r="AX30" i="6"/>
  <c r="AR33" i="6"/>
  <c r="M1105" i="7"/>
  <c r="EJ33" i="6"/>
  <c r="EP82" i="6" s="1"/>
  <c r="AC614" i="7"/>
  <c r="AB699" i="7"/>
  <c r="DK48" i="11"/>
  <c r="AB262" i="7"/>
  <c r="R269" i="7"/>
  <c r="S270" i="7" s="1"/>
  <c r="S262" i="7"/>
  <c r="S140" i="8"/>
  <c r="S173" i="8"/>
  <c r="S180" i="8"/>
  <c r="Q1096" i="7"/>
  <c r="Q148" i="7"/>
  <c r="Q695" i="7"/>
  <c r="Q723" i="7" s="1"/>
  <c r="Q33" i="7"/>
  <c r="R41" i="7"/>
  <c r="N250" i="7"/>
  <c r="N89" i="25"/>
  <c r="K339" i="7"/>
  <c r="K360" i="7"/>
  <c r="T25" i="6"/>
  <c r="T74" i="6" s="1"/>
  <c r="I473" i="7"/>
  <c r="I511" i="7" s="1"/>
  <c r="BD26" i="6"/>
  <c r="O484" i="7"/>
  <c r="L1104" i="7"/>
  <c r="L325" i="7"/>
  <c r="V88" i="25"/>
  <c r="V996" i="7"/>
  <c r="V1010" i="7" s="1"/>
  <c r="V528" i="7"/>
  <c r="W528" i="7"/>
  <c r="AM793" i="7"/>
  <c r="Z818" i="7"/>
  <c r="AM818" i="7" s="1"/>
  <c r="Z794" i="7"/>
  <c r="X1026" i="7"/>
  <c r="X96" i="25"/>
  <c r="U605" i="7"/>
  <c r="T615" i="7"/>
  <c r="K176" i="7"/>
  <c r="K48" i="7"/>
  <c r="Z709" i="7"/>
  <c r="AM709" i="7" s="1"/>
  <c r="AA709" i="7"/>
  <c r="CU16" i="6"/>
  <c r="V98" i="25"/>
  <c r="V1043" i="7"/>
  <c r="U1120" i="7"/>
  <c r="U142" i="7"/>
  <c r="U100" i="25"/>
  <c r="R251" i="7"/>
  <c r="BW18" i="6"/>
  <c r="L1138" i="7"/>
  <c r="L810" i="7"/>
  <c r="L859" i="7"/>
  <c r="K859" i="7"/>
  <c r="O158" i="7"/>
  <c r="O142" i="7"/>
  <c r="T996" i="7"/>
  <c r="T1010" i="7" s="1"/>
  <c r="CH32" i="6"/>
  <c r="R248" i="7"/>
  <c r="R240" i="7"/>
  <c r="AG18" i="17"/>
  <c r="AD21" i="26"/>
  <c r="AG20" i="17"/>
  <c r="AG19" i="17"/>
  <c r="BF6" i="17"/>
  <c r="BC12" i="26"/>
  <c r="W465" i="23"/>
  <c r="V465" i="23"/>
  <c r="Z213" i="8"/>
  <c r="Z196" i="8"/>
  <c r="O714" i="7"/>
  <c r="N736" i="7"/>
  <c r="W993" i="7"/>
  <c r="W1007" i="7" s="1"/>
  <c r="W717" i="7"/>
  <c r="M119" i="8"/>
  <c r="H119" i="8"/>
  <c r="AB466" i="23"/>
  <c r="V1038" i="7"/>
  <c r="Z380" i="23"/>
  <c r="BU100" i="11"/>
  <c r="T182" i="23" s="1"/>
  <c r="T22" i="25" s="1"/>
  <c r="U1038" i="7"/>
  <c r="U136" i="23"/>
  <c r="AT71" i="11"/>
  <c r="J55" i="23"/>
  <c r="P125" i="23"/>
  <c r="O467" i="23"/>
  <c r="BD63" i="11"/>
  <c r="P83" i="23"/>
  <c r="L465" i="23"/>
  <c r="AE7" i="11"/>
  <c r="BN8" i="11"/>
  <c r="O466" i="23"/>
  <c r="U484" i="7"/>
  <c r="J528" i="7"/>
  <c r="I801" i="7"/>
  <c r="Z806" i="7"/>
  <c r="AM806" i="7" s="1"/>
  <c r="H213" i="7"/>
  <c r="Y149" i="7"/>
  <c r="AA215" i="23"/>
  <c r="AA30" i="25"/>
  <c r="R4" i="23"/>
  <c r="BJ15" i="11"/>
  <c r="BK15" i="11" s="1"/>
  <c r="AC466" i="23"/>
  <c r="AT105" i="17"/>
  <c r="AL105" i="17"/>
  <c r="BB105" i="17"/>
  <c r="AB245" i="8"/>
  <c r="DN100" i="11"/>
  <c r="DO100" i="11" s="1"/>
  <c r="CJ106" i="17"/>
  <c r="K120" i="8"/>
  <c r="M185" i="17"/>
  <c r="U405" i="23"/>
  <c r="AJ13" i="11"/>
  <c r="L456" i="23"/>
  <c r="CQ88" i="11"/>
  <c r="V270" i="7"/>
  <c r="AC59" i="17"/>
  <c r="K380" i="23"/>
  <c r="BF132" i="17"/>
  <c r="AL13" i="11"/>
  <c r="M147" i="23" s="1"/>
  <c r="W1113" i="7"/>
  <c r="W94" i="25" s="1"/>
  <c r="M125" i="23"/>
  <c r="Q704" i="7"/>
  <c r="V447" i="23"/>
  <c r="O434" i="23"/>
  <c r="K126" i="23"/>
  <c r="I428" i="23"/>
  <c r="BI62" i="11"/>
  <c r="U33" i="7"/>
  <c r="Q240" i="7"/>
  <c r="S240" i="7"/>
  <c r="J53" i="7"/>
  <c r="J57" i="7" s="1"/>
  <c r="M215" i="23"/>
  <c r="AN59" i="11"/>
  <c r="DI47" i="6"/>
  <c r="Y444" i="23"/>
  <c r="Y33" i="25"/>
  <c r="AO62" i="11"/>
  <c r="G490" i="20"/>
  <c r="X490" i="20" s="1"/>
  <c r="H175" i="20"/>
  <c r="Y175" i="20" s="1"/>
  <c r="BK62" i="11"/>
  <c r="R176" i="23" s="1"/>
  <c r="R16" i="25" s="1"/>
  <c r="BN101" i="11"/>
  <c r="CZ81" i="6"/>
  <c r="DN86" i="11"/>
  <c r="AC179" i="23" s="1"/>
  <c r="CL84" i="6"/>
  <c r="BN46" i="11"/>
  <c r="DX87" i="6"/>
  <c r="CT60" i="6"/>
  <c r="K149" i="23"/>
  <c r="AA28" i="11" s="1"/>
  <c r="H180" i="20"/>
  <c r="Y180" i="20" s="1"/>
  <c r="DG47" i="11"/>
  <c r="CQ10" i="11"/>
  <c r="ED87" i="6"/>
  <c r="R62" i="6"/>
  <c r="C311" i="2"/>
  <c r="BS101" i="11"/>
  <c r="BP101" i="11"/>
  <c r="BQ101" i="11" s="1"/>
  <c r="Z234" i="17"/>
  <c r="EA11" i="6"/>
  <c r="BZ62" i="6"/>
  <c r="AJ85" i="11"/>
  <c r="CL171" i="17"/>
  <c r="CH193" i="17"/>
  <c r="DL115" i="11"/>
  <c r="Z16" i="11"/>
  <c r="AT152" i="17"/>
  <c r="CH87" i="6"/>
  <c r="AO58" i="11"/>
  <c r="AJ62" i="11"/>
  <c r="BN234" i="17"/>
  <c r="BN3" i="17" s="1"/>
  <c r="EC60" i="6"/>
  <c r="DE60" i="6"/>
  <c r="AR96" i="6"/>
  <c r="AE46" i="11"/>
  <c r="DD62" i="11"/>
  <c r="DE62" i="11" s="1"/>
  <c r="CQ95" i="6"/>
  <c r="K476" i="7"/>
  <c r="K1130" i="7" s="1"/>
  <c r="N596" i="7"/>
  <c r="N1129" i="7" s="1"/>
  <c r="J230" i="7"/>
  <c r="S696" i="7"/>
  <c r="X708" i="7"/>
  <c r="W696" i="7"/>
  <c r="O476" i="7"/>
  <c r="DM11" i="6"/>
  <c r="Q476" i="7"/>
  <c r="Q1130" i="7" s="1"/>
  <c r="L521" i="7"/>
  <c r="X596" i="7"/>
  <c r="X597" i="7" s="1"/>
  <c r="H218" i="8"/>
  <c r="G521" i="7"/>
  <c r="I32" i="6" s="1"/>
  <c r="I521" i="7"/>
  <c r="Y521" i="7"/>
  <c r="DM32" i="6" s="1"/>
  <c r="Y230" i="7"/>
  <c r="V708" i="7"/>
  <c r="Z172" i="8"/>
  <c r="AB521" i="7"/>
  <c r="J114" i="8"/>
  <c r="R111" i="8"/>
  <c r="T233" i="8"/>
  <c r="Q179" i="8"/>
  <c r="N111" i="8"/>
  <c r="EP30" i="6"/>
  <c r="AD1104" i="7"/>
  <c r="U1047" i="7"/>
  <c r="U113" i="25"/>
  <c r="H1111" i="7"/>
  <c r="N47" i="6"/>
  <c r="AB810" i="7"/>
  <c r="AB1138" i="7"/>
  <c r="EE40" i="6"/>
  <c r="AB822" i="7"/>
  <c r="E248" i="2"/>
  <c r="AV248" i="2" s="1"/>
  <c r="AD789" i="7"/>
  <c r="EJ42" i="6"/>
  <c r="AB229" i="7"/>
  <c r="Q64" i="7"/>
  <c r="Q110" i="25"/>
  <c r="X1045" i="7"/>
  <c r="Y483" i="7"/>
  <c r="CZ35" i="6"/>
  <c r="X674" i="7"/>
  <c r="O241" i="23"/>
  <c r="O1001" i="7"/>
  <c r="O1015" i="7" s="1"/>
  <c r="X1098" i="7"/>
  <c r="DF28" i="6"/>
  <c r="F230" i="2"/>
  <c r="AW230" i="2" s="1"/>
  <c r="P243" i="7"/>
  <c r="L1043" i="7"/>
  <c r="M1043" i="7"/>
  <c r="R40" i="7"/>
  <c r="H149" i="7"/>
  <c r="X1120" i="7"/>
  <c r="X100" i="25"/>
  <c r="CO18" i="6"/>
  <c r="CU67" i="6" s="1"/>
  <c r="Z596" i="7"/>
  <c r="DS28" i="6" s="1"/>
  <c r="H810" i="7"/>
  <c r="V70" i="8"/>
  <c r="K40" i="7"/>
  <c r="AA98" i="25"/>
  <c r="V100" i="25"/>
  <c r="W243" i="7"/>
  <c r="J810" i="7"/>
  <c r="I838" i="7"/>
  <c r="T70" i="8"/>
  <c r="W70" i="8"/>
  <c r="K696" i="7"/>
  <c r="P230" i="7"/>
  <c r="BJ20" i="6" s="1"/>
  <c r="AB41" i="7"/>
  <c r="R262" i="7"/>
  <c r="W157" i="7"/>
  <c r="W48" i="7"/>
  <c r="P114" i="8"/>
  <c r="M705" i="7"/>
  <c r="R705" i="7"/>
  <c r="AL8" i="6"/>
  <c r="I709" i="7"/>
  <c r="Q720" i="7"/>
  <c r="Z230" i="7"/>
  <c r="Z249" i="7" s="1"/>
  <c r="AM249" i="7" s="1"/>
  <c r="Z89" i="25"/>
  <c r="X327" i="7"/>
  <c r="X358" i="7" s="1"/>
  <c r="X83" i="25"/>
  <c r="O111" i="25"/>
  <c r="O680" i="7"/>
  <c r="W680" i="7"/>
  <c r="N1110" i="7"/>
  <c r="N1113" i="7" s="1"/>
  <c r="O1114" i="7"/>
  <c r="I78" i="8"/>
  <c r="Q365" i="7"/>
  <c r="N731" i="7"/>
  <c r="N802" i="7"/>
  <c r="J674" i="7"/>
  <c r="AB1097" i="7"/>
  <c r="T42" i="6"/>
  <c r="W111" i="8"/>
  <c r="O994" i="7"/>
  <c r="O1008" i="7" s="1"/>
  <c r="I53" i="7"/>
  <c r="I57" i="7" s="1"/>
  <c r="W998" i="7"/>
  <c r="W1012" i="7" s="1"/>
  <c r="P242" i="7"/>
  <c r="M81" i="25"/>
  <c r="N483" i="7"/>
  <c r="S1046" i="7"/>
  <c r="W790" i="7"/>
  <c r="W815" i="7" s="1"/>
  <c r="T806" i="7"/>
  <c r="Q254" i="23"/>
  <c r="BH70" i="11"/>
  <c r="J706" i="7"/>
  <c r="Z99" i="25"/>
  <c r="AF16" i="6"/>
  <c r="AC16" i="6" s="1"/>
  <c r="I995" i="7"/>
  <c r="I1009" i="7" s="1"/>
  <c r="J33" i="7"/>
  <c r="L33" i="7"/>
  <c r="K528" i="7"/>
  <c r="L720" i="7"/>
  <c r="AM593" i="7"/>
  <c r="L83" i="25"/>
  <c r="P1102" i="7"/>
  <c r="S552" i="7"/>
  <c r="O535" i="7"/>
  <c r="L705" i="7"/>
  <c r="K262" i="7"/>
  <c r="AC804" i="7"/>
  <c r="AB816" i="7"/>
  <c r="S1097" i="7"/>
  <c r="I731" i="7"/>
  <c r="Y865" i="7"/>
  <c r="H30" i="6"/>
  <c r="P48" i="7"/>
  <c r="M50" i="7"/>
  <c r="L242" i="7"/>
  <c r="Z180" i="7"/>
  <c r="AM180" i="7" s="1"/>
  <c r="H818" i="7"/>
  <c r="H865" i="7"/>
  <c r="L142" i="7"/>
  <c r="Z90" i="25"/>
  <c r="AM141" i="7"/>
  <c r="K694" i="7"/>
  <c r="K722" i="7" s="1"/>
  <c r="Q832" i="7"/>
  <c r="R33" i="7"/>
  <c r="W814" i="7"/>
  <c r="M801" i="7"/>
  <c r="Q1097" i="7"/>
  <c r="Q262" i="7"/>
  <c r="AC709" i="7"/>
  <c r="AM174" i="7"/>
  <c r="N818" i="7"/>
  <c r="K200" i="7"/>
  <c r="K220" i="7" s="1"/>
  <c r="L200" i="7"/>
  <c r="T240" i="7"/>
  <c r="R605" i="7"/>
  <c r="S325" i="7"/>
  <c r="H44" i="6"/>
  <c r="I832" i="7"/>
  <c r="X197" i="8"/>
  <c r="P804" i="7"/>
  <c r="R250" i="8"/>
  <c r="L318" i="7"/>
  <c r="G476" i="7"/>
  <c r="AA476" i="7"/>
  <c r="AA1130" i="7" s="1"/>
  <c r="V521" i="7"/>
  <c r="V523" i="7" s="1"/>
  <c r="U233" i="8"/>
  <c r="R318" i="7"/>
  <c r="BW30" i="6" s="1"/>
  <c r="M476" i="7"/>
  <c r="M504" i="7" s="1"/>
  <c r="H521" i="7"/>
  <c r="H1131" i="7" s="1"/>
  <c r="X521" i="7"/>
  <c r="X536" i="7" s="1"/>
  <c r="T596" i="7"/>
  <c r="Y696" i="7"/>
  <c r="Y966" i="7" s="1"/>
  <c r="Y977" i="7" s="1"/>
  <c r="I691" i="7"/>
  <c r="Z696" i="7"/>
  <c r="Z966" i="7" s="1"/>
  <c r="AM966" i="7" s="1"/>
  <c r="X476" i="7"/>
  <c r="X1130" i="7" s="1"/>
  <c r="W521" i="7"/>
  <c r="W523" i="7" s="1"/>
  <c r="Q318" i="7"/>
  <c r="AB476" i="7"/>
  <c r="N1001" i="7"/>
  <c r="N1015" i="7" s="1"/>
  <c r="Y172" i="8"/>
  <c r="Z476" i="7"/>
  <c r="U521" i="7"/>
  <c r="CO32" i="6" s="1"/>
  <c r="U596" i="7"/>
  <c r="U1129" i="7" s="1"/>
  <c r="H476" i="7"/>
  <c r="N708" i="7"/>
  <c r="Y1120" i="7"/>
  <c r="V1122" i="7"/>
  <c r="BK40" i="6"/>
  <c r="L64" i="7"/>
  <c r="K674" i="7"/>
  <c r="O246" i="23"/>
  <c r="DL9" i="6"/>
  <c r="AC337" i="7"/>
  <c r="M1017" i="7"/>
  <c r="P1097" i="7"/>
  <c r="N605" i="7"/>
  <c r="BV35" i="6"/>
  <c r="M813" i="7"/>
  <c r="O528" i="7"/>
  <c r="F222" i="2"/>
  <c r="J423" i="20" s="1"/>
  <c r="AA423" i="20" s="1"/>
  <c r="O318" i="7"/>
  <c r="O1128" i="7" s="1"/>
  <c r="S191" i="8"/>
  <c r="W596" i="7"/>
  <c r="R119" i="8"/>
  <c r="O17" i="6"/>
  <c r="U696" i="7"/>
  <c r="Q606" i="7"/>
  <c r="J365" i="7"/>
  <c r="L110" i="25"/>
  <c r="W1105" i="7"/>
  <c r="Y365" i="7"/>
  <c r="BV23" i="6"/>
  <c r="K963" i="7"/>
  <c r="K974" i="7" s="1"/>
  <c r="R865" i="7"/>
  <c r="Q99" i="25"/>
  <c r="DL47" i="6"/>
  <c r="K230" i="7"/>
  <c r="K1103" i="7" s="1"/>
  <c r="S109" i="25"/>
  <c r="T185" i="7"/>
  <c r="W176" i="7"/>
  <c r="M339" i="7"/>
  <c r="U500" i="7"/>
  <c r="R1104" i="7"/>
  <c r="O790" i="7"/>
  <c r="S801" i="7"/>
  <c r="Q239" i="23"/>
  <c r="K708" i="7"/>
  <c r="P33" i="7"/>
  <c r="S581" i="7"/>
  <c r="I337" i="7"/>
  <c r="AA150" i="7"/>
  <c r="K33" i="7"/>
  <c r="L230" i="7"/>
  <c r="L604" i="7"/>
  <c r="L177" i="7"/>
  <c r="O802" i="7"/>
  <c r="I844" i="7"/>
  <c r="Y90" i="25"/>
  <c r="U230" i="7"/>
  <c r="R1045" i="7"/>
  <c r="X483" i="7"/>
  <c r="AX28" i="6"/>
  <c r="Z32" i="6"/>
  <c r="N995" i="7"/>
  <c r="N1009" i="7" s="1"/>
  <c r="S674" i="7"/>
  <c r="Z680" i="7"/>
  <c r="AM680" i="7" s="1"/>
  <c r="P790" i="7"/>
  <c r="P1046" i="7"/>
  <c r="BP44" i="6"/>
  <c r="BP93" i="6" s="1"/>
  <c r="T176" i="7"/>
  <c r="AC790" i="7"/>
  <c r="AD790" i="7" s="1"/>
  <c r="H142" i="7"/>
  <c r="H1102" i="7"/>
  <c r="H48" i="7"/>
  <c r="N794" i="7"/>
  <c r="Z179" i="8"/>
  <c r="S790" i="7"/>
  <c r="O696" i="7"/>
  <c r="N242" i="7"/>
  <c r="DL33" i="6"/>
  <c r="DR82" i="6" s="1"/>
  <c r="O239" i="23"/>
  <c r="O705" i="7"/>
  <c r="S150" i="7"/>
  <c r="T605" i="7"/>
  <c r="Z111" i="8"/>
  <c r="N817" i="7"/>
  <c r="AR21" i="6"/>
  <c r="H167" i="8"/>
  <c r="H146" i="8" s="1"/>
  <c r="L483" i="7"/>
  <c r="R708" i="7"/>
  <c r="AC203" i="7"/>
  <c r="AB790" i="7"/>
  <c r="ED43" i="6" s="1"/>
  <c r="R360" i="7"/>
  <c r="Y111" i="25"/>
  <c r="BV17" i="6"/>
  <c r="BS17" i="6" s="1"/>
  <c r="BS66" i="6" s="1"/>
  <c r="P995" i="7"/>
  <c r="P1009" i="7" s="1"/>
  <c r="P719" i="7"/>
  <c r="P111" i="25"/>
  <c r="Q708" i="7"/>
  <c r="AB994" i="7"/>
  <c r="AB1008" i="7" s="1"/>
  <c r="AB110" i="25"/>
  <c r="AB11" i="7"/>
  <c r="AB64" i="7"/>
  <c r="AB250" i="7"/>
  <c r="ED21" i="6"/>
  <c r="ED70" i="6" s="1"/>
  <c r="AB89" i="25"/>
  <c r="AB666" i="7"/>
  <c r="AB674" i="7"/>
  <c r="ED35" i="6"/>
  <c r="EJ84" i="6" s="1"/>
  <c r="K156" i="7"/>
  <c r="K1096" i="7"/>
  <c r="K148" i="7"/>
  <c r="N832" i="7"/>
  <c r="E222" i="2"/>
  <c r="I423" i="20" s="1"/>
  <c r="Z423" i="20" s="1"/>
  <c r="AC255" i="7"/>
  <c r="DX25" i="6"/>
  <c r="C216" i="2"/>
  <c r="AT216" i="2" s="1"/>
  <c r="I99" i="25"/>
  <c r="U99" i="25"/>
  <c r="R802" i="7"/>
  <c r="R113" i="25"/>
  <c r="G794" i="7"/>
  <c r="T708" i="7"/>
  <c r="I708" i="7"/>
  <c r="DX44" i="6"/>
  <c r="AA1110" i="7"/>
  <c r="U1105" i="7"/>
  <c r="CN33" i="6"/>
  <c r="I484" i="7"/>
  <c r="C212" i="2"/>
  <c r="AT212" i="2" s="1"/>
  <c r="AA137" i="25"/>
  <c r="ED41" i="6"/>
  <c r="AB1046" i="7"/>
  <c r="K113" i="25"/>
  <c r="AF42" i="6"/>
  <c r="AL91" i="6" s="1"/>
  <c r="V143" i="7"/>
  <c r="U64" i="7"/>
  <c r="V705" i="7"/>
  <c r="U718" i="7"/>
  <c r="N17" i="6"/>
  <c r="H998" i="7"/>
  <c r="H1012" i="7" s="1"/>
  <c r="T111" i="25"/>
  <c r="T691" i="7"/>
  <c r="I92" i="25"/>
  <c r="I790" i="7"/>
  <c r="J804" i="7"/>
  <c r="CB46" i="6"/>
  <c r="CD46" i="6" s="1"/>
  <c r="O96" i="25"/>
  <c r="O1017" i="7"/>
  <c r="L144" i="8"/>
  <c r="L158" i="8" s="1"/>
  <c r="S669" i="7"/>
  <c r="CT26" i="6"/>
  <c r="V484" i="7"/>
  <c r="T604" i="7"/>
  <c r="G11" i="7"/>
  <c r="G994" i="7"/>
  <c r="AC80" i="25"/>
  <c r="AC1042" i="7"/>
  <c r="AC963" i="7"/>
  <c r="AC974" i="7" s="1"/>
  <c r="E213" i="2"/>
  <c r="AC41" i="7"/>
  <c r="AA528" i="7"/>
  <c r="P484" i="7"/>
  <c r="J521" i="7"/>
  <c r="J1131" i="7" s="1"/>
  <c r="I225" i="8"/>
  <c r="AA521" i="7"/>
  <c r="U318" i="7"/>
  <c r="U338" i="7" s="1"/>
  <c r="T365" i="7"/>
  <c r="V365" i="7"/>
  <c r="S318" i="7"/>
  <c r="K596" i="7"/>
  <c r="K597" i="7" s="1"/>
  <c r="S708" i="7"/>
  <c r="I230" i="7"/>
  <c r="I249" i="7" s="1"/>
  <c r="AC365" i="7"/>
  <c r="H32" i="6"/>
  <c r="G996" i="7"/>
  <c r="AD594" i="7"/>
  <c r="E211" i="2"/>
  <c r="AV211" i="2" s="1"/>
  <c r="R53" i="7"/>
  <c r="AF44" i="6"/>
  <c r="K1110" i="7"/>
  <c r="K806" i="7"/>
  <c r="N1102" i="7"/>
  <c r="AX9" i="6"/>
  <c r="N694" i="7"/>
  <c r="N722" i="7" s="1"/>
  <c r="AV219" i="2"/>
  <c r="J596" i="7"/>
  <c r="K607" i="7" s="1"/>
  <c r="DA17" i="6"/>
  <c r="V810" i="7"/>
  <c r="M40" i="7"/>
  <c r="M1121" i="7"/>
  <c r="X149" i="7"/>
  <c r="Q243" i="7"/>
  <c r="W237" i="7"/>
  <c r="X237" i="7" s="1"/>
  <c r="Y237" i="7" s="1"/>
  <c r="Z237" i="7" s="1"/>
  <c r="AM237" i="7" s="1"/>
  <c r="U1122" i="7"/>
  <c r="R596" i="7"/>
  <c r="BW28" i="6" s="1"/>
  <c r="P810" i="7"/>
  <c r="Z70" i="8"/>
  <c r="K98" i="25"/>
  <c r="K1043" i="7"/>
  <c r="S40" i="7"/>
  <c r="AA40" i="7"/>
  <c r="DY16" i="6"/>
  <c r="V149" i="7"/>
  <c r="Z149" i="7"/>
  <c r="AM149" i="7" s="1"/>
  <c r="H1119" i="7"/>
  <c r="O1122" i="7"/>
  <c r="S70" i="8"/>
  <c r="AB70" i="8"/>
  <c r="T230" i="7"/>
  <c r="R230" i="7"/>
  <c r="AB963" i="7"/>
  <c r="AB974" i="7" s="1"/>
  <c r="AG974" i="7" s="1"/>
  <c r="O251" i="7"/>
  <c r="Q11" i="7"/>
  <c r="CT8" i="6"/>
  <c r="AL16" i="6"/>
  <c r="AI16" i="6" s="1"/>
  <c r="O995" i="7"/>
  <c r="O1009" i="7" s="1"/>
  <c r="W1106" i="7"/>
  <c r="BD46" i="6"/>
  <c r="BF46" i="6" s="1"/>
  <c r="O93" i="25"/>
  <c r="Q136" i="25"/>
  <c r="N137" i="25"/>
  <c r="N113" i="25"/>
  <c r="DX17" i="6"/>
  <c r="DU17" i="6" s="1"/>
  <c r="EJ30" i="6"/>
  <c r="EJ79" i="6" s="1"/>
  <c r="AA696" i="7"/>
  <c r="AB240" i="7"/>
  <c r="AB96" i="25"/>
  <c r="CN42" i="6"/>
  <c r="O718" i="7"/>
  <c r="Z8" i="6"/>
  <c r="CN9" i="6"/>
  <c r="W200" i="7"/>
  <c r="W178" i="7" s="1"/>
  <c r="T16" i="6"/>
  <c r="Q16" i="6" s="1"/>
  <c r="CZ17" i="6"/>
  <c r="CW17" i="6" s="1"/>
  <c r="P997" i="7"/>
  <c r="P1011" i="7" s="1"/>
  <c r="N327" i="7"/>
  <c r="N358" i="7" s="1"/>
  <c r="M83" i="25"/>
  <c r="H528" i="7"/>
  <c r="W708" i="7"/>
  <c r="P801" i="7"/>
  <c r="T801" i="7"/>
  <c r="Q12" i="7"/>
  <c r="Z1111" i="7"/>
  <c r="X365" i="7"/>
  <c r="I111" i="8"/>
  <c r="O969" i="7"/>
  <c r="O980" i="7" s="1"/>
  <c r="AA33" i="7"/>
  <c r="DR28" i="6"/>
  <c r="AL25" i="6"/>
  <c r="Y604" i="7"/>
  <c r="Y859" i="7"/>
  <c r="R150" i="7"/>
  <c r="M33" i="7"/>
  <c r="O996" i="7"/>
  <c r="O1010" i="7" s="1"/>
  <c r="U200" i="7"/>
  <c r="AB92" i="25"/>
  <c r="K1017" i="7"/>
  <c r="CB19" i="6"/>
  <c r="I719" i="7"/>
  <c r="S709" i="7"/>
  <c r="Y157" i="7"/>
  <c r="L614" i="7"/>
  <c r="P176" i="7"/>
  <c r="X605" i="7"/>
  <c r="N806" i="7"/>
  <c r="M41" i="7"/>
  <c r="R998" i="7"/>
  <c r="R1012" i="7" s="1"/>
  <c r="K250" i="7"/>
  <c r="X604" i="7"/>
  <c r="J77" i="8"/>
  <c r="X150" i="7"/>
  <c r="Y706" i="7"/>
  <c r="H794" i="7"/>
  <c r="I859" i="7"/>
  <c r="CZ82" i="6"/>
  <c r="AC136" i="25"/>
  <c r="Z9" i="6"/>
  <c r="Z58" i="6" s="1"/>
  <c r="N719" i="7"/>
  <c r="Z142" i="7"/>
  <c r="AM142" i="7" s="1"/>
  <c r="J535" i="7"/>
  <c r="Z177" i="7"/>
  <c r="AM177" i="7" s="1"/>
  <c r="X615" i="7"/>
  <c r="T1119" i="7"/>
  <c r="T1123" i="7" s="1"/>
  <c r="W113" i="25"/>
  <c r="M790" i="7"/>
  <c r="AR43" i="6" s="1"/>
  <c r="Z176" i="7"/>
  <c r="AM176" i="7" s="1"/>
  <c r="AA185" i="7"/>
  <c r="K1102" i="7"/>
  <c r="M148" i="7"/>
  <c r="AL10" i="6"/>
  <c r="S605" i="7"/>
  <c r="R142" i="7"/>
  <c r="V72" i="8"/>
  <c r="Q699" i="7"/>
  <c r="J41" i="7"/>
  <c r="I564" i="7"/>
  <c r="I567" i="7" s="1"/>
  <c r="T318" i="7"/>
  <c r="CI30" i="6" s="1"/>
  <c r="S476" i="7"/>
  <c r="S1130" i="7" s="1"/>
  <c r="N521" i="7"/>
  <c r="I596" i="7"/>
  <c r="AB596" i="7"/>
  <c r="AB617" i="7" s="1"/>
  <c r="J318" i="7"/>
  <c r="J338" i="7" s="1"/>
  <c r="Z318" i="7"/>
  <c r="Z320" i="7" s="1"/>
  <c r="AM320" i="7" s="1"/>
  <c r="U476" i="7"/>
  <c r="P521" i="7"/>
  <c r="L596" i="7"/>
  <c r="L617" i="7" s="1"/>
  <c r="W100" i="25"/>
  <c r="J269" i="7"/>
  <c r="L1119" i="7"/>
  <c r="P476" i="7"/>
  <c r="P1130" i="7" s="1"/>
  <c r="O521" i="7"/>
  <c r="R98" i="25"/>
  <c r="BE11" i="6"/>
  <c r="N1119" i="7"/>
  <c r="I318" i="7"/>
  <c r="I320" i="7" s="1"/>
  <c r="Y318" i="7"/>
  <c r="R476" i="7"/>
  <c r="R1130" i="7" s="1"/>
  <c r="M521" i="7"/>
  <c r="M523" i="7" s="1"/>
  <c r="H596" i="7"/>
  <c r="U45" i="6"/>
  <c r="Q596" i="7"/>
  <c r="Q1129" i="7" s="1"/>
  <c r="I149" i="7"/>
  <c r="Y100" i="25"/>
  <c r="N239" i="23"/>
  <c r="AC1017" i="7"/>
  <c r="M230" i="7"/>
  <c r="R806" i="7"/>
  <c r="AA262" i="7"/>
  <c r="AB804" i="7"/>
  <c r="AE231" i="7"/>
  <c r="AE89" i="25" s="1"/>
  <c r="AE317" i="7"/>
  <c r="AE1104" i="7" s="1"/>
  <c r="G318" i="7"/>
  <c r="W318" i="7"/>
  <c r="W338" i="7" s="1"/>
  <c r="O596" i="7"/>
  <c r="O597" i="7" s="1"/>
  <c r="M596" i="7"/>
  <c r="AS28" i="6" s="1"/>
  <c r="Q1139" i="7"/>
  <c r="Q696" i="7"/>
  <c r="Q724" i="7" s="1"/>
  <c r="Q242" i="7"/>
  <c r="C223" i="2"/>
  <c r="G424" i="20" s="1"/>
  <c r="X424" i="20" s="1"/>
  <c r="AA49" i="7"/>
  <c r="BV47" i="6"/>
  <c r="BV96" i="6" s="1"/>
  <c r="I963" i="7"/>
  <c r="I974" i="7" s="1"/>
  <c r="R473" i="7"/>
  <c r="R511" i="7" s="1"/>
  <c r="Y48" i="7"/>
  <c r="V822" i="7"/>
  <c r="M604" i="7"/>
  <c r="O64" i="7"/>
  <c r="J185" i="7"/>
  <c r="T177" i="7"/>
  <c r="U1102" i="7"/>
  <c r="I1042" i="7"/>
  <c r="M964" i="7"/>
  <c r="M975" i="7" s="1"/>
  <c r="R483" i="7"/>
  <c r="R337" i="7"/>
  <c r="K614" i="7"/>
  <c r="L708" i="7"/>
  <c r="S97" i="25"/>
  <c r="AR16" i="6"/>
  <c r="AO16" i="6" s="1"/>
  <c r="Z200" i="7"/>
  <c r="Z195" i="7" s="1"/>
  <c r="AM195" i="7" s="1"/>
  <c r="Y200" i="7"/>
  <c r="I325" i="7"/>
  <c r="J696" i="7"/>
  <c r="J724" i="7" s="1"/>
  <c r="R1043" i="7"/>
  <c r="T191" i="8"/>
  <c r="H806" i="7"/>
  <c r="X499" i="7"/>
  <c r="I605" i="7"/>
  <c r="U48" i="7"/>
  <c r="J111" i="8"/>
  <c r="Y176" i="7"/>
  <c r="W1102" i="7"/>
  <c r="M242" i="7"/>
  <c r="Z242" i="7"/>
  <c r="AM242" i="7" s="1"/>
  <c r="BV25" i="6"/>
  <c r="J996" i="7"/>
  <c r="J1010" i="7" s="1"/>
  <c r="J669" i="7"/>
  <c r="Z1106" i="7"/>
  <c r="Q794" i="7"/>
  <c r="P813" i="7"/>
  <c r="AX46" i="6"/>
  <c r="AZ46" i="6" s="1"/>
  <c r="J1017" i="7"/>
  <c r="T859" i="7"/>
  <c r="H33" i="7"/>
  <c r="O804" i="7"/>
  <c r="Z865" i="7"/>
  <c r="AM865" i="7" s="1"/>
  <c r="K521" i="7"/>
  <c r="AG32" i="6" s="1"/>
  <c r="AC96" i="25"/>
  <c r="H709" i="7"/>
  <c r="AM231" i="7"/>
  <c r="W1098" i="7"/>
  <c r="T1111" i="7"/>
  <c r="T1113" i="7" s="1"/>
  <c r="AC708" i="7"/>
  <c r="R81" i="25"/>
  <c r="X250" i="8"/>
  <c r="L806" i="7"/>
  <c r="H615" i="7"/>
  <c r="Y708" i="7"/>
  <c r="M89" i="25"/>
  <c r="AD692" i="7"/>
  <c r="AD109" i="25" s="1"/>
  <c r="E244" i="2"/>
  <c r="H486" i="20" s="1"/>
  <c r="Y486" i="20" s="1"/>
  <c r="AC113" i="25"/>
  <c r="K50" i="7"/>
  <c r="P246" i="23"/>
  <c r="R615" i="7"/>
  <c r="J176" i="7"/>
  <c r="M483" i="7"/>
  <c r="L148" i="7"/>
  <c r="V200" i="7"/>
  <c r="T81" i="25"/>
  <c r="CH23" i="6"/>
  <c r="AA680" i="7"/>
  <c r="DX35" i="6"/>
  <c r="Y691" i="7"/>
  <c r="AD792" i="7"/>
  <c r="AC805" i="7"/>
  <c r="AB1096" i="7"/>
  <c r="AB156" i="7"/>
  <c r="I176" i="7"/>
  <c r="I200" i="7"/>
  <c r="Z21" i="6"/>
  <c r="J255" i="7"/>
  <c r="J260" i="7" s="1"/>
  <c r="M239" i="23"/>
  <c r="DX16" i="6"/>
  <c r="DU16" i="6" s="1"/>
  <c r="AA53" i="7"/>
  <c r="AA57" i="7" s="1"/>
  <c r="AA1042" i="7"/>
  <c r="AB614" i="7"/>
  <c r="AB1105" i="7"/>
  <c r="J1047" i="7"/>
  <c r="J802" i="7"/>
  <c r="J790" i="7"/>
  <c r="DR42" i="6"/>
  <c r="AM789" i="7"/>
  <c r="J239" i="23"/>
  <c r="T606" i="7"/>
  <c r="Z25" i="6"/>
  <c r="J83" i="25"/>
  <c r="T32" i="6"/>
  <c r="I88" i="25"/>
  <c r="BJ10" i="6"/>
  <c r="P695" i="7"/>
  <c r="P723" i="7" s="1"/>
  <c r="P1096" i="7"/>
  <c r="P156" i="7"/>
  <c r="V262" i="7"/>
  <c r="S113" i="25"/>
  <c r="S814" i="7"/>
  <c r="M110" i="25"/>
  <c r="M64" i="7"/>
  <c r="AF19" i="6"/>
  <c r="K1097" i="7"/>
  <c r="K248" i="7"/>
  <c r="CT21" i="6"/>
  <c r="W242" i="7"/>
  <c r="S81" i="25"/>
  <c r="CB23" i="6"/>
  <c r="BY23" i="6" s="1"/>
  <c r="I1046" i="7"/>
  <c r="J801" i="7"/>
  <c r="J1111" i="7"/>
  <c r="Z47" i="6"/>
  <c r="DR45" i="6"/>
  <c r="Z831" i="7"/>
  <c r="J137" i="25"/>
  <c r="K805" i="7"/>
  <c r="U327" i="7"/>
  <c r="U358" i="7" s="1"/>
  <c r="O1104" i="7"/>
  <c r="P325" i="7"/>
  <c r="X176" i="7"/>
  <c r="H25" i="6"/>
  <c r="G1045" i="7"/>
  <c r="M535" i="7"/>
  <c r="M88" i="25"/>
  <c r="M996" i="7"/>
  <c r="M1010" i="7" s="1"/>
  <c r="P605" i="7"/>
  <c r="X1138" i="7"/>
  <c r="X822" i="7"/>
  <c r="S1139" i="7"/>
  <c r="S1140" i="7" s="1"/>
  <c r="S844" i="7"/>
  <c r="AF47" i="6"/>
  <c r="K1111" i="7"/>
  <c r="S699" i="7"/>
  <c r="BR48" i="11"/>
  <c r="CH9" i="6"/>
  <c r="T694" i="7"/>
  <c r="T722" i="7" s="1"/>
  <c r="T1102" i="7"/>
  <c r="T48" i="7"/>
  <c r="H242" i="7"/>
  <c r="H21" i="6"/>
  <c r="AC605" i="7"/>
  <c r="AC615" i="7"/>
  <c r="AD593" i="7"/>
  <c r="P318" i="7"/>
  <c r="P1128" i="7" s="1"/>
  <c r="Z521" i="7"/>
  <c r="AM521" i="7" s="1"/>
  <c r="V318" i="7"/>
  <c r="V338" i="7" s="1"/>
  <c r="G596" i="7"/>
  <c r="I28" i="6" s="1"/>
  <c r="L476" i="7"/>
  <c r="N476" i="7"/>
  <c r="N504" i="7" s="1"/>
  <c r="AA596" i="7"/>
  <c r="L98" i="25"/>
  <c r="L49" i="7"/>
  <c r="Q438" i="23"/>
  <c r="AB814" i="7"/>
  <c r="D248" i="2"/>
  <c r="AU248" i="2" s="1"/>
  <c r="AB113" i="25"/>
  <c r="G998" i="7"/>
  <c r="H17" i="6"/>
  <c r="E17" i="6" s="1"/>
  <c r="AB53" i="7"/>
  <c r="D213" i="2"/>
  <c r="AB80" i="25"/>
  <c r="D211" i="2"/>
  <c r="AU211" i="2" s="1"/>
  <c r="AB616" i="7"/>
  <c r="AB136" i="25"/>
  <c r="L203" i="7"/>
  <c r="M709" i="7"/>
  <c r="L963" i="7"/>
  <c r="L974" i="7" s="1"/>
  <c r="L80" i="25"/>
  <c r="X360" i="7"/>
  <c r="X964" i="7"/>
  <c r="X975" i="7" s="1"/>
  <c r="Y327" i="7"/>
  <c r="Y358" i="7" s="1"/>
  <c r="X339" i="7"/>
  <c r="BD35" i="6"/>
  <c r="O1106" i="7"/>
  <c r="CH28" i="6"/>
  <c r="CN77" i="6" s="1"/>
  <c r="T1098" i="7"/>
  <c r="Q998" i="7"/>
  <c r="Q1012" i="7" s="1"/>
  <c r="Q150" i="7"/>
  <c r="AC964" i="7"/>
  <c r="AC975" i="7" s="1"/>
  <c r="AC81" i="25"/>
  <c r="AC339" i="7"/>
  <c r="EJ23" i="6"/>
  <c r="AC327" i="7"/>
  <c r="AC358" i="7" s="1"/>
  <c r="P1122" i="7"/>
  <c r="W149" i="7"/>
  <c r="L40" i="7"/>
  <c r="AB318" i="7"/>
  <c r="AB338" i="7" s="1"/>
  <c r="M98" i="25"/>
  <c r="AS16" i="6"/>
  <c r="V596" i="7"/>
  <c r="W810" i="7"/>
  <c r="AG16" i="6"/>
  <c r="C231" i="2"/>
  <c r="AT231" i="2" s="1"/>
  <c r="CU17" i="6"/>
  <c r="U11" i="6"/>
  <c r="H225" i="8"/>
  <c r="BE18" i="6"/>
  <c r="I810" i="7"/>
  <c r="Q810" i="7"/>
  <c r="N230" i="7"/>
  <c r="AX20" i="6" s="1"/>
  <c r="X230" i="7"/>
  <c r="V230" i="7"/>
  <c r="T865" i="7"/>
  <c r="S114" i="8"/>
  <c r="N241" i="23"/>
  <c r="N258" i="23" s="1"/>
  <c r="Q718" i="7"/>
  <c r="L185" i="7"/>
  <c r="V177" i="7"/>
  <c r="L109" i="25"/>
  <c r="L53" i="7"/>
  <c r="Z997" i="7"/>
  <c r="AM997" i="7" s="1"/>
  <c r="DF23" i="6"/>
  <c r="DC23" i="6" s="1"/>
  <c r="O719" i="7"/>
  <c r="O674" i="7"/>
  <c r="W674" i="7"/>
  <c r="O254" i="23"/>
  <c r="I365" i="7"/>
  <c r="N706" i="7"/>
  <c r="N814" i="7"/>
  <c r="D229" i="2"/>
  <c r="AU229" i="2" s="1"/>
  <c r="W33" i="7"/>
  <c r="P705" i="7"/>
  <c r="J177" i="7"/>
  <c r="U176" i="7"/>
  <c r="I80" i="25"/>
  <c r="W90" i="25"/>
  <c r="P255" i="7"/>
  <c r="P89" i="25"/>
  <c r="CH44" i="6"/>
  <c r="R246" i="23"/>
  <c r="Q1001" i="7"/>
  <c r="Q1015" i="7" s="1"/>
  <c r="AM852" i="7"/>
  <c r="P365" i="7"/>
  <c r="R327" i="7"/>
  <c r="R358" i="7" s="1"/>
  <c r="T180" i="7"/>
  <c r="AM257" i="7"/>
  <c r="BP19" i="6"/>
  <c r="BV68" i="6" s="1"/>
  <c r="Z1098" i="7"/>
  <c r="R325" i="7"/>
  <c r="I806" i="7"/>
  <c r="N200" i="7"/>
  <c r="L1045" i="7"/>
  <c r="J60" i="8"/>
  <c r="Q709" i="7"/>
  <c r="V185" i="7"/>
  <c r="J180" i="7"/>
  <c r="R674" i="7"/>
  <c r="V180" i="7"/>
  <c r="O708" i="7"/>
  <c r="O691" i="7"/>
  <c r="Y1031" i="7"/>
  <c r="Y1032" i="7" s="1"/>
  <c r="H325" i="7"/>
  <c r="M1042" i="7"/>
  <c r="K604" i="7"/>
  <c r="T794" i="7"/>
  <c r="S77" i="8"/>
  <c r="S82" i="8" s="1"/>
  <c r="Z706" i="7"/>
  <c r="AM706" i="7" s="1"/>
  <c r="H859" i="7"/>
  <c r="P706" i="7"/>
  <c r="AC616" i="7"/>
  <c r="AA674" i="7"/>
  <c r="W142" i="7"/>
  <c r="AB33" i="7"/>
  <c r="DR17" i="6"/>
  <c r="DO17" i="6" s="1"/>
  <c r="J680" i="7"/>
  <c r="P528" i="7"/>
  <c r="M963" i="7"/>
  <c r="M974" i="7" s="1"/>
  <c r="CI11" i="6"/>
  <c r="P674" i="7"/>
  <c r="M1046" i="7"/>
  <c r="M185" i="7"/>
  <c r="Y33" i="7"/>
  <c r="N254" i="23"/>
  <c r="N581" i="7"/>
  <c r="AF9" i="6"/>
  <c r="L176" i="7"/>
  <c r="T709" i="7"/>
  <c r="X717" i="7"/>
  <c r="I581" i="7"/>
  <c r="N176" i="7"/>
  <c r="J564" i="7"/>
  <c r="J567" i="7" s="1"/>
  <c r="H318" i="7"/>
  <c r="H320" i="7" s="1"/>
  <c r="X318" i="7"/>
  <c r="X320" i="7" s="1"/>
  <c r="W476" i="7"/>
  <c r="R521" i="7"/>
  <c r="R536" i="7" s="1"/>
  <c r="Q1119" i="7"/>
  <c r="N318" i="7"/>
  <c r="N338" i="7" s="1"/>
  <c r="I476" i="7"/>
  <c r="I1130" i="7" s="1"/>
  <c r="Y476" i="7"/>
  <c r="T521" i="7"/>
  <c r="T523" i="7" s="1"/>
  <c r="P596" i="7"/>
  <c r="P617" i="7" s="1"/>
  <c r="I49" i="8"/>
  <c r="P1119" i="7"/>
  <c r="T476" i="7"/>
  <c r="S521" i="7"/>
  <c r="CC32" i="6" s="1"/>
  <c r="W218" i="8"/>
  <c r="R1119" i="7"/>
  <c r="M318" i="7"/>
  <c r="AS30" i="6" s="1"/>
  <c r="V476" i="7"/>
  <c r="V1130" i="7" s="1"/>
  <c r="Q521" i="7"/>
  <c r="J476" i="7"/>
  <c r="J504" i="7" s="1"/>
  <c r="Y596" i="7"/>
  <c r="DM28" i="6" s="1"/>
  <c r="R696" i="7"/>
  <c r="P1138" i="7"/>
  <c r="P1140" i="7" s="1"/>
  <c r="AB365" i="7"/>
  <c r="N1114" i="7"/>
  <c r="AA365" i="7"/>
  <c r="P240" i="7"/>
  <c r="AC814" i="7"/>
  <c r="Q818" i="7"/>
  <c r="M360" i="7"/>
  <c r="BD81" i="6"/>
  <c r="K318" i="7"/>
  <c r="K338" i="7" s="1"/>
  <c r="AA318" i="7"/>
  <c r="DY30" i="6" s="1"/>
  <c r="S596" i="7"/>
  <c r="S1129" i="7" s="1"/>
  <c r="H100" i="25"/>
  <c r="I696" i="7"/>
  <c r="I966" i="7" s="1"/>
  <c r="I977" i="7" s="1"/>
  <c r="N696" i="7"/>
  <c r="I822" i="7"/>
  <c r="AB150" i="7"/>
  <c r="L11" i="7"/>
  <c r="W614" i="7"/>
  <c r="R964" i="7"/>
  <c r="R975" i="7" s="1"/>
  <c r="AA998" i="7"/>
  <c r="AA1012" i="7" s="1"/>
  <c r="L41" i="7"/>
  <c r="Q90" i="25"/>
  <c r="AC360" i="7"/>
  <c r="AA605" i="7"/>
  <c r="O11" i="7"/>
  <c r="K1105" i="7"/>
  <c r="Z674" i="7"/>
  <c r="AM674" i="7" s="1"/>
  <c r="BP46" i="6"/>
  <c r="N41" i="7"/>
  <c r="W604" i="7"/>
  <c r="V157" i="7"/>
  <c r="N33" i="7"/>
  <c r="J325" i="7"/>
  <c r="R1121" i="7"/>
  <c r="S51" i="8"/>
  <c r="Q230" i="7"/>
  <c r="J708" i="7"/>
  <c r="AL33" i="6"/>
  <c r="AX42" i="6"/>
  <c r="I814" i="7"/>
  <c r="L180" i="7"/>
  <c r="O605" i="7"/>
  <c r="Z87" i="6"/>
  <c r="DB47" i="11"/>
  <c r="AS70" i="11"/>
  <c r="AS73" i="11" s="1"/>
  <c r="AS75" i="11" s="1"/>
  <c r="G179" i="8"/>
  <c r="N9" i="6"/>
  <c r="N790" i="7"/>
  <c r="Z144" i="8"/>
  <c r="Z158" i="8" s="1"/>
  <c r="AC250" i="8"/>
  <c r="E229" i="2"/>
  <c r="AV229" i="2" s="1"/>
  <c r="AB1042" i="7"/>
  <c r="H720" i="7"/>
  <c r="O12" i="7"/>
  <c r="T818" i="7"/>
  <c r="Z708" i="7"/>
  <c r="AM708" i="7" s="1"/>
  <c r="R49" i="7"/>
  <c r="ED42" i="6"/>
  <c r="T564" i="7"/>
  <c r="T567" i="7" s="1"/>
  <c r="EJ41" i="6"/>
  <c r="AC813" i="7"/>
  <c r="V111" i="8"/>
  <c r="AC110" i="25"/>
  <c r="AC705" i="7"/>
  <c r="AC11" i="7"/>
  <c r="BD8" i="6"/>
  <c r="O191" i="7"/>
  <c r="O185" i="7"/>
  <c r="DL45" i="6"/>
  <c r="DL94" i="6" s="1"/>
  <c r="Y1112" i="7"/>
  <c r="S179" i="8"/>
  <c r="S144" i="8"/>
  <c r="V1001" i="7"/>
  <c r="V1015" i="7" s="1"/>
  <c r="AF46" i="6"/>
  <c r="AH46" i="6" s="1"/>
  <c r="AD70" i="11"/>
  <c r="AD73" i="11" s="1"/>
  <c r="AD74" i="11" s="1"/>
  <c r="K254" i="23"/>
  <c r="L246" i="23"/>
  <c r="W88" i="25"/>
  <c r="W535" i="7"/>
  <c r="W996" i="7"/>
  <c r="W1010" i="7" s="1"/>
  <c r="AC229" i="7"/>
  <c r="AC248" i="7"/>
  <c r="AC99" i="25"/>
  <c r="AC262" i="7"/>
  <c r="AC269" i="7"/>
  <c r="AC270" i="7" s="1"/>
  <c r="E232" i="2"/>
  <c r="AV232" i="2" s="1"/>
  <c r="AB708" i="7"/>
  <c r="AB1112" i="7"/>
  <c r="AB843" i="7"/>
  <c r="ED45" i="6"/>
  <c r="I11" i="7"/>
  <c r="I994" i="7"/>
  <c r="I1008" i="7" s="1"/>
  <c r="Y64" i="7"/>
  <c r="Z705" i="7"/>
  <c r="AM705" i="7" s="1"/>
  <c r="U1096" i="7"/>
  <c r="CN10" i="6"/>
  <c r="U695" i="7"/>
  <c r="U723" i="7" s="1"/>
  <c r="CZ16" i="6"/>
  <c r="CW16" i="6" s="1"/>
  <c r="W1042" i="7"/>
  <c r="R255" i="7"/>
  <c r="R89" i="25"/>
  <c r="O339" i="7"/>
  <c r="BD23" i="6"/>
  <c r="BA23" i="6" s="1"/>
  <c r="X1104" i="7"/>
  <c r="DF30" i="6"/>
  <c r="X337" i="7"/>
  <c r="P708" i="7"/>
  <c r="U794" i="7"/>
  <c r="U790" i="7"/>
  <c r="CL70" i="11"/>
  <c r="W12" i="7"/>
  <c r="W241" i="23"/>
  <c r="BV45" i="6"/>
  <c r="R1112" i="7"/>
  <c r="T96" i="25"/>
  <c r="T1017" i="7"/>
  <c r="U473" i="7"/>
  <c r="CN25" i="6"/>
  <c r="C214" i="2"/>
  <c r="AT214" i="2" s="1"/>
  <c r="AA964" i="7"/>
  <c r="AA975" i="7" s="1"/>
  <c r="O90" i="25"/>
  <c r="O998" i="7"/>
  <c r="O1012" i="7" s="1"/>
  <c r="N1097" i="7"/>
  <c r="AX19" i="6"/>
  <c r="G1042" i="7"/>
  <c r="G53" i="7"/>
  <c r="H16" i="6"/>
  <c r="E16" i="6" s="1"/>
  <c r="G963" i="7"/>
  <c r="H64" i="7"/>
  <c r="H110" i="25"/>
  <c r="H718" i="7"/>
  <c r="H994" i="7"/>
  <c r="H1008" i="7" s="1"/>
  <c r="H11" i="7"/>
  <c r="H13" i="7" s="1"/>
  <c r="I14" i="7" s="1"/>
  <c r="G1114" i="7"/>
  <c r="G1001" i="7"/>
  <c r="K794" i="7"/>
  <c r="CR62" i="6"/>
  <c r="BM105" i="11"/>
  <c r="BU101" i="11"/>
  <c r="BV101" i="11" s="1"/>
  <c r="AO15" i="11"/>
  <c r="AH15" i="11"/>
  <c r="G513" i="20"/>
  <c r="X513" i="20" s="1"/>
  <c r="BP57" i="11"/>
  <c r="BQ57" i="11" s="1"/>
  <c r="U62" i="11"/>
  <c r="G511" i="20"/>
  <c r="X511" i="20" s="1"/>
  <c r="H188" i="20"/>
  <c r="Y188" i="20" s="1"/>
  <c r="DO62" i="6"/>
  <c r="CC86" i="11"/>
  <c r="H190" i="20"/>
  <c r="Y190" i="20" s="1"/>
  <c r="BY13" i="6"/>
  <c r="BY62" i="6" s="1"/>
  <c r="DL87" i="11"/>
  <c r="DG85" i="11"/>
  <c r="BI13" i="11"/>
  <c r="CH87" i="11"/>
  <c r="AG58" i="11"/>
  <c r="L185" i="23" s="1"/>
  <c r="L25" i="25" s="1"/>
  <c r="BM56" i="6"/>
  <c r="BN95" i="6"/>
  <c r="DD63" i="11"/>
  <c r="DE63" i="11" s="1"/>
  <c r="AL60" i="6"/>
  <c r="CW102" i="11"/>
  <c r="CC72" i="11"/>
  <c r="BI49" i="11"/>
  <c r="E307" i="20"/>
  <c r="V307" i="20" s="1"/>
  <c r="Y10" i="11"/>
  <c r="BI8" i="11"/>
  <c r="CR7" i="11"/>
  <c r="G507" i="20"/>
  <c r="X507" i="20" s="1"/>
  <c r="CQ16" i="6"/>
  <c r="D305" i="2"/>
  <c r="BN115" i="11"/>
  <c r="DB100" i="11"/>
  <c r="I176" i="20"/>
  <c r="Z176" i="20" s="1"/>
  <c r="W62" i="11"/>
  <c r="J176" i="23" s="1"/>
  <c r="J16" i="25" s="1"/>
  <c r="BN85" i="6"/>
  <c r="AJ58" i="11"/>
  <c r="CR15" i="11"/>
  <c r="W54" i="6"/>
  <c r="BX101" i="11"/>
  <c r="AV144" i="2"/>
  <c r="BB113" i="17"/>
  <c r="G186" i="20"/>
  <c r="X186" i="20" s="1"/>
  <c r="DG63" i="11"/>
  <c r="DL13" i="11"/>
  <c r="AQ62" i="11"/>
  <c r="AR62" i="11" s="1"/>
  <c r="BF86" i="11"/>
  <c r="DG16" i="11"/>
  <c r="BK13" i="11"/>
  <c r="R147" i="23" s="1"/>
  <c r="BI34" i="11"/>
  <c r="H182" i="20"/>
  <c r="Y182" i="20" s="1"/>
  <c r="DP62" i="6"/>
  <c r="CD234" i="17"/>
  <c r="CD3" i="17" s="1"/>
  <c r="AC58" i="11"/>
  <c r="W86" i="11"/>
  <c r="X86" i="11" s="1"/>
  <c r="DB115" i="11"/>
  <c r="U86" i="11"/>
  <c r="CO63" i="11"/>
  <c r="X177" i="23" s="1"/>
  <c r="X17" i="25" s="1"/>
  <c r="CH63" i="11"/>
  <c r="BN15" i="11"/>
  <c r="F509" i="20"/>
  <c r="W509" i="20" s="1"/>
  <c r="H279" i="20"/>
  <c r="Y279" i="20" s="1"/>
  <c r="DE95" i="6"/>
  <c r="F176" i="20"/>
  <c r="W176" i="20" s="1"/>
  <c r="AD180" i="23"/>
  <c r="AD20" i="25" s="1"/>
  <c r="CK54" i="6"/>
  <c r="BM13" i="6"/>
  <c r="BN15" i="6"/>
  <c r="BT62" i="6"/>
  <c r="I194" i="20"/>
  <c r="Z194" i="20" s="1"/>
  <c r="H281" i="20"/>
  <c r="Y281" i="20" s="1"/>
  <c r="CT62" i="11"/>
  <c r="Y176" i="23" s="1"/>
  <c r="Y16" i="25" s="1"/>
  <c r="CR62" i="11"/>
  <c r="DS49" i="11"/>
  <c r="DU49" i="11" s="1"/>
  <c r="DQ49" i="11"/>
  <c r="AE34" i="11"/>
  <c r="Z34" i="11"/>
  <c r="F181" i="20"/>
  <c r="W181" i="20" s="1"/>
  <c r="I181" i="20"/>
  <c r="Z181" i="20" s="1"/>
  <c r="F189" i="20"/>
  <c r="W189" i="20" s="1"/>
  <c r="DX60" i="6"/>
  <c r="ED60" i="6"/>
  <c r="DQ64" i="11"/>
  <c r="DL64" i="11"/>
  <c r="CN36" i="6"/>
  <c r="CK36" i="6" s="1"/>
  <c r="AT146" i="2"/>
  <c r="AU161" i="2"/>
  <c r="CH71" i="11"/>
  <c r="BB15" i="6"/>
  <c r="BH62" i="6"/>
  <c r="AH113" i="17"/>
  <c r="AD113" i="17"/>
  <c r="DU54" i="6"/>
  <c r="CK13" i="6"/>
  <c r="CK62" i="6" s="1"/>
  <c r="CL15" i="6"/>
  <c r="BN34" i="11"/>
  <c r="CQ11" i="6"/>
  <c r="DA10" i="11"/>
  <c r="CM63" i="11"/>
  <c r="Z7" i="11"/>
  <c r="H503" i="20"/>
  <c r="Y503" i="20" s="1"/>
  <c r="DQ57" i="11"/>
  <c r="X15" i="6"/>
  <c r="Z46" i="11"/>
  <c r="AX87" i="6"/>
  <c r="AV161" i="2"/>
  <c r="H197" i="20"/>
  <c r="Y197" i="20" s="1"/>
  <c r="U15" i="11"/>
  <c r="BC10" i="11"/>
  <c r="BD7" i="11"/>
  <c r="BS58" i="11"/>
  <c r="BN58" i="11"/>
  <c r="CW62" i="11"/>
  <c r="DB62" i="11"/>
  <c r="CV50" i="11"/>
  <c r="DB46" i="11"/>
  <c r="CQ13" i="6"/>
  <c r="CW62" i="6" s="1"/>
  <c r="BV45" i="17"/>
  <c r="G181" i="20"/>
  <c r="X181" i="20" s="1"/>
  <c r="H194" i="20"/>
  <c r="Y194" i="20" s="1"/>
  <c r="DV57" i="11"/>
  <c r="AD226" i="23" s="1"/>
  <c r="AD212" i="23" s="1"/>
  <c r="AD416" i="23" s="1"/>
  <c r="AD428" i="23" s="1"/>
  <c r="DX57" i="11"/>
  <c r="DZ57" i="11" s="1"/>
  <c r="EA57" i="11" s="1"/>
  <c r="AE226" i="23" s="1"/>
  <c r="CR95" i="6"/>
  <c r="AC54" i="6"/>
  <c r="DV85" i="11"/>
  <c r="AD297" i="23" s="1"/>
  <c r="AD291" i="23" s="1"/>
  <c r="AD35" i="25" s="1"/>
  <c r="DX85" i="11"/>
  <c r="AE180" i="23" s="1"/>
  <c r="BI15" i="11"/>
  <c r="DB87" i="11"/>
  <c r="BX72" i="11"/>
  <c r="CR49" i="11"/>
  <c r="DP104" i="11"/>
  <c r="DO57" i="11"/>
  <c r="DL8" i="11"/>
  <c r="W13" i="6"/>
  <c r="W62" i="6" s="1"/>
  <c r="H283" i="20"/>
  <c r="Y283" i="20" s="1"/>
  <c r="CM9" i="11"/>
  <c r="AU138" i="2"/>
  <c r="AU179" i="2"/>
  <c r="BB62" i="6"/>
  <c r="BG11" i="6"/>
  <c r="G184" i="20"/>
  <c r="X184" i="20" s="1"/>
  <c r="DB7" i="11"/>
  <c r="DQ85" i="11"/>
  <c r="BB63" i="6"/>
  <c r="BA13" i="6"/>
  <c r="BU40" i="17"/>
  <c r="DB49" i="11"/>
  <c r="CJ63" i="11"/>
  <c r="W177" i="23" s="1"/>
  <c r="W17" i="25" s="1"/>
  <c r="DK66" i="11"/>
  <c r="BQ59" i="17"/>
  <c r="BJ45" i="17"/>
  <c r="DD63" i="6"/>
  <c r="BY54" i="6"/>
  <c r="Z49" i="11"/>
  <c r="CB105" i="11"/>
  <c r="BP62" i="11"/>
  <c r="BQ62" i="11" s="1"/>
  <c r="DI13" i="11"/>
  <c r="DJ13" i="11" s="1"/>
  <c r="DP85" i="6"/>
  <c r="BU118" i="11"/>
  <c r="T186" i="23" s="1"/>
  <c r="T44" i="25" s="1"/>
  <c r="AL15" i="11"/>
  <c r="M149" i="23" s="1"/>
  <c r="AK28" i="11" s="1"/>
  <c r="BN152" i="17"/>
  <c r="AD60" i="6"/>
  <c r="DK95" i="6"/>
  <c r="BF85" i="11"/>
  <c r="Q180" i="23" s="1"/>
  <c r="Q20" i="25" s="1"/>
  <c r="CR15" i="6"/>
  <c r="BU95" i="6"/>
  <c r="DL87" i="6"/>
  <c r="BP94" i="6"/>
  <c r="AY46" i="11"/>
  <c r="AE121" i="23"/>
  <c r="AY63" i="11"/>
  <c r="AE16" i="11"/>
  <c r="DJ85" i="6"/>
  <c r="U64" i="11"/>
  <c r="AF86" i="6"/>
  <c r="R102" i="7"/>
  <c r="R104" i="7" s="1"/>
  <c r="R332" i="7"/>
  <c r="W47" i="6"/>
  <c r="J281" i="23"/>
  <c r="Y80" i="11"/>
  <c r="J33" i="25"/>
  <c r="Y11" i="11"/>
  <c r="J444" i="23"/>
  <c r="J447" i="23" s="1"/>
  <c r="EJ86" i="6"/>
  <c r="Z71" i="11"/>
  <c r="AV137" i="2"/>
  <c r="CE63" i="11"/>
  <c r="V177" i="23" s="1"/>
  <c r="V17" i="25" s="1"/>
  <c r="AP19" i="17"/>
  <c r="BN212" i="17"/>
  <c r="X175" i="8"/>
  <c r="AH100" i="11"/>
  <c r="AA245" i="8"/>
  <c r="AA253" i="8" s="1"/>
  <c r="X478" i="7"/>
  <c r="BX20" i="26"/>
  <c r="Y49" i="8"/>
  <c r="X464" i="7"/>
  <c r="N42" i="23"/>
  <c r="AP9" i="11" s="1"/>
  <c r="AQ9" i="11" s="1"/>
  <c r="N143" i="23" s="1"/>
  <c r="AP22" i="11" s="1"/>
  <c r="O457" i="23"/>
  <c r="CG73" i="11"/>
  <c r="CG75" i="11" s="1"/>
  <c r="R454" i="7"/>
  <c r="M551" i="7"/>
  <c r="M581" i="7"/>
  <c r="AB182" i="8"/>
  <c r="AB478" i="7"/>
  <c r="AB479" i="7" s="1"/>
  <c r="Y30" i="25"/>
  <c r="Y418" i="23"/>
  <c r="BH11" i="11"/>
  <c r="BM47" i="6"/>
  <c r="Q277" i="23"/>
  <c r="BH80" i="11"/>
  <c r="Q33" i="25"/>
  <c r="Q281" i="23"/>
  <c r="Q444" i="23"/>
  <c r="R860" i="7"/>
  <c r="AC699" i="7"/>
  <c r="DP48" i="11"/>
  <c r="X433" i="23"/>
  <c r="R277" i="23"/>
  <c r="Q136" i="23"/>
  <c r="N49" i="23"/>
  <c r="N55" i="23"/>
  <c r="J860" i="7"/>
  <c r="J866" i="7"/>
  <c r="K860" i="7"/>
  <c r="N433" i="23"/>
  <c r="K330" i="7"/>
  <c r="K332" i="7"/>
  <c r="N179" i="8"/>
  <c r="N144" i="8"/>
  <c r="N158" i="8" s="1"/>
  <c r="F307" i="20"/>
  <c r="W307" i="20" s="1"/>
  <c r="Z36" i="6"/>
  <c r="W36" i="6" s="1"/>
  <c r="CW46" i="11"/>
  <c r="BW105" i="11"/>
  <c r="DI85" i="11"/>
  <c r="AB180" i="23" s="1"/>
  <c r="D109" i="2" s="1"/>
  <c r="I489" i="20"/>
  <c r="Z489" i="20" s="1"/>
  <c r="AO82" i="17"/>
  <c r="BI7" i="11"/>
  <c r="R113" i="17"/>
  <c r="BM59" i="17"/>
  <c r="W95" i="6"/>
  <c r="AD85" i="6"/>
  <c r="AL171" i="17"/>
  <c r="BN16" i="11"/>
  <c r="E505" i="20"/>
  <c r="V505" i="20" s="1"/>
  <c r="AU143" i="2"/>
  <c r="AE788" i="7"/>
  <c r="AE1046" i="7" s="1"/>
  <c r="Q70" i="8"/>
  <c r="U70" i="8"/>
  <c r="CC11" i="6"/>
  <c r="BK11" i="6"/>
  <c r="AO15" i="17"/>
  <c r="J119" i="8"/>
  <c r="AO28" i="17"/>
  <c r="CG49" i="17"/>
  <c r="AB185" i="17"/>
  <c r="AQ101" i="11"/>
  <c r="N181" i="23" s="1"/>
  <c r="N21" i="25" s="1"/>
  <c r="CE94" i="17"/>
  <c r="BS20" i="17"/>
  <c r="AE19" i="17"/>
  <c r="AY18" i="17"/>
  <c r="AV49" i="17"/>
  <c r="CM49" i="17"/>
  <c r="N28" i="17"/>
  <c r="CP21" i="26"/>
  <c r="CS18" i="17"/>
  <c r="AG12" i="17"/>
  <c r="AC162" i="23"/>
  <c r="L111" i="8"/>
  <c r="AD234" i="17"/>
  <c r="DV62" i="6"/>
  <c r="S60" i="6"/>
  <c r="K11" i="6"/>
  <c r="AB411" i="23"/>
  <c r="J428" i="23"/>
  <c r="Y164" i="8"/>
  <c r="AL100" i="11"/>
  <c r="M182" i="23" s="1"/>
  <c r="M22" i="25" s="1"/>
  <c r="BO60" i="6"/>
  <c r="O55" i="23"/>
  <c r="CQ65" i="11"/>
  <c r="BT49" i="11"/>
  <c r="BU49" i="11" s="1"/>
  <c r="BV49" i="11" s="1"/>
  <c r="M564" i="7"/>
  <c r="M567" i="7" s="1"/>
  <c r="T581" i="7"/>
  <c r="AE28" i="17"/>
  <c r="BA26" i="17"/>
  <c r="BA24" i="17"/>
  <c r="CD69" i="17"/>
  <c r="O1083" i="7"/>
  <c r="O75" i="25" s="1"/>
  <c r="R172" i="8"/>
  <c r="U51" i="8"/>
  <c r="K997" i="7"/>
  <c r="K1011" i="7" s="1"/>
  <c r="Y228" i="23"/>
  <c r="J51" i="8"/>
  <c r="T51" i="8"/>
  <c r="I330" i="7"/>
  <c r="U191" i="8"/>
  <c r="U62" i="8"/>
  <c r="T225" i="8"/>
  <c r="CE20" i="26"/>
  <c r="T405" i="23"/>
  <c r="Z82" i="17"/>
  <c r="Y82" i="17" s="1"/>
  <c r="K102" i="7"/>
  <c r="K104" i="7" s="1"/>
  <c r="O42" i="23"/>
  <c r="AU9" i="11" s="1"/>
  <c r="AV9" i="11" s="1"/>
  <c r="AW9" i="11" s="1"/>
  <c r="M249" i="8"/>
  <c r="R215" i="23"/>
  <c r="N125" i="23"/>
  <c r="CR102" i="11"/>
  <c r="U126" i="8"/>
  <c r="O13" i="17"/>
  <c r="Z725" i="7"/>
  <c r="AM725" i="7" s="1"/>
  <c r="AM698" i="7"/>
  <c r="P551" i="7"/>
  <c r="P552" i="7" s="1"/>
  <c r="AO12" i="17"/>
  <c r="BI12" i="17"/>
  <c r="BO12" i="17"/>
  <c r="BN19" i="17"/>
  <c r="AP14" i="26"/>
  <c r="F281" i="20"/>
  <c r="W281" i="20" s="1"/>
  <c r="S120" i="8"/>
  <c r="X136" i="23"/>
  <c r="AA457" i="23"/>
  <c r="Q264" i="23"/>
  <c r="Y126" i="8"/>
  <c r="W457" i="23"/>
  <c r="AO20" i="17"/>
  <c r="CR106" i="17"/>
  <c r="CR142" i="17" s="1"/>
  <c r="X144" i="17"/>
  <c r="AC81" i="8"/>
  <c r="U699" i="7"/>
  <c r="Q434" i="23"/>
  <c r="T330" i="7"/>
  <c r="R331" i="7"/>
  <c r="V319" i="23"/>
  <c r="BZ15" i="6"/>
  <c r="U71" i="11"/>
  <c r="Z429" i="23"/>
  <c r="T102" i="7"/>
  <c r="T104" i="7" s="1"/>
  <c r="O348" i="23"/>
  <c r="L60" i="23"/>
  <c r="M67" i="23" s="1"/>
  <c r="L42" i="23"/>
  <c r="AF9" i="11" s="1"/>
  <c r="AG9" i="11" s="1"/>
  <c r="L174" i="23" s="1"/>
  <c r="L14" i="25" s="1"/>
  <c r="L423" i="23"/>
  <c r="AD82" i="17"/>
  <c r="EI33" i="6"/>
  <c r="AC1082" i="7"/>
  <c r="AC612" i="7"/>
  <c r="AD590" i="7"/>
  <c r="Q7" i="11"/>
  <c r="R7" i="11" s="1"/>
  <c r="S7" i="11" s="1"/>
  <c r="Q34" i="11"/>
  <c r="R34" i="11" s="1"/>
  <c r="S34" i="11" s="1"/>
  <c r="AD997" i="7"/>
  <c r="EP21" i="6"/>
  <c r="AC24" i="8"/>
  <c r="E177" i="2"/>
  <c r="AV177" i="2" s="1"/>
  <c r="AD8" i="8"/>
  <c r="AC53" i="25"/>
  <c r="Q860" i="7"/>
  <c r="P866" i="7"/>
  <c r="Y49" i="23"/>
  <c r="AB1149" i="7"/>
  <c r="D251" i="2"/>
  <c r="AU251" i="2" s="1"/>
  <c r="Q725" i="7"/>
  <c r="Q736" i="7"/>
  <c r="K277" i="23"/>
  <c r="U758" i="7"/>
  <c r="U737" i="7"/>
  <c r="BP86" i="6"/>
  <c r="BD86" i="11"/>
  <c r="E506" i="20"/>
  <c r="V506" i="20" s="1"/>
  <c r="L24" i="17"/>
  <c r="L25" i="17" s="1"/>
  <c r="L564" i="7"/>
  <c r="L567" i="7" s="1"/>
  <c r="Q564" i="7"/>
  <c r="Q567" i="7" s="1"/>
  <c r="R714" i="7"/>
  <c r="AA349" i="23"/>
  <c r="BQ49" i="17"/>
  <c r="Z418" i="23"/>
  <c r="X163" i="23"/>
  <c r="AA465" i="23"/>
  <c r="P111" i="8"/>
  <c r="AC319" i="23"/>
  <c r="AA714" i="7"/>
  <c r="Y55" i="23"/>
  <c r="T331" i="7"/>
  <c r="P331" i="7"/>
  <c r="P102" i="7"/>
  <c r="P104" i="7" s="1"/>
  <c r="P454" i="7"/>
  <c r="CH9" i="11"/>
  <c r="DG58" i="11"/>
  <c r="I175" i="20"/>
  <c r="Z175" i="20" s="1"/>
  <c r="BI86" i="11"/>
  <c r="BN62" i="6"/>
  <c r="DB58" i="11"/>
  <c r="AO101" i="11"/>
  <c r="F503" i="20"/>
  <c r="W503" i="20" s="1"/>
  <c r="BP58" i="11"/>
  <c r="DP15" i="6"/>
  <c r="DP64" i="6" s="1"/>
  <c r="E503" i="20"/>
  <c r="V503" i="20" s="1"/>
  <c r="AD1046" i="7"/>
  <c r="O1119" i="7"/>
  <c r="CJ19" i="17"/>
  <c r="C6" i="28" s="1"/>
  <c r="CA26" i="17"/>
  <c r="L26" i="17"/>
  <c r="CJ24" i="17"/>
  <c r="AE20" i="17"/>
  <c r="AB94" i="17"/>
  <c r="CG68" i="17"/>
  <c r="W68" i="17"/>
  <c r="CC238" i="17"/>
  <c r="BQ19" i="17"/>
  <c r="AK14" i="17"/>
  <c r="N15" i="17"/>
  <c r="CS24" i="17"/>
  <c r="CS26" i="17"/>
  <c r="AA144" i="17"/>
  <c r="M428" i="23"/>
  <c r="BA63" i="11"/>
  <c r="P177" i="23" s="1"/>
  <c r="P17" i="25" s="1"/>
  <c r="T114" i="8"/>
  <c r="Y114" i="8"/>
  <c r="EA54" i="6"/>
  <c r="CY9" i="11"/>
  <c r="CZ9" i="11" s="1"/>
  <c r="AJ86" i="11"/>
  <c r="T321" i="23"/>
  <c r="S233" i="8"/>
  <c r="N21" i="7"/>
  <c r="U114" i="8"/>
  <c r="AG62" i="11"/>
  <c r="L176" i="23" s="1"/>
  <c r="L16" i="25" s="1"/>
  <c r="J277" i="23"/>
  <c r="E514" i="20"/>
  <c r="V514" i="20" s="1"/>
  <c r="K581" i="7"/>
  <c r="T551" i="7"/>
  <c r="T552" i="7" s="1"/>
  <c r="K552" i="7"/>
  <c r="AX21" i="26"/>
  <c r="CW16" i="11"/>
  <c r="K17" i="26"/>
  <c r="BV64" i="17"/>
  <c r="CV59" i="11"/>
  <c r="CW59" i="11" s="1"/>
  <c r="AI54" i="6"/>
  <c r="P443" i="7"/>
  <c r="P445" i="7" s="1"/>
  <c r="P448" i="7" s="1"/>
  <c r="I195" i="8"/>
  <c r="AD64" i="17"/>
  <c r="M433" i="23"/>
  <c r="N164" i="8"/>
  <c r="N178" i="8" s="1"/>
  <c r="R268" i="23"/>
  <c r="K443" i="7"/>
  <c r="K445" i="7" s="1"/>
  <c r="K448" i="7" s="1"/>
  <c r="N423" i="23"/>
  <c r="O435" i="23" s="1"/>
  <c r="AC394" i="7"/>
  <c r="R418" i="23"/>
  <c r="N23" i="17"/>
  <c r="V360" i="23"/>
  <c r="N156" i="23"/>
  <c r="M24" i="17"/>
  <c r="M26" i="17"/>
  <c r="Y229" i="17"/>
  <c r="AH105" i="17"/>
  <c r="M467" i="23"/>
  <c r="AF105" i="17"/>
  <c r="P105" i="17"/>
  <c r="BP36" i="6"/>
  <c r="DF104" i="11"/>
  <c r="K352" i="7"/>
  <c r="Q172" i="8"/>
  <c r="P564" i="7"/>
  <c r="P567" i="7" s="1"/>
  <c r="AL86" i="6"/>
  <c r="W82" i="25"/>
  <c r="Q144" i="8"/>
  <c r="Q158" i="8" s="1"/>
  <c r="R228" i="23"/>
  <c r="K28" i="6"/>
  <c r="P264" i="23"/>
  <c r="P280" i="23" s="1"/>
  <c r="Z268" i="23"/>
  <c r="N126" i="23"/>
  <c r="K405" i="23"/>
  <c r="Y423" i="23"/>
  <c r="Z435" i="23" s="1"/>
  <c r="CD82" i="17"/>
  <c r="Y60" i="23"/>
  <c r="Q4" i="23"/>
  <c r="BE15" i="11"/>
  <c r="BF15" i="11" s="1"/>
  <c r="Q149" i="23" s="1"/>
  <c r="BE28" i="11" s="1"/>
  <c r="Q993" i="7"/>
  <c r="Q1007" i="7" s="1"/>
  <c r="Q717" i="7"/>
  <c r="N564" i="7"/>
  <c r="N567" i="7" s="1"/>
  <c r="Z411" i="23"/>
  <c r="Q126" i="23"/>
  <c r="I736" i="7"/>
  <c r="I725" i="7"/>
  <c r="P444" i="23"/>
  <c r="BG47" i="6"/>
  <c r="BG96" i="6" s="1"/>
  <c r="P281" i="23"/>
  <c r="J91" i="7"/>
  <c r="K93" i="7" s="1"/>
  <c r="J93" i="7"/>
  <c r="AQ100" i="11"/>
  <c r="AR100" i="11" s="1"/>
  <c r="BB193" i="17"/>
  <c r="BS118" i="11"/>
  <c r="R63" i="6"/>
  <c r="CF63" i="6"/>
  <c r="BW10" i="11"/>
  <c r="T36" i="6"/>
  <c r="Q36" i="6" s="1"/>
  <c r="DL15" i="11"/>
  <c r="BF193" i="17"/>
  <c r="DV85" i="6"/>
  <c r="R86" i="11"/>
  <c r="I179" i="23" s="1"/>
  <c r="I19" i="25" s="1"/>
  <c r="AO102" i="11"/>
  <c r="AP212" i="17"/>
  <c r="BP118" i="11"/>
  <c r="BQ118" i="11" s="1"/>
  <c r="AX36" i="6"/>
  <c r="AE13" i="11"/>
  <c r="CQ105" i="11"/>
  <c r="R15" i="6"/>
  <c r="AI13" i="6"/>
  <c r="AI62" i="6" s="1"/>
  <c r="CG166" i="17"/>
  <c r="AL85" i="11"/>
  <c r="M180" i="23" s="1"/>
  <c r="M20" i="25" s="1"/>
  <c r="R95" i="6"/>
  <c r="AV175" i="17"/>
  <c r="AS166" i="17"/>
  <c r="L225" i="8"/>
  <c r="K1119" i="7"/>
  <c r="DS11" i="6"/>
  <c r="BI216" i="17"/>
  <c r="S162" i="23"/>
  <c r="BF217" i="17"/>
  <c r="BG216" i="17"/>
  <c r="BB24" i="17"/>
  <c r="BB26" i="17"/>
  <c r="BB15" i="17"/>
  <c r="P185" i="17"/>
  <c r="T49" i="8"/>
  <c r="S49" i="8"/>
  <c r="S443" i="7"/>
  <c r="S445" i="7" s="1"/>
  <c r="S448" i="7" s="1"/>
  <c r="S102" i="7"/>
  <c r="S104" i="7" s="1"/>
  <c r="Y20" i="17"/>
  <c r="V21" i="26"/>
  <c r="Y993" i="7"/>
  <c r="Y1007" i="7" s="1"/>
  <c r="Y717" i="7"/>
  <c r="AA394" i="7"/>
  <c r="AA494" i="7"/>
  <c r="AA496" i="7" s="1"/>
  <c r="X93" i="7"/>
  <c r="Z8" i="11"/>
  <c r="V119" i="8"/>
  <c r="BJ21" i="26"/>
  <c r="Y26" i="17"/>
  <c r="BL216" i="17"/>
  <c r="CO166" i="17"/>
  <c r="CG40" i="17"/>
  <c r="U119" i="8"/>
  <c r="BM19" i="17"/>
  <c r="Y19" i="17"/>
  <c r="AN68" i="17"/>
  <c r="AK59" i="17"/>
  <c r="CN216" i="17"/>
  <c r="AW175" i="17"/>
  <c r="BE40" i="17"/>
  <c r="BG49" i="17"/>
  <c r="BH216" i="17"/>
  <c r="AG13" i="11"/>
  <c r="L147" i="23" s="1"/>
  <c r="AF26" i="11" s="1"/>
  <c r="S332" i="7"/>
  <c r="BK7" i="17"/>
  <c r="N136" i="23"/>
  <c r="W17" i="26"/>
  <c r="AJ31" i="8"/>
  <c r="Z221" i="23"/>
  <c r="X332" i="7"/>
  <c r="Y225" i="8"/>
  <c r="DG11" i="6"/>
  <c r="DA11" i="6"/>
  <c r="W225" i="8"/>
  <c r="Z758" i="7"/>
  <c r="AM758" i="7" s="1"/>
  <c r="BX106" i="17"/>
  <c r="BX105" i="17" s="1"/>
  <c r="AF144" i="17"/>
  <c r="CI238" i="17"/>
  <c r="CH239" i="17"/>
  <c r="CK238" i="17"/>
  <c r="CU174" i="17"/>
  <c r="CV164" i="17"/>
  <c r="CV184" i="17" s="1"/>
  <c r="BW6" i="17"/>
  <c r="BB18" i="26"/>
  <c r="K15" i="26"/>
  <c r="CB18" i="26"/>
  <c r="CE200" i="17"/>
  <c r="Z156" i="23"/>
  <c r="CK94" i="17"/>
  <c r="CJ94" i="17"/>
  <c r="CB94" i="17"/>
  <c r="X156" i="23"/>
  <c r="BN50" i="17"/>
  <c r="BP49" i="17"/>
  <c r="BM40" i="17"/>
  <c r="BF26" i="17"/>
  <c r="BF20" i="17"/>
  <c r="BA238" i="17"/>
  <c r="AY238" i="17"/>
  <c r="AP20" i="17"/>
  <c r="AP26" i="17"/>
  <c r="AP32" i="17" s="1"/>
  <c r="AP18" i="17"/>
  <c r="Z20" i="17"/>
  <c r="Z19" i="17"/>
  <c r="Z23" i="17"/>
  <c r="Z18" i="17"/>
  <c r="CH20" i="26"/>
  <c r="CK14" i="17"/>
  <c r="V77" i="8"/>
  <c r="V78" i="8" s="1"/>
  <c r="V115" i="8" s="1"/>
  <c r="AG33" i="8"/>
  <c r="S465" i="23"/>
  <c r="J213" i="7"/>
  <c r="Y456" i="23"/>
  <c r="Z456" i="23"/>
  <c r="U330" i="7"/>
  <c r="U332" i="7"/>
  <c r="U454" i="7"/>
  <c r="U331" i="7"/>
  <c r="U443" i="7"/>
  <c r="U445" i="7" s="1"/>
  <c r="U448" i="7" s="1"/>
  <c r="AA136" i="7"/>
  <c r="AM135" i="7"/>
  <c r="BD86" i="6"/>
  <c r="H177" i="20"/>
  <c r="Y177" i="20" s="1"/>
  <c r="CC71" i="11"/>
  <c r="Z24" i="17"/>
  <c r="N126" i="8"/>
  <c r="O24" i="17"/>
  <c r="BL68" i="17"/>
  <c r="BK68" i="17"/>
  <c r="BI59" i="17"/>
  <c r="P19" i="17"/>
  <c r="H19" i="17"/>
  <c r="CI18" i="17"/>
  <c r="CI49" i="17"/>
  <c r="CJ238" i="17"/>
  <c r="CH95" i="17"/>
  <c r="CE12" i="17"/>
  <c r="J15" i="26"/>
  <c r="BS12" i="17"/>
  <c r="CT86" i="11"/>
  <c r="CU86" i="11" s="1"/>
  <c r="I213" i="7"/>
  <c r="S330" i="7"/>
  <c r="AM8" i="17"/>
  <c r="CG14" i="17"/>
  <c r="AA228" i="23"/>
  <c r="Z1038" i="7"/>
  <c r="AM1038" i="7" s="1"/>
  <c r="Q6" i="17"/>
  <c r="AE13" i="17"/>
  <c r="AA380" i="23"/>
  <c r="AI15" i="26"/>
  <c r="CV48" i="11"/>
  <c r="L68" i="17"/>
  <c r="M68" i="17"/>
  <c r="CK68" i="17"/>
  <c r="CH63" i="17"/>
  <c r="CX50" i="11" s="1"/>
  <c r="CI68" i="17"/>
  <c r="AX95" i="17"/>
  <c r="Q156" i="23"/>
  <c r="AY94" i="17"/>
  <c r="CU216" i="17"/>
  <c r="CU215" i="17"/>
  <c r="S13" i="26"/>
  <c r="BR6" i="17"/>
  <c r="CP7" i="17"/>
  <c r="CM13" i="26"/>
  <c r="BM24" i="17"/>
  <c r="BM32" i="17" s="1"/>
  <c r="Y24" i="17"/>
  <c r="BM20" i="17"/>
  <c r="AZ105" i="17"/>
  <c r="BT106" i="17"/>
  <c r="N63" i="17"/>
  <c r="L50" i="11" s="1"/>
  <c r="O68" i="17"/>
  <c r="T105" i="17"/>
  <c r="U47" i="11"/>
  <c r="Q12" i="17"/>
  <c r="N18" i="26"/>
  <c r="CH21" i="26"/>
  <c r="CK24" i="17"/>
  <c r="CK19" i="17"/>
  <c r="CK18" i="17"/>
  <c r="CU49" i="17"/>
  <c r="CU102" i="17"/>
  <c r="AA378" i="7"/>
  <c r="AB378" i="7" s="1"/>
  <c r="AA419" i="7"/>
  <c r="AA699" i="7"/>
  <c r="DF48" i="11"/>
  <c r="U7" i="11"/>
  <c r="CQ31" i="6"/>
  <c r="CQ80" i="6" s="1"/>
  <c r="CR80" i="6"/>
  <c r="J79" i="7"/>
  <c r="K81" i="7" s="1"/>
  <c r="J81" i="7"/>
  <c r="M465" i="23"/>
  <c r="N465" i="23"/>
  <c r="V443" i="7"/>
  <c r="V445" i="7" s="1"/>
  <c r="V448" i="7" s="1"/>
  <c r="V332" i="7"/>
  <c r="V102" i="7"/>
  <c r="V104" i="7" s="1"/>
  <c r="J248" i="8"/>
  <c r="J255" i="8" s="1"/>
  <c r="K197" i="8"/>
  <c r="J197" i="8"/>
  <c r="T494" i="7"/>
  <c r="T496" i="7" s="1"/>
  <c r="T394" i="7"/>
  <c r="T396" i="7" s="1"/>
  <c r="AK49" i="11"/>
  <c r="AL49" i="11" s="1"/>
  <c r="AM49" i="11" s="1"/>
  <c r="AK8" i="11"/>
  <c r="AL8" i="11" s="1"/>
  <c r="M173" i="23" s="1"/>
  <c r="M13" i="25" s="1"/>
  <c r="AK48" i="11"/>
  <c r="AL48" i="11" s="1"/>
  <c r="AM48" i="11" s="1"/>
  <c r="AF7" i="11"/>
  <c r="AG7" i="11" s="1"/>
  <c r="L141" i="23" s="1"/>
  <c r="AF34" i="11"/>
  <c r="AG34" i="11" s="1"/>
  <c r="AH34" i="11" s="1"/>
  <c r="AZ7" i="11"/>
  <c r="BA7" i="11" s="1"/>
  <c r="P172" i="23" s="1"/>
  <c r="P12" i="25" s="1"/>
  <c r="AZ34" i="11"/>
  <c r="BA34" i="11" s="1"/>
  <c r="BB34" i="11" s="1"/>
  <c r="BT7" i="11"/>
  <c r="BU7" i="11" s="1"/>
  <c r="T172" i="23" s="1"/>
  <c r="T12" i="25" s="1"/>
  <c r="BT34" i="11"/>
  <c r="BU34" i="11" s="1"/>
  <c r="BV34" i="11" s="1"/>
  <c r="CN34" i="11"/>
  <c r="CO34" i="11" s="1"/>
  <c r="CP34" i="11" s="1"/>
  <c r="CN7" i="11"/>
  <c r="CO7" i="11" s="1"/>
  <c r="CP7" i="11" s="1"/>
  <c r="I423" i="23"/>
  <c r="R82" i="17"/>
  <c r="I60" i="23"/>
  <c r="I42" i="23"/>
  <c r="Q9" i="11" s="1"/>
  <c r="R9" i="11" s="1"/>
  <c r="I143" i="23" s="1"/>
  <c r="Q22" i="11" s="1"/>
  <c r="W423" i="23"/>
  <c r="W60" i="23"/>
  <c r="BV82" i="17"/>
  <c r="BZ90" i="17" s="1"/>
  <c r="X42" i="23"/>
  <c r="CN9" i="11" s="1"/>
  <c r="CO9" i="11" s="1"/>
  <c r="X174" i="23" s="1"/>
  <c r="X14" i="25" s="1"/>
  <c r="W42" i="23"/>
  <c r="CI9" i="11" s="1"/>
  <c r="CJ9" i="11" s="1"/>
  <c r="CK9" i="11" s="1"/>
  <c r="P428" i="23"/>
  <c r="O428" i="23"/>
  <c r="L106" i="23"/>
  <c r="M106" i="23"/>
  <c r="AL212" i="17"/>
  <c r="AK207" i="17"/>
  <c r="AV15" i="6"/>
  <c r="AU13" i="6"/>
  <c r="AM10" i="7"/>
  <c r="K179" i="8"/>
  <c r="K144" i="8"/>
  <c r="L172" i="8"/>
  <c r="P993" i="7"/>
  <c r="P1007" i="7" s="1"/>
  <c r="P717" i="7"/>
  <c r="U255" i="7"/>
  <c r="V242" i="7"/>
  <c r="U89" i="25"/>
  <c r="U242" i="7"/>
  <c r="U997" i="7"/>
  <c r="U1011" i="7" s="1"/>
  <c r="M20" i="7"/>
  <c r="M21" i="7" s="1"/>
  <c r="Z162" i="23"/>
  <c r="CJ216" i="17"/>
  <c r="Y1119" i="7"/>
  <c r="Y233" i="8"/>
  <c r="Y218" i="8"/>
  <c r="AM11" i="6"/>
  <c r="L233" i="8"/>
  <c r="M225" i="8"/>
  <c r="J218" i="8"/>
  <c r="J225" i="8"/>
  <c r="CV57" i="17"/>
  <c r="CV69" i="17" s="1"/>
  <c r="CU68" i="17"/>
  <c r="M160" i="23"/>
  <c r="AI175" i="17"/>
  <c r="AG166" i="17"/>
  <c r="AS15" i="17"/>
  <c r="AS26" i="17"/>
  <c r="AS28" i="17"/>
  <c r="J21" i="26"/>
  <c r="M15" i="17"/>
  <c r="M18" i="17"/>
  <c r="M23" i="17"/>
  <c r="EN11" i="6"/>
  <c r="AE209" i="8"/>
  <c r="Q30" i="25"/>
  <c r="Q418" i="23"/>
  <c r="Q215" i="23"/>
  <c r="BH59" i="11"/>
  <c r="Q221" i="23"/>
  <c r="CG59" i="17"/>
  <c r="CH64" i="17"/>
  <c r="CL64" i="17"/>
  <c r="T268" i="23"/>
  <c r="T264" i="23"/>
  <c r="Q478" i="7"/>
  <c r="Q479" i="7" s="1"/>
  <c r="R175" i="8"/>
  <c r="BI207" i="17"/>
  <c r="BM216" i="17"/>
  <c r="Y23" i="17"/>
  <c r="Z264" i="23"/>
  <c r="Z858" i="7"/>
  <c r="AM858" i="7" s="1"/>
  <c r="AT7" i="17"/>
  <c r="AQ13" i="26"/>
  <c r="AA268" i="23"/>
  <c r="AK8" i="17"/>
  <c r="AH14" i="26"/>
  <c r="BM18" i="17"/>
  <c r="BB14" i="26"/>
  <c r="BE8" i="17"/>
  <c r="J12" i="26"/>
  <c r="M6" i="17"/>
  <c r="BN21" i="26"/>
  <c r="BQ24" i="17"/>
  <c r="BQ20" i="17"/>
  <c r="BQ26" i="17"/>
  <c r="BQ28" i="17"/>
  <c r="X331" i="7"/>
  <c r="X443" i="7"/>
  <c r="X445" i="7" s="1"/>
  <c r="X451" i="7" s="1"/>
  <c r="X454" i="7"/>
  <c r="X456" i="7" s="1"/>
  <c r="X330" i="7"/>
  <c r="AV136" i="2"/>
  <c r="I174" i="20"/>
  <c r="Z174" i="20" s="1"/>
  <c r="E305" i="2"/>
  <c r="I177" i="20"/>
  <c r="Z177" i="20" s="1"/>
  <c r="P269" i="23"/>
  <c r="Q269" i="23"/>
  <c r="BI102" i="11"/>
  <c r="BN102" i="11"/>
  <c r="CM102" i="11"/>
  <c r="CG103" i="11"/>
  <c r="AT100" i="11"/>
  <c r="AO100" i="11"/>
  <c r="I454" i="7"/>
  <c r="I332" i="7"/>
  <c r="I102" i="7"/>
  <c r="I104" i="7" s="1"/>
  <c r="V307" i="7"/>
  <c r="W308" i="7" s="1"/>
  <c r="W309" i="7" s="1"/>
  <c r="V308" i="7"/>
  <c r="V309" i="7" s="1"/>
  <c r="W56" i="6"/>
  <c r="Q8" i="6"/>
  <c r="O380" i="23"/>
  <c r="P380" i="23"/>
  <c r="P423" i="23"/>
  <c r="P42" i="23"/>
  <c r="AZ9" i="11" s="1"/>
  <c r="BA9" i="11" s="1"/>
  <c r="BB9" i="11" s="1"/>
  <c r="P60" i="23"/>
  <c r="Q42" i="23"/>
  <c r="BE9" i="11" s="1"/>
  <c r="BF9" i="11" s="1"/>
  <c r="BG9" i="11" s="1"/>
  <c r="P156" i="23"/>
  <c r="CD212" i="17"/>
  <c r="BY207" i="17"/>
  <c r="L473" i="23"/>
  <c r="K473" i="23"/>
  <c r="DA59" i="11"/>
  <c r="Z30" i="25"/>
  <c r="W20" i="7"/>
  <c r="W21" i="7" s="1"/>
  <c r="W23" i="7" s="1"/>
  <c r="Z182" i="8"/>
  <c r="Z175" i="8"/>
  <c r="Z478" i="7"/>
  <c r="BS72" i="11"/>
  <c r="M82" i="25"/>
  <c r="W699" i="7"/>
  <c r="CL48" i="11"/>
  <c r="H248" i="8"/>
  <c r="I197" i="8"/>
  <c r="AP15" i="11"/>
  <c r="AQ15" i="11" s="1"/>
  <c r="N4" i="23"/>
  <c r="AD62" i="6"/>
  <c r="AJ62" i="6"/>
  <c r="AD66" i="23"/>
  <c r="X70" i="8"/>
  <c r="AD226" i="17"/>
  <c r="O226" i="17"/>
  <c r="CK166" i="17"/>
  <c r="CF20" i="17"/>
  <c r="V185" i="17"/>
  <c r="M456" i="23"/>
  <c r="Q428" i="23"/>
  <c r="I245" i="8"/>
  <c r="I249" i="8" s="1"/>
  <c r="S466" i="23"/>
  <c r="Y66" i="23"/>
  <c r="V55" i="23"/>
  <c r="N225" i="8"/>
  <c r="V126" i="8"/>
  <c r="BD105" i="17"/>
  <c r="W156" i="23"/>
  <c r="X105" i="17"/>
  <c r="CD14" i="26"/>
  <c r="CG8" i="17"/>
  <c r="V12" i="26"/>
  <c r="Y6" i="17"/>
  <c r="J411" i="23"/>
  <c r="P49" i="23"/>
  <c r="P55" i="23"/>
  <c r="R135" i="23"/>
  <c r="H192" i="8"/>
  <c r="H101" i="8"/>
  <c r="X192" i="8"/>
  <c r="X101" i="8"/>
  <c r="AB145" i="8"/>
  <c r="AB180" i="8"/>
  <c r="AB140" i="8"/>
  <c r="AB173" i="8"/>
  <c r="O180" i="8"/>
  <c r="O173" i="8"/>
  <c r="O145" i="8"/>
  <c r="Q55" i="23"/>
  <c r="M175" i="8"/>
  <c r="L182" i="8"/>
  <c r="L167" i="8"/>
  <c r="L478" i="7"/>
  <c r="U423" i="23"/>
  <c r="U60" i="23"/>
  <c r="L245" i="8"/>
  <c r="L249" i="8" s="1"/>
  <c r="J42" i="23"/>
  <c r="V9" i="11" s="1"/>
  <c r="W9" i="11" s="1"/>
  <c r="V82" i="17"/>
  <c r="J423" i="23"/>
  <c r="J60" i="23"/>
  <c r="DA104" i="11"/>
  <c r="Y70" i="8"/>
  <c r="K70" i="8"/>
  <c r="AE185" i="17"/>
  <c r="AG981" i="7"/>
  <c r="R226" i="17"/>
  <c r="I473" i="23"/>
  <c r="T144" i="17"/>
  <c r="V433" i="23"/>
  <c r="AB226" i="17"/>
  <c r="Y428" i="23"/>
  <c r="AO86" i="11"/>
  <c r="P120" i="8"/>
  <c r="U434" i="23"/>
  <c r="AF185" i="17"/>
  <c r="BS100" i="11"/>
  <c r="N114" i="8"/>
  <c r="CR72" i="11"/>
  <c r="T87" i="6"/>
  <c r="CW47" i="11"/>
  <c r="AD144" i="17"/>
  <c r="M466" i="23"/>
  <c r="X185" i="17"/>
  <c r="Z105" i="17"/>
  <c r="L49" i="8"/>
  <c r="U455" i="23"/>
  <c r="V105" i="17"/>
  <c r="Y72" i="8"/>
  <c r="AL21" i="26"/>
  <c r="AO26" i="17"/>
  <c r="T62" i="8"/>
  <c r="T77" i="8"/>
  <c r="U82" i="8" s="1"/>
  <c r="X33" i="25"/>
  <c r="X281" i="23"/>
  <c r="Y277" i="23"/>
  <c r="X444" i="23"/>
  <c r="X277" i="23"/>
  <c r="CQ11" i="11"/>
  <c r="DC47" i="6"/>
  <c r="CQ80" i="11"/>
  <c r="AB457" i="23"/>
  <c r="Z167" i="8"/>
  <c r="Z181" i="8" s="1"/>
  <c r="Z180" i="8"/>
  <c r="J145" i="8"/>
  <c r="J159" i="8" s="1"/>
  <c r="J180" i="8"/>
  <c r="CI34" i="11"/>
  <c r="CJ34" i="11" s="1"/>
  <c r="CK34" i="11" s="1"/>
  <c r="CI7" i="11"/>
  <c r="CJ7" i="11" s="1"/>
  <c r="W172" i="23" s="1"/>
  <c r="W12" i="25" s="1"/>
  <c r="I55" i="23"/>
  <c r="I49" i="23"/>
  <c r="W55" i="23"/>
  <c r="W49" i="23"/>
  <c r="T105" i="23"/>
  <c r="U105" i="23"/>
  <c r="S478" i="7"/>
  <c r="S182" i="8"/>
  <c r="K993" i="7"/>
  <c r="K1007" i="7" s="1"/>
  <c r="K717" i="7"/>
  <c r="AS48" i="11"/>
  <c r="AV48" i="11" s="1"/>
  <c r="N699" i="7"/>
  <c r="X55" i="23"/>
  <c r="AM306" i="7"/>
  <c r="AA307" i="7"/>
  <c r="AB308" i="7" s="1"/>
  <c r="AB304" i="7" s="1"/>
  <c r="AB297" i="7" s="1"/>
  <c r="K42" i="23"/>
  <c r="AA9" i="11" s="1"/>
  <c r="AB9" i="11" s="1"/>
  <c r="AC9" i="11" s="1"/>
  <c r="CQ54" i="6"/>
  <c r="AR86" i="6"/>
  <c r="AP62" i="20"/>
  <c r="AN223" i="20"/>
  <c r="AO226" i="20"/>
  <c r="AQ63" i="20"/>
  <c r="AQ68" i="20"/>
  <c r="AG292" i="2"/>
  <c r="AO231" i="20"/>
  <c r="AF301" i="2"/>
  <c r="AP284" i="20"/>
  <c r="AP278" i="20"/>
  <c r="AP280" i="20"/>
  <c r="AQ278" i="20"/>
  <c r="AR152" i="20"/>
  <c r="AP225" i="20"/>
  <c r="AG319" i="2"/>
  <c r="AP237" i="20" s="1"/>
  <c r="AO284" i="20"/>
  <c r="AQ67" i="20"/>
  <c r="AG291" i="2"/>
  <c r="G103" i="20"/>
  <c r="X103" i="20" s="1"/>
  <c r="CH47" i="11"/>
  <c r="AT63" i="11"/>
  <c r="BA100" i="11"/>
  <c r="P182" i="23" s="1"/>
  <c r="P22" i="25" s="1"/>
  <c r="CH115" i="11"/>
  <c r="AQ63" i="11"/>
  <c r="AR63" i="11" s="1"/>
  <c r="G483" i="20"/>
  <c r="X483" i="20" s="1"/>
  <c r="G201" i="20"/>
  <c r="X201" i="20" s="1"/>
  <c r="Z959" i="7"/>
  <c r="AM959" i="7" s="1"/>
  <c r="AM952" i="7"/>
  <c r="G187" i="20"/>
  <c r="X187" i="20" s="1"/>
  <c r="BA13" i="11"/>
  <c r="BB13" i="11" s="1"/>
  <c r="AT47" i="11"/>
  <c r="DE100" i="11"/>
  <c r="D308" i="2"/>
  <c r="F178" i="20"/>
  <c r="W178" i="20" s="1"/>
  <c r="G419" i="20"/>
  <c r="X419" i="20" s="1"/>
  <c r="DQ80" i="11"/>
  <c r="DL100" i="11"/>
  <c r="CM16" i="11"/>
  <c r="DG100" i="11"/>
  <c r="DU58" i="11"/>
  <c r="DX58" i="11" s="1"/>
  <c r="DC11" i="6"/>
  <c r="CR46" i="11"/>
  <c r="AU203" i="2"/>
  <c r="AY13" i="11"/>
  <c r="P47" i="11"/>
  <c r="DO54" i="6"/>
  <c r="AK82" i="6"/>
  <c r="CY95" i="6"/>
  <c r="G378" i="20"/>
  <c r="X378" i="20" s="1"/>
  <c r="DQ58" i="11"/>
  <c r="AO47" i="11"/>
  <c r="CG105" i="11"/>
  <c r="CH16" i="11"/>
  <c r="EG96" i="6"/>
  <c r="DL60" i="6"/>
  <c r="CG104" i="11"/>
  <c r="F179" i="20"/>
  <c r="W179" i="20" s="1"/>
  <c r="F419" i="20"/>
  <c r="W419" i="20" s="1"/>
  <c r="AU220" i="2"/>
  <c r="BL142" i="17"/>
  <c r="BL116" i="17"/>
  <c r="BL105" i="17"/>
  <c r="AW40" i="17"/>
  <c r="CM46" i="11"/>
  <c r="CO40" i="17"/>
  <c r="CC229" i="17"/>
  <c r="CW86" i="11"/>
  <c r="BU166" i="17"/>
  <c r="AW82" i="17"/>
  <c r="J1119" i="7"/>
  <c r="Z225" i="8"/>
  <c r="BQ11" i="6"/>
  <c r="X225" i="8"/>
  <c r="BB20" i="17"/>
  <c r="I119" i="8"/>
  <c r="N119" i="8"/>
  <c r="Y119" i="8"/>
  <c r="CA94" i="17"/>
  <c r="CJ70" i="11"/>
  <c r="CU70" i="17"/>
  <c r="CC216" i="17"/>
  <c r="AU216" i="17"/>
  <c r="X68" i="17"/>
  <c r="J107" i="17"/>
  <c r="L117" i="17" s="1"/>
  <c r="H18" i="17"/>
  <c r="Z239" i="17"/>
  <c r="CP44" i="17"/>
  <c r="DH35" i="11" s="1"/>
  <c r="H15" i="17"/>
  <c r="CZ86" i="6"/>
  <c r="CU103" i="17"/>
  <c r="AX89" i="17"/>
  <c r="BE65" i="11" s="1"/>
  <c r="BP20" i="26"/>
  <c r="AC155" i="23"/>
  <c r="J72" i="8"/>
  <c r="CL59" i="11"/>
  <c r="CR59" i="11" s="1"/>
  <c r="X704" i="7"/>
  <c r="AM63" i="11"/>
  <c r="CG50" i="11"/>
  <c r="N86" i="6"/>
  <c r="CG229" i="17"/>
  <c r="Q59" i="17"/>
  <c r="DS59" i="11"/>
  <c r="AD24" i="23" s="1"/>
  <c r="K225" i="8"/>
  <c r="AA225" i="8"/>
  <c r="AY11" i="6"/>
  <c r="Q225" i="8"/>
  <c r="O11" i="6"/>
  <c r="X1119" i="7"/>
  <c r="BJ20" i="26"/>
  <c r="I126" i="8"/>
  <c r="I127" i="8" s="1"/>
  <c r="I130" i="8" s="1"/>
  <c r="M126" i="8"/>
  <c r="BM49" i="17"/>
  <c r="L19" i="17"/>
  <c r="N226" i="17"/>
  <c r="Y858" i="7"/>
  <c r="S226" i="17"/>
  <c r="M216" i="17"/>
  <c r="H26" i="17"/>
  <c r="H24" i="17"/>
  <c r="CS94" i="17"/>
  <c r="CC94" i="17"/>
  <c r="BP20" i="17"/>
  <c r="AZ94" i="17"/>
  <c r="AO94" i="17"/>
  <c r="AN94" i="17"/>
  <c r="AA94" i="17"/>
  <c r="Z107" i="17"/>
  <c r="CA68" i="17"/>
  <c r="BC19" i="17"/>
  <c r="BF63" i="17"/>
  <c r="BO50" i="11" s="1"/>
  <c r="CR49" i="17"/>
  <c r="CO49" i="17"/>
  <c r="AF18" i="17"/>
  <c r="AC238" i="17"/>
  <c r="CL50" i="17"/>
  <c r="AH176" i="17"/>
  <c r="CU80" i="17"/>
  <c r="CU94" i="17" s="1"/>
  <c r="Y12" i="17"/>
  <c r="CC200" i="17"/>
  <c r="CP18" i="26"/>
  <c r="H23" i="17"/>
  <c r="AH131" i="17"/>
  <c r="W473" i="23"/>
  <c r="X405" i="23"/>
  <c r="X120" i="8"/>
  <c r="AQ82" i="6"/>
  <c r="AB135" i="23"/>
  <c r="M93" i="7"/>
  <c r="M96" i="7" s="1"/>
  <c r="S13" i="17"/>
  <c r="U59" i="17"/>
  <c r="V473" i="23"/>
  <c r="CU67" i="17"/>
  <c r="CV70" i="17"/>
  <c r="BZ239" i="17"/>
  <c r="CH69" i="17"/>
  <c r="CH13" i="26"/>
  <c r="AM94" i="17"/>
  <c r="BA94" i="17"/>
  <c r="N218" i="8"/>
  <c r="BF239" i="17"/>
  <c r="CB79" i="6"/>
  <c r="AC99" i="7"/>
  <c r="Y196" i="8"/>
  <c r="AM736" i="7"/>
  <c r="W418" i="23"/>
  <c r="BI19" i="17"/>
  <c r="AX105" i="17"/>
  <c r="BZ24" i="17"/>
  <c r="AS24" i="17"/>
  <c r="BZ18" i="17"/>
  <c r="BA8" i="17"/>
  <c r="CP106" i="17"/>
  <c r="AS20" i="17"/>
  <c r="I46" i="8"/>
  <c r="J57" i="8"/>
  <c r="BE14" i="17"/>
  <c r="BB20" i="26"/>
  <c r="AW14" i="17"/>
  <c r="AT20" i="26"/>
  <c r="AS14" i="17"/>
  <c r="AP20" i="26"/>
  <c r="AG14" i="17"/>
  <c r="AD20" i="26"/>
  <c r="BN14" i="26"/>
  <c r="BQ8" i="17"/>
  <c r="N14" i="26"/>
  <c r="Q8" i="17"/>
  <c r="AW7" i="17"/>
  <c r="AT13" i="26"/>
  <c r="CN106" i="17"/>
  <c r="BY6" i="17"/>
  <c r="BV12" i="26"/>
  <c r="BI6" i="17"/>
  <c r="BF12" i="26"/>
  <c r="AC6" i="17"/>
  <c r="Z12" i="26"/>
  <c r="U6" i="17"/>
  <c r="R12" i="26"/>
  <c r="I19" i="17"/>
  <c r="I15" i="17"/>
  <c r="I28" i="17"/>
  <c r="I20" i="17"/>
  <c r="I18" i="17"/>
  <c r="R15" i="26"/>
  <c r="U9" i="17"/>
  <c r="M312" i="7"/>
  <c r="O313" i="7" s="1"/>
  <c r="U717" i="7"/>
  <c r="U993" i="7"/>
  <c r="U1007" i="7" s="1"/>
  <c r="AB4" i="23"/>
  <c r="DH15" i="11"/>
  <c r="DI15" i="11" s="1"/>
  <c r="AB149" i="23" s="1"/>
  <c r="DH28" i="11" s="1"/>
  <c r="R699" i="7"/>
  <c r="BM48" i="11"/>
  <c r="AC287" i="23"/>
  <c r="W454" i="7"/>
  <c r="W331" i="7"/>
  <c r="K255" i="7"/>
  <c r="K242" i="7"/>
  <c r="J62" i="8"/>
  <c r="Z704" i="7"/>
  <c r="AM704" i="7" s="1"/>
  <c r="Y704" i="7"/>
  <c r="I114" i="8"/>
  <c r="CP20" i="26"/>
  <c r="CS14" i="17"/>
  <c r="F123" i="2" s="1"/>
  <c r="CO14" i="17"/>
  <c r="CL20" i="26"/>
  <c r="R20" i="26"/>
  <c r="U14" i="17"/>
  <c r="CO200" i="17"/>
  <c r="CL18" i="26"/>
  <c r="CO12" i="17"/>
  <c r="BM12" i="17"/>
  <c r="BJ18" i="26"/>
  <c r="AW12" i="17"/>
  <c r="AT18" i="26"/>
  <c r="M12" i="17"/>
  <c r="J18" i="26"/>
  <c r="AP13" i="26"/>
  <c r="AS7" i="17"/>
  <c r="P68" i="17"/>
  <c r="H155" i="23"/>
  <c r="CH12" i="26"/>
  <c r="CK6" i="17"/>
  <c r="CD12" i="26"/>
  <c r="CG6" i="17"/>
  <c r="BP106" i="17"/>
  <c r="BP111" i="17" s="1"/>
  <c r="BU20" i="17"/>
  <c r="BU15" i="17"/>
  <c r="BU28" i="17"/>
  <c r="BR21" i="26"/>
  <c r="BU18" i="17"/>
  <c r="BU19" i="17"/>
  <c r="S9" i="17"/>
  <c r="P15" i="26"/>
  <c r="AP15" i="26"/>
  <c r="AS9" i="17"/>
  <c r="AT8" i="17"/>
  <c r="AQ14" i="26"/>
  <c r="W15" i="26"/>
  <c r="Z9" i="17"/>
  <c r="AA106" i="23"/>
  <c r="AB106" i="23"/>
  <c r="K213" i="8"/>
  <c r="L196" i="8"/>
  <c r="U179" i="8"/>
  <c r="U144" i="8"/>
  <c r="U158" i="8" s="1"/>
  <c r="AN31" i="8"/>
  <c r="AC49" i="8"/>
  <c r="AB248" i="8"/>
  <c r="AC255" i="8" s="1"/>
  <c r="AC197" i="8"/>
  <c r="AC342" i="7" s="1"/>
  <c r="DM7" i="11"/>
  <c r="DN7" i="11" s="1"/>
  <c r="DO7" i="11" s="1"/>
  <c r="DM34" i="11"/>
  <c r="DN34" i="11" s="1"/>
  <c r="DO34" i="11" s="1"/>
  <c r="R551" i="7"/>
  <c r="R581" i="7"/>
  <c r="AC215" i="23"/>
  <c r="E139" i="2"/>
  <c r="AV139" i="2" s="1"/>
  <c r="DP59" i="11"/>
  <c r="AC215" i="8"/>
  <c r="AC72" i="25"/>
  <c r="EI11" i="6"/>
  <c r="AC222" i="8"/>
  <c r="AC230" i="8"/>
  <c r="E203" i="2"/>
  <c r="X256" i="7"/>
  <c r="X897" i="7" s="1"/>
  <c r="Y179" i="8"/>
  <c r="Y144" i="8"/>
  <c r="Z13" i="17"/>
  <c r="AA19" i="26"/>
  <c r="CC47" i="11"/>
  <c r="X228" i="23"/>
  <c r="BY229" i="17"/>
  <c r="CJ68" i="17"/>
  <c r="P226" i="17"/>
  <c r="AC221" i="23"/>
  <c r="O14" i="17"/>
  <c r="CT44" i="17"/>
  <c r="DM35" i="11" s="1"/>
  <c r="BH105" i="17"/>
  <c r="AN105" i="17"/>
  <c r="AB105" i="17"/>
  <c r="BU6" i="17"/>
  <c r="Y7" i="17"/>
  <c r="BB19" i="17"/>
  <c r="AP21" i="26"/>
  <c r="AS18" i="17"/>
  <c r="AG9" i="17"/>
  <c r="AD15" i="26"/>
  <c r="DK47" i="6"/>
  <c r="BF20" i="26"/>
  <c r="BI14" i="17"/>
  <c r="CK12" i="17"/>
  <c r="CH18" i="26"/>
  <c r="CK200" i="17"/>
  <c r="BQ18" i="26"/>
  <c r="BT12" i="17"/>
  <c r="CS8" i="17"/>
  <c r="F117" i="2" s="1"/>
  <c r="CP14" i="26"/>
  <c r="CK8" i="17"/>
  <c r="CH14" i="26"/>
  <c r="BM8" i="17"/>
  <c r="BJ14" i="26"/>
  <c r="M8" i="17"/>
  <c r="J14" i="26"/>
  <c r="CL13" i="26"/>
  <c r="CO7" i="17"/>
  <c r="BY7" i="17"/>
  <c r="BV13" i="26"/>
  <c r="AO7" i="17"/>
  <c r="AL13" i="26"/>
  <c r="N13" i="26"/>
  <c r="Q7" i="17"/>
  <c r="CB106" i="17"/>
  <c r="BM6" i="17"/>
  <c r="BJ12" i="26"/>
  <c r="BB12" i="26"/>
  <c r="BE6" i="17"/>
  <c r="AX12" i="26"/>
  <c r="BA6" i="17"/>
  <c r="AH12" i="26"/>
  <c r="AK6" i="17"/>
  <c r="AG6" i="17"/>
  <c r="AD12" i="26"/>
  <c r="BI18" i="17"/>
  <c r="BI28" i="17"/>
  <c r="BF21" i="26"/>
  <c r="BI15" i="17"/>
  <c r="AL7" i="17"/>
  <c r="AI13" i="26"/>
  <c r="N69" i="17"/>
  <c r="AB192" i="8"/>
  <c r="AB101" i="8"/>
  <c r="AA455" i="23"/>
  <c r="M59" i="17"/>
  <c r="AM694" i="7"/>
  <c r="Z722" i="7"/>
  <c r="AM722" i="7" s="1"/>
  <c r="L226" i="17"/>
  <c r="I997" i="7"/>
  <c r="I1011" i="7" s="1"/>
  <c r="T21" i="6"/>
  <c r="I89" i="25"/>
  <c r="I250" i="7"/>
  <c r="V455" i="23"/>
  <c r="CO59" i="17"/>
  <c r="AV175" i="2"/>
  <c r="R225" i="8"/>
  <c r="Z1119" i="7"/>
  <c r="BB18" i="17"/>
  <c r="O70" i="8"/>
  <c r="BF233" i="17"/>
  <c r="BF2" i="17" s="1"/>
  <c r="BC26" i="17"/>
  <c r="BK49" i="17"/>
  <c r="BS6" i="17"/>
  <c r="CP50" i="17"/>
  <c r="BE229" i="17"/>
  <c r="K216" i="17"/>
  <c r="T24" i="17"/>
  <c r="Z89" i="17"/>
  <c r="AA65" i="11" s="1"/>
  <c r="L20" i="17"/>
  <c r="BW19" i="17"/>
  <c r="Y68" i="17"/>
  <c r="U68" i="17"/>
  <c r="Q68" i="17"/>
  <c r="CQ49" i="17"/>
  <c r="CN49" i="17"/>
  <c r="BI49" i="17"/>
  <c r="L49" i="17"/>
  <c r="CB238" i="17"/>
  <c r="BH238" i="17"/>
  <c r="Z233" i="17"/>
  <c r="AA238" i="17"/>
  <c r="CS49" i="17"/>
  <c r="BZ18" i="26"/>
  <c r="CS12" i="17"/>
  <c r="F121" i="2" s="1"/>
  <c r="G110" i="20" s="1"/>
  <c r="X110" i="20" s="1"/>
  <c r="AC120" i="8"/>
  <c r="L114" i="8"/>
  <c r="K429" i="23"/>
  <c r="X457" i="23"/>
  <c r="Q466" i="23"/>
  <c r="J155" i="23"/>
  <c r="P60" i="8"/>
  <c r="I242" i="7"/>
  <c r="AC60" i="8"/>
  <c r="S60" i="8"/>
  <c r="Z155" i="23"/>
  <c r="AL95" i="17"/>
  <c r="R144" i="17"/>
  <c r="AC188" i="8"/>
  <c r="V51" i="8"/>
  <c r="R74" i="25"/>
  <c r="T226" i="17"/>
  <c r="V62" i="8"/>
  <c r="I57" i="8"/>
  <c r="W228" i="23"/>
  <c r="W221" i="23"/>
  <c r="V226" i="17"/>
  <c r="N185" i="17"/>
  <c r="R349" i="23"/>
  <c r="CF106" i="17"/>
  <c r="AL14" i="26"/>
  <c r="BU8" i="17"/>
  <c r="AK12" i="17"/>
  <c r="CT106" i="17"/>
  <c r="CY86" i="11"/>
  <c r="CZ86" i="11" s="1"/>
  <c r="Y8" i="17"/>
  <c r="BZ20" i="26"/>
  <c r="AS19" i="17"/>
  <c r="S564" i="7"/>
  <c r="S567" i="7" s="1"/>
  <c r="X428" i="23"/>
  <c r="AA433" i="23"/>
  <c r="AB433" i="23"/>
  <c r="BU24" i="17"/>
  <c r="CK40" i="17"/>
  <c r="BU26" i="17"/>
  <c r="Y14" i="17"/>
  <c r="V20" i="26"/>
  <c r="Q14" i="17"/>
  <c r="N20" i="26"/>
  <c r="J20" i="26"/>
  <c r="M14" i="17"/>
  <c r="BQ12" i="17"/>
  <c r="BN18" i="26"/>
  <c r="BA12" i="17"/>
  <c r="AX18" i="26"/>
  <c r="U12" i="17"/>
  <c r="R18" i="26"/>
  <c r="CL14" i="26"/>
  <c r="CO8" i="17"/>
  <c r="CC8" i="17"/>
  <c r="BZ14" i="26"/>
  <c r="BV14" i="26"/>
  <c r="BY8" i="17"/>
  <c r="R14" i="26"/>
  <c r="U8" i="17"/>
  <c r="CD13" i="26"/>
  <c r="CG7" i="17"/>
  <c r="CC7" i="17"/>
  <c r="BZ13" i="26"/>
  <c r="AC7" i="17"/>
  <c r="Z13" i="26"/>
  <c r="R13" i="26"/>
  <c r="U7" i="17"/>
  <c r="AO6" i="17"/>
  <c r="AL12" i="26"/>
  <c r="H105" i="17"/>
  <c r="BM28" i="17"/>
  <c r="BM15" i="17"/>
  <c r="Y15" i="17"/>
  <c r="Y18" i="17"/>
  <c r="M19" i="17"/>
  <c r="M20" i="17"/>
  <c r="P144" i="8"/>
  <c r="P158" i="8" s="1"/>
  <c r="P179" i="8"/>
  <c r="AB188" i="8"/>
  <c r="AB195" i="8" s="1"/>
  <c r="AM28" i="8"/>
  <c r="AB111" i="8"/>
  <c r="AB46" i="8"/>
  <c r="AB57" i="8"/>
  <c r="V551" i="7"/>
  <c r="W565" i="7"/>
  <c r="V581" i="7"/>
  <c r="AA332" i="7"/>
  <c r="AA331" i="7"/>
  <c r="AA330" i="7"/>
  <c r="AA102" i="7"/>
  <c r="AA104" i="7" s="1"/>
  <c r="AA443" i="7"/>
  <c r="AA445" i="7" s="1"/>
  <c r="AA451" i="7" s="1"/>
  <c r="AC46" i="8"/>
  <c r="K72" i="8"/>
  <c r="K365" i="7"/>
  <c r="Q196" i="8"/>
  <c r="AM94" i="6"/>
  <c r="BN47" i="11"/>
  <c r="I279" i="20"/>
  <c r="Z279" i="20" s="1"/>
  <c r="I281" i="20"/>
  <c r="Z281" i="20" s="1"/>
  <c r="H201" i="20"/>
  <c r="Y201" i="20" s="1"/>
  <c r="AU163" i="2"/>
  <c r="I201" i="20"/>
  <c r="Z201" i="20" s="1"/>
  <c r="G514" i="20"/>
  <c r="X514" i="20" s="1"/>
  <c r="F34" i="20"/>
  <c r="W34" i="20" s="1"/>
  <c r="I187" i="20"/>
  <c r="Z187" i="20" s="1"/>
  <c r="AV147" i="2"/>
  <c r="G512" i="20"/>
  <c r="X512" i="20" s="1"/>
  <c r="G506" i="20"/>
  <c r="X506" i="20" s="1"/>
  <c r="F282" i="20"/>
  <c r="W282" i="20" s="1"/>
  <c r="I282" i="20"/>
  <c r="Z282" i="20" s="1"/>
  <c r="AG63" i="11"/>
  <c r="L177" i="23" s="1"/>
  <c r="L17" i="25" s="1"/>
  <c r="O65" i="6"/>
  <c r="CX40" i="17"/>
  <c r="CX45" i="17" s="1"/>
  <c r="AD58" i="23"/>
  <c r="AD65" i="23" s="1"/>
  <c r="F197" i="20"/>
  <c r="W197" i="20" s="1"/>
  <c r="I197" i="20"/>
  <c r="Z197" i="20" s="1"/>
  <c r="CX15" i="6"/>
  <c r="DB40" i="17"/>
  <c r="DD62" i="6"/>
  <c r="I283" i="20"/>
  <c r="Z283" i="20" s="1"/>
  <c r="F283" i="20"/>
  <c r="W283" i="20" s="1"/>
  <c r="CX62" i="6"/>
  <c r="F279" i="20"/>
  <c r="W279" i="20" s="1"/>
  <c r="F31" i="20"/>
  <c r="W31" i="20" s="1"/>
  <c r="P249" i="8"/>
  <c r="Q256" i="8" s="1"/>
  <c r="Q253" i="8"/>
  <c r="X6" i="17"/>
  <c r="U12" i="26"/>
  <c r="AY20" i="26"/>
  <c r="BB14" i="17"/>
  <c r="N17" i="26"/>
  <c r="Q11" i="17"/>
  <c r="BC9" i="17"/>
  <c r="AZ15" i="26"/>
  <c r="BC13" i="26"/>
  <c r="BF7" i="17"/>
  <c r="AU12" i="17"/>
  <c r="AR18" i="26"/>
  <c r="CA20" i="26"/>
  <c r="CD14" i="17"/>
  <c r="BK18" i="26"/>
  <c r="BN12" i="17"/>
  <c r="AX12" i="17"/>
  <c r="AU18" i="26"/>
  <c r="AA12" i="17"/>
  <c r="X18" i="26"/>
  <c r="AU14" i="26"/>
  <c r="AX8" i="17"/>
  <c r="AH7" i="17"/>
  <c r="AE13" i="26"/>
  <c r="R7" i="17"/>
  <c r="O13" i="26"/>
  <c r="BZ106" i="17"/>
  <c r="BJ105" i="17"/>
  <c r="AU12" i="26"/>
  <c r="AX6" i="17"/>
  <c r="AD105" i="17"/>
  <c r="BZ19" i="17"/>
  <c r="BW21" i="26"/>
  <c r="BZ15" i="17"/>
  <c r="BZ26" i="17"/>
  <c r="BZ28" i="17"/>
  <c r="AB9" i="17"/>
  <c r="Y15" i="26"/>
  <c r="AK15" i="26"/>
  <c r="AN9" i="17"/>
  <c r="AJ15" i="26"/>
  <c r="AM9" i="17"/>
  <c r="T188" i="8"/>
  <c r="T111" i="8"/>
  <c r="DH8" i="11"/>
  <c r="DI8" i="11" s="1"/>
  <c r="AB173" i="23" s="1"/>
  <c r="DH49" i="11"/>
  <c r="DI49" i="11" s="1"/>
  <c r="DJ49" i="11" s="1"/>
  <c r="DH48" i="11"/>
  <c r="X167" i="8"/>
  <c r="X146" i="8" s="1"/>
  <c r="X180" i="8"/>
  <c r="Z1008" i="7"/>
  <c r="AM1008" i="7" s="1"/>
  <c r="CS229" i="17"/>
  <c r="CC59" i="17"/>
  <c r="CE175" i="17"/>
  <c r="AI105" i="17"/>
  <c r="AF9" i="17"/>
  <c r="AC15" i="26"/>
  <c r="CL200" i="17"/>
  <c r="CL12" i="17"/>
  <c r="CI18" i="26"/>
  <c r="AI18" i="26"/>
  <c r="AL12" i="17"/>
  <c r="AH12" i="17"/>
  <c r="AE18" i="26"/>
  <c r="BZ95" i="17"/>
  <c r="BZ89" i="17"/>
  <c r="CN65" i="11" s="1"/>
  <c r="W14" i="26"/>
  <c r="Z8" i="17"/>
  <c r="CH7" i="17"/>
  <c r="CE13" i="26"/>
  <c r="AU13" i="26"/>
  <c r="AX7" i="17"/>
  <c r="BN106" i="17"/>
  <c r="BO111" i="17" s="1"/>
  <c r="AP6" i="17"/>
  <c r="AM12" i="26"/>
  <c r="AD6" i="17"/>
  <c r="AA12" i="26"/>
  <c r="R6" i="17"/>
  <c r="O12" i="26"/>
  <c r="N105" i="17"/>
  <c r="BF19" i="17"/>
  <c r="BF28" i="17"/>
  <c r="BF15" i="17"/>
  <c r="BF18" i="17"/>
  <c r="BF24" i="17"/>
  <c r="BC21" i="26"/>
  <c r="AZ238" i="17"/>
  <c r="Q163" i="23"/>
  <c r="AP15" i="17"/>
  <c r="AP28" i="17"/>
  <c r="AM21" i="26"/>
  <c r="Z28" i="17"/>
  <c r="Z15" i="17"/>
  <c r="W21" i="26"/>
  <c r="AL15" i="26"/>
  <c r="AO9" i="17"/>
  <c r="L192" i="8"/>
  <c r="M199" i="8" s="1"/>
  <c r="L101" i="8"/>
  <c r="M81" i="8"/>
  <c r="X111" i="8"/>
  <c r="L60" i="8"/>
  <c r="K60" i="8"/>
  <c r="U182" i="8"/>
  <c r="U478" i="7"/>
  <c r="U479" i="7" s="1"/>
  <c r="M126" i="23"/>
  <c r="BQ94" i="17"/>
  <c r="E233" i="2"/>
  <c r="AV233" i="2" s="1"/>
  <c r="AC1120" i="7"/>
  <c r="EK17" i="6"/>
  <c r="AC100" i="25"/>
  <c r="AD140" i="7"/>
  <c r="AC157" i="7"/>
  <c r="AB543" i="7"/>
  <c r="AA578" i="7"/>
  <c r="CI14" i="26"/>
  <c r="CL8" i="17"/>
  <c r="CA18" i="26"/>
  <c r="CD200" i="17"/>
  <c r="CD12" i="17"/>
  <c r="BF105" i="17"/>
  <c r="Z7" i="17"/>
  <c r="W13" i="26"/>
  <c r="AY9" i="17"/>
  <c r="AV15" i="26"/>
  <c r="BC12" i="17"/>
  <c r="AZ18" i="26"/>
  <c r="AT14" i="17"/>
  <c r="AQ20" i="26"/>
  <c r="BR8" i="17"/>
  <c r="BO14" i="26"/>
  <c r="AD7" i="17"/>
  <c r="AA13" i="26"/>
  <c r="N7" i="17"/>
  <c r="K13" i="26"/>
  <c r="CL106" i="17"/>
  <c r="CH106" i="17"/>
  <c r="AP105" i="17"/>
  <c r="BN18" i="17"/>
  <c r="BK21" i="26"/>
  <c r="BN15" i="17"/>
  <c r="BN20" i="17"/>
  <c r="BN28" i="17"/>
  <c r="AK9" i="17"/>
  <c r="AH15" i="26"/>
  <c r="X15" i="26"/>
  <c r="AA9" i="17"/>
  <c r="P101" i="8"/>
  <c r="P78" i="8"/>
  <c r="P147" i="8" s="1"/>
  <c r="P192" i="8"/>
  <c r="P199" i="8" s="1"/>
  <c r="Z365" i="7"/>
  <c r="AM365" i="7" s="1"/>
  <c r="Z72" i="8"/>
  <c r="S365" i="7"/>
  <c r="S72" i="8"/>
  <c r="P81" i="8"/>
  <c r="I145" i="8"/>
  <c r="I159" i="8" s="1"/>
  <c r="I164" i="8"/>
  <c r="I180" i="8"/>
  <c r="I173" i="8"/>
  <c r="J173" i="8"/>
  <c r="AW229" i="17"/>
  <c r="AM238" i="17"/>
  <c r="AM14" i="26"/>
  <c r="AP8" i="17"/>
  <c r="S18" i="26"/>
  <c r="V12" i="17"/>
  <c r="K20" i="26"/>
  <c r="N14" i="17"/>
  <c r="CQ8" i="17"/>
  <c r="D117" i="2" s="1"/>
  <c r="CN14" i="26"/>
  <c r="AZ9" i="17"/>
  <c r="AW15" i="26"/>
  <c r="AB238" i="17"/>
  <c r="K163" i="23"/>
  <c r="Z549" i="7"/>
  <c r="Z569" i="7"/>
  <c r="Y582" i="7"/>
  <c r="BW20" i="26"/>
  <c r="BZ14" i="17"/>
  <c r="O18" i="26"/>
  <c r="R12" i="17"/>
  <c r="BS14" i="26"/>
  <c r="BV8" i="17"/>
  <c r="BK14" i="26"/>
  <c r="BN8" i="17"/>
  <c r="BF8" i="17"/>
  <c r="BC14" i="26"/>
  <c r="BG13" i="26"/>
  <c r="BJ7" i="17"/>
  <c r="AY13" i="26"/>
  <c r="BB7" i="17"/>
  <c r="AP7" i="17"/>
  <c r="AM13" i="26"/>
  <c r="CI12" i="26"/>
  <c r="CL6" i="17"/>
  <c r="BS12" i="26"/>
  <c r="BV6" i="17"/>
  <c r="AE12" i="26"/>
  <c r="AH6" i="17"/>
  <c r="Z6" i="17"/>
  <c r="W12" i="26"/>
  <c r="BB28" i="17"/>
  <c r="AY21" i="26"/>
  <c r="AG13" i="17"/>
  <c r="AD19" i="26"/>
  <c r="Z226" i="17"/>
  <c r="CG82" i="17"/>
  <c r="S454" i="7"/>
  <c r="S331" i="7"/>
  <c r="AO154" i="20"/>
  <c r="AO62" i="20"/>
  <c r="AQ62" i="20"/>
  <c r="AQ154" i="20"/>
  <c r="AO223" i="20"/>
  <c r="AG286" i="2"/>
  <c r="AP226" i="20"/>
  <c r="AR63" i="20"/>
  <c r="AP256" i="20"/>
  <c r="AR73" i="20"/>
  <c r="AP259" i="20"/>
  <c r="AP254" i="20"/>
  <c r="AP33" i="20"/>
  <c r="AP258" i="20"/>
  <c r="AP253" i="20"/>
  <c r="AP29" i="20"/>
  <c r="AP257" i="20"/>
  <c r="AP236" i="20"/>
  <c r="AM223" i="20"/>
  <c r="AP222" i="20"/>
  <c r="AR61" i="20"/>
  <c r="AR66" i="20"/>
  <c r="AP229" i="20"/>
  <c r="AO255" i="20"/>
  <c r="AF299" i="2"/>
  <c r="AP150" i="20"/>
  <c r="AG316" i="2"/>
  <c r="AO232" i="20"/>
  <c r="AG310" i="2"/>
  <c r="AQ65" i="20"/>
  <c r="AO228" i="20"/>
  <c r="AN238" i="20"/>
  <c r="AP71" i="20"/>
  <c r="AF293" i="2"/>
  <c r="AN234" i="20"/>
  <c r="AN27" i="20"/>
  <c r="AR72" i="20"/>
  <c r="AP235" i="20"/>
  <c r="AR149" i="20"/>
  <c r="AP224" i="20"/>
  <c r="CH101" i="11"/>
  <c r="BD46" i="11"/>
  <c r="BR105" i="11"/>
  <c r="BR152" i="17"/>
  <c r="S105" i="17"/>
  <c r="BQ166" i="17"/>
  <c r="X233" i="8"/>
  <c r="X218" i="8"/>
  <c r="X191" i="8"/>
  <c r="O9" i="17"/>
  <c r="L15" i="26"/>
  <c r="AG11" i="6"/>
  <c r="K233" i="8"/>
  <c r="K218" i="8"/>
  <c r="K191" i="8"/>
  <c r="AA11" i="6"/>
  <c r="J233" i="8"/>
  <c r="J191" i="8"/>
  <c r="Z218" i="8"/>
  <c r="Z233" i="8"/>
  <c r="M11" i="17"/>
  <c r="J17" i="26"/>
  <c r="V561" i="7"/>
  <c r="AM175" i="17"/>
  <c r="CR26" i="17"/>
  <c r="CR32" i="17" s="1"/>
  <c r="BW216" i="17"/>
  <c r="CM175" i="17"/>
  <c r="CN175" i="17"/>
  <c r="CB175" i="17"/>
  <c r="BS175" i="17"/>
  <c r="AI24" i="17"/>
  <c r="AI32" i="17" s="1"/>
  <c r="P175" i="17"/>
  <c r="BI94" i="17"/>
  <c r="AI20" i="17"/>
  <c r="BY49" i="17"/>
  <c r="BW49" i="17"/>
  <c r="BM238" i="17"/>
  <c r="CU73" i="17"/>
  <c r="AE226" i="17"/>
  <c r="O23" i="17"/>
  <c r="BY166" i="17"/>
  <c r="X81" i="7"/>
  <c r="X84" i="7" s="1"/>
  <c r="O225" i="8"/>
  <c r="O233" i="8"/>
  <c r="O218" i="8"/>
  <c r="N233" i="8"/>
  <c r="N191" i="8"/>
  <c r="CC40" i="17"/>
  <c r="AK166" i="17"/>
  <c r="U229" i="17"/>
  <c r="BI229" i="17"/>
  <c r="CK59" i="17"/>
  <c r="BW26" i="17"/>
  <c r="BW32" i="17" s="1"/>
  <c r="Y216" i="17"/>
  <c r="T26" i="17"/>
  <c r="CI175" i="17"/>
  <c r="CG175" i="17"/>
  <c r="BT175" i="17"/>
  <c r="AQ24" i="17"/>
  <c r="BY68" i="17"/>
  <c r="BU68" i="17"/>
  <c r="X466" i="23"/>
  <c r="BY59" i="17"/>
  <c r="R125" i="23"/>
  <c r="AA114" i="8"/>
  <c r="J195" i="8"/>
  <c r="W105" i="17"/>
  <c r="W155" i="23"/>
  <c r="U319" i="23"/>
  <c r="Z729" i="7"/>
  <c r="Z732" i="7" s="1"/>
  <c r="L218" i="8"/>
  <c r="BW11" i="6"/>
  <c r="S225" i="8"/>
  <c r="R218" i="8"/>
  <c r="R233" i="8"/>
  <c r="R191" i="8"/>
  <c r="AD146" i="17"/>
  <c r="AF156" i="17" s="1"/>
  <c r="AU20" i="17"/>
  <c r="CC68" i="17"/>
  <c r="BO94" i="17"/>
  <c r="BW68" i="17"/>
  <c r="BO68" i="17"/>
  <c r="CF238" i="17"/>
  <c r="DF84" i="17"/>
  <c r="CV80" i="17"/>
  <c r="CV79" i="17" s="1"/>
  <c r="S411" i="23"/>
  <c r="M308" i="7"/>
  <c r="M309" i="7" s="1"/>
  <c r="H60" i="8"/>
  <c r="I60" i="8"/>
  <c r="AC125" i="23"/>
  <c r="Q72" i="8"/>
  <c r="Y13" i="17"/>
  <c r="P225" i="8"/>
  <c r="P233" i="8"/>
  <c r="P191" i="8"/>
  <c r="AB1119" i="7"/>
  <c r="AB218" i="8"/>
  <c r="AB233" i="8"/>
  <c r="AA218" i="8"/>
  <c r="AA233" i="8"/>
  <c r="CU11" i="6"/>
  <c r="V233" i="8"/>
  <c r="V191" i="8"/>
  <c r="H19" i="26"/>
  <c r="K13" i="17"/>
  <c r="CW72" i="11"/>
  <c r="BM207" i="17"/>
  <c r="G283" i="20"/>
  <c r="X283" i="20" s="1"/>
  <c r="AU54" i="6"/>
  <c r="BI166" i="17"/>
  <c r="AV245" i="2"/>
  <c r="DF94" i="6"/>
  <c r="DO80" i="6"/>
  <c r="AN26" i="17"/>
  <c r="AC455" i="23"/>
  <c r="AX14" i="17"/>
  <c r="AU20" i="26"/>
  <c r="BZ200" i="17"/>
  <c r="BW18" i="26"/>
  <c r="BZ12" i="17"/>
  <c r="CH8" i="17"/>
  <c r="CE14" i="26"/>
  <c r="K14" i="26"/>
  <c r="N8" i="17"/>
  <c r="BZ6" i="17"/>
  <c r="BW12" i="26"/>
  <c r="BE20" i="17"/>
  <c r="BE19" i="17"/>
  <c r="BE26" i="17"/>
  <c r="BB21" i="26"/>
  <c r="BE18" i="17"/>
  <c r="BE24" i="17"/>
  <c r="BE28" i="17"/>
  <c r="BE15" i="17"/>
  <c r="S19" i="26"/>
  <c r="V13" i="17"/>
  <c r="V225" i="8"/>
  <c r="U225" i="8"/>
  <c r="Q126" i="8"/>
  <c r="BA207" i="17"/>
  <c r="BA59" i="17"/>
  <c r="CB26" i="17"/>
  <c r="CB32" i="17" s="1"/>
  <c r="BO175" i="17"/>
  <c r="BK175" i="17"/>
  <c r="AY175" i="17"/>
  <c r="CR20" i="17"/>
  <c r="K7" i="28" s="1"/>
  <c r="CM94" i="17"/>
  <c r="AQ94" i="17"/>
  <c r="AQ20" i="17"/>
  <c r="P94" i="17"/>
  <c r="CB19" i="17"/>
  <c r="T238" i="17"/>
  <c r="U238" i="17"/>
  <c r="M207" i="17"/>
  <c r="Y126" i="23"/>
  <c r="AC428" i="23"/>
  <c r="U111" i="8"/>
  <c r="L466" i="23"/>
  <c r="BR107" i="17"/>
  <c r="BQ108" i="17" s="1"/>
  <c r="P321" i="23"/>
  <c r="AC268" i="23"/>
  <c r="V126" i="23"/>
  <c r="V466" i="23"/>
  <c r="X473" i="23"/>
  <c r="Z428" i="23"/>
  <c r="BV14" i="17"/>
  <c r="BS20" i="26"/>
  <c r="BC20" i="26"/>
  <c r="BF14" i="17"/>
  <c r="AH14" i="17"/>
  <c r="AE20" i="26"/>
  <c r="O20" i="26"/>
  <c r="R14" i="17"/>
  <c r="CE18" i="26"/>
  <c r="CH200" i="17"/>
  <c r="CH12" i="17"/>
  <c r="BC18" i="26"/>
  <c r="BF12" i="17"/>
  <c r="AD12" i="17"/>
  <c r="AA18" i="26"/>
  <c r="CP8" i="17"/>
  <c r="CM14" i="26"/>
  <c r="Q233" i="8"/>
  <c r="AI14" i="26"/>
  <c r="AL8" i="17"/>
  <c r="R8" i="17"/>
  <c r="O14" i="26"/>
  <c r="CI13" i="26"/>
  <c r="CL7" i="17"/>
  <c r="BN7" i="17"/>
  <c r="BK13" i="26"/>
  <c r="CA12" i="26"/>
  <c r="CD6" i="17"/>
  <c r="AQ12" i="26"/>
  <c r="AT6" i="17"/>
  <c r="BY18" i="17"/>
  <c r="BY20" i="17"/>
  <c r="BY24" i="17"/>
  <c r="BY26" i="17"/>
  <c r="BY19" i="17"/>
  <c r="BY15" i="17"/>
  <c r="BV21" i="26"/>
  <c r="BY28" i="17"/>
  <c r="Z1087" i="7"/>
  <c r="Z1088" i="7" s="1"/>
  <c r="Z78" i="25" s="1"/>
  <c r="AM851" i="7"/>
  <c r="DQ47" i="6"/>
  <c r="Z864" i="7"/>
  <c r="AM864" i="7" s="1"/>
  <c r="Z467" i="23"/>
  <c r="W18" i="26"/>
  <c r="Z12" i="17"/>
  <c r="BZ8" i="17"/>
  <c r="BW14" i="26"/>
  <c r="CT6" i="17"/>
  <c r="G115" i="2" s="1"/>
  <c r="CQ12" i="26"/>
  <c r="Q40" i="17"/>
  <c r="AH146" i="17"/>
  <c r="CO11" i="6"/>
  <c r="AA70" i="8"/>
  <c r="R126" i="8"/>
  <c r="X561" i="7"/>
  <c r="X584" i="7" s="1"/>
  <c r="S49" i="17"/>
  <c r="W20" i="17"/>
  <c r="CK49" i="17"/>
  <c r="CF26" i="17"/>
  <c r="W26" i="17"/>
  <c r="S26" i="17"/>
  <c r="CF24" i="17"/>
  <c r="BO24" i="17"/>
  <c r="S19" i="17"/>
  <c r="G105" i="17"/>
  <c r="CE18" i="17"/>
  <c r="BF211" i="17"/>
  <c r="BO103" i="11" s="1"/>
  <c r="V146" i="17"/>
  <c r="X156" i="17" s="1"/>
  <c r="S144" i="17"/>
  <c r="AB23" i="17"/>
  <c r="S111" i="8"/>
  <c r="CG207" i="17"/>
  <c r="AO166" i="17"/>
  <c r="R455" i="23"/>
  <c r="U473" i="23"/>
  <c r="N434" i="23"/>
  <c r="CS82" i="17"/>
  <c r="BN44" i="17"/>
  <c r="BY35" i="11" s="1"/>
  <c r="U218" i="8"/>
  <c r="Y348" i="23"/>
  <c r="W434" i="23"/>
  <c r="V348" i="23"/>
  <c r="CT14" i="17"/>
  <c r="G123" i="2" s="1"/>
  <c r="CQ20" i="26"/>
  <c r="BK20" i="26"/>
  <c r="BN14" i="17"/>
  <c r="AM20" i="26"/>
  <c r="AP14" i="17"/>
  <c r="Z14" i="17"/>
  <c r="W20" i="26"/>
  <c r="CT12" i="17"/>
  <c r="G121" i="2" s="1"/>
  <c r="CQ18" i="26"/>
  <c r="CT200" i="17"/>
  <c r="BO18" i="26"/>
  <c r="BR12" i="17"/>
  <c r="AQ18" i="26"/>
  <c r="AT12" i="17"/>
  <c r="N12" i="17"/>
  <c r="K18" i="26"/>
  <c r="CD8" i="17"/>
  <c r="CA14" i="26"/>
  <c r="I1119" i="7"/>
  <c r="I218" i="8"/>
  <c r="I233" i="8"/>
  <c r="I191" i="8"/>
  <c r="BJ8" i="17"/>
  <c r="BG14" i="26"/>
  <c r="AD8" i="17"/>
  <c r="AA14" i="26"/>
  <c r="BV7" i="17"/>
  <c r="BS13" i="26"/>
  <c r="CP6" i="17"/>
  <c r="CM12" i="26"/>
  <c r="BK12" i="26"/>
  <c r="BN6" i="17"/>
  <c r="AH19" i="17"/>
  <c r="AH18" i="17"/>
  <c r="AH20" i="17"/>
  <c r="AH26" i="17"/>
  <c r="AE21" i="26"/>
  <c r="AH24" i="17"/>
  <c r="AH15" i="17"/>
  <c r="AH28" i="17"/>
  <c r="AH23" i="17"/>
  <c r="Q218" i="8"/>
  <c r="H49" i="8"/>
  <c r="Q429" i="23"/>
  <c r="BR14" i="17"/>
  <c r="BO20" i="26"/>
  <c r="AA20" i="26"/>
  <c r="AD14" i="17"/>
  <c r="BB12" i="17"/>
  <c r="AY18" i="26"/>
  <c r="AE14" i="26"/>
  <c r="AH8" i="17"/>
  <c r="CD7" i="17"/>
  <c r="CA13" i="26"/>
  <c r="AI12" i="26"/>
  <c r="AL6" i="17"/>
  <c r="AY15" i="26"/>
  <c r="BB9" i="17"/>
  <c r="CS166" i="17"/>
  <c r="U1119" i="7"/>
  <c r="Q119" i="8"/>
  <c r="BX19" i="17"/>
  <c r="BO26" i="17"/>
  <c r="AB26" i="17"/>
  <c r="BX24" i="17"/>
  <c r="BX32" i="17" s="1"/>
  <c r="AN24" i="17"/>
  <c r="BS49" i="17"/>
  <c r="AL107" i="17"/>
  <c r="AN117" i="17" s="1"/>
  <c r="AG238" i="17"/>
  <c r="R211" i="17"/>
  <c r="Q103" i="11" s="1"/>
  <c r="H114" i="8"/>
  <c r="R187" i="17"/>
  <c r="N163" i="23"/>
  <c r="X135" i="23"/>
  <c r="L57" i="8"/>
  <c r="AB434" i="23"/>
  <c r="I287" i="23"/>
  <c r="CL14" i="17"/>
  <c r="CI20" i="26"/>
  <c r="BJ14" i="17"/>
  <c r="BG20" i="26"/>
  <c r="AL14" i="17"/>
  <c r="AI20" i="26"/>
  <c r="S20" i="26"/>
  <c r="V14" i="17"/>
  <c r="CP12" i="17"/>
  <c r="CM18" i="26"/>
  <c r="CP200" i="17"/>
  <c r="BG18" i="26"/>
  <c r="BJ12" i="17"/>
  <c r="AP12" i="17"/>
  <c r="AM18" i="26"/>
  <c r="M233" i="8"/>
  <c r="AY14" i="26"/>
  <c r="BB8" i="17"/>
  <c r="S14" i="26"/>
  <c r="V8" i="17"/>
  <c r="CT7" i="17"/>
  <c r="G116" i="2" s="1"/>
  <c r="CQ13" i="26"/>
  <c r="BO13" i="26"/>
  <c r="BR7" i="17"/>
  <c r="CE12" i="26"/>
  <c r="CH6" i="17"/>
  <c r="AY12" i="26"/>
  <c r="BB6" i="17"/>
  <c r="CT24" i="17"/>
  <c r="CT26" i="17"/>
  <c r="CQ21" i="26"/>
  <c r="CT19" i="17"/>
  <c r="CT28" i="17"/>
  <c r="CT20" i="17"/>
  <c r="M7" i="28" s="1"/>
  <c r="CT15" i="17"/>
  <c r="CT18" i="17"/>
  <c r="J24" i="17"/>
  <c r="J18" i="17"/>
  <c r="J19" i="17"/>
  <c r="J26" i="17"/>
  <c r="J28" i="17"/>
  <c r="J23" i="17"/>
  <c r="J15" i="17"/>
  <c r="J20" i="17"/>
  <c r="Q17" i="26"/>
  <c r="T11" i="17"/>
  <c r="G176" i="20"/>
  <c r="X176" i="20" s="1"/>
  <c r="AL113" i="17"/>
  <c r="G281" i="20"/>
  <c r="X281" i="20" s="1"/>
  <c r="DB9" i="11"/>
  <c r="AY47" i="11"/>
  <c r="DP95" i="6"/>
  <c r="CH212" i="17"/>
  <c r="DX82" i="6"/>
  <c r="BM104" i="11"/>
  <c r="AQ12" i="6"/>
  <c r="CH62" i="11"/>
  <c r="DD85" i="6"/>
  <c r="BX64" i="11"/>
  <c r="CM95" i="6"/>
  <c r="CS95" i="6"/>
  <c r="BU85" i="11"/>
  <c r="BV85" i="11" s="1"/>
  <c r="BX85" i="11"/>
  <c r="BN132" i="17"/>
  <c r="BR132" i="17"/>
  <c r="BX71" i="11"/>
  <c r="BS71" i="11"/>
  <c r="AJ46" i="11"/>
  <c r="AO46" i="11"/>
  <c r="AT159" i="2"/>
  <c r="E31" i="20"/>
  <c r="V31" i="20" s="1"/>
  <c r="CE54" i="6"/>
  <c r="CH13" i="11"/>
  <c r="CJ13" i="11"/>
  <c r="W147" i="23" s="1"/>
  <c r="CI26" i="11" s="1"/>
  <c r="H483" i="20"/>
  <c r="Y483" i="20" s="1"/>
  <c r="BB234" i="17"/>
  <c r="BB3" i="17" s="1"/>
  <c r="BO95" i="6"/>
  <c r="DK60" i="6"/>
  <c r="BN45" i="17"/>
  <c r="BI40" i="17"/>
  <c r="BR212" i="17"/>
  <c r="U9" i="11"/>
  <c r="BM11" i="6"/>
  <c r="BN100" i="11"/>
  <c r="BV87" i="6"/>
  <c r="BU60" i="6"/>
  <c r="AV220" i="2"/>
  <c r="I483" i="20"/>
  <c r="Z483" i="20" s="1"/>
  <c r="AO57" i="11"/>
  <c r="AT57" i="11"/>
  <c r="CW57" i="11"/>
  <c r="DB57" i="11"/>
  <c r="AH152" i="17"/>
  <c r="CB87" i="6"/>
  <c r="BN72" i="11"/>
  <c r="DI58" i="11"/>
  <c r="DJ58" i="11" s="1"/>
  <c r="DJ71" i="11" s="1"/>
  <c r="CR58" i="11"/>
  <c r="T10" i="11"/>
  <c r="CY57" i="11"/>
  <c r="CZ57" i="11" s="1"/>
  <c r="CW8" i="11"/>
  <c r="I419" i="20"/>
  <c r="Z419" i="20" s="1"/>
  <c r="BM127" i="17"/>
  <c r="BX100" i="11"/>
  <c r="AY72" i="11"/>
  <c r="H420" i="20"/>
  <c r="Y420" i="20" s="1"/>
  <c r="AQ57" i="11"/>
  <c r="AR57" i="11" s="1"/>
  <c r="AJ102" i="11"/>
  <c r="AE102" i="11"/>
  <c r="DG86" i="11"/>
  <c r="DL86" i="11"/>
  <c r="DG57" i="11"/>
  <c r="DL57" i="11"/>
  <c r="ED96" i="6"/>
  <c r="DL71" i="11"/>
  <c r="CC85" i="11"/>
  <c r="CH85" i="11"/>
  <c r="DI11" i="6"/>
  <c r="DP60" i="6"/>
  <c r="AC52" i="23"/>
  <c r="AC45" i="23" s="1"/>
  <c r="AD45" i="23" s="1"/>
  <c r="AE45" i="23" s="1"/>
  <c r="BT95" i="6"/>
  <c r="BQ66" i="6"/>
  <c r="CE8" i="6"/>
  <c r="AD45" i="17"/>
  <c r="AH45" i="17"/>
  <c r="DB13" i="11"/>
  <c r="CY13" i="11"/>
  <c r="CZ13" i="11" s="1"/>
  <c r="AJ48" i="11"/>
  <c r="DV80" i="6"/>
  <c r="BX47" i="11"/>
  <c r="BY82" i="17"/>
  <c r="AO8" i="11"/>
  <c r="AS82" i="17"/>
  <c r="AX90" i="17"/>
  <c r="AJ57" i="11"/>
  <c r="AG57" i="11"/>
  <c r="AH57" i="11" s="1"/>
  <c r="AO115" i="11"/>
  <c r="AJ115" i="11"/>
  <c r="CG88" i="11"/>
  <c r="AH64" i="17"/>
  <c r="BF13" i="11"/>
  <c r="Q147" i="23" s="1"/>
  <c r="AU219" i="2"/>
  <c r="DF105" i="11"/>
  <c r="DF10" i="11"/>
  <c r="AU8" i="6"/>
  <c r="CT152" i="17"/>
  <c r="BS62" i="11"/>
  <c r="AE49" i="11"/>
  <c r="I182" i="20"/>
  <c r="Z182" i="20" s="1"/>
  <c r="AP85" i="6"/>
  <c r="AU195" i="2"/>
  <c r="CL62" i="6"/>
  <c r="BH95" i="6"/>
  <c r="AJ63" i="11"/>
  <c r="Z15" i="11"/>
  <c r="G489" i="20"/>
  <c r="X489" i="20" s="1"/>
  <c r="BI46" i="11"/>
  <c r="EG54" i="6"/>
  <c r="BJ212" i="17"/>
  <c r="AC86" i="11"/>
  <c r="K179" i="23"/>
  <c r="K19" i="25" s="1"/>
  <c r="CB91" i="6"/>
  <c r="CC34" i="11"/>
  <c r="CH34" i="11"/>
  <c r="BI87" i="11"/>
  <c r="BD87" i="11"/>
  <c r="CL104" i="11"/>
  <c r="CR16" i="11"/>
  <c r="CM60" i="6"/>
  <c r="CS60" i="6"/>
  <c r="AX60" i="6"/>
  <c r="AR60" i="6"/>
  <c r="EB95" i="6"/>
  <c r="E310" i="20"/>
  <c r="V310" i="20" s="1"/>
  <c r="E304" i="20"/>
  <c r="V304" i="20" s="1"/>
  <c r="F304" i="20"/>
  <c r="W304" i="20" s="1"/>
  <c r="CJ57" i="11"/>
  <c r="CK57" i="11" s="1"/>
  <c r="CM57" i="11"/>
  <c r="CW13" i="11"/>
  <c r="CT13" i="11"/>
  <c r="CU13" i="11" s="1"/>
  <c r="CW85" i="11"/>
  <c r="DB85" i="11"/>
  <c r="U16" i="11"/>
  <c r="AG127" i="17"/>
  <c r="AH132" i="17"/>
  <c r="AL132" i="17"/>
  <c r="BV171" i="17"/>
  <c r="BR171" i="17"/>
  <c r="AK229" i="17"/>
  <c r="AL234" i="17"/>
  <c r="DB102" i="11"/>
  <c r="DG102" i="11"/>
  <c r="CW11" i="6"/>
  <c r="DD60" i="6"/>
  <c r="AP62" i="6"/>
  <c r="AP15" i="6"/>
  <c r="AV62" i="6"/>
  <c r="BT15" i="6"/>
  <c r="BZ63" i="6"/>
  <c r="AJ71" i="11"/>
  <c r="AK60" i="6"/>
  <c r="AQ60" i="6"/>
  <c r="BP87" i="6"/>
  <c r="BJ87" i="6"/>
  <c r="AE48" i="11"/>
  <c r="Z48" i="11"/>
  <c r="CM101" i="11"/>
  <c r="CO101" i="11"/>
  <c r="CO102" i="11" s="1"/>
  <c r="X113" i="23" s="1"/>
  <c r="BU59" i="17"/>
  <c r="BZ64" i="17"/>
  <c r="CW115" i="11"/>
  <c r="H422" i="20"/>
  <c r="Y422" i="20" s="1"/>
  <c r="AV221" i="2"/>
  <c r="BV75" i="6"/>
  <c r="CW9" i="11"/>
  <c r="BZ95" i="6"/>
  <c r="AJ47" i="11"/>
  <c r="R193" i="17"/>
  <c r="CH57" i="11"/>
  <c r="W15" i="11"/>
  <c r="J149" i="23" s="1"/>
  <c r="CR13" i="11"/>
  <c r="CR34" i="11"/>
  <c r="AD76" i="6"/>
  <c r="CR101" i="11"/>
  <c r="Z132" i="17"/>
  <c r="AO71" i="11"/>
  <c r="BM229" i="17"/>
  <c r="BF212" i="17"/>
  <c r="EA13" i="6"/>
  <c r="EB15" i="6"/>
  <c r="E303" i="20"/>
  <c r="V303" i="20" s="1"/>
  <c r="H303" i="20"/>
  <c r="Y303" i="20" s="1"/>
  <c r="F303" i="20"/>
  <c r="W303" i="20" s="1"/>
  <c r="CC58" i="11"/>
  <c r="BX58" i="11"/>
  <c r="BZ58" i="11"/>
  <c r="U185" i="23" s="1"/>
  <c r="U25" i="25" s="1"/>
  <c r="DC54" i="6"/>
  <c r="CW54" i="6"/>
  <c r="AS40" i="17"/>
  <c r="AT45" i="17"/>
  <c r="AS207" i="17"/>
  <c r="AX212" i="17"/>
  <c r="AT212" i="17"/>
  <c r="AC229" i="17"/>
  <c r="AH234" i="17"/>
  <c r="DA105" i="11"/>
  <c r="DD101" i="11"/>
  <c r="DD102" i="11" s="1"/>
  <c r="DE102" i="11" s="1"/>
  <c r="DS86" i="11"/>
  <c r="DQ86" i="11"/>
  <c r="AE9" i="11"/>
  <c r="AD10" i="11"/>
  <c r="AJ9" i="11"/>
  <c r="AG86" i="11"/>
  <c r="AE86" i="11"/>
  <c r="BD102" i="11"/>
  <c r="AY102" i="11"/>
  <c r="U101" i="11"/>
  <c r="W101" i="11"/>
  <c r="CT100" i="11"/>
  <c r="CR100" i="11"/>
  <c r="CQ104" i="11"/>
  <c r="CQ103" i="11"/>
  <c r="CW100" i="11"/>
  <c r="BA166" i="17"/>
  <c r="BF171" i="17"/>
  <c r="BB171" i="17"/>
  <c r="V212" i="17"/>
  <c r="Q207" i="17"/>
  <c r="R212" i="17"/>
  <c r="X60" i="6"/>
  <c r="DJ59" i="6"/>
  <c r="EC95" i="6"/>
  <c r="DW95" i="6"/>
  <c r="BJ60" i="6"/>
  <c r="BA11" i="6"/>
  <c r="CN60" i="6"/>
  <c r="AR87" i="6"/>
  <c r="AL36" i="6"/>
  <c r="AL87" i="6"/>
  <c r="AD171" i="17"/>
  <c r="Z171" i="17"/>
  <c r="Y166" i="17"/>
  <c r="AO49" i="11"/>
  <c r="CE27" i="6"/>
  <c r="CK76" i="6" s="1"/>
  <c r="CL76" i="6"/>
  <c r="BN49" i="11"/>
  <c r="BS49" i="11"/>
  <c r="BZ57" i="6"/>
  <c r="BP77" i="6"/>
  <c r="AB176" i="23"/>
  <c r="AB16" i="25" s="1"/>
  <c r="AE63" i="11"/>
  <c r="G282" i="20"/>
  <c r="X282" i="20" s="1"/>
  <c r="BJ36" i="6"/>
  <c r="AO11" i="6"/>
  <c r="DQ95" i="6"/>
  <c r="AI11" i="6"/>
  <c r="AJ60" i="6"/>
  <c r="AP113" i="17"/>
  <c r="CH15" i="11"/>
  <c r="CC15" i="11"/>
  <c r="AX45" i="17"/>
  <c r="Z101" i="11"/>
  <c r="AU176" i="2"/>
  <c r="EJ60" i="6"/>
  <c r="AU222" i="2"/>
  <c r="AF77" i="6"/>
  <c r="AJ87" i="11"/>
  <c r="CY85" i="11"/>
  <c r="Z180" i="23" s="1"/>
  <c r="Z20" i="25" s="1"/>
  <c r="AT86" i="11"/>
  <c r="BF101" i="11"/>
  <c r="Q181" i="23" s="1"/>
  <c r="Q21" i="25" s="1"/>
  <c r="AY16" i="11"/>
  <c r="BF57" i="11"/>
  <c r="BG57" i="11" s="1"/>
  <c r="AQ86" i="11"/>
  <c r="N179" i="23" s="1"/>
  <c r="N19" i="25" s="1"/>
  <c r="AE101" i="11"/>
  <c r="AJ101" i="11"/>
  <c r="AG101" i="11"/>
  <c r="L181" i="23" s="1"/>
  <c r="L21" i="25" s="1"/>
  <c r="BZ132" i="17"/>
  <c r="BV132" i="17"/>
  <c r="DD15" i="6"/>
  <c r="DJ63" i="6"/>
  <c r="AW60" i="6"/>
  <c r="BC60" i="6"/>
  <c r="Z72" i="11"/>
  <c r="U72" i="11"/>
  <c r="DR36" i="6"/>
  <c r="DO36" i="6" s="1"/>
  <c r="DR87" i="6"/>
  <c r="Z60" i="6"/>
  <c r="AF60" i="6"/>
  <c r="I179" i="20"/>
  <c r="Z179" i="20" s="1"/>
  <c r="AV142" i="2"/>
  <c r="E308" i="2"/>
  <c r="H178" i="20"/>
  <c r="Y178" i="20" s="1"/>
  <c r="CX95" i="6"/>
  <c r="Y60" i="6"/>
  <c r="BI47" i="11"/>
  <c r="CQ50" i="11"/>
  <c r="CM72" i="11"/>
  <c r="CR63" i="6"/>
  <c r="AL193" i="17"/>
  <c r="DQ16" i="11"/>
  <c r="EB85" i="6"/>
  <c r="BV152" i="17"/>
  <c r="G177" i="20"/>
  <c r="X177" i="20" s="1"/>
  <c r="F490" i="20"/>
  <c r="W490" i="20" s="1"/>
  <c r="CT86" i="6"/>
  <c r="CE11" i="6"/>
  <c r="DF86" i="6"/>
  <c r="CL88" i="11"/>
  <c r="CW49" i="11"/>
  <c r="BU86" i="11"/>
  <c r="T179" i="23" s="1"/>
  <c r="T19" i="25" s="1"/>
  <c r="DL16" i="11"/>
  <c r="AT102" i="11"/>
  <c r="CT212" i="17"/>
  <c r="BV91" i="6"/>
  <c r="CF60" i="6"/>
  <c r="BD100" i="11"/>
  <c r="AW59" i="6"/>
  <c r="DJ60" i="6"/>
  <c r="CW64" i="11"/>
  <c r="DI71" i="11"/>
  <c r="AV95" i="6"/>
  <c r="I490" i="20"/>
  <c r="Z490" i="20" s="1"/>
  <c r="AO48" i="11"/>
  <c r="BI64" i="11"/>
  <c r="BN64" i="11"/>
  <c r="BX57" i="11"/>
  <c r="BS57" i="11"/>
  <c r="CB104" i="11"/>
  <c r="CE85" i="11"/>
  <c r="CF85" i="11" s="1"/>
  <c r="CR115" i="11"/>
  <c r="CM115" i="11"/>
  <c r="DU13" i="6"/>
  <c r="DU62" i="6" s="1"/>
  <c r="DV15" i="6"/>
  <c r="S95" i="6"/>
  <c r="Y95" i="6"/>
  <c r="AE47" i="11"/>
  <c r="Z47" i="11"/>
  <c r="CZ87" i="6"/>
  <c r="CT87" i="6"/>
  <c r="AJ16" i="11"/>
  <c r="AO16" i="11"/>
  <c r="CL152" i="17"/>
  <c r="CH152" i="17"/>
  <c r="CC101" i="11"/>
  <c r="CE101" i="11"/>
  <c r="CE102" i="11" s="1"/>
  <c r="CF102" i="11" s="1"/>
  <c r="BS11" i="6"/>
  <c r="BD8" i="11"/>
  <c r="BV60" i="6"/>
  <c r="CX63" i="6"/>
  <c r="AU11" i="6"/>
  <c r="BS16" i="11"/>
  <c r="W11" i="6"/>
  <c r="N36" i="6"/>
  <c r="K36" i="6" s="1"/>
  <c r="DG71" i="11"/>
  <c r="BB95" i="6"/>
  <c r="V64" i="17"/>
  <c r="I183" i="20"/>
  <c r="Z183" i="20" s="1"/>
  <c r="N87" i="6"/>
  <c r="BK85" i="11"/>
  <c r="F507" i="20"/>
  <c r="W507" i="20" s="1"/>
  <c r="F190" i="20"/>
  <c r="W190" i="20" s="1"/>
  <c r="E513" i="20"/>
  <c r="V513" i="20" s="1"/>
  <c r="F182" i="20"/>
  <c r="W182" i="20" s="1"/>
  <c r="D314" i="2"/>
  <c r="G182" i="20"/>
  <c r="X182" i="20" s="1"/>
  <c r="CY101" i="11"/>
  <c r="Z181" i="23" s="1"/>
  <c r="Z21" i="25" s="1"/>
  <c r="CW101" i="11"/>
  <c r="CV105" i="11"/>
  <c r="CS40" i="17"/>
  <c r="CT45" i="17"/>
  <c r="DQ11" i="11"/>
  <c r="DS11" i="11"/>
  <c r="AD145" i="23" s="1"/>
  <c r="DR24" i="11" s="1"/>
  <c r="DR1" i="11" s="1"/>
  <c r="AT115" i="11"/>
  <c r="AY115" i="11"/>
  <c r="CT64" i="17"/>
  <c r="CS59" i="17"/>
  <c r="CL105" i="11"/>
  <c r="CG65" i="11"/>
  <c r="AT9" i="11"/>
  <c r="BU62" i="11"/>
  <c r="BV62" i="11" s="1"/>
  <c r="F183" i="20"/>
  <c r="W183" i="20" s="1"/>
  <c r="CM58" i="6"/>
  <c r="Z64" i="17"/>
  <c r="H429" i="20"/>
  <c r="Y429" i="20" s="1"/>
  <c r="DK104" i="11"/>
  <c r="DK105" i="11"/>
  <c r="BD9" i="11"/>
  <c r="BD57" i="11"/>
  <c r="BI57" i="11"/>
  <c r="BB132" i="17"/>
  <c r="AP193" i="17"/>
  <c r="AT193" i="17"/>
  <c r="ED57" i="6"/>
  <c r="DQ46" i="11"/>
  <c r="DL46" i="11"/>
  <c r="BI9" i="11"/>
  <c r="BH10" i="11"/>
  <c r="W85" i="11"/>
  <c r="J180" i="23" s="1"/>
  <c r="J20" i="25" s="1"/>
  <c r="Z85" i="11"/>
  <c r="DG49" i="11"/>
  <c r="DL49" i="11"/>
  <c r="DG117" i="11"/>
  <c r="X95" i="6"/>
  <c r="AD95" i="6"/>
  <c r="N60" i="6"/>
  <c r="T60" i="6"/>
  <c r="CK11" i="6"/>
  <c r="AC11" i="6"/>
  <c r="AN10" i="11"/>
  <c r="BN9" i="11"/>
  <c r="CF76" i="6"/>
  <c r="D311" i="2"/>
  <c r="BK101" i="11"/>
  <c r="CE56" i="6"/>
  <c r="DB101" i="11"/>
  <c r="AV13" i="11"/>
  <c r="AW13" i="11" s="1"/>
  <c r="DF36" i="6"/>
  <c r="DC36" i="6" s="1"/>
  <c r="CX64" i="17"/>
  <c r="AL66" i="6"/>
  <c r="Y249" i="8"/>
  <c r="Z253" i="8"/>
  <c r="Y253" i="8"/>
  <c r="CK86" i="11"/>
  <c r="BO105" i="17"/>
  <c r="BO142" i="17"/>
  <c r="Y195" i="8"/>
  <c r="Z195" i="8"/>
  <c r="X429" i="7"/>
  <c r="X426" i="7"/>
  <c r="O119" i="8"/>
  <c r="P119" i="8"/>
  <c r="P126" i="8"/>
  <c r="O126" i="8"/>
  <c r="CL19" i="17"/>
  <c r="CL18" i="17"/>
  <c r="CL20" i="17"/>
  <c r="E7" i="28" s="1"/>
  <c r="CL26" i="17"/>
  <c r="CI21" i="26"/>
  <c r="CL15" i="17"/>
  <c r="E10" i="28" s="1"/>
  <c r="CL28" i="17"/>
  <c r="CL24" i="17"/>
  <c r="CC18" i="17"/>
  <c r="CC19" i="17"/>
  <c r="CC24" i="17"/>
  <c r="CC28" i="17"/>
  <c r="CC26" i="17"/>
  <c r="CC15" i="17"/>
  <c r="BZ21" i="26"/>
  <c r="CC20" i="17"/>
  <c r="AX18" i="17"/>
  <c r="AX19" i="17"/>
  <c r="AU21" i="26"/>
  <c r="AX28" i="17"/>
  <c r="AX26" i="17"/>
  <c r="AX20" i="17"/>
  <c r="AX24" i="17"/>
  <c r="AX15" i="17"/>
  <c r="AL18" i="17"/>
  <c r="AL19" i="17"/>
  <c r="AL26" i="17"/>
  <c r="AL15" i="17"/>
  <c r="AL28" i="17"/>
  <c r="AL24" i="17"/>
  <c r="AL20" i="17"/>
  <c r="AI21" i="26"/>
  <c r="V18" i="17"/>
  <c r="V26" i="17"/>
  <c r="V19" i="17"/>
  <c r="V15" i="17"/>
  <c r="V24" i="17"/>
  <c r="V28" i="17"/>
  <c r="V20" i="17"/>
  <c r="S21" i="26"/>
  <c r="BD117" i="17"/>
  <c r="BC117" i="17"/>
  <c r="BB118" i="17"/>
  <c r="W9" i="17"/>
  <c r="T15" i="26"/>
  <c r="Z541" i="7"/>
  <c r="Y576" i="7"/>
  <c r="Y547" i="7"/>
  <c r="Z545" i="7"/>
  <c r="Y579" i="7"/>
  <c r="AJ26" i="17"/>
  <c r="AG21" i="26"/>
  <c r="AJ28" i="17"/>
  <c r="AJ15" i="17"/>
  <c r="AJ24" i="17"/>
  <c r="BH8" i="17"/>
  <c r="BE14" i="26"/>
  <c r="AS238" i="17"/>
  <c r="AP233" i="17"/>
  <c r="AP239" i="17"/>
  <c r="O163" i="23"/>
  <c r="AQ238" i="17"/>
  <c r="AF49" i="17"/>
  <c r="AD44" i="17"/>
  <c r="AF35" i="11" s="1"/>
  <c r="AD50" i="17"/>
  <c r="AQ6" i="17"/>
  <c r="AN12" i="26"/>
  <c r="CJ14" i="26"/>
  <c r="CM8" i="17"/>
  <c r="BW12" i="17"/>
  <c r="BT18" i="26"/>
  <c r="BW200" i="17"/>
  <c r="AI216" i="17"/>
  <c r="AH217" i="17"/>
  <c r="AH211" i="17"/>
  <c r="AK103" i="11" s="1"/>
  <c r="M162" i="23"/>
  <c r="CM14" i="17"/>
  <c r="CJ20" i="26"/>
  <c r="BD24" i="17"/>
  <c r="AV68" i="17"/>
  <c r="H158" i="23"/>
  <c r="N131" i="17"/>
  <c r="R131" i="17"/>
  <c r="I158" i="23"/>
  <c r="AB144" i="17"/>
  <c r="T81" i="8"/>
  <c r="T192" i="8"/>
  <c r="T101" i="8"/>
  <c r="AG229" i="17"/>
  <c r="S394" i="7"/>
  <c r="S494" i="7"/>
  <c r="S496" i="7" s="1"/>
  <c r="CO20" i="26"/>
  <c r="CR14" i="17"/>
  <c r="E123" i="2" s="1"/>
  <c r="CQ14" i="17"/>
  <c r="D123" i="2" s="1"/>
  <c r="CN20" i="26"/>
  <c r="CC20" i="26"/>
  <c r="CF14" i="17"/>
  <c r="CD217" i="17"/>
  <c r="CD211" i="17"/>
  <c r="CS103" i="11" s="1"/>
  <c r="Y162" i="23"/>
  <c r="BW14" i="17"/>
  <c r="BT20" i="26"/>
  <c r="BY216" i="17"/>
  <c r="BV217" i="17"/>
  <c r="BV211" i="17"/>
  <c r="CI103" i="11" s="1"/>
  <c r="BI20" i="26"/>
  <c r="BL14" i="17"/>
  <c r="BD26" i="17"/>
  <c r="AW20" i="26"/>
  <c r="AZ14" i="17"/>
  <c r="AS216" i="17"/>
  <c r="AM14" i="17"/>
  <c r="AJ20" i="26"/>
  <c r="AJ216" i="17"/>
  <c r="AI14" i="17"/>
  <c r="AF20" i="26"/>
  <c r="AC216" i="17"/>
  <c r="W14" i="17"/>
  <c r="T20" i="26"/>
  <c r="X14" i="17"/>
  <c r="U20" i="26"/>
  <c r="CK175" i="17"/>
  <c r="BA175" i="17"/>
  <c r="AX176" i="17"/>
  <c r="AX170" i="17"/>
  <c r="BE88" i="11" s="1"/>
  <c r="Q160" i="23"/>
  <c r="AR12" i="17"/>
  <c r="AO18" i="26"/>
  <c r="AK18" i="26"/>
  <c r="AN12" i="17"/>
  <c r="AF18" i="26"/>
  <c r="AI12" i="17"/>
  <c r="AC18" i="26"/>
  <c r="AF12" i="17"/>
  <c r="AF175" i="17"/>
  <c r="AD176" i="17"/>
  <c r="AD170" i="17"/>
  <c r="AF88" i="11" s="1"/>
  <c r="L160" i="23"/>
  <c r="AH170" i="17"/>
  <c r="AK88" i="11" s="1"/>
  <c r="U18" i="26"/>
  <c r="X12" i="17"/>
  <c r="AC175" i="17"/>
  <c r="Z170" i="17"/>
  <c r="AA88" i="11" s="1"/>
  <c r="Z176" i="17"/>
  <c r="K160" i="23"/>
  <c r="X175" i="17"/>
  <c r="V170" i="17"/>
  <c r="V88" i="11" s="1"/>
  <c r="V176" i="17"/>
  <c r="W175" i="17"/>
  <c r="P18" i="26"/>
  <c r="S12" i="17"/>
  <c r="H18" i="26"/>
  <c r="K12" i="17"/>
  <c r="N176" i="17"/>
  <c r="N170" i="17"/>
  <c r="L88" i="11" s="1"/>
  <c r="H160" i="23"/>
  <c r="CK14" i="26"/>
  <c r="CN8" i="17"/>
  <c r="CI8" i="17"/>
  <c r="CF14" i="26"/>
  <c r="CC14" i="26"/>
  <c r="CF8" i="17"/>
  <c r="BY14" i="26"/>
  <c r="CB8" i="17"/>
  <c r="BX20" i="17"/>
  <c r="BT8" i="17"/>
  <c r="BQ14" i="26"/>
  <c r="BS8" i="17"/>
  <c r="BP14" i="26"/>
  <c r="BL20" i="17"/>
  <c r="BH20" i="17"/>
  <c r="BA14" i="26"/>
  <c r="BD8" i="17"/>
  <c r="AF20" i="17"/>
  <c r="AD95" i="17"/>
  <c r="AD89" i="17"/>
  <c r="AF65" i="11" s="1"/>
  <c r="AG94" i="17"/>
  <c r="L156" i="23"/>
  <c r="X14" i="26"/>
  <c r="AA8" i="17"/>
  <c r="X94" i="17"/>
  <c r="P14" i="26"/>
  <c r="S8" i="17"/>
  <c r="L14" i="26"/>
  <c r="O8" i="17"/>
  <c r="I14" i="26"/>
  <c r="L8" i="17"/>
  <c r="L94" i="17"/>
  <c r="M94" i="17"/>
  <c r="K94" i="17"/>
  <c r="CP69" i="17"/>
  <c r="CP63" i="17"/>
  <c r="DH50" i="11" s="1"/>
  <c r="CR68" i="17"/>
  <c r="CK13" i="26"/>
  <c r="CN7" i="17"/>
  <c r="CB13" i="26"/>
  <c r="CE7" i="17"/>
  <c r="BP13" i="26"/>
  <c r="BS7" i="17"/>
  <c r="BH19" i="17"/>
  <c r="BC7" i="17"/>
  <c r="AZ13" i="26"/>
  <c r="BA13" i="26"/>
  <c r="BD7" i="17"/>
  <c r="BA68" i="17"/>
  <c r="AR13" i="26"/>
  <c r="AU7" i="17"/>
  <c r="AS13" i="26"/>
  <c r="AV7" i="17"/>
  <c r="AN13" i="26"/>
  <c r="AQ7" i="17"/>
  <c r="AS68" i="17"/>
  <c r="AP63" i="17"/>
  <c r="AU50" i="11" s="1"/>
  <c r="AP69" i="17"/>
  <c r="O155" i="23"/>
  <c r="AG68" i="17"/>
  <c r="AD63" i="17"/>
  <c r="AF50" i="11" s="1"/>
  <c r="L155" i="23"/>
  <c r="AE68" i="17"/>
  <c r="AD69" i="17"/>
  <c r="T13" i="26"/>
  <c r="W7" i="17"/>
  <c r="S7" i="17"/>
  <c r="P13" i="26"/>
  <c r="M13" i="26"/>
  <c r="P7" i="17"/>
  <c r="H13" i="26"/>
  <c r="K7" i="17"/>
  <c r="CQ106" i="17"/>
  <c r="CT107" i="17"/>
  <c r="CN6" i="17"/>
  <c r="CK12" i="26"/>
  <c r="CI106" i="17"/>
  <c r="CL107" i="17"/>
  <c r="CA49" i="17"/>
  <c r="BZ44" i="17"/>
  <c r="CN35" i="11" s="1"/>
  <c r="BZ50" i="17"/>
  <c r="CB49" i="17"/>
  <c r="BU12" i="26"/>
  <c r="BX6" i="17"/>
  <c r="BT49" i="17"/>
  <c r="BQ12" i="26"/>
  <c r="BT6" i="17"/>
  <c r="BN107" i="17"/>
  <c r="BO118" i="17" s="1"/>
  <c r="BK106" i="17"/>
  <c r="BE12" i="26"/>
  <c r="BH6" i="17"/>
  <c r="BG105" i="17"/>
  <c r="BJ107" i="17"/>
  <c r="BI108" i="17" s="1"/>
  <c r="BC49" i="17"/>
  <c r="BC6" i="17"/>
  <c r="AZ12" i="26"/>
  <c r="AU105" i="17"/>
  <c r="AX107" i="17"/>
  <c r="AV6" i="17"/>
  <c r="AS12" i="26"/>
  <c r="AQ49" i="17"/>
  <c r="AH107" i="17"/>
  <c r="AE105" i="17"/>
  <c r="AB6" i="17"/>
  <c r="Y12" i="26"/>
  <c r="AA49" i="17"/>
  <c r="Z44" i="17"/>
  <c r="AA35" i="11" s="1"/>
  <c r="K154" i="23"/>
  <c r="AC49" i="17"/>
  <c r="Z50" i="17"/>
  <c r="Q12" i="26"/>
  <c r="T6" i="17"/>
  <c r="R50" i="17"/>
  <c r="R44" i="17"/>
  <c r="Q35" i="11" s="1"/>
  <c r="I154" i="23"/>
  <c r="U49" i="17"/>
  <c r="P49" i="17"/>
  <c r="N44" i="17"/>
  <c r="L35" i="11" s="1"/>
  <c r="Q49" i="17"/>
  <c r="N50" i="17"/>
  <c r="H154" i="23"/>
  <c r="I12" i="26"/>
  <c r="L6" i="17"/>
  <c r="CM18" i="17"/>
  <c r="CM28" i="17"/>
  <c r="CJ21" i="26"/>
  <c r="CM15" i="17"/>
  <c r="F10" i="28" s="1"/>
  <c r="CJ20" i="17"/>
  <c r="C7" i="28" s="1"/>
  <c r="CJ15" i="17"/>
  <c r="C10" i="28" s="1"/>
  <c r="CJ28" i="17"/>
  <c r="CG21" i="26"/>
  <c r="CI24" i="17"/>
  <c r="CI32" i="17" s="1"/>
  <c r="CI28" i="17"/>
  <c r="CI15" i="17"/>
  <c r="B10" i="28" s="1"/>
  <c r="CI20" i="17"/>
  <c r="CF21" i="26"/>
  <c r="CI19" i="17"/>
  <c r="BS18" i="17"/>
  <c r="BP21" i="26"/>
  <c r="BS15" i="17"/>
  <c r="BS28" i="17"/>
  <c r="BY238" i="17"/>
  <c r="BV239" i="17"/>
  <c r="BV233" i="17"/>
  <c r="BV2" i="17" s="1"/>
  <c r="BW238" i="17"/>
  <c r="W163" i="23"/>
  <c r="BR239" i="17"/>
  <c r="BR233" i="17"/>
  <c r="BR2" i="17" s="1"/>
  <c r="BU238" i="17"/>
  <c r="V163" i="23"/>
  <c r="BP19" i="17"/>
  <c r="BM21" i="26"/>
  <c r="BP15" i="17"/>
  <c r="BP24" i="17"/>
  <c r="BP32" i="17" s="1"/>
  <c r="BP28" i="17"/>
  <c r="BK24" i="17"/>
  <c r="BK15" i="17"/>
  <c r="BK28" i="17"/>
  <c r="BH21" i="26"/>
  <c r="BK26" i="17"/>
  <c r="BK32" i="17" s="1"/>
  <c r="BK18" i="17"/>
  <c r="BK19" i="17"/>
  <c r="BG18" i="17"/>
  <c r="BG15" i="17"/>
  <c r="BG28" i="17"/>
  <c r="BD21" i="26"/>
  <c r="BG26" i="17"/>
  <c r="BG19" i="17"/>
  <c r="AZ19" i="17"/>
  <c r="AW21" i="26"/>
  <c r="AZ15" i="17"/>
  <c r="AZ28" i="17"/>
  <c r="AU238" i="17"/>
  <c r="AT239" i="17"/>
  <c r="AT233" i="17"/>
  <c r="AX233" i="17"/>
  <c r="AX2" i="17" s="1"/>
  <c r="AQ19" i="17"/>
  <c r="AN21" i="26"/>
  <c r="AQ15" i="17"/>
  <c r="AQ28" i="17"/>
  <c r="AA18" i="17"/>
  <c r="X21" i="26"/>
  <c r="AA28" i="17"/>
  <c r="AA15" i="17"/>
  <c r="AA19" i="17"/>
  <c r="X20" i="17"/>
  <c r="U21" i="26"/>
  <c r="X15" i="17"/>
  <c r="X28" i="17"/>
  <c r="Y238" i="17"/>
  <c r="V239" i="17"/>
  <c r="V233" i="17"/>
  <c r="X238" i="17"/>
  <c r="J163" i="23"/>
  <c r="K19" i="17"/>
  <c r="K15" i="17"/>
  <c r="K28" i="17"/>
  <c r="H21" i="26"/>
  <c r="K24" i="17"/>
  <c r="K26" i="17"/>
  <c r="BI9" i="17"/>
  <c r="BF15" i="26"/>
  <c r="AG15" i="26"/>
  <c r="AJ9" i="17"/>
  <c r="AU15" i="26"/>
  <c r="AX9" i="17"/>
  <c r="AR9" i="17"/>
  <c r="AO15" i="26"/>
  <c r="Q144" i="17"/>
  <c r="CV215" i="17"/>
  <c r="CW205" i="17"/>
  <c r="CW216" i="17" s="1"/>
  <c r="CV217" i="17"/>
  <c r="CV225" i="17"/>
  <c r="H365" i="7"/>
  <c r="AD211" i="17"/>
  <c r="AF103" i="11" s="1"/>
  <c r="CW80" i="17"/>
  <c r="CX76" i="17"/>
  <c r="U11" i="17"/>
  <c r="R17" i="26"/>
  <c r="AP29" i="8"/>
  <c r="AE58" i="8"/>
  <c r="Y17" i="26"/>
  <c r="AB11" i="17"/>
  <c r="S725" i="7"/>
  <c r="S736" i="7"/>
  <c r="Y434" i="23"/>
  <c r="X434" i="23"/>
  <c r="N348" i="23"/>
  <c r="M348" i="23"/>
  <c r="N346" i="23"/>
  <c r="M346" i="23"/>
  <c r="S360" i="23"/>
  <c r="T360" i="23"/>
  <c r="L120" i="8"/>
  <c r="M66" i="23"/>
  <c r="N66" i="23"/>
  <c r="CS34" i="11"/>
  <c r="CT34" i="11" s="1"/>
  <c r="CU34" i="11" s="1"/>
  <c r="CS7" i="11"/>
  <c r="CT7" i="11" s="1"/>
  <c r="I105" i="23"/>
  <c r="J105" i="23"/>
  <c r="N135" i="23"/>
  <c r="M135" i="23"/>
  <c r="T106" i="23"/>
  <c r="U106" i="23"/>
  <c r="X106" i="23"/>
  <c r="Y106" i="23"/>
  <c r="U4" i="23"/>
  <c r="BY15" i="11"/>
  <c r="BZ15" i="11" s="1"/>
  <c r="CA15" i="11" s="1"/>
  <c r="CX34" i="11"/>
  <c r="CY34" i="11" s="1"/>
  <c r="CZ34" i="11" s="1"/>
  <c r="CX7" i="11"/>
  <c r="CY7" i="11" s="1"/>
  <c r="Z141" i="23" s="1"/>
  <c r="AB197" i="8"/>
  <c r="AA197" i="8"/>
  <c r="AA248" i="8"/>
  <c r="M993" i="7"/>
  <c r="M717" i="7"/>
  <c r="N704" i="7"/>
  <c r="V179" i="8"/>
  <c r="V172" i="8"/>
  <c r="V144" i="8"/>
  <c r="W172" i="8"/>
  <c r="CQ48" i="11"/>
  <c r="X699" i="7"/>
  <c r="S256" i="23"/>
  <c r="S65" i="7"/>
  <c r="Q188" i="8"/>
  <c r="Q57" i="8"/>
  <c r="R57" i="8"/>
  <c r="Q46" i="8"/>
  <c r="R46" i="8"/>
  <c r="U101" i="8"/>
  <c r="U78" i="8"/>
  <c r="U192" i="8"/>
  <c r="V81" i="8"/>
  <c r="U81" i="8"/>
  <c r="U365" i="7"/>
  <c r="U72" i="8"/>
  <c r="Y120" i="8"/>
  <c r="I62" i="8"/>
  <c r="H51" i="8"/>
  <c r="H62" i="8"/>
  <c r="I51" i="8"/>
  <c r="H191" i="8"/>
  <c r="H77" i="8"/>
  <c r="T125" i="23"/>
  <c r="S125" i="23"/>
  <c r="P360" i="23"/>
  <c r="X72" i="8"/>
  <c r="K23" i="17"/>
  <c r="M17" i="26"/>
  <c r="P11" i="17"/>
  <c r="AF23" i="17"/>
  <c r="X380" i="23"/>
  <c r="W380" i="23"/>
  <c r="N319" i="23"/>
  <c r="O319" i="23"/>
  <c r="X350" i="23"/>
  <c r="Y349" i="23"/>
  <c r="X349" i="23"/>
  <c r="X319" i="23"/>
  <c r="J394" i="7"/>
  <c r="J396" i="7" s="1"/>
  <c r="J494" i="7"/>
  <c r="J496" i="7" s="1"/>
  <c r="Y394" i="7"/>
  <c r="Y494" i="7"/>
  <c r="Y496" i="7" s="1"/>
  <c r="Q120" i="8"/>
  <c r="AW59" i="17"/>
  <c r="J65" i="23"/>
  <c r="K65" i="23"/>
  <c r="R154" i="23"/>
  <c r="V154" i="23"/>
  <c r="K105" i="23"/>
  <c r="L105" i="23"/>
  <c r="H125" i="23"/>
  <c r="I125" i="23"/>
  <c r="BU207" i="17"/>
  <c r="V478" i="7"/>
  <c r="V182" i="8"/>
  <c r="V175" i="8"/>
  <c r="V167" i="8"/>
  <c r="AC503" i="7"/>
  <c r="EI35" i="6"/>
  <c r="AC679" i="7"/>
  <c r="AC77" i="25"/>
  <c r="AD667" i="7"/>
  <c r="E208" i="2"/>
  <c r="AC666" i="7"/>
  <c r="J172" i="8"/>
  <c r="K172" i="8"/>
  <c r="J164" i="8"/>
  <c r="J144" i="8"/>
  <c r="J179" i="8"/>
  <c r="P172" i="8"/>
  <c r="O172" i="8"/>
  <c r="O164" i="8"/>
  <c r="O179" i="8"/>
  <c r="O144" i="8"/>
  <c r="T172" i="8"/>
  <c r="U172" i="8"/>
  <c r="T144" i="8"/>
  <c r="T179" i="8"/>
  <c r="T993" i="7"/>
  <c r="T704" i="7"/>
  <c r="U704" i="7"/>
  <c r="T717" i="7"/>
  <c r="K253" i="8"/>
  <c r="K249" i="8"/>
  <c r="K250" i="8" s="1"/>
  <c r="AH31" i="8"/>
  <c r="W60" i="8"/>
  <c r="X60" i="8"/>
  <c r="AI31" i="8"/>
  <c r="X49" i="8"/>
  <c r="W49" i="8"/>
  <c r="H57" i="8"/>
  <c r="H46" i="8"/>
  <c r="L72" i="8"/>
  <c r="L365" i="7"/>
  <c r="O188" i="8"/>
  <c r="O46" i="8"/>
  <c r="O111" i="8"/>
  <c r="P57" i="8"/>
  <c r="P46" i="8"/>
  <c r="O57" i="8"/>
  <c r="S101" i="8"/>
  <c r="S81" i="8"/>
  <c r="S192" i="8"/>
  <c r="S199" i="8" s="1"/>
  <c r="W192" i="8"/>
  <c r="W81" i="8"/>
  <c r="X81" i="8"/>
  <c r="W101" i="8"/>
  <c r="W72" i="8"/>
  <c r="W365" i="7"/>
  <c r="T145" i="8"/>
  <c r="T173" i="8"/>
  <c r="T180" i="8"/>
  <c r="T140" i="8"/>
  <c r="T164" i="8"/>
  <c r="W433" i="23"/>
  <c r="K349" i="23"/>
  <c r="M704" i="7"/>
  <c r="CX77" i="17"/>
  <c r="CW70" i="17"/>
  <c r="K182" i="8"/>
  <c r="L175" i="8"/>
  <c r="K478" i="7"/>
  <c r="AA72" i="8"/>
  <c r="DC16" i="11"/>
  <c r="S135" i="23"/>
  <c r="T135" i="23"/>
  <c r="Y319" i="23"/>
  <c r="Z319" i="23"/>
  <c r="S221" i="23"/>
  <c r="BR59" i="11"/>
  <c r="S215" i="23"/>
  <c r="S30" i="25"/>
  <c r="S418" i="23"/>
  <c r="S228" i="23"/>
  <c r="U171" i="25"/>
  <c r="AO31" i="8"/>
  <c r="AE31" i="8"/>
  <c r="AD60" i="8"/>
  <c r="BZ233" i="17"/>
  <c r="BZ2" i="17" s="1"/>
  <c r="AB980" i="7"/>
  <c r="AB990" i="7"/>
  <c r="W494" i="7"/>
  <c r="W496" i="7" s="1"/>
  <c r="W394" i="7"/>
  <c r="Z473" i="23"/>
  <c r="Y473" i="23"/>
  <c r="M81" i="7"/>
  <c r="M79" i="7"/>
  <c r="N81" i="7" s="1"/>
  <c r="K714" i="7"/>
  <c r="J736" i="7"/>
  <c r="J714" i="7"/>
  <c r="J725" i="7"/>
  <c r="R13" i="17"/>
  <c r="O19" i="26"/>
  <c r="T19" i="26"/>
  <c r="W13" i="17"/>
  <c r="P163" i="23"/>
  <c r="Y40" i="17"/>
  <c r="R269" i="23"/>
  <c r="S269" i="23"/>
  <c r="AB213" i="8"/>
  <c r="AB196" i="8"/>
  <c r="K980" i="7"/>
  <c r="J319" i="23"/>
  <c r="AM307" i="7"/>
  <c r="AA308" i="7"/>
  <c r="AA309" i="7" s="1"/>
  <c r="X11" i="17"/>
  <c r="U17" i="26"/>
  <c r="AA168" i="7"/>
  <c r="AF48" i="11"/>
  <c r="AG48" i="11" s="1"/>
  <c r="AH48" i="11" s="1"/>
  <c r="AF8" i="11"/>
  <c r="AG8" i="11" s="1"/>
  <c r="L173" i="23" s="1"/>
  <c r="L13" i="25" s="1"/>
  <c r="AF49" i="11"/>
  <c r="AG49" i="11" s="1"/>
  <c r="AH49" i="11" s="1"/>
  <c r="P494" i="7"/>
  <c r="P496" i="7" s="1"/>
  <c r="P394" i="7"/>
  <c r="K307" i="7"/>
  <c r="L308" i="7" s="1"/>
  <c r="L309" i="7" s="1"/>
  <c r="K308" i="7"/>
  <c r="K309" i="7" s="1"/>
  <c r="M714" i="7"/>
  <c r="L725" i="7"/>
  <c r="L714" i="7"/>
  <c r="L736" i="7"/>
  <c r="W1031" i="7"/>
  <c r="W1032" i="7" s="1"/>
  <c r="X1031" i="7"/>
  <c r="X1032" i="7" s="1"/>
  <c r="Z453" i="7"/>
  <c r="Z464" i="7" s="1"/>
  <c r="Y464" i="7"/>
  <c r="AC159" i="8"/>
  <c r="R466" i="23"/>
  <c r="I72" i="8"/>
  <c r="W81" i="7"/>
  <c r="W714" i="7"/>
  <c r="K106" i="23"/>
  <c r="H507" i="20"/>
  <c r="Y507" i="20" s="1"/>
  <c r="Z115" i="11"/>
  <c r="BI71" i="11"/>
  <c r="CM71" i="11"/>
  <c r="G197" i="20"/>
  <c r="X197" i="20" s="1"/>
  <c r="CB60" i="6"/>
  <c r="CY60" i="6"/>
  <c r="DV95" i="6"/>
  <c r="CF15" i="6"/>
  <c r="BQ40" i="17"/>
  <c r="BX86" i="11"/>
  <c r="CB10" i="11"/>
  <c r="AO64" i="11"/>
  <c r="DP105" i="11"/>
  <c r="I180" i="20"/>
  <c r="Z180" i="20" s="1"/>
  <c r="BS102" i="11"/>
  <c r="BW104" i="11"/>
  <c r="CO86" i="11"/>
  <c r="BI101" i="11"/>
  <c r="DL9" i="11"/>
  <c r="CT58" i="11"/>
  <c r="Y185" i="23" s="1"/>
  <c r="Y25" i="25" s="1"/>
  <c r="BR104" i="11"/>
  <c r="CR86" i="11"/>
  <c r="AT13" i="11"/>
  <c r="CK95" i="6"/>
  <c r="F348" i="20"/>
  <c r="W348" i="20" s="1"/>
  <c r="CC7" i="11"/>
  <c r="AW166" i="17"/>
  <c r="CX60" i="6"/>
  <c r="DU11" i="6"/>
  <c r="BS86" i="11"/>
  <c r="CV104" i="11"/>
  <c r="F423" i="20"/>
  <c r="W423" i="20" s="1"/>
  <c r="DF87" i="6"/>
  <c r="DG101" i="11"/>
  <c r="BZ212" i="17"/>
  <c r="AO207" i="17"/>
  <c r="AO13" i="6"/>
  <c r="AC166" i="17"/>
  <c r="AX132" i="17"/>
  <c r="AW95" i="6"/>
  <c r="BD16" i="11"/>
  <c r="DI57" i="11"/>
  <c r="DJ57" i="11" s="1"/>
  <c r="CU57" i="11"/>
  <c r="F180" i="20"/>
  <c r="W180" i="20" s="1"/>
  <c r="E512" i="20"/>
  <c r="V512" i="20" s="1"/>
  <c r="E507" i="20"/>
  <c r="V507" i="20" s="1"/>
  <c r="BT63" i="6"/>
  <c r="CR47" i="11"/>
  <c r="AT137" i="2"/>
  <c r="BB64" i="17"/>
  <c r="G194" i="20"/>
  <c r="X194" i="20" s="1"/>
  <c r="DQ115" i="11"/>
  <c r="CV10" i="11"/>
  <c r="AO54" i="6"/>
  <c r="BR234" i="17"/>
  <c r="BR3" i="17" s="1"/>
  <c r="BJ171" i="17"/>
  <c r="CL132" i="17"/>
  <c r="C305" i="2"/>
  <c r="BF100" i="11"/>
  <c r="BG100" i="11" s="1"/>
  <c r="G180" i="20"/>
  <c r="X180" i="20" s="1"/>
  <c r="I348" i="20"/>
  <c r="Z348" i="20" s="1"/>
  <c r="DI86" i="11"/>
  <c r="DJ86" i="11" s="1"/>
  <c r="AC1079" i="7"/>
  <c r="M127" i="17"/>
  <c r="AD121" i="23"/>
  <c r="AD125" i="23" s="1"/>
  <c r="CL103" i="11"/>
  <c r="E511" i="20"/>
  <c r="V511" i="20" s="1"/>
  <c r="BF64" i="17"/>
  <c r="BA8" i="11"/>
  <c r="P142" i="23" s="1"/>
  <c r="AZ21" i="11" s="1"/>
  <c r="DB16" i="11"/>
  <c r="AD1105" i="7"/>
  <c r="M70" i="8"/>
  <c r="R70" i="8"/>
  <c r="S119" i="8"/>
  <c r="T126" i="8"/>
  <c r="T119" i="8"/>
  <c r="S126" i="8"/>
  <c r="Z542" i="7"/>
  <c r="Y577" i="7"/>
  <c r="CH18" i="17"/>
  <c r="CH26" i="17"/>
  <c r="CH24" i="17"/>
  <c r="CH20" i="17"/>
  <c r="CH28" i="17"/>
  <c r="CE21" i="26"/>
  <c r="CH19" i="17"/>
  <c r="CH15" i="17"/>
  <c r="AW18" i="17"/>
  <c r="AW28" i="17"/>
  <c r="AW24" i="17"/>
  <c r="AW15" i="17"/>
  <c r="AT21" i="26"/>
  <c r="AW26" i="17"/>
  <c r="AW19" i="17"/>
  <c r="AW20" i="17"/>
  <c r="U18" i="17"/>
  <c r="U26" i="17"/>
  <c r="U24" i="17"/>
  <c r="U28" i="17"/>
  <c r="R21" i="26"/>
  <c r="U15" i="17"/>
  <c r="U20" i="17"/>
  <c r="U19" i="17"/>
  <c r="AX15" i="26"/>
  <c r="BA9" i="17"/>
  <c r="S15" i="26"/>
  <c r="V9" i="17"/>
  <c r="I15" i="26"/>
  <c r="L9" i="17"/>
  <c r="P70" i="8"/>
  <c r="AN19" i="17"/>
  <c r="AK21" i="26"/>
  <c r="AN15" i="17"/>
  <c r="AN28" i="17"/>
  <c r="AN18" i="17"/>
  <c r="BC238" i="17"/>
  <c r="BB233" i="17"/>
  <c r="BB2" i="17" s="1"/>
  <c r="BB239" i="17"/>
  <c r="BE238" i="17"/>
  <c r="BD238" i="17"/>
  <c r="R163" i="23"/>
  <c r="AI49" i="17"/>
  <c r="AH50" i="17"/>
  <c r="M154" i="23"/>
  <c r="AH44" i="17"/>
  <c r="AK35" i="11" s="1"/>
  <c r="AR12" i="26"/>
  <c r="AU6" i="17"/>
  <c r="BN95" i="17"/>
  <c r="BN89" i="17"/>
  <c r="BY65" i="11" s="1"/>
  <c r="U156" i="23"/>
  <c r="CD176" i="17"/>
  <c r="CD170" i="17"/>
  <c r="CS88" i="11" s="1"/>
  <c r="Y160" i="23"/>
  <c r="L238" i="17"/>
  <c r="BC20" i="17"/>
  <c r="CT89" i="17"/>
  <c r="DM65" i="11" s="1"/>
  <c r="CT95" i="17"/>
  <c r="AC156" i="23"/>
  <c r="M13" i="17"/>
  <c r="J19" i="26"/>
  <c r="N13" i="17"/>
  <c r="K19" i="26"/>
  <c r="AE11" i="17"/>
  <c r="AB17" i="26"/>
  <c r="K467" i="23"/>
  <c r="L467" i="23"/>
  <c r="DC85" i="17"/>
  <c r="DC70" i="11"/>
  <c r="CQ216" i="17"/>
  <c r="CK20" i="26"/>
  <c r="CN14" i="17"/>
  <c r="CJ26" i="17"/>
  <c r="CO216" i="17"/>
  <c r="CL211" i="17"/>
  <c r="DC103" i="11" s="1"/>
  <c r="AA162" i="23"/>
  <c r="CL217" i="17"/>
  <c r="CI216" i="17"/>
  <c r="CH217" i="17"/>
  <c r="CH211" i="17"/>
  <c r="CX103" i="11" s="1"/>
  <c r="CK216" i="17"/>
  <c r="CB14" i="17"/>
  <c r="BY20" i="26"/>
  <c r="CB216" i="17"/>
  <c r="BZ217" i="17"/>
  <c r="BZ211" i="17"/>
  <c r="CN103" i="11" s="1"/>
  <c r="X162" i="23"/>
  <c r="BQ20" i="26"/>
  <c r="BT14" i="17"/>
  <c r="BP14" i="17"/>
  <c r="BM20" i="26"/>
  <c r="BJ217" i="17"/>
  <c r="BJ211" i="17"/>
  <c r="BT103" i="11" s="1"/>
  <c r="T162" i="23"/>
  <c r="AZ20" i="26"/>
  <c r="BC14" i="17"/>
  <c r="BA20" i="26"/>
  <c r="BD14" i="17"/>
  <c r="BC216" i="17"/>
  <c r="BB217" i="17"/>
  <c r="BB211" i="17"/>
  <c r="BJ103" i="11" s="1"/>
  <c r="BD216" i="17"/>
  <c r="R162" i="23"/>
  <c r="AT217" i="17"/>
  <c r="AT211" i="17"/>
  <c r="AZ103" i="11" s="1"/>
  <c r="AW216" i="17"/>
  <c r="AK216" i="17"/>
  <c r="X20" i="26"/>
  <c r="AA14" i="17"/>
  <c r="I20" i="26"/>
  <c r="L14" i="17"/>
  <c r="H20" i="26"/>
  <c r="K14" i="17"/>
  <c r="CM12" i="17"/>
  <c r="CM200" i="17"/>
  <c r="CJ18" i="26"/>
  <c r="CM24" i="17"/>
  <c r="CO175" i="17"/>
  <c r="CL170" i="17"/>
  <c r="DC88" i="11" s="1"/>
  <c r="CL176" i="17"/>
  <c r="AA160" i="23"/>
  <c r="CJ200" i="17"/>
  <c r="CJ12" i="17"/>
  <c r="CG18" i="26"/>
  <c r="CA200" i="17"/>
  <c r="CA12" i="17"/>
  <c r="BX18" i="26"/>
  <c r="CB200" i="17"/>
  <c r="BY18" i="26"/>
  <c r="CB12" i="17"/>
  <c r="CA175" i="17"/>
  <c r="BZ176" i="17"/>
  <c r="BZ170" i="17"/>
  <c r="CN88" i="11" s="1"/>
  <c r="X160" i="23"/>
  <c r="BX200" i="17"/>
  <c r="BU18" i="26"/>
  <c r="BX12" i="17"/>
  <c r="BQ175" i="17"/>
  <c r="BN170" i="17"/>
  <c r="BY88" i="11" s="1"/>
  <c r="BN176" i="17"/>
  <c r="U160" i="23"/>
  <c r="BP175" i="17"/>
  <c r="BM175" i="17"/>
  <c r="BJ176" i="17"/>
  <c r="BJ170" i="17"/>
  <c r="BT88" i="11" s="1"/>
  <c r="T160" i="23"/>
  <c r="BG24" i="17"/>
  <c r="AV18" i="26"/>
  <c r="AY12" i="17"/>
  <c r="AZ12" i="17"/>
  <c r="AW18" i="26"/>
  <c r="AN18" i="26"/>
  <c r="AQ12" i="17"/>
  <c r="AQ175" i="17"/>
  <c r="AP170" i="17"/>
  <c r="AU88" i="11" s="1"/>
  <c r="AP176" i="17"/>
  <c r="AS175" i="17"/>
  <c r="AR175" i="17"/>
  <c r="AN175" i="17"/>
  <c r="AL176" i="17"/>
  <c r="AL170" i="17"/>
  <c r="AP88" i="11" s="1"/>
  <c r="N160" i="23"/>
  <c r="AJ12" i="17"/>
  <c r="AG18" i="26"/>
  <c r="AG175" i="17"/>
  <c r="AB175" i="17"/>
  <c r="AB24" i="17"/>
  <c r="AB12" i="17"/>
  <c r="Y18" i="26"/>
  <c r="O12" i="17"/>
  <c r="L18" i="26"/>
  <c r="K175" i="17"/>
  <c r="L175" i="17"/>
  <c r="CO94" i="17"/>
  <c r="CL89" i="17"/>
  <c r="DC65" i="11" s="1"/>
  <c r="CL95" i="17"/>
  <c r="AA156" i="23"/>
  <c r="BT14" i="26"/>
  <c r="BW8" i="17"/>
  <c r="BH14" i="26"/>
  <c r="BK8" i="17"/>
  <c r="BE94" i="17"/>
  <c r="BB95" i="17"/>
  <c r="BD94" i="17"/>
  <c r="BB89" i="17"/>
  <c r="BJ65" i="11" s="1"/>
  <c r="R156" i="23"/>
  <c r="AR14" i="26"/>
  <c r="AU8" i="17"/>
  <c r="AP95" i="17"/>
  <c r="O156" i="23"/>
  <c r="AS94" i="17"/>
  <c r="AP89" i="17"/>
  <c r="AU65" i="11" s="1"/>
  <c r="AT89" i="17"/>
  <c r="AZ65" i="11" s="1"/>
  <c r="AJ20" i="17"/>
  <c r="AE94" i="17"/>
  <c r="AH95" i="17"/>
  <c r="AH89" i="17"/>
  <c r="AK65" i="11" s="1"/>
  <c r="AI94" i="17"/>
  <c r="AJ94" i="17"/>
  <c r="AK94" i="17"/>
  <c r="M156" i="23"/>
  <c r="AC14" i="26"/>
  <c r="AF8" i="17"/>
  <c r="AB20" i="17"/>
  <c r="Q14" i="26"/>
  <c r="T8" i="17"/>
  <c r="H14" i="26"/>
  <c r="K8" i="17"/>
  <c r="O94" i="17"/>
  <c r="N89" i="17"/>
  <c r="L65" i="11" s="1"/>
  <c r="N95" i="17"/>
  <c r="H156" i="23"/>
  <c r="CS68" i="17"/>
  <c r="CJ7" i="17"/>
  <c r="CG13" i="26"/>
  <c r="CF7" i="17"/>
  <c r="CC13" i="26"/>
  <c r="BY13" i="26"/>
  <c r="CB7" i="17"/>
  <c r="BZ69" i="17"/>
  <c r="BZ63" i="17"/>
  <c r="CN50" i="11" s="1"/>
  <c r="CB68" i="17"/>
  <c r="BV69" i="17"/>
  <c r="BV63" i="17"/>
  <c r="CI50" i="11" s="1"/>
  <c r="BR69" i="17"/>
  <c r="BT68" i="17"/>
  <c r="BR63" i="17"/>
  <c r="CD50" i="11" s="1"/>
  <c r="BS68" i="17"/>
  <c r="V155" i="23"/>
  <c r="BL7" i="17"/>
  <c r="BI13" i="26"/>
  <c r="BM68" i="17"/>
  <c r="BJ69" i="17"/>
  <c r="BJ63" i="17"/>
  <c r="BT50" i="11" s="1"/>
  <c r="T155" i="23"/>
  <c r="BC68" i="17"/>
  <c r="AQ68" i="17"/>
  <c r="AO13" i="26"/>
  <c r="AR7" i="17"/>
  <c r="AF13" i="26"/>
  <c r="AI7" i="17"/>
  <c r="O7" i="17"/>
  <c r="L13" i="26"/>
  <c r="CR6" i="17"/>
  <c r="E115" i="2" s="1"/>
  <c r="CO12" i="26"/>
  <c r="CJ49" i="17"/>
  <c r="CE6" i="17"/>
  <c r="CB12" i="26"/>
  <c r="CD50" i="17"/>
  <c r="CD44" i="17"/>
  <c r="CS35" i="11" s="1"/>
  <c r="Y154" i="23"/>
  <c r="CA106" i="17"/>
  <c r="CD107" i="17"/>
  <c r="BL12" i="26"/>
  <c r="BO6" i="17"/>
  <c r="BI12" i="26"/>
  <c r="BL6" i="17"/>
  <c r="BD18" i="17"/>
  <c r="BH49" i="17"/>
  <c r="BF44" i="17"/>
  <c r="BO35" i="11" s="1"/>
  <c r="S154" i="23"/>
  <c r="BF50" i="17"/>
  <c r="AY105" i="17"/>
  <c r="AT50" i="17"/>
  <c r="AT44" i="17"/>
  <c r="AZ35" i="11" s="1"/>
  <c r="AU49" i="17"/>
  <c r="AR6" i="17"/>
  <c r="AO12" i="26"/>
  <c r="AJ49" i="17"/>
  <c r="AG49" i="17"/>
  <c r="AF6" i="17"/>
  <c r="AC12" i="26"/>
  <c r="X49" i="17"/>
  <c r="V44" i="17"/>
  <c r="V35" i="11" s="1"/>
  <c r="Y49" i="17"/>
  <c r="V50" i="17"/>
  <c r="O49" i="17"/>
  <c r="K18" i="17"/>
  <c r="K6" i="17"/>
  <c r="H12" i="26"/>
  <c r="CR18" i="17"/>
  <c r="CO21" i="26"/>
  <c r="CR28" i="17"/>
  <c r="CR15" i="17"/>
  <c r="CR19" i="17"/>
  <c r="K6" i="28" s="1"/>
  <c r="CE19" i="17"/>
  <c r="CE28" i="17"/>
  <c r="CE15" i="17"/>
  <c r="CB21" i="26"/>
  <c r="CE20" i="17"/>
  <c r="CE24" i="17"/>
  <c r="CE32" i="17" s="1"/>
  <c r="CF19" i="17"/>
  <c r="CF15" i="17"/>
  <c r="CF28" i="17"/>
  <c r="CC21" i="26"/>
  <c r="CA20" i="17"/>
  <c r="BX21" i="26"/>
  <c r="CA15" i="17"/>
  <c r="CA28" i="17"/>
  <c r="CA24" i="17"/>
  <c r="BW20" i="17"/>
  <c r="BW15" i="17"/>
  <c r="BT21" i="26"/>
  <c r="BW28" i="17"/>
  <c r="BW18" i="17"/>
  <c r="BS238" i="17"/>
  <c r="BT20" i="17"/>
  <c r="BT15" i="17"/>
  <c r="BQ21" i="26"/>
  <c r="BT28" i="17"/>
  <c r="BT19" i="17"/>
  <c r="BT21" i="17" s="1"/>
  <c r="BT26" i="17"/>
  <c r="BK238" i="17"/>
  <c r="BJ239" i="17"/>
  <c r="T163" i="23"/>
  <c r="BJ233" i="17"/>
  <c r="BJ2" i="17" s="1"/>
  <c r="AY19" i="17"/>
  <c r="AY15" i="17"/>
  <c r="AY28" i="17"/>
  <c r="AV21" i="26"/>
  <c r="AY26" i="17"/>
  <c r="AY32" i="17" s="1"/>
  <c r="AY20" i="17"/>
  <c r="AW238" i="17"/>
  <c r="AV18" i="17"/>
  <c r="AV15" i="17"/>
  <c r="AS21" i="26"/>
  <c r="AV28" i="17"/>
  <c r="AR238" i="17"/>
  <c r="AI18" i="17"/>
  <c r="AI15" i="17"/>
  <c r="AI28" i="17"/>
  <c r="AF21" i="26"/>
  <c r="AI19" i="17"/>
  <c r="AE238" i="17"/>
  <c r="T18" i="17"/>
  <c r="T15" i="17"/>
  <c r="Q21" i="26"/>
  <c r="T28" i="17"/>
  <c r="O18" i="17"/>
  <c r="O28" i="17"/>
  <c r="O15" i="17"/>
  <c r="L21" i="26"/>
  <c r="O26" i="17"/>
  <c r="O19" i="17"/>
  <c r="P24" i="17"/>
  <c r="P28" i="17"/>
  <c r="M21" i="26"/>
  <c r="P15" i="17"/>
  <c r="P18" i="17"/>
  <c r="P26" i="17"/>
  <c r="L18" i="17"/>
  <c r="I21" i="26"/>
  <c r="L28" i="17"/>
  <c r="L15" i="17"/>
  <c r="P9" i="17"/>
  <c r="M15" i="26"/>
  <c r="BG9" i="17"/>
  <c r="BD15" i="26"/>
  <c r="BH9" i="17"/>
  <c r="BE15" i="26"/>
  <c r="AW9" i="17"/>
  <c r="AT15" i="26"/>
  <c r="AN15" i="26"/>
  <c r="AQ9" i="17"/>
  <c r="R9" i="17"/>
  <c r="O15" i="26"/>
  <c r="N146" i="17"/>
  <c r="CV50" i="17"/>
  <c r="CW38" i="17"/>
  <c r="CV102" i="17"/>
  <c r="CV48" i="17"/>
  <c r="Z131" i="17"/>
  <c r="K158" i="23"/>
  <c r="J187" i="17"/>
  <c r="U23" i="17"/>
  <c r="CZ78" i="17"/>
  <c r="DA78" i="17" s="1"/>
  <c r="DB78" i="17" s="1"/>
  <c r="V23" i="17"/>
  <c r="BE48" i="11"/>
  <c r="BE49" i="11"/>
  <c r="BF49" i="11" s="1"/>
  <c r="BG49" i="11" s="1"/>
  <c r="BE8" i="11"/>
  <c r="BF8" i="11" s="1"/>
  <c r="BG8" i="11" s="1"/>
  <c r="AD131" i="17"/>
  <c r="L158" i="23"/>
  <c r="AC13" i="17"/>
  <c r="Z19" i="26"/>
  <c r="AC4" i="23"/>
  <c r="DM15" i="11"/>
  <c r="DN15" i="11" s="1"/>
  <c r="DO15" i="11" s="1"/>
  <c r="J270" i="23"/>
  <c r="I264" i="23"/>
  <c r="T228" i="23"/>
  <c r="T221" i="23"/>
  <c r="T30" i="25"/>
  <c r="T418" i="23"/>
  <c r="T215" i="23"/>
  <c r="U228" i="23"/>
  <c r="BW59" i="11"/>
  <c r="I456" i="23"/>
  <c r="J456" i="23"/>
  <c r="AG59" i="17"/>
  <c r="AC40" i="17"/>
  <c r="BE34" i="11"/>
  <c r="BF34" i="11" s="1"/>
  <c r="BG34" i="11" s="1"/>
  <c r="BE7" i="11"/>
  <c r="BF7" i="11" s="1"/>
  <c r="Q141" i="23" s="1"/>
  <c r="BY7" i="11"/>
  <c r="BZ7" i="11" s="1"/>
  <c r="BY34" i="11"/>
  <c r="BZ34" i="11" s="1"/>
  <c r="CA34" i="11" s="1"/>
  <c r="X154" i="23"/>
  <c r="U127" i="17"/>
  <c r="S84" i="23"/>
  <c r="T84" i="23"/>
  <c r="R157" i="23"/>
  <c r="Q105" i="23"/>
  <c r="R105" i="23"/>
  <c r="P126" i="23"/>
  <c r="O126" i="23"/>
  <c r="AA269" i="23"/>
  <c r="AA264" i="23"/>
  <c r="AA429" i="23"/>
  <c r="AB429" i="23"/>
  <c r="O175" i="8"/>
  <c r="O182" i="8"/>
  <c r="O478" i="7"/>
  <c r="P182" i="8"/>
  <c r="P167" i="8"/>
  <c r="Q175" i="8"/>
  <c r="P175" i="8"/>
  <c r="P478" i="7"/>
  <c r="M196" i="8"/>
  <c r="N196" i="8"/>
  <c r="M213" i="8"/>
  <c r="V213" i="8"/>
  <c r="W196" i="8"/>
  <c r="V196" i="8"/>
  <c r="V60" i="8"/>
  <c r="U60" i="8"/>
  <c r="AG31" i="8"/>
  <c r="U49" i="8"/>
  <c r="V49" i="8"/>
  <c r="Y191" i="8"/>
  <c r="Y51" i="8"/>
  <c r="AJ33" i="8"/>
  <c r="Y77" i="8"/>
  <c r="Y82" i="8" s="1"/>
  <c r="Y62" i="8"/>
  <c r="M120" i="8"/>
  <c r="N120" i="8"/>
  <c r="M159" i="8"/>
  <c r="N72" i="8"/>
  <c r="N365" i="7"/>
  <c r="R72" i="8"/>
  <c r="R365" i="7"/>
  <c r="AG28" i="8"/>
  <c r="U57" i="8"/>
  <c r="V46" i="8"/>
  <c r="U188" i="8"/>
  <c r="V57" i="8"/>
  <c r="U46" i="8"/>
  <c r="Q191" i="8"/>
  <c r="R62" i="8"/>
  <c r="Q51" i="8"/>
  <c r="R51" i="8"/>
  <c r="Q62" i="8"/>
  <c r="Q77" i="8"/>
  <c r="Q78" i="8" s="1"/>
  <c r="AG40" i="17"/>
  <c r="T466" i="23"/>
  <c r="M40" i="17"/>
  <c r="P23" i="17"/>
  <c r="AF11" i="17"/>
  <c r="AC17" i="26"/>
  <c r="AB331" i="7"/>
  <c r="AB102" i="7"/>
  <c r="AB454" i="7"/>
  <c r="AB330" i="7"/>
  <c r="AB332" i="7"/>
  <c r="AB443" i="7"/>
  <c r="AB445" i="7" s="1"/>
  <c r="AB451" i="7" s="1"/>
  <c r="W405" i="23"/>
  <c r="O270" i="23"/>
  <c r="O264" i="23"/>
  <c r="T270" i="23"/>
  <c r="S270" i="23"/>
  <c r="S264" i="23"/>
  <c r="Z270" i="23"/>
  <c r="Y270" i="23"/>
  <c r="J221" i="23"/>
  <c r="Y59" i="11"/>
  <c r="J215" i="23"/>
  <c r="J418" i="23"/>
  <c r="K228" i="23"/>
  <c r="J30" i="25"/>
  <c r="I349" i="23"/>
  <c r="J349" i="23"/>
  <c r="T457" i="23"/>
  <c r="U457" i="23"/>
  <c r="L348" i="23"/>
  <c r="K348" i="23"/>
  <c r="L346" i="23"/>
  <c r="X348" i="23"/>
  <c r="W348" i="23"/>
  <c r="Y173" i="8"/>
  <c r="Y180" i="8"/>
  <c r="Y145" i="8"/>
  <c r="Y167" i="8"/>
  <c r="Y140" i="8"/>
  <c r="Q111" i="8"/>
  <c r="J154" i="23"/>
  <c r="AU7" i="11"/>
  <c r="AV7" i="11" s="1"/>
  <c r="AW7" i="11" s="1"/>
  <c r="AU34" i="11"/>
  <c r="AV34" i="11" s="1"/>
  <c r="AW34" i="11" s="1"/>
  <c r="V380" i="23"/>
  <c r="K135" i="23"/>
  <c r="L135" i="23"/>
  <c r="S126" i="23"/>
  <c r="T126" i="23"/>
  <c r="W4" i="23"/>
  <c r="CI15" i="11"/>
  <c r="CJ15" i="11" s="1"/>
  <c r="CK15" i="11" s="1"/>
  <c r="N182" i="8"/>
  <c r="N478" i="7"/>
  <c r="N175" i="8"/>
  <c r="J993" i="7"/>
  <c r="J1007" i="7" s="1"/>
  <c r="J717" i="7"/>
  <c r="J704" i="7"/>
  <c r="K704" i="7"/>
  <c r="O213" i="8"/>
  <c r="P196" i="8"/>
  <c r="O196" i="8"/>
  <c r="T196" i="8"/>
  <c r="U196" i="8"/>
  <c r="T213" i="8"/>
  <c r="T699" i="7"/>
  <c r="BW48" i="11"/>
  <c r="G77" i="8"/>
  <c r="G78" i="8" s="1"/>
  <c r="G191" i="8"/>
  <c r="O60" i="8"/>
  <c r="O49" i="8"/>
  <c r="K46" i="8"/>
  <c r="K188" i="8"/>
  <c r="L46" i="8"/>
  <c r="K57" i="8"/>
  <c r="O72" i="8"/>
  <c r="O365" i="7"/>
  <c r="S57" i="8"/>
  <c r="T46" i="8"/>
  <c r="S46" i="8"/>
  <c r="T57" i="8"/>
  <c r="S188" i="8"/>
  <c r="AA101" i="8"/>
  <c r="AA81" i="8"/>
  <c r="AB81" i="8"/>
  <c r="AA192" i="8"/>
  <c r="AA120" i="8"/>
  <c r="AB120" i="8"/>
  <c r="I120" i="8"/>
  <c r="N380" i="23"/>
  <c r="O167" i="8"/>
  <c r="AB268" i="23"/>
  <c r="Z114" i="8"/>
  <c r="DH16" i="11"/>
  <c r="AB72" i="8"/>
  <c r="M455" i="23"/>
  <c r="N455" i="23"/>
  <c r="L457" i="23"/>
  <c r="K457" i="23"/>
  <c r="Y457" i="23"/>
  <c r="Z457" i="23"/>
  <c r="W429" i="23"/>
  <c r="P270" i="23"/>
  <c r="I256" i="7"/>
  <c r="Q346" i="23"/>
  <c r="P348" i="23"/>
  <c r="Q348" i="23"/>
  <c r="P346" i="23"/>
  <c r="Z120" i="8"/>
  <c r="N466" i="23"/>
  <c r="AA8" i="11"/>
  <c r="AB8" i="11" s="1"/>
  <c r="AC8" i="11" s="1"/>
  <c r="AA49" i="11"/>
  <c r="AB49" i="11" s="1"/>
  <c r="AC49" i="11" s="1"/>
  <c r="AA48" i="11"/>
  <c r="AB48" i="11" s="1"/>
  <c r="AC48" i="11" s="1"/>
  <c r="W83" i="23"/>
  <c r="CP233" i="17"/>
  <c r="CP2" i="17" s="1"/>
  <c r="V107" i="17"/>
  <c r="AL89" i="17"/>
  <c r="AP65" i="11" s="1"/>
  <c r="M19" i="26"/>
  <c r="P13" i="17"/>
  <c r="X394" i="7"/>
  <c r="X494" i="7"/>
  <c r="X496" i="7" s="1"/>
  <c r="O494" i="7"/>
  <c r="O496" i="7" s="1"/>
  <c r="O394" i="7"/>
  <c r="Y1038" i="7"/>
  <c r="N456" i="23"/>
  <c r="L980" i="7"/>
  <c r="T13" i="17"/>
  <c r="Q19" i="26"/>
  <c r="X13" i="17"/>
  <c r="U19" i="26"/>
  <c r="P473" i="23"/>
  <c r="G551" i="7"/>
  <c r="H564" i="7"/>
  <c r="H567" i="7" s="1"/>
  <c r="AM33" i="8"/>
  <c r="AB77" i="8"/>
  <c r="AB51" i="8"/>
  <c r="AB191" i="8"/>
  <c r="AB114" i="8"/>
  <c r="AB62" i="8"/>
  <c r="I270" i="23"/>
  <c r="X455" i="23"/>
  <c r="V197" i="8"/>
  <c r="U197" i="8"/>
  <c r="U248" i="8"/>
  <c r="X23" i="17"/>
  <c r="P79" i="7"/>
  <c r="Q81" i="7" s="1"/>
  <c r="L411" i="23"/>
  <c r="AC66" i="23"/>
  <c r="AN33" i="8"/>
  <c r="AD229" i="7"/>
  <c r="EP19" i="6"/>
  <c r="AE228" i="7"/>
  <c r="AD1097" i="7"/>
  <c r="G1113" i="7"/>
  <c r="S106" i="23"/>
  <c r="AC758" i="7"/>
  <c r="AC748" i="7"/>
  <c r="AC729" i="7"/>
  <c r="AE51" i="25"/>
  <c r="G175" i="2"/>
  <c r="AE20" i="8"/>
  <c r="N429" i="23"/>
  <c r="AA467" i="23"/>
  <c r="T433" i="23"/>
  <c r="N167" i="8"/>
  <c r="V737" i="7"/>
  <c r="V748" i="7"/>
  <c r="V758" i="7"/>
  <c r="I573" i="7"/>
  <c r="I583" i="7"/>
  <c r="I552" i="7"/>
  <c r="Z348" i="23"/>
  <c r="Z173" i="8"/>
  <c r="AB442" i="7"/>
  <c r="AC101" i="7"/>
  <c r="AB103" i="7"/>
  <c r="Y426" i="7"/>
  <c r="Y429" i="7"/>
  <c r="Z395" i="7"/>
  <c r="AM393" i="7"/>
  <c r="AA393" i="7"/>
  <c r="AC1043" i="7"/>
  <c r="E231" i="2"/>
  <c r="AC98" i="25"/>
  <c r="AC1121" i="7"/>
  <c r="EK16" i="6"/>
  <c r="AD31" i="7"/>
  <c r="AC53" i="7"/>
  <c r="AC49" i="7"/>
  <c r="W119" i="8"/>
  <c r="X119" i="8"/>
  <c r="W126" i="8"/>
  <c r="X126" i="8"/>
  <c r="V6" i="17"/>
  <c r="S12" i="26"/>
  <c r="CP18" i="17"/>
  <c r="CP24" i="17"/>
  <c r="CP20" i="17"/>
  <c r="I7" i="28" s="1"/>
  <c r="CP28" i="17"/>
  <c r="CM21" i="26"/>
  <c r="CP26" i="17"/>
  <c r="CP19" i="17"/>
  <c r="CP15" i="17"/>
  <c r="I10" i="28" s="1"/>
  <c r="CG18" i="17"/>
  <c r="CG20" i="17"/>
  <c r="CG19" i="17"/>
  <c r="CG15" i="17"/>
  <c r="CD21" i="26"/>
  <c r="CG26" i="17"/>
  <c r="CG24" i="17"/>
  <c r="CG28" i="17"/>
  <c r="BR18" i="17"/>
  <c r="BR20" i="17"/>
  <c r="BR24" i="17"/>
  <c r="BR19" i="17"/>
  <c r="BO21" i="26"/>
  <c r="BR15" i="17"/>
  <c r="BR26" i="17"/>
  <c r="BR28" i="17"/>
  <c r="BJ19" i="17"/>
  <c r="BJ26" i="17"/>
  <c r="BJ28" i="17"/>
  <c r="BJ24" i="17"/>
  <c r="BJ15" i="17"/>
  <c r="BJ20" i="17"/>
  <c r="BJ18" i="17"/>
  <c r="BG21" i="26"/>
  <c r="AC20" i="17"/>
  <c r="AC26" i="17"/>
  <c r="AC18" i="17"/>
  <c r="AC28" i="17"/>
  <c r="AC19" i="17"/>
  <c r="AC15" i="17"/>
  <c r="Z21" i="26"/>
  <c r="AC24" i="17"/>
  <c r="AC23" i="17"/>
  <c r="R18" i="17"/>
  <c r="R28" i="17"/>
  <c r="R26" i="17"/>
  <c r="R20" i="17"/>
  <c r="R24" i="17"/>
  <c r="R19" i="17"/>
  <c r="R15" i="17"/>
  <c r="O21" i="26"/>
  <c r="R23" i="17"/>
  <c r="Q15" i="26"/>
  <c r="T9" i="17"/>
  <c r="AS15" i="26"/>
  <c r="AV9" i="17"/>
  <c r="H15" i="26"/>
  <c r="K9" i="17"/>
  <c r="J146" i="17"/>
  <c r="BY12" i="26"/>
  <c r="CB6" i="17"/>
  <c r="CQ18" i="17"/>
  <c r="CN21" i="26"/>
  <c r="CQ28" i="17"/>
  <c r="CQ15" i="17"/>
  <c r="AY6" i="17"/>
  <c r="AV12" i="26"/>
  <c r="AK68" i="17"/>
  <c r="AH69" i="17"/>
  <c r="AH63" i="17"/>
  <c r="AK50" i="11" s="1"/>
  <c r="M155" i="23"/>
  <c r="AJ68" i="17"/>
  <c r="BL14" i="26"/>
  <c r="BO8" i="17"/>
  <c r="CB20" i="26"/>
  <c r="CE14" i="17"/>
  <c r="W11" i="17"/>
  <c r="T17" i="26"/>
  <c r="P253" i="8"/>
  <c r="O249" i="8"/>
  <c r="O250" i="8" s="1"/>
  <c r="DH70" i="11"/>
  <c r="DD85" i="17"/>
  <c r="CQ26" i="17"/>
  <c r="CQ32" i="17" s="1"/>
  <c r="CP217" i="17"/>
  <c r="CP211" i="17"/>
  <c r="DH103" i="11" s="1"/>
  <c r="AB162" i="23"/>
  <c r="CS216" i="17"/>
  <c r="CR216" i="17"/>
  <c r="CI14" i="17"/>
  <c r="CF20" i="26"/>
  <c r="CJ14" i="17"/>
  <c r="CG20" i="26"/>
  <c r="BX14" i="17"/>
  <c r="BU20" i="26"/>
  <c r="BR217" i="17"/>
  <c r="BR211" i="17"/>
  <c r="CD103" i="11" s="1"/>
  <c r="V162" i="23"/>
  <c r="BU216" i="17"/>
  <c r="BO216" i="17"/>
  <c r="BN217" i="17"/>
  <c r="BN211" i="17"/>
  <c r="BY103" i="11" s="1"/>
  <c r="BP216" i="17"/>
  <c r="U162" i="23"/>
  <c r="AY216" i="17"/>
  <c r="AX217" i="17"/>
  <c r="AX211" i="17"/>
  <c r="BE103" i="11" s="1"/>
  <c r="AZ216" i="17"/>
  <c r="Q162" i="23"/>
  <c r="AU14" i="17"/>
  <c r="AR20" i="26"/>
  <c r="AR14" i="17"/>
  <c r="AO20" i="26"/>
  <c r="AP217" i="17"/>
  <c r="AP211" i="17"/>
  <c r="AU103" i="11" s="1"/>
  <c r="AQ216" i="17"/>
  <c r="AN216" i="17"/>
  <c r="AL217" i="17"/>
  <c r="AL211" i="17"/>
  <c r="AP103" i="11" s="1"/>
  <c r="N162" i="23"/>
  <c r="AC20" i="26"/>
  <c r="AF14" i="17"/>
  <c r="Y20" i="26"/>
  <c r="AB14" i="17"/>
  <c r="AA216" i="17"/>
  <c r="Z211" i="17"/>
  <c r="AA103" i="11" s="1"/>
  <c r="Z217" i="17"/>
  <c r="K162" i="23"/>
  <c r="W216" i="17"/>
  <c r="V217" i="17"/>
  <c r="V211" i="17"/>
  <c r="V103" i="11" s="1"/>
  <c r="J162" i="23"/>
  <c r="CN18" i="26"/>
  <c r="CQ12" i="17"/>
  <c r="D121" i="2" s="1"/>
  <c r="CQ200" i="17"/>
  <c r="CP176" i="17"/>
  <c r="CP170" i="17"/>
  <c r="DH88" i="11" s="1"/>
  <c r="AB160" i="23"/>
  <c r="CS175" i="17"/>
  <c r="CJ175" i="17"/>
  <c r="CH170" i="17"/>
  <c r="CX88" i="11" s="1"/>
  <c r="CH176" i="17"/>
  <c r="Z160" i="23"/>
  <c r="BM18" i="26"/>
  <c r="BP12" i="17"/>
  <c r="BK12" i="17"/>
  <c r="BH18" i="26"/>
  <c r="BH12" i="17"/>
  <c r="BE18" i="26"/>
  <c r="BG12" i="17"/>
  <c r="BD18" i="26"/>
  <c r="BF170" i="17"/>
  <c r="BO88" i="11" s="1"/>
  <c r="BF176" i="17"/>
  <c r="BG175" i="17"/>
  <c r="S160" i="23"/>
  <c r="AV12" i="17"/>
  <c r="AS18" i="26"/>
  <c r="W12" i="17"/>
  <c r="T18" i="26"/>
  <c r="T12" i="17"/>
  <c r="Q18" i="26"/>
  <c r="M18" i="26"/>
  <c r="P12" i="17"/>
  <c r="U175" i="17"/>
  <c r="R170" i="17"/>
  <c r="Q88" i="11" s="1"/>
  <c r="T175" i="17"/>
  <c r="R176" i="17"/>
  <c r="I160" i="23"/>
  <c r="S175" i="17"/>
  <c r="CR8" i="17"/>
  <c r="E117" i="2" s="1"/>
  <c r="CO14" i="26"/>
  <c r="CB14" i="26"/>
  <c r="CE8" i="17"/>
  <c r="BX14" i="26"/>
  <c r="CA8" i="17"/>
  <c r="BU14" i="26"/>
  <c r="BX8" i="17"/>
  <c r="BR95" i="17"/>
  <c r="BR89" i="17"/>
  <c r="CD65" i="11" s="1"/>
  <c r="BT94" i="17"/>
  <c r="BS94" i="17"/>
  <c r="BU94" i="17"/>
  <c r="V156" i="23"/>
  <c r="BI14" i="26"/>
  <c r="BL8" i="17"/>
  <c r="BK94" i="17"/>
  <c r="BJ89" i="17"/>
  <c r="BT65" i="11" s="1"/>
  <c r="BJ95" i="17"/>
  <c r="T156" i="23"/>
  <c r="BD14" i="26"/>
  <c r="BG8" i="17"/>
  <c r="BC8" i="17"/>
  <c r="AZ14" i="26"/>
  <c r="AW14" i="26"/>
  <c r="AZ8" i="17"/>
  <c r="AV8" i="17"/>
  <c r="AS14" i="26"/>
  <c r="AR8" i="17"/>
  <c r="AO14" i="26"/>
  <c r="AI8" i="17"/>
  <c r="AF14" i="26"/>
  <c r="AB14" i="26"/>
  <c r="AE8" i="17"/>
  <c r="W94" i="17"/>
  <c r="V89" i="17"/>
  <c r="V65" i="11" s="1"/>
  <c r="V95" i="17"/>
  <c r="Y94" i="17"/>
  <c r="J156" i="23"/>
  <c r="R95" i="17"/>
  <c r="R89" i="17"/>
  <c r="Q65" i="11" s="1"/>
  <c r="S94" i="17"/>
  <c r="I156" i="23"/>
  <c r="P8" i="17"/>
  <c r="M14" i="26"/>
  <c r="CQ19" i="17"/>
  <c r="CN13" i="26"/>
  <c r="CQ7" i="17"/>
  <c r="D116" i="2" s="1"/>
  <c r="CR7" i="17"/>
  <c r="E116" i="2" s="1"/>
  <c r="CO13" i="26"/>
  <c r="CI7" i="17"/>
  <c r="CF13" i="26"/>
  <c r="BX7" i="17"/>
  <c r="BU13" i="26"/>
  <c r="BQ13" i="26"/>
  <c r="BT7" i="17"/>
  <c r="BL13" i="26"/>
  <c r="BO7" i="17"/>
  <c r="BE13" i="26"/>
  <c r="BH7" i="17"/>
  <c r="AZ68" i="17"/>
  <c r="AX69" i="17"/>
  <c r="Q155" i="23"/>
  <c r="AX63" i="17"/>
  <c r="BE50" i="11" s="1"/>
  <c r="AW68" i="17"/>
  <c r="AT63" i="17"/>
  <c r="AZ50" i="11" s="1"/>
  <c r="AT69" i="17"/>
  <c r="P155" i="23"/>
  <c r="AJ13" i="26"/>
  <c r="AM7" i="17"/>
  <c r="AI68" i="17"/>
  <c r="AE7" i="17"/>
  <c r="AB13" i="26"/>
  <c r="X13" i="26"/>
  <c r="AA7" i="17"/>
  <c r="AB7" i="17"/>
  <c r="Y13" i="26"/>
  <c r="AA68" i="17"/>
  <c r="Z63" i="17"/>
  <c r="AA50" i="11" s="1"/>
  <c r="Z69" i="17"/>
  <c r="K155" i="23"/>
  <c r="CI6" i="17"/>
  <c r="CF12" i="26"/>
  <c r="CE106" i="17"/>
  <c r="CH107" i="17"/>
  <c r="BW106" i="17"/>
  <c r="BZ107" i="17"/>
  <c r="BS106" i="17"/>
  <c r="BV107" i="17"/>
  <c r="BR50" i="17"/>
  <c r="BR44" i="17"/>
  <c r="CD35" i="11" s="1"/>
  <c r="BP6" i="17"/>
  <c r="BM12" i="26"/>
  <c r="BK6" i="17"/>
  <c r="BH12" i="26"/>
  <c r="BD12" i="26"/>
  <c r="BG6" i="17"/>
  <c r="BF107" i="17"/>
  <c r="BC105" i="17"/>
  <c r="AW12" i="26"/>
  <c r="AZ6" i="17"/>
  <c r="BD49" i="17"/>
  <c r="BB44" i="17"/>
  <c r="BJ35" i="11" s="1"/>
  <c r="BB50" i="17"/>
  <c r="AJ12" i="26"/>
  <c r="AM6" i="17"/>
  <c r="AR49" i="17"/>
  <c r="AP44" i="17"/>
  <c r="AU35" i="11" s="1"/>
  <c r="AP50" i="17"/>
  <c r="O154" i="23"/>
  <c r="AF12" i="26"/>
  <c r="AI6" i="17"/>
  <c r="AO49" i="17"/>
  <c r="AL50" i="17"/>
  <c r="AM49" i="17"/>
  <c r="AL44" i="17"/>
  <c r="AP35" i="11" s="1"/>
  <c r="O105" i="17"/>
  <c r="R107" i="17"/>
  <c r="O6" i="17"/>
  <c r="L12" i="26"/>
  <c r="CN18" i="17"/>
  <c r="CN28" i="17"/>
  <c r="CN15" i="17"/>
  <c r="G10" i="28" s="1"/>
  <c r="CN24" i="17"/>
  <c r="CK21" i="26"/>
  <c r="CN20" i="17"/>
  <c r="G7" i="28" s="1"/>
  <c r="CN26" i="17"/>
  <c r="CM238" i="17"/>
  <c r="CL233" i="17"/>
  <c r="CL2" i="17" s="1"/>
  <c r="AA163" i="23"/>
  <c r="CL239" i="17"/>
  <c r="CB18" i="17"/>
  <c r="BY21" i="26"/>
  <c r="CB28" i="17"/>
  <c r="CB20" i="17"/>
  <c r="CB15" i="17"/>
  <c r="BX18" i="17"/>
  <c r="BX15" i="17"/>
  <c r="BX28" i="17"/>
  <c r="BU21" i="26"/>
  <c r="BO18" i="17"/>
  <c r="BO28" i="17"/>
  <c r="BO15" i="17"/>
  <c r="BL21" i="26"/>
  <c r="BO19" i="17"/>
  <c r="BL19" i="17"/>
  <c r="BI21" i="26"/>
  <c r="BL15" i="17"/>
  <c r="BL28" i="17"/>
  <c r="BL24" i="17"/>
  <c r="BN239" i="17"/>
  <c r="BN233" i="17"/>
  <c r="BN2" i="17" s="1"/>
  <c r="BP238" i="17"/>
  <c r="U163" i="23"/>
  <c r="BH18" i="17"/>
  <c r="BH28" i="17"/>
  <c r="BE21" i="26"/>
  <c r="BH15" i="17"/>
  <c r="BH26" i="17"/>
  <c r="BH32" i="17" s="1"/>
  <c r="BD20" i="17"/>
  <c r="BD15" i="17"/>
  <c r="BD28" i="17"/>
  <c r="BD19" i="17"/>
  <c r="BA21" i="26"/>
  <c r="AU19" i="17"/>
  <c r="AU28" i="17"/>
  <c r="AU15" i="17"/>
  <c r="AR21" i="26"/>
  <c r="AU26" i="17"/>
  <c r="AR26" i="17"/>
  <c r="AO21" i="26"/>
  <c r="AR28" i="17"/>
  <c r="AR24" i="17"/>
  <c r="AR18" i="17"/>
  <c r="AR15" i="17"/>
  <c r="AR20" i="17"/>
  <c r="AF26" i="17"/>
  <c r="AC21" i="26"/>
  <c r="AF15" i="17"/>
  <c r="AF28" i="17"/>
  <c r="AI238" i="17"/>
  <c r="AH233" i="17"/>
  <c r="AH239" i="17"/>
  <c r="AK238" i="17"/>
  <c r="M163" i="23"/>
  <c r="P238" i="17"/>
  <c r="N233" i="17"/>
  <c r="N239" i="17"/>
  <c r="Q238" i="17"/>
  <c r="O238" i="17"/>
  <c r="H163" i="23"/>
  <c r="AP9" i="17"/>
  <c r="AM15" i="26"/>
  <c r="P144" i="17"/>
  <c r="R146" i="17"/>
  <c r="N15" i="26"/>
  <c r="Q9" i="17"/>
  <c r="I19" i="26"/>
  <c r="L13" i="17"/>
  <c r="V144" i="17"/>
  <c r="AC11" i="17"/>
  <c r="Z17" i="26"/>
  <c r="U185" i="17"/>
  <c r="V187" i="17"/>
  <c r="AG144" i="17"/>
  <c r="AD187" i="17"/>
  <c r="AA185" i="17"/>
  <c r="Y19" i="26"/>
  <c r="AB13" i="17"/>
  <c r="AB221" i="23"/>
  <c r="AB215" i="23"/>
  <c r="AB418" i="23"/>
  <c r="DK59" i="11"/>
  <c r="AB30" i="25"/>
  <c r="D139" i="2"/>
  <c r="AU139" i="2" s="1"/>
  <c r="N411" i="23"/>
  <c r="M411" i="23"/>
  <c r="M319" i="23"/>
  <c r="L319" i="23"/>
  <c r="J467" i="23"/>
  <c r="I467" i="23"/>
  <c r="V180" i="8"/>
  <c r="V164" i="8"/>
  <c r="V140" i="8"/>
  <c r="V145" i="8"/>
  <c r="V159" i="8" s="1"/>
  <c r="AP49" i="11"/>
  <c r="AQ49" i="11" s="1"/>
  <c r="AR49" i="11" s="1"/>
  <c r="AP48" i="11"/>
  <c r="AQ48" i="11" s="1"/>
  <c r="AP8" i="11"/>
  <c r="AQ8" i="11" s="1"/>
  <c r="AR8" i="11" s="1"/>
  <c r="AK34" i="11"/>
  <c r="AL34" i="11" s="1"/>
  <c r="AM34" i="11" s="1"/>
  <c r="AK7" i="11"/>
  <c r="AL7" i="11" s="1"/>
  <c r="AM7" i="11" s="1"/>
  <c r="P84" i="23"/>
  <c r="O84" i="23"/>
  <c r="I135" i="23"/>
  <c r="J135" i="23"/>
  <c r="K125" i="23"/>
  <c r="J125" i="23"/>
  <c r="T456" i="23"/>
  <c r="U456" i="23"/>
  <c r="Z65" i="23"/>
  <c r="AA65" i="23"/>
  <c r="W167" i="8"/>
  <c r="W175" i="8"/>
  <c r="W182" i="8"/>
  <c r="W478" i="7"/>
  <c r="AA167" i="8"/>
  <c r="AA478" i="7"/>
  <c r="AA182" i="8"/>
  <c r="AA175" i="8"/>
  <c r="H179" i="8"/>
  <c r="H144" i="8"/>
  <c r="I172" i="8"/>
  <c r="H164" i="8"/>
  <c r="H993" i="7"/>
  <c r="I704" i="7"/>
  <c r="H704" i="7"/>
  <c r="H717" i="7"/>
  <c r="M179" i="8"/>
  <c r="M172" i="8"/>
  <c r="M164" i="8"/>
  <c r="N172" i="8"/>
  <c r="M144" i="8"/>
  <c r="R993" i="7"/>
  <c r="S704" i="7"/>
  <c r="R704" i="7"/>
  <c r="R717" i="7"/>
  <c r="V993" i="7"/>
  <c r="W704" i="7"/>
  <c r="V717" i="7"/>
  <c r="V704" i="7"/>
  <c r="W974" i="7"/>
  <c r="Z699" i="7"/>
  <c r="DA48" i="11"/>
  <c r="U980" i="7"/>
  <c r="U990" i="7"/>
  <c r="AB105" i="23"/>
  <c r="AC105" i="23"/>
  <c r="M191" i="8"/>
  <c r="M77" i="8"/>
  <c r="M62" i="8"/>
  <c r="N51" i="8"/>
  <c r="N62" i="8"/>
  <c r="M114" i="8"/>
  <c r="M51" i="8"/>
  <c r="R60" i="8"/>
  <c r="Q49" i="8"/>
  <c r="R49" i="8"/>
  <c r="Q60" i="8"/>
  <c r="M46" i="8"/>
  <c r="N57" i="8"/>
  <c r="M57" i="8"/>
  <c r="N46" i="8"/>
  <c r="M188" i="8"/>
  <c r="M195" i="8" s="1"/>
  <c r="M111" i="8"/>
  <c r="Q248" i="8"/>
  <c r="R197" i="8"/>
  <c r="Y192" i="8"/>
  <c r="Z81" i="8"/>
  <c r="Y81" i="8"/>
  <c r="Y101" i="8"/>
  <c r="AJ28" i="8"/>
  <c r="AK28" i="8"/>
  <c r="Y111" i="8"/>
  <c r="Z46" i="8"/>
  <c r="Y46" i="8"/>
  <c r="Z57" i="8"/>
  <c r="Y57" i="8"/>
  <c r="BA108" i="17"/>
  <c r="L429" i="23"/>
  <c r="Q457" i="23"/>
  <c r="H17" i="26"/>
  <c r="K11" i="17"/>
  <c r="Z146" i="17"/>
  <c r="W144" i="17"/>
  <c r="X269" i="23"/>
  <c r="W269" i="23"/>
  <c r="W264" i="23"/>
  <c r="W725" i="7"/>
  <c r="W736" i="7"/>
  <c r="W748" i="7" s="1"/>
  <c r="T346" i="23"/>
  <c r="S346" i="23"/>
  <c r="K360" i="23"/>
  <c r="L360" i="23"/>
  <c r="U350" i="23"/>
  <c r="V349" i="23"/>
  <c r="U349" i="23"/>
  <c r="J466" i="23"/>
  <c r="I466" i="23"/>
  <c r="Y248" i="8"/>
  <c r="Z197" i="8"/>
  <c r="Y197" i="8"/>
  <c r="BJ49" i="11"/>
  <c r="BK49" i="11" s="1"/>
  <c r="BL49" i="11" s="1"/>
  <c r="BJ48" i="11"/>
  <c r="BK48" i="11" s="1"/>
  <c r="BJ8" i="11"/>
  <c r="BK8" i="11" s="1"/>
  <c r="X411" i="23"/>
  <c r="Y411" i="23"/>
  <c r="AA34" i="11"/>
  <c r="AB34" i="11" s="1"/>
  <c r="AC34" i="11" s="1"/>
  <c r="AA7" i="11"/>
  <c r="AB7" i="11" s="1"/>
  <c r="K141" i="23" s="1"/>
  <c r="AA20" i="11" s="1"/>
  <c r="R65" i="23"/>
  <c r="S65" i="23"/>
  <c r="Y83" i="23"/>
  <c r="Z83" i="23"/>
  <c r="J160" i="23"/>
  <c r="R456" i="23"/>
  <c r="S4" i="23"/>
  <c r="BO15" i="11"/>
  <c r="BP15" i="11" s="1"/>
  <c r="BQ15" i="11" s="1"/>
  <c r="W162" i="23"/>
  <c r="Y465" i="23"/>
  <c r="Z465" i="23"/>
  <c r="J196" i="8"/>
  <c r="K196" i="8"/>
  <c r="J213" i="8"/>
  <c r="AB55" i="23"/>
  <c r="AB49" i="23"/>
  <c r="O114" i="8"/>
  <c r="O77" i="8"/>
  <c r="O191" i="8"/>
  <c r="P62" i="8"/>
  <c r="O51" i="8"/>
  <c r="O62" i="8"/>
  <c r="P51" i="8"/>
  <c r="W249" i="8"/>
  <c r="W250" i="8" s="1"/>
  <c r="W253" i="8"/>
  <c r="X253" i="8"/>
  <c r="AA49" i="8"/>
  <c r="AB49" i="8"/>
  <c r="AB60" i="8"/>
  <c r="AL31" i="8"/>
  <c r="AM31" i="8"/>
  <c r="AA60" i="8"/>
  <c r="G101" i="8"/>
  <c r="H81" i="8"/>
  <c r="K192" i="8"/>
  <c r="K81" i="8"/>
  <c r="K101" i="8"/>
  <c r="L81" i="8"/>
  <c r="W188" i="8"/>
  <c r="AH28" i="8"/>
  <c r="AI28" i="8"/>
  <c r="X46" i="8"/>
  <c r="W46" i="8"/>
  <c r="X57" i="8"/>
  <c r="W57" i="8"/>
  <c r="L191" i="8"/>
  <c r="L62" i="8"/>
  <c r="L77" i="8"/>
  <c r="W136" i="7"/>
  <c r="K433" i="23"/>
  <c r="S348" i="23"/>
  <c r="Y405" i="23"/>
  <c r="W428" i="23"/>
  <c r="BQ82" i="17"/>
  <c r="P4" i="23"/>
  <c r="AZ15" i="11"/>
  <c r="BA15" i="11" s="1"/>
  <c r="AB729" i="7"/>
  <c r="AB758" i="7"/>
  <c r="AB1031" i="7"/>
  <c r="AB1032" i="7" s="1"/>
  <c r="X173" i="8"/>
  <c r="W145" i="8"/>
  <c r="W180" i="8"/>
  <c r="W140" i="8"/>
  <c r="W173" i="8"/>
  <c r="W164" i="8"/>
  <c r="N248" i="8"/>
  <c r="N197" i="8"/>
  <c r="Z454" i="7"/>
  <c r="AM454" i="7" s="1"/>
  <c r="Z332" i="7"/>
  <c r="AM332" i="7" s="1"/>
  <c r="Z102" i="7"/>
  <c r="Z331" i="7"/>
  <c r="AM331" i="7" s="1"/>
  <c r="Z443" i="7"/>
  <c r="Z330" i="7"/>
  <c r="AM330" i="7" s="1"/>
  <c r="L443" i="7"/>
  <c r="L445" i="7" s="1"/>
  <c r="L448" i="7" s="1"/>
  <c r="L454" i="7"/>
  <c r="L456" i="7" s="1"/>
  <c r="L331" i="7"/>
  <c r="L102" i="7"/>
  <c r="L332" i="7"/>
  <c r="L330" i="7"/>
  <c r="J269" i="23"/>
  <c r="K269" i="23"/>
  <c r="DM16" i="11"/>
  <c r="AC70" i="8"/>
  <c r="AA980" i="7"/>
  <c r="AA990" i="7"/>
  <c r="R136" i="7"/>
  <c r="CT63" i="17"/>
  <c r="DM50" i="11" s="1"/>
  <c r="N19" i="26"/>
  <c r="Q13" i="17"/>
  <c r="AE17" i="26"/>
  <c r="AH11" i="17"/>
  <c r="P72" i="8"/>
  <c r="AZ16" i="11"/>
  <c r="AZ115" i="11" s="1"/>
  <c r="BA115" i="11" s="1"/>
  <c r="BB115" i="11" s="1"/>
  <c r="AB175" i="8"/>
  <c r="DM8" i="11"/>
  <c r="DN8" i="11" s="1"/>
  <c r="AC142" i="23" s="1"/>
  <c r="DM21" i="11" s="1"/>
  <c r="DM49" i="11"/>
  <c r="DN49" i="11" s="1"/>
  <c r="DO49" i="11" s="1"/>
  <c r="DM48" i="11"/>
  <c r="Y466" i="23"/>
  <c r="Z466" i="23"/>
  <c r="AO59" i="17"/>
  <c r="AB77" i="7"/>
  <c r="AA79" i="7"/>
  <c r="AB81" i="7" s="1"/>
  <c r="AB87" i="7" s="1"/>
  <c r="AH187" i="17"/>
  <c r="Y59" i="17"/>
  <c r="R120" i="8"/>
  <c r="V173" i="8"/>
  <c r="U140" i="8"/>
  <c r="U164" i="8"/>
  <c r="U145" i="8"/>
  <c r="U167" i="8"/>
  <c r="U173" i="8"/>
  <c r="U180" i="8"/>
  <c r="Q394" i="7"/>
  <c r="Q494" i="7"/>
  <c r="Q496" i="7" s="1"/>
  <c r="O331" i="7"/>
  <c r="O443" i="7"/>
  <c r="O445" i="7" s="1"/>
  <c r="O448" i="7" s="1"/>
  <c r="O102" i="7"/>
  <c r="O454" i="7"/>
  <c r="O330" i="7"/>
  <c r="O332" i="7"/>
  <c r="Q321" i="23"/>
  <c r="L269" i="23"/>
  <c r="L264" i="23"/>
  <c r="AD77" i="8"/>
  <c r="AD62" i="8"/>
  <c r="AE33" i="8"/>
  <c r="AO33" i="8"/>
  <c r="X255" i="8"/>
  <c r="U81" i="7"/>
  <c r="K175" i="8"/>
  <c r="M116" i="7"/>
  <c r="N118" i="7" s="1"/>
  <c r="J116" i="7"/>
  <c r="K118" i="7" s="1"/>
  <c r="CP132" i="17"/>
  <c r="H183" i="20"/>
  <c r="Y183" i="20" s="1"/>
  <c r="E34" i="20"/>
  <c r="V34" i="20" s="1"/>
  <c r="DV60" i="6"/>
  <c r="AK40" i="17"/>
  <c r="CM87" i="11"/>
  <c r="AC57" i="11"/>
  <c r="E314" i="2"/>
  <c r="BZ100" i="11"/>
  <c r="CC207" i="17"/>
  <c r="AS229" i="17"/>
  <c r="R60" i="6"/>
  <c r="EB62" i="6"/>
  <c r="CJ118" i="11"/>
  <c r="W186" i="23" s="1"/>
  <c r="W44" i="25" s="1"/>
  <c r="BV193" i="17"/>
  <c r="BY40" i="17"/>
  <c r="CT36" i="6"/>
  <c r="CQ36" i="6" s="1"/>
  <c r="Q11" i="6"/>
  <c r="BQ207" i="17"/>
  <c r="BN193" i="17"/>
  <c r="AY8" i="11"/>
  <c r="AW207" i="17"/>
  <c r="H179" i="20"/>
  <c r="Y179" i="20" s="1"/>
  <c r="CH7" i="11"/>
  <c r="BJ193" i="17"/>
  <c r="CF62" i="6"/>
  <c r="Y207" i="17"/>
  <c r="BD13" i="11"/>
  <c r="DN58" i="11"/>
  <c r="DO58" i="11" s="1"/>
  <c r="DO71" i="11" s="1"/>
  <c r="CJ62" i="11"/>
  <c r="W176" i="23" s="1"/>
  <c r="W16" i="25" s="1"/>
  <c r="AU144" i="2"/>
  <c r="F188" i="20"/>
  <c r="W188" i="20" s="1"/>
  <c r="BP100" i="11"/>
  <c r="Z9" i="11"/>
  <c r="G279" i="20"/>
  <c r="X279" i="20" s="1"/>
  <c r="BJ64" i="17"/>
  <c r="AD475" i="7"/>
  <c r="DP80" i="6"/>
  <c r="BI85" i="11"/>
  <c r="AE592" i="7"/>
  <c r="AE1105" i="7" s="1"/>
  <c r="L119" i="8"/>
  <c r="K126" i="8"/>
  <c r="L126" i="8"/>
  <c r="K119" i="8"/>
  <c r="AA119" i="8"/>
  <c r="AA126" i="8"/>
  <c r="AB119" i="8"/>
  <c r="AB126" i="8"/>
  <c r="CD19" i="17"/>
  <c r="CD18" i="17"/>
  <c r="CD20" i="17"/>
  <c r="CD26" i="17"/>
  <c r="CA21" i="26"/>
  <c r="CD24" i="17"/>
  <c r="CD28" i="17"/>
  <c r="CD15" i="17"/>
  <c r="AT19" i="17"/>
  <c r="AT24" i="17"/>
  <c r="AT26" i="17"/>
  <c r="AT28" i="17"/>
  <c r="AT18" i="17"/>
  <c r="AT15" i="17"/>
  <c r="AQ21" i="26"/>
  <c r="AT20" i="17"/>
  <c r="AD18" i="17"/>
  <c r="AD24" i="17"/>
  <c r="AA21" i="26"/>
  <c r="AD28" i="17"/>
  <c r="AD20" i="17"/>
  <c r="AD26" i="17"/>
  <c r="AD15" i="17"/>
  <c r="AD19" i="17"/>
  <c r="AD23" i="17"/>
  <c r="Q18" i="17"/>
  <c r="Q24" i="17"/>
  <c r="Q20" i="17"/>
  <c r="N21" i="26"/>
  <c r="Q26" i="17"/>
  <c r="Q28" i="17"/>
  <c r="Q19" i="17"/>
  <c r="Q15" i="17"/>
  <c r="Q23" i="17"/>
  <c r="AC9" i="17"/>
  <c r="Z15" i="26"/>
  <c r="L11" i="17"/>
  <c r="I17" i="26"/>
  <c r="L7" i="17"/>
  <c r="I13" i="26"/>
  <c r="AP107" i="17"/>
  <c r="AM105" i="17"/>
  <c r="AO68" i="17"/>
  <c r="AL63" i="17"/>
  <c r="AP50" i="11" s="1"/>
  <c r="AL69" i="17"/>
  <c r="N155" i="23"/>
  <c r="AM68" i="17"/>
  <c r="CL63" i="17"/>
  <c r="DC50" i="11" s="1"/>
  <c r="CL69" i="17"/>
  <c r="AA155" i="23"/>
  <c r="AQ14" i="17"/>
  <c r="AN20" i="26"/>
  <c r="BL26" i="17"/>
  <c r="AZ26" i="17"/>
  <c r="X19" i="17"/>
  <c r="CF216" i="17"/>
  <c r="AA24" i="17"/>
  <c r="BH175" i="17"/>
  <c r="AB68" i="17"/>
  <c r="CN238" i="17"/>
  <c r="S11" i="17"/>
  <c r="P17" i="26"/>
  <c r="AC19" i="26"/>
  <c r="AF13" i="17"/>
  <c r="DE47" i="6"/>
  <c r="X864" i="7"/>
  <c r="X1087" i="7"/>
  <c r="X1088" i="7" s="1"/>
  <c r="X78" i="25" s="1"/>
  <c r="CM26" i="17"/>
  <c r="CG216" i="17"/>
  <c r="CE216" i="17"/>
  <c r="BT216" i="17"/>
  <c r="BS216" i="17"/>
  <c r="BQ216" i="17"/>
  <c r="BO14" i="17"/>
  <c r="BL20" i="26"/>
  <c r="BH20" i="26"/>
  <c r="BK14" i="17"/>
  <c r="BD20" i="26"/>
  <c r="BG14" i="17"/>
  <c r="BH14" i="17"/>
  <c r="BE20" i="26"/>
  <c r="AY14" i="17"/>
  <c r="AV20" i="26"/>
  <c r="AV14" i="17"/>
  <c r="AS20" i="26"/>
  <c r="AQ26" i="17"/>
  <c r="AM216" i="17"/>
  <c r="AK20" i="26"/>
  <c r="AN14" i="17"/>
  <c r="AJ14" i="17"/>
  <c r="AG20" i="26"/>
  <c r="AB20" i="26"/>
  <c r="AE14" i="17"/>
  <c r="X216" i="17"/>
  <c r="T14" i="17"/>
  <c r="Q20" i="26"/>
  <c r="O216" i="17"/>
  <c r="N211" i="17"/>
  <c r="L103" i="11" s="1"/>
  <c r="N217" i="17"/>
  <c r="H162" i="23"/>
  <c r="Q216" i="17"/>
  <c r="CT176" i="17"/>
  <c r="CT170" i="17"/>
  <c r="DM88" i="11" s="1"/>
  <c r="CU175" i="17"/>
  <c r="CR175" i="17"/>
  <c r="CR12" i="17"/>
  <c r="E121" i="2" s="1"/>
  <c r="CO18" i="26"/>
  <c r="CR200" i="17"/>
  <c r="CN200" i="17"/>
  <c r="CN12" i="17"/>
  <c r="CK18" i="26"/>
  <c r="CI200" i="17"/>
  <c r="CI12" i="17"/>
  <c r="CF18" i="26"/>
  <c r="CF12" i="17"/>
  <c r="CC18" i="26"/>
  <c r="CF200" i="17"/>
  <c r="BW175" i="17"/>
  <c r="BV170" i="17"/>
  <c r="CI88" i="11" s="1"/>
  <c r="BV176" i="17"/>
  <c r="W160" i="23"/>
  <c r="BY175" i="17"/>
  <c r="BS24" i="17"/>
  <c r="BS32" i="17" s="1"/>
  <c r="BU175" i="17"/>
  <c r="BR170" i="17"/>
  <c r="CD88" i="11" s="1"/>
  <c r="BR176" i="17"/>
  <c r="BI18" i="26"/>
  <c r="BL12" i="17"/>
  <c r="BI175" i="17"/>
  <c r="AZ175" i="17"/>
  <c r="AU24" i="17"/>
  <c r="AU175" i="17"/>
  <c r="AT170" i="17"/>
  <c r="AZ88" i="11" s="1"/>
  <c r="P160" i="23"/>
  <c r="AT176" i="17"/>
  <c r="AJ18" i="26"/>
  <c r="AM12" i="17"/>
  <c r="AE12" i="17"/>
  <c r="AB18" i="26"/>
  <c r="X24" i="17"/>
  <c r="Q175" i="17"/>
  <c r="O175" i="17"/>
  <c r="I18" i="26"/>
  <c r="L12" i="17"/>
  <c r="CQ20" i="17"/>
  <c r="J7" i="28" s="1"/>
  <c r="CP95" i="17"/>
  <c r="CP89" i="17"/>
  <c r="DH65" i="11" s="1"/>
  <c r="CQ94" i="17"/>
  <c r="CG14" i="26"/>
  <c r="CJ8" i="17"/>
  <c r="CG94" i="17"/>
  <c r="CD89" i="17"/>
  <c r="CS65" i="11" s="1"/>
  <c r="CD95" i="17"/>
  <c r="Y156" i="23"/>
  <c r="BP8" i="17"/>
  <c r="BM14" i="26"/>
  <c r="BM94" i="17"/>
  <c r="BK20" i="17"/>
  <c r="BG20" i="17"/>
  <c r="BG94" i="17"/>
  <c r="BF89" i="17"/>
  <c r="BO65" i="11" s="1"/>
  <c r="BF95" i="17"/>
  <c r="S156" i="23"/>
  <c r="AQ8" i="17"/>
  <c r="AN14" i="26"/>
  <c r="AN8" i="17"/>
  <c r="AK14" i="26"/>
  <c r="AJ8" i="17"/>
  <c r="AG14" i="26"/>
  <c r="Y14" i="26"/>
  <c r="AB8" i="17"/>
  <c r="W8" i="17"/>
  <c r="T14" i="26"/>
  <c r="X8" i="17"/>
  <c r="U14" i="26"/>
  <c r="T94" i="17"/>
  <c r="K20" i="17"/>
  <c r="CM68" i="17"/>
  <c r="CO68" i="17"/>
  <c r="CM7" i="17"/>
  <c r="CJ13" i="26"/>
  <c r="BX13" i="26"/>
  <c r="CA7" i="17"/>
  <c r="BT13" i="26"/>
  <c r="BW7" i="17"/>
  <c r="BS19" i="17"/>
  <c r="BP7" i="17"/>
  <c r="BM13" i="26"/>
  <c r="BQ68" i="17"/>
  <c r="BN69" i="17"/>
  <c r="BN63" i="17"/>
  <c r="BY50" i="11" s="1"/>
  <c r="U155" i="23"/>
  <c r="BG7" i="17"/>
  <c r="BD13" i="26"/>
  <c r="BD68" i="17"/>
  <c r="BB69" i="17"/>
  <c r="BB63" i="17"/>
  <c r="BJ50" i="11" s="1"/>
  <c r="BE68" i="17"/>
  <c r="R155" i="23"/>
  <c r="AU68" i="17"/>
  <c r="AR19" i="17"/>
  <c r="AK13" i="26"/>
  <c r="AN7" i="17"/>
  <c r="AJ19" i="17"/>
  <c r="AG13" i="26"/>
  <c r="AJ7" i="17"/>
  <c r="AF19" i="17"/>
  <c r="X7" i="17"/>
  <c r="U13" i="26"/>
  <c r="Q13" i="26"/>
  <c r="T7" i="17"/>
  <c r="S68" i="17"/>
  <c r="R69" i="17"/>
  <c r="V63" i="17"/>
  <c r="V50" i="11" s="1"/>
  <c r="R63" i="17"/>
  <c r="Q50" i="11" s="1"/>
  <c r="I155" i="23"/>
  <c r="CM106" i="17"/>
  <c r="CP107" i="17"/>
  <c r="CM6" i="17"/>
  <c r="CJ12" i="26"/>
  <c r="CH44" i="17"/>
  <c r="CX35" i="11" s="1"/>
  <c r="CH50" i="17"/>
  <c r="CL44" i="17"/>
  <c r="DC35" i="11" s="1"/>
  <c r="CF6" i="17"/>
  <c r="CC12" i="26"/>
  <c r="CC49" i="17"/>
  <c r="BX49" i="17"/>
  <c r="BV50" i="17"/>
  <c r="W154" i="23"/>
  <c r="BV44" i="17"/>
  <c r="CI35" i="11" s="1"/>
  <c r="BP18" i="17"/>
  <c r="BJ50" i="17"/>
  <c r="BJ44" i="17"/>
  <c r="BT35" i="11" s="1"/>
  <c r="BL49" i="17"/>
  <c r="BE49" i="17"/>
  <c r="BD6" i="17"/>
  <c r="BA12" i="26"/>
  <c r="AZ49" i="17"/>
  <c r="AX44" i="17"/>
  <c r="BE35" i="11" s="1"/>
  <c r="Q154" i="23"/>
  <c r="BA49" i="17"/>
  <c r="AX50" i="17"/>
  <c r="AT107" i="17"/>
  <c r="AQ105" i="17"/>
  <c r="AN49" i="17"/>
  <c r="AK12" i="26"/>
  <c r="AN6" i="17"/>
  <c r="AJ6" i="17"/>
  <c r="AG12" i="26"/>
  <c r="AJ18" i="17"/>
  <c r="AB12" i="26"/>
  <c r="AE6" i="17"/>
  <c r="AA6" i="17"/>
  <c r="X12" i="26"/>
  <c r="AD107" i="17"/>
  <c r="AA105" i="17"/>
  <c r="W6" i="17"/>
  <c r="T12" i="26"/>
  <c r="S6" i="17"/>
  <c r="P12" i="26"/>
  <c r="K105" i="17"/>
  <c r="N107" i="17"/>
  <c r="CO238" i="17"/>
  <c r="CG238" i="17"/>
  <c r="CD239" i="17"/>
  <c r="CD233" i="17"/>
  <c r="CD2" i="17" s="1"/>
  <c r="Y163" i="23"/>
  <c r="BX238" i="17"/>
  <c r="BT238" i="17"/>
  <c r="BO238" i="17"/>
  <c r="BC18" i="17"/>
  <c r="BC15" i="17"/>
  <c r="AZ21" i="26"/>
  <c r="BC24" i="17"/>
  <c r="BC28" i="17"/>
  <c r="AM19" i="17"/>
  <c r="AJ21" i="26"/>
  <c r="AM15" i="17"/>
  <c r="AM28" i="17"/>
  <c r="AM26" i="17"/>
  <c r="AM32" i="17" s="1"/>
  <c r="AM18" i="17"/>
  <c r="AN238" i="17"/>
  <c r="AL233" i="17"/>
  <c r="AL239" i="17"/>
  <c r="AF238" i="17"/>
  <c r="AD239" i="17"/>
  <c r="AD233" i="17"/>
  <c r="AB18" i="17"/>
  <c r="Y21" i="26"/>
  <c r="AB28" i="17"/>
  <c r="AB15" i="17"/>
  <c r="W18" i="17"/>
  <c r="W15" i="17"/>
  <c r="W28" i="17"/>
  <c r="W19" i="17"/>
  <c r="T21" i="26"/>
  <c r="S18" i="17"/>
  <c r="S15" i="17"/>
  <c r="S28" i="17"/>
  <c r="S23" i="17"/>
  <c r="S20" i="17"/>
  <c r="P21" i="26"/>
  <c r="S238" i="17"/>
  <c r="R239" i="17"/>
  <c r="R233" i="17"/>
  <c r="I163" i="23"/>
  <c r="K238" i="17"/>
  <c r="BC15" i="26"/>
  <c r="BF9" i="17"/>
  <c r="AI9" i="17"/>
  <c r="AF15" i="26"/>
  <c r="AE15" i="26"/>
  <c r="AH9" i="17"/>
  <c r="BE117" i="17"/>
  <c r="BB15" i="26"/>
  <c r="BE9" i="17"/>
  <c r="CH89" i="17"/>
  <c r="CX65" i="11" s="1"/>
  <c r="V131" i="17"/>
  <c r="W23" i="17"/>
  <c r="AD11" i="17"/>
  <c r="AA17" i="26"/>
  <c r="CT211" i="17"/>
  <c r="DM103" i="11" s="1"/>
  <c r="AG11" i="17"/>
  <c r="AD17" i="26"/>
  <c r="AA23" i="17"/>
  <c r="X17" i="26"/>
  <c r="AA11" i="17"/>
  <c r="AC467" i="23"/>
  <c r="M269" i="23"/>
  <c r="N269" i="23"/>
  <c r="M264" i="23"/>
  <c r="Y736" i="7"/>
  <c r="Z714" i="7"/>
  <c r="AM714" i="7" s="1"/>
  <c r="Y725" i="7"/>
  <c r="Y714" i="7"/>
  <c r="V268" i="23"/>
  <c r="U264" i="23"/>
  <c r="U268" i="23"/>
  <c r="X429" i="23"/>
  <c r="Y429" i="23"/>
  <c r="L349" i="23"/>
  <c r="P350" i="23"/>
  <c r="P349" i="23"/>
  <c r="Q349" i="23"/>
  <c r="M349" i="23"/>
  <c r="M248" i="8"/>
  <c r="M197" i="8"/>
  <c r="V248" i="8"/>
  <c r="V250" i="8" s="1"/>
  <c r="W197" i="8"/>
  <c r="BO48" i="11"/>
  <c r="BO8" i="11"/>
  <c r="BP8" i="11" s="1"/>
  <c r="BQ8" i="11" s="1"/>
  <c r="BO49" i="11"/>
  <c r="BP49" i="11" s="1"/>
  <c r="BQ49" i="11" s="1"/>
  <c r="L154" i="23"/>
  <c r="Y65" i="23"/>
  <c r="X65" i="23"/>
  <c r="R83" i="23"/>
  <c r="S83" i="23"/>
  <c r="BA229" i="17"/>
  <c r="H196" i="8"/>
  <c r="I196" i="8"/>
  <c r="H213" i="8"/>
  <c r="R196" i="8"/>
  <c r="S196" i="8"/>
  <c r="R213" i="8"/>
  <c r="P699" i="7"/>
  <c r="BC48" i="11"/>
  <c r="AB155" i="23"/>
  <c r="M49" i="8"/>
  <c r="N49" i="8"/>
  <c r="M60" i="8"/>
  <c r="N60" i="8"/>
  <c r="I192" i="8"/>
  <c r="I101" i="8"/>
  <c r="J81" i="8"/>
  <c r="I81" i="8"/>
  <c r="M365" i="7"/>
  <c r="M72" i="8"/>
  <c r="Q81" i="8"/>
  <c r="Q192" i="8"/>
  <c r="Q101" i="8"/>
  <c r="R81" i="8"/>
  <c r="AO229" i="17"/>
  <c r="AC434" i="23"/>
  <c r="N428" i="23"/>
  <c r="I455" i="23"/>
  <c r="J136" i="23"/>
  <c r="K185" i="17"/>
  <c r="N187" i="17"/>
  <c r="O11" i="17"/>
  <c r="L17" i="26"/>
  <c r="Z187" i="17"/>
  <c r="AC23" i="8"/>
  <c r="AC35" i="8"/>
  <c r="E176" i="2"/>
  <c r="AC6" i="8"/>
  <c r="AD7" i="8"/>
  <c r="AC21" i="8"/>
  <c r="AC52" i="25"/>
  <c r="T270" i="7"/>
  <c r="U270" i="7"/>
  <c r="P215" i="23"/>
  <c r="P30" i="25"/>
  <c r="P228" i="23"/>
  <c r="P418" i="23"/>
  <c r="BC59" i="11"/>
  <c r="Q228" i="23"/>
  <c r="J434" i="23"/>
  <c r="K434" i="23"/>
  <c r="N349" i="23"/>
  <c r="O349" i="23"/>
  <c r="O456" i="23"/>
  <c r="P456" i="23"/>
  <c r="I494" i="7"/>
  <c r="I496" i="7" s="1"/>
  <c r="I394" i="7"/>
  <c r="I396" i="7" s="1"/>
  <c r="S248" i="8"/>
  <c r="S197" i="8"/>
  <c r="Q145" i="8"/>
  <c r="Q140" i="8"/>
  <c r="Q180" i="8"/>
  <c r="R173" i="8"/>
  <c r="Q173" i="8"/>
  <c r="Q164" i="8"/>
  <c r="Q167" i="8"/>
  <c r="R66" i="23"/>
  <c r="Q66" i="23"/>
  <c r="X155" i="23"/>
  <c r="AP34" i="11"/>
  <c r="AQ34" i="11" s="1"/>
  <c r="AR34" i="11" s="1"/>
  <c r="AP7" i="11"/>
  <c r="AQ7" i="11" s="1"/>
  <c r="N141" i="23" s="1"/>
  <c r="AP20" i="11" s="1"/>
  <c r="BO7" i="11"/>
  <c r="BP7" i="11" s="1"/>
  <c r="BQ7" i="11" s="1"/>
  <c r="BO34" i="11"/>
  <c r="BP34" i="11" s="1"/>
  <c r="BQ34" i="11" s="1"/>
  <c r="CD7" i="11"/>
  <c r="CE7" i="11" s="1"/>
  <c r="CD34" i="11"/>
  <c r="CE34" i="11" s="1"/>
  <c r="CF34" i="11" s="1"/>
  <c r="U84" i="23"/>
  <c r="V84" i="23"/>
  <c r="O105" i="23"/>
  <c r="P105" i="23"/>
  <c r="U166" i="17"/>
  <c r="T4" i="23"/>
  <c r="BT15" i="11"/>
  <c r="BU15" i="11" s="1"/>
  <c r="BV15" i="11" s="1"/>
  <c r="CN15" i="11"/>
  <c r="CO15" i="11" s="1"/>
  <c r="X149" i="23" s="1"/>
  <c r="X4" i="23"/>
  <c r="T182" i="8"/>
  <c r="T478" i="7"/>
  <c r="T167" i="8"/>
  <c r="U175" i="8"/>
  <c r="O704" i="7"/>
  <c r="O717" i="7"/>
  <c r="P704" i="7"/>
  <c r="O993" i="7"/>
  <c r="CG48" i="11"/>
  <c r="V699" i="7"/>
  <c r="H699" i="7"/>
  <c r="O48" i="11"/>
  <c r="AB423" i="23"/>
  <c r="AB60" i="23"/>
  <c r="CP82" i="17"/>
  <c r="CT90" i="17" s="1"/>
  <c r="AB156" i="23"/>
  <c r="AB42" i="23"/>
  <c r="DH9" i="11" s="1"/>
  <c r="DI9" i="11" s="1"/>
  <c r="AC42" i="23"/>
  <c r="DM9" i="11" s="1"/>
  <c r="DN9" i="11" s="1"/>
  <c r="S249" i="8"/>
  <c r="S256" i="8" s="1"/>
  <c r="S253" i="8"/>
  <c r="W114" i="8"/>
  <c r="AI33" i="8"/>
  <c r="W51" i="8"/>
  <c r="X62" i="8"/>
  <c r="W62" i="8"/>
  <c r="W191" i="8"/>
  <c r="AH33" i="8"/>
  <c r="W77" i="8"/>
  <c r="X51" i="8"/>
  <c r="AA62" i="8"/>
  <c r="AL33" i="8"/>
  <c r="AA77" i="8"/>
  <c r="AA191" i="8"/>
  <c r="AA51" i="8"/>
  <c r="Z51" i="8"/>
  <c r="AK33" i="8"/>
  <c r="Z191" i="8"/>
  <c r="Z62" i="8"/>
  <c r="Z77" i="8"/>
  <c r="U120" i="8"/>
  <c r="T120" i="8"/>
  <c r="AC1031" i="7"/>
  <c r="AC1032" i="7" s="1"/>
  <c r="AC55" i="23"/>
  <c r="X84" i="23"/>
  <c r="V17" i="26"/>
  <c r="Y11" i="17"/>
  <c r="AA270" i="23"/>
  <c r="AB270" i="23"/>
  <c r="R84" i="23"/>
  <c r="AC349" i="23"/>
  <c r="AB350" i="23"/>
  <c r="AB349" i="23"/>
  <c r="K167" i="8"/>
  <c r="K164" i="8"/>
  <c r="K145" i="8"/>
  <c r="L173" i="8"/>
  <c r="K180" i="8"/>
  <c r="K173" i="8"/>
  <c r="S980" i="7"/>
  <c r="AB456" i="23"/>
  <c r="K428" i="23"/>
  <c r="P308" i="7"/>
  <c r="P309" i="7" s="1"/>
  <c r="Z126" i="23"/>
  <c r="O699" i="7"/>
  <c r="AX48" i="11"/>
  <c r="CH233" i="17"/>
  <c r="CH2" i="17" s="1"/>
  <c r="T197" i="8"/>
  <c r="N494" i="7"/>
  <c r="N496" i="7" s="1"/>
  <c r="N394" i="7"/>
  <c r="L455" i="23"/>
  <c r="AD375" i="23"/>
  <c r="AE375" i="23" s="1"/>
  <c r="AC380" i="23"/>
  <c r="AC228" i="23"/>
  <c r="R19" i="26"/>
  <c r="U13" i="17"/>
  <c r="P106" i="23"/>
  <c r="AO40" i="17"/>
  <c r="CN49" i="11"/>
  <c r="CO49" i="11" s="1"/>
  <c r="CP49" i="11" s="1"/>
  <c r="CN48" i="11"/>
  <c r="CN8" i="11"/>
  <c r="CO8" i="11" s="1"/>
  <c r="X173" i="23" s="1"/>
  <c r="X13" i="25" s="1"/>
  <c r="AB993" i="7"/>
  <c r="AB704" i="7"/>
  <c r="AC704" i="7"/>
  <c r="AB717" i="7"/>
  <c r="AB164" i="8"/>
  <c r="AB172" i="8"/>
  <c r="AB144" i="8"/>
  <c r="AC144" i="8" s="1"/>
  <c r="AB179" i="8"/>
  <c r="X564" i="7"/>
  <c r="W581" i="7"/>
  <c r="W564" i="7"/>
  <c r="W551" i="7"/>
  <c r="X565" i="7"/>
  <c r="X567" i="7" s="1"/>
  <c r="AB348" i="23"/>
  <c r="S714" i="7"/>
  <c r="T349" i="23"/>
  <c r="K465" i="23"/>
  <c r="M330" i="7"/>
  <c r="M443" i="7"/>
  <c r="M445" i="7" s="1"/>
  <c r="M448" i="7" s="1"/>
  <c r="M331" i="7"/>
  <c r="M332" i="7"/>
  <c r="M454" i="7"/>
  <c r="M102" i="7"/>
  <c r="Y332" i="7"/>
  <c r="Y102" i="7"/>
  <c r="Y454" i="7"/>
  <c r="Y456" i="7" s="1"/>
  <c r="Y462" i="7" s="1"/>
  <c r="Y330" i="7"/>
  <c r="Y331" i="7"/>
  <c r="Y443" i="7"/>
  <c r="Y445" i="7" s="1"/>
  <c r="Q197" i="8"/>
  <c r="P248" i="8"/>
  <c r="P197" i="8"/>
  <c r="CK207" i="17"/>
  <c r="AB228" i="23"/>
  <c r="P49" i="8"/>
  <c r="K66" i="23"/>
  <c r="L66" i="23"/>
  <c r="V494" i="7"/>
  <c r="V496" i="7" s="1"/>
  <c r="V394" i="7"/>
  <c r="N360" i="23"/>
  <c r="AC72" i="8"/>
  <c r="AC411" i="23"/>
  <c r="AC62" i="8"/>
  <c r="H172" i="8"/>
  <c r="T411" i="23"/>
  <c r="O308" i="7"/>
  <c r="O309" i="7" s="1"/>
  <c r="Z308" i="7"/>
  <c r="J360" i="23"/>
  <c r="T714" i="7"/>
  <c r="R264" i="23"/>
  <c r="V430" i="23"/>
  <c r="T250" i="8"/>
  <c r="M177" i="23"/>
  <c r="M17" i="25" s="1"/>
  <c r="CU63" i="11"/>
  <c r="BV63" i="11"/>
  <c r="DV101" i="11"/>
  <c r="AD330" i="23" s="1"/>
  <c r="AD324" i="23" s="1"/>
  <c r="V182" i="23"/>
  <c r="V22" i="25" s="1"/>
  <c r="BL63" i="11"/>
  <c r="R177" i="23"/>
  <c r="R17" i="25" s="1"/>
  <c r="O179" i="23"/>
  <c r="O19" i="25" s="1"/>
  <c r="AW86" i="11"/>
  <c r="CJ87" i="11"/>
  <c r="W91" i="23" s="1"/>
  <c r="CK85" i="11"/>
  <c r="CF100" i="11"/>
  <c r="X182" i="23"/>
  <c r="X22" i="25" s="1"/>
  <c r="CP100" i="11"/>
  <c r="DV34" i="11"/>
  <c r="AD195" i="23" s="1"/>
  <c r="DX34" i="11"/>
  <c r="DZ34" i="11" s="1"/>
  <c r="EA34" i="11" s="1"/>
  <c r="AE195" i="23" s="1"/>
  <c r="W180" i="23"/>
  <c r="W20" i="25" s="1"/>
  <c r="AC15" i="11"/>
  <c r="CF62" i="11"/>
  <c r="V176" i="23"/>
  <c r="V16" i="25" s="1"/>
  <c r="CF13" i="11"/>
  <c r="V147" i="23"/>
  <c r="CD26" i="11" s="1"/>
  <c r="AC100" i="11"/>
  <c r="K182" i="23"/>
  <c r="K22" i="25" s="1"/>
  <c r="X63" i="11"/>
  <c r="J177" i="23"/>
  <c r="J17" i="25" s="1"/>
  <c r="DV8" i="11"/>
  <c r="K176" i="23"/>
  <c r="K16" i="25" s="1"/>
  <c r="AD16" i="25"/>
  <c r="F105" i="2"/>
  <c r="AW105" i="2" s="1"/>
  <c r="DX80" i="11"/>
  <c r="DZ80" i="11" s="1"/>
  <c r="EA80" i="11" s="1"/>
  <c r="AE277" i="23" s="1"/>
  <c r="DV80" i="11"/>
  <c r="AD277" i="23" s="1"/>
  <c r="AD274" i="23" s="1"/>
  <c r="DB59" i="17"/>
  <c r="AE59" i="23"/>
  <c r="AE66" i="23" s="1"/>
  <c r="AC180" i="23"/>
  <c r="DO85" i="11"/>
  <c r="AE173" i="23"/>
  <c r="DZ8" i="11"/>
  <c r="EA8" i="11" s="1"/>
  <c r="X185" i="23"/>
  <c r="X25" i="25" s="1"/>
  <c r="CP58" i="11"/>
  <c r="AC147" i="23"/>
  <c r="DM26" i="11" s="1"/>
  <c r="DO13" i="11"/>
  <c r="AR58" i="11"/>
  <c r="N185" i="23"/>
  <c r="N25" i="25" s="1"/>
  <c r="L182" i="23"/>
  <c r="L22" i="25" s="1"/>
  <c r="BB85" i="11"/>
  <c r="P180" i="23"/>
  <c r="P20" i="25" s="1"/>
  <c r="AE181" i="23"/>
  <c r="G110" i="2" s="1"/>
  <c r="AX110" i="2" s="1"/>
  <c r="DZ101" i="11"/>
  <c r="EA101" i="11" s="1"/>
  <c r="EA110" i="11" s="1"/>
  <c r="AE341" i="23" s="1"/>
  <c r="AD181" i="23"/>
  <c r="AC63" i="11"/>
  <c r="AI66" i="6"/>
  <c r="DU80" i="6"/>
  <c r="AA182" i="23"/>
  <c r="O182" i="23"/>
  <c r="O22" i="25" s="1"/>
  <c r="AW100" i="11"/>
  <c r="Q62" i="6"/>
  <c r="Z182" i="23"/>
  <c r="Z22" i="25" s="1"/>
  <c r="CZ100" i="11"/>
  <c r="BL57" i="11"/>
  <c r="I177" i="23"/>
  <c r="I17" i="25" s="1"/>
  <c r="S63" i="11"/>
  <c r="S85" i="11"/>
  <c r="AC76" i="6"/>
  <c r="AR85" i="11"/>
  <c r="N180" i="23"/>
  <c r="N20" i="25" s="1"/>
  <c r="S13" i="11"/>
  <c r="I147" i="23"/>
  <c r="BV58" i="11"/>
  <c r="T185" i="23"/>
  <c r="T25" i="25" s="1"/>
  <c r="CF57" i="11"/>
  <c r="DV63" i="11"/>
  <c r="AD232" i="23" s="1"/>
  <c r="AD219" i="23" s="1"/>
  <c r="DX63" i="11"/>
  <c r="AE177" i="23" s="1"/>
  <c r="CK100" i="11"/>
  <c r="W182" i="23"/>
  <c r="W22" i="25" s="1"/>
  <c r="DU100" i="11"/>
  <c r="DS102" i="11"/>
  <c r="AD182" i="23"/>
  <c r="DI76" i="6"/>
  <c r="AA180" i="23"/>
  <c r="DE85" i="11"/>
  <c r="S180" i="23"/>
  <c r="S20" i="25" s="1"/>
  <c r="BQ85" i="11"/>
  <c r="AB59" i="11"/>
  <c r="K185" i="23"/>
  <c r="K25" i="25" s="1"/>
  <c r="CP57" i="11"/>
  <c r="CO59" i="11"/>
  <c r="AD25" i="25"/>
  <c r="F131" i="2"/>
  <c r="L149" i="23"/>
  <c r="DQ116" i="11" l="1"/>
  <c r="BI117" i="11"/>
  <c r="N127" i="7"/>
  <c r="O127" i="7"/>
  <c r="AQ70" i="20"/>
  <c r="EB94" i="6"/>
  <c r="AC502" i="7"/>
  <c r="W99" i="7"/>
  <c r="O114" i="7"/>
  <c r="L809" i="7"/>
  <c r="P465" i="7"/>
  <c r="U65" i="7"/>
  <c r="U66" i="7" s="1"/>
  <c r="U67" i="7" s="1"/>
  <c r="U242" i="23"/>
  <c r="AC1057" i="7"/>
  <c r="N1066" i="7"/>
  <c r="N64" i="25" s="1"/>
  <c r="H276" i="7"/>
  <c r="H645" i="7" s="1"/>
  <c r="Q465" i="7"/>
  <c r="AO55" i="6"/>
  <c r="AE79" i="6"/>
  <c r="V27" i="7"/>
  <c r="V29" i="7" s="1"/>
  <c r="Z1009" i="7"/>
  <c r="J127" i="7"/>
  <c r="X242" i="23"/>
  <c r="L821" i="7"/>
  <c r="AC271" i="23"/>
  <c r="J1060" i="7"/>
  <c r="J62" i="25" s="1"/>
  <c r="O820" i="7"/>
  <c r="Y270" i="7"/>
  <c r="S96" i="7"/>
  <c r="L815" i="7"/>
  <c r="W678" i="7"/>
  <c r="M1091" i="7"/>
  <c r="AD474" i="7"/>
  <c r="P260" i="7"/>
  <c r="AB213" i="7"/>
  <c r="AO233" i="20"/>
  <c r="AG322" i="2"/>
  <c r="AR147" i="20" s="1"/>
  <c r="AQ147" i="20"/>
  <c r="EA8" i="6"/>
  <c r="EF8" i="6" s="1"/>
  <c r="EF57" i="6" s="1"/>
  <c r="BH58" i="6"/>
  <c r="EG55" i="6"/>
  <c r="BD117" i="11"/>
  <c r="U127" i="7"/>
  <c r="EH33" i="6"/>
  <c r="EH82" i="6" s="1"/>
  <c r="AA127" i="8"/>
  <c r="M127" i="7"/>
  <c r="P209" i="7"/>
  <c r="P379" i="7" s="1"/>
  <c r="M858" i="7"/>
  <c r="S252" i="7"/>
  <c r="O1074" i="7"/>
  <c r="O1076" i="7" s="1"/>
  <c r="O68" i="25" s="1"/>
  <c r="AC30" i="6"/>
  <c r="AA73" i="25"/>
  <c r="N173" i="7"/>
  <c r="O1066" i="7"/>
  <c r="O64" i="25" s="1"/>
  <c r="AK79" i="6"/>
  <c r="CC111" i="17"/>
  <c r="BZ15" i="26" s="1"/>
  <c r="W456" i="7"/>
  <c r="W459" i="7" s="1"/>
  <c r="U1060" i="7"/>
  <c r="U62" i="25" s="1"/>
  <c r="P441" i="23"/>
  <c r="T127" i="7"/>
  <c r="S299" i="7"/>
  <c r="U300" i="7" s="1"/>
  <c r="U301" i="7" s="1"/>
  <c r="U303" i="7" s="1"/>
  <c r="R121" i="8"/>
  <c r="EN60" i="6"/>
  <c r="AI55" i="6"/>
  <c r="AJ76" i="6"/>
  <c r="AP76" i="6"/>
  <c r="V87" i="7"/>
  <c r="U441" i="23"/>
  <c r="W980" i="7"/>
  <c r="AB67" i="23"/>
  <c r="H173" i="7"/>
  <c r="CC142" i="17"/>
  <c r="R239" i="7"/>
  <c r="AX57" i="6"/>
  <c r="H73" i="25"/>
  <c r="N312" i="7"/>
  <c r="P313" i="7" s="1"/>
  <c r="Q219" i="7"/>
  <c r="EI82" i="6"/>
  <c r="T456" i="7"/>
  <c r="T459" i="7" s="1"/>
  <c r="EC82" i="6"/>
  <c r="AR12" i="6"/>
  <c r="S73" i="6"/>
  <c r="BA87" i="11"/>
  <c r="P91" i="23" s="1"/>
  <c r="Z82" i="6"/>
  <c r="P179" i="23"/>
  <c r="P19" i="25" s="1"/>
  <c r="EA76" i="6"/>
  <c r="AE77" i="6"/>
  <c r="BP12" i="6"/>
  <c r="BM9" i="6"/>
  <c r="BJ59" i="6"/>
  <c r="BV81" i="6"/>
  <c r="BA10" i="6"/>
  <c r="BF17" i="6" s="1"/>
  <c r="BF66" i="6" s="1"/>
  <c r="AU157" i="2"/>
  <c r="AA1103" i="7"/>
  <c r="AA1107" i="7" s="1"/>
  <c r="C224" i="2" s="1"/>
  <c r="AT224" i="2" s="1"/>
  <c r="M137" i="7"/>
  <c r="AI28" i="6"/>
  <c r="AP77" i="6"/>
  <c r="X347" i="7"/>
  <c r="G486" i="20"/>
  <c r="X486" i="20" s="1"/>
  <c r="T84" i="7"/>
  <c r="AE132" i="7"/>
  <c r="G151" i="2" s="1"/>
  <c r="M511" i="7"/>
  <c r="O168" i="7"/>
  <c r="K118" i="8"/>
  <c r="Q270" i="7"/>
  <c r="N21" i="17"/>
  <c r="N22" i="17" s="1"/>
  <c r="AK21" i="17"/>
  <c r="J857" i="7"/>
  <c r="T74" i="25"/>
  <c r="U1066" i="7"/>
  <c r="U64" i="25" s="1"/>
  <c r="K299" i="7"/>
  <c r="M300" i="7" s="1"/>
  <c r="K244" i="7"/>
  <c r="K432" i="7" s="1"/>
  <c r="K434" i="7" s="1"/>
  <c r="K437" i="7" s="1"/>
  <c r="S137" i="7"/>
  <c r="AJ116" i="11"/>
  <c r="AJ40" i="6"/>
  <c r="AP89" i="6" s="1"/>
  <c r="W1076" i="7"/>
  <c r="W68" i="25" s="1"/>
  <c r="BZ18" i="6"/>
  <c r="CF67" i="6" s="1"/>
  <c r="L127" i="7"/>
  <c r="V821" i="7"/>
  <c r="T441" i="23"/>
  <c r="N1091" i="7"/>
  <c r="N1093" i="7" s="1"/>
  <c r="N79" i="25" s="1"/>
  <c r="BD59" i="6"/>
  <c r="I854" i="7"/>
  <c r="DX20" i="6"/>
  <c r="DX18" i="6" s="1"/>
  <c r="R47" i="6"/>
  <c r="R96" i="6" s="1"/>
  <c r="R60" i="25"/>
  <c r="AU244" i="2"/>
  <c r="AB242" i="23"/>
  <c r="AM996" i="7"/>
  <c r="N96" i="7"/>
  <c r="AI144" i="17"/>
  <c r="M965" i="7"/>
  <c r="M976" i="7" s="1"/>
  <c r="Q121" i="8"/>
  <c r="N821" i="7"/>
  <c r="AA1099" i="7"/>
  <c r="C217" i="2" s="1"/>
  <c r="AT217" i="2" s="1"/>
  <c r="L12" i="6"/>
  <c r="O808" i="7"/>
  <c r="M1066" i="7"/>
  <c r="M64" i="25" s="1"/>
  <c r="I137" i="7"/>
  <c r="T108" i="25"/>
  <c r="V1060" i="7"/>
  <c r="V62" i="25" s="1"/>
  <c r="AA213" i="7"/>
  <c r="I127" i="7"/>
  <c r="W820" i="7"/>
  <c r="T369" i="23"/>
  <c r="T216" i="7" s="1"/>
  <c r="AO116" i="11"/>
  <c r="I863" i="7"/>
  <c r="K491" i="20"/>
  <c r="AB491" i="20" s="1"/>
  <c r="J491" i="20"/>
  <c r="AA491" i="20" s="1"/>
  <c r="O181" i="23"/>
  <c r="O21" i="25" s="1"/>
  <c r="EJ95" i="6"/>
  <c r="P181" i="23"/>
  <c r="P21" i="25" s="1"/>
  <c r="G218" i="2"/>
  <c r="AX218" i="2" s="1"/>
  <c r="DP71" i="11"/>
  <c r="DP72" i="11" s="1"/>
  <c r="DP73" i="11" s="1"/>
  <c r="AV102" i="11"/>
  <c r="AU102" i="11" s="1"/>
  <c r="N95" i="6"/>
  <c r="AE85" i="25"/>
  <c r="DN70" i="11"/>
  <c r="DQ70" i="11"/>
  <c r="U181" i="23"/>
  <c r="U21" i="25" s="1"/>
  <c r="BZ102" i="11"/>
  <c r="BY102" i="11" s="1"/>
  <c r="H219" i="7"/>
  <c r="U250" i="23"/>
  <c r="Y347" i="7"/>
  <c r="DU117" i="11"/>
  <c r="DV117" i="11" s="1"/>
  <c r="BU16" i="11"/>
  <c r="BV16" i="11" s="1"/>
  <c r="O199" i="8"/>
  <c r="O206" i="8" s="1"/>
  <c r="O366" i="7"/>
  <c r="T258" i="23"/>
  <c r="R127" i="7"/>
  <c r="K252" i="7"/>
  <c r="V465" i="7"/>
  <c r="V1091" i="7"/>
  <c r="V1093" i="7" s="1"/>
  <c r="V79" i="25" s="1"/>
  <c r="M18" i="6"/>
  <c r="M808" i="7"/>
  <c r="T65" i="7"/>
  <c r="T66" i="7" s="1"/>
  <c r="T67" i="7" s="1"/>
  <c r="H312" i="7"/>
  <c r="J313" i="7" s="1"/>
  <c r="EM7" i="6"/>
  <c r="EM56" i="6" s="1"/>
  <c r="F151" i="2"/>
  <c r="AW151" i="2" s="1"/>
  <c r="Y87" i="7"/>
  <c r="AA60" i="25"/>
  <c r="AB61" i="25"/>
  <c r="P96" i="7"/>
  <c r="EI28" i="6"/>
  <c r="EI77" i="6" s="1"/>
  <c r="W435" i="23"/>
  <c r="U456" i="7"/>
  <c r="U459" i="7" s="1"/>
  <c r="I202" i="8"/>
  <c r="Q854" i="7"/>
  <c r="AD18" i="6"/>
  <c r="AJ67" i="6" s="1"/>
  <c r="Q1087" i="7"/>
  <c r="Q1088" i="7" s="1"/>
  <c r="Q78" i="25" s="1"/>
  <c r="CX40" i="6"/>
  <c r="CX89" i="6" s="1"/>
  <c r="Q864" i="7"/>
  <c r="L820" i="7"/>
  <c r="X18" i="6"/>
  <c r="X22" i="6" s="1"/>
  <c r="X29" i="6" s="1"/>
  <c r="X34" i="6" s="1"/>
  <c r="X39" i="6" s="1"/>
  <c r="V366" i="7"/>
  <c r="H247" i="7"/>
  <c r="W137" i="7"/>
  <c r="AA171" i="25"/>
  <c r="BO96" i="6"/>
  <c r="L808" i="7"/>
  <c r="W287" i="23"/>
  <c r="J68" i="8"/>
  <c r="L798" i="7"/>
  <c r="AA1066" i="7"/>
  <c r="C193" i="2" s="1"/>
  <c r="AT193" i="2" s="1"/>
  <c r="U1113" i="7"/>
  <c r="U1115" i="7" s="1"/>
  <c r="U1116" i="7" s="1"/>
  <c r="W347" i="7"/>
  <c r="L1099" i="7"/>
  <c r="L967" i="7" s="1"/>
  <c r="L978" i="7" s="1"/>
  <c r="Z1093" i="7"/>
  <c r="Z79" i="25" s="1"/>
  <c r="J216" i="7"/>
  <c r="T1066" i="7"/>
  <c r="T64" i="25" s="1"/>
  <c r="X256" i="23"/>
  <c r="T461" i="7"/>
  <c r="DG11" i="11"/>
  <c r="DB11" i="11"/>
  <c r="BH73" i="6"/>
  <c r="U11" i="11"/>
  <c r="BN11" i="11"/>
  <c r="AU65" i="6"/>
  <c r="BA65" i="6"/>
  <c r="CN91" i="6"/>
  <c r="BS11" i="11"/>
  <c r="BM12" i="11"/>
  <c r="BM14" i="11" s="1"/>
  <c r="CB70" i="6"/>
  <c r="DW84" i="6"/>
  <c r="AM203" i="7"/>
  <c r="AC610" i="7"/>
  <c r="J218" i="7"/>
  <c r="AB511" i="7"/>
  <c r="R220" i="7"/>
  <c r="X485" i="7"/>
  <c r="X509" i="7" s="1"/>
  <c r="J202" i="8"/>
  <c r="AW47" i="6"/>
  <c r="AW96" i="6" s="1"/>
  <c r="DA12" i="11"/>
  <c r="DA14" i="11" s="1"/>
  <c r="X250" i="23"/>
  <c r="S260" i="7"/>
  <c r="U701" i="7"/>
  <c r="Z807" i="7"/>
  <c r="AM807" i="7" s="1"/>
  <c r="Y808" i="7"/>
  <c r="G1099" i="7"/>
  <c r="G967" i="7" s="1"/>
  <c r="G968" i="7" s="1"/>
  <c r="AA808" i="7"/>
  <c r="X355" i="7"/>
  <c r="Z1083" i="7"/>
  <c r="Z75" i="25" s="1"/>
  <c r="S441" i="23"/>
  <c r="R1066" i="7"/>
  <c r="R64" i="25" s="1"/>
  <c r="X820" i="7"/>
  <c r="T59" i="6"/>
  <c r="AB250" i="23"/>
  <c r="Z82" i="25"/>
  <c r="AB271" i="23"/>
  <c r="CY40" i="6"/>
  <c r="DE89" i="6" s="1"/>
  <c r="U617" i="7"/>
  <c r="X672" i="7"/>
  <c r="N59" i="6"/>
  <c r="O1113" i="7"/>
  <c r="O94" i="25" s="1"/>
  <c r="AO117" i="11"/>
  <c r="ED93" i="6"/>
  <c r="Q80" i="6"/>
  <c r="CB94" i="6"/>
  <c r="BN73" i="6"/>
  <c r="DL70" i="6"/>
  <c r="DF70" i="6"/>
  <c r="AA94" i="6"/>
  <c r="DD59" i="6"/>
  <c r="BN58" i="6"/>
  <c r="T82" i="6"/>
  <c r="AO56" i="6"/>
  <c r="AJ13" i="16"/>
  <c r="AJ186" i="17" s="1"/>
  <c r="AJ197" i="17" s="1"/>
  <c r="AJ12" i="16"/>
  <c r="AJ145" i="17" s="1"/>
  <c r="AJ156" i="17" s="1"/>
  <c r="AI183" i="17"/>
  <c r="AI185" i="17" s="1"/>
  <c r="AI155" i="17"/>
  <c r="AI150" i="17"/>
  <c r="AI220" i="17"/>
  <c r="AB1060" i="7"/>
  <c r="D191" i="2" s="1"/>
  <c r="AU191" i="2" s="1"/>
  <c r="Y355" i="7"/>
  <c r="AK8" i="16"/>
  <c r="AK125" i="17" s="1"/>
  <c r="AI196" i="17"/>
  <c r="AI219" i="17"/>
  <c r="AI191" i="17"/>
  <c r="AI224" i="17"/>
  <c r="AI226" i="17" s="1"/>
  <c r="O210" i="7"/>
  <c r="O350" i="7" s="1"/>
  <c r="DW40" i="6"/>
  <c r="DW89" i="6" s="1"/>
  <c r="J275" i="7"/>
  <c r="J287" i="7" s="1"/>
  <c r="AM198" i="7"/>
  <c r="AB249" i="7"/>
  <c r="Q213" i="7"/>
  <c r="J1099" i="7"/>
  <c r="J84" i="25" s="1"/>
  <c r="S287" i="23"/>
  <c r="I430" i="23"/>
  <c r="I84" i="7"/>
  <c r="L258" i="23"/>
  <c r="AA821" i="7"/>
  <c r="I61" i="25"/>
  <c r="EH30" i="6"/>
  <c r="EH79" i="6" s="1"/>
  <c r="I456" i="7"/>
  <c r="I459" i="7" s="1"/>
  <c r="N276" i="7"/>
  <c r="N288" i="7" s="1"/>
  <c r="AK58" i="6"/>
  <c r="CR79" i="6"/>
  <c r="K369" i="23"/>
  <c r="AJ135" i="17"/>
  <c r="AJ10" i="17" s="1"/>
  <c r="AJ130" i="17"/>
  <c r="AJ143" i="17"/>
  <c r="AG16" i="26"/>
  <c r="BP79" i="6"/>
  <c r="I421" i="20"/>
  <c r="Z421" i="20" s="1"/>
  <c r="BB94" i="6"/>
  <c r="CH94" i="6"/>
  <c r="P864" i="7"/>
  <c r="J1066" i="7"/>
  <c r="J64" i="25" s="1"/>
  <c r="U239" i="7"/>
  <c r="P1087" i="7"/>
  <c r="P1088" i="7" s="1"/>
  <c r="P78" i="25" s="1"/>
  <c r="Y96" i="7"/>
  <c r="F485" i="20"/>
  <c r="W485" i="20" s="1"/>
  <c r="U675" i="7"/>
  <c r="T250" i="23"/>
  <c r="AB260" i="7"/>
  <c r="BJ79" i="6"/>
  <c r="L1066" i="7"/>
  <c r="L64" i="25" s="1"/>
  <c r="S301" i="7"/>
  <c r="S303" i="7" s="1"/>
  <c r="S27" i="7"/>
  <c r="S29" i="7" s="1"/>
  <c r="AA244" i="7"/>
  <c r="AA432" i="7" s="1"/>
  <c r="AA434" i="7" s="1"/>
  <c r="AA437" i="7" s="1"/>
  <c r="M250" i="23"/>
  <c r="R369" i="23"/>
  <c r="R465" i="7"/>
  <c r="H1087" i="7"/>
  <c r="H1088" i="7" s="1"/>
  <c r="H78" i="25" s="1"/>
  <c r="K504" i="7"/>
  <c r="Z218" i="7"/>
  <c r="AM218" i="7" s="1"/>
  <c r="T1132" i="7"/>
  <c r="I96" i="7"/>
  <c r="F421" i="20"/>
  <c r="W421" i="20" s="1"/>
  <c r="X441" i="23"/>
  <c r="U854" i="7"/>
  <c r="I27" i="7"/>
  <c r="P1066" i="7"/>
  <c r="P64" i="25" s="1"/>
  <c r="U369" i="23"/>
  <c r="Z77" i="6"/>
  <c r="CM80" i="11"/>
  <c r="CK32" i="17"/>
  <c r="AD80" i="6"/>
  <c r="BZ70" i="11"/>
  <c r="CA70" i="11" s="1"/>
  <c r="CM117" i="11"/>
  <c r="CA21" i="17"/>
  <c r="BV65" i="6"/>
  <c r="AP58" i="6"/>
  <c r="DB80" i="11"/>
  <c r="DG80" i="11"/>
  <c r="CW96" i="6"/>
  <c r="AV94" i="6"/>
  <c r="AL118" i="11"/>
  <c r="M186" i="23" s="1"/>
  <c r="M44" i="25" s="1"/>
  <c r="AA173" i="7"/>
  <c r="W219" i="7"/>
  <c r="N857" i="7"/>
  <c r="M821" i="7"/>
  <c r="AZ21" i="17"/>
  <c r="P287" i="23"/>
  <c r="L96" i="7"/>
  <c r="N435" i="23"/>
  <c r="S236" i="7"/>
  <c r="AC155" i="7"/>
  <c r="Y13" i="7"/>
  <c r="Z14" i="7" s="1"/>
  <c r="AM14" i="7" s="1"/>
  <c r="I441" i="23"/>
  <c r="E243" i="2"/>
  <c r="AV243" i="2" s="1"/>
  <c r="M430" i="23"/>
  <c r="CL47" i="6"/>
  <c r="CP47" i="6" s="1"/>
  <c r="CP96" i="6" s="1"/>
  <c r="DR79" i="6"/>
  <c r="M854" i="7"/>
  <c r="O137" i="7"/>
  <c r="CZ59" i="6"/>
  <c r="CQ10" i="6"/>
  <c r="CV17" i="6" s="1"/>
  <c r="CV66" i="6" s="1"/>
  <c r="EN32" i="6"/>
  <c r="N809" i="7"/>
  <c r="S114" i="7"/>
  <c r="T123" i="7" s="1"/>
  <c r="J258" i="23"/>
  <c r="U253" i="8"/>
  <c r="M435" i="23"/>
  <c r="AB241" i="7"/>
  <c r="AC724" i="7"/>
  <c r="AC220" i="7"/>
  <c r="CT90" i="6"/>
  <c r="W1060" i="7"/>
  <c r="W62" i="25" s="1"/>
  <c r="S277" i="7"/>
  <c r="S289" i="7" s="1"/>
  <c r="O461" i="7"/>
  <c r="Q456" i="7"/>
  <c r="Q459" i="7" s="1"/>
  <c r="EP26" i="6"/>
  <c r="EP75" i="6" s="1"/>
  <c r="L369" i="23"/>
  <c r="AA312" i="7"/>
  <c r="AC313" i="7" s="1"/>
  <c r="S501" i="7"/>
  <c r="W821" i="7"/>
  <c r="AB96" i="7"/>
  <c r="K219" i="7"/>
  <c r="M73" i="25"/>
  <c r="Y168" i="7"/>
  <c r="X980" i="7"/>
  <c r="S1103" i="7"/>
  <c r="S1107" i="7" s="1"/>
  <c r="S999" i="7" s="1"/>
  <c r="AG65" i="6"/>
  <c r="S249" i="7"/>
  <c r="Z447" i="23"/>
  <c r="J13" i="7"/>
  <c r="K14" i="7" s="1"/>
  <c r="AE134" i="7"/>
  <c r="G201" i="2" s="1"/>
  <c r="EO10" i="6"/>
  <c r="Q743" i="7"/>
  <c r="R13" i="7"/>
  <c r="S14" i="7" s="1"/>
  <c r="O270" i="7"/>
  <c r="M1070" i="7"/>
  <c r="M1071" i="7" s="1"/>
  <c r="M67" i="25" s="1"/>
  <c r="H441" i="23"/>
  <c r="BA82" i="17"/>
  <c r="CE45" i="6"/>
  <c r="CJ45" i="6" s="1"/>
  <c r="CJ94" i="6" s="1"/>
  <c r="BI81" i="6"/>
  <c r="M1093" i="7"/>
  <c r="M79" i="25" s="1"/>
  <c r="H168" i="7"/>
  <c r="K864" i="7"/>
  <c r="V253" i="8"/>
  <c r="Y260" i="7"/>
  <c r="O218" i="7"/>
  <c r="AD696" i="7"/>
  <c r="AD108" i="25" s="1"/>
  <c r="AG25" i="17"/>
  <c r="AG27" i="17" s="1"/>
  <c r="AG29" i="17" s="1"/>
  <c r="R743" i="7"/>
  <c r="L675" i="7"/>
  <c r="V256" i="8"/>
  <c r="K137" i="7"/>
  <c r="AC108" i="25"/>
  <c r="P244" i="7"/>
  <c r="P432" i="7" s="1"/>
  <c r="P434" i="7" s="1"/>
  <c r="P440" i="7" s="1"/>
  <c r="H501" i="7"/>
  <c r="CF47" i="6"/>
  <c r="P136" i="7"/>
  <c r="P137" i="7" s="1"/>
  <c r="Y501" i="7"/>
  <c r="W156" i="17"/>
  <c r="L1132" i="7"/>
  <c r="T248" i="23"/>
  <c r="T25" i="17"/>
  <c r="T27" i="17" s="1"/>
  <c r="T29" i="17" s="1"/>
  <c r="T256" i="23"/>
  <c r="O171" i="25"/>
  <c r="P456" i="7"/>
  <c r="P459" i="7" s="1"/>
  <c r="R815" i="7"/>
  <c r="Q1140" i="7"/>
  <c r="Q107" i="25" s="1"/>
  <c r="S803" i="7"/>
  <c r="AD47" i="6"/>
  <c r="M713" i="7"/>
  <c r="U1076" i="7"/>
  <c r="U68" i="25" s="1"/>
  <c r="K857" i="7"/>
  <c r="T247" i="7"/>
  <c r="K347" i="7"/>
  <c r="V239" i="7"/>
  <c r="AV32" i="17"/>
  <c r="L1093" i="7"/>
  <c r="L79" i="25" s="1"/>
  <c r="O287" i="23"/>
  <c r="G1103" i="7"/>
  <c r="G1107" i="7" s="1"/>
  <c r="G999" i="7" s="1"/>
  <c r="G1000" i="7" s="1"/>
  <c r="AB441" i="23"/>
  <c r="AV77" i="6"/>
  <c r="Z743" i="7"/>
  <c r="AM743" i="7" s="1"/>
  <c r="CL12" i="11"/>
  <c r="CL14" i="11" s="1"/>
  <c r="T239" i="7"/>
  <c r="U248" i="23"/>
  <c r="L681" i="7"/>
  <c r="U147" i="17"/>
  <c r="U857" i="7"/>
  <c r="Y82" i="25"/>
  <c r="N137" i="7"/>
  <c r="R247" i="7"/>
  <c r="T236" i="7"/>
  <c r="H480" i="7"/>
  <c r="M675" i="7"/>
  <c r="L84" i="7"/>
  <c r="K863" i="7"/>
  <c r="X209" i="7"/>
  <c r="I808" i="7"/>
  <c r="L857" i="7"/>
  <c r="CM11" i="11"/>
  <c r="I1066" i="7"/>
  <c r="I64" i="25" s="1"/>
  <c r="CK105" i="17"/>
  <c r="Q1113" i="7"/>
  <c r="Q1002" i="7" s="1"/>
  <c r="Q1016" i="7" s="1"/>
  <c r="BC81" i="6"/>
  <c r="N456" i="7"/>
  <c r="N459" i="7" s="1"/>
  <c r="N461" i="7"/>
  <c r="M461" i="7"/>
  <c r="EJ74" i="6"/>
  <c r="AC251" i="7"/>
  <c r="AE133" i="7"/>
  <c r="ED24" i="6"/>
  <c r="EA24" i="6" s="1"/>
  <c r="BD70" i="6"/>
  <c r="CZ93" i="6"/>
  <c r="I182" i="23"/>
  <c r="I22" i="25" s="1"/>
  <c r="W118" i="11"/>
  <c r="J186" i="23" s="1"/>
  <c r="J44" i="25" s="1"/>
  <c r="DJ79" i="6"/>
  <c r="BJ70" i="6"/>
  <c r="AC85" i="11"/>
  <c r="BD18" i="6"/>
  <c r="AE118" i="11"/>
  <c r="EJ75" i="6"/>
  <c r="U70" i="11"/>
  <c r="N70" i="11"/>
  <c r="BJ91" i="6"/>
  <c r="DE59" i="6"/>
  <c r="O73" i="11"/>
  <c r="O74" i="11" s="1"/>
  <c r="CR70" i="11"/>
  <c r="BG62" i="11"/>
  <c r="CT70" i="11"/>
  <c r="Y184" i="23" s="1"/>
  <c r="Y24" i="25" s="1"/>
  <c r="DF95" i="6"/>
  <c r="ED75" i="6"/>
  <c r="AR95" i="6"/>
  <c r="BQ67" i="6"/>
  <c r="CA73" i="6"/>
  <c r="CY12" i="6"/>
  <c r="U117" i="11"/>
  <c r="CN94" i="6"/>
  <c r="Z96" i="6"/>
  <c r="CB24" i="6"/>
  <c r="BY24" i="6" s="1"/>
  <c r="CH75" i="6"/>
  <c r="AB87" i="11"/>
  <c r="AC87" i="11" s="1"/>
  <c r="W798" i="7"/>
  <c r="X844" i="7"/>
  <c r="Z1007" i="7"/>
  <c r="AM1007" i="7" s="1"/>
  <c r="G65" i="7"/>
  <c r="CO118" i="11"/>
  <c r="CP118" i="11" s="1"/>
  <c r="Z13" i="7"/>
  <c r="AM13" i="7" s="1"/>
  <c r="AG1012" i="7"/>
  <c r="AB13" i="7"/>
  <c r="AC14" i="7" s="1"/>
  <c r="X204" i="7"/>
  <c r="N213" i="7"/>
  <c r="T724" i="7"/>
  <c r="R1099" i="7"/>
  <c r="R967" i="7" s="1"/>
  <c r="R978" i="7" s="1"/>
  <c r="T12" i="6"/>
  <c r="CX35" i="6"/>
  <c r="CW35" i="6" s="1"/>
  <c r="AM473" i="7"/>
  <c r="W65" i="25"/>
  <c r="Z965" i="7"/>
  <c r="Z976" i="7" s="1"/>
  <c r="AM976" i="7" s="1"/>
  <c r="Z501" i="7"/>
  <c r="AM501" i="7" s="1"/>
  <c r="AB501" i="7"/>
  <c r="L159" i="8"/>
  <c r="AJ118" i="11"/>
  <c r="X807" i="7"/>
  <c r="Z1015" i="7"/>
  <c r="AM1015" i="7" s="1"/>
  <c r="W270" i="7"/>
  <c r="T701" i="7"/>
  <c r="O249" i="7"/>
  <c r="CH84" i="6"/>
  <c r="AC65" i="7"/>
  <c r="CS81" i="6"/>
  <c r="CE35" i="6"/>
  <c r="CJ35" i="6" s="1"/>
  <c r="CJ84" i="6" s="1"/>
  <c r="X143" i="8"/>
  <c r="X157" i="8" s="1"/>
  <c r="AD234" i="7"/>
  <c r="AE234" i="7" s="1"/>
  <c r="AE1122" i="7" s="1"/>
  <c r="O1103" i="7"/>
  <c r="O1107" i="7" s="1"/>
  <c r="O999" i="7" s="1"/>
  <c r="CN84" i="6"/>
  <c r="L1113" i="7"/>
  <c r="L94" i="25" s="1"/>
  <c r="J366" i="7"/>
  <c r="H248" i="23"/>
  <c r="V256" i="23"/>
  <c r="DV59" i="6"/>
  <c r="BQ116" i="17"/>
  <c r="AA147" i="23"/>
  <c r="DC26" i="11" s="1"/>
  <c r="DC30" i="11" s="1"/>
  <c r="DP79" i="6"/>
  <c r="DL95" i="6"/>
  <c r="V61" i="25"/>
  <c r="J1074" i="7"/>
  <c r="J1076" i="7" s="1"/>
  <c r="J68" i="25" s="1"/>
  <c r="X280" i="23"/>
  <c r="X282" i="23" s="1"/>
  <c r="L807" i="7"/>
  <c r="S1113" i="7"/>
  <c r="S1002" i="7" s="1"/>
  <c r="S1016" i="7" s="1"/>
  <c r="L61" i="25"/>
  <c r="Y271" i="23"/>
  <c r="N1130" i="7"/>
  <c r="BA32" i="17"/>
  <c r="T1060" i="7"/>
  <c r="T62" i="25" s="1"/>
  <c r="AE40" i="6"/>
  <c r="AK89" i="6" s="1"/>
  <c r="U536" i="7"/>
  <c r="X40" i="6"/>
  <c r="X89" i="6" s="1"/>
  <c r="J798" i="7"/>
  <c r="J247" i="7"/>
  <c r="N147" i="23"/>
  <c r="AP26" i="11" s="1"/>
  <c r="BD24" i="6"/>
  <c r="BA24" i="6" s="1"/>
  <c r="DI62" i="6"/>
  <c r="BP87" i="11"/>
  <c r="BO87" i="11" s="1"/>
  <c r="BZ118" i="11"/>
  <c r="CA118" i="11" s="1"/>
  <c r="CL80" i="6"/>
  <c r="BD74" i="6"/>
  <c r="BJ74" i="6"/>
  <c r="DR74" i="6"/>
  <c r="P854" i="7"/>
  <c r="BQ86" i="11"/>
  <c r="BQ82" i="11" s="1"/>
  <c r="BD70" i="11"/>
  <c r="DX81" i="6"/>
  <c r="CS77" i="6"/>
  <c r="AU216" i="2"/>
  <c r="AB748" i="7"/>
  <c r="AA729" i="7"/>
  <c r="AA741" i="7" s="1"/>
  <c r="Y219" i="7"/>
  <c r="Y73" i="25"/>
  <c r="AM981" i="7"/>
  <c r="AF981" i="7"/>
  <c r="T27" i="7"/>
  <c r="T29" i="7" s="1"/>
  <c r="U26" i="7"/>
  <c r="U27" i="7" s="1"/>
  <c r="U29" i="7" s="1"/>
  <c r="U299" i="7"/>
  <c r="W300" i="7" s="1"/>
  <c r="W301" i="7" s="1"/>
  <c r="W303" i="7" s="1"/>
  <c r="U275" i="7"/>
  <c r="U287" i="7" s="1"/>
  <c r="U61" i="25"/>
  <c r="Z99" i="7"/>
  <c r="Z96" i="7"/>
  <c r="O441" i="23"/>
  <c r="N441" i="23"/>
  <c r="O342" i="7"/>
  <c r="O344" i="7"/>
  <c r="O345" i="7" s="1"/>
  <c r="Q96" i="7"/>
  <c r="Q99" i="7"/>
  <c r="AB256" i="23"/>
  <c r="AB65" i="7"/>
  <c r="AB66" i="7" s="1"/>
  <c r="AB67" i="7" s="1"/>
  <c r="H280" i="23"/>
  <c r="H282" i="23" s="1"/>
  <c r="O87" i="7"/>
  <c r="V248" i="23"/>
  <c r="J430" i="23"/>
  <c r="S338" i="7"/>
  <c r="CC30" i="6"/>
  <c r="CI79" i="6" s="1"/>
  <c r="L236" i="7"/>
  <c r="V65" i="7"/>
  <c r="V66" i="7" s="1"/>
  <c r="V67" i="7" s="1"/>
  <c r="DV18" i="6"/>
  <c r="EB67" i="6" s="1"/>
  <c r="I247" i="7"/>
  <c r="I74" i="25"/>
  <c r="W854" i="7"/>
  <c r="X858" i="7"/>
  <c r="W252" i="7"/>
  <c r="CX18" i="6"/>
  <c r="R218" i="7"/>
  <c r="R171" i="25"/>
  <c r="O312" i="7"/>
  <c r="O314" i="7" s="1"/>
  <c r="O73" i="25"/>
  <c r="J168" i="7"/>
  <c r="J171" i="25"/>
  <c r="Y844" i="7"/>
  <c r="Y1139" i="7"/>
  <c r="AA87" i="7"/>
  <c r="AA84" i="7"/>
  <c r="O1132" i="7"/>
  <c r="O681" i="7"/>
  <c r="AB265" i="23"/>
  <c r="AB280" i="23"/>
  <c r="AB282" i="23" s="1"/>
  <c r="N20" i="6"/>
  <c r="N69" i="6" s="1"/>
  <c r="H1103" i="7"/>
  <c r="H1107" i="7" s="1"/>
  <c r="AA143" i="8"/>
  <c r="AK148" i="8" s="1"/>
  <c r="AA178" i="8"/>
  <c r="U461" i="7"/>
  <c r="V461" i="7"/>
  <c r="S219" i="7"/>
  <c r="S312" i="7"/>
  <c r="U313" i="7" s="1"/>
  <c r="AE139" i="7"/>
  <c r="EP10" i="6"/>
  <c r="EP59" i="6" s="1"/>
  <c r="AD1096" i="7"/>
  <c r="AD695" i="7"/>
  <c r="BD43" i="6"/>
  <c r="BD40" i="6" s="1"/>
  <c r="BA40" i="6" s="1"/>
  <c r="O815" i="7"/>
  <c r="AB249" i="8"/>
  <c r="AB250" i="8" s="1"/>
  <c r="AC254" i="8" s="1"/>
  <c r="AC253" i="8"/>
  <c r="AA669" i="7"/>
  <c r="AA681" i="7" s="1"/>
  <c r="AA672" i="7"/>
  <c r="O247" i="7"/>
  <c r="BC18" i="6"/>
  <c r="O447" i="23"/>
  <c r="BN77" i="6"/>
  <c r="H236" i="7"/>
  <c r="Q275" i="7"/>
  <c r="Q287" i="7" s="1"/>
  <c r="W465" i="7"/>
  <c r="S210" i="7"/>
  <c r="AG1015" i="7"/>
  <c r="M1060" i="7"/>
  <c r="M62" i="25" s="1"/>
  <c r="N430" i="23"/>
  <c r="O1060" i="7"/>
  <c r="O62" i="25" s="1"/>
  <c r="T67" i="23"/>
  <c r="BN32" i="17"/>
  <c r="V13" i="7"/>
  <c r="V15" i="7" s="1"/>
  <c r="V17" i="7" s="1"/>
  <c r="AU21" i="17"/>
  <c r="AG1009" i="7"/>
  <c r="N206" i="8"/>
  <c r="AV21" i="17"/>
  <c r="V265" i="23"/>
  <c r="BX116" i="17"/>
  <c r="P447" i="23"/>
  <c r="CS142" i="17"/>
  <c r="R456" i="7"/>
  <c r="R459" i="7" s="1"/>
  <c r="S675" i="7"/>
  <c r="V456" i="7"/>
  <c r="V459" i="7" s="1"/>
  <c r="AE25" i="17"/>
  <c r="AE27" i="17" s="1"/>
  <c r="AE29" i="17" s="1"/>
  <c r="U1083" i="7"/>
  <c r="U75" i="25" s="1"/>
  <c r="L1076" i="7"/>
  <c r="L68" i="25" s="1"/>
  <c r="Y1083" i="7"/>
  <c r="Y75" i="25" s="1"/>
  <c r="P1083" i="7"/>
  <c r="P75" i="25" s="1"/>
  <c r="J147" i="23"/>
  <c r="V26" i="11" s="1"/>
  <c r="ED95" i="6"/>
  <c r="BB58" i="11"/>
  <c r="BA59" i="11"/>
  <c r="BB59" i="11" s="1"/>
  <c r="D320" i="2"/>
  <c r="AU226" i="2"/>
  <c r="AL70" i="11"/>
  <c r="M184" i="23" s="1"/>
  <c r="M24" i="25" s="1"/>
  <c r="AE57" i="6"/>
  <c r="DL68" i="6"/>
  <c r="CZ58" i="11"/>
  <c r="DJ101" i="11"/>
  <c r="DJ82" i="11" s="1"/>
  <c r="BQ13" i="11"/>
  <c r="DQ73" i="6"/>
  <c r="AO70" i="11"/>
  <c r="X8" i="11"/>
  <c r="M143" i="23"/>
  <c r="AK22" i="11" s="1"/>
  <c r="AC176" i="23"/>
  <c r="AC16" i="25" s="1"/>
  <c r="DO96" i="6"/>
  <c r="AP81" i="6"/>
  <c r="BC89" i="6"/>
  <c r="CJ102" i="11"/>
  <c r="W113" i="23" s="1"/>
  <c r="DQ77" i="6"/>
  <c r="Y59" i="6"/>
  <c r="J142" i="23"/>
  <c r="V21" i="11" s="1"/>
  <c r="W181" i="23"/>
  <c r="W21" i="25" s="1"/>
  <c r="CF84" i="6"/>
  <c r="X73" i="6"/>
  <c r="BV70" i="6"/>
  <c r="AL75" i="6"/>
  <c r="CE33" i="6"/>
  <c r="CG84" i="6"/>
  <c r="EB79" i="6"/>
  <c r="BM72" i="6"/>
  <c r="U116" i="11"/>
  <c r="EH58" i="6"/>
  <c r="CS59" i="6"/>
  <c r="AP82" i="6"/>
  <c r="AJ73" i="6"/>
  <c r="AH90" i="17"/>
  <c r="CN66" i="6"/>
  <c r="R73" i="6"/>
  <c r="DR81" i="6"/>
  <c r="W66" i="6"/>
  <c r="Y57" i="6"/>
  <c r="CA12" i="6"/>
  <c r="CA22" i="6" s="1"/>
  <c r="CA29" i="6" s="1"/>
  <c r="BA70" i="11"/>
  <c r="P184" i="23" s="1"/>
  <c r="P24" i="25" s="1"/>
  <c r="CD115" i="11"/>
  <c r="CE115" i="11" s="1"/>
  <c r="CF115" i="11" s="1"/>
  <c r="AF90" i="6"/>
  <c r="AQ79" i="6"/>
  <c r="DU28" i="6"/>
  <c r="W844" i="7"/>
  <c r="H258" i="23"/>
  <c r="X338" i="7"/>
  <c r="AD1106" i="7"/>
  <c r="L248" i="23"/>
  <c r="Y361" i="7"/>
  <c r="Y123" i="25" s="1"/>
  <c r="H256" i="23"/>
  <c r="L180" i="23"/>
  <c r="L20" i="25" s="1"/>
  <c r="Q211" i="7"/>
  <c r="Z815" i="7"/>
  <c r="AM815" i="7" s="1"/>
  <c r="N242" i="23"/>
  <c r="G423" i="20"/>
  <c r="X423" i="20" s="1"/>
  <c r="O30" i="6"/>
  <c r="CT96" i="6"/>
  <c r="M681" i="7"/>
  <c r="L65" i="7"/>
  <c r="L66" i="7" s="1"/>
  <c r="L67" i="7" s="1"/>
  <c r="M146" i="8"/>
  <c r="M160" i="8" s="1"/>
  <c r="DA45" i="6"/>
  <c r="DA94" i="6" s="1"/>
  <c r="K1123" i="7"/>
  <c r="K1125" i="7" s="1"/>
  <c r="K573" i="7"/>
  <c r="L713" i="7"/>
  <c r="X966" i="7"/>
  <c r="X977" i="7" s="1"/>
  <c r="H65" i="7"/>
  <c r="H66" i="7" s="1"/>
  <c r="H67" i="7" s="1"/>
  <c r="AF1017" i="7"/>
  <c r="M174" i="23"/>
  <c r="M14" i="25" s="1"/>
  <c r="CY59" i="6"/>
  <c r="BG72" i="6"/>
  <c r="AR74" i="6"/>
  <c r="AP73" i="6"/>
  <c r="DQ82" i="6"/>
  <c r="AU55" i="6"/>
  <c r="DK73" i="11"/>
  <c r="DK75" i="11" s="1"/>
  <c r="AI33" i="6"/>
  <c r="AI82" i="6" s="1"/>
  <c r="DQ10" i="11"/>
  <c r="Z116" i="11"/>
  <c r="AR24" i="6"/>
  <c r="AO24" i="6" s="1"/>
  <c r="U80" i="11"/>
  <c r="R82" i="6"/>
  <c r="BP74" i="6"/>
  <c r="DK58" i="6"/>
  <c r="Z90" i="6"/>
  <c r="Z93" i="6"/>
  <c r="DQ58" i="6"/>
  <c r="AT116" i="11"/>
  <c r="CM84" i="6"/>
  <c r="AG87" i="11"/>
  <c r="AH87" i="11" s="1"/>
  <c r="CN82" i="6"/>
  <c r="S59" i="6"/>
  <c r="BC94" i="6"/>
  <c r="AI35" i="6"/>
  <c r="AN35" i="6" s="1"/>
  <c r="AN84" i="6" s="1"/>
  <c r="T93" i="6"/>
  <c r="BP16" i="11"/>
  <c r="BQ16" i="11" s="1"/>
  <c r="BR47" i="6"/>
  <c r="BR96" i="6" s="1"/>
  <c r="CB18" i="6"/>
  <c r="CA57" i="6"/>
  <c r="EE60" i="6"/>
  <c r="Q10" i="6"/>
  <c r="V17" i="6" s="1"/>
  <c r="V66" i="6" s="1"/>
  <c r="AJ84" i="6"/>
  <c r="R248" i="23"/>
  <c r="Y65" i="7"/>
  <c r="Y66" i="7" s="1"/>
  <c r="Y67" i="7" s="1"/>
  <c r="M206" i="7"/>
  <c r="AA68" i="8"/>
  <c r="AA678" i="7"/>
  <c r="K82" i="25"/>
  <c r="N713" i="7"/>
  <c r="AC1092" i="7"/>
  <c r="R161" i="8"/>
  <c r="Z1074" i="7"/>
  <c r="Z1076" i="7" s="1"/>
  <c r="Z68" i="25" s="1"/>
  <c r="DP40" i="6"/>
  <c r="AM795" i="7"/>
  <c r="Z820" i="7"/>
  <c r="AM820" i="7" s="1"/>
  <c r="Z1031" i="7"/>
  <c r="Z1032" i="7" s="1"/>
  <c r="AM1032" i="7" s="1"/>
  <c r="AD1064" i="7"/>
  <c r="N143" i="8"/>
  <c r="N157" i="8" s="1"/>
  <c r="AD82" i="8"/>
  <c r="Y965" i="7"/>
  <c r="Y976" i="7" s="1"/>
  <c r="M168" i="7"/>
  <c r="AA1031" i="7"/>
  <c r="AA1032" i="7" s="1"/>
  <c r="M27" i="7"/>
  <c r="AB965" i="7"/>
  <c r="AB976" i="7" s="1"/>
  <c r="K239" i="7"/>
  <c r="P857" i="7"/>
  <c r="AA218" i="7"/>
  <c r="X277" i="7"/>
  <c r="X289" i="7" s="1"/>
  <c r="Y250" i="23"/>
  <c r="Y202" i="8"/>
  <c r="AO8" i="6"/>
  <c r="AT8" i="6" s="1"/>
  <c r="AT57" i="6" s="1"/>
  <c r="AB597" i="7"/>
  <c r="X361" i="7"/>
  <c r="X123" i="25" s="1"/>
  <c r="AA178" i="7"/>
  <c r="X160" i="8"/>
  <c r="Z27" i="7"/>
  <c r="AM27" i="7" s="1"/>
  <c r="X173" i="7"/>
  <c r="AC1064" i="7"/>
  <c r="M173" i="7"/>
  <c r="P220" i="7"/>
  <c r="BU18" i="6"/>
  <c r="CA67" i="6" s="1"/>
  <c r="AC533" i="7"/>
  <c r="Y121" i="8"/>
  <c r="L256" i="23"/>
  <c r="Z127" i="8"/>
  <c r="BH80" i="6"/>
  <c r="V441" i="23"/>
  <c r="AC230" i="7"/>
  <c r="AC1103" i="7" s="1"/>
  <c r="AC1107" i="7" s="1"/>
  <c r="AC91" i="25" s="1"/>
  <c r="L108" i="25"/>
  <c r="L13" i="7"/>
  <c r="M14" i="7" s="1"/>
  <c r="R361" i="7"/>
  <c r="R123" i="25" s="1"/>
  <c r="U236" i="7"/>
  <c r="AB480" i="7"/>
  <c r="Y236" i="7"/>
  <c r="O275" i="7"/>
  <c r="K13" i="7"/>
  <c r="L14" i="7" s="1"/>
  <c r="Q361" i="7"/>
  <c r="Q123" i="25" s="1"/>
  <c r="AC70" i="25"/>
  <c r="F201" i="2"/>
  <c r="AW201" i="2" s="1"/>
  <c r="S275" i="7"/>
  <c r="S287" i="7" s="1"/>
  <c r="AB1066" i="7"/>
  <c r="D193" i="2" s="1"/>
  <c r="AU193" i="2" s="1"/>
  <c r="W701" i="7"/>
  <c r="P13" i="7"/>
  <c r="Q14" i="7" s="1"/>
  <c r="R1060" i="7"/>
  <c r="R62" i="25" s="1"/>
  <c r="W355" i="7"/>
  <c r="K27" i="7"/>
  <c r="Y807" i="7"/>
  <c r="X1066" i="7"/>
  <c r="X64" i="25" s="1"/>
  <c r="AX93" i="6"/>
  <c r="Y838" i="7"/>
  <c r="S244" i="7"/>
  <c r="S432" i="7" s="1"/>
  <c r="S434" i="7" s="1"/>
  <c r="AV81" i="6"/>
  <c r="AP84" i="6"/>
  <c r="AB1103" i="7"/>
  <c r="AB1107" i="7" s="1"/>
  <c r="AB999" i="7" s="1"/>
  <c r="AB1013" i="7" s="1"/>
  <c r="E201" i="2"/>
  <c r="AV201" i="2" s="1"/>
  <c r="DF57" i="6"/>
  <c r="BN80" i="6"/>
  <c r="U821" i="7"/>
  <c r="S152" i="8"/>
  <c r="X808" i="7"/>
  <c r="CL77" i="6"/>
  <c r="D205" i="2"/>
  <c r="AB74" i="25"/>
  <c r="AB247" i="7"/>
  <c r="EC18" i="6"/>
  <c r="EC22" i="6" s="1"/>
  <c r="EC29" i="6" s="1"/>
  <c r="EC34" i="6" s="1"/>
  <c r="EC39" i="6" s="1"/>
  <c r="AC227" i="7"/>
  <c r="P249" i="7"/>
  <c r="AB225" i="7"/>
  <c r="K82" i="8"/>
  <c r="W366" i="7"/>
  <c r="AC256" i="23"/>
  <c r="AA219" i="7"/>
  <c r="AC1065" i="7"/>
  <c r="Z485" i="7"/>
  <c r="AM485" i="7" s="1"/>
  <c r="R260" i="7"/>
  <c r="AB82" i="25"/>
  <c r="J965" i="7"/>
  <c r="J976" i="7" s="1"/>
  <c r="Z352" i="7"/>
  <c r="AA353" i="7" s="1"/>
  <c r="V967" i="7"/>
  <c r="V978" i="7" s="1"/>
  <c r="V271" i="23"/>
  <c r="K1091" i="7"/>
  <c r="K1093" i="7" s="1"/>
  <c r="K79" i="25" s="1"/>
  <c r="M178" i="7"/>
  <c r="L858" i="7"/>
  <c r="K724" i="7"/>
  <c r="AM323" i="7"/>
  <c r="S146" i="8"/>
  <c r="S153" i="8" s="1"/>
  <c r="Y258" i="23"/>
  <c r="AX90" i="6"/>
  <c r="AN73" i="11"/>
  <c r="AN74" i="11" s="1"/>
  <c r="W27" i="7"/>
  <c r="W29" i="7" s="1"/>
  <c r="Q252" i="7"/>
  <c r="S320" i="7"/>
  <c r="EH32" i="6"/>
  <c r="EH81" i="6" s="1"/>
  <c r="AC1080" i="7"/>
  <c r="AY24" i="6"/>
  <c r="T121" i="8"/>
  <c r="N256" i="7"/>
  <c r="N897" i="7" s="1"/>
  <c r="K127" i="7"/>
  <c r="L118" i="8"/>
  <c r="N803" i="7"/>
  <c r="L724" i="7"/>
  <c r="P178" i="7"/>
  <c r="J236" i="7"/>
  <c r="AC142" i="7"/>
  <c r="W249" i="7"/>
  <c r="L1140" i="7"/>
  <c r="L107" i="25" s="1"/>
  <c r="AB73" i="25"/>
  <c r="S209" i="7"/>
  <c r="H1099" i="7"/>
  <c r="H84" i="25" s="1"/>
  <c r="Y18" i="6"/>
  <c r="AE67" i="6" s="1"/>
  <c r="S218" i="7"/>
  <c r="T209" i="7"/>
  <c r="N209" i="7"/>
  <c r="U252" i="7"/>
  <c r="Z369" i="23"/>
  <c r="T1093" i="7"/>
  <c r="T79" i="25" s="1"/>
  <c r="T1083" i="7"/>
  <c r="T75" i="25" s="1"/>
  <c r="Y239" i="7"/>
  <c r="U743" i="7"/>
  <c r="DX90" i="6"/>
  <c r="CK28" i="6"/>
  <c r="W1093" i="7"/>
  <c r="W79" i="25" s="1"/>
  <c r="AB277" i="7"/>
  <c r="AB646" i="7" s="1"/>
  <c r="Q1083" i="7"/>
  <c r="Q75" i="25" s="1"/>
  <c r="EI10" i="6"/>
  <c r="EI59" i="6" s="1"/>
  <c r="S1060" i="7"/>
  <c r="S62" i="25" s="1"/>
  <c r="U244" i="7"/>
  <c r="U432" i="7" s="1"/>
  <c r="U434" i="7" s="1"/>
  <c r="U1091" i="7"/>
  <c r="U1093" i="7" s="1"/>
  <c r="U79" i="25" s="1"/>
  <c r="Y173" i="7"/>
  <c r="T244" i="7"/>
  <c r="T432" i="7" s="1"/>
  <c r="T434" i="7" s="1"/>
  <c r="X84" i="6"/>
  <c r="DD40" i="6"/>
  <c r="L864" i="7"/>
  <c r="L1087" i="7"/>
  <c r="L1088" i="7" s="1"/>
  <c r="L78" i="25" s="1"/>
  <c r="DU46" i="11"/>
  <c r="DU50" i="11" s="1"/>
  <c r="BW89" i="6"/>
  <c r="DL90" i="6"/>
  <c r="BG58" i="11"/>
  <c r="BE65" i="6"/>
  <c r="Y678" i="7"/>
  <c r="BP70" i="6"/>
  <c r="H256" i="7"/>
  <c r="H897" i="7" s="1"/>
  <c r="H907" i="7" s="1"/>
  <c r="M1099" i="7"/>
  <c r="M84" i="25" s="1"/>
  <c r="CC94" i="6"/>
  <c r="W807" i="7"/>
  <c r="O965" i="7"/>
  <c r="O976" i="7" s="1"/>
  <c r="M258" i="23"/>
  <c r="DM45" i="6"/>
  <c r="W127" i="8"/>
  <c r="W1139" i="7"/>
  <c r="W1140" i="7" s="1"/>
  <c r="W107" i="25" s="1"/>
  <c r="W832" i="7"/>
  <c r="S82" i="25"/>
  <c r="Z798" i="7"/>
  <c r="AM798" i="7" s="1"/>
  <c r="AA798" i="7"/>
  <c r="Z1011" i="7"/>
  <c r="Z1035" i="7" s="1"/>
  <c r="BQ65" i="6"/>
  <c r="V536" i="7"/>
  <c r="M1130" i="7"/>
  <c r="AA242" i="23"/>
  <c r="AS24" i="6"/>
  <c r="AA258" i="23"/>
  <c r="K249" i="7"/>
  <c r="Y1123" i="7"/>
  <c r="Y105" i="25" s="1"/>
  <c r="AM696" i="7"/>
  <c r="H552" i="7"/>
  <c r="AA32" i="6"/>
  <c r="AG81" i="6" s="1"/>
  <c r="BE30" i="6"/>
  <c r="H249" i="7"/>
  <c r="Q803" i="7"/>
  <c r="I270" i="7"/>
  <c r="L1123" i="7"/>
  <c r="L105" i="25" s="1"/>
  <c r="DG67" i="6"/>
  <c r="AB181" i="8"/>
  <c r="AG1017" i="7"/>
  <c r="AD1110" i="7"/>
  <c r="AD1113" i="7" s="1"/>
  <c r="F227" i="2" s="1"/>
  <c r="P256" i="7"/>
  <c r="P897" i="7" s="1"/>
  <c r="Q152" i="8"/>
  <c r="M242" i="23"/>
  <c r="P152" i="8"/>
  <c r="S480" i="7"/>
  <c r="R277" i="7"/>
  <c r="R625" i="7" s="1"/>
  <c r="AA504" i="7"/>
  <c r="N270" i="7"/>
  <c r="R529" i="7"/>
  <c r="W13" i="7"/>
  <c r="X14" i="7" s="1"/>
  <c r="X15" i="7" s="1"/>
  <c r="X17" i="7" s="1"/>
  <c r="BK89" i="6"/>
  <c r="AE28" i="8"/>
  <c r="AE57" i="8" s="1"/>
  <c r="H277" i="7"/>
  <c r="H289" i="7" s="1"/>
  <c r="H241" i="7"/>
  <c r="M1140" i="7"/>
  <c r="M1142" i="7" s="1"/>
  <c r="Q250" i="23"/>
  <c r="V213" i="7"/>
  <c r="AY117" i="11"/>
  <c r="U147" i="23"/>
  <c r="BY26" i="11" s="1"/>
  <c r="CG58" i="6"/>
  <c r="AE176" i="23"/>
  <c r="G105" i="2" s="1"/>
  <c r="EA28" i="6"/>
  <c r="T57" i="6"/>
  <c r="DV62" i="11"/>
  <c r="AD231" i="23" s="1"/>
  <c r="AD218" i="23" s="1"/>
  <c r="AE218" i="23" s="1"/>
  <c r="G140" i="2" s="1"/>
  <c r="AX140" i="2" s="1"/>
  <c r="F383" i="20"/>
  <c r="W383" i="20" s="1"/>
  <c r="BY9" i="6"/>
  <c r="CD16" i="6" s="1"/>
  <c r="CD65" i="6" s="1"/>
  <c r="AK94" i="6"/>
  <c r="DO30" i="6"/>
  <c r="G382" i="20"/>
  <c r="X382" i="20" s="1"/>
  <c r="CK58" i="11"/>
  <c r="AM62" i="11"/>
  <c r="R90" i="17"/>
  <c r="F410" i="20"/>
  <c r="W410" i="20" s="1"/>
  <c r="BN116" i="11"/>
  <c r="AQ73" i="6"/>
  <c r="BB82" i="6"/>
  <c r="BA33" i="6"/>
  <c r="F382" i="20"/>
  <c r="W382" i="20" s="1"/>
  <c r="CC67" i="6"/>
  <c r="CI67" i="6"/>
  <c r="BY28" i="6"/>
  <c r="BG55" i="6"/>
  <c r="BA8" i="6"/>
  <c r="BA57" i="6" s="1"/>
  <c r="CZ96" i="6"/>
  <c r="AX85" i="6"/>
  <c r="AD84" i="6"/>
  <c r="AP80" i="6"/>
  <c r="BG56" i="6"/>
  <c r="CF77" i="6"/>
  <c r="AX84" i="6"/>
  <c r="AW77" i="6"/>
  <c r="CY79" i="6"/>
  <c r="BO12" i="6"/>
  <c r="DO33" i="6"/>
  <c r="BO57" i="6"/>
  <c r="EA10" i="6"/>
  <c r="EF17" i="6" s="1"/>
  <c r="EF66" i="6" s="1"/>
  <c r="AI45" i="6"/>
  <c r="AN45" i="6" s="1"/>
  <c r="AN94" i="6" s="1"/>
  <c r="AE84" i="6"/>
  <c r="AJ80" i="6"/>
  <c r="DJ82" i="6"/>
  <c r="BU73" i="6"/>
  <c r="DO63" i="11"/>
  <c r="CH117" i="11"/>
  <c r="DC33" i="6"/>
  <c r="DC82" i="6" s="1"/>
  <c r="AO80" i="6"/>
  <c r="BU59" i="11"/>
  <c r="BV59" i="11" s="1"/>
  <c r="CQ30" i="6"/>
  <c r="DV79" i="6"/>
  <c r="CL67" i="6"/>
  <c r="Z299" i="7"/>
  <c r="AB300" i="7" s="1"/>
  <c r="S798" i="7"/>
  <c r="DP18" i="6"/>
  <c r="AA260" i="7"/>
  <c r="AA237" i="7"/>
  <c r="AB237" i="7" s="1"/>
  <c r="AC237" i="7" s="1"/>
  <c r="AD237" i="7" s="1"/>
  <c r="AE237" i="7" s="1"/>
  <c r="O96" i="7"/>
  <c r="W260" i="7"/>
  <c r="V1070" i="7"/>
  <c r="V1071" i="7" s="1"/>
  <c r="V67" i="25" s="1"/>
  <c r="BI18" i="6"/>
  <c r="V198" i="8"/>
  <c r="V205" i="8" s="1"/>
  <c r="X181" i="8"/>
  <c r="S198" i="8"/>
  <c r="S205" i="8" s="1"/>
  <c r="R573" i="7"/>
  <c r="S465" i="7"/>
  <c r="V347" i="7"/>
  <c r="P312" i="7"/>
  <c r="R313" i="7" s="1"/>
  <c r="AB820" i="7"/>
  <c r="V858" i="7"/>
  <c r="H61" i="25"/>
  <c r="N552" i="7"/>
  <c r="U204" i="7"/>
  <c r="Q13" i="7"/>
  <c r="R14" i="7" s="1"/>
  <c r="O260" i="7"/>
  <c r="AB966" i="7"/>
  <c r="AB977" i="7" s="1"/>
  <c r="Z203" i="8"/>
  <c r="T743" i="7"/>
  <c r="Z980" i="7"/>
  <c r="AM980" i="7" s="1"/>
  <c r="AC713" i="7"/>
  <c r="R99" i="7"/>
  <c r="AA447" i="23"/>
  <c r="T347" i="7"/>
  <c r="P275" i="7"/>
  <c r="S1074" i="7"/>
  <c r="S1076" i="7" s="1"/>
  <c r="S68" i="25" s="1"/>
  <c r="CY84" i="6"/>
  <c r="X127" i="7"/>
  <c r="BA21" i="17"/>
  <c r="Q1066" i="7"/>
  <c r="Q64" i="25" s="1"/>
  <c r="S355" i="7"/>
  <c r="AC831" i="7"/>
  <c r="AC838" i="7" s="1"/>
  <c r="L1083" i="7"/>
  <c r="L75" i="25" s="1"/>
  <c r="X27" i="7"/>
  <c r="X29" i="7" s="1"/>
  <c r="P242" i="23"/>
  <c r="J511" i="7"/>
  <c r="K512" i="7" s="1"/>
  <c r="K124" i="25" s="1"/>
  <c r="M220" i="7"/>
  <c r="X47" i="6"/>
  <c r="X838" i="7"/>
  <c r="Q552" i="7"/>
  <c r="X65" i="25"/>
  <c r="AA275" i="7"/>
  <c r="AA644" i="7" s="1"/>
  <c r="V669" i="7"/>
  <c r="V681" i="7" s="1"/>
  <c r="AC260" i="7"/>
  <c r="L10" i="28"/>
  <c r="Q573" i="7"/>
  <c r="J501" i="7"/>
  <c r="U347" i="7"/>
  <c r="M693" i="7"/>
  <c r="M700" i="7" s="1"/>
  <c r="S211" i="7"/>
  <c r="Z61" i="25"/>
  <c r="J863" i="7"/>
  <c r="AB1128" i="7"/>
  <c r="I681" i="7"/>
  <c r="DG45" i="6"/>
  <c r="X737" i="7"/>
  <c r="Q210" i="7"/>
  <c r="CR35" i="6"/>
  <c r="CQ35" i="6" s="1"/>
  <c r="AO117" i="17"/>
  <c r="AC842" i="7"/>
  <c r="M607" i="7"/>
  <c r="O24" i="6"/>
  <c r="X260" i="7"/>
  <c r="K173" i="7"/>
  <c r="N724" i="7"/>
  <c r="J1123" i="7"/>
  <c r="J105" i="25" s="1"/>
  <c r="W256" i="7"/>
  <c r="W897" i="7" s="1"/>
  <c r="W907" i="7" s="1"/>
  <c r="AB152" i="8"/>
  <c r="Z271" i="23"/>
  <c r="Q504" i="7"/>
  <c r="P219" i="7"/>
  <c r="I435" i="23"/>
  <c r="W858" i="7"/>
  <c r="V1128" i="7"/>
  <c r="CD111" i="17"/>
  <c r="CD9" i="17" s="1"/>
  <c r="V355" i="7"/>
  <c r="P127" i="7"/>
  <c r="S121" i="8"/>
  <c r="Q441" i="23"/>
  <c r="CR10" i="11"/>
  <c r="O1048" i="7"/>
  <c r="O1050" i="7" s="1"/>
  <c r="P276" i="7"/>
  <c r="P288" i="7" s="1"/>
  <c r="P1113" i="7"/>
  <c r="P1002" i="7" s="1"/>
  <c r="P1016" i="7" s="1"/>
  <c r="P73" i="25"/>
  <c r="Q276" i="7"/>
  <c r="Q288" i="7" s="1"/>
  <c r="AB137" i="7"/>
  <c r="K1066" i="7"/>
  <c r="K64" i="25" s="1"/>
  <c r="K1083" i="7"/>
  <c r="K75" i="25" s="1"/>
  <c r="G1123" i="7"/>
  <c r="G1125" i="7" s="1"/>
  <c r="H1083" i="7"/>
  <c r="H75" i="25" s="1"/>
  <c r="W1066" i="7"/>
  <c r="W64" i="25" s="1"/>
  <c r="W361" i="7"/>
  <c r="W123" i="25" s="1"/>
  <c r="S369" i="23"/>
  <c r="AB1083" i="7"/>
  <c r="D206" i="2" s="1"/>
  <c r="Q369" i="23"/>
  <c r="Z210" i="7"/>
  <c r="P807" i="7"/>
  <c r="O27" i="7"/>
  <c r="AD40" i="6"/>
  <c r="AA74" i="25"/>
  <c r="M204" i="7"/>
  <c r="DX43" i="6"/>
  <c r="DX40" i="6" s="1"/>
  <c r="AM235" i="7"/>
  <c r="J1070" i="7"/>
  <c r="J1071" i="7" s="1"/>
  <c r="J67" i="25" s="1"/>
  <c r="I174" i="8"/>
  <c r="U35" i="6"/>
  <c r="AY35" i="6"/>
  <c r="BE84" i="6" s="1"/>
  <c r="X1139" i="7"/>
  <c r="X1140" i="7" s="1"/>
  <c r="V815" i="7"/>
  <c r="W127" i="7"/>
  <c r="Z1129" i="7"/>
  <c r="Z338" i="7"/>
  <c r="AM338" i="7" s="1"/>
  <c r="M347" i="7"/>
  <c r="AB202" i="8"/>
  <c r="K73" i="25"/>
  <c r="Y369" i="23"/>
  <c r="J108" i="25"/>
  <c r="P681" i="7"/>
  <c r="H607" i="7"/>
  <c r="O1087" i="7"/>
  <c r="O1088" i="7" s="1"/>
  <c r="O78" i="25" s="1"/>
  <c r="H299" i="7"/>
  <c r="J300" i="7" s="1"/>
  <c r="AG1010" i="7"/>
  <c r="O573" i="7"/>
  <c r="H713" i="7"/>
  <c r="I675" i="7"/>
  <c r="I27" i="17"/>
  <c r="I29" i="17" s="1"/>
  <c r="L355" i="7"/>
  <c r="AC1099" i="7"/>
  <c r="AC84" i="25" s="1"/>
  <c r="Q127" i="7"/>
  <c r="Z355" i="7"/>
  <c r="AM355" i="7" s="1"/>
  <c r="AQ94" i="6"/>
  <c r="S13" i="7"/>
  <c r="T14" i="7" s="1"/>
  <c r="T15" i="7" s="1"/>
  <c r="T17" i="7" s="1"/>
  <c r="Q260" i="7"/>
  <c r="G1140" i="7"/>
  <c r="AM86" i="11"/>
  <c r="AQ16" i="11"/>
  <c r="N151" i="23" s="1"/>
  <c r="AP29" i="11" s="1"/>
  <c r="CC118" i="11"/>
  <c r="DD77" i="6"/>
  <c r="DD94" i="6"/>
  <c r="AD12" i="6"/>
  <c r="Y73" i="6"/>
  <c r="CH118" i="11"/>
  <c r="T79" i="6"/>
  <c r="AJ80" i="11"/>
  <c r="AO28" i="6"/>
  <c r="BO81" i="6"/>
  <c r="W35" i="6"/>
  <c r="BT81" i="6"/>
  <c r="AQ84" i="6"/>
  <c r="AK84" i="6"/>
  <c r="CA63" i="11"/>
  <c r="AU45" i="6"/>
  <c r="AZ45" i="6" s="1"/>
  <c r="AZ94" i="6" s="1"/>
  <c r="AO80" i="11"/>
  <c r="DS67" i="6"/>
  <c r="CY57" i="6"/>
  <c r="AJ58" i="6"/>
  <c r="DJ57" i="6"/>
  <c r="AA430" i="23"/>
  <c r="O485" i="7"/>
  <c r="O509" i="7" s="1"/>
  <c r="O758" i="7"/>
  <c r="P748" i="7"/>
  <c r="O737" i="7"/>
  <c r="R168" i="7"/>
  <c r="R209" i="7"/>
  <c r="O219" i="7"/>
  <c r="AA210" i="7"/>
  <c r="W121" i="8"/>
  <c r="AB435" i="23"/>
  <c r="O501" i="7"/>
  <c r="P61" i="25"/>
  <c r="Y1140" i="7"/>
  <c r="Y107" i="25" s="1"/>
  <c r="S693" i="7"/>
  <c r="S721" i="7" s="1"/>
  <c r="Z225" i="7"/>
  <c r="AM225" i="7" s="1"/>
  <c r="Q256" i="7"/>
  <c r="Q897" i="7" s="1"/>
  <c r="J239" i="7"/>
  <c r="DP47" i="6"/>
  <c r="DT47" i="6" s="1"/>
  <c r="DT96" i="6" s="1"/>
  <c r="AA65" i="25"/>
  <c r="X342" i="7"/>
  <c r="O430" i="23"/>
  <c r="X218" i="7"/>
  <c r="S965" i="7"/>
  <c r="S976" i="7" s="1"/>
  <c r="N210" i="7"/>
  <c r="N350" i="7" s="1"/>
  <c r="O239" i="7"/>
  <c r="R178" i="7"/>
  <c r="R211" i="7"/>
  <c r="AC248" i="23"/>
  <c r="S127" i="7"/>
  <c r="H275" i="7"/>
  <c r="H287" i="7" s="1"/>
  <c r="V275" i="7"/>
  <c r="V287" i="7" s="1"/>
  <c r="U60" i="25"/>
  <c r="AA342" i="7"/>
  <c r="J265" i="23"/>
  <c r="CC116" i="11"/>
  <c r="W54" i="7"/>
  <c r="W55" i="7" s="1"/>
  <c r="Z84" i="7"/>
  <c r="U1131" i="7"/>
  <c r="N108" i="25"/>
  <c r="AM200" i="7"/>
  <c r="P1132" i="7"/>
  <c r="CG40" i="6"/>
  <c r="CM89" i="6" s="1"/>
  <c r="EB40" i="6"/>
  <c r="P1129" i="7"/>
  <c r="Q966" i="7"/>
  <c r="Q977" i="7" s="1"/>
  <c r="AU200" i="2"/>
  <c r="AC613" i="7"/>
  <c r="EI9" i="6"/>
  <c r="EI58" i="6" s="1"/>
  <c r="AC71" i="25"/>
  <c r="P204" i="7"/>
  <c r="J67" i="23"/>
  <c r="BA56" i="6"/>
  <c r="T210" i="7"/>
  <c r="AC815" i="7"/>
  <c r="I168" i="7"/>
  <c r="V864" i="7"/>
  <c r="I244" i="7"/>
  <c r="I432" i="7" s="1"/>
  <c r="I434" i="7" s="1"/>
  <c r="L27" i="17"/>
  <c r="L29" i="17" s="1"/>
  <c r="K114" i="7"/>
  <c r="K123" i="7" s="1"/>
  <c r="AA844" i="7"/>
  <c r="X465" i="7"/>
  <c r="AA758" i="7"/>
  <c r="U1099" i="7"/>
  <c r="U84" i="25" s="1"/>
  <c r="K326" i="7"/>
  <c r="BD84" i="6"/>
  <c r="M918" i="7"/>
  <c r="M929" i="7" s="1"/>
  <c r="Q1099" i="7"/>
  <c r="Q967" i="7" s="1"/>
  <c r="X108" i="25"/>
  <c r="AO28" i="8"/>
  <c r="H252" i="7"/>
  <c r="AB312" i="7"/>
  <c r="AD313" i="7" s="1"/>
  <c r="AB276" i="7"/>
  <c r="AB624" i="7" s="1"/>
  <c r="AB636" i="7" s="1"/>
  <c r="AB210" i="7"/>
  <c r="AA1123" i="7"/>
  <c r="AA105" i="25" s="1"/>
  <c r="Q858" i="7"/>
  <c r="P210" i="7"/>
  <c r="V567" i="7"/>
  <c r="L204" i="8"/>
  <c r="M13" i="7"/>
  <c r="N14" i="7" s="1"/>
  <c r="I1083" i="7"/>
  <c r="I75" i="25" s="1"/>
  <c r="AC369" i="23"/>
  <c r="N260" i="7"/>
  <c r="J465" i="7"/>
  <c r="Z173" i="7"/>
  <c r="AM173" i="7" s="1"/>
  <c r="J808" i="7"/>
  <c r="CS79" i="6"/>
  <c r="DQ81" i="6"/>
  <c r="P369" i="23"/>
  <c r="R59" i="6"/>
  <c r="AU35" i="6"/>
  <c r="X480" i="7"/>
  <c r="R461" i="7"/>
  <c r="S347" i="7"/>
  <c r="O213" i="7"/>
  <c r="L485" i="7"/>
  <c r="L509" i="7" s="1"/>
  <c r="Y27" i="7"/>
  <c r="Y29" i="7" s="1"/>
  <c r="AC311" i="7"/>
  <c r="AC336" i="7"/>
  <c r="AD310" i="7"/>
  <c r="EI30" i="6"/>
  <c r="EI79" i="6" s="1"/>
  <c r="N501" i="7"/>
  <c r="W312" i="7"/>
  <c r="Y313" i="7" s="1"/>
  <c r="Y314" i="7" s="1"/>
  <c r="Y316" i="7" s="1"/>
  <c r="CK82" i="17"/>
  <c r="K355" i="7"/>
  <c r="P299" i="7"/>
  <c r="R300" i="7" s="1"/>
  <c r="R301" i="7" s="1"/>
  <c r="R303" i="7" s="1"/>
  <c r="BH18" i="6"/>
  <c r="K821" i="7"/>
  <c r="AA96" i="7"/>
  <c r="R137" i="7"/>
  <c r="X171" i="8"/>
  <c r="S220" i="7"/>
  <c r="Z252" i="7"/>
  <c r="AM252" i="7" s="1"/>
  <c r="K108" i="25"/>
  <c r="AC1075" i="7"/>
  <c r="X60" i="25"/>
  <c r="Y65" i="25"/>
  <c r="N73" i="25"/>
  <c r="AY28" i="6"/>
  <c r="AY77" i="6" s="1"/>
  <c r="X448" i="7"/>
  <c r="S143" i="8"/>
  <c r="S157" i="8" s="1"/>
  <c r="I209" i="7"/>
  <c r="U168" i="7"/>
  <c r="S206" i="8"/>
  <c r="V65" i="25"/>
  <c r="Q808" i="7"/>
  <c r="DR20" i="6"/>
  <c r="DR18" i="6" s="1"/>
  <c r="J250" i="23"/>
  <c r="AL118" i="17"/>
  <c r="AD57" i="6"/>
  <c r="CG116" i="17"/>
  <c r="T73" i="25"/>
  <c r="CT111" i="17"/>
  <c r="CT9" i="17" s="1"/>
  <c r="G118" i="2" s="1"/>
  <c r="H106" i="20" s="1"/>
  <c r="Y106" i="20" s="1"/>
  <c r="Q108" i="25"/>
  <c r="AM494" i="7"/>
  <c r="P675" i="7"/>
  <c r="K1129" i="7"/>
  <c r="BK28" i="6"/>
  <c r="H220" i="7"/>
  <c r="I67" i="23"/>
  <c r="Z211" i="7"/>
  <c r="AM211" i="7" s="1"/>
  <c r="I60" i="25"/>
  <c r="AE668" i="7"/>
  <c r="AE1106" i="7" s="1"/>
  <c r="X147" i="8"/>
  <c r="V1087" i="7"/>
  <c r="V1088" i="7" s="1"/>
  <c r="V78" i="25" s="1"/>
  <c r="W441" i="23"/>
  <c r="L18" i="6"/>
  <c r="K9" i="6"/>
  <c r="P16" i="6" s="1"/>
  <c r="P65" i="6" s="1"/>
  <c r="R713" i="7"/>
  <c r="V236" i="7"/>
  <c r="AB672" i="7"/>
  <c r="DF84" i="6"/>
  <c r="U355" i="7"/>
  <c r="P480" i="7"/>
  <c r="M260" i="7"/>
  <c r="K465" i="7"/>
  <c r="K265" i="23"/>
  <c r="U1140" i="7"/>
  <c r="U107" i="25" s="1"/>
  <c r="U287" i="23"/>
  <c r="E207" i="2"/>
  <c r="I382" i="20" s="1"/>
  <c r="Z382" i="20" s="1"/>
  <c r="U137" i="7"/>
  <c r="V369" i="23"/>
  <c r="AC354" i="7"/>
  <c r="AC355" i="7" s="1"/>
  <c r="CF81" i="6"/>
  <c r="O369" i="23"/>
  <c r="V1066" i="7"/>
  <c r="V64" i="25" s="1"/>
  <c r="DC55" i="6"/>
  <c r="CQ8" i="6"/>
  <c r="CV8" i="6" s="1"/>
  <c r="CV57" i="6" s="1"/>
  <c r="ED12" i="6"/>
  <c r="AK81" i="6"/>
  <c r="I465" i="7"/>
  <c r="BS116" i="11"/>
  <c r="S101" i="11"/>
  <c r="R102" i="11"/>
  <c r="Q102" i="11" s="1"/>
  <c r="AW85" i="11"/>
  <c r="AV87" i="11"/>
  <c r="AU87" i="11" s="1"/>
  <c r="AA142" i="23"/>
  <c r="DC21" i="11" s="1"/>
  <c r="EP44" i="6"/>
  <c r="EP93" i="6" s="1"/>
  <c r="CO87" i="11"/>
  <c r="CN87" i="11" s="1"/>
  <c r="DE8" i="11"/>
  <c r="DR90" i="6"/>
  <c r="AD88" i="25"/>
  <c r="AJ64" i="6"/>
  <c r="CP85" i="11"/>
  <c r="CP81" i="11" s="1"/>
  <c r="AD473" i="7"/>
  <c r="AD82" i="25" s="1"/>
  <c r="AD64" i="6"/>
  <c r="AK77" i="6"/>
  <c r="S62" i="11"/>
  <c r="AE471" i="7"/>
  <c r="AE83" i="25" s="1"/>
  <c r="BV59" i="6"/>
  <c r="EP25" i="6"/>
  <c r="EP74" i="6" s="1"/>
  <c r="AC346" i="7"/>
  <c r="AC347" i="7" s="1"/>
  <c r="AD296" i="7"/>
  <c r="AD63" i="25" s="1"/>
  <c r="AC63" i="25"/>
  <c r="AC335" i="7"/>
  <c r="AD141" i="7"/>
  <c r="AD142" i="7" s="1"/>
  <c r="CH85" i="6"/>
  <c r="Y142" i="23"/>
  <c r="CS21" i="11" s="1"/>
  <c r="ED77" i="6"/>
  <c r="AA67" i="6"/>
  <c r="AI30" i="6"/>
  <c r="AI79" i="6" s="1"/>
  <c r="AO96" i="6"/>
  <c r="BJ58" i="6"/>
  <c r="R84" i="6"/>
  <c r="AL70" i="6"/>
  <c r="BB81" i="6"/>
  <c r="CF58" i="11"/>
  <c r="DQ84" i="6"/>
  <c r="AW94" i="6"/>
  <c r="O149" i="23"/>
  <c r="AU28" i="11" s="1"/>
  <c r="EJ66" i="6"/>
  <c r="BP72" i="6"/>
  <c r="W173" i="23"/>
  <c r="W13" i="25" s="1"/>
  <c r="CN81" i="6"/>
  <c r="AL79" i="6"/>
  <c r="CE59" i="11"/>
  <c r="V24" i="23" s="1"/>
  <c r="Q28" i="6"/>
  <c r="W77" i="6" s="1"/>
  <c r="DX95" i="6"/>
  <c r="CZ91" i="6"/>
  <c r="DJ94" i="6"/>
  <c r="AW58" i="11"/>
  <c r="J185" i="23"/>
  <c r="J25" i="25" s="1"/>
  <c r="CU8" i="11"/>
  <c r="AJ77" i="6"/>
  <c r="R179" i="23"/>
  <c r="R19" i="25" s="1"/>
  <c r="BD12" i="6"/>
  <c r="AP94" i="6"/>
  <c r="DL74" i="6"/>
  <c r="BC84" i="6"/>
  <c r="CT16" i="11"/>
  <c r="Y183" i="23" s="1"/>
  <c r="Y23" i="25" s="1"/>
  <c r="BU81" i="6"/>
  <c r="BG62" i="6"/>
  <c r="AV223" i="2"/>
  <c r="AL59" i="11"/>
  <c r="AL64" i="11" s="1"/>
  <c r="CS12" i="6"/>
  <c r="BM62" i="6"/>
  <c r="CP13" i="11"/>
  <c r="CT72" i="6"/>
  <c r="BH64" i="6"/>
  <c r="Y79" i="6"/>
  <c r="DU30" i="6"/>
  <c r="ED59" i="6"/>
  <c r="CF86" i="11"/>
  <c r="X58" i="11"/>
  <c r="Y77" i="6"/>
  <c r="AC28" i="6"/>
  <c r="DJ7" i="11"/>
  <c r="CX73" i="6"/>
  <c r="CS94" i="6"/>
  <c r="W72" i="6"/>
  <c r="AI96" i="6"/>
  <c r="AO45" i="6"/>
  <c r="CK45" i="6"/>
  <c r="CP45" i="6" s="1"/>
  <c r="CP94" i="6" s="1"/>
  <c r="DC8" i="6"/>
  <c r="DH8" i="6" s="1"/>
  <c r="DH57" i="6" s="1"/>
  <c r="BX117" i="11"/>
  <c r="CY58" i="6"/>
  <c r="AK73" i="6"/>
  <c r="X77" i="6"/>
  <c r="AC13" i="11"/>
  <c r="U173" i="23"/>
  <c r="U13" i="25" s="1"/>
  <c r="BA9" i="6"/>
  <c r="AJ79" i="6"/>
  <c r="AU151" i="2"/>
  <c r="DV12" i="6"/>
  <c r="BS8" i="6"/>
  <c r="BY57" i="6" s="1"/>
  <c r="BB12" i="6"/>
  <c r="BN64" i="6"/>
  <c r="CG73" i="6"/>
  <c r="BN57" i="6"/>
  <c r="DW59" i="6"/>
  <c r="S84" i="6"/>
  <c r="CY82" i="6"/>
  <c r="AN12" i="11"/>
  <c r="AN14" i="11" s="1"/>
  <c r="DB46" i="6"/>
  <c r="CM82" i="6"/>
  <c r="S15" i="11"/>
  <c r="AV118" i="11"/>
  <c r="O186" i="23" s="1"/>
  <c r="O44" i="25" s="1"/>
  <c r="AW63" i="11"/>
  <c r="AO33" i="6"/>
  <c r="AB172" i="23"/>
  <c r="AB12" i="25" s="1"/>
  <c r="BL100" i="11"/>
  <c r="DO118" i="11"/>
  <c r="F198" i="20"/>
  <c r="W198" i="20" s="1"/>
  <c r="BJ85" i="6"/>
  <c r="BM31" i="6"/>
  <c r="BM80" i="6" s="1"/>
  <c r="BV79" i="6"/>
  <c r="CW10" i="6"/>
  <c r="DB17" i="6" s="1"/>
  <c r="DB66" i="6" s="1"/>
  <c r="CZ12" i="6"/>
  <c r="ED90" i="6"/>
  <c r="CS96" i="6"/>
  <c r="CM79" i="6"/>
  <c r="DV81" i="6"/>
  <c r="AX24" i="6"/>
  <c r="AL81" i="6"/>
  <c r="AC10" i="6"/>
  <c r="AH17" i="6" s="1"/>
  <c r="AH66" i="6" s="1"/>
  <c r="I377" i="20"/>
  <c r="Z377" i="20" s="1"/>
  <c r="BG33" i="6"/>
  <c r="DE15" i="11"/>
  <c r="BC73" i="11"/>
  <c r="BC74" i="11" s="1"/>
  <c r="AA143" i="23"/>
  <c r="DC22" i="11" s="1"/>
  <c r="AA174" i="23"/>
  <c r="C103" i="2" s="1"/>
  <c r="AI8" i="6"/>
  <c r="BK102" i="11"/>
  <c r="R113" i="23" s="1"/>
  <c r="DW58" i="6"/>
  <c r="CZ63" i="11"/>
  <c r="K181" i="23"/>
  <c r="K21" i="25" s="1"/>
  <c r="CE55" i="6"/>
  <c r="BD66" i="6"/>
  <c r="BG35" i="6"/>
  <c r="BL35" i="6" s="1"/>
  <c r="BL84" i="6" s="1"/>
  <c r="BM45" i="6"/>
  <c r="BR45" i="6" s="1"/>
  <c r="BR94" i="6" s="1"/>
  <c r="AD59" i="6"/>
  <c r="EJ59" i="6"/>
  <c r="DU45" i="6"/>
  <c r="DZ45" i="6" s="1"/>
  <c r="DZ94" i="6" s="1"/>
  <c r="O12" i="11"/>
  <c r="O14" i="11" s="1"/>
  <c r="EJ65" i="6"/>
  <c r="AE12" i="6"/>
  <c r="AE22" i="6" s="1"/>
  <c r="CF80" i="6"/>
  <c r="EJ85" i="6"/>
  <c r="ED85" i="6"/>
  <c r="AJ117" i="11"/>
  <c r="F379" i="20"/>
  <c r="W379" i="20" s="1"/>
  <c r="CO16" i="11"/>
  <c r="X151" i="23" s="1"/>
  <c r="CN29" i="11" s="1"/>
  <c r="AO27" i="6"/>
  <c r="AO76" i="6" s="1"/>
  <c r="BM16" i="6"/>
  <c r="BS65" i="6" s="1"/>
  <c r="DO9" i="6"/>
  <c r="C323" i="2"/>
  <c r="AS60" i="6"/>
  <c r="DG66" i="6"/>
  <c r="DF59" i="6"/>
  <c r="AJ11" i="11"/>
  <c r="W30" i="6"/>
  <c r="BB77" i="6"/>
  <c r="AE58" i="6"/>
  <c r="BJ82" i="6"/>
  <c r="BU48" i="11"/>
  <c r="BV48" i="11" s="1"/>
  <c r="BF70" i="11"/>
  <c r="Q184" i="23" s="1"/>
  <c r="Q24" i="25" s="1"/>
  <c r="AO30" i="6"/>
  <c r="AT30" i="6" s="1"/>
  <c r="AT79" i="6" s="1"/>
  <c r="S57" i="6"/>
  <c r="J172" i="23"/>
  <c r="J12" i="25" s="1"/>
  <c r="V115" i="11"/>
  <c r="W115" i="11" s="1"/>
  <c r="X115" i="11" s="1"/>
  <c r="F377" i="20"/>
  <c r="W377" i="20" s="1"/>
  <c r="AA65" i="6"/>
  <c r="AU214" i="2"/>
  <c r="BM10" i="6"/>
  <c r="BR17" i="6" s="1"/>
  <c r="BR66" i="6" s="1"/>
  <c r="AV76" i="6"/>
  <c r="BI70" i="11"/>
  <c r="BG66" i="6"/>
  <c r="BI58" i="6"/>
  <c r="DE82" i="6"/>
  <c r="DI30" i="6"/>
  <c r="CS89" i="6"/>
  <c r="O67" i="6"/>
  <c r="Q33" i="6"/>
  <c r="AI12" i="11"/>
  <c r="AI14" i="11" s="1"/>
  <c r="DL24" i="6"/>
  <c r="DI24" i="6" s="1"/>
  <c r="M185" i="23"/>
  <c r="M25" i="25" s="1"/>
  <c r="CK8" i="11"/>
  <c r="CQ55" i="6"/>
  <c r="CH24" i="6"/>
  <c r="BS9" i="6"/>
  <c r="AR75" i="6"/>
  <c r="BH12" i="6"/>
  <c r="W102" i="11"/>
  <c r="V102" i="11" s="1"/>
  <c r="I199" i="20"/>
  <c r="Z199" i="20" s="1"/>
  <c r="AU202" i="2"/>
  <c r="BC59" i="6"/>
  <c r="BN81" i="6"/>
  <c r="U176" i="23"/>
  <c r="U16" i="25" s="1"/>
  <c r="BD65" i="6"/>
  <c r="AU23" i="6"/>
  <c r="AU72" i="6" s="1"/>
  <c r="N70" i="6"/>
  <c r="R59" i="11"/>
  <c r="Q59" i="11" s="1"/>
  <c r="BS30" i="6"/>
  <c r="BY79" i="6" s="1"/>
  <c r="BB84" i="6"/>
  <c r="DP58" i="6"/>
  <c r="AV59" i="6"/>
  <c r="BT79" i="6"/>
  <c r="BN117" i="11"/>
  <c r="AW12" i="6"/>
  <c r="AW61" i="6" s="1"/>
  <c r="AC101" i="11"/>
  <c r="AD17" i="25"/>
  <c r="C320" i="2"/>
  <c r="EK65" i="6"/>
  <c r="BG28" i="6"/>
  <c r="DM67" i="6"/>
  <c r="CE70" i="11"/>
  <c r="CF70" i="11" s="1"/>
  <c r="AT46" i="6"/>
  <c r="CN75" i="6"/>
  <c r="CA82" i="6"/>
  <c r="Y84" i="6"/>
  <c r="BN59" i="11"/>
  <c r="AF57" i="6"/>
  <c r="EE65" i="6"/>
  <c r="X82" i="6"/>
  <c r="CF59" i="6"/>
  <c r="DQ117" i="11"/>
  <c r="BN59" i="6"/>
  <c r="X59" i="6"/>
  <c r="AV84" i="6"/>
  <c r="U142" i="23"/>
  <c r="BY21" i="11" s="1"/>
  <c r="G376" i="20"/>
  <c r="X376" i="20" s="1"/>
  <c r="H199" i="20"/>
  <c r="Y199" i="20" s="1"/>
  <c r="CM12" i="6"/>
  <c r="EI84" i="6"/>
  <c r="DN46" i="6"/>
  <c r="DX79" i="6"/>
  <c r="AF72" i="6"/>
  <c r="BT12" i="6"/>
  <c r="BT22" i="6" s="1"/>
  <c r="BT29" i="6" s="1"/>
  <c r="BT34" i="6" s="1"/>
  <c r="G377" i="20"/>
  <c r="X377" i="20" s="1"/>
  <c r="R16" i="11"/>
  <c r="I151" i="23" s="1"/>
  <c r="Q29" i="11" s="1"/>
  <c r="DR57" i="6"/>
  <c r="EB80" i="6"/>
  <c r="EB59" i="6"/>
  <c r="EP70" i="6"/>
  <c r="BJ65" i="6"/>
  <c r="EE89" i="6"/>
  <c r="BS10" i="11"/>
  <c r="CL79" i="6"/>
  <c r="R79" i="6"/>
  <c r="H196" i="20"/>
  <c r="Y196" i="20" s="1"/>
  <c r="CA94" i="6"/>
  <c r="BI59" i="6"/>
  <c r="BT58" i="6"/>
  <c r="CS57" i="6"/>
  <c r="M12" i="6"/>
  <c r="CR82" i="6"/>
  <c r="CU101" i="11"/>
  <c r="CU82" i="11" s="1"/>
  <c r="CB12" i="11"/>
  <c r="CB14" i="11" s="1"/>
  <c r="BZ81" i="6"/>
  <c r="G104" i="20"/>
  <c r="X104" i="20" s="1"/>
  <c r="DP73" i="6"/>
  <c r="K10" i="6"/>
  <c r="AJ10" i="11"/>
  <c r="AV82" i="6"/>
  <c r="BP65" i="6"/>
  <c r="BJ90" i="6"/>
  <c r="DK81" i="6"/>
  <c r="R58" i="6"/>
  <c r="BC58" i="6"/>
  <c r="AJ94" i="6"/>
  <c r="CR118" i="11"/>
  <c r="CT118" i="11"/>
  <c r="Y186" i="23" s="1"/>
  <c r="Y44" i="25" s="1"/>
  <c r="CB58" i="6"/>
  <c r="AF59" i="6"/>
  <c r="X79" i="6"/>
  <c r="EB12" i="6"/>
  <c r="EH59" i="6"/>
  <c r="BY55" i="6"/>
  <c r="DR95" i="6"/>
  <c r="BS117" i="11"/>
  <c r="Q30" i="6"/>
  <c r="BC57" i="6"/>
  <c r="BY35" i="6"/>
  <c r="CL57" i="6"/>
  <c r="S94" i="6"/>
  <c r="CE80" i="6"/>
  <c r="BY80" i="6"/>
  <c r="I107" i="25"/>
  <c r="I1142" i="7"/>
  <c r="AA216" i="7"/>
  <c r="L1002" i="7"/>
  <c r="L1016" i="7" s="1"/>
  <c r="U180" i="23"/>
  <c r="U20" i="25" s="1"/>
  <c r="J141" i="23"/>
  <c r="V20" i="11" s="1"/>
  <c r="X239" i="7"/>
  <c r="L143" i="8"/>
  <c r="L157" i="8" s="1"/>
  <c r="S206" i="7"/>
  <c r="P213" i="7"/>
  <c r="V990" i="7"/>
  <c r="O82" i="25"/>
  <c r="Q244" i="7"/>
  <c r="Q432" i="7" s="1"/>
  <c r="Q434" i="7" s="1"/>
  <c r="Q440" i="7" s="1"/>
  <c r="CV104" i="17"/>
  <c r="AB21" i="17"/>
  <c r="AB22" i="17" s="1"/>
  <c r="AG24" i="6"/>
  <c r="Q204" i="7"/>
  <c r="S204" i="7"/>
  <c r="S178" i="7"/>
  <c r="W256" i="23"/>
  <c r="W672" i="7"/>
  <c r="H114" i="7"/>
  <c r="I123" i="7" s="1"/>
  <c r="S18" i="6"/>
  <c r="K966" i="7"/>
  <c r="K977" i="7" s="1"/>
  <c r="I146" i="8"/>
  <c r="I153" i="8" s="1"/>
  <c r="K204" i="7"/>
  <c r="S78" i="8"/>
  <c r="S147" i="8" s="1"/>
  <c r="EH45" i="6"/>
  <c r="EG45" i="6" s="1"/>
  <c r="J209" i="7"/>
  <c r="J379" i="7" s="1"/>
  <c r="AM20" i="7"/>
  <c r="X171" i="25"/>
  <c r="V127" i="7"/>
  <c r="DJ35" i="6"/>
  <c r="DI35" i="6" s="1"/>
  <c r="K247" i="7"/>
  <c r="S864" i="7"/>
  <c r="P21" i="17"/>
  <c r="P22" i="17" s="1"/>
  <c r="DD70" i="11"/>
  <c r="DE70" i="11" s="1"/>
  <c r="W244" i="7"/>
  <c r="W432" i="7" s="1"/>
  <c r="W434" i="7" s="1"/>
  <c r="W440" i="7" s="1"/>
  <c r="M809" i="7"/>
  <c r="CW8" i="6"/>
  <c r="DB8" i="6" s="1"/>
  <c r="DB57" i="6" s="1"/>
  <c r="AM794" i="7"/>
  <c r="Y265" i="23"/>
  <c r="H218" i="7"/>
  <c r="H60" i="25"/>
  <c r="Z209" i="7"/>
  <c r="V672" i="7"/>
  <c r="S66" i="7"/>
  <c r="S67" i="7" s="1"/>
  <c r="Z241" i="7"/>
  <c r="AM241" i="7" s="1"/>
  <c r="AD83" i="25"/>
  <c r="DP12" i="11"/>
  <c r="DP14" i="11" s="1"/>
  <c r="CW55" i="6"/>
  <c r="EB57" i="6"/>
  <c r="DK82" i="6"/>
  <c r="CG82" i="6"/>
  <c r="N24" i="6"/>
  <c r="K24" i="6" s="1"/>
  <c r="H523" i="7"/>
  <c r="H536" i="7"/>
  <c r="H181" i="8"/>
  <c r="W1002" i="7"/>
  <c r="W1016" i="7" s="1"/>
  <c r="S456" i="7"/>
  <c r="S459" i="7" s="1"/>
  <c r="U597" i="7"/>
  <c r="M355" i="7"/>
  <c r="AG28" i="6"/>
  <c r="Y854" i="7"/>
  <c r="BN18" i="6"/>
  <c r="BT67" i="6" s="1"/>
  <c r="T821" i="7"/>
  <c r="K617" i="7"/>
  <c r="S276" i="7"/>
  <c r="S624" i="7" s="1"/>
  <c r="S636" i="7" s="1"/>
  <c r="W1115" i="7"/>
  <c r="W1116" i="7" s="1"/>
  <c r="CO35" i="6"/>
  <c r="CO84" i="6" s="1"/>
  <c r="BC12" i="6"/>
  <c r="CW45" i="6"/>
  <c r="L71" i="8"/>
  <c r="AO9" i="6"/>
  <c r="AT16" i="6" s="1"/>
  <c r="AT65" i="6" s="1"/>
  <c r="AC47" i="7"/>
  <c r="AC33" i="7"/>
  <c r="AV202" i="2"/>
  <c r="BQ24" i="6"/>
  <c r="EJ43" i="6"/>
  <c r="EJ92" i="6" s="1"/>
  <c r="G1129" i="7"/>
  <c r="W1070" i="7"/>
  <c r="W1071" i="7" s="1"/>
  <c r="W67" i="25" s="1"/>
  <c r="T447" i="23"/>
  <c r="N248" i="23"/>
  <c r="H424" i="20"/>
  <c r="Y424" i="20" s="1"/>
  <c r="AC45" i="6"/>
  <c r="AH45" i="6" s="1"/>
  <c r="AH94" i="6" s="1"/>
  <c r="CZ62" i="11"/>
  <c r="AX58" i="6"/>
  <c r="AX70" i="6"/>
  <c r="BV72" i="6"/>
  <c r="AD30" i="8"/>
  <c r="AD48" i="8" s="1"/>
  <c r="DE57" i="6"/>
  <c r="N253" i="8"/>
  <c r="DJ47" i="6"/>
  <c r="DN47" i="6" s="1"/>
  <c r="DN96" i="6" s="1"/>
  <c r="S1123" i="7"/>
  <c r="S105" i="25" s="1"/>
  <c r="CT94" i="6"/>
  <c r="BJ90" i="17"/>
  <c r="U59" i="11"/>
  <c r="DG70" i="11"/>
  <c r="AK32" i="17"/>
  <c r="N1048" i="7"/>
  <c r="N1050" i="7" s="1"/>
  <c r="R1113" i="7"/>
  <c r="R1002" i="7" s="1"/>
  <c r="R1016" i="7" s="1"/>
  <c r="K1107" i="7"/>
  <c r="K91" i="25" s="1"/>
  <c r="AB838" i="7"/>
  <c r="R1093" i="7"/>
  <c r="R79" i="25" s="1"/>
  <c r="S12" i="6"/>
  <c r="BS80" i="11"/>
  <c r="S820" i="7"/>
  <c r="U213" i="7"/>
  <c r="CH11" i="11"/>
  <c r="P256" i="23"/>
  <c r="Z117" i="11"/>
  <c r="Q45" i="6"/>
  <c r="V45" i="6" s="1"/>
  <c r="V94" i="6" s="1"/>
  <c r="Z73" i="25"/>
  <c r="Y1048" i="7"/>
  <c r="Y1050" i="7" s="1"/>
  <c r="X743" i="7"/>
  <c r="M465" i="7"/>
  <c r="DV94" i="6"/>
  <c r="BX116" i="11"/>
  <c r="N675" i="7"/>
  <c r="L40" i="6"/>
  <c r="R89" i="6" s="1"/>
  <c r="H820" i="7"/>
  <c r="H1074" i="7"/>
  <c r="H1076" i="7" s="1"/>
  <c r="H68" i="25" s="1"/>
  <c r="Q1091" i="7"/>
  <c r="Q1093" i="7" s="1"/>
  <c r="Q79" i="25" s="1"/>
  <c r="Q821" i="7"/>
  <c r="AB173" i="7"/>
  <c r="AB219" i="7"/>
  <c r="J211" i="7"/>
  <c r="AB287" i="23"/>
  <c r="N152" i="8"/>
  <c r="BB58" i="6"/>
  <c r="CF15" i="11"/>
  <c r="DX7" i="11"/>
  <c r="AE172" i="23" s="1"/>
  <c r="N82" i="25"/>
  <c r="Z204" i="7"/>
  <c r="AM204" i="7" s="1"/>
  <c r="P700" i="7"/>
  <c r="O54" i="7"/>
  <c r="O55" i="7" s="1"/>
  <c r="V607" i="7"/>
  <c r="AD1045" i="7"/>
  <c r="AB430" i="23"/>
  <c r="I239" i="7"/>
  <c r="Y857" i="7"/>
  <c r="Z977" i="7"/>
  <c r="AM977" i="7" s="1"/>
  <c r="Z277" i="7"/>
  <c r="Z625" i="7" s="1"/>
  <c r="AC841" i="7"/>
  <c r="P143" i="8"/>
  <c r="P157" i="8" s="1"/>
  <c r="S174" i="8"/>
  <c r="L819" i="7"/>
  <c r="V218" i="7"/>
  <c r="I256" i="23"/>
  <c r="V256" i="7"/>
  <c r="V897" i="7" s="1"/>
  <c r="Z1103" i="7"/>
  <c r="Z1107" i="7" s="1"/>
  <c r="K271" i="23"/>
  <c r="BP24" i="6"/>
  <c r="BM24" i="6" s="1"/>
  <c r="AX74" i="6"/>
  <c r="AJ82" i="6"/>
  <c r="BF16" i="11"/>
  <c r="Q183" i="23" s="1"/>
  <c r="Q23" i="25" s="1"/>
  <c r="AD82" i="6"/>
  <c r="EA30" i="6"/>
  <c r="S79" i="6"/>
  <c r="L247" i="7"/>
  <c r="AB270" i="7"/>
  <c r="H485" i="7"/>
  <c r="AD829" i="7"/>
  <c r="AE829" i="7" s="1"/>
  <c r="AE1092" i="7" s="1"/>
  <c r="CD105" i="17"/>
  <c r="S461" i="7"/>
  <c r="CO28" i="6"/>
  <c r="BI82" i="6"/>
  <c r="I171" i="25"/>
  <c r="R244" i="7"/>
  <c r="R432" i="7" s="1"/>
  <c r="R434" i="7" s="1"/>
  <c r="R437" i="7" s="1"/>
  <c r="Q61" i="25"/>
  <c r="AC795" i="7"/>
  <c r="EH40" i="6" s="1"/>
  <c r="S73" i="25"/>
  <c r="AY60" i="6"/>
  <c r="DD79" i="6"/>
  <c r="K435" i="23"/>
  <c r="O152" i="8"/>
  <c r="AA441" i="23"/>
  <c r="H204" i="7"/>
  <c r="H214" i="7" s="1"/>
  <c r="DG59" i="11"/>
  <c r="AA820" i="7"/>
  <c r="V504" i="7"/>
  <c r="AS35" i="6"/>
  <c r="AS84" i="6" s="1"/>
  <c r="I275" i="7"/>
  <c r="I287" i="7" s="1"/>
  <c r="F244" i="2"/>
  <c r="J486" i="20" s="1"/>
  <c r="AA486" i="20" s="1"/>
  <c r="AV40" i="6"/>
  <c r="BB89" i="6" s="1"/>
  <c r="O248" i="23"/>
  <c r="U121" i="8"/>
  <c r="S173" i="7"/>
  <c r="BN80" i="11"/>
  <c r="Y430" i="23"/>
  <c r="AW81" i="6"/>
  <c r="CH80" i="11"/>
  <c r="AX68" i="6"/>
  <c r="Y488" i="7"/>
  <c r="AA152" i="8"/>
  <c r="P65" i="7"/>
  <c r="P66" i="7" s="1"/>
  <c r="P67" i="7" s="1"/>
  <c r="Z1113" i="7"/>
  <c r="Z1002" i="7" s="1"/>
  <c r="AA529" i="7"/>
  <c r="P1048" i="7"/>
  <c r="P1050" i="7" s="1"/>
  <c r="AA918" i="7"/>
  <c r="AA929" i="7" s="1"/>
  <c r="AD73" i="6"/>
  <c r="AT59" i="11"/>
  <c r="W1103" i="7"/>
  <c r="W1107" i="7" s="1"/>
  <c r="W999" i="7" s="1"/>
  <c r="W1013" i="7" s="1"/>
  <c r="AY94" i="6"/>
  <c r="N75" i="6"/>
  <c r="AM969" i="7"/>
  <c r="AA66" i="6"/>
  <c r="Y209" i="7"/>
  <c r="Y379" i="7" s="1"/>
  <c r="U89" i="6"/>
  <c r="U13" i="7"/>
  <c r="U15" i="7" s="1"/>
  <c r="U17" i="7" s="1"/>
  <c r="ED81" i="6"/>
  <c r="N13" i="7"/>
  <c r="O14" i="7" s="1"/>
  <c r="P858" i="7"/>
  <c r="X1060" i="7"/>
  <c r="X62" i="25" s="1"/>
  <c r="M1083" i="7"/>
  <c r="M75" i="25" s="1"/>
  <c r="AQ96" i="6"/>
  <c r="X1083" i="7"/>
  <c r="X75" i="25" s="1"/>
  <c r="BU59" i="6"/>
  <c r="Z219" i="7"/>
  <c r="AM219" i="7" s="1"/>
  <c r="BI57" i="6"/>
  <c r="M287" i="23"/>
  <c r="R12" i="6"/>
  <c r="AP47" i="6"/>
  <c r="AV96" i="6" s="1"/>
  <c r="BA45" i="6"/>
  <c r="BF45" i="6" s="1"/>
  <c r="BF94" i="6" s="1"/>
  <c r="BI94" i="6"/>
  <c r="DQ12" i="6"/>
  <c r="Z312" i="7"/>
  <c r="U67" i="6"/>
  <c r="AR58" i="6"/>
  <c r="N27" i="7"/>
  <c r="I820" i="7"/>
  <c r="I1074" i="7"/>
  <c r="I1076" i="7" s="1"/>
  <c r="I68" i="25" s="1"/>
  <c r="AI9" i="6"/>
  <c r="AN16" i="6" s="1"/>
  <c r="AN65" i="6" s="1"/>
  <c r="AF66" i="6"/>
  <c r="Y174" i="23"/>
  <c r="Y14" i="25" s="1"/>
  <c r="AR72" i="6"/>
  <c r="CC70" i="11"/>
  <c r="AG16" i="11"/>
  <c r="AH16" i="11" s="1"/>
  <c r="CJ16" i="11"/>
  <c r="W183" i="23" s="1"/>
  <c r="W23" i="25" s="1"/>
  <c r="S82" i="6"/>
  <c r="DI118" i="11"/>
  <c r="DJ118" i="11" s="1"/>
  <c r="CT70" i="6"/>
  <c r="AL59" i="6"/>
  <c r="CN90" i="6"/>
  <c r="DF75" i="6"/>
  <c r="CE96" i="6"/>
  <c r="EA56" i="6"/>
  <c r="CM59" i="6"/>
  <c r="AC66" i="6"/>
  <c r="DO81" i="11"/>
  <c r="CP62" i="11"/>
  <c r="BO94" i="6"/>
  <c r="K33" i="6"/>
  <c r="AU201" i="2"/>
  <c r="AX75" i="6"/>
  <c r="AW84" i="6"/>
  <c r="AV79" i="6"/>
  <c r="DQ57" i="6"/>
  <c r="AL58" i="6"/>
  <c r="BD11" i="11"/>
  <c r="CU9" i="11"/>
  <c r="BS59" i="11"/>
  <c r="DK79" i="6"/>
  <c r="Z66" i="6"/>
  <c r="EC79" i="6"/>
  <c r="G409" i="20"/>
  <c r="X409" i="20" s="1"/>
  <c r="CQ27" i="6"/>
  <c r="CQ76" i="6" s="1"/>
  <c r="AV12" i="6"/>
  <c r="EA72" i="6"/>
  <c r="DM89" i="6"/>
  <c r="T84" i="6"/>
  <c r="DE12" i="6"/>
  <c r="CY77" i="6"/>
  <c r="Q188" i="17"/>
  <c r="S197" i="17"/>
  <c r="T197" i="17"/>
  <c r="V57" i="7"/>
  <c r="V54" i="7"/>
  <c r="V55" i="7" s="1"/>
  <c r="BJ24" i="6"/>
  <c r="BG24" i="6" s="1"/>
  <c r="BP75" i="6"/>
  <c r="T82" i="25"/>
  <c r="T485" i="7"/>
  <c r="T509" i="7" s="1"/>
  <c r="T965" i="7"/>
  <c r="T976" i="7" s="1"/>
  <c r="T501" i="7"/>
  <c r="W45" i="6"/>
  <c r="AB45" i="6" s="1"/>
  <c r="AB94" i="6" s="1"/>
  <c r="AF94" i="6"/>
  <c r="N67" i="23"/>
  <c r="O67" i="23"/>
  <c r="Z171" i="8"/>
  <c r="Z143" i="8"/>
  <c r="Z157" i="8" s="1"/>
  <c r="AA171" i="8"/>
  <c r="H9" i="28"/>
  <c r="CO32" i="17"/>
  <c r="X225" i="7"/>
  <c r="X61" i="25"/>
  <c r="X236" i="7"/>
  <c r="Y244" i="7"/>
  <c r="Y432" i="7" s="1"/>
  <c r="Y434" i="7" s="1"/>
  <c r="Y440" i="7" s="1"/>
  <c r="DD18" i="6"/>
  <c r="DC31" i="6"/>
  <c r="DI80" i="6" s="1"/>
  <c r="DD80" i="6"/>
  <c r="BY45" i="6"/>
  <c r="BZ94" i="6"/>
  <c r="L312" i="7"/>
  <c r="N313" i="7" s="1"/>
  <c r="L276" i="7"/>
  <c r="L624" i="7" s="1"/>
  <c r="L636" i="7" s="1"/>
  <c r="L219" i="7"/>
  <c r="M210" i="7"/>
  <c r="L210" i="7"/>
  <c r="L73" i="25"/>
  <c r="DQ18" i="6"/>
  <c r="DW67" i="6" s="1"/>
  <c r="Z276" i="7"/>
  <c r="AM276" i="7" s="1"/>
  <c r="AM227" i="7"/>
  <c r="Z74" i="25"/>
  <c r="R219" i="7"/>
  <c r="R276" i="7"/>
  <c r="R73" i="25"/>
  <c r="R206" i="7"/>
  <c r="R312" i="7"/>
  <c r="R210" i="7"/>
  <c r="R173" i="7"/>
  <c r="J1091" i="7"/>
  <c r="J1093" i="7" s="1"/>
  <c r="J79" i="25" s="1"/>
  <c r="J809" i="7"/>
  <c r="Y40" i="6"/>
  <c r="J821" i="7"/>
  <c r="K809" i="7"/>
  <c r="CJ142" i="17"/>
  <c r="CK111" i="17"/>
  <c r="CH15" i="26" s="1"/>
  <c r="CJ105" i="17"/>
  <c r="J380" i="7"/>
  <c r="V99" i="7"/>
  <c r="V96" i="7"/>
  <c r="DF43" i="6"/>
  <c r="DF40" i="6" s="1"/>
  <c r="X815" i="7"/>
  <c r="R1132" i="7"/>
  <c r="R675" i="7"/>
  <c r="R681" i="7"/>
  <c r="Y256" i="23"/>
  <c r="Y248" i="23"/>
  <c r="V46" i="6"/>
  <c r="T95" i="6"/>
  <c r="AG1011" i="7"/>
  <c r="AB1035" i="7"/>
  <c r="AB1036" i="7" s="1"/>
  <c r="CU89" i="6"/>
  <c r="CO89" i="6"/>
  <c r="S84" i="7"/>
  <c r="S87" i="7"/>
  <c r="AU221" i="2"/>
  <c r="F422" i="20"/>
  <c r="W422" i="20" s="1"/>
  <c r="DB118" i="11"/>
  <c r="DD118" i="11"/>
  <c r="AA186" i="23" s="1"/>
  <c r="C158" i="2" s="1"/>
  <c r="DG118" i="11"/>
  <c r="J344" i="7"/>
  <c r="L345" i="7" s="1"/>
  <c r="J342" i="7"/>
  <c r="L854" i="7"/>
  <c r="L863" i="7"/>
  <c r="AJ47" i="6"/>
  <c r="AN47" i="6" s="1"/>
  <c r="AN96" i="6" s="1"/>
  <c r="M857" i="7"/>
  <c r="L1070" i="7"/>
  <c r="L1071" i="7" s="1"/>
  <c r="L67" i="25" s="1"/>
  <c r="AQ18" i="6"/>
  <c r="AQ22" i="6" s="1"/>
  <c r="M276" i="7"/>
  <c r="M624" i="7" s="1"/>
  <c r="AD13" i="25"/>
  <c r="F102" i="2"/>
  <c r="AW102" i="2" s="1"/>
  <c r="DQ59" i="6"/>
  <c r="DI10" i="6"/>
  <c r="DK12" i="6"/>
  <c r="DE73" i="6"/>
  <c r="DK73" i="6"/>
  <c r="Q355" i="7"/>
  <c r="N355" i="7"/>
  <c r="EB47" i="6"/>
  <c r="AB1070" i="7"/>
  <c r="AB1071" i="7" s="1"/>
  <c r="D196" i="2" s="1"/>
  <c r="H1070" i="7"/>
  <c r="H1071" i="7" s="1"/>
  <c r="H67" i="25" s="1"/>
  <c r="H863" i="7"/>
  <c r="I857" i="7"/>
  <c r="Z149" i="23"/>
  <c r="CX28" i="11" s="1"/>
  <c r="CZ15" i="11"/>
  <c r="R1070" i="7"/>
  <c r="R1071" i="7" s="1"/>
  <c r="R67" i="25" s="1"/>
  <c r="R863" i="7"/>
  <c r="CY18" i="6"/>
  <c r="W74" i="25"/>
  <c r="W247" i="7"/>
  <c r="W239" i="7"/>
  <c r="W236" i="7"/>
  <c r="W276" i="7"/>
  <c r="W288" i="7" s="1"/>
  <c r="AT151" i="2"/>
  <c r="G200" i="20"/>
  <c r="X200" i="20" s="1"/>
  <c r="AC56" i="6"/>
  <c r="AI56" i="6"/>
  <c r="AC511" i="7"/>
  <c r="AC501" i="7"/>
  <c r="L60" i="25"/>
  <c r="L218" i="7"/>
  <c r="L168" i="7"/>
  <c r="AB693" i="7"/>
  <c r="AB721" i="7" s="1"/>
  <c r="AB204" i="7"/>
  <c r="L511" i="7"/>
  <c r="L965" i="7"/>
  <c r="L976" i="7" s="1"/>
  <c r="L82" i="25"/>
  <c r="Z347" i="7"/>
  <c r="AM347" i="7" s="1"/>
  <c r="AA347" i="7"/>
  <c r="AM346" i="7"/>
  <c r="CG81" i="6"/>
  <c r="CM81" i="6"/>
  <c r="T276" i="7"/>
  <c r="T219" i="7"/>
  <c r="H421" i="20"/>
  <c r="Y421" i="20" s="1"/>
  <c r="AV246" i="2"/>
  <c r="U276" i="7"/>
  <c r="U282" i="7" s="1"/>
  <c r="U219" i="7"/>
  <c r="M485" i="7"/>
  <c r="M509" i="7" s="1"/>
  <c r="AB195" i="7"/>
  <c r="AE690" i="7"/>
  <c r="AE731" i="7" s="1"/>
  <c r="O71" i="8"/>
  <c r="M758" i="7"/>
  <c r="DE58" i="6"/>
  <c r="CG12" i="6"/>
  <c r="U312" i="7"/>
  <c r="W313" i="7" s="1"/>
  <c r="CO30" i="6"/>
  <c r="CO79" i="6" s="1"/>
  <c r="U1128" i="7"/>
  <c r="M211" i="7"/>
  <c r="L178" i="7"/>
  <c r="X213" i="7"/>
  <c r="W213" i="7"/>
  <c r="O211" i="7"/>
  <c r="R485" i="7"/>
  <c r="R509" i="7" s="1"/>
  <c r="I479" i="7"/>
  <c r="I491" i="7" s="1"/>
  <c r="J490" i="7"/>
  <c r="V258" i="23"/>
  <c r="V242" i="23"/>
  <c r="V250" i="23"/>
  <c r="AB256" i="7"/>
  <c r="AC256" i="7" s="1"/>
  <c r="AO21" i="17"/>
  <c r="P347" i="7"/>
  <c r="R347" i="7"/>
  <c r="O74" i="25"/>
  <c r="O276" i="7"/>
  <c r="O288" i="7" s="1"/>
  <c r="N60" i="25"/>
  <c r="N168" i="7"/>
  <c r="N171" i="25"/>
  <c r="O209" i="7"/>
  <c r="Z239" i="7"/>
  <c r="AM239" i="7" s="1"/>
  <c r="Y247" i="7"/>
  <c r="DK18" i="6"/>
  <c r="CR18" i="6"/>
  <c r="CR67" i="6" s="1"/>
  <c r="V252" i="7"/>
  <c r="V225" i="7"/>
  <c r="V244" i="7"/>
  <c r="V432" i="7" s="1"/>
  <c r="V434" i="7" s="1"/>
  <c r="V440" i="7" s="1"/>
  <c r="CQ56" i="6"/>
  <c r="CK56" i="6"/>
  <c r="CK8" i="6"/>
  <c r="CP8" i="6" s="1"/>
  <c r="CP57" i="6" s="1"/>
  <c r="Y820" i="7"/>
  <c r="Y1074" i="7"/>
  <c r="Y1076" i="7" s="1"/>
  <c r="Y68" i="25" s="1"/>
  <c r="Y798" i="7"/>
  <c r="Z808" i="7"/>
  <c r="AM808" i="7" s="1"/>
  <c r="DJ40" i="6"/>
  <c r="P809" i="7"/>
  <c r="P1091" i="7"/>
  <c r="P1093" i="7" s="1"/>
  <c r="P79" i="25" s="1"/>
  <c r="BI40" i="6"/>
  <c r="BI89" i="6" s="1"/>
  <c r="M171" i="25"/>
  <c r="M218" i="7"/>
  <c r="AE47" i="6"/>
  <c r="AK96" i="6" s="1"/>
  <c r="K854" i="7"/>
  <c r="BC73" i="6"/>
  <c r="AW73" i="6"/>
  <c r="AS12" i="11"/>
  <c r="AS14" i="11" s="1"/>
  <c r="W1087" i="7"/>
  <c r="W1088" i="7" s="1"/>
  <c r="W78" i="25" s="1"/>
  <c r="W864" i="7"/>
  <c r="CY47" i="6"/>
  <c r="CY96" i="6" s="1"/>
  <c r="O252" i="7"/>
  <c r="O299" i="7"/>
  <c r="Q300" i="7" s="1"/>
  <c r="O236" i="7"/>
  <c r="BB18" i="6"/>
  <c r="BP82" i="6"/>
  <c r="BM33" i="6"/>
  <c r="AA211" i="7"/>
  <c r="AA277" i="7"/>
  <c r="AA646" i="7" s="1"/>
  <c r="AA766" i="7" s="1"/>
  <c r="AU225" i="2"/>
  <c r="F429" i="20"/>
  <c r="W429" i="20" s="1"/>
  <c r="G429" i="20"/>
  <c r="X429" i="20" s="1"/>
  <c r="Y980" i="7"/>
  <c r="Y990" i="7"/>
  <c r="K447" i="23"/>
  <c r="AM255" i="7"/>
  <c r="Z260" i="7"/>
  <c r="AM260" i="7" s="1"/>
  <c r="CR47" i="6"/>
  <c r="V857" i="7"/>
  <c r="V854" i="7"/>
  <c r="AB239" i="7"/>
  <c r="C205" i="2"/>
  <c r="AA236" i="7"/>
  <c r="AA247" i="7"/>
  <c r="AA239" i="7"/>
  <c r="AA276" i="7"/>
  <c r="AA288" i="7" s="1"/>
  <c r="AJ12" i="6"/>
  <c r="AJ59" i="6"/>
  <c r="H108" i="25"/>
  <c r="H966" i="7"/>
  <c r="H977" i="7" s="1"/>
  <c r="H414" i="20"/>
  <c r="Y414" i="20" s="1"/>
  <c r="AV216" i="2"/>
  <c r="Q26" i="7"/>
  <c r="Q27" i="7" s="1"/>
  <c r="P27" i="7"/>
  <c r="Q820" i="7"/>
  <c r="Q1074" i="7"/>
  <c r="Q1076" i="7" s="1"/>
  <c r="Q68" i="25" s="1"/>
  <c r="BN40" i="6"/>
  <c r="BN89" i="6" s="1"/>
  <c r="BN94" i="6"/>
  <c r="BH94" i="6"/>
  <c r="U247" i="7"/>
  <c r="CM18" i="6"/>
  <c r="CM67" i="6" s="1"/>
  <c r="BT77" i="6"/>
  <c r="BZ77" i="6"/>
  <c r="T681" i="7"/>
  <c r="T675" i="7"/>
  <c r="CX12" i="6"/>
  <c r="CX61" i="6" s="1"/>
  <c r="DD57" i="6"/>
  <c r="BO84" i="6"/>
  <c r="T355" i="7"/>
  <c r="R355" i="7"/>
  <c r="W1035" i="7"/>
  <c r="W1036" i="7" s="1"/>
  <c r="N56" i="25"/>
  <c r="N115" i="8"/>
  <c r="N161" i="8" s="1"/>
  <c r="BB80" i="6"/>
  <c r="AU31" i="6"/>
  <c r="BA80" i="6" s="1"/>
  <c r="AV80" i="6"/>
  <c r="Y136" i="7"/>
  <c r="Y137" i="7" s="1"/>
  <c r="X137" i="7"/>
  <c r="BN118" i="11"/>
  <c r="BK118" i="11"/>
  <c r="R186" i="23" s="1"/>
  <c r="R44" i="25" s="1"/>
  <c r="P171" i="25"/>
  <c r="P168" i="7"/>
  <c r="P60" i="25"/>
  <c r="P206" i="7"/>
  <c r="P218" i="7"/>
  <c r="AB178" i="7"/>
  <c r="AB347" i="7"/>
  <c r="DC16" i="6"/>
  <c r="DI65" i="6" s="1"/>
  <c r="AH157" i="17"/>
  <c r="AI156" i="17"/>
  <c r="U73" i="25"/>
  <c r="AC419" i="7"/>
  <c r="AC421" i="7" s="1"/>
  <c r="AC378" i="7"/>
  <c r="AD419" i="7" s="1"/>
  <c r="Q280" i="23"/>
  <c r="Q282" i="23" s="1"/>
  <c r="Q312" i="23" s="1"/>
  <c r="Q314" i="23" s="1"/>
  <c r="Q265" i="23"/>
  <c r="Y178" i="8"/>
  <c r="Y143" i="8"/>
  <c r="Y157" i="8" s="1"/>
  <c r="Y171" i="8"/>
  <c r="AB1048" i="7"/>
  <c r="AB1050" i="7" s="1"/>
  <c r="Q249" i="7"/>
  <c r="Q236" i="7"/>
  <c r="Q1131" i="7"/>
  <c r="BQ32" i="6"/>
  <c r="BM32" i="6" s="1"/>
  <c r="BR32" i="6" s="1"/>
  <c r="BR81" i="6" s="1"/>
  <c r="Q523" i="7"/>
  <c r="U877" i="7"/>
  <c r="U878" i="7" s="1"/>
  <c r="U488" i="7"/>
  <c r="AA118" i="8"/>
  <c r="Q248" i="23"/>
  <c r="Y724" i="7"/>
  <c r="Y713" i="7"/>
  <c r="AM30" i="6"/>
  <c r="AS79" i="6" s="1"/>
  <c r="L320" i="7"/>
  <c r="K206" i="7"/>
  <c r="K277" i="7"/>
  <c r="K646" i="7" s="1"/>
  <c r="P277" i="7"/>
  <c r="P289" i="7" s="1"/>
  <c r="P236" i="7"/>
  <c r="Y249" i="7"/>
  <c r="Y1103" i="7"/>
  <c r="Y1107" i="7" s="1"/>
  <c r="Y91" i="25" s="1"/>
  <c r="DL20" i="6"/>
  <c r="N748" i="7"/>
  <c r="L171" i="25"/>
  <c r="C194" i="2"/>
  <c r="AT194" i="2" s="1"/>
  <c r="DV35" i="6"/>
  <c r="DU35" i="6" s="1"/>
  <c r="H815" i="7"/>
  <c r="N43" i="6"/>
  <c r="N40" i="6" s="1"/>
  <c r="K965" i="7"/>
  <c r="K976" i="7" s="1"/>
  <c r="K480" i="7"/>
  <c r="T220" i="7"/>
  <c r="T211" i="7"/>
  <c r="T693" i="7"/>
  <c r="T721" i="7" s="1"/>
  <c r="BQ94" i="6"/>
  <c r="T57" i="7"/>
  <c r="T54" i="7"/>
  <c r="T55" i="7" s="1"/>
  <c r="G277" i="7"/>
  <c r="G178" i="7"/>
  <c r="Q815" i="7"/>
  <c r="R803" i="7"/>
  <c r="DS65" i="6"/>
  <c r="DM65" i="6"/>
  <c r="U583" i="7"/>
  <c r="U552" i="7"/>
  <c r="AT142" i="2"/>
  <c r="G179" i="20"/>
  <c r="X179" i="20" s="1"/>
  <c r="DJ18" i="6"/>
  <c r="Y61" i="25"/>
  <c r="Y275" i="7"/>
  <c r="Y644" i="7" s="1"/>
  <c r="Z244" i="7"/>
  <c r="AM244" i="7" s="1"/>
  <c r="Y252" i="7"/>
  <c r="I798" i="7"/>
  <c r="S40" i="6"/>
  <c r="S89" i="6" s="1"/>
  <c r="R858" i="7"/>
  <c r="BU47" i="6"/>
  <c r="BU96" i="6" s="1"/>
  <c r="EC94" i="6"/>
  <c r="EI94" i="6"/>
  <c r="CG77" i="6"/>
  <c r="CM77" i="6"/>
  <c r="K121" i="8"/>
  <c r="W73" i="25"/>
  <c r="W210" i="7"/>
  <c r="X678" i="7"/>
  <c r="X669" i="7"/>
  <c r="X675" i="7" s="1"/>
  <c r="DD35" i="6"/>
  <c r="DC35" i="6" s="1"/>
  <c r="Y672" i="7"/>
  <c r="K1074" i="7"/>
  <c r="K1076" i="7" s="1"/>
  <c r="K68" i="25" s="1"/>
  <c r="K798" i="7"/>
  <c r="K820" i="7"/>
  <c r="K808" i="7"/>
  <c r="P820" i="7"/>
  <c r="P1074" i="7"/>
  <c r="P1076" i="7" s="1"/>
  <c r="P68" i="25" s="1"/>
  <c r="P808" i="7"/>
  <c r="DD58" i="6"/>
  <c r="BV105" i="17"/>
  <c r="BV116" i="17"/>
  <c r="CS18" i="6"/>
  <c r="V74" i="25"/>
  <c r="Y82" i="6"/>
  <c r="W33" i="6"/>
  <c r="DE77" i="6"/>
  <c r="DK77" i="6"/>
  <c r="AW82" i="6"/>
  <c r="BC82" i="6"/>
  <c r="W158" i="8"/>
  <c r="X151" i="8"/>
  <c r="X148" i="8" s="1"/>
  <c r="L552" i="7"/>
  <c r="L583" i="7"/>
  <c r="DI17" i="6"/>
  <c r="DI66" i="6" s="1"/>
  <c r="DL66" i="6"/>
  <c r="Z65" i="25"/>
  <c r="AM666" i="7"/>
  <c r="Z678" i="7"/>
  <c r="AM678" i="7" s="1"/>
  <c r="X73" i="25"/>
  <c r="X206" i="7"/>
  <c r="X210" i="7"/>
  <c r="X312" i="7"/>
  <c r="Z313" i="7" s="1"/>
  <c r="Y210" i="7"/>
  <c r="BD118" i="11"/>
  <c r="BF118" i="11"/>
  <c r="Q186" i="23" s="1"/>
  <c r="Q44" i="25" s="1"/>
  <c r="BZ47" i="6"/>
  <c r="S854" i="7"/>
  <c r="S1070" i="7"/>
  <c r="S1071" i="7" s="1"/>
  <c r="S67" i="25" s="1"/>
  <c r="H1048" i="7"/>
  <c r="H1050" i="7" s="1"/>
  <c r="S808" i="7"/>
  <c r="BT40" i="6"/>
  <c r="BZ89" i="6" s="1"/>
  <c r="H1091" i="7"/>
  <c r="H1093" i="7" s="1"/>
  <c r="H79" i="25" s="1"/>
  <c r="H821" i="7"/>
  <c r="AA179" i="23"/>
  <c r="DD87" i="11"/>
  <c r="DE87" i="11" s="1"/>
  <c r="DE88" i="11" s="1"/>
  <c r="AM25" i="7"/>
  <c r="AA26" i="7"/>
  <c r="AA27" i="7" s="1"/>
  <c r="AA29" i="7" s="1"/>
  <c r="CO142" i="17"/>
  <c r="CS116" i="17"/>
  <c r="CO116" i="17"/>
  <c r="CQ33" i="6"/>
  <c r="CW82" i="6" s="1"/>
  <c r="CS82" i="6"/>
  <c r="X114" i="7"/>
  <c r="Y123" i="7" s="1"/>
  <c r="Y127" i="7"/>
  <c r="AC195" i="7"/>
  <c r="AC211" i="7"/>
  <c r="AC178" i="7"/>
  <c r="AV73" i="6"/>
  <c r="P798" i="7"/>
  <c r="X501" i="7"/>
  <c r="Y485" i="7"/>
  <c r="Y509" i="7" s="1"/>
  <c r="X965" i="7"/>
  <c r="X976" i="7" s="1"/>
  <c r="X511" i="7"/>
  <c r="AD111" i="25"/>
  <c r="AD995" i="7"/>
  <c r="V173" i="7"/>
  <c r="V210" i="7"/>
  <c r="V73" i="25"/>
  <c r="M209" i="7"/>
  <c r="L501" i="7"/>
  <c r="Q209" i="7"/>
  <c r="AB220" i="7"/>
  <c r="AD731" i="7"/>
  <c r="AD743" i="7" s="1"/>
  <c r="U210" i="7"/>
  <c r="I485" i="20"/>
  <c r="Z485" i="20" s="1"/>
  <c r="H485" i="20"/>
  <c r="Y485" i="20" s="1"/>
  <c r="T312" i="7"/>
  <c r="V313" i="7" s="1"/>
  <c r="V314" i="7" s="1"/>
  <c r="V316" i="7" s="1"/>
  <c r="V219" i="7"/>
  <c r="X479" i="7"/>
  <c r="Y491" i="7" s="1"/>
  <c r="Y490" i="7"/>
  <c r="U485" i="7"/>
  <c r="U509" i="7" s="1"/>
  <c r="Y241" i="7"/>
  <c r="DF20" i="6"/>
  <c r="DF69" i="6" s="1"/>
  <c r="V597" i="7"/>
  <c r="V617" i="7"/>
  <c r="AA617" i="7"/>
  <c r="AA597" i="7"/>
  <c r="CU30" i="6"/>
  <c r="V326" i="7"/>
  <c r="AE692" i="7"/>
  <c r="AE203" i="7" s="1"/>
  <c r="AD203" i="7"/>
  <c r="AD213" i="7" s="1"/>
  <c r="AC1035" i="7"/>
  <c r="AC1036" i="7" s="1"/>
  <c r="P504" i="7"/>
  <c r="BK24" i="6"/>
  <c r="Z242" i="23"/>
  <c r="Z258" i="23"/>
  <c r="Z250" i="23"/>
  <c r="L209" i="7"/>
  <c r="H408" i="20"/>
  <c r="Y408" i="20" s="1"/>
  <c r="AV214" i="2"/>
  <c r="K361" i="7"/>
  <c r="K123" i="25" s="1"/>
  <c r="L361" i="7"/>
  <c r="L123" i="25" s="1"/>
  <c r="DY67" i="6"/>
  <c r="EE67" i="6"/>
  <c r="BM116" i="17"/>
  <c r="BM142" i="17"/>
  <c r="BM111" i="17"/>
  <c r="BM105" i="17"/>
  <c r="DR20" i="11"/>
  <c r="AD139" i="23"/>
  <c r="J182" i="23"/>
  <c r="J22" i="25" s="1"/>
  <c r="X100" i="11"/>
  <c r="EC84" i="6"/>
  <c r="DE94" i="6"/>
  <c r="DC45" i="6"/>
  <c r="AW18" i="6"/>
  <c r="N74" i="25"/>
  <c r="N239" i="7"/>
  <c r="N247" i="7"/>
  <c r="O821" i="7"/>
  <c r="O809" i="7"/>
  <c r="O1091" i="7"/>
  <c r="O1093" i="7" s="1"/>
  <c r="O79" i="25" s="1"/>
  <c r="BB76" i="6"/>
  <c r="AU27" i="6"/>
  <c r="BA76" i="6" s="1"/>
  <c r="J244" i="7"/>
  <c r="J432" i="7" s="1"/>
  <c r="J434" i="7" s="1"/>
  <c r="R18" i="6"/>
  <c r="I299" i="7"/>
  <c r="K300" i="7" s="1"/>
  <c r="K301" i="7" s="1"/>
  <c r="Q178" i="7"/>
  <c r="Q220" i="7"/>
  <c r="Q857" i="7"/>
  <c r="BH47" i="6"/>
  <c r="BH96" i="6" s="1"/>
  <c r="P863" i="7"/>
  <c r="BV21" i="17"/>
  <c r="H965" i="7"/>
  <c r="H976" i="7" s="1"/>
  <c r="H82" i="25"/>
  <c r="X821" i="7"/>
  <c r="X1091" i="7"/>
  <c r="X1093" i="7" s="1"/>
  <c r="X79" i="25" s="1"/>
  <c r="X798" i="7"/>
  <c r="U858" i="7"/>
  <c r="CG47" i="6"/>
  <c r="CM96" i="6" s="1"/>
  <c r="T858" i="7"/>
  <c r="T1087" i="7"/>
  <c r="T1088" i="7" s="1"/>
  <c r="T78" i="25" s="1"/>
  <c r="N252" i="7"/>
  <c r="N299" i="7"/>
  <c r="P300" i="7" s="1"/>
  <c r="AV18" i="6"/>
  <c r="Q312" i="7"/>
  <c r="S313" i="7" s="1"/>
  <c r="Q73" i="25"/>
  <c r="Q206" i="7"/>
  <c r="J1083" i="7"/>
  <c r="J75" i="25" s="1"/>
  <c r="AC280" i="23"/>
  <c r="AC265" i="23"/>
  <c r="W501" i="7"/>
  <c r="W511" i="7"/>
  <c r="AM963" i="7"/>
  <c r="Z974" i="7"/>
  <c r="AM974" i="7" s="1"/>
  <c r="R758" i="7"/>
  <c r="R737" i="7"/>
  <c r="P74" i="25"/>
  <c r="P239" i="7"/>
  <c r="Q239" i="7"/>
  <c r="DP12" i="6"/>
  <c r="DV57" i="6"/>
  <c r="G410" i="20"/>
  <c r="X410" i="20" s="1"/>
  <c r="AT207" i="2"/>
  <c r="E23" i="6"/>
  <c r="K72" i="6" s="1"/>
  <c r="N72" i="6"/>
  <c r="EJ58" i="6"/>
  <c r="EA9" i="6"/>
  <c r="CI65" i="6"/>
  <c r="M447" i="23"/>
  <c r="N447" i="23"/>
  <c r="I219" i="7"/>
  <c r="I312" i="7"/>
  <c r="K313" i="7" s="1"/>
  <c r="K314" i="7" s="1"/>
  <c r="I73" i="25"/>
  <c r="I210" i="7"/>
  <c r="O675" i="7"/>
  <c r="J121" i="8"/>
  <c r="X115" i="8"/>
  <c r="M573" i="7"/>
  <c r="AG975" i="7"/>
  <c r="AS65" i="6"/>
  <c r="J1113" i="7"/>
  <c r="J1115" i="7" s="1"/>
  <c r="J1116" i="7" s="1"/>
  <c r="CT57" i="6"/>
  <c r="AF93" i="6"/>
  <c r="I803" i="7"/>
  <c r="AF81" i="6"/>
  <c r="U1048" i="7"/>
  <c r="U1050" i="7" s="1"/>
  <c r="AC807" i="7"/>
  <c r="W1099" i="7"/>
  <c r="W967" i="7" s="1"/>
  <c r="W978" i="7" s="1"/>
  <c r="Z1123" i="7"/>
  <c r="Z1125" i="7" s="1"/>
  <c r="Q1048" i="7"/>
  <c r="Q1050" i="7" s="1"/>
  <c r="Y1099" i="7"/>
  <c r="Y84" i="25" s="1"/>
  <c r="AA807" i="7"/>
  <c r="CN70" i="6"/>
  <c r="BZ87" i="11"/>
  <c r="U91" i="23" s="1"/>
  <c r="CG12" i="11"/>
  <c r="CG14" i="11" s="1"/>
  <c r="CN65" i="6"/>
  <c r="N84" i="6"/>
  <c r="AR81" i="6"/>
  <c r="BB73" i="6"/>
  <c r="Z1066" i="7"/>
  <c r="Z64" i="25" s="1"/>
  <c r="BI77" i="6"/>
  <c r="I276" i="7"/>
  <c r="AA1060" i="7"/>
  <c r="C191" i="2" s="1"/>
  <c r="AT191" i="2" s="1"/>
  <c r="BS33" i="6"/>
  <c r="DO8" i="6"/>
  <c r="DT8" i="6" s="1"/>
  <c r="DT57" i="6" s="1"/>
  <c r="BV32" i="17"/>
  <c r="DO56" i="6"/>
  <c r="P743" i="7"/>
  <c r="P819" i="7"/>
  <c r="AZ32" i="17"/>
  <c r="M202" i="8"/>
  <c r="AB174" i="8"/>
  <c r="N1132" i="7"/>
  <c r="BT32" i="17"/>
  <c r="U127" i="8"/>
  <c r="AM420" i="7"/>
  <c r="P171" i="8"/>
  <c r="AJ32" i="17"/>
  <c r="O456" i="7"/>
  <c r="O459" i="7" s="1"/>
  <c r="CT10" i="11"/>
  <c r="CS10" i="11" s="1"/>
  <c r="CD113" i="17" s="1"/>
  <c r="S748" i="7"/>
  <c r="V121" i="8"/>
  <c r="DO24" i="6"/>
  <c r="BB118" i="11"/>
  <c r="O32" i="6"/>
  <c r="K32" i="6" s="1"/>
  <c r="AB1123" i="7"/>
  <c r="D240" i="2" s="1"/>
  <c r="F192" i="20" s="1"/>
  <c r="W192" i="20" s="1"/>
  <c r="CH116" i="17"/>
  <c r="Y1129" i="7"/>
  <c r="AB118" i="8"/>
  <c r="AA338" i="7"/>
  <c r="L121" i="8"/>
  <c r="CU32" i="6"/>
  <c r="CQ32" i="6" s="1"/>
  <c r="Y597" i="7"/>
  <c r="V1131" i="7"/>
  <c r="O713" i="7"/>
  <c r="H700" i="7"/>
  <c r="V127" i="8"/>
  <c r="L151" i="8"/>
  <c r="AA899" i="7"/>
  <c r="CY48" i="11"/>
  <c r="CZ48" i="11" s="1"/>
  <c r="AB1113" i="7"/>
  <c r="AB1115" i="7" s="1"/>
  <c r="AB1116" i="7" s="1"/>
  <c r="Q1123" i="7"/>
  <c r="Q105" i="25" s="1"/>
  <c r="T798" i="7"/>
  <c r="T1099" i="7"/>
  <c r="T967" i="7" s="1"/>
  <c r="T978" i="7" s="1"/>
  <c r="G1048" i="7"/>
  <c r="AF68" i="6"/>
  <c r="P1099" i="7"/>
  <c r="P84" i="25" s="1"/>
  <c r="Q798" i="7"/>
  <c r="R1048" i="7"/>
  <c r="R1050" i="7" s="1"/>
  <c r="M1123" i="7"/>
  <c r="M1125" i="7" s="1"/>
  <c r="DR96" i="6"/>
  <c r="AB1099" i="7"/>
  <c r="AB967" i="7" s="1"/>
  <c r="AB978" i="7" s="1"/>
  <c r="W71" i="8"/>
  <c r="N96" i="6"/>
  <c r="M1113" i="7"/>
  <c r="M1115" i="7" s="1"/>
  <c r="M1116" i="7" s="1"/>
  <c r="X1113" i="7"/>
  <c r="X1115" i="7" s="1"/>
  <c r="X1116" i="7" s="1"/>
  <c r="CW72" i="6"/>
  <c r="AG89" i="6"/>
  <c r="CH57" i="6"/>
  <c r="K1048" i="7"/>
  <c r="K1050" i="7" s="1"/>
  <c r="CO21" i="17"/>
  <c r="CO65" i="6"/>
  <c r="V1048" i="7"/>
  <c r="V1050" i="7" s="1"/>
  <c r="CE65" i="6"/>
  <c r="AA1048" i="7"/>
  <c r="AA1050" i="7" s="1"/>
  <c r="V1123" i="7"/>
  <c r="V105" i="25" s="1"/>
  <c r="J1048" i="7"/>
  <c r="J1050" i="7" s="1"/>
  <c r="W1123" i="7"/>
  <c r="W105" i="25" s="1"/>
  <c r="CW28" i="6"/>
  <c r="Q461" i="7"/>
  <c r="AB355" i="7"/>
  <c r="AY11" i="11"/>
  <c r="DE79" i="6"/>
  <c r="CG79" i="6"/>
  <c r="X81" i="6"/>
  <c r="N1083" i="7"/>
  <c r="N75" i="25" s="1"/>
  <c r="ED58" i="6"/>
  <c r="J210" i="7"/>
  <c r="N359" i="7"/>
  <c r="AA1083" i="7"/>
  <c r="C206" i="2" s="1"/>
  <c r="N465" i="7"/>
  <c r="L342" i="7"/>
  <c r="AT11" i="11"/>
  <c r="BU84" i="6"/>
  <c r="K35" i="6"/>
  <c r="Z275" i="7"/>
  <c r="AM275" i="7" s="1"/>
  <c r="DJ80" i="6"/>
  <c r="EC59" i="6"/>
  <c r="H200" i="20"/>
  <c r="Y200" i="20" s="1"/>
  <c r="DW12" i="6"/>
  <c r="DW22" i="6" s="1"/>
  <c r="AI72" i="6"/>
  <c r="I200" i="20"/>
  <c r="Z200" i="20" s="1"/>
  <c r="BY56" i="6"/>
  <c r="BE82" i="17"/>
  <c r="G461" i="20"/>
  <c r="X461" i="20" s="1"/>
  <c r="CI66" i="6"/>
  <c r="BZ76" i="6"/>
  <c r="DU56" i="6"/>
  <c r="S174" i="23"/>
  <c r="S14" i="25" s="1"/>
  <c r="AB177" i="23"/>
  <c r="AB17" i="25" s="1"/>
  <c r="S58" i="6"/>
  <c r="BI12" i="6"/>
  <c r="CT66" i="6"/>
  <c r="CA79" i="6"/>
  <c r="I408" i="20"/>
  <c r="Z408" i="20" s="1"/>
  <c r="AD79" i="6"/>
  <c r="ED94" i="6"/>
  <c r="CN93" i="6"/>
  <c r="X94" i="6"/>
  <c r="BS76" i="6"/>
  <c r="AC118" i="11"/>
  <c r="CX57" i="6"/>
  <c r="CW30" i="6"/>
  <c r="AL72" i="6"/>
  <c r="BV90" i="6"/>
  <c r="AK12" i="6"/>
  <c r="AQ61" i="6" s="1"/>
  <c r="AV151" i="2"/>
  <c r="BT57" i="6"/>
  <c r="H198" i="20"/>
  <c r="Y198" i="20" s="1"/>
  <c r="P70" i="11"/>
  <c r="AL77" i="6"/>
  <c r="R94" i="6"/>
  <c r="AU96" i="6"/>
  <c r="BN12" i="6"/>
  <c r="DL79" i="6"/>
  <c r="EA66" i="6"/>
  <c r="DI9" i="6"/>
  <c r="DN16" i="6" s="1"/>
  <c r="DN65" i="6" s="1"/>
  <c r="N93" i="6"/>
  <c r="BY76" i="6"/>
  <c r="CT84" i="6"/>
  <c r="H12" i="6"/>
  <c r="CZ68" i="6"/>
  <c r="CK30" i="6"/>
  <c r="BG8" i="6"/>
  <c r="BL8" i="6" s="1"/>
  <c r="BL57" i="6" s="1"/>
  <c r="U174" i="23"/>
  <c r="U14" i="25" s="1"/>
  <c r="S58" i="11"/>
  <c r="O142" i="23"/>
  <c r="AU21" i="11" s="1"/>
  <c r="BZ10" i="11"/>
  <c r="U62" i="23" s="1"/>
  <c r="G183" i="20"/>
  <c r="X183" i="20" s="1"/>
  <c r="DC56" i="6"/>
  <c r="BC77" i="6"/>
  <c r="EA16" i="6"/>
  <c r="EA65" i="6" s="1"/>
  <c r="I198" i="20"/>
  <c r="Z198" i="20" s="1"/>
  <c r="CR57" i="6"/>
  <c r="DA67" i="6"/>
  <c r="BU94" i="6"/>
  <c r="BT76" i="6"/>
  <c r="W8" i="6"/>
  <c r="W57" i="6" s="1"/>
  <c r="DU33" i="6"/>
  <c r="AR93" i="6"/>
  <c r="BK94" i="6"/>
  <c r="BJ96" i="6"/>
  <c r="CA86" i="11"/>
  <c r="CA82" i="11" s="1"/>
  <c r="U143" i="23"/>
  <c r="BY22" i="11" s="1"/>
  <c r="BQ9" i="11"/>
  <c r="O173" i="23"/>
  <c r="O13" i="25" s="1"/>
  <c r="I414" i="20"/>
  <c r="Z414" i="20" s="1"/>
  <c r="BO59" i="6"/>
  <c r="CF94" i="6"/>
  <c r="X57" i="6"/>
  <c r="DQ79" i="6"/>
  <c r="DO55" i="6"/>
  <c r="CH70" i="6"/>
  <c r="AP12" i="6"/>
  <c r="Z95" i="6"/>
  <c r="DW82" i="6"/>
  <c r="DD12" i="6"/>
  <c r="DU55" i="6"/>
  <c r="Z79" i="6"/>
  <c r="CM73" i="6"/>
  <c r="G342" i="20"/>
  <c r="X342" i="20" s="1"/>
  <c r="R80" i="6"/>
  <c r="DB116" i="11"/>
  <c r="CX76" i="6"/>
  <c r="CK35" i="6"/>
  <c r="DF73" i="11"/>
  <c r="DG73" i="11" s="1"/>
  <c r="BG30" i="6"/>
  <c r="DL70" i="11"/>
  <c r="CX80" i="6"/>
  <c r="AU192" i="2"/>
  <c r="BV85" i="6"/>
  <c r="DB117" i="11"/>
  <c r="EJ24" i="6"/>
  <c r="EG24" i="6" s="1"/>
  <c r="T68" i="6"/>
  <c r="BA30" i="6"/>
  <c r="BM35" i="6"/>
  <c r="CZ118" i="11"/>
  <c r="DY66" i="6"/>
  <c r="CB85" i="6"/>
  <c r="EI73" i="6"/>
  <c r="DI70" i="11"/>
  <c r="DJ70" i="11" s="1"/>
  <c r="DU10" i="6"/>
  <c r="DZ17" i="6" s="1"/>
  <c r="DZ66" i="6" s="1"/>
  <c r="BM30" i="6"/>
  <c r="AL85" i="6"/>
  <c r="CB77" i="6"/>
  <c r="AK59" i="6"/>
  <c r="BO79" i="6"/>
  <c r="DD76" i="6"/>
  <c r="DL48" i="11"/>
  <c r="BP81" i="6"/>
  <c r="BZ82" i="6"/>
  <c r="AC85" i="6"/>
  <c r="DX84" i="6"/>
  <c r="BS28" i="6"/>
  <c r="DX59" i="6"/>
  <c r="EJ68" i="6"/>
  <c r="BE66" i="6"/>
  <c r="EE66" i="6"/>
  <c r="N90" i="6"/>
  <c r="BT73" i="6"/>
  <c r="BY96" i="6"/>
  <c r="BN76" i="6"/>
  <c r="G198" i="20"/>
  <c r="X198" i="20" s="1"/>
  <c r="DL11" i="11"/>
  <c r="AM89" i="6"/>
  <c r="BV40" i="6"/>
  <c r="CL58" i="6"/>
  <c r="AE82" i="6"/>
  <c r="EG8" i="6"/>
  <c r="DJ77" i="6"/>
  <c r="BU79" i="6"/>
  <c r="BX80" i="11"/>
  <c r="DL80" i="11"/>
  <c r="DP94" i="6"/>
  <c r="BG9" i="6"/>
  <c r="CQ28" i="6"/>
  <c r="CB12" i="6"/>
  <c r="CY81" i="6"/>
  <c r="K8" i="6"/>
  <c r="P8" i="6" s="1"/>
  <c r="P57" i="6" s="1"/>
  <c r="BX11" i="11"/>
  <c r="DW57" i="6"/>
  <c r="BA28" i="6"/>
  <c r="AJ81" i="6"/>
  <c r="AT80" i="11"/>
  <c r="EG56" i="6"/>
  <c r="DP57" i="6"/>
  <c r="CC11" i="11"/>
  <c r="DC9" i="6"/>
  <c r="T379" i="7"/>
  <c r="EB82" i="6"/>
  <c r="EA33" i="6"/>
  <c r="AO17" i="6"/>
  <c r="AO66" i="6" s="1"/>
  <c r="AR66" i="6"/>
  <c r="AX66" i="6"/>
  <c r="CL73" i="6"/>
  <c r="CF73" i="6"/>
  <c r="J174" i="8"/>
  <c r="J146" i="8"/>
  <c r="AX12" i="11"/>
  <c r="AX14" i="11" s="1"/>
  <c r="AY10" i="11"/>
  <c r="V1113" i="7"/>
  <c r="V1002" i="7" s="1"/>
  <c r="V1016" i="7" s="1"/>
  <c r="CV68" i="17"/>
  <c r="CV103" i="17"/>
  <c r="CW57" i="17"/>
  <c r="CX57" i="17" s="1"/>
  <c r="N211" i="7"/>
  <c r="N178" i="7"/>
  <c r="N206" i="7"/>
  <c r="N220" i="7"/>
  <c r="N693" i="7"/>
  <c r="N721" i="7" s="1"/>
  <c r="BE32" i="6"/>
  <c r="BA32" i="6" s="1"/>
  <c r="BF32" i="6" s="1"/>
  <c r="BF81" i="6" s="1"/>
  <c r="O1131" i="7"/>
  <c r="J270" i="7"/>
  <c r="K270" i="7"/>
  <c r="L1131" i="7"/>
  <c r="AM32" i="6"/>
  <c r="AI32" i="6" s="1"/>
  <c r="AN32" i="6" s="1"/>
  <c r="AN81" i="6" s="1"/>
  <c r="L529" i="7"/>
  <c r="L523" i="7"/>
  <c r="L536" i="7"/>
  <c r="X57" i="7"/>
  <c r="AA58" i="7" s="1"/>
  <c r="AA122" i="25" s="1"/>
  <c r="X54" i="7"/>
  <c r="X55" i="7" s="1"/>
  <c r="Y815" i="7"/>
  <c r="Y803" i="7"/>
  <c r="DL43" i="6"/>
  <c r="R185" i="23"/>
  <c r="R25" i="25" s="1"/>
  <c r="BL58" i="11"/>
  <c r="AA151" i="8"/>
  <c r="AA158" i="8"/>
  <c r="CH43" i="6"/>
  <c r="CH40" i="6" s="1"/>
  <c r="T815" i="7"/>
  <c r="Y213" i="7"/>
  <c r="Z213" i="7"/>
  <c r="AM213" i="7" s="1"/>
  <c r="X1035" i="7"/>
  <c r="X1036" i="7" s="1"/>
  <c r="Y1035" i="7"/>
  <c r="Y1036" i="7" s="1"/>
  <c r="K379" i="7"/>
  <c r="K195" i="8"/>
  <c r="K202" i="8" s="1"/>
  <c r="L195" i="8"/>
  <c r="L202" i="8" s="1"/>
  <c r="N204" i="7"/>
  <c r="CS111" i="17"/>
  <c r="CR105" i="17"/>
  <c r="Y211" i="7"/>
  <c r="Y277" i="7"/>
  <c r="Y220" i="7"/>
  <c r="Y204" i="7"/>
  <c r="Y693" i="7"/>
  <c r="Y700" i="7" s="1"/>
  <c r="Y178" i="7"/>
  <c r="M1131" i="7"/>
  <c r="AS32" i="6"/>
  <c r="AO32" i="6" s="1"/>
  <c r="I241" i="7"/>
  <c r="I1103" i="7"/>
  <c r="I1107" i="7" s="1"/>
  <c r="I91" i="25" s="1"/>
  <c r="T20" i="6"/>
  <c r="I236" i="7"/>
  <c r="AA523" i="7"/>
  <c r="AA1131" i="7"/>
  <c r="DY32" i="6"/>
  <c r="DU32" i="6" s="1"/>
  <c r="DZ32" i="6" s="1"/>
  <c r="DZ81" i="6" s="1"/>
  <c r="AA536" i="7"/>
  <c r="AC990" i="7"/>
  <c r="L270" i="7"/>
  <c r="M270" i="7"/>
  <c r="DJ100" i="11"/>
  <c r="AB182" i="23"/>
  <c r="AB22" i="25" s="1"/>
  <c r="DO101" i="11"/>
  <c r="AC181" i="23"/>
  <c r="E110" i="2" s="1"/>
  <c r="I84" i="25"/>
  <c r="I967" i="7"/>
  <c r="I978" i="7" s="1"/>
  <c r="I13" i="7"/>
  <c r="J14" i="7" s="1"/>
  <c r="DO23" i="6"/>
  <c r="DO72" i="6" s="1"/>
  <c r="DR72" i="6"/>
  <c r="AA65" i="7"/>
  <c r="AA66" i="7" s="1"/>
  <c r="AA67" i="7" s="1"/>
  <c r="Z803" i="7"/>
  <c r="AM803" i="7" s="1"/>
  <c r="T99" i="7"/>
  <c r="T96" i="7"/>
  <c r="BQ142" i="17"/>
  <c r="BQ105" i="17"/>
  <c r="N1087" i="7"/>
  <c r="N1088" i="7" s="1"/>
  <c r="N78" i="25" s="1"/>
  <c r="N854" i="7"/>
  <c r="O858" i="7"/>
  <c r="N858" i="7"/>
  <c r="R1087" i="7"/>
  <c r="R1088" i="7" s="1"/>
  <c r="R78" i="25" s="1"/>
  <c r="R864" i="7"/>
  <c r="AA1070" i="7"/>
  <c r="AA1071" i="7" s="1"/>
  <c r="C196" i="2" s="1"/>
  <c r="AT196" i="2" s="1"/>
  <c r="AA863" i="7"/>
  <c r="AA851" i="7"/>
  <c r="DW47" i="6" s="1"/>
  <c r="DV47" i="6"/>
  <c r="AA857" i="7"/>
  <c r="R821" i="7"/>
  <c r="BU40" i="6"/>
  <c r="BU89" i="6" s="1"/>
  <c r="U118" i="11"/>
  <c r="R118" i="11"/>
  <c r="S118" i="11" s="1"/>
  <c r="AU115" i="11"/>
  <c r="AV115" i="11" s="1"/>
  <c r="AW115" i="11" s="1"/>
  <c r="AV16" i="11"/>
  <c r="AW16" i="11" s="1"/>
  <c r="AC305" i="7"/>
  <c r="J249" i="7"/>
  <c r="J241" i="7"/>
  <c r="Z20" i="6"/>
  <c r="Z18" i="6" s="1"/>
  <c r="J1103" i="7"/>
  <c r="J1107" i="7" s="1"/>
  <c r="J91" i="25" s="1"/>
  <c r="K241" i="7"/>
  <c r="W743" i="7"/>
  <c r="V743" i="7"/>
  <c r="Z361" i="7"/>
  <c r="Z123" i="25" s="1"/>
  <c r="AA361" i="7"/>
  <c r="AA123" i="25" s="1"/>
  <c r="AA965" i="7"/>
  <c r="AA976" i="7" s="1"/>
  <c r="AA511" i="7"/>
  <c r="BM55" i="6"/>
  <c r="BS55" i="6"/>
  <c r="BM8" i="6"/>
  <c r="BR8" i="6" s="1"/>
  <c r="BR57" i="6" s="1"/>
  <c r="BY115" i="11"/>
  <c r="BZ115" i="11" s="1"/>
  <c r="CA115" i="11" s="1"/>
  <c r="BZ16" i="11"/>
  <c r="CA16" i="11" s="1"/>
  <c r="T60" i="25"/>
  <c r="T171" i="25"/>
  <c r="T275" i="7"/>
  <c r="T644" i="7" s="1"/>
  <c r="T168" i="7"/>
  <c r="U209" i="7"/>
  <c r="T206" i="7"/>
  <c r="X216" i="7"/>
  <c r="I617" i="7"/>
  <c r="I1129" i="7"/>
  <c r="I1131" i="7"/>
  <c r="I536" i="7"/>
  <c r="I523" i="7"/>
  <c r="I529" i="7"/>
  <c r="U32" i="6"/>
  <c r="W966" i="7"/>
  <c r="W977" i="7" s="1"/>
  <c r="W713" i="7"/>
  <c r="X713" i="7"/>
  <c r="W724" i="7"/>
  <c r="X701" i="7"/>
  <c r="Z65" i="7"/>
  <c r="Z66" i="7" s="1"/>
  <c r="Z67" i="7" s="1"/>
  <c r="Y441" i="23"/>
  <c r="Z441" i="23"/>
  <c r="T256" i="7"/>
  <c r="T897" i="7" s="1"/>
  <c r="T260" i="7"/>
  <c r="CU85" i="11"/>
  <c r="Y180" i="23"/>
  <c r="Y20" i="25" s="1"/>
  <c r="W248" i="23"/>
  <c r="X248" i="23"/>
  <c r="W65" i="7"/>
  <c r="W66" i="7" s="1"/>
  <c r="W67" i="7" s="1"/>
  <c r="AE520" i="7"/>
  <c r="G221" i="2" s="1"/>
  <c r="AX221" i="2" s="1"/>
  <c r="EP32" i="6"/>
  <c r="EP81" i="6" s="1"/>
  <c r="AD996" i="7"/>
  <c r="E320" i="2"/>
  <c r="I430" i="20"/>
  <c r="Z430" i="20" s="1"/>
  <c r="R242" i="23"/>
  <c r="R250" i="23"/>
  <c r="DU96" i="6"/>
  <c r="EA96" i="6"/>
  <c r="EB73" i="6"/>
  <c r="DV73" i="6"/>
  <c r="AT200" i="2"/>
  <c r="G379" i="20"/>
  <c r="X379" i="20" s="1"/>
  <c r="G375" i="20"/>
  <c r="X375" i="20" s="1"/>
  <c r="R258" i="23"/>
  <c r="W108" i="25"/>
  <c r="I338" i="7"/>
  <c r="O107" i="25"/>
  <c r="O1142" i="7"/>
  <c r="AB305" i="7"/>
  <c r="AC307" i="7"/>
  <c r="AD308" i="7" s="1"/>
  <c r="AD304" i="7" s="1"/>
  <c r="AD305" i="7" s="1"/>
  <c r="S479" i="7"/>
  <c r="S491" i="7" s="1"/>
  <c r="S490" i="7"/>
  <c r="R123" i="7"/>
  <c r="Q116" i="7"/>
  <c r="R118" i="7" s="1"/>
  <c r="R121" i="7" s="1"/>
  <c r="T218" i="7"/>
  <c r="W1048" i="7"/>
  <c r="W1050" i="7" s="1"/>
  <c r="S158" i="8"/>
  <c r="S151" i="8"/>
  <c r="I108" i="25"/>
  <c r="I713" i="7"/>
  <c r="I724" i="7"/>
  <c r="K320" i="7"/>
  <c r="K1128" i="7"/>
  <c r="AG30" i="6"/>
  <c r="M320" i="7"/>
  <c r="M338" i="7"/>
  <c r="M1128" i="7"/>
  <c r="T877" i="7"/>
  <c r="T878" i="7" s="1"/>
  <c r="T1130" i="7"/>
  <c r="T480" i="7"/>
  <c r="CI32" i="6"/>
  <c r="CE32" i="6" s="1"/>
  <c r="CJ32" i="6" s="1"/>
  <c r="CJ81" i="6" s="1"/>
  <c r="T536" i="7"/>
  <c r="T1131" i="7"/>
  <c r="H1128" i="7"/>
  <c r="H338" i="7"/>
  <c r="H326" i="7"/>
  <c r="L877" i="7"/>
  <c r="L878" i="7" s="1"/>
  <c r="J248" i="23"/>
  <c r="I118" i="8"/>
  <c r="J118" i="8"/>
  <c r="AB713" i="7"/>
  <c r="AB701" i="7"/>
  <c r="S241" i="7"/>
  <c r="BV20" i="6"/>
  <c r="CB69" i="6" s="1"/>
  <c r="R617" i="7"/>
  <c r="R1129" i="7"/>
  <c r="R597" i="7"/>
  <c r="N256" i="8"/>
  <c r="W10" i="6"/>
  <c r="Z59" i="6"/>
  <c r="S361" i="7"/>
  <c r="S123" i="25" s="1"/>
  <c r="U361" i="7"/>
  <c r="U123" i="25" s="1"/>
  <c r="V361" i="7"/>
  <c r="V123" i="25" s="1"/>
  <c r="AB832" i="7"/>
  <c r="AB1139" i="7"/>
  <c r="AB1140" i="7" s="1"/>
  <c r="D242" i="2" s="1"/>
  <c r="EE45" i="6"/>
  <c r="EE94" i="6" s="1"/>
  <c r="AB844" i="7"/>
  <c r="I422" i="20"/>
  <c r="Z422" i="20" s="1"/>
  <c r="G422" i="20"/>
  <c r="X422" i="20" s="1"/>
  <c r="CF8" i="11"/>
  <c r="V142" i="23"/>
  <c r="CD21" i="11" s="1"/>
  <c r="V173" i="23"/>
  <c r="V13" i="25" s="1"/>
  <c r="BU77" i="6"/>
  <c r="CA77" i="6"/>
  <c r="BU116" i="17"/>
  <c r="BV111" i="17"/>
  <c r="BV9" i="17" s="1"/>
  <c r="BU142" i="17"/>
  <c r="BU105" i="17"/>
  <c r="P724" i="7"/>
  <c r="P966" i="7"/>
  <c r="P977" i="7" s="1"/>
  <c r="Q713" i="7"/>
  <c r="S177" i="23"/>
  <c r="S17" i="25" s="1"/>
  <c r="BQ63" i="11"/>
  <c r="CL40" i="6"/>
  <c r="U808" i="7"/>
  <c r="U820" i="7"/>
  <c r="K461" i="7"/>
  <c r="K456" i="7"/>
  <c r="K459" i="7" s="1"/>
  <c r="J461" i="7"/>
  <c r="L275" i="7"/>
  <c r="L244" i="7"/>
  <c r="L432" i="7" s="1"/>
  <c r="L434" i="7" s="1"/>
  <c r="L440" i="7" s="1"/>
  <c r="L299" i="7"/>
  <c r="N300" i="7" s="1"/>
  <c r="L252" i="7"/>
  <c r="EC40" i="6"/>
  <c r="AC796" i="7"/>
  <c r="AD796" i="7" s="1"/>
  <c r="AB1091" i="7"/>
  <c r="AB1093" i="7" s="1"/>
  <c r="D210" i="2" s="1"/>
  <c r="AB798" i="7"/>
  <c r="E323" i="2"/>
  <c r="AV157" i="2"/>
  <c r="V1142" i="7"/>
  <c r="V107" i="25"/>
  <c r="V108" i="25"/>
  <c r="V724" i="7"/>
  <c r="V966" i="7"/>
  <c r="V977" i="7" s="1"/>
  <c r="D189" i="2"/>
  <c r="AU189" i="2" s="1"/>
  <c r="AC198" i="7"/>
  <c r="AB60" i="25"/>
  <c r="AB218" i="7"/>
  <c r="AB168" i="7"/>
  <c r="AB171" i="25"/>
  <c r="CC80" i="11"/>
  <c r="R256" i="23"/>
  <c r="Q258" i="23"/>
  <c r="Q242" i="23"/>
  <c r="K174" i="8"/>
  <c r="T854" i="7"/>
  <c r="T1070" i="7"/>
  <c r="T1071" i="7" s="1"/>
  <c r="T67" i="25" s="1"/>
  <c r="L459" i="7"/>
  <c r="DD47" i="6"/>
  <c r="DH47" i="6" s="1"/>
  <c r="DH96" i="6" s="1"/>
  <c r="Z857" i="7"/>
  <c r="AM857" i="7" s="1"/>
  <c r="O355" i="7"/>
  <c r="O244" i="7"/>
  <c r="O432" i="7" s="1"/>
  <c r="O434" i="7" s="1"/>
  <c r="O440" i="7" s="1"/>
  <c r="BW21" i="17"/>
  <c r="L573" i="7"/>
  <c r="AP79" i="6"/>
  <c r="AX59" i="6"/>
  <c r="AF84" i="6"/>
  <c r="CA40" i="6"/>
  <c r="H854" i="7"/>
  <c r="AB275" i="7"/>
  <c r="AB287" i="7" s="1"/>
  <c r="I858" i="7"/>
  <c r="DV40" i="6"/>
  <c r="AM53" i="7"/>
  <c r="J219" i="7"/>
  <c r="CA84" i="6"/>
  <c r="W359" i="7"/>
  <c r="BH77" i="6"/>
  <c r="CX77" i="6"/>
  <c r="BJ94" i="6"/>
  <c r="Q65" i="7"/>
  <c r="Q66" i="7" s="1"/>
  <c r="Q67" i="7" s="1"/>
  <c r="V701" i="7"/>
  <c r="J864" i="7"/>
  <c r="M299" i="7"/>
  <c r="O300" i="7" s="1"/>
  <c r="AB26" i="7"/>
  <c r="AB27" i="7" s="1"/>
  <c r="AB29" i="7" s="1"/>
  <c r="BU57" i="6"/>
  <c r="CR81" i="6"/>
  <c r="CM10" i="11"/>
  <c r="I185" i="23"/>
  <c r="I25" i="25" s="1"/>
  <c r="N511" i="7"/>
  <c r="N287" i="23"/>
  <c r="M807" i="7"/>
  <c r="AB206" i="7"/>
  <c r="M456" i="7"/>
  <c r="M459" i="7" s="1"/>
  <c r="P461" i="7"/>
  <c r="G693" i="7"/>
  <c r="H710" i="7" s="1"/>
  <c r="X66" i="7"/>
  <c r="X67" i="7" s="1"/>
  <c r="W206" i="7"/>
  <c r="BP43" i="6"/>
  <c r="BV92" i="6" s="1"/>
  <c r="O857" i="7"/>
  <c r="N863" i="7"/>
  <c r="BT47" i="6"/>
  <c r="BT96" i="6" s="1"/>
  <c r="R854" i="7"/>
  <c r="T857" i="7"/>
  <c r="K127" i="8"/>
  <c r="CU28" i="6"/>
  <c r="CY16" i="11"/>
  <c r="CZ16" i="11" s="1"/>
  <c r="CA58" i="6"/>
  <c r="AA355" i="7"/>
  <c r="AC297" i="7"/>
  <c r="DR43" i="6"/>
  <c r="DR40" i="6" s="1"/>
  <c r="P355" i="7"/>
  <c r="I490" i="7"/>
  <c r="H260" i="7"/>
  <c r="M275" i="7"/>
  <c r="M644" i="7" s="1"/>
  <c r="O347" i="7"/>
  <c r="AA803" i="7"/>
  <c r="E215" i="2"/>
  <c r="AV215" i="2" s="1"/>
  <c r="AC82" i="25"/>
  <c r="M244" i="7"/>
  <c r="M432" i="7" s="1"/>
  <c r="M434" i="7" s="1"/>
  <c r="M437" i="7" s="1"/>
  <c r="X857" i="7"/>
  <c r="X863" i="7"/>
  <c r="M239" i="7"/>
  <c r="X249" i="7"/>
  <c r="Z863" i="7"/>
  <c r="AM863" i="7" s="1"/>
  <c r="I809" i="7"/>
  <c r="L435" i="23"/>
  <c r="Z672" i="7"/>
  <c r="AM672" i="7" s="1"/>
  <c r="DP35" i="6"/>
  <c r="W209" i="7"/>
  <c r="AU115" i="2"/>
  <c r="L461" i="7"/>
  <c r="W693" i="7"/>
  <c r="W721" i="7" s="1"/>
  <c r="N61" i="25"/>
  <c r="N250" i="23"/>
  <c r="X299" i="7"/>
  <c r="Z300" i="7" s="1"/>
  <c r="X252" i="7"/>
  <c r="K74" i="25"/>
  <c r="S858" i="7"/>
  <c r="CA47" i="6"/>
  <c r="CA32" i="17"/>
  <c r="AV57" i="6"/>
  <c r="I196" i="20"/>
  <c r="Z196" i="20" s="1"/>
  <c r="BU12" i="6"/>
  <c r="Y465" i="7"/>
  <c r="AA206" i="7"/>
  <c r="AB807" i="7"/>
  <c r="J78" i="8"/>
  <c r="J147" i="8" s="1"/>
  <c r="S435" i="23"/>
  <c r="Z60" i="25"/>
  <c r="Z168" i="7"/>
  <c r="AM168" i="7" s="1"/>
  <c r="V60" i="25"/>
  <c r="V209" i="7"/>
  <c r="R181" i="8"/>
  <c r="I248" i="23"/>
  <c r="Y276" i="7"/>
  <c r="Y624" i="7" s="1"/>
  <c r="EK18" i="6"/>
  <c r="EK67" i="6" s="1"/>
  <c r="AW79" i="6"/>
  <c r="DW79" i="6"/>
  <c r="DU9" i="6"/>
  <c r="AC35" i="6"/>
  <c r="F200" i="20"/>
  <c r="W200" i="20" s="1"/>
  <c r="BP84" i="6"/>
  <c r="AE116" i="11"/>
  <c r="BK87" i="11"/>
  <c r="BJ87" i="11" s="1"/>
  <c r="C314" i="2"/>
  <c r="CH70" i="11"/>
  <c r="CF12" i="6"/>
  <c r="DI8" i="6"/>
  <c r="DN8" i="6" s="1"/>
  <c r="DN57" i="6" s="1"/>
  <c r="DJ12" i="6"/>
  <c r="AE81" i="6"/>
  <c r="Q35" i="6"/>
  <c r="CL12" i="6"/>
  <c r="CL22" i="6" s="1"/>
  <c r="CL29" i="6" s="1"/>
  <c r="AX81" i="6"/>
  <c r="AD81" i="6"/>
  <c r="X80" i="6"/>
  <c r="BJ115" i="11"/>
  <c r="BK115" i="11" s="1"/>
  <c r="BL115" i="11" s="1"/>
  <c r="BG45" i="6"/>
  <c r="BL45" i="6" s="1"/>
  <c r="BL94" i="6" s="1"/>
  <c r="CQ9" i="6"/>
  <c r="T90" i="6"/>
  <c r="DV77" i="6"/>
  <c r="L74" i="25"/>
  <c r="CG105" i="17"/>
  <c r="X523" i="7"/>
  <c r="S1091" i="7"/>
  <c r="S1093" i="7" s="1"/>
  <c r="S79" i="25" s="1"/>
  <c r="AB236" i="7"/>
  <c r="R877" i="7"/>
  <c r="R878" i="7" s="1"/>
  <c r="M47" i="6"/>
  <c r="P47" i="6" s="1"/>
  <c r="P96" i="6" s="1"/>
  <c r="AA1074" i="7"/>
  <c r="AA1076" i="7" s="1"/>
  <c r="C197" i="2" s="1"/>
  <c r="AT197" i="2" s="1"/>
  <c r="Z54" i="7"/>
  <c r="Z55" i="7" s="1"/>
  <c r="AM55" i="7" s="1"/>
  <c r="J858" i="7"/>
  <c r="R504" i="7"/>
  <c r="AA195" i="7"/>
  <c r="Y58" i="6"/>
  <c r="Y12" i="6"/>
  <c r="BP58" i="6"/>
  <c r="Z84" i="6"/>
  <c r="V247" i="7"/>
  <c r="BW32" i="6"/>
  <c r="AA54" i="7"/>
  <c r="AA55" i="7" s="1"/>
  <c r="BY116" i="17"/>
  <c r="AS32" i="17"/>
  <c r="R87" i="7"/>
  <c r="I1087" i="7"/>
  <c r="I1088" i="7" s="1"/>
  <c r="I78" i="25" s="1"/>
  <c r="AY118" i="11"/>
  <c r="AB863" i="7"/>
  <c r="BW24" i="6"/>
  <c r="AE117" i="11"/>
  <c r="AB808" i="7"/>
  <c r="AE59" i="6"/>
  <c r="CE10" i="6"/>
  <c r="CE59" i="6" s="1"/>
  <c r="BS10" i="6"/>
  <c r="BY59" i="6" s="1"/>
  <c r="AK57" i="6"/>
  <c r="J276" i="7"/>
  <c r="J645" i="7" s="1"/>
  <c r="J73" i="25"/>
  <c r="AB216" i="7"/>
  <c r="Y60" i="25"/>
  <c r="I1091" i="7"/>
  <c r="I1093" i="7" s="1"/>
  <c r="I79" i="25" s="1"/>
  <c r="AC55" i="6"/>
  <c r="CC116" i="17"/>
  <c r="AB16" i="11"/>
  <c r="K183" i="23" s="1"/>
  <c r="K23" i="25" s="1"/>
  <c r="AA220" i="7"/>
  <c r="N25" i="17"/>
  <c r="N27" i="17" s="1"/>
  <c r="N29" i="17" s="1"/>
  <c r="AC850" i="7"/>
  <c r="K803" i="7"/>
  <c r="X106" i="7"/>
  <c r="X112" i="7" s="1"/>
  <c r="J459" i="7"/>
  <c r="Y504" i="7"/>
  <c r="AO10" i="6"/>
  <c r="EB76" i="6"/>
  <c r="N1099" i="7"/>
  <c r="N967" i="7" s="1"/>
  <c r="N978" i="7" s="1"/>
  <c r="Y1113" i="7"/>
  <c r="Y1002" i="7" s="1"/>
  <c r="Y1016" i="7" s="1"/>
  <c r="AX91" i="6"/>
  <c r="N277" i="7"/>
  <c r="N625" i="7" s="1"/>
  <c r="CZ75" i="6"/>
  <c r="N798" i="7"/>
  <c r="O66" i="6"/>
  <c r="S1048" i="7"/>
  <c r="S1050" i="7" s="1"/>
  <c r="Z91" i="6"/>
  <c r="K366" i="7"/>
  <c r="Y1070" i="7"/>
  <c r="Y1071" i="7" s="1"/>
  <c r="Y67" i="25" s="1"/>
  <c r="Y47" i="6"/>
  <c r="Z94" i="6"/>
  <c r="L347" i="7"/>
  <c r="AA13" i="7"/>
  <c r="AB14" i="7" s="1"/>
  <c r="K286" i="23"/>
  <c r="S379" i="7"/>
  <c r="CB57" i="6"/>
  <c r="S47" i="6"/>
  <c r="K380" i="7"/>
  <c r="S171" i="25"/>
  <c r="S168" i="7"/>
  <c r="BC47" i="6"/>
  <c r="O864" i="7"/>
  <c r="Q74" i="25"/>
  <c r="BO18" i="6"/>
  <c r="Q247" i="7"/>
  <c r="DK94" i="6"/>
  <c r="AC1081" i="7"/>
  <c r="EI32" i="6"/>
  <c r="EI81" i="6" s="1"/>
  <c r="AD519" i="7"/>
  <c r="AC534" i="7"/>
  <c r="CL94" i="6"/>
  <c r="CR94" i="6"/>
  <c r="DO27" i="6"/>
  <c r="DO76" i="6" s="1"/>
  <c r="DP76" i="6"/>
  <c r="Q27" i="6"/>
  <c r="R76" i="6"/>
  <c r="Q171" i="25"/>
  <c r="Q218" i="7"/>
  <c r="Q60" i="25"/>
  <c r="Q168" i="7"/>
  <c r="T287" i="23"/>
  <c r="K218" i="7"/>
  <c r="K168" i="7"/>
  <c r="K275" i="7"/>
  <c r="K60" i="25"/>
  <c r="K171" i="25"/>
  <c r="BI116" i="11"/>
  <c r="DP81" i="6"/>
  <c r="DI56" i="6"/>
  <c r="W225" i="7"/>
  <c r="W61" i="25"/>
  <c r="BB79" i="6"/>
  <c r="W369" i="23"/>
  <c r="CW9" i="6"/>
  <c r="DB16" i="6" s="1"/>
  <c r="DB65" i="6" s="1"/>
  <c r="CC117" i="11"/>
  <c r="O465" i="7"/>
  <c r="T820" i="7"/>
  <c r="T808" i="7"/>
  <c r="T1074" i="7"/>
  <c r="T1076" i="7" s="1"/>
  <c r="T68" i="25" s="1"/>
  <c r="CF40" i="6"/>
  <c r="CF89" i="6" s="1"/>
  <c r="T137" i="7"/>
  <c r="N369" i="23"/>
  <c r="AP18" i="6"/>
  <c r="AP67" i="6" s="1"/>
  <c r="M252" i="7"/>
  <c r="N1074" i="7"/>
  <c r="N1076" i="7" s="1"/>
  <c r="N68" i="25" s="1"/>
  <c r="N820" i="7"/>
  <c r="W808" i="7"/>
  <c r="V808" i="7"/>
  <c r="V1074" i="7"/>
  <c r="V1076" i="7" s="1"/>
  <c r="V68" i="25" s="1"/>
  <c r="R857" i="7"/>
  <c r="AC485" i="7"/>
  <c r="AC509" i="7" s="1"/>
  <c r="J854" i="7"/>
  <c r="Z1070" i="7"/>
  <c r="Z1071" i="7" s="1"/>
  <c r="Z67" i="25" s="1"/>
  <c r="N275" i="7"/>
  <c r="N644" i="7" s="1"/>
  <c r="K276" i="7"/>
  <c r="K288" i="7" s="1"/>
  <c r="AB209" i="7"/>
  <c r="BI118" i="11"/>
  <c r="J1142" i="7"/>
  <c r="BE21" i="17"/>
  <c r="BZ80" i="6"/>
  <c r="DX58" i="6"/>
  <c r="DK59" i="6"/>
  <c r="R65" i="7"/>
  <c r="R66" i="7" s="1"/>
  <c r="R67" i="7" s="1"/>
  <c r="AA137" i="7"/>
  <c r="DV76" i="6"/>
  <c r="N808" i="7"/>
  <c r="CS32" i="17"/>
  <c r="R27" i="7"/>
  <c r="CZ74" i="6"/>
  <c r="X1048" i="7"/>
  <c r="X1050" i="7" s="1"/>
  <c r="CE30" i="6"/>
  <c r="CE79" i="6" s="1"/>
  <c r="I864" i="7"/>
  <c r="AY80" i="11"/>
  <c r="CL81" i="6"/>
  <c r="Y1066" i="7"/>
  <c r="Y64" i="25" s="1"/>
  <c r="AB299" i="7"/>
  <c r="AB244" i="7"/>
  <c r="AB432" i="7" s="1"/>
  <c r="AB434" i="7" s="1"/>
  <c r="BG27" i="6"/>
  <c r="BH76" i="6"/>
  <c r="EH28" i="6"/>
  <c r="EH77" i="6" s="1"/>
  <c r="AC611" i="7"/>
  <c r="AC1059" i="7"/>
  <c r="AD589" i="7"/>
  <c r="AD596" i="7" s="1"/>
  <c r="AD597" i="7" s="1"/>
  <c r="H1060" i="7"/>
  <c r="H62" i="25" s="1"/>
  <c r="AR118" i="11"/>
  <c r="J314" i="7"/>
  <c r="I485" i="7"/>
  <c r="I509" i="7" s="1"/>
  <c r="L803" i="7"/>
  <c r="R490" i="7"/>
  <c r="N877" i="7"/>
  <c r="N878" i="7" s="1"/>
  <c r="AC596" i="7"/>
  <c r="AC607" i="7" s="1"/>
  <c r="N1070" i="7"/>
  <c r="N1071" i="7" s="1"/>
  <c r="N67" i="25" s="1"/>
  <c r="S857" i="7"/>
  <c r="V1129" i="7"/>
  <c r="AL16" i="11"/>
  <c r="M183" i="23" s="1"/>
  <c r="M23" i="25" s="1"/>
  <c r="Y156" i="17"/>
  <c r="AC965" i="7"/>
  <c r="AC976" i="7" s="1"/>
  <c r="X854" i="7"/>
  <c r="M247" i="7"/>
  <c r="X1103" i="7"/>
  <c r="X1107" i="7" s="1"/>
  <c r="X999" i="7" s="1"/>
  <c r="Z854" i="7"/>
  <c r="AM854" i="7" s="1"/>
  <c r="J573" i="7"/>
  <c r="N282" i="23"/>
  <c r="N283" i="23" s="1"/>
  <c r="Q347" i="7"/>
  <c r="Z669" i="7"/>
  <c r="AM669" i="7" s="1"/>
  <c r="AB211" i="7"/>
  <c r="BM82" i="17"/>
  <c r="N244" i="7"/>
  <c r="N432" i="7" s="1"/>
  <c r="N434" i="7" s="1"/>
  <c r="N440" i="7" s="1"/>
  <c r="X275" i="7"/>
  <c r="X287" i="7" s="1"/>
  <c r="X379" i="7"/>
  <c r="X244" i="7"/>
  <c r="X432" i="7" s="1"/>
  <c r="X434" i="7" s="1"/>
  <c r="X440" i="7" s="1"/>
  <c r="L239" i="7"/>
  <c r="U54" i="7"/>
  <c r="U55" i="7" s="1"/>
  <c r="L21" i="17"/>
  <c r="L22" i="17" s="1"/>
  <c r="T21" i="17"/>
  <c r="T22" i="17" s="1"/>
  <c r="N597" i="7"/>
  <c r="Q9" i="6"/>
  <c r="AA209" i="7"/>
  <c r="Z206" i="7"/>
  <c r="AM206" i="7" s="1"/>
  <c r="W857" i="7"/>
  <c r="V171" i="25"/>
  <c r="Y73" i="8"/>
  <c r="I65" i="7"/>
  <c r="I66" i="7" s="1"/>
  <c r="I67" i="7" s="1"/>
  <c r="X241" i="7"/>
  <c r="S248" i="23"/>
  <c r="J137" i="7"/>
  <c r="K858" i="7"/>
  <c r="Z607" i="7"/>
  <c r="AM607" i="7" s="1"/>
  <c r="DX12" i="6"/>
  <c r="G196" i="20"/>
  <c r="X196" i="20" s="1"/>
  <c r="I429" i="20"/>
  <c r="Z429" i="20" s="1"/>
  <c r="BN90" i="17"/>
  <c r="T147" i="23"/>
  <c r="BT26" i="11" s="1"/>
  <c r="N82" i="6"/>
  <c r="C308" i="2"/>
  <c r="BT80" i="6"/>
  <c r="DO16" i="6"/>
  <c r="AU10" i="6"/>
  <c r="G199" i="20"/>
  <c r="X199" i="20" s="1"/>
  <c r="CK116" i="17"/>
  <c r="AB252" i="7"/>
  <c r="D190" i="2"/>
  <c r="Q241" i="7"/>
  <c r="AO11" i="11"/>
  <c r="M216" i="7"/>
  <c r="CZ95" i="6"/>
  <c r="R480" i="7"/>
  <c r="AA204" i="7"/>
  <c r="G430" i="20"/>
  <c r="X430" i="20" s="1"/>
  <c r="CR77" i="6"/>
  <c r="M597" i="7"/>
  <c r="V573" i="7"/>
  <c r="K210" i="7"/>
  <c r="L338" i="7"/>
  <c r="BW94" i="6"/>
  <c r="M617" i="7"/>
  <c r="U966" i="7"/>
  <c r="U977" i="7" s="1"/>
  <c r="R820" i="7"/>
  <c r="W863" i="7"/>
  <c r="L137" i="7"/>
  <c r="J27" i="7"/>
  <c r="G1131" i="7"/>
  <c r="R808" i="7"/>
  <c r="Y1130" i="7"/>
  <c r="AO32" i="17"/>
  <c r="V276" i="7"/>
  <c r="J173" i="7"/>
  <c r="Y218" i="7"/>
  <c r="F409" i="20"/>
  <c r="W409" i="20" s="1"/>
  <c r="BP20" i="6"/>
  <c r="BP18" i="6" s="1"/>
  <c r="Z137" i="7"/>
  <c r="AM137" i="7" s="1"/>
  <c r="Y206" i="7"/>
  <c r="BY111" i="17"/>
  <c r="BY9" i="17" s="1"/>
  <c r="AC8" i="6"/>
  <c r="AH8" i="6" s="1"/>
  <c r="AH57" i="6" s="1"/>
  <c r="DU8" i="6"/>
  <c r="DZ8" i="6" s="1"/>
  <c r="DZ57" i="6" s="1"/>
  <c r="AB857" i="7"/>
  <c r="BY142" i="17"/>
  <c r="CL59" i="6"/>
  <c r="CX81" i="6"/>
  <c r="CT79" i="6"/>
  <c r="CN59" i="6"/>
  <c r="L1048" i="7"/>
  <c r="L1050" i="7" s="1"/>
  <c r="Z1099" i="7"/>
  <c r="Z84" i="25" s="1"/>
  <c r="CH58" i="6"/>
  <c r="AF70" i="6"/>
  <c r="J552" i="7"/>
  <c r="I1048" i="7"/>
  <c r="I1050" i="7" s="1"/>
  <c r="I607" i="7"/>
  <c r="DO28" i="6"/>
  <c r="DC66" i="6"/>
  <c r="AG1008" i="7"/>
  <c r="T361" i="7"/>
  <c r="T123" i="25" s="1"/>
  <c r="BS35" i="6"/>
  <c r="CK32" i="6"/>
  <c r="CP32" i="6" s="1"/>
  <c r="CP81" i="6" s="1"/>
  <c r="AA1139" i="7"/>
  <c r="AA1140" i="7" s="1"/>
  <c r="AA1142" i="7" s="1"/>
  <c r="O743" i="7"/>
  <c r="CZ94" i="6"/>
  <c r="CZ79" i="6"/>
  <c r="AB851" i="7"/>
  <c r="AB854" i="7" s="1"/>
  <c r="V820" i="7"/>
  <c r="Z1048" i="7"/>
  <c r="AM1048" i="7" s="1"/>
  <c r="N1140" i="7"/>
  <c r="N107" i="25" s="1"/>
  <c r="DL81" i="6"/>
  <c r="V287" i="23"/>
  <c r="AU33" i="6"/>
  <c r="AM67" i="6"/>
  <c r="Z380" i="7"/>
  <c r="AM380" i="7" s="1"/>
  <c r="T1048" i="7"/>
  <c r="T1050" i="7" s="1"/>
  <c r="BD94" i="6"/>
  <c r="S1099" i="7"/>
  <c r="S967" i="7" s="1"/>
  <c r="S978" i="7" s="1"/>
  <c r="T1140" i="7"/>
  <c r="W168" i="7"/>
  <c r="W171" i="25"/>
  <c r="W275" i="7"/>
  <c r="W60" i="25"/>
  <c r="W218" i="7"/>
  <c r="M108" i="25"/>
  <c r="M966" i="7"/>
  <c r="M977" i="7" s="1"/>
  <c r="M724" i="7"/>
  <c r="M798" i="7"/>
  <c r="Y299" i="7"/>
  <c r="AA300" i="7" s="1"/>
  <c r="AC216" i="7"/>
  <c r="DJ58" i="6"/>
  <c r="Y743" i="7"/>
  <c r="BZ12" i="6"/>
  <c r="BZ59" i="6"/>
  <c r="X247" i="7"/>
  <c r="X74" i="25"/>
  <c r="DE18" i="6"/>
  <c r="R57" i="6"/>
  <c r="W299" i="7"/>
  <c r="Y300" i="7" s="1"/>
  <c r="AP59" i="6"/>
  <c r="X276" i="7"/>
  <c r="H1132" i="7"/>
  <c r="H681" i="7"/>
  <c r="O35" i="6"/>
  <c r="AB108" i="25"/>
  <c r="AC701" i="7"/>
  <c r="D243" i="2"/>
  <c r="AA299" i="7"/>
  <c r="AC300" i="7" s="1"/>
  <c r="AA61" i="25"/>
  <c r="AA252" i="7"/>
  <c r="AA225" i="7"/>
  <c r="K256" i="23"/>
  <c r="K65" i="7"/>
  <c r="K66" i="7" s="1"/>
  <c r="K67" i="7" s="1"/>
  <c r="BN84" i="6"/>
  <c r="CP105" i="17"/>
  <c r="CP111" i="17"/>
  <c r="CM15" i="26" s="1"/>
  <c r="S617" i="7"/>
  <c r="S597" i="7"/>
  <c r="S877" i="7"/>
  <c r="S878" i="7" s="1"/>
  <c r="CC28" i="6"/>
  <c r="CC77" i="6" s="1"/>
  <c r="S607" i="7"/>
  <c r="M361" i="7"/>
  <c r="M123" i="25" s="1"/>
  <c r="O361" i="7"/>
  <c r="O123" i="25" s="1"/>
  <c r="R966" i="7"/>
  <c r="R977" i="7" s="1"/>
  <c r="R108" i="25"/>
  <c r="R724" i="7"/>
  <c r="X488" i="7"/>
  <c r="W504" i="7"/>
  <c r="W480" i="7"/>
  <c r="W488" i="7"/>
  <c r="I807" i="7"/>
  <c r="H807" i="7"/>
  <c r="I743" i="7"/>
  <c r="J743" i="7"/>
  <c r="P265" i="23"/>
  <c r="AB253" i="8"/>
  <c r="AA249" i="8"/>
  <c r="J681" i="7"/>
  <c r="AA35" i="6"/>
  <c r="J675" i="7"/>
  <c r="R501" i="7"/>
  <c r="R82" i="25"/>
  <c r="M241" i="7"/>
  <c r="Y338" i="7"/>
  <c r="Y1128" i="7"/>
  <c r="Z326" i="7"/>
  <c r="AM326" i="7" s="1"/>
  <c r="Y326" i="7"/>
  <c r="EE28" i="6"/>
  <c r="AB607" i="7"/>
  <c r="AB1129" i="7"/>
  <c r="T1128" i="7"/>
  <c r="T320" i="7"/>
  <c r="T338" i="7"/>
  <c r="AB536" i="7"/>
  <c r="AB529" i="7"/>
  <c r="AB523" i="7"/>
  <c r="O1130" i="7"/>
  <c r="O877" i="7"/>
  <c r="O878" i="7" s="1"/>
  <c r="O488" i="7"/>
  <c r="AM998" i="7"/>
  <c r="Z1012" i="7"/>
  <c r="AM1012" i="7" s="1"/>
  <c r="S213" i="7"/>
  <c r="R204" i="7"/>
  <c r="V807" i="7"/>
  <c r="V798" i="7"/>
  <c r="DX70" i="6"/>
  <c r="DR70" i="6"/>
  <c r="N94" i="6"/>
  <c r="T94" i="6"/>
  <c r="BQ35" i="6"/>
  <c r="BQ84" i="6" s="1"/>
  <c r="Q675" i="7"/>
  <c r="H758" i="7"/>
  <c r="H737" i="7"/>
  <c r="R819" i="7"/>
  <c r="R807" i="7"/>
  <c r="S807" i="7"/>
  <c r="R798" i="7"/>
  <c r="Z280" i="23"/>
  <c r="Z282" i="23" s="1"/>
  <c r="Z265" i="23"/>
  <c r="CS21" i="17"/>
  <c r="L6" i="28"/>
  <c r="M54" i="7"/>
  <c r="M55" i="7" s="1"/>
  <c r="L54" i="7"/>
  <c r="L55" i="7" s="1"/>
  <c r="BK30" i="6"/>
  <c r="P320" i="7"/>
  <c r="Z838" i="7"/>
  <c r="AM838" i="7" s="1"/>
  <c r="AA838" i="7"/>
  <c r="I204" i="7"/>
  <c r="I206" i="7"/>
  <c r="I277" i="7"/>
  <c r="V178" i="7"/>
  <c r="V220" i="7"/>
  <c r="Z504" i="7"/>
  <c r="AM504" i="7" s="1"/>
  <c r="Z480" i="7"/>
  <c r="AM480" i="7" s="1"/>
  <c r="AA488" i="7"/>
  <c r="DS24" i="6"/>
  <c r="Q338" i="7"/>
  <c r="Q320" i="7"/>
  <c r="T1129" i="7"/>
  <c r="T617" i="7"/>
  <c r="AC361" i="7"/>
  <c r="AC123" i="25" s="1"/>
  <c r="AM360" i="7"/>
  <c r="AB361" i="7"/>
  <c r="AB123" i="25" s="1"/>
  <c r="AA501" i="7"/>
  <c r="C215" i="2"/>
  <c r="AT215" i="2" s="1"/>
  <c r="AB485" i="7"/>
  <c r="AB509" i="7" s="1"/>
  <c r="AA82" i="25"/>
  <c r="AA485" i="7"/>
  <c r="AA509" i="7" s="1"/>
  <c r="L256" i="7"/>
  <c r="M261" i="7" s="1"/>
  <c r="P57" i="7"/>
  <c r="P58" i="7" s="1"/>
  <c r="P122" i="25" s="1"/>
  <c r="Q54" i="7"/>
  <c r="Q55" i="7" s="1"/>
  <c r="P54" i="7"/>
  <c r="P55" i="7" s="1"/>
  <c r="AM66" i="6"/>
  <c r="AG66" i="6"/>
  <c r="J206" i="7"/>
  <c r="J204" i="7"/>
  <c r="J693" i="7"/>
  <c r="J721" i="7" s="1"/>
  <c r="K282" i="23"/>
  <c r="K283" i="23" s="1"/>
  <c r="L287" i="23"/>
  <c r="Q511" i="7"/>
  <c r="T512" i="7" s="1"/>
  <c r="T124" i="25" s="1"/>
  <c r="Q501" i="7"/>
  <c r="Q965" i="7"/>
  <c r="Q976" i="7" s="1"/>
  <c r="Q82" i="25"/>
  <c r="V480" i="7"/>
  <c r="V511" i="7"/>
  <c r="W485" i="7"/>
  <c r="W509" i="7" s="1"/>
  <c r="V501" i="7"/>
  <c r="V82" i="25"/>
  <c r="AU245" i="2"/>
  <c r="F484" i="20"/>
  <c r="W484" i="20" s="1"/>
  <c r="F420" i="20"/>
  <c r="W420" i="20" s="1"/>
  <c r="O583" i="7"/>
  <c r="O552" i="7"/>
  <c r="CO94" i="6"/>
  <c r="CI94" i="6"/>
  <c r="AA256" i="23"/>
  <c r="AB248" i="23"/>
  <c r="CV175" i="17"/>
  <c r="CW164" i="17"/>
  <c r="CW184" i="17" s="1"/>
  <c r="T807" i="7"/>
  <c r="U807" i="7"/>
  <c r="W204" i="7"/>
  <c r="X211" i="7"/>
  <c r="W277" i="7"/>
  <c r="W646" i="7" s="1"/>
  <c r="W220" i="7"/>
  <c r="T1103" i="7"/>
  <c r="T1107" i="7" s="1"/>
  <c r="CH20" i="6"/>
  <c r="CH69" i="6" s="1"/>
  <c r="T249" i="7"/>
  <c r="U241" i="7"/>
  <c r="AA28" i="6"/>
  <c r="J607" i="7"/>
  <c r="J597" i="7"/>
  <c r="R57" i="7"/>
  <c r="R54" i="7"/>
  <c r="R55" i="7" s="1"/>
  <c r="W803" i="7"/>
  <c r="CZ43" i="6"/>
  <c r="CZ40" i="6" s="1"/>
  <c r="X803" i="7"/>
  <c r="W118" i="8"/>
  <c r="I147" i="8"/>
  <c r="I56" i="25"/>
  <c r="I501" i="7"/>
  <c r="I965" i="7"/>
  <c r="I976" i="7" s="1"/>
  <c r="J485" i="7"/>
  <c r="J509" i="7" s="1"/>
  <c r="I82" i="25"/>
  <c r="I480" i="7"/>
  <c r="AX79" i="6"/>
  <c r="AU30" i="6"/>
  <c r="J441" i="23"/>
  <c r="H57" i="7"/>
  <c r="K58" i="7" s="1"/>
  <c r="K122" i="25" s="1"/>
  <c r="I54" i="7"/>
  <c r="I55" i="7" s="1"/>
  <c r="AM964" i="7"/>
  <c r="Z975" i="7"/>
  <c r="AF975" i="7" s="1"/>
  <c r="H43" i="6"/>
  <c r="H40" i="6" s="1"/>
  <c r="H803" i="7"/>
  <c r="AC71" i="8"/>
  <c r="AC1048" i="7"/>
  <c r="AC1050" i="7" s="1"/>
  <c r="CF21" i="17"/>
  <c r="I748" i="7"/>
  <c r="P573" i="7"/>
  <c r="R353" i="7"/>
  <c r="X118" i="8"/>
  <c r="L260" i="7"/>
  <c r="N1123" i="7"/>
  <c r="N105" i="25" s="1"/>
  <c r="AA1113" i="7"/>
  <c r="AA1115" i="7" s="1"/>
  <c r="AA1116" i="7" s="1"/>
  <c r="DX24" i="6"/>
  <c r="DU24" i="6" s="1"/>
  <c r="H1113" i="7"/>
  <c r="H1115" i="7" s="1"/>
  <c r="H1116" i="7" s="1"/>
  <c r="L430" i="23"/>
  <c r="Q353" i="7"/>
  <c r="I1123" i="7"/>
  <c r="I1125" i="7" s="1"/>
  <c r="Y25" i="17"/>
  <c r="Y27" i="17" s="1"/>
  <c r="Y29" i="17" s="1"/>
  <c r="K287" i="23"/>
  <c r="H54" i="7"/>
  <c r="P803" i="7"/>
  <c r="AG21" i="17"/>
  <c r="AG22" i="17" s="1"/>
  <c r="AW62" i="11"/>
  <c r="DI102" i="11"/>
  <c r="DH102" i="11" s="1"/>
  <c r="AR94" i="6"/>
  <c r="DL75" i="6"/>
  <c r="H430" i="20"/>
  <c r="Y430" i="20" s="1"/>
  <c r="DB70" i="11"/>
  <c r="Q72" i="6"/>
  <c r="EK66" i="6"/>
  <c r="S70" i="11"/>
  <c r="AV226" i="2"/>
  <c r="G420" i="20"/>
  <c r="X420" i="20" s="1"/>
  <c r="CW70" i="11"/>
  <c r="DF24" i="6"/>
  <c r="CV73" i="11"/>
  <c r="DB73" i="11" s="1"/>
  <c r="DX75" i="6"/>
  <c r="AX94" i="6"/>
  <c r="AL90" i="6"/>
  <c r="CK16" i="6"/>
  <c r="CQ65" i="6" s="1"/>
  <c r="EJ81" i="6"/>
  <c r="DF81" i="6"/>
  <c r="BD82" i="6"/>
  <c r="CH82" i="6"/>
  <c r="AF24" i="6"/>
  <c r="AC24" i="6" s="1"/>
  <c r="AG67" i="6"/>
  <c r="DR68" i="6"/>
  <c r="I142" i="23"/>
  <c r="Q21" i="11" s="1"/>
  <c r="DE58" i="11"/>
  <c r="DE71" i="11" s="1"/>
  <c r="BV12" i="6"/>
  <c r="CC89" i="6"/>
  <c r="DO10" i="6"/>
  <c r="CT74" i="6"/>
  <c r="BE67" i="6"/>
  <c r="DR91" i="6"/>
  <c r="P176" i="23"/>
  <c r="P16" i="25" s="1"/>
  <c r="AM13" i="11"/>
  <c r="K414" i="20"/>
  <c r="AB414" i="20" s="1"/>
  <c r="DF93" i="6"/>
  <c r="AX117" i="2"/>
  <c r="CZ72" i="6"/>
  <c r="Z68" i="6"/>
  <c r="Y73" i="11"/>
  <c r="Y74" i="11" s="1"/>
  <c r="DC72" i="6"/>
  <c r="CB74" i="6"/>
  <c r="BV57" i="6"/>
  <c r="CT95" i="6"/>
  <c r="CN95" i="6"/>
  <c r="K45" i="6"/>
  <c r="P45" i="6" s="1"/>
  <c r="P94" i="6" s="1"/>
  <c r="BY33" i="6"/>
  <c r="AC182" i="23"/>
  <c r="E111" i="2" s="1"/>
  <c r="AV111" i="2" s="1"/>
  <c r="BD75" i="6"/>
  <c r="I420" i="20"/>
  <c r="Z420" i="20" s="1"/>
  <c r="DD59" i="11"/>
  <c r="DD64" i="11" s="1"/>
  <c r="DN102" i="11"/>
  <c r="DM102" i="11" s="1"/>
  <c r="AM101" i="11"/>
  <c r="AW216" i="2"/>
  <c r="AA89" i="6"/>
  <c r="N68" i="6"/>
  <c r="CH74" i="6"/>
  <c r="T174" i="23"/>
  <c r="T14" i="25" s="1"/>
  <c r="BV100" i="11"/>
  <c r="BV81" i="11" s="1"/>
  <c r="EJ12" i="6"/>
  <c r="G484" i="20"/>
  <c r="X484" i="20" s="1"/>
  <c r="DL93" i="6"/>
  <c r="G485" i="20"/>
  <c r="X485" i="20" s="1"/>
  <c r="G421" i="20"/>
  <c r="X421" i="20" s="1"/>
  <c r="DR12" i="6"/>
  <c r="CZ77" i="6"/>
  <c r="BC12" i="11"/>
  <c r="BC14" i="11" s="1"/>
  <c r="CZ24" i="6"/>
  <c r="CW24" i="6" s="1"/>
  <c r="CT65" i="6"/>
  <c r="BV95" i="6"/>
  <c r="DF77" i="6"/>
  <c r="BK59" i="11"/>
  <c r="R24" i="23" s="1"/>
  <c r="T142" i="23"/>
  <c r="BT21" i="11" s="1"/>
  <c r="DF74" i="6"/>
  <c r="I484" i="20"/>
  <c r="Z484" i="20" s="1"/>
  <c r="DR59" i="6"/>
  <c r="BK66" i="6"/>
  <c r="U10" i="11"/>
  <c r="AK82" i="17"/>
  <c r="BM73" i="11"/>
  <c r="BM74" i="11" s="1"/>
  <c r="T81" i="6"/>
  <c r="N81" i="6"/>
  <c r="CT93" i="6"/>
  <c r="W326" i="7"/>
  <c r="Z713" i="7"/>
  <c r="AM713" i="7" s="1"/>
  <c r="O250" i="23"/>
  <c r="J277" i="7"/>
  <c r="AD260" i="7"/>
  <c r="K737" i="7"/>
  <c r="K758" i="7"/>
  <c r="CQ96" i="6"/>
  <c r="CK96" i="6"/>
  <c r="R213" i="7"/>
  <c r="Q681" i="7"/>
  <c r="Q1132" i="7"/>
  <c r="W21" i="17"/>
  <c r="W22" i="17" s="1"/>
  <c r="BB21" i="17"/>
  <c r="AE21" i="17"/>
  <c r="AE22" i="17" s="1"/>
  <c r="AC700" i="7"/>
  <c r="H1123" i="7"/>
  <c r="H105" i="25" s="1"/>
  <c r="AF75" i="6"/>
  <c r="M359" i="7"/>
  <c r="S359" i="7"/>
  <c r="K877" i="7"/>
  <c r="K878" i="7" s="1"/>
  <c r="V71" i="8"/>
  <c r="AA743" i="7"/>
  <c r="Y353" i="7"/>
  <c r="R1123" i="7"/>
  <c r="R105" i="25" s="1"/>
  <c r="J326" i="7"/>
  <c r="BD58" i="6"/>
  <c r="X1099" i="7"/>
  <c r="X84" i="25" s="1"/>
  <c r="H6" i="28"/>
  <c r="AG35" i="6"/>
  <c r="K681" i="7"/>
  <c r="K1132" i="7"/>
  <c r="DA65" i="6"/>
  <c r="CZ18" i="6"/>
  <c r="DL59" i="6"/>
  <c r="CB65" i="6"/>
  <c r="DG65" i="6"/>
  <c r="U179" i="23"/>
  <c r="U19" i="25" s="1"/>
  <c r="DN48" i="11"/>
  <c r="DO48" i="11" s="1"/>
  <c r="CH81" i="6"/>
  <c r="BF90" i="17"/>
  <c r="DU85" i="6"/>
  <c r="ED72" i="6"/>
  <c r="DF68" i="6"/>
  <c r="Z74" i="6"/>
  <c r="N79" i="6"/>
  <c r="CU65" i="6"/>
  <c r="CH66" i="6"/>
  <c r="BQ70" i="11"/>
  <c r="BG63" i="11"/>
  <c r="DS66" i="6"/>
  <c r="AO35" i="6"/>
  <c r="G464" i="20"/>
  <c r="X464" i="20" s="1"/>
  <c r="BP66" i="6"/>
  <c r="AR84" i="6"/>
  <c r="DX72" i="6"/>
  <c r="BY32" i="6"/>
  <c r="CD32" i="6" s="1"/>
  <c r="CD81" i="6" s="1"/>
  <c r="T143" i="23"/>
  <c r="BT22" i="11" s="1"/>
  <c r="CK85" i="6"/>
  <c r="CH65" i="6"/>
  <c r="CE17" i="6"/>
  <c r="CE66" i="6" s="1"/>
  <c r="AR77" i="6"/>
  <c r="BE94" i="6"/>
  <c r="W70" i="11"/>
  <c r="J184" i="23" s="1"/>
  <c r="J24" i="25" s="1"/>
  <c r="CQ45" i="6"/>
  <c r="CV45" i="6" s="1"/>
  <c r="CV94" i="6" s="1"/>
  <c r="BD79" i="6"/>
  <c r="CN79" i="6"/>
  <c r="AV59" i="11"/>
  <c r="O24" i="23" s="1"/>
  <c r="T72" i="6"/>
  <c r="BS70" i="11"/>
  <c r="BR12" i="11"/>
  <c r="BR14" i="11" s="1"/>
  <c r="DC10" i="6"/>
  <c r="DH17" i="6" s="1"/>
  <c r="DH66" i="6" s="1"/>
  <c r="I303" i="20"/>
  <c r="Z303" i="20" s="1"/>
  <c r="CB81" i="6"/>
  <c r="BD96" i="6"/>
  <c r="CC66" i="6"/>
  <c r="Z72" i="6"/>
  <c r="CH90" i="6"/>
  <c r="BX10" i="11"/>
  <c r="AC96" i="6"/>
  <c r="Z70" i="11"/>
  <c r="G407" i="20"/>
  <c r="X407" i="20" s="1"/>
  <c r="AX77" i="6"/>
  <c r="AX82" i="6"/>
  <c r="R149" i="23"/>
  <c r="BJ28" i="11" s="1"/>
  <c r="BL15" i="11"/>
  <c r="AD791" i="7"/>
  <c r="EP43" i="6"/>
  <c r="R151" i="8"/>
  <c r="N737" i="7"/>
  <c r="O748" i="7"/>
  <c r="N758" i="7"/>
  <c r="R270" i="7"/>
  <c r="P511" i="7"/>
  <c r="P82" i="25"/>
  <c r="P501" i="7"/>
  <c r="P965" i="7"/>
  <c r="P976" i="7" s="1"/>
  <c r="O220" i="7"/>
  <c r="O178" i="7"/>
  <c r="O204" i="7"/>
  <c r="O277" i="7"/>
  <c r="O693" i="7"/>
  <c r="K242" i="23"/>
  <c r="L250" i="23"/>
  <c r="AC1113" i="7"/>
  <c r="BY65" i="6"/>
  <c r="BV8" i="11"/>
  <c r="N485" i="7"/>
  <c r="N509" i="7" s="1"/>
  <c r="T204" i="7"/>
  <c r="T277" i="7"/>
  <c r="T289" i="7" s="1"/>
  <c r="T819" i="7"/>
  <c r="N54" i="7"/>
  <c r="N55" i="7" s="1"/>
  <c r="P250" i="23"/>
  <c r="P485" i="7"/>
  <c r="P509" i="7" s="1"/>
  <c r="L57" i="7"/>
  <c r="O58" i="7" s="1"/>
  <c r="O122" i="25" s="1"/>
  <c r="S966" i="7"/>
  <c r="S977" i="7" s="1"/>
  <c r="P241" i="7"/>
  <c r="V204" i="7"/>
  <c r="I115" i="8"/>
  <c r="U94" i="25"/>
  <c r="Q277" i="7"/>
  <c r="Y480" i="7"/>
  <c r="AB803" i="7"/>
  <c r="L480" i="7"/>
  <c r="R198" i="17"/>
  <c r="V151" i="17"/>
  <c r="AC721" i="7"/>
  <c r="Z751" i="7"/>
  <c r="AM751" i="7" s="1"/>
  <c r="Q485" i="7"/>
  <c r="Q509" i="7" s="1"/>
  <c r="K211" i="7"/>
  <c r="K693" i="7"/>
  <c r="K721" i="7" s="1"/>
  <c r="S743" i="7"/>
  <c r="Z152" i="8"/>
  <c r="I877" i="7"/>
  <c r="I878" i="7" s="1"/>
  <c r="AA713" i="7"/>
  <c r="Q71" i="8"/>
  <c r="N607" i="7"/>
  <c r="AA607" i="7"/>
  <c r="J1129" i="7"/>
  <c r="Z597" i="7"/>
  <c r="AM597" i="7" s="1"/>
  <c r="Z819" i="7"/>
  <c r="AM819" i="7" s="1"/>
  <c r="AA480" i="7"/>
  <c r="J82" i="8"/>
  <c r="V206" i="7"/>
  <c r="S430" i="23"/>
  <c r="K1142" i="7"/>
  <c r="AM230" i="7"/>
  <c r="K9" i="28"/>
  <c r="K5" i="28" s="1"/>
  <c r="T241" i="7"/>
  <c r="AM596" i="7"/>
  <c r="Z202" i="8"/>
  <c r="O204" i="8"/>
  <c r="EJ82" i="6"/>
  <c r="CH79" i="6"/>
  <c r="J303" i="20"/>
  <c r="AA303" i="20" s="1"/>
  <c r="BW67" i="6"/>
  <c r="T73" i="11"/>
  <c r="T75" i="11" s="1"/>
  <c r="AS89" i="6"/>
  <c r="BR105" i="17"/>
  <c r="U1123" i="7"/>
  <c r="U1125" i="7" s="1"/>
  <c r="S488" i="7"/>
  <c r="Y108" i="25"/>
  <c r="X1128" i="7"/>
  <c r="S118" i="8"/>
  <c r="X529" i="7"/>
  <c r="T326" i="7"/>
  <c r="P338" i="7"/>
  <c r="BR112" i="17"/>
  <c r="T488" i="7"/>
  <c r="H529" i="7"/>
  <c r="U320" i="7"/>
  <c r="L597" i="7"/>
  <c r="K501" i="7"/>
  <c r="Q536" i="7"/>
  <c r="Y617" i="7"/>
  <c r="V713" i="7"/>
  <c r="S54" i="7"/>
  <c r="S55" i="7" s="1"/>
  <c r="Q271" i="23"/>
  <c r="DY28" i="6"/>
  <c r="DY77" i="6" s="1"/>
  <c r="BT116" i="17"/>
  <c r="U724" i="7"/>
  <c r="R965" i="7"/>
  <c r="R976" i="7" s="1"/>
  <c r="BZ32" i="17"/>
  <c r="L607" i="7"/>
  <c r="I242" i="23"/>
  <c r="X1123" i="7"/>
  <c r="X105" i="25" s="1"/>
  <c r="DY24" i="6"/>
  <c r="BJ66" i="6"/>
  <c r="I326" i="7"/>
  <c r="S1128" i="7"/>
  <c r="I488" i="7"/>
  <c r="X326" i="7"/>
  <c r="EJ96" i="6"/>
  <c r="CN57" i="6"/>
  <c r="DF12" i="6"/>
  <c r="BX70" i="11"/>
  <c r="BM66" i="6"/>
  <c r="Q819" i="7"/>
  <c r="P361" i="7"/>
  <c r="P123" i="25" s="1"/>
  <c r="H178" i="7"/>
  <c r="AA250" i="23"/>
  <c r="O523" i="7"/>
  <c r="R430" i="23"/>
  <c r="P529" i="7"/>
  <c r="M1132" i="7"/>
  <c r="Z108" i="25"/>
  <c r="B6" i="28"/>
  <c r="O206" i="7"/>
  <c r="P488" i="7"/>
  <c r="V320" i="7"/>
  <c r="P326" i="7"/>
  <c r="Z430" i="23"/>
  <c r="V693" i="7"/>
  <c r="S523" i="7"/>
  <c r="S536" i="7"/>
  <c r="DM24" i="6"/>
  <c r="BJ75" i="6"/>
  <c r="J287" i="23"/>
  <c r="R143" i="8"/>
  <c r="R157" i="8" s="1"/>
  <c r="L326" i="7"/>
  <c r="H24" i="6"/>
  <c r="T198" i="8"/>
  <c r="T205" i="8" s="1"/>
  <c r="AA248" i="23"/>
  <c r="H877" i="7"/>
  <c r="H878" i="7" s="1"/>
  <c r="L277" i="7"/>
  <c r="L625" i="7" s="1"/>
  <c r="J54" i="7"/>
  <c r="J55" i="7" s="1"/>
  <c r="T24" i="6"/>
  <c r="Q24" i="6" s="1"/>
  <c r="K30" i="6"/>
  <c r="K743" i="7"/>
  <c r="AO59" i="11"/>
  <c r="Z723" i="7"/>
  <c r="AM723" i="7" s="1"/>
  <c r="AM695" i="7"/>
  <c r="BL21" i="17"/>
  <c r="M25" i="17"/>
  <c r="M27" i="17" s="1"/>
  <c r="M29" i="17" s="1"/>
  <c r="V106" i="7"/>
  <c r="V109" i="7" s="1"/>
  <c r="S1131" i="7"/>
  <c r="L359" i="7"/>
  <c r="P1123" i="7"/>
  <c r="P105" i="25" s="1"/>
  <c r="M1048" i="7"/>
  <c r="M1050" i="7" s="1"/>
  <c r="Z256" i="23"/>
  <c r="U681" i="7"/>
  <c r="U1132" i="7"/>
  <c r="J819" i="7"/>
  <c r="J807" i="7"/>
  <c r="J220" i="7"/>
  <c r="J178" i="7"/>
  <c r="O819" i="7"/>
  <c r="O798" i="7"/>
  <c r="P211" i="7"/>
  <c r="AB546" i="7"/>
  <c r="AA580" i="7"/>
  <c r="O253" i="8"/>
  <c r="I173" i="23"/>
  <c r="I13" i="25" s="1"/>
  <c r="N480" i="7"/>
  <c r="Q807" i="7"/>
  <c r="H211" i="7"/>
  <c r="K485" i="7"/>
  <c r="K509" i="7" s="1"/>
  <c r="N361" i="7"/>
  <c r="N123" i="25" s="1"/>
  <c r="Z248" i="23"/>
  <c r="O480" i="7"/>
  <c r="P1103" i="7"/>
  <c r="P1107" i="7" s="1"/>
  <c r="P999" i="7" s="1"/>
  <c r="V485" i="7"/>
  <c r="V509" i="7" s="1"/>
  <c r="K54" i="7"/>
  <c r="K55" i="7" s="1"/>
  <c r="Z236" i="7"/>
  <c r="AM236" i="7" s="1"/>
  <c r="V241" i="7"/>
  <c r="Q480" i="7"/>
  <c r="K178" i="7"/>
  <c r="W211" i="7"/>
  <c r="N236" i="7"/>
  <c r="S485" i="7"/>
  <c r="S509" i="7" s="1"/>
  <c r="N617" i="7"/>
  <c r="J617" i="7"/>
  <c r="S171" i="8"/>
  <c r="H206" i="7"/>
  <c r="I250" i="23"/>
  <c r="AA241" i="7"/>
  <c r="K250" i="23"/>
  <c r="AE156" i="17"/>
  <c r="Z617" i="7"/>
  <c r="AM616" i="7" s="1"/>
  <c r="AL90" i="17"/>
  <c r="W529" i="7"/>
  <c r="M480" i="7"/>
  <c r="M877" i="7"/>
  <c r="M878" i="7" s="1"/>
  <c r="BR111" i="17"/>
  <c r="BO15" i="26" s="1"/>
  <c r="O529" i="7"/>
  <c r="Y701" i="7"/>
  <c r="J198" i="8"/>
  <c r="J205" i="8" s="1"/>
  <c r="S529" i="7"/>
  <c r="DG30" i="6"/>
  <c r="U326" i="7"/>
  <c r="N320" i="7"/>
  <c r="BE24" i="6"/>
  <c r="M488" i="7"/>
  <c r="N488" i="7"/>
  <c r="Z724" i="7"/>
  <c r="AM724" i="7" s="1"/>
  <c r="Z701" i="7"/>
  <c r="AM701" i="7" s="1"/>
  <c r="M536" i="7"/>
  <c r="M206" i="8"/>
  <c r="CD116" i="17"/>
  <c r="G463" i="20"/>
  <c r="X463" i="20" s="1"/>
  <c r="AA1129" i="7"/>
  <c r="M1129" i="7"/>
  <c r="AB419" i="7"/>
  <c r="N966" i="7"/>
  <c r="N977" i="7" s="1"/>
  <c r="L1128" i="7"/>
  <c r="W1131" i="7"/>
  <c r="M326" i="7"/>
  <c r="O536" i="7"/>
  <c r="Q488" i="7"/>
  <c r="Q1103" i="7"/>
  <c r="Q1107" i="7" s="1"/>
  <c r="Q999" i="7" s="1"/>
  <c r="R488" i="7"/>
  <c r="W536" i="7"/>
  <c r="DG28" i="6"/>
  <c r="DM77" i="6" s="1"/>
  <c r="X617" i="7"/>
  <c r="Z358" i="7"/>
  <c r="AM358" i="7" s="1"/>
  <c r="BQ21" i="17"/>
  <c r="O1123" i="7"/>
  <c r="O105" i="25" s="1"/>
  <c r="K815" i="7"/>
  <c r="BU70" i="11"/>
  <c r="BV70" i="11" s="1"/>
  <c r="AE11" i="11"/>
  <c r="K258" i="23"/>
  <c r="O607" i="7"/>
  <c r="U211" i="7"/>
  <c r="X178" i="7"/>
  <c r="X220" i="7"/>
  <c r="X693" i="7"/>
  <c r="X700" i="7" s="1"/>
  <c r="S242" i="23"/>
  <c r="S258" i="23"/>
  <c r="S250" i="23"/>
  <c r="K441" i="23"/>
  <c r="Y54" i="7"/>
  <c r="Y55" i="7" s="1"/>
  <c r="AA832" i="7"/>
  <c r="DX91" i="6"/>
  <c r="BJ72" i="6"/>
  <c r="BL62" i="11"/>
  <c r="G414" i="20"/>
  <c r="X414" i="20" s="1"/>
  <c r="DX65" i="6"/>
  <c r="DL96" i="6"/>
  <c r="CT75" i="6"/>
  <c r="DC28" i="6"/>
  <c r="DY65" i="6"/>
  <c r="AX65" i="6"/>
  <c r="G443" i="20"/>
  <c r="X443" i="20" s="1"/>
  <c r="EA45" i="6"/>
  <c r="DN87" i="11"/>
  <c r="AC91" i="23" s="1"/>
  <c r="AC9" i="6"/>
  <c r="AI10" i="6"/>
  <c r="AN17" i="6" s="1"/>
  <c r="AN66" i="6" s="1"/>
  <c r="CZ70" i="11"/>
  <c r="DR66" i="6"/>
  <c r="BS23" i="6"/>
  <c r="BS72" i="6" s="1"/>
  <c r="ED66" i="6"/>
  <c r="DO86" i="11"/>
  <c r="AL68" i="6"/>
  <c r="DA66" i="6"/>
  <c r="BU102" i="11"/>
  <c r="BV102" i="11" s="1"/>
  <c r="DL72" i="6"/>
  <c r="DL77" i="6"/>
  <c r="F195" i="20"/>
  <c r="W195" i="20" s="1"/>
  <c r="BR46" i="6"/>
  <c r="CD17" i="6"/>
  <c r="CD66" i="6" s="1"/>
  <c r="X62" i="11"/>
  <c r="BL7" i="11"/>
  <c r="CH93" i="6"/>
  <c r="CE9" i="6"/>
  <c r="CJ16" i="6" s="1"/>
  <c r="CJ65" i="6" s="1"/>
  <c r="S181" i="23"/>
  <c r="S21" i="25" s="1"/>
  <c r="CW10" i="11"/>
  <c r="ED65" i="6"/>
  <c r="N74" i="6"/>
  <c r="BP68" i="6"/>
  <c r="AA176" i="23"/>
  <c r="C105" i="2" s="1"/>
  <c r="AT105" i="2" s="1"/>
  <c r="T181" i="23"/>
  <c r="T21" i="25" s="1"/>
  <c r="CT24" i="6"/>
  <c r="CQ24" i="6" s="1"/>
  <c r="CB96" i="6"/>
  <c r="AI65" i="6"/>
  <c r="AM65" i="6"/>
  <c r="BD91" i="6"/>
  <c r="BP95" i="6"/>
  <c r="CN12" i="6"/>
  <c r="AV70" i="11"/>
  <c r="O184" i="23" s="1"/>
  <c r="O24" i="25" s="1"/>
  <c r="AD75" i="11"/>
  <c r="BS45" i="6"/>
  <c r="BX45" i="6" s="1"/>
  <c r="BX94" i="6" s="1"/>
  <c r="BV66" i="6"/>
  <c r="AU9" i="6"/>
  <c r="AZ16" i="6" s="1"/>
  <c r="AZ65" i="6" s="1"/>
  <c r="AC70" i="11"/>
  <c r="CW65" i="6"/>
  <c r="BJ84" i="6"/>
  <c r="BV94" i="6"/>
  <c r="W9" i="6"/>
  <c r="U60" i="6"/>
  <c r="BV84" i="6"/>
  <c r="S184" i="23"/>
  <c r="S24" i="25" s="1"/>
  <c r="DF66" i="6"/>
  <c r="AT70" i="11"/>
  <c r="BA35" i="6"/>
  <c r="BF35" i="6" s="1"/>
  <c r="BF84" i="6" s="1"/>
  <c r="AA60" i="6"/>
  <c r="AY70" i="11"/>
  <c r="AR70" i="6"/>
  <c r="AX12" i="6"/>
  <c r="CB84" i="6"/>
  <c r="CB66" i="6"/>
  <c r="AX95" i="6"/>
  <c r="AL93" i="6"/>
  <c r="U94" i="6"/>
  <c r="CN74" i="6"/>
  <c r="DX93" i="6"/>
  <c r="Z57" i="6"/>
  <c r="CZ57" i="6"/>
  <c r="EJ94" i="6"/>
  <c r="CN24" i="6"/>
  <c r="CK24" i="6" s="1"/>
  <c r="CT12" i="6"/>
  <c r="CP63" i="11"/>
  <c r="BP59" i="6"/>
  <c r="Z12" i="6"/>
  <c r="AF65" i="6"/>
  <c r="CW66" i="6"/>
  <c r="EF13" i="6"/>
  <c r="EF62" i="6" s="1"/>
  <c r="AR59" i="6"/>
  <c r="BQ89" i="6"/>
  <c r="AF12" i="6"/>
  <c r="T96" i="6"/>
  <c r="BK60" i="6"/>
  <c r="AO65" i="6"/>
  <c r="R172" i="23"/>
  <c r="R12" i="25" s="1"/>
  <c r="BV118" i="11"/>
  <c r="BP102" i="11"/>
  <c r="BQ102" i="11" s="1"/>
  <c r="BJ12" i="6"/>
  <c r="CZ66" i="6"/>
  <c r="CH68" i="6"/>
  <c r="BG10" i="6"/>
  <c r="BL17" i="6" s="1"/>
  <c r="BL66" i="6" s="1"/>
  <c r="N176" i="23"/>
  <c r="N16" i="25" s="1"/>
  <c r="AS74" i="11"/>
  <c r="EA60" i="6"/>
  <c r="AF40" i="6"/>
  <c r="CK33" i="6"/>
  <c r="AT223" i="2"/>
  <c r="BD72" i="6"/>
  <c r="Z24" i="6"/>
  <c r="AL24" i="6"/>
  <c r="AI24" i="6" s="1"/>
  <c r="DL12" i="6"/>
  <c r="AL65" i="6"/>
  <c r="BJ95" i="6"/>
  <c r="CT82" i="6"/>
  <c r="DR58" i="6"/>
  <c r="DL58" i="6"/>
  <c r="AW222" i="2"/>
  <c r="AF91" i="6"/>
  <c r="CZ84" i="6"/>
  <c r="G195" i="20"/>
  <c r="X195" i="20" s="1"/>
  <c r="CE28" i="6"/>
  <c r="DF72" i="6"/>
  <c r="CT91" i="6"/>
  <c r="AL74" i="6"/>
  <c r="K423" i="20"/>
  <c r="AB423" i="20" s="1"/>
  <c r="BD95" i="6"/>
  <c r="EJ91" i="6"/>
  <c r="CJ13" i="6"/>
  <c r="CJ62" i="6" s="1"/>
  <c r="CH77" i="6"/>
  <c r="BK67" i="6"/>
  <c r="AR65" i="6"/>
  <c r="BV93" i="6"/>
  <c r="EP79" i="6"/>
  <c r="Y149" i="23"/>
  <c r="CS28" i="11" s="1"/>
  <c r="T91" i="6"/>
  <c r="CE62" i="6"/>
  <c r="DX66" i="6"/>
  <c r="DN13" i="6"/>
  <c r="DN62" i="6" s="1"/>
  <c r="Q65" i="6"/>
  <c r="CH95" i="6"/>
  <c r="Z65" i="6"/>
  <c r="H18" i="6"/>
  <c r="DS60" i="6"/>
  <c r="CI60" i="6"/>
  <c r="DC30" i="6"/>
  <c r="I486" i="20"/>
  <c r="Z486" i="20" s="1"/>
  <c r="AF95" i="6"/>
  <c r="DF65" i="6"/>
  <c r="CB95" i="6"/>
  <c r="AL12" i="6"/>
  <c r="N12" i="6"/>
  <c r="DI45" i="6"/>
  <c r="T65" i="6"/>
  <c r="AV244" i="2"/>
  <c r="T94" i="25"/>
  <c r="T1002" i="7"/>
  <c r="T1016" i="7" s="1"/>
  <c r="T1115" i="7"/>
  <c r="T1116" i="7" s="1"/>
  <c r="P107" i="25"/>
  <c r="P1142" i="7"/>
  <c r="S107" i="25"/>
  <c r="S1142" i="7"/>
  <c r="Q204" i="8"/>
  <c r="R366" i="7"/>
  <c r="X68" i="8"/>
  <c r="AA380" i="7"/>
  <c r="R380" i="7"/>
  <c r="AA366" i="7"/>
  <c r="T68" i="8"/>
  <c r="O380" i="7"/>
  <c r="N366" i="7"/>
  <c r="U380" i="7"/>
  <c r="O68" i="8"/>
  <c r="Q366" i="7"/>
  <c r="AC380" i="7"/>
  <c r="AC381" i="7" s="1"/>
  <c r="P366" i="7"/>
  <c r="U815" i="7"/>
  <c r="CN43" i="6"/>
  <c r="CT92" i="6" s="1"/>
  <c r="U803" i="7"/>
  <c r="EG23" i="6"/>
  <c r="EG72" i="6" s="1"/>
  <c r="EJ72" i="6"/>
  <c r="AF96" i="6"/>
  <c r="AL96" i="6"/>
  <c r="DR94" i="6"/>
  <c r="DO45" i="6"/>
  <c r="DX94" i="6"/>
  <c r="CE23" i="6"/>
  <c r="CN72" i="6"/>
  <c r="CH72" i="6"/>
  <c r="Q597" i="7"/>
  <c r="BQ28" i="6"/>
  <c r="CN58" i="6"/>
  <c r="F211" i="2"/>
  <c r="AW211" i="2" s="1"/>
  <c r="AD136" i="25"/>
  <c r="AE594" i="7"/>
  <c r="DA28" i="6"/>
  <c r="W1129" i="7"/>
  <c r="I24" i="6"/>
  <c r="G1130" i="7"/>
  <c r="AL87" i="11"/>
  <c r="AK87" i="11" s="1"/>
  <c r="L206" i="7"/>
  <c r="H798" i="7"/>
  <c r="U693" i="7"/>
  <c r="U700" i="7" s="1"/>
  <c r="S108" i="25"/>
  <c r="R1103" i="7"/>
  <c r="R1107" i="7" s="1"/>
  <c r="R91" i="25" s="1"/>
  <c r="R359" i="7"/>
  <c r="M277" i="7"/>
  <c r="M646" i="7" s="1"/>
  <c r="K203" i="8"/>
  <c r="Y204" i="8"/>
  <c r="CT20" i="6"/>
  <c r="CZ69" i="6" s="1"/>
  <c r="R607" i="7"/>
  <c r="L220" i="7"/>
  <c r="AA724" i="7"/>
  <c r="U68" i="8"/>
  <c r="N1103" i="7"/>
  <c r="N1107" i="7" s="1"/>
  <c r="N999" i="7" s="1"/>
  <c r="N249" i="7"/>
  <c r="P68" i="8"/>
  <c r="Y366" i="7"/>
  <c r="R68" i="8"/>
  <c r="DR77" i="6"/>
  <c r="BH73" i="11"/>
  <c r="BH75" i="11" s="1"/>
  <c r="N182" i="23"/>
  <c r="N22" i="25" s="1"/>
  <c r="H819" i="7"/>
  <c r="U277" i="7"/>
  <c r="U646" i="7" s="1"/>
  <c r="J480" i="7"/>
  <c r="R236" i="7"/>
  <c r="T366" i="7"/>
  <c r="I203" i="8"/>
  <c r="S713" i="7"/>
  <c r="S724" i="7"/>
  <c r="R241" i="7"/>
  <c r="J203" i="8"/>
  <c r="Z204" i="8"/>
  <c r="Y68" i="8"/>
  <c r="M68" i="8"/>
  <c r="V249" i="7"/>
  <c r="M236" i="7"/>
  <c r="AB326" i="7"/>
  <c r="L211" i="7"/>
  <c r="AR57" i="6"/>
  <c r="P380" i="7"/>
  <c r="N743" i="7"/>
  <c r="W567" i="7"/>
  <c r="U220" i="7"/>
  <c r="U178" i="7"/>
  <c r="U366" i="7"/>
  <c r="S203" i="8"/>
  <c r="P877" i="7"/>
  <c r="P878" i="7" s="1"/>
  <c r="S701" i="7"/>
  <c r="R249" i="7"/>
  <c r="W607" i="7"/>
  <c r="N58" i="6"/>
  <c r="W68" i="8"/>
  <c r="AB380" i="7"/>
  <c r="Z68" i="8"/>
  <c r="N68" i="8"/>
  <c r="V1103" i="7"/>
  <c r="V1107" i="7" s="1"/>
  <c r="V91" i="25" s="1"/>
  <c r="AB320" i="7"/>
  <c r="EE30" i="6"/>
  <c r="EE79" i="6" s="1"/>
  <c r="L693" i="7"/>
  <c r="L721" i="7" s="1"/>
  <c r="L204" i="7"/>
  <c r="M803" i="7"/>
  <c r="K236" i="7"/>
  <c r="AB366" i="7"/>
  <c r="S68" i="8"/>
  <c r="K68" i="8"/>
  <c r="T203" i="8"/>
  <c r="AA108" i="25"/>
  <c r="C243" i="2"/>
  <c r="V380" i="7"/>
  <c r="N241" i="7"/>
  <c r="U71" i="8"/>
  <c r="BJ57" i="6"/>
  <c r="AF58" i="6"/>
  <c r="T583" i="7"/>
  <c r="U206" i="7"/>
  <c r="AA700" i="7"/>
  <c r="X380" i="7"/>
  <c r="AB204" i="8"/>
  <c r="O967" i="7"/>
  <c r="O978" i="7" s="1"/>
  <c r="BD57" i="6"/>
  <c r="AL57" i="6"/>
  <c r="DI33" i="6"/>
  <c r="DL82" i="6"/>
  <c r="CU66" i="6"/>
  <c r="DI32" i="6"/>
  <c r="DN32" i="6" s="1"/>
  <c r="DN81" i="6" s="1"/>
  <c r="R326" i="7"/>
  <c r="U607" i="7"/>
  <c r="R320" i="7"/>
  <c r="DS32" i="6"/>
  <c r="DO32" i="6" s="1"/>
  <c r="O504" i="7"/>
  <c r="T597" i="7"/>
  <c r="Y536" i="7"/>
  <c r="Q617" i="7"/>
  <c r="AB68" i="8"/>
  <c r="AC366" i="7"/>
  <c r="Q607" i="7"/>
  <c r="I68" i="8"/>
  <c r="W617" i="7"/>
  <c r="O326" i="7"/>
  <c r="AY30" i="6"/>
  <c r="AY79" i="6" s="1"/>
  <c r="W1130" i="7"/>
  <c r="Z488" i="7"/>
  <c r="AM488" i="7" s="1"/>
  <c r="G408" i="20"/>
  <c r="X408" i="20" s="1"/>
  <c r="U66" i="6"/>
  <c r="X71" i="8"/>
  <c r="J966" i="7"/>
  <c r="J977" i="7" s="1"/>
  <c r="P583" i="7"/>
  <c r="AF20" i="6"/>
  <c r="AA326" i="7"/>
  <c r="K342" i="7"/>
  <c r="N807" i="7"/>
  <c r="J529" i="7"/>
  <c r="M249" i="7"/>
  <c r="DA32" i="6"/>
  <c r="CW32" i="6" s="1"/>
  <c r="X607" i="7"/>
  <c r="O807" i="7"/>
  <c r="Z1130" i="7"/>
  <c r="BP59" i="11"/>
  <c r="S175" i="23" s="1"/>
  <c r="S15" i="25" s="1"/>
  <c r="U198" i="8"/>
  <c r="U205" i="8" s="1"/>
  <c r="DA24" i="6"/>
  <c r="CK10" i="6"/>
  <c r="CP17" i="6" s="1"/>
  <c r="CP66" i="6" s="1"/>
  <c r="BD77" i="6"/>
  <c r="ED74" i="6"/>
  <c r="K819" i="7"/>
  <c r="K807" i="7"/>
  <c r="AX43" i="6"/>
  <c r="AX40" i="6" s="1"/>
  <c r="N815" i="7"/>
  <c r="O13" i="7"/>
  <c r="P14" i="7" s="1"/>
  <c r="T529" i="7"/>
  <c r="AB54" i="7"/>
  <c r="AB55" i="7" s="1"/>
  <c r="AB57" i="7"/>
  <c r="AB58" i="7" s="1"/>
  <c r="R441" i="23"/>
  <c r="AM24" i="6"/>
  <c r="L1130" i="7"/>
  <c r="L504" i="7"/>
  <c r="Z832" i="7"/>
  <c r="AM832" i="7" s="1"/>
  <c r="DS45" i="6"/>
  <c r="DY94" i="6" s="1"/>
  <c r="AM831" i="7"/>
  <c r="Z1139" i="7"/>
  <c r="Z1140" i="7" s="1"/>
  <c r="Z1142" i="7" s="1"/>
  <c r="Z844" i="7"/>
  <c r="AM844" i="7" s="1"/>
  <c r="J256" i="23"/>
  <c r="J65" i="7"/>
  <c r="J66" i="7" s="1"/>
  <c r="J67" i="7" s="1"/>
  <c r="K248" i="23"/>
  <c r="J815" i="7"/>
  <c r="Z43" i="6"/>
  <c r="J803" i="7"/>
  <c r="J256" i="7"/>
  <c r="J897" i="7" s="1"/>
  <c r="AJ70" i="11"/>
  <c r="K536" i="7"/>
  <c r="K523" i="7"/>
  <c r="K1131" i="7"/>
  <c r="AE70" i="11"/>
  <c r="W320" i="7"/>
  <c r="DA30" i="6"/>
  <c r="W1128" i="7"/>
  <c r="U504" i="7"/>
  <c r="U1130" i="7"/>
  <c r="CO24" i="6"/>
  <c r="S504" i="7"/>
  <c r="CC24" i="6"/>
  <c r="DX74" i="6"/>
  <c r="AV222" i="2"/>
  <c r="H423" i="20"/>
  <c r="Y423" i="20" s="1"/>
  <c r="ED84" i="6"/>
  <c r="O65" i="7"/>
  <c r="O66" i="7" s="1"/>
  <c r="O67" i="7" s="1"/>
  <c r="O256" i="23"/>
  <c r="P815" i="7"/>
  <c r="BJ43" i="6"/>
  <c r="BJ40" i="6" s="1"/>
  <c r="Z81" i="6"/>
  <c r="U713" i="7"/>
  <c r="U108" i="25"/>
  <c r="H504" i="7"/>
  <c r="H1130" i="7"/>
  <c r="BQ30" i="6"/>
  <c r="Q326" i="7"/>
  <c r="Q1128" i="7"/>
  <c r="X504" i="7"/>
  <c r="DG24" i="6"/>
  <c r="DG32" i="6"/>
  <c r="DC32" i="6" s="1"/>
  <c r="DH32" i="6" s="1"/>
  <c r="DH81" i="6" s="1"/>
  <c r="X1131" i="7"/>
  <c r="F248" i="2"/>
  <c r="AW248" i="2" s="1"/>
  <c r="AD1047" i="7"/>
  <c r="AD113" i="25"/>
  <c r="AE789" i="7"/>
  <c r="EP42" i="6"/>
  <c r="EP91" i="6" s="1"/>
  <c r="AL95" i="6"/>
  <c r="M529" i="7"/>
  <c r="H617" i="7"/>
  <c r="H1129" i="7"/>
  <c r="O28" i="6"/>
  <c r="O77" i="6" s="1"/>
  <c r="P536" i="7"/>
  <c r="P1131" i="7"/>
  <c r="BK32" i="6"/>
  <c r="N523" i="7"/>
  <c r="N536" i="7"/>
  <c r="S1132" i="7"/>
  <c r="S681" i="7"/>
  <c r="CC35" i="6"/>
  <c r="AB504" i="7"/>
  <c r="EE24" i="6"/>
  <c r="AB1130" i="7"/>
  <c r="M204" i="8"/>
  <c r="T713" i="7"/>
  <c r="V277" i="7"/>
  <c r="V289" i="7" s="1"/>
  <c r="K713" i="7"/>
  <c r="M815" i="7"/>
  <c r="CL73" i="11"/>
  <c r="CL75" i="11" s="1"/>
  <c r="BV74" i="6"/>
  <c r="ED18" i="6"/>
  <c r="CT58" i="6"/>
  <c r="CK9" i="6"/>
  <c r="T607" i="7"/>
  <c r="N1131" i="7"/>
  <c r="G230" i="2"/>
  <c r="AX230" i="2" s="1"/>
  <c r="S326" i="7"/>
  <c r="AY32" i="6"/>
  <c r="Y529" i="7"/>
  <c r="Z536" i="7"/>
  <c r="AM536" i="7" s="1"/>
  <c r="J523" i="7"/>
  <c r="N529" i="7"/>
  <c r="CI28" i="6"/>
  <c r="AE255" i="7"/>
  <c r="AE260" i="7" s="1"/>
  <c r="G222" i="2"/>
  <c r="M423" i="20" s="1"/>
  <c r="AD423" i="20" s="1"/>
  <c r="AA320" i="7"/>
  <c r="P607" i="7"/>
  <c r="BS48" i="11"/>
  <c r="P597" i="7"/>
  <c r="Y203" i="8"/>
  <c r="H597" i="7"/>
  <c r="CM70" i="11"/>
  <c r="N819" i="7"/>
  <c r="K529" i="7"/>
  <c r="X1129" i="7"/>
  <c r="Z529" i="7"/>
  <c r="AM529" i="7" s="1"/>
  <c r="S380" i="7"/>
  <c r="Y607" i="7"/>
  <c r="J536" i="7"/>
  <c r="H488" i="7"/>
  <c r="S366" i="7"/>
  <c r="AM476" i="7"/>
  <c r="ED40" i="6"/>
  <c r="U819" i="7"/>
  <c r="U798" i="7"/>
  <c r="EJ90" i="6"/>
  <c r="EJ70" i="6"/>
  <c r="I380" i="7"/>
  <c r="I504" i="7"/>
  <c r="U24" i="6"/>
  <c r="R523" i="7"/>
  <c r="R1131" i="7"/>
  <c r="T58" i="6"/>
  <c r="I693" i="7"/>
  <c r="I710" i="7" s="1"/>
  <c r="I211" i="7"/>
  <c r="I178" i="7"/>
  <c r="I220" i="7"/>
  <c r="AD137" i="25"/>
  <c r="F212" i="2"/>
  <c r="AW212" i="2" s="1"/>
  <c r="AE792" i="7"/>
  <c r="CZ65" i="6"/>
  <c r="J1132" i="7"/>
  <c r="K675" i="7"/>
  <c r="Z220" i="7"/>
  <c r="AM220" i="7" s="1"/>
  <c r="Z178" i="7"/>
  <c r="AM178" i="7" s="1"/>
  <c r="Z693" i="7"/>
  <c r="AA710" i="7" s="1"/>
  <c r="U30" i="6"/>
  <c r="I1128" i="7"/>
  <c r="L1129" i="7"/>
  <c r="AM28" i="6"/>
  <c r="AS77" i="6" s="1"/>
  <c r="J320" i="7"/>
  <c r="AA30" i="6"/>
  <c r="J1128" i="7"/>
  <c r="I597" i="7"/>
  <c r="U28" i="6"/>
  <c r="AG70" i="11"/>
  <c r="K1113" i="7"/>
  <c r="T43" i="6"/>
  <c r="T40" i="6" s="1"/>
  <c r="I815" i="7"/>
  <c r="T66" i="6"/>
  <c r="K17" i="6"/>
  <c r="N66" i="6"/>
  <c r="D194" i="2"/>
  <c r="AB678" i="7"/>
  <c r="EB35" i="6"/>
  <c r="EA35" i="6" s="1"/>
  <c r="AB65" i="25"/>
  <c r="AB669" i="7"/>
  <c r="AC204" i="7"/>
  <c r="AC213" i="7"/>
  <c r="O966" i="7"/>
  <c r="O977" i="7" s="1"/>
  <c r="P713" i="7"/>
  <c r="O724" i="7"/>
  <c r="O108" i="25"/>
  <c r="AC803" i="7"/>
  <c r="U249" i="7"/>
  <c r="U1103" i="7"/>
  <c r="U1107" i="7" s="1"/>
  <c r="U91" i="25" s="1"/>
  <c r="CN20" i="6"/>
  <c r="CN18" i="6" s="1"/>
  <c r="O803" i="7"/>
  <c r="CB72" i="6"/>
  <c r="O320" i="7"/>
  <c r="O338" i="7"/>
  <c r="AF74" i="6"/>
  <c r="V529" i="7"/>
  <c r="U529" i="7"/>
  <c r="U523" i="7"/>
  <c r="P248" i="23"/>
  <c r="O258" i="23"/>
  <c r="O242" i="23"/>
  <c r="AC521" i="7"/>
  <c r="AB1131" i="7"/>
  <c r="EE32" i="6"/>
  <c r="EA32" i="6" s="1"/>
  <c r="EF32" i="6" s="1"/>
  <c r="EF81" i="6" s="1"/>
  <c r="L488" i="7"/>
  <c r="R203" i="8"/>
  <c r="O203" i="8"/>
  <c r="V68" i="8"/>
  <c r="L203" i="8"/>
  <c r="L380" i="7"/>
  <c r="AR82" i="6"/>
  <c r="AL82" i="6"/>
  <c r="J1130" i="7"/>
  <c r="AA24" i="6"/>
  <c r="N326" i="7"/>
  <c r="N1128" i="7"/>
  <c r="O617" i="7"/>
  <c r="BE28" i="6"/>
  <c r="I407" i="20"/>
  <c r="Z407" i="20" s="1"/>
  <c r="AV213" i="2"/>
  <c r="H407" i="20"/>
  <c r="V211" i="7"/>
  <c r="N380" i="7"/>
  <c r="BK70" i="11"/>
  <c r="BL70" i="11" s="1"/>
  <c r="Q380" i="7"/>
  <c r="W241" i="7"/>
  <c r="AC318" i="7"/>
  <c r="AD318" i="7" s="1"/>
  <c r="I366" i="7"/>
  <c r="L68" i="8"/>
  <c r="M366" i="7"/>
  <c r="M203" i="8"/>
  <c r="DX77" i="6"/>
  <c r="M380" i="7"/>
  <c r="K488" i="7"/>
  <c r="Z366" i="7"/>
  <c r="AM366" i="7" s="1"/>
  <c r="V803" i="7"/>
  <c r="U203" i="8"/>
  <c r="AA966" i="7"/>
  <c r="AA977" i="7" s="1"/>
  <c r="AA701" i="7"/>
  <c r="O241" i="7"/>
  <c r="J877" i="7"/>
  <c r="J878" i="7" s="1"/>
  <c r="AY65" i="6"/>
  <c r="AB203" i="8"/>
  <c r="W380" i="7"/>
  <c r="Q68" i="8"/>
  <c r="L366" i="7"/>
  <c r="BN70" i="11"/>
  <c r="DF79" i="6"/>
  <c r="CH12" i="6"/>
  <c r="ED91" i="6"/>
  <c r="CO67" i="6"/>
  <c r="BN104" i="11"/>
  <c r="CB68" i="6"/>
  <c r="AB488" i="7"/>
  <c r="H380" i="7"/>
  <c r="R1128" i="7"/>
  <c r="AE97" i="25"/>
  <c r="R338" i="7"/>
  <c r="Q877" i="7"/>
  <c r="Q878" i="7" s="1"/>
  <c r="Z523" i="7"/>
  <c r="AM523" i="7" s="1"/>
  <c r="P523" i="7"/>
  <c r="Y523" i="7"/>
  <c r="AE997" i="7"/>
  <c r="Q203" i="8"/>
  <c r="AC68" i="8"/>
  <c r="W597" i="7"/>
  <c r="O1129" i="7"/>
  <c r="X366" i="7"/>
  <c r="J488" i="7"/>
  <c r="CK70" i="11"/>
  <c r="Y1131" i="7"/>
  <c r="U359" i="7"/>
  <c r="AC476" i="7"/>
  <c r="AC477" i="7" s="1"/>
  <c r="J713" i="7"/>
  <c r="L241" i="7"/>
  <c r="AA1128" i="7"/>
  <c r="J204" i="8"/>
  <c r="AA204" i="8"/>
  <c r="M1103" i="7"/>
  <c r="M1107" i="7" s="1"/>
  <c r="M999" i="7" s="1"/>
  <c r="M1013" i="7" s="1"/>
  <c r="Z1131" i="7"/>
  <c r="AR20" i="6"/>
  <c r="T380" i="7"/>
  <c r="Q529" i="7"/>
  <c r="AB815" i="7"/>
  <c r="Y380" i="7"/>
  <c r="AU28" i="6"/>
  <c r="BV24" i="6"/>
  <c r="U965" i="7"/>
  <c r="U976" i="7" s="1"/>
  <c r="U501" i="7"/>
  <c r="U480" i="7"/>
  <c r="U82" i="25"/>
  <c r="U511" i="7"/>
  <c r="U512" i="7" s="1"/>
  <c r="U124" i="25" s="1"/>
  <c r="W258" i="23"/>
  <c r="W250" i="23"/>
  <c r="W242" i="23"/>
  <c r="R256" i="7"/>
  <c r="R897" i="7" s="1"/>
  <c r="CU24" i="6"/>
  <c r="V488" i="7"/>
  <c r="T504" i="7"/>
  <c r="CI24" i="6"/>
  <c r="M213" i="7"/>
  <c r="L213" i="7"/>
  <c r="AU213" i="2"/>
  <c r="F407" i="20"/>
  <c r="BD68" i="6"/>
  <c r="EP28" i="6"/>
  <c r="EP77" i="6" s="1"/>
  <c r="AE593" i="7"/>
  <c r="AE1098" i="7" s="1"/>
  <c r="AD1098" i="7"/>
  <c r="M65" i="7"/>
  <c r="M66" i="7" s="1"/>
  <c r="M256" i="23"/>
  <c r="M248" i="23"/>
  <c r="I30" i="6"/>
  <c r="G1128" i="7"/>
  <c r="CT59" i="6"/>
  <c r="N65" i="7"/>
  <c r="N66" i="7" s="1"/>
  <c r="N67" i="7" s="1"/>
  <c r="N256" i="23"/>
  <c r="Y320" i="7"/>
  <c r="DM30" i="6"/>
  <c r="Z1128" i="7"/>
  <c r="AM318" i="7"/>
  <c r="DS30" i="6"/>
  <c r="CO70" i="11"/>
  <c r="K1099" i="7"/>
  <c r="N65" i="6"/>
  <c r="S815" i="7"/>
  <c r="T803" i="7"/>
  <c r="CB43" i="6"/>
  <c r="CZ70" i="6"/>
  <c r="AL20" i="6"/>
  <c r="AL18" i="6" s="1"/>
  <c r="AI18" i="6" s="1"/>
  <c r="AN18" i="6" s="1"/>
  <c r="AN67" i="6" s="1"/>
  <c r="L1103" i="7"/>
  <c r="L1107" i="7" s="1"/>
  <c r="L249" i="7"/>
  <c r="Q256" i="23"/>
  <c r="EP90" i="6"/>
  <c r="C101" i="2"/>
  <c r="AT101" i="2" s="1"/>
  <c r="O174" i="23"/>
  <c r="O14" i="25" s="1"/>
  <c r="AH58" i="11"/>
  <c r="CX64" i="6"/>
  <c r="BL13" i="11"/>
  <c r="AA177" i="23"/>
  <c r="AA17" i="25" s="1"/>
  <c r="AC62" i="6"/>
  <c r="BX104" i="11"/>
  <c r="BQ60" i="6"/>
  <c r="BI11" i="11"/>
  <c r="V186" i="23"/>
  <c r="V44" i="25" s="1"/>
  <c r="DZ85" i="11"/>
  <c r="EA85" i="11" s="1"/>
  <c r="AE297" i="23" s="1"/>
  <c r="AE291" i="23" s="1"/>
  <c r="AE450" i="23" s="1"/>
  <c r="K65" i="6"/>
  <c r="CL64" i="6"/>
  <c r="BM36" i="6"/>
  <c r="BS85" i="6" s="1"/>
  <c r="DE7" i="11"/>
  <c r="F144" i="2"/>
  <c r="J507" i="20" s="1"/>
  <c r="AA507" i="20" s="1"/>
  <c r="AB147" i="23"/>
  <c r="DH26" i="11" s="1"/>
  <c r="DH30" i="11" s="1"/>
  <c r="DH2" i="11" s="1"/>
  <c r="CQ85" i="6"/>
  <c r="AO62" i="6"/>
  <c r="BF87" i="11"/>
  <c r="Q91" i="23" s="1"/>
  <c r="DJ85" i="11"/>
  <c r="CR64" i="6"/>
  <c r="X172" i="23"/>
  <c r="X12" i="25" s="1"/>
  <c r="S176" i="23"/>
  <c r="S16" i="25" s="1"/>
  <c r="BS62" i="6"/>
  <c r="BG86" i="11"/>
  <c r="J179" i="23"/>
  <c r="J19" i="25" s="1"/>
  <c r="BI10" i="11"/>
  <c r="BZ64" i="6"/>
  <c r="Q179" i="23"/>
  <c r="Q19" i="25" s="1"/>
  <c r="AF85" i="6"/>
  <c r="X141" i="23"/>
  <c r="CN20" i="11" s="1"/>
  <c r="AM15" i="11"/>
  <c r="O143" i="23"/>
  <c r="AU22" i="11" s="1"/>
  <c r="W96" i="6"/>
  <c r="Z143" i="23"/>
  <c r="CX22" i="11" s="1"/>
  <c r="BA62" i="6"/>
  <c r="F109" i="2"/>
  <c r="AW109" i="2" s="1"/>
  <c r="CC104" i="11"/>
  <c r="DB59" i="11"/>
  <c r="Z90" i="17"/>
  <c r="Z85" i="6"/>
  <c r="BL13" i="6"/>
  <c r="BL62" i="6" s="1"/>
  <c r="BD10" i="11"/>
  <c r="AT48" i="11"/>
  <c r="R87" i="11"/>
  <c r="I91" i="23" s="1"/>
  <c r="CN85" i="6"/>
  <c r="CT87" i="11"/>
  <c r="CU87" i="11" s="1"/>
  <c r="DX59" i="11"/>
  <c r="AE24" i="23" s="1"/>
  <c r="X64" i="6"/>
  <c r="K184" i="23"/>
  <c r="K24" i="25" s="1"/>
  <c r="DQ104" i="11"/>
  <c r="DG10" i="11"/>
  <c r="BB64" i="6"/>
  <c r="CD13" i="6"/>
  <c r="CD62" i="6" s="1"/>
  <c r="AC32" i="6"/>
  <c r="AH32" i="6" s="1"/>
  <c r="AH81" i="6" s="1"/>
  <c r="Z11" i="11"/>
  <c r="CU62" i="11"/>
  <c r="CK63" i="11"/>
  <c r="BG85" i="11"/>
  <c r="CQ62" i="6"/>
  <c r="AD450" i="23"/>
  <c r="AD455" i="23" s="1"/>
  <c r="I172" i="23"/>
  <c r="I12" i="25" s="1"/>
  <c r="V8" i="6"/>
  <c r="V57" i="6" s="1"/>
  <c r="V151" i="23"/>
  <c r="CD29" i="11" s="1"/>
  <c r="AR101" i="11"/>
  <c r="AY73" i="11"/>
  <c r="AR48" i="11"/>
  <c r="AC82" i="17"/>
  <c r="AD90" i="17"/>
  <c r="DV64" i="6"/>
  <c r="CW60" i="6"/>
  <c r="DI48" i="11"/>
  <c r="DJ48" i="11" s="1"/>
  <c r="AA141" i="23"/>
  <c r="CF16" i="11"/>
  <c r="S9" i="11"/>
  <c r="X143" i="23"/>
  <c r="CN22" i="11" s="1"/>
  <c r="I174" i="23"/>
  <c r="I14" i="25" s="1"/>
  <c r="CP9" i="11"/>
  <c r="AQ102" i="11"/>
  <c r="N113" i="23" s="1"/>
  <c r="BW12" i="11"/>
  <c r="DD10" i="11"/>
  <c r="DC10" i="11" s="1"/>
  <c r="DT13" i="6"/>
  <c r="DT62" i="6" s="1"/>
  <c r="S185" i="23"/>
  <c r="S25" i="25" s="1"/>
  <c r="AH118" i="11"/>
  <c r="CO48" i="11"/>
  <c r="CP48" i="11" s="1"/>
  <c r="BF13" i="6"/>
  <c r="BF62" i="6" s="1"/>
  <c r="AV64" i="6"/>
  <c r="Y12" i="11"/>
  <c r="Y14" i="11" s="1"/>
  <c r="AE212" i="23"/>
  <c r="AE416" i="23" s="1"/>
  <c r="AE428" i="23" s="1"/>
  <c r="DX49" i="11"/>
  <c r="DZ49" i="11" s="1"/>
  <c r="EA49" i="11" s="1"/>
  <c r="AE207" i="23" s="1"/>
  <c r="DV49" i="11"/>
  <c r="AD207" i="23" s="1"/>
  <c r="AD201" i="23" s="1"/>
  <c r="J96" i="7"/>
  <c r="J99" i="7"/>
  <c r="BG15" i="11"/>
  <c r="CF63" i="11"/>
  <c r="S186" i="23"/>
  <c r="S44" i="25" s="1"/>
  <c r="X21" i="17"/>
  <c r="X22" i="17" s="1"/>
  <c r="CT105" i="17"/>
  <c r="CF116" i="17"/>
  <c r="U345" i="7"/>
  <c r="BM21" i="17"/>
  <c r="Q737" i="7"/>
  <c r="Q758" i="7"/>
  <c r="Q748" i="7"/>
  <c r="AH62" i="11"/>
  <c r="AH13" i="11"/>
  <c r="R64" i="6"/>
  <c r="Y179" i="23"/>
  <c r="Y19" i="25" s="1"/>
  <c r="BQ58" i="11"/>
  <c r="L172" i="23"/>
  <c r="L12" i="25" s="1"/>
  <c r="AM100" i="11"/>
  <c r="W143" i="23"/>
  <c r="CI22" i="11" s="1"/>
  <c r="Q143" i="23"/>
  <c r="BE22" i="11" s="1"/>
  <c r="Q174" i="23"/>
  <c r="Q14" i="25" s="1"/>
  <c r="W141" i="23"/>
  <c r="W139" i="23" s="1"/>
  <c r="BB63" i="11"/>
  <c r="CF9" i="11"/>
  <c r="L67" i="23"/>
  <c r="AC204" i="8"/>
  <c r="X490" i="7"/>
  <c r="Q82" i="17"/>
  <c r="AA71" i="8"/>
  <c r="Q60" i="6"/>
  <c r="X435" i="23"/>
  <c r="D197" i="2"/>
  <c r="F352" i="20" s="1"/>
  <c r="W352" i="20" s="1"/>
  <c r="L198" i="8"/>
  <c r="L205" i="8" s="1"/>
  <c r="L9" i="28"/>
  <c r="T345" i="7"/>
  <c r="AM729" i="7"/>
  <c r="R748" i="7"/>
  <c r="I108" i="17"/>
  <c r="L1142" i="7"/>
  <c r="AW32" i="17"/>
  <c r="CH32" i="17"/>
  <c r="AC152" i="8"/>
  <c r="T573" i="7"/>
  <c r="V147" i="8"/>
  <c r="V161" i="8" s="1"/>
  <c r="AM117" i="17"/>
  <c r="I253" i="8"/>
  <c r="S86" i="11"/>
  <c r="AK108" i="17"/>
  <c r="AB71" i="8"/>
  <c r="BY21" i="17"/>
  <c r="J127" i="8"/>
  <c r="J130" i="8" s="1"/>
  <c r="BF32" i="17"/>
  <c r="CP142" i="17"/>
  <c r="BX142" i="17"/>
  <c r="AS21" i="17"/>
  <c r="J435" i="23"/>
  <c r="BQ32" i="17"/>
  <c r="Z25" i="17"/>
  <c r="Z27" i="17" s="1"/>
  <c r="Z29" i="17" s="1"/>
  <c r="CC82" i="17"/>
  <c r="CH90" i="17"/>
  <c r="O116" i="7"/>
  <c r="P118" i="7" s="1"/>
  <c r="P121" i="7" s="1"/>
  <c r="P123" i="7"/>
  <c r="AD53" i="25"/>
  <c r="AE8" i="8"/>
  <c r="F177" i="2"/>
  <c r="AW177" i="2" s="1"/>
  <c r="AD9" i="8"/>
  <c r="AA448" i="7"/>
  <c r="AQ21" i="17"/>
  <c r="T78" i="8"/>
  <c r="T147" i="8" s="1"/>
  <c r="Y21" i="17"/>
  <c r="Y22" i="17" s="1"/>
  <c r="W106" i="7"/>
  <c r="W109" i="7" s="1"/>
  <c r="K96" i="7"/>
  <c r="K99" i="7"/>
  <c r="I758" i="7"/>
  <c r="I737" i="7"/>
  <c r="Q447" i="23"/>
  <c r="R447" i="23"/>
  <c r="M552" i="7"/>
  <c r="M583" i="7"/>
  <c r="N573" i="7"/>
  <c r="Z80" i="11"/>
  <c r="AE80" i="11"/>
  <c r="Z174" i="23"/>
  <c r="Z14" i="25" s="1"/>
  <c r="AH7" i="11"/>
  <c r="AL102" i="11"/>
  <c r="M113" i="23" s="1"/>
  <c r="W174" i="23"/>
  <c r="W14" i="25" s="1"/>
  <c r="CJ10" i="11"/>
  <c r="CK10" i="11" s="1"/>
  <c r="V174" i="23"/>
  <c r="V14" i="25" s="1"/>
  <c r="U573" i="7"/>
  <c r="P206" i="8"/>
  <c r="Y435" i="23"/>
  <c r="V82" i="8"/>
  <c r="N157" i="23"/>
  <c r="Z121" i="8"/>
  <c r="P203" i="8"/>
  <c r="AY21" i="17"/>
  <c r="CJ32" i="17"/>
  <c r="Q127" i="8"/>
  <c r="J253" i="8"/>
  <c r="BI80" i="11"/>
  <c r="I141" i="23"/>
  <c r="Q20" i="11" s="1"/>
  <c r="DG104" i="11"/>
  <c r="R127" i="8"/>
  <c r="U118" i="8"/>
  <c r="BQ111" i="17"/>
  <c r="BQ9" i="17" s="1"/>
  <c r="K204" i="8"/>
  <c r="CT142" i="17"/>
  <c r="CF105" i="17"/>
  <c r="V56" i="25"/>
  <c r="P282" i="23"/>
  <c r="P283" i="23" s="1"/>
  <c r="H21" i="17"/>
  <c r="H22" i="17" s="1"/>
  <c r="Z21" i="17"/>
  <c r="Z22" i="17" s="1"/>
  <c r="AP21" i="17"/>
  <c r="Z67" i="23"/>
  <c r="Y67" i="23"/>
  <c r="AD1082" i="7"/>
  <c r="AE590" i="7"/>
  <c r="AE1082" i="7" s="1"/>
  <c r="EO33" i="6"/>
  <c r="EO82" i="6" s="1"/>
  <c r="DQ48" i="11"/>
  <c r="DS48" i="11"/>
  <c r="DU48" i="11" s="1"/>
  <c r="Q287" i="23"/>
  <c r="R287" i="23"/>
  <c r="BS96" i="6"/>
  <c r="BM96" i="6"/>
  <c r="CD90" i="17"/>
  <c r="P141" i="23"/>
  <c r="P139" i="23" s="1"/>
  <c r="AM8" i="11"/>
  <c r="BK84" i="6"/>
  <c r="W10" i="11"/>
  <c r="J144" i="23" s="1"/>
  <c r="V23" i="11" s="1"/>
  <c r="J143" i="23"/>
  <c r="V22" i="11" s="1"/>
  <c r="X9" i="11"/>
  <c r="AN13" i="6"/>
  <c r="AN62" i="6" s="1"/>
  <c r="CR104" i="11"/>
  <c r="AU36" i="6"/>
  <c r="AU85" i="6" s="1"/>
  <c r="CK7" i="11"/>
  <c r="M142" i="23"/>
  <c r="AK21" i="11" s="1"/>
  <c r="CW80" i="6"/>
  <c r="BD85" i="6"/>
  <c r="BB7" i="11"/>
  <c r="AM85" i="11"/>
  <c r="DY60" i="6"/>
  <c r="X203" i="8"/>
  <c r="X204" i="8"/>
  <c r="AA117" i="17"/>
  <c r="K157" i="23"/>
  <c r="AB117" i="17"/>
  <c r="Y108" i="17"/>
  <c r="AC117" i="17"/>
  <c r="DG60" i="6"/>
  <c r="DM60" i="6"/>
  <c r="M71" i="8"/>
  <c r="M21" i="17"/>
  <c r="M22" i="17" s="1"/>
  <c r="L250" i="8"/>
  <c r="L254" i="8" s="1"/>
  <c r="M256" i="8"/>
  <c r="M174" i="8"/>
  <c r="L146" i="8"/>
  <c r="L160" i="8" s="1"/>
  <c r="L181" i="8"/>
  <c r="X67" i="23"/>
  <c r="W67" i="23"/>
  <c r="J84" i="7"/>
  <c r="J87" i="7"/>
  <c r="CK21" i="17"/>
  <c r="D6" i="28"/>
  <c r="N195" i="8"/>
  <c r="N202" i="8" s="1"/>
  <c r="N171" i="8"/>
  <c r="M171" i="8"/>
  <c r="X87" i="7"/>
  <c r="AA202" i="8"/>
  <c r="I161" i="23"/>
  <c r="U197" i="17"/>
  <c r="CV93" i="17"/>
  <c r="CV95" i="17"/>
  <c r="BZ21" i="17"/>
  <c r="W430" i="23"/>
  <c r="X430" i="23"/>
  <c r="M253" i="8"/>
  <c r="AA203" i="8"/>
  <c r="K158" i="8"/>
  <c r="B7" i="28"/>
  <c r="CI21" i="17"/>
  <c r="V1035" i="7"/>
  <c r="V1036" i="7" s="1"/>
  <c r="U1035" i="7"/>
  <c r="U1036" i="7" s="1"/>
  <c r="U256" i="7"/>
  <c r="U897" i="7" s="1"/>
  <c r="U260" i="7"/>
  <c r="V260" i="7"/>
  <c r="K67" i="23"/>
  <c r="M99" i="7"/>
  <c r="N71" i="8"/>
  <c r="AF1008" i="7"/>
  <c r="L253" i="8"/>
  <c r="Z118" i="17"/>
  <c r="X462" i="7"/>
  <c r="X459" i="7"/>
  <c r="K143" i="23"/>
  <c r="AA22" i="11" s="1"/>
  <c r="K174" i="23"/>
  <c r="K14" i="25" s="1"/>
  <c r="AE591" i="7"/>
  <c r="AE1080" i="7" s="1"/>
  <c r="EO28" i="6"/>
  <c r="AD1080" i="7"/>
  <c r="CW11" i="11"/>
  <c r="CQ12" i="11"/>
  <c r="CQ14" i="11" s="1"/>
  <c r="CR11" i="11"/>
  <c r="Y287" i="23"/>
  <c r="X287" i="23"/>
  <c r="AR15" i="11"/>
  <c r="N149" i="23"/>
  <c r="AP28" i="11" s="1"/>
  <c r="P435" i="23"/>
  <c r="Q435" i="23"/>
  <c r="T280" i="23"/>
  <c r="T282" i="23" s="1"/>
  <c r="T265" i="23"/>
  <c r="Q121" i="7"/>
  <c r="Q123" i="7"/>
  <c r="X96" i="7"/>
  <c r="X99" i="7"/>
  <c r="W73" i="8"/>
  <c r="DH13" i="6"/>
  <c r="DH62" i="6" s="1"/>
  <c r="I342" i="7"/>
  <c r="I204" i="8"/>
  <c r="BB32" i="17"/>
  <c r="J174" i="23"/>
  <c r="J14" i="25" s="1"/>
  <c r="X359" i="7"/>
  <c r="M159" i="23"/>
  <c r="CV174" i="17"/>
  <c r="Y71" i="8"/>
  <c r="T359" i="7"/>
  <c r="L159" i="23"/>
  <c r="AG147" i="17"/>
  <c r="O159" i="8"/>
  <c r="I342" i="20"/>
  <c r="Z342" i="20" s="1"/>
  <c r="I409" i="20"/>
  <c r="Z409" i="20" s="1"/>
  <c r="H409" i="20"/>
  <c r="H342" i="20"/>
  <c r="Y342" i="20" s="1"/>
  <c r="AV192" i="2"/>
  <c r="CW80" i="11"/>
  <c r="CR80" i="11"/>
  <c r="Y447" i="23"/>
  <c r="X447" i="23"/>
  <c r="V90" i="17"/>
  <c r="U82" i="17"/>
  <c r="U435" i="23"/>
  <c r="V435" i="23"/>
  <c r="T82" i="8"/>
  <c r="H250" i="8"/>
  <c r="I255" i="8"/>
  <c r="P67" i="23"/>
  <c r="Q67" i="23"/>
  <c r="Y918" i="7"/>
  <c r="Y929" i="7" s="1"/>
  <c r="Y907" i="7"/>
  <c r="AA421" i="7"/>
  <c r="AA420" i="7"/>
  <c r="AA423" i="7" s="1"/>
  <c r="D9" i="28"/>
  <c r="AC195" i="8"/>
  <c r="AC202" i="8" s="1"/>
  <c r="U67" i="23"/>
  <c r="V67" i="23"/>
  <c r="AM478" i="7"/>
  <c r="Z490" i="7"/>
  <c r="AM490" i="7" s="1"/>
  <c r="Z479" i="7"/>
  <c r="AA14" i="7"/>
  <c r="K84" i="7"/>
  <c r="K87" i="7"/>
  <c r="BY66" i="6"/>
  <c r="R10" i="11"/>
  <c r="Q10" i="11" s="1"/>
  <c r="P147" i="23"/>
  <c r="AZ26" i="11" s="1"/>
  <c r="P204" i="8"/>
  <c r="AQ32" i="17"/>
  <c r="AC147" i="17"/>
  <c r="O121" i="8"/>
  <c r="Z71" i="8"/>
  <c r="K255" i="8"/>
  <c r="DA60" i="6"/>
  <c r="V359" i="7"/>
  <c r="BU10" i="11"/>
  <c r="T144" i="23" s="1"/>
  <c r="BT23" i="11" s="1"/>
  <c r="T141" i="23"/>
  <c r="BT20" i="11" s="1"/>
  <c r="BV7" i="11"/>
  <c r="V345" i="7"/>
  <c r="CV67" i="17"/>
  <c r="R1142" i="7"/>
  <c r="Q21" i="17"/>
  <c r="Q22" i="17" s="1"/>
  <c r="CD32" i="17"/>
  <c r="M121" i="8"/>
  <c r="V157" i="17"/>
  <c r="J159" i="23"/>
  <c r="CV176" i="17"/>
  <c r="V204" i="8"/>
  <c r="Y198" i="8"/>
  <c r="Y205" i="8" s="1"/>
  <c r="BG32" i="17"/>
  <c r="O127" i="8"/>
  <c r="DB104" i="11"/>
  <c r="I121" i="8"/>
  <c r="AB25" i="17"/>
  <c r="AB27" i="17" s="1"/>
  <c r="AB29" i="17" s="1"/>
  <c r="AE790" i="7"/>
  <c r="AE791" i="7" s="1"/>
  <c r="AE794" i="7" s="1"/>
  <c r="O25" i="17"/>
  <c r="O27" i="17" s="1"/>
  <c r="O29" i="17" s="1"/>
  <c r="CT116" i="17"/>
  <c r="CB116" i="17"/>
  <c r="BU32" i="17"/>
  <c r="Q151" i="8"/>
  <c r="DI96" i="6"/>
  <c r="DC96" i="6"/>
  <c r="H721" i="7"/>
  <c r="L479" i="7"/>
  <c r="M491" i="7" s="1"/>
  <c r="M490" i="7"/>
  <c r="AB159" i="8"/>
  <c r="Z146" i="8"/>
  <c r="Z160" i="8" s="1"/>
  <c r="BV90" i="17"/>
  <c r="BU82" i="17"/>
  <c r="BT142" i="17"/>
  <c r="BT105" i="17"/>
  <c r="J250" i="8"/>
  <c r="K254" i="8" s="1"/>
  <c r="BU111" i="17"/>
  <c r="F142" i="2"/>
  <c r="AW142" i="2" s="1"/>
  <c r="AD192" i="23"/>
  <c r="AE42" i="7"/>
  <c r="N177" i="23"/>
  <c r="N17" i="25" s="1"/>
  <c r="W184" i="23"/>
  <c r="W24" i="25" s="1"/>
  <c r="AR67" i="20"/>
  <c r="AP230" i="20"/>
  <c r="AP233" i="20"/>
  <c r="AR70" i="20"/>
  <c r="AR68" i="20"/>
  <c r="AP231" i="20"/>
  <c r="AP239" i="20"/>
  <c r="AG301" i="2"/>
  <c r="AS280" i="20"/>
  <c r="AR278" i="20"/>
  <c r="AR280" i="20"/>
  <c r="AS284" i="20"/>
  <c r="AR284" i="20"/>
  <c r="AO35" i="20"/>
  <c r="AS278" i="20"/>
  <c r="BA102" i="11"/>
  <c r="AZ102" i="11" s="1"/>
  <c r="BB100" i="11"/>
  <c r="BG65" i="6"/>
  <c r="O60" i="6"/>
  <c r="DE81" i="11"/>
  <c r="P13" i="6"/>
  <c r="P62" i="6" s="1"/>
  <c r="AR70" i="11"/>
  <c r="CH104" i="11"/>
  <c r="DZ58" i="11"/>
  <c r="EA58" i="11" s="1"/>
  <c r="AE227" i="23" s="1"/>
  <c r="AC172" i="23"/>
  <c r="E101" i="2" s="1"/>
  <c r="DS64" i="11"/>
  <c r="DS75" i="11" s="1"/>
  <c r="DV58" i="11"/>
  <c r="AD227" i="23" s="1"/>
  <c r="AD213" i="23" s="1"/>
  <c r="AD26" i="25" s="1"/>
  <c r="DJ15" i="11"/>
  <c r="DQ96" i="6"/>
  <c r="AE185" i="23"/>
  <c r="AE25" i="25" s="1"/>
  <c r="CL65" i="11"/>
  <c r="DU59" i="11"/>
  <c r="DV59" i="11" s="1"/>
  <c r="AD228" i="23" s="1"/>
  <c r="AD214" i="23" s="1"/>
  <c r="F139" i="2" s="1"/>
  <c r="AW139" i="2" s="1"/>
  <c r="BE60" i="6"/>
  <c r="CM59" i="11"/>
  <c r="AD175" i="23"/>
  <c r="AD15" i="25" s="1"/>
  <c r="BL48" i="11"/>
  <c r="AZ13" i="6"/>
  <c r="AZ62" i="6" s="1"/>
  <c r="BW60" i="6"/>
  <c r="AC141" i="23"/>
  <c r="DM20" i="11" s="1"/>
  <c r="DR59" i="11"/>
  <c r="AD37" i="23" s="1"/>
  <c r="AD23" i="23" s="1"/>
  <c r="CC73" i="11"/>
  <c r="AW121" i="2"/>
  <c r="BP48" i="11"/>
  <c r="BQ48" i="11" s="1"/>
  <c r="BR13" i="6"/>
  <c r="BR62" i="6" s="1"/>
  <c r="BX73" i="11"/>
  <c r="Z179" i="23"/>
  <c r="Z19" i="25" s="1"/>
  <c r="I378" i="20"/>
  <c r="Z378" i="20" s="1"/>
  <c r="AV203" i="2"/>
  <c r="H378" i="20"/>
  <c r="Y378" i="20" s="1"/>
  <c r="AW123" i="2"/>
  <c r="G112" i="20"/>
  <c r="X112" i="20" s="1"/>
  <c r="CU79" i="17"/>
  <c r="CV94" i="17"/>
  <c r="CU104" i="17"/>
  <c r="CU106" i="17" s="1"/>
  <c r="CU111" i="17" s="1"/>
  <c r="CU93" i="17"/>
  <c r="CU88" i="17"/>
  <c r="CU8" i="17" s="1"/>
  <c r="H117" i="2" s="1"/>
  <c r="Z198" i="8"/>
  <c r="Z205" i="8" s="1"/>
  <c r="CV88" i="17"/>
  <c r="CV8" i="17" s="1"/>
  <c r="I117" i="2" s="1"/>
  <c r="AB106" i="7"/>
  <c r="AB112" i="7" s="1"/>
  <c r="BR116" i="17"/>
  <c r="AH151" i="17"/>
  <c r="AG156" i="17"/>
  <c r="AD157" i="17"/>
  <c r="BF21" i="17"/>
  <c r="Q623" i="7"/>
  <c r="Q635" i="7" s="1"/>
  <c r="S897" i="7"/>
  <c r="H107" i="25"/>
  <c r="H1142" i="7"/>
  <c r="CJ116" i="17"/>
  <c r="CF142" i="17"/>
  <c r="CG111" i="17"/>
  <c r="H25" i="17"/>
  <c r="H27" i="17" s="1"/>
  <c r="H29" i="17" s="1"/>
  <c r="N127" i="8"/>
  <c r="M127" i="8"/>
  <c r="K430" i="23"/>
  <c r="V342" i="7"/>
  <c r="AC67" i="23"/>
  <c r="BC21" i="17"/>
  <c r="V118" i="8"/>
  <c r="N121" i="8"/>
  <c r="AH21" i="17"/>
  <c r="AH22" i="17" s="1"/>
  <c r="X907" i="7"/>
  <c r="X918" i="7"/>
  <c r="X929" i="7" s="1"/>
  <c r="EI60" i="6"/>
  <c r="EG11" i="6"/>
  <c r="EG60" i="6" s="1"/>
  <c r="R583" i="7"/>
  <c r="R552" i="7"/>
  <c r="S573" i="7"/>
  <c r="CO111" i="17"/>
  <c r="CN105" i="17"/>
  <c r="CN142" i="17"/>
  <c r="CN116" i="17"/>
  <c r="CR116" i="17"/>
  <c r="M314" i="7"/>
  <c r="K117" i="17"/>
  <c r="M117" i="17"/>
  <c r="BC32" i="17"/>
  <c r="BP21" i="17"/>
  <c r="AF21" i="17"/>
  <c r="AF22" i="17" s="1"/>
  <c r="V353" i="7"/>
  <c r="AD151" i="17"/>
  <c r="X127" i="8"/>
  <c r="V583" i="7"/>
  <c r="V552" i="7"/>
  <c r="CB142" i="17"/>
  <c r="CB105" i="17"/>
  <c r="AW117" i="2"/>
  <c r="G105" i="20"/>
  <c r="X105" i="20" s="1"/>
  <c r="Z151" i="8"/>
  <c r="Z148" i="8" s="1"/>
  <c r="Y151" i="8"/>
  <c r="Y148" i="8" s="1"/>
  <c r="BU21" i="17"/>
  <c r="K260" i="7"/>
  <c r="K256" i="7"/>
  <c r="Y158" i="8"/>
  <c r="BN48" i="11"/>
  <c r="U73" i="8"/>
  <c r="AA106" i="7"/>
  <c r="AA112" i="7" s="1"/>
  <c r="K198" i="8"/>
  <c r="K205" i="8" s="1"/>
  <c r="T70" i="6"/>
  <c r="Z70" i="6"/>
  <c r="X313" i="7"/>
  <c r="BI21" i="17"/>
  <c r="AB420" i="7"/>
  <c r="AB423" i="7" s="1"/>
  <c r="BP105" i="17"/>
  <c r="BP142" i="17"/>
  <c r="BP116" i="17"/>
  <c r="I21" i="17"/>
  <c r="I22" i="17" s="1"/>
  <c r="K422" i="20"/>
  <c r="AB422" i="20" s="1"/>
  <c r="AW221" i="2"/>
  <c r="AH63" i="11"/>
  <c r="DD64" i="6"/>
  <c r="AE65" i="23"/>
  <c r="DB45" i="17"/>
  <c r="DJ8" i="11"/>
  <c r="AB142" i="23"/>
  <c r="DH21" i="11" s="1"/>
  <c r="BO32" i="17"/>
  <c r="CF32" i="17"/>
  <c r="CL142" i="17"/>
  <c r="CL111" i="17"/>
  <c r="CL116" i="17"/>
  <c r="CL105" i="17"/>
  <c r="AE140" i="7"/>
  <c r="EQ17" i="6"/>
  <c r="EQ66" i="6" s="1"/>
  <c r="AD100" i="25"/>
  <c r="F233" i="2"/>
  <c r="AW233" i="2" s="1"/>
  <c r="AD1120" i="7"/>
  <c r="Z342" i="7"/>
  <c r="AM342" i="7" s="1"/>
  <c r="Q345" i="7"/>
  <c r="CY73" i="17"/>
  <c r="I178" i="8"/>
  <c r="I143" i="8"/>
  <c r="I157" i="8" s="1"/>
  <c r="BN21" i="17"/>
  <c r="BZ111" i="17"/>
  <c r="BZ142" i="17"/>
  <c r="BZ116" i="17"/>
  <c r="BZ105" i="17"/>
  <c r="CP116" i="17"/>
  <c r="M73" i="8"/>
  <c r="AA121" i="8"/>
  <c r="CC32" i="17"/>
  <c r="AM569" i="7"/>
  <c r="J152" i="8"/>
  <c r="I152" i="8"/>
  <c r="AC543" i="7"/>
  <c r="AB578" i="7"/>
  <c r="BN116" i="17"/>
  <c r="BN142" i="17"/>
  <c r="BN111" i="17"/>
  <c r="BN105" i="17"/>
  <c r="R73" i="8"/>
  <c r="Z582" i="7"/>
  <c r="AM582" i="7" s="1"/>
  <c r="AA569" i="7"/>
  <c r="AA549" i="7"/>
  <c r="AM549" i="7"/>
  <c r="AU117" i="2"/>
  <c r="E105" i="20"/>
  <c r="V105" i="20" s="1"/>
  <c r="P56" i="25"/>
  <c r="P115" i="8"/>
  <c r="P161" i="8" s="1"/>
  <c r="CH105" i="17"/>
  <c r="CH111" i="17"/>
  <c r="CH142" i="17"/>
  <c r="AG299" i="2"/>
  <c r="AR150" i="20" s="1"/>
  <c r="AQ150" i="20"/>
  <c r="AP255" i="20"/>
  <c r="AO234" i="20"/>
  <c r="AG293" i="2"/>
  <c r="AO27" i="20"/>
  <c r="AQ71" i="20"/>
  <c r="AO238" i="20"/>
  <c r="AR69" i="20"/>
  <c r="AP232" i="20"/>
  <c r="AR62" i="20"/>
  <c r="AR154" i="20"/>
  <c r="AP223" i="20"/>
  <c r="AP228" i="20"/>
  <c r="AR65" i="20"/>
  <c r="BS104" i="11"/>
  <c r="CV13" i="6"/>
  <c r="CV62" i="6" s="1"/>
  <c r="AH13" i="6"/>
  <c r="AH62" i="6" s="1"/>
  <c r="DE81" i="17"/>
  <c r="CU60" i="6"/>
  <c r="CC60" i="6"/>
  <c r="BX13" i="6"/>
  <c r="BX62" i="6" s="1"/>
  <c r="AG60" i="6"/>
  <c r="AM60" i="6"/>
  <c r="P186" i="23"/>
  <c r="P44" i="25" s="1"/>
  <c r="Y147" i="23"/>
  <c r="CS26" i="11" s="1"/>
  <c r="Z10" i="11"/>
  <c r="Z173" i="23"/>
  <c r="Z13" i="25" s="1"/>
  <c r="CO60" i="6"/>
  <c r="CY59" i="11"/>
  <c r="CY64" i="11" s="1"/>
  <c r="Z30" i="23" s="1"/>
  <c r="DC60" i="6"/>
  <c r="DI60" i="6"/>
  <c r="BG36" i="6"/>
  <c r="BG85" i="6" s="1"/>
  <c r="CP13" i="6"/>
  <c r="CP62" i="6" s="1"/>
  <c r="CP15" i="11"/>
  <c r="AA82" i="8"/>
  <c r="W204" i="8"/>
  <c r="AR21" i="17"/>
  <c r="BH21" i="17"/>
  <c r="CP21" i="17"/>
  <c r="S345" i="7"/>
  <c r="Q73" i="8"/>
  <c r="T430" i="23"/>
  <c r="CE21" i="17"/>
  <c r="T127" i="8"/>
  <c r="T118" i="8"/>
  <c r="AX32" i="17"/>
  <c r="J491" i="7"/>
  <c r="M6" i="28"/>
  <c r="CT21" i="17"/>
  <c r="AN32" i="17"/>
  <c r="AH25" i="17"/>
  <c r="AH27" i="17" s="1"/>
  <c r="AH29" i="17" s="1"/>
  <c r="M398" i="7"/>
  <c r="M401" i="7" s="1"/>
  <c r="M10" i="28"/>
  <c r="G124" i="2"/>
  <c r="AE474" i="7"/>
  <c r="AE1057" i="7" s="1"/>
  <c r="AD1057" i="7"/>
  <c r="EN24" i="6"/>
  <c r="EN73" i="6" s="1"/>
  <c r="AU32" i="17"/>
  <c r="AT32" i="17"/>
  <c r="Y78" i="8"/>
  <c r="Y83" i="8" s="1"/>
  <c r="BX21" i="17"/>
  <c r="CN21" i="17"/>
  <c r="AC430" i="23"/>
  <c r="V203" i="8"/>
  <c r="N203" i="8"/>
  <c r="S127" i="8"/>
  <c r="AA73" i="8"/>
  <c r="V21" i="17"/>
  <c r="V22" i="17" s="1"/>
  <c r="AL21" i="17"/>
  <c r="J25" i="17"/>
  <c r="J27" i="17" s="1"/>
  <c r="J29" i="17" s="1"/>
  <c r="J21" i="17"/>
  <c r="J22" i="17" s="1"/>
  <c r="AX121" i="2"/>
  <c r="H110" i="20"/>
  <c r="Y110" i="20" s="1"/>
  <c r="AX123" i="2"/>
  <c r="H112" i="20"/>
  <c r="Y112" i="20" s="1"/>
  <c r="BY32" i="17"/>
  <c r="BE32" i="17"/>
  <c r="W342" i="7"/>
  <c r="AF1007" i="7"/>
  <c r="W203" i="8"/>
  <c r="Y359" i="7"/>
  <c r="J9" i="28"/>
  <c r="CT32" i="17"/>
  <c r="M9" i="28"/>
  <c r="AX116" i="2"/>
  <c r="H104" i="20"/>
  <c r="Y104" i="20" s="1"/>
  <c r="AX115" i="2"/>
  <c r="H103" i="20"/>
  <c r="Y103" i="20" s="1"/>
  <c r="BR118" i="17"/>
  <c r="V157" i="23"/>
  <c r="BH12" i="11"/>
  <c r="X142" i="23"/>
  <c r="CN21" i="11" s="1"/>
  <c r="DB13" i="6"/>
  <c r="DB62" i="6" s="1"/>
  <c r="DR85" i="6"/>
  <c r="AQ59" i="11"/>
  <c r="N175" i="23" s="1"/>
  <c r="N15" i="25" s="1"/>
  <c r="N173" i="23"/>
  <c r="N13" i="25" s="1"/>
  <c r="DF12" i="11"/>
  <c r="DF14" i="11" s="1"/>
  <c r="AB185" i="23"/>
  <c r="D131" i="2" s="1"/>
  <c r="X15" i="11"/>
  <c r="R174" i="23"/>
  <c r="R14" i="25" s="1"/>
  <c r="DB10" i="11"/>
  <c r="CL113" i="17" s="1"/>
  <c r="BM60" i="6"/>
  <c r="CQ66" i="6"/>
  <c r="CZ7" i="11"/>
  <c r="T149" i="23"/>
  <c r="BT28" i="11" s="1"/>
  <c r="CZ85" i="11"/>
  <c r="CZ81" i="11" s="1"/>
  <c r="AI75" i="11"/>
  <c r="BG13" i="11"/>
  <c r="AR86" i="11"/>
  <c r="V180" i="23"/>
  <c r="V20" i="25" s="1"/>
  <c r="AH101" i="11"/>
  <c r="CH10" i="11"/>
  <c r="CF64" i="6"/>
  <c r="BL9" i="11"/>
  <c r="Z142" i="23"/>
  <c r="CX21" i="11" s="1"/>
  <c r="BK10" i="11"/>
  <c r="R144" i="23" s="1"/>
  <c r="BJ23" i="11" s="1"/>
  <c r="DI72" i="6"/>
  <c r="BA66" i="6"/>
  <c r="DL10" i="11"/>
  <c r="CC10" i="11"/>
  <c r="U141" i="23"/>
  <c r="AG59" i="11"/>
  <c r="L24" i="23" s="1"/>
  <c r="AV10" i="11"/>
  <c r="AW10" i="11" s="1"/>
  <c r="BT64" i="6"/>
  <c r="DO60" i="6"/>
  <c r="T12" i="11"/>
  <c r="T14" i="11" s="1"/>
  <c r="BG101" i="11"/>
  <c r="DE101" i="11"/>
  <c r="DE82" i="11" s="1"/>
  <c r="BZ59" i="11"/>
  <c r="BY59" i="11" s="1"/>
  <c r="R183" i="23"/>
  <c r="R23" i="25" s="1"/>
  <c r="AR9" i="11"/>
  <c r="AH8" i="11"/>
  <c r="X101" i="11"/>
  <c r="V181" i="23"/>
  <c r="V21" i="25" s="1"/>
  <c r="AH9" i="11"/>
  <c r="T180" i="23"/>
  <c r="T20" i="25" s="1"/>
  <c r="DX85" i="6"/>
  <c r="EB64" i="6"/>
  <c r="BG60" i="6"/>
  <c r="BR75" i="11"/>
  <c r="X16" i="11"/>
  <c r="BS60" i="6"/>
  <c r="CJ8" i="6"/>
  <c r="CJ57" i="6" s="1"/>
  <c r="BP85" i="6"/>
  <c r="DU66" i="6"/>
  <c r="T85" i="6"/>
  <c r="BF59" i="11"/>
  <c r="Q175" i="23" s="1"/>
  <c r="Q15" i="25" s="1"/>
  <c r="N85" i="6"/>
  <c r="Z172" i="23"/>
  <c r="Z12" i="25" s="1"/>
  <c r="L143" i="23"/>
  <c r="AF22" i="11" s="1"/>
  <c r="CK13" i="11"/>
  <c r="DC85" i="6"/>
  <c r="DX70" i="11"/>
  <c r="DV70" i="11"/>
  <c r="AD246" i="23" s="1"/>
  <c r="AD237" i="23" s="1"/>
  <c r="CJ59" i="11"/>
  <c r="CJ64" i="11" s="1"/>
  <c r="CP8" i="11"/>
  <c r="AO60" i="6"/>
  <c r="CY87" i="11"/>
  <c r="CX87" i="11" s="1"/>
  <c r="AZ8" i="6"/>
  <c r="AZ57" i="6" s="1"/>
  <c r="AQ87" i="11"/>
  <c r="AP87" i="11" s="1"/>
  <c r="AE10" i="11"/>
  <c r="BN10" i="11"/>
  <c r="H184" i="23"/>
  <c r="H24" i="25" s="1"/>
  <c r="Z147" i="23"/>
  <c r="CX26" i="11" s="1"/>
  <c r="BL85" i="11"/>
  <c r="CE76" i="6"/>
  <c r="AR85" i="6"/>
  <c r="AP64" i="6"/>
  <c r="AC185" i="23"/>
  <c r="E131" i="2" s="1"/>
  <c r="AV131" i="2" s="1"/>
  <c r="CO10" i="11"/>
  <c r="CP10" i="11" s="1"/>
  <c r="V13" i="6"/>
  <c r="V62" i="6" s="1"/>
  <c r="AJ73" i="11"/>
  <c r="AD12" i="11"/>
  <c r="P143" i="23"/>
  <c r="AZ22" i="11" s="1"/>
  <c r="DU11" i="11"/>
  <c r="DX11" i="11" s="1"/>
  <c r="DZ11" i="11" s="1"/>
  <c r="EA11" i="11" s="1"/>
  <c r="Q182" i="23"/>
  <c r="Q22" i="25" s="1"/>
  <c r="CE87" i="11"/>
  <c r="V91" i="23" s="1"/>
  <c r="X181" i="23"/>
  <c r="X21" i="25" s="1"/>
  <c r="AD184" i="23"/>
  <c r="AC72" i="6"/>
  <c r="CK118" i="11"/>
  <c r="W80" i="6"/>
  <c r="DN10" i="11"/>
  <c r="DO10" i="11" s="1"/>
  <c r="AD178" i="23"/>
  <c r="F107" i="2" s="1"/>
  <c r="AI36" i="6"/>
  <c r="AO85" i="6" s="1"/>
  <c r="N172" i="23"/>
  <c r="N12" i="25" s="1"/>
  <c r="CK60" i="6"/>
  <c r="J181" i="23"/>
  <c r="J21" i="25" s="1"/>
  <c r="N142" i="23"/>
  <c r="AP21" i="11" s="1"/>
  <c r="CA58" i="11"/>
  <c r="S173" i="23"/>
  <c r="S13" i="25" s="1"/>
  <c r="Q172" i="23"/>
  <c r="Q12" i="25" s="1"/>
  <c r="O147" i="23"/>
  <c r="AI60" i="6"/>
  <c r="CK62" i="11"/>
  <c r="DJ64" i="6"/>
  <c r="CD8" i="6"/>
  <c r="CD57" i="6" s="1"/>
  <c r="CE57" i="6"/>
  <c r="CH73" i="11"/>
  <c r="S142" i="23"/>
  <c r="BO21" i="11" s="1"/>
  <c r="CE60" i="6"/>
  <c r="BG7" i="11"/>
  <c r="BL16" i="11"/>
  <c r="CW104" i="11"/>
  <c r="AC65" i="6"/>
  <c r="Y182" i="23"/>
  <c r="Y22" i="25" s="1"/>
  <c r="CU100" i="11"/>
  <c r="AD179" i="23"/>
  <c r="AD187" i="23" s="1"/>
  <c r="DS87" i="11"/>
  <c r="DU86" i="11"/>
  <c r="U149" i="23"/>
  <c r="BY28" i="11" s="1"/>
  <c r="AQ10" i="11"/>
  <c r="AR10" i="11" s="1"/>
  <c r="CQ60" i="6"/>
  <c r="AB10" i="11"/>
  <c r="K62" i="23" s="1"/>
  <c r="AG10" i="11"/>
  <c r="L144" i="23" s="1"/>
  <c r="AF23" i="11" s="1"/>
  <c r="N174" i="23"/>
  <c r="N14" i="25" s="1"/>
  <c r="CY10" i="11"/>
  <c r="CZ10" i="11" s="1"/>
  <c r="L142" i="23"/>
  <c r="AF21" i="11" s="1"/>
  <c r="CP101" i="11"/>
  <c r="CF101" i="11"/>
  <c r="D105" i="2"/>
  <c r="AU105" i="2" s="1"/>
  <c r="R180" i="23"/>
  <c r="R20" i="25" s="1"/>
  <c r="L179" i="23"/>
  <c r="L19" i="25" s="1"/>
  <c r="AH86" i="11"/>
  <c r="R173" i="23"/>
  <c r="R13" i="25" s="1"/>
  <c r="AA181" i="23"/>
  <c r="C110" i="2" s="1"/>
  <c r="AG102" i="11"/>
  <c r="AH102" i="11" s="1"/>
  <c r="AR7" i="11"/>
  <c r="BB8" i="11"/>
  <c r="CI87" i="11"/>
  <c r="CM104" i="11"/>
  <c r="AU60" i="6"/>
  <c r="CT102" i="11"/>
  <c r="CB75" i="11"/>
  <c r="BQ100" i="11"/>
  <c r="BQ81" i="11" s="1"/>
  <c r="BV86" i="11"/>
  <c r="BV82" i="11" s="1"/>
  <c r="BP10" i="11"/>
  <c r="S62" i="23" s="1"/>
  <c r="W11" i="11"/>
  <c r="V11" i="11" s="1"/>
  <c r="V80" i="11" s="1"/>
  <c r="W80" i="11" s="1"/>
  <c r="X80" i="11" s="1"/>
  <c r="J151" i="23"/>
  <c r="V29" i="11" s="1"/>
  <c r="O172" i="23"/>
  <c r="O12" i="25" s="1"/>
  <c r="AB179" i="23"/>
  <c r="AC187" i="23" s="1"/>
  <c r="DZ13" i="6"/>
  <c r="DZ62" i="6" s="1"/>
  <c r="DF85" i="6"/>
  <c r="AB13" i="6"/>
  <c r="AB62" i="6" s="1"/>
  <c r="EA62" i="6"/>
  <c r="BF10" i="11"/>
  <c r="Q62" i="23" s="1"/>
  <c r="W65" i="6"/>
  <c r="BU87" i="11"/>
  <c r="BV87" i="11" s="1"/>
  <c r="BY60" i="6"/>
  <c r="CP86" i="11"/>
  <c r="W149" i="23"/>
  <c r="CI28" i="11" s="1"/>
  <c r="CI30" i="11" s="1"/>
  <c r="DL104" i="11"/>
  <c r="AC60" i="6"/>
  <c r="BA60" i="6"/>
  <c r="CZ85" i="6"/>
  <c r="S141" i="23"/>
  <c r="BO20" i="11" s="1"/>
  <c r="M172" i="23"/>
  <c r="M12" i="25" s="1"/>
  <c r="O141" i="23"/>
  <c r="AU20" i="11" s="1"/>
  <c r="S172" i="23"/>
  <c r="S12" i="25" s="1"/>
  <c r="P173" i="23"/>
  <c r="P13" i="25" s="1"/>
  <c r="DL85" i="6"/>
  <c r="BK11" i="11"/>
  <c r="BL11" i="11" s="1"/>
  <c r="BL8" i="11"/>
  <c r="BF102" i="11"/>
  <c r="BG102" i="11" s="1"/>
  <c r="AT10" i="11"/>
  <c r="DU60" i="6"/>
  <c r="CV12" i="11"/>
  <c r="AT13" i="6"/>
  <c r="AT62" i="6" s="1"/>
  <c r="W87" i="11"/>
  <c r="J91" i="23" s="1"/>
  <c r="K173" i="23"/>
  <c r="K13" i="25" s="1"/>
  <c r="AC7" i="11"/>
  <c r="CW85" i="6"/>
  <c r="R142" i="23"/>
  <c r="R139" i="23" s="1"/>
  <c r="X85" i="11"/>
  <c r="CK82" i="11"/>
  <c r="CZ101" i="11"/>
  <c r="CZ82" i="11" s="1"/>
  <c r="CY102" i="11"/>
  <c r="Z113" i="23" s="1"/>
  <c r="K142" i="23"/>
  <c r="AA21" i="11" s="1"/>
  <c r="K172" i="23"/>
  <c r="K12" i="25" s="1"/>
  <c r="R181" i="23"/>
  <c r="R21" i="25" s="1"/>
  <c r="BL101" i="11"/>
  <c r="CT85" i="6"/>
  <c r="AO10" i="11"/>
  <c r="P174" i="23"/>
  <c r="P14" i="25" s="1"/>
  <c r="T176" i="23"/>
  <c r="T16" i="25" s="1"/>
  <c r="AB174" i="23"/>
  <c r="D103" i="2" s="1"/>
  <c r="DJ9" i="11"/>
  <c r="DI10" i="11"/>
  <c r="AB144" i="23" s="1"/>
  <c r="DH23" i="11" s="1"/>
  <c r="AB143" i="23"/>
  <c r="DH22" i="11" s="1"/>
  <c r="V172" i="23"/>
  <c r="V12" i="25" s="1"/>
  <c r="V141" i="23"/>
  <c r="CD20" i="11" s="1"/>
  <c r="CE10" i="11"/>
  <c r="V62" i="23" s="1"/>
  <c r="CF7" i="11"/>
  <c r="CE11" i="11"/>
  <c r="V178" i="23" s="1"/>
  <c r="V18" i="25" s="1"/>
  <c r="AM308" i="7"/>
  <c r="Z309" i="7"/>
  <c r="AM309" i="7" s="1"/>
  <c r="M104" i="7"/>
  <c r="O907" i="7"/>
  <c r="O918" i="7"/>
  <c r="AY48" i="11"/>
  <c r="BA48" i="11"/>
  <c r="BB48" i="11" s="1"/>
  <c r="T479" i="7"/>
  <c r="T490" i="7"/>
  <c r="U490" i="7"/>
  <c r="Q174" i="8"/>
  <c r="Q181" i="8"/>
  <c r="Q146" i="8"/>
  <c r="R153" i="8" s="1"/>
  <c r="S342" i="7"/>
  <c r="S204" i="8"/>
  <c r="AE588" i="7"/>
  <c r="AD1065" i="7"/>
  <c r="EN33" i="6"/>
  <c r="O197" i="17"/>
  <c r="N192" i="17"/>
  <c r="H161" i="23"/>
  <c r="P197" i="17"/>
  <c r="M188" i="17"/>
  <c r="Q197" i="17"/>
  <c r="N198" i="17"/>
  <c r="Q115" i="8"/>
  <c r="Q56" i="25"/>
  <c r="Q147" i="8"/>
  <c r="Q154" i="8" s="1"/>
  <c r="Q83" i="8"/>
  <c r="R83" i="8"/>
  <c r="BF48" i="11"/>
  <c r="BG48" i="11" s="1"/>
  <c r="BD48" i="11"/>
  <c r="S25" i="17"/>
  <c r="S27" i="17" s="1"/>
  <c r="S29" i="17" s="1"/>
  <c r="CP112" i="17"/>
  <c r="CP118" i="17"/>
  <c r="AB157" i="23"/>
  <c r="CO108" i="17"/>
  <c r="Q25" i="17"/>
  <c r="Q27" i="17" s="1"/>
  <c r="Q29" i="17" s="1"/>
  <c r="V171" i="8"/>
  <c r="U178" i="8"/>
  <c r="U171" i="8"/>
  <c r="U143" i="8"/>
  <c r="O255" i="8"/>
  <c r="N255" i="8"/>
  <c r="N250" i="8"/>
  <c r="O254" i="8" s="1"/>
  <c r="K56" i="25"/>
  <c r="K115" i="8"/>
  <c r="Y255" i="8"/>
  <c r="Y250" i="8"/>
  <c r="Z255" i="8"/>
  <c r="AM699" i="7"/>
  <c r="R1007" i="7"/>
  <c r="AA181" i="8"/>
  <c r="AA174" i="8"/>
  <c r="AA146" i="8"/>
  <c r="AB153" i="8" s="1"/>
  <c r="DQ59" i="11"/>
  <c r="DL59" i="11"/>
  <c r="W197" i="17"/>
  <c r="V192" i="17"/>
  <c r="V198" i="17"/>
  <c r="J161" i="23"/>
  <c r="X197" i="17"/>
  <c r="Y197" i="17"/>
  <c r="U188" i="17"/>
  <c r="BW105" i="17"/>
  <c r="BX118" i="17"/>
  <c r="BW111" i="17"/>
  <c r="BW118" i="17"/>
  <c r="BW116" i="17"/>
  <c r="BY118" i="17"/>
  <c r="BW142" i="17"/>
  <c r="BX111" i="17"/>
  <c r="AV117" i="2"/>
  <c r="F105" i="20"/>
  <c r="W105" i="20" s="1"/>
  <c r="EQ16" i="6"/>
  <c r="EQ65" i="6" s="1"/>
  <c r="AE31" i="7"/>
  <c r="AD1121" i="7"/>
  <c r="AD98" i="25"/>
  <c r="AD1043" i="7"/>
  <c r="F231" i="2"/>
  <c r="AW231" i="2" s="1"/>
  <c r="U106" i="7"/>
  <c r="T106" i="7"/>
  <c r="EP68" i="6"/>
  <c r="AM511" i="7"/>
  <c r="Z59" i="11"/>
  <c r="AE59" i="11"/>
  <c r="N1002" i="7"/>
  <c r="N1016" i="7" s="1"/>
  <c r="N1115" i="7"/>
  <c r="N1116" i="7" s="1"/>
  <c r="N94" i="25"/>
  <c r="F103" i="20"/>
  <c r="W103" i="20" s="1"/>
  <c r="AV115" i="2"/>
  <c r="AW21" i="17"/>
  <c r="R721" i="7"/>
  <c r="R710" i="7"/>
  <c r="O353" i="7"/>
  <c r="L353" i="7"/>
  <c r="N345" i="7"/>
  <c r="W396" i="7"/>
  <c r="O195" i="8"/>
  <c r="O202" i="8" s="1"/>
  <c r="P195" i="8"/>
  <c r="P202" i="8" s="1"/>
  <c r="E194" i="2"/>
  <c r="AC669" i="7"/>
  <c r="AC65" i="25"/>
  <c r="AC672" i="7"/>
  <c r="EH35" i="6"/>
  <c r="AC678" i="7"/>
  <c r="AA255" i="8"/>
  <c r="AB255" i="8"/>
  <c r="CM21" i="17"/>
  <c r="F6" i="28"/>
  <c r="CL118" i="17"/>
  <c r="CL112" i="17"/>
  <c r="AA157" i="23"/>
  <c r="CK108" i="17"/>
  <c r="T71" i="8"/>
  <c r="BA16" i="11"/>
  <c r="CA7" i="11"/>
  <c r="AL10" i="11"/>
  <c r="AK10" i="11" s="1"/>
  <c r="Q178" i="8"/>
  <c r="Q143" i="8"/>
  <c r="R171" i="8"/>
  <c r="T255" i="8"/>
  <c r="S255" i="8"/>
  <c r="S250" i="8"/>
  <c r="S254" i="8" s="1"/>
  <c r="BD59" i="11"/>
  <c r="BI59" i="11"/>
  <c r="G304" i="20"/>
  <c r="X304" i="20" s="1"/>
  <c r="G310" i="20"/>
  <c r="X310" i="20" s="1"/>
  <c r="AV176" i="2"/>
  <c r="H304" i="20"/>
  <c r="Y304" i="20" s="1"/>
  <c r="Z192" i="17"/>
  <c r="Z198" i="17"/>
  <c r="AA197" i="17"/>
  <c r="K161" i="23"/>
  <c r="AB197" i="17"/>
  <c r="AC197" i="17"/>
  <c r="Y188" i="17"/>
  <c r="Y729" i="7"/>
  <c r="Y748" i="7"/>
  <c r="Y758" i="7"/>
  <c r="Z748" i="7"/>
  <c r="AM748" i="7" s="1"/>
  <c r="AA79" i="25"/>
  <c r="C210" i="2"/>
  <c r="AT210" i="2" s="1"/>
  <c r="CM118" i="17"/>
  <c r="CM116" i="17"/>
  <c r="CM142" i="17"/>
  <c r="CM105" i="17"/>
  <c r="CM111" i="17"/>
  <c r="CO118" i="17"/>
  <c r="CN118" i="17"/>
  <c r="CN111" i="17"/>
  <c r="AD25" i="17"/>
  <c r="AD27" i="17" s="1"/>
  <c r="AD29" i="17" s="1"/>
  <c r="AD21" i="17"/>
  <c r="AD22" i="17" s="1"/>
  <c r="AT21" i="17"/>
  <c r="N121" i="7"/>
  <c r="AI197" i="17"/>
  <c r="AH192" i="17"/>
  <c r="AH198" i="17"/>
  <c r="M161" i="23"/>
  <c r="AG188" i="17"/>
  <c r="S73" i="8"/>
  <c r="L104" i="7"/>
  <c r="W178" i="8"/>
  <c r="W171" i="8"/>
  <c r="W143" i="8"/>
  <c r="X152" i="8"/>
  <c r="W159" i="8"/>
  <c r="W152" i="8"/>
  <c r="P149" i="23"/>
  <c r="AZ28" i="11" s="1"/>
  <c r="BB15" i="11"/>
  <c r="X195" i="8"/>
  <c r="X202" i="8" s="1"/>
  <c r="W195" i="8"/>
  <c r="W202" i="8" s="1"/>
  <c r="W256" i="8"/>
  <c r="X256" i="8"/>
  <c r="X258" i="8" s="1"/>
  <c r="Q359" i="7"/>
  <c r="W265" i="23"/>
  <c r="W271" i="23"/>
  <c r="X271" i="23"/>
  <c r="W280" i="23"/>
  <c r="Z151" i="17"/>
  <c r="K159" i="23"/>
  <c r="Y147" i="17"/>
  <c r="AA156" i="17"/>
  <c r="Z157" i="17"/>
  <c r="AB156" i="17"/>
  <c r="AC156" i="17"/>
  <c r="M118" i="8"/>
  <c r="N118" i="8"/>
  <c r="N198" i="8"/>
  <c r="N205" i="8" s="1"/>
  <c r="M198" i="8"/>
  <c r="M205" i="8" s="1"/>
  <c r="AM256" i="7"/>
  <c r="Z897" i="7"/>
  <c r="M158" i="8"/>
  <c r="N151" i="8"/>
  <c r="M151" i="8"/>
  <c r="H1007" i="7"/>
  <c r="W490" i="7"/>
  <c r="W479" i="7"/>
  <c r="V143" i="8"/>
  <c r="V157" i="8" s="1"/>
  <c r="V178" i="8"/>
  <c r="AR32" i="17"/>
  <c r="BL32" i="17"/>
  <c r="R112" i="17"/>
  <c r="U117" i="17"/>
  <c r="S117" i="17"/>
  <c r="R118" i="17"/>
  <c r="T117" i="17"/>
  <c r="I157" i="23"/>
  <c r="Q108" i="17"/>
  <c r="BV112" i="17"/>
  <c r="BV118" i="17"/>
  <c r="W157" i="23"/>
  <c r="BU108" i="17"/>
  <c r="E104" i="20"/>
  <c r="V104" i="20" s="1"/>
  <c r="AU116" i="2"/>
  <c r="C9" i="28"/>
  <c r="C5" i="28" s="1"/>
  <c r="C11" i="28" s="1"/>
  <c r="K156" i="17"/>
  <c r="M156" i="17"/>
  <c r="L156" i="17"/>
  <c r="R71" i="8"/>
  <c r="P1125" i="7"/>
  <c r="BR21" i="17"/>
  <c r="CG21" i="17"/>
  <c r="Z465" i="7"/>
  <c r="AM465" i="7" s="1"/>
  <c r="AM464" i="7"/>
  <c r="AD101" i="7"/>
  <c r="AC103" i="7"/>
  <c r="AC104" i="7" s="1"/>
  <c r="Q342" i="7"/>
  <c r="N146" i="8"/>
  <c r="N181" i="8"/>
  <c r="N174" i="8"/>
  <c r="P287" i="7"/>
  <c r="P644" i="7"/>
  <c r="AR92" i="6"/>
  <c r="X353" i="7"/>
  <c r="W353" i="7"/>
  <c r="AB198" i="8"/>
  <c r="AB205" i="8" s="1"/>
  <c r="AI25" i="17"/>
  <c r="AI27" i="17" s="1"/>
  <c r="AI29" i="17" s="1"/>
  <c r="X396" i="7"/>
  <c r="J644" i="7"/>
  <c r="W1142" i="7"/>
  <c r="O174" i="8"/>
  <c r="O146" i="8"/>
  <c r="O181" i="8"/>
  <c r="AW246" i="2"/>
  <c r="J421" i="20"/>
  <c r="AA421" i="20" s="1"/>
  <c r="K421" i="20"/>
  <c r="AB421" i="20" s="1"/>
  <c r="J485" i="20"/>
  <c r="AA485" i="20" s="1"/>
  <c r="K485" i="20"/>
  <c r="AB485" i="20" s="1"/>
  <c r="Q118" i="8"/>
  <c r="R118" i="8"/>
  <c r="R82" i="8"/>
  <c r="Q82" i="8"/>
  <c r="U195" i="8"/>
  <c r="U202" i="8" s="1"/>
  <c r="V195" i="8"/>
  <c r="V202" i="8" s="1"/>
  <c r="BX59" i="11"/>
  <c r="CC59" i="11"/>
  <c r="V25" i="17"/>
  <c r="V27" i="17" s="1"/>
  <c r="V29" i="17" s="1"/>
  <c r="CW50" i="17"/>
  <c r="CW48" i="17"/>
  <c r="CW102" i="17"/>
  <c r="CX38" i="17"/>
  <c r="CX39" i="17" s="1"/>
  <c r="CW49" i="17"/>
  <c r="AI21" i="17"/>
  <c r="AI22" i="17" s="1"/>
  <c r="K21" i="17"/>
  <c r="K22" i="17" s="1"/>
  <c r="BD21" i="17"/>
  <c r="X300" i="7"/>
  <c r="Y127" i="8"/>
  <c r="CH21" i="17"/>
  <c r="P71" i="8"/>
  <c r="Y459" i="7"/>
  <c r="P396" i="7"/>
  <c r="M87" i="7"/>
  <c r="M84" i="7"/>
  <c r="AA345" i="7"/>
  <c r="AE60" i="8"/>
  <c r="AP31" i="8"/>
  <c r="K147" i="8"/>
  <c r="T178" i="8"/>
  <c r="T143" i="8"/>
  <c r="T171" i="8"/>
  <c r="T152" i="8"/>
  <c r="T159" i="8"/>
  <c r="O143" i="8"/>
  <c r="O171" i="8"/>
  <c r="O178" i="8"/>
  <c r="J151" i="8"/>
  <c r="J158" i="8"/>
  <c r="K151" i="8"/>
  <c r="AV208" i="2"/>
  <c r="H383" i="20"/>
  <c r="Y383" i="20" s="1"/>
  <c r="V479" i="7"/>
  <c r="V491" i="7" s="1"/>
  <c r="V490" i="7"/>
  <c r="Q195" i="8"/>
  <c r="Q202" i="8" s="1"/>
  <c r="R195" i="8"/>
  <c r="R202" i="8" s="1"/>
  <c r="M1007" i="7"/>
  <c r="S737" i="7"/>
  <c r="S758" i="7"/>
  <c r="T748" i="7"/>
  <c r="DF76" i="17"/>
  <c r="CY76" i="17"/>
  <c r="CX80" i="17"/>
  <c r="AW124" i="2"/>
  <c r="G113" i="20"/>
  <c r="X113" i="20" s="1"/>
  <c r="AA21" i="17"/>
  <c r="AA22" i="17" s="1"/>
  <c r="BG21" i="17"/>
  <c r="BJ118" i="17"/>
  <c r="BJ112" i="17"/>
  <c r="T157" i="23"/>
  <c r="BK142" i="17"/>
  <c r="BK116" i="17"/>
  <c r="BK118" i="17"/>
  <c r="BM118" i="17"/>
  <c r="BK111" i="17"/>
  <c r="BL118" i="17"/>
  <c r="BK105" i="17"/>
  <c r="BL111" i="17"/>
  <c r="CI105" i="17"/>
  <c r="CK118" i="17"/>
  <c r="CJ118" i="17"/>
  <c r="CI118" i="17"/>
  <c r="CI142" i="17"/>
  <c r="CJ111" i="17"/>
  <c r="CI111" i="17"/>
  <c r="CI116" i="17"/>
  <c r="CQ111" i="17"/>
  <c r="CQ118" i="17"/>
  <c r="CS118" i="17"/>
  <c r="CR118" i="17"/>
  <c r="CQ116" i="17"/>
  <c r="CQ105" i="17"/>
  <c r="CQ142" i="17"/>
  <c r="CR111" i="17"/>
  <c r="AU123" i="2"/>
  <c r="E112" i="20"/>
  <c r="V112" i="20" s="1"/>
  <c r="S396" i="7"/>
  <c r="V398" i="7" s="1"/>
  <c r="BD32" i="17"/>
  <c r="AA541" i="7"/>
  <c r="AM541" i="7"/>
  <c r="Z576" i="7"/>
  <c r="AM576" i="7" s="1"/>
  <c r="Z547" i="7"/>
  <c r="AX21" i="17"/>
  <c r="CC21" i="17"/>
  <c r="AE125" i="23"/>
  <c r="BO9" i="17"/>
  <c r="BL15" i="26"/>
  <c r="J282" i="23"/>
  <c r="Y256" i="8"/>
  <c r="Z256" i="8"/>
  <c r="N976" i="7"/>
  <c r="R623" i="7"/>
  <c r="R287" i="7"/>
  <c r="R644" i="7"/>
  <c r="AB171" i="8"/>
  <c r="AB178" i="8"/>
  <c r="AB143" i="8"/>
  <c r="AC143" i="8" s="1"/>
  <c r="R491" i="7"/>
  <c r="AA198" i="8"/>
  <c r="AA205" i="8" s="1"/>
  <c r="CH48" i="11"/>
  <c r="CJ48" i="11"/>
  <c r="CK48" i="11" s="1"/>
  <c r="CM48" i="11"/>
  <c r="U280" i="23"/>
  <c r="U265" i="23"/>
  <c r="U271" i="23"/>
  <c r="F110" i="20"/>
  <c r="W110" i="20" s="1"/>
  <c r="AV121" i="2"/>
  <c r="CF48" i="11"/>
  <c r="AW48" i="11"/>
  <c r="CA100" i="11"/>
  <c r="CA81" i="11" s="1"/>
  <c r="U182" i="23"/>
  <c r="U22" i="25" s="1"/>
  <c r="AP33" i="8"/>
  <c r="AE62" i="8"/>
  <c r="AE77" i="8"/>
  <c r="AE82" i="8" s="1"/>
  <c r="M271" i="23"/>
  <c r="L271" i="23"/>
  <c r="L280" i="23"/>
  <c r="L265" i="23"/>
  <c r="Z104" i="7"/>
  <c r="Z106" i="7"/>
  <c r="AM1009" i="7"/>
  <c r="AF1009" i="7"/>
  <c r="N116" i="7"/>
  <c r="O118" i="7" s="1"/>
  <c r="O121" i="7" s="1"/>
  <c r="N123" i="7"/>
  <c r="O123" i="7"/>
  <c r="AB751" i="7"/>
  <c r="AB732" i="7"/>
  <c r="Q250" i="8"/>
  <c r="R255" i="8"/>
  <c r="M78" i="8"/>
  <c r="M82" i="8"/>
  <c r="N82" i="8"/>
  <c r="H158" i="8"/>
  <c r="I151" i="8"/>
  <c r="H151" i="8"/>
  <c r="U353" i="7"/>
  <c r="S353" i="7"/>
  <c r="W146" i="8"/>
  <c r="W174" i="8"/>
  <c r="W181" i="8"/>
  <c r="X174" i="8"/>
  <c r="BF112" i="17"/>
  <c r="BG118" i="17"/>
  <c r="S157" i="23"/>
  <c r="BF118" i="17"/>
  <c r="BE108" i="17"/>
  <c r="BH118" i="17"/>
  <c r="BI118" i="17"/>
  <c r="F104" i="20"/>
  <c r="W104" i="20" s="1"/>
  <c r="AV116" i="2"/>
  <c r="AU121" i="2"/>
  <c r="E110" i="20"/>
  <c r="V110" i="20" s="1"/>
  <c r="AC25" i="17"/>
  <c r="AC27" i="17" s="1"/>
  <c r="AC29" i="17" s="1"/>
  <c r="I9" i="28"/>
  <c r="CP32" i="17"/>
  <c r="AV231" i="2"/>
  <c r="I195" i="20"/>
  <c r="Z195" i="20" s="1"/>
  <c r="I443" i="20"/>
  <c r="Z443" i="20" s="1"/>
  <c r="G458" i="20"/>
  <c r="X458" i="20" s="1"/>
  <c r="H195" i="20"/>
  <c r="Y195" i="20" s="1"/>
  <c r="G457" i="20"/>
  <c r="X457" i="20" s="1"/>
  <c r="G455" i="20"/>
  <c r="X455" i="20" s="1"/>
  <c r="AM395" i="7"/>
  <c r="Z396" i="7"/>
  <c r="AM396" i="7" s="1"/>
  <c r="AC435" i="23"/>
  <c r="AB121" i="8"/>
  <c r="S195" i="8"/>
  <c r="S202" i="8" s="1"/>
  <c r="T195" i="8"/>
  <c r="T202" i="8" s="1"/>
  <c r="N490" i="7"/>
  <c r="N479" i="7"/>
  <c r="N491" i="7" s="1"/>
  <c r="X623" i="7"/>
  <c r="Y159" i="8"/>
  <c r="Y152" i="8"/>
  <c r="S271" i="23"/>
  <c r="T271" i="23"/>
  <c r="S265" i="23"/>
  <c r="S280" i="23"/>
  <c r="O490" i="7"/>
  <c r="O479" i="7"/>
  <c r="I280" i="23"/>
  <c r="J286" i="23" s="1"/>
  <c r="I271" i="23"/>
  <c r="I265" i="23"/>
  <c r="F413" i="20"/>
  <c r="W413" i="20" s="1"/>
  <c r="AU215" i="2"/>
  <c r="CA116" i="17"/>
  <c r="CB118" i="17"/>
  <c r="CA118" i="17"/>
  <c r="CC118" i="17"/>
  <c r="CA142" i="17"/>
  <c r="CA111" i="17"/>
  <c r="CA105" i="17"/>
  <c r="CB111" i="17"/>
  <c r="F9" i="28"/>
  <c r="CM32" i="17"/>
  <c r="BD69" i="6"/>
  <c r="AX18" i="6"/>
  <c r="AC56" i="25"/>
  <c r="E183" i="2"/>
  <c r="Y282" i="23"/>
  <c r="Y286" i="23"/>
  <c r="AM209" i="7"/>
  <c r="N84" i="7"/>
  <c r="N87" i="7"/>
  <c r="R174" i="8"/>
  <c r="L490" i="7"/>
  <c r="K479" i="7"/>
  <c r="K490" i="7"/>
  <c r="K256" i="8"/>
  <c r="L256" i="8"/>
  <c r="T158" i="8"/>
  <c r="T151" i="8"/>
  <c r="T148" i="8" s="1"/>
  <c r="U151" i="8"/>
  <c r="U148" i="8" s="1"/>
  <c r="H160" i="8"/>
  <c r="U288" i="7"/>
  <c r="CT118" i="17"/>
  <c r="CT112" i="17"/>
  <c r="AC157" i="23"/>
  <c r="CS108" i="17"/>
  <c r="E6" i="28"/>
  <c r="CL21" i="17"/>
  <c r="I256" i="8"/>
  <c r="I250" i="8"/>
  <c r="BM15" i="26"/>
  <c r="BP9" i="17"/>
  <c r="BI48" i="11"/>
  <c r="S182" i="23"/>
  <c r="S22" i="25" s="1"/>
  <c r="DN59" i="11"/>
  <c r="DN64" i="11" s="1"/>
  <c r="CU58" i="11"/>
  <c r="X179" i="23"/>
  <c r="X19" i="25" s="1"/>
  <c r="Q142" i="23"/>
  <c r="BE21" i="11" s="1"/>
  <c r="J256" i="8"/>
  <c r="Y451" i="7"/>
  <c r="Y448" i="7"/>
  <c r="Y104" i="7"/>
  <c r="AC106" i="7" s="1"/>
  <c r="AC112" i="7" s="1"/>
  <c r="Y106" i="7"/>
  <c r="P359" i="7"/>
  <c r="AB1007" i="7"/>
  <c r="AG1007" i="7" s="1"/>
  <c r="N396" i="7"/>
  <c r="O398" i="7" s="1"/>
  <c r="O401" i="7" s="1"/>
  <c r="N398" i="7"/>
  <c r="N401" i="7" s="1"/>
  <c r="K159" i="8"/>
  <c r="K152" i="8"/>
  <c r="L152" i="8"/>
  <c r="W78" i="8"/>
  <c r="W82" i="8"/>
  <c r="X82" i="8"/>
  <c r="R48" i="11"/>
  <c r="S48" i="11" s="1"/>
  <c r="U48" i="11"/>
  <c r="P48" i="11"/>
  <c r="O1007" i="7"/>
  <c r="W60" i="6"/>
  <c r="U172" i="23"/>
  <c r="U12" i="25" s="1"/>
  <c r="BA10" i="11"/>
  <c r="P62" i="23" s="1"/>
  <c r="CT59" i="11"/>
  <c r="CT64" i="11" s="1"/>
  <c r="DO8" i="11"/>
  <c r="Q173" i="23"/>
  <c r="Q13" i="25" s="1"/>
  <c r="M353" i="7"/>
  <c r="U96" i="7"/>
  <c r="U99" i="7"/>
  <c r="T353" i="7"/>
  <c r="U123" i="7"/>
  <c r="T116" i="7"/>
  <c r="U118" i="7" s="1"/>
  <c r="U121" i="7" s="1"/>
  <c r="P353" i="7"/>
  <c r="X573" i="7"/>
  <c r="W552" i="7"/>
  <c r="W573" i="7"/>
  <c r="W583" i="7"/>
  <c r="AB160" i="8"/>
  <c r="AE1064" i="7"/>
  <c r="AB151" i="8"/>
  <c r="AB158" i="8"/>
  <c r="K143" i="8"/>
  <c r="K171" i="8"/>
  <c r="K178" i="8"/>
  <c r="Z78" i="8"/>
  <c r="Z82" i="8"/>
  <c r="CP90" i="17"/>
  <c r="CO82" i="17"/>
  <c r="P261" i="7"/>
  <c r="R152" i="8"/>
  <c r="Q159" i="8"/>
  <c r="P430" i="23"/>
  <c r="Q430" i="23"/>
  <c r="P73" i="8"/>
  <c r="M250" i="8"/>
  <c r="M255" i="8"/>
  <c r="M280" i="23"/>
  <c r="M265" i="23"/>
  <c r="N271" i="23"/>
  <c r="AA25" i="17"/>
  <c r="AA27" i="17" s="1"/>
  <c r="AA29" i="17" s="1"/>
  <c r="AD118" i="17"/>
  <c r="AF117" i="17"/>
  <c r="AG117" i="17"/>
  <c r="AD112" i="17"/>
  <c r="AE117" i="17"/>
  <c r="L157" i="23"/>
  <c r="AC108" i="17"/>
  <c r="AU117" i="17"/>
  <c r="AT118" i="17"/>
  <c r="AT112" i="17"/>
  <c r="AV117" i="17"/>
  <c r="P157" i="23"/>
  <c r="AS108" i="17"/>
  <c r="AW117" i="17"/>
  <c r="AB127" i="8"/>
  <c r="AD1079" i="7"/>
  <c r="EO24" i="6"/>
  <c r="AE475" i="7"/>
  <c r="AE1079" i="7" s="1"/>
  <c r="U87" i="7"/>
  <c r="U84" i="7"/>
  <c r="W254" i="8"/>
  <c r="X254" i="8"/>
  <c r="U174" i="8"/>
  <c r="U181" i="8"/>
  <c r="U146" i="8"/>
  <c r="V976" i="7"/>
  <c r="Q721" i="7"/>
  <c r="Q710" i="7"/>
  <c r="Q700" i="7"/>
  <c r="AC77" i="7"/>
  <c r="AB84" i="7"/>
  <c r="AB79" i="7"/>
  <c r="AC81" i="7" s="1"/>
  <c r="AC87" i="7" s="1"/>
  <c r="Z445" i="7"/>
  <c r="AM443" i="7"/>
  <c r="K199" i="8"/>
  <c r="K206" i="8" s="1"/>
  <c r="L199" i="8"/>
  <c r="L206" i="8" s="1"/>
  <c r="P198" i="8"/>
  <c r="P205" i="8" s="1"/>
  <c r="O198" i="8"/>
  <c r="O205" i="8" s="1"/>
  <c r="Z199" i="8"/>
  <c r="Z206" i="8" s="1"/>
  <c r="Y199" i="8"/>
  <c r="Y206" i="8" s="1"/>
  <c r="W681" i="7"/>
  <c r="DA35" i="6"/>
  <c r="W877" i="7"/>
  <c r="W878" i="7" s="1"/>
  <c r="W1132" i="7"/>
  <c r="V1007" i="7"/>
  <c r="H178" i="8"/>
  <c r="H143" i="8"/>
  <c r="I171" i="8"/>
  <c r="P121" i="8"/>
  <c r="R157" i="17"/>
  <c r="R151" i="17"/>
  <c r="U156" i="17"/>
  <c r="I159" i="23"/>
  <c r="S156" i="17"/>
  <c r="T156" i="17"/>
  <c r="Q147" i="17"/>
  <c r="BO21" i="17"/>
  <c r="BT118" i="17"/>
  <c r="BS142" i="17"/>
  <c r="BU118" i="17"/>
  <c r="BS116" i="17"/>
  <c r="BS105" i="17"/>
  <c r="BS111" i="17"/>
  <c r="BS118" i="17"/>
  <c r="BT111" i="17"/>
  <c r="CH118" i="17"/>
  <c r="Z157" i="23"/>
  <c r="CH112" i="17"/>
  <c r="CG108" i="17"/>
  <c r="P256" i="8"/>
  <c r="O256" i="8"/>
  <c r="CQ21" i="17"/>
  <c r="J6" i="28"/>
  <c r="AC21" i="17"/>
  <c r="AC22" i="17" s="1"/>
  <c r="BJ32" i="17"/>
  <c r="AB393" i="7"/>
  <c r="AA395" i="7"/>
  <c r="AA396" i="7" s="1"/>
  <c r="N353" i="7"/>
  <c r="AM732" i="7"/>
  <c r="Z754" i="7"/>
  <c r="AM754" i="7" s="1"/>
  <c r="Z753" i="7"/>
  <c r="AM753" i="7" s="1"/>
  <c r="Z737" i="7"/>
  <c r="AM737" i="7" s="1"/>
  <c r="AX175" i="2"/>
  <c r="L303" i="20"/>
  <c r="AC303" i="20" s="1"/>
  <c r="K303" i="20"/>
  <c r="AB303" i="20" s="1"/>
  <c r="P87" i="7"/>
  <c r="P84" i="7"/>
  <c r="T105" i="25"/>
  <c r="T1125" i="7"/>
  <c r="V255" i="8"/>
  <c r="U250" i="8"/>
  <c r="U254" i="8" s="1"/>
  <c r="U255" i="8"/>
  <c r="Z114" i="7"/>
  <c r="Y116" i="7"/>
  <c r="Z118" i="7" s="1"/>
  <c r="Z124" i="7" s="1"/>
  <c r="AC345" i="7"/>
  <c r="AM344" i="7"/>
  <c r="O396" i="7"/>
  <c r="I897" i="7"/>
  <c r="DH115" i="11"/>
  <c r="DI115" i="11" s="1"/>
  <c r="DJ115" i="11" s="1"/>
  <c r="DI16" i="11"/>
  <c r="AA78" i="8"/>
  <c r="BX48" i="11"/>
  <c r="BZ48" i="11"/>
  <c r="CA48" i="11" s="1"/>
  <c r="CC48" i="11"/>
  <c r="AB104" i="7"/>
  <c r="P25" i="17"/>
  <c r="P27" i="17" s="1"/>
  <c r="P29" i="17" s="1"/>
  <c r="AB298" i="7"/>
  <c r="Y1132" i="7"/>
  <c r="Y681" i="7"/>
  <c r="DM35" i="6"/>
  <c r="Y877" i="7"/>
  <c r="Y878" i="7" s="1"/>
  <c r="Q198" i="8"/>
  <c r="Q205" i="8" s="1"/>
  <c r="R198" i="8"/>
  <c r="R205" i="8" s="1"/>
  <c r="P479" i="7"/>
  <c r="P490" i="7"/>
  <c r="Q490" i="7"/>
  <c r="P181" i="8"/>
  <c r="P174" i="8"/>
  <c r="P146" i="8"/>
  <c r="AA265" i="23"/>
  <c r="AA271" i="23"/>
  <c r="AA280" i="23"/>
  <c r="U25" i="17"/>
  <c r="U27" i="17" s="1"/>
  <c r="U29" i="17" s="1"/>
  <c r="CR21" i="17"/>
  <c r="AM542" i="7"/>
  <c r="AA542" i="7"/>
  <c r="Z577" i="7"/>
  <c r="AM577" i="7" s="1"/>
  <c r="W84" i="7"/>
  <c r="W87" i="7"/>
  <c r="T73" i="8"/>
  <c r="Z456" i="7"/>
  <c r="Z459" i="7" s="1"/>
  <c r="AM459" i="7" s="1"/>
  <c r="M748" i="7"/>
  <c r="L748" i="7"/>
  <c r="L737" i="7"/>
  <c r="L758" i="7"/>
  <c r="I116" i="7"/>
  <c r="J118" i="7" s="1"/>
  <c r="J121" i="7" s="1"/>
  <c r="AB345" i="7"/>
  <c r="R160" i="8"/>
  <c r="DC115" i="11"/>
  <c r="DD115" i="11" s="1"/>
  <c r="DE115" i="11" s="1"/>
  <c r="DD16" i="11"/>
  <c r="DF80" i="17"/>
  <c r="CY77" i="17"/>
  <c r="CX70" i="17"/>
  <c r="O118" i="8"/>
  <c r="P118" i="8"/>
  <c r="N73" i="8"/>
  <c r="O73" i="8"/>
  <c r="T1007" i="7"/>
  <c r="J171" i="8"/>
  <c r="J143" i="8"/>
  <c r="J178" i="8"/>
  <c r="AE667" i="7"/>
  <c r="AD666" i="7"/>
  <c r="EO35" i="6"/>
  <c r="EO84" i="6" s="1"/>
  <c r="AD77" i="25"/>
  <c r="F208" i="2"/>
  <c r="BH89" i="6"/>
  <c r="V146" i="8"/>
  <c r="V181" i="8"/>
  <c r="V174" i="8"/>
  <c r="AF25" i="17"/>
  <c r="AF27" i="17" s="1"/>
  <c r="AF29" i="17" s="1"/>
  <c r="K25" i="17"/>
  <c r="K27" i="17" s="1"/>
  <c r="K29" i="17" s="1"/>
  <c r="H82" i="8"/>
  <c r="H78" i="8"/>
  <c r="I82" i="8"/>
  <c r="V73" i="8"/>
  <c r="X73" i="8"/>
  <c r="U199" i="8"/>
  <c r="U206" i="8" s="1"/>
  <c r="V199" i="8"/>
  <c r="V206" i="8" s="1"/>
  <c r="CW88" i="17"/>
  <c r="CW95" i="17"/>
  <c r="CW93" i="17"/>
  <c r="CW104" i="17"/>
  <c r="CW79" i="17"/>
  <c r="CW94" i="17"/>
  <c r="BS21" i="17"/>
  <c r="AH112" i="17"/>
  <c r="AI117" i="17"/>
  <c r="AJ117" i="17"/>
  <c r="M157" i="23"/>
  <c r="AH118" i="17"/>
  <c r="AK117" i="17"/>
  <c r="AG108" i="17"/>
  <c r="BN112" i="17"/>
  <c r="U157" i="23"/>
  <c r="BM108" i="17"/>
  <c r="BN118" i="17"/>
  <c r="CJ21" i="17"/>
  <c r="AV123" i="2"/>
  <c r="F112" i="20"/>
  <c r="W112" i="20" s="1"/>
  <c r="AM545" i="7"/>
  <c r="AA545" i="7"/>
  <c r="Z579" i="7"/>
  <c r="AM579" i="7" s="1"/>
  <c r="E9" i="28"/>
  <c r="CL32" i="17"/>
  <c r="DS77" i="6"/>
  <c r="BQ118" i="17"/>
  <c r="BP118" i="17"/>
  <c r="G6" i="28"/>
  <c r="DI87" i="11"/>
  <c r="DJ87" i="11" s="1"/>
  <c r="AU62" i="6"/>
  <c r="DI59" i="11"/>
  <c r="AB24" i="23" s="1"/>
  <c r="M141" i="23"/>
  <c r="AK20" i="11" s="1"/>
  <c r="AC149" i="23"/>
  <c r="DM28" i="11" s="1"/>
  <c r="DM30" i="11" s="1"/>
  <c r="DM2" i="11" s="1"/>
  <c r="AC173" i="23"/>
  <c r="AC13" i="25" s="1"/>
  <c r="S149" i="23"/>
  <c r="BO28" i="11" s="1"/>
  <c r="BO30" i="11" s="1"/>
  <c r="L171" i="8"/>
  <c r="T256" i="8"/>
  <c r="R265" i="23"/>
  <c r="R271" i="23"/>
  <c r="R280" i="23"/>
  <c r="Y345" i="7"/>
  <c r="X345" i="7"/>
  <c r="W345" i="7"/>
  <c r="V396" i="7"/>
  <c r="Q255" i="8"/>
  <c r="P250" i="8"/>
  <c r="P254" i="8" s="1"/>
  <c r="P255" i="8"/>
  <c r="AB342" i="7"/>
  <c r="T342" i="7"/>
  <c r="T204" i="8"/>
  <c r="R624" i="7"/>
  <c r="AL40" i="6"/>
  <c r="AL92" i="6"/>
  <c r="AE1110" i="7"/>
  <c r="AE1113" i="7" s="1"/>
  <c r="I1002" i="7"/>
  <c r="I1016" i="7" s="1"/>
  <c r="I1115" i="7"/>
  <c r="I1116" i="7" s="1"/>
  <c r="I94" i="25"/>
  <c r="K146" i="8"/>
  <c r="K160" i="8" s="1"/>
  <c r="L174" i="8"/>
  <c r="K181" i="8"/>
  <c r="W198" i="8"/>
  <c r="W205" i="8" s="1"/>
  <c r="X198" i="8"/>
  <c r="X205" i="8" s="1"/>
  <c r="DO9" i="11"/>
  <c r="AC174" i="23"/>
  <c r="AC143" i="23"/>
  <c r="DM22" i="11" s="1"/>
  <c r="T181" i="8"/>
  <c r="T174" i="8"/>
  <c r="T146" i="8"/>
  <c r="T160" i="8" s="1"/>
  <c r="AD21" i="8"/>
  <c r="F176" i="2"/>
  <c r="AD52" i="25"/>
  <c r="AD6" i="8"/>
  <c r="AE7" i="8"/>
  <c r="R199" i="8"/>
  <c r="R206" i="8" s="1"/>
  <c r="Q199" i="8"/>
  <c r="Q206" i="8" s="1"/>
  <c r="I199" i="8"/>
  <c r="I206" i="8" s="1"/>
  <c r="J199" i="8"/>
  <c r="J206" i="8" s="1"/>
  <c r="BB96" i="6"/>
  <c r="W25" i="17"/>
  <c r="W27" i="17" s="1"/>
  <c r="W29" i="17" s="1"/>
  <c r="BJ69" i="6"/>
  <c r="BJ18" i="6"/>
  <c r="S21" i="17"/>
  <c r="S22" i="17" s="1"/>
  <c r="AM21" i="17"/>
  <c r="N112" i="17"/>
  <c r="O117" i="17"/>
  <c r="N118" i="17"/>
  <c r="P117" i="17"/>
  <c r="H157" i="23"/>
  <c r="Q117" i="17"/>
  <c r="M108" i="17"/>
  <c r="AJ21" i="17"/>
  <c r="DK96" i="6"/>
  <c r="AP118" i="17"/>
  <c r="O157" i="23"/>
  <c r="AP112" i="17"/>
  <c r="AO108" i="17"/>
  <c r="AR117" i="17"/>
  <c r="AS117" i="17"/>
  <c r="AQ117" i="17"/>
  <c r="CD21" i="17"/>
  <c r="L127" i="8"/>
  <c r="Z345" i="7"/>
  <c r="AM345" i="7" s="1"/>
  <c r="W255" i="8"/>
  <c r="G897" i="7"/>
  <c r="O104" i="7"/>
  <c r="S106" i="7" s="1"/>
  <c r="Q396" i="7"/>
  <c r="V152" i="8"/>
  <c r="U152" i="8"/>
  <c r="U159" i="8"/>
  <c r="DM115" i="11"/>
  <c r="DN115" i="11" s="1"/>
  <c r="DO115" i="11" s="1"/>
  <c r="DN16" i="11"/>
  <c r="N204" i="8"/>
  <c r="N342" i="7"/>
  <c r="S625" i="7"/>
  <c r="M342" i="7"/>
  <c r="L82" i="8"/>
  <c r="L78" i="8"/>
  <c r="O82" i="8"/>
  <c r="O78" i="8"/>
  <c r="P82" i="8"/>
  <c r="W737" i="7"/>
  <c r="W758" i="7"/>
  <c r="R192" i="17"/>
  <c r="AM1010" i="7"/>
  <c r="AF1010" i="7"/>
  <c r="Y118" i="8"/>
  <c r="Z118" i="8"/>
  <c r="R204" i="8"/>
  <c r="R342" i="7"/>
  <c r="AX75" i="11"/>
  <c r="AX74" i="11"/>
  <c r="DB48" i="11"/>
  <c r="DD48" i="11"/>
  <c r="DE48" i="11" s="1"/>
  <c r="DG48" i="11"/>
  <c r="O359" i="7"/>
  <c r="R700" i="7"/>
  <c r="M178" i="8"/>
  <c r="M143" i="8"/>
  <c r="AA490" i="7"/>
  <c r="AA479" i="7"/>
  <c r="AB490" i="7"/>
  <c r="AD192" i="17"/>
  <c r="L161" i="23"/>
  <c r="AC188" i="17"/>
  <c r="AD198" i="17"/>
  <c r="AF197" i="17"/>
  <c r="AE197" i="17"/>
  <c r="AG197" i="17"/>
  <c r="CB21" i="17"/>
  <c r="G9" i="28"/>
  <c r="CN32" i="17"/>
  <c r="BZ112" i="17"/>
  <c r="BZ118" i="17"/>
  <c r="X157" i="23"/>
  <c r="BY108" i="17"/>
  <c r="CE105" i="17"/>
  <c r="CE116" i="17"/>
  <c r="CF118" i="17"/>
  <c r="CE118" i="17"/>
  <c r="CE142" i="17"/>
  <c r="CE111" i="17"/>
  <c r="CG118" i="17"/>
  <c r="CF111" i="17"/>
  <c r="B9" i="28"/>
  <c r="J10" i="28"/>
  <c r="D124" i="2"/>
  <c r="R25" i="17"/>
  <c r="R27" i="17" s="1"/>
  <c r="R29" i="17" s="1"/>
  <c r="R21" i="17"/>
  <c r="R22" i="17" s="1"/>
  <c r="BJ21" i="17"/>
  <c r="BR32" i="17"/>
  <c r="CG32" i="17"/>
  <c r="I6" i="28"/>
  <c r="AC57" i="7"/>
  <c r="AC54" i="7"/>
  <c r="AC55" i="7" s="1"/>
  <c r="AC442" i="7"/>
  <c r="AB448" i="7"/>
  <c r="AC445" i="7"/>
  <c r="AC451" i="7" s="1"/>
  <c r="AD200" i="7"/>
  <c r="AE693" i="7"/>
  <c r="AC741" i="7"/>
  <c r="AC732" i="7"/>
  <c r="AC751" i="7"/>
  <c r="G1115" i="7"/>
  <c r="G1002" i="7"/>
  <c r="AE229" i="7"/>
  <c r="AE1097" i="7"/>
  <c r="Q84" i="7"/>
  <c r="Q87" i="7"/>
  <c r="X25" i="17"/>
  <c r="X27" i="17" s="1"/>
  <c r="X29" i="17" s="1"/>
  <c r="U204" i="8"/>
  <c r="U342" i="7"/>
  <c r="P342" i="7"/>
  <c r="AB82" i="8"/>
  <c r="AB78" i="8"/>
  <c r="G552" i="7"/>
  <c r="H573" i="7"/>
  <c r="EN45" i="6"/>
  <c r="AD1075" i="7"/>
  <c r="AE828" i="7"/>
  <c r="V112" i="17"/>
  <c r="W117" i="17"/>
  <c r="V118" i="17"/>
  <c r="X117" i="17"/>
  <c r="Y117" i="17"/>
  <c r="J157" i="23"/>
  <c r="U108" i="17"/>
  <c r="AA199" i="8"/>
  <c r="AA206" i="8" s="1"/>
  <c r="AB199" i="8"/>
  <c r="AB206" i="8" s="1"/>
  <c r="AM21" i="7"/>
  <c r="Z23" i="7"/>
  <c r="AM23" i="7" s="1"/>
  <c r="Y146" i="8"/>
  <c r="Y181" i="8"/>
  <c r="Y174" i="8"/>
  <c r="Z174" i="8"/>
  <c r="O265" i="23"/>
  <c r="O271" i="23"/>
  <c r="O280" i="23"/>
  <c r="P271" i="23"/>
  <c r="AK67" i="6"/>
  <c r="DG84" i="17"/>
  <c r="K197" i="17"/>
  <c r="L197" i="17"/>
  <c r="M197" i="17"/>
  <c r="N151" i="17"/>
  <c r="N157" i="17"/>
  <c r="H159" i="23"/>
  <c r="O156" i="17"/>
  <c r="P156" i="17"/>
  <c r="Q156" i="17"/>
  <c r="M147" i="17"/>
  <c r="O21" i="17"/>
  <c r="O22" i="17" s="1"/>
  <c r="K10" i="28"/>
  <c r="E124" i="2"/>
  <c r="CD118" i="17"/>
  <c r="CD112" i="17"/>
  <c r="Y157" i="23"/>
  <c r="CC108" i="17"/>
  <c r="AQ89" i="6"/>
  <c r="AW89" i="6"/>
  <c r="AN21" i="17"/>
  <c r="S71" i="8"/>
  <c r="U21" i="17"/>
  <c r="U22" i="17" s="1"/>
  <c r="AM423" i="7"/>
  <c r="Z426" i="7"/>
  <c r="AM426" i="7" s="1"/>
  <c r="Z429" i="7"/>
  <c r="AM429" i="7" s="1"/>
  <c r="CT40" i="6"/>
  <c r="DZ117" i="11"/>
  <c r="Q171" i="8"/>
  <c r="L73" i="8"/>
  <c r="AA453" i="7"/>
  <c r="AA464" i="7" s="1"/>
  <c r="AA465" i="7" s="1"/>
  <c r="AA456" i="7"/>
  <c r="AA462" i="7" s="1"/>
  <c r="AM453" i="7"/>
  <c r="V282" i="23"/>
  <c r="AC82" i="8"/>
  <c r="AT189" i="2"/>
  <c r="X748" i="7"/>
  <c r="Y342" i="7"/>
  <c r="J737" i="7"/>
  <c r="J748" i="7"/>
  <c r="K748" i="7"/>
  <c r="J758" i="7"/>
  <c r="AG980" i="7"/>
  <c r="U430" i="23"/>
  <c r="AB73" i="8"/>
  <c r="AC73" i="8"/>
  <c r="Z73" i="8"/>
  <c r="W199" i="8"/>
  <c r="W206" i="8" s="1"/>
  <c r="X199" i="8"/>
  <c r="X206" i="8" s="1"/>
  <c r="O151" i="8"/>
  <c r="P151" i="8"/>
  <c r="O158" i="8"/>
  <c r="V116" i="7"/>
  <c r="W118" i="7" s="1"/>
  <c r="W121" i="7" s="1"/>
  <c r="W123" i="7"/>
  <c r="V123" i="7"/>
  <c r="V121" i="7"/>
  <c r="Y396" i="7"/>
  <c r="H198" i="8"/>
  <c r="I198" i="8"/>
  <c r="I205" i="8" s="1"/>
  <c r="U56" i="25"/>
  <c r="V83" i="8"/>
  <c r="U115" i="8"/>
  <c r="U147" i="8"/>
  <c r="CR48" i="11"/>
  <c r="CW48" i="11"/>
  <c r="CT48" i="11"/>
  <c r="CU48" i="11" s="1"/>
  <c r="V158" i="8"/>
  <c r="V151" i="8"/>
  <c r="V148" i="8" s="1"/>
  <c r="W151" i="8"/>
  <c r="W148" i="8" s="1"/>
  <c r="X121" i="8"/>
  <c r="CU7" i="11"/>
  <c r="Y141" i="23"/>
  <c r="CS20" i="11" s="1"/>
  <c r="Y172" i="23"/>
  <c r="Y12" i="25" s="1"/>
  <c r="CX205" i="17"/>
  <c r="CX206" i="17" s="1"/>
  <c r="CX211" i="17" s="1"/>
  <c r="DR103" i="11" s="1"/>
  <c r="CW217" i="17"/>
  <c r="CW215" i="17"/>
  <c r="CW225" i="17"/>
  <c r="BK21" i="17"/>
  <c r="AL112" i="17"/>
  <c r="BB112" i="17"/>
  <c r="AX112" i="17"/>
  <c r="AZ117" i="17"/>
  <c r="AX118" i="17"/>
  <c r="BA117" i="17"/>
  <c r="AY117" i="17"/>
  <c r="Q157" i="23"/>
  <c r="AW108" i="17"/>
  <c r="T199" i="8"/>
  <c r="T206" i="8" s="1"/>
  <c r="Y564" i="7"/>
  <c r="Y567" i="7" s="1"/>
  <c r="Z565" i="7"/>
  <c r="AM565" i="7" s="1"/>
  <c r="Y581" i="7"/>
  <c r="Y551" i="7"/>
  <c r="AL32" i="17"/>
  <c r="P127" i="8"/>
  <c r="BO116" i="17"/>
  <c r="J271" i="23"/>
  <c r="AR40" i="6"/>
  <c r="Z112" i="17"/>
  <c r="C102" i="2"/>
  <c r="AT102" i="2" s="1"/>
  <c r="CK81" i="11"/>
  <c r="V113" i="23"/>
  <c r="AB21" i="25"/>
  <c r="DV110" i="11"/>
  <c r="AD341" i="23" s="1"/>
  <c r="CF81" i="11"/>
  <c r="D293" i="2"/>
  <c r="C293" i="2" s="1"/>
  <c r="G71" i="20" s="1"/>
  <c r="X71" i="20" s="1"/>
  <c r="AE21" i="25"/>
  <c r="CN102" i="11"/>
  <c r="CD102" i="11"/>
  <c r="V59" i="11"/>
  <c r="K150" i="23"/>
  <c r="CP102" i="11"/>
  <c r="J175" i="23"/>
  <c r="J15" i="25" s="1"/>
  <c r="CK87" i="11"/>
  <c r="AC17" i="25"/>
  <c r="X59" i="11"/>
  <c r="W64" i="11"/>
  <c r="V64" i="11" s="1"/>
  <c r="AD42" i="7"/>
  <c r="BE20" i="11"/>
  <c r="AD853" i="7"/>
  <c r="AC19" i="25"/>
  <c r="E108" i="2"/>
  <c r="AV108" i="2" s="1"/>
  <c r="AB20" i="25"/>
  <c r="C131" i="2"/>
  <c r="AT131" i="2" s="1"/>
  <c r="AD281" i="23"/>
  <c r="AD287" i="23" s="1"/>
  <c r="AE274" i="23"/>
  <c r="EM47" i="6"/>
  <c r="EM96" i="6" s="1"/>
  <c r="AF20" i="11"/>
  <c r="CX20" i="11"/>
  <c r="AD33" i="25"/>
  <c r="DC102" i="11"/>
  <c r="AE13" i="25"/>
  <c r="G102" i="2"/>
  <c r="AX102" i="2" s="1"/>
  <c r="AC20" i="25"/>
  <c r="E109" i="2"/>
  <c r="DB64" i="17"/>
  <c r="G109" i="2"/>
  <c r="AX109" i="2" s="1"/>
  <c r="AE20" i="25"/>
  <c r="E158" i="2"/>
  <c r="AC44" i="25"/>
  <c r="AE330" i="23"/>
  <c r="AE324" i="23" s="1"/>
  <c r="F110" i="2"/>
  <c r="AW110" i="2" s="1"/>
  <c r="AD21" i="25"/>
  <c r="D102" i="2"/>
  <c r="AB13" i="25"/>
  <c r="V28" i="11"/>
  <c r="AD461" i="23"/>
  <c r="AD466" i="23" s="1"/>
  <c r="AD36" i="25"/>
  <c r="AD78" i="7"/>
  <c r="F145" i="2"/>
  <c r="AA113" i="23"/>
  <c r="CD28" i="11"/>
  <c r="CD30" i="11" s="1"/>
  <c r="V150" i="23"/>
  <c r="CN28" i="11"/>
  <c r="CN30" i="11" s="1"/>
  <c r="X150" i="23"/>
  <c r="C111" i="2"/>
  <c r="AT111" i="2" s="1"/>
  <c r="AA22" i="25"/>
  <c r="AK26" i="11"/>
  <c r="AK30" i="11" s="1"/>
  <c r="M150" i="23"/>
  <c r="F141" i="2"/>
  <c r="AW141" i="2" s="1"/>
  <c r="AD32" i="25"/>
  <c r="AD422" i="23"/>
  <c r="AD434" i="23" s="1"/>
  <c r="DZ63" i="11"/>
  <c r="EA63" i="11" s="1"/>
  <c r="AE232" i="23" s="1"/>
  <c r="AE219" i="23" s="1"/>
  <c r="BJ26" i="11"/>
  <c r="Q26" i="11"/>
  <c r="I150" i="23"/>
  <c r="Q85" i="6"/>
  <c r="W85" i="6"/>
  <c r="AC102" i="11"/>
  <c r="AA102" i="11"/>
  <c r="K113" i="23"/>
  <c r="X175" i="23"/>
  <c r="X15" i="25" s="1"/>
  <c r="CO64" i="11"/>
  <c r="X24" i="23"/>
  <c r="CP59" i="11"/>
  <c r="CN59" i="11"/>
  <c r="C109" i="2"/>
  <c r="AA20" i="25"/>
  <c r="DV100" i="11"/>
  <c r="AD329" i="23" s="1"/>
  <c r="AD323" i="23" s="1"/>
  <c r="DU102" i="11"/>
  <c r="DX100" i="11"/>
  <c r="BY85" i="6"/>
  <c r="CE85" i="6"/>
  <c r="BY50" i="6"/>
  <c r="BE26" i="11"/>
  <c r="BE30" i="11" s="1"/>
  <c r="Q150" i="23"/>
  <c r="EG85" i="6"/>
  <c r="EA85" i="6"/>
  <c r="AW131" i="2"/>
  <c r="DK14" i="11"/>
  <c r="DO85" i="6"/>
  <c r="DI85" i="6"/>
  <c r="AD113" i="23"/>
  <c r="DR102" i="11"/>
  <c r="AF28" i="11"/>
  <c r="AF30" i="11" s="1"/>
  <c r="L150" i="23"/>
  <c r="K24" i="23"/>
  <c r="AB64" i="11"/>
  <c r="AC59" i="11"/>
  <c r="AA59" i="11"/>
  <c r="K175" i="23"/>
  <c r="K15" i="25" s="1"/>
  <c r="AD22" i="25"/>
  <c r="F111" i="2"/>
  <c r="AU109" i="2"/>
  <c r="D292" i="2"/>
  <c r="AE17" i="25"/>
  <c r="G106" i="2"/>
  <c r="AX106" i="2" s="1"/>
  <c r="X437" i="7" l="1"/>
  <c r="U623" i="7"/>
  <c r="N624" i="7"/>
  <c r="N630" i="7" s="1"/>
  <c r="S123" i="7"/>
  <c r="U644" i="7"/>
  <c r="L84" i="25"/>
  <c r="AA84" i="25"/>
  <c r="S121" i="7"/>
  <c r="Y15" i="7"/>
  <c r="Y17" i="7" s="1"/>
  <c r="P314" i="7"/>
  <c r="AM352" i="7"/>
  <c r="H624" i="7"/>
  <c r="H636" i="7" s="1"/>
  <c r="R281" i="7"/>
  <c r="CC9" i="17"/>
  <c r="AB353" i="7"/>
  <c r="AC353" i="7"/>
  <c r="H288" i="7"/>
  <c r="N314" i="7"/>
  <c r="Z353" i="7"/>
  <c r="AM353" i="7" s="1"/>
  <c r="V623" i="7"/>
  <c r="V629" i="7" s="1"/>
  <c r="AA623" i="7"/>
  <c r="AA732" i="7"/>
  <c r="AB744" i="7" s="1"/>
  <c r="AC1083" i="7"/>
  <c r="AC75" i="25" s="1"/>
  <c r="AA440" i="7"/>
  <c r="Y381" i="7"/>
  <c r="U1002" i="7"/>
  <c r="U1016" i="7" s="1"/>
  <c r="AB62" i="25"/>
  <c r="V1115" i="7"/>
  <c r="V1116" i="7" s="1"/>
  <c r="Y287" i="7"/>
  <c r="P381" i="7"/>
  <c r="O1115" i="7"/>
  <c r="O1116" i="7" s="1"/>
  <c r="EG33" i="6"/>
  <c r="EG82" i="6" s="1"/>
  <c r="EG57" i="6"/>
  <c r="AH30" i="6"/>
  <c r="AH79" i="6" s="1"/>
  <c r="AC79" i="6"/>
  <c r="AB645" i="7"/>
  <c r="AB657" i="7" s="1"/>
  <c r="Z282" i="7"/>
  <c r="AM282" i="7" s="1"/>
  <c r="J967" i="7"/>
  <c r="J968" i="7" s="1"/>
  <c r="N58" i="7"/>
  <c r="N122" i="25" s="1"/>
  <c r="P625" i="7"/>
  <c r="T301" i="7"/>
  <c r="T303" i="7" s="1"/>
  <c r="M301" i="7"/>
  <c r="AA967" i="7"/>
  <c r="AA978" i="7" s="1"/>
  <c r="O1002" i="7"/>
  <c r="O1016" i="7" s="1"/>
  <c r="L301" i="7"/>
  <c r="W437" i="7"/>
  <c r="J623" i="7"/>
  <c r="J635" i="7" s="1"/>
  <c r="BP22" i="6"/>
  <c r="BP29" i="6" s="1"/>
  <c r="BP34" i="6" s="1"/>
  <c r="BP39" i="6" s="1"/>
  <c r="BA59" i="6"/>
  <c r="BS58" i="6"/>
  <c r="ED69" i="6"/>
  <c r="AZ87" i="11"/>
  <c r="AE40" i="25"/>
  <c r="AF1011" i="7"/>
  <c r="U624" i="7"/>
  <c r="U636" i="7" s="1"/>
  <c r="AA625" i="7"/>
  <c r="AA637" i="7" s="1"/>
  <c r="M967" i="7"/>
  <c r="M978" i="7" s="1"/>
  <c r="BM58" i="6"/>
  <c r="BZ67" i="6"/>
  <c r="X646" i="7"/>
  <c r="X652" i="7" s="1"/>
  <c r="Q84" i="25"/>
  <c r="S56" i="25"/>
  <c r="AR61" i="6"/>
  <c r="AD966" i="7"/>
  <c r="V47" i="6"/>
  <c r="V96" i="6" s="1"/>
  <c r="P278" i="7"/>
  <c r="AM1031" i="7"/>
  <c r="W624" i="7"/>
  <c r="W636" i="7" s="1"/>
  <c r="X214" i="7"/>
  <c r="AA64" i="25"/>
  <c r="Z15" i="7"/>
  <c r="Z17" i="7" s="1"/>
  <c r="AM17" i="7" s="1"/>
  <c r="BB87" i="11"/>
  <c r="R61" i="6"/>
  <c r="AO77" i="6"/>
  <c r="AJ89" i="6"/>
  <c r="DX22" i="6"/>
  <c r="DX29" i="6" s="1"/>
  <c r="DX34" i="6" s="1"/>
  <c r="DX39" i="6" s="1"/>
  <c r="BZ22" i="6"/>
  <c r="BZ29" i="6" s="1"/>
  <c r="BZ34" i="6" s="1"/>
  <c r="AD67" i="6"/>
  <c r="BY18" i="6"/>
  <c r="CD18" i="6" s="1"/>
  <c r="CD67" i="6" s="1"/>
  <c r="N645" i="7"/>
  <c r="N765" i="7" s="1"/>
  <c r="AA877" i="7"/>
  <c r="AA878" i="7" s="1"/>
  <c r="X1002" i="7"/>
  <c r="X1016" i="7" s="1"/>
  <c r="P623" i="7"/>
  <c r="Q629" i="7" s="1"/>
  <c r="Z288" i="7"/>
  <c r="AM288" i="7" s="1"/>
  <c r="K116" i="7"/>
  <c r="L118" i="7" s="1"/>
  <c r="L121" i="7" s="1"/>
  <c r="ED67" i="6"/>
  <c r="R314" i="7"/>
  <c r="L22" i="6"/>
  <c r="L29" i="6" s="1"/>
  <c r="L34" i="6" s="1"/>
  <c r="N150" i="8"/>
  <c r="N148" i="8" s="1"/>
  <c r="S116" i="7"/>
  <c r="T118" i="7" s="1"/>
  <c r="T121" i="7" s="1"/>
  <c r="L289" i="7"/>
  <c r="K281" i="7"/>
  <c r="J281" i="7"/>
  <c r="T69" i="7"/>
  <c r="T75" i="7" s="1"/>
  <c r="K440" i="7"/>
  <c r="S67" i="6"/>
  <c r="AW102" i="11"/>
  <c r="L491" i="20"/>
  <c r="AC491" i="20" s="1"/>
  <c r="O113" i="23"/>
  <c r="M491" i="20"/>
  <c r="AD491" i="20" s="1"/>
  <c r="DQ71" i="11"/>
  <c r="CA102" i="11"/>
  <c r="AD22" i="6"/>
  <c r="AD71" i="6" s="1"/>
  <c r="J200" i="20"/>
  <c r="AA200" i="20" s="1"/>
  <c r="DN72" i="11"/>
  <c r="DM72" i="11" s="1"/>
  <c r="K200" i="20"/>
  <c r="AB200" i="20" s="1"/>
  <c r="DQ73" i="11"/>
  <c r="M22" i="6"/>
  <c r="M29" i="6" s="1"/>
  <c r="M34" i="6" s="1"/>
  <c r="DQ72" i="11"/>
  <c r="U113" i="23"/>
  <c r="X67" i="6"/>
  <c r="T151" i="23"/>
  <c r="BT29" i="11" s="1"/>
  <c r="BU11" i="11"/>
  <c r="BU12" i="11" s="1"/>
  <c r="BU14" i="11" s="1"/>
  <c r="T183" i="23"/>
  <c r="T23" i="25" s="1"/>
  <c r="DD89" i="6"/>
  <c r="EA117" i="11"/>
  <c r="O379" i="7"/>
  <c r="O381" i="7" s="1"/>
  <c r="N379" i="7"/>
  <c r="R216" i="7"/>
  <c r="V112" i="7"/>
  <c r="I160" i="8"/>
  <c r="Q437" i="7"/>
  <c r="R440" i="7"/>
  <c r="R94" i="25"/>
  <c r="U216" i="7"/>
  <c r="AB15" i="7"/>
  <c r="AB17" i="7" s="1"/>
  <c r="K216" i="7"/>
  <c r="AC286" i="23"/>
  <c r="S314" i="7"/>
  <c r="R379" i="7"/>
  <c r="L645" i="7"/>
  <c r="L657" i="7" s="1"/>
  <c r="W281" i="7"/>
  <c r="V350" i="7"/>
  <c r="AE70" i="25"/>
  <c r="J153" i="8"/>
  <c r="S350" i="7"/>
  <c r="L216" i="7"/>
  <c r="S283" i="7"/>
  <c r="O282" i="7"/>
  <c r="V644" i="7"/>
  <c r="V650" i="7" s="1"/>
  <c r="V661" i="7" s="1"/>
  <c r="Z379" i="7"/>
  <c r="Z381" i="7" s="1"/>
  <c r="Q644" i="7"/>
  <c r="Q170" i="25" s="1"/>
  <c r="AD701" i="7"/>
  <c r="S1115" i="7"/>
  <c r="S1116" i="7" s="1"/>
  <c r="Q379" i="7"/>
  <c r="Q381" i="7" s="1"/>
  <c r="AG976" i="7"/>
  <c r="Z29" i="7"/>
  <c r="AM29" i="7" s="1"/>
  <c r="AA350" i="7"/>
  <c r="Y216" i="7"/>
  <c r="S216" i="7"/>
  <c r="Q350" i="7"/>
  <c r="AZ47" i="6"/>
  <c r="AZ96" i="6" s="1"/>
  <c r="CY89" i="6"/>
  <c r="BN12" i="11"/>
  <c r="BC96" i="6"/>
  <c r="DG14" i="11"/>
  <c r="DB12" i="11"/>
  <c r="X625" i="7"/>
  <c r="AB289" i="7"/>
  <c r="S646" i="7"/>
  <c r="S658" i="7" s="1"/>
  <c r="S281" i="7"/>
  <c r="U645" i="7"/>
  <c r="U765" i="7" s="1"/>
  <c r="V281" i="7"/>
  <c r="AE995" i="7"/>
  <c r="U967" i="7"/>
  <c r="U968" i="7" s="1"/>
  <c r="AA287" i="7"/>
  <c r="K624" i="7"/>
  <c r="K636" i="7" s="1"/>
  <c r="Q281" i="7"/>
  <c r="M345" i="7"/>
  <c r="P282" i="7"/>
  <c r="R84" i="25"/>
  <c r="AA751" i="7"/>
  <c r="S381" i="7"/>
  <c r="AE696" i="7"/>
  <c r="AE108" i="25" s="1"/>
  <c r="F243" i="2"/>
  <c r="J488" i="20" s="1"/>
  <c r="AA488" i="20" s="1"/>
  <c r="X282" i="7"/>
  <c r="S94" i="25"/>
  <c r="K381" i="7"/>
  <c r="O301" i="7"/>
  <c r="Y623" i="7"/>
  <c r="Y635" i="7" s="1"/>
  <c r="T281" i="7"/>
  <c r="AB359" i="7"/>
  <c r="M645" i="7"/>
  <c r="Q282" i="7"/>
  <c r="AB741" i="7"/>
  <c r="EQ18" i="6"/>
  <c r="EQ67" i="6" s="1"/>
  <c r="AB79" i="25"/>
  <c r="L123" i="7"/>
  <c r="AC277" i="7"/>
  <c r="AC646" i="7" s="1"/>
  <c r="AC652" i="7" s="1"/>
  <c r="AF980" i="7"/>
  <c r="V282" i="7"/>
  <c r="EC89" i="6"/>
  <c r="AK135" i="17"/>
  <c r="AK10" i="17" s="1"/>
  <c r="AK130" i="17"/>
  <c r="AK143" i="17"/>
  <c r="AH16" i="26"/>
  <c r="AJ144" i="17"/>
  <c r="AF19" i="26"/>
  <c r="AI13" i="17"/>
  <c r="AK13" i="16"/>
  <c r="AK186" i="17" s="1"/>
  <c r="AK12" i="16"/>
  <c r="AK145" i="17" s="1"/>
  <c r="AJ220" i="17"/>
  <c r="AJ183" i="17"/>
  <c r="AJ185" i="17" s="1"/>
  <c r="AJ150" i="17"/>
  <c r="AJ155" i="17"/>
  <c r="AJ157" i="17"/>
  <c r="AJ23" i="17"/>
  <c r="AJ25" i="17" s="1"/>
  <c r="AJ27" i="17" s="1"/>
  <c r="AJ29" i="17" s="1"/>
  <c r="AL8" i="16"/>
  <c r="AL125" i="17" s="1"/>
  <c r="AF17" i="26"/>
  <c r="AI11" i="17"/>
  <c r="AJ198" i="17"/>
  <c r="AJ224" i="17"/>
  <c r="AJ226" i="17" s="1"/>
  <c r="AJ196" i="17"/>
  <c r="AJ219" i="17"/>
  <c r="AJ191" i="17"/>
  <c r="U184" i="23"/>
  <c r="U24" i="25" s="1"/>
  <c r="CW176" i="17"/>
  <c r="CQ15" i="26"/>
  <c r="AM118" i="11"/>
  <c r="CL96" i="6"/>
  <c r="CF96" i="6"/>
  <c r="CR96" i="6"/>
  <c r="I488" i="20"/>
  <c r="Z488" i="20" s="1"/>
  <c r="AB625" i="7"/>
  <c r="AB637" i="7" s="1"/>
  <c r="AA314" i="7"/>
  <c r="AA316" i="7" s="1"/>
  <c r="S630" i="7"/>
  <c r="Q624" i="7"/>
  <c r="X491" i="7"/>
  <c r="CW174" i="17"/>
  <c r="P437" i="7"/>
  <c r="C259" i="2"/>
  <c r="G462" i="20" s="1"/>
  <c r="X462" i="20" s="1"/>
  <c r="H487" i="20"/>
  <c r="Y487" i="20" s="1"/>
  <c r="AC1074" i="7"/>
  <c r="H488" i="20"/>
  <c r="Y488" i="20" s="1"/>
  <c r="AB256" i="8"/>
  <c r="AB258" i="8" s="1"/>
  <c r="AC820" i="7"/>
  <c r="L1115" i="7"/>
  <c r="L1116" i="7" s="1"/>
  <c r="R345" i="7"/>
  <c r="AA157" i="8"/>
  <c r="Q645" i="7"/>
  <c r="Q657" i="7" s="1"/>
  <c r="CW175" i="17"/>
  <c r="Y150" i="8"/>
  <c r="CX164" i="17"/>
  <c r="CX184" i="17" s="1"/>
  <c r="AC256" i="8"/>
  <c r="AC258" i="8" s="1"/>
  <c r="P345" i="7"/>
  <c r="AD96" i="6"/>
  <c r="AA1125" i="7"/>
  <c r="X1132" i="7"/>
  <c r="S645" i="7"/>
  <c r="S657" i="7" s="1"/>
  <c r="I623" i="7"/>
  <c r="I635" i="7" s="1"/>
  <c r="V301" i="7"/>
  <c r="V303" i="7" s="1"/>
  <c r="CE94" i="6"/>
  <c r="Q313" i="7"/>
  <c r="Q314" i="7" s="1"/>
  <c r="O624" i="7"/>
  <c r="AC844" i="7"/>
  <c r="Q1142" i="7"/>
  <c r="AC1139" i="7"/>
  <c r="R289" i="7"/>
  <c r="AA1132" i="7"/>
  <c r="AA1133" i="7" s="1"/>
  <c r="AA106" i="25" s="1"/>
  <c r="K999" i="7"/>
  <c r="K1013" i="7" s="1"/>
  <c r="R646" i="7"/>
  <c r="R658" i="7" s="1"/>
  <c r="AM965" i="7"/>
  <c r="DY35" i="6"/>
  <c r="DZ35" i="6" s="1"/>
  <c r="DZ84" i="6" s="1"/>
  <c r="Q94" i="25"/>
  <c r="O645" i="7"/>
  <c r="O765" i="7" s="1"/>
  <c r="CU35" i="6"/>
  <c r="CU48" i="6" s="1"/>
  <c r="L288" i="7"/>
  <c r="N301" i="7"/>
  <c r="AC832" i="7"/>
  <c r="M1002" i="7"/>
  <c r="M1016" i="7" s="1"/>
  <c r="AB64" i="25"/>
  <c r="K121" i="7"/>
  <c r="Q1115" i="7"/>
  <c r="Q1116" i="7" s="1"/>
  <c r="N287" i="7"/>
  <c r="W261" i="7"/>
  <c r="AA68" i="25"/>
  <c r="AC1076" i="7"/>
  <c r="AC68" i="25" s="1"/>
  <c r="AC597" i="7"/>
  <c r="AC1129" i="7"/>
  <c r="AD1122" i="7"/>
  <c r="X118" i="11"/>
  <c r="BD22" i="6"/>
  <c r="BD29" i="6" s="1"/>
  <c r="BD34" i="6" s="1"/>
  <c r="BD39" i="6" s="1"/>
  <c r="BD48" i="6" s="1"/>
  <c r="BD49" i="6" s="1"/>
  <c r="AA87" i="11"/>
  <c r="O75" i="11"/>
  <c r="CU70" i="11"/>
  <c r="CK84" i="6"/>
  <c r="CH73" i="6"/>
  <c r="DE61" i="6"/>
  <c r="CY61" i="6"/>
  <c r="K91" i="23"/>
  <c r="CY22" i="6"/>
  <c r="CY29" i="6" s="1"/>
  <c r="CY34" i="6" s="1"/>
  <c r="CY39" i="6" s="1"/>
  <c r="CY48" i="6" s="1"/>
  <c r="CY49" i="6" s="1"/>
  <c r="X186" i="23"/>
  <c r="X44" i="25" s="1"/>
  <c r="CE84" i="6"/>
  <c r="Z1050" i="7"/>
  <c r="AM1050" i="7" s="1"/>
  <c r="L512" i="7"/>
  <c r="L124" i="25" s="1"/>
  <c r="AF1015" i="7"/>
  <c r="AA1002" i="7"/>
  <c r="AA1016" i="7" s="1"/>
  <c r="K105" i="25"/>
  <c r="AD1099" i="7"/>
  <c r="F217" i="2" s="1"/>
  <c r="AW217" i="2" s="1"/>
  <c r="V69" i="7"/>
  <c r="V75" i="7" s="1"/>
  <c r="T61" i="6"/>
  <c r="C240" i="2"/>
  <c r="AT240" i="2" s="1"/>
  <c r="M107" i="25"/>
  <c r="L1125" i="7"/>
  <c r="Y1115" i="7"/>
  <c r="Y1116" i="7" s="1"/>
  <c r="I161" i="8"/>
  <c r="AC235" i="7"/>
  <c r="AC252" i="7" s="1"/>
  <c r="AA150" i="23"/>
  <c r="H999" i="7"/>
  <c r="H1013" i="7" s="1"/>
  <c r="H91" i="25"/>
  <c r="X107" i="25"/>
  <c r="X1142" i="7"/>
  <c r="AA214" i="7"/>
  <c r="S644" i="7"/>
  <c r="S656" i="7" s="1"/>
  <c r="BS15" i="26"/>
  <c r="AF977" i="7"/>
  <c r="H5" i="28"/>
  <c r="H11" i="28" s="1"/>
  <c r="V154" i="8"/>
  <c r="AE30" i="8"/>
  <c r="AE59" i="8" s="1"/>
  <c r="O710" i="7"/>
  <c r="J381" i="7"/>
  <c r="Z214" i="7"/>
  <c r="AM214" i="7" s="1"/>
  <c r="S623" i="7"/>
  <c r="S635" i="7" s="1"/>
  <c r="AE89" i="6"/>
  <c r="R278" i="7"/>
  <c r="R290" i="7" s="1"/>
  <c r="AP30" i="11"/>
  <c r="BD73" i="6"/>
  <c r="BQ87" i="11"/>
  <c r="BQ88" i="11" s="1"/>
  <c r="U186" i="23"/>
  <c r="U44" i="25" s="1"/>
  <c r="S91" i="23"/>
  <c r="DU18" i="6"/>
  <c r="DZ18" i="6" s="1"/>
  <c r="DZ67" i="6" s="1"/>
  <c r="DD67" i="6"/>
  <c r="L69" i="7"/>
  <c r="L75" i="7" s="1"/>
  <c r="M510" i="7"/>
  <c r="P281" i="7"/>
  <c r="EM10" i="6"/>
  <c r="CC79" i="6"/>
  <c r="BI67" i="6"/>
  <c r="BC22" i="6"/>
  <c r="BC29" i="6" s="1"/>
  <c r="BC34" i="6" s="1"/>
  <c r="BC39" i="6" s="1"/>
  <c r="BC48" i="6" s="1"/>
  <c r="BC49" i="6" s="1"/>
  <c r="DV67" i="6"/>
  <c r="N437" i="7"/>
  <c r="M623" i="7"/>
  <c r="M635" i="7" s="1"/>
  <c r="CW103" i="17"/>
  <c r="CW106" i="17" s="1"/>
  <c r="AA278" i="7"/>
  <c r="AA290" i="7" s="1"/>
  <c r="Y1142" i="7"/>
  <c r="CD30" i="6"/>
  <c r="CD79" i="6" s="1"/>
  <c r="Y721" i="7"/>
  <c r="AC249" i="7"/>
  <c r="Y1125" i="7"/>
  <c r="R69" i="7"/>
  <c r="R75" i="7" s="1"/>
  <c r="P645" i="7"/>
  <c r="P765" i="7" s="1"/>
  <c r="P167" i="25" s="1"/>
  <c r="I283" i="7"/>
  <c r="O287" i="7"/>
  <c r="AG978" i="7"/>
  <c r="Y283" i="7"/>
  <c r="N214" i="7"/>
  <c r="AE695" i="7"/>
  <c r="AE1096" i="7"/>
  <c r="AE1099" i="7" s="1"/>
  <c r="AE84" i="25" s="1"/>
  <c r="H116" i="7"/>
  <c r="I118" i="7" s="1"/>
  <c r="I121" i="7" s="1"/>
  <c r="X94" i="25"/>
  <c r="AD1002" i="7"/>
  <c r="AE141" i="7"/>
  <c r="AE150" i="7" s="1"/>
  <c r="AB84" i="25"/>
  <c r="EJ20" i="6"/>
  <c r="EJ69" i="6" s="1"/>
  <c r="AB94" i="25"/>
  <c r="N18" i="6"/>
  <c r="K18" i="6" s="1"/>
  <c r="P18" i="6" s="1"/>
  <c r="P67" i="6" s="1"/>
  <c r="AA624" i="7"/>
  <c r="AA636" i="7" s="1"/>
  <c r="D217" i="2"/>
  <c r="G436" i="20" s="1"/>
  <c r="X436" i="20" s="1"/>
  <c r="AD230" i="7"/>
  <c r="AE230" i="7" s="1"/>
  <c r="AE1103" i="7" s="1"/>
  <c r="T214" i="7"/>
  <c r="P624" i="7"/>
  <c r="P636" i="7" s="1"/>
  <c r="T69" i="6"/>
  <c r="W14" i="7"/>
  <c r="W15" i="7" s="1"/>
  <c r="W17" i="7" s="1"/>
  <c r="J150" i="23"/>
  <c r="E105" i="2"/>
  <c r="AV105" i="2" s="1"/>
  <c r="CQ77" i="6"/>
  <c r="CK102" i="11"/>
  <c r="CK88" i="11" s="1"/>
  <c r="P24" i="23"/>
  <c r="AZ59" i="11"/>
  <c r="BA64" i="11"/>
  <c r="AZ64" i="11" s="1"/>
  <c r="P175" i="23"/>
  <c r="P15" i="25" s="1"/>
  <c r="CK77" i="6"/>
  <c r="CG61" i="6"/>
  <c r="Q59" i="6"/>
  <c r="AM70" i="11"/>
  <c r="CI102" i="11"/>
  <c r="BP11" i="11"/>
  <c r="BQ11" i="11" s="1"/>
  <c r="AO57" i="6"/>
  <c r="AU57" i="6"/>
  <c r="F384" i="20"/>
  <c r="W384" i="20" s="1"/>
  <c r="EA77" i="6"/>
  <c r="U79" i="6"/>
  <c r="M376" i="20"/>
  <c r="AD376" i="20" s="1"/>
  <c r="EN81" i="6"/>
  <c r="P30" i="6"/>
  <c r="P79" i="6" s="1"/>
  <c r="DJ89" i="6"/>
  <c r="DX69" i="6"/>
  <c r="DV46" i="11"/>
  <c r="AD205" i="23" s="1"/>
  <c r="G343" i="20"/>
  <c r="X343" i="20" s="1"/>
  <c r="O79" i="6"/>
  <c r="BB70" i="11"/>
  <c r="BE73" i="6"/>
  <c r="DB45" i="6"/>
  <c r="DB94" i="6" s="1"/>
  <c r="AA1035" i="7"/>
  <c r="AA1036" i="7" s="1"/>
  <c r="S160" i="8"/>
  <c r="AB105" i="25"/>
  <c r="AE996" i="7"/>
  <c r="AB968" i="7"/>
  <c r="AB979" i="7" s="1"/>
  <c r="J1125" i="7"/>
  <c r="J1002" i="7"/>
  <c r="J1016" i="7" s="1"/>
  <c r="Y94" i="25"/>
  <c r="AE200" i="7"/>
  <c r="AE211" i="7" s="1"/>
  <c r="AM1011" i="7"/>
  <c r="Z509" i="7"/>
  <c r="AA510" i="7" s="1"/>
  <c r="M69" i="7"/>
  <c r="M75" i="7" s="1"/>
  <c r="EG10" i="6"/>
  <c r="EL17" i="6" s="1"/>
  <c r="EL66" i="6" s="1"/>
  <c r="N700" i="7"/>
  <c r="M214" i="7"/>
  <c r="AP28" i="8"/>
  <c r="Q12" i="6"/>
  <c r="AO82" i="6"/>
  <c r="F343" i="20"/>
  <c r="W343" i="20" s="1"/>
  <c r="J376" i="20"/>
  <c r="AA376" i="20" s="1"/>
  <c r="I376" i="20"/>
  <c r="Z376" i="20" s="1"/>
  <c r="H376" i="20"/>
  <c r="Y376" i="20" s="1"/>
  <c r="L91" i="23"/>
  <c r="S183" i="23"/>
  <c r="S23" i="25" s="1"/>
  <c r="S151" i="23"/>
  <c r="BO29" i="11" s="1"/>
  <c r="K376" i="20"/>
  <c r="AB376" i="20" s="1"/>
  <c r="BO22" i="6"/>
  <c r="BO29" i="6" s="1"/>
  <c r="BO34" i="6" s="1"/>
  <c r="DC40" i="6"/>
  <c r="DH40" i="6" s="1"/>
  <c r="DH89" i="6" s="1"/>
  <c r="CB22" i="6"/>
  <c r="CB29" i="6" s="1"/>
  <c r="CB34" i="6" s="1"/>
  <c r="CB39" i="6" s="1"/>
  <c r="AI84" i="6"/>
  <c r="AF87" i="11"/>
  <c r="EC67" i="6"/>
  <c r="AT73" i="11"/>
  <c r="O73" i="6"/>
  <c r="BU22" i="6"/>
  <c r="BU29" i="6" s="1"/>
  <c r="BU34" i="6" s="1"/>
  <c r="BU39" i="6" s="1"/>
  <c r="BU48" i="6" s="1"/>
  <c r="BU49" i="6" s="1"/>
  <c r="G380" i="20"/>
  <c r="X380" i="20" s="1"/>
  <c r="AY73" i="6"/>
  <c r="T350" i="7"/>
  <c r="I261" i="7"/>
  <c r="Z1132" i="7"/>
  <c r="Z1133" i="7" s="1"/>
  <c r="Z106" i="25" s="1"/>
  <c r="AB282" i="7"/>
  <c r="Q261" i="7"/>
  <c r="AN75" i="11"/>
  <c r="H918" i="7"/>
  <c r="H929" i="7" s="1"/>
  <c r="H967" i="7"/>
  <c r="H978" i="7" s="1"/>
  <c r="G244" i="2"/>
  <c r="L486" i="20" s="1"/>
  <c r="AC486" i="20" s="1"/>
  <c r="AB288" i="7"/>
  <c r="O623" i="7"/>
  <c r="O635" i="7" s="1"/>
  <c r="O216" i="7"/>
  <c r="Z216" i="7"/>
  <c r="AM216" i="7" s="1"/>
  <c r="U350" i="7"/>
  <c r="AB67" i="25"/>
  <c r="M379" i="7"/>
  <c r="M381" i="7" s="1"/>
  <c r="W350" i="7"/>
  <c r="P350" i="7"/>
  <c r="R350" i="7"/>
  <c r="M350" i="7"/>
  <c r="EO59" i="6"/>
  <c r="AD365" i="7"/>
  <c r="J301" i="7"/>
  <c r="U214" i="7"/>
  <c r="EI18" i="6"/>
  <c r="EI67" i="6" s="1"/>
  <c r="E205" i="2"/>
  <c r="AC74" i="25"/>
  <c r="AD227" i="7"/>
  <c r="AC247" i="7"/>
  <c r="F380" i="20"/>
  <c r="W380" i="20" s="1"/>
  <c r="AU205" i="2"/>
  <c r="AD965" i="7"/>
  <c r="O261" i="7"/>
  <c r="N261" i="7"/>
  <c r="O644" i="7"/>
  <c r="O656" i="7" s="1"/>
  <c r="L379" i="7"/>
  <c r="L381" i="7" s="1"/>
  <c r="Q286" i="23"/>
  <c r="W314" i="7"/>
  <c r="W316" i="7" s="1"/>
  <c r="U440" i="7"/>
  <c r="U437" i="7"/>
  <c r="H261" i="7"/>
  <c r="S710" i="7"/>
  <c r="Z675" i="7"/>
  <c r="AM675" i="7" s="1"/>
  <c r="X301" i="7"/>
  <c r="X303" i="7" s="1"/>
  <c r="AO73" i="11"/>
  <c r="AD485" i="7"/>
  <c r="K289" i="7"/>
  <c r="S700" i="7"/>
  <c r="C242" i="2"/>
  <c r="AT242" i="2" s="1"/>
  <c r="AB1142" i="7"/>
  <c r="V437" i="7"/>
  <c r="AC282" i="23"/>
  <c r="AC312" i="23" s="1"/>
  <c r="Q216" i="7"/>
  <c r="AA75" i="25"/>
  <c r="T282" i="7"/>
  <c r="M512" i="7"/>
  <c r="M124" i="25" s="1"/>
  <c r="V216" i="7"/>
  <c r="I379" i="7"/>
  <c r="I381" i="7" s="1"/>
  <c r="P216" i="7"/>
  <c r="AB350" i="7"/>
  <c r="T440" i="7"/>
  <c r="T437" i="7"/>
  <c r="S437" i="7"/>
  <c r="S440" i="7"/>
  <c r="AE16" i="25"/>
  <c r="AS73" i="6"/>
  <c r="AT31" i="6"/>
  <c r="AT80" i="6" s="1"/>
  <c r="AC40" i="6"/>
  <c r="AH40" i="6" s="1"/>
  <c r="AH89" i="6" s="1"/>
  <c r="BY77" i="6"/>
  <c r="DM94" i="6"/>
  <c r="W32" i="6"/>
  <c r="AB32" i="6" s="1"/>
  <c r="AB81" i="6" s="1"/>
  <c r="AA81" i="6"/>
  <c r="X48" i="6"/>
  <c r="X49" i="6" s="1"/>
  <c r="BF8" i="6"/>
  <c r="BF57" i="6" s="1"/>
  <c r="AE31" i="25"/>
  <c r="F223" i="2"/>
  <c r="J424" i="20" s="1"/>
  <c r="AA424" i="20" s="1"/>
  <c r="AB283" i="7"/>
  <c r="Y675" i="7"/>
  <c r="EH18" i="6"/>
  <c r="EH67" i="6" s="1"/>
  <c r="AA675" i="7"/>
  <c r="AF974" i="7"/>
  <c r="AC617" i="7"/>
  <c r="AB107" i="25"/>
  <c r="I69" i="7"/>
  <c r="I72" i="7" s="1"/>
  <c r="DS35" i="6"/>
  <c r="Z681" i="7"/>
  <c r="AM681" i="7" s="1"/>
  <c r="N710" i="7"/>
  <c r="DG35" i="6"/>
  <c r="DG48" i="6" s="1"/>
  <c r="M721" i="7"/>
  <c r="M67" i="7"/>
  <c r="N69" i="7" s="1"/>
  <c r="N75" i="7" s="1"/>
  <c r="J160" i="8"/>
  <c r="AD94" i="25"/>
  <c r="C227" i="2"/>
  <c r="AT227" i="2" s="1"/>
  <c r="AA94" i="25"/>
  <c r="EK45" i="6"/>
  <c r="EL45" i="6" s="1"/>
  <c r="EL94" i="6" s="1"/>
  <c r="AA289" i="7"/>
  <c r="Z877" i="7"/>
  <c r="Z878" i="7" s="1"/>
  <c r="AM878" i="7" s="1"/>
  <c r="X877" i="7"/>
  <c r="X878" i="7" s="1"/>
  <c r="J94" i="25"/>
  <c r="R214" i="7"/>
  <c r="AE213" i="7"/>
  <c r="H283" i="7"/>
  <c r="Z512" i="7"/>
  <c r="Z124" i="25" s="1"/>
  <c r="X161" i="8"/>
  <c r="H278" i="7"/>
  <c r="H290" i="7" s="1"/>
  <c r="AB710" i="7"/>
  <c r="G246" i="2"/>
  <c r="M485" i="20" s="1"/>
  <c r="AD485" i="20" s="1"/>
  <c r="L646" i="7"/>
  <c r="L766" i="7" s="1"/>
  <c r="I105" i="25"/>
  <c r="L897" i="7"/>
  <c r="L907" i="7" s="1"/>
  <c r="W918" i="7"/>
  <c r="W929" i="7" s="1"/>
  <c r="DN45" i="6"/>
  <c r="DN94" i="6" s="1"/>
  <c r="H625" i="7"/>
  <c r="H637" i="7" s="1"/>
  <c r="W1125" i="7"/>
  <c r="AC967" i="7"/>
  <c r="AC978" i="7" s="1"/>
  <c r="Y967" i="7"/>
  <c r="Y978" i="7" s="1"/>
  <c r="U1142" i="7"/>
  <c r="H646" i="7"/>
  <c r="H658" i="7" s="1"/>
  <c r="O512" i="7"/>
  <c r="O124" i="25" s="1"/>
  <c r="L278" i="7"/>
  <c r="L290" i="7" s="1"/>
  <c r="AE421" i="23"/>
  <c r="BA12" i="6"/>
  <c r="DU79" i="6"/>
  <c r="BY30" i="11"/>
  <c r="AD31" i="25"/>
  <c r="AD421" i="23"/>
  <c r="AD433" i="23" s="1"/>
  <c r="CR84" i="6"/>
  <c r="AB35" i="6"/>
  <c r="AB84" i="6" s="1"/>
  <c r="DT33" i="6"/>
  <c r="DT82" i="6" s="1"/>
  <c r="DU82" i="6"/>
  <c r="AJ61" i="6"/>
  <c r="F140" i="2"/>
  <c r="AW140" i="2" s="1"/>
  <c r="BY12" i="6"/>
  <c r="DP22" i="6"/>
  <c r="DP29" i="6" s="1"/>
  <c r="DP34" i="6" s="1"/>
  <c r="DP39" i="6" s="1"/>
  <c r="DP48" i="6" s="1"/>
  <c r="DP49" i="6" s="1"/>
  <c r="DP67" i="6"/>
  <c r="DO79" i="6"/>
  <c r="AX118" i="2"/>
  <c r="X96" i="6"/>
  <c r="CX84" i="6"/>
  <c r="AD89" i="6"/>
  <c r="AD61" i="6"/>
  <c r="DR69" i="6"/>
  <c r="AU77" i="6"/>
  <c r="DO82" i="6"/>
  <c r="CW79" i="6"/>
  <c r="EA12" i="6"/>
  <c r="BG82" i="6"/>
  <c r="BU64" i="11"/>
  <c r="BT64" i="11" s="1"/>
  <c r="BU65" i="11" s="1"/>
  <c r="BT59" i="11"/>
  <c r="ED92" i="6"/>
  <c r="DG94" i="6"/>
  <c r="T24" i="23"/>
  <c r="CQ12" i="6"/>
  <c r="N183" i="23"/>
  <c r="N23" i="25" s="1"/>
  <c r="AV207" i="2"/>
  <c r="T175" i="23"/>
  <c r="T15" i="25" s="1"/>
  <c r="AQ11" i="11"/>
  <c r="N178" i="23" s="1"/>
  <c r="N18" i="25" s="1"/>
  <c r="CV30" i="6"/>
  <c r="CV79" i="6" s="1"/>
  <c r="EH89" i="6"/>
  <c r="AZ35" i="6"/>
  <c r="AZ84" i="6" s="1"/>
  <c r="BQ77" i="6"/>
  <c r="CQ79" i="6"/>
  <c r="AR16" i="11"/>
  <c r="Y58" i="7"/>
  <c r="Y122" i="25" s="1"/>
  <c r="AA256" i="8"/>
  <c r="AA258" i="8" s="1"/>
  <c r="N646" i="7"/>
  <c r="S83" i="8"/>
  <c r="P1115" i="7"/>
  <c r="P1116" i="7" s="1"/>
  <c r="L5" i="28"/>
  <c r="L11" i="28" s="1"/>
  <c r="V877" i="7"/>
  <c r="V878" i="7" s="1"/>
  <c r="AA301" i="7"/>
  <c r="AA303" i="7" s="1"/>
  <c r="AD300" i="7"/>
  <c r="AC512" i="7"/>
  <c r="AC124" i="25" s="1"/>
  <c r="E217" i="2"/>
  <c r="H416" i="20" s="1"/>
  <c r="Y437" i="7"/>
  <c r="AM299" i="7"/>
  <c r="V1132" i="7"/>
  <c r="V1133" i="7" s="1"/>
  <c r="V106" i="25" s="1"/>
  <c r="AD150" i="7"/>
  <c r="AD90" i="25"/>
  <c r="X109" i="7"/>
  <c r="Q301" i="7"/>
  <c r="J56" i="25"/>
  <c r="V675" i="7"/>
  <c r="W675" i="7"/>
  <c r="P94" i="25"/>
  <c r="S15" i="7"/>
  <c r="S17" i="7" s="1"/>
  <c r="S69" i="7"/>
  <c r="S72" i="7" s="1"/>
  <c r="AB75" i="25"/>
  <c r="BI22" i="6"/>
  <c r="BI29" i="6" s="1"/>
  <c r="BI34" i="6" s="1"/>
  <c r="Z350" i="7"/>
  <c r="AM350" i="7" s="1"/>
  <c r="AM210" i="7"/>
  <c r="AD998" i="7"/>
  <c r="M287" i="7"/>
  <c r="EP17" i="6"/>
  <c r="EM17" i="6" s="1"/>
  <c r="T261" i="7"/>
  <c r="K625" i="7"/>
  <c r="L631" i="7" s="1"/>
  <c r="AM361" i="7"/>
  <c r="AA15" i="7"/>
  <c r="AA17" i="7" s="1"/>
  <c r="P1133" i="7"/>
  <c r="P1135" i="7" s="1"/>
  <c r="Y69" i="8"/>
  <c r="V214" i="7"/>
  <c r="R56" i="7"/>
  <c r="AC301" i="7"/>
  <c r="AC303" i="7" s="1"/>
  <c r="AA69" i="7"/>
  <c r="AA75" i="7" s="1"/>
  <c r="CA15" i="26"/>
  <c r="EG9" i="6"/>
  <c r="EL16" i="6" s="1"/>
  <c r="EL65" i="6" s="1"/>
  <c r="H382" i="20"/>
  <c r="Y382" i="20" s="1"/>
  <c r="H410" i="20"/>
  <c r="Y410" i="20" s="1"/>
  <c r="I410" i="20"/>
  <c r="Z410" i="20" s="1"/>
  <c r="AU94" i="6"/>
  <c r="EB89" i="6"/>
  <c r="EG30" i="6"/>
  <c r="EG79" i="6" s="1"/>
  <c r="Y170" i="25"/>
  <c r="Y656" i="7"/>
  <c r="Y237" i="8"/>
  <c r="Y764" i="7"/>
  <c r="Y872" i="7" s="1"/>
  <c r="F207" i="2"/>
  <c r="AE310" i="7"/>
  <c r="EO30" i="6"/>
  <c r="EO79" i="6" s="1"/>
  <c r="AD311" i="7"/>
  <c r="AD76" i="25"/>
  <c r="H623" i="7"/>
  <c r="R282" i="7"/>
  <c r="AB301" i="7"/>
  <c r="AB303" i="7" s="1"/>
  <c r="EO45" i="6"/>
  <c r="EO94" i="6" s="1"/>
  <c r="T287" i="7"/>
  <c r="I644" i="7"/>
  <c r="I237" i="8" s="1"/>
  <c r="Q283" i="7"/>
  <c r="X123" i="7"/>
  <c r="H644" i="7"/>
  <c r="H170" i="25" s="1"/>
  <c r="I281" i="7"/>
  <c r="F215" i="2"/>
  <c r="K413" i="20" s="1"/>
  <c r="AB413" i="20" s="1"/>
  <c r="N623" i="7"/>
  <c r="AA150" i="8"/>
  <c r="R645" i="7"/>
  <c r="Z94" i="25"/>
  <c r="S1125" i="7"/>
  <c r="U105" i="25"/>
  <c r="T710" i="7"/>
  <c r="N512" i="7"/>
  <c r="N124" i="25" s="1"/>
  <c r="AC298" i="7"/>
  <c r="Q58" i="7"/>
  <c r="Q122" i="25" s="1"/>
  <c r="T313" i="7"/>
  <c r="T314" i="7" s="1"/>
  <c r="W69" i="7"/>
  <c r="W72" i="7" s="1"/>
  <c r="AA645" i="7"/>
  <c r="AA657" i="7" s="1"/>
  <c r="N289" i="7"/>
  <c r="AM277" i="7"/>
  <c r="Z432" i="7"/>
  <c r="AM432" i="7" s="1"/>
  <c r="AB897" i="7"/>
  <c r="AB918" i="7" s="1"/>
  <c r="AB929" i="7" s="1"/>
  <c r="S115" i="8"/>
  <c r="S122" i="8" s="1"/>
  <c r="Z150" i="8"/>
  <c r="Z645" i="7"/>
  <c r="AM645" i="7" s="1"/>
  <c r="CK9" i="17"/>
  <c r="AD1092" i="7"/>
  <c r="AB1125" i="7"/>
  <c r="AB700" i="7"/>
  <c r="S58" i="7"/>
  <c r="S122" i="25" s="1"/>
  <c r="BK77" i="6"/>
  <c r="W84" i="25"/>
  <c r="O91" i="25"/>
  <c r="P967" i="7"/>
  <c r="P978" i="7" s="1"/>
  <c r="O281" i="7"/>
  <c r="T700" i="7"/>
  <c r="J282" i="7"/>
  <c r="CG89" i="6"/>
  <c r="AA512" i="7"/>
  <c r="AA124" i="25" s="1"/>
  <c r="BH67" i="6"/>
  <c r="AE743" i="7"/>
  <c r="K214" i="7"/>
  <c r="AA282" i="7"/>
  <c r="O437" i="7"/>
  <c r="Z624" i="7"/>
  <c r="Z636" i="7" s="1"/>
  <c r="AM636" i="7" s="1"/>
  <c r="CP9" i="17"/>
  <c r="AC710" i="7"/>
  <c r="P56" i="7"/>
  <c r="P301" i="7"/>
  <c r="I437" i="7"/>
  <c r="I440" i="7"/>
  <c r="X121" i="7"/>
  <c r="AA283" i="7"/>
  <c r="AD831" i="7"/>
  <c r="AD838" i="7" s="1"/>
  <c r="EI40" i="6"/>
  <c r="EI89" i="6" s="1"/>
  <c r="AB512" i="7"/>
  <c r="AB124" i="25" s="1"/>
  <c r="R288" i="7"/>
  <c r="AM975" i="7"/>
  <c r="AA107" i="25"/>
  <c r="X281" i="7"/>
  <c r="AA658" i="7"/>
  <c r="AE473" i="7"/>
  <c r="AE965" i="7" s="1"/>
  <c r="L282" i="7"/>
  <c r="Z283" i="7"/>
  <c r="AM283" i="7" s="1"/>
  <c r="S214" i="7"/>
  <c r="X314" i="7"/>
  <c r="X316" i="7" s="1"/>
  <c r="AE296" i="7"/>
  <c r="G192" i="2" s="1"/>
  <c r="P646" i="7"/>
  <c r="P766" i="7" s="1"/>
  <c r="P874" i="7" s="1"/>
  <c r="AD795" i="7"/>
  <c r="EN40" i="6" s="1"/>
  <c r="EN89" i="6" s="1"/>
  <c r="P69" i="7"/>
  <c r="P75" i="7" s="1"/>
  <c r="Z967" i="7"/>
  <c r="Z968" i="7" s="1"/>
  <c r="Z979" i="7" s="1"/>
  <c r="AM979" i="7" s="1"/>
  <c r="Y56" i="7"/>
  <c r="AB864" i="7"/>
  <c r="V624" i="7"/>
  <c r="V636" i="7" s="1"/>
  <c r="P214" i="7"/>
  <c r="K283" i="7"/>
  <c r="AB91" i="25"/>
  <c r="EJ61" i="6"/>
  <c r="I214" i="7"/>
  <c r="Z278" i="7"/>
  <c r="Z290" i="7" s="1"/>
  <c r="AM290" i="7" s="1"/>
  <c r="Q214" i="7"/>
  <c r="BH22" i="6"/>
  <c r="BH29" i="6" s="1"/>
  <c r="BH34" i="6" s="1"/>
  <c r="BH39" i="6" s="1"/>
  <c r="BH48" i="6" s="1"/>
  <c r="BH49" i="6" s="1"/>
  <c r="AO14" i="11"/>
  <c r="AA139" i="23"/>
  <c r="I113" i="23"/>
  <c r="DF61" i="6"/>
  <c r="O91" i="23"/>
  <c r="AW87" i="11"/>
  <c r="BD61" i="6"/>
  <c r="S102" i="11"/>
  <c r="CP87" i="11"/>
  <c r="CP88" i="11" s="1"/>
  <c r="CW69" i="17"/>
  <c r="X91" i="23"/>
  <c r="EK28" i="6"/>
  <c r="EK77" i="6" s="1"/>
  <c r="G216" i="2"/>
  <c r="M414" i="20" s="1"/>
  <c r="AD414" i="20" s="1"/>
  <c r="EP24" i="6"/>
  <c r="EM24" i="6" s="1"/>
  <c r="EM73" i="6" s="1"/>
  <c r="AE1045" i="7"/>
  <c r="BJ61" i="6"/>
  <c r="F192" i="2"/>
  <c r="AW192" i="2" s="1"/>
  <c r="AD297" i="7"/>
  <c r="AD298" i="7" s="1"/>
  <c r="EN30" i="6"/>
  <c r="BL33" i="6"/>
  <c r="BL82" i="6" s="1"/>
  <c r="AC1128" i="7"/>
  <c r="EA79" i="6"/>
  <c r="AM59" i="11"/>
  <c r="AT45" i="6"/>
  <c r="AT94" i="6" s="1"/>
  <c r="Q77" i="6"/>
  <c r="CZ22" i="6"/>
  <c r="CZ29" i="6" s="1"/>
  <c r="CZ34" i="6" s="1"/>
  <c r="CZ39" i="6" s="1"/>
  <c r="M24" i="23"/>
  <c r="CT11" i="11"/>
  <c r="CU11" i="11" s="1"/>
  <c r="CK94" i="6"/>
  <c r="BX8" i="6"/>
  <c r="BX57" i="6" s="1"/>
  <c r="CE64" i="11"/>
  <c r="CD64" i="11" s="1"/>
  <c r="D101" i="2"/>
  <c r="AU101" i="2" s="1"/>
  <c r="V175" i="23"/>
  <c r="V15" i="25" s="1"/>
  <c r="AY84" i="6"/>
  <c r="CF59" i="11"/>
  <c r="X183" i="23"/>
  <c r="X23" i="25" s="1"/>
  <c r="CD59" i="11"/>
  <c r="O150" i="23"/>
  <c r="AK59" i="11"/>
  <c r="AO94" i="6"/>
  <c r="AT33" i="6"/>
  <c r="AT82" i="6" s="1"/>
  <c r="O81" i="6"/>
  <c r="CH14" i="11"/>
  <c r="Y151" i="23"/>
  <c r="CS29" i="11" s="1"/>
  <c r="CU16" i="11"/>
  <c r="DP96" i="6"/>
  <c r="DZ30" i="6"/>
  <c r="DZ79" i="6" s="1"/>
  <c r="CU118" i="11"/>
  <c r="DL73" i="6"/>
  <c r="BL102" i="11"/>
  <c r="Y67" i="6"/>
  <c r="CF82" i="11"/>
  <c r="W82" i="6"/>
  <c r="BM82" i="6"/>
  <c r="M175" i="23"/>
  <c r="M15" i="25" s="1"/>
  <c r="AA44" i="25"/>
  <c r="BH61" i="6"/>
  <c r="DC57" i="6"/>
  <c r="DL18" i="6"/>
  <c r="DR67" i="6" s="1"/>
  <c r="AT14" i="11"/>
  <c r="BB61" i="6"/>
  <c r="BX16" i="6"/>
  <c r="BX65" i="6" s="1"/>
  <c r="DT31" i="6"/>
  <c r="DT80" i="6" s="1"/>
  <c r="AU24" i="6"/>
  <c r="BA73" i="6" s="1"/>
  <c r="BY87" i="11"/>
  <c r="AA14" i="25"/>
  <c r="BF16" i="6"/>
  <c r="BF65" i="6" s="1"/>
  <c r="BR16" i="6"/>
  <c r="BR65" i="6" s="1"/>
  <c r="AJ22" i="6"/>
  <c r="AJ29" i="6" s="1"/>
  <c r="AJ34" i="6" s="1"/>
  <c r="AO73" i="6"/>
  <c r="S59" i="11"/>
  <c r="DV61" i="6"/>
  <c r="DE118" i="11"/>
  <c r="AN30" i="6"/>
  <c r="AN79" i="6" s="1"/>
  <c r="AU79" i="6"/>
  <c r="BS80" i="6"/>
  <c r="CV32" i="6"/>
  <c r="CV81" i="6" s="1"/>
  <c r="CS22" i="6"/>
  <c r="CS29" i="6" s="1"/>
  <c r="AH33" i="6"/>
  <c r="AH82" i="6" s="1"/>
  <c r="AI77" i="6"/>
  <c r="AC94" i="6"/>
  <c r="CO81" i="6"/>
  <c r="AX73" i="6"/>
  <c r="AG73" i="6"/>
  <c r="Q40" i="6"/>
  <c r="V40" i="6" s="1"/>
  <c r="V89" i="6" s="1"/>
  <c r="BG70" i="11"/>
  <c r="DV22" i="6"/>
  <c r="DV29" i="6" s="1"/>
  <c r="DV34" i="6" s="1"/>
  <c r="DV39" i="6" s="1"/>
  <c r="DZ7" i="11"/>
  <c r="EA7" i="11" s="1"/>
  <c r="DD84" i="6"/>
  <c r="BZ96" i="6"/>
  <c r="AC77" i="6"/>
  <c r="DU58" i="6"/>
  <c r="BY58" i="6"/>
  <c r="AD59" i="8"/>
  <c r="AU82" i="6"/>
  <c r="AC59" i="6"/>
  <c r="BS79" i="6"/>
  <c r="AW22" i="6"/>
  <c r="AW29" i="6" s="1"/>
  <c r="AW34" i="6" s="1"/>
  <c r="AW39" i="6" s="1"/>
  <c r="AW48" i="6" s="1"/>
  <c r="EB61" i="6"/>
  <c r="AA91" i="23"/>
  <c r="Y144" i="23"/>
  <c r="CS23" i="11" s="1"/>
  <c r="CO11" i="11"/>
  <c r="X145" i="23" s="1"/>
  <c r="CN24" i="11" s="1"/>
  <c r="BA18" i="6"/>
  <c r="BF18" i="6" s="1"/>
  <c r="BF67" i="6" s="1"/>
  <c r="CP16" i="11"/>
  <c r="CW59" i="6"/>
  <c r="DC65" i="6"/>
  <c r="DR73" i="6"/>
  <c r="U139" i="23"/>
  <c r="BC75" i="11"/>
  <c r="BO89" i="6"/>
  <c r="W151" i="23"/>
  <c r="CI29" i="11" s="1"/>
  <c r="DB47" i="6"/>
  <c r="DB96" i="6" s="1"/>
  <c r="BJ102" i="11"/>
  <c r="BN67" i="6"/>
  <c r="AA184" i="23"/>
  <c r="AA24" i="25" s="1"/>
  <c r="CV47" i="6"/>
  <c r="CV96" i="6" s="1"/>
  <c r="CE24" i="6"/>
  <c r="CE73" i="6" s="1"/>
  <c r="BD73" i="11"/>
  <c r="AO79" i="6"/>
  <c r="CK57" i="6"/>
  <c r="AW118" i="11"/>
  <c r="AB186" i="23"/>
  <c r="D158" i="2" s="1"/>
  <c r="D301" i="2" s="1"/>
  <c r="E301" i="2" s="1"/>
  <c r="BB22" i="6"/>
  <c r="BB29" i="6" s="1"/>
  <c r="BB34" i="6" s="1"/>
  <c r="BL30" i="6"/>
  <c r="BL79" i="6" s="1"/>
  <c r="BW81" i="6"/>
  <c r="EB96" i="6"/>
  <c r="BG73" i="6"/>
  <c r="W79" i="6"/>
  <c r="D106" i="2"/>
  <c r="D289" i="2" s="1"/>
  <c r="R64" i="11"/>
  <c r="R75" i="11" s="1"/>
  <c r="S75" i="11" s="1"/>
  <c r="DE96" i="6"/>
  <c r="EH94" i="6"/>
  <c r="CJ47" i="6"/>
  <c r="CJ96" i="6" s="1"/>
  <c r="CR22" i="6"/>
  <c r="CR29" i="6" s="1"/>
  <c r="CR34" i="6" s="1"/>
  <c r="CR39" i="6" s="1"/>
  <c r="CR48" i="6" s="1"/>
  <c r="CR49" i="6" s="1"/>
  <c r="AN8" i="6"/>
  <c r="AN57" i="6" s="1"/>
  <c r="BM65" i="6"/>
  <c r="Q151" i="23"/>
  <c r="BE29" i="11" s="1"/>
  <c r="BM77" i="6"/>
  <c r="BA72" i="6"/>
  <c r="AG77" i="6"/>
  <c r="DP84" i="6"/>
  <c r="BG77" i="6"/>
  <c r="Y89" i="6"/>
  <c r="CM22" i="6"/>
  <c r="CM29" i="6" s="1"/>
  <c r="CM34" i="6" s="1"/>
  <c r="CM39" i="6" s="1"/>
  <c r="CM48" i="6" s="1"/>
  <c r="CM49" i="6" s="1"/>
  <c r="J139" i="23"/>
  <c r="I175" i="23"/>
  <c r="I15" i="25" s="1"/>
  <c r="I24" i="23"/>
  <c r="J113" i="23"/>
  <c r="CM61" i="6"/>
  <c r="CV16" i="6"/>
  <c r="CV65" i="6" s="1"/>
  <c r="V184" i="23"/>
  <c r="V24" i="25" s="1"/>
  <c r="BJ89" i="6"/>
  <c r="DB33" i="6"/>
  <c r="DB82" i="6" s="1"/>
  <c r="EA94" i="6"/>
  <c r="DC77" i="6"/>
  <c r="DO73" i="6"/>
  <c r="Q82" i="6"/>
  <c r="DV96" i="6"/>
  <c r="CS61" i="6"/>
  <c r="CQ57" i="6"/>
  <c r="EB22" i="6"/>
  <c r="EB29" i="6" s="1"/>
  <c r="AB8" i="6"/>
  <c r="AB57" i="6" s="1"/>
  <c r="DU73" i="6"/>
  <c r="BS82" i="6"/>
  <c r="DK61" i="6"/>
  <c r="DQ12" i="11"/>
  <c r="AO12" i="11"/>
  <c r="D111" i="2"/>
  <c r="D318" i="2" s="1"/>
  <c r="D319" i="2" s="1"/>
  <c r="C319" i="2" s="1"/>
  <c r="AT205" i="2"/>
  <c r="CX96" i="6"/>
  <c r="AU76" i="6"/>
  <c r="CJ11" i="11"/>
  <c r="CK11" i="11" s="1"/>
  <c r="X61" i="6"/>
  <c r="BN22" i="6"/>
  <c r="BN29" i="6" s="1"/>
  <c r="CK16" i="11"/>
  <c r="CX22" i="6"/>
  <c r="CX29" i="6" s="1"/>
  <c r="CX34" i="6" s="1"/>
  <c r="CX39" i="6" s="1"/>
  <c r="DE22" i="6"/>
  <c r="DE29" i="6" s="1"/>
  <c r="DE34" i="6" s="1"/>
  <c r="DE39" i="6" s="1"/>
  <c r="DE48" i="6" s="1"/>
  <c r="CM12" i="11"/>
  <c r="BC67" i="6"/>
  <c r="BV18" i="6"/>
  <c r="BS18" i="6" s="1"/>
  <c r="CX67" i="6"/>
  <c r="AZ17" i="6"/>
  <c r="AZ66" i="6" s="1"/>
  <c r="DO77" i="6"/>
  <c r="CG22" i="6"/>
  <c r="CG29" i="6" s="1"/>
  <c r="CG78" i="6" s="1"/>
  <c r="CW76" i="6"/>
  <c r="T18" i="6"/>
  <c r="Q18" i="6" s="1"/>
  <c r="AW244" i="2"/>
  <c r="AV89" i="6"/>
  <c r="EJ40" i="6"/>
  <c r="EJ89" i="6" s="1"/>
  <c r="AI94" i="6"/>
  <c r="BV73" i="6"/>
  <c r="EA40" i="6"/>
  <c r="EF40" i="6" s="1"/>
  <c r="EF89" i="6" s="1"/>
  <c r="Q32" i="6"/>
  <c r="V32" i="6" s="1"/>
  <c r="V81" i="6" s="1"/>
  <c r="CP33" i="6"/>
  <c r="CP82" i="6" s="1"/>
  <c r="N73" i="6"/>
  <c r="EP92" i="6"/>
  <c r="DT16" i="6"/>
  <c r="DT65" i="6" s="1"/>
  <c r="AT32" i="6"/>
  <c r="AT81" i="6" s="1"/>
  <c r="BN61" i="6"/>
  <c r="DC94" i="6"/>
  <c r="CS67" i="6"/>
  <c r="DK67" i="6"/>
  <c r="BT61" i="6"/>
  <c r="O175" i="23"/>
  <c r="O15" i="25" s="1"/>
  <c r="CU10" i="11"/>
  <c r="CY67" i="6"/>
  <c r="AW67" i="6"/>
  <c r="AO58" i="6"/>
  <c r="BL87" i="11"/>
  <c r="O183" i="23"/>
  <c r="O23" i="25" s="1"/>
  <c r="CX30" i="11"/>
  <c r="I183" i="23"/>
  <c r="I23" i="25" s="1"/>
  <c r="AG11" i="11"/>
  <c r="L145" i="23" s="1"/>
  <c r="AF24" i="11" s="1"/>
  <c r="BS73" i="11"/>
  <c r="AC16" i="11"/>
  <c r="P35" i="6"/>
  <c r="P84" i="6" s="1"/>
  <c r="AT17" i="6"/>
  <c r="AT66" i="6" s="1"/>
  <c r="BW73" i="6"/>
  <c r="Y61" i="6"/>
  <c r="Q84" i="6"/>
  <c r="AY14" i="11"/>
  <c r="DC58" i="6"/>
  <c r="DQ61" i="6"/>
  <c r="BP73" i="6"/>
  <c r="S61" i="6"/>
  <c r="X102" i="11"/>
  <c r="BC61" i="6"/>
  <c r="CW57" i="6"/>
  <c r="CD45" i="6"/>
  <c r="CD94" i="6" s="1"/>
  <c r="DQ22" i="6"/>
  <c r="DQ29" i="6" s="1"/>
  <c r="DQ34" i="6" s="1"/>
  <c r="CR61" i="6"/>
  <c r="BU67" i="6"/>
  <c r="DT32" i="6"/>
  <c r="DT81" i="6" s="1"/>
  <c r="BY84" i="6"/>
  <c r="DJ22" i="6"/>
  <c r="DJ29" i="6" s="1"/>
  <c r="DJ34" i="6" s="1"/>
  <c r="CA96" i="6"/>
  <c r="AV67" i="6"/>
  <c r="BQ73" i="6"/>
  <c r="Y62" i="23"/>
  <c r="BL47" i="6"/>
  <c r="BL96" i="6" s="1"/>
  <c r="DJ96" i="6"/>
  <c r="AB33" i="6"/>
  <c r="AB82" i="6" s="1"/>
  <c r="DJ67" i="6"/>
  <c r="DX92" i="6"/>
  <c r="DJ84" i="6"/>
  <c r="BB67" i="6"/>
  <c r="BX33" i="6"/>
  <c r="BX82" i="6" s="1"/>
  <c r="DH45" i="6"/>
  <c r="DH94" i="6" s="1"/>
  <c r="R11" i="11"/>
  <c r="I178" i="23" s="1"/>
  <c r="I18" i="25" s="1"/>
  <c r="S16" i="11"/>
  <c r="CU81" i="6"/>
  <c r="CC81" i="6"/>
  <c r="L183" i="23"/>
  <c r="L23" i="25" s="1"/>
  <c r="CD35" i="6"/>
  <c r="CD84" i="6" s="1"/>
  <c r="BS77" i="6"/>
  <c r="AT47" i="6"/>
  <c r="AT96" i="6" s="1"/>
  <c r="AV61" i="6"/>
  <c r="CW77" i="6"/>
  <c r="CH12" i="11"/>
  <c r="AV22" i="6"/>
  <c r="AV29" i="6" s="1"/>
  <c r="AV34" i="6" s="1"/>
  <c r="AV39" i="6" s="1"/>
  <c r="S22" i="6"/>
  <c r="BW48" i="6"/>
  <c r="BW49" i="6" s="1"/>
  <c r="K40" i="6"/>
  <c r="DU77" i="6"/>
  <c r="AU40" i="6"/>
  <c r="AZ40" i="6" s="1"/>
  <c r="AZ89" i="6" s="1"/>
  <c r="BK79" i="6"/>
  <c r="BY82" i="6"/>
  <c r="AC57" i="6"/>
  <c r="F351" i="20"/>
  <c r="W351" i="20" s="1"/>
  <c r="AU196" i="2"/>
  <c r="AT206" i="2"/>
  <c r="G381" i="20"/>
  <c r="X381" i="20" s="1"/>
  <c r="Z91" i="25"/>
  <c r="Z999" i="7"/>
  <c r="Z1013" i="7" s="1"/>
  <c r="Z301" i="7"/>
  <c r="Z303" i="7" s="1"/>
  <c r="AM303" i="7" s="1"/>
  <c r="DC87" i="11"/>
  <c r="CA87" i="11"/>
  <c r="U144" i="23"/>
  <c r="BY23" i="11" s="1"/>
  <c r="X116" i="7"/>
  <c r="Y118" i="7" s="1"/>
  <c r="Y121" i="7" s="1"/>
  <c r="BN96" i="6"/>
  <c r="CY11" i="11"/>
  <c r="Z178" i="23" s="1"/>
  <c r="Z18" i="25" s="1"/>
  <c r="G384" i="20"/>
  <c r="X384" i="20" s="1"/>
  <c r="Z1115" i="7"/>
  <c r="Z1116" i="7" s="1"/>
  <c r="M281" i="7"/>
  <c r="BP40" i="6"/>
  <c r="BV89" i="6" s="1"/>
  <c r="CW67" i="17"/>
  <c r="AH47" i="6"/>
  <c r="AH96" i="6" s="1"/>
  <c r="M105" i="25"/>
  <c r="X644" i="7"/>
  <c r="Y650" i="7" s="1"/>
  <c r="Y661" i="7" s="1"/>
  <c r="AE111" i="25"/>
  <c r="DQ67" i="6"/>
  <c r="K645" i="7"/>
  <c r="K657" i="7" s="1"/>
  <c r="X681" i="7"/>
  <c r="Z646" i="7"/>
  <c r="AA652" i="7" s="1"/>
  <c r="W968" i="7"/>
  <c r="W979" i="7" s="1"/>
  <c r="U281" i="7"/>
  <c r="U84" i="6"/>
  <c r="S91" i="25"/>
  <c r="BL118" i="11"/>
  <c r="AV11" i="11"/>
  <c r="O145" i="23" s="1"/>
  <c r="AU24" i="11" s="1"/>
  <c r="O151" i="23"/>
  <c r="AU29" i="11" s="1"/>
  <c r="BR31" i="6"/>
  <c r="BR80" i="6" s="1"/>
  <c r="BG16" i="11"/>
  <c r="DK22" i="6"/>
  <c r="DK29" i="6" s="1"/>
  <c r="DK34" i="6" s="1"/>
  <c r="DK39" i="6" s="1"/>
  <c r="DK48" i="6" s="1"/>
  <c r="DC59" i="6"/>
  <c r="BN15" i="26"/>
  <c r="AB644" i="7"/>
  <c r="AB237" i="8" s="1"/>
  <c r="BA94" i="6"/>
  <c r="Y22" i="6"/>
  <c r="Y29" i="6" s="1"/>
  <c r="Y34" i="6" s="1"/>
  <c r="S278" i="7"/>
  <c r="S290" i="7" s="1"/>
  <c r="R1115" i="7"/>
  <c r="R1116" i="7" s="1"/>
  <c r="DP89" i="6"/>
  <c r="AE61" i="6"/>
  <c r="H1002" i="7"/>
  <c r="H1016" i="7" s="1"/>
  <c r="T623" i="7"/>
  <c r="T635" i="7" s="1"/>
  <c r="AA62" i="25"/>
  <c r="K486" i="20"/>
  <c r="AB486" i="20" s="1"/>
  <c r="AE109" i="25"/>
  <c r="K278" i="7"/>
  <c r="K290" i="7" s="1"/>
  <c r="S288" i="7"/>
  <c r="N1125" i="7"/>
  <c r="CO77" i="6"/>
  <c r="DA79" i="6"/>
  <c r="D224" i="2"/>
  <c r="F425" i="20" s="1"/>
  <c r="W425" i="20" s="1"/>
  <c r="N84" i="25"/>
  <c r="BJ73" i="6"/>
  <c r="AI58" i="6"/>
  <c r="AD32" i="8"/>
  <c r="AD50" i="8" s="1"/>
  <c r="AD76" i="8"/>
  <c r="AD78" i="8" s="1"/>
  <c r="F183" i="2" s="1"/>
  <c r="I308" i="20" s="1"/>
  <c r="Z308" i="20" s="1"/>
  <c r="AC420" i="7"/>
  <c r="AC423" i="7" s="1"/>
  <c r="AC429" i="7" s="1"/>
  <c r="N1142" i="7"/>
  <c r="O510" i="7"/>
  <c r="M94" i="25"/>
  <c r="AT35" i="6"/>
  <c r="AT84" i="6" s="1"/>
  <c r="CB61" i="6"/>
  <c r="AH31" i="6"/>
  <c r="AH80" i="6" s="1"/>
  <c r="Y350" i="7"/>
  <c r="AM312" i="7"/>
  <c r="AB313" i="7"/>
  <c r="AB314" i="7" s="1"/>
  <c r="AB316" i="7" s="1"/>
  <c r="X69" i="7"/>
  <c r="X75" i="7" s="1"/>
  <c r="BL31" i="6"/>
  <c r="BL80" i="6" s="1"/>
  <c r="DE67" i="6"/>
  <c r="Y281" i="7"/>
  <c r="Y282" i="7"/>
  <c r="Z287" i="7"/>
  <c r="AM287" i="7" s="1"/>
  <c r="AB69" i="7"/>
  <c r="AB75" i="7" s="1"/>
  <c r="L58" i="7"/>
  <c r="L122" i="25" s="1"/>
  <c r="CW68" i="17"/>
  <c r="AU18" i="6"/>
  <c r="X278" i="7"/>
  <c r="X290" i="7" s="1"/>
  <c r="P150" i="8"/>
  <c r="Z289" i="7"/>
  <c r="AM289" i="7" s="1"/>
  <c r="AQ67" i="6"/>
  <c r="Q150" i="8"/>
  <c r="Z183" i="23"/>
  <c r="Z23" i="25" s="1"/>
  <c r="BF11" i="11"/>
  <c r="BG11" i="11" s="1"/>
  <c r="W94" i="6"/>
  <c r="AA1087" i="7"/>
  <c r="AA1088" i="7" s="1"/>
  <c r="C209" i="2" s="1"/>
  <c r="S282" i="7"/>
  <c r="V94" i="25"/>
  <c r="BT89" i="6"/>
  <c r="AC82" i="6"/>
  <c r="DW61" i="6"/>
  <c r="L151" i="23"/>
  <c r="AF29" i="11" s="1"/>
  <c r="CU79" i="6"/>
  <c r="V1125" i="7"/>
  <c r="T84" i="25"/>
  <c r="M91" i="25"/>
  <c r="AA77" i="6"/>
  <c r="AO30" i="8"/>
  <c r="AD49" i="25"/>
  <c r="F163" i="2"/>
  <c r="AW163" i="2" s="1"/>
  <c r="Q56" i="7"/>
  <c r="AB214" i="7"/>
  <c r="W56" i="7"/>
  <c r="X381" i="7"/>
  <c r="X350" i="7"/>
  <c r="EA58" i="6"/>
  <c r="CU77" i="6"/>
  <c r="DL92" i="6"/>
  <c r="CV106" i="17"/>
  <c r="CV142" i="17" s="1"/>
  <c r="CV145" i="17" s="1"/>
  <c r="BG118" i="11"/>
  <c r="V58" i="7"/>
  <c r="V122" i="25" s="1"/>
  <c r="DO66" i="6"/>
  <c r="CE40" i="6"/>
  <c r="CJ40" i="6" s="1"/>
  <c r="CJ89" i="6" s="1"/>
  <c r="DI58" i="6"/>
  <c r="BS32" i="6"/>
  <c r="BX32" i="6" s="1"/>
  <c r="BX81" i="6" s="1"/>
  <c r="DN17" i="6"/>
  <c r="DN66" i="6" s="1"/>
  <c r="DC79" i="6"/>
  <c r="DO58" i="6"/>
  <c r="T91" i="25"/>
  <c r="T999" i="7"/>
  <c r="T1013" i="7" s="1"/>
  <c r="AP96" i="6"/>
  <c r="W282" i="7"/>
  <c r="J83" i="8"/>
  <c r="M440" i="7"/>
  <c r="X91" i="25"/>
  <c r="U69" i="7"/>
  <c r="U72" i="7" s="1"/>
  <c r="AA84" i="6"/>
  <c r="BI61" i="6"/>
  <c r="DI59" i="6"/>
  <c r="DC80" i="6"/>
  <c r="CP30" i="6"/>
  <c r="CP79" i="6" s="1"/>
  <c r="U314" i="7"/>
  <c r="U316" i="7" s="1"/>
  <c r="DL73" i="11"/>
  <c r="R67" i="6"/>
  <c r="Y999" i="7"/>
  <c r="Y1013" i="7" s="1"/>
  <c r="BV15" i="26"/>
  <c r="DU65" i="6"/>
  <c r="S1133" i="7"/>
  <c r="S106" i="25" s="1"/>
  <c r="W58" i="7"/>
  <c r="W122" i="25" s="1"/>
  <c r="BD12" i="11"/>
  <c r="AB17" i="6"/>
  <c r="AB66" i="6" s="1"/>
  <c r="U58" i="7"/>
  <c r="U122" i="25" s="1"/>
  <c r="AA999" i="7"/>
  <c r="AA1013" i="7" s="1"/>
  <c r="AG1013" i="7" s="1"/>
  <c r="L350" i="7"/>
  <c r="Y96" i="6"/>
  <c r="AB1002" i="7"/>
  <c r="AB1016" i="7" s="1"/>
  <c r="D227" i="2"/>
  <c r="J440" i="7"/>
  <c r="J437" i="7"/>
  <c r="BJ15" i="26"/>
  <c r="BM9" i="17"/>
  <c r="T624" i="7"/>
  <c r="U630" i="7" s="1"/>
  <c r="T645" i="7"/>
  <c r="T288" i="7"/>
  <c r="J350" i="7"/>
  <c r="M282" i="7"/>
  <c r="N282" i="7"/>
  <c r="Z281" i="7"/>
  <c r="AM281" i="7" s="1"/>
  <c r="U56" i="7"/>
  <c r="M288" i="7"/>
  <c r="L968" i="7"/>
  <c r="L971" i="7" s="1"/>
  <c r="W645" i="7"/>
  <c r="W765" i="7" s="1"/>
  <c r="I968" i="7"/>
  <c r="I971" i="7" s="1"/>
  <c r="V278" i="7"/>
  <c r="V290" i="7" s="1"/>
  <c r="J115" i="8"/>
  <c r="K122" i="8" s="1"/>
  <c r="L437" i="7"/>
  <c r="AD378" i="7"/>
  <c r="AE419" i="7" s="1"/>
  <c r="R22" i="6"/>
  <c r="X71" i="6" s="1"/>
  <c r="I625" i="7"/>
  <c r="I637" i="7" s="1"/>
  <c r="U151" i="23"/>
  <c r="BY29" i="11" s="1"/>
  <c r="T381" i="7"/>
  <c r="DO82" i="11"/>
  <c r="N510" i="7"/>
  <c r="S56" i="7"/>
  <c r="AC797" i="7"/>
  <c r="AC810" i="7" s="1"/>
  <c r="X967" i="7"/>
  <c r="X968" i="7" s="1"/>
  <c r="X989" i="7" s="1"/>
  <c r="AG84" i="6"/>
  <c r="M1133" i="7"/>
  <c r="M1145" i="7" s="1"/>
  <c r="DD61" i="6"/>
  <c r="AA19" i="25"/>
  <c r="C108" i="2"/>
  <c r="AT108" i="2" s="1"/>
  <c r="G625" i="7"/>
  <c r="G646" i="7"/>
  <c r="G766" i="7" s="1"/>
  <c r="G874" i="7" s="1"/>
  <c r="AG977" i="7"/>
  <c r="DL69" i="6"/>
  <c r="AC821" i="7"/>
  <c r="Z644" i="7"/>
  <c r="AM644" i="7" s="1"/>
  <c r="Z623" i="7"/>
  <c r="Z635" i="7" s="1"/>
  <c r="AM635" i="7" s="1"/>
  <c r="AB1000" i="7"/>
  <c r="BU61" i="6"/>
  <c r="AY12" i="11"/>
  <c r="J999" i="7"/>
  <c r="J1013" i="7" s="1"/>
  <c r="AJ96" i="6"/>
  <c r="AA67" i="25"/>
  <c r="CG96" i="6"/>
  <c r="DF18" i="6"/>
  <c r="DC18" i="6" s="1"/>
  <c r="AC1091" i="7"/>
  <c r="AC1093" i="7" s="1"/>
  <c r="E210" i="2" s="1"/>
  <c r="T56" i="25"/>
  <c r="AA281" i="7"/>
  <c r="V646" i="7"/>
  <c r="V766" i="7" s="1"/>
  <c r="Q1125" i="7"/>
  <c r="T283" i="7"/>
  <c r="K83" i="8"/>
  <c r="BM94" i="6"/>
  <c r="ED61" i="6"/>
  <c r="DO65" i="6"/>
  <c r="X56" i="7"/>
  <c r="J289" i="7"/>
  <c r="V625" i="7"/>
  <c r="T968" i="7"/>
  <c r="T979" i="7" s="1"/>
  <c r="AK61" i="6"/>
  <c r="AU80" i="6"/>
  <c r="AT12" i="11"/>
  <c r="AK22" i="6"/>
  <c r="AK29" i="6" s="1"/>
  <c r="AK34" i="6" s="1"/>
  <c r="AK39" i="6" s="1"/>
  <c r="AK48" i="6" s="1"/>
  <c r="Z105" i="25"/>
  <c r="BM75" i="11"/>
  <c r="N381" i="7"/>
  <c r="AC214" i="7"/>
  <c r="H1133" i="7"/>
  <c r="H1145" i="7" s="1"/>
  <c r="H1146" i="7" s="1"/>
  <c r="U1133" i="7"/>
  <c r="U106" i="25" s="1"/>
  <c r="R381" i="7"/>
  <c r="CK79" i="6"/>
  <c r="DO12" i="6"/>
  <c r="X510" i="7"/>
  <c r="T1133" i="7"/>
  <c r="T1135" i="7" s="1"/>
  <c r="F340" i="20"/>
  <c r="W340" i="20" s="1"/>
  <c r="Y278" i="7"/>
  <c r="Y290" i="7" s="1"/>
  <c r="I350" i="7"/>
  <c r="I624" i="7"/>
  <c r="I636" i="7" s="1"/>
  <c r="I288" i="7"/>
  <c r="I645" i="7"/>
  <c r="J651" i="7" s="1"/>
  <c r="I282" i="7"/>
  <c r="L314" i="7"/>
  <c r="BV69" i="6"/>
  <c r="AU206" i="2"/>
  <c r="M151" i="23"/>
  <c r="AK29" i="11" s="1"/>
  <c r="BX47" i="6"/>
  <c r="BX96" i="6" s="1"/>
  <c r="BS12" i="6"/>
  <c r="DP61" i="6"/>
  <c r="AI57" i="6"/>
  <c r="EC61" i="6"/>
  <c r="BZ61" i="6"/>
  <c r="BO61" i="6"/>
  <c r="DF75" i="11"/>
  <c r="BX17" i="6"/>
  <c r="BX66" i="6" s="1"/>
  <c r="H22" i="6"/>
  <c r="H29" i="6" s="1"/>
  <c r="H34" i="6" s="1"/>
  <c r="H39" i="6" s="1"/>
  <c r="H48" i="6" s="1"/>
  <c r="DR61" i="6"/>
  <c r="CT61" i="6"/>
  <c r="BG57" i="6"/>
  <c r="BS84" i="6"/>
  <c r="CF61" i="6"/>
  <c r="BS40" i="6"/>
  <c r="BX40" i="6" s="1"/>
  <c r="BX89" i="6" s="1"/>
  <c r="DU59" i="6"/>
  <c r="BA79" i="6"/>
  <c r="CA61" i="6"/>
  <c r="DD22" i="6"/>
  <c r="DD29" i="6" s="1"/>
  <c r="BG94" i="6"/>
  <c r="BX35" i="6"/>
  <c r="BX84" i="6" s="1"/>
  <c r="BF30" i="6"/>
  <c r="BF79" i="6" s="1"/>
  <c r="BE81" i="6"/>
  <c r="R91" i="23"/>
  <c r="CA89" i="6"/>
  <c r="BM79" i="6"/>
  <c r="W59" i="6"/>
  <c r="I186" i="23"/>
  <c r="I44" i="25" s="1"/>
  <c r="CA10" i="11"/>
  <c r="R175" i="23"/>
  <c r="R15" i="25" s="1"/>
  <c r="AB113" i="23"/>
  <c r="L376" i="20"/>
  <c r="AC376" i="20" s="1"/>
  <c r="BP69" i="6"/>
  <c r="F385" i="20"/>
  <c r="W385" i="20" s="1"/>
  <c r="AE96" i="6"/>
  <c r="DV84" i="6"/>
  <c r="Z151" i="23"/>
  <c r="CX29" i="11" s="1"/>
  <c r="AP61" i="6"/>
  <c r="EA59" i="6"/>
  <c r="CV33" i="6"/>
  <c r="CV82" i="6" s="1"/>
  <c r="EG65" i="6"/>
  <c r="DI57" i="6"/>
  <c r="DV89" i="6"/>
  <c r="AS48" i="6"/>
  <c r="AS49" i="6" s="1"/>
  <c r="CP35" i="6"/>
  <c r="CP84" i="6" s="1"/>
  <c r="DJ81" i="11"/>
  <c r="EA82" i="6"/>
  <c r="AA175" i="23"/>
  <c r="AA15" i="25" s="1"/>
  <c r="BY10" i="11"/>
  <c r="BN113" i="17" s="1"/>
  <c r="EF16" i="6"/>
  <c r="EF65" i="6" s="1"/>
  <c r="BT30" i="11"/>
  <c r="DJ102" i="11"/>
  <c r="DJ88" i="11" s="1"/>
  <c r="DO35" i="6"/>
  <c r="DO84" i="6" s="1"/>
  <c r="AX201" i="2"/>
  <c r="CW12" i="6"/>
  <c r="F381" i="20"/>
  <c r="W381" i="20" s="1"/>
  <c r="AB47" i="6"/>
  <c r="AB96" i="6" s="1"/>
  <c r="F344" i="20"/>
  <c r="W344" i="20" s="1"/>
  <c r="DJ61" i="6"/>
  <c r="BM84" i="6"/>
  <c r="DX73" i="6"/>
  <c r="CU81" i="11"/>
  <c r="DI12" i="6"/>
  <c r="BL16" i="6"/>
  <c r="BL65" i="6" s="1"/>
  <c r="BG58" i="6"/>
  <c r="DO57" i="6"/>
  <c r="BS57" i="6"/>
  <c r="DS73" i="6"/>
  <c r="BG79" i="6"/>
  <c r="AW59" i="11"/>
  <c r="G340" i="20"/>
  <c r="X340" i="20" s="1"/>
  <c r="CH18" i="6"/>
  <c r="CN67" i="6" s="1"/>
  <c r="DD96" i="6"/>
  <c r="G344" i="20"/>
  <c r="X344" i="20" s="1"/>
  <c r="Z69" i="6"/>
  <c r="K12" i="6"/>
  <c r="AB184" i="23"/>
  <c r="D128" i="2" s="1"/>
  <c r="AU128" i="2" s="1"/>
  <c r="DH16" i="6"/>
  <c r="DH65" i="6" s="1"/>
  <c r="BM57" i="6"/>
  <c r="BM12" i="6"/>
  <c r="AU190" i="2"/>
  <c r="AU84" i="6"/>
  <c r="U81" i="6"/>
  <c r="DN31" i="6"/>
  <c r="DN80" i="6" s="1"/>
  <c r="BR30" i="6"/>
  <c r="BR79" i="6" s="1"/>
  <c r="G487" i="20"/>
  <c r="X487" i="20" s="1"/>
  <c r="W58" i="6"/>
  <c r="Q57" i="6"/>
  <c r="AV64" i="11"/>
  <c r="O30" i="23" s="1"/>
  <c r="AC21" i="25"/>
  <c r="I413" i="20"/>
  <c r="Z413" i="20" s="1"/>
  <c r="AO81" i="6"/>
  <c r="AO12" i="6"/>
  <c r="AO84" i="6"/>
  <c r="M422" i="20"/>
  <c r="AD422" i="20" s="1"/>
  <c r="ED73" i="6"/>
  <c r="CH61" i="6"/>
  <c r="DZ16" i="6"/>
  <c r="DZ65" i="6" s="1"/>
  <c r="I487" i="20"/>
  <c r="Z487" i="20" s="1"/>
  <c r="EJ73" i="6"/>
  <c r="DZ31" i="6"/>
  <c r="DZ80" i="6" s="1"/>
  <c r="BF47" i="6"/>
  <c r="BF96" i="6" s="1"/>
  <c r="AU66" i="6"/>
  <c r="AG48" i="6"/>
  <c r="AG49" i="6" s="1"/>
  <c r="F487" i="20"/>
  <c r="W487" i="20" s="1"/>
  <c r="CL61" i="6"/>
  <c r="CL89" i="6"/>
  <c r="DM73" i="6"/>
  <c r="O1013" i="7"/>
  <c r="O1000" i="7"/>
  <c r="O1014" i="7" s="1"/>
  <c r="E206" i="2"/>
  <c r="AV206" i="2" s="1"/>
  <c r="V35" i="6"/>
  <c r="V84" i="6" s="1"/>
  <c r="N281" i="7"/>
  <c r="S968" i="7"/>
  <c r="S971" i="7" s="1"/>
  <c r="BA82" i="6"/>
  <c r="H1125" i="7"/>
  <c r="U625" i="7"/>
  <c r="AS81" i="6"/>
  <c r="N92" i="6"/>
  <c r="AA858" i="7"/>
  <c r="AG79" i="6"/>
  <c r="DB31" i="6"/>
  <c r="DB80" i="6" s="1"/>
  <c r="V16" i="6"/>
  <c r="V65" i="6" s="1"/>
  <c r="AM79" i="6"/>
  <c r="T58" i="7"/>
  <c r="T122" i="25" s="1"/>
  <c r="W623" i="7"/>
  <c r="W635" i="7" s="1"/>
  <c r="W644" i="7"/>
  <c r="W287" i="7"/>
  <c r="Q76" i="6"/>
  <c r="W76" i="6"/>
  <c r="V379" i="7"/>
  <c r="V381" i="7" s="1"/>
  <c r="AC171" i="25"/>
  <c r="AD198" i="7"/>
  <c r="E189" i="2"/>
  <c r="AV189" i="2" s="1"/>
  <c r="AC218" i="7"/>
  <c r="AC164" i="7"/>
  <c r="AC168" i="7" s="1"/>
  <c r="AC60" i="25"/>
  <c r="R150" i="23"/>
  <c r="AU59" i="11"/>
  <c r="CD47" i="6"/>
  <c r="CD96" i="6" s="1"/>
  <c r="W700" i="7"/>
  <c r="N278" i="7"/>
  <c r="N290" i="7" s="1"/>
  <c r="AB278" i="7"/>
  <c r="Y645" i="7"/>
  <c r="CZ92" i="6"/>
  <c r="AM300" i="7"/>
  <c r="G467" i="20"/>
  <c r="X467" i="20" s="1"/>
  <c r="V968" i="7"/>
  <c r="V979" i="7" s="1"/>
  <c r="Y214" i="7"/>
  <c r="K312" i="23"/>
  <c r="K314" i="23" s="1"/>
  <c r="N312" i="23"/>
  <c r="N314" i="23" s="1"/>
  <c r="G341" i="20"/>
  <c r="X341" i="20" s="1"/>
  <c r="F341" i="20"/>
  <c r="W341" i="20" s="1"/>
  <c r="Q58" i="6"/>
  <c r="U289" i="7"/>
  <c r="AB11" i="11"/>
  <c r="K178" i="23" s="1"/>
  <c r="K18" i="25" s="1"/>
  <c r="EF33" i="6"/>
  <c r="EF82" i="6" s="1"/>
  <c r="AM16" i="11"/>
  <c r="Q94" i="6"/>
  <c r="CW58" i="6"/>
  <c r="AC84" i="6"/>
  <c r="BI96" i="6"/>
  <c r="Y301" i="7"/>
  <c r="Y303" i="7" s="1"/>
  <c r="AB623" i="7"/>
  <c r="AB635" i="7" s="1"/>
  <c r="H94" i="25"/>
  <c r="CW73" i="11"/>
  <c r="Z58" i="7"/>
  <c r="Z122" i="25" s="1"/>
  <c r="Y510" i="7"/>
  <c r="AM54" i="7"/>
  <c r="L422" i="20"/>
  <c r="AC422" i="20" s="1"/>
  <c r="AA854" i="7"/>
  <c r="AA864" i="7"/>
  <c r="BW84" i="6"/>
  <c r="Q283" i="23"/>
  <c r="CJ17" i="6"/>
  <c r="CJ66" i="6" s="1"/>
  <c r="W91" i="25"/>
  <c r="J624" i="7"/>
  <c r="J636" i="7" s="1"/>
  <c r="BR9" i="17"/>
  <c r="F411" i="20"/>
  <c r="AB858" i="7"/>
  <c r="Q288" i="23"/>
  <c r="I999" i="7"/>
  <c r="BX12" i="11"/>
  <c r="U183" i="23"/>
  <c r="U23" i="25" s="1"/>
  <c r="AM81" i="6"/>
  <c r="AU59" i="6"/>
  <c r="R1133" i="7"/>
  <c r="R1135" i="7" s="1"/>
  <c r="F346" i="20"/>
  <c r="W346" i="20" s="1"/>
  <c r="L710" i="7"/>
  <c r="Q69" i="8"/>
  <c r="S69" i="8"/>
  <c r="CI81" i="6"/>
  <c r="CW73" i="6"/>
  <c r="W510" i="7"/>
  <c r="Z69" i="7"/>
  <c r="Z72" i="7" s="1"/>
  <c r="S510" i="7"/>
  <c r="P512" i="7"/>
  <c r="P124" i="25" s="1"/>
  <c r="DU72" i="6"/>
  <c r="CR89" i="6"/>
  <c r="S96" i="6"/>
  <c r="J214" i="7"/>
  <c r="AA91" i="25"/>
  <c r="T107" i="25"/>
  <c r="T1142" i="7"/>
  <c r="EC47" i="6"/>
  <c r="AB1087" i="7"/>
  <c r="AB1088" i="7" s="1"/>
  <c r="V645" i="7"/>
  <c r="V288" i="7"/>
  <c r="K350" i="7"/>
  <c r="AD1059" i="7"/>
  <c r="AE589" i="7"/>
  <c r="AE1059" i="7" s="1"/>
  <c r="EN28" i="6"/>
  <c r="EN77" i="6" s="1"/>
  <c r="AB379" i="7"/>
  <c r="AB381" i="7" s="1"/>
  <c r="N216" i="7"/>
  <c r="AC851" i="7"/>
  <c r="AC854" i="7" s="1"/>
  <c r="AC1070" i="7"/>
  <c r="AC863" i="7"/>
  <c r="AD850" i="7"/>
  <c r="AD851" i="7" s="1"/>
  <c r="EH47" i="6"/>
  <c r="X58" i="7"/>
  <c r="X122" i="25" s="1"/>
  <c r="L644" i="7"/>
  <c r="L287" i="7"/>
  <c r="L281" i="7"/>
  <c r="L623" i="7"/>
  <c r="L626" i="7" s="1"/>
  <c r="L638" i="7" s="1"/>
  <c r="Y289" i="7"/>
  <c r="Y625" i="7"/>
  <c r="Y637" i="7" s="1"/>
  <c r="Y646" i="7"/>
  <c r="U379" i="7"/>
  <c r="U381" i="7" s="1"/>
  <c r="DR92" i="6"/>
  <c r="H413" i="20"/>
  <c r="Y413" i="20" s="1"/>
  <c r="G469" i="20"/>
  <c r="X469" i="20" s="1"/>
  <c r="V283" i="7"/>
  <c r="DU12" i="6"/>
  <c r="CF22" i="6"/>
  <c r="CF29" i="6" s="1"/>
  <c r="CF34" i="6" s="1"/>
  <c r="CF39" i="6" s="1"/>
  <c r="CF48" i="6" s="1"/>
  <c r="CF49" i="6" s="1"/>
  <c r="W84" i="6"/>
  <c r="BR35" i="6"/>
  <c r="BR84" i="6" s="1"/>
  <c r="S84" i="25"/>
  <c r="DU57" i="6"/>
  <c r="I1133" i="7"/>
  <c r="I106" i="25" s="1"/>
  <c r="K69" i="7"/>
  <c r="K72" i="7" s="1"/>
  <c r="AF69" i="6"/>
  <c r="L56" i="7"/>
  <c r="X512" i="7"/>
  <c r="X124" i="25" s="1"/>
  <c r="AB437" i="7"/>
  <c r="AB440" i="7"/>
  <c r="W379" i="7"/>
  <c r="W381" i="7" s="1"/>
  <c r="AP22" i="6"/>
  <c r="AP29" i="6" s="1"/>
  <c r="AP34" i="6" s="1"/>
  <c r="AP39" i="6" s="1"/>
  <c r="AP48" i="6" s="1"/>
  <c r="AP49" i="6" s="1"/>
  <c r="BJ30" i="11"/>
  <c r="Z286" i="23"/>
  <c r="EA57" i="6"/>
  <c r="Y288" i="7"/>
  <c r="G470" i="20"/>
  <c r="X470" i="20" s="1"/>
  <c r="AL11" i="11"/>
  <c r="M178" i="23" s="1"/>
  <c r="M18" i="25" s="1"/>
  <c r="BZ11" i="11"/>
  <c r="BY11" i="11" s="1"/>
  <c r="BY80" i="11" s="1"/>
  <c r="BZ80" i="11" s="1"/>
  <c r="CA80" i="11" s="1"/>
  <c r="R58" i="7"/>
  <c r="R122" i="25" s="1"/>
  <c r="W1000" i="7"/>
  <c r="W1004" i="7" s="1"/>
  <c r="G413" i="20"/>
  <c r="X413" i="20" s="1"/>
  <c r="M289" i="7"/>
  <c r="AB281" i="7"/>
  <c r="N91" i="25"/>
  <c r="K282" i="7"/>
  <c r="W625" i="7"/>
  <c r="EK30" i="6"/>
  <c r="EK79" i="6" s="1"/>
  <c r="DC12" i="6"/>
  <c r="DL40" i="6"/>
  <c r="DI40" i="6" s="1"/>
  <c r="CK66" i="6"/>
  <c r="CV75" i="11"/>
  <c r="W214" i="7"/>
  <c r="CQ81" i="6"/>
  <c r="AE88" i="25"/>
  <c r="AF1012" i="7"/>
  <c r="BS59" i="6"/>
  <c r="J288" i="7"/>
  <c r="CK65" i="6"/>
  <c r="DT30" i="6"/>
  <c r="DT79" i="6" s="1"/>
  <c r="EG28" i="6"/>
  <c r="EG77" i="6" s="1"/>
  <c r="K151" i="23"/>
  <c r="AA29" i="11" s="1"/>
  <c r="O283" i="7"/>
  <c r="DX61" i="6"/>
  <c r="F488" i="20"/>
  <c r="W488" i="20" s="1"/>
  <c r="AU243" i="2"/>
  <c r="X624" i="7"/>
  <c r="X636" i="7" s="1"/>
  <c r="X288" i="7"/>
  <c r="X645" i="7"/>
  <c r="BO67" i="6"/>
  <c r="AA379" i="7"/>
  <c r="AA381" i="7" s="1"/>
  <c r="BG76" i="6"/>
  <c r="BM76" i="6"/>
  <c r="W216" i="7"/>
  <c r="K623" i="7"/>
  <c r="K635" i="7" s="1"/>
  <c r="K644" i="7"/>
  <c r="K287" i="7"/>
  <c r="AE519" i="7"/>
  <c r="AE1081" i="7" s="1"/>
  <c r="AE1083" i="7" s="1"/>
  <c r="AE75" i="25" s="1"/>
  <c r="AD1081" i="7"/>
  <c r="AD1083" i="7" s="1"/>
  <c r="EO32" i="6"/>
  <c r="EO81" i="6" s="1"/>
  <c r="DU76" i="6"/>
  <c r="CP15" i="26"/>
  <c r="CS9" i="17"/>
  <c r="F118" i="2" s="1"/>
  <c r="K1133" i="7"/>
  <c r="K106" i="25" s="1"/>
  <c r="V512" i="7"/>
  <c r="V124" i="25" s="1"/>
  <c r="DF92" i="6"/>
  <c r="J261" i="7"/>
  <c r="J283" i="7"/>
  <c r="Q512" i="7"/>
  <c r="Q124" i="25" s="1"/>
  <c r="L700" i="7"/>
  <c r="M710" i="7"/>
  <c r="Y69" i="7"/>
  <c r="Y72" i="7" s="1"/>
  <c r="T74" i="11"/>
  <c r="DO59" i="6"/>
  <c r="DT17" i="6"/>
  <c r="DT66" i="6" s="1"/>
  <c r="Q69" i="7"/>
  <c r="AA69" i="8"/>
  <c r="Q79" i="6"/>
  <c r="I646" i="7"/>
  <c r="I289" i="7"/>
  <c r="DO102" i="11"/>
  <c r="AC113" i="23"/>
  <c r="CU142" i="17"/>
  <c r="CU145" i="17" s="1"/>
  <c r="W1133" i="7"/>
  <c r="W1145" i="7" s="1"/>
  <c r="P69" i="8"/>
  <c r="W278" i="7"/>
  <c r="W290" i="7" s="1"/>
  <c r="W283" i="7"/>
  <c r="W289" i="7"/>
  <c r="AA250" i="8"/>
  <c r="AA254" i="8" s="1"/>
  <c r="DC24" i="6"/>
  <c r="DC73" i="6" s="1"/>
  <c r="Y512" i="7"/>
  <c r="Y124" i="25" s="1"/>
  <c r="I278" i="7"/>
  <c r="I290" i="7" s="1"/>
  <c r="DF73" i="6"/>
  <c r="V510" i="7"/>
  <c r="N56" i="7"/>
  <c r="S150" i="8"/>
  <c r="M56" i="7"/>
  <c r="K710" i="7"/>
  <c r="R510" i="7"/>
  <c r="X283" i="7"/>
  <c r="R512" i="7"/>
  <c r="R124" i="25" s="1"/>
  <c r="CR14" i="26"/>
  <c r="S512" i="7"/>
  <c r="S124" i="25" s="1"/>
  <c r="U73" i="11"/>
  <c r="AC22" i="25"/>
  <c r="L343" i="7"/>
  <c r="O1133" i="7"/>
  <c r="O1145" i="7" s="1"/>
  <c r="O1146" i="7" s="1"/>
  <c r="O1153" i="7" s="1"/>
  <c r="J700" i="7"/>
  <c r="W69" i="8"/>
  <c r="DC59" i="11"/>
  <c r="CD33" i="6"/>
  <c r="CD82" i="6" s="1"/>
  <c r="Y75" i="11"/>
  <c r="AM84" i="6"/>
  <c r="CW18" i="6"/>
  <c r="DB18" i="6" s="1"/>
  <c r="DB67" i="6" s="1"/>
  <c r="AH35" i="6"/>
  <c r="AH84" i="6" s="1"/>
  <c r="DY73" i="6"/>
  <c r="AE73" i="11"/>
  <c r="AA24" i="23"/>
  <c r="BL59" i="11"/>
  <c r="DE59" i="11"/>
  <c r="BK64" i="11"/>
  <c r="R30" i="23" s="1"/>
  <c r="BS12" i="11"/>
  <c r="BJ59" i="11"/>
  <c r="BV61" i="6"/>
  <c r="CE82" i="6"/>
  <c r="AB69" i="8"/>
  <c r="P312" i="23"/>
  <c r="P314" i="23" s="1"/>
  <c r="Q320" i="23" s="1"/>
  <c r="Z107" i="25"/>
  <c r="T56" i="7"/>
  <c r="T184" i="23"/>
  <c r="T24" i="25" s="1"/>
  <c r="N1133" i="7"/>
  <c r="N106" i="25" s="1"/>
  <c r="L1133" i="7"/>
  <c r="L1145" i="7" s="1"/>
  <c r="K700" i="7"/>
  <c r="B5" i="28"/>
  <c r="B11" i="28" s="1"/>
  <c r="Q625" i="7"/>
  <c r="Q637" i="7" s="1"/>
  <c r="J646" i="7"/>
  <c r="J766" i="7" s="1"/>
  <c r="T510" i="7"/>
  <c r="L510" i="7"/>
  <c r="J69" i="7"/>
  <c r="J75" i="7" s="1"/>
  <c r="J278" i="7"/>
  <c r="J290" i="7" s="1"/>
  <c r="P91" i="25"/>
  <c r="O968" i="7"/>
  <c r="O979" i="7" s="1"/>
  <c r="Q1133" i="7"/>
  <c r="Q1145" i="7" s="1"/>
  <c r="T69" i="8"/>
  <c r="P283" i="7"/>
  <c r="R69" i="8"/>
  <c r="J1133" i="7"/>
  <c r="J1135" i="7" s="1"/>
  <c r="W512" i="7"/>
  <c r="W124" i="25" s="1"/>
  <c r="V56" i="7"/>
  <c r="X1133" i="7"/>
  <c r="X106" i="25" s="1"/>
  <c r="AB421" i="7"/>
  <c r="S261" i="7"/>
  <c r="DM79" i="6"/>
  <c r="O278" i="7"/>
  <c r="O290" i="7" s="1"/>
  <c r="AA359" i="7"/>
  <c r="U510" i="7"/>
  <c r="U398" i="7"/>
  <c r="U401" i="7" s="1"/>
  <c r="U999" i="7"/>
  <c r="U1013" i="7" s="1"/>
  <c r="J625" i="7"/>
  <c r="J637" i="7" s="1"/>
  <c r="AC69" i="8"/>
  <c r="L283" i="7"/>
  <c r="AC338" i="7"/>
  <c r="R261" i="7"/>
  <c r="U283" i="7"/>
  <c r="R1125" i="7"/>
  <c r="AD476" i="7"/>
  <c r="EQ24" i="6" s="1"/>
  <c r="AC504" i="7"/>
  <c r="L69" i="8"/>
  <c r="O214" i="7"/>
  <c r="BK73" i="6"/>
  <c r="X70" i="11"/>
  <c r="EE73" i="6"/>
  <c r="CQ94" i="6"/>
  <c r="CW94" i="6"/>
  <c r="BF31" i="6"/>
  <c r="BF80" i="6" s="1"/>
  <c r="AC489" i="7"/>
  <c r="AC480" i="7"/>
  <c r="AC505" i="7"/>
  <c r="AC1063" i="7"/>
  <c r="AC1066" i="7" s="1"/>
  <c r="E193" i="2" s="1"/>
  <c r="EH31" i="6"/>
  <c r="EH80" i="6" s="1"/>
  <c r="AC546" i="7"/>
  <c r="AB580" i="7"/>
  <c r="V700" i="7"/>
  <c r="V721" i="7"/>
  <c r="F225" i="2"/>
  <c r="AD969" i="7"/>
  <c r="AD990" i="7" s="1"/>
  <c r="AD794" i="7"/>
  <c r="AD807" i="7" s="1"/>
  <c r="X1125" i="7"/>
  <c r="U710" i="7"/>
  <c r="Q91" i="25"/>
  <c r="Q278" i="7"/>
  <c r="Q284" i="7" s="1"/>
  <c r="P510" i="7"/>
  <c r="M283" i="7"/>
  <c r="N283" i="7"/>
  <c r="T625" i="7"/>
  <c r="T631" i="7" s="1"/>
  <c r="N968" i="7"/>
  <c r="N979" i="7" s="1"/>
  <c r="DZ33" i="6"/>
  <c r="DZ82" i="6" s="1"/>
  <c r="EE77" i="6"/>
  <c r="AD92" i="25"/>
  <c r="X69" i="8"/>
  <c r="X721" i="7"/>
  <c r="X710" i="7"/>
  <c r="AC359" i="7"/>
  <c r="O1125" i="7"/>
  <c r="V710" i="7"/>
  <c r="AC58" i="7"/>
  <c r="AC122" i="25" s="1"/>
  <c r="Q289" i="7"/>
  <c r="U721" i="7"/>
  <c r="T278" i="7"/>
  <c r="M625" i="7"/>
  <c r="M637" i="7" s="1"/>
  <c r="T646" i="7"/>
  <c r="T658" i="7" s="1"/>
  <c r="Z69" i="8"/>
  <c r="M153" i="8"/>
  <c r="O69" i="8"/>
  <c r="Z73" i="6"/>
  <c r="T73" i="6"/>
  <c r="AE701" i="7"/>
  <c r="AB765" i="7"/>
  <c r="O721" i="7"/>
  <c r="O700" i="7"/>
  <c r="P710" i="7"/>
  <c r="R283" i="7"/>
  <c r="W710" i="7"/>
  <c r="M58" i="7"/>
  <c r="M122" i="25" s="1"/>
  <c r="Q646" i="7"/>
  <c r="Q658" i="7" s="1"/>
  <c r="AC343" i="7"/>
  <c r="M278" i="7"/>
  <c r="Q510" i="7"/>
  <c r="P637" i="7"/>
  <c r="AC320" i="7"/>
  <c r="U278" i="7"/>
  <c r="O56" i="7"/>
  <c r="R968" i="7"/>
  <c r="R979" i="7" s="1"/>
  <c r="Z73" i="11"/>
  <c r="Q73" i="6"/>
  <c r="Y710" i="7"/>
  <c r="AD804" i="7"/>
  <c r="V31" i="6"/>
  <c r="V80" i="6" s="1"/>
  <c r="Z359" i="7"/>
  <c r="AM359" i="7" s="1"/>
  <c r="AC1115" i="7"/>
  <c r="AC1116" i="7" s="1"/>
  <c r="E227" i="2"/>
  <c r="AC1002" i="7"/>
  <c r="AC1016" i="7" s="1"/>
  <c r="AC94" i="25"/>
  <c r="O625" i="7"/>
  <c r="O289" i="7"/>
  <c r="O646" i="7"/>
  <c r="DS81" i="6"/>
  <c r="DY81" i="6"/>
  <c r="BA58" i="6"/>
  <c r="CK58" i="6"/>
  <c r="DO87" i="11"/>
  <c r="DH33" i="6"/>
  <c r="DH82" i="6" s="1"/>
  <c r="DI77" i="6"/>
  <c r="CQ59" i="6"/>
  <c r="AI59" i="6"/>
  <c r="BY72" i="6"/>
  <c r="AH16" i="6"/>
  <c r="AH65" i="6" s="1"/>
  <c r="DN30" i="6"/>
  <c r="DN79" i="6" s="1"/>
  <c r="AI12" i="6"/>
  <c r="AB30" i="6"/>
  <c r="AB79" i="6" s="1"/>
  <c r="EB84" i="6"/>
  <c r="AC12" i="6"/>
  <c r="F349" i="20"/>
  <c r="W349" i="20" s="1"/>
  <c r="T113" i="23"/>
  <c r="EF45" i="6"/>
  <c r="EF94" i="6" s="1"/>
  <c r="V33" i="6"/>
  <c r="V82" i="6" s="1"/>
  <c r="DM87" i="11"/>
  <c r="BP61" i="6"/>
  <c r="S113" i="23"/>
  <c r="AA16" i="25"/>
  <c r="BT102" i="11"/>
  <c r="AU12" i="6"/>
  <c r="BG84" i="6"/>
  <c r="BV88" i="11"/>
  <c r="DI94" i="6"/>
  <c r="AO59" i="6"/>
  <c r="AF73" i="6"/>
  <c r="BX30" i="6"/>
  <c r="BX79" i="6" s="1"/>
  <c r="AW70" i="11"/>
  <c r="AX61" i="6"/>
  <c r="W24" i="6"/>
  <c r="AC73" i="6" s="1"/>
  <c r="BA84" i="6"/>
  <c r="DL61" i="6"/>
  <c r="N61" i="6"/>
  <c r="BY94" i="6"/>
  <c r="CN73" i="6"/>
  <c r="DI81" i="6"/>
  <c r="AU58" i="6"/>
  <c r="DG77" i="6"/>
  <c r="AF61" i="6"/>
  <c r="CE12" i="6"/>
  <c r="M91" i="23"/>
  <c r="DA77" i="6"/>
  <c r="EP40" i="6"/>
  <c r="DU81" i="6"/>
  <c r="BM18" i="6"/>
  <c r="BR18" i="6" s="1"/>
  <c r="BR67" i="6" s="1"/>
  <c r="CT73" i="6"/>
  <c r="CR73" i="11"/>
  <c r="CE58" i="6"/>
  <c r="BS94" i="6"/>
  <c r="DO81" i="6"/>
  <c r="V30" i="6"/>
  <c r="V79" i="6" s="1"/>
  <c r="AB16" i="6"/>
  <c r="AB65" i="6" s="1"/>
  <c r="CQ73" i="6"/>
  <c r="CZ73" i="6"/>
  <c r="W12" i="6"/>
  <c r="BO59" i="11"/>
  <c r="AC58" i="6"/>
  <c r="DG81" i="6"/>
  <c r="BG87" i="11"/>
  <c r="BG88" i="11" s="1"/>
  <c r="EA18" i="6"/>
  <c r="EF18" i="6" s="1"/>
  <c r="EF67" i="6" s="1"/>
  <c r="AL61" i="6"/>
  <c r="BG40" i="6"/>
  <c r="BL40" i="6" s="1"/>
  <c r="BL89" i="6" s="1"/>
  <c r="AF18" i="6"/>
  <c r="AF67" i="6" s="1"/>
  <c r="CZ61" i="6"/>
  <c r="AR69" i="6"/>
  <c r="CN22" i="6"/>
  <c r="CN29" i="6" s="1"/>
  <c r="CN34" i="6" s="1"/>
  <c r="CN39" i="6" s="1"/>
  <c r="CC48" i="6"/>
  <c r="CC49" i="6" s="1"/>
  <c r="CI77" i="6"/>
  <c r="DT45" i="6"/>
  <c r="DT94" i="6" s="1"/>
  <c r="ED22" i="6"/>
  <c r="ED29" i="6" s="1"/>
  <c r="ED34" i="6" s="1"/>
  <c r="DA73" i="6"/>
  <c r="BG59" i="6"/>
  <c r="DS94" i="6"/>
  <c r="Z61" i="6"/>
  <c r="BG12" i="6"/>
  <c r="BJ92" i="6"/>
  <c r="BP92" i="6"/>
  <c r="BA77" i="6"/>
  <c r="DB30" i="6"/>
  <c r="DB79" i="6" s="1"/>
  <c r="AL22" i="6"/>
  <c r="AL29" i="6" s="1"/>
  <c r="AL34" i="6" s="1"/>
  <c r="AL39" i="6" s="1"/>
  <c r="AL48" i="6" s="1"/>
  <c r="AL49" i="6" s="1"/>
  <c r="DG79" i="6"/>
  <c r="BE48" i="6"/>
  <c r="BE49" i="6" s="1"/>
  <c r="EE81" i="6"/>
  <c r="BM59" i="6"/>
  <c r="CT69" i="6"/>
  <c r="U73" i="6"/>
  <c r="BO102" i="11"/>
  <c r="BE77" i="6"/>
  <c r="CQ82" i="6"/>
  <c r="CK82" i="6"/>
  <c r="AR18" i="6"/>
  <c r="AR67" i="6" s="1"/>
  <c r="CK18" i="6"/>
  <c r="CP18" i="6" s="1"/>
  <c r="CP67" i="6" s="1"/>
  <c r="AI73" i="6"/>
  <c r="CN69" i="6"/>
  <c r="AX69" i="6"/>
  <c r="AX92" i="6"/>
  <c r="G488" i="20"/>
  <c r="X488" i="20" s="1"/>
  <c r="DI79" i="6"/>
  <c r="DI82" i="6"/>
  <c r="DH30" i="6"/>
  <c r="DH79" i="6" s="1"/>
  <c r="BF33" i="6"/>
  <c r="BF82" i="6" s="1"/>
  <c r="AA73" i="6"/>
  <c r="BQ59" i="11"/>
  <c r="S24" i="23"/>
  <c r="AT243" i="2"/>
  <c r="DN33" i="6"/>
  <c r="DN82" i="6" s="1"/>
  <c r="CE77" i="6"/>
  <c r="CP16" i="6"/>
  <c r="CP65" i="6" s="1"/>
  <c r="CJ33" i="6"/>
  <c r="CJ82" i="6" s="1"/>
  <c r="BQ48" i="6"/>
  <c r="BQ49" i="6" s="1"/>
  <c r="AA79" i="6"/>
  <c r="DM81" i="6"/>
  <c r="G349" i="20"/>
  <c r="X349" i="20" s="1"/>
  <c r="G346" i="20"/>
  <c r="X346" i="20" s="1"/>
  <c r="R184" i="23"/>
  <c r="R24" i="25" s="1"/>
  <c r="U48" i="6"/>
  <c r="U49" i="6" s="1"/>
  <c r="BD89" i="6"/>
  <c r="EF30" i="6"/>
  <c r="EF79" i="6" s="1"/>
  <c r="CM73" i="11"/>
  <c r="CN61" i="6"/>
  <c r="CQ58" i="6"/>
  <c r="AX222" i="2"/>
  <c r="AM87" i="11"/>
  <c r="BP64" i="11"/>
  <c r="BQ64" i="11" s="1"/>
  <c r="BW77" i="6"/>
  <c r="G345" i="20"/>
  <c r="X345" i="20" s="1"/>
  <c r="F350" i="20"/>
  <c r="W350" i="20" s="1"/>
  <c r="BH74" i="11"/>
  <c r="AR73" i="6"/>
  <c r="AL73" i="6"/>
  <c r="L423" i="20"/>
  <c r="AC423" i="20" s="1"/>
  <c r="T92" i="6"/>
  <c r="BD92" i="6"/>
  <c r="AE35" i="25"/>
  <c r="AA48" i="6"/>
  <c r="AA49" i="6" s="1"/>
  <c r="AM73" i="6"/>
  <c r="AN33" i="6"/>
  <c r="AN82" i="6" s="1"/>
  <c r="P33" i="6"/>
  <c r="P82" i="6" s="1"/>
  <c r="DG73" i="6"/>
  <c r="AY81" i="6"/>
  <c r="O48" i="6"/>
  <c r="O49" i="6" s="1"/>
  <c r="AM48" i="6"/>
  <c r="AM49" i="6" s="1"/>
  <c r="CI73" i="6"/>
  <c r="U77" i="6"/>
  <c r="DC81" i="6"/>
  <c r="AN31" i="6"/>
  <c r="AN80" i="6" s="1"/>
  <c r="AU32" i="6"/>
  <c r="AU81" i="6" s="1"/>
  <c r="CS30" i="11"/>
  <c r="H412" i="20"/>
  <c r="Y407" i="20"/>
  <c r="Z721" i="7"/>
  <c r="AM721" i="7" s="1"/>
  <c r="AM693" i="7"/>
  <c r="Z710" i="7"/>
  <c r="AM710" i="7" s="1"/>
  <c r="BG32" i="6"/>
  <c r="BK81" i="6"/>
  <c r="CO73" i="6"/>
  <c r="Z40" i="6"/>
  <c r="Z92" i="6"/>
  <c r="AF92" i="6"/>
  <c r="CC84" i="6"/>
  <c r="CK72" i="6"/>
  <c r="CE72" i="6"/>
  <c r="AR102" i="11"/>
  <c r="M343" i="7"/>
  <c r="AY48" i="6"/>
  <c r="U261" i="7"/>
  <c r="AC56" i="7"/>
  <c r="N69" i="8"/>
  <c r="U69" i="8"/>
  <c r="CP31" i="6"/>
  <c r="CP80" i="6" s="1"/>
  <c r="CD31" i="6"/>
  <c r="CD80" i="6" s="1"/>
  <c r="Y1133" i="7"/>
  <c r="Y1135" i="7" s="1"/>
  <c r="V261" i="7"/>
  <c r="CI48" i="6"/>
  <c r="CT18" i="6"/>
  <c r="CT67" i="6" s="1"/>
  <c r="Z700" i="7"/>
  <c r="AM700" i="7" s="1"/>
  <c r="R999" i="7"/>
  <c r="R1013" i="7" s="1"/>
  <c r="BI73" i="11"/>
  <c r="CK12" i="6"/>
  <c r="DU94" i="6"/>
  <c r="CO48" i="6"/>
  <c r="CO49" i="6" s="1"/>
  <c r="AE92" i="25"/>
  <c r="M69" i="8"/>
  <c r="DA81" i="6"/>
  <c r="CC73" i="6"/>
  <c r="CV31" i="6"/>
  <c r="CV80" i="6" s="1"/>
  <c r="EF31" i="6"/>
  <c r="EF80" i="6" s="1"/>
  <c r="CB40" i="6"/>
  <c r="CH92" i="6"/>
  <c r="CB92" i="6"/>
  <c r="CP70" i="11"/>
  <c r="X184" i="23"/>
  <c r="X24" i="25" s="1"/>
  <c r="O69" i="7"/>
  <c r="BS24" i="6"/>
  <c r="BS73" i="6" s="1"/>
  <c r="CB73" i="6"/>
  <c r="AM77" i="6"/>
  <c r="EE35" i="6"/>
  <c r="EF35" i="6" s="1"/>
  <c r="EF84" i="6" s="1"/>
  <c r="AB681" i="7"/>
  <c r="AB1132" i="7"/>
  <c r="AB1133" i="7" s="1"/>
  <c r="AB1135" i="7" s="1"/>
  <c r="AU194" i="2"/>
  <c r="F345" i="20"/>
  <c r="W345" i="20" s="1"/>
  <c r="AH70" i="11"/>
  <c r="L184" i="23"/>
  <c r="L24" i="25" s="1"/>
  <c r="I721" i="7"/>
  <c r="I700" i="7"/>
  <c r="AE1047" i="7"/>
  <c r="AE113" i="25"/>
  <c r="G248" i="2"/>
  <c r="AX248" i="2" s="1"/>
  <c r="BW79" i="6"/>
  <c r="BQ79" i="6"/>
  <c r="AC289" i="7"/>
  <c r="AE136" i="25"/>
  <c r="G211" i="2"/>
  <c r="AX211" i="2" s="1"/>
  <c r="K84" i="25"/>
  <c r="K967" i="7"/>
  <c r="CI84" i="6"/>
  <c r="AZ33" i="6"/>
  <c r="AZ82" i="6" s="1"/>
  <c r="CW81" i="6"/>
  <c r="CJ30" i="6"/>
  <c r="CJ79" i="6" s="1"/>
  <c r="V69" i="8"/>
  <c r="BK48" i="6"/>
  <c r="BK49" i="6" s="1"/>
  <c r="BE79" i="6"/>
  <c r="BR33" i="6"/>
  <c r="BR82" i="6" s="1"/>
  <c r="BQ81" i="6"/>
  <c r="DB32" i="6"/>
  <c r="DB81" i="6" s="1"/>
  <c r="BN73" i="11"/>
  <c r="W407" i="20"/>
  <c r="F412" i="20"/>
  <c r="F415" i="20" s="1"/>
  <c r="CU73" i="6"/>
  <c r="AC1130" i="7"/>
  <c r="EK24" i="6"/>
  <c r="EK73" i="6" s="1"/>
  <c r="K66" i="6"/>
  <c r="Q66" i="6"/>
  <c r="K94" i="25"/>
  <c r="K1002" i="7"/>
  <c r="K1016" i="7" s="1"/>
  <c r="K1115" i="7"/>
  <c r="K1116" i="7" s="1"/>
  <c r="J907" i="7"/>
  <c r="J918" i="7"/>
  <c r="J929" i="7" s="1"/>
  <c r="E224" i="2"/>
  <c r="AC999" i="7"/>
  <c r="AB675" i="7"/>
  <c r="L999" i="7"/>
  <c r="L91" i="25"/>
  <c r="V999" i="7"/>
  <c r="V1013" i="7" s="1"/>
  <c r="AB150" i="23"/>
  <c r="M1000" i="7"/>
  <c r="L214" i="7"/>
  <c r="EA81" i="6"/>
  <c r="DO94" i="6"/>
  <c r="AZ30" i="6"/>
  <c r="AZ79" i="6" s="1"/>
  <c r="CK59" i="6"/>
  <c r="DS79" i="6"/>
  <c r="DY79" i="6"/>
  <c r="R907" i="7"/>
  <c r="R918" i="7"/>
  <c r="R929" i="7" s="1"/>
  <c r="AD521" i="7"/>
  <c r="AC522" i="7"/>
  <c r="AC536" i="7"/>
  <c r="EK32" i="6"/>
  <c r="AC1131" i="7"/>
  <c r="AE137" i="25"/>
  <c r="G212" i="2"/>
  <c r="AX212" i="2" s="1"/>
  <c r="AL69" i="6"/>
  <c r="AB877" i="7"/>
  <c r="AB878" i="7" s="1"/>
  <c r="CN92" i="6"/>
  <c r="CN40" i="6"/>
  <c r="CT89" i="6" s="1"/>
  <c r="P17" i="6"/>
  <c r="P66" i="6" s="1"/>
  <c r="J710" i="7"/>
  <c r="EA73" i="6"/>
  <c r="C106" i="2"/>
  <c r="AT106" i="2" s="1"/>
  <c r="G144" i="2"/>
  <c r="M182" i="20" s="1"/>
  <c r="AD182" i="20" s="1"/>
  <c r="Q87" i="11"/>
  <c r="I507" i="20"/>
  <c r="Z507" i="20" s="1"/>
  <c r="AW144" i="2"/>
  <c r="F195" i="2"/>
  <c r="AW195" i="2" s="1"/>
  <c r="CS87" i="11"/>
  <c r="CI20" i="11"/>
  <c r="J182" i="20"/>
  <c r="AA182" i="20" s="1"/>
  <c r="S87" i="11"/>
  <c r="AA144" i="23"/>
  <c r="DC23" i="11" s="1"/>
  <c r="BE87" i="11"/>
  <c r="K182" i="20"/>
  <c r="AB182" i="20" s="1"/>
  <c r="Y91" i="23"/>
  <c r="AE12" i="11"/>
  <c r="BV10" i="11"/>
  <c r="DX64" i="11"/>
  <c r="AE30" i="23" s="1"/>
  <c r="J62" i="23"/>
  <c r="AE175" i="23"/>
  <c r="G104" i="2" s="1"/>
  <c r="AX104" i="2" s="1"/>
  <c r="BW14" i="11"/>
  <c r="CC14" i="11" s="1"/>
  <c r="BA85" i="6"/>
  <c r="CI10" i="11"/>
  <c r="BV113" i="17" s="1"/>
  <c r="AP102" i="11"/>
  <c r="DC20" i="11"/>
  <c r="I144" i="23"/>
  <c r="Q23" i="11" s="1"/>
  <c r="AZ20" i="11"/>
  <c r="T139" i="23"/>
  <c r="V10" i="11"/>
  <c r="CC12" i="11"/>
  <c r="N150" i="23"/>
  <c r="DZ46" i="11"/>
  <c r="X10" i="11"/>
  <c r="T62" i="23"/>
  <c r="W144" i="23"/>
  <c r="CI23" i="11" s="1"/>
  <c r="W62" i="23"/>
  <c r="AI81" i="6"/>
  <c r="AE201" i="23"/>
  <c r="AE699" i="7" s="1"/>
  <c r="AD699" i="7"/>
  <c r="BT10" i="11"/>
  <c r="BJ113" i="17" s="1"/>
  <c r="AE455" i="23"/>
  <c r="AA62" i="23"/>
  <c r="EG73" i="6"/>
  <c r="DE10" i="11"/>
  <c r="I139" i="23"/>
  <c r="G177" i="2"/>
  <c r="AX177" i="2" s="1"/>
  <c r="AE53" i="25"/>
  <c r="AE9" i="8"/>
  <c r="W112" i="7"/>
  <c r="AB109" i="7"/>
  <c r="E5" i="28"/>
  <c r="E11" i="28" s="1"/>
  <c r="T115" i="8"/>
  <c r="F353" i="20"/>
  <c r="W353" i="20" s="1"/>
  <c r="AU197" i="2"/>
  <c r="T72" i="7"/>
  <c r="N918" i="7"/>
  <c r="N929" i="7" s="1"/>
  <c r="N907" i="7"/>
  <c r="AA754" i="7"/>
  <c r="AA737" i="7"/>
  <c r="AA753" i="7"/>
  <c r="AK102" i="11"/>
  <c r="T83" i="8"/>
  <c r="AM102" i="11"/>
  <c r="U83" i="8"/>
  <c r="X343" i="7"/>
  <c r="AA744" i="7"/>
  <c r="F354" i="20"/>
  <c r="W354" i="20" s="1"/>
  <c r="T154" i="8"/>
  <c r="DV48" i="11"/>
  <c r="DX48" i="11"/>
  <c r="DZ48" i="11" s="1"/>
  <c r="EA48" i="11" s="1"/>
  <c r="CR12" i="11"/>
  <c r="T170" i="25"/>
  <c r="T656" i="7"/>
  <c r="T764" i="7"/>
  <c r="T237" i="8"/>
  <c r="EO77" i="6"/>
  <c r="AE804" i="7"/>
  <c r="J657" i="7"/>
  <c r="J765" i="7"/>
  <c r="X312" i="23"/>
  <c r="X314" i="23" s="1"/>
  <c r="X283" i="23"/>
  <c r="S10" i="11"/>
  <c r="I62" i="23"/>
  <c r="K11" i="28"/>
  <c r="CS14" i="26"/>
  <c r="BU9" i="17"/>
  <c r="BR15" i="26"/>
  <c r="AM479" i="7"/>
  <c r="Z491" i="7"/>
  <c r="AM491" i="7" s="1"/>
  <c r="AA426" i="7"/>
  <c r="AA429" i="7"/>
  <c r="D5" i="28"/>
  <c r="D11" i="28" s="1"/>
  <c r="AE969" i="7"/>
  <c r="AE990" i="7" s="1"/>
  <c r="G225" i="2"/>
  <c r="T283" i="23"/>
  <c r="T312" i="23"/>
  <c r="T314" i="23" s="1"/>
  <c r="Y409" i="20"/>
  <c r="M254" i="8"/>
  <c r="K258" i="8"/>
  <c r="U907" i="7"/>
  <c r="U918" i="7"/>
  <c r="U929" i="7" s="1"/>
  <c r="AE192" i="23"/>
  <c r="AC12" i="25"/>
  <c r="AD66" i="25"/>
  <c r="AD261" i="23"/>
  <c r="AD268" i="23" s="1"/>
  <c r="AD62" i="7"/>
  <c r="AD402" i="23"/>
  <c r="AD405" i="23" s="1"/>
  <c r="AD9" i="7"/>
  <c r="AD90" i="7"/>
  <c r="AD93" i="7" s="1"/>
  <c r="AD96" i="7" s="1"/>
  <c r="AD115" i="7"/>
  <c r="EN36" i="6"/>
  <c r="EN85" i="6" s="1"/>
  <c r="AD27" i="25"/>
  <c r="F136" i="2"/>
  <c r="AE78" i="7"/>
  <c r="AE853" i="7"/>
  <c r="P113" i="23"/>
  <c r="BB102" i="11"/>
  <c r="DZ59" i="11"/>
  <c r="DY59" i="11" s="1"/>
  <c r="AT284" i="20"/>
  <c r="AT280" i="20"/>
  <c r="AU284" i="20"/>
  <c r="AU278" i="20"/>
  <c r="AP35" i="20"/>
  <c r="AT278" i="20"/>
  <c r="AU280" i="20"/>
  <c r="DR64" i="11"/>
  <c r="AD42" i="23" s="1"/>
  <c r="AD29" i="23" s="1"/>
  <c r="AD30" i="23"/>
  <c r="DT59" i="11"/>
  <c r="AC139" i="23"/>
  <c r="AE213" i="23"/>
  <c r="AE26" i="25" s="1"/>
  <c r="CK81" i="6"/>
  <c r="G131" i="2"/>
  <c r="AX131" i="2" s="1"/>
  <c r="F133" i="2"/>
  <c r="AW133" i="2" s="1"/>
  <c r="AD417" i="23"/>
  <c r="AD429" i="23" s="1"/>
  <c r="T89" i="6"/>
  <c r="F104" i="2"/>
  <c r="AW104" i="2" s="1"/>
  <c r="DW59" i="11"/>
  <c r="AE37" i="23" s="1"/>
  <c r="AE23" i="23" s="1"/>
  <c r="CE81" i="6"/>
  <c r="AD418" i="23"/>
  <c r="AD430" i="23" s="1"/>
  <c r="AD30" i="25"/>
  <c r="DU64" i="11"/>
  <c r="DT64" i="11" s="1"/>
  <c r="DT9" i="11" s="1"/>
  <c r="AD215" i="23"/>
  <c r="DW96" i="6"/>
  <c r="DZ47" i="6"/>
  <c r="DZ96" i="6" s="1"/>
  <c r="CU105" i="17"/>
  <c r="G5" i="28"/>
  <c r="G11" i="28" s="1"/>
  <c r="Y257" i="8"/>
  <c r="CG9" i="17"/>
  <c r="CD15" i="26"/>
  <c r="AM313" i="7"/>
  <c r="Z314" i="7"/>
  <c r="CU118" i="17"/>
  <c r="Y147" i="8"/>
  <c r="Y154" i="8" s="1"/>
  <c r="AA109" i="7"/>
  <c r="N89" i="6"/>
  <c r="AB426" i="7"/>
  <c r="AB429" i="7"/>
  <c r="AD421" i="7"/>
  <c r="AD420" i="7"/>
  <c r="AD423" i="7" s="1"/>
  <c r="AC426" i="7"/>
  <c r="Q764" i="7"/>
  <c r="Q656" i="7"/>
  <c r="Q237" i="8"/>
  <c r="CU116" i="17"/>
  <c r="T257" i="8"/>
  <c r="Y56" i="25"/>
  <c r="K897" i="7"/>
  <c r="K261" i="7"/>
  <c r="CL15" i="26"/>
  <c r="CO9" i="17"/>
  <c r="S918" i="7"/>
  <c r="S929" i="7" s="1"/>
  <c r="S907" i="7"/>
  <c r="L261" i="7"/>
  <c r="F191" i="20"/>
  <c r="W191" i="20" s="1"/>
  <c r="AU240" i="2"/>
  <c r="E516" i="20"/>
  <c r="V516" i="20" s="1"/>
  <c r="AB139" i="23"/>
  <c r="Z398" i="7"/>
  <c r="Z401" i="7" s="1"/>
  <c r="AM401" i="7" s="1"/>
  <c r="O491" i="7"/>
  <c r="CH9" i="17"/>
  <c r="CE15" i="26"/>
  <c r="AA56" i="7"/>
  <c r="G233" i="2"/>
  <c r="AX233" i="2" s="1"/>
  <c r="AE1120" i="7"/>
  <c r="AE100" i="25"/>
  <c r="Z56" i="7"/>
  <c r="AM56" i="7" s="1"/>
  <c r="BK15" i="26"/>
  <c r="BN9" i="17"/>
  <c r="AD543" i="7"/>
  <c r="AE543" i="7" s="1"/>
  <c r="AC578" i="7"/>
  <c r="AC257" i="8"/>
  <c r="BW15" i="26"/>
  <c r="BZ9" i="17"/>
  <c r="AB549" i="7"/>
  <c r="AB569" i="7"/>
  <c r="AA582" i="7"/>
  <c r="AB56" i="7"/>
  <c r="C258" i="2"/>
  <c r="AB122" i="25"/>
  <c r="CL9" i="17"/>
  <c r="CI15" i="26"/>
  <c r="AR71" i="20"/>
  <c r="AP234" i="20"/>
  <c r="AP27" i="20"/>
  <c r="AP238" i="20"/>
  <c r="V343" i="7"/>
  <c r="AB398" i="7"/>
  <c r="AB404" i="7" s="1"/>
  <c r="Y115" i="8"/>
  <c r="Y122" i="8" s="1"/>
  <c r="O257" i="8"/>
  <c r="R343" i="7"/>
  <c r="AC109" i="7"/>
  <c r="G352" i="20"/>
  <c r="X352" i="20" s="1"/>
  <c r="CY75" i="11"/>
  <c r="CZ75" i="11" s="1"/>
  <c r="X139" i="23"/>
  <c r="CZ59" i="11"/>
  <c r="Y150" i="23"/>
  <c r="BB10" i="11"/>
  <c r="V87" i="11"/>
  <c r="CZ64" i="11"/>
  <c r="CX59" i="11"/>
  <c r="BY20" i="11"/>
  <c r="AC25" i="25"/>
  <c r="Z91" i="23"/>
  <c r="BJ10" i="11"/>
  <c r="DH10" i="11"/>
  <c r="CP113" i="17" s="1"/>
  <c r="CX64" i="11"/>
  <c r="Z24" i="23"/>
  <c r="AQ29" i="6"/>
  <c r="AQ34" i="6" s="1"/>
  <c r="D108" i="2"/>
  <c r="D312" i="2" s="1"/>
  <c r="D313" i="2" s="1"/>
  <c r="C313" i="2" s="1"/>
  <c r="G66" i="20" s="1"/>
  <c r="X66" i="20" s="1"/>
  <c r="AD14" i="11"/>
  <c r="AE14" i="11" s="1"/>
  <c r="AU10" i="11"/>
  <c r="BF64" i="11"/>
  <c r="BG64" i="11" s="1"/>
  <c r="Z175" i="23"/>
  <c r="Z15" i="25" s="1"/>
  <c r="DG12" i="11"/>
  <c r="AB25" i="25"/>
  <c r="BL10" i="11"/>
  <c r="P32" i="6"/>
  <c r="P81" i="6" s="1"/>
  <c r="N139" i="23"/>
  <c r="R62" i="23"/>
  <c r="AD18" i="25"/>
  <c r="U150" i="23"/>
  <c r="BM85" i="6"/>
  <c r="CI59" i="11"/>
  <c r="BH14" i="11"/>
  <c r="BN14" i="11" s="1"/>
  <c r="BI12" i="11"/>
  <c r="Z139" i="23"/>
  <c r="F5" i="28"/>
  <c r="F11" i="28" s="1"/>
  <c r="DL12" i="11"/>
  <c r="Y398" i="7"/>
  <c r="Y404" i="7" s="1"/>
  <c r="AB343" i="7"/>
  <c r="W258" i="8"/>
  <c r="S398" i="7"/>
  <c r="S401" i="7" s="1"/>
  <c r="J5" i="28"/>
  <c r="J11" i="28" s="1"/>
  <c r="S343" i="7"/>
  <c r="O343" i="7"/>
  <c r="H113" i="20"/>
  <c r="Y113" i="20" s="1"/>
  <c r="AX124" i="2"/>
  <c r="M5" i="28"/>
  <c r="AQ64" i="11"/>
  <c r="AP64" i="11" s="1"/>
  <c r="AR59" i="11"/>
  <c r="AA10" i="11"/>
  <c r="AH59" i="11"/>
  <c r="AP59" i="11"/>
  <c r="BZ64" i="11"/>
  <c r="BY64" i="11" s="1"/>
  <c r="BZ65" i="11" s="1"/>
  <c r="AG64" i="11"/>
  <c r="L30" i="23" s="1"/>
  <c r="AC62" i="23"/>
  <c r="S139" i="23"/>
  <c r="CN10" i="11"/>
  <c r="BZ113" i="17" s="1"/>
  <c r="U175" i="23"/>
  <c r="U15" i="25" s="1"/>
  <c r="N24" i="23"/>
  <c r="X144" i="23"/>
  <c r="CN23" i="11" s="1"/>
  <c r="CK59" i="11"/>
  <c r="O144" i="23"/>
  <c r="AU23" i="11" s="1"/>
  <c r="AI85" i="6"/>
  <c r="CA59" i="11"/>
  <c r="AE178" i="23"/>
  <c r="G107" i="2" s="1"/>
  <c r="AX107" i="2" s="1"/>
  <c r="BM73" i="6"/>
  <c r="W12" i="11"/>
  <c r="W14" i="11" s="1"/>
  <c r="U24" i="23"/>
  <c r="DV11" i="11"/>
  <c r="T91" i="23"/>
  <c r="X62" i="23"/>
  <c r="W175" i="23"/>
  <c r="W15" i="25" s="1"/>
  <c r="O62" i="23"/>
  <c r="DM10" i="11"/>
  <c r="CT113" i="17" s="1"/>
  <c r="W24" i="23"/>
  <c r="T150" i="23"/>
  <c r="N91" i="23"/>
  <c r="CZ87" i="11"/>
  <c r="BO10" i="11"/>
  <c r="BG59" i="11"/>
  <c r="AH10" i="11"/>
  <c r="K144" i="23"/>
  <c r="AA23" i="11" s="1"/>
  <c r="AF59" i="11"/>
  <c r="Z150" i="23"/>
  <c r="Q24" i="23"/>
  <c r="L175" i="23"/>
  <c r="L15" i="25" s="1"/>
  <c r="AF10" i="11"/>
  <c r="U12" i="11"/>
  <c r="CP82" i="11"/>
  <c r="Z12" i="11"/>
  <c r="AB91" i="23"/>
  <c r="BE59" i="11"/>
  <c r="D288" i="2"/>
  <c r="C288" i="2" s="1"/>
  <c r="E225" i="20" s="1"/>
  <c r="V225" i="20" s="1"/>
  <c r="BG10" i="11"/>
  <c r="P31" i="6"/>
  <c r="P80" i="6" s="1"/>
  <c r="Y175" i="23"/>
  <c r="Y15" i="25" s="1"/>
  <c r="AD24" i="25"/>
  <c r="F128" i="2"/>
  <c r="AW128" i="2" s="1"/>
  <c r="AZ10" i="11"/>
  <c r="DH87" i="11"/>
  <c r="AJ12" i="11"/>
  <c r="AR87" i="11"/>
  <c r="N62" i="23"/>
  <c r="CD87" i="11"/>
  <c r="EP46" i="6"/>
  <c r="EP95" i="6" s="1"/>
  <c r="AD1114" i="7"/>
  <c r="AD1115" i="7" s="1"/>
  <c r="F226" i="2"/>
  <c r="AD239" i="23"/>
  <c r="AD1001" i="7"/>
  <c r="AD12" i="7"/>
  <c r="AD93" i="25"/>
  <c r="AA21" i="25"/>
  <c r="AP10" i="11"/>
  <c r="AB19" i="25"/>
  <c r="O139" i="23"/>
  <c r="CF87" i="11"/>
  <c r="CF88" i="11" s="1"/>
  <c r="BF40" i="6"/>
  <c r="BF89" i="6" s="1"/>
  <c r="AE184" i="23"/>
  <c r="DZ70" i="11"/>
  <c r="EA70" i="11" s="1"/>
  <c r="AE246" i="23" s="1"/>
  <c r="AE237" i="23" s="1"/>
  <c r="AB14" i="25"/>
  <c r="AU26" i="11"/>
  <c r="AU30" i="11" s="1"/>
  <c r="BQ10" i="11"/>
  <c r="AC150" i="23"/>
  <c r="V145" i="23"/>
  <c r="CD24" i="11" s="1"/>
  <c r="DH59" i="11"/>
  <c r="AC175" i="23"/>
  <c r="E104" i="2" s="1"/>
  <c r="W150" i="23"/>
  <c r="AF102" i="11"/>
  <c r="CD11" i="11"/>
  <c r="CD80" i="11" s="1"/>
  <c r="CE80" i="11" s="1"/>
  <c r="CF80" i="11" s="1"/>
  <c r="DJ59" i="11"/>
  <c r="AC144" i="23"/>
  <c r="DM23" i="11" s="1"/>
  <c r="DO59" i="11"/>
  <c r="BK12" i="11"/>
  <c r="BK14" i="11" s="1"/>
  <c r="AC10" i="11"/>
  <c r="BE10" i="11"/>
  <c r="Q144" i="23"/>
  <c r="BE23" i="11" s="1"/>
  <c r="Z144" i="23"/>
  <c r="CX23" i="11" s="1"/>
  <c r="Z62" i="23"/>
  <c r="AB175" i="23"/>
  <c r="D104" i="2" s="1"/>
  <c r="AB62" i="23"/>
  <c r="R178" i="23"/>
  <c r="R18" i="25" s="1"/>
  <c r="CU59" i="11"/>
  <c r="Q113" i="23"/>
  <c r="L62" i="23"/>
  <c r="AZ30" i="11"/>
  <c r="V144" i="23"/>
  <c r="CD23" i="11" s="1"/>
  <c r="CX10" i="11"/>
  <c r="CH113" i="17" s="1"/>
  <c r="CF11" i="11"/>
  <c r="DV86" i="11"/>
  <c r="DX86" i="11"/>
  <c r="DU87" i="11"/>
  <c r="DI64" i="11"/>
  <c r="DJ64" i="11" s="1"/>
  <c r="V139" i="23"/>
  <c r="S144" i="23"/>
  <c r="BO23" i="11" s="1"/>
  <c r="L113" i="23"/>
  <c r="L139" i="23"/>
  <c r="Y139" i="23"/>
  <c r="CU102" i="11"/>
  <c r="CU88" i="11" s="1"/>
  <c r="CS102" i="11"/>
  <c r="Y113" i="23"/>
  <c r="DR87" i="11"/>
  <c r="AD91" i="23"/>
  <c r="AD19" i="25"/>
  <c r="F108" i="2"/>
  <c r="I77" i="20" s="1"/>
  <c r="Z77" i="20" s="1"/>
  <c r="BJ11" i="11"/>
  <c r="BJ80" i="11" s="1"/>
  <c r="BK80" i="11" s="1"/>
  <c r="BL80" i="11" s="1"/>
  <c r="N144" i="23"/>
  <c r="AP23" i="11" s="1"/>
  <c r="AE29" i="6"/>
  <c r="AE34" i="6" s="1"/>
  <c r="P144" i="23"/>
  <c r="AZ23" i="11" s="1"/>
  <c r="BT87" i="11"/>
  <c r="M144" i="23"/>
  <c r="AK23" i="11" s="1"/>
  <c r="CV14" i="11"/>
  <c r="CW14" i="11" s="1"/>
  <c r="J145" i="23"/>
  <c r="V24" i="11" s="1"/>
  <c r="BJ21" i="11"/>
  <c r="M62" i="23"/>
  <c r="CW12" i="11"/>
  <c r="BE102" i="11"/>
  <c r="X11" i="11"/>
  <c r="J178" i="23"/>
  <c r="J18" i="25" s="1"/>
  <c r="K139" i="23"/>
  <c r="DJ10" i="11"/>
  <c r="R145" i="23"/>
  <c r="BJ24" i="11" s="1"/>
  <c r="X87" i="11"/>
  <c r="M139" i="23"/>
  <c r="CZ102" i="11"/>
  <c r="CF10" i="11"/>
  <c r="CE12" i="11"/>
  <c r="V146" i="23" s="1"/>
  <c r="CD25" i="11" s="1"/>
  <c r="CX102" i="11"/>
  <c r="CD10" i="11"/>
  <c r="BR113" i="17" s="1"/>
  <c r="V404" i="7"/>
  <c r="V401" i="7"/>
  <c r="Y160" i="8"/>
  <c r="Y153" i="8"/>
  <c r="Z153" i="8"/>
  <c r="N170" i="25"/>
  <c r="N656" i="7"/>
  <c r="N764" i="7"/>
  <c r="N237" i="8"/>
  <c r="N650" i="7"/>
  <c r="N661" i="7" s="1"/>
  <c r="EN94" i="6"/>
  <c r="AB56" i="25"/>
  <c r="AB115" i="8"/>
  <c r="AB83" i="8"/>
  <c r="AB147" i="8"/>
  <c r="D183" i="2"/>
  <c r="DO16" i="11"/>
  <c r="AC151" i="23"/>
  <c r="DM29" i="11" s="1"/>
  <c r="AC183" i="23"/>
  <c r="DN11" i="11"/>
  <c r="AZ117" i="2"/>
  <c r="J105" i="20"/>
  <c r="AA105" i="20" s="1"/>
  <c r="AE21" i="8"/>
  <c r="AE6" i="8"/>
  <c r="AE52" i="25"/>
  <c r="G176" i="2"/>
  <c r="AI40" i="6"/>
  <c r="AL89" i="6"/>
  <c r="Q257" i="8"/>
  <c r="Q258" i="8"/>
  <c r="H657" i="7"/>
  <c r="H765" i="7"/>
  <c r="H283" i="23"/>
  <c r="H312" i="23"/>
  <c r="AD65" i="25"/>
  <c r="EN35" i="6"/>
  <c r="AD672" i="7"/>
  <c r="AD669" i="7"/>
  <c r="F194" i="2"/>
  <c r="AA115" i="8"/>
  <c r="AA83" i="8"/>
  <c r="AA56" i="25"/>
  <c r="C183" i="2"/>
  <c r="AA147" i="8"/>
  <c r="Z116" i="7"/>
  <c r="AA118" i="7" s="1"/>
  <c r="AA124" i="7" s="1"/>
  <c r="AA114" i="7"/>
  <c r="Z121" i="7"/>
  <c r="Z126" i="7"/>
  <c r="Z127" i="7" s="1"/>
  <c r="U257" i="8"/>
  <c r="U258" i="8"/>
  <c r="BS9" i="17"/>
  <c r="BP15" i="26"/>
  <c r="M237" i="8"/>
  <c r="M656" i="7"/>
  <c r="M170" i="25"/>
  <c r="M764" i="7"/>
  <c r="U153" i="8"/>
  <c r="U160" i="8"/>
  <c r="EO73" i="6"/>
  <c r="M258" i="8"/>
  <c r="M257" i="8"/>
  <c r="Z147" i="8"/>
  <c r="Z83" i="8"/>
  <c r="Z115" i="8"/>
  <c r="Z56" i="25"/>
  <c r="E521" i="20"/>
  <c r="V521" i="20" s="1"/>
  <c r="AU242" i="2"/>
  <c r="K491" i="7"/>
  <c r="L491" i="7"/>
  <c r="BY15" i="26"/>
  <c r="CB9" i="17"/>
  <c r="L637" i="7"/>
  <c r="M115" i="8"/>
  <c r="N122" i="8" s="1"/>
  <c r="M147" i="8"/>
  <c r="M56" i="25"/>
  <c r="N83" i="8"/>
  <c r="M83" i="8"/>
  <c r="Z112" i="7"/>
  <c r="Z109" i="7"/>
  <c r="R626" i="7"/>
  <c r="R629" i="7"/>
  <c r="R635" i="7"/>
  <c r="J312" i="23"/>
  <c r="J283" i="23"/>
  <c r="CO15" i="26"/>
  <c r="CR9" i="17"/>
  <c r="E118" i="2" s="1"/>
  <c r="BL9" i="17"/>
  <c r="BI15" i="26"/>
  <c r="CX79" i="17"/>
  <c r="CX93" i="17"/>
  <c r="CX104" i="17"/>
  <c r="CX88" i="17"/>
  <c r="CX81" i="17"/>
  <c r="CX89" i="17" s="1"/>
  <c r="DR65" i="11" s="1"/>
  <c r="AA656" i="7"/>
  <c r="AA237" i="8"/>
  <c r="AA764" i="7"/>
  <c r="AA170" i="25"/>
  <c r="P398" i="7"/>
  <c r="P401" i="7" s="1"/>
  <c r="P290" i="7"/>
  <c r="N153" i="8"/>
  <c r="N160" i="8"/>
  <c r="AE101" i="7"/>
  <c r="AE103" i="7" s="1"/>
  <c r="AD103" i="7"/>
  <c r="Z918" i="7"/>
  <c r="AM897" i="7"/>
  <c r="Z907" i="7"/>
  <c r="AM907" i="7" s="1"/>
  <c r="X150" i="8"/>
  <c r="W150" i="8"/>
  <c r="W157" i="8"/>
  <c r="P106" i="7"/>
  <c r="N106" i="7"/>
  <c r="CN9" i="17"/>
  <c r="CK15" i="26"/>
  <c r="T258" i="8"/>
  <c r="P183" i="23"/>
  <c r="P23" i="25" s="1"/>
  <c r="P151" i="23"/>
  <c r="AZ29" i="11" s="1"/>
  <c r="BB16" i="11"/>
  <c r="BA11" i="11"/>
  <c r="W398" i="7"/>
  <c r="DN35" i="6"/>
  <c r="DN84" i="6" s="1"/>
  <c r="DI84" i="6"/>
  <c r="AB283" i="23"/>
  <c r="AB312" i="23"/>
  <c r="AB314" i="23" s="1"/>
  <c r="K153" i="8"/>
  <c r="AE1121" i="7"/>
  <c r="G231" i="2"/>
  <c r="AX231" i="2" s="1"/>
  <c r="AE1043" i="7"/>
  <c r="AE98" i="25"/>
  <c r="BU15" i="26"/>
  <c r="BX9" i="17"/>
  <c r="Y254" i="8"/>
  <c r="Z254" i="8"/>
  <c r="Q161" i="8"/>
  <c r="R154" i="8"/>
  <c r="EN82" i="6"/>
  <c r="EM33" i="6"/>
  <c r="S1013" i="7"/>
  <c r="S1000" i="7"/>
  <c r="U766" i="7"/>
  <c r="U658" i="7"/>
  <c r="Q106" i="7"/>
  <c r="AC24" i="23"/>
  <c r="CS59" i="11"/>
  <c r="Y24" i="23"/>
  <c r="AM10" i="11"/>
  <c r="Q139" i="23"/>
  <c r="P150" i="23"/>
  <c r="AR89" i="6"/>
  <c r="AO40" i="6"/>
  <c r="AX89" i="6"/>
  <c r="CY205" i="17"/>
  <c r="CX217" i="17"/>
  <c r="CX215" i="17"/>
  <c r="CX225" i="17"/>
  <c r="DO18" i="6"/>
  <c r="DR22" i="6"/>
  <c r="DX67" i="6"/>
  <c r="Q352" i="23"/>
  <c r="Q315" i="23"/>
  <c r="R637" i="7"/>
  <c r="L200" i="20"/>
  <c r="AC200" i="20" s="1"/>
  <c r="AX151" i="2"/>
  <c r="M200" i="20"/>
  <c r="AD200" i="20" s="1"/>
  <c r="CX44" i="17"/>
  <c r="DR35" i="11" s="1"/>
  <c r="AD154" i="23"/>
  <c r="CW40" i="17"/>
  <c r="N636" i="7"/>
  <c r="AE831" i="7"/>
  <c r="AE1075" i="7"/>
  <c r="AC754" i="7"/>
  <c r="AC744" i="7"/>
  <c r="AC753" i="7"/>
  <c r="AC737" i="7"/>
  <c r="CE9" i="17"/>
  <c r="CB15" i="26"/>
  <c r="L56" i="25"/>
  <c r="L115" i="8"/>
  <c r="L147" i="8"/>
  <c r="L83" i="8"/>
  <c r="O106" i="7"/>
  <c r="BJ22" i="6"/>
  <c r="BJ67" i="6"/>
  <c r="BP67" i="6"/>
  <c r="W343" i="7"/>
  <c r="R282" i="23"/>
  <c r="R286" i="23"/>
  <c r="H115" i="8"/>
  <c r="I122" i="8" s="1"/>
  <c r="H56" i="25"/>
  <c r="H147" i="8"/>
  <c r="H83" i="8"/>
  <c r="I83" i="8"/>
  <c r="AW208" i="2"/>
  <c r="J383" i="20"/>
  <c r="AA383" i="20" s="1"/>
  <c r="AE77" i="25"/>
  <c r="AE666" i="7"/>
  <c r="G208" i="2"/>
  <c r="AA151" i="23"/>
  <c r="DC29" i="11" s="1"/>
  <c r="DD11" i="11"/>
  <c r="AA183" i="23"/>
  <c r="DE16" i="11"/>
  <c r="Z462" i="7"/>
  <c r="AM462" i="7" s="1"/>
  <c r="AM456" i="7"/>
  <c r="P918" i="7"/>
  <c r="P907" i="7"/>
  <c r="BG18" i="6"/>
  <c r="J257" i="8"/>
  <c r="J258" i="8"/>
  <c r="Q1013" i="7"/>
  <c r="Q1000" i="7"/>
  <c r="I254" i="8"/>
  <c r="J254" i="8"/>
  <c r="CQ84" i="6"/>
  <c r="L257" i="8"/>
  <c r="L258" i="8"/>
  <c r="V635" i="7"/>
  <c r="K288" i="23"/>
  <c r="AX22" i="6"/>
  <c r="BD67" i="6"/>
  <c r="R258" i="8"/>
  <c r="R257" i="8"/>
  <c r="AB754" i="7"/>
  <c r="AB737" i="7"/>
  <c r="AB753" i="7"/>
  <c r="AL148" i="8"/>
  <c r="AB157" i="8"/>
  <c r="AB150" i="8"/>
  <c r="R650" i="7"/>
  <c r="R661" i="7" s="1"/>
  <c r="R170" i="25"/>
  <c r="R764" i="7"/>
  <c r="R237" i="8"/>
  <c r="R656" i="7"/>
  <c r="T254" i="8"/>
  <c r="AB541" i="7"/>
  <c r="AA547" i="7"/>
  <c r="AA576" i="7"/>
  <c r="CI9" i="17"/>
  <c r="CF15" i="26"/>
  <c r="CZ76" i="17"/>
  <c r="CY80" i="17"/>
  <c r="O157" i="8"/>
  <c r="O150" i="8"/>
  <c r="O148" i="8" s="1"/>
  <c r="T157" i="8"/>
  <c r="T150" i="8"/>
  <c r="T398" i="7"/>
  <c r="T401" i="7" s="1"/>
  <c r="N1013" i="7"/>
  <c r="N1000" i="7"/>
  <c r="DC84" i="6"/>
  <c r="O153" i="8"/>
  <c r="O160" i="8"/>
  <c r="J764" i="7"/>
  <c r="J656" i="7"/>
  <c r="J170" i="25"/>
  <c r="J237" i="8"/>
  <c r="P635" i="7"/>
  <c r="T343" i="7"/>
  <c r="DW29" i="6"/>
  <c r="EC71" i="6"/>
  <c r="X1013" i="7"/>
  <c r="X1000" i="7"/>
  <c r="Q907" i="7"/>
  <c r="Q918" i="7"/>
  <c r="W257" i="8"/>
  <c r="X257" i="8"/>
  <c r="EK35" i="6"/>
  <c r="AC1132" i="7"/>
  <c r="AC675" i="7"/>
  <c r="AC681" i="7"/>
  <c r="U764" i="7"/>
  <c r="U650" i="7"/>
  <c r="U661" i="7" s="1"/>
  <c r="U656" i="7"/>
  <c r="U170" i="25"/>
  <c r="U237" i="8"/>
  <c r="AA398" i="7"/>
  <c r="S154" i="8"/>
  <c r="T109" i="7"/>
  <c r="T112" i="7"/>
  <c r="BT15" i="26"/>
  <c r="BW9" i="17"/>
  <c r="G387" i="20"/>
  <c r="X387" i="20" s="1"/>
  <c r="AU210" i="2"/>
  <c r="F387" i="20"/>
  <c r="W387" i="20" s="1"/>
  <c r="Y258" i="8"/>
  <c r="N254" i="8"/>
  <c r="V254" i="8"/>
  <c r="Q160" i="8"/>
  <c r="Q153" i="8"/>
  <c r="O929" i="7"/>
  <c r="Y583" i="7"/>
  <c r="Y573" i="7"/>
  <c r="Y552" i="7"/>
  <c r="U161" i="8"/>
  <c r="U154" i="8"/>
  <c r="X637" i="7"/>
  <c r="V283" i="23"/>
  <c r="V312" i="23"/>
  <c r="AA459" i="7"/>
  <c r="AB453" i="7"/>
  <c r="AB464" i="7" s="1"/>
  <c r="AB465" i="7" s="1"/>
  <c r="AB456" i="7"/>
  <c r="AB462" i="7" s="1"/>
  <c r="K1000" i="7"/>
  <c r="R766" i="7"/>
  <c r="CQ40" i="6"/>
  <c r="O282" i="23"/>
  <c r="P286" i="23"/>
  <c r="O286" i="23"/>
  <c r="AB766" i="7"/>
  <c r="AB652" i="7"/>
  <c r="AB658" i="7"/>
  <c r="AD211" i="7"/>
  <c r="AD195" i="7"/>
  <c r="AD204" i="7"/>
  <c r="AD214" i="7" s="1"/>
  <c r="AD442" i="7"/>
  <c r="AE442" i="7" s="1"/>
  <c r="AC448" i="7"/>
  <c r="EO40" i="6"/>
  <c r="AD1091" i="7"/>
  <c r="AE796" i="7"/>
  <c r="CW84" i="6"/>
  <c r="DB35" i="6"/>
  <c r="DB84" i="6" s="1"/>
  <c r="Q343" i="7"/>
  <c r="S112" i="7"/>
  <c r="S109" i="7"/>
  <c r="G918" i="7"/>
  <c r="AE94" i="25"/>
  <c r="G227" i="2"/>
  <c r="AE1002" i="7"/>
  <c r="P258" i="8"/>
  <c r="P257" i="8"/>
  <c r="Z283" i="23"/>
  <c r="Z312" i="23"/>
  <c r="Z288" i="23"/>
  <c r="AB545" i="7"/>
  <c r="AA579" i="7"/>
  <c r="Y636" i="7"/>
  <c r="AM1035" i="7"/>
  <c r="Z1036" i="7"/>
  <c r="AM1036" i="7" s="1"/>
  <c r="AM1002" i="7"/>
  <c r="Z1016" i="7"/>
  <c r="V153" i="8"/>
  <c r="V160" i="8"/>
  <c r="AB542" i="7"/>
  <c r="AA577" i="7"/>
  <c r="P153" i="8"/>
  <c r="P160" i="8"/>
  <c r="I918" i="7"/>
  <c r="I907" i="7"/>
  <c r="AA343" i="7"/>
  <c r="V258" i="8"/>
  <c r="V257" i="8"/>
  <c r="AC393" i="7"/>
  <c r="AB395" i="7"/>
  <c r="AB396" i="7" s="1"/>
  <c r="AC398" i="7" s="1"/>
  <c r="AC404" i="7" s="1"/>
  <c r="BQ15" i="26"/>
  <c r="BT9" i="17"/>
  <c r="DA48" i="6"/>
  <c r="Z451" i="7"/>
  <c r="AM451" i="7" s="1"/>
  <c r="AM445" i="7"/>
  <c r="Z448" i="7"/>
  <c r="AM448" i="7" s="1"/>
  <c r="AD77" i="7"/>
  <c r="AD79" i="7" s="1"/>
  <c r="AC84" i="7"/>
  <c r="AC79" i="7"/>
  <c r="AD81" i="7" s="1"/>
  <c r="G351" i="20"/>
  <c r="X351" i="20" s="1"/>
  <c r="CX58" i="17"/>
  <c r="CY57" i="17"/>
  <c r="CX103" i="17"/>
  <c r="CX67" i="17"/>
  <c r="K157" i="8"/>
  <c r="K150" i="8"/>
  <c r="K148" i="8" s="1"/>
  <c r="W147" i="8"/>
  <c r="W115" i="8"/>
  <c r="W83" i="8"/>
  <c r="W56" i="25"/>
  <c r="X83" i="8"/>
  <c r="R398" i="7"/>
  <c r="R401" i="7" s="1"/>
  <c r="Y112" i="7"/>
  <c r="Y109" i="7"/>
  <c r="Q978" i="7"/>
  <c r="Q968" i="7"/>
  <c r="I258" i="8"/>
  <c r="I257" i="8"/>
  <c r="J154" i="8"/>
  <c r="AV183" i="2"/>
  <c r="BX15" i="26"/>
  <c r="CA9" i="17"/>
  <c r="I282" i="23"/>
  <c r="I286" i="23"/>
  <c r="S286" i="23"/>
  <c r="T286" i="23"/>
  <c r="S282" i="23"/>
  <c r="W160" i="8"/>
  <c r="W153" i="8"/>
  <c r="X153" i="8"/>
  <c r="Q254" i="8"/>
  <c r="R254" i="8"/>
  <c r="M766" i="7"/>
  <c r="M658" i="7"/>
  <c r="M286" i="23"/>
  <c r="L286" i="23"/>
  <c r="L282" i="23"/>
  <c r="U282" i="23"/>
  <c r="U286" i="23"/>
  <c r="Z551" i="7"/>
  <c r="Z581" i="7"/>
  <c r="AM581" i="7" s="1"/>
  <c r="AM547" i="7"/>
  <c r="Z564" i="7"/>
  <c r="AA565" i="7"/>
  <c r="CJ9" i="17"/>
  <c r="CG15" i="26"/>
  <c r="AY117" i="2"/>
  <c r="I105" i="20"/>
  <c r="Z105" i="20" s="1"/>
  <c r="K257" i="8"/>
  <c r="Y751" i="7"/>
  <c r="Y741" i="7"/>
  <c r="Y732" i="7"/>
  <c r="Z741" i="7"/>
  <c r="AM741" i="7" s="1"/>
  <c r="Q157" i="8"/>
  <c r="R150" i="8"/>
  <c r="W18" i="6"/>
  <c r="Z22" i="6"/>
  <c r="AC897" i="7"/>
  <c r="AD256" i="7"/>
  <c r="EG35" i="6"/>
  <c r="EH84" i="6"/>
  <c r="AV194" i="2"/>
  <c r="H345" i="20"/>
  <c r="Y345" i="20" s="1"/>
  <c r="I345" i="20"/>
  <c r="Z345" i="20" s="1"/>
  <c r="EA84" i="6"/>
  <c r="U109" i="7"/>
  <c r="U112" i="7"/>
  <c r="N257" i="8"/>
  <c r="N258" i="8"/>
  <c r="V150" i="8"/>
  <c r="U157" i="8"/>
  <c r="U150" i="8"/>
  <c r="Q122" i="8"/>
  <c r="R122" i="8"/>
  <c r="AE1065" i="7"/>
  <c r="U491" i="7"/>
  <c r="T491" i="7"/>
  <c r="Y343" i="7"/>
  <c r="DM59" i="11"/>
  <c r="S150" i="23"/>
  <c r="E102" i="2"/>
  <c r="CR15" i="26"/>
  <c r="CU9" i="17"/>
  <c r="H118" i="2" s="1"/>
  <c r="V122" i="8"/>
  <c r="V286" i="23"/>
  <c r="F113" i="20"/>
  <c r="W113" i="20" s="1"/>
  <c r="AV124" i="2"/>
  <c r="T918" i="7"/>
  <c r="T907" i="7"/>
  <c r="R106" i="7"/>
  <c r="E113" i="20"/>
  <c r="V113" i="20" s="1"/>
  <c r="AU124" i="2"/>
  <c r="CF9" i="17"/>
  <c r="CC15" i="26"/>
  <c r="AB491" i="7"/>
  <c r="AA491" i="7"/>
  <c r="M157" i="8"/>
  <c r="M150" i="8"/>
  <c r="M148" i="8" s="1"/>
  <c r="U343" i="7"/>
  <c r="O83" i="8"/>
  <c r="O56" i="25"/>
  <c r="O115" i="8"/>
  <c r="P83" i="8"/>
  <c r="O147" i="8"/>
  <c r="P343" i="7"/>
  <c r="N343" i="7"/>
  <c r="S637" i="7"/>
  <c r="S631" i="7"/>
  <c r="Q398" i="7"/>
  <c r="Q401" i="7" s="1"/>
  <c r="DO40" i="6"/>
  <c r="I304" i="20"/>
  <c r="Z304" i="20" s="1"/>
  <c r="J304" i="20"/>
  <c r="AA304" i="20" s="1"/>
  <c r="AW176" i="2"/>
  <c r="E103" i="2"/>
  <c r="AC14" i="25"/>
  <c r="R636" i="7"/>
  <c r="CT14" i="26"/>
  <c r="CW8" i="17"/>
  <c r="J117" i="2" s="1"/>
  <c r="J150" i="8"/>
  <c r="J148" i="8" s="1"/>
  <c r="J157" i="8"/>
  <c r="CZ89" i="6"/>
  <c r="CW40" i="6"/>
  <c r="DF89" i="6"/>
  <c r="CZ77" i="17"/>
  <c r="CY70" i="17"/>
  <c r="AA282" i="23"/>
  <c r="AA286" i="23"/>
  <c r="P491" i="7"/>
  <c r="Q491" i="7"/>
  <c r="DM48" i="6"/>
  <c r="AB183" i="23"/>
  <c r="DI11" i="11"/>
  <c r="AB151" i="23"/>
  <c r="DH29" i="11" s="1"/>
  <c r="DJ16" i="11"/>
  <c r="K658" i="7"/>
  <c r="K766" i="7"/>
  <c r="M636" i="7"/>
  <c r="M630" i="7"/>
  <c r="H157" i="8"/>
  <c r="I150" i="8"/>
  <c r="M282" i="23"/>
  <c r="N286" i="23"/>
  <c r="L150" i="8"/>
  <c r="L148" i="8" s="1"/>
  <c r="Y312" i="23"/>
  <c r="Y283" i="23"/>
  <c r="Y288" i="23"/>
  <c r="AC83" i="8"/>
  <c r="X635" i="7"/>
  <c r="AA169" i="25"/>
  <c r="AA778" i="7"/>
  <c r="AA874" i="7"/>
  <c r="EG94" i="6"/>
  <c r="I5" i="28"/>
  <c r="I11" i="28" s="1"/>
  <c r="L153" i="8"/>
  <c r="DU40" i="6"/>
  <c r="ED89" i="6"/>
  <c r="DX89" i="6"/>
  <c r="CQ9" i="17"/>
  <c r="D118" i="2" s="1"/>
  <c r="CN15" i="26"/>
  <c r="BK9" i="17"/>
  <c r="BH15" i="26"/>
  <c r="V907" i="7"/>
  <c r="V918" i="7"/>
  <c r="K161" i="8"/>
  <c r="K154" i="8"/>
  <c r="N637" i="7"/>
  <c r="AA635" i="7"/>
  <c r="T153" i="8"/>
  <c r="AF976" i="7"/>
  <c r="CX102" i="17"/>
  <c r="CY38" i="17"/>
  <c r="CX48" i="17"/>
  <c r="CX50" i="17"/>
  <c r="W766" i="7"/>
  <c r="W658" i="7"/>
  <c r="X398" i="7"/>
  <c r="AM625" i="7"/>
  <c r="Z637" i="7"/>
  <c r="AM637" i="7" s="1"/>
  <c r="P237" i="8"/>
  <c r="P656" i="7"/>
  <c r="P764" i="7"/>
  <c r="P170" i="25"/>
  <c r="Q650" i="7"/>
  <c r="Q661" i="7" s="1"/>
  <c r="EQ30" i="6"/>
  <c r="AE318" i="7"/>
  <c r="AD1128" i="7"/>
  <c r="AD319" i="7"/>
  <c r="G353" i="20"/>
  <c r="X353" i="20" s="1"/>
  <c r="W491" i="7"/>
  <c r="W282" i="23"/>
  <c r="W286" i="23"/>
  <c r="X286" i="23"/>
  <c r="CM9" i="17"/>
  <c r="CJ15" i="26"/>
  <c r="S258" i="8"/>
  <c r="S257" i="8"/>
  <c r="AB899" i="7"/>
  <c r="U635" i="7"/>
  <c r="AB286" i="23"/>
  <c r="AA160" i="8"/>
  <c r="AA153" i="8"/>
  <c r="Z257" i="8"/>
  <c r="Z258" i="8"/>
  <c r="O258" i="8"/>
  <c r="Z343" i="7"/>
  <c r="AM343" i="7" s="1"/>
  <c r="EQ28" i="6"/>
  <c r="AD1129" i="7"/>
  <c r="AD607" i="7"/>
  <c r="J431" i="20"/>
  <c r="AW227" i="2"/>
  <c r="M106" i="7"/>
  <c r="P1013" i="7"/>
  <c r="P1000" i="7"/>
  <c r="AD860" i="7"/>
  <c r="E293" i="2"/>
  <c r="F234" i="20" s="1"/>
  <c r="W234" i="20" s="1"/>
  <c r="CL34" i="6"/>
  <c r="AE461" i="23"/>
  <c r="AE466" i="23" s="1"/>
  <c r="X64" i="11"/>
  <c r="W75" i="11"/>
  <c r="J30" i="23"/>
  <c r="AU103" i="2"/>
  <c r="D286" i="2"/>
  <c r="AV158" i="2"/>
  <c r="E324" i="2"/>
  <c r="AV109" i="2"/>
  <c r="E312" i="2"/>
  <c r="H77" i="20"/>
  <c r="Y77" i="20" s="1"/>
  <c r="G142" i="2"/>
  <c r="AX142" i="2" s="1"/>
  <c r="AE281" i="23"/>
  <c r="AE287" i="23" s="1"/>
  <c r="C324" i="2"/>
  <c r="AT158" i="2"/>
  <c r="AE33" i="25"/>
  <c r="AV110" i="2"/>
  <c r="E318" i="2"/>
  <c r="G145" i="2"/>
  <c r="AE36" i="25"/>
  <c r="AT103" i="2"/>
  <c r="C306" i="2"/>
  <c r="E27" i="20"/>
  <c r="V27" i="20" s="1"/>
  <c r="AW145" i="2"/>
  <c r="J185" i="20"/>
  <c r="AA185" i="20" s="1"/>
  <c r="I504" i="20"/>
  <c r="Z504" i="20" s="1"/>
  <c r="K185" i="20"/>
  <c r="AB185" i="20" s="1"/>
  <c r="J504" i="20"/>
  <c r="AA504" i="20" s="1"/>
  <c r="CS64" i="11"/>
  <c r="Y30" i="23"/>
  <c r="CT75" i="11"/>
  <c r="CU64" i="11"/>
  <c r="BT39" i="6"/>
  <c r="I76" i="20"/>
  <c r="Z76" i="20" s="1"/>
  <c r="AW107" i="2"/>
  <c r="C318" i="2"/>
  <c r="AT110" i="2"/>
  <c r="D285" i="2"/>
  <c r="AU102" i="2"/>
  <c r="AE12" i="25"/>
  <c r="G101" i="2"/>
  <c r="AX101" i="2" s="1"/>
  <c r="BS14" i="11"/>
  <c r="DC64" i="11"/>
  <c r="DE64" i="11"/>
  <c r="AA30" i="23"/>
  <c r="DD75" i="11"/>
  <c r="DD72" i="11"/>
  <c r="E234" i="20"/>
  <c r="V234" i="20" s="1"/>
  <c r="CJ65" i="11"/>
  <c r="CK64" i="11"/>
  <c r="CI64" i="11"/>
  <c r="CJ75" i="11"/>
  <c r="W30" i="23"/>
  <c r="CA34" i="6"/>
  <c r="DV102" i="11"/>
  <c r="AD331" i="23" s="1"/>
  <c r="AD325" i="23" s="1"/>
  <c r="DT102" i="11"/>
  <c r="DO64" i="11"/>
  <c r="DM64" i="11"/>
  <c r="AC30" i="23"/>
  <c r="E292" i="2"/>
  <c r="C292" i="2"/>
  <c r="E231" i="20" s="1"/>
  <c r="V231" i="20" s="1"/>
  <c r="AD118" i="23"/>
  <c r="DR15" i="11"/>
  <c r="DS15" i="11" s="1"/>
  <c r="AE32" i="25"/>
  <c r="G141" i="2"/>
  <c r="AX141" i="2" s="1"/>
  <c r="AE422" i="23"/>
  <c r="AE434" i="23" s="1"/>
  <c r="DL14" i="11"/>
  <c r="DQ14" i="11"/>
  <c r="AU131" i="2"/>
  <c r="D299" i="2"/>
  <c r="F146" i="2"/>
  <c r="AD37" i="25"/>
  <c r="AD460" i="23"/>
  <c r="AD465" i="23" s="1"/>
  <c r="CO75" i="11"/>
  <c r="X30" i="23"/>
  <c r="CO65" i="11"/>
  <c r="CN64" i="11"/>
  <c r="CP64" i="11"/>
  <c r="BD14" i="11"/>
  <c r="CM14" i="11"/>
  <c r="CR14" i="11"/>
  <c r="AK64" i="11"/>
  <c r="M30" i="23"/>
  <c r="AM64" i="11"/>
  <c r="AL75" i="11"/>
  <c r="AV101" i="2"/>
  <c r="AE182" i="23"/>
  <c r="DZ100" i="11"/>
  <c r="DX102" i="11"/>
  <c r="AX105" i="2"/>
  <c r="AT109" i="2"/>
  <c r="U14" i="11"/>
  <c r="Z14" i="11"/>
  <c r="AW111" i="2"/>
  <c r="F318" i="2"/>
  <c r="AC64" i="11"/>
  <c r="AA64" i="11"/>
  <c r="AB75" i="11"/>
  <c r="K30" i="23"/>
  <c r="Q765" i="7" l="1"/>
  <c r="AM379" i="7"/>
  <c r="R651" i="7"/>
  <c r="AC283" i="7"/>
  <c r="AB257" i="8"/>
  <c r="N626" i="7"/>
  <c r="O630" i="7"/>
  <c r="J1000" i="7"/>
  <c r="AD1139" i="7"/>
  <c r="AM15" i="7"/>
  <c r="U657" i="7"/>
  <c r="G243" i="2"/>
  <c r="M488" i="20" s="1"/>
  <c r="AD488" i="20" s="1"/>
  <c r="X658" i="7"/>
  <c r="V656" i="7"/>
  <c r="S766" i="7"/>
  <c r="S772" i="7" s="1"/>
  <c r="AE49" i="25"/>
  <c r="AA968" i="7"/>
  <c r="AA971" i="7" s="1"/>
  <c r="P631" i="7"/>
  <c r="J978" i="7"/>
  <c r="V170" i="25"/>
  <c r="X766" i="7"/>
  <c r="X772" i="7" s="1"/>
  <c r="N657" i="7"/>
  <c r="I764" i="7"/>
  <c r="I782" i="7" s="1"/>
  <c r="AC968" i="7"/>
  <c r="AC971" i="7" s="1"/>
  <c r="AA631" i="7"/>
  <c r="V237" i="8"/>
  <c r="P777" i="7"/>
  <c r="AD967" i="7"/>
  <c r="Y629" i="7"/>
  <c r="N647" i="7"/>
  <c r="N659" i="7" s="1"/>
  <c r="N651" i="7"/>
  <c r="V764" i="7"/>
  <c r="V776" i="7" s="1"/>
  <c r="AB630" i="7"/>
  <c r="S652" i="7"/>
  <c r="AB631" i="7"/>
  <c r="S629" i="7"/>
  <c r="AE32" i="8"/>
  <c r="AE45" i="25" s="1"/>
  <c r="Y652" i="7"/>
  <c r="O651" i="7"/>
  <c r="AE485" i="7"/>
  <c r="EQ45" i="6"/>
  <c r="EQ94" i="6" s="1"/>
  <c r="L630" i="7"/>
  <c r="M765" i="7"/>
  <c r="M767" i="7" s="1"/>
  <c r="W630" i="7"/>
  <c r="AM301" i="7"/>
  <c r="M968" i="7"/>
  <c r="M979" i="7" s="1"/>
  <c r="V630" i="7"/>
  <c r="X629" i="7"/>
  <c r="L765" i="7"/>
  <c r="L777" i="7" s="1"/>
  <c r="S351" i="7"/>
  <c r="BZ78" i="6"/>
  <c r="BZ71" i="6"/>
  <c r="E197" i="2"/>
  <c r="AV197" i="2" s="1"/>
  <c r="H764" i="7"/>
  <c r="H872" i="7" s="1"/>
  <c r="X170" i="25"/>
  <c r="P626" i="7"/>
  <c r="P638" i="7" s="1"/>
  <c r="O657" i="7"/>
  <c r="U978" i="7"/>
  <c r="AC625" i="7"/>
  <c r="AC637" i="7" s="1"/>
  <c r="AA626" i="7"/>
  <c r="AA638" i="7" s="1"/>
  <c r="M651" i="7"/>
  <c r="G163" i="2"/>
  <c r="AX163" i="2" s="1"/>
  <c r="S626" i="7"/>
  <c r="S638" i="7" s="1"/>
  <c r="AP30" i="8"/>
  <c r="AC61" i="25"/>
  <c r="Q351" i="7"/>
  <c r="AJ22" i="17"/>
  <c r="CA88" i="11"/>
  <c r="AD29" i="6"/>
  <c r="AD34" i="6" s="1"/>
  <c r="AD83" i="6" s="1"/>
  <c r="S71" i="6"/>
  <c r="T145" i="23"/>
  <c r="BT24" i="11" s="1"/>
  <c r="BV11" i="11"/>
  <c r="BT11" i="11"/>
  <c r="BT80" i="11" s="1"/>
  <c r="BU80" i="11" s="1"/>
  <c r="BV80" i="11" s="1"/>
  <c r="T178" i="23"/>
  <c r="T18" i="25" s="1"/>
  <c r="DO72" i="11"/>
  <c r="K488" i="20"/>
  <c r="AB488" i="20" s="1"/>
  <c r="AW243" i="2"/>
  <c r="P352" i="23"/>
  <c r="P354" i="23" s="1"/>
  <c r="AE966" i="7"/>
  <c r="X631" i="7"/>
  <c r="V651" i="7"/>
  <c r="AG1016" i="7"/>
  <c r="U647" i="7"/>
  <c r="U659" i="7" s="1"/>
  <c r="AA257" i="8"/>
  <c r="AA630" i="7"/>
  <c r="M657" i="7"/>
  <c r="AA629" i="7"/>
  <c r="M647" i="7"/>
  <c r="S765" i="7"/>
  <c r="S873" i="7" s="1"/>
  <c r="S888" i="7" s="1"/>
  <c r="T351" i="7"/>
  <c r="T651" i="7"/>
  <c r="K637" i="7"/>
  <c r="O629" i="7"/>
  <c r="AB1004" i="7"/>
  <c r="H1000" i="7"/>
  <c r="H1014" i="7" s="1"/>
  <c r="W351" i="7"/>
  <c r="L72" i="7"/>
  <c r="P629" i="7"/>
  <c r="Q630" i="7"/>
  <c r="AI16" i="26"/>
  <c r="AL143" i="17"/>
  <c r="AL135" i="17"/>
  <c r="AL10" i="17" s="1"/>
  <c r="AL130" i="17"/>
  <c r="AL126" i="17"/>
  <c r="Z631" i="7"/>
  <c r="AM631" i="7" s="1"/>
  <c r="K651" i="7"/>
  <c r="AM58" i="7"/>
  <c r="O351" i="7"/>
  <c r="CU84" i="6"/>
  <c r="AJ13" i="17"/>
  <c r="AG19" i="26"/>
  <c r="AL13" i="16"/>
  <c r="AL186" i="17" s="1"/>
  <c r="AL12" i="16"/>
  <c r="AL145" i="17" s="1"/>
  <c r="AK183" i="17"/>
  <c r="AK220" i="17"/>
  <c r="AK155" i="17"/>
  <c r="AK157" i="17"/>
  <c r="AK150" i="17"/>
  <c r="AK23" i="17"/>
  <c r="AK156" i="17"/>
  <c r="AK144" i="17"/>
  <c r="AM8" i="16"/>
  <c r="AM125" i="17" s="1"/>
  <c r="AJ11" i="17"/>
  <c r="AG17" i="26"/>
  <c r="AK196" i="17"/>
  <c r="AK191" i="17"/>
  <c r="AK219" i="17"/>
  <c r="AK224" i="17"/>
  <c r="AK226" i="17" s="1"/>
  <c r="AK198" i="17"/>
  <c r="AK197" i="17"/>
  <c r="O636" i="7"/>
  <c r="Q636" i="7"/>
  <c r="S764" i="7"/>
  <c r="S770" i="7" s="1"/>
  <c r="Y168" i="25"/>
  <c r="CX165" i="17"/>
  <c r="CX176" i="17" s="1"/>
  <c r="CX174" i="17"/>
  <c r="CV35" i="6"/>
  <c r="CV84" i="6" s="1"/>
  <c r="CY164" i="17"/>
  <c r="CY174" i="17" s="1"/>
  <c r="DY48" i="6"/>
  <c r="DY49" i="6" s="1"/>
  <c r="DA84" i="6"/>
  <c r="H417" i="20"/>
  <c r="DY84" i="6"/>
  <c r="R630" i="7"/>
  <c r="J629" i="7"/>
  <c r="AT259" i="2"/>
  <c r="P630" i="7"/>
  <c r="G223" i="2"/>
  <c r="M424" i="20" s="1"/>
  <c r="AD424" i="20" s="1"/>
  <c r="Z765" i="7"/>
  <c r="Z873" i="7" s="1"/>
  <c r="M1004" i="7"/>
  <c r="T650" i="7"/>
  <c r="T661" i="7" s="1"/>
  <c r="P650" i="7"/>
  <c r="P661" i="7" s="1"/>
  <c r="O650" i="7"/>
  <c r="O661" i="7" s="1"/>
  <c r="AE90" i="25"/>
  <c r="Z657" i="7"/>
  <c r="AM657" i="7" s="1"/>
  <c r="O647" i="7"/>
  <c r="O659" i="7" s="1"/>
  <c r="R351" i="7"/>
  <c r="U351" i="7"/>
  <c r="S647" i="7"/>
  <c r="S659" i="7" s="1"/>
  <c r="N635" i="7"/>
  <c r="Z434" i="7"/>
  <c r="Z437" i="7" s="1"/>
  <c r="AM437" i="7" s="1"/>
  <c r="S170" i="25"/>
  <c r="S650" i="7"/>
  <c r="S661" i="7" s="1"/>
  <c r="S237" i="8"/>
  <c r="AC510" i="7"/>
  <c r="AD1093" i="7"/>
  <c r="AD79" i="25" s="1"/>
  <c r="R657" i="7"/>
  <c r="I656" i="7"/>
  <c r="T122" i="8"/>
  <c r="AE795" i="7"/>
  <c r="AE1074" i="7" s="1"/>
  <c r="AE1076" i="7" s="1"/>
  <c r="AE68" i="25" s="1"/>
  <c r="V351" i="7"/>
  <c r="AB284" i="7"/>
  <c r="AC283" i="23"/>
  <c r="Z630" i="7"/>
  <c r="AM630" i="7" s="1"/>
  <c r="R765" i="7"/>
  <c r="R167" i="25" s="1"/>
  <c r="Z510" i="7"/>
  <c r="AM510" i="7" s="1"/>
  <c r="I170" i="25"/>
  <c r="AC288" i="23"/>
  <c r="S651" i="7"/>
  <c r="J650" i="7"/>
  <c r="J661" i="7" s="1"/>
  <c r="R647" i="7"/>
  <c r="R659" i="7" s="1"/>
  <c r="K626" i="7"/>
  <c r="L632" i="7" s="1"/>
  <c r="X351" i="7"/>
  <c r="X72" i="7"/>
  <c r="AD84" i="25"/>
  <c r="R1145" i="7"/>
  <c r="R116" i="25" s="1"/>
  <c r="AD235" i="7"/>
  <c r="F190" i="2" s="1"/>
  <c r="AW190" i="2" s="1"/>
  <c r="CY78" i="6"/>
  <c r="X971" i="7"/>
  <c r="M72" i="7"/>
  <c r="AE48" i="8"/>
  <c r="C260" i="2"/>
  <c r="G468" i="20" s="1"/>
  <c r="X468" i="20" s="1"/>
  <c r="EP20" i="6"/>
  <c r="EP18" i="6" s="1"/>
  <c r="H631" i="7"/>
  <c r="V72" i="7"/>
  <c r="AM509" i="7"/>
  <c r="L652" i="7"/>
  <c r="N72" i="7"/>
  <c r="M626" i="7"/>
  <c r="M632" i="7" s="1"/>
  <c r="G192" i="20"/>
  <c r="X192" i="20" s="1"/>
  <c r="AM278" i="7"/>
  <c r="AB510" i="7"/>
  <c r="R72" i="7"/>
  <c r="AD1103" i="7"/>
  <c r="AE76" i="8"/>
  <c r="AE81" i="8" s="1"/>
  <c r="I631" i="7"/>
  <c r="E190" i="2"/>
  <c r="AV190" i="2" s="1"/>
  <c r="AC225" i="7"/>
  <c r="AC236" i="7"/>
  <c r="AC244" i="7"/>
  <c r="AC432" i="7" s="1"/>
  <c r="AC434" i="7" s="1"/>
  <c r="BI83" i="6"/>
  <c r="G418" i="20"/>
  <c r="X418" i="20" s="1"/>
  <c r="F416" i="20"/>
  <c r="W416" i="20" s="1"/>
  <c r="AB290" i="7"/>
  <c r="Q318" i="23"/>
  <c r="T1145" i="7"/>
  <c r="T1146" i="7" s="1"/>
  <c r="T1153" i="7" s="1"/>
  <c r="P351" i="7"/>
  <c r="F436" i="20"/>
  <c r="W436" i="20" s="1"/>
  <c r="F418" i="20"/>
  <c r="W418" i="20" s="1"/>
  <c r="EJ18" i="6"/>
  <c r="EJ22" i="6" s="1"/>
  <c r="G416" i="20"/>
  <c r="X416" i="20" s="1"/>
  <c r="AU217" i="2"/>
  <c r="W971" i="7"/>
  <c r="X979" i="7"/>
  <c r="P873" i="7"/>
  <c r="P888" i="7" s="1"/>
  <c r="Y782" i="7"/>
  <c r="Z626" i="7"/>
  <c r="Z638" i="7" s="1"/>
  <c r="AM638" i="7" s="1"/>
  <c r="W1135" i="7"/>
  <c r="AE998" i="7"/>
  <c r="AB656" i="7"/>
  <c r="P315" i="23"/>
  <c r="H968" i="7"/>
  <c r="H971" i="7" s="1"/>
  <c r="AD1074" i="7"/>
  <c r="AD1076" i="7" s="1"/>
  <c r="F197" i="2" s="1"/>
  <c r="W629" i="7"/>
  <c r="AB971" i="7"/>
  <c r="T637" i="7"/>
  <c r="AE142" i="7"/>
  <c r="Y776" i="7"/>
  <c r="Q651" i="7"/>
  <c r="Z650" i="7"/>
  <c r="AM650" i="7" s="1"/>
  <c r="AE204" i="7"/>
  <c r="AE214" i="7" s="1"/>
  <c r="P651" i="7"/>
  <c r="AM624" i="7"/>
  <c r="N67" i="6"/>
  <c r="N22" i="6"/>
  <c r="N29" i="6" s="1"/>
  <c r="N34" i="6" s="1"/>
  <c r="N39" i="6" s="1"/>
  <c r="Z237" i="8"/>
  <c r="P657" i="7"/>
  <c r="AB989" i="7"/>
  <c r="P30" i="23"/>
  <c r="BA75" i="11"/>
  <c r="BB75" i="11" s="1"/>
  <c r="BB64" i="11"/>
  <c r="BY29" i="6"/>
  <c r="AD708" i="7"/>
  <c r="AC81" i="6"/>
  <c r="BY22" i="6"/>
  <c r="S145" i="23"/>
  <c r="BO24" i="11" s="1"/>
  <c r="Q61" i="6"/>
  <c r="AD198" i="23"/>
  <c r="BP12" i="11"/>
  <c r="BQ12" i="11" s="1"/>
  <c r="S178" i="23"/>
  <c r="S18" i="25" s="1"/>
  <c r="BO11" i="11"/>
  <c r="BO80" i="11" s="1"/>
  <c r="BP80" i="11" s="1"/>
  <c r="BQ80" i="11" s="1"/>
  <c r="EG59" i="6"/>
  <c r="EK94" i="6"/>
  <c r="CA78" i="6"/>
  <c r="BU78" i="6"/>
  <c r="I75" i="7"/>
  <c r="AM512" i="7"/>
  <c r="AD83" i="8"/>
  <c r="L918" i="7"/>
  <c r="L929" i="7" s="1"/>
  <c r="AD81" i="8"/>
  <c r="P1145" i="7"/>
  <c r="P116" i="25" s="1"/>
  <c r="AE82" i="25"/>
  <c r="N652" i="7"/>
  <c r="AE195" i="7"/>
  <c r="N766" i="7"/>
  <c r="N772" i="7" s="1"/>
  <c r="R631" i="7"/>
  <c r="N658" i="7"/>
  <c r="W75" i="7"/>
  <c r="AD56" i="25"/>
  <c r="S284" i="7"/>
  <c r="N1135" i="7"/>
  <c r="P72" i="7"/>
  <c r="H626" i="7"/>
  <c r="H638" i="7" s="1"/>
  <c r="W989" i="7"/>
  <c r="AD101" i="8"/>
  <c r="T284" i="7"/>
  <c r="EM59" i="6"/>
  <c r="P106" i="25"/>
  <c r="H766" i="7"/>
  <c r="H169" i="25" s="1"/>
  <c r="EG12" i="6"/>
  <c r="EG61" i="6" s="1"/>
  <c r="EG58" i="6"/>
  <c r="BU71" i="6"/>
  <c r="CA71" i="6"/>
  <c r="AW223" i="2"/>
  <c r="M486" i="20"/>
  <c r="AD486" i="20" s="1"/>
  <c r="AX244" i="2"/>
  <c r="AB1014" i="7"/>
  <c r="AE63" i="25"/>
  <c r="T629" i="7"/>
  <c r="I651" i="7"/>
  <c r="AB1025" i="7"/>
  <c r="AB72" i="7"/>
  <c r="I629" i="7"/>
  <c r="L651" i="7"/>
  <c r="Z652" i="7"/>
  <c r="AM652" i="7" s="1"/>
  <c r="AB650" i="7"/>
  <c r="AB661" i="7" s="1"/>
  <c r="AB764" i="7"/>
  <c r="AB168" i="25" s="1"/>
  <c r="Y1000" i="7"/>
  <c r="Y1014" i="7" s="1"/>
  <c r="EO18" i="6"/>
  <c r="EO67" i="6" s="1"/>
  <c r="AE227" i="7"/>
  <c r="AE235" i="7" s="1"/>
  <c r="G190" i="2" s="1"/>
  <c r="F205" i="2"/>
  <c r="AD74" i="25"/>
  <c r="V1145" i="7"/>
  <c r="V116" i="25" s="1"/>
  <c r="AM968" i="7"/>
  <c r="AB170" i="25"/>
  <c r="Y351" i="7"/>
  <c r="O170" i="25"/>
  <c r="O237" i="8"/>
  <c r="O764" i="7"/>
  <c r="O770" i="7" s="1"/>
  <c r="H380" i="20"/>
  <c r="Y380" i="20" s="1"/>
  <c r="I380" i="20"/>
  <c r="Z380" i="20" s="1"/>
  <c r="AV205" i="2"/>
  <c r="BV64" i="11"/>
  <c r="L421" i="20"/>
  <c r="AC421" i="20" s="1"/>
  <c r="DS48" i="6"/>
  <c r="DS49" i="6" s="1"/>
  <c r="DG84" i="6"/>
  <c r="DH35" i="6"/>
  <c r="DH84" i="6" s="1"/>
  <c r="BA61" i="6"/>
  <c r="K424" i="20"/>
  <c r="AB424" i="20" s="1"/>
  <c r="DM84" i="6"/>
  <c r="BG61" i="6"/>
  <c r="M421" i="20"/>
  <c r="AD421" i="20" s="1"/>
  <c r="DS84" i="6"/>
  <c r="L485" i="20"/>
  <c r="AC485" i="20" s="1"/>
  <c r="AE433" i="23"/>
  <c r="L658" i="7"/>
  <c r="S161" i="8"/>
  <c r="P169" i="25"/>
  <c r="Y968" i="7"/>
  <c r="Y989" i="7" s="1"/>
  <c r="S75" i="7"/>
  <c r="AX246" i="2"/>
  <c r="I979" i="7"/>
  <c r="P778" i="7"/>
  <c r="EP66" i="6"/>
  <c r="H1135" i="7"/>
  <c r="M284" i="7"/>
  <c r="AC798" i="7"/>
  <c r="AA72" i="7"/>
  <c r="AA284" i="7"/>
  <c r="AE967" i="7"/>
  <c r="P647" i="7"/>
  <c r="P659" i="7" s="1"/>
  <c r="K652" i="7"/>
  <c r="M652" i="7"/>
  <c r="Y1145" i="7"/>
  <c r="Y116" i="25" s="1"/>
  <c r="Z75" i="7"/>
  <c r="N1145" i="7"/>
  <c r="N116" i="25" s="1"/>
  <c r="AM877" i="7"/>
  <c r="AC822" i="7"/>
  <c r="P658" i="7"/>
  <c r="T30" i="23"/>
  <c r="BY61" i="6"/>
  <c r="CE61" i="6"/>
  <c r="BU75" i="11"/>
  <c r="BV75" i="11" s="1"/>
  <c r="EA61" i="6"/>
  <c r="I418" i="20"/>
  <c r="Z418" i="20" s="1"/>
  <c r="BI71" i="6"/>
  <c r="Y416" i="20"/>
  <c r="BI39" i="6"/>
  <c r="BI88" i="6" s="1"/>
  <c r="CW61" i="6"/>
  <c r="I436" i="20"/>
  <c r="Z436" i="20" s="1"/>
  <c r="BO71" i="6"/>
  <c r="H436" i="20"/>
  <c r="Y436" i="20" s="1"/>
  <c r="H418" i="20"/>
  <c r="Y418" i="20" s="1"/>
  <c r="BO78" i="6"/>
  <c r="BI78" i="6"/>
  <c r="AV217" i="2"/>
  <c r="AR11" i="11"/>
  <c r="I416" i="20"/>
  <c r="Z416" i="20" s="1"/>
  <c r="AQ12" i="11"/>
  <c r="N146" i="23" s="1"/>
  <c r="AP25" i="11" s="1"/>
  <c r="N145" i="23"/>
  <c r="AP24" i="11" s="1"/>
  <c r="AP11" i="11"/>
  <c r="AP80" i="11" s="1"/>
  <c r="AQ80" i="11" s="1"/>
  <c r="AR80" i="11" s="1"/>
  <c r="EM30" i="6"/>
  <c r="EM79" i="6" s="1"/>
  <c r="W631" i="7"/>
  <c r="W651" i="7"/>
  <c r="K647" i="7"/>
  <c r="K659" i="7" s="1"/>
  <c r="AA651" i="7"/>
  <c r="H411" i="20"/>
  <c r="I411" i="20" s="1"/>
  <c r="AW215" i="2"/>
  <c r="J413" i="20"/>
  <c r="AA413" i="20" s="1"/>
  <c r="AE76" i="25"/>
  <c r="AE311" i="7"/>
  <c r="G207" i="2"/>
  <c r="I650" i="7"/>
  <c r="I661" i="7" s="1"/>
  <c r="H237" i="8"/>
  <c r="AB651" i="7"/>
  <c r="AA647" i="7"/>
  <c r="AA659" i="7" s="1"/>
  <c r="V637" i="7"/>
  <c r="EO89" i="6"/>
  <c r="AM646" i="7"/>
  <c r="V626" i="7"/>
  <c r="V638" i="7" s="1"/>
  <c r="Z971" i="7"/>
  <c r="AM971" i="7" s="1"/>
  <c r="W106" i="25"/>
  <c r="J72" i="7"/>
  <c r="M106" i="25"/>
  <c r="AD61" i="8"/>
  <c r="AM967" i="7"/>
  <c r="Z978" i="7"/>
  <c r="J382" i="20"/>
  <c r="AA382" i="20" s="1"/>
  <c r="K410" i="20"/>
  <c r="AB410" i="20" s="1"/>
  <c r="AW207" i="2"/>
  <c r="K382" i="20"/>
  <c r="AB382" i="20" s="1"/>
  <c r="J410" i="20"/>
  <c r="AA410" i="20" s="1"/>
  <c r="AB907" i="7"/>
  <c r="V647" i="7"/>
  <c r="V659" i="7" s="1"/>
  <c r="H635" i="7"/>
  <c r="H656" i="7"/>
  <c r="H647" i="7"/>
  <c r="H659" i="7" s="1"/>
  <c r="G215" i="2"/>
  <c r="AX215" i="2" s="1"/>
  <c r="AA765" i="7"/>
  <c r="AA777" i="7" s="1"/>
  <c r="AD832" i="7"/>
  <c r="Z658" i="7"/>
  <c r="AM658" i="7" s="1"/>
  <c r="Z989" i="7"/>
  <c r="AM989" i="7" s="1"/>
  <c r="N629" i="7"/>
  <c r="U652" i="7"/>
  <c r="W657" i="7"/>
  <c r="Y75" i="7"/>
  <c r="AA78" i="25"/>
  <c r="AD45" i="25"/>
  <c r="X651" i="7"/>
  <c r="W647" i="7"/>
  <c r="W659" i="7" s="1"/>
  <c r="Y284" i="7"/>
  <c r="U629" i="7"/>
  <c r="U122" i="8"/>
  <c r="K765" i="7"/>
  <c r="K771" i="7" s="1"/>
  <c r="X764" i="7"/>
  <c r="Y770" i="7" s="1"/>
  <c r="U651" i="7"/>
  <c r="AB647" i="7"/>
  <c r="AB659" i="7" s="1"/>
  <c r="AB254" i="8"/>
  <c r="Z766" i="7"/>
  <c r="AA772" i="7" s="1"/>
  <c r="Q631" i="7"/>
  <c r="M631" i="7"/>
  <c r="Z629" i="7"/>
  <c r="AM629" i="7" s="1"/>
  <c r="T1000" i="7"/>
  <c r="T1004" i="7" s="1"/>
  <c r="AM999" i="7"/>
  <c r="Q626" i="7"/>
  <c r="R632" i="7" s="1"/>
  <c r="EM45" i="6"/>
  <c r="T106" i="25"/>
  <c r="I1145" i="7"/>
  <c r="I116" i="25" s="1"/>
  <c r="P968" i="7"/>
  <c r="P971" i="7" s="1"/>
  <c r="Z651" i="7"/>
  <c r="AM651" i="7" s="1"/>
  <c r="Z351" i="7"/>
  <c r="AM351" i="7" s="1"/>
  <c r="BN78" i="6"/>
  <c r="EP73" i="6"/>
  <c r="CV105" i="17"/>
  <c r="CV111" i="17"/>
  <c r="CV9" i="17" s="1"/>
  <c r="I118" i="2" s="1"/>
  <c r="CW118" i="17"/>
  <c r="EQ77" i="6"/>
  <c r="L414" i="20"/>
  <c r="AC414" i="20" s="1"/>
  <c r="K342" i="20"/>
  <c r="AB342" i="20" s="1"/>
  <c r="AC64" i="25"/>
  <c r="J409" i="20"/>
  <c r="AA409" i="20" s="1"/>
  <c r="AX216" i="2"/>
  <c r="K409" i="20"/>
  <c r="AB409" i="20" s="1"/>
  <c r="J342" i="20"/>
  <c r="AA342" i="20" s="1"/>
  <c r="EN79" i="6"/>
  <c r="CF64" i="11"/>
  <c r="CE65" i="11"/>
  <c r="Y145" i="23"/>
  <c r="CS24" i="11" s="1"/>
  <c r="Y178" i="23"/>
  <c r="Y18" i="25" s="1"/>
  <c r="CS11" i="11"/>
  <c r="CS80" i="11" s="1"/>
  <c r="CT80" i="11" s="1"/>
  <c r="CU80" i="11" s="1"/>
  <c r="CT12" i="11"/>
  <c r="Y80" i="23" s="1"/>
  <c r="CE75" i="11"/>
  <c r="CF75" i="11" s="1"/>
  <c r="D306" i="2"/>
  <c r="D307" i="2" s="1"/>
  <c r="C307" i="2" s="1"/>
  <c r="G63" i="20" s="1"/>
  <c r="X63" i="20" s="1"/>
  <c r="V30" i="23"/>
  <c r="F280" i="20"/>
  <c r="W280" i="20" s="1"/>
  <c r="D284" i="2"/>
  <c r="C284" i="2" s="1"/>
  <c r="E221" i="20" s="1"/>
  <c r="V221" i="20" s="1"/>
  <c r="G75" i="20"/>
  <c r="X75" i="20" s="1"/>
  <c r="F347" i="20"/>
  <c r="W347" i="20" s="1"/>
  <c r="CS34" i="6"/>
  <c r="CS83" i="6" s="1"/>
  <c r="Y101" i="2"/>
  <c r="BA29" i="6"/>
  <c r="DV71" i="6"/>
  <c r="AV12" i="11"/>
  <c r="AW12" i="11" s="1"/>
  <c r="C128" i="2"/>
  <c r="AT128" i="2" s="1"/>
  <c r="AG12" i="11"/>
  <c r="L146" i="23" s="1"/>
  <c r="AF25" i="11" s="1"/>
  <c r="AZ31" i="6"/>
  <c r="AZ80" i="6" s="1"/>
  <c r="AU73" i="6"/>
  <c r="EL33" i="6"/>
  <c r="EL82" i="6" s="1"/>
  <c r="AJ71" i="6"/>
  <c r="BL88" i="11"/>
  <c r="CS71" i="6"/>
  <c r="CY71" i="6"/>
  <c r="DL22" i="6"/>
  <c r="DL29" i="6" s="1"/>
  <c r="DL34" i="6" s="1"/>
  <c r="DL39" i="6" s="1"/>
  <c r="DL48" i="6" s="1"/>
  <c r="DI18" i="6"/>
  <c r="DN18" i="6" s="1"/>
  <c r="DN67" i="6" s="1"/>
  <c r="AU106" i="2"/>
  <c r="AW71" i="6"/>
  <c r="DE83" i="6"/>
  <c r="BC71" i="6"/>
  <c r="BH78" i="6"/>
  <c r="I30" i="23"/>
  <c r="BV22" i="6"/>
  <c r="BS22" i="6" s="1"/>
  <c r="CR71" i="6"/>
  <c r="BH71" i="6"/>
  <c r="BA22" i="6"/>
  <c r="CK73" i="6"/>
  <c r="CG34" i="6"/>
  <c r="CG83" i="6" s="1"/>
  <c r="CJ31" i="6"/>
  <c r="CJ80" i="6" s="1"/>
  <c r="W178" i="23"/>
  <c r="W18" i="25" s="1"/>
  <c r="S11" i="11"/>
  <c r="CI11" i="11"/>
  <c r="CI80" i="11" s="1"/>
  <c r="CJ80" i="11" s="1"/>
  <c r="CK80" i="11" s="1"/>
  <c r="BA67" i="6"/>
  <c r="Q89" i="6"/>
  <c r="EB78" i="6"/>
  <c r="BC88" i="6"/>
  <c r="CR78" i="6"/>
  <c r="BN71" i="6"/>
  <c r="DU22" i="6"/>
  <c r="C301" i="2"/>
  <c r="G278" i="20" s="1"/>
  <c r="X278" i="20" s="1"/>
  <c r="Q64" i="11"/>
  <c r="DF22" i="6"/>
  <c r="DF29" i="6" s="1"/>
  <c r="BC83" i="6"/>
  <c r="R71" i="6"/>
  <c r="BC78" i="6"/>
  <c r="X178" i="23"/>
  <c r="X18" i="25" s="1"/>
  <c r="Q178" i="23"/>
  <c r="Q18" i="25" s="1"/>
  <c r="AD244" i="8"/>
  <c r="AD34" i="8"/>
  <c r="AO32" i="8"/>
  <c r="AU111" i="2"/>
  <c r="F427" i="20"/>
  <c r="W427" i="20" s="1"/>
  <c r="EP89" i="6"/>
  <c r="AD99" i="8"/>
  <c r="F159" i="2"/>
  <c r="K279" i="20" s="1"/>
  <c r="AB279" i="20" s="1"/>
  <c r="E319" i="2"/>
  <c r="H70" i="20" s="1"/>
  <c r="Y70" i="20" s="1"/>
  <c r="CN11" i="11"/>
  <c r="CN80" i="11" s="1"/>
  <c r="CO80" i="11" s="1"/>
  <c r="CP80" i="11" s="1"/>
  <c r="D324" i="2"/>
  <c r="D325" i="2" s="1"/>
  <c r="C325" i="2" s="1"/>
  <c r="F278" i="20"/>
  <c r="W278" i="20" s="1"/>
  <c r="BF12" i="11"/>
  <c r="BE12" i="11" s="1"/>
  <c r="AB44" i="25"/>
  <c r="F284" i="20"/>
  <c r="W284" i="20" s="1"/>
  <c r="CP11" i="11"/>
  <c r="AZ18" i="6"/>
  <c r="AZ67" i="6" s="1"/>
  <c r="C104" i="2"/>
  <c r="AT104" i="2" s="1"/>
  <c r="BT78" i="6"/>
  <c r="EB34" i="6"/>
  <c r="EA34" i="6" s="1"/>
  <c r="D294" i="2"/>
  <c r="E294" i="2" s="1"/>
  <c r="F239" i="20" s="1"/>
  <c r="W239" i="20" s="1"/>
  <c r="S64" i="11"/>
  <c r="Z145" i="23"/>
  <c r="CX24" i="11" s="1"/>
  <c r="CO12" i="11"/>
  <c r="X80" i="23" s="1"/>
  <c r="DE78" i="6"/>
  <c r="Q81" i="6"/>
  <c r="DU61" i="6"/>
  <c r="F428" i="20"/>
  <c r="W428" i="20" s="1"/>
  <c r="AU158" i="2"/>
  <c r="BA89" i="6"/>
  <c r="F439" i="20"/>
  <c r="W439" i="20" s="1"/>
  <c r="CW29" i="6"/>
  <c r="CW22" i="6"/>
  <c r="CS78" i="6"/>
  <c r="BV67" i="6"/>
  <c r="CM78" i="6"/>
  <c r="CH67" i="6"/>
  <c r="CB67" i="6"/>
  <c r="CX78" i="6"/>
  <c r="CX71" i="6"/>
  <c r="CM71" i="6"/>
  <c r="G431" i="20"/>
  <c r="X431" i="20" s="1"/>
  <c r="CJ12" i="11"/>
  <c r="CI12" i="11" s="1"/>
  <c r="R12" i="11"/>
  <c r="S12" i="11" s="1"/>
  <c r="BL64" i="11"/>
  <c r="W145" i="23"/>
  <c r="CI24" i="11" s="1"/>
  <c r="CG71" i="6"/>
  <c r="DD78" i="6"/>
  <c r="DT35" i="6"/>
  <c r="DT84" i="6" s="1"/>
  <c r="BM22" i="6"/>
  <c r="L178" i="23"/>
  <c r="L18" i="25" s="1"/>
  <c r="AH11" i="11"/>
  <c r="AF11" i="11"/>
  <c r="AF80" i="11" s="1"/>
  <c r="AG80" i="11" s="1"/>
  <c r="AH80" i="11" s="1"/>
  <c r="T22" i="6"/>
  <c r="T29" i="6" s="1"/>
  <c r="T34" i="6" s="1"/>
  <c r="DE88" i="6"/>
  <c r="BN34" i="6"/>
  <c r="BT83" i="6" s="1"/>
  <c r="BB71" i="6"/>
  <c r="I145" i="23"/>
  <c r="Q24" i="11" s="1"/>
  <c r="AE71" i="6"/>
  <c r="BT71" i="6"/>
  <c r="DE71" i="6"/>
  <c r="DW71" i="6"/>
  <c r="W81" i="6"/>
  <c r="G425" i="20"/>
  <c r="X425" i="20" s="1"/>
  <c r="F356" i="20"/>
  <c r="T67" i="6"/>
  <c r="DU84" i="6"/>
  <c r="S29" i="6"/>
  <c r="S78" i="6" s="1"/>
  <c r="Z67" i="6"/>
  <c r="Q145" i="23"/>
  <c r="BE24" i="11" s="1"/>
  <c r="EG40" i="6"/>
  <c r="EG89" i="6" s="1"/>
  <c r="EB71" i="6"/>
  <c r="P40" i="6"/>
  <c r="P89" i="6" s="1"/>
  <c r="G438" i="20"/>
  <c r="X438" i="20" s="1"/>
  <c r="F438" i="20"/>
  <c r="W438" i="20" s="1"/>
  <c r="F426" i="20"/>
  <c r="W426" i="20" s="1"/>
  <c r="G437" i="20"/>
  <c r="X437" i="20" s="1"/>
  <c r="BS81" i="6"/>
  <c r="DI61" i="6"/>
  <c r="BS61" i="6"/>
  <c r="DO61" i="6"/>
  <c r="DP71" i="6"/>
  <c r="BM29" i="6"/>
  <c r="DK83" i="6"/>
  <c r="DD34" i="6"/>
  <c r="DD83" i="6" s="1"/>
  <c r="EL30" i="6"/>
  <c r="EL79" i="6" s="1"/>
  <c r="DD71" i="6"/>
  <c r="DK71" i="6"/>
  <c r="DK88" i="6"/>
  <c r="DF67" i="6"/>
  <c r="BM40" i="6"/>
  <c r="BR40" i="6" s="1"/>
  <c r="BR89" i="6" s="1"/>
  <c r="AU11" i="11"/>
  <c r="AU80" i="11" s="1"/>
  <c r="AV80" i="11" s="1"/>
  <c r="AW80" i="11" s="1"/>
  <c r="DL67" i="6"/>
  <c r="CX11" i="11"/>
  <c r="CX80" i="11" s="1"/>
  <c r="CY80" i="11" s="1"/>
  <c r="CZ80" i="11" s="1"/>
  <c r="Q11" i="11"/>
  <c r="Q80" i="11" s="1"/>
  <c r="R80" i="11" s="1"/>
  <c r="S80" i="11" s="1"/>
  <c r="R29" i="6"/>
  <c r="R34" i="6" s="1"/>
  <c r="R39" i="6" s="1"/>
  <c r="F437" i="20"/>
  <c r="F433" i="20" s="1"/>
  <c r="F434" i="20" s="1"/>
  <c r="G442" i="20" s="1"/>
  <c r="G426" i="20"/>
  <c r="X426" i="20" s="1"/>
  <c r="G439" i="20"/>
  <c r="X439" i="20" s="1"/>
  <c r="C312" i="2"/>
  <c r="DE75" i="11"/>
  <c r="BB78" i="6"/>
  <c r="BJ64" i="11"/>
  <c r="CY12" i="11"/>
  <c r="Z80" i="23" s="1"/>
  <c r="BE11" i="11"/>
  <c r="BE80" i="11" s="1"/>
  <c r="BF80" i="11" s="1"/>
  <c r="BG80" i="11" s="1"/>
  <c r="CZ11" i="11"/>
  <c r="Y71" i="6"/>
  <c r="G427" i="20"/>
  <c r="X427" i="20" s="1"/>
  <c r="I427" i="20"/>
  <c r="Z427" i="20" s="1"/>
  <c r="AU224" i="2"/>
  <c r="AY97" i="6"/>
  <c r="BY81" i="6"/>
  <c r="AA351" i="7"/>
  <c r="AB351" i="7"/>
  <c r="K284" i="7"/>
  <c r="X656" i="7"/>
  <c r="R652" i="7"/>
  <c r="BP89" i="6"/>
  <c r="C241" i="2"/>
  <c r="AT241" i="2" s="1"/>
  <c r="AM623" i="7"/>
  <c r="CV118" i="17"/>
  <c r="Z1000" i="7"/>
  <c r="Z1025" i="7" s="1"/>
  <c r="AM1025" i="7" s="1"/>
  <c r="T652" i="7"/>
  <c r="CV116" i="17"/>
  <c r="L284" i="7"/>
  <c r="O178" i="23"/>
  <c r="O18" i="25" s="1"/>
  <c r="DQ71" i="6"/>
  <c r="AQ71" i="6"/>
  <c r="I1135" i="7"/>
  <c r="I630" i="7"/>
  <c r="DQ78" i="6"/>
  <c r="BP48" i="6"/>
  <c r="BP49" i="6" s="1"/>
  <c r="AU64" i="11"/>
  <c r="V652" i="7"/>
  <c r="X650" i="7"/>
  <c r="X661" i="7" s="1"/>
  <c r="X237" i="8"/>
  <c r="M290" i="7"/>
  <c r="W1025" i="7"/>
  <c r="L979" i="7"/>
  <c r="CW142" i="17"/>
  <c r="CW145" i="17" s="1"/>
  <c r="CW150" i="17" s="1"/>
  <c r="AC989" i="7"/>
  <c r="AW11" i="11"/>
  <c r="DK78" i="6"/>
  <c r="S1145" i="7"/>
  <c r="S1146" i="7" s="1"/>
  <c r="S1153" i="7" s="1"/>
  <c r="R106" i="25"/>
  <c r="S1135" i="7"/>
  <c r="Y631" i="7"/>
  <c r="V631" i="7"/>
  <c r="AD854" i="7"/>
  <c r="AD1087" i="7"/>
  <c r="M116" i="25"/>
  <c r="M1146" i="7"/>
  <c r="CL78" i="6"/>
  <c r="Y630" i="7"/>
  <c r="J647" i="7"/>
  <c r="T971" i="7"/>
  <c r="H415" i="20"/>
  <c r="I415" i="20" s="1"/>
  <c r="J122" i="8"/>
  <c r="H652" i="7"/>
  <c r="DJ78" i="6"/>
  <c r="AB629" i="7"/>
  <c r="Y647" i="7"/>
  <c r="Y659" i="7" s="1"/>
  <c r="V658" i="7"/>
  <c r="U75" i="7"/>
  <c r="AA1135" i="7"/>
  <c r="Z170" i="25"/>
  <c r="U1135" i="7"/>
  <c r="J630" i="7"/>
  <c r="H106" i="25"/>
  <c r="AI22" i="6"/>
  <c r="V284" i="7"/>
  <c r="X978" i="7"/>
  <c r="Z284" i="7"/>
  <c r="AM284" i="7" s="1"/>
  <c r="M1135" i="7"/>
  <c r="EK40" i="6"/>
  <c r="EK89" i="6" s="1"/>
  <c r="AC1138" i="7"/>
  <c r="AC1140" i="7" s="1"/>
  <c r="AC107" i="25" s="1"/>
  <c r="T630" i="7"/>
  <c r="T636" i="7"/>
  <c r="AU227" i="2"/>
  <c r="F431" i="20"/>
  <c r="N284" i="7"/>
  <c r="J161" i="8"/>
  <c r="Z656" i="7"/>
  <c r="AM656" i="7" s="1"/>
  <c r="AK71" i="6"/>
  <c r="I626" i="7"/>
  <c r="I638" i="7" s="1"/>
  <c r="J652" i="7"/>
  <c r="T657" i="7"/>
  <c r="T765" i="7"/>
  <c r="U771" i="7" s="1"/>
  <c r="J658" i="7"/>
  <c r="Y765" i="7"/>
  <c r="AE596" i="7"/>
  <c r="AE597" i="7" s="1"/>
  <c r="W284" i="7"/>
  <c r="Z764" i="7"/>
  <c r="AM764" i="7" s="1"/>
  <c r="AC79" i="25"/>
  <c r="G217" i="2"/>
  <c r="W637" i="7"/>
  <c r="AA650" i="7"/>
  <c r="AA661" i="7" s="1"/>
  <c r="X284" i="7"/>
  <c r="W1014" i="7"/>
  <c r="AB626" i="7"/>
  <c r="AB638" i="7" s="1"/>
  <c r="AK83" i="6"/>
  <c r="DJ71" i="6"/>
  <c r="W626" i="7"/>
  <c r="W638" i="7" s="1"/>
  <c r="AE378" i="7"/>
  <c r="AP78" i="6"/>
  <c r="CL83" i="6"/>
  <c r="U631" i="7"/>
  <c r="W652" i="7"/>
  <c r="AA1145" i="7"/>
  <c r="AA116" i="25" s="1"/>
  <c r="O652" i="7"/>
  <c r="X626" i="7"/>
  <c r="X638" i="7" s="1"/>
  <c r="K629" i="7"/>
  <c r="Q290" i="7"/>
  <c r="Z647" i="7"/>
  <c r="Z659" i="7" s="1"/>
  <c r="AM659" i="7" s="1"/>
  <c r="I381" i="20"/>
  <c r="Z381" i="20" s="1"/>
  <c r="O971" i="7"/>
  <c r="AO61" i="6"/>
  <c r="U1145" i="7"/>
  <c r="U116" i="25" s="1"/>
  <c r="AA1000" i="7"/>
  <c r="I657" i="7"/>
  <c r="I765" i="7"/>
  <c r="AV83" i="6"/>
  <c r="AK11" i="11"/>
  <c r="AK80" i="11" s="1"/>
  <c r="AL80" i="11" s="1"/>
  <c r="AM80" i="11" s="1"/>
  <c r="DL89" i="6"/>
  <c r="AV78" i="6"/>
  <c r="AV75" i="11"/>
  <c r="AW75" i="11" s="1"/>
  <c r="CH22" i="6"/>
  <c r="CN71" i="6" s="1"/>
  <c r="AL12" i="11"/>
  <c r="AM12" i="11" s="1"/>
  <c r="M145" i="23"/>
  <c r="AK24" i="11" s="1"/>
  <c r="AW64" i="11"/>
  <c r="D321" i="2"/>
  <c r="D322" i="2" s="1"/>
  <c r="C322" i="2" s="1"/>
  <c r="G147" i="20" s="1"/>
  <c r="X147" i="20" s="1"/>
  <c r="EQ79" i="6"/>
  <c r="CE18" i="6"/>
  <c r="CE67" i="6" s="1"/>
  <c r="AB24" i="25"/>
  <c r="DI73" i="6"/>
  <c r="CF71" i="6"/>
  <c r="D296" i="2"/>
  <c r="C296" i="2" s="1"/>
  <c r="G146" i="20" s="1"/>
  <c r="X146" i="20" s="1"/>
  <c r="CL71" i="6"/>
  <c r="AP71" i="6"/>
  <c r="EM28" i="6"/>
  <c r="ER33" i="6" s="1"/>
  <c r="ER82" i="6" s="1"/>
  <c r="DC61" i="6"/>
  <c r="CF78" i="6"/>
  <c r="CU75" i="11"/>
  <c r="AV71" i="6"/>
  <c r="DH31" i="6"/>
  <c r="DH80" i="6" s="1"/>
  <c r="DO88" i="11"/>
  <c r="EO47" i="6"/>
  <c r="F206" i="2"/>
  <c r="K381" i="20" s="1"/>
  <c r="AB381" i="20" s="1"/>
  <c r="AD75" i="25"/>
  <c r="L764" i="7"/>
  <c r="L237" i="8"/>
  <c r="L650" i="7"/>
  <c r="L661" i="7" s="1"/>
  <c r="L656" i="7"/>
  <c r="L170" i="25"/>
  <c r="N351" i="7"/>
  <c r="L351" i="7"/>
  <c r="M351" i="7"/>
  <c r="I1013" i="7"/>
  <c r="I1000" i="7"/>
  <c r="U637" i="7"/>
  <c r="U626" i="7"/>
  <c r="U638" i="7" s="1"/>
  <c r="Y651" i="7"/>
  <c r="O1004" i="7"/>
  <c r="V971" i="7"/>
  <c r="U284" i="7"/>
  <c r="K631" i="7"/>
  <c r="CW116" i="17"/>
  <c r="K145" i="23"/>
  <c r="AA24" i="11" s="1"/>
  <c r="CA11" i="11"/>
  <c r="I647" i="7"/>
  <c r="I659" i="7" s="1"/>
  <c r="D209" i="2"/>
  <c r="AB78" i="25"/>
  <c r="AC183" i="7"/>
  <c r="EH8" i="6"/>
  <c r="AC169" i="7"/>
  <c r="AC189" i="7"/>
  <c r="AC167" i="7"/>
  <c r="AC166" i="7"/>
  <c r="AD858" i="7"/>
  <c r="X75" i="11"/>
  <c r="V1135" i="7"/>
  <c r="T626" i="7"/>
  <c r="S979" i="7"/>
  <c r="Y657" i="7"/>
  <c r="N971" i="7"/>
  <c r="V989" i="7"/>
  <c r="Y106" i="25"/>
  <c r="K630" i="7"/>
  <c r="T290" i="7"/>
  <c r="T647" i="7"/>
  <c r="Q652" i="7"/>
  <c r="R284" i="7"/>
  <c r="M650" i="7"/>
  <c r="M661" i="7" s="1"/>
  <c r="M629" i="7"/>
  <c r="J631" i="7"/>
  <c r="H381" i="20"/>
  <c r="Y381" i="20" s="1"/>
  <c r="CW111" i="17"/>
  <c r="CT15" i="26" s="1"/>
  <c r="K75" i="7"/>
  <c r="BZ12" i="11"/>
  <c r="BY12" i="11" s="1"/>
  <c r="R1000" i="7"/>
  <c r="R1014" i="7" s="1"/>
  <c r="Q1135" i="7"/>
  <c r="K1135" i="7"/>
  <c r="L106" i="25"/>
  <c r="K1145" i="7"/>
  <c r="K170" i="25"/>
  <c r="K764" i="7"/>
  <c r="K237" i="8"/>
  <c r="K656" i="7"/>
  <c r="K650" i="7"/>
  <c r="K661" i="7" s="1"/>
  <c r="Y658" i="7"/>
  <c r="Y766" i="7"/>
  <c r="EH96" i="6"/>
  <c r="V765" i="7"/>
  <c r="V767" i="7" s="1"/>
  <c r="V657" i="7"/>
  <c r="EF47" i="6"/>
  <c r="EF96" i="6" s="1"/>
  <c r="EC48" i="6"/>
  <c r="EC49" i="6" s="1"/>
  <c r="Y626" i="7"/>
  <c r="Y638" i="7" s="1"/>
  <c r="EC96" i="6"/>
  <c r="AW118" i="2"/>
  <c r="G106" i="20"/>
  <c r="X106" i="20" s="1"/>
  <c r="X765" i="7"/>
  <c r="X771" i="7" s="1"/>
  <c r="X657" i="7"/>
  <c r="F189" i="2"/>
  <c r="AW189" i="2" s="1"/>
  <c r="AD171" i="25"/>
  <c r="AD60" i="25"/>
  <c r="AE198" i="7"/>
  <c r="L647" i="7"/>
  <c r="L659" i="7" s="1"/>
  <c r="U145" i="23"/>
  <c r="BY24" i="11" s="1"/>
  <c r="K318" i="23"/>
  <c r="AB12" i="11"/>
  <c r="K80" i="23" s="1"/>
  <c r="L635" i="7"/>
  <c r="L629" i="7"/>
  <c r="W764" i="7"/>
  <c r="W767" i="7" s="1"/>
  <c r="W779" i="7" s="1"/>
  <c r="W170" i="25"/>
  <c r="W656" i="7"/>
  <c r="W237" i="8"/>
  <c r="DR89" i="6"/>
  <c r="X647" i="7"/>
  <c r="X659" i="7" s="1"/>
  <c r="J626" i="7"/>
  <c r="J638" i="7" s="1"/>
  <c r="T766" i="7"/>
  <c r="T778" i="7" s="1"/>
  <c r="CW105" i="17"/>
  <c r="AA11" i="11"/>
  <c r="AA80" i="11" s="1"/>
  <c r="AB80" i="11" s="1"/>
  <c r="AC80" i="11" s="1"/>
  <c r="AC11" i="11"/>
  <c r="U178" i="23"/>
  <c r="U18" i="25" s="1"/>
  <c r="AM11" i="11"/>
  <c r="V1000" i="7"/>
  <c r="V1004" i="7" s="1"/>
  <c r="W650" i="7"/>
  <c r="W661" i="7" s="1"/>
  <c r="EN47" i="6"/>
  <c r="EN96" i="6" s="1"/>
  <c r="AE850" i="7"/>
  <c r="AE1070" i="7" s="1"/>
  <c r="AD1070" i="7"/>
  <c r="AC864" i="7"/>
  <c r="EI47" i="6"/>
  <c r="EI96" i="6" s="1"/>
  <c r="AC1087" i="7"/>
  <c r="AC858" i="7"/>
  <c r="X630" i="7"/>
  <c r="L1146" i="7"/>
  <c r="L116" i="25"/>
  <c r="O626" i="7"/>
  <c r="O638" i="7" s="1"/>
  <c r="L1135" i="7"/>
  <c r="Q72" i="7"/>
  <c r="Q75" i="7"/>
  <c r="AB106" i="25"/>
  <c r="J106" i="25"/>
  <c r="J1145" i="7"/>
  <c r="J116" i="25" s="1"/>
  <c r="O1135" i="7"/>
  <c r="O106" i="25"/>
  <c r="I284" i="7"/>
  <c r="J284" i="7"/>
  <c r="U1000" i="7"/>
  <c r="U1025" i="7" s="1"/>
  <c r="I652" i="7"/>
  <c r="I766" i="7"/>
  <c r="J772" i="7" s="1"/>
  <c r="I658" i="7"/>
  <c r="BK75" i="11"/>
  <c r="BL75" i="11" s="1"/>
  <c r="EG31" i="6"/>
  <c r="EG80" i="6" s="1"/>
  <c r="Q1146" i="7"/>
  <c r="Q1153" i="7" s="1"/>
  <c r="Q116" i="25"/>
  <c r="X1145" i="7"/>
  <c r="M1014" i="7"/>
  <c r="Z1145" i="7"/>
  <c r="Z116" i="25" s="1"/>
  <c r="X1135" i="7"/>
  <c r="AD477" i="7"/>
  <c r="AD1063" i="7" s="1"/>
  <c r="AD1066" i="7" s="1"/>
  <c r="AD64" i="25" s="1"/>
  <c r="AD1130" i="7"/>
  <c r="H116" i="25"/>
  <c r="Q106" i="25"/>
  <c r="O284" i="7"/>
  <c r="Z1135" i="7"/>
  <c r="AD797" i="7"/>
  <c r="EQ40" i="6" s="1"/>
  <c r="R971" i="7"/>
  <c r="U290" i="7"/>
  <c r="P284" i="7"/>
  <c r="Q766" i="7"/>
  <c r="Q778" i="7" s="1"/>
  <c r="AE476" i="7"/>
  <c r="AE1130" i="7" s="1"/>
  <c r="AV227" i="2"/>
  <c r="I431" i="20"/>
  <c r="Z431" i="20" s="1"/>
  <c r="H431" i="20"/>
  <c r="AB777" i="7"/>
  <c r="AB873" i="7"/>
  <c r="AB167" i="25"/>
  <c r="K429" i="20"/>
  <c r="AB429" i="20" s="1"/>
  <c r="AW225" i="2"/>
  <c r="J429" i="20"/>
  <c r="AA429" i="20" s="1"/>
  <c r="AC580" i="7"/>
  <c r="AD546" i="7"/>
  <c r="AE546" i="7" s="1"/>
  <c r="K431" i="20"/>
  <c r="AB431" i="20" s="1"/>
  <c r="AC1133" i="7"/>
  <c r="AC106" i="25" s="1"/>
  <c r="Q647" i="7"/>
  <c r="Q659" i="7" s="1"/>
  <c r="AE807" i="7"/>
  <c r="O631" i="7"/>
  <c r="O637" i="7"/>
  <c r="N631" i="7"/>
  <c r="AM398" i="7"/>
  <c r="AB1145" i="7"/>
  <c r="D241" i="2"/>
  <c r="E520" i="20" s="1"/>
  <c r="V520" i="20" s="1"/>
  <c r="O116" i="25"/>
  <c r="O658" i="7"/>
  <c r="O766" i="7"/>
  <c r="P652" i="7"/>
  <c r="CC97" i="6"/>
  <c r="AL67" i="6"/>
  <c r="EA22" i="6"/>
  <c r="AS97" i="6"/>
  <c r="AO18" i="6"/>
  <c r="AT18" i="6" s="1"/>
  <c r="AT67" i="6" s="1"/>
  <c r="AI61" i="6"/>
  <c r="ED78" i="6"/>
  <c r="AG97" i="6"/>
  <c r="BP75" i="11"/>
  <c r="BQ75" i="11" s="1"/>
  <c r="AC61" i="6"/>
  <c r="AA97" i="6"/>
  <c r="EA29" i="6"/>
  <c r="BO64" i="11"/>
  <c r="S30" i="23"/>
  <c r="J348" i="20"/>
  <c r="AA348" i="20" s="1"/>
  <c r="AU61" i="6"/>
  <c r="AB31" i="6"/>
  <c r="AB80" i="6" s="1"/>
  <c r="ED71" i="6"/>
  <c r="AM97" i="6"/>
  <c r="W73" i="6"/>
  <c r="BK97" i="6"/>
  <c r="AY49" i="6"/>
  <c r="J416" i="20"/>
  <c r="J417" i="20" s="1"/>
  <c r="CI97" i="6"/>
  <c r="K416" i="20"/>
  <c r="AB416" i="20" s="1"/>
  <c r="EA67" i="6"/>
  <c r="CK61" i="6"/>
  <c r="EK84" i="6"/>
  <c r="AZ32" i="6"/>
  <c r="AZ81" i="6" s="1"/>
  <c r="W61" i="6"/>
  <c r="AR22" i="6"/>
  <c r="AR29" i="6" s="1"/>
  <c r="AR34" i="6" s="1"/>
  <c r="AO34" i="6" s="1"/>
  <c r="AC18" i="6"/>
  <c r="AH18" i="6" s="1"/>
  <c r="AH67" i="6" s="1"/>
  <c r="CK29" i="6"/>
  <c r="CK22" i="6"/>
  <c r="AF22" i="6"/>
  <c r="AF29" i="6" s="1"/>
  <c r="AF34" i="6" s="1"/>
  <c r="AX67" i="6"/>
  <c r="BG89" i="6"/>
  <c r="AX144" i="2"/>
  <c r="CZ67" i="6"/>
  <c r="BM61" i="6"/>
  <c r="BW97" i="6"/>
  <c r="AE15" i="25"/>
  <c r="CT22" i="6"/>
  <c r="CT29" i="6" s="1"/>
  <c r="CQ18" i="6"/>
  <c r="CV18" i="6" s="1"/>
  <c r="CV67" i="6" s="1"/>
  <c r="U97" i="6"/>
  <c r="AI29" i="6"/>
  <c r="BA81" i="6"/>
  <c r="EQ73" i="6"/>
  <c r="BE97" i="6"/>
  <c r="BQ97" i="6"/>
  <c r="BX14" i="11"/>
  <c r="CI49" i="6"/>
  <c r="K348" i="20"/>
  <c r="AB348" i="20" s="1"/>
  <c r="L1013" i="7"/>
  <c r="L1000" i="7"/>
  <c r="BM81" i="6"/>
  <c r="BL32" i="6"/>
  <c r="BL81" i="6" s="1"/>
  <c r="BG81" i="6"/>
  <c r="T80" i="23"/>
  <c r="CO97" i="6"/>
  <c r="CQ61" i="6"/>
  <c r="CK40" i="6"/>
  <c r="CN89" i="6"/>
  <c r="H439" i="20"/>
  <c r="Y439" i="20" s="1"/>
  <c r="I425" i="20"/>
  <c r="Z425" i="20" s="1"/>
  <c r="H437" i="20"/>
  <c r="H426" i="20"/>
  <c r="H427" i="20"/>
  <c r="Y427" i="20" s="1"/>
  <c r="H428" i="20"/>
  <c r="Y428" i="20" s="1"/>
  <c r="I426" i="20"/>
  <c r="Z426" i="20" s="1"/>
  <c r="AV224" i="2"/>
  <c r="H438" i="20"/>
  <c r="Y438" i="20" s="1"/>
  <c r="I439" i="20"/>
  <c r="Z439" i="20" s="1"/>
  <c r="I437" i="20"/>
  <c r="Z437" i="20" s="1"/>
  <c r="I438" i="20"/>
  <c r="Z438" i="20" s="1"/>
  <c r="H425" i="20"/>
  <c r="Y425" i="20" s="1"/>
  <c r="K978" i="7"/>
  <c r="K968" i="7"/>
  <c r="BX31" i="6"/>
  <c r="BX80" i="6" s="1"/>
  <c r="BY73" i="6"/>
  <c r="CB89" i="6"/>
  <c r="CB48" i="6"/>
  <c r="CB49" i="6" s="1"/>
  <c r="CH89" i="6"/>
  <c r="BY40" i="6"/>
  <c r="I412" i="20"/>
  <c r="AC766" i="7"/>
  <c r="AC772" i="7" s="1"/>
  <c r="AC658" i="7"/>
  <c r="CU97" i="6"/>
  <c r="AD1131" i="7"/>
  <c r="AE521" i="7"/>
  <c r="EQ32" i="6"/>
  <c r="AD522" i="7"/>
  <c r="AD523" i="7" s="1"/>
  <c r="O72" i="7"/>
  <c r="O75" i="7"/>
  <c r="AC530" i="7"/>
  <c r="EH27" i="6"/>
  <c r="AC1058" i="7"/>
  <c r="AC1060" i="7" s="1"/>
  <c r="AC523" i="7"/>
  <c r="AC299" i="7"/>
  <c r="AC537" i="7"/>
  <c r="Z154" i="8"/>
  <c r="EK81" i="6"/>
  <c r="EG32" i="6"/>
  <c r="AC1013" i="7"/>
  <c r="AC1000" i="7"/>
  <c r="EE84" i="6"/>
  <c r="EE48" i="6"/>
  <c r="EE49" i="6" s="1"/>
  <c r="AF89" i="6"/>
  <c r="W40" i="6"/>
  <c r="Z89" i="6"/>
  <c r="K507" i="20"/>
  <c r="AB507" i="20" s="1"/>
  <c r="L507" i="20"/>
  <c r="AC507" i="20" s="1"/>
  <c r="L182" i="20"/>
  <c r="AC182" i="20" s="1"/>
  <c r="AE62" i="7"/>
  <c r="DX75" i="11"/>
  <c r="DW75" i="11" s="1"/>
  <c r="AE66" i="25"/>
  <c r="AE261" i="23"/>
  <c r="AE268" i="23" s="1"/>
  <c r="EA46" i="11"/>
  <c r="AE205" i="23" s="1"/>
  <c r="DZ50" i="11"/>
  <c r="BV12" i="11"/>
  <c r="AE27" i="25"/>
  <c r="T161" i="8"/>
  <c r="G206" i="2"/>
  <c r="BT12" i="11"/>
  <c r="T146" i="23"/>
  <c r="BT25" i="11" s="1"/>
  <c r="G136" i="2"/>
  <c r="M174" i="20" s="1"/>
  <c r="AD174" i="20" s="1"/>
  <c r="G195" i="2"/>
  <c r="L348" i="20" s="1"/>
  <c r="AC348" i="20" s="1"/>
  <c r="AE90" i="7"/>
  <c r="AE91" i="7" s="1"/>
  <c r="AE9" i="7"/>
  <c r="AE402" i="23"/>
  <c r="AE405" i="23" s="1"/>
  <c r="AE115" i="7"/>
  <c r="J167" i="25"/>
  <c r="J873" i="7"/>
  <c r="J777" i="7"/>
  <c r="Y401" i="7"/>
  <c r="T352" i="23"/>
  <c r="T354" i="23" s="1"/>
  <c r="T315" i="23"/>
  <c r="T872" i="7"/>
  <c r="T776" i="7"/>
  <c r="T168" i="25"/>
  <c r="T782" i="7"/>
  <c r="EA59" i="11"/>
  <c r="AE228" i="23" s="1"/>
  <c r="AE214" i="23" s="1"/>
  <c r="AE30" i="25" s="1"/>
  <c r="I776" i="7"/>
  <c r="I168" i="25"/>
  <c r="X315" i="23"/>
  <c r="X352" i="23"/>
  <c r="X354" i="23" s="1"/>
  <c r="AE860" i="7"/>
  <c r="AX192" i="2"/>
  <c r="L342" i="20"/>
  <c r="AC342" i="20" s="1"/>
  <c r="M409" i="20"/>
  <c r="AD409" i="20" s="1"/>
  <c r="M342" i="20"/>
  <c r="AD342" i="20" s="1"/>
  <c r="L409" i="20"/>
  <c r="AC409" i="20" s="1"/>
  <c r="L429" i="20"/>
  <c r="AC429" i="20" s="1"/>
  <c r="M429" i="20"/>
  <c r="AD429" i="20" s="1"/>
  <c r="AX225" i="2"/>
  <c r="AD99" i="7"/>
  <c r="AD91" i="7"/>
  <c r="AE417" i="23"/>
  <c r="AE429" i="23" s="1"/>
  <c r="DZ64" i="11"/>
  <c r="EA64" i="11" s="1"/>
  <c r="AE233" i="23" s="1"/>
  <c r="AE81" i="7"/>
  <c r="AE87" i="7" s="1"/>
  <c r="K174" i="20"/>
  <c r="AB174" i="20" s="1"/>
  <c r="AW136" i="2"/>
  <c r="J174" i="20"/>
  <c r="AA174" i="20" s="1"/>
  <c r="AD55" i="23"/>
  <c r="AD48" i="23" s="1"/>
  <c r="DR9" i="11"/>
  <c r="DS9" i="11" s="1"/>
  <c r="DS10" i="11" s="1"/>
  <c r="G133" i="2"/>
  <c r="AX133" i="2" s="1"/>
  <c r="DW64" i="11"/>
  <c r="AE42" i="23" s="1"/>
  <c r="AE29" i="23" s="1"/>
  <c r="DB82" i="17" s="1"/>
  <c r="DV64" i="11"/>
  <c r="AD233" i="23" s="1"/>
  <c r="AD220" i="23" s="1"/>
  <c r="EM46" i="6" s="1"/>
  <c r="EM95" i="6" s="1"/>
  <c r="J151" i="20"/>
  <c r="AA151" i="20" s="1"/>
  <c r="V18" i="6"/>
  <c r="V67" i="6" s="1"/>
  <c r="Q67" i="6"/>
  <c r="AE421" i="7"/>
  <c r="AE420" i="7"/>
  <c r="AE423" i="7" s="1"/>
  <c r="CX106" i="17"/>
  <c r="CX142" i="17" s="1"/>
  <c r="Y161" i="8"/>
  <c r="Q168" i="25"/>
  <c r="Q782" i="7"/>
  <c r="Q776" i="7"/>
  <c r="Q872" i="7"/>
  <c r="AD426" i="7"/>
  <c r="AD429" i="7"/>
  <c r="K907" i="7"/>
  <c r="K918" i="7"/>
  <c r="K929" i="7" s="1"/>
  <c r="AT209" i="2"/>
  <c r="AM314" i="7"/>
  <c r="Z316" i="7"/>
  <c r="AM316" i="7" s="1"/>
  <c r="E313" i="2"/>
  <c r="H66" i="20" s="1"/>
  <c r="Y66" i="20" s="1"/>
  <c r="G77" i="20"/>
  <c r="X77" i="20" s="1"/>
  <c r="AH64" i="11"/>
  <c r="Z404" i="7"/>
  <c r="AM404" i="7" s="1"/>
  <c r="AT258" i="2"/>
  <c r="G456" i="20"/>
  <c r="X456" i="20" s="1"/>
  <c r="AC569" i="7"/>
  <c r="AC549" i="7"/>
  <c r="AB582" i="7"/>
  <c r="AB401" i="7"/>
  <c r="Z122" i="8"/>
  <c r="D291" i="2"/>
  <c r="C291" i="2" s="1"/>
  <c r="E230" i="20" s="1"/>
  <c r="V230" i="20" s="1"/>
  <c r="AQ78" i="6"/>
  <c r="DB14" i="11"/>
  <c r="BE64" i="11"/>
  <c r="BI14" i="11"/>
  <c r="BF75" i="11"/>
  <c r="BG75" i="11" s="1"/>
  <c r="Q30" i="23"/>
  <c r="AU108" i="2"/>
  <c r="J80" i="23"/>
  <c r="AJ14" i="11"/>
  <c r="AW78" i="6"/>
  <c r="AQ75" i="11"/>
  <c r="AR75" i="11" s="1"/>
  <c r="E288" i="2"/>
  <c r="F288" i="2" s="1"/>
  <c r="G288" i="2" s="1"/>
  <c r="J152" i="20" s="1"/>
  <c r="AA152" i="20" s="1"/>
  <c r="G152" i="20"/>
  <c r="X152" i="20" s="1"/>
  <c r="CA64" i="11"/>
  <c r="AG75" i="11"/>
  <c r="AH75" i="11" s="1"/>
  <c r="V12" i="11"/>
  <c r="AF64" i="11"/>
  <c r="CX95" i="17"/>
  <c r="Z161" i="8"/>
  <c r="AR64" i="11"/>
  <c r="N30" i="23"/>
  <c r="R146" i="23"/>
  <c r="BJ25" i="11" s="1"/>
  <c r="U30" i="23"/>
  <c r="BZ75" i="11"/>
  <c r="CA75" i="11" s="1"/>
  <c r="CZ88" i="11"/>
  <c r="J146" i="23"/>
  <c r="V25" i="11" s="1"/>
  <c r="X12" i="11"/>
  <c r="AE78" i="6"/>
  <c r="AE18" i="25"/>
  <c r="AK78" i="6"/>
  <c r="AB15" i="25"/>
  <c r="DV78" i="6"/>
  <c r="DH64" i="11"/>
  <c r="BJ12" i="11"/>
  <c r="DV83" i="6"/>
  <c r="AC15" i="25"/>
  <c r="AB30" i="23"/>
  <c r="DP78" i="6"/>
  <c r="AE39" i="6"/>
  <c r="AK88" i="6" s="1"/>
  <c r="CD12" i="11"/>
  <c r="CU49" i="6"/>
  <c r="G226" i="2"/>
  <c r="AE239" i="23"/>
  <c r="AE12" i="7"/>
  <c r="AE1001" i="7"/>
  <c r="AE1114" i="7"/>
  <c r="AE1115" i="7" s="1"/>
  <c r="AE93" i="25"/>
  <c r="AD248" i="23"/>
  <c r="AD65" i="7"/>
  <c r="AE24" i="25"/>
  <c r="G128" i="2"/>
  <c r="AX128" i="2" s="1"/>
  <c r="K430" i="20"/>
  <c r="AB430" i="20" s="1"/>
  <c r="AW226" i="2"/>
  <c r="J430" i="20"/>
  <c r="AA430" i="20" s="1"/>
  <c r="EM40" i="6"/>
  <c r="BL12" i="11"/>
  <c r="R80" i="23"/>
  <c r="DI89" i="6"/>
  <c r="DN40" i="6"/>
  <c r="DN89" i="6" s="1"/>
  <c r="DI72" i="11"/>
  <c r="DJ72" i="11" s="1"/>
  <c r="V80" i="23"/>
  <c r="DI75" i="11"/>
  <c r="DH75" i="11" s="1"/>
  <c r="CF12" i="11"/>
  <c r="H75" i="20"/>
  <c r="Y75" i="20" s="1"/>
  <c r="DT87" i="11"/>
  <c r="DT13" i="11" s="1"/>
  <c r="DV87" i="11"/>
  <c r="AD299" i="23" s="1"/>
  <c r="AD293" i="23" s="1"/>
  <c r="AW108" i="2"/>
  <c r="F312" i="2"/>
  <c r="DR13" i="11"/>
  <c r="DS13" i="11" s="1"/>
  <c r="AD147" i="23" s="1"/>
  <c r="DR26" i="11" s="1"/>
  <c r="AD96" i="23"/>
  <c r="AD90" i="23" s="1"/>
  <c r="AE179" i="23"/>
  <c r="DZ86" i="11"/>
  <c r="DX87" i="11"/>
  <c r="CE14" i="11"/>
  <c r="V102" i="23" s="1"/>
  <c r="AD298" i="23"/>
  <c r="AD292" i="23" s="1"/>
  <c r="DV95" i="11"/>
  <c r="CW34" i="6"/>
  <c r="CX83" i="6"/>
  <c r="J979" i="7"/>
  <c r="J971" i="7"/>
  <c r="S283" i="23"/>
  <c r="S288" i="23"/>
  <c r="S312" i="23"/>
  <c r="T288" i="23"/>
  <c r="I283" i="23"/>
  <c r="I312" i="23"/>
  <c r="J318" i="23" s="1"/>
  <c r="I288" i="23"/>
  <c r="J288" i="23"/>
  <c r="K315" i="23"/>
  <c r="K352" i="23"/>
  <c r="DA97" i="6"/>
  <c r="DA49" i="6"/>
  <c r="AM1016" i="7"/>
  <c r="AF1016" i="7"/>
  <c r="Z318" i="23"/>
  <c r="Z314" i="23"/>
  <c r="AX227" i="2"/>
  <c r="L431" i="20"/>
  <c r="M431" i="20"/>
  <c r="AD431" i="20" s="1"/>
  <c r="AA581" i="7"/>
  <c r="AA551" i="7"/>
  <c r="AA564" i="7"/>
  <c r="AA567" i="7" s="1"/>
  <c r="AB565" i="7"/>
  <c r="O112" i="7"/>
  <c r="O109" i="7"/>
  <c r="AV210" i="2"/>
  <c r="I387" i="20"/>
  <c r="Z387" i="20" s="1"/>
  <c r="H387" i="20"/>
  <c r="Y387" i="20" s="1"/>
  <c r="M659" i="7"/>
  <c r="W1146" i="7"/>
  <c r="W1153" i="7" s="1"/>
  <c r="W116" i="25"/>
  <c r="P1014" i="7"/>
  <c r="P1004" i="7"/>
  <c r="E106" i="20"/>
  <c r="V106" i="20" s="1"/>
  <c r="AU118" i="2"/>
  <c r="AB145" i="23"/>
  <c r="DH24" i="11" s="1"/>
  <c r="DH1" i="11" s="1"/>
  <c r="DH11" i="11"/>
  <c r="DH80" i="11" s="1"/>
  <c r="DI80" i="11" s="1"/>
  <c r="DJ80" i="11" s="1"/>
  <c r="DJ11" i="11"/>
  <c r="DI12" i="11"/>
  <c r="AB178" i="23"/>
  <c r="DM49" i="6"/>
  <c r="DM97" i="6"/>
  <c r="CZ70" i="17"/>
  <c r="DA77" i="17"/>
  <c r="AC314" i="23"/>
  <c r="AC318" i="23"/>
  <c r="L772" i="7"/>
  <c r="L874" i="7"/>
  <c r="L169" i="25"/>
  <c r="L778" i="7"/>
  <c r="CX63" i="17"/>
  <c r="DR50" i="11" s="1"/>
  <c r="AD155" i="23"/>
  <c r="CW59" i="17"/>
  <c r="CX69" i="17"/>
  <c r="AD393" i="7"/>
  <c r="AC395" i="7"/>
  <c r="AC396" i="7" s="1"/>
  <c r="AC401" i="7"/>
  <c r="I929" i="7"/>
  <c r="AC545" i="7"/>
  <c r="AB579" i="7"/>
  <c r="DW34" i="6"/>
  <c r="DW83" i="6" s="1"/>
  <c r="EC78" i="6"/>
  <c r="DU29" i="6"/>
  <c r="DW78" i="6"/>
  <c r="J770" i="7"/>
  <c r="J776" i="7"/>
  <c r="J872" i="7"/>
  <c r="J782" i="7"/>
  <c r="J767" i="7"/>
  <c r="J168" i="25"/>
  <c r="CY79" i="17"/>
  <c r="CY104" i="17"/>
  <c r="CY94" i="17"/>
  <c r="CY88" i="17"/>
  <c r="CY93" i="17"/>
  <c r="Q354" i="23"/>
  <c r="W401" i="7"/>
  <c r="W404" i="7"/>
  <c r="DU89" i="6"/>
  <c r="EA89" i="6"/>
  <c r="DZ40" i="6"/>
  <c r="DZ89" i="6" s="1"/>
  <c r="AA431" i="20"/>
  <c r="AD320" i="7"/>
  <c r="F214" i="2"/>
  <c r="AD964" i="7"/>
  <c r="AD81" i="25"/>
  <c r="AD1044" i="7"/>
  <c r="EP23" i="6"/>
  <c r="AD327" i="7"/>
  <c r="P782" i="7"/>
  <c r="P168" i="25"/>
  <c r="P872" i="7"/>
  <c r="P776" i="7"/>
  <c r="P767" i="7"/>
  <c r="Q770" i="7"/>
  <c r="W169" i="25"/>
  <c r="W778" i="7"/>
  <c r="W772" i="7"/>
  <c r="W874" i="7"/>
  <c r="O161" i="8"/>
  <c r="O154" i="8"/>
  <c r="P154" i="8"/>
  <c r="T929" i="7"/>
  <c r="AC899" i="7"/>
  <c r="AC907" i="7"/>
  <c r="AC918" i="7"/>
  <c r="AC929" i="7" s="1"/>
  <c r="U873" i="7"/>
  <c r="U777" i="7"/>
  <c r="U167" i="25"/>
  <c r="R283" i="23"/>
  <c r="R312" i="23"/>
  <c r="R288" i="23"/>
  <c r="AA872" i="7"/>
  <c r="AA168" i="25"/>
  <c r="AA776" i="7"/>
  <c r="AA782" i="7"/>
  <c r="R638" i="7"/>
  <c r="M161" i="8"/>
  <c r="M154" i="8"/>
  <c r="N154" i="8"/>
  <c r="V772" i="7"/>
  <c r="V874" i="7"/>
  <c r="V169" i="25"/>
  <c r="V778" i="7"/>
  <c r="H776" i="7"/>
  <c r="M109" i="7"/>
  <c r="M112" i="7"/>
  <c r="AB23" i="25"/>
  <c r="D112" i="2"/>
  <c r="AB288" i="23"/>
  <c r="AA312" i="23"/>
  <c r="AA283" i="23"/>
  <c r="AA288" i="23"/>
  <c r="AM551" i="7"/>
  <c r="Z573" i="7"/>
  <c r="AM573" i="7" s="1"/>
  <c r="Z552" i="7"/>
  <c r="AM552" i="7" s="1"/>
  <c r="Z583" i="7"/>
  <c r="AM583" i="7" s="1"/>
  <c r="U283" i="23"/>
  <c r="U312" i="23"/>
  <c r="U288" i="23"/>
  <c r="V288" i="23"/>
  <c r="AE1091" i="7"/>
  <c r="AE1093" i="7" s="1"/>
  <c r="O873" i="7"/>
  <c r="O777" i="7"/>
  <c r="O771" i="7"/>
  <c r="O167" i="25"/>
  <c r="P771" i="7"/>
  <c r="H161" i="8"/>
  <c r="I154" i="8"/>
  <c r="AM381" i="7"/>
  <c r="AW183" i="2"/>
  <c r="J308" i="20"/>
  <c r="AA308" i="20" s="1"/>
  <c r="V872" i="7"/>
  <c r="V782" i="7"/>
  <c r="AV103" i="2"/>
  <c r="AV102" i="2"/>
  <c r="E306" i="2"/>
  <c r="Z29" i="6"/>
  <c r="W22" i="6"/>
  <c r="AM564" i="7"/>
  <c r="Z567" i="7"/>
  <c r="AM567" i="7" s="1"/>
  <c r="V314" i="23"/>
  <c r="G896" i="7"/>
  <c r="G934" i="7"/>
  <c r="CU144" i="17"/>
  <c r="CU183" i="17"/>
  <c r="CU186" i="17" s="1"/>
  <c r="CU220" i="17"/>
  <c r="AA116" i="7"/>
  <c r="AB118" i="7" s="1"/>
  <c r="AB124" i="7" s="1"/>
  <c r="AA121" i="7"/>
  <c r="AB114" i="7"/>
  <c r="AA126" i="7"/>
  <c r="AA127" i="7" s="1"/>
  <c r="H314" i="23"/>
  <c r="AX176" i="2"/>
  <c r="K304" i="20"/>
  <c r="AB304" i="20" s="1"/>
  <c r="L304" i="20"/>
  <c r="AC304" i="20" s="1"/>
  <c r="DO11" i="11"/>
  <c r="AC178" i="23"/>
  <c r="DN12" i="11"/>
  <c r="DM11" i="11"/>
  <c r="DM80" i="11" s="1"/>
  <c r="AC145" i="23"/>
  <c r="DM24" i="11" s="1"/>
  <c r="DM1" i="11" s="1"/>
  <c r="S778" i="7"/>
  <c r="S169" i="25"/>
  <c r="H309" i="20"/>
  <c r="Y309" i="20" s="1"/>
  <c r="G308" i="20"/>
  <c r="X308" i="20" s="1"/>
  <c r="H308" i="20"/>
  <c r="Y308" i="20" s="1"/>
  <c r="AU183" i="2"/>
  <c r="G309" i="20"/>
  <c r="X309" i="20" s="1"/>
  <c r="Q929" i="7"/>
  <c r="Y165" i="25"/>
  <c r="Y887" i="7"/>
  <c r="AX208" i="2"/>
  <c r="L383" i="20"/>
  <c r="AC383" i="20" s="1"/>
  <c r="N315" i="23"/>
  <c r="N352" i="23"/>
  <c r="M168" i="25"/>
  <c r="M872" i="7"/>
  <c r="M782" i="7"/>
  <c r="M776" i="7"/>
  <c r="EM35" i="6"/>
  <c r="EN84" i="6"/>
  <c r="N776" i="7"/>
  <c r="N872" i="7"/>
  <c r="N782" i="7"/>
  <c r="N770" i="7"/>
  <c r="N168" i="25"/>
  <c r="N873" i="7"/>
  <c r="N777" i="7"/>
  <c r="N167" i="25"/>
  <c r="EM66" i="6"/>
  <c r="ER17" i="6"/>
  <c r="ER66" i="6" s="1"/>
  <c r="X401" i="7"/>
  <c r="X404" i="7"/>
  <c r="V929" i="7"/>
  <c r="AA896" i="7"/>
  <c r="AA889" i="7"/>
  <c r="AA166" i="25"/>
  <c r="AA934" i="7"/>
  <c r="K169" i="25"/>
  <c r="K772" i="7"/>
  <c r="K778" i="7"/>
  <c r="K874" i="7"/>
  <c r="DT40" i="6"/>
  <c r="DT89" i="6" s="1"/>
  <c r="DO89" i="6"/>
  <c r="R112" i="7"/>
  <c r="R109" i="7"/>
  <c r="I106" i="20"/>
  <c r="Z106" i="20" s="1"/>
  <c r="AY118" i="2"/>
  <c r="EG84" i="6"/>
  <c r="EL35" i="6"/>
  <c r="EL84" i="6" s="1"/>
  <c r="H343" i="20"/>
  <c r="Y343" i="20" s="1"/>
  <c r="I343" i="20"/>
  <c r="Z343" i="20" s="1"/>
  <c r="AV193" i="2"/>
  <c r="M288" i="23"/>
  <c r="L288" i="23"/>
  <c r="L312" i="23"/>
  <c r="L283" i="23"/>
  <c r="Q971" i="7"/>
  <c r="Q979" i="7"/>
  <c r="W122" i="8"/>
  <c r="X122" i="8"/>
  <c r="AE77" i="7"/>
  <c r="AC542" i="7"/>
  <c r="AB577" i="7"/>
  <c r="BS67" i="6"/>
  <c r="BY67" i="6"/>
  <c r="BX18" i="6"/>
  <c r="BX67" i="6" s="1"/>
  <c r="CV40" i="6"/>
  <c r="CV89" i="6" s="1"/>
  <c r="R874" i="7"/>
  <c r="R778" i="7"/>
  <c r="R169" i="25"/>
  <c r="AC456" i="7"/>
  <c r="AC462" i="7" s="1"/>
  <c r="AC453" i="7"/>
  <c r="AC464" i="7" s="1"/>
  <c r="AC465" i="7" s="1"/>
  <c r="AB459" i="7"/>
  <c r="AA404" i="7"/>
  <c r="AA401" i="7"/>
  <c r="U168" i="25"/>
  <c r="U767" i="7"/>
  <c r="U782" i="7"/>
  <c r="U776" i="7"/>
  <c r="U872" i="7"/>
  <c r="U770" i="7"/>
  <c r="CZ80" i="17"/>
  <c r="DA76" i="17"/>
  <c r="R770" i="7"/>
  <c r="R776" i="7"/>
  <c r="R782" i="7"/>
  <c r="R872" i="7"/>
  <c r="R168" i="25"/>
  <c r="Q1004" i="7"/>
  <c r="Q1014" i="7"/>
  <c r="P929" i="7"/>
  <c r="AA145" i="23"/>
  <c r="DC24" i="11" s="1"/>
  <c r="DC11" i="11"/>
  <c r="DC80" i="11" s="1"/>
  <c r="DD80" i="11" s="1"/>
  <c r="DE80" i="11" s="1"/>
  <c r="DD12" i="11"/>
  <c r="AA178" i="23"/>
  <c r="DE11" i="11"/>
  <c r="G194" i="2"/>
  <c r="AE65" i="25"/>
  <c r="AE672" i="7"/>
  <c r="AE669" i="7"/>
  <c r="L161" i="8"/>
  <c r="L154" i="8"/>
  <c r="CY225" i="17"/>
  <c r="CZ205" i="17"/>
  <c r="CY215" i="17"/>
  <c r="CY216" i="17"/>
  <c r="AT40" i="6"/>
  <c r="AT89" i="6" s="1"/>
  <c r="AO89" i="6"/>
  <c r="AU89" i="6"/>
  <c r="U778" i="7"/>
  <c r="U169" i="25"/>
  <c r="U874" i="7"/>
  <c r="AB352" i="23"/>
  <c r="AB315" i="23"/>
  <c r="N112" i="7"/>
  <c r="N109" i="7"/>
  <c r="AM1013" i="7"/>
  <c r="AF1013" i="7"/>
  <c r="CX8" i="17"/>
  <c r="K117" i="2" s="1"/>
  <c r="CU14" i="26"/>
  <c r="F106" i="20"/>
  <c r="W106" i="20" s="1"/>
  <c r="AV118" i="2"/>
  <c r="J314" i="23"/>
  <c r="U979" i="7"/>
  <c r="U989" i="7"/>
  <c r="U971" i="7"/>
  <c r="W777" i="7"/>
  <c r="W167" i="25"/>
  <c r="W873" i="7"/>
  <c r="AA154" i="8"/>
  <c r="AA161" i="8"/>
  <c r="AA122" i="8"/>
  <c r="J345" i="20"/>
  <c r="AA345" i="20" s="1"/>
  <c r="AW194" i="2"/>
  <c r="K345" i="20"/>
  <c r="AB345" i="20" s="1"/>
  <c r="P166" i="25"/>
  <c r="P934" i="7"/>
  <c r="P896" i="7"/>
  <c r="P889" i="7"/>
  <c r="AN40" i="6"/>
  <c r="AN89" i="6" s="1"/>
  <c r="AI89" i="6"/>
  <c r="N1014" i="7"/>
  <c r="N1004" i="7"/>
  <c r="AC541" i="7"/>
  <c r="AB576" i="7"/>
  <c r="AB547" i="7"/>
  <c r="AA23" i="25"/>
  <c r="C112" i="2"/>
  <c r="AT112" i="2" s="1"/>
  <c r="BP71" i="6"/>
  <c r="BJ29" i="6"/>
  <c r="BG22" i="6"/>
  <c r="BJ71" i="6"/>
  <c r="DX71" i="6"/>
  <c r="DO22" i="6"/>
  <c r="DR29" i="6"/>
  <c r="Q112" i="7"/>
  <c r="Q109" i="7"/>
  <c r="EM82" i="6"/>
  <c r="AM918" i="7"/>
  <c r="Z929" i="7"/>
  <c r="AM929" i="7" s="1"/>
  <c r="CX107" i="17"/>
  <c r="CX112" i="17" s="1"/>
  <c r="H777" i="7"/>
  <c r="H167" i="25"/>
  <c r="H873" i="7"/>
  <c r="AC23" i="25"/>
  <c r="E112" i="2"/>
  <c r="AV112" i="2" s="1"/>
  <c r="AB161" i="8"/>
  <c r="AB154" i="8"/>
  <c r="W312" i="23"/>
  <c r="W288" i="23"/>
  <c r="W283" i="23"/>
  <c r="X288" i="23"/>
  <c r="AE1128" i="7"/>
  <c r="AE319" i="7"/>
  <c r="CY48" i="17"/>
  <c r="CZ38" i="17"/>
  <c r="CY102" i="17"/>
  <c r="CY49" i="17"/>
  <c r="Y318" i="23"/>
  <c r="Y314" i="23"/>
  <c r="M283" i="23"/>
  <c r="M312" i="23"/>
  <c r="N288" i="23"/>
  <c r="J778" i="7"/>
  <c r="J169" i="25"/>
  <c r="J874" i="7"/>
  <c r="CW89" i="6"/>
  <c r="DB40" i="6"/>
  <c r="DB89" i="6" s="1"/>
  <c r="DC89" i="6"/>
  <c r="BA117" i="2"/>
  <c r="K105" i="20"/>
  <c r="AB105" i="20" s="1"/>
  <c r="O122" i="8"/>
  <c r="P122" i="8"/>
  <c r="DC67" i="6"/>
  <c r="DH18" i="6"/>
  <c r="DH67" i="6" s="1"/>
  <c r="AD257" i="7"/>
  <c r="AD897" i="7"/>
  <c r="AD918" i="7" s="1"/>
  <c r="AE256" i="7"/>
  <c r="AB18" i="6"/>
  <c r="AB67" i="6" s="1"/>
  <c r="W67" i="6"/>
  <c r="Y754" i="7"/>
  <c r="Y737" i="7"/>
  <c r="Y753" i="7"/>
  <c r="Y744" i="7"/>
  <c r="Z744" i="7"/>
  <c r="AM744" i="7" s="1"/>
  <c r="DG49" i="6"/>
  <c r="DG97" i="6"/>
  <c r="M772" i="7"/>
  <c r="M874" i="7"/>
  <c r="M778" i="7"/>
  <c r="M169" i="25"/>
  <c r="W154" i="8"/>
  <c r="W161" i="8"/>
  <c r="X154" i="8"/>
  <c r="CY68" i="17"/>
  <c r="CZ57" i="17"/>
  <c r="CZ68" i="17" s="1"/>
  <c r="CY67" i="17"/>
  <c r="CY103" i="17"/>
  <c r="AB169" i="25"/>
  <c r="AB874" i="7"/>
  <c r="AB778" i="7"/>
  <c r="AB772" i="7"/>
  <c r="O312" i="23"/>
  <c r="O283" i="23"/>
  <c r="O288" i="23"/>
  <c r="P288" i="23"/>
  <c r="K1014" i="7"/>
  <c r="K1004" i="7"/>
  <c r="X1014" i="7"/>
  <c r="X1004" i="7"/>
  <c r="X1025" i="7"/>
  <c r="AX29" i="6"/>
  <c r="BD71" i="6"/>
  <c r="AU22" i="6"/>
  <c r="Q873" i="7"/>
  <c r="Q167" i="25"/>
  <c r="Q771" i="7"/>
  <c r="Q777" i="7"/>
  <c r="BG67" i="6"/>
  <c r="BM67" i="6"/>
  <c r="BL18" i="6"/>
  <c r="BL67" i="6" s="1"/>
  <c r="M122" i="8"/>
  <c r="L122" i="8"/>
  <c r="AE832" i="7"/>
  <c r="AE1139" i="7"/>
  <c r="AE838" i="7"/>
  <c r="N638" i="7"/>
  <c r="X778" i="7"/>
  <c r="DT18" i="6"/>
  <c r="DT67" i="6" s="1"/>
  <c r="DU67" i="6"/>
  <c r="S1014" i="7"/>
  <c r="S1004" i="7"/>
  <c r="BB11" i="11"/>
  <c r="AZ11" i="11"/>
  <c r="AZ80" i="11" s="1"/>
  <c r="BA80" i="11" s="1"/>
  <c r="BB80" i="11" s="1"/>
  <c r="P145" i="23"/>
  <c r="AZ24" i="11" s="1"/>
  <c r="BA12" i="11"/>
  <c r="P178" i="23"/>
  <c r="P18" i="25" s="1"/>
  <c r="P109" i="7"/>
  <c r="P112" i="7"/>
  <c r="CV144" i="17"/>
  <c r="CV150" i="17"/>
  <c r="CV183" i="17"/>
  <c r="CV186" i="17" s="1"/>
  <c r="CV220" i="17"/>
  <c r="AT183" i="2"/>
  <c r="F308" i="20"/>
  <c r="W308" i="20" s="1"/>
  <c r="F309" i="20"/>
  <c r="W309" i="20" s="1"/>
  <c r="E308" i="20"/>
  <c r="V308" i="20" s="1"/>
  <c r="E309" i="20"/>
  <c r="V309" i="20" s="1"/>
  <c r="EQ35" i="6"/>
  <c r="EQ84" i="6" s="1"/>
  <c r="AD1132" i="7"/>
  <c r="AD675" i="7"/>
  <c r="AB122" i="8"/>
  <c r="J1014" i="7"/>
  <c r="J1004" i="7"/>
  <c r="H71" i="20"/>
  <c r="Y71" i="20" s="1"/>
  <c r="ED83" i="6"/>
  <c r="F27" i="20"/>
  <c r="W27" i="20" s="1"/>
  <c r="F293" i="2"/>
  <c r="G234" i="20" s="1"/>
  <c r="X234" i="20" s="1"/>
  <c r="CK34" i="6"/>
  <c r="V75" i="11"/>
  <c r="CL39" i="6"/>
  <c r="CR83" i="6"/>
  <c r="DC75" i="11"/>
  <c r="CX75" i="11"/>
  <c r="CX48" i="6"/>
  <c r="CX88" i="6"/>
  <c r="C289" i="2"/>
  <c r="G153" i="20" s="1"/>
  <c r="X153" i="20" s="1"/>
  <c r="E289" i="2"/>
  <c r="AJ39" i="6"/>
  <c r="AP83" i="6"/>
  <c r="AI34" i="6"/>
  <c r="CX82" i="17"/>
  <c r="AD156" i="23"/>
  <c r="AD60" i="23"/>
  <c r="AD67" i="23" s="1"/>
  <c r="G70" i="20"/>
  <c r="X70" i="20" s="1"/>
  <c r="E233" i="20"/>
  <c r="V233" i="20" s="1"/>
  <c r="C286" i="2"/>
  <c r="E286" i="2"/>
  <c r="L185" i="20"/>
  <c r="AC185" i="20" s="1"/>
  <c r="K504" i="20"/>
  <c r="AB504" i="20" s="1"/>
  <c r="M185" i="20"/>
  <c r="AD185" i="20" s="1"/>
  <c r="L504" i="20"/>
  <c r="AC504" i="20" s="1"/>
  <c r="AX145" i="2"/>
  <c r="AQ39" i="6"/>
  <c r="AQ83" i="6"/>
  <c r="AW83" i="6"/>
  <c r="DV48" i="6"/>
  <c r="DV88" i="6"/>
  <c r="BT48" i="6"/>
  <c r="AV88" i="6"/>
  <c r="AV48" i="6"/>
  <c r="ED39" i="6"/>
  <c r="ED88" i="6" s="1"/>
  <c r="M39" i="6"/>
  <c r="AD84" i="7"/>
  <c r="AD87" i="7"/>
  <c r="H284" i="20"/>
  <c r="Y284" i="20" s="1"/>
  <c r="I278" i="20"/>
  <c r="Z278" i="20" s="1"/>
  <c r="H278" i="20"/>
  <c r="Y278" i="20" s="1"/>
  <c r="I284" i="20"/>
  <c r="Z284" i="20" s="1"/>
  <c r="H280" i="20"/>
  <c r="Y280" i="20" s="1"/>
  <c r="I280" i="20"/>
  <c r="Z280" i="20" s="1"/>
  <c r="F35" i="20"/>
  <c r="W35" i="20" s="1"/>
  <c r="C285" i="2"/>
  <c r="E222" i="20" s="1"/>
  <c r="V222" i="20" s="1"/>
  <c r="E285" i="2"/>
  <c r="BZ39" i="6"/>
  <c r="BZ83" i="6"/>
  <c r="CF83" i="6"/>
  <c r="BB39" i="6"/>
  <c r="BB83" i="6"/>
  <c r="BH83" i="6"/>
  <c r="BA34" i="6"/>
  <c r="AK49" i="6"/>
  <c r="E229" i="20"/>
  <c r="V229" i="20" s="1"/>
  <c r="G68" i="20"/>
  <c r="X68" i="20" s="1"/>
  <c r="CA39" i="6"/>
  <c r="CA83" i="6"/>
  <c r="BY34" i="6"/>
  <c r="BJ14" i="11"/>
  <c r="R148" i="23"/>
  <c r="BJ27" i="11" s="1"/>
  <c r="BL14" i="11"/>
  <c r="R102" i="23"/>
  <c r="DE72" i="11"/>
  <c r="DC72" i="11"/>
  <c r="E237" i="20"/>
  <c r="V237" i="20" s="1"/>
  <c r="DE97" i="6"/>
  <c r="DE49" i="6"/>
  <c r="CK75" i="11"/>
  <c r="CW39" i="6"/>
  <c r="CW48" i="6" s="1"/>
  <c r="DB48" i="6" s="1"/>
  <c r="DB97" i="6" s="1"/>
  <c r="CZ48" i="6"/>
  <c r="CZ49" i="6" s="1"/>
  <c r="CN48" i="6"/>
  <c r="DX48" i="6"/>
  <c r="EA100" i="11"/>
  <c r="AE329" i="23" s="1"/>
  <c r="AE323" i="23" s="1"/>
  <c r="DZ102" i="11"/>
  <c r="AM75" i="11"/>
  <c r="AD149" i="23"/>
  <c r="DT15" i="11"/>
  <c r="DU15" i="11" s="1"/>
  <c r="DV15" i="11" s="1"/>
  <c r="DJ39" i="6"/>
  <c r="DP83" i="6"/>
  <c r="T102" i="23"/>
  <c r="BV14" i="11"/>
  <c r="BT14" i="11"/>
  <c r="T148" i="23"/>
  <c r="BT27" i="11" s="1"/>
  <c r="L39" i="6"/>
  <c r="AV104" i="2"/>
  <c r="I151" i="20"/>
  <c r="Z151" i="20" s="1"/>
  <c r="AC75" i="11"/>
  <c r="AA75" i="11"/>
  <c r="G111" i="2"/>
  <c r="AE22" i="25"/>
  <c r="DQ39" i="6"/>
  <c r="DQ83" i="6"/>
  <c r="K186" i="20"/>
  <c r="AB186" i="20" s="1"/>
  <c r="I511" i="20"/>
  <c r="Z511" i="20" s="1"/>
  <c r="J509" i="20"/>
  <c r="AA509" i="20" s="1"/>
  <c r="I509" i="20"/>
  <c r="Z509" i="20" s="1"/>
  <c r="AW146" i="2"/>
  <c r="J190" i="20"/>
  <c r="AA190" i="20" s="1"/>
  <c r="K184" i="20"/>
  <c r="AB184" i="20" s="1"/>
  <c r="J184" i="20"/>
  <c r="AA184" i="20" s="1"/>
  <c r="F317" i="2"/>
  <c r="J186" i="20"/>
  <c r="AA186" i="20" s="1"/>
  <c r="E299" i="2"/>
  <c r="C299" i="2"/>
  <c r="G150" i="20" s="1"/>
  <c r="X150" i="20" s="1"/>
  <c r="AD4" i="23"/>
  <c r="AD112" i="23"/>
  <c r="AD462" i="23" s="1"/>
  <c r="AD467" i="23" s="1"/>
  <c r="AD353" i="23"/>
  <c r="AD360" i="23" s="1"/>
  <c r="AD326" i="23"/>
  <c r="AE113" i="23"/>
  <c r="DW102" i="11"/>
  <c r="CP75" i="11"/>
  <c r="CS75" i="11"/>
  <c r="CN75" i="11"/>
  <c r="F292" i="2"/>
  <c r="F231" i="20"/>
  <c r="W231" i="20" s="1"/>
  <c r="H68" i="20"/>
  <c r="Y68" i="20" s="1"/>
  <c r="AW49" i="6"/>
  <c r="BC97" i="6"/>
  <c r="Y39" i="6"/>
  <c r="AE83" i="6"/>
  <c r="DK97" i="6"/>
  <c r="DK49" i="6"/>
  <c r="J148" i="23"/>
  <c r="V27" i="11" s="1"/>
  <c r="V14" i="11"/>
  <c r="J102" i="23"/>
  <c r="X14" i="11"/>
  <c r="H151" i="20"/>
  <c r="Y151" i="20" s="1"/>
  <c r="D287" i="2"/>
  <c r="AU104" i="2"/>
  <c r="BU83" i="6"/>
  <c r="BO39" i="6"/>
  <c r="BO83" i="6"/>
  <c r="R767" i="7" l="1"/>
  <c r="L167" i="25"/>
  <c r="AE244" i="8"/>
  <c r="M971" i="7"/>
  <c r="AA989" i="7"/>
  <c r="N653" i="7"/>
  <c r="S777" i="7"/>
  <c r="L767" i="7"/>
  <c r="L779" i="7" s="1"/>
  <c r="AX243" i="2"/>
  <c r="L416" i="20"/>
  <c r="AC416" i="20" s="1"/>
  <c r="L488" i="20"/>
  <c r="AC488" i="20" s="1"/>
  <c r="K352" i="20"/>
  <c r="AB352" i="20" s="1"/>
  <c r="L873" i="7"/>
  <c r="L888" i="7" s="1"/>
  <c r="G159" i="2"/>
  <c r="M279" i="20" s="1"/>
  <c r="AD279" i="20" s="1"/>
  <c r="AE50" i="8"/>
  <c r="AE99" i="8"/>
  <c r="AA979" i="7"/>
  <c r="AG979" i="7" s="1"/>
  <c r="T770" i="7"/>
  <c r="AE61" i="8"/>
  <c r="AP32" i="8"/>
  <c r="AE34" i="8"/>
  <c r="G179" i="2" s="1"/>
  <c r="AX179" i="2" s="1"/>
  <c r="Y772" i="7"/>
  <c r="V168" i="25"/>
  <c r="M771" i="7"/>
  <c r="AM434" i="7"/>
  <c r="S874" i="7"/>
  <c r="S934" i="7" s="1"/>
  <c r="V770" i="7"/>
  <c r="I872" i="7"/>
  <c r="I881" i="7" s="1"/>
  <c r="Z440" i="7"/>
  <c r="AM440" i="7" s="1"/>
  <c r="AC979" i="7"/>
  <c r="X874" i="7"/>
  <c r="X934" i="7" s="1"/>
  <c r="M167" i="25"/>
  <c r="N771" i="7"/>
  <c r="S632" i="7"/>
  <c r="P770" i="7"/>
  <c r="M777" i="7"/>
  <c r="AC631" i="7"/>
  <c r="U653" i="7"/>
  <c r="T632" i="7"/>
  <c r="X169" i="25"/>
  <c r="M873" i="7"/>
  <c r="M888" i="7" s="1"/>
  <c r="ER45" i="6"/>
  <c r="ER94" i="6" s="1"/>
  <c r="I352" i="20"/>
  <c r="Z352" i="20" s="1"/>
  <c r="H352" i="20"/>
  <c r="Y352" i="20" s="1"/>
  <c r="K638" i="7"/>
  <c r="H168" i="25"/>
  <c r="P164" i="25"/>
  <c r="G197" i="2"/>
  <c r="L352" i="20" s="1"/>
  <c r="AC352" i="20" s="1"/>
  <c r="I770" i="7"/>
  <c r="S872" i="7"/>
  <c r="S165" i="25" s="1"/>
  <c r="H782" i="7"/>
  <c r="AA767" i="7"/>
  <c r="AA779" i="7" s="1"/>
  <c r="R1146" i="7"/>
  <c r="R1153" i="7" s="1"/>
  <c r="Z1146" i="7"/>
  <c r="Z1153" i="7" s="1"/>
  <c r="O767" i="7"/>
  <c r="O779" i="7" s="1"/>
  <c r="AJ83" i="6"/>
  <c r="AC34" i="6"/>
  <c r="AI83" i="6" s="1"/>
  <c r="AJ78" i="6"/>
  <c r="AD39" i="6"/>
  <c r="AD48" i="6" s="1"/>
  <c r="AD78" i="6"/>
  <c r="Q361" i="23"/>
  <c r="Z167" i="25"/>
  <c r="Z777" i="7"/>
  <c r="AM777" i="7" s="1"/>
  <c r="S887" i="7"/>
  <c r="Q359" i="23"/>
  <c r="AE365" i="7"/>
  <c r="F210" i="2"/>
  <c r="J387" i="20" s="1"/>
  <c r="AA387" i="20" s="1"/>
  <c r="AD68" i="25"/>
  <c r="S771" i="7"/>
  <c r="S167" i="25"/>
  <c r="R873" i="7"/>
  <c r="R164" i="25" s="1"/>
  <c r="AE797" i="7"/>
  <c r="AE798" i="7" s="1"/>
  <c r="AA771" i="7"/>
  <c r="Y1004" i="7"/>
  <c r="AE101" i="8"/>
  <c r="U1014" i="7"/>
  <c r="U1004" i="7"/>
  <c r="R777" i="7"/>
  <c r="S653" i="7"/>
  <c r="H1004" i="7"/>
  <c r="K417" i="20"/>
  <c r="AM13" i="16"/>
  <c r="AM186" i="17" s="1"/>
  <c r="AM12" i="16"/>
  <c r="AM145" i="17" s="1"/>
  <c r="AK25" i="17"/>
  <c r="AK27" i="17" s="1"/>
  <c r="AK29" i="17" s="1"/>
  <c r="AK22" i="17"/>
  <c r="S881" i="7"/>
  <c r="R771" i="7"/>
  <c r="Z168" i="25"/>
  <c r="AB771" i="7"/>
  <c r="AM765" i="7"/>
  <c r="T881" i="7"/>
  <c r="AN8" i="16"/>
  <c r="AN125" i="17" s="1"/>
  <c r="AH17" i="26"/>
  <c r="AK11" i="17"/>
  <c r="AK185" i="17"/>
  <c r="H778" i="7"/>
  <c r="S782" i="7"/>
  <c r="AL23" i="17"/>
  <c r="AL183" i="17"/>
  <c r="AL185" i="17" s="1"/>
  <c r="AL220" i="17"/>
  <c r="AL155" i="17"/>
  <c r="AL150" i="17"/>
  <c r="AL144" i="17"/>
  <c r="AL146" i="17"/>
  <c r="AL157" i="17" s="1"/>
  <c r="AA167" i="25"/>
  <c r="S767" i="7"/>
  <c r="S779" i="7" s="1"/>
  <c r="K767" i="7"/>
  <c r="K779" i="7" s="1"/>
  <c r="AH19" i="26"/>
  <c r="AK13" i="17"/>
  <c r="AM130" i="17"/>
  <c r="AM143" i="17"/>
  <c r="AM135" i="17"/>
  <c r="AM10" i="17" s="1"/>
  <c r="AJ16" i="26"/>
  <c r="AL219" i="17"/>
  <c r="AL196" i="17"/>
  <c r="AL191" i="17"/>
  <c r="AL224" i="17"/>
  <c r="AL226" i="17" s="1"/>
  <c r="N158" i="23"/>
  <c r="AL131" i="17"/>
  <c r="AK127" i="17"/>
  <c r="S776" i="7"/>
  <c r="S168" i="25"/>
  <c r="L424" i="20"/>
  <c r="AC424" i="20" s="1"/>
  <c r="CX170" i="17"/>
  <c r="DR88" i="11" s="1"/>
  <c r="AD160" i="23"/>
  <c r="AX223" i="2"/>
  <c r="CY184" i="17"/>
  <c r="CY175" i="17"/>
  <c r="CZ164" i="17"/>
  <c r="CZ176" i="17" s="1"/>
  <c r="M638" i="7"/>
  <c r="N632" i="7"/>
  <c r="AM626" i="7"/>
  <c r="M770" i="7"/>
  <c r="O653" i="7"/>
  <c r="CS15" i="26"/>
  <c r="EP69" i="6"/>
  <c r="AD244" i="7"/>
  <c r="AD432" i="7" s="1"/>
  <c r="AD434" i="7" s="1"/>
  <c r="AD236" i="7"/>
  <c r="EN18" i="6"/>
  <c r="EN67" i="6" s="1"/>
  <c r="AD61" i="25"/>
  <c r="J653" i="7"/>
  <c r="AT260" i="2"/>
  <c r="H340" i="20"/>
  <c r="Y340" i="20" s="1"/>
  <c r="I340" i="20"/>
  <c r="Z340" i="20" s="1"/>
  <c r="AE78" i="8"/>
  <c r="G183" i="2" s="1"/>
  <c r="AX183" i="2" s="1"/>
  <c r="N1146" i="7"/>
  <c r="X872" i="7"/>
  <c r="X165" i="25" s="1"/>
  <c r="Z661" i="7"/>
  <c r="AM661" i="7" s="1"/>
  <c r="Z767" i="7"/>
  <c r="Z779" i="7" s="1"/>
  <c r="AM779" i="7" s="1"/>
  <c r="T116" i="25"/>
  <c r="AC437" i="7"/>
  <c r="AC440" i="7"/>
  <c r="N169" i="25"/>
  <c r="H979" i="7"/>
  <c r="F417" i="20"/>
  <c r="I417" i="20" s="1"/>
  <c r="P653" i="7"/>
  <c r="Z770" i="7"/>
  <c r="AM770" i="7" s="1"/>
  <c r="AA770" i="7"/>
  <c r="AA632" i="7"/>
  <c r="Z872" i="7"/>
  <c r="AA881" i="7" s="1"/>
  <c r="Z782" i="7"/>
  <c r="AM782" i="7" s="1"/>
  <c r="AA1146" i="7"/>
  <c r="AA1153" i="7" s="1"/>
  <c r="Z169" i="25"/>
  <c r="Z776" i="7"/>
  <c r="AM776" i="7" s="1"/>
  <c r="H767" i="7"/>
  <c r="H779" i="7" s="1"/>
  <c r="Y1146" i="7"/>
  <c r="Y1153" i="7" s="1"/>
  <c r="H874" i="7"/>
  <c r="H934" i="7" s="1"/>
  <c r="H772" i="7"/>
  <c r="F219" i="2"/>
  <c r="AW219" i="2" s="1"/>
  <c r="K29" i="6"/>
  <c r="N71" i="6"/>
  <c r="N83" i="6"/>
  <c r="K22" i="6"/>
  <c r="T83" i="6"/>
  <c r="K777" i="7"/>
  <c r="X653" i="7"/>
  <c r="Y1025" i="7"/>
  <c r="AE244" i="7"/>
  <c r="AE432" i="7" s="1"/>
  <c r="AE434" i="7" s="1"/>
  <c r="AE437" i="7" s="1"/>
  <c r="Q772" i="7"/>
  <c r="S116" i="25"/>
  <c r="AC1143" i="7"/>
  <c r="EJ67" i="6"/>
  <c r="EP67" i="6"/>
  <c r="EG18" i="6"/>
  <c r="EL18" i="6" s="1"/>
  <c r="EL67" i="6" s="1"/>
  <c r="K34" i="6"/>
  <c r="N78" i="6"/>
  <c r="AD35" i="8"/>
  <c r="AB782" i="7"/>
  <c r="EP37" i="6"/>
  <c r="EP36" i="6" s="1"/>
  <c r="AD691" i="7"/>
  <c r="BP14" i="11"/>
  <c r="BQ14" i="11" s="1"/>
  <c r="S80" i="23"/>
  <c r="AD86" i="25"/>
  <c r="AD200" i="23"/>
  <c r="S146" i="23"/>
  <c r="BO25" i="11" s="1"/>
  <c r="BO12" i="11"/>
  <c r="AB767" i="7"/>
  <c r="X776" i="7"/>
  <c r="N767" i="7"/>
  <c r="N773" i="7" s="1"/>
  <c r="N874" i="7"/>
  <c r="N876" i="7" s="1"/>
  <c r="N2" i="7" s="1"/>
  <c r="AB872" i="7"/>
  <c r="AB887" i="7" s="1"/>
  <c r="P1146" i="7"/>
  <c r="P1153" i="7" s="1"/>
  <c r="V1146" i="7"/>
  <c r="V1153" i="7" s="1"/>
  <c r="Z778" i="7"/>
  <c r="AM778" i="7" s="1"/>
  <c r="X168" i="25"/>
  <c r="N778" i="7"/>
  <c r="AB776" i="7"/>
  <c r="T1014" i="7"/>
  <c r="AB770" i="7"/>
  <c r="L653" i="7"/>
  <c r="G205" i="2"/>
  <c r="AE74" i="25"/>
  <c r="O168" i="25"/>
  <c r="O776" i="7"/>
  <c r="O872" i="7"/>
  <c r="O881" i="7" s="1"/>
  <c r="O782" i="7"/>
  <c r="K380" i="20"/>
  <c r="AB380" i="20" s="1"/>
  <c r="J380" i="20"/>
  <c r="AA380" i="20" s="1"/>
  <c r="AW205" i="2"/>
  <c r="DY97" i="6"/>
  <c r="DS97" i="6"/>
  <c r="W770" i="7"/>
  <c r="AM766" i="7"/>
  <c r="X770" i="7"/>
  <c r="I632" i="7"/>
  <c r="V653" i="7"/>
  <c r="T874" i="7"/>
  <c r="U883" i="7" s="1"/>
  <c r="AE607" i="7"/>
  <c r="T638" i="7"/>
  <c r="AM1000" i="7"/>
  <c r="AD24" i="8"/>
  <c r="F179" i="2"/>
  <c r="AW179" i="2" s="1"/>
  <c r="AD23" i="8"/>
  <c r="Z874" i="7"/>
  <c r="AM874" i="7" s="1"/>
  <c r="X782" i="7"/>
  <c r="Z1004" i="7"/>
  <c r="AM1004" i="7" s="1"/>
  <c r="R1004" i="7"/>
  <c r="Y979" i="7"/>
  <c r="Y971" i="7"/>
  <c r="K653" i="7"/>
  <c r="BI48" i="6"/>
  <c r="BI97" i="6" s="1"/>
  <c r="EM94" i="6"/>
  <c r="AQ14" i="11"/>
  <c r="AP14" i="11" s="1"/>
  <c r="AP12" i="11"/>
  <c r="AR12" i="11"/>
  <c r="M413" i="20"/>
  <c r="AD413" i="20" s="1"/>
  <c r="N80" i="23"/>
  <c r="Y771" i="7"/>
  <c r="V632" i="7"/>
  <c r="L413" i="20"/>
  <c r="AC413" i="20" s="1"/>
  <c r="AM978" i="7"/>
  <c r="AF978" i="7"/>
  <c r="L410" i="20"/>
  <c r="AC410" i="20" s="1"/>
  <c r="M382" i="20"/>
  <c r="AD382" i="20" s="1"/>
  <c r="L382" i="20"/>
  <c r="AC382" i="20" s="1"/>
  <c r="M410" i="20"/>
  <c r="AD410" i="20" s="1"/>
  <c r="AX207" i="2"/>
  <c r="AB632" i="7"/>
  <c r="Q767" i="7"/>
  <c r="Q779" i="7" s="1"/>
  <c r="W653" i="7"/>
  <c r="K167" i="25"/>
  <c r="Y167" i="25"/>
  <c r="Q632" i="7"/>
  <c r="AA873" i="7"/>
  <c r="AA876" i="7" s="1"/>
  <c r="M653" i="7"/>
  <c r="AB653" i="7"/>
  <c r="I1146" i="7"/>
  <c r="Y767" i="7"/>
  <c r="Y779" i="7" s="1"/>
  <c r="Z632" i="7"/>
  <c r="AM632" i="7" s="1"/>
  <c r="K873" i="7"/>
  <c r="Z771" i="7"/>
  <c r="AM771" i="7" s="1"/>
  <c r="Y653" i="7"/>
  <c r="I653" i="7"/>
  <c r="L771" i="7"/>
  <c r="Y777" i="7"/>
  <c r="Q638" i="7"/>
  <c r="AM647" i="7"/>
  <c r="V1014" i="7"/>
  <c r="P979" i="7"/>
  <c r="CW220" i="17"/>
  <c r="CW183" i="17"/>
  <c r="CW186" i="17" s="1"/>
  <c r="CW191" i="17" s="1"/>
  <c r="CW144" i="17"/>
  <c r="AD489" i="7"/>
  <c r="AC1134" i="7"/>
  <c r="AC1135" i="7" s="1"/>
  <c r="CY83" i="6"/>
  <c r="AG14" i="11"/>
  <c r="L148" i="23" s="1"/>
  <c r="AF27" i="11" s="1"/>
  <c r="Y146" i="23"/>
  <c r="CS25" i="11" s="1"/>
  <c r="AE236" i="7"/>
  <c r="CI75" i="11"/>
  <c r="CU12" i="11"/>
  <c r="CT14" i="11"/>
  <c r="CU14" i="11" s="1"/>
  <c r="CS12" i="11"/>
  <c r="DR71" i="6"/>
  <c r="AW159" i="2"/>
  <c r="E284" i="2"/>
  <c r="F284" i="2" s="1"/>
  <c r="E307" i="2"/>
  <c r="F226" i="20" s="1"/>
  <c r="W226" i="20" s="1"/>
  <c r="AU12" i="11"/>
  <c r="CS39" i="6"/>
  <c r="CS48" i="6" s="1"/>
  <c r="BV71" i="6"/>
  <c r="L80" i="23"/>
  <c r="O146" i="23"/>
  <c r="AU25" i="11" s="1"/>
  <c r="F233" i="20"/>
  <c r="W233" i="20" s="1"/>
  <c r="DO67" i="6"/>
  <c r="BV29" i="6"/>
  <c r="CB78" i="6" s="1"/>
  <c r="Z71" i="6"/>
  <c r="AV14" i="11"/>
  <c r="O148" i="23" s="1"/>
  <c r="AU27" i="11" s="1"/>
  <c r="X78" i="6"/>
  <c r="Q12" i="11"/>
  <c r="DI29" i="6"/>
  <c r="O80" i="23"/>
  <c r="AF12" i="11"/>
  <c r="AH12" i="11"/>
  <c r="DF71" i="6"/>
  <c r="C321" i="2"/>
  <c r="T39" i="6"/>
  <c r="T48" i="6" s="1"/>
  <c r="CB71" i="6"/>
  <c r="EA71" i="6"/>
  <c r="CG39" i="6"/>
  <c r="CG88" i="6" s="1"/>
  <c r="R83" i="6"/>
  <c r="DI34" i="6"/>
  <c r="W146" i="23"/>
  <c r="CI25" i="11" s="1"/>
  <c r="T71" i="6"/>
  <c r="W437" i="20"/>
  <c r="DI22" i="6"/>
  <c r="DO71" i="6" s="1"/>
  <c r="F319" i="2"/>
  <c r="I70" i="20" s="1"/>
  <c r="Z70" i="20" s="1"/>
  <c r="AK12" i="11"/>
  <c r="CM83" i="6"/>
  <c r="G284" i="20"/>
  <c r="X284" i="20" s="1"/>
  <c r="BN39" i="6"/>
  <c r="BT88" i="6" s="1"/>
  <c r="DI67" i="6"/>
  <c r="E35" i="20"/>
  <c r="V35" i="20" s="1"/>
  <c r="C294" i="2"/>
  <c r="G72" i="20" s="1"/>
  <c r="X72" i="20" s="1"/>
  <c r="DL71" i="6"/>
  <c r="Q80" i="23"/>
  <c r="G280" i="20"/>
  <c r="X280" i="20" s="1"/>
  <c r="DC22" i="6"/>
  <c r="DI71" i="6" s="1"/>
  <c r="S34" i="6"/>
  <c r="S39" i="6" s="1"/>
  <c r="S48" i="6" s="1"/>
  <c r="Q146" i="23"/>
  <c r="BE25" i="11" s="1"/>
  <c r="BG12" i="11"/>
  <c r="W80" i="23"/>
  <c r="BF14" i="11"/>
  <c r="Q148" i="23" s="1"/>
  <c r="BE27" i="11" s="1"/>
  <c r="Y78" i="6"/>
  <c r="G151" i="20"/>
  <c r="X151" i="20" s="1"/>
  <c r="DD39" i="6"/>
  <c r="DD88" i="6" s="1"/>
  <c r="AD52" i="8"/>
  <c r="DJ83" i="6"/>
  <c r="X83" i="6"/>
  <c r="EB83" i="6"/>
  <c r="CY14" i="11"/>
  <c r="Z102" i="23" s="1"/>
  <c r="T78" i="6"/>
  <c r="Q22" i="6"/>
  <c r="W71" i="6" s="1"/>
  <c r="G31" i="20"/>
  <c r="X31" i="20" s="1"/>
  <c r="AO34" i="8"/>
  <c r="AD55" i="25"/>
  <c r="J279" i="20"/>
  <c r="AA279" i="20" s="1"/>
  <c r="AD63" i="8"/>
  <c r="X146" i="23"/>
  <c r="CN25" i="11" s="1"/>
  <c r="I146" i="23"/>
  <c r="Q25" i="11" s="1"/>
  <c r="CP12" i="11"/>
  <c r="CJ14" i="11"/>
  <c r="CI14" i="11" s="1"/>
  <c r="E325" i="2"/>
  <c r="R14" i="11"/>
  <c r="S14" i="11" s="1"/>
  <c r="EB39" i="6"/>
  <c r="EB48" i="6" s="1"/>
  <c r="CN12" i="11"/>
  <c r="CO14" i="11"/>
  <c r="X102" i="23" s="1"/>
  <c r="X2" i="23" s="1"/>
  <c r="CN4" i="11" s="1"/>
  <c r="CK12" i="11"/>
  <c r="I80" i="23"/>
  <c r="Q29" i="6"/>
  <c r="EL40" i="6"/>
  <c r="EL89" i="6" s="1"/>
  <c r="BM34" i="6"/>
  <c r="M416" i="20"/>
  <c r="AD416" i="20" s="1"/>
  <c r="BN83" i="6"/>
  <c r="EM89" i="6"/>
  <c r="AB14" i="11"/>
  <c r="AC14" i="11" s="1"/>
  <c r="BS89" i="6"/>
  <c r="BM89" i="6"/>
  <c r="CJ18" i="6"/>
  <c r="CJ67" i="6" s="1"/>
  <c r="K146" i="23"/>
  <c r="AA25" i="11" s="1"/>
  <c r="CZ12" i="11"/>
  <c r="Z146" i="23"/>
  <c r="CX25" i="11" s="1"/>
  <c r="CK67" i="6"/>
  <c r="CX12" i="11"/>
  <c r="R78" i="6"/>
  <c r="O632" i="7"/>
  <c r="Z772" i="7"/>
  <c r="AM772" i="7" s="1"/>
  <c r="W632" i="7"/>
  <c r="W771" i="7"/>
  <c r="Y873" i="7"/>
  <c r="Z882" i="7" s="1"/>
  <c r="AM882" i="7" s="1"/>
  <c r="P632" i="7"/>
  <c r="Z1014" i="7"/>
  <c r="AM1014" i="7" s="1"/>
  <c r="CH29" i="6"/>
  <c r="CH78" i="6" s="1"/>
  <c r="X767" i="7"/>
  <c r="Q169" i="25"/>
  <c r="EQ89" i="6"/>
  <c r="X632" i="7"/>
  <c r="EO96" i="6"/>
  <c r="AX217" i="2"/>
  <c r="Z653" i="7"/>
  <c r="AM653" i="7" s="1"/>
  <c r="J659" i="7"/>
  <c r="CE22" i="6"/>
  <c r="CE71" i="6" s="1"/>
  <c r="U1146" i="7"/>
  <c r="U1153" i="7" s="1"/>
  <c r="I777" i="7"/>
  <c r="I873" i="7"/>
  <c r="I167" i="25"/>
  <c r="T771" i="7"/>
  <c r="E242" i="2"/>
  <c r="AC1141" i="7"/>
  <c r="AC1142" i="7" s="1"/>
  <c r="AZ75" i="11"/>
  <c r="CW9" i="17"/>
  <c r="J118" i="2" s="1"/>
  <c r="K106" i="20" s="1"/>
  <c r="AB106" i="20" s="1"/>
  <c r="T653" i="7"/>
  <c r="F193" i="2"/>
  <c r="K343" i="20" s="1"/>
  <c r="AB343" i="20" s="1"/>
  <c r="K632" i="7"/>
  <c r="J340" i="20"/>
  <c r="AA340" i="20" s="1"/>
  <c r="AE1129" i="7"/>
  <c r="Y632" i="7"/>
  <c r="J632" i="7"/>
  <c r="AD1138" i="7"/>
  <c r="AD1140" i="7" s="1"/>
  <c r="AD1141" i="7" s="1"/>
  <c r="AD1142" i="7" s="1"/>
  <c r="CH71" i="6"/>
  <c r="AA1025" i="7"/>
  <c r="AA1004" i="7"/>
  <c r="AA1014" i="7"/>
  <c r="AG1014" i="7" s="1"/>
  <c r="I771" i="7"/>
  <c r="W431" i="20"/>
  <c r="F432" i="20"/>
  <c r="T777" i="7"/>
  <c r="T873" i="7"/>
  <c r="U882" i="7" s="1"/>
  <c r="T167" i="25"/>
  <c r="AW206" i="2"/>
  <c r="S164" i="25"/>
  <c r="AA653" i="7"/>
  <c r="T659" i="7"/>
  <c r="O772" i="7"/>
  <c r="E519" i="20"/>
  <c r="V519" i="20" s="1"/>
  <c r="J771" i="7"/>
  <c r="U632" i="7"/>
  <c r="J381" i="20"/>
  <c r="AA381" i="20" s="1"/>
  <c r="AL14" i="11"/>
  <c r="M102" i="23" s="1"/>
  <c r="M80" i="23"/>
  <c r="EM77" i="6"/>
  <c r="EL31" i="6"/>
  <c r="EL80" i="6" s="1"/>
  <c r="M146" i="23"/>
  <c r="AK25" i="11" s="1"/>
  <c r="U146" i="23"/>
  <c r="BY25" i="11" s="1"/>
  <c r="M381" i="20"/>
  <c r="AD381" i="20" s="1"/>
  <c r="AC12" i="11"/>
  <c r="AA12" i="11"/>
  <c r="ER47" i="6"/>
  <c r="ER96" i="6" s="1"/>
  <c r="U772" i="7"/>
  <c r="Q653" i="7"/>
  <c r="V167" i="25"/>
  <c r="V873" i="7"/>
  <c r="V882" i="7" s="1"/>
  <c r="V777" i="7"/>
  <c r="AU209" i="2"/>
  <c r="F388" i="20"/>
  <c r="W388" i="20" s="1"/>
  <c r="F386" i="20"/>
  <c r="W386" i="20" s="1"/>
  <c r="F389" i="20"/>
  <c r="W389" i="20" s="1"/>
  <c r="E41" i="20"/>
  <c r="V41" i="20" s="1"/>
  <c r="AD1133" i="7"/>
  <c r="F241" i="2" s="1"/>
  <c r="AE61" i="25"/>
  <c r="Q874" i="7"/>
  <c r="Q883" i="7" s="1"/>
  <c r="T767" i="7"/>
  <c r="U773" i="7" s="1"/>
  <c r="T772" i="7"/>
  <c r="K340" i="20"/>
  <c r="AB340" i="20" s="1"/>
  <c r="V771" i="7"/>
  <c r="CA12" i="11"/>
  <c r="U80" i="23"/>
  <c r="G386" i="20"/>
  <c r="X386" i="20" s="1"/>
  <c r="AE198" i="23"/>
  <c r="J1146" i="7"/>
  <c r="W168" i="25"/>
  <c r="W872" i="7"/>
  <c r="W876" i="7" s="1"/>
  <c r="W2" i="7" s="1"/>
  <c r="W776" i="7"/>
  <c r="W782" i="7"/>
  <c r="K1146" i="7"/>
  <c r="K116" i="25"/>
  <c r="AC180" i="7"/>
  <c r="E200" i="2"/>
  <c r="AC199" i="7"/>
  <c r="AC184" i="7"/>
  <c r="AC135" i="7"/>
  <c r="AC69" i="25"/>
  <c r="AC171" i="7"/>
  <c r="EI8" i="6"/>
  <c r="EL8" i="6" s="1"/>
  <c r="EL57" i="6" s="1"/>
  <c r="AC25" i="7"/>
  <c r="AC190" i="7"/>
  <c r="AC172" i="7"/>
  <c r="L872" i="7"/>
  <c r="M881" i="7" s="1"/>
  <c r="L770" i="7"/>
  <c r="L168" i="25"/>
  <c r="L776" i="7"/>
  <c r="L782" i="7"/>
  <c r="I1014" i="7"/>
  <c r="I1004" i="7"/>
  <c r="T169" i="25"/>
  <c r="AE60" i="25"/>
  <c r="AE171" i="25"/>
  <c r="G189" i="2"/>
  <c r="AX189" i="2" s="1"/>
  <c r="R772" i="7"/>
  <c r="V1025" i="7"/>
  <c r="BZ14" i="11"/>
  <c r="BY14" i="11" s="1"/>
  <c r="X873" i="7"/>
  <c r="X882" i="7" s="1"/>
  <c r="X167" i="25"/>
  <c r="X777" i="7"/>
  <c r="EL47" i="6"/>
  <c r="EL96" i="6" s="1"/>
  <c r="Y778" i="7"/>
  <c r="Y874" i="7"/>
  <c r="Y169" i="25"/>
  <c r="K770" i="7"/>
  <c r="K782" i="7"/>
  <c r="K872" i="7"/>
  <c r="K881" i="7" s="1"/>
  <c r="K776" i="7"/>
  <c r="K168" i="25"/>
  <c r="AE851" i="7"/>
  <c r="AE854" i="7" s="1"/>
  <c r="EH57" i="6"/>
  <c r="EH12" i="6"/>
  <c r="EH61" i="6" s="1"/>
  <c r="I778" i="7"/>
  <c r="I874" i="7"/>
  <c r="J883" i="7" s="1"/>
  <c r="I772" i="7"/>
  <c r="I169" i="25"/>
  <c r="I767" i="7"/>
  <c r="I779" i="7" s="1"/>
  <c r="AD798" i="7"/>
  <c r="AE477" i="7"/>
  <c r="AD810" i="7"/>
  <c r="AD480" i="7"/>
  <c r="EN31" i="6"/>
  <c r="X1146" i="7"/>
  <c r="X1153" i="7" s="1"/>
  <c r="X116" i="25"/>
  <c r="E517" i="20"/>
  <c r="V517" i="20" s="1"/>
  <c r="AU241" i="2"/>
  <c r="E515" i="20"/>
  <c r="V515" i="20" s="1"/>
  <c r="R653" i="7"/>
  <c r="E241" i="2"/>
  <c r="G517" i="20" s="1"/>
  <c r="X517" i="20" s="1"/>
  <c r="E518" i="20"/>
  <c r="V518" i="20" s="1"/>
  <c r="E40" i="20"/>
  <c r="V40" i="20" s="1"/>
  <c r="O778" i="7"/>
  <c r="P772" i="7"/>
  <c r="O169" i="25"/>
  <c r="O874" i="7"/>
  <c r="Y431" i="20"/>
  <c r="H432" i="20"/>
  <c r="E522" i="20"/>
  <c r="V522" i="20" s="1"/>
  <c r="E523" i="20"/>
  <c r="V523" i="20" s="1"/>
  <c r="AB116" i="25"/>
  <c r="AB1146" i="7"/>
  <c r="AB1153" i="7" s="1"/>
  <c r="AB888" i="7"/>
  <c r="AB164" i="25"/>
  <c r="AA416" i="20"/>
  <c r="EA78" i="6"/>
  <c r="AU67" i="6"/>
  <c r="AO67" i="6"/>
  <c r="AX71" i="6"/>
  <c r="BT75" i="11"/>
  <c r="BO75" i="11"/>
  <c r="AO22" i="6"/>
  <c r="AO71" i="6" s="1"/>
  <c r="AC22" i="6"/>
  <c r="AI71" i="6" s="1"/>
  <c r="AR39" i="6"/>
  <c r="AO39" i="6" s="1"/>
  <c r="AR71" i="6"/>
  <c r="AR83" i="6"/>
  <c r="CQ67" i="6"/>
  <c r="AO29" i="6"/>
  <c r="AO78" i="6" s="1"/>
  <c r="AR78" i="6"/>
  <c r="AC67" i="6"/>
  <c r="AX195" i="2"/>
  <c r="CZ71" i="6"/>
  <c r="AI67" i="6"/>
  <c r="AL78" i="6"/>
  <c r="CW67" i="6"/>
  <c r="AC29" i="6"/>
  <c r="AI78" i="6" s="1"/>
  <c r="AL71" i="6"/>
  <c r="AF71" i="6"/>
  <c r="CT71" i="6"/>
  <c r="CQ22" i="6"/>
  <c r="CW71" i="6" s="1"/>
  <c r="EE97" i="6"/>
  <c r="EH76" i="6"/>
  <c r="EG27" i="6"/>
  <c r="EG76" i="6" s="1"/>
  <c r="EM32" i="6"/>
  <c r="EQ81" i="6"/>
  <c r="AC874" i="7"/>
  <c r="AC169" i="25"/>
  <c r="AC778" i="7"/>
  <c r="K979" i="7"/>
  <c r="K971" i="7"/>
  <c r="P436" i="20"/>
  <c r="Y426" i="20"/>
  <c r="AE300" i="7"/>
  <c r="AD301" i="7"/>
  <c r="AD303" i="7" s="1"/>
  <c r="AE1131" i="7"/>
  <c r="AE522" i="7"/>
  <c r="AE523" i="7" s="1"/>
  <c r="CP40" i="6"/>
  <c r="CP89" i="6" s="1"/>
  <c r="CK89" i="6"/>
  <c r="CQ89" i="6"/>
  <c r="J352" i="20"/>
  <c r="AA352" i="20" s="1"/>
  <c r="AC1025" i="7"/>
  <c r="AC1004" i="7"/>
  <c r="AC1014" i="7"/>
  <c r="EG81" i="6"/>
  <c r="CD40" i="6"/>
  <c r="CD89" i="6" s="1"/>
  <c r="BY89" i="6"/>
  <c r="CE89" i="6"/>
  <c r="W89" i="6"/>
  <c r="AB40" i="6"/>
  <c r="AB89" i="6" s="1"/>
  <c r="AC89" i="6"/>
  <c r="EJ29" i="6"/>
  <c r="EJ71" i="6"/>
  <c r="Y437" i="20"/>
  <c r="H433" i="20"/>
  <c r="AC62" i="25"/>
  <c r="E191" i="2"/>
  <c r="AD1058" i="7"/>
  <c r="AD1060" i="7" s="1"/>
  <c r="EN27" i="6"/>
  <c r="AD530" i="7"/>
  <c r="L1014" i="7"/>
  <c r="L1004" i="7"/>
  <c r="AL83" i="6"/>
  <c r="AW197" i="2"/>
  <c r="M348" i="20"/>
  <c r="AD348" i="20" s="1"/>
  <c r="L174" i="20"/>
  <c r="AC174" i="20" s="1"/>
  <c r="AE708" i="7"/>
  <c r="AF39" i="6"/>
  <c r="AL88" i="6" s="1"/>
  <c r="AD263" i="23"/>
  <c r="AD270" i="23" s="1"/>
  <c r="F138" i="2"/>
  <c r="AW138" i="2" s="1"/>
  <c r="DY64" i="11"/>
  <c r="DY9" i="11" s="1"/>
  <c r="L381" i="20"/>
  <c r="AC381" i="20" s="1"/>
  <c r="AE418" i="23"/>
  <c r="AE430" i="23" s="1"/>
  <c r="AX206" i="2"/>
  <c r="AE93" i="7"/>
  <c r="AE99" i="7" s="1"/>
  <c r="AE55" i="23"/>
  <c r="AE48" i="23" s="1"/>
  <c r="AX136" i="2"/>
  <c r="AE215" i="23"/>
  <c r="G139" i="2"/>
  <c r="AX139" i="2" s="1"/>
  <c r="I887" i="7"/>
  <c r="T2" i="23"/>
  <c r="BT4" i="11" s="1"/>
  <c r="CX116" i="17"/>
  <c r="J164" i="25"/>
  <c r="J888" i="7"/>
  <c r="CX105" i="17"/>
  <c r="T165" i="25"/>
  <c r="T887" i="7"/>
  <c r="AD143" i="23"/>
  <c r="DR22" i="11" s="1"/>
  <c r="AD221" i="23"/>
  <c r="DU9" i="11"/>
  <c r="DV9" i="11" s="1"/>
  <c r="DW9" i="11"/>
  <c r="AE84" i="7"/>
  <c r="AE220" i="23"/>
  <c r="AE263" i="23" s="1"/>
  <c r="AD174" i="23"/>
  <c r="F103" i="2" s="1"/>
  <c r="AD423" i="23"/>
  <c r="AD435" i="23" s="1"/>
  <c r="AD29" i="25"/>
  <c r="CX111" i="17"/>
  <c r="CU15" i="26" s="1"/>
  <c r="Q165" i="25"/>
  <c r="Q887" i="7"/>
  <c r="AE426" i="7"/>
  <c r="AE429" i="7"/>
  <c r="BJ75" i="11"/>
  <c r="F229" i="20"/>
  <c r="W229" i="20" s="1"/>
  <c r="E291" i="2"/>
  <c r="F238" i="20" s="1"/>
  <c r="W238" i="20" s="1"/>
  <c r="F237" i="20"/>
  <c r="W237" i="20" s="1"/>
  <c r="F313" i="2"/>
  <c r="I66" i="20" s="1"/>
  <c r="Z66" i="20" s="1"/>
  <c r="AD569" i="7"/>
  <c r="AC582" i="7"/>
  <c r="AD549" i="7"/>
  <c r="H152" i="20"/>
  <c r="Y152" i="20" s="1"/>
  <c r="W773" i="7"/>
  <c r="BE75" i="11"/>
  <c r="BY75" i="11"/>
  <c r="CD75" i="11"/>
  <c r="H225" i="20"/>
  <c r="Y225" i="20" s="1"/>
  <c r="AU75" i="11"/>
  <c r="G225" i="20"/>
  <c r="X225" i="20" s="1"/>
  <c r="AP75" i="11"/>
  <c r="AE48" i="6"/>
  <c r="AE49" i="6" s="1"/>
  <c r="I152" i="20"/>
  <c r="Z152" i="20" s="1"/>
  <c r="F225" i="20"/>
  <c r="W225" i="20" s="1"/>
  <c r="AF75" i="11"/>
  <c r="AK75" i="11"/>
  <c r="Z164" i="25"/>
  <c r="AM873" i="7"/>
  <c r="Z888" i="7"/>
  <c r="AM888" i="7" s="1"/>
  <c r="DJ75" i="11"/>
  <c r="DS16" i="11"/>
  <c r="DR16" i="11" s="1"/>
  <c r="J432" i="20"/>
  <c r="V148" i="23"/>
  <c r="CD27" i="11" s="1"/>
  <c r="AE65" i="7"/>
  <c r="AE248" i="23"/>
  <c r="DH72" i="11"/>
  <c r="AX226" i="2"/>
  <c r="L430" i="20"/>
  <c r="AC430" i="20" s="1"/>
  <c r="M430" i="20"/>
  <c r="AD430" i="20" s="1"/>
  <c r="DT88" i="11"/>
  <c r="AD309" i="23"/>
  <c r="DZ87" i="11"/>
  <c r="EA86" i="11"/>
  <c r="CF14" i="11"/>
  <c r="F143" i="2"/>
  <c r="AD344" i="23"/>
  <c r="AD348" i="23" s="1"/>
  <c r="AD316" i="23"/>
  <c r="AD34" i="25"/>
  <c r="AD451" i="23"/>
  <c r="AD456" i="23" s="1"/>
  <c r="AE19" i="25"/>
  <c r="G108" i="2"/>
  <c r="AD100" i="23"/>
  <c r="AD106" i="23" s="1"/>
  <c r="CX166" i="17"/>
  <c r="AD313" i="23"/>
  <c r="AD319" i="23" s="1"/>
  <c r="AD294" i="23"/>
  <c r="AD452" i="23"/>
  <c r="AD457" i="23" s="1"/>
  <c r="AD345" i="23"/>
  <c r="CD14" i="11"/>
  <c r="DW87" i="11"/>
  <c r="AE91" i="23"/>
  <c r="DU13" i="11"/>
  <c r="DV13" i="11" s="1"/>
  <c r="ER40" i="6"/>
  <c r="ER89" i="6" s="1"/>
  <c r="CZ216" i="17"/>
  <c r="CZ215" i="17"/>
  <c r="CZ217" i="17"/>
  <c r="DA205" i="17"/>
  <c r="DA216" i="17" s="1"/>
  <c r="CZ225" i="17"/>
  <c r="DA80" i="17"/>
  <c r="DA94" i="17" s="1"/>
  <c r="DB76" i="17"/>
  <c r="DG76" i="17" s="1"/>
  <c r="M318" i="23"/>
  <c r="L314" i="23"/>
  <c r="L318" i="23"/>
  <c r="N164" i="25"/>
  <c r="N888" i="7"/>
  <c r="AA165" i="25"/>
  <c r="AA887" i="7"/>
  <c r="J887" i="7"/>
  <c r="J876" i="7"/>
  <c r="J2" i="7" s="1"/>
  <c r="J881" i="7"/>
  <c r="J165" i="25"/>
  <c r="CW11" i="17"/>
  <c r="J120" i="2" s="1"/>
  <c r="CT17" i="26"/>
  <c r="BA71" i="6"/>
  <c r="O314" i="23"/>
  <c r="O318" i="23"/>
  <c r="P318" i="23"/>
  <c r="Y315" i="23"/>
  <c r="Y352" i="23"/>
  <c r="Y320" i="23"/>
  <c r="CZ49" i="17"/>
  <c r="CZ50" i="17"/>
  <c r="CZ102" i="17"/>
  <c r="CZ48" i="17"/>
  <c r="DA38" i="17"/>
  <c r="DA49" i="17" s="1"/>
  <c r="W314" i="23"/>
  <c r="W318" i="23"/>
  <c r="X318" i="23"/>
  <c r="DU71" i="6"/>
  <c r="AB581" i="7"/>
  <c r="AB564" i="7"/>
  <c r="AB567" i="7" s="1"/>
  <c r="AC565" i="7"/>
  <c r="AB551" i="7"/>
  <c r="W164" i="25"/>
  <c r="W888" i="7"/>
  <c r="AB354" i="23"/>
  <c r="U896" i="7"/>
  <c r="U166" i="25"/>
  <c r="U934" i="7"/>
  <c r="U889" i="7"/>
  <c r="AA18" i="25"/>
  <c r="C107" i="2"/>
  <c r="CZ94" i="17"/>
  <c r="CZ95" i="17"/>
  <c r="CZ88" i="17"/>
  <c r="CZ93" i="17"/>
  <c r="CZ104" i="17"/>
  <c r="CZ79" i="17"/>
  <c r="U881" i="7"/>
  <c r="U165" i="25"/>
  <c r="U876" i="7"/>
  <c r="U887" i="7"/>
  <c r="R889" i="7"/>
  <c r="R896" i="7"/>
  <c r="R166" i="25"/>
  <c r="R934" i="7"/>
  <c r="DF34" i="6"/>
  <c r="DF78" i="6"/>
  <c r="DC29" i="6"/>
  <c r="DL78" i="6"/>
  <c r="K896" i="7"/>
  <c r="K889" i="7"/>
  <c r="K166" i="25"/>
  <c r="K883" i="7"/>
  <c r="K934" i="7"/>
  <c r="N881" i="7"/>
  <c r="N165" i="25"/>
  <c r="N887" i="7"/>
  <c r="ER35" i="6"/>
  <c r="ER84" i="6" s="1"/>
  <c r="EM84" i="6"/>
  <c r="M887" i="7"/>
  <c r="M165" i="25"/>
  <c r="E107" i="2"/>
  <c r="AC18" i="25"/>
  <c r="Z34" i="6"/>
  <c r="W29" i="6"/>
  <c r="Z78" i="6"/>
  <c r="AF78" i="6"/>
  <c r="H887" i="7"/>
  <c r="H165" i="25"/>
  <c r="V934" i="7"/>
  <c r="V883" i="7"/>
  <c r="V896" i="7"/>
  <c r="V166" i="25"/>
  <c r="V889" i="7"/>
  <c r="P779" i="7"/>
  <c r="AD545" i="7"/>
  <c r="AE545" i="7" s="1"/>
  <c r="AC579" i="7"/>
  <c r="CT34" i="6"/>
  <c r="CQ29" i="6"/>
  <c r="CZ78" i="6"/>
  <c r="CT78" i="6"/>
  <c r="AC431" i="20"/>
  <c r="CX145" i="17"/>
  <c r="CX146" i="17"/>
  <c r="BB12" i="11"/>
  <c r="AZ12" i="11"/>
  <c r="P146" i="23"/>
  <c r="AZ25" i="11" s="1"/>
  <c r="P80" i="23"/>
  <c r="BA14" i="11"/>
  <c r="J934" i="7"/>
  <c r="J896" i="7"/>
  <c r="J166" i="25"/>
  <c r="J889" i="7"/>
  <c r="G214" i="2"/>
  <c r="AE964" i="7"/>
  <c r="AE327" i="7"/>
  <c r="AE81" i="25"/>
  <c r="AE1044" i="7"/>
  <c r="H888" i="7"/>
  <c r="H164" i="25"/>
  <c r="BJ34" i="6"/>
  <c r="BJ78" i="6"/>
  <c r="BP78" i="6"/>
  <c r="BG29" i="6"/>
  <c r="AE675" i="7"/>
  <c r="AE1132" i="7"/>
  <c r="U779" i="7"/>
  <c r="DM12" i="11"/>
  <c r="DO12" i="11"/>
  <c r="AC80" i="23"/>
  <c r="AC146" i="23"/>
  <c r="DM25" i="11" s="1"/>
  <c r="DN14" i="11"/>
  <c r="H352" i="23"/>
  <c r="H315" i="23"/>
  <c r="V887" i="7"/>
  <c r="V165" i="25"/>
  <c r="V881" i="7"/>
  <c r="O882" i="7"/>
  <c r="O164" i="25"/>
  <c r="O888" i="7"/>
  <c r="DW39" i="6"/>
  <c r="DW88" i="6" s="1"/>
  <c r="EC83" i="6"/>
  <c r="DI14" i="11"/>
  <c r="DH12" i="11"/>
  <c r="DJ12" i="11"/>
  <c r="AB80" i="23"/>
  <c r="AB146" i="23"/>
  <c r="DH25" i="11" s="1"/>
  <c r="AA573" i="7"/>
  <c r="AA583" i="7"/>
  <c r="AA552" i="7"/>
  <c r="P882" i="7"/>
  <c r="DU34" i="6"/>
  <c r="EA83" i="6" s="1"/>
  <c r="CV185" i="17"/>
  <c r="CV191" i="17"/>
  <c r="CV224" i="17"/>
  <c r="CV219" i="17"/>
  <c r="AB934" i="7"/>
  <c r="AB883" i="7"/>
  <c r="AB896" i="7"/>
  <c r="AB166" i="25"/>
  <c r="AB889" i="7"/>
  <c r="AD262" i="7"/>
  <c r="AD99" i="25"/>
  <c r="F232" i="2"/>
  <c r="AW232" i="2" s="1"/>
  <c r="P898" i="7"/>
  <c r="P906" i="7"/>
  <c r="J106" i="20"/>
  <c r="AA106" i="20" s="1"/>
  <c r="AZ118" i="2"/>
  <c r="J315" i="23"/>
  <c r="J2" i="23" s="1"/>
  <c r="V4" i="11" s="1"/>
  <c r="J352" i="23"/>
  <c r="K359" i="23" s="1"/>
  <c r="DE12" i="11"/>
  <c r="DD14" i="11"/>
  <c r="AA80" i="23"/>
  <c r="AA146" i="23"/>
  <c r="DC25" i="11" s="1"/>
  <c r="DC12" i="11"/>
  <c r="R779" i="7"/>
  <c r="AD542" i="7"/>
  <c r="AE542" i="7" s="1"/>
  <c r="AC577" i="7"/>
  <c r="AX190" i="2"/>
  <c r="AB116" i="7"/>
  <c r="AC118" i="7" s="1"/>
  <c r="AC124" i="7" s="1"/>
  <c r="AB121" i="7"/>
  <c r="AC114" i="7"/>
  <c r="AB126" i="7"/>
  <c r="AB127" i="7" s="1"/>
  <c r="V315" i="23"/>
  <c r="V2" i="23" s="1"/>
  <c r="CD4" i="11" s="1"/>
  <c r="V352" i="23"/>
  <c r="G210" i="2"/>
  <c r="AE79" i="25"/>
  <c r="AB318" i="23"/>
  <c r="AA318" i="23"/>
  <c r="AA314" i="23"/>
  <c r="R314" i="23"/>
  <c r="R318" i="23"/>
  <c r="U164" i="25"/>
  <c r="U888" i="7"/>
  <c r="J779" i="7"/>
  <c r="L166" i="25"/>
  <c r="L883" i="7"/>
  <c r="L889" i="7"/>
  <c r="L896" i="7"/>
  <c r="L934" i="7"/>
  <c r="AC352" i="23"/>
  <c r="AC315" i="23"/>
  <c r="AC320" i="23"/>
  <c r="K320" i="23"/>
  <c r="S318" i="23"/>
  <c r="S314" i="23"/>
  <c r="T318" i="23"/>
  <c r="CX118" i="17"/>
  <c r="BY71" i="6"/>
  <c r="BS71" i="6"/>
  <c r="AE897" i="7"/>
  <c r="AE918" i="7" s="1"/>
  <c r="AE257" i="7"/>
  <c r="AD453" i="7"/>
  <c r="AE453" i="7" s="1"/>
  <c r="AC459" i="7"/>
  <c r="AE79" i="7"/>
  <c r="AA942" i="7"/>
  <c r="U314" i="23"/>
  <c r="U318" i="23"/>
  <c r="D295" i="2"/>
  <c r="AU112" i="2"/>
  <c r="CV14" i="26"/>
  <c r="CY8" i="17"/>
  <c r="L117" i="2" s="1"/>
  <c r="CV11" i="17"/>
  <c r="I120" i="2" s="1"/>
  <c r="CS17" i="26"/>
  <c r="Q888" i="7"/>
  <c r="Q164" i="25"/>
  <c r="Q882" i="7"/>
  <c r="AX34" i="6"/>
  <c r="AU29" i="6"/>
  <c r="BD78" i="6"/>
  <c r="AX78" i="6"/>
  <c r="CZ67" i="17"/>
  <c r="DA57" i="17"/>
  <c r="CZ103" i="17"/>
  <c r="CZ69" i="17"/>
  <c r="M889" i="7"/>
  <c r="M934" i="7"/>
  <c r="M166" i="25"/>
  <c r="M883" i="7"/>
  <c r="M896" i="7"/>
  <c r="M314" i="23"/>
  <c r="N318" i="23"/>
  <c r="AE320" i="7"/>
  <c r="DX78" i="6"/>
  <c r="DR78" i="6"/>
  <c r="DO29" i="6"/>
  <c r="DR34" i="6"/>
  <c r="BM71" i="6"/>
  <c r="BG71" i="6"/>
  <c r="AD541" i="7"/>
  <c r="AC576" i="7"/>
  <c r="AC547" i="7"/>
  <c r="P942" i="7"/>
  <c r="L105" i="20"/>
  <c r="AC105" i="20" s="1"/>
  <c r="BB117" i="2"/>
  <c r="L345" i="20"/>
  <c r="AC345" i="20" s="1"/>
  <c r="M345" i="20"/>
  <c r="AD345" i="20" s="1"/>
  <c r="AX194" i="2"/>
  <c r="R887" i="7"/>
  <c r="R881" i="7"/>
  <c r="R165" i="25"/>
  <c r="AA898" i="7"/>
  <c r="AA906" i="7"/>
  <c r="M779" i="7"/>
  <c r="M773" i="7"/>
  <c r="N354" i="23"/>
  <c r="AC74" i="23"/>
  <c r="AC71" i="23" s="1"/>
  <c r="DN80" i="11"/>
  <c r="DO80" i="11" s="1"/>
  <c r="CU185" i="17"/>
  <c r="CU224" i="17"/>
  <c r="CU219" i="17"/>
  <c r="G898" i="7"/>
  <c r="V318" i="23"/>
  <c r="V773" i="7"/>
  <c r="V779" i="7"/>
  <c r="W166" i="25"/>
  <c r="W934" i="7"/>
  <c r="W889" i="7"/>
  <c r="W883" i="7"/>
  <c r="W896" i="7"/>
  <c r="P165" i="25"/>
  <c r="P876" i="7"/>
  <c r="P2" i="7" s="1"/>
  <c r="P887" i="7"/>
  <c r="Q881" i="7"/>
  <c r="EM23" i="6"/>
  <c r="EP72" i="6"/>
  <c r="K408" i="20"/>
  <c r="AB408" i="20" s="1"/>
  <c r="J408" i="20"/>
  <c r="AW214" i="2"/>
  <c r="CY106" i="17"/>
  <c r="AE393" i="7"/>
  <c r="AD395" i="7"/>
  <c r="DB77" i="17"/>
  <c r="DA70" i="17"/>
  <c r="D107" i="2"/>
  <c r="AB18" i="25"/>
  <c r="Z352" i="23"/>
  <c r="Z315" i="23"/>
  <c r="Z320" i="23"/>
  <c r="K354" i="23"/>
  <c r="I314" i="23"/>
  <c r="I318" i="23"/>
  <c r="I71" i="20"/>
  <c r="Z71" i="20" s="1"/>
  <c r="G27" i="20"/>
  <c r="X27" i="20" s="1"/>
  <c r="G293" i="2"/>
  <c r="H234" i="20" s="1"/>
  <c r="Y234" i="20" s="1"/>
  <c r="CL48" i="6"/>
  <c r="CL88" i="6"/>
  <c r="CR88" i="6"/>
  <c r="CK39" i="6"/>
  <c r="CK48" i="6" s="1"/>
  <c r="AE60" i="23"/>
  <c r="AE67" i="23" s="1"/>
  <c r="E226" i="20"/>
  <c r="V226" i="20" s="1"/>
  <c r="H62" i="20"/>
  <c r="Y62" i="20" s="1"/>
  <c r="H154" i="20"/>
  <c r="Y154" i="20" s="1"/>
  <c r="F223" i="20"/>
  <c r="W223" i="20" s="1"/>
  <c r="AP88" i="6"/>
  <c r="AJ48" i="6"/>
  <c r="AI39" i="6"/>
  <c r="AI48" i="6" s="1"/>
  <c r="AN48" i="6" s="1"/>
  <c r="AN97" i="6" s="1"/>
  <c r="G62" i="20"/>
  <c r="X62" i="20" s="1"/>
  <c r="G154" i="20"/>
  <c r="X154" i="20" s="1"/>
  <c r="E223" i="20"/>
  <c r="V223" i="20" s="1"/>
  <c r="CW82" i="17"/>
  <c r="CX90" i="17"/>
  <c r="AD144" i="23"/>
  <c r="DR23" i="11" s="1"/>
  <c r="AD62" i="23"/>
  <c r="DR10" i="11"/>
  <c r="DS12" i="11"/>
  <c r="CX97" i="6"/>
  <c r="CX49" i="6"/>
  <c r="G67" i="20"/>
  <c r="X67" i="20" s="1"/>
  <c r="E238" i="20"/>
  <c r="V238" i="20" s="1"/>
  <c r="F289" i="2"/>
  <c r="H153" i="20"/>
  <c r="Y153" i="20" s="1"/>
  <c r="H72" i="20"/>
  <c r="Y72" i="20" s="1"/>
  <c r="F235" i="20"/>
  <c r="W235" i="20" s="1"/>
  <c r="F294" i="2"/>
  <c r="G294" i="2" s="1"/>
  <c r="J72" i="20" s="1"/>
  <c r="AA72" i="20" s="1"/>
  <c r="AQ48" i="6"/>
  <c r="AQ88" i="6"/>
  <c r="AW88" i="6"/>
  <c r="DV49" i="6"/>
  <c r="DV97" i="6"/>
  <c r="BH88" i="6"/>
  <c r="BA39" i="6"/>
  <c r="BB48" i="6"/>
  <c r="BB88" i="6"/>
  <c r="CF88" i="6"/>
  <c r="BZ48" i="6"/>
  <c r="BZ88" i="6"/>
  <c r="M48" i="6"/>
  <c r="ED48" i="6"/>
  <c r="F222" i="20"/>
  <c r="W222" i="20" s="1"/>
  <c r="F285" i="2"/>
  <c r="H61" i="20"/>
  <c r="Y61" i="20" s="1"/>
  <c r="G61" i="20"/>
  <c r="X61" i="20" s="1"/>
  <c r="BT49" i="6"/>
  <c r="N48" i="6"/>
  <c r="N88" i="6"/>
  <c r="AV49" i="6"/>
  <c r="AV97" i="6"/>
  <c r="X88" i="6"/>
  <c r="R48" i="6"/>
  <c r="CA88" i="6"/>
  <c r="CA48" i="6"/>
  <c r="BY39" i="6"/>
  <c r="AO83" i="6"/>
  <c r="EA102" i="11"/>
  <c r="AE331" i="23" s="1"/>
  <c r="AE325" i="23" s="1"/>
  <c r="DY102" i="11"/>
  <c r="CN49" i="6"/>
  <c r="F299" i="2"/>
  <c r="H150" i="20"/>
  <c r="Y150" i="20" s="1"/>
  <c r="AX111" i="2"/>
  <c r="G318" i="2"/>
  <c r="G146" i="2"/>
  <c r="AE460" i="23"/>
  <c r="AE465" i="23" s="1"/>
  <c r="AE37" i="25"/>
  <c r="DB90" i="17"/>
  <c r="BO88" i="6"/>
  <c r="BO48" i="6"/>
  <c r="BU88" i="6"/>
  <c r="Y48" i="6"/>
  <c r="AE88" i="6"/>
  <c r="DW15" i="11"/>
  <c r="DX15" i="11" s="1"/>
  <c r="AE118" i="23"/>
  <c r="AE4" i="23" s="1"/>
  <c r="AD130" i="23"/>
  <c r="AD136" i="23" s="1"/>
  <c r="CX207" i="17"/>
  <c r="AD162" i="23"/>
  <c r="AD122" i="23"/>
  <c r="AD126" i="23" s="1"/>
  <c r="L48" i="6"/>
  <c r="K39" i="6"/>
  <c r="R88" i="6"/>
  <c r="DJ48" i="6"/>
  <c r="DI39" i="6"/>
  <c r="DP88" i="6"/>
  <c r="DR28" i="11"/>
  <c r="DR30" i="11" s="1"/>
  <c r="DR2" i="11" s="1"/>
  <c r="AD150" i="23"/>
  <c r="G60" i="20"/>
  <c r="X60" i="20" s="1"/>
  <c r="DX49" i="6"/>
  <c r="DL49" i="6"/>
  <c r="DQ48" i="6"/>
  <c r="DQ88" i="6"/>
  <c r="E287" i="2"/>
  <c r="C287" i="2"/>
  <c r="G149" i="20" s="1"/>
  <c r="X149" i="20" s="1"/>
  <c r="I68" i="20"/>
  <c r="Z68" i="20" s="1"/>
  <c r="G292" i="2"/>
  <c r="G231" i="20"/>
  <c r="X231" i="20" s="1"/>
  <c r="G347" i="20"/>
  <c r="X347" i="20" s="1"/>
  <c r="X889" i="7" l="1"/>
  <c r="L164" i="25"/>
  <c r="I165" i="25"/>
  <c r="AF979" i="7"/>
  <c r="AP34" i="8"/>
  <c r="X896" i="7"/>
  <c r="X898" i="7" s="1"/>
  <c r="S882" i="7"/>
  <c r="L882" i="7"/>
  <c r="S889" i="7"/>
  <c r="S896" i="7"/>
  <c r="S901" i="7" s="1"/>
  <c r="N882" i="7"/>
  <c r="M164" i="25"/>
  <c r="L279" i="20"/>
  <c r="AC279" i="20" s="1"/>
  <c r="AE52" i="8"/>
  <c r="AE55" i="25"/>
  <c r="AE35" i="8"/>
  <c r="L417" i="20"/>
  <c r="M417" i="20" s="1"/>
  <c r="H31" i="20"/>
  <c r="Y31" i="20" s="1"/>
  <c r="K307" i="20"/>
  <c r="AB307" i="20" s="1"/>
  <c r="K310" i="20"/>
  <c r="AB310" i="20" s="1"/>
  <c r="AX159" i="2"/>
  <c r="S876" i="7"/>
  <c r="S4" i="7" s="1"/>
  <c r="M876" i="7"/>
  <c r="M2" i="7" s="1"/>
  <c r="S166" i="25"/>
  <c r="M882" i="7"/>
  <c r="AE24" i="8"/>
  <c r="AE23" i="8"/>
  <c r="S883" i="7"/>
  <c r="AE63" i="8"/>
  <c r="P881" i="7"/>
  <c r="R882" i="7"/>
  <c r="X883" i="7"/>
  <c r="X166" i="25"/>
  <c r="V876" i="7"/>
  <c r="V4" i="7" s="1"/>
  <c r="P773" i="7"/>
  <c r="L773" i="7"/>
  <c r="Z881" i="7"/>
  <c r="AM881" i="7" s="1"/>
  <c r="M352" i="20"/>
  <c r="AD352" i="20" s="1"/>
  <c r="AX197" i="2"/>
  <c r="AB773" i="7"/>
  <c r="AE810" i="7"/>
  <c r="AW210" i="2"/>
  <c r="AD88" i="6"/>
  <c r="AJ88" i="6"/>
  <c r="K387" i="20"/>
  <c r="AB387" i="20" s="1"/>
  <c r="R888" i="7"/>
  <c r="R876" i="7"/>
  <c r="R2" i="7" s="1"/>
  <c r="AM872" i="7"/>
  <c r="K773" i="7"/>
  <c r="AE1138" i="7"/>
  <c r="AE1140" i="7" s="1"/>
  <c r="AE1141" i="7" s="1"/>
  <c r="AE1142" i="7" s="1"/>
  <c r="Z887" i="7"/>
  <c r="AM887" i="7" s="1"/>
  <c r="AB881" i="7"/>
  <c r="AM144" i="17"/>
  <c r="AL187" i="17"/>
  <c r="AL192" i="17" s="1"/>
  <c r="AM196" i="17"/>
  <c r="AM219" i="17"/>
  <c r="AM191" i="17"/>
  <c r="AM224" i="17"/>
  <c r="AM226" i="17" s="1"/>
  <c r="AI17" i="26"/>
  <c r="AL11" i="17"/>
  <c r="AL25" i="17"/>
  <c r="AL27" i="17" s="1"/>
  <c r="AL29" i="17" s="1"/>
  <c r="AL22" i="17"/>
  <c r="AO8" i="16"/>
  <c r="AO125" i="17" s="1"/>
  <c r="AN143" i="17"/>
  <c r="AK16" i="26"/>
  <c r="AN135" i="17"/>
  <c r="AN10" i="17" s="1"/>
  <c r="AN130" i="17"/>
  <c r="S773" i="7"/>
  <c r="AI19" i="26"/>
  <c r="AL13" i="17"/>
  <c r="N159" i="23"/>
  <c r="AK147" i="17"/>
  <c r="AL151" i="17"/>
  <c r="AN13" i="16"/>
  <c r="AN186" i="17" s="1"/>
  <c r="AN12" i="16"/>
  <c r="AN145" i="17" s="1"/>
  <c r="Z165" i="25"/>
  <c r="AM183" i="17"/>
  <c r="AM185" i="17" s="1"/>
  <c r="AM155" i="17"/>
  <c r="AM220" i="17"/>
  <c r="AM156" i="17"/>
  <c r="AM150" i="17"/>
  <c r="AM23" i="17"/>
  <c r="N779" i="7"/>
  <c r="O876" i="7"/>
  <c r="O2" i="7" s="1"/>
  <c r="O773" i="7"/>
  <c r="CZ184" i="17"/>
  <c r="CZ174" i="17"/>
  <c r="DA164" i="17"/>
  <c r="DA175" i="17" s="1"/>
  <c r="CZ175" i="17"/>
  <c r="AB779" i="7"/>
  <c r="AB876" i="7"/>
  <c r="AB2" i="7" s="1"/>
  <c r="AB165" i="25"/>
  <c r="AE56" i="25"/>
  <c r="AE83" i="8"/>
  <c r="AA888" i="7"/>
  <c r="AA164" i="25"/>
  <c r="Z934" i="7"/>
  <c r="AM934" i="7" s="1"/>
  <c r="EM18" i="6"/>
  <c r="ER18" i="6" s="1"/>
  <c r="ER67" i="6" s="1"/>
  <c r="AD440" i="7"/>
  <c r="AD437" i="7"/>
  <c r="L308" i="20"/>
  <c r="AC308" i="20" s="1"/>
  <c r="K309" i="20"/>
  <c r="AB309" i="20" s="1"/>
  <c r="K308" i="20"/>
  <c r="AB308" i="20" s="1"/>
  <c r="Q773" i="7"/>
  <c r="R773" i="7"/>
  <c r="X887" i="7"/>
  <c r="Y881" i="7"/>
  <c r="AA773" i="7"/>
  <c r="Z773" i="7"/>
  <c r="AM773" i="7" s="1"/>
  <c r="AM767" i="7"/>
  <c r="Z166" i="25"/>
  <c r="Z889" i="7"/>
  <c r="AM889" i="7" s="1"/>
  <c r="EG67" i="6"/>
  <c r="N889" i="7"/>
  <c r="H166" i="25"/>
  <c r="H883" i="7"/>
  <c r="AE440" i="7"/>
  <c r="H876" i="7"/>
  <c r="H2" i="7" s="1"/>
  <c r="Q78" i="6"/>
  <c r="H896" i="7"/>
  <c r="H942" i="7"/>
  <c r="H889" i="7"/>
  <c r="J490" i="20"/>
  <c r="AA490" i="20" s="1"/>
  <c r="K490" i="20"/>
  <c r="AB490" i="20" s="1"/>
  <c r="AD28" i="25"/>
  <c r="N896" i="7"/>
  <c r="N906" i="7" s="1"/>
  <c r="K882" i="7"/>
  <c r="N883" i="7"/>
  <c r="T166" i="25"/>
  <c r="N166" i="25"/>
  <c r="N934" i="7"/>
  <c r="N942" i="7" s="1"/>
  <c r="EP86" i="6"/>
  <c r="AD202" i="23"/>
  <c r="L307" i="20"/>
  <c r="AC307" i="20" s="1"/>
  <c r="S102" i="23"/>
  <c r="S148" i="23"/>
  <c r="BO27" i="11" s="1"/>
  <c r="BO14" i="11"/>
  <c r="AD408" i="23"/>
  <c r="AD411" i="23" s="1"/>
  <c r="AD262" i="23"/>
  <c r="AD264" i="23" s="1"/>
  <c r="N102" i="23"/>
  <c r="N2" i="23" s="1"/>
  <c r="AP4" i="11" s="1"/>
  <c r="N148" i="23"/>
  <c r="AP27" i="11" s="1"/>
  <c r="F137" i="2"/>
  <c r="J183" i="20" s="1"/>
  <c r="AA183" i="20" s="1"/>
  <c r="AD698" i="7"/>
  <c r="AD736" i="7" s="1"/>
  <c r="L309" i="20"/>
  <c r="AC309" i="20" s="1"/>
  <c r="I307" i="20"/>
  <c r="Z307" i="20" s="1"/>
  <c r="T889" i="7"/>
  <c r="AR14" i="11"/>
  <c r="I310" i="20"/>
  <c r="Z310" i="20" s="1"/>
  <c r="J309" i="20"/>
  <c r="AA309" i="20" s="1"/>
  <c r="J307" i="20"/>
  <c r="AA307" i="20" s="1"/>
  <c r="I309" i="20"/>
  <c r="Z309" i="20" s="1"/>
  <c r="O887" i="7"/>
  <c r="O165" i="25"/>
  <c r="AX205" i="2"/>
  <c r="L380" i="20"/>
  <c r="AC380" i="20" s="1"/>
  <c r="M380" i="20"/>
  <c r="AD380" i="20" s="1"/>
  <c r="BI49" i="6"/>
  <c r="Z883" i="7"/>
  <c r="AM883" i="7" s="1"/>
  <c r="Y773" i="7"/>
  <c r="T883" i="7"/>
  <c r="Z896" i="7"/>
  <c r="Z898" i="7" s="1"/>
  <c r="AA883" i="7"/>
  <c r="AA882" i="7"/>
  <c r="Z876" i="7"/>
  <c r="AM876" i="7" s="1"/>
  <c r="T934" i="7"/>
  <c r="T942" i="7" s="1"/>
  <c r="AB882" i="7"/>
  <c r="T896" i="7"/>
  <c r="T898" i="7" s="1"/>
  <c r="R883" i="7"/>
  <c r="AF1014" i="7"/>
  <c r="G219" i="2"/>
  <c r="M490" i="20" s="1"/>
  <c r="AD490" i="20" s="1"/>
  <c r="AD107" i="25"/>
  <c r="Y888" i="7"/>
  <c r="Q166" i="25"/>
  <c r="F242" i="2"/>
  <c r="AW242" i="2" s="1"/>
  <c r="Y164" i="25"/>
  <c r="Q889" i="7"/>
  <c r="K164" i="25"/>
  <c r="K888" i="7"/>
  <c r="X876" i="7"/>
  <c r="X4" i="7" s="1"/>
  <c r="I876" i="7"/>
  <c r="I2" i="7" s="1"/>
  <c r="Q34" i="6"/>
  <c r="Q83" i="6" s="1"/>
  <c r="H63" i="20"/>
  <c r="Y63" i="20" s="1"/>
  <c r="CW219" i="17"/>
  <c r="CW224" i="17"/>
  <c r="CW185" i="17"/>
  <c r="CS14" i="11"/>
  <c r="L102" i="23"/>
  <c r="DU10" i="11"/>
  <c r="DT10" i="11" s="1"/>
  <c r="H60" i="20"/>
  <c r="Y60" i="20" s="1"/>
  <c r="Y148" i="23"/>
  <c r="CS27" i="11" s="1"/>
  <c r="Y102" i="23"/>
  <c r="Y2" i="23" s="1"/>
  <c r="CS4" i="11" s="1"/>
  <c r="Q71" i="6"/>
  <c r="F221" i="20"/>
  <c r="W221" i="20" s="1"/>
  <c r="AH14" i="11"/>
  <c r="AF14" i="11"/>
  <c r="BS29" i="6"/>
  <c r="BY78" i="6" s="1"/>
  <c r="AW14" i="11"/>
  <c r="Q14" i="11"/>
  <c r="CY88" i="6"/>
  <c r="G233" i="20"/>
  <c r="X233" i="20" s="1"/>
  <c r="BV34" i="6"/>
  <c r="CB83" i="6" s="1"/>
  <c r="Y83" i="6"/>
  <c r="CX14" i="11"/>
  <c r="S83" i="6"/>
  <c r="BN48" i="6"/>
  <c r="BT97" i="6" s="1"/>
  <c r="Q102" i="23"/>
  <c r="Q2" i="23" s="1"/>
  <c r="BE4" i="11" s="1"/>
  <c r="CS88" i="6"/>
  <c r="BV78" i="6"/>
  <c r="AU14" i="11"/>
  <c r="O102" i="23"/>
  <c r="CG48" i="6"/>
  <c r="CG97" i="6" s="1"/>
  <c r="T88" i="6"/>
  <c r="BM39" i="6"/>
  <c r="BM48" i="6" s="1"/>
  <c r="G319" i="2"/>
  <c r="J70" i="20" s="1"/>
  <c r="AA70" i="20" s="1"/>
  <c r="CE29" i="6"/>
  <c r="CE78" i="6" s="1"/>
  <c r="BE14" i="11"/>
  <c r="BN88" i="6"/>
  <c r="Z1" i="23"/>
  <c r="BG14" i="11"/>
  <c r="CM88" i="6"/>
  <c r="E239" i="20"/>
  <c r="V239" i="20" s="1"/>
  <c r="DJ88" i="6"/>
  <c r="E235" i="20"/>
  <c r="V235" i="20" s="1"/>
  <c r="DD48" i="6"/>
  <c r="DD49" i="6" s="1"/>
  <c r="EB88" i="6"/>
  <c r="DC71" i="6"/>
  <c r="AA14" i="11"/>
  <c r="W102" i="23"/>
  <c r="K102" i="23"/>
  <c r="K2" i="23" s="1"/>
  <c r="AA4" i="11" s="1"/>
  <c r="EA39" i="6"/>
  <c r="EA48" i="6" s="1"/>
  <c r="CZ14" i="11"/>
  <c r="Z148" i="23"/>
  <c r="CX27" i="11" s="1"/>
  <c r="W148" i="23"/>
  <c r="CI27" i="11" s="1"/>
  <c r="CN14" i="11"/>
  <c r="CP14" i="11"/>
  <c r="I148" i="23"/>
  <c r="Q27" i="11" s="1"/>
  <c r="I102" i="23"/>
  <c r="X148" i="23"/>
  <c r="CN27" i="11" s="1"/>
  <c r="CK14" i="11"/>
  <c r="AW193" i="2"/>
  <c r="K148" i="23"/>
  <c r="AA27" i="11" s="1"/>
  <c r="CN78" i="6"/>
  <c r="CH34" i="6"/>
  <c r="CH39" i="6" s="1"/>
  <c r="BA118" i="2"/>
  <c r="CK71" i="6"/>
  <c r="X773" i="7"/>
  <c r="I882" i="7"/>
  <c r="Y882" i="7"/>
  <c r="W881" i="7"/>
  <c r="L876" i="7"/>
  <c r="L2" i="7" s="1"/>
  <c r="X779" i="7"/>
  <c r="X881" i="7"/>
  <c r="AD106" i="25"/>
  <c r="Q876" i="7"/>
  <c r="Q4" i="7" s="1"/>
  <c r="W882" i="7"/>
  <c r="M148" i="23"/>
  <c r="AK27" i="11" s="1"/>
  <c r="I432" i="20"/>
  <c r="T888" i="7"/>
  <c r="T164" i="25"/>
  <c r="G521" i="20"/>
  <c r="X521" i="20" s="1"/>
  <c r="AV242" i="2"/>
  <c r="J343" i="20"/>
  <c r="AA343" i="20" s="1"/>
  <c r="AM14" i="11"/>
  <c r="AE691" i="7"/>
  <c r="T882" i="7"/>
  <c r="T876" i="7"/>
  <c r="T2" i="7" s="1"/>
  <c r="Q896" i="7"/>
  <c r="Q901" i="7" s="1"/>
  <c r="AE1133" i="7"/>
  <c r="AE1134" i="7" s="1"/>
  <c r="AE1135" i="7" s="1"/>
  <c r="Q934" i="7"/>
  <c r="AD1134" i="7"/>
  <c r="AD1135" i="7" s="1"/>
  <c r="AK14" i="11"/>
  <c r="I888" i="7"/>
  <c r="I164" i="25"/>
  <c r="J882" i="7"/>
  <c r="M340" i="20"/>
  <c r="AD340" i="20" s="1"/>
  <c r="L340" i="20"/>
  <c r="AC340" i="20" s="1"/>
  <c r="AE86" i="25"/>
  <c r="K432" i="20"/>
  <c r="U102" i="23"/>
  <c r="Y889" i="7"/>
  <c r="Y934" i="7"/>
  <c r="Y166" i="25"/>
  <c r="Y896" i="7"/>
  <c r="AC27" i="7"/>
  <c r="AC29" i="7" s="1"/>
  <c r="AD26" i="7"/>
  <c r="AD136" i="7"/>
  <c r="AC137" i="7"/>
  <c r="V164" i="25"/>
  <c r="V888" i="7"/>
  <c r="I773" i="7"/>
  <c r="T773" i="7"/>
  <c r="Y876" i="7"/>
  <c r="Y2" i="7" s="1"/>
  <c r="U148" i="23"/>
  <c r="BY27" i="11" s="1"/>
  <c r="X888" i="7"/>
  <c r="X164" i="25"/>
  <c r="AC73" i="25"/>
  <c r="AC312" i="7"/>
  <c r="AC206" i="7"/>
  <c r="E204" i="2"/>
  <c r="AV204" i="2" s="1"/>
  <c r="AC276" i="7"/>
  <c r="AC173" i="7"/>
  <c r="AC219" i="7"/>
  <c r="AC210" i="7"/>
  <c r="W165" i="25"/>
  <c r="W887" i="7"/>
  <c r="Y883" i="7"/>
  <c r="J773" i="7"/>
  <c r="K165" i="25"/>
  <c r="K887" i="7"/>
  <c r="EI57" i="6"/>
  <c r="EI12" i="6"/>
  <c r="AE200" i="23"/>
  <c r="T779" i="7"/>
  <c r="K876" i="7"/>
  <c r="K2" i="7" s="1"/>
  <c r="BZ1" i="11"/>
  <c r="CA14" i="11"/>
  <c r="AE858" i="7"/>
  <c r="AE1087" i="7"/>
  <c r="L887" i="7"/>
  <c r="L165" i="25"/>
  <c r="L881" i="7"/>
  <c r="H375" i="20"/>
  <c r="Y375" i="20" s="1"/>
  <c r="H384" i="20"/>
  <c r="Y384" i="20" s="1"/>
  <c r="I379" i="20"/>
  <c r="Z379" i="20" s="1"/>
  <c r="I375" i="20"/>
  <c r="Z375" i="20" s="1"/>
  <c r="H385" i="20"/>
  <c r="Y385" i="20" s="1"/>
  <c r="I384" i="20"/>
  <c r="Z384" i="20" s="1"/>
  <c r="H379" i="20"/>
  <c r="Y379" i="20" s="1"/>
  <c r="AV200" i="2"/>
  <c r="I883" i="7"/>
  <c r="I889" i="7"/>
  <c r="I166" i="25"/>
  <c r="I934" i="7"/>
  <c r="I896" i="7"/>
  <c r="J901" i="7" s="1"/>
  <c r="AV241" i="2"/>
  <c r="EM31" i="6"/>
  <c r="EN80" i="6"/>
  <c r="AE489" i="7"/>
  <c r="AE1063" i="7"/>
  <c r="AE1066" i="7" s="1"/>
  <c r="EL32" i="6"/>
  <c r="EL81" i="6" s="1"/>
  <c r="AE480" i="7"/>
  <c r="O889" i="7"/>
  <c r="O934" i="7"/>
  <c r="O166" i="25"/>
  <c r="O896" i="7"/>
  <c r="P883" i="7"/>
  <c r="O883" i="7"/>
  <c r="AC71" i="6"/>
  <c r="AU71" i="6"/>
  <c r="AR88" i="6"/>
  <c r="AR48" i="6"/>
  <c r="AR49" i="6" s="1"/>
  <c r="CQ71" i="6"/>
  <c r="AC39" i="6"/>
  <c r="AI88" i="6" s="1"/>
  <c r="AF48" i="6"/>
  <c r="AF49" i="6" s="1"/>
  <c r="AE270" i="23"/>
  <c r="J176" i="20"/>
  <c r="AA176" i="20" s="1"/>
  <c r="K176" i="20"/>
  <c r="AB176" i="20" s="1"/>
  <c r="F191" i="2"/>
  <c r="AD62" i="25"/>
  <c r="EJ34" i="6"/>
  <c r="EJ78" i="6"/>
  <c r="AE530" i="7"/>
  <c r="AE1058" i="7"/>
  <c r="AE1060" i="7" s="1"/>
  <c r="AC934" i="7"/>
  <c r="AC889" i="7"/>
  <c r="AC896" i="7"/>
  <c r="AC901" i="7" s="1"/>
  <c r="AC166" i="25"/>
  <c r="EM81" i="6"/>
  <c r="EN76" i="6"/>
  <c r="EM27" i="6"/>
  <c r="EM76" i="6" s="1"/>
  <c r="H341" i="20"/>
  <c r="Y341" i="20" s="1"/>
  <c r="I341" i="20"/>
  <c r="Z341" i="20" s="1"/>
  <c r="AV191" i="2"/>
  <c r="I433" i="20"/>
  <c r="H434" i="20"/>
  <c r="AC883" i="7"/>
  <c r="F320" i="2"/>
  <c r="AE96" i="7"/>
  <c r="CX9" i="17"/>
  <c r="K118" i="2" s="1"/>
  <c r="BB118" i="2" s="1"/>
  <c r="AD464" i="7"/>
  <c r="AD465" i="7" s="1"/>
  <c r="AE423" i="23"/>
  <c r="AE435" i="23" s="1"/>
  <c r="DX9" i="11"/>
  <c r="DX10" i="11" s="1"/>
  <c r="DX12" i="11" s="1"/>
  <c r="AE80" i="23" s="1"/>
  <c r="G138" i="2"/>
  <c r="L176" i="20" s="1"/>
  <c r="AC176" i="20" s="1"/>
  <c r="AD14" i="25"/>
  <c r="W4" i="7"/>
  <c r="AE221" i="23"/>
  <c r="AD349" i="23"/>
  <c r="AE29" i="25"/>
  <c r="Z2" i="23"/>
  <c r="CX4" i="11" s="1"/>
  <c r="F291" i="2"/>
  <c r="G291" i="2" s="1"/>
  <c r="H67" i="20"/>
  <c r="Y67" i="20" s="1"/>
  <c r="F230" i="20"/>
  <c r="W230" i="20" s="1"/>
  <c r="AE549" i="7"/>
  <c r="AE569" i="7"/>
  <c r="AD183" i="23"/>
  <c r="AD23" i="25" s="1"/>
  <c r="AD151" i="23"/>
  <c r="DR29" i="11" s="1"/>
  <c r="S88" i="6"/>
  <c r="Y88" i="6"/>
  <c r="AK97" i="6"/>
  <c r="Q39" i="6"/>
  <c r="Q88" i="6" s="1"/>
  <c r="L432" i="20"/>
  <c r="M432" i="20" s="1"/>
  <c r="DW13" i="11"/>
  <c r="DX13" i="11" s="1"/>
  <c r="AE96" i="23"/>
  <c r="AE90" i="23" s="1"/>
  <c r="AX108" i="2"/>
  <c r="G312" i="2"/>
  <c r="EA95" i="11"/>
  <c r="AE309" i="23" s="1"/>
  <c r="AE298" i="23"/>
  <c r="AE292" i="23" s="1"/>
  <c r="EA87" i="11"/>
  <c r="AE299" i="23" s="1"/>
  <c r="AE293" i="23" s="1"/>
  <c r="AE345" i="23" s="1"/>
  <c r="DY87" i="11"/>
  <c r="DY13" i="11" s="1"/>
  <c r="CX171" i="17"/>
  <c r="CW166" i="17"/>
  <c r="F311" i="2"/>
  <c r="AW143" i="2"/>
  <c r="K181" i="20"/>
  <c r="AB181" i="20" s="1"/>
  <c r="J181" i="20"/>
  <c r="AA181" i="20" s="1"/>
  <c r="I503" i="20"/>
  <c r="Z503" i="20" s="1"/>
  <c r="I505" i="20"/>
  <c r="Z505" i="20" s="1"/>
  <c r="J189" i="20"/>
  <c r="AA189" i="20" s="1"/>
  <c r="J180" i="20"/>
  <c r="AA180" i="20" s="1"/>
  <c r="K180" i="20"/>
  <c r="AB180" i="20" s="1"/>
  <c r="J503" i="20"/>
  <c r="AA503" i="20" s="1"/>
  <c r="J188" i="20"/>
  <c r="AA188" i="20" s="1"/>
  <c r="I513" i="20"/>
  <c r="Z513" i="20" s="1"/>
  <c r="DB70" i="17"/>
  <c r="DG80" i="17"/>
  <c r="M315" i="23"/>
  <c r="M2" i="23" s="1"/>
  <c r="AK4" i="11" s="1"/>
  <c r="M352" i="23"/>
  <c r="N320" i="23"/>
  <c r="CX144" i="17"/>
  <c r="CX183" i="17"/>
  <c r="CX157" i="17"/>
  <c r="CX150" i="17"/>
  <c r="CX220" i="17"/>
  <c r="I352" i="23"/>
  <c r="I315" i="23"/>
  <c r="I320" i="23"/>
  <c r="ER30" i="6"/>
  <c r="ER79" i="6" s="1"/>
  <c r="EM72" i="6"/>
  <c r="AA102" i="25"/>
  <c r="AA908" i="7"/>
  <c r="AA919" i="7"/>
  <c r="C237" i="2"/>
  <c r="AT237" i="2" s="1"/>
  <c r="DR39" i="6"/>
  <c r="DO34" i="6"/>
  <c r="DX83" i="6"/>
  <c r="DR83" i="6"/>
  <c r="DB57" i="17"/>
  <c r="DA69" i="17"/>
  <c r="DA103" i="17"/>
  <c r="DA67" i="17"/>
  <c r="DA68" i="17"/>
  <c r="X942" i="7"/>
  <c r="E295" i="2"/>
  <c r="C295" i="2"/>
  <c r="U352" i="23"/>
  <c r="V359" i="23" s="1"/>
  <c r="U315" i="23"/>
  <c r="U320" i="23"/>
  <c r="G232" i="2"/>
  <c r="AX232" i="2" s="1"/>
  <c r="AE262" i="7"/>
  <c r="AE99" i="25"/>
  <c r="AC354" i="23"/>
  <c r="AC361" i="23" s="1"/>
  <c r="AC359" i="23"/>
  <c r="AB320" i="23"/>
  <c r="AA315" i="23"/>
  <c r="AA320" i="23"/>
  <c r="AA352" i="23"/>
  <c r="V354" i="23"/>
  <c r="S942" i="7"/>
  <c r="P908" i="7"/>
  <c r="P956" i="7" s="1"/>
  <c r="P958" i="7" s="1"/>
  <c r="P960" i="7" s="1"/>
  <c r="P102" i="25"/>
  <c r="P919" i="7"/>
  <c r="V2" i="7"/>
  <c r="CT39" i="6"/>
  <c r="CT83" i="6"/>
  <c r="CZ83" i="6"/>
  <c r="CQ34" i="6"/>
  <c r="V942" i="7"/>
  <c r="DC78" i="6"/>
  <c r="DI78" i="6"/>
  <c r="R942" i="7"/>
  <c r="CZ8" i="17"/>
  <c r="M117" i="2" s="1"/>
  <c r="CW14" i="26"/>
  <c r="U942" i="7"/>
  <c r="CT127" i="17"/>
  <c r="AC444" i="23"/>
  <c r="AC447" i="23" s="1"/>
  <c r="AC78" i="23"/>
  <c r="AC84" i="23" s="1"/>
  <c r="AD71" i="23"/>
  <c r="R4" i="7"/>
  <c r="AE541" i="7"/>
  <c r="AE547" i="7" s="1"/>
  <c r="AD547" i="7"/>
  <c r="J109" i="20"/>
  <c r="AA109" i="20" s="1"/>
  <c r="AZ120" i="2"/>
  <c r="L898" i="7"/>
  <c r="L901" i="7"/>
  <c r="L906" i="7"/>
  <c r="BB14" i="11"/>
  <c r="AZ14" i="11"/>
  <c r="P102" i="23"/>
  <c r="P2" i="23" s="1"/>
  <c r="AZ4" i="11" s="1"/>
  <c r="P148" i="23"/>
  <c r="AZ27" i="11" s="1"/>
  <c r="U898" i="7"/>
  <c r="U906" i="7"/>
  <c r="O315" i="23"/>
  <c r="O352" i="23"/>
  <c r="O320" i="23"/>
  <c r="P320" i="23"/>
  <c r="Z359" i="23"/>
  <c r="Z354" i="23"/>
  <c r="E28" i="20"/>
  <c r="V28" i="20" s="1"/>
  <c r="D309" i="2"/>
  <c r="D310" i="2" s="1"/>
  <c r="G76" i="20"/>
  <c r="X76" i="20" s="1"/>
  <c r="D290" i="2"/>
  <c r="D315" i="2"/>
  <c r="D316" i="2" s="1"/>
  <c r="AU107" i="2"/>
  <c r="CY118" i="17"/>
  <c r="CY105" i="17"/>
  <c r="CY116" i="17"/>
  <c r="CY111" i="17"/>
  <c r="CY142" i="17"/>
  <c r="CY145" i="17" s="1"/>
  <c r="AA408" i="20"/>
  <c r="J411" i="20"/>
  <c r="K411" i="20" s="1"/>
  <c r="W942" i="7"/>
  <c r="AD565" i="7"/>
  <c r="AC551" i="7"/>
  <c r="AC581" i="7"/>
  <c r="AC564" i="7"/>
  <c r="AC567" i="7" s="1"/>
  <c r="DU78" i="6"/>
  <c r="DO78" i="6"/>
  <c r="AU78" i="6"/>
  <c r="BA78" i="6"/>
  <c r="BC117" i="2"/>
  <c r="M105" i="20"/>
  <c r="AD105" i="20" s="1"/>
  <c r="AA2" i="7"/>
  <c r="AA4" i="7"/>
  <c r="V320" i="23"/>
  <c r="S906" i="7"/>
  <c r="AA102" i="23"/>
  <c r="DE14" i="11"/>
  <c r="AA148" i="23"/>
  <c r="DC27" i="11" s="1"/>
  <c r="DC14" i="11"/>
  <c r="J320" i="23"/>
  <c r="AB942" i="7"/>
  <c r="CV13" i="17"/>
  <c r="I122" i="2" s="1"/>
  <c r="CS19" i="26"/>
  <c r="H354" i="23"/>
  <c r="BG34" i="6"/>
  <c r="BJ39" i="6"/>
  <c r="BP83" i="6"/>
  <c r="BJ83" i="6"/>
  <c r="AX214" i="2"/>
  <c r="M408" i="20"/>
  <c r="AD408" i="20" s="1"/>
  <c r="L408" i="20"/>
  <c r="J898" i="7"/>
  <c r="J906" i="7"/>
  <c r="G242" i="2"/>
  <c r="W78" i="6"/>
  <c r="AC78" i="6"/>
  <c r="AB573" i="7"/>
  <c r="AB552" i="7"/>
  <c r="AB583" i="7"/>
  <c r="W320" i="23"/>
  <c r="W352" i="23"/>
  <c r="W315" i="23"/>
  <c r="X320" i="23"/>
  <c r="Y359" i="23"/>
  <c r="Y354" i="23"/>
  <c r="Y361" i="23" s="1"/>
  <c r="K109" i="20"/>
  <c r="AB109" i="20" s="1"/>
  <c r="BA120" i="2"/>
  <c r="DB80" i="17"/>
  <c r="M906" i="7"/>
  <c r="M898" i="7"/>
  <c r="M901" i="7"/>
  <c r="S320" i="23"/>
  <c r="S352" i="23"/>
  <c r="S315" i="23"/>
  <c r="T320" i="23"/>
  <c r="AB898" i="7"/>
  <c r="AB906" i="7"/>
  <c r="AB901" i="7"/>
  <c r="CW13" i="17"/>
  <c r="J122" i="2" s="1"/>
  <c r="CT19" i="26"/>
  <c r="AB148" i="23"/>
  <c r="DH27" i="11" s="1"/>
  <c r="DJ14" i="11"/>
  <c r="DH14" i="11"/>
  <c r="AB102" i="23"/>
  <c r="CQ78" i="6"/>
  <c r="CW78" i="6"/>
  <c r="R898" i="7"/>
  <c r="R906" i="7"/>
  <c r="J71" i="20"/>
  <c r="AA71" i="20" s="1"/>
  <c r="AE395" i="7"/>
  <c r="AE464" i="7"/>
  <c r="W898" i="7"/>
  <c r="W901" i="7"/>
  <c r="W906" i="7"/>
  <c r="G919" i="7"/>
  <c r="M942" i="7"/>
  <c r="AX39" i="6"/>
  <c r="BD83" i="6"/>
  <c r="AU34" i="6"/>
  <c r="AX83" i="6"/>
  <c r="X901" i="7"/>
  <c r="L942" i="7"/>
  <c r="R352" i="23"/>
  <c r="R320" i="23"/>
  <c r="R315" i="23"/>
  <c r="R2" i="23" s="1"/>
  <c r="BJ4" i="11" s="1"/>
  <c r="AX210" i="2"/>
  <c r="M387" i="20"/>
  <c r="AD387" i="20" s="1"/>
  <c r="L387" i="20"/>
  <c r="AC387" i="20" s="1"/>
  <c r="AC121" i="7"/>
  <c r="AD114" i="7"/>
  <c r="AC116" i="7"/>
  <c r="AD118" i="7" s="1"/>
  <c r="AD124" i="7" s="1"/>
  <c r="AC126" i="7"/>
  <c r="AC127" i="7" s="1"/>
  <c r="J354" i="23"/>
  <c r="EC88" i="6"/>
  <c r="DW48" i="6"/>
  <c r="DW97" i="6" s="1"/>
  <c r="DU39" i="6"/>
  <c r="DU48" i="6" s="1"/>
  <c r="DZ48" i="6" s="1"/>
  <c r="DZ97" i="6" s="1"/>
  <c r="AC148" i="23"/>
  <c r="DM27" i="11" s="1"/>
  <c r="DO14" i="11"/>
  <c r="AC102" i="23"/>
  <c r="DM14" i="11"/>
  <c r="BG78" i="6"/>
  <c r="BM78" i="6"/>
  <c r="J942" i="7"/>
  <c r="V898" i="7"/>
  <c r="V906" i="7"/>
  <c r="V901" i="7"/>
  <c r="Z39" i="6"/>
  <c r="W34" i="6"/>
  <c r="AF83" i="6"/>
  <c r="Z83" i="6"/>
  <c r="H76" i="20"/>
  <c r="Y76" i="20" s="1"/>
  <c r="E315" i="2"/>
  <c r="F28" i="20"/>
  <c r="W28" i="20" s="1"/>
  <c r="AV107" i="2"/>
  <c r="E309" i="2"/>
  <c r="K942" i="7"/>
  <c r="K901" i="7"/>
  <c r="K898" i="7"/>
  <c r="K906" i="7"/>
  <c r="DF39" i="6"/>
  <c r="DL83" i="6"/>
  <c r="DF83" i="6"/>
  <c r="DC34" i="6"/>
  <c r="U2" i="7"/>
  <c r="U4" i="7"/>
  <c r="CZ106" i="17"/>
  <c r="C315" i="2"/>
  <c r="C309" i="2"/>
  <c r="AT107" i="2"/>
  <c r="DA48" i="17"/>
  <c r="DA102" i="17"/>
  <c r="DA50" i="17"/>
  <c r="DB38" i="17"/>
  <c r="M320" i="23"/>
  <c r="L352" i="23"/>
  <c r="L315" i="23"/>
  <c r="L320" i="23"/>
  <c r="DA79" i="17"/>
  <c r="DA104" i="17"/>
  <c r="DA95" i="17"/>
  <c r="DA93" i="17"/>
  <c r="DA88" i="17"/>
  <c r="DA225" i="17"/>
  <c r="DB205" i="17"/>
  <c r="DA215" i="17"/>
  <c r="DA217" i="17"/>
  <c r="I517" i="20"/>
  <c r="Z517" i="20" s="1"/>
  <c r="AW241" i="2"/>
  <c r="H27" i="20"/>
  <c r="Y27" i="20" s="1"/>
  <c r="CL97" i="6"/>
  <c r="CR97" i="6"/>
  <c r="CL49" i="6"/>
  <c r="AD68" i="23"/>
  <c r="CX113" i="17"/>
  <c r="F315" i="2"/>
  <c r="G28" i="20"/>
  <c r="X28" i="20" s="1"/>
  <c r="I75" i="20"/>
  <c r="Z75" i="20" s="1"/>
  <c r="F321" i="2"/>
  <c r="F309" i="2"/>
  <c r="F306" i="2"/>
  <c r="F307" i="2" s="1"/>
  <c r="I63" i="20" s="1"/>
  <c r="Z63" i="20" s="1"/>
  <c r="AW103" i="2"/>
  <c r="I153" i="20"/>
  <c r="Z153" i="20" s="1"/>
  <c r="G289" i="2"/>
  <c r="J153" i="20" s="1"/>
  <c r="AA153" i="20" s="1"/>
  <c r="DR12" i="11"/>
  <c r="AD85" i="23" s="1"/>
  <c r="AD79" i="23" s="1"/>
  <c r="AD80" i="23"/>
  <c r="DS14" i="11"/>
  <c r="AD146" i="23"/>
  <c r="DR25" i="11" s="1"/>
  <c r="AJ49" i="6"/>
  <c r="AP97" i="6"/>
  <c r="EM36" i="6"/>
  <c r="EM85" i="6" s="1"/>
  <c r="EP85" i="6"/>
  <c r="I72" i="20"/>
  <c r="Z72" i="20" s="1"/>
  <c r="G235" i="20"/>
  <c r="X235" i="20" s="1"/>
  <c r="F286" i="2"/>
  <c r="G239" i="20"/>
  <c r="X239" i="20" s="1"/>
  <c r="EB49" i="6"/>
  <c r="EB97" i="6"/>
  <c r="AQ49" i="6"/>
  <c r="AQ97" i="6"/>
  <c r="AW97" i="6"/>
  <c r="M49" i="6"/>
  <c r="BB49" i="6"/>
  <c r="BH97" i="6"/>
  <c r="BB97" i="6"/>
  <c r="S49" i="6"/>
  <c r="S97" i="6"/>
  <c r="I61" i="20"/>
  <c r="Z61" i="20" s="1"/>
  <c r="CF97" i="6"/>
  <c r="BZ97" i="6"/>
  <c r="BZ49" i="6"/>
  <c r="BA48" i="6"/>
  <c r="ED49" i="6"/>
  <c r="ED97" i="6"/>
  <c r="AD49" i="6"/>
  <c r="AD97" i="6"/>
  <c r="AJ97" i="6"/>
  <c r="N49" i="6"/>
  <c r="N97" i="6"/>
  <c r="BY48" i="6"/>
  <c r="E224" i="20"/>
  <c r="V224" i="20" s="1"/>
  <c r="CA97" i="6"/>
  <c r="CA49" i="6"/>
  <c r="X97" i="6"/>
  <c r="R49" i="6"/>
  <c r="AE112" i="23"/>
  <c r="DB207" i="17" s="1"/>
  <c r="DR115" i="11"/>
  <c r="DS115" i="11" s="1"/>
  <c r="AD138" i="23"/>
  <c r="DI48" i="6"/>
  <c r="Y49" i="6"/>
  <c r="Y97" i="6"/>
  <c r="AE97" i="6"/>
  <c r="BU97" i="6"/>
  <c r="BO49" i="6"/>
  <c r="BO97" i="6"/>
  <c r="I150" i="20"/>
  <c r="Z150" i="20" s="1"/>
  <c r="G299" i="2"/>
  <c r="J150" i="20" s="1"/>
  <c r="AA150" i="20" s="1"/>
  <c r="T97" i="6"/>
  <c r="T49" i="6"/>
  <c r="K48" i="6"/>
  <c r="J68" i="20"/>
  <c r="AA68" i="20" s="1"/>
  <c r="H239" i="20"/>
  <c r="Y239" i="20" s="1"/>
  <c r="H231" i="20"/>
  <c r="Y231" i="20" s="1"/>
  <c r="F287" i="2"/>
  <c r="H149" i="20"/>
  <c r="Y149" i="20" s="1"/>
  <c r="F224" i="20"/>
  <c r="W224" i="20" s="1"/>
  <c r="CS49" i="6"/>
  <c r="CY97" i="6"/>
  <c r="CS97" i="6"/>
  <c r="G284" i="2"/>
  <c r="I60" i="20"/>
  <c r="Z60" i="20" s="1"/>
  <c r="G221" i="20"/>
  <c r="X221" i="20" s="1"/>
  <c r="DY15" i="11"/>
  <c r="DZ15" i="11" s="1"/>
  <c r="EA15" i="11" s="1"/>
  <c r="AE353" i="23"/>
  <c r="AE360" i="23" s="1"/>
  <c r="AE326" i="23"/>
  <c r="AO48" i="6"/>
  <c r="AO88" i="6"/>
  <c r="DQ49" i="6"/>
  <c r="DQ97" i="6"/>
  <c r="DJ49" i="6"/>
  <c r="DP97" i="6"/>
  <c r="L49" i="6"/>
  <c r="R97" i="6"/>
  <c r="CP48" i="6"/>
  <c r="CP97" i="6" s="1"/>
  <c r="CW207" i="17"/>
  <c r="CX212" i="17"/>
  <c r="M186" i="20"/>
  <c r="AD186" i="20" s="1"/>
  <c r="L186" i="20"/>
  <c r="AC186" i="20" s="1"/>
  <c r="AX146" i="2"/>
  <c r="L509" i="20"/>
  <c r="AC509" i="20" s="1"/>
  <c r="K509" i="20"/>
  <c r="AB509" i="20" s="1"/>
  <c r="H235" i="20"/>
  <c r="Y235" i="20" s="1"/>
  <c r="K511" i="20"/>
  <c r="AB511" i="20" s="1"/>
  <c r="L190" i="20"/>
  <c r="AC190" i="20" s="1"/>
  <c r="M184" i="20"/>
  <c r="AD184" i="20" s="1"/>
  <c r="G317" i="2"/>
  <c r="L184" i="20"/>
  <c r="AC184" i="20" s="1"/>
  <c r="S898" i="7" l="1"/>
  <c r="S2" i="7"/>
  <c r="X906" i="7"/>
  <c r="AE107" i="25"/>
  <c r="N161" i="23"/>
  <c r="DB164" i="17"/>
  <c r="DB165" i="17" s="1"/>
  <c r="DB176" i="17" s="1"/>
  <c r="DA184" i="17"/>
  <c r="DA176" i="17"/>
  <c r="AL198" i="17"/>
  <c r="DA174" i="17"/>
  <c r="AK188" i="17"/>
  <c r="AB4" i="7"/>
  <c r="AM197" i="17"/>
  <c r="AN196" i="17"/>
  <c r="AN191" i="17"/>
  <c r="AN219" i="17"/>
  <c r="AN224" i="17"/>
  <c r="AN226" i="17" s="1"/>
  <c r="AN198" i="17"/>
  <c r="AO13" i="16"/>
  <c r="AO186" i="17" s="1"/>
  <c r="AO12" i="16"/>
  <c r="AO145" i="17" s="1"/>
  <c r="AM11" i="17"/>
  <c r="AJ17" i="26"/>
  <c r="AP8" i="16"/>
  <c r="AP125" i="17" s="1"/>
  <c r="AM13" i="17"/>
  <c r="AJ19" i="26"/>
  <c r="AM25" i="17"/>
  <c r="AM27" i="17" s="1"/>
  <c r="AM29" i="17" s="1"/>
  <c r="AM22" i="17"/>
  <c r="AN144" i="17"/>
  <c r="AN156" i="17"/>
  <c r="AN155" i="17"/>
  <c r="AN183" i="17"/>
  <c r="AN185" i="17" s="1"/>
  <c r="AN157" i="17"/>
  <c r="AN220" i="17"/>
  <c r="AN23" i="17"/>
  <c r="AN150" i="17"/>
  <c r="AL16" i="26"/>
  <c r="AO130" i="17"/>
  <c r="AO143" i="17"/>
  <c r="AO135" i="17"/>
  <c r="AO10" i="17" s="1"/>
  <c r="AN197" i="17"/>
  <c r="Z942" i="7"/>
  <c r="AM942" i="7" s="1"/>
  <c r="Z4" i="7"/>
  <c r="EM67" i="6"/>
  <c r="Q2" i="7"/>
  <c r="Z906" i="7"/>
  <c r="AM906" i="7" s="1"/>
  <c r="H906" i="7"/>
  <c r="H898" i="7"/>
  <c r="H901" i="7"/>
  <c r="N901" i="7"/>
  <c r="N898" i="7"/>
  <c r="N908" i="7" s="1"/>
  <c r="N956" i="7" s="1"/>
  <c r="N958" i="7" s="1"/>
  <c r="N960" i="7" s="1"/>
  <c r="T901" i="7"/>
  <c r="K183" i="20"/>
  <c r="AB183" i="20" s="1"/>
  <c r="S2" i="23"/>
  <c r="BO4" i="11" s="1"/>
  <c r="AD269" i="23"/>
  <c r="AW137" i="2"/>
  <c r="K175" i="20"/>
  <c r="AB175" i="20" s="1"/>
  <c r="I521" i="20"/>
  <c r="Z521" i="20" s="1"/>
  <c r="F305" i="2"/>
  <c r="G226" i="20" s="1"/>
  <c r="X226" i="20" s="1"/>
  <c r="K179" i="20"/>
  <c r="AB179" i="20" s="1"/>
  <c r="F314" i="2"/>
  <c r="J175" i="20"/>
  <c r="AA175" i="20" s="1"/>
  <c r="AD714" i="7"/>
  <c r="G222" i="20"/>
  <c r="X222" i="20" s="1"/>
  <c r="F308" i="2"/>
  <c r="J489" i="20"/>
  <c r="AA489" i="20" s="1"/>
  <c r="J179" i="20"/>
  <c r="AA179" i="20" s="1"/>
  <c r="K489" i="20"/>
  <c r="AB489" i="20" s="1"/>
  <c r="G285" i="2"/>
  <c r="J61" i="20" s="1"/>
  <c r="AA61" i="20" s="1"/>
  <c r="J177" i="20"/>
  <c r="AA177" i="20" s="1"/>
  <c r="K177" i="20"/>
  <c r="AB177" i="20" s="1"/>
  <c r="Z2" i="7"/>
  <c r="X2" i="7"/>
  <c r="AX219" i="2"/>
  <c r="Q898" i="7"/>
  <c r="Q903" i="7" s="1"/>
  <c r="AA901" i="7"/>
  <c r="T906" i="7"/>
  <c r="U901" i="7"/>
  <c r="R901" i="7"/>
  <c r="AM896" i="7"/>
  <c r="Q906" i="7"/>
  <c r="L490" i="20"/>
  <c r="AC490" i="20" s="1"/>
  <c r="AE202" i="23"/>
  <c r="AE465" i="7"/>
  <c r="L2" i="23"/>
  <c r="AF4" i="11" s="1"/>
  <c r="O2" i="23"/>
  <c r="AU4" i="11" s="1"/>
  <c r="DV10" i="11"/>
  <c r="DU12" i="11"/>
  <c r="DV12" i="11" s="1"/>
  <c r="CK78" i="6"/>
  <c r="Y1" i="23"/>
  <c r="BV39" i="6"/>
  <c r="CB88" i="6" s="1"/>
  <c r="AE106" i="25"/>
  <c r="CM97" i="6"/>
  <c r="BS78" i="6"/>
  <c r="BV83" i="6"/>
  <c r="BS34" i="6"/>
  <c r="BY83" i="6" s="1"/>
  <c r="DD97" i="6"/>
  <c r="CG49" i="6"/>
  <c r="BN49" i="6"/>
  <c r="BN97" i="6"/>
  <c r="H233" i="20"/>
  <c r="Y233" i="20" s="1"/>
  <c r="AE408" i="23"/>
  <c r="AE411" i="23" s="1"/>
  <c r="DJ97" i="6"/>
  <c r="CE34" i="6"/>
  <c r="CE83" i="6" s="1"/>
  <c r="W2" i="23"/>
  <c r="CI4" i="11" s="1"/>
  <c r="CH83" i="6"/>
  <c r="CN83" i="6"/>
  <c r="I2" i="23"/>
  <c r="Q4" i="11" s="1"/>
  <c r="Q942" i="7"/>
  <c r="Y4" i="7"/>
  <c r="T4" i="7"/>
  <c r="G241" i="2"/>
  <c r="K517" i="20" s="1"/>
  <c r="AB517" i="20" s="1"/>
  <c r="G137" i="2"/>
  <c r="L175" i="20" s="1"/>
  <c r="AC175" i="20" s="1"/>
  <c r="AE28" i="25"/>
  <c r="AE262" i="23"/>
  <c r="AE269" i="23" s="1"/>
  <c r="U2" i="23"/>
  <c r="BY4" i="11" s="1"/>
  <c r="AC288" i="7"/>
  <c r="AC282" i="7"/>
  <c r="AC624" i="7"/>
  <c r="AC645" i="7"/>
  <c r="Y898" i="7"/>
  <c r="Y906" i="7"/>
  <c r="Z901" i="7"/>
  <c r="AM901" i="7" s="1"/>
  <c r="Y942" i="7"/>
  <c r="AC350" i="7"/>
  <c r="AC351" i="7" s="1"/>
  <c r="AE698" i="7"/>
  <c r="AE736" i="7" s="1"/>
  <c r="Y901" i="7"/>
  <c r="EI61" i="6"/>
  <c r="EI22" i="6"/>
  <c r="AC314" i="7"/>
  <c r="AC316" i="7" s="1"/>
  <c r="AE313" i="7"/>
  <c r="I942" i="7"/>
  <c r="I901" i="7"/>
  <c r="I898" i="7"/>
  <c r="J903" i="7" s="1"/>
  <c r="I906" i="7"/>
  <c r="G193" i="2"/>
  <c r="AE64" i="25"/>
  <c r="ER31" i="6"/>
  <c r="ER80" i="6" s="1"/>
  <c r="EM80" i="6"/>
  <c r="O942" i="7"/>
  <c r="P901" i="7"/>
  <c r="O898" i="7"/>
  <c r="O906" i="7"/>
  <c r="O901" i="7"/>
  <c r="AR97" i="6"/>
  <c r="AC48" i="6"/>
  <c r="AI97" i="6" s="1"/>
  <c r="AL97" i="6"/>
  <c r="I442" i="20"/>
  <c r="I434" i="20"/>
  <c r="EJ39" i="6"/>
  <c r="EJ83" i="6"/>
  <c r="AC906" i="7"/>
  <c r="AC898" i="7"/>
  <c r="AC903" i="7" s="1"/>
  <c r="K341" i="20"/>
  <c r="AB341" i="20" s="1"/>
  <c r="J341" i="20"/>
  <c r="AA341" i="20" s="1"/>
  <c r="AW191" i="2"/>
  <c r="G191" i="2"/>
  <c r="AE62" i="25"/>
  <c r="ER32" i="6"/>
  <c r="ER81" i="6" s="1"/>
  <c r="AC942" i="7"/>
  <c r="L106" i="20"/>
  <c r="AC106" i="20" s="1"/>
  <c r="DZ9" i="11"/>
  <c r="EA9" i="11" s="1"/>
  <c r="AE174" i="23"/>
  <c r="G103" i="2" s="1"/>
  <c r="AX103" i="2" s="1"/>
  <c r="AX138" i="2"/>
  <c r="DX16" i="11"/>
  <c r="AE183" i="23" s="1"/>
  <c r="G320" i="2"/>
  <c r="M176" i="20"/>
  <c r="AD176" i="20" s="1"/>
  <c r="DW10" i="11"/>
  <c r="DB113" i="17" s="1"/>
  <c r="AA1" i="23"/>
  <c r="AE62" i="23"/>
  <c r="DZ13" i="11"/>
  <c r="EA13" i="11" s="1"/>
  <c r="G238" i="20"/>
  <c r="X238" i="20" s="1"/>
  <c r="I67" i="20"/>
  <c r="Z67" i="20" s="1"/>
  <c r="G230" i="20"/>
  <c r="X230" i="20" s="1"/>
  <c r="F112" i="2"/>
  <c r="F295" i="2" s="1"/>
  <c r="Q48" i="6"/>
  <c r="Q97" i="6" s="1"/>
  <c r="DX14" i="11"/>
  <c r="EA88" i="6"/>
  <c r="DA106" i="17"/>
  <c r="DA118" i="17" s="1"/>
  <c r="Z361" i="23"/>
  <c r="DY88" i="11"/>
  <c r="G313" i="2"/>
  <c r="J66" i="20" s="1"/>
  <c r="AA66" i="20" s="1"/>
  <c r="AE313" i="23"/>
  <c r="AE319" i="23" s="1"/>
  <c r="AE452" i="23"/>
  <c r="AE457" i="23" s="1"/>
  <c r="AE294" i="23"/>
  <c r="AE34" i="25"/>
  <c r="AE316" i="23"/>
  <c r="AE344" i="23"/>
  <c r="AE348" i="23" s="1"/>
  <c r="G143" i="2"/>
  <c r="AE451" i="23"/>
  <c r="AE456" i="23" s="1"/>
  <c r="AE100" i="23"/>
  <c r="AE106" i="23" s="1"/>
  <c r="DB166" i="17"/>
  <c r="DB171" i="17" s="1"/>
  <c r="G237" i="20"/>
  <c r="X237" i="20" s="1"/>
  <c r="G229" i="20"/>
  <c r="X229" i="20" s="1"/>
  <c r="EA97" i="6"/>
  <c r="Z48" i="6"/>
  <c r="AF88" i="6"/>
  <c r="Z88" i="6"/>
  <c r="W39" i="6"/>
  <c r="J111" i="20"/>
  <c r="AA111" i="20" s="1"/>
  <c r="AZ122" i="2"/>
  <c r="C290" i="2"/>
  <c r="E290" i="2"/>
  <c r="F290" i="2" s="1"/>
  <c r="G290" i="2" s="1"/>
  <c r="U919" i="7"/>
  <c r="U102" i="25"/>
  <c r="U903" i="7"/>
  <c r="U908" i="7"/>
  <c r="AD551" i="7"/>
  <c r="AD564" i="7"/>
  <c r="AD567" i="7" s="1"/>
  <c r="AE565" i="7"/>
  <c r="CT132" i="17"/>
  <c r="CW83" i="6"/>
  <c r="CQ83" i="6"/>
  <c r="P930" i="7"/>
  <c r="P920" i="7"/>
  <c r="E33" i="20"/>
  <c r="V33" i="20" s="1"/>
  <c r="E256" i="20"/>
  <c r="V256" i="20" s="1"/>
  <c r="E236" i="20"/>
  <c r="V236" i="20" s="1"/>
  <c r="E253" i="20"/>
  <c r="G73" i="20"/>
  <c r="X73" i="20" s="1"/>
  <c r="E29" i="20"/>
  <c r="V29" i="20" s="1"/>
  <c r="E258" i="20"/>
  <c r="V258" i="20" s="1"/>
  <c r="E257" i="20"/>
  <c r="V257" i="20" s="1"/>
  <c r="E259" i="20"/>
  <c r="V259" i="20" s="1"/>
  <c r="E254" i="20"/>
  <c r="V254" i="20" s="1"/>
  <c r="DB103" i="17"/>
  <c r="DB67" i="17"/>
  <c r="I359" i="23"/>
  <c r="I354" i="23"/>
  <c r="I361" i="23" s="1"/>
  <c r="DB206" i="17"/>
  <c r="DB211" i="17" s="1"/>
  <c r="DW103" i="11" s="1"/>
  <c r="DB225" i="17"/>
  <c r="DB215" i="17"/>
  <c r="CZ116" i="17"/>
  <c r="CZ105" i="17"/>
  <c r="CZ111" i="17"/>
  <c r="CZ142" i="17"/>
  <c r="CZ145" i="17" s="1"/>
  <c r="K908" i="7"/>
  <c r="K956" i="7" s="1"/>
  <c r="K919" i="7"/>
  <c r="K903" i="7"/>
  <c r="K102" i="25"/>
  <c r="J359" i="23"/>
  <c r="AX48" i="6"/>
  <c r="AU39" i="6"/>
  <c r="BD88" i="6"/>
  <c r="AX88" i="6"/>
  <c r="R102" i="25"/>
  <c r="R919" i="7"/>
  <c r="R908" i="7"/>
  <c r="R956" i="7" s="1"/>
  <c r="R958" i="7" s="1"/>
  <c r="R960" i="7" s="1"/>
  <c r="S359" i="23"/>
  <c r="S354" i="23"/>
  <c r="T359" i="23"/>
  <c r="M919" i="7"/>
  <c r="M908" i="7"/>
  <c r="M956" i="7" s="1"/>
  <c r="M958" i="7" s="1"/>
  <c r="M960" i="7" s="1"/>
  <c r="M954" i="7" s="1"/>
  <c r="M903" i="7"/>
  <c r="M102" i="25"/>
  <c r="W359" i="23"/>
  <c r="W354" i="23"/>
  <c r="X359" i="23"/>
  <c r="AX242" i="2"/>
  <c r="K521" i="20"/>
  <c r="AB521" i="20" s="1"/>
  <c r="J102" i="25"/>
  <c r="J908" i="7"/>
  <c r="J956" i="7" s="1"/>
  <c r="J919" i="7"/>
  <c r="O354" i="23"/>
  <c r="O359" i="23"/>
  <c r="P359" i="23"/>
  <c r="L919" i="7"/>
  <c r="L908" i="7"/>
  <c r="L956" i="7" s="1"/>
  <c r="L903" i="7"/>
  <c r="L102" i="25"/>
  <c r="AE551" i="7"/>
  <c r="AE564" i="7"/>
  <c r="AD158" i="23"/>
  <c r="AD78" i="23"/>
  <c r="AD84" i="23" s="1"/>
  <c r="AE71" i="23"/>
  <c r="AD444" i="23"/>
  <c r="AD447" i="23" s="1"/>
  <c r="CX127" i="17"/>
  <c r="AA2" i="23"/>
  <c r="DC4" i="11" s="1"/>
  <c r="F257" i="20"/>
  <c r="W257" i="20" s="1"/>
  <c r="F254" i="20"/>
  <c r="W254" i="20" s="1"/>
  <c r="F259" i="20"/>
  <c r="W259" i="20" s="1"/>
  <c r="F253" i="20"/>
  <c r="F33" i="20"/>
  <c r="W33" i="20" s="1"/>
  <c r="F29" i="20"/>
  <c r="W29" i="20" s="1"/>
  <c r="F236" i="20"/>
  <c r="W236" i="20" s="1"/>
  <c r="F258" i="20"/>
  <c r="W258" i="20" s="1"/>
  <c r="H73" i="20"/>
  <c r="Y73" i="20" s="1"/>
  <c r="F256" i="20"/>
  <c r="W256" i="20" s="1"/>
  <c r="DU83" i="6"/>
  <c r="DO83" i="6"/>
  <c r="AA930" i="7"/>
  <c r="AA912" i="7"/>
  <c r="M354" i="23"/>
  <c r="N361" i="23" s="1"/>
  <c r="M359" i="23"/>
  <c r="N359" i="23"/>
  <c r="DB39" i="17"/>
  <c r="DB50" i="17" s="1"/>
  <c r="DB102" i="17"/>
  <c r="DB48" i="17"/>
  <c r="DW49" i="6"/>
  <c r="EC97" i="6"/>
  <c r="G920" i="7"/>
  <c r="W102" i="25"/>
  <c r="W908" i="7"/>
  <c r="W919" i="7"/>
  <c r="AB1" i="23"/>
  <c r="AB2" i="23"/>
  <c r="DH4" i="11" s="1"/>
  <c r="AB102" i="25"/>
  <c r="D237" i="2"/>
  <c r="AB908" i="7"/>
  <c r="AB903" i="7"/>
  <c r="AB919" i="7"/>
  <c r="DB81" i="17"/>
  <c r="DB95" i="17" s="1"/>
  <c r="DB79" i="17"/>
  <c r="DB88" i="17"/>
  <c r="DB93" i="17"/>
  <c r="DB104" i="17"/>
  <c r="AC408" i="20"/>
  <c r="L411" i="20"/>
  <c r="M411" i="20" s="1"/>
  <c r="S919" i="7"/>
  <c r="S908" i="7"/>
  <c r="S956" i="7" s="1"/>
  <c r="S958" i="7" s="1"/>
  <c r="S960" i="7" s="1"/>
  <c r="S903" i="7"/>
  <c r="S102" i="25"/>
  <c r="CY144" i="17"/>
  <c r="CY155" i="17"/>
  <c r="CY157" i="17"/>
  <c r="CY156" i="17"/>
  <c r="CY183" i="17"/>
  <c r="CY186" i="17" s="1"/>
  <c r="CY150" i="17"/>
  <c r="CY220" i="17"/>
  <c r="CZ118" i="17"/>
  <c r="C310" i="2"/>
  <c r="E228" i="20" s="1"/>
  <c r="V228" i="20" s="1"/>
  <c r="E310" i="2"/>
  <c r="F310" i="2" s="1"/>
  <c r="K361" i="23"/>
  <c r="DR48" i="6"/>
  <c r="DX88" i="6"/>
  <c r="DR88" i="6"/>
  <c r="DO39" i="6"/>
  <c r="AA956" i="7"/>
  <c r="AA958" i="7" s="1"/>
  <c r="AA960" i="7" s="1"/>
  <c r="AA3" i="7"/>
  <c r="DC83" i="6"/>
  <c r="DI83" i="6"/>
  <c r="AE114" i="7"/>
  <c r="AD116" i="7"/>
  <c r="AE118" i="7" s="1"/>
  <c r="AD126" i="7"/>
  <c r="AD127" i="7" s="1"/>
  <c r="AD121" i="7"/>
  <c r="BM83" i="6"/>
  <c r="BG83" i="6"/>
  <c r="DA8" i="17"/>
  <c r="N117" i="2" s="1"/>
  <c r="CX14" i="26"/>
  <c r="L359" i="23"/>
  <c r="L354" i="23"/>
  <c r="DF48" i="6"/>
  <c r="DF88" i="6"/>
  <c r="DL88" i="6"/>
  <c r="DC39" i="6"/>
  <c r="W83" i="6"/>
  <c r="AC83" i="6"/>
  <c r="W903" i="7"/>
  <c r="V903" i="7"/>
  <c r="V919" i="7"/>
  <c r="V908" i="7"/>
  <c r="V102" i="25"/>
  <c r="R359" i="23"/>
  <c r="R354" i="23"/>
  <c r="R361" i="23" s="1"/>
  <c r="X908" i="7"/>
  <c r="X102" i="25"/>
  <c r="X919" i="7"/>
  <c r="AU83" i="6"/>
  <c r="BA83" i="6"/>
  <c r="BA122" i="2"/>
  <c r="K111" i="20"/>
  <c r="AB111" i="20" s="1"/>
  <c r="AM898" i="7"/>
  <c r="Z102" i="25"/>
  <c r="Z908" i="7"/>
  <c r="Z919" i="7"/>
  <c r="T919" i="7"/>
  <c r="T102" i="25"/>
  <c r="T903" i="7"/>
  <c r="T908" i="7"/>
  <c r="T956" i="7" s="1"/>
  <c r="T958" i="7" s="1"/>
  <c r="T960" i="7" s="1"/>
  <c r="BJ88" i="6"/>
  <c r="BJ48" i="6"/>
  <c r="BP88" i="6"/>
  <c r="BG39" i="6"/>
  <c r="AC552" i="7"/>
  <c r="AC573" i="7"/>
  <c r="AC583" i="7"/>
  <c r="CV15" i="26"/>
  <c r="CY9" i="17"/>
  <c r="L118" i="2" s="1"/>
  <c r="C316" i="2"/>
  <c r="E232" i="20" s="1"/>
  <c r="V232" i="20" s="1"/>
  <c r="E316" i="2"/>
  <c r="F316" i="2" s="1"/>
  <c r="N105" i="20"/>
  <c r="AE105" i="20" s="1"/>
  <c r="BD117" i="2"/>
  <c r="CT48" i="6"/>
  <c r="CZ88" i="6"/>
  <c r="CT88" i="6"/>
  <c r="CQ39" i="6"/>
  <c r="AA359" i="23"/>
  <c r="AA354" i="23"/>
  <c r="AB359" i="23"/>
  <c r="U354" i="23"/>
  <c r="U361" i="23" s="1"/>
  <c r="U359" i="23"/>
  <c r="DB58" i="17"/>
  <c r="AA903" i="7"/>
  <c r="CH88" i="6"/>
  <c r="CN88" i="6"/>
  <c r="CH48" i="6"/>
  <c r="CE39" i="6"/>
  <c r="CX11" i="17"/>
  <c r="K120" i="2" s="1"/>
  <c r="CU17" i="26"/>
  <c r="CX187" i="17"/>
  <c r="CX186" i="17"/>
  <c r="J67" i="20"/>
  <c r="AA67" i="20" s="1"/>
  <c r="CX147" i="17"/>
  <c r="AD99" i="23"/>
  <c r="AD105" i="23" s="1"/>
  <c r="AD159" i="23"/>
  <c r="AD729" i="7"/>
  <c r="AD748" i="7"/>
  <c r="G223" i="20"/>
  <c r="X223" i="20" s="1"/>
  <c r="I62" i="20"/>
  <c r="Z62" i="20" s="1"/>
  <c r="I154" i="20"/>
  <c r="Z154" i="20" s="1"/>
  <c r="AD271" i="23"/>
  <c r="AD280" i="23"/>
  <c r="AD265" i="23"/>
  <c r="AD102" i="23"/>
  <c r="DR14" i="11"/>
  <c r="AD107" i="23" s="1"/>
  <c r="AD101" i="23" s="1"/>
  <c r="AD148" i="23"/>
  <c r="DR27" i="11" s="1"/>
  <c r="AD5" i="23"/>
  <c r="AD61" i="23"/>
  <c r="AE462" i="23"/>
  <c r="AE467" i="23" s="1"/>
  <c r="AE122" i="23"/>
  <c r="AE126" i="23" s="1"/>
  <c r="AE130" i="23"/>
  <c r="AE136" i="23" s="1"/>
  <c r="BF48" i="6"/>
  <c r="BF97" i="6" s="1"/>
  <c r="EF48" i="6"/>
  <c r="EF97" i="6" s="1"/>
  <c r="CD48" i="6"/>
  <c r="CD97" i="6" s="1"/>
  <c r="AT48" i="6"/>
  <c r="AT97" i="6" s="1"/>
  <c r="AO97" i="6"/>
  <c r="J60" i="20"/>
  <c r="AA60" i="20" s="1"/>
  <c r="H221" i="20"/>
  <c r="Y221" i="20" s="1"/>
  <c r="DB212" i="17"/>
  <c r="AD72" i="8"/>
  <c r="AD73" i="8" s="1"/>
  <c r="AD132" i="23"/>
  <c r="AD70" i="8"/>
  <c r="AD71" i="8" s="1"/>
  <c r="AD68" i="8"/>
  <c r="AD69" i="8" s="1"/>
  <c r="P48" i="6"/>
  <c r="P97" i="6" s="1"/>
  <c r="BR48" i="6"/>
  <c r="BR97" i="6" s="1"/>
  <c r="AE349" i="23"/>
  <c r="G287" i="2"/>
  <c r="I149" i="20"/>
  <c r="Z149" i="20" s="1"/>
  <c r="G224" i="20"/>
  <c r="X224" i="20" s="1"/>
  <c r="DN48" i="6"/>
  <c r="DN97" i="6" s="1"/>
  <c r="DB174" i="17" l="1"/>
  <c r="DB184" i="17"/>
  <c r="AN11" i="17"/>
  <c r="AK17" i="26"/>
  <c r="AO144" i="17"/>
  <c r="AN25" i="17"/>
  <c r="AN27" i="17" s="1"/>
  <c r="AN29" i="17" s="1"/>
  <c r="AN22" i="17"/>
  <c r="AP13" i="16"/>
  <c r="AP186" i="17" s="1"/>
  <c r="AP12" i="16"/>
  <c r="AP145" i="17" s="1"/>
  <c r="AQ8" i="16"/>
  <c r="AQ125" i="17" s="1"/>
  <c r="AO197" i="17"/>
  <c r="AO219" i="17"/>
  <c r="AO196" i="17"/>
  <c r="AO191" i="17"/>
  <c r="AO198" i="17"/>
  <c r="AO224" i="17"/>
  <c r="AO226" i="17" s="1"/>
  <c r="AK19" i="26"/>
  <c r="AN13" i="17"/>
  <c r="AP126" i="17"/>
  <c r="AM16" i="26"/>
  <c r="AP130" i="17"/>
  <c r="AP135" i="17"/>
  <c r="AP10" i="17" s="1"/>
  <c r="AP143" i="17"/>
  <c r="AO156" i="17"/>
  <c r="AO157" i="17"/>
  <c r="AO150" i="17"/>
  <c r="AO183" i="17"/>
  <c r="AO185" i="17" s="1"/>
  <c r="AO23" i="17"/>
  <c r="AO220" i="17"/>
  <c r="AO155" i="17"/>
  <c r="N903" i="7"/>
  <c r="N919" i="7"/>
  <c r="N930" i="7" s="1"/>
  <c r="O903" i="7"/>
  <c r="N102" i="25"/>
  <c r="H919" i="7"/>
  <c r="H102" i="25"/>
  <c r="H903" i="7"/>
  <c r="H908" i="7"/>
  <c r="H956" i="7" s="1"/>
  <c r="Q102" i="25"/>
  <c r="Q919" i="7"/>
  <c r="Q920" i="7" s="1"/>
  <c r="R903" i="7"/>
  <c r="Q908" i="7"/>
  <c r="Q956" i="7" s="1"/>
  <c r="Q958" i="7" s="1"/>
  <c r="Q960" i="7" s="1"/>
  <c r="Q954" i="7" s="1"/>
  <c r="DA105" i="17"/>
  <c r="DT12" i="11"/>
  <c r="DW12" i="11"/>
  <c r="AE85" i="23" s="1"/>
  <c r="AE79" i="23" s="1"/>
  <c r="AE99" i="23" s="1"/>
  <c r="AE105" i="23" s="1"/>
  <c r="DU14" i="11"/>
  <c r="DU16" i="11" s="1"/>
  <c r="DV16" i="11" s="1"/>
  <c r="BV48" i="6"/>
  <c r="BV49" i="6" s="1"/>
  <c r="BS39" i="6"/>
  <c r="BS48" i="6" s="1"/>
  <c r="BV88" i="6"/>
  <c r="BS83" i="6"/>
  <c r="CK83" i="6"/>
  <c r="H222" i="20"/>
  <c r="Y222" i="20" s="1"/>
  <c r="M179" i="20"/>
  <c r="AD179" i="20" s="1"/>
  <c r="L489" i="20"/>
  <c r="AC489" i="20" s="1"/>
  <c r="AX137" i="2"/>
  <c r="M177" i="20"/>
  <c r="AD177" i="20" s="1"/>
  <c r="G305" i="2"/>
  <c r="AX241" i="2"/>
  <c r="AE264" i="23"/>
  <c r="AE280" i="23" s="1"/>
  <c r="M183" i="20"/>
  <c r="AD183" i="20" s="1"/>
  <c r="G308" i="2"/>
  <c r="L179" i="20"/>
  <c r="AC179" i="20" s="1"/>
  <c r="M489" i="20"/>
  <c r="AD489" i="20" s="1"/>
  <c r="L177" i="20"/>
  <c r="AC177" i="20" s="1"/>
  <c r="M175" i="20"/>
  <c r="AD175" i="20" s="1"/>
  <c r="EI71" i="6"/>
  <c r="EI29" i="6"/>
  <c r="Y919" i="7"/>
  <c r="Y908" i="7"/>
  <c r="Y102" i="25"/>
  <c r="AE714" i="7"/>
  <c r="Y903" i="7"/>
  <c r="AC657" i="7"/>
  <c r="AC651" i="7"/>
  <c r="AC765" i="7"/>
  <c r="AC636" i="7"/>
  <c r="AC630" i="7"/>
  <c r="Z903" i="7"/>
  <c r="AM903" i="7" s="1"/>
  <c r="I903" i="7"/>
  <c r="I908" i="7"/>
  <c r="I956" i="7" s="1"/>
  <c r="I102" i="25"/>
  <c r="I919" i="7"/>
  <c r="AX193" i="2"/>
  <c r="L343" i="20"/>
  <c r="AC343" i="20" s="1"/>
  <c r="M343" i="20"/>
  <c r="AD343" i="20" s="1"/>
  <c r="AH48" i="6"/>
  <c r="AH97" i="6" s="1"/>
  <c r="DA111" i="17"/>
  <c r="CX15" i="26" s="1"/>
  <c r="P903" i="7"/>
  <c r="O919" i="7"/>
  <c r="O102" i="25"/>
  <c r="O908" i="7"/>
  <c r="O956" i="7" s="1"/>
  <c r="O958" i="7" s="1"/>
  <c r="O960" i="7" s="1"/>
  <c r="P954" i="7" s="1"/>
  <c r="M341" i="20"/>
  <c r="AD341" i="20" s="1"/>
  <c r="AX191" i="2"/>
  <c r="L341" i="20"/>
  <c r="AC341" i="20" s="1"/>
  <c r="EJ48" i="6"/>
  <c r="EJ88" i="6"/>
  <c r="AC908" i="7"/>
  <c r="AC102" i="25"/>
  <c r="AC919" i="7"/>
  <c r="E237" i="2"/>
  <c r="G321" i="2"/>
  <c r="AE14" i="25"/>
  <c r="G309" i="2"/>
  <c r="G310" i="2" s="1"/>
  <c r="J65" i="20" s="1"/>
  <c r="AA65" i="20" s="1"/>
  <c r="H28" i="20"/>
  <c r="Y28" i="20" s="1"/>
  <c r="G315" i="2"/>
  <c r="G316" i="2" s="1"/>
  <c r="J69" i="20" s="1"/>
  <c r="AA69" i="20" s="1"/>
  <c r="G286" i="2"/>
  <c r="J62" i="20" s="1"/>
  <c r="AA62" i="20" s="1"/>
  <c r="G306" i="2"/>
  <c r="G307" i="2" s="1"/>
  <c r="J63" i="20" s="1"/>
  <c r="AA63" i="20" s="1"/>
  <c r="DZ10" i="11"/>
  <c r="EA10" i="11" s="1"/>
  <c r="DA207" i="17"/>
  <c r="AE162" i="23"/>
  <c r="S954" i="7"/>
  <c r="AE68" i="23"/>
  <c r="AE5" i="23" s="1"/>
  <c r="DA116" i="17"/>
  <c r="DB107" i="17"/>
  <c r="DB112" i="17" s="1"/>
  <c r="DA142" i="17"/>
  <c r="DA145" i="17" s="1"/>
  <c r="DA155" i="17" s="1"/>
  <c r="AE102" i="23"/>
  <c r="AW112" i="2"/>
  <c r="V48" i="6"/>
  <c r="V97" i="6" s="1"/>
  <c r="J361" i="23"/>
  <c r="H238" i="20"/>
  <c r="Y238" i="20" s="1"/>
  <c r="G314" i="2"/>
  <c r="M181" i="20"/>
  <c r="AD181" i="20" s="1"/>
  <c r="L181" i="20"/>
  <c r="AC181" i="20" s="1"/>
  <c r="L189" i="20"/>
  <c r="AC189" i="20" s="1"/>
  <c r="L180" i="20"/>
  <c r="AC180" i="20" s="1"/>
  <c r="G311" i="2"/>
  <c r="K503" i="20"/>
  <c r="AB503" i="20" s="1"/>
  <c r="AX143" i="2"/>
  <c r="M180" i="20"/>
  <c r="AD180" i="20" s="1"/>
  <c r="L503" i="20"/>
  <c r="AC503" i="20" s="1"/>
  <c r="K513" i="20"/>
  <c r="AB513" i="20" s="1"/>
  <c r="K505" i="20"/>
  <c r="AB505" i="20" s="1"/>
  <c r="L188" i="20"/>
  <c r="AC188" i="20" s="1"/>
  <c r="L183" i="20"/>
  <c r="AC183" i="20" s="1"/>
  <c r="H230" i="20"/>
  <c r="Y230" i="20" s="1"/>
  <c r="I65" i="20"/>
  <c r="Z65" i="20" s="1"/>
  <c r="G228" i="20"/>
  <c r="X228" i="20" s="1"/>
  <c r="I69" i="20"/>
  <c r="Z69" i="20" s="1"/>
  <c r="G232" i="20"/>
  <c r="X232" i="20" s="1"/>
  <c r="AE116" i="7"/>
  <c r="AE126" i="7"/>
  <c r="AE127" i="7" s="1"/>
  <c r="S930" i="7"/>
  <c r="S920" i="7"/>
  <c r="W3" i="7"/>
  <c r="W956" i="7"/>
  <c r="W958" i="7" s="1"/>
  <c r="W960" i="7" s="1"/>
  <c r="AE158" i="23"/>
  <c r="AE444" i="23"/>
  <c r="AE447" i="23" s="1"/>
  <c r="DB127" i="17"/>
  <c r="AE78" i="23"/>
  <c r="AE84" i="23" s="1"/>
  <c r="L930" i="7"/>
  <c r="L920" i="7"/>
  <c r="J930" i="7"/>
  <c r="J920" i="7"/>
  <c r="R930" i="7"/>
  <c r="R920" i="7"/>
  <c r="CZ183" i="17"/>
  <c r="CZ186" i="17" s="1"/>
  <c r="CZ144" i="17"/>
  <c r="CZ150" i="17"/>
  <c r="CZ155" i="17"/>
  <c r="CZ220" i="17"/>
  <c r="Z49" i="6"/>
  <c r="Z97" i="6"/>
  <c r="AF97" i="6"/>
  <c r="BB120" i="2"/>
  <c r="L109" i="20"/>
  <c r="AC109" i="20" s="1"/>
  <c r="G69" i="20"/>
  <c r="X69" i="20" s="1"/>
  <c r="BJ49" i="6"/>
  <c r="BJ97" i="6"/>
  <c r="BP97" i="6"/>
  <c r="V930" i="7"/>
  <c r="V920" i="7"/>
  <c r="DC48" i="6"/>
  <c r="DC88" i="6"/>
  <c r="DI88" i="6"/>
  <c r="DR49" i="6"/>
  <c r="DX97" i="6"/>
  <c r="DR97" i="6"/>
  <c r="F440" i="20"/>
  <c r="W440" i="20" s="1"/>
  <c r="G440" i="20"/>
  <c r="X440" i="20" s="1"/>
  <c r="AU237" i="2"/>
  <c r="E43" i="20"/>
  <c r="V43" i="20" s="1"/>
  <c r="O361" i="23"/>
  <c r="P361" i="23"/>
  <c r="S361" i="23"/>
  <c r="T361" i="23"/>
  <c r="AU48" i="6"/>
  <c r="BA88" i="6"/>
  <c r="AU88" i="6"/>
  <c r="CZ9" i="17"/>
  <c r="M118" i="2" s="1"/>
  <c r="CW15" i="26"/>
  <c r="DB217" i="17"/>
  <c r="N920" i="7"/>
  <c r="W48" i="6"/>
  <c r="AC88" i="6"/>
  <c r="W88" i="6"/>
  <c r="H69" i="20"/>
  <c r="Y69" i="20" s="1"/>
  <c r="F232" i="20"/>
  <c r="W232" i="20" s="1"/>
  <c r="V3" i="7"/>
  <c r="V956" i="7"/>
  <c r="V958" i="7" s="1"/>
  <c r="V960" i="7" s="1"/>
  <c r="CY11" i="17"/>
  <c r="L120" i="2" s="1"/>
  <c r="CV17" i="26"/>
  <c r="AB956" i="7"/>
  <c r="AB958" i="7" s="1"/>
  <c r="AB960" i="7" s="1"/>
  <c r="AB954" i="7" s="1"/>
  <c r="AB3" i="7"/>
  <c r="AA914" i="7"/>
  <c r="AA923" i="7"/>
  <c r="AE573" i="7"/>
  <c r="AE552" i="7"/>
  <c r="CX191" i="17"/>
  <c r="CX198" i="17"/>
  <c r="CX185" i="17"/>
  <c r="CX224" i="17"/>
  <c r="CX219" i="17"/>
  <c r="CE88" i="6"/>
  <c r="CK88" i="6"/>
  <c r="CE48" i="6"/>
  <c r="CT49" i="6"/>
  <c r="CT97" i="6"/>
  <c r="CZ97" i="6"/>
  <c r="T930" i="7"/>
  <c r="T920" i="7"/>
  <c r="Z912" i="7"/>
  <c r="AM919" i="7"/>
  <c r="Z930" i="7"/>
  <c r="AM930" i="7" s="1"/>
  <c r="X930" i="7"/>
  <c r="X920" i="7"/>
  <c r="O105" i="20"/>
  <c r="AF105" i="20" s="1"/>
  <c r="BE117" i="2"/>
  <c r="DU88" i="6"/>
  <c r="DO88" i="6"/>
  <c r="DO48" i="6"/>
  <c r="G65" i="20"/>
  <c r="X65" i="20" s="1"/>
  <c r="CZ156" i="17"/>
  <c r="DB89" i="17"/>
  <c r="DW65" i="11" s="1"/>
  <c r="AE156" i="23"/>
  <c r="DA82" i="17"/>
  <c r="AB930" i="7"/>
  <c r="AB912" i="7"/>
  <c r="DB106" i="17"/>
  <c r="F255" i="20"/>
  <c r="W253" i="20"/>
  <c r="V361" i="23"/>
  <c r="CX132" i="17"/>
  <c r="CW127" i="17"/>
  <c r="M930" i="7"/>
  <c r="M920" i="7"/>
  <c r="AX49" i="6"/>
  <c r="BD97" i="6"/>
  <c r="AX97" i="6"/>
  <c r="K930" i="7"/>
  <c r="K920" i="7"/>
  <c r="V253" i="20"/>
  <c r="E255" i="20"/>
  <c r="AD573" i="7"/>
  <c r="AD552" i="7"/>
  <c r="U930" i="7"/>
  <c r="U920" i="7"/>
  <c r="X3" i="7"/>
  <c r="X956" i="7"/>
  <c r="X958" i="7" s="1"/>
  <c r="X960" i="7" s="1"/>
  <c r="DF49" i="6"/>
  <c r="DL97" i="6"/>
  <c r="DF97" i="6"/>
  <c r="CN97" i="6"/>
  <c r="CH97" i="6"/>
  <c r="CH49" i="6"/>
  <c r="DB69" i="17"/>
  <c r="DB63" i="17"/>
  <c r="DW50" i="11" s="1"/>
  <c r="AE155" i="23"/>
  <c r="DA59" i="17"/>
  <c r="AA361" i="23"/>
  <c r="AB361" i="23"/>
  <c r="CQ88" i="6"/>
  <c r="CQ48" i="6"/>
  <c r="CW88" i="6"/>
  <c r="M106" i="20"/>
  <c r="AD106" i="20" s="1"/>
  <c r="BC118" i="2"/>
  <c r="BG48" i="6"/>
  <c r="BM88" i="6"/>
  <c r="BG88" i="6"/>
  <c r="T954" i="7"/>
  <c r="Z3" i="7"/>
  <c r="AM3" i="7" s="1"/>
  <c r="Z956" i="7"/>
  <c r="AM908" i="7"/>
  <c r="M361" i="23"/>
  <c r="L361" i="23"/>
  <c r="AE121" i="7"/>
  <c r="AE124" i="7"/>
  <c r="DB170" i="17"/>
  <c r="DW88" i="11" s="1"/>
  <c r="AE160" i="23"/>
  <c r="DA166" i="17"/>
  <c r="H65" i="20"/>
  <c r="Y65" i="20" s="1"/>
  <c r="F228" i="20"/>
  <c r="W228" i="20" s="1"/>
  <c r="CZ157" i="17"/>
  <c r="CY197" i="17"/>
  <c r="CY198" i="17"/>
  <c r="CY196" i="17"/>
  <c r="CY191" i="17"/>
  <c r="CY185" i="17"/>
  <c r="CY224" i="17"/>
  <c r="CY219" i="17"/>
  <c r="CY14" i="26"/>
  <c r="DB8" i="17"/>
  <c r="O117" i="2" s="1"/>
  <c r="W930" i="7"/>
  <c r="W920" i="7"/>
  <c r="DB44" i="17"/>
  <c r="DW35" i="11" s="1"/>
  <c r="AE154" i="23"/>
  <c r="DA40" i="17"/>
  <c r="AE567" i="7"/>
  <c r="W361" i="23"/>
  <c r="X361" i="23"/>
  <c r="U3" i="7"/>
  <c r="U956" i="7"/>
  <c r="U958" i="7" s="1"/>
  <c r="U960" i="7" s="1"/>
  <c r="U954" i="7" s="1"/>
  <c r="N954" i="7"/>
  <c r="AD286" i="23"/>
  <c r="AD282" i="23"/>
  <c r="CX152" i="17"/>
  <c r="CW147" i="17"/>
  <c r="AD161" i="23"/>
  <c r="AD129" i="23"/>
  <c r="AD135" i="23" s="1"/>
  <c r="CX188" i="17"/>
  <c r="CX108" i="17"/>
  <c r="CW108" i="17" s="1"/>
  <c r="AD77" i="23"/>
  <c r="AD83" i="23" s="1"/>
  <c r="AD157" i="23"/>
  <c r="AE748" i="7"/>
  <c r="AE729" i="7"/>
  <c r="AD732" i="7"/>
  <c r="AD741" i="7"/>
  <c r="G33" i="20"/>
  <c r="X33" i="20" s="1"/>
  <c r="G29" i="20"/>
  <c r="X29" i="20" s="1"/>
  <c r="I73" i="20"/>
  <c r="Z73" i="20" s="1"/>
  <c r="AE23" i="25"/>
  <c r="G112" i="2"/>
  <c r="AX112" i="2" s="1"/>
  <c r="J149" i="20"/>
  <c r="AA149" i="20" s="1"/>
  <c r="H224" i="20"/>
  <c r="Y224" i="20" s="1"/>
  <c r="CX229" i="17"/>
  <c r="AP144" i="17" l="1"/>
  <c r="AP146" i="17"/>
  <c r="AP191" i="17"/>
  <c r="AP224" i="17"/>
  <c r="AP226" i="17" s="1"/>
  <c r="AP219" i="17"/>
  <c r="AP196" i="17"/>
  <c r="AO25" i="17"/>
  <c r="AO27" i="17" s="1"/>
  <c r="AO29" i="17" s="1"/>
  <c r="AO22" i="17"/>
  <c r="AQ13" i="16"/>
  <c r="AQ186" i="17" s="1"/>
  <c r="AQ12" i="16"/>
  <c r="AQ145" i="17" s="1"/>
  <c r="AL17" i="26"/>
  <c r="AO11" i="17"/>
  <c r="O158" i="23"/>
  <c r="AO127" i="17"/>
  <c r="AP131" i="17"/>
  <c r="AP23" i="17"/>
  <c r="AP155" i="17"/>
  <c r="AP150" i="17"/>
  <c r="AP183" i="17"/>
  <c r="AP185" i="17" s="1"/>
  <c r="AP220" i="17"/>
  <c r="AL19" i="26"/>
  <c r="AO13" i="17"/>
  <c r="AQ130" i="17"/>
  <c r="AQ143" i="17"/>
  <c r="AN16" i="26"/>
  <c r="AQ135" i="17"/>
  <c r="AQ10" i="17" s="1"/>
  <c r="AP187" i="17"/>
  <c r="AR8" i="16"/>
  <c r="AR125" i="17" s="1"/>
  <c r="H920" i="7"/>
  <c r="H930" i="7"/>
  <c r="Q930" i="7"/>
  <c r="R954" i="7"/>
  <c r="AE145" i="23"/>
  <c r="DW24" i="11" s="1"/>
  <c r="DW1" i="11" s="1"/>
  <c r="DV14" i="11"/>
  <c r="DT16" i="11"/>
  <c r="DT115" i="11" s="1"/>
  <c r="DT118" i="11" s="1"/>
  <c r="DU104" i="11"/>
  <c r="AE141" i="23"/>
  <c r="DW20" i="11" s="1"/>
  <c r="DW16" i="11"/>
  <c r="AE138" i="23" s="1"/>
  <c r="AE148" i="23"/>
  <c r="DW27" i="11" s="1"/>
  <c r="AE146" i="23"/>
  <c r="DW25" i="11" s="1"/>
  <c r="DB147" i="17"/>
  <c r="DB152" i="17" s="1"/>
  <c r="AE142" i="23"/>
  <c r="DW21" i="11" s="1"/>
  <c r="DU105" i="11"/>
  <c r="AE151" i="23"/>
  <c r="DW29" i="11" s="1"/>
  <c r="AE149" i="23"/>
  <c r="DW28" i="11" s="1"/>
  <c r="DU66" i="11"/>
  <c r="AE147" i="23"/>
  <c r="DW26" i="11" s="1"/>
  <c r="AE143" i="23"/>
  <c r="DW22" i="11" s="1"/>
  <c r="AE144" i="23"/>
  <c r="DW23" i="11" s="1"/>
  <c r="DW14" i="11"/>
  <c r="AE107" i="23" s="1"/>
  <c r="AE101" i="23" s="1"/>
  <c r="AE129" i="23" s="1"/>
  <c r="AE135" i="23" s="1"/>
  <c r="DT14" i="11"/>
  <c r="CB97" i="6"/>
  <c r="BV97" i="6"/>
  <c r="BY88" i="6"/>
  <c r="BS88" i="6"/>
  <c r="AE271" i="23"/>
  <c r="AE265" i="23"/>
  <c r="DA9" i="17"/>
  <c r="N118" i="2" s="1"/>
  <c r="BE118" i="2" s="1"/>
  <c r="DA150" i="17"/>
  <c r="DA11" i="17" s="1"/>
  <c r="N120" i="2" s="1"/>
  <c r="Y3" i="7"/>
  <c r="Y956" i="7"/>
  <c r="Y958" i="7" s="1"/>
  <c r="Y960" i="7" s="1"/>
  <c r="Y954" i="7" s="1"/>
  <c r="Y912" i="7"/>
  <c r="Y930" i="7"/>
  <c r="EI78" i="6"/>
  <c r="EI34" i="6"/>
  <c r="AC167" i="25"/>
  <c r="AC771" i="7"/>
  <c r="AC777" i="7"/>
  <c r="I930" i="7"/>
  <c r="I920" i="7"/>
  <c r="DA183" i="17"/>
  <c r="DA186" i="17" s="1"/>
  <c r="DA198" i="17" s="1"/>
  <c r="O920" i="7"/>
  <c r="O930" i="7"/>
  <c r="O954" i="7"/>
  <c r="I440" i="20"/>
  <c r="Z440" i="20" s="1"/>
  <c r="F43" i="20"/>
  <c r="W43" i="20" s="1"/>
  <c r="H440" i="20"/>
  <c r="Y440" i="20" s="1"/>
  <c r="AV237" i="2"/>
  <c r="X954" i="7"/>
  <c r="AC956" i="7"/>
  <c r="AC958" i="7" s="1"/>
  <c r="AC960" i="7" s="1"/>
  <c r="AC954" i="7" s="1"/>
  <c r="AC3" i="7"/>
  <c r="EJ49" i="6"/>
  <c r="EJ97" i="6"/>
  <c r="AC912" i="7"/>
  <c r="AC930" i="7"/>
  <c r="DY10" i="11"/>
  <c r="DZ12" i="11"/>
  <c r="H223" i="20"/>
  <c r="Y223" i="20" s="1"/>
  <c r="H226" i="20"/>
  <c r="Y226" i="20" s="1"/>
  <c r="J154" i="20"/>
  <c r="AA154" i="20" s="1"/>
  <c r="AE61" i="23"/>
  <c r="DA156" i="17"/>
  <c r="DA144" i="17"/>
  <c r="DA157" i="17"/>
  <c r="DA220" i="17"/>
  <c r="H228" i="20"/>
  <c r="Y228" i="20" s="1"/>
  <c r="H229" i="20"/>
  <c r="Y229" i="20" s="1"/>
  <c r="H237" i="20"/>
  <c r="Y237" i="20" s="1"/>
  <c r="H232" i="20"/>
  <c r="Y232" i="20" s="1"/>
  <c r="BX48" i="6"/>
  <c r="BX97" i="6" s="1"/>
  <c r="BY97" i="6"/>
  <c r="BS97" i="6"/>
  <c r="DU97" i="6"/>
  <c r="DO97" i="6"/>
  <c r="DT48" i="6"/>
  <c r="DT97" i="6" s="1"/>
  <c r="AA920" i="7"/>
  <c r="AA925" i="7"/>
  <c r="AB48" i="6"/>
  <c r="AB97" i="6" s="1"/>
  <c r="W97" i="6"/>
  <c r="AC97" i="6"/>
  <c r="AZ48" i="6"/>
  <c r="AZ97" i="6" s="1"/>
  <c r="AU97" i="6"/>
  <c r="BA97" i="6"/>
  <c r="BG97" i="6"/>
  <c r="BL48" i="6"/>
  <c r="BL97" i="6" s="1"/>
  <c r="BM97" i="6"/>
  <c r="AM956" i="7"/>
  <c r="Z958" i="7"/>
  <c r="CK97" i="6"/>
  <c r="CE97" i="6"/>
  <c r="CJ48" i="6"/>
  <c r="CJ97" i="6" s="1"/>
  <c r="BC120" i="2"/>
  <c r="M109" i="20"/>
  <c r="AD109" i="20" s="1"/>
  <c r="CZ11" i="17"/>
  <c r="M120" i="2" s="1"/>
  <c r="CW17" i="26"/>
  <c r="AM912" i="7"/>
  <c r="Z914" i="7"/>
  <c r="Z923" i="7"/>
  <c r="AM923" i="7" s="1"/>
  <c r="DC97" i="6"/>
  <c r="DH48" i="6"/>
  <c r="DH97" i="6" s="1"/>
  <c r="DI97" i="6"/>
  <c r="CZ196" i="17"/>
  <c r="CZ224" i="17"/>
  <c r="CZ185" i="17"/>
  <c r="CZ191" i="17"/>
  <c r="CZ219" i="17"/>
  <c r="DA127" i="17"/>
  <c r="DB132" i="17"/>
  <c r="P105" i="20"/>
  <c r="AG105" i="20" s="1"/>
  <c r="BF117" i="2"/>
  <c r="CZ197" i="17"/>
  <c r="CQ97" i="6"/>
  <c r="CW97" i="6"/>
  <c r="CV48" i="6"/>
  <c r="CV97" i="6" s="1"/>
  <c r="AB914" i="7"/>
  <c r="AB923" i="7"/>
  <c r="N106" i="20"/>
  <c r="AE106" i="20" s="1"/>
  <c r="BD118" i="2"/>
  <c r="CV19" i="26"/>
  <c r="CY13" i="17"/>
  <c r="L122" i="2" s="1"/>
  <c r="CZ198" i="17"/>
  <c r="DB142" i="17"/>
  <c r="DB118" i="17"/>
  <c r="DB111" i="17"/>
  <c r="DB116" i="17"/>
  <c r="DB105" i="17"/>
  <c r="CX13" i="17"/>
  <c r="K122" i="2" s="1"/>
  <c r="CU19" i="26"/>
  <c r="V954" i="7"/>
  <c r="W954" i="7"/>
  <c r="CW188" i="17"/>
  <c r="CX193" i="17"/>
  <c r="AD744" i="7"/>
  <c r="AD737" i="7"/>
  <c r="AE741" i="7"/>
  <c r="AE732" i="7"/>
  <c r="AD362" i="23"/>
  <c r="AD361" i="23"/>
  <c r="AD354" i="23" s="1"/>
  <c r="AD288" i="23"/>
  <c r="AD312" i="23"/>
  <c r="AD283" i="23"/>
  <c r="AE282" i="23"/>
  <c r="AE286" i="23"/>
  <c r="CX234" i="17"/>
  <c r="CX3" i="17" s="1"/>
  <c r="AQ144" i="17" l="1"/>
  <c r="AS8" i="16"/>
  <c r="AS125" i="17" s="1"/>
  <c r="AQ224" i="17"/>
  <c r="AQ226" i="17" s="1"/>
  <c r="AQ219" i="17"/>
  <c r="AQ191" i="17"/>
  <c r="AQ196" i="17"/>
  <c r="AQ197" i="17"/>
  <c r="O161" i="23"/>
  <c r="AP192" i="17"/>
  <c r="AO188" i="17"/>
  <c r="AP22" i="17"/>
  <c r="AP25" i="17"/>
  <c r="AP27" i="17" s="1"/>
  <c r="AP29" i="17" s="1"/>
  <c r="AR143" i="17"/>
  <c r="AR135" i="17"/>
  <c r="AR10" i="17" s="1"/>
  <c r="AR130" i="17"/>
  <c r="AO16" i="26"/>
  <c r="AP198" i="17"/>
  <c r="AP13" i="17"/>
  <c r="AM19" i="26"/>
  <c r="AR13" i="16"/>
  <c r="AR186" i="17" s="1"/>
  <c r="AR197" i="17" s="1"/>
  <c r="AR12" i="16"/>
  <c r="AR145" i="17" s="1"/>
  <c r="AM17" i="26"/>
  <c r="AP11" i="17"/>
  <c r="AQ183" i="17"/>
  <c r="AQ185" i="17" s="1"/>
  <c r="AQ220" i="17"/>
  <c r="AQ23" i="17"/>
  <c r="AQ156" i="17"/>
  <c r="AQ155" i="17"/>
  <c r="AQ150" i="17"/>
  <c r="AP157" i="17"/>
  <c r="AP151" i="17"/>
  <c r="AO147" i="17"/>
  <c r="O159" i="23"/>
  <c r="DU115" i="11"/>
  <c r="DV115" i="11" s="1"/>
  <c r="DV104" i="11"/>
  <c r="AE68" i="8"/>
  <c r="AE69" i="8" s="1"/>
  <c r="DB188" i="17"/>
  <c r="DB193" i="17" s="1"/>
  <c r="AE132" i="23"/>
  <c r="DB229" i="17" s="1"/>
  <c r="DB234" i="17" s="1"/>
  <c r="DB3" i="17" s="1"/>
  <c r="AE139" i="23"/>
  <c r="AE70" i="8"/>
  <c r="AE71" i="8" s="1"/>
  <c r="AE72" i="8"/>
  <c r="AE73" i="8" s="1"/>
  <c r="DW115" i="11"/>
  <c r="CX17" i="26"/>
  <c r="AE150" i="23"/>
  <c r="DA191" i="17"/>
  <c r="CX19" i="26" s="1"/>
  <c r="DA197" i="17"/>
  <c r="DA185" i="17"/>
  <c r="DW30" i="11"/>
  <c r="DW2" i="11" s="1"/>
  <c r="O106" i="20"/>
  <c r="AF106" i="20" s="1"/>
  <c r="DA224" i="17"/>
  <c r="EI39" i="6"/>
  <c r="EI83" i="6"/>
  <c r="Y914" i="7"/>
  <c r="Y923" i="7"/>
  <c r="DA219" i="17"/>
  <c r="DA196" i="17"/>
  <c r="AC923" i="7"/>
  <c r="AC914" i="7"/>
  <c r="DY12" i="11"/>
  <c r="DZ14" i="11"/>
  <c r="EA12" i="11"/>
  <c r="AE77" i="23"/>
  <c r="AE83" i="23" s="1"/>
  <c r="AE157" i="23"/>
  <c r="DB108" i="17"/>
  <c r="DA108" i="17" s="1"/>
  <c r="CW19" i="26"/>
  <c r="CZ13" i="17"/>
  <c r="M122" i="2" s="1"/>
  <c r="O109" i="20"/>
  <c r="AF109" i="20" s="1"/>
  <c r="BE120" i="2"/>
  <c r="L111" i="20"/>
  <c r="AC111" i="20" s="1"/>
  <c r="BB122" i="2"/>
  <c r="N109" i="20"/>
  <c r="AE109" i="20" s="1"/>
  <c r="BD120" i="2"/>
  <c r="DB146" i="17"/>
  <c r="DB145" i="17"/>
  <c r="AB920" i="7"/>
  <c r="AB925" i="7"/>
  <c r="AM958" i="7"/>
  <c r="Z960" i="7"/>
  <c r="CY15" i="26"/>
  <c r="DB9" i="17"/>
  <c r="O118" i="2" s="1"/>
  <c r="BC122" i="2"/>
  <c r="M111" i="20"/>
  <c r="AD111" i="20" s="1"/>
  <c r="AM914" i="7"/>
  <c r="Z920" i="7"/>
  <c r="AM920" i="7" s="1"/>
  <c r="Z925" i="7"/>
  <c r="AM925" i="7" s="1"/>
  <c r="AE312" i="23"/>
  <c r="AE283" i="23"/>
  <c r="AE288" i="23"/>
  <c r="AD318" i="23"/>
  <c r="AD314" i="23"/>
  <c r="AE737" i="7"/>
  <c r="AE744" i="7"/>
  <c r="AD355" i="23"/>
  <c r="AD443" i="7"/>
  <c r="AD445" i="7" s="1"/>
  <c r="AD330" i="7"/>
  <c r="AD344" i="7"/>
  <c r="AD345" i="7" s="1"/>
  <c r="AD358" i="7"/>
  <c r="AD359" i="7" s="1"/>
  <c r="AD363" i="23"/>
  <c r="AD356" i="23" s="1"/>
  <c r="AD454" i="7"/>
  <c r="AD456" i="7" s="1"/>
  <c r="AD331" i="7"/>
  <c r="AD102" i="7"/>
  <c r="AD332" i="7"/>
  <c r="AD352" i="7"/>
  <c r="AD353" i="7" s="1"/>
  <c r="AQ25" i="17" l="1"/>
  <c r="AQ27" i="17" s="1"/>
  <c r="AQ29" i="17" s="1"/>
  <c r="AQ22" i="17"/>
  <c r="AN17" i="26"/>
  <c r="AQ11" i="17"/>
  <c r="AR156" i="17"/>
  <c r="AR183" i="17"/>
  <c r="AR185" i="17" s="1"/>
  <c r="AR220" i="17"/>
  <c r="AR155" i="17"/>
  <c r="AR23" i="17"/>
  <c r="AR150" i="17"/>
  <c r="AR157" i="17"/>
  <c r="AR144" i="17"/>
  <c r="AP16" i="26"/>
  <c r="AS130" i="17"/>
  <c r="AS135" i="17"/>
  <c r="AS10" i="17" s="1"/>
  <c r="AS143" i="17"/>
  <c r="AR198" i="17"/>
  <c r="AR224" i="17"/>
  <c r="AR226" i="17" s="1"/>
  <c r="AR191" i="17"/>
  <c r="AR219" i="17"/>
  <c r="AR196" i="17"/>
  <c r="AQ13" i="17"/>
  <c r="AN19" i="26"/>
  <c r="AS13" i="16"/>
  <c r="AS186" i="17" s="1"/>
  <c r="AS12" i="16"/>
  <c r="AS145" i="17" s="1"/>
  <c r="AS156" i="17" s="1"/>
  <c r="AT8" i="16"/>
  <c r="AT125" i="17" s="1"/>
  <c r="DX115" i="11"/>
  <c r="DA13" i="17"/>
  <c r="N122" i="2" s="1"/>
  <c r="O111" i="20" s="1"/>
  <c r="AF111" i="20" s="1"/>
  <c r="Y920" i="7"/>
  <c r="Y925" i="7"/>
  <c r="EI88" i="6"/>
  <c r="AC920" i="7"/>
  <c r="AC925" i="7"/>
  <c r="DZ16" i="11"/>
  <c r="EA14" i="11"/>
  <c r="DY14" i="11"/>
  <c r="P106" i="20"/>
  <c r="AG106" i="20" s="1"/>
  <c r="BF118" i="2"/>
  <c r="DB144" i="17"/>
  <c r="DB150" i="17"/>
  <c r="DB183" i="17"/>
  <c r="DB157" i="17"/>
  <c r="DB155" i="17"/>
  <c r="DB220" i="17"/>
  <c r="N111" i="20"/>
  <c r="AE111" i="20" s="1"/>
  <c r="BD122" i="2"/>
  <c r="AA954" i="7"/>
  <c r="Z954" i="7"/>
  <c r="AM954" i="7" s="1"/>
  <c r="AM960" i="7"/>
  <c r="DB151" i="17"/>
  <c r="AE159" i="23"/>
  <c r="DA147" i="17"/>
  <c r="AD451" i="7"/>
  <c r="AD448" i="7"/>
  <c r="AD104" i="7"/>
  <c r="AD106" i="7"/>
  <c r="AD1049" i="7"/>
  <c r="AD578" i="7"/>
  <c r="AD615" i="7"/>
  <c r="AD612" i="7"/>
  <c r="AD336" i="7"/>
  <c r="EM5" i="6"/>
  <c r="AD354" i="7"/>
  <c r="AD355" i="7" s="1"/>
  <c r="AD751" i="7"/>
  <c r="AD924" i="7"/>
  <c r="AD818" i="7"/>
  <c r="AD611" i="7"/>
  <c r="AD255" i="23"/>
  <c r="AD679" i="7"/>
  <c r="AD1011" i="7"/>
  <c r="AD817" i="7"/>
  <c r="AD535" i="7"/>
  <c r="AD536" i="7"/>
  <c r="AD155" i="7"/>
  <c r="AD755" i="7"/>
  <c r="AD1030" i="7"/>
  <c r="AD680" i="7"/>
  <c r="AD907" i="7"/>
  <c r="AD927" i="7"/>
  <c r="AD617" i="7"/>
  <c r="AD470" i="23"/>
  <c r="AD473" i="23" s="1"/>
  <c r="AD1010" i="7"/>
  <c r="AD249" i="7"/>
  <c r="AD229" i="8"/>
  <c r="AD952" i="7"/>
  <c r="AD959" i="7" s="1"/>
  <c r="AD975" i="7"/>
  <c r="AD977" i="7"/>
  <c r="AD978" i="7"/>
  <c r="AD289" i="23"/>
  <c r="AD158" i="7"/>
  <c r="AD758" i="7"/>
  <c r="AD752" i="7"/>
  <c r="AD814" i="7"/>
  <c r="AD841" i="7"/>
  <c r="AD976" i="7"/>
  <c r="AD926" i="7"/>
  <c r="AD501" i="7"/>
  <c r="AD360" i="7"/>
  <c r="AD361" i="7" s="1"/>
  <c r="AD123" i="25" s="1"/>
  <c r="AD616" i="7"/>
  <c r="AD337" i="7"/>
  <c r="AD499" i="7"/>
  <c r="AD247" i="7"/>
  <c r="AD1009" i="7"/>
  <c r="AD819" i="7"/>
  <c r="AD822" i="7"/>
  <c r="AD1116" i="7"/>
  <c r="AD339" i="7"/>
  <c r="AD500" i="7"/>
  <c r="AD980" i="7"/>
  <c r="AD579" i="7"/>
  <c r="AD864" i="7"/>
  <c r="AD865" i="7"/>
  <c r="AD681" i="7"/>
  <c r="AD725" i="7"/>
  <c r="AD610" i="7"/>
  <c r="AD929" i="7"/>
  <c r="AD678" i="7"/>
  <c r="AD580" i="7"/>
  <c r="AD756" i="7"/>
  <c r="F147" i="2"/>
  <c r="AD335" i="7"/>
  <c r="AD254" i="23"/>
  <c r="AD153" i="7"/>
  <c r="AD723" i="7"/>
  <c r="AD719" i="7"/>
  <c r="AD1012" i="7"/>
  <c r="AD252" i="7"/>
  <c r="AD225" i="7"/>
  <c r="AD248" i="7"/>
  <c r="AD218" i="7"/>
  <c r="AD250" i="7"/>
  <c r="AD1016" i="7"/>
  <c r="AD583" i="7"/>
  <c r="AD720" i="7"/>
  <c r="AD338" i="7"/>
  <c r="AD38" i="25"/>
  <c r="AD581" i="7"/>
  <c r="AD863" i="7"/>
  <c r="AD576" i="7"/>
  <c r="AD987" i="7"/>
  <c r="AD820" i="7"/>
  <c r="AD724" i="7"/>
  <c r="AD220" i="7"/>
  <c r="AD49" i="7"/>
  <c r="AD753" i="7"/>
  <c r="AD1143" i="7"/>
  <c r="AD928" i="7"/>
  <c r="AD821" i="7"/>
  <c r="AD757" i="7"/>
  <c r="AD502" i="7"/>
  <c r="AD582" i="7"/>
  <c r="AD844" i="7"/>
  <c r="AD534" i="7"/>
  <c r="AD154" i="7"/>
  <c r="AD503" i="7"/>
  <c r="AD156" i="7"/>
  <c r="AD504" i="7"/>
  <c r="AD866" i="7"/>
  <c r="AD614" i="7"/>
  <c r="AD613" i="7"/>
  <c r="AD577" i="7"/>
  <c r="AD816" i="7"/>
  <c r="AD157" i="7"/>
  <c r="AD842" i="7"/>
  <c r="AD533" i="7"/>
  <c r="AD1034" i="7"/>
  <c r="AD537" i="7"/>
  <c r="AD754" i="7"/>
  <c r="AD350" i="23"/>
  <c r="AD843" i="7"/>
  <c r="AD251" i="7"/>
  <c r="AD943" i="7"/>
  <c r="AD269" i="7"/>
  <c r="AD270" i="7" s="1"/>
  <c r="AD256" i="23"/>
  <c r="AD1015" i="7"/>
  <c r="AD505" i="7"/>
  <c r="AD813" i="7"/>
  <c r="AD815" i="7"/>
  <c r="AD306" i="7"/>
  <c r="AD721" i="7"/>
  <c r="AD346" i="7"/>
  <c r="AD347" i="7" s="1"/>
  <c r="AD462" i="7"/>
  <c r="AD459" i="7"/>
  <c r="AD320" i="23"/>
  <c r="AD315" i="23"/>
  <c r="AD352" i="23"/>
  <c r="AD359" i="23" s="1"/>
  <c r="AE318" i="23"/>
  <c r="AE314" i="23"/>
  <c r="AT13" i="16" l="1"/>
  <c r="AT186" i="17" s="1"/>
  <c r="AT12" i="16"/>
  <c r="AT145" i="17" s="1"/>
  <c r="AR13" i="17"/>
  <c r="AO19" i="26"/>
  <c r="AU8" i="16"/>
  <c r="AU125" i="17" s="1"/>
  <c r="AS157" i="17"/>
  <c r="AS150" i="17"/>
  <c r="AS23" i="17"/>
  <c r="AS155" i="17"/>
  <c r="AS183" i="17"/>
  <c r="AS220" i="17"/>
  <c r="AR11" i="17"/>
  <c r="AO17" i="26"/>
  <c r="AT126" i="17"/>
  <c r="AT143" i="17"/>
  <c r="AQ16" i="26"/>
  <c r="AT130" i="17"/>
  <c r="AT135" i="17"/>
  <c r="AT10" i="17" s="1"/>
  <c r="AS197" i="17"/>
  <c r="AS191" i="17"/>
  <c r="AS224" i="17"/>
  <c r="AS226" i="17" s="1"/>
  <c r="AS219" i="17"/>
  <c r="AS196" i="17"/>
  <c r="AS198" i="17"/>
  <c r="AS144" i="17"/>
  <c r="AR22" i="17"/>
  <c r="AR25" i="17"/>
  <c r="AR27" i="17" s="1"/>
  <c r="AR29" i="17" s="1"/>
  <c r="BE122" i="2"/>
  <c r="DZ66" i="11"/>
  <c r="EA16" i="11"/>
  <c r="DY16" i="11"/>
  <c r="DY115" i="11" s="1"/>
  <c r="DZ104" i="11"/>
  <c r="DZ105" i="11"/>
  <c r="DB187" i="17"/>
  <c r="DB186" i="17"/>
  <c r="DB11" i="17"/>
  <c r="O120" i="2" s="1"/>
  <c r="CY17" i="26"/>
  <c r="AD1038" i="7"/>
  <c r="I463" i="20"/>
  <c r="Z463" i="20" s="1"/>
  <c r="J187" i="20"/>
  <c r="AA187" i="20" s="1"/>
  <c r="J201" i="20"/>
  <c r="AA201" i="20" s="1"/>
  <c r="I461" i="20"/>
  <c r="Z461" i="20" s="1"/>
  <c r="J76" i="20"/>
  <c r="AA76" i="20" s="1"/>
  <c r="J75" i="20"/>
  <c r="AA75" i="20" s="1"/>
  <c r="G236" i="20"/>
  <c r="X236" i="20" s="1"/>
  <c r="I512" i="20"/>
  <c r="Z512" i="20" s="1"/>
  <c r="J77" i="20"/>
  <c r="AA77" i="20" s="1"/>
  <c r="G295" i="2"/>
  <c r="G259" i="20"/>
  <c r="X259" i="20" s="1"/>
  <c r="AW147" i="2"/>
  <c r="K201" i="20"/>
  <c r="AB201" i="20" s="1"/>
  <c r="J178" i="20"/>
  <c r="AA178" i="20" s="1"/>
  <c r="K187" i="20"/>
  <c r="AB187" i="20" s="1"/>
  <c r="I506" i="20"/>
  <c r="Z506" i="20" s="1"/>
  <c r="I514" i="20"/>
  <c r="Z514" i="20" s="1"/>
  <c r="EM54" i="6"/>
  <c r="AE352" i="23"/>
  <c r="AE359" i="23" s="1"/>
  <c r="AE320" i="23"/>
  <c r="AE315" i="23"/>
  <c r="AD112" i="7"/>
  <c r="AD109" i="7"/>
  <c r="AE307" i="7"/>
  <c r="AE308" i="7"/>
  <c r="AE304" i="7" s="1"/>
  <c r="AP19" i="26" l="1"/>
  <c r="AS13" i="17"/>
  <c r="AS25" i="17"/>
  <c r="AS27" i="17" s="1"/>
  <c r="AS29" i="17" s="1"/>
  <c r="AS22" i="17"/>
  <c r="AU13" i="16"/>
  <c r="AU186" i="17" s="1"/>
  <c r="AU12" i="16"/>
  <c r="AU145" i="17" s="1"/>
  <c r="AT183" i="17"/>
  <c r="AT185" i="17" s="1"/>
  <c r="AT220" i="17"/>
  <c r="AT23" i="17"/>
  <c r="AT150" i="17"/>
  <c r="AT155" i="17"/>
  <c r="AT144" i="17"/>
  <c r="AS11" i="17"/>
  <c r="AP17" i="26"/>
  <c r="AV8" i="16"/>
  <c r="AV125" i="17" s="1"/>
  <c r="AT196" i="17"/>
  <c r="AT191" i="17"/>
  <c r="AT219" i="17"/>
  <c r="AT224" i="17"/>
  <c r="AT226" i="17" s="1"/>
  <c r="AT146" i="17"/>
  <c r="AT131" i="17"/>
  <c r="P158" i="23"/>
  <c r="AS127" i="17"/>
  <c r="AS185" i="17"/>
  <c r="AU130" i="17"/>
  <c r="AU135" i="17"/>
  <c r="AU10" i="17" s="1"/>
  <c r="AR16" i="26"/>
  <c r="AU143" i="17"/>
  <c r="AE362" i="23"/>
  <c r="AE361" i="23"/>
  <c r="AE354" i="23" s="1"/>
  <c r="DY118" i="11"/>
  <c r="DZ115" i="11"/>
  <c r="EA104" i="11"/>
  <c r="DB185" i="17"/>
  <c r="DB196" i="17"/>
  <c r="DB191" i="17"/>
  <c r="DB198" i="17"/>
  <c r="DB224" i="17"/>
  <c r="DB219" i="17"/>
  <c r="DB192" i="17"/>
  <c r="AE161" i="23"/>
  <c r="DA188" i="17"/>
  <c r="BF120" i="2"/>
  <c r="P109" i="20"/>
  <c r="AG109" i="20" s="1"/>
  <c r="AE305" i="7"/>
  <c r="AE297" i="7"/>
  <c r="H33" i="20"/>
  <c r="Y33" i="20" s="1"/>
  <c r="J73" i="20"/>
  <c r="AA73" i="20" s="1"/>
  <c r="H29" i="20"/>
  <c r="Y29" i="20" s="1"/>
  <c r="AT187" i="17" l="1"/>
  <c r="AT198" i="17" s="1"/>
  <c r="AU144" i="17"/>
  <c r="AU219" i="17"/>
  <c r="AU224" i="17"/>
  <c r="AU226" i="17" s="1"/>
  <c r="AU191" i="17"/>
  <c r="AU196" i="17"/>
  <c r="AQ19" i="26"/>
  <c r="AT13" i="17"/>
  <c r="AW8" i="16"/>
  <c r="AW125" i="17" s="1"/>
  <c r="AV135" i="17"/>
  <c r="AV10" i="17" s="1"/>
  <c r="AV143" i="17"/>
  <c r="AS16" i="26"/>
  <c r="AV130" i="17"/>
  <c r="AT22" i="17"/>
  <c r="AT25" i="17"/>
  <c r="AT27" i="17" s="1"/>
  <c r="AT29" i="17" s="1"/>
  <c r="AV13" i="16"/>
  <c r="AV186" i="17" s="1"/>
  <c r="AV12" i="16"/>
  <c r="AV145" i="17" s="1"/>
  <c r="AT157" i="17"/>
  <c r="AS147" i="17"/>
  <c r="P159" i="23"/>
  <c r="AT151" i="17"/>
  <c r="AQ17" i="26"/>
  <c r="AT11" i="17"/>
  <c r="AU183" i="17"/>
  <c r="AU185" i="17" s="1"/>
  <c r="AU23" i="17"/>
  <c r="AU150" i="17"/>
  <c r="AU220" i="17"/>
  <c r="AU155" i="17"/>
  <c r="AU156" i="17"/>
  <c r="AE331" i="7"/>
  <c r="AE358" i="7"/>
  <c r="AE359" i="7" s="1"/>
  <c r="AE355" i="23"/>
  <c r="AE443" i="7"/>
  <c r="AE445" i="7" s="1"/>
  <c r="AE363" i="23"/>
  <c r="AE356" i="23" s="1"/>
  <c r="AE102" i="7"/>
  <c r="AE344" i="7"/>
  <c r="AE345" i="7" s="1"/>
  <c r="AE352" i="7"/>
  <c r="AE353" i="7" s="1"/>
  <c r="AE454" i="7"/>
  <c r="AE456" i="7" s="1"/>
  <c r="AE332" i="7"/>
  <c r="AE330" i="7"/>
  <c r="EA115" i="11"/>
  <c r="DB13" i="17"/>
  <c r="O122" i="2" s="1"/>
  <c r="CY19" i="26"/>
  <c r="AE298" i="7"/>
  <c r="AS188" i="17" l="1"/>
  <c r="AV144" i="17"/>
  <c r="AT192" i="17"/>
  <c r="AU197" i="17"/>
  <c r="P161" i="23"/>
  <c r="AX8" i="16"/>
  <c r="AX125" i="17" s="1"/>
  <c r="AU25" i="17"/>
  <c r="AU27" i="17" s="1"/>
  <c r="AU29" i="17" s="1"/>
  <c r="AU22" i="17"/>
  <c r="AU13" i="17"/>
  <c r="AR19" i="26"/>
  <c r="AV156" i="17"/>
  <c r="AV150" i="17"/>
  <c r="AV157" i="17"/>
  <c r="AV23" i="17"/>
  <c r="AV155" i="17"/>
  <c r="AV220" i="17"/>
  <c r="AV183" i="17"/>
  <c r="AV185" i="17" s="1"/>
  <c r="AW135" i="17"/>
  <c r="AW10" i="17" s="1"/>
  <c r="AT16" i="26"/>
  <c r="AW143" i="17"/>
  <c r="AW130" i="17"/>
  <c r="AU11" i="17"/>
  <c r="AR17" i="26"/>
  <c r="AV224" i="17"/>
  <c r="AV226" i="17" s="1"/>
  <c r="AV191" i="17"/>
  <c r="AV196" i="17"/>
  <c r="AV198" i="17"/>
  <c r="AV219" i="17"/>
  <c r="AW13" i="16"/>
  <c r="AW186" i="17" s="1"/>
  <c r="AW12" i="16"/>
  <c r="AW145" i="17" s="1"/>
  <c r="AV197" i="17"/>
  <c r="AE106" i="7"/>
  <c r="AE104" i="7"/>
  <c r="AE462" i="7"/>
  <c r="AE459" i="7"/>
  <c r="AE451" i="7"/>
  <c r="AE448" i="7"/>
  <c r="AE583" i="7"/>
  <c r="AE156" i="7"/>
  <c r="AE339" i="7"/>
  <c r="AE611" i="7"/>
  <c r="AE579" i="7"/>
  <c r="AE154" i="7"/>
  <c r="AE157" i="7"/>
  <c r="AE505" i="7"/>
  <c r="AE610" i="7"/>
  <c r="AE155" i="7"/>
  <c r="AE306" i="7"/>
  <c r="AE929" i="7"/>
  <c r="AE1009" i="7"/>
  <c r="AE680" i="7"/>
  <c r="AE617" i="7"/>
  <c r="AE1116" i="7"/>
  <c r="AE220" i="7"/>
  <c r="AE336" i="7"/>
  <c r="AE820" i="7"/>
  <c r="AE817" i="7"/>
  <c r="AE719" i="7"/>
  <c r="AE229" i="8"/>
  <c r="AE987" i="7"/>
  <c r="AE153" i="7"/>
  <c r="AE977" i="7"/>
  <c r="AE975" i="7"/>
  <c r="AE535" i="7"/>
  <c r="AE502" i="7"/>
  <c r="AE504" i="7"/>
  <c r="AE752" i="7"/>
  <c r="AE252" i="7"/>
  <c r="AE720" i="7"/>
  <c r="AE758" i="7"/>
  <c r="AE751" i="7"/>
  <c r="AE289" i="23"/>
  <c r="AE350" i="23"/>
  <c r="AE582" i="7"/>
  <c r="AE251" i="7"/>
  <c r="AE815" i="7"/>
  <c r="AE337" i="7"/>
  <c r="AE754" i="7"/>
  <c r="AE581" i="7"/>
  <c r="AE335" i="7"/>
  <c r="AE721" i="7"/>
  <c r="AE756" i="7"/>
  <c r="AE248" i="7"/>
  <c r="AE1012" i="7"/>
  <c r="AE863" i="7"/>
  <c r="AE1016" i="7"/>
  <c r="AE338" i="7"/>
  <c r="AE616" i="7"/>
  <c r="AE943" i="7"/>
  <c r="AE578" i="7"/>
  <c r="AE819" i="7"/>
  <c r="AE864" i="7"/>
  <c r="AE614" i="7"/>
  <c r="AE613" i="7"/>
  <c r="AE534" i="7"/>
  <c r="AE580" i="7"/>
  <c r="AE1049" i="7"/>
  <c r="AE360" i="7"/>
  <c r="AE361" i="7" s="1"/>
  <c r="AE123" i="25" s="1"/>
  <c r="AE865" i="7"/>
  <c r="AE346" i="7"/>
  <c r="AE347" i="7" s="1"/>
  <c r="AE927" i="7"/>
  <c r="AE577" i="7"/>
  <c r="AE499" i="7"/>
  <c r="AE256" i="23"/>
  <c r="AE928" i="7"/>
  <c r="AE470" i="23"/>
  <c r="AE473" i="23" s="1"/>
  <c r="AE976" i="7"/>
  <c r="AE1011" i="7"/>
  <c r="AE814" i="7"/>
  <c r="AE978" i="7"/>
  <c r="AE354" i="7"/>
  <c r="AE355" i="7" s="1"/>
  <c r="AE842" i="7"/>
  <c r="AE818" i="7"/>
  <c r="AE924" i="7"/>
  <c r="AE536" i="7"/>
  <c r="AE1010" i="7"/>
  <c r="G147" i="2"/>
  <c r="AE952" i="7"/>
  <c r="AE959" i="7" s="1"/>
  <c r="AE269" i="7"/>
  <c r="AE270" i="7" s="1"/>
  <c r="AE679" i="7"/>
  <c r="AE254" i="23"/>
  <c r="AE49" i="7"/>
  <c r="AE755" i="7"/>
  <c r="AE843" i="7"/>
  <c r="AE1143" i="7"/>
  <c r="AE841" i="7"/>
  <c r="AE1015" i="7"/>
  <c r="AE500" i="7"/>
  <c r="AE503" i="7"/>
  <c r="AE725" i="7"/>
  <c r="AE753" i="7"/>
  <c r="AE1034" i="7"/>
  <c r="AE757" i="7"/>
  <c r="AE533" i="7"/>
  <c r="AE681" i="7"/>
  <c r="AE724" i="7"/>
  <c r="AE723" i="7"/>
  <c r="AE980" i="7"/>
  <c r="AE225" i="7"/>
  <c r="AE844" i="7"/>
  <c r="AE926" i="7"/>
  <c r="AE218" i="7"/>
  <c r="AE813" i="7"/>
  <c r="AE250" i="7"/>
  <c r="AE255" i="23"/>
  <c r="AE249" i="7"/>
  <c r="AE612" i="7"/>
  <c r="AE576" i="7"/>
  <c r="AE615" i="7"/>
  <c r="AE1030" i="7"/>
  <c r="AE822" i="7"/>
  <c r="AE907" i="7"/>
  <c r="AE158" i="7"/>
  <c r="AE821" i="7"/>
  <c r="AE816" i="7"/>
  <c r="AE866" i="7"/>
  <c r="AE38" i="25"/>
  <c r="AE247" i="7"/>
  <c r="AE501" i="7"/>
  <c r="AE537" i="7"/>
  <c r="AE678" i="7"/>
  <c r="BF122" i="2"/>
  <c r="P111" i="20"/>
  <c r="AG111" i="20" s="1"/>
  <c r="AW156" i="17" l="1"/>
  <c r="AW157" i="17"/>
  <c r="AW23" i="17"/>
  <c r="AW220" i="17"/>
  <c r="AW150" i="17"/>
  <c r="AW155" i="17"/>
  <c r="AW183" i="17"/>
  <c r="AW198" i="17"/>
  <c r="AW219" i="17"/>
  <c r="AW224" i="17"/>
  <c r="AW226" i="17" s="1"/>
  <c r="AW196" i="17"/>
  <c r="AW191" i="17"/>
  <c r="AV25" i="17"/>
  <c r="AV27" i="17" s="1"/>
  <c r="AV29" i="17" s="1"/>
  <c r="AV22" i="17"/>
  <c r="AX130" i="17"/>
  <c r="AX143" i="17"/>
  <c r="AX146" i="17" s="1"/>
  <c r="AU16" i="26"/>
  <c r="AX135" i="17"/>
  <c r="AX10" i="17" s="1"/>
  <c r="AX126" i="17"/>
  <c r="AW197" i="17"/>
  <c r="AS19" i="26"/>
  <c r="AV13" i="17"/>
  <c r="AY8" i="16"/>
  <c r="AY125" i="17" s="1"/>
  <c r="AW144" i="17"/>
  <c r="AS17" i="26"/>
  <c r="AV11" i="17"/>
  <c r="AX13" i="16"/>
  <c r="AX186" i="17" s="1"/>
  <c r="AX12" i="16"/>
  <c r="AX145" i="17" s="1"/>
  <c r="AE1038" i="7"/>
  <c r="AE109" i="7"/>
  <c r="AE112" i="7"/>
  <c r="I464" i="20"/>
  <c r="Z464" i="20" s="1"/>
  <c r="AX147" i="2"/>
  <c r="K461" i="20"/>
  <c r="AB461" i="20" s="1"/>
  <c r="L178" i="20"/>
  <c r="AC178" i="20" s="1"/>
  <c r="K506" i="20"/>
  <c r="AB506" i="20" s="1"/>
  <c r="H236" i="20"/>
  <c r="Y236" i="20" s="1"/>
  <c r="H259" i="20"/>
  <c r="Y259" i="20" s="1"/>
  <c r="K463" i="20"/>
  <c r="AB463" i="20" s="1"/>
  <c r="L201" i="20"/>
  <c r="AC201" i="20" s="1"/>
  <c r="M201" i="20"/>
  <c r="AD201" i="20" s="1"/>
  <c r="L187" i="20"/>
  <c r="AC187" i="20" s="1"/>
  <c r="K512" i="20"/>
  <c r="AB512" i="20" s="1"/>
  <c r="K514" i="20"/>
  <c r="AB514" i="20" s="1"/>
  <c r="M187" i="20"/>
  <c r="AD187" i="20" s="1"/>
  <c r="AZ8" i="16" l="1"/>
  <c r="AZ125" i="17" s="1"/>
  <c r="AX144" i="17"/>
  <c r="AT19" i="26"/>
  <c r="AW13" i="17"/>
  <c r="AX183" i="17"/>
  <c r="AX185" i="17" s="1"/>
  <c r="AX220" i="17"/>
  <c r="AX23" i="17"/>
  <c r="AX150" i="17"/>
  <c r="AX155" i="17"/>
  <c r="AX157" i="17"/>
  <c r="AW147" i="17"/>
  <c r="AX151" i="17"/>
  <c r="Q159" i="23"/>
  <c r="AY13" i="16"/>
  <c r="AY186" i="17" s="1"/>
  <c r="AY12" i="16"/>
  <c r="AY145" i="17" s="1"/>
  <c r="Q158" i="23"/>
  <c r="AW127" i="17"/>
  <c r="AX131" i="17"/>
  <c r="AW185" i="17"/>
  <c r="AW25" i="17"/>
  <c r="AW27" i="17" s="1"/>
  <c r="AW29" i="17" s="1"/>
  <c r="AW22" i="17"/>
  <c r="AX191" i="17"/>
  <c r="AX224" i="17"/>
  <c r="AX226" i="17" s="1"/>
  <c r="AX196" i="17"/>
  <c r="AX219" i="17"/>
  <c r="AY135" i="17"/>
  <c r="AY10" i="17" s="1"/>
  <c r="AV16" i="26"/>
  <c r="AY143" i="17"/>
  <c r="AY130" i="17"/>
  <c r="AW11" i="17"/>
  <c r="AT17" i="26"/>
  <c r="AY144" i="17" l="1"/>
  <c r="AZ143" i="17"/>
  <c r="AZ135" i="17"/>
  <c r="AZ10" i="17" s="1"/>
  <c r="AW16" i="26"/>
  <c r="AZ130" i="17"/>
  <c r="AX187" i="17"/>
  <c r="AY197" i="17" s="1"/>
  <c r="AX11" i="17"/>
  <c r="AU17" i="26"/>
  <c r="AZ13" i="16"/>
  <c r="AZ186" i="17" s="1"/>
  <c r="AZ12" i="16"/>
  <c r="AZ145" i="17" s="1"/>
  <c r="AZ156" i="17" s="1"/>
  <c r="AY191" i="17"/>
  <c r="AY224" i="17"/>
  <c r="AY226" i="17" s="1"/>
  <c r="AY196" i="17"/>
  <c r="AY219" i="17"/>
  <c r="AX13" i="17"/>
  <c r="AU19" i="26"/>
  <c r="AY23" i="17"/>
  <c r="AY155" i="17"/>
  <c r="AY156" i="17"/>
  <c r="AY150" i="17"/>
  <c r="AY183" i="17"/>
  <c r="AY185" i="17" s="1"/>
  <c r="AY220" i="17"/>
  <c r="AX25" i="17"/>
  <c r="AX27" i="17" s="1"/>
  <c r="AX29" i="17" s="1"/>
  <c r="AX22" i="17"/>
  <c r="BA8" i="16"/>
  <c r="BA125" i="17" s="1"/>
  <c r="AZ197" i="17" l="1"/>
  <c r="AZ144" i="17"/>
  <c r="AY25" i="17"/>
  <c r="AY27" i="17" s="1"/>
  <c r="AY29" i="17" s="1"/>
  <c r="AY22" i="17"/>
  <c r="AY13" i="17"/>
  <c r="AV19" i="26"/>
  <c r="BA143" i="17"/>
  <c r="AX16" i="26"/>
  <c r="BA130" i="17"/>
  <c r="BA135" i="17"/>
  <c r="BA10" i="17" s="1"/>
  <c r="AY11" i="17"/>
  <c r="AV17" i="26"/>
  <c r="AZ23" i="17"/>
  <c r="AZ183" i="17"/>
  <c r="AZ185" i="17" s="1"/>
  <c r="AZ157" i="17"/>
  <c r="AZ150" i="17"/>
  <c r="AZ155" i="17"/>
  <c r="AZ220" i="17"/>
  <c r="AW188" i="17"/>
  <c r="AX198" i="17"/>
  <c r="Q161" i="23"/>
  <c r="AX192" i="17"/>
  <c r="BA13" i="16"/>
  <c r="BA186" i="17" s="1"/>
  <c r="BA12" i="16"/>
  <c r="BA145" i="17" s="1"/>
  <c r="AZ219" i="17"/>
  <c r="AZ198" i="17"/>
  <c r="AZ224" i="17"/>
  <c r="AZ226" i="17" s="1"/>
  <c r="AZ191" i="17"/>
  <c r="AZ196" i="17"/>
  <c r="BB8" i="16"/>
  <c r="BB125" i="17" s="1"/>
  <c r="BB143" i="17" l="1"/>
  <c r="AY16" i="26"/>
  <c r="BB135" i="17"/>
  <c r="BB10" i="17" s="1"/>
  <c r="BB130" i="17"/>
  <c r="AZ25" i="17"/>
  <c r="AZ27" i="17" s="1"/>
  <c r="AZ29" i="17" s="1"/>
  <c r="AZ22" i="17"/>
  <c r="BB13" i="16"/>
  <c r="BB186" i="17" s="1"/>
  <c r="BB12" i="16"/>
  <c r="BB145" i="17" s="1"/>
  <c r="AZ13" i="17"/>
  <c r="AW19" i="26"/>
  <c r="BA156" i="17"/>
  <c r="BA183" i="17"/>
  <c r="BA23" i="17"/>
  <c r="BA155" i="17"/>
  <c r="BA157" i="17"/>
  <c r="BA150" i="17"/>
  <c r="BA220" i="17"/>
  <c r="AZ11" i="17"/>
  <c r="AW17" i="26"/>
  <c r="BC8" i="16"/>
  <c r="BC125" i="17" s="1"/>
  <c r="BA191" i="17"/>
  <c r="BA198" i="17"/>
  <c r="BA196" i="17"/>
  <c r="BA219" i="17"/>
  <c r="BA224" i="17"/>
  <c r="BA226" i="17" s="1"/>
  <c r="BA144" i="17"/>
  <c r="BA197" i="17"/>
  <c r="BB126" i="17"/>
  <c r="BB146" i="17"/>
  <c r="BC13" i="16" l="1"/>
  <c r="BC186" i="17" s="1"/>
  <c r="BC12" i="16"/>
  <c r="BC145" i="17" s="1"/>
  <c r="BA11" i="17"/>
  <c r="AX17" i="26"/>
  <c r="BA185" i="17"/>
  <c r="BA147" i="17"/>
  <c r="R159" i="23"/>
  <c r="BB151" i="17"/>
  <c r="BA13" i="17"/>
  <c r="AX19" i="26"/>
  <c r="BB196" i="17"/>
  <c r="BB219" i="17"/>
  <c r="BB224" i="17"/>
  <c r="BB226" i="17" s="1"/>
  <c r="BB191" i="17"/>
  <c r="BA127" i="17"/>
  <c r="BB131" i="17"/>
  <c r="R158" i="23"/>
  <c r="BC130" i="17"/>
  <c r="BC143" i="17"/>
  <c r="AZ16" i="26"/>
  <c r="BC135" i="17"/>
  <c r="BC10" i="17" s="1"/>
  <c r="BB183" i="17"/>
  <c r="BB185" i="17" s="1"/>
  <c r="BB220" i="17"/>
  <c r="BB155" i="17"/>
  <c r="BB23" i="17"/>
  <c r="BB150" i="17"/>
  <c r="BB157" i="17"/>
  <c r="BD8" i="16"/>
  <c r="BD125" i="17" s="1"/>
  <c r="BA22" i="17"/>
  <c r="BA25" i="17"/>
  <c r="BA27" i="17" s="1"/>
  <c r="BA29" i="17" s="1"/>
  <c r="BB144" i="17"/>
  <c r="BC144" i="17" l="1"/>
  <c r="BD135" i="17"/>
  <c r="BD10" i="17" s="1"/>
  <c r="BA16" i="26"/>
  <c r="BD143" i="17"/>
  <c r="BD130" i="17"/>
  <c r="BE8" i="16"/>
  <c r="BE125" i="17" s="1"/>
  <c r="BB25" i="17"/>
  <c r="BB27" i="17" s="1"/>
  <c r="BB29" i="17" s="1"/>
  <c r="BB22" i="17"/>
  <c r="AY19" i="26"/>
  <c r="BB13" i="17"/>
  <c r="BD13" i="16"/>
  <c r="BD186" i="17" s="1"/>
  <c r="BD12" i="16"/>
  <c r="BD145" i="17" s="1"/>
  <c r="BD156" i="17" s="1"/>
  <c r="BB187" i="17"/>
  <c r="BC197" i="17" s="1"/>
  <c r="BC183" i="17"/>
  <c r="BC185" i="17" s="1"/>
  <c r="BC156" i="17"/>
  <c r="BC150" i="17"/>
  <c r="BC220" i="17"/>
  <c r="BC155" i="17"/>
  <c r="BC23" i="17"/>
  <c r="BB11" i="17"/>
  <c r="AY17" i="26"/>
  <c r="BC224" i="17"/>
  <c r="BC226" i="17" s="1"/>
  <c r="BC196" i="17"/>
  <c r="BC191" i="17"/>
  <c r="BC219" i="17"/>
  <c r="BD197" i="17" l="1"/>
  <c r="BD144" i="17"/>
  <c r="BC22" i="17"/>
  <c r="BC25" i="17"/>
  <c r="BC27" i="17" s="1"/>
  <c r="BC29" i="17" s="1"/>
  <c r="R161" i="23"/>
  <c r="BB192" i="17"/>
  <c r="BA188" i="17"/>
  <c r="BB198" i="17"/>
  <c r="BE13" i="16"/>
  <c r="BE186" i="17" s="1"/>
  <c r="BE12" i="16"/>
  <c r="BE145" i="17" s="1"/>
  <c r="BE156" i="17" s="1"/>
  <c r="BD198" i="17"/>
  <c r="BD219" i="17"/>
  <c r="BD224" i="17"/>
  <c r="BD226" i="17" s="1"/>
  <c r="BD191" i="17"/>
  <c r="BD196" i="17"/>
  <c r="AZ19" i="26"/>
  <c r="BC13" i="17"/>
  <c r="BE135" i="17"/>
  <c r="BE10" i="17" s="1"/>
  <c r="BE130" i="17"/>
  <c r="BB16" i="26"/>
  <c r="BE143" i="17"/>
  <c r="BC11" i="17"/>
  <c r="AZ17" i="26"/>
  <c r="BD150" i="17"/>
  <c r="BD157" i="17"/>
  <c r="BD183" i="17"/>
  <c r="BD185" i="17" s="1"/>
  <c r="BD23" i="17"/>
  <c r="BD155" i="17"/>
  <c r="BD220" i="17"/>
  <c r="BF8" i="16"/>
  <c r="BF125" i="17" s="1"/>
  <c r="BE144" i="17" l="1"/>
  <c r="BG8" i="16"/>
  <c r="BG125" i="17" s="1"/>
  <c r="BD11" i="17"/>
  <c r="BA17" i="26"/>
  <c r="BD25" i="17"/>
  <c r="BD27" i="17" s="1"/>
  <c r="BD29" i="17" s="1"/>
  <c r="BD22" i="17"/>
  <c r="BE197" i="17"/>
  <c r="BE198" i="17"/>
  <c r="BE191" i="17"/>
  <c r="BE196" i="17"/>
  <c r="BE224" i="17"/>
  <c r="BE226" i="17" s="1"/>
  <c r="BE219" i="17"/>
  <c r="BF13" i="16"/>
  <c r="BF186" i="17" s="1"/>
  <c r="BF12" i="16"/>
  <c r="BF145" i="17" s="1"/>
  <c r="BF130" i="17"/>
  <c r="BF135" i="17"/>
  <c r="BF10" i="17" s="1"/>
  <c r="BC16" i="26"/>
  <c r="BF143" i="17"/>
  <c r="BA19" i="26"/>
  <c r="BD13" i="17"/>
  <c r="BE23" i="17"/>
  <c r="BE150" i="17"/>
  <c r="BE183" i="17"/>
  <c r="BE157" i="17"/>
  <c r="BE220" i="17"/>
  <c r="BE155" i="17"/>
  <c r="BF126" i="17"/>
  <c r="BF144" i="17" l="1"/>
  <c r="BF146" i="17"/>
  <c r="BF151" i="17" s="1"/>
  <c r="BB17" i="26"/>
  <c r="BE11" i="17"/>
  <c r="BE22" i="17"/>
  <c r="BE25" i="17"/>
  <c r="BE27" i="17" s="1"/>
  <c r="BE29" i="17" s="1"/>
  <c r="BF23" i="17"/>
  <c r="BF183" i="17"/>
  <c r="BF185" i="17" s="1"/>
  <c r="BF155" i="17"/>
  <c r="BF150" i="17"/>
  <c r="BF220" i="17"/>
  <c r="BF224" i="17"/>
  <c r="BF226" i="17" s="1"/>
  <c r="BF191" i="17"/>
  <c r="BF219" i="17"/>
  <c r="BF196" i="17"/>
  <c r="BE13" i="17"/>
  <c r="BB19" i="26"/>
  <c r="BG13" i="16"/>
  <c r="BG186" i="17" s="1"/>
  <c r="BG12" i="16"/>
  <c r="BG145" i="17" s="1"/>
  <c r="BD16" i="26"/>
  <c r="BG130" i="17"/>
  <c r="BG143" i="17"/>
  <c r="BG135" i="17"/>
  <c r="BG10" i="17" s="1"/>
  <c r="BF131" i="17"/>
  <c r="S158" i="23"/>
  <c r="BE127" i="17"/>
  <c r="BE185" i="17"/>
  <c r="BF187" i="17"/>
  <c r="BH8" i="16"/>
  <c r="BH125" i="17" s="1"/>
  <c r="BE147" i="17" l="1"/>
  <c r="S159" i="23"/>
  <c r="BF157" i="17"/>
  <c r="BG144" i="17"/>
  <c r="BI8" i="16"/>
  <c r="BI125" i="17" s="1"/>
  <c r="BH13" i="16"/>
  <c r="BH186" i="17" s="1"/>
  <c r="BH198" i="17" s="1"/>
  <c r="BH12" i="16"/>
  <c r="BH145" i="17" s="1"/>
  <c r="BH156" i="17" s="1"/>
  <c r="BF13" i="17"/>
  <c r="BC19" i="26"/>
  <c r="BG198" i="17"/>
  <c r="BF192" i="17"/>
  <c r="BE188" i="17"/>
  <c r="S161" i="23"/>
  <c r="BF198" i="17"/>
  <c r="BG197" i="17"/>
  <c r="BG191" i="17"/>
  <c r="BG196" i="17"/>
  <c r="BG219" i="17"/>
  <c r="BG224" i="17"/>
  <c r="BG226" i="17" s="1"/>
  <c r="BF11" i="17"/>
  <c r="BC17" i="26"/>
  <c r="BH130" i="17"/>
  <c r="BH143" i="17"/>
  <c r="BE16" i="26"/>
  <c r="BH135" i="17"/>
  <c r="BH10" i="17" s="1"/>
  <c r="BG23" i="17"/>
  <c r="BG150" i="17"/>
  <c r="BG220" i="17"/>
  <c r="BG183" i="17"/>
  <c r="BG185" i="17" s="1"/>
  <c r="BG155" i="17"/>
  <c r="BG156" i="17"/>
  <c r="BF25" i="17"/>
  <c r="BF27" i="17" s="1"/>
  <c r="BF29" i="17" s="1"/>
  <c r="BF22" i="17"/>
  <c r="BH144" i="17" l="1"/>
  <c r="BH197" i="17"/>
  <c r="BG25" i="17"/>
  <c r="BG27" i="17" s="1"/>
  <c r="BG29" i="17" s="1"/>
  <c r="BG22" i="17"/>
  <c r="BH23" i="17"/>
  <c r="BH220" i="17"/>
  <c r="BH155" i="17"/>
  <c r="BH183" i="17"/>
  <c r="BH185" i="17" s="1"/>
  <c r="BH150" i="17"/>
  <c r="BH157" i="17"/>
  <c r="BI13" i="16"/>
  <c r="BI186" i="17" s="1"/>
  <c r="BI198" i="17" s="1"/>
  <c r="BI12" i="16"/>
  <c r="BI145" i="17" s="1"/>
  <c r="BI130" i="17"/>
  <c r="BI135" i="17"/>
  <c r="BI10" i="17" s="1"/>
  <c r="BI143" i="17"/>
  <c r="BF16" i="26"/>
  <c r="BG13" i="17"/>
  <c r="BD19" i="26"/>
  <c r="BJ8" i="16"/>
  <c r="BJ125" i="17" s="1"/>
  <c r="BJ126" i="17" s="1"/>
  <c r="BG11" i="17"/>
  <c r="BD17" i="26"/>
  <c r="BH191" i="17"/>
  <c r="BH219" i="17"/>
  <c r="BH196" i="17"/>
  <c r="BH224" i="17"/>
  <c r="BH226" i="17" s="1"/>
  <c r="BH13" i="17" l="1"/>
  <c r="BE19" i="26"/>
  <c r="BJ13" i="16"/>
  <c r="BJ186" i="17" s="1"/>
  <c r="BJ12" i="16"/>
  <c r="BJ145" i="17" s="1"/>
  <c r="BK8" i="16"/>
  <c r="BK125" i="17" s="1"/>
  <c r="BI23" i="17"/>
  <c r="BI183" i="17"/>
  <c r="BI220" i="17"/>
  <c r="BI155" i="17"/>
  <c r="BI150" i="17"/>
  <c r="BH11" i="17"/>
  <c r="BE17" i="26"/>
  <c r="BH25" i="17"/>
  <c r="BH27" i="17" s="1"/>
  <c r="BH29" i="17" s="1"/>
  <c r="BH22" i="17"/>
  <c r="BI144" i="17"/>
  <c r="BI219" i="17"/>
  <c r="BI224" i="17"/>
  <c r="BI226" i="17" s="1"/>
  <c r="BI196" i="17"/>
  <c r="BI191" i="17"/>
  <c r="BI197" i="17"/>
  <c r="BI127" i="17"/>
  <c r="BN131" i="17"/>
  <c r="T158" i="23"/>
  <c r="BJ131" i="17"/>
  <c r="BI157" i="17"/>
  <c r="BJ143" i="17"/>
  <c r="BJ135" i="17"/>
  <c r="BJ10" i="17" s="1"/>
  <c r="BG16" i="26"/>
  <c r="BJ130" i="17"/>
  <c r="BI156" i="17"/>
  <c r="BF17" i="26" l="1"/>
  <c r="BI11" i="17"/>
  <c r="BI25" i="17"/>
  <c r="BI27" i="17" s="1"/>
  <c r="BI29" i="17" s="1"/>
  <c r="BI22" i="17"/>
  <c r="BJ219" i="17"/>
  <c r="BJ196" i="17"/>
  <c r="BJ191" i="17"/>
  <c r="BJ224" i="17"/>
  <c r="BJ226" i="17" s="1"/>
  <c r="BK13" i="16"/>
  <c r="BK186" i="17" s="1"/>
  <c r="BK12" i="16"/>
  <c r="BJ146" i="17"/>
  <c r="BJ144" i="17"/>
  <c r="BJ23" i="17"/>
  <c r="BJ150" i="17"/>
  <c r="BJ155" i="17"/>
  <c r="BJ183" i="17"/>
  <c r="BJ185" i="17" s="1"/>
  <c r="BJ220" i="17"/>
  <c r="BK143" i="17"/>
  <c r="BK145" i="17" s="1"/>
  <c r="BK130" i="17"/>
  <c r="BH16" i="26"/>
  <c r="BK135" i="17"/>
  <c r="BK10" i="17" s="1"/>
  <c r="BI13" i="17"/>
  <c r="BF19" i="26"/>
  <c r="BI185" i="17"/>
  <c r="BL8" i="16"/>
  <c r="BL125" i="17" s="1"/>
  <c r="BM8" i="16" l="1"/>
  <c r="BM125" i="17" s="1"/>
  <c r="BL13" i="16"/>
  <c r="BL186" i="17" s="1"/>
  <c r="BL12" i="16"/>
  <c r="BK144" i="17"/>
  <c r="BK156" i="17"/>
  <c r="BK157" i="17"/>
  <c r="BK183" i="17"/>
  <c r="BK185" i="17" s="1"/>
  <c r="BK23" i="17"/>
  <c r="BK150" i="17"/>
  <c r="BK155" i="17"/>
  <c r="BK220" i="17"/>
  <c r="BJ11" i="17"/>
  <c r="BG17" i="26"/>
  <c r="BI147" i="17"/>
  <c r="T159" i="23"/>
  <c r="BJ151" i="17"/>
  <c r="BJ13" i="17"/>
  <c r="BG19" i="26"/>
  <c r="BJ187" i="17"/>
  <c r="BJ157" i="17"/>
  <c r="BL143" i="17"/>
  <c r="BL145" i="17" s="1"/>
  <c r="BL130" i="17"/>
  <c r="BI16" i="26"/>
  <c r="BL135" i="17"/>
  <c r="BL10" i="17" s="1"/>
  <c r="BJ25" i="17"/>
  <c r="BJ27" i="17" s="1"/>
  <c r="BJ29" i="17" s="1"/>
  <c r="BJ22" i="17"/>
  <c r="BK219" i="17"/>
  <c r="BK191" i="17"/>
  <c r="BK196" i="17"/>
  <c r="BK224" i="17"/>
  <c r="BK226" i="17" s="1"/>
  <c r="BK197" i="17"/>
  <c r="BL198" i="17" l="1"/>
  <c r="BL224" i="17"/>
  <c r="BL226" i="17" s="1"/>
  <c r="BL196" i="17"/>
  <c r="BL191" i="17"/>
  <c r="BL219" i="17"/>
  <c r="BL144" i="17"/>
  <c r="BL23" i="17"/>
  <c r="BL220" i="17"/>
  <c r="BL155" i="17"/>
  <c r="BL150" i="17"/>
  <c r="BL156" i="17"/>
  <c r="BL157" i="17"/>
  <c r="BL183" i="17"/>
  <c r="BL185" i="17" s="1"/>
  <c r="BK11" i="17"/>
  <c r="BH17" i="26"/>
  <c r="BM135" i="17"/>
  <c r="BM10" i="17" s="1"/>
  <c r="BM130" i="17"/>
  <c r="BJ16" i="26"/>
  <c r="BM143" i="17"/>
  <c r="BL197" i="17"/>
  <c r="BH19" i="26"/>
  <c r="BK13" i="17"/>
  <c r="BK25" i="17"/>
  <c r="BK27" i="17" s="1"/>
  <c r="BK29" i="17" s="1"/>
  <c r="BK22" i="17"/>
  <c r="BM13" i="16"/>
  <c r="BM186" i="17" s="1"/>
  <c r="BM12" i="16"/>
  <c r="BK198" i="17"/>
  <c r="BJ192" i="17"/>
  <c r="T161" i="23"/>
  <c r="BI188" i="17"/>
  <c r="BJ198" i="17"/>
  <c r="BN8" i="16"/>
  <c r="BN125" i="17" s="1"/>
  <c r="BM145" i="17" l="1"/>
  <c r="BM144" i="17" s="1"/>
  <c r="BL22" i="17"/>
  <c r="BL25" i="17"/>
  <c r="BL27" i="17" s="1"/>
  <c r="BL29" i="17" s="1"/>
  <c r="BL13" i="17"/>
  <c r="BI19" i="26"/>
  <c r="BN143" i="17"/>
  <c r="BN146" i="17" s="1"/>
  <c r="BK16" i="26"/>
  <c r="BN135" i="17"/>
  <c r="BN10" i="17" s="1"/>
  <c r="BN130" i="17"/>
  <c r="BI17" i="26"/>
  <c r="BL11" i="17"/>
  <c r="BO8" i="16"/>
  <c r="BO125" i="17" s="1"/>
  <c r="BM198" i="17"/>
  <c r="BM224" i="17"/>
  <c r="BM226" i="17" s="1"/>
  <c r="BM191" i="17"/>
  <c r="BM196" i="17"/>
  <c r="BM219" i="17"/>
  <c r="BM197" i="17"/>
  <c r="BN13" i="16"/>
  <c r="BN186" i="17" s="1"/>
  <c r="BN12" i="16"/>
  <c r="BM147" i="17" l="1"/>
  <c r="U159" i="23"/>
  <c r="BN151" i="17"/>
  <c r="BN196" i="17"/>
  <c r="BN191" i="17"/>
  <c r="BN224" i="17"/>
  <c r="BN226" i="17" s="1"/>
  <c r="BN219" i="17"/>
  <c r="BM13" i="17"/>
  <c r="BJ19" i="26"/>
  <c r="BO13" i="16"/>
  <c r="BO186" i="17" s="1"/>
  <c r="BO12" i="16"/>
  <c r="BP8" i="16"/>
  <c r="BP125" i="17" s="1"/>
  <c r="BL16" i="26"/>
  <c r="BO135" i="17"/>
  <c r="BO10" i="17" s="1"/>
  <c r="BO143" i="17"/>
  <c r="BO130" i="17"/>
  <c r="BN145" i="17"/>
  <c r="BM183" i="17"/>
  <c r="BM23" i="17"/>
  <c r="BM157" i="17"/>
  <c r="BM155" i="17"/>
  <c r="BM150" i="17"/>
  <c r="BM220" i="17"/>
  <c r="BM156" i="17"/>
  <c r="BN220" i="17" l="1"/>
  <c r="BN150" i="17"/>
  <c r="BN157" i="17"/>
  <c r="BN23" i="17"/>
  <c r="BN155" i="17"/>
  <c r="BN183" i="17"/>
  <c r="BN185" i="17" s="1"/>
  <c r="BN144" i="17"/>
  <c r="BQ8" i="16"/>
  <c r="BQ125" i="17" s="1"/>
  <c r="BM16" i="26"/>
  <c r="BP135" i="17"/>
  <c r="BP10" i="17" s="1"/>
  <c r="BP143" i="17"/>
  <c r="BP130" i="17"/>
  <c r="BO219" i="17"/>
  <c r="BO191" i="17"/>
  <c r="BO196" i="17"/>
  <c r="BO224" i="17"/>
  <c r="BO226" i="17" s="1"/>
  <c r="BM22" i="17"/>
  <c r="BM25" i="17"/>
  <c r="BM27" i="17" s="1"/>
  <c r="BM29" i="17" s="1"/>
  <c r="BJ17" i="26"/>
  <c r="BM11" i="17"/>
  <c r="BM185" i="17"/>
  <c r="BN187" i="17"/>
  <c r="BO145" i="17"/>
  <c r="BP13" i="16"/>
  <c r="BP186" i="17" s="1"/>
  <c r="BP12" i="16"/>
  <c r="BK19" i="26"/>
  <c r="BN13" i="17"/>
  <c r="BO155" i="17" l="1"/>
  <c r="BO220" i="17"/>
  <c r="BO156" i="17"/>
  <c r="BO150" i="17"/>
  <c r="BO183" i="17"/>
  <c r="BO185" i="17" s="1"/>
  <c r="BO23" i="17"/>
  <c r="BO157" i="17"/>
  <c r="BP198" i="17"/>
  <c r="BN192" i="17"/>
  <c r="BO198" i="17"/>
  <c r="U161" i="23"/>
  <c r="BN198" i="17"/>
  <c r="BM188" i="17"/>
  <c r="BO197" i="17"/>
  <c r="BQ135" i="17"/>
  <c r="BQ10" i="17" s="1"/>
  <c r="BN16" i="26"/>
  <c r="BQ130" i="17"/>
  <c r="BQ143" i="17"/>
  <c r="BK17" i="26"/>
  <c r="BN11" i="17"/>
  <c r="BP196" i="17"/>
  <c r="BP224" i="17"/>
  <c r="BP226" i="17" s="1"/>
  <c r="BP191" i="17"/>
  <c r="BP219" i="17"/>
  <c r="BP145" i="17"/>
  <c r="BP156" i="17" s="1"/>
  <c r="BQ13" i="16"/>
  <c r="BQ186" i="17" s="1"/>
  <c r="BQ197" i="17" s="1"/>
  <c r="BQ12" i="16"/>
  <c r="BO144" i="17"/>
  <c r="BO13" i="17"/>
  <c r="BL19" i="26"/>
  <c r="BR8" i="16"/>
  <c r="BR125" i="17" s="1"/>
  <c r="BN22" i="17"/>
  <c r="BN25" i="17"/>
  <c r="BN27" i="17" s="1"/>
  <c r="BN29" i="17" s="1"/>
  <c r="BP197" i="17"/>
  <c r="BP144" i="17" l="1"/>
  <c r="BR143" i="17"/>
  <c r="BR146" i="17" s="1"/>
  <c r="BR130" i="17"/>
  <c r="BO16" i="26"/>
  <c r="BR135" i="17"/>
  <c r="BR10" i="17" s="1"/>
  <c r="BQ219" i="17"/>
  <c r="BQ196" i="17"/>
  <c r="BQ191" i="17"/>
  <c r="BQ224" i="17"/>
  <c r="BQ226" i="17" s="1"/>
  <c r="BQ198" i="17"/>
  <c r="BQ145" i="17"/>
  <c r="BQ144" i="17" s="1"/>
  <c r="BL17" i="26"/>
  <c r="BO11" i="17"/>
  <c r="BR13" i="16"/>
  <c r="BR186" i="17" s="1"/>
  <c r="BR12" i="16"/>
  <c r="BS8" i="16"/>
  <c r="BS125" i="17" s="1"/>
  <c r="BP150" i="17"/>
  <c r="BP155" i="17"/>
  <c r="BP183" i="17"/>
  <c r="BP23" i="17"/>
  <c r="BP220" i="17"/>
  <c r="BO25" i="17"/>
  <c r="BO27" i="17" s="1"/>
  <c r="BO29" i="17" s="1"/>
  <c r="BO22" i="17"/>
  <c r="BR126" i="17"/>
  <c r="BM19" i="26"/>
  <c r="BP13" i="17"/>
  <c r="BP157" i="17"/>
  <c r="BR219" i="17" l="1"/>
  <c r="BR196" i="17"/>
  <c r="BR224" i="17"/>
  <c r="BR226" i="17" s="1"/>
  <c r="BR191" i="17"/>
  <c r="BP11" i="17"/>
  <c r="BM17" i="26"/>
  <c r="BS130" i="17"/>
  <c r="BS135" i="17"/>
  <c r="BS10" i="17" s="1"/>
  <c r="BP16" i="26"/>
  <c r="BS143" i="17"/>
  <c r="BR151" i="17"/>
  <c r="BQ147" i="17"/>
  <c r="V159" i="23"/>
  <c r="BQ13" i="17"/>
  <c r="BN19" i="26"/>
  <c r="BP185" i="17"/>
  <c r="BT8" i="16"/>
  <c r="BT125" i="17" s="1"/>
  <c r="BQ156" i="17"/>
  <c r="BQ155" i="17"/>
  <c r="BQ150" i="17"/>
  <c r="BQ183" i="17"/>
  <c r="BQ185" i="17" s="1"/>
  <c r="BQ23" i="17"/>
  <c r="BQ220" i="17"/>
  <c r="BQ157" i="17"/>
  <c r="V158" i="23"/>
  <c r="BQ127" i="17"/>
  <c r="BR131" i="17"/>
  <c r="BP25" i="17"/>
  <c r="BP27" i="17" s="1"/>
  <c r="BP29" i="17" s="1"/>
  <c r="BP22" i="17"/>
  <c r="BS13" i="16"/>
  <c r="BS12" i="16"/>
  <c r="BR145" i="17"/>
  <c r="BR144" i="17" s="1"/>
  <c r="BU8" i="16" l="1"/>
  <c r="BU125" i="17" s="1"/>
  <c r="BR23" i="17"/>
  <c r="BR183" i="17"/>
  <c r="BR185" i="17" s="1"/>
  <c r="BR220" i="17"/>
  <c r="BR150" i="17"/>
  <c r="BR155" i="17"/>
  <c r="BR157" i="17"/>
  <c r="BQ11" i="17"/>
  <c r="BN17" i="26"/>
  <c r="BT13" i="16"/>
  <c r="BT12" i="16"/>
  <c r="BR13" i="17"/>
  <c r="BO19" i="26"/>
  <c r="BQ25" i="17"/>
  <c r="BQ27" i="17" s="1"/>
  <c r="BQ29" i="17" s="1"/>
  <c r="BQ22" i="17"/>
  <c r="BS145" i="17"/>
  <c r="BS144" i="17" s="1"/>
  <c r="BQ16" i="26"/>
  <c r="BT130" i="17"/>
  <c r="BT135" i="17"/>
  <c r="BT10" i="17" s="1"/>
  <c r="BT143" i="17"/>
  <c r="BT145" i="17" s="1"/>
  <c r="BR187" i="17" l="1"/>
  <c r="V161" i="23" s="1"/>
  <c r="BS220" i="17"/>
  <c r="BS155" i="17"/>
  <c r="BS156" i="17"/>
  <c r="BS150" i="17"/>
  <c r="BS157" i="17"/>
  <c r="BS23" i="17"/>
  <c r="BS183" i="17"/>
  <c r="BT157" i="17"/>
  <c r="BT156" i="17"/>
  <c r="BO17" i="26"/>
  <c r="BR11" i="17"/>
  <c r="BU143" i="17"/>
  <c r="BU145" i="17" s="1"/>
  <c r="BU130" i="17"/>
  <c r="BU135" i="17"/>
  <c r="BU10" i="17" s="1"/>
  <c r="BR16" i="26"/>
  <c r="BR22" i="17"/>
  <c r="BR25" i="17"/>
  <c r="BR27" i="17" s="1"/>
  <c r="BR29" i="17" s="1"/>
  <c r="BU13" i="16"/>
  <c r="BU12" i="16"/>
  <c r="BT144" i="17"/>
  <c r="BT23" i="17"/>
  <c r="BT155" i="17"/>
  <c r="BT220" i="17"/>
  <c r="BT183" i="17"/>
  <c r="BT150" i="17"/>
  <c r="BV8" i="16"/>
  <c r="BV125" i="17" s="1"/>
  <c r="BR198" i="17" l="1"/>
  <c r="BQ188" i="17"/>
  <c r="BR192" i="17"/>
  <c r="BS186" i="17"/>
  <c r="BS185" i="17" s="1"/>
  <c r="BT11" i="17"/>
  <c r="BQ17" i="26"/>
  <c r="BT22" i="17"/>
  <c r="BT25" i="17"/>
  <c r="BT27" i="17" s="1"/>
  <c r="BT29" i="17" s="1"/>
  <c r="BS25" i="17"/>
  <c r="BS27" i="17" s="1"/>
  <c r="BS29" i="17" s="1"/>
  <c r="BS22" i="17"/>
  <c r="BV130" i="17"/>
  <c r="BV143" i="17"/>
  <c r="BS16" i="26"/>
  <c r="BV135" i="17"/>
  <c r="BV10" i="17" s="1"/>
  <c r="BV13" i="16"/>
  <c r="BV12" i="16"/>
  <c r="BT186" i="17"/>
  <c r="BT185" i="17" s="1"/>
  <c r="BW8" i="16"/>
  <c r="BW125" i="17" s="1"/>
  <c r="BV126" i="17"/>
  <c r="BU144" i="17"/>
  <c r="BU155" i="17"/>
  <c r="BU183" i="17"/>
  <c r="BU186" i="17" s="1"/>
  <c r="BU196" i="17" s="1"/>
  <c r="BU150" i="17"/>
  <c r="BU157" i="17"/>
  <c r="BU23" i="17"/>
  <c r="BU220" i="17"/>
  <c r="BS11" i="17"/>
  <c r="BP17" i="26"/>
  <c r="BU156" i="17"/>
  <c r="BU191" i="17" l="1"/>
  <c r="BR19" i="26" s="1"/>
  <c r="BU198" i="17"/>
  <c r="BU25" i="17"/>
  <c r="BU27" i="17" s="1"/>
  <c r="BU29" i="17" s="1"/>
  <c r="BU22" i="17"/>
  <c r="BW13" i="16"/>
  <c r="BW12" i="16"/>
  <c r="BT196" i="17"/>
  <c r="BT224" i="17"/>
  <c r="BT226" i="17" s="1"/>
  <c r="BT219" i="17"/>
  <c r="BT191" i="17"/>
  <c r="BU185" i="17"/>
  <c r="BU197" i="17"/>
  <c r="BU219" i="17"/>
  <c r="BX8" i="16"/>
  <c r="BX125" i="17" s="1"/>
  <c r="BV145" i="17"/>
  <c r="BV144" i="17" s="1"/>
  <c r="BV146" i="17"/>
  <c r="BW143" i="17"/>
  <c r="BT16" i="26"/>
  <c r="BW130" i="17"/>
  <c r="BW135" i="17"/>
  <c r="BW10" i="17" s="1"/>
  <c r="BU224" i="17"/>
  <c r="BU226" i="17" s="1"/>
  <c r="BR17" i="26"/>
  <c r="BU11" i="17"/>
  <c r="BU127" i="17"/>
  <c r="W158" i="23"/>
  <c r="BV131" i="17"/>
  <c r="BS191" i="17"/>
  <c r="BS198" i="17"/>
  <c r="BS196" i="17"/>
  <c r="BS224" i="17"/>
  <c r="BS226" i="17" s="1"/>
  <c r="BS219" i="17"/>
  <c r="BS197" i="17"/>
  <c r="BT198" i="17"/>
  <c r="BT197" i="17"/>
  <c r="BU13" i="17" l="1"/>
  <c r="BY8" i="16"/>
  <c r="BY125" i="17" s="1"/>
  <c r="BT13" i="17"/>
  <c r="BQ19" i="26"/>
  <c r="BV220" i="17"/>
  <c r="BV183" i="17"/>
  <c r="BV150" i="17"/>
  <c r="BV155" i="17"/>
  <c r="BV23" i="17"/>
  <c r="BW145" i="17"/>
  <c r="BW144" i="17" s="1"/>
  <c r="BX143" i="17"/>
  <c r="BU16" i="26"/>
  <c r="BX130" i="17"/>
  <c r="BX135" i="17"/>
  <c r="BX10" i="17" s="1"/>
  <c r="BP19" i="26"/>
  <c r="BS13" i="17"/>
  <c r="BV157" i="17"/>
  <c r="W159" i="23"/>
  <c r="BU147" i="17"/>
  <c r="BV151" i="17"/>
  <c r="BX13" i="16"/>
  <c r="BX12" i="16"/>
  <c r="BW157" i="17" l="1"/>
  <c r="BW156" i="17"/>
  <c r="BW23" i="17"/>
  <c r="BW220" i="17"/>
  <c r="BW150" i="17"/>
  <c r="BW155" i="17"/>
  <c r="BW183" i="17"/>
  <c r="BW186" i="17" s="1"/>
  <c r="BV186" i="17"/>
  <c r="BV187" i="17"/>
  <c r="BY143" i="17"/>
  <c r="BY135" i="17"/>
  <c r="BY10" i="17" s="1"/>
  <c r="BV16" i="26"/>
  <c r="BY130" i="17"/>
  <c r="BV22" i="17"/>
  <c r="BV25" i="17"/>
  <c r="BV27" i="17" s="1"/>
  <c r="BV29" i="17" s="1"/>
  <c r="BY13" i="16"/>
  <c r="BY12" i="16"/>
  <c r="BV11" i="17"/>
  <c r="BS17" i="26"/>
  <c r="BX145" i="17"/>
  <c r="BX157" i="17" s="1"/>
  <c r="BZ8" i="16"/>
  <c r="BZ125" i="17" s="1"/>
  <c r="BZ126" i="17" s="1"/>
  <c r="BX144" i="17" l="1"/>
  <c r="X158" i="23"/>
  <c r="BZ131" i="17"/>
  <c r="BY127" i="17"/>
  <c r="BY145" i="17"/>
  <c r="BY144" i="17" s="1"/>
  <c r="BW185" i="17"/>
  <c r="BW197" i="17"/>
  <c r="BW224" i="17"/>
  <c r="BW226" i="17" s="1"/>
  <c r="BW219" i="17"/>
  <c r="BW196" i="17"/>
  <c r="BW191" i="17"/>
  <c r="BW25" i="17"/>
  <c r="BW27" i="17" s="1"/>
  <c r="BW29" i="17" s="1"/>
  <c r="BW22" i="17"/>
  <c r="CA8" i="16"/>
  <c r="CA125" i="17" s="1"/>
  <c r="BZ130" i="17"/>
  <c r="BW16" i="26"/>
  <c r="BZ143" i="17"/>
  <c r="BZ135" i="17"/>
  <c r="BZ10" i="17" s="1"/>
  <c r="BX150" i="17"/>
  <c r="BX183" i="17"/>
  <c r="BX23" i="17"/>
  <c r="BX155" i="17"/>
  <c r="BX220" i="17"/>
  <c r="BW198" i="17"/>
  <c r="BV192" i="17"/>
  <c r="W161" i="23"/>
  <c r="BU188" i="17"/>
  <c r="BX156" i="17"/>
  <c r="BV224" i="17"/>
  <c r="BV226" i="17" s="1"/>
  <c r="BV196" i="17"/>
  <c r="BV219" i="17"/>
  <c r="BV198" i="17"/>
  <c r="BV191" i="17"/>
  <c r="BZ13" i="16"/>
  <c r="BZ12" i="16"/>
  <c r="BV185" i="17"/>
  <c r="BT17" i="26"/>
  <c r="BW11" i="17"/>
  <c r="BY157" i="17" l="1"/>
  <c r="BV13" i="17"/>
  <c r="BS19" i="26"/>
  <c r="BX22" i="17"/>
  <c r="BX25" i="17"/>
  <c r="BX27" i="17" s="1"/>
  <c r="BX29" i="17" s="1"/>
  <c r="BZ145" i="17"/>
  <c r="BZ144" i="17" s="1"/>
  <c r="CA13" i="16"/>
  <c r="CA12" i="16"/>
  <c r="BW13" i="17"/>
  <c r="BT19" i="26"/>
  <c r="BY23" i="17"/>
  <c r="BY220" i="17"/>
  <c r="BY150" i="17"/>
  <c r="BY183" i="17"/>
  <c r="BY155" i="17"/>
  <c r="BY156" i="17"/>
  <c r="BX186" i="17"/>
  <c r="BX185" i="17" s="1"/>
  <c r="CB8" i="16"/>
  <c r="CB125" i="17" s="1"/>
  <c r="BU17" i="26"/>
  <c r="BX11" i="17"/>
  <c r="BZ146" i="17"/>
  <c r="CA143" i="17"/>
  <c r="CA145" i="17" s="1"/>
  <c r="CA130" i="17"/>
  <c r="CA135" i="17"/>
  <c r="CA10" i="17" s="1"/>
  <c r="BX16" i="26"/>
  <c r="CB13" i="16" l="1"/>
  <c r="CB12" i="16"/>
  <c r="BY25" i="17"/>
  <c r="BY27" i="17" s="1"/>
  <c r="BY29" i="17" s="1"/>
  <c r="BY22" i="17"/>
  <c r="BY147" i="17"/>
  <c r="BZ151" i="17"/>
  <c r="X159" i="23"/>
  <c r="CC8" i="16"/>
  <c r="CC125" i="17" s="1"/>
  <c r="BY186" i="17"/>
  <c r="BY198" i="17" s="1"/>
  <c r="CA144" i="17"/>
  <c r="CA157" i="17"/>
  <c r="CA150" i="17"/>
  <c r="CA155" i="17"/>
  <c r="CA23" i="17"/>
  <c r="CA220" i="17"/>
  <c r="CA156" i="17"/>
  <c r="CA183" i="17"/>
  <c r="BY16" i="26"/>
  <c r="CB143" i="17"/>
  <c r="CB130" i="17"/>
  <c r="CB135" i="17"/>
  <c r="CB10" i="17" s="1"/>
  <c r="BX196" i="17"/>
  <c r="BX219" i="17"/>
  <c r="BX191" i="17"/>
  <c r="BX224" i="17"/>
  <c r="BX226" i="17" s="1"/>
  <c r="BX198" i="17"/>
  <c r="BX197" i="17"/>
  <c r="BY11" i="17"/>
  <c r="BV17" i="26"/>
  <c r="BZ150" i="17"/>
  <c r="BZ183" i="17"/>
  <c r="BZ187" i="17" s="1"/>
  <c r="BZ155" i="17"/>
  <c r="BZ23" i="17"/>
  <c r="BZ157" i="17"/>
  <c r="BZ220" i="17"/>
  <c r="BY197" i="17" l="1"/>
  <c r="BY188" i="17"/>
  <c r="BZ192" i="17"/>
  <c r="X161" i="23"/>
  <c r="BZ22" i="17"/>
  <c r="BZ25" i="17"/>
  <c r="BZ27" i="17" s="1"/>
  <c r="BZ29" i="17" s="1"/>
  <c r="CB145" i="17"/>
  <c r="CB144" i="17" s="1"/>
  <c r="BX17" i="26"/>
  <c r="CA11" i="17"/>
  <c r="BY185" i="17"/>
  <c r="BY196" i="17"/>
  <c r="BY191" i="17"/>
  <c r="BY219" i="17"/>
  <c r="BY224" i="17"/>
  <c r="BY226" i="17" s="1"/>
  <c r="CD8" i="16"/>
  <c r="CD125" i="17" s="1"/>
  <c r="CD126" i="17" s="1"/>
  <c r="CC135" i="17"/>
  <c r="CC10" i="17" s="1"/>
  <c r="BZ16" i="26"/>
  <c r="CC130" i="17"/>
  <c r="CC143" i="17"/>
  <c r="BW17" i="26"/>
  <c r="BZ11" i="17"/>
  <c r="BU19" i="26"/>
  <c r="BX13" i="17"/>
  <c r="BZ186" i="17"/>
  <c r="BZ185" i="17" s="1"/>
  <c r="CA186" i="17"/>
  <c r="CA185" i="17" s="1"/>
  <c r="CA22" i="17"/>
  <c r="CA25" i="17"/>
  <c r="CA27" i="17" s="1"/>
  <c r="CA29" i="17" s="1"/>
  <c r="CC13" i="16"/>
  <c r="CC12" i="16"/>
  <c r="Y158" i="23" l="1"/>
  <c r="CC127" i="17"/>
  <c r="CD131" i="17"/>
  <c r="BV19" i="26"/>
  <c r="BY13" i="17"/>
  <c r="BZ219" i="17"/>
  <c r="BZ224" i="17"/>
  <c r="BZ226" i="17" s="1"/>
  <c r="BZ191" i="17"/>
  <c r="BZ198" i="17"/>
  <c r="BZ196" i="17"/>
  <c r="CE8" i="16"/>
  <c r="CE125" i="17" s="1"/>
  <c r="CD13" i="16"/>
  <c r="CD12" i="16"/>
  <c r="CB150" i="17"/>
  <c r="CB220" i="17"/>
  <c r="CB183" i="17"/>
  <c r="CB155" i="17"/>
  <c r="CB23" i="17"/>
  <c r="CB157" i="17"/>
  <c r="CB156" i="17"/>
  <c r="CA198" i="17"/>
  <c r="CA224" i="17"/>
  <c r="CA226" i="17" s="1"/>
  <c r="CA197" i="17"/>
  <c r="CA191" i="17"/>
  <c r="CA219" i="17"/>
  <c r="CA196" i="17"/>
  <c r="CC145" i="17"/>
  <c r="CA16" i="26"/>
  <c r="CD143" i="17"/>
  <c r="CD135" i="17"/>
  <c r="CD10" i="17" s="1"/>
  <c r="CD130" i="17"/>
  <c r="CC156" i="17" l="1"/>
  <c r="CC220" i="17"/>
  <c r="CC155" i="17"/>
  <c r="CC23" i="17"/>
  <c r="CC183" i="17"/>
  <c r="CC150" i="17"/>
  <c r="CF8" i="16"/>
  <c r="CF125" i="17" s="1"/>
  <c r="CC144" i="17"/>
  <c r="BX19" i="26"/>
  <c r="CA13" i="17"/>
  <c r="CB22" i="17"/>
  <c r="CB25" i="17"/>
  <c r="CB27" i="17" s="1"/>
  <c r="CB29" i="17" s="1"/>
  <c r="BY17" i="26"/>
  <c r="CB11" i="17"/>
  <c r="CE13" i="16"/>
  <c r="CE12" i="16"/>
  <c r="BZ13" i="17"/>
  <c r="BW19" i="26"/>
  <c r="CC157" i="17"/>
  <c r="CB186" i="17"/>
  <c r="CB185" i="17" s="1"/>
  <c r="CD145" i="17"/>
  <c r="CD146" i="17"/>
  <c r="CE135" i="17"/>
  <c r="CE10" i="17" s="1"/>
  <c r="CB16" i="26"/>
  <c r="CE143" i="17"/>
  <c r="CE145" i="17" s="1"/>
  <c r="CE130" i="17"/>
  <c r="CD183" i="17" l="1"/>
  <c r="CD186" i="17" s="1"/>
  <c r="CD155" i="17"/>
  <c r="CD220" i="17"/>
  <c r="CD23" i="17"/>
  <c r="CD150" i="17"/>
  <c r="CD157" i="17"/>
  <c r="CF135" i="17"/>
  <c r="CF10" i="17" s="1"/>
  <c r="CF130" i="17"/>
  <c r="CF143" i="17"/>
  <c r="CF145" i="17" s="1"/>
  <c r="CC16" i="26"/>
  <c r="CC186" i="17"/>
  <c r="CC185" i="17" s="1"/>
  <c r="CF13" i="16"/>
  <c r="CF12" i="16"/>
  <c r="CC25" i="17"/>
  <c r="CC27" i="17" s="1"/>
  <c r="CC29" i="17" s="1"/>
  <c r="CC22" i="17"/>
  <c r="CC147" i="17"/>
  <c r="CD151" i="17"/>
  <c r="Y159" i="23"/>
  <c r="CG8" i="16"/>
  <c r="CG125" i="17" s="1"/>
  <c r="CE144" i="17"/>
  <c r="CE157" i="17"/>
  <c r="CE156" i="17"/>
  <c r="CE183" i="17"/>
  <c r="CE150" i="17"/>
  <c r="CE23" i="17"/>
  <c r="CE220" i="17"/>
  <c r="CE155" i="17"/>
  <c r="CD144" i="17"/>
  <c r="CB198" i="17"/>
  <c r="CB196" i="17"/>
  <c r="CB191" i="17"/>
  <c r="CB224" i="17"/>
  <c r="CB226" i="17" s="1"/>
  <c r="CB219" i="17"/>
  <c r="CB197" i="17"/>
  <c r="CC198" i="17"/>
  <c r="CC11" i="17"/>
  <c r="BZ17" i="26"/>
  <c r="CC197" i="17" l="1"/>
  <c r="CD187" i="17"/>
  <c r="CD192" i="17" s="1"/>
  <c r="CD22" i="17"/>
  <c r="CD25" i="17"/>
  <c r="CD27" i="17" s="1"/>
  <c r="CD29" i="17" s="1"/>
  <c r="BY19" i="26"/>
  <c r="CB13" i="17"/>
  <c r="CE186" i="17"/>
  <c r="CE185" i="17" s="1"/>
  <c r="CG130" i="17"/>
  <c r="CG143" i="17"/>
  <c r="CG135" i="17"/>
  <c r="CG10" i="17" s="1"/>
  <c r="CD16" i="26"/>
  <c r="CC219" i="17"/>
  <c r="CC196" i="17"/>
  <c r="CC191" i="17"/>
  <c r="CC224" i="17"/>
  <c r="CC226" i="17" s="1"/>
  <c r="CB17" i="26"/>
  <c r="CE11" i="17"/>
  <c r="CG13" i="16"/>
  <c r="CG12" i="16"/>
  <c r="CE25" i="17"/>
  <c r="CE27" i="17" s="1"/>
  <c r="CE29" i="17" s="1"/>
  <c r="CE22" i="17"/>
  <c r="CH8" i="16"/>
  <c r="CH125" i="17" s="1"/>
  <c r="CH126" i="17" s="1"/>
  <c r="CF144" i="17"/>
  <c r="CF156" i="17"/>
  <c r="CF155" i="17"/>
  <c r="CF23" i="17"/>
  <c r="CF183" i="17"/>
  <c r="CF186" i="17" s="1"/>
  <c r="CF157" i="17"/>
  <c r="CF220" i="17"/>
  <c r="CF150" i="17"/>
  <c r="CA17" i="26"/>
  <c r="CD11" i="17"/>
  <c r="CD185" i="17"/>
  <c r="CD219" i="17"/>
  <c r="CD224" i="17"/>
  <c r="CD226" i="17" s="1"/>
  <c r="CD196" i="17"/>
  <c r="CD191" i="17"/>
  <c r="CF191" i="17" l="1"/>
  <c r="CC19" i="26" s="1"/>
  <c r="CF198" i="17"/>
  <c r="Y161" i="23"/>
  <c r="CD198" i="17"/>
  <c r="CC188" i="17"/>
  <c r="CF224" i="17"/>
  <c r="CF226" i="17" s="1"/>
  <c r="CH131" i="17"/>
  <c r="CG127" i="17"/>
  <c r="Z158" i="23"/>
  <c r="CG145" i="17"/>
  <c r="CF197" i="17"/>
  <c r="CF219" i="17"/>
  <c r="CF22" i="17"/>
  <c r="CF25" i="17"/>
  <c r="CF27" i="17" s="1"/>
  <c r="CF29" i="17" s="1"/>
  <c r="CI8" i="16"/>
  <c r="CI125" i="17" s="1"/>
  <c r="CH143" i="17"/>
  <c r="CH135" i="17"/>
  <c r="CH10" i="17" s="1"/>
  <c r="CH130" i="17"/>
  <c r="CE16" i="26"/>
  <c r="CF196" i="17"/>
  <c r="CH13" i="16"/>
  <c r="CH12" i="16"/>
  <c r="CC13" i="17"/>
  <c r="BZ19" i="26"/>
  <c r="CC17" i="26"/>
  <c r="CF11" i="17"/>
  <c r="CF185" i="17"/>
  <c r="CA19" i="26"/>
  <c r="CD13" i="17"/>
  <c r="CE224" i="17"/>
  <c r="CE226" i="17" s="1"/>
  <c r="CE219" i="17"/>
  <c r="CE197" i="17"/>
  <c r="CE196" i="17"/>
  <c r="CE198" i="17"/>
  <c r="CE191" i="17"/>
  <c r="CF13" i="17" l="1"/>
  <c r="CI13" i="16"/>
  <c r="CI12" i="16"/>
  <c r="CG220" i="17"/>
  <c r="CG23" i="17"/>
  <c r="CG155" i="17"/>
  <c r="CG183" i="17"/>
  <c r="CG150" i="17"/>
  <c r="CG157" i="17"/>
  <c r="CG156" i="17"/>
  <c r="CJ8" i="16"/>
  <c r="CJ125" i="17" s="1"/>
  <c r="CB19" i="26"/>
  <c r="CE13" i="17"/>
  <c r="CH145" i="17"/>
  <c r="CH144" i="17" s="1"/>
  <c r="CH146" i="17"/>
  <c r="CF16" i="26"/>
  <c r="CI143" i="17"/>
  <c r="CI145" i="17" s="1"/>
  <c r="CI130" i="17"/>
  <c r="CI135" i="17"/>
  <c r="CI10" i="17" s="1"/>
  <c r="CG144" i="17"/>
  <c r="CG25" i="17" l="1"/>
  <c r="CG27" i="17" s="1"/>
  <c r="CG29" i="17" s="1"/>
  <c r="CG22" i="17"/>
  <c r="CI144" i="17"/>
  <c r="CI23" i="17"/>
  <c r="CI183" i="17"/>
  <c r="CI186" i="17" s="1"/>
  <c r="CI185" i="17" s="1"/>
  <c r="CI155" i="17"/>
  <c r="CI220" i="17"/>
  <c r="CI156" i="17"/>
  <c r="CI157" i="17"/>
  <c r="CI150" i="17"/>
  <c r="CK8" i="16"/>
  <c r="CK125" i="17" s="1"/>
  <c r="CJ13" i="16"/>
  <c r="CJ12" i="16"/>
  <c r="CG186" i="17"/>
  <c r="CG16" i="26"/>
  <c r="CJ130" i="17"/>
  <c r="CJ143" i="17"/>
  <c r="CJ145" i="17" s="1"/>
  <c r="CJ135" i="17"/>
  <c r="CJ10" i="17" s="1"/>
  <c r="CH23" i="17"/>
  <c r="CH150" i="17"/>
  <c r="CH157" i="17"/>
  <c r="CH183" i="17"/>
  <c r="CH155" i="17"/>
  <c r="CH220" i="17"/>
  <c r="CG11" i="17"/>
  <c r="CD17" i="26"/>
  <c r="Z159" i="23"/>
  <c r="CH151" i="17"/>
  <c r="CG147" i="17"/>
  <c r="CI196" i="17" l="1"/>
  <c r="CI219" i="17"/>
  <c r="CI224" i="17"/>
  <c r="CI226" i="17" s="1"/>
  <c r="CH22" i="17"/>
  <c r="CH25" i="17"/>
  <c r="CH27" i="17" s="1"/>
  <c r="CH29" i="17" s="1"/>
  <c r="CG185" i="17"/>
  <c r="CG219" i="17"/>
  <c r="CG196" i="17"/>
  <c r="CG224" i="17"/>
  <c r="CG226" i="17" s="1"/>
  <c r="CG191" i="17"/>
  <c r="CG198" i="17"/>
  <c r="CG197" i="17"/>
  <c r="CK13" i="16"/>
  <c r="CK12" i="16"/>
  <c r="CI22" i="17"/>
  <c r="CI25" i="17"/>
  <c r="CI27" i="17" s="1"/>
  <c r="CI29" i="17" s="1"/>
  <c r="CH186" i="17"/>
  <c r="CF17" i="26"/>
  <c r="CI11" i="17"/>
  <c r="CJ144" i="17"/>
  <c r="CJ23" i="17"/>
  <c r="CJ150" i="17"/>
  <c r="CJ220" i="17"/>
  <c r="CJ155" i="17"/>
  <c r="CJ157" i="17"/>
  <c r="CJ183" i="17"/>
  <c r="CJ156" i="17"/>
  <c r="CL8" i="16"/>
  <c r="CL125" i="17" s="1"/>
  <c r="CH11" i="17"/>
  <c r="CE17" i="26"/>
  <c r="CH187" i="17"/>
  <c r="CK130" i="17"/>
  <c r="CK135" i="17"/>
  <c r="CK10" i="17" s="1"/>
  <c r="CH16" i="26"/>
  <c r="CK143" i="17"/>
  <c r="CM8" i="16" l="1"/>
  <c r="CM125" i="17" s="1"/>
  <c r="CL143" i="17"/>
  <c r="CL135" i="17"/>
  <c r="CL10" i="17" s="1"/>
  <c r="CI16" i="26"/>
  <c r="CL130" i="17"/>
  <c r="CL126" i="17"/>
  <c r="CJ186" i="17"/>
  <c r="CJ185" i="17" s="1"/>
  <c r="CJ11" i="17"/>
  <c r="CG17" i="26"/>
  <c r="CH219" i="17"/>
  <c r="CH224" i="17"/>
  <c r="CH226" i="17" s="1"/>
  <c r="CH191" i="17"/>
  <c r="CH196" i="17"/>
  <c r="CH198" i="17"/>
  <c r="CI191" i="17"/>
  <c r="CD19" i="26"/>
  <c r="CG13" i="17"/>
  <c r="CK145" i="17"/>
  <c r="CK144" i="17" s="1"/>
  <c r="CH192" i="17"/>
  <c r="Z161" i="23"/>
  <c r="CG188" i="17"/>
  <c r="CI198" i="17"/>
  <c r="CI197" i="17"/>
  <c r="CL13" i="16"/>
  <c r="CL12" i="16"/>
  <c r="CJ25" i="17"/>
  <c r="CJ27" i="17" s="1"/>
  <c r="CJ29" i="17" s="1"/>
  <c r="CJ22" i="17"/>
  <c r="CH185" i="17"/>
  <c r="CL131" i="17" l="1"/>
  <c r="AA158" i="23"/>
  <c r="CK127" i="17"/>
  <c r="CH13" i="17"/>
  <c r="CE19" i="26"/>
  <c r="CM143" i="17"/>
  <c r="CM135" i="17"/>
  <c r="CM10" i="17" s="1"/>
  <c r="CM130" i="17"/>
  <c r="CJ16" i="26"/>
  <c r="CI13" i="17"/>
  <c r="CF19" i="26"/>
  <c r="CM13" i="16"/>
  <c r="CM12" i="16"/>
  <c r="CL145" i="17"/>
  <c r="CL144" i="17" s="1"/>
  <c r="CL146" i="17"/>
  <c r="CK156" i="17"/>
  <c r="CK150" i="17"/>
  <c r="CK183" i="17"/>
  <c r="CK220" i="17"/>
  <c r="CK23" i="17"/>
  <c r="CK155" i="17"/>
  <c r="CK157" i="17"/>
  <c r="CJ219" i="17"/>
  <c r="CJ198" i="17"/>
  <c r="CJ197" i="17"/>
  <c r="CJ224" i="17"/>
  <c r="CJ226" i="17" s="1"/>
  <c r="CJ196" i="17"/>
  <c r="CJ191" i="17"/>
  <c r="CN8" i="16"/>
  <c r="CN125" i="17" s="1"/>
  <c r="CK147" i="17" l="1"/>
  <c r="AA159" i="23"/>
  <c r="CL151" i="17"/>
  <c r="CN13" i="16"/>
  <c r="CN12" i="16"/>
  <c r="CK186" i="17"/>
  <c r="CK185" i="17" s="1"/>
  <c r="CO8" i="16"/>
  <c r="CO125" i="17" s="1"/>
  <c r="CK11" i="17"/>
  <c r="CH17" i="26"/>
  <c r="CL220" i="17"/>
  <c r="CL183" i="17"/>
  <c r="CL186" i="17" s="1"/>
  <c r="CL23" i="17"/>
  <c r="CL150" i="17"/>
  <c r="CL155" i="17"/>
  <c r="CL157" i="17"/>
  <c r="CM145" i="17"/>
  <c r="CN143" i="17"/>
  <c r="CN135" i="17"/>
  <c r="CN10" i="17" s="1"/>
  <c r="CK16" i="26"/>
  <c r="CN130" i="17"/>
  <c r="CG19" i="26"/>
  <c r="CJ13" i="17"/>
  <c r="CK25" i="17"/>
  <c r="CK27" i="17" s="1"/>
  <c r="CK29" i="17" s="1"/>
  <c r="CK22" i="17"/>
  <c r="CL187" i="17" l="1"/>
  <c r="CL198" i="17" s="1"/>
  <c r="CL185" i="17"/>
  <c r="CL224" i="17"/>
  <c r="CL226" i="17" s="1"/>
  <c r="CL219" i="17"/>
  <c r="CL196" i="17"/>
  <c r="CL191" i="17"/>
  <c r="CO130" i="17"/>
  <c r="CO135" i="17"/>
  <c r="CO10" i="17" s="1"/>
  <c r="CL16" i="26"/>
  <c r="CO143" i="17"/>
  <c r="CK198" i="17"/>
  <c r="CK197" i="17"/>
  <c r="CK224" i="17"/>
  <c r="CK226" i="17" s="1"/>
  <c r="CK196" i="17"/>
  <c r="CK219" i="17"/>
  <c r="CK191" i="17"/>
  <c r="CL25" i="17"/>
  <c r="CL27" i="17" s="1"/>
  <c r="CL29" i="17" s="1"/>
  <c r="CL22" i="17"/>
  <c r="CN145" i="17"/>
  <c r="CN157" i="17" s="1"/>
  <c r="CO13" i="16"/>
  <c r="CO12" i="16"/>
  <c r="CM155" i="17"/>
  <c r="CM157" i="17"/>
  <c r="CM156" i="17"/>
  <c r="CM23" i="17"/>
  <c r="CM183" i="17"/>
  <c r="CM186" i="17" s="1"/>
  <c r="CM220" i="17"/>
  <c r="CM150" i="17"/>
  <c r="CM144" i="17"/>
  <c r="CI17" i="26"/>
  <c r="CL11" i="17"/>
  <c r="CP8" i="16"/>
  <c r="CP125" i="17" s="1"/>
  <c r="CM198" i="17" l="1"/>
  <c r="CK188" i="17"/>
  <c r="CL192" i="17"/>
  <c r="AA161" i="23"/>
  <c r="CN150" i="17"/>
  <c r="CN23" i="17"/>
  <c r="CN183" i="17"/>
  <c r="CN155" i="17"/>
  <c r="CN220" i="17"/>
  <c r="CN156" i="17"/>
  <c r="CM22" i="17"/>
  <c r="CM25" i="17"/>
  <c r="CM27" i="17" s="1"/>
  <c r="CM29" i="17" s="1"/>
  <c r="CO145" i="17"/>
  <c r="CO156" i="17" s="1"/>
  <c r="CQ8" i="16"/>
  <c r="CQ125" i="17" s="1"/>
  <c r="CP126" i="17"/>
  <c r="CP130" i="17"/>
  <c r="CM16" i="26"/>
  <c r="CP135" i="17"/>
  <c r="CP10" i="17" s="1"/>
  <c r="CP143" i="17"/>
  <c r="CP145" i="17" s="1"/>
  <c r="CM11" i="17"/>
  <c r="CJ17" i="26"/>
  <c r="CL13" i="17"/>
  <c r="CI19" i="26"/>
  <c r="CM185" i="17"/>
  <c r="CM191" i="17"/>
  <c r="CM224" i="17"/>
  <c r="CM226" i="17" s="1"/>
  <c r="CM196" i="17"/>
  <c r="CM219" i="17"/>
  <c r="CM197" i="17"/>
  <c r="CP13" i="16"/>
  <c r="CP12" i="16"/>
  <c r="CN144" i="17"/>
  <c r="CK13" i="17"/>
  <c r="CH19" i="26"/>
  <c r="CP144" i="17" l="1"/>
  <c r="CP23" i="17"/>
  <c r="CP150" i="17"/>
  <c r="CP220" i="17"/>
  <c r="CP183" i="17"/>
  <c r="CP186" i="17" s="1"/>
  <c r="CP185" i="17" s="1"/>
  <c r="CP155" i="17"/>
  <c r="AB158" i="23"/>
  <c r="CP131" i="17"/>
  <c r="CO127" i="17"/>
  <c r="CP146" i="17"/>
  <c r="CN186" i="17"/>
  <c r="CR8" i="16"/>
  <c r="CR125" i="17" s="1"/>
  <c r="CQ130" i="17"/>
  <c r="CN16" i="26"/>
  <c r="CQ135" i="17"/>
  <c r="CQ10" i="17" s="1"/>
  <c r="D119" i="2" s="1"/>
  <c r="CQ143" i="17"/>
  <c r="CO144" i="17"/>
  <c r="CO220" i="17"/>
  <c r="CO221" i="17" s="1"/>
  <c r="CO155" i="17"/>
  <c r="CO23" i="17"/>
  <c r="CO183" i="17"/>
  <c r="CO150" i="17"/>
  <c r="CO157" i="17"/>
  <c r="CN25" i="17"/>
  <c r="CN27" i="17" s="1"/>
  <c r="CN29" i="17" s="1"/>
  <c r="CN22" i="17"/>
  <c r="CJ19" i="26"/>
  <c r="CM13" i="17"/>
  <c r="CQ13" i="16"/>
  <c r="CQ12" i="16"/>
  <c r="CN11" i="17"/>
  <c r="CK17" i="26"/>
  <c r="CP224" i="17" l="1"/>
  <c r="CP226" i="17" s="1"/>
  <c r="CP219" i="17"/>
  <c r="CP196" i="17"/>
  <c r="E107" i="20"/>
  <c r="V107" i="20" s="1"/>
  <c r="AU119" i="2"/>
  <c r="CS8" i="16"/>
  <c r="CS125" i="17" s="1"/>
  <c r="CO147" i="17"/>
  <c r="AB159" i="23"/>
  <c r="CP151" i="17"/>
  <c r="CP157" i="17"/>
  <c r="CO25" i="17"/>
  <c r="CO27" i="17" s="1"/>
  <c r="CO29" i="17" s="1"/>
  <c r="CO22" i="17"/>
  <c r="CQ145" i="17"/>
  <c r="CN197" i="17"/>
  <c r="CN219" i="17"/>
  <c r="CN196" i="17"/>
  <c r="CN191" i="17"/>
  <c r="CN224" i="17"/>
  <c r="CN226" i="17" s="1"/>
  <c r="CN198" i="17"/>
  <c r="CO11" i="17"/>
  <c r="CL17" i="26"/>
  <c r="CR13" i="16"/>
  <c r="CR12" i="16"/>
  <c r="CP22" i="17"/>
  <c r="CP25" i="17"/>
  <c r="CP27" i="17" s="1"/>
  <c r="CP29" i="17" s="1"/>
  <c r="CR130" i="17"/>
  <c r="CO16" i="26"/>
  <c r="CR143" i="17"/>
  <c r="CR145" i="17" s="1"/>
  <c r="CR135" i="17"/>
  <c r="CR10" i="17" s="1"/>
  <c r="E119" i="2" s="1"/>
  <c r="CP11" i="17"/>
  <c r="CM17" i="26"/>
  <c r="CO186" i="17"/>
  <c r="CP187" i="17"/>
  <c r="CN185" i="17"/>
  <c r="CQ155" i="17" l="1"/>
  <c r="CQ183" i="17"/>
  <c r="CQ186" i="17" s="1"/>
  <c r="CQ23" i="17"/>
  <c r="CQ157" i="17"/>
  <c r="CU155" i="17"/>
  <c r="CQ156" i="17"/>
  <c r="CQ220" i="17"/>
  <c r="CQ150" i="17"/>
  <c r="CR157" i="17"/>
  <c r="CR156" i="17"/>
  <c r="CS13" i="16"/>
  <c r="CS12" i="16"/>
  <c r="CO185" i="17"/>
  <c r="CO191" i="17"/>
  <c r="CO219" i="17"/>
  <c r="CO196" i="17"/>
  <c r="CO224" i="17"/>
  <c r="CO226" i="17" s="1"/>
  <c r="CP191" i="17"/>
  <c r="F107" i="20"/>
  <c r="W107" i="20" s="1"/>
  <c r="AV119" i="2"/>
  <c r="CO197" i="17"/>
  <c r="CT8" i="16"/>
  <c r="CT125" i="17" s="1"/>
  <c r="CP192" i="17"/>
  <c r="CO188" i="17"/>
  <c r="CP198" i="17"/>
  <c r="AB161" i="23"/>
  <c r="CR144" i="17"/>
  <c r="CR23" i="17"/>
  <c r="CV155" i="17"/>
  <c r="CR220" i="17"/>
  <c r="CR155" i="17"/>
  <c r="CR183" i="17"/>
  <c r="CR186" i="17" s="1"/>
  <c r="CR185" i="17" s="1"/>
  <c r="CR150" i="17"/>
  <c r="CO198" i="17"/>
  <c r="CN13" i="17"/>
  <c r="CK19" i="26"/>
  <c r="CQ144" i="17"/>
  <c r="CS143" i="17"/>
  <c r="CS135" i="17"/>
  <c r="CS10" i="17" s="1"/>
  <c r="F119" i="2" s="1"/>
  <c r="CS130" i="17"/>
  <c r="CP16" i="26"/>
  <c r="CR197" i="17" l="1"/>
  <c r="CR198" i="17"/>
  <c r="CR196" i="17"/>
  <c r="CR191" i="17"/>
  <c r="CR13" i="17" s="1"/>
  <c r="E122" i="2" s="1"/>
  <c r="CR219" i="17"/>
  <c r="CV196" i="17"/>
  <c r="CR224" i="17"/>
  <c r="CR226" i="17" s="1"/>
  <c r="CO17" i="26"/>
  <c r="CR11" i="17"/>
  <c r="E120" i="2" s="1"/>
  <c r="CT13" i="16"/>
  <c r="CT12" i="16"/>
  <c r="CP13" i="17"/>
  <c r="CM19" i="26"/>
  <c r="CO13" i="17"/>
  <c r="CL19" i="26"/>
  <c r="CN17" i="26"/>
  <c r="CQ11" i="17"/>
  <c r="D120" i="2" s="1"/>
  <c r="CR25" i="17"/>
  <c r="CR27" i="17" s="1"/>
  <c r="CR29" i="17" s="1"/>
  <c r="CR22" i="17"/>
  <c r="CQ25" i="17"/>
  <c r="CQ27" i="17" s="1"/>
  <c r="CQ29" i="17" s="1"/>
  <c r="CQ22" i="17"/>
  <c r="G107" i="20"/>
  <c r="X107" i="20" s="1"/>
  <c r="AW119" i="2"/>
  <c r="CQ185" i="17"/>
  <c r="CQ197" i="17"/>
  <c r="CQ219" i="17"/>
  <c r="CQ196" i="17"/>
  <c r="CQ224" i="17"/>
  <c r="CQ226" i="17" s="1"/>
  <c r="CQ198" i="17"/>
  <c r="CQ191" i="17"/>
  <c r="CU196" i="17"/>
  <c r="CS145" i="17"/>
  <c r="CS144" i="17" s="1"/>
  <c r="CT143" i="17"/>
  <c r="CT146" i="17" s="1"/>
  <c r="CQ16" i="26"/>
  <c r="CT135" i="17"/>
  <c r="CT10" i="17" s="1"/>
  <c r="G119" i="2" s="1"/>
  <c r="CU130" i="17"/>
  <c r="CT130" i="17"/>
  <c r="CT126" i="17"/>
  <c r="CO218" i="17"/>
  <c r="CO19" i="26"/>
  <c r="CX202" i="17" l="1"/>
  <c r="CW202" i="17"/>
  <c r="CW201" i="17" s="1"/>
  <c r="CN19" i="26"/>
  <c r="CQ13" i="17"/>
  <c r="D122" i="2" s="1"/>
  <c r="AC158" i="23"/>
  <c r="CS127" i="17"/>
  <c r="CX131" i="17"/>
  <c r="CT131" i="17"/>
  <c r="CS183" i="17"/>
  <c r="CS155" i="17"/>
  <c r="CS220" i="17"/>
  <c r="CS221" i="17" s="1"/>
  <c r="CS150" i="17"/>
  <c r="CS23" i="17"/>
  <c r="CW155" i="17"/>
  <c r="CS156" i="17"/>
  <c r="CS157" i="17"/>
  <c r="AU120" i="2"/>
  <c r="E109" i="20"/>
  <c r="V109" i="20" s="1"/>
  <c r="F109" i="20"/>
  <c r="W109" i="20" s="1"/>
  <c r="AV120" i="2"/>
  <c r="CU157" i="17"/>
  <c r="CS147" i="17"/>
  <c r="CW156" i="17"/>
  <c r="CX151" i="17"/>
  <c r="CT151" i="17"/>
  <c r="CW157" i="17"/>
  <c r="CU156" i="17"/>
  <c r="CV157" i="17"/>
  <c r="CV156" i="17"/>
  <c r="AC159" i="23"/>
  <c r="AX119" i="2"/>
  <c r="H107" i="20"/>
  <c r="Y107" i="20" s="1"/>
  <c r="CT145" i="17"/>
  <c r="AV122" i="2"/>
  <c r="F111" i="20"/>
  <c r="W111" i="20" s="1"/>
  <c r="CX201" i="17" l="1"/>
  <c r="E111" i="20"/>
  <c r="V111" i="20" s="1"/>
  <c r="AU122" i="2"/>
  <c r="CX155" i="17"/>
  <c r="CU150" i="17"/>
  <c r="CT183" i="17"/>
  <c r="CT187" i="17" s="1"/>
  <c r="CT155" i="17"/>
  <c r="CT150" i="17"/>
  <c r="CT23" i="17"/>
  <c r="CT157" i="17"/>
  <c r="CT220" i="17"/>
  <c r="CS25" i="17"/>
  <c r="CS27" i="17" s="1"/>
  <c r="CS29" i="17" s="1"/>
  <c r="CS22" i="17"/>
  <c r="CS186" i="17"/>
  <c r="CP17" i="26"/>
  <c r="CS11" i="17"/>
  <c r="F120" i="2" s="1"/>
  <c r="CT144" i="17"/>
  <c r="G109" i="20" l="1"/>
  <c r="X109" i="20" s="1"/>
  <c r="AW120" i="2"/>
  <c r="CT22" i="17"/>
  <c r="CT25" i="17"/>
  <c r="CT27" i="17" s="1"/>
  <c r="CT29" i="17" s="1"/>
  <c r="CQ17" i="26"/>
  <c r="CT11" i="17"/>
  <c r="G120" i="2" s="1"/>
  <c r="CU197" i="17"/>
  <c r="CW198" i="17"/>
  <c r="CV198" i="17"/>
  <c r="AC161" i="23"/>
  <c r="CV197" i="17"/>
  <c r="CT192" i="17"/>
  <c r="CW197" i="17"/>
  <c r="CX192" i="17"/>
  <c r="CU198" i="17"/>
  <c r="CS188" i="17"/>
  <c r="CR17" i="26"/>
  <c r="CU11" i="17"/>
  <c r="H120" i="2" s="1"/>
  <c r="CS185" i="17"/>
  <c r="CW196" i="17"/>
  <c r="CS219" i="17"/>
  <c r="CS196" i="17"/>
  <c r="CS224" i="17"/>
  <c r="CS226" i="17" s="1"/>
  <c r="CS191" i="17"/>
  <c r="CS197" i="17"/>
  <c r="CS198" i="17"/>
  <c r="CT186" i="17"/>
  <c r="CT185" i="17" s="1"/>
  <c r="CP19" i="26" l="1"/>
  <c r="CS13" i="17"/>
  <c r="F122" i="2" s="1"/>
  <c r="CU191" i="17"/>
  <c r="CT219" i="17"/>
  <c r="DA202" i="17" s="1"/>
  <c r="DA201" i="17" s="1"/>
  <c r="CT191" i="17"/>
  <c r="CX196" i="17"/>
  <c r="CT224" i="17"/>
  <c r="CT226" i="17" s="1"/>
  <c r="CU226" i="17" s="1"/>
  <c r="CT196" i="17"/>
  <c r="CT198" i="17"/>
  <c r="I109" i="20"/>
  <c r="Z109" i="20" s="1"/>
  <c r="AY120" i="2"/>
  <c r="AX120" i="2"/>
  <c r="H109" i="20"/>
  <c r="Y109" i="20" s="1"/>
  <c r="CS218" i="17"/>
  <c r="DB202" i="17" l="1"/>
  <c r="DB201" i="17" s="1"/>
  <c r="CV226" i="17"/>
  <c r="CU227" i="17"/>
  <c r="G111" i="20"/>
  <c r="X111" i="20" s="1"/>
  <c r="AW122" i="2"/>
  <c r="CR19" i="26"/>
  <c r="CU13" i="17"/>
  <c r="H122" i="2" s="1"/>
  <c r="CQ19" i="26"/>
  <c r="CT13" i="17"/>
  <c r="G122" i="2" s="1"/>
  <c r="CU232" i="17" l="1"/>
  <c r="CU23" i="17" s="1"/>
  <c r="CU237" i="17"/>
  <c r="CU1" i="17" s="1"/>
  <c r="CU135" i="17"/>
  <c r="CU10" i="17" s="1"/>
  <c r="H119" i="2" s="1"/>
  <c r="CU238" i="17"/>
  <c r="CU26" i="17"/>
  <c r="CV227" i="17"/>
  <c r="CV238" i="17" s="1"/>
  <c r="CW226" i="17"/>
  <c r="I111" i="20"/>
  <c r="Z111" i="20" s="1"/>
  <c r="AY122" i="2"/>
  <c r="AX122" i="2"/>
  <c r="H111" i="20"/>
  <c r="Y111" i="20" s="1"/>
  <c r="CU24" i="17" l="1"/>
  <c r="CU25" i="17" s="1"/>
  <c r="CU27" i="17" s="1"/>
  <c r="CU19" i="17"/>
  <c r="CU18" i="17"/>
  <c r="CX226" i="17"/>
  <c r="CW227" i="17"/>
  <c r="I107" i="20"/>
  <c r="Z107" i="20" s="1"/>
  <c r="AY119" i="2"/>
  <c r="CV237" i="17"/>
  <c r="CV1" i="17" s="1"/>
  <c r="CV135" i="17"/>
  <c r="CV10" i="17" s="1"/>
  <c r="I119" i="2" s="1"/>
  <c r="CV239" i="17"/>
  <c r="CV232" i="17"/>
  <c r="CV24" i="17" s="1"/>
  <c r="CU20" i="17"/>
  <c r="N7" i="28" s="1"/>
  <c r="CU15" i="17"/>
  <c r="CU28" i="17"/>
  <c r="CR21" i="26"/>
  <c r="CV23" i="17" l="1"/>
  <c r="CV25" i="17" s="1"/>
  <c r="CU29" i="17"/>
  <c r="N9" i="28"/>
  <c r="CU32" i="17"/>
  <c r="N6" i="28"/>
  <c r="CV26" i="17"/>
  <c r="CV29" i="17" s="1"/>
  <c r="J107" i="20"/>
  <c r="AA107" i="20" s="1"/>
  <c r="AZ119" i="2"/>
  <c r="CW238" i="17"/>
  <c r="CW135" i="17"/>
  <c r="CW10" i="17" s="1"/>
  <c r="J119" i="2" s="1"/>
  <c r="CW239" i="17"/>
  <c r="CW232" i="17"/>
  <c r="CW26" i="17" s="1"/>
  <c r="CW237" i="17"/>
  <c r="CW1" i="17" s="1"/>
  <c r="CV19" i="17"/>
  <c r="CV28" i="17"/>
  <c r="CS21" i="26"/>
  <c r="CV15" i="17"/>
  <c r="CU21" i="17"/>
  <c r="CU22" i="17" s="1"/>
  <c r="N10" i="28"/>
  <c r="H124" i="2"/>
  <c r="CV18" i="17"/>
  <c r="CV20" i="17"/>
  <c r="O7" i="28" s="1"/>
  <c r="CY226" i="17"/>
  <c r="CX227" i="17"/>
  <c r="N5" i="28" l="1"/>
  <c r="O9" i="28"/>
  <c r="CV27" i="17"/>
  <c r="CV32" i="17"/>
  <c r="CW24" i="17"/>
  <c r="CT21" i="26"/>
  <c r="CW15" i="17"/>
  <c r="CW28" i="17"/>
  <c r="CW20" i="17"/>
  <c r="P7" i="28" s="1"/>
  <c r="O6" i="28"/>
  <c r="CV21" i="17"/>
  <c r="CV22" i="17" s="1"/>
  <c r="O10" i="28"/>
  <c r="I124" i="2"/>
  <c r="CW18" i="17"/>
  <c r="CW23" i="17"/>
  <c r="K107" i="20"/>
  <c r="AB107" i="20" s="1"/>
  <c r="BA119" i="2"/>
  <c r="O5" i="28"/>
  <c r="CY227" i="17"/>
  <c r="CZ226" i="17"/>
  <c r="P9" i="28"/>
  <c r="CX237" i="17"/>
  <c r="CX1" i="17" s="1"/>
  <c r="CX135" i="17"/>
  <c r="CX10" i="17" s="1"/>
  <c r="K119" i="2" s="1"/>
  <c r="CX232" i="17"/>
  <c r="CX19" i="17" s="1"/>
  <c r="CX228" i="17"/>
  <c r="I113" i="20"/>
  <c r="Z113" i="20" s="1"/>
  <c r="AY124" i="2"/>
  <c r="CW19" i="17"/>
  <c r="CX20" i="17" l="1"/>
  <c r="Q7" i="28" s="1"/>
  <c r="CX28" i="17"/>
  <c r="CU21" i="26"/>
  <c r="CX15" i="17"/>
  <c r="CZ227" i="17"/>
  <c r="DA226" i="17"/>
  <c r="CX24" i="17"/>
  <c r="CW229" i="17"/>
  <c r="AD163" i="23"/>
  <c r="CX233" i="17"/>
  <c r="CX2" i="17" s="1"/>
  <c r="CY135" i="17"/>
  <c r="CY10" i="17" s="1"/>
  <c r="L119" i="2" s="1"/>
  <c r="CY237" i="17"/>
  <c r="CY1" i="17" s="1"/>
  <c r="CY232" i="17"/>
  <c r="CY19" i="17" s="1"/>
  <c r="CY238" i="17"/>
  <c r="CW25" i="17"/>
  <c r="CW27" i="17" s="1"/>
  <c r="J124" i="2"/>
  <c r="P10" i="28"/>
  <c r="CX239" i="17"/>
  <c r="CX18" i="17"/>
  <c r="CW21" i="17"/>
  <c r="CW22" i="17" s="1"/>
  <c r="P6" i="28"/>
  <c r="P5" i="28" s="1"/>
  <c r="L107" i="20"/>
  <c r="AC107" i="20" s="1"/>
  <c r="BB119" i="2"/>
  <c r="CX23" i="17"/>
  <c r="CX26" i="17"/>
  <c r="J113" i="20"/>
  <c r="AA113" i="20" s="1"/>
  <c r="AZ124" i="2"/>
  <c r="CW29" i="17"/>
  <c r="CW32" i="17"/>
  <c r="CY23" i="17" l="1"/>
  <c r="CX25" i="17"/>
  <c r="CX27" i="17" s="1"/>
  <c r="CY26" i="17"/>
  <c r="CY20" i="17"/>
  <c r="R7" i="28" s="1"/>
  <c r="CY18" i="17"/>
  <c r="R6" i="28" s="1"/>
  <c r="Q10" i="28"/>
  <c r="K124" i="2"/>
  <c r="M107" i="20"/>
  <c r="AD107" i="20" s="1"/>
  <c r="BC119" i="2"/>
  <c r="CX32" i="17"/>
  <c r="CX29" i="17"/>
  <c r="Q9" i="28"/>
  <c r="BA124" i="2"/>
  <c r="K113" i="20"/>
  <c r="AB113" i="20" s="1"/>
  <c r="DA227" i="17"/>
  <c r="DB226" i="17"/>
  <c r="DB227" i="17" s="1"/>
  <c r="Q6" i="28"/>
  <c r="CX21" i="17"/>
  <c r="CX22" i="17" s="1"/>
  <c r="CY24" i="17"/>
  <c r="CY15" i="17"/>
  <c r="CV21" i="26"/>
  <c r="CY28" i="17"/>
  <c r="CZ238" i="17"/>
  <c r="CZ237" i="17"/>
  <c r="CZ1" i="17" s="1"/>
  <c r="CZ135" i="17"/>
  <c r="CZ10" i="17" s="1"/>
  <c r="M119" i="2" s="1"/>
  <c r="CZ232" i="17"/>
  <c r="CZ18" i="17" s="1"/>
  <c r="CZ239" i="17"/>
  <c r="CY21" i="17" l="1"/>
  <c r="CY22" i="17" s="1"/>
  <c r="CZ19" i="17"/>
  <c r="S6" i="28" s="1"/>
  <c r="CZ26" i="17"/>
  <c r="CZ20" i="17"/>
  <c r="S7" i="28" s="1"/>
  <c r="Q5" i="28"/>
  <c r="CY29" i="17"/>
  <c r="R9" i="28"/>
  <c r="R5" i="28" s="1"/>
  <c r="CZ24" i="17"/>
  <c r="CZ28" i="17"/>
  <c r="CZ15" i="17"/>
  <c r="CW21" i="26"/>
  <c r="CY32" i="17"/>
  <c r="DA238" i="17"/>
  <c r="DA232" i="17"/>
  <c r="DA18" i="17" s="1"/>
  <c r="DA237" i="17"/>
  <c r="DA1" i="17" s="1"/>
  <c r="DA135" i="17"/>
  <c r="DA10" i="17" s="1"/>
  <c r="N119" i="2" s="1"/>
  <c r="DA239" i="17"/>
  <c r="DA19" i="17"/>
  <c r="DB228" i="17"/>
  <c r="DB239" i="17" s="1"/>
  <c r="L113" i="20"/>
  <c r="AC113" i="20" s="1"/>
  <c r="BB124" i="2"/>
  <c r="R10" i="28"/>
  <c r="L124" i="2"/>
  <c r="DB135" i="17"/>
  <c r="DB10" i="17" s="1"/>
  <c r="O119" i="2" s="1"/>
  <c r="DB232" i="17"/>
  <c r="DB20" i="17" s="1"/>
  <c r="U7" i="28" s="1"/>
  <c r="DB237" i="17"/>
  <c r="DB1" i="17" s="1"/>
  <c r="CZ23" i="17"/>
  <c r="BD119" i="2"/>
  <c r="N107" i="20"/>
  <c r="AE107" i="20" s="1"/>
  <c r="CY25" i="17"/>
  <c r="CY27" i="17" s="1"/>
  <c r="CZ25" i="17" l="1"/>
  <c r="CZ27" i="17" s="1"/>
  <c r="DA20" i="17"/>
  <c r="T7" i="28" s="1"/>
  <c r="DB26" i="17"/>
  <c r="DA23" i="17"/>
  <c r="CZ21" i="17"/>
  <c r="CZ22" i="17" s="1"/>
  <c r="DB23" i="17"/>
  <c r="DB19" i="17"/>
  <c r="DB24" i="17"/>
  <c r="M113" i="20"/>
  <c r="AD113" i="20" s="1"/>
  <c r="BC124" i="2"/>
  <c r="T6" i="28"/>
  <c r="DA26" i="17"/>
  <c r="DA28" i="17"/>
  <c r="DA15" i="17"/>
  <c r="CX21" i="26"/>
  <c r="S10" i="28"/>
  <c r="M124" i="2"/>
  <c r="DB18" i="17"/>
  <c r="CY21" i="26"/>
  <c r="DB15" i="17"/>
  <c r="DB28" i="17"/>
  <c r="DA229" i="17"/>
  <c r="DB233" i="17"/>
  <c r="DB2" i="17" s="1"/>
  <c r="AE163" i="23"/>
  <c r="BF119" i="2"/>
  <c r="P107" i="20"/>
  <c r="AG107" i="20" s="1"/>
  <c r="DA24" i="17"/>
  <c r="O107" i="20"/>
  <c r="AF107" i="20" s="1"/>
  <c r="BE119" i="2"/>
  <c r="S9" i="28"/>
  <c r="S5" i="28" s="1"/>
  <c r="CZ29" i="17"/>
  <c r="CZ32" i="17"/>
  <c r="AD30" i="7"/>
  <c r="AD24" i="7"/>
  <c r="AD18" i="7"/>
  <c r="AD8" i="7"/>
  <c r="DB25" i="17" l="1"/>
  <c r="DB27" i="17" s="1"/>
  <c r="DA25" i="17"/>
  <c r="DA27" i="17" s="1"/>
  <c r="U9" i="28"/>
  <c r="DA21" i="17"/>
  <c r="DA22" i="17" s="1"/>
  <c r="DB29" i="17"/>
  <c r="DB32" i="17"/>
  <c r="O124" i="2"/>
  <c r="U10" i="28"/>
  <c r="DA29" i="17"/>
  <c r="DA32" i="17"/>
  <c r="T9" i="28"/>
  <c r="T5" i="28" s="1"/>
  <c r="T10" i="28"/>
  <c r="N124" i="2"/>
  <c r="N113" i="20"/>
  <c r="AE113" i="20" s="1"/>
  <c r="BD124" i="2"/>
  <c r="U6" i="28"/>
  <c r="DB21" i="17"/>
  <c r="DB22" i="17" s="1"/>
  <c r="EN9" i="6"/>
  <c r="AD164" i="7"/>
  <c r="AD166" i="7" s="1"/>
  <c r="AD46" i="7"/>
  <c r="AE18" i="7"/>
  <c r="AE8" i="7"/>
  <c r="EO9" i="6"/>
  <c r="EO58" i="6" s="1"/>
  <c r="F202" i="2"/>
  <c r="AD71" i="25"/>
  <c r="AE24" i="7"/>
  <c r="AD47" i="7"/>
  <c r="EM6" i="6"/>
  <c r="F150" i="2"/>
  <c r="AD32" i="7"/>
  <c r="DU116" i="11"/>
  <c r="AD39" i="25"/>
  <c r="AD179" i="7"/>
  <c r="AD45" i="7"/>
  <c r="AD694" i="7"/>
  <c r="AD1102" i="7"/>
  <c r="AD1107" i="7" s="1"/>
  <c r="AE30" i="7"/>
  <c r="EP9" i="6"/>
  <c r="EP58" i="6" s="1"/>
  <c r="AD48" i="7"/>
  <c r="U5" i="28" l="1"/>
  <c r="BE124" i="2"/>
  <c r="O113" i="20"/>
  <c r="AF113" i="20" s="1"/>
  <c r="P113" i="20"/>
  <c r="AG113" i="20" s="1"/>
  <c r="BF124" i="2"/>
  <c r="G150" i="2"/>
  <c r="AE39" i="25"/>
  <c r="AE32" i="7"/>
  <c r="AE33" i="7" s="1"/>
  <c r="DZ116" i="11"/>
  <c r="AE179" i="7"/>
  <c r="AE45" i="7"/>
  <c r="AE164" i="7"/>
  <c r="AE46" i="7"/>
  <c r="AD33" i="7"/>
  <c r="AD53" i="7"/>
  <c r="EP16" i="6"/>
  <c r="F213" i="2"/>
  <c r="AD1042" i="7"/>
  <c r="AD1048" i="7" s="1"/>
  <c r="AD1050" i="7" s="1"/>
  <c r="AD41" i="7"/>
  <c r="AD80" i="25"/>
  <c r="AD963" i="7"/>
  <c r="AD277" i="7"/>
  <c r="AD50" i="7"/>
  <c r="K377" i="20"/>
  <c r="AB377" i="20" s="1"/>
  <c r="J377" i="20"/>
  <c r="AA377" i="20" s="1"/>
  <c r="AW202" i="2"/>
  <c r="AE1102" i="7"/>
  <c r="AE1107" i="7" s="1"/>
  <c r="AE694" i="7"/>
  <c r="AE48" i="7"/>
  <c r="AW150" i="2"/>
  <c r="J198" i="20"/>
  <c r="AA198" i="20" s="1"/>
  <c r="K199" i="20"/>
  <c r="AB199" i="20" s="1"/>
  <c r="J199" i="20"/>
  <c r="AA199" i="20" s="1"/>
  <c r="K198" i="20"/>
  <c r="AB198" i="20" s="1"/>
  <c r="K196" i="20"/>
  <c r="AB196" i="20" s="1"/>
  <c r="J196" i="20"/>
  <c r="AA196" i="20" s="1"/>
  <c r="G258" i="20"/>
  <c r="X258" i="20" s="1"/>
  <c r="AD168" i="7"/>
  <c r="AD183" i="7"/>
  <c r="AD167" i="7"/>
  <c r="EN8" i="6"/>
  <c r="AD189" i="7"/>
  <c r="AD91" i="25"/>
  <c r="F224" i="2"/>
  <c r="AD999" i="7"/>
  <c r="AD1013" i="7" s="1"/>
  <c r="DV116" i="11"/>
  <c r="DU118" i="11"/>
  <c r="EM55" i="6"/>
  <c r="EM8" i="6"/>
  <c r="G202" i="2"/>
  <c r="AE71" i="25"/>
  <c r="AE47" i="7"/>
  <c r="EN58" i="6"/>
  <c r="EM9" i="6"/>
  <c r="EM58" i="6" s="1"/>
  <c r="AD722" i="7"/>
  <c r="AD43" i="25"/>
  <c r="F157" i="2"/>
  <c r="AD192" i="7"/>
  <c r="AD186" i="7"/>
  <c r="EM57" i="6" l="1"/>
  <c r="AD968" i="7"/>
  <c r="AD974" i="7"/>
  <c r="AW213" i="2"/>
  <c r="I457" i="20"/>
  <c r="Z457" i="20" s="1"/>
  <c r="J407" i="20"/>
  <c r="I455" i="20"/>
  <c r="Z455" i="20" s="1"/>
  <c r="K407" i="20"/>
  <c r="AB407" i="20" s="1"/>
  <c r="K418" i="20"/>
  <c r="AB418" i="20" s="1"/>
  <c r="J418" i="20"/>
  <c r="AA418" i="20" s="1"/>
  <c r="J436" i="20"/>
  <c r="AA436" i="20" s="1"/>
  <c r="K436" i="20"/>
  <c r="AB436" i="20" s="1"/>
  <c r="G257" i="20"/>
  <c r="X257" i="20" s="1"/>
  <c r="K443" i="20"/>
  <c r="AB443" i="20" s="1"/>
  <c r="DV118" i="11"/>
  <c r="DS118" i="11"/>
  <c r="AD54" i="7"/>
  <c r="AD55" i="7" s="1"/>
  <c r="AD56" i="7" s="1"/>
  <c r="AD57" i="7"/>
  <c r="AE168" i="7"/>
  <c r="AE167" i="7"/>
  <c r="AE183" i="7"/>
  <c r="AE189" i="7"/>
  <c r="EA116" i="11"/>
  <c r="DZ118" i="11"/>
  <c r="AX202" i="2"/>
  <c r="L377" i="20"/>
  <c r="AC377" i="20" s="1"/>
  <c r="M377" i="20"/>
  <c r="AD377" i="20" s="1"/>
  <c r="AD625" i="7"/>
  <c r="AD283" i="7"/>
  <c r="AD646" i="7"/>
  <c r="AD289" i="7"/>
  <c r="AE1042" i="7"/>
  <c r="AE1048" i="7" s="1"/>
  <c r="AE1050" i="7" s="1"/>
  <c r="AE277" i="7"/>
  <c r="AE53" i="7"/>
  <c r="G213" i="2"/>
  <c r="AE41" i="7"/>
  <c r="AE80" i="25"/>
  <c r="AE963" i="7"/>
  <c r="AE50" i="7"/>
  <c r="AE722" i="7"/>
  <c r="AD366" i="23"/>
  <c r="G157" i="2"/>
  <c r="AE43" i="25"/>
  <c r="AE186" i="7"/>
  <c r="AE192" i="7"/>
  <c r="F323" i="2"/>
  <c r="AW157" i="2"/>
  <c r="AW224" i="2"/>
  <c r="K425" i="20"/>
  <c r="AB425" i="20" s="1"/>
  <c r="J425" i="20"/>
  <c r="AA425" i="20" s="1"/>
  <c r="EN57" i="6"/>
  <c r="EN12" i="6"/>
  <c r="AE999" i="7"/>
  <c r="AE1013" i="7" s="1"/>
  <c r="AE91" i="25"/>
  <c r="G224" i="2"/>
  <c r="EP65" i="6"/>
  <c r="EM16" i="6"/>
  <c r="AE166" i="7"/>
  <c r="M198" i="20"/>
  <c r="AD198" i="20" s="1"/>
  <c r="M199" i="20"/>
  <c r="AD199" i="20" s="1"/>
  <c r="AX150" i="2"/>
  <c r="L198" i="20"/>
  <c r="AC198" i="20" s="1"/>
  <c r="L199" i="20"/>
  <c r="AC199" i="20" s="1"/>
  <c r="L196" i="20"/>
  <c r="AC196" i="20" s="1"/>
  <c r="H258" i="20"/>
  <c r="Y258" i="20" s="1"/>
  <c r="M196" i="20"/>
  <c r="AD196" i="20" s="1"/>
  <c r="AX157" i="2" l="1"/>
  <c r="G323" i="2"/>
  <c r="AE283" i="7"/>
  <c r="AE646" i="7"/>
  <c r="AE625" i="7"/>
  <c r="AE289" i="7"/>
  <c r="AD766" i="7"/>
  <c r="AD652" i="7"/>
  <c r="AD658" i="7"/>
  <c r="EN61" i="6"/>
  <c r="AE369" i="23"/>
  <c r="AD369" i="23"/>
  <c r="AD58" i="7"/>
  <c r="AD122" i="25" s="1"/>
  <c r="AA407" i="20"/>
  <c r="J412" i="20"/>
  <c r="AD989" i="7"/>
  <c r="AD970" i="7"/>
  <c r="AD979" i="7"/>
  <c r="AX224" i="2"/>
  <c r="L425" i="20"/>
  <c r="AC425" i="20" s="1"/>
  <c r="M425" i="20"/>
  <c r="AD425" i="20" s="1"/>
  <c r="M407" i="20"/>
  <c r="AD407" i="20" s="1"/>
  <c r="K455" i="20"/>
  <c r="AB455" i="20" s="1"/>
  <c r="AX213" i="2"/>
  <c r="K457" i="20"/>
  <c r="AB457" i="20" s="1"/>
  <c r="L407" i="20"/>
  <c r="M418" i="20"/>
  <c r="AD418" i="20" s="1"/>
  <c r="L436" i="20"/>
  <c r="AC436" i="20" s="1"/>
  <c r="L418" i="20"/>
  <c r="AC418" i="20" s="1"/>
  <c r="I458" i="20"/>
  <c r="Z458" i="20" s="1"/>
  <c r="M443" i="20"/>
  <c r="AD443" i="20" s="1"/>
  <c r="H257" i="20"/>
  <c r="Y257" i="20" s="1"/>
  <c r="M436" i="20"/>
  <c r="AD436" i="20" s="1"/>
  <c r="AD631" i="7"/>
  <c r="AD637" i="7"/>
  <c r="DX118" i="11"/>
  <c r="EA118" i="11"/>
  <c r="EM65" i="6"/>
  <c r="ER16" i="6"/>
  <c r="ER65" i="6" s="1"/>
  <c r="AE968" i="7"/>
  <c r="AE974" i="7"/>
  <c r="AE57" i="7"/>
  <c r="AE58" i="7" s="1"/>
  <c r="AE122" i="25" s="1"/>
  <c r="AE54" i="7"/>
  <c r="AE55" i="7" s="1"/>
  <c r="AE56" i="7" s="1"/>
  <c r="DR118" i="11"/>
  <c r="AD169" i="23" s="1"/>
  <c r="AD166" i="23" s="1"/>
  <c r="AD243" i="8" s="1"/>
  <c r="AD245" i="8" s="1"/>
  <c r="AD186" i="23"/>
  <c r="AD44" i="25" l="1"/>
  <c r="F158" i="2"/>
  <c r="AD253" i="8"/>
  <c r="AD249" i="8"/>
  <c r="J415" i="20"/>
  <c r="K415" i="20" s="1"/>
  <c r="K412" i="20"/>
  <c r="AE216" i="7"/>
  <c r="AE652" i="7"/>
  <c r="AE766" i="7"/>
  <c r="AE658" i="7"/>
  <c r="AE989" i="7"/>
  <c r="AE970" i="7"/>
  <c r="AE979" i="7"/>
  <c r="AD772" i="7"/>
  <c r="AD874" i="7"/>
  <c r="AD169" i="25"/>
  <c r="AD778" i="7"/>
  <c r="DW118" i="11"/>
  <c r="AE169" i="23" s="1"/>
  <c r="AE166" i="23" s="1"/>
  <c r="AE243" i="8" s="1"/>
  <c r="AE245" i="8" s="1"/>
  <c r="AE186" i="23"/>
  <c r="AC407" i="20"/>
  <c r="L412" i="20"/>
  <c r="AD971" i="7"/>
  <c r="AD981" i="7"/>
  <c r="AD1031" i="7" s="1"/>
  <c r="AD1032" i="7" s="1"/>
  <c r="AD216" i="7"/>
  <c r="AE631" i="7"/>
  <c r="AE637" i="7"/>
  <c r="M412" i="20" l="1"/>
  <c r="L415" i="20"/>
  <c r="M415" i="20" s="1"/>
  <c r="AD896" i="7"/>
  <c r="AD166" i="25"/>
  <c r="AD934" i="7"/>
  <c r="AD883" i="7"/>
  <c r="AD889" i="7"/>
  <c r="AE874" i="7"/>
  <c r="AE169" i="25"/>
  <c r="AE772" i="7"/>
  <c r="AE778" i="7"/>
  <c r="AD256" i="8"/>
  <c r="G158" i="2"/>
  <c r="AE44" i="25"/>
  <c r="AE971" i="7"/>
  <c r="AE981" i="7"/>
  <c r="AE1031" i="7" s="1"/>
  <c r="AE1032" i="7" s="1"/>
  <c r="AE253" i="8"/>
  <c r="AE249" i="8"/>
  <c r="F301" i="2"/>
  <c r="F324" i="2"/>
  <c r="F325" i="2" s="1"/>
  <c r="AW158" i="2"/>
  <c r="J280" i="20" l="1"/>
  <c r="AA280" i="20" s="1"/>
  <c r="J278" i="20"/>
  <c r="AA278" i="20" s="1"/>
  <c r="K278" i="20"/>
  <c r="AB278" i="20" s="1"/>
  <c r="K280" i="20"/>
  <c r="AB280" i="20" s="1"/>
  <c r="G301" i="2"/>
  <c r="AE896" i="7"/>
  <c r="AE883" i="7"/>
  <c r="AE166" i="25"/>
  <c r="AE934" i="7"/>
  <c r="AE942" i="7" s="1"/>
  <c r="AE889" i="7"/>
  <c r="G324" i="2"/>
  <c r="G325" i="2" s="1"/>
  <c r="AX158" i="2"/>
  <c r="AD901" i="7"/>
  <c r="AD898" i="7"/>
  <c r="AD906" i="7"/>
  <c r="AE256" i="8"/>
  <c r="AD942" i="7"/>
  <c r="AD903" i="7" l="1"/>
  <c r="F237" i="2"/>
  <c r="AD919" i="7"/>
  <c r="AD102" i="25"/>
  <c r="AD908" i="7"/>
  <c r="AE901" i="7"/>
  <c r="AE898" i="7"/>
  <c r="AE906" i="7"/>
  <c r="M278" i="20"/>
  <c r="AD278" i="20" s="1"/>
  <c r="M280" i="20"/>
  <c r="AD280" i="20" s="1"/>
  <c r="L278" i="20"/>
  <c r="AC278" i="20" s="1"/>
  <c r="L280" i="20"/>
  <c r="AC280" i="20" s="1"/>
  <c r="AD956" i="7" l="1"/>
  <c r="AD958" i="7" s="1"/>
  <c r="AD960" i="7" s="1"/>
  <c r="AD954" i="7" s="1"/>
  <c r="AD3" i="7"/>
  <c r="AD912" i="7"/>
  <c r="AD930" i="7"/>
  <c r="AE919" i="7"/>
  <c r="AE903" i="7"/>
  <c r="AE102" i="25"/>
  <c r="G237" i="2"/>
  <c r="AE908" i="7"/>
  <c r="AW237" i="2"/>
  <c r="J440" i="20"/>
  <c r="AA440" i="20" s="1"/>
  <c r="G43" i="20"/>
  <c r="X43" i="20" s="1"/>
  <c r="K440" i="20"/>
  <c r="AB440" i="20" s="1"/>
  <c r="AE3" i="7" l="1"/>
  <c r="AE956" i="7"/>
  <c r="AE958" i="7" s="1"/>
  <c r="AE960" i="7" s="1"/>
  <c r="AE954" i="7" s="1"/>
  <c r="AE912" i="7"/>
  <c r="AE930" i="7"/>
  <c r="AD914" i="7"/>
  <c r="AD923" i="7"/>
  <c r="L440" i="20"/>
  <c r="AC440" i="20" s="1"/>
  <c r="AX237" i="2"/>
  <c r="M440" i="20"/>
  <c r="AD440" i="20" s="1"/>
  <c r="H43" i="20"/>
  <c r="Y43" i="20" s="1"/>
  <c r="AE914" i="7" l="1"/>
  <c r="AE923" i="7"/>
  <c r="AD920" i="7"/>
  <c r="AD925" i="7"/>
  <c r="AE920" i="7" l="1"/>
  <c r="AE925" i="7"/>
  <c r="AC144" i="25" l="1"/>
  <c r="AC143" i="25" l="1"/>
  <c r="AM148" i="8" l="1"/>
  <c r="AD150" i="8" s="1"/>
  <c r="AD143" i="8" s="1"/>
  <c r="AD164" i="8" s="1"/>
  <c r="AD146" i="8"/>
  <c r="AE146" i="8" s="1"/>
  <c r="AC167" i="8"/>
  <c r="AC164" i="8"/>
  <c r="AC165" i="8"/>
  <c r="AD144" i="8"/>
  <c r="AD165" i="8" l="1"/>
  <c r="AE144" i="8"/>
  <c r="AD167" i="8"/>
  <c r="AC174" i="8"/>
  <c r="AE167" i="8"/>
  <c r="AC171" i="8"/>
  <c r="AC178" i="8"/>
  <c r="AD171" i="8"/>
  <c r="AC179" i="8"/>
  <c r="AC172" i="8"/>
  <c r="AN148" i="8"/>
  <c r="AE150" i="8" s="1"/>
  <c r="AE143" i="8" s="1"/>
  <c r="AD166" i="8" l="1"/>
  <c r="AD168" i="8" s="1"/>
  <c r="AO148" i="8"/>
  <c r="AE164" i="8"/>
  <c r="AE174" i="8"/>
  <c r="AE165" i="8"/>
  <c r="AD174" i="8"/>
  <c r="AD172" i="8"/>
  <c r="AD173" i="8" l="1"/>
  <c r="AD145" i="8"/>
  <c r="AD152" i="8" s="1"/>
  <c r="AD478" i="7"/>
  <c r="AD147" i="8"/>
  <c r="AE171" i="8"/>
  <c r="AE166" i="8"/>
  <c r="AE172" i="8"/>
  <c r="AD479" i="7" l="1"/>
  <c r="AE173" i="8"/>
  <c r="AE145" i="8"/>
  <c r="AE168" i="8"/>
  <c r="AE147" i="8" l="1"/>
  <c r="AE478" i="7"/>
  <c r="AE175" i="8"/>
  <c r="AE152" i="8"/>
  <c r="AE490" i="7" l="1"/>
  <c r="AE479" i="7"/>
  <c r="AE491" i="7" s="1"/>
  <c r="AE154" i="8"/>
  <c r="AC112" i="8" l="1"/>
  <c r="AC134" i="8" s="1"/>
  <c r="AC133" i="8" l="1"/>
  <c r="AD112" i="8"/>
  <c r="AE112" i="8" s="1"/>
  <c r="AE189" i="8" s="1"/>
  <c r="AC158" i="8"/>
  <c r="AC126" i="8"/>
  <c r="AC127" i="8" s="1"/>
  <c r="AC189" i="8"/>
  <c r="AC111" i="8" l="1"/>
  <c r="AE158" i="8"/>
  <c r="AD189" i="8"/>
  <c r="AD211" i="8" s="1"/>
  <c r="AE126" i="8"/>
  <c r="AD158" i="8"/>
  <c r="AE211" i="8"/>
  <c r="AD134" i="8"/>
  <c r="AE134" i="8"/>
  <c r="AD126" i="8"/>
  <c r="AD127" i="8" s="1"/>
  <c r="AC213" i="8"/>
  <c r="AC196" i="8"/>
  <c r="EP11" i="6" l="1"/>
  <c r="EP60" i="6" s="1"/>
  <c r="AD87" i="25"/>
  <c r="AD174" i="7"/>
  <c r="AD177" i="7" s="1"/>
  <c r="AE213" i="8"/>
  <c r="AC157" i="8"/>
  <c r="AD111" i="8"/>
  <c r="AC118" i="8"/>
  <c r="AC121" i="8" s="1"/>
  <c r="AC114" i="8" s="1"/>
  <c r="AD223" i="8"/>
  <c r="AD196" i="8"/>
  <c r="AE196" i="8"/>
  <c r="AE223" i="8"/>
  <c r="AD179" i="8"/>
  <c r="AD688" i="7"/>
  <c r="AD993" i="7" s="1"/>
  <c r="AD1007" i="7" s="1"/>
  <c r="AD231" i="8"/>
  <c r="AD213" i="8"/>
  <c r="F220" i="2"/>
  <c r="AW220" i="2" s="1"/>
  <c r="AE174" i="7"/>
  <c r="AE191" i="7" s="1"/>
  <c r="AE179" i="8"/>
  <c r="G220" i="2"/>
  <c r="AX220" i="2" s="1"/>
  <c r="AE87" i="25"/>
  <c r="AE688" i="7"/>
  <c r="AE689" i="7" s="1"/>
  <c r="AE700" i="7" s="1"/>
  <c r="AE231" i="8"/>
  <c r="AE127" i="8"/>
  <c r="AC203" i="8"/>
  <c r="EP8" i="6" l="1"/>
  <c r="EP12" i="6" s="1"/>
  <c r="EP22" i="6" s="1"/>
  <c r="AD176" i="7"/>
  <c r="AD191" i="7"/>
  <c r="AD178" i="7"/>
  <c r="AD169" i="7"/>
  <c r="AD171" i="7" s="1"/>
  <c r="AD185" i="7"/>
  <c r="AC191" i="8"/>
  <c r="AC198" i="8" s="1"/>
  <c r="AC205" i="8" s="1"/>
  <c r="AC160" i="8"/>
  <c r="AC136" i="8"/>
  <c r="AD114" i="8"/>
  <c r="AE203" i="8"/>
  <c r="AD203" i="8"/>
  <c r="AE111" i="8"/>
  <c r="AD133" i="8"/>
  <c r="AD188" i="8"/>
  <c r="AD195" i="8" s="1"/>
  <c r="AD202" i="8" s="1"/>
  <c r="AD157" i="8"/>
  <c r="J483" i="20"/>
  <c r="AA483" i="20" s="1"/>
  <c r="J419" i="20"/>
  <c r="AA419" i="20" s="1"/>
  <c r="K483" i="20"/>
  <c r="AB483" i="20" s="1"/>
  <c r="AD689" i="7"/>
  <c r="AD110" i="25" s="1"/>
  <c r="AD704" i="7"/>
  <c r="K419" i="20"/>
  <c r="AB419" i="20" s="1"/>
  <c r="AE704" i="7"/>
  <c r="AE177" i="7"/>
  <c r="AE185" i="7"/>
  <c r="AE717" i="7"/>
  <c r="AD717" i="7"/>
  <c r="AE993" i="7"/>
  <c r="AE178" i="7"/>
  <c r="AE176" i="7"/>
  <c r="AE169" i="7"/>
  <c r="AE171" i="7" s="1"/>
  <c r="M419" i="20"/>
  <c r="AD419" i="20" s="1"/>
  <c r="L483" i="20"/>
  <c r="AC483" i="20" s="1"/>
  <c r="L419" i="20"/>
  <c r="AC419" i="20" s="1"/>
  <c r="M483" i="20"/>
  <c r="AD483" i="20" s="1"/>
  <c r="AE1007" i="7"/>
  <c r="AE110" i="25"/>
  <c r="AE718" i="7"/>
  <c r="AE994" i="7"/>
  <c r="AE1008" i="7" s="1"/>
  <c r="AE64" i="7"/>
  <c r="G245" i="2"/>
  <c r="AE11" i="7"/>
  <c r="AD25" i="7" l="1"/>
  <c r="AD27" i="7" s="1"/>
  <c r="AD29" i="7" s="1"/>
  <c r="EP57" i="6"/>
  <c r="EP61" i="6"/>
  <c r="AD190" i="7"/>
  <c r="AD69" i="25"/>
  <c r="F200" i="2"/>
  <c r="AW200" i="2" s="1"/>
  <c r="EO8" i="6"/>
  <c r="ER8" i="6" s="1"/>
  <c r="ER57" i="6" s="1"/>
  <c r="AD184" i="7"/>
  <c r="AD135" i="7"/>
  <c r="AD137" i="7" s="1"/>
  <c r="AD180" i="7"/>
  <c r="AD700" i="7"/>
  <c r="AD135" i="8"/>
  <c r="AE114" i="8"/>
  <c r="AD136" i="8"/>
  <c r="AD216" i="8" s="1"/>
  <c r="AD191" i="8"/>
  <c r="AD198" i="8" s="1"/>
  <c r="AD205" i="8" s="1"/>
  <c r="AD160" i="8"/>
  <c r="AE157" i="8"/>
  <c r="AE188" i="8"/>
  <c r="AE195" i="8" s="1"/>
  <c r="AE202" i="8" s="1"/>
  <c r="AE133" i="8"/>
  <c r="AC137" i="8"/>
  <c r="AC216" i="8"/>
  <c r="F245" i="2"/>
  <c r="J484" i="20" s="1"/>
  <c r="AA484" i="20" s="1"/>
  <c r="AE705" i="7"/>
  <c r="AD11" i="7"/>
  <c r="AD718" i="7"/>
  <c r="AD994" i="7"/>
  <c r="AD1008" i="7" s="1"/>
  <c r="AD64" i="7"/>
  <c r="AD705" i="7"/>
  <c r="AE26" i="7"/>
  <c r="AE69" i="25"/>
  <c r="G200" i="2"/>
  <c r="AE135" i="7"/>
  <c r="AE184" i="7"/>
  <c r="AE180" i="7"/>
  <c r="AE190" i="7"/>
  <c r="AE25" i="7"/>
  <c r="AX245" i="2"/>
  <c r="L484" i="20"/>
  <c r="AC484" i="20" s="1"/>
  <c r="L420" i="20"/>
  <c r="AC420" i="20" s="1"/>
  <c r="L426" i="20"/>
  <c r="AC426" i="20" s="1"/>
  <c r="L487" i="20"/>
  <c r="AC487" i="20" s="1"/>
  <c r="M438" i="20"/>
  <c r="AD438" i="20" s="1"/>
  <c r="L438" i="20"/>
  <c r="AC438" i="20" s="1"/>
  <c r="L439" i="20"/>
  <c r="AC439" i="20" s="1"/>
  <c r="L427" i="20"/>
  <c r="AC427" i="20" s="1"/>
  <c r="L428" i="20"/>
  <c r="AC428" i="20" s="1"/>
  <c r="M437" i="20"/>
  <c r="AD437" i="20" s="1"/>
  <c r="L437" i="20"/>
  <c r="M439" i="20"/>
  <c r="AD439" i="20" s="1"/>
  <c r="AE1000" i="7"/>
  <c r="EP71" i="6"/>
  <c r="EP29" i="6"/>
  <c r="K375" i="20" l="1"/>
  <c r="AB375" i="20" s="1"/>
  <c r="M375" i="20"/>
  <c r="AD375" i="20" s="1"/>
  <c r="J375" i="20"/>
  <c r="AA375" i="20" s="1"/>
  <c r="AE27" i="7"/>
  <c r="AE29" i="7" s="1"/>
  <c r="EO57" i="6"/>
  <c r="AE136" i="7"/>
  <c r="AE137" i="7" s="1"/>
  <c r="AC233" i="8"/>
  <c r="EK11" i="6"/>
  <c r="AC225" i="8"/>
  <c r="AC1119" i="7"/>
  <c r="AC1123" i="7" s="1"/>
  <c r="AC877" i="7"/>
  <c r="AC217" i="8"/>
  <c r="AC181" i="8"/>
  <c r="F162" i="2"/>
  <c r="AD113" i="8"/>
  <c r="AD140" i="8"/>
  <c r="AD214" i="8"/>
  <c r="AD48" i="25"/>
  <c r="AD137" i="8"/>
  <c r="AD181" i="8"/>
  <c r="EQ11" i="6"/>
  <c r="AD1119" i="7"/>
  <c r="AD1123" i="7" s="1"/>
  <c r="AD877" i="7"/>
  <c r="AD225" i="8"/>
  <c r="AD233" i="8"/>
  <c r="AE136" i="8"/>
  <c r="AE216" i="8" s="1"/>
  <c r="AE160" i="8"/>
  <c r="AE191" i="8"/>
  <c r="AE198" i="8" s="1"/>
  <c r="AE205" i="8" s="1"/>
  <c r="AC59" i="25"/>
  <c r="AC138" i="8"/>
  <c r="E188" i="2"/>
  <c r="EH14" i="6"/>
  <c r="EH63" i="6" s="1"/>
  <c r="AC115" i="8"/>
  <c r="AC122" i="8" s="1"/>
  <c r="AE135" i="8"/>
  <c r="J438" i="20"/>
  <c r="AA438" i="20" s="1"/>
  <c r="AW245" i="2"/>
  <c r="M426" i="20"/>
  <c r="AD426" i="20" s="1"/>
  <c r="M427" i="20"/>
  <c r="AD427" i="20" s="1"/>
  <c r="J439" i="20"/>
  <c r="AA439" i="20" s="1"/>
  <c r="AX200" i="2"/>
  <c r="M420" i="20"/>
  <c r="AD420" i="20" s="1"/>
  <c r="K427" i="20"/>
  <c r="AB427" i="20" s="1"/>
  <c r="J427" i="20"/>
  <c r="AA427" i="20" s="1"/>
  <c r="K426" i="20"/>
  <c r="AB426" i="20" s="1"/>
  <c r="K439" i="20"/>
  <c r="AB439" i="20" s="1"/>
  <c r="J487" i="20"/>
  <c r="AA487" i="20" s="1"/>
  <c r="AD1000" i="7"/>
  <c r="AD1014" i="7" s="1"/>
  <c r="M487" i="20"/>
  <c r="AD487" i="20" s="1"/>
  <c r="M484" i="20"/>
  <c r="AD484" i="20" s="1"/>
  <c r="J437" i="20"/>
  <c r="J433" i="20" s="1"/>
  <c r="J434" i="20" s="1"/>
  <c r="K420" i="20"/>
  <c r="AB420" i="20" s="1"/>
  <c r="J420" i="20"/>
  <c r="AA420" i="20" s="1"/>
  <c r="K438" i="20"/>
  <c r="AB438" i="20" s="1"/>
  <c r="K437" i="20"/>
  <c r="AB437" i="20" s="1"/>
  <c r="J428" i="20"/>
  <c r="AA428" i="20" s="1"/>
  <c r="J426" i="20"/>
  <c r="AA426" i="20" s="1"/>
  <c r="K487" i="20"/>
  <c r="AB487" i="20" s="1"/>
  <c r="K484" i="20"/>
  <c r="AB484" i="20" s="1"/>
  <c r="L375" i="20"/>
  <c r="AC375" i="20" s="1"/>
  <c r="AE1014" i="7"/>
  <c r="AE1025" i="7"/>
  <c r="AE1003" i="7"/>
  <c r="EP78" i="6"/>
  <c r="EP34" i="6"/>
  <c r="AC437" i="20"/>
  <c r="L433" i="20"/>
  <c r="AE113" i="8" l="1"/>
  <c r="AE214" i="8"/>
  <c r="AE140" i="8"/>
  <c r="G162" i="2"/>
  <c r="AE48" i="25"/>
  <c r="AE137" i="8"/>
  <c r="I339" i="20"/>
  <c r="Z339" i="20" s="1"/>
  <c r="H339" i="20"/>
  <c r="Y339" i="20" s="1"/>
  <c r="AV188" i="2"/>
  <c r="J282" i="20"/>
  <c r="AA282" i="20" s="1"/>
  <c r="AW162" i="2"/>
  <c r="G254" i="20"/>
  <c r="X254" i="20" s="1"/>
  <c r="K282" i="20"/>
  <c r="AB282" i="20" s="1"/>
  <c r="AC218" i="8"/>
  <c r="AC226" i="8"/>
  <c r="AC234" i="8"/>
  <c r="EH13" i="6"/>
  <c r="AC19" i="7"/>
  <c r="AC168" i="8"/>
  <c r="AC58" i="25"/>
  <c r="AC275" i="7"/>
  <c r="E187" i="2"/>
  <c r="AC192" i="8"/>
  <c r="AC199" i="8" s="1"/>
  <c r="AC206" i="8" s="1"/>
  <c r="EK60" i="6"/>
  <c r="EK48" i="6"/>
  <c r="AE225" i="8"/>
  <c r="AE1119" i="7"/>
  <c r="AE1123" i="7" s="1"/>
  <c r="AE233" i="8"/>
  <c r="AE877" i="7"/>
  <c r="AE181" i="8"/>
  <c r="AD1136" i="7"/>
  <c r="AD1145" i="7"/>
  <c r="AD105" i="25"/>
  <c r="AD1124" i="7"/>
  <c r="AD1125" i="7" s="1"/>
  <c r="F240" i="2"/>
  <c r="F161" i="2"/>
  <c r="AD299" i="7"/>
  <c r="AE301" i="7" s="1"/>
  <c r="AE303" i="7" s="1"/>
  <c r="AD511" i="7"/>
  <c r="AD512" i="7" s="1"/>
  <c r="AD124" i="25" s="1"/>
  <c r="AD232" i="8"/>
  <c r="AD210" i="8"/>
  <c r="AD180" i="8"/>
  <c r="AD217" i="8"/>
  <c r="AD47" i="25"/>
  <c r="AD224" i="8"/>
  <c r="EQ48" i="6"/>
  <c r="EQ60" i="6"/>
  <c r="AC1124" i="7"/>
  <c r="AC1125" i="7" s="1"/>
  <c r="AC105" i="25"/>
  <c r="AC1136" i="7"/>
  <c r="E240" i="2"/>
  <c r="AC1145" i="7"/>
  <c r="EN14" i="6"/>
  <c r="EN63" i="6" s="1"/>
  <c r="F188" i="2"/>
  <c r="AD115" i="8"/>
  <c r="AD138" i="8"/>
  <c r="AD59" i="25"/>
  <c r="AD120" i="8"/>
  <c r="AD159" i="8"/>
  <c r="AD190" i="8"/>
  <c r="AA437" i="20"/>
  <c r="AD1003" i="7"/>
  <c r="AD899" i="7" s="1"/>
  <c r="AD1025" i="7"/>
  <c r="K433" i="20"/>
  <c r="EP83" i="6"/>
  <c r="EP39" i="6"/>
  <c r="AE899" i="7"/>
  <c r="AE96" i="25"/>
  <c r="AE1026" i="7"/>
  <c r="AE1017" i="7"/>
  <c r="AE1004" i="7"/>
  <c r="G229" i="2"/>
  <c r="AX229" i="2" s="1"/>
  <c r="L434" i="20"/>
  <c r="M433" i="20"/>
  <c r="K442" i="20"/>
  <c r="K434" i="20"/>
  <c r="AC1146" i="7" l="1"/>
  <c r="AC1149" i="7" s="1"/>
  <c r="AC1148" i="7" s="1"/>
  <c r="E251" i="2" s="1"/>
  <c r="AV251" i="2" s="1"/>
  <c r="AC116" i="25"/>
  <c r="AD122" i="8"/>
  <c r="AD192" i="8"/>
  <c r="AD199" i="8" s="1"/>
  <c r="AD206" i="8" s="1"/>
  <c r="AD161" i="8"/>
  <c r="EQ49" i="6"/>
  <c r="EQ97" i="6"/>
  <c r="EK49" i="6"/>
  <c r="EK97" i="6"/>
  <c r="AC278" i="7"/>
  <c r="AC644" i="7"/>
  <c r="AC623" i="7"/>
  <c r="AC287" i="7"/>
  <c r="AC281" i="7"/>
  <c r="EG13" i="6"/>
  <c r="EH22" i="6"/>
  <c r="EH62" i="6"/>
  <c r="EH15" i="6"/>
  <c r="EH64" i="6" s="1"/>
  <c r="G188" i="2"/>
  <c r="AE59" i="25"/>
  <c r="AE138" i="8"/>
  <c r="AE115" i="8"/>
  <c r="AE299" i="7"/>
  <c r="G161" i="2"/>
  <c r="AE47" i="25"/>
  <c r="AE217" i="8"/>
  <c r="AE180" i="8"/>
  <c r="AE224" i="8"/>
  <c r="AE232" i="8"/>
  <c r="AE511" i="7"/>
  <c r="AE512" i="7" s="1"/>
  <c r="AE124" i="25" s="1"/>
  <c r="AE210" i="8"/>
  <c r="I520" i="20"/>
  <c r="Z520" i="20" s="1"/>
  <c r="I522" i="20"/>
  <c r="Z522" i="20" s="1"/>
  <c r="I523" i="20"/>
  <c r="Z523" i="20" s="1"/>
  <c r="I516" i="20"/>
  <c r="Z516" i="20" s="1"/>
  <c r="J192" i="20"/>
  <c r="AA192" i="20" s="1"/>
  <c r="J191" i="20"/>
  <c r="AA191" i="20" s="1"/>
  <c r="I519" i="20"/>
  <c r="Z519" i="20" s="1"/>
  <c r="AW240" i="2"/>
  <c r="I515" i="20"/>
  <c r="Z515" i="20" s="1"/>
  <c r="G40" i="20"/>
  <c r="X40" i="20" s="1"/>
  <c r="I518" i="20"/>
  <c r="Z518" i="20" s="1"/>
  <c r="K192" i="20"/>
  <c r="AB192" i="20" s="1"/>
  <c r="G240" i="2"/>
  <c r="AE1136" i="7"/>
  <c r="AE1145" i="7"/>
  <c r="AE1124" i="7"/>
  <c r="AE1125" i="7" s="1"/>
  <c r="AE105" i="25"/>
  <c r="AD175" i="8"/>
  <c r="AC175" i="8"/>
  <c r="AC478" i="7"/>
  <c r="AC182" i="8"/>
  <c r="AC147" i="8"/>
  <c r="H254" i="20"/>
  <c r="Y254" i="20" s="1"/>
  <c r="M282" i="20"/>
  <c r="AD282" i="20" s="1"/>
  <c r="AX162" i="2"/>
  <c r="L282" i="20"/>
  <c r="AC282" i="20" s="1"/>
  <c r="AD366" i="7"/>
  <c r="AW188" i="2"/>
  <c r="J339" i="20"/>
  <c r="AA339" i="20" s="1"/>
  <c r="K339" i="20"/>
  <c r="AB339" i="20" s="1"/>
  <c r="AD394" i="7"/>
  <c r="AD494" i="7"/>
  <c r="AD496" i="7" s="1"/>
  <c r="AD509" i="7"/>
  <c r="AD510" i="7" s="1"/>
  <c r="AD215" i="8"/>
  <c r="AD72" i="25"/>
  <c r="AD199" i="7"/>
  <c r="F203" i="2"/>
  <c r="AD222" i="8"/>
  <c r="AD230" i="8"/>
  <c r="AD172" i="7"/>
  <c r="AD178" i="8"/>
  <c r="EO11" i="6"/>
  <c r="G256" i="20"/>
  <c r="X256" i="20" s="1"/>
  <c r="K194" i="20"/>
  <c r="AB194" i="20" s="1"/>
  <c r="J284" i="20"/>
  <c r="AA284" i="20" s="1"/>
  <c r="K283" i="20"/>
  <c r="AB283" i="20" s="1"/>
  <c r="J194" i="20"/>
  <c r="AA194" i="20" s="1"/>
  <c r="I467" i="20"/>
  <c r="Z467" i="20" s="1"/>
  <c r="J197" i="20"/>
  <c r="AA197" i="20" s="1"/>
  <c r="I469" i="20"/>
  <c r="Z469" i="20" s="1"/>
  <c r="G253" i="20"/>
  <c r="J281" i="20"/>
  <c r="AA281" i="20" s="1"/>
  <c r="G34" i="20"/>
  <c r="X34" i="20" s="1"/>
  <c r="J195" i="20"/>
  <c r="AA195" i="20" s="1"/>
  <c r="J283" i="20"/>
  <c r="AA283" i="20" s="1"/>
  <c r="K195" i="20"/>
  <c r="AB195" i="20" s="1"/>
  <c r="G35" i="20"/>
  <c r="X35" i="20" s="1"/>
  <c r="K197" i="20"/>
  <c r="AB197" i="20" s="1"/>
  <c r="K281" i="20"/>
  <c r="AB281" i="20" s="1"/>
  <c r="AW161" i="2"/>
  <c r="K284" i="20"/>
  <c r="AB284" i="20" s="1"/>
  <c r="AD116" i="25"/>
  <c r="AD1146" i="7"/>
  <c r="AD1149" i="7" s="1"/>
  <c r="AD1148" i="7" s="1"/>
  <c r="AE120" i="8"/>
  <c r="AE190" i="8"/>
  <c r="AE159" i="8"/>
  <c r="AD248" i="8"/>
  <c r="AD197" i="8"/>
  <c r="G523" i="20"/>
  <c r="X523" i="20" s="1"/>
  <c r="G518" i="20"/>
  <c r="X518" i="20" s="1"/>
  <c r="G520" i="20"/>
  <c r="X520" i="20" s="1"/>
  <c r="H192" i="20"/>
  <c r="Y192" i="20" s="1"/>
  <c r="G516" i="20"/>
  <c r="X516" i="20" s="1"/>
  <c r="F40" i="20"/>
  <c r="W40" i="20" s="1"/>
  <c r="G519" i="20"/>
  <c r="X519" i="20" s="1"/>
  <c r="I192" i="20"/>
  <c r="Z192" i="20" s="1"/>
  <c r="H191" i="20"/>
  <c r="Y191" i="20" s="1"/>
  <c r="AV240" i="2"/>
  <c r="G522" i="20"/>
  <c r="X522" i="20" s="1"/>
  <c r="G515" i="20"/>
  <c r="X515" i="20" s="1"/>
  <c r="AD218" i="8"/>
  <c r="AD182" i="8"/>
  <c r="AD226" i="8"/>
  <c r="AD58" i="25"/>
  <c r="F187" i="2"/>
  <c r="AD234" i="8"/>
  <c r="EN13" i="6"/>
  <c r="AD275" i="7"/>
  <c r="AD19" i="7"/>
  <c r="AE20" i="7" s="1"/>
  <c r="H338" i="20"/>
  <c r="Y338" i="20" s="1"/>
  <c r="I344" i="20"/>
  <c r="Z344" i="20" s="1"/>
  <c r="I346" i="20"/>
  <c r="Z346" i="20" s="1"/>
  <c r="I349" i="20"/>
  <c r="Z349" i="20" s="1"/>
  <c r="H344" i="20"/>
  <c r="Y344" i="20" s="1"/>
  <c r="AV187" i="2"/>
  <c r="H346" i="20"/>
  <c r="I347" i="20"/>
  <c r="Z347" i="20" s="1"/>
  <c r="I338" i="20"/>
  <c r="Z338" i="20" s="1"/>
  <c r="H350" i="20"/>
  <c r="Y350" i="20" s="1"/>
  <c r="H349" i="20"/>
  <c r="Y349" i="20" s="1"/>
  <c r="H347" i="20"/>
  <c r="Y347" i="20" s="1"/>
  <c r="AC21" i="7"/>
  <c r="AC23" i="7" s="1"/>
  <c r="AD20" i="7"/>
  <c r="AD1017" i="7"/>
  <c r="AD1035" i="7" s="1"/>
  <c r="AD1036" i="7" s="1"/>
  <c r="AD96" i="25"/>
  <c r="F229" i="2"/>
  <c r="AW229" i="2" s="1"/>
  <c r="AD1026" i="7"/>
  <c r="AD1004" i="7"/>
  <c r="M442" i="20"/>
  <c r="M434" i="20"/>
  <c r="EP88" i="6"/>
  <c r="EP48" i="6"/>
  <c r="AC1153" i="7" l="1"/>
  <c r="AD21" i="7"/>
  <c r="AD23" i="7" s="1"/>
  <c r="AE197" i="8"/>
  <c r="AE248" i="8"/>
  <c r="AD255" i="8"/>
  <c r="AD250" i="8"/>
  <c r="AD254" i="8" s="1"/>
  <c r="F251" i="2"/>
  <c r="AW251" i="2" s="1"/>
  <c r="AD1150" i="7"/>
  <c r="X253" i="20"/>
  <c r="G255" i="20"/>
  <c r="AD398" i="7"/>
  <c r="AD396" i="7"/>
  <c r="AE222" i="8"/>
  <c r="AE72" i="25"/>
  <c r="AE215" i="8"/>
  <c r="AE230" i="8"/>
  <c r="G203" i="2"/>
  <c r="AE178" i="8"/>
  <c r="AE199" i="7"/>
  <c r="AE172" i="7"/>
  <c r="M339" i="20"/>
  <c r="AD339" i="20" s="1"/>
  <c r="AX188" i="2"/>
  <c r="L339" i="20"/>
  <c r="AC339" i="20" s="1"/>
  <c r="EG62" i="6"/>
  <c r="EL13" i="6"/>
  <c r="EL62" i="6" s="1"/>
  <c r="AC170" i="25"/>
  <c r="AC237" i="8"/>
  <c r="AC650" i="7"/>
  <c r="AC661" i="7" s="1"/>
  <c r="AC656" i="7"/>
  <c r="AC764" i="7"/>
  <c r="AC647" i="7"/>
  <c r="J378" i="20"/>
  <c r="AA378" i="20" s="1"/>
  <c r="J379" i="20"/>
  <c r="AA379" i="20" s="1"/>
  <c r="K384" i="20"/>
  <c r="AB384" i="20" s="1"/>
  <c r="AW203" i="2"/>
  <c r="J384" i="20"/>
  <c r="AA384" i="20" s="1"/>
  <c r="K378" i="20"/>
  <c r="AB378" i="20" s="1"/>
  <c r="J385" i="20"/>
  <c r="AA385" i="20" s="1"/>
  <c r="K379" i="20"/>
  <c r="AB379" i="20" s="1"/>
  <c r="J347" i="20"/>
  <c r="AA347" i="20" s="1"/>
  <c r="J346" i="20"/>
  <c r="J350" i="20"/>
  <c r="AA350" i="20" s="1"/>
  <c r="J338" i="20"/>
  <c r="AA338" i="20" s="1"/>
  <c r="K347" i="20"/>
  <c r="AB347" i="20" s="1"/>
  <c r="K338" i="20"/>
  <c r="AB338" i="20" s="1"/>
  <c r="AW187" i="2"/>
  <c r="J349" i="20"/>
  <c r="AA349" i="20" s="1"/>
  <c r="K344" i="20"/>
  <c r="AB344" i="20" s="1"/>
  <c r="K349" i="20"/>
  <c r="AB349" i="20" s="1"/>
  <c r="K346" i="20"/>
  <c r="AB346" i="20" s="1"/>
  <c r="J344" i="20"/>
  <c r="AA344" i="20" s="1"/>
  <c r="EO12" i="6"/>
  <c r="EO60" i="6"/>
  <c r="EM11" i="6"/>
  <c r="AC154" i="8"/>
  <c r="AD154" i="8"/>
  <c r="AC161" i="8"/>
  <c r="K519" i="20"/>
  <c r="AB519" i="20" s="1"/>
  <c r="AX240" i="2"/>
  <c r="K515" i="20"/>
  <c r="AB515" i="20" s="1"/>
  <c r="H40" i="20"/>
  <c r="Y40" i="20" s="1"/>
  <c r="K518" i="20"/>
  <c r="AB518" i="20" s="1"/>
  <c r="K520" i="20"/>
  <c r="AB520" i="20" s="1"/>
  <c r="K522" i="20"/>
  <c r="AB522" i="20" s="1"/>
  <c r="K523" i="20"/>
  <c r="AB523" i="20" s="1"/>
  <c r="K516" i="20"/>
  <c r="AB516" i="20" s="1"/>
  <c r="L191" i="20"/>
  <c r="AC191" i="20" s="1"/>
  <c r="L192" i="20"/>
  <c r="AC192" i="20" s="1"/>
  <c r="M192" i="20"/>
  <c r="AD192" i="20" s="1"/>
  <c r="AE218" i="8"/>
  <c r="AE234" i="8"/>
  <c r="AE275" i="7"/>
  <c r="AE182" i="8"/>
  <c r="AE226" i="8"/>
  <c r="G187" i="2"/>
  <c r="AE58" i="25"/>
  <c r="AE19" i="7"/>
  <c r="AE21" i="7" s="1"/>
  <c r="AE23" i="7" s="1"/>
  <c r="AE192" i="8"/>
  <c r="AE199" i="8" s="1"/>
  <c r="AE206" i="8" s="1"/>
  <c r="AE122" i="8"/>
  <c r="AE161" i="8"/>
  <c r="AC290" i="7"/>
  <c r="AC284" i="7"/>
  <c r="Y346" i="20"/>
  <c r="AD644" i="7"/>
  <c r="AD281" i="7"/>
  <c r="AD287" i="7"/>
  <c r="AD623" i="7"/>
  <c r="EN62" i="6"/>
  <c r="EN22" i="6"/>
  <c r="EN15" i="6"/>
  <c r="EN64" i="6" s="1"/>
  <c r="EM13" i="6"/>
  <c r="AD204" i="8"/>
  <c r="AD342" i="7"/>
  <c r="AD343" i="7" s="1"/>
  <c r="AE366" i="7"/>
  <c r="AD219" i="7"/>
  <c r="AD73" i="25"/>
  <c r="AD276" i="7"/>
  <c r="AD278" i="7" s="1"/>
  <c r="AD205" i="7"/>
  <c r="AD210" i="7"/>
  <c r="AD173" i="7"/>
  <c r="F204" i="2"/>
  <c r="AW204" i="2" s="1"/>
  <c r="AD312" i="7"/>
  <c r="AD314" i="7" s="1"/>
  <c r="AD316" i="7" s="1"/>
  <c r="AD490" i="7"/>
  <c r="AC490" i="7"/>
  <c r="AC479" i="7"/>
  <c r="AE1146" i="7"/>
  <c r="AE1149" i="7" s="1"/>
  <c r="AE1148" i="7" s="1"/>
  <c r="AE116" i="25"/>
  <c r="AE509" i="7"/>
  <c r="AE510" i="7" s="1"/>
  <c r="AE394" i="7"/>
  <c r="AE396" i="7" s="1"/>
  <c r="AE494" i="7"/>
  <c r="AE496" i="7" s="1"/>
  <c r="M195" i="20"/>
  <c r="AD195" i="20" s="1"/>
  <c r="M284" i="20"/>
  <c r="AD284" i="20" s="1"/>
  <c r="AX161" i="2"/>
  <c r="I470" i="20"/>
  <c r="Z470" i="20" s="1"/>
  <c r="H253" i="20"/>
  <c r="K467" i="20"/>
  <c r="AB467" i="20" s="1"/>
  <c r="H34" i="20"/>
  <c r="Y34" i="20" s="1"/>
  <c r="H35" i="20"/>
  <c r="Y35" i="20" s="1"/>
  <c r="M197" i="20"/>
  <c r="AD197" i="20" s="1"/>
  <c r="M283" i="20"/>
  <c r="AD283" i="20" s="1"/>
  <c r="L284" i="20"/>
  <c r="AC284" i="20" s="1"/>
  <c r="L194" i="20"/>
  <c r="AC194" i="20" s="1"/>
  <c r="L195" i="20"/>
  <c r="AC195" i="20" s="1"/>
  <c r="M281" i="20"/>
  <c r="AD281" i="20" s="1"/>
  <c r="K469" i="20"/>
  <c r="AB469" i="20" s="1"/>
  <c r="M194" i="20"/>
  <c r="AD194" i="20" s="1"/>
  <c r="L197" i="20"/>
  <c r="AC197" i="20" s="1"/>
  <c r="L281" i="20"/>
  <c r="AC281" i="20" s="1"/>
  <c r="L283" i="20"/>
  <c r="AC283" i="20" s="1"/>
  <c r="H256" i="20"/>
  <c r="Y256" i="20" s="1"/>
  <c r="EH71" i="6"/>
  <c r="EG22" i="6"/>
  <c r="EG71" i="6" s="1"/>
  <c r="EH29" i="6"/>
  <c r="AC626" i="7"/>
  <c r="AC629" i="7"/>
  <c r="AC635" i="7"/>
  <c r="AE1035" i="7"/>
  <c r="AE1036" i="7" s="1"/>
  <c r="EP97" i="6"/>
  <c r="EP49" i="6"/>
  <c r="EH34" i="6" l="1"/>
  <c r="EH78" i="6"/>
  <c r="EG29" i="6"/>
  <c r="EG78" i="6" s="1"/>
  <c r="EN71" i="6"/>
  <c r="EN29" i="6"/>
  <c r="AD284" i="7"/>
  <c r="AD290" i="7"/>
  <c r="AD656" i="7"/>
  <c r="AD237" i="8"/>
  <c r="AD170" i="25"/>
  <c r="AD650" i="7"/>
  <c r="AD661" i="7" s="1"/>
  <c r="AD764" i="7"/>
  <c r="EM12" i="6"/>
  <c r="EM61" i="6" s="1"/>
  <c r="EM60" i="6"/>
  <c r="AC776" i="7"/>
  <c r="AC782" i="7"/>
  <c r="AC767" i="7"/>
  <c r="AC770" i="7"/>
  <c r="AC168" i="25"/>
  <c r="AD258" i="8"/>
  <c r="AD257" i="8"/>
  <c r="Y253" i="20"/>
  <c r="H255" i="20"/>
  <c r="AD215" i="7"/>
  <c r="AD172" i="25"/>
  <c r="AD221" i="7"/>
  <c r="EM62" i="6"/>
  <c r="ER13" i="6"/>
  <c r="ER62" i="6" s="1"/>
  <c r="L344" i="20"/>
  <c r="AC344" i="20" s="1"/>
  <c r="M347" i="20"/>
  <c r="AD347" i="20" s="1"/>
  <c r="L338" i="20"/>
  <c r="AC338" i="20" s="1"/>
  <c r="M349" i="20"/>
  <c r="AD349" i="20" s="1"/>
  <c r="L347" i="20"/>
  <c r="AC347" i="20" s="1"/>
  <c r="L349" i="20"/>
  <c r="AC349" i="20" s="1"/>
  <c r="L350" i="20"/>
  <c r="AC350" i="20" s="1"/>
  <c r="M338" i="20"/>
  <c r="AD338" i="20" s="1"/>
  <c r="M344" i="20"/>
  <c r="AD344" i="20" s="1"/>
  <c r="AX187" i="2"/>
  <c r="L346" i="20"/>
  <c r="M346" i="20"/>
  <c r="AD346" i="20" s="1"/>
  <c r="AE250" i="8"/>
  <c r="AE254" i="8" s="1"/>
  <c r="AE255" i="8"/>
  <c r="AD206" i="7"/>
  <c r="AD350" i="7"/>
  <c r="AD351" i="7" s="1"/>
  <c r="AD629" i="7"/>
  <c r="AD635" i="7"/>
  <c r="AE644" i="7"/>
  <c r="AE287" i="7"/>
  <c r="AE281" i="7"/>
  <c r="AE623" i="7"/>
  <c r="L378" i="20"/>
  <c r="AC378" i="20" s="1"/>
  <c r="M384" i="20"/>
  <c r="AD384" i="20" s="1"/>
  <c r="M379" i="20"/>
  <c r="AD379" i="20" s="1"/>
  <c r="M378" i="20"/>
  <c r="AD378" i="20" s="1"/>
  <c r="L379" i="20"/>
  <c r="AC379" i="20" s="1"/>
  <c r="L385" i="20"/>
  <c r="AC385" i="20" s="1"/>
  <c r="AX203" i="2"/>
  <c r="L384" i="20"/>
  <c r="AC384" i="20" s="1"/>
  <c r="AE398" i="7"/>
  <c r="AC491" i="7"/>
  <c r="AD491" i="7"/>
  <c r="EO61" i="6"/>
  <c r="EO22" i="6"/>
  <c r="EM22" i="6" s="1"/>
  <c r="EM71" i="6" s="1"/>
  <c r="AD401" i="7"/>
  <c r="AD404" i="7"/>
  <c r="AC632" i="7"/>
  <c r="AC638" i="7"/>
  <c r="AE1150" i="7"/>
  <c r="G251" i="2"/>
  <c r="AX251" i="2" s="1"/>
  <c r="AD288" i="7"/>
  <c r="AD645" i="7"/>
  <c r="AD647" i="7" s="1"/>
  <c r="AD282" i="7"/>
  <c r="AD624" i="7"/>
  <c r="AA346" i="20"/>
  <c r="AC659" i="7"/>
  <c r="AC653" i="7"/>
  <c r="AE210" i="7"/>
  <c r="AE276" i="7"/>
  <c r="AE173" i="7"/>
  <c r="AE205" i="7"/>
  <c r="AE206" i="7" s="1"/>
  <c r="AE312" i="7"/>
  <c r="AE314" i="7" s="1"/>
  <c r="AE316" i="7" s="1"/>
  <c r="AE73" i="25"/>
  <c r="G204" i="2"/>
  <c r="AX204" i="2" s="1"/>
  <c r="AE219" i="7"/>
  <c r="AE342" i="7"/>
  <c r="AE343" i="7" s="1"/>
  <c r="AE204" i="8"/>
  <c r="AD653" i="7" l="1"/>
  <c r="AD659" i="7"/>
  <c r="AE172" i="25"/>
  <c r="AE221" i="7"/>
  <c r="AE215" i="7"/>
  <c r="AD630" i="7"/>
  <c r="AD636" i="7"/>
  <c r="AE170" i="25"/>
  <c r="AE764" i="7"/>
  <c r="AE656" i="7"/>
  <c r="AE237" i="8"/>
  <c r="AE650" i="7"/>
  <c r="AE661" i="7" s="1"/>
  <c r="AC779" i="7"/>
  <c r="AC773" i="7"/>
  <c r="EH39" i="6"/>
  <c r="EH83" i="6"/>
  <c r="EG34" i="6"/>
  <c r="EG83" i="6" s="1"/>
  <c r="AE350" i="7"/>
  <c r="AE351" i="7" s="1"/>
  <c r="EO29" i="6"/>
  <c r="EO71" i="6"/>
  <c r="AE629" i="7"/>
  <c r="AE635" i="7"/>
  <c r="AD626" i="7"/>
  <c r="AE258" i="8"/>
  <c r="AE257" i="8"/>
  <c r="AC346" i="20"/>
  <c r="AD776" i="7"/>
  <c r="AD168" i="25"/>
  <c r="AD770" i="7"/>
  <c r="AD782" i="7"/>
  <c r="EN34" i="6"/>
  <c r="EN78" i="6"/>
  <c r="AE278" i="7"/>
  <c r="AE645" i="7"/>
  <c r="AE647" i="7" s="1"/>
  <c r="AE288" i="7"/>
  <c r="AE282" i="7"/>
  <c r="AE624" i="7"/>
  <c r="AD765" i="7"/>
  <c r="AD657" i="7"/>
  <c r="AD651" i="7"/>
  <c r="AE404" i="7"/>
  <c r="AE401" i="7"/>
  <c r="AE653" i="7" l="1"/>
  <c r="AE659" i="7"/>
  <c r="EN83" i="6"/>
  <c r="EN39" i="6"/>
  <c r="EH88" i="6"/>
  <c r="EG39" i="6"/>
  <c r="AE782" i="7"/>
  <c r="AE776" i="7"/>
  <c r="AE770" i="7"/>
  <c r="AE168" i="25"/>
  <c r="AE284" i="7"/>
  <c r="AE290" i="7"/>
  <c r="AD767" i="7"/>
  <c r="AD771" i="7"/>
  <c r="AD777" i="7"/>
  <c r="AD167" i="25"/>
  <c r="AE651" i="7"/>
  <c r="AE765" i="7"/>
  <c r="AE657" i="7"/>
  <c r="AE636" i="7"/>
  <c r="AE630" i="7"/>
  <c r="AD638" i="7"/>
  <c r="AD632" i="7"/>
  <c r="AE626" i="7"/>
  <c r="EM29" i="6"/>
  <c r="EM78" i="6" s="1"/>
  <c r="EO78" i="6"/>
  <c r="EO34" i="6"/>
  <c r="AE638" i="7" l="1"/>
  <c r="AE632" i="7"/>
  <c r="AD773" i="7"/>
  <c r="AD779" i="7"/>
  <c r="EN88" i="6"/>
  <c r="AE767" i="7"/>
  <c r="AE167" i="25"/>
  <c r="AE771" i="7"/>
  <c r="AE777" i="7"/>
  <c r="EG48" i="6"/>
  <c r="EG88" i="6"/>
  <c r="EM34" i="6"/>
  <c r="EM83" i="6" s="1"/>
  <c r="EO83" i="6"/>
  <c r="EO39" i="6"/>
  <c r="EO88" i="6" l="1"/>
  <c r="AE779" i="7"/>
  <c r="AE773" i="7"/>
  <c r="EM39" i="6"/>
  <c r="EL48" i="6"/>
  <c r="EL97" i="6" s="1"/>
  <c r="EG97" i="6"/>
  <c r="EM48" i="6" l="1"/>
  <c r="EM88" i="6"/>
  <c r="EM97" i="6" l="1"/>
  <c r="ER48" i="6"/>
  <c r="ER97" i="6" s="1"/>
  <c r="AC175" i="1" l="1"/>
  <c r="AA269" i="1"/>
  <c r="AA377" i="23" s="1"/>
  <c r="AC269" i="1"/>
  <c r="AC377" i="23" s="1"/>
  <c r="AC261" i="1"/>
  <c r="AC302" i="23" s="1"/>
  <c r="AC262" i="1"/>
  <c r="AC303" i="23" s="1"/>
  <c r="AC263" i="1"/>
  <c r="AC334" i="23" s="1"/>
  <c r="AC264" i="1"/>
  <c r="AC335" i="23" s="1"/>
  <c r="AC226" i="1"/>
  <c r="AA175" i="1"/>
  <c r="AB175" i="1"/>
  <c r="AC19" i="1"/>
  <c r="AB226" i="1"/>
  <c r="AB89" i="8" s="1"/>
  <c r="I19" i="1"/>
  <c r="I38" i="8" s="1"/>
  <c r="J19" i="1"/>
  <c r="J38" i="8" s="1"/>
  <c r="K19" i="1"/>
  <c r="K38" i="8" s="1"/>
  <c r="L19" i="1"/>
  <c r="L38" i="8" s="1"/>
  <c r="M19" i="1"/>
  <c r="M38" i="8" s="1"/>
  <c r="N19" i="1"/>
  <c r="N38" i="8" s="1"/>
  <c r="O19" i="1"/>
  <c r="O38" i="8" s="1"/>
  <c r="P19" i="1"/>
  <c r="P38" i="8" s="1"/>
  <c r="Q19" i="1"/>
  <c r="Q38" i="8" s="1"/>
  <c r="R19" i="1"/>
  <c r="R38" i="8" s="1"/>
  <c r="S19" i="1"/>
  <c r="S38" i="8" s="1"/>
  <c r="T19" i="1"/>
  <c r="T38" i="8" s="1"/>
  <c r="U19" i="1"/>
  <c r="U38" i="8" s="1"/>
  <c r="V19" i="1"/>
  <c r="V38" i="8" s="1"/>
  <c r="W19" i="1"/>
  <c r="W38" i="8" s="1"/>
  <c r="X19" i="1"/>
  <c r="X38" i="8" s="1"/>
  <c r="Y19" i="1"/>
  <c r="Y38" i="8" s="1"/>
  <c r="Z19" i="1"/>
  <c r="Z38" i="8" s="1"/>
  <c r="AA19" i="1"/>
  <c r="AA38" i="8" s="1"/>
  <c r="AB19" i="1"/>
  <c r="AB38" i="8" s="1"/>
  <c r="H19" i="1"/>
  <c r="H38" i="8" s="1"/>
  <c r="L261" i="1"/>
  <c r="L302" i="23" s="1"/>
  <c r="M261" i="1"/>
  <c r="M302" i="23" s="1"/>
  <c r="N261" i="1"/>
  <c r="N302" i="23" s="1"/>
  <c r="O261" i="1"/>
  <c r="O302" i="23" s="1"/>
  <c r="P261" i="1"/>
  <c r="P302" i="23" s="1"/>
  <c r="Q261" i="1"/>
  <c r="Q302" i="23" s="1"/>
  <c r="R261" i="1"/>
  <c r="R302" i="23" s="1"/>
  <c r="S261" i="1"/>
  <c r="S302" i="23" s="1"/>
  <c r="T261" i="1"/>
  <c r="T302" i="23" s="1"/>
  <c r="U261" i="1"/>
  <c r="U302" i="23" s="1"/>
  <c r="V261" i="1"/>
  <c r="V302" i="23" s="1"/>
  <c r="W261" i="1"/>
  <c r="W302" i="23" s="1"/>
  <c r="X261" i="1"/>
  <c r="X302" i="23" s="1"/>
  <c r="Y261" i="1"/>
  <c r="Y302" i="23" s="1"/>
  <c r="Z261" i="1"/>
  <c r="Z302" i="23" s="1"/>
  <c r="AA261" i="1"/>
  <c r="AA302" i="23" s="1"/>
  <c r="AB261" i="1"/>
  <c r="AB302" i="23" s="1"/>
  <c r="L262" i="1"/>
  <c r="L303" i="23" s="1"/>
  <c r="M262" i="1"/>
  <c r="M303" i="23" s="1"/>
  <c r="N262" i="1"/>
  <c r="N303" i="23" s="1"/>
  <c r="O262" i="1"/>
  <c r="O303" i="23" s="1"/>
  <c r="P262" i="1"/>
  <c r="P303" i="23" s="1"/>
  <c r="Q262" i="1"/>
  <c r="Q303" i="23" s="1"/>
  <c r="R262" i="1"/>
  <c r="R303" i="23" s="1"/>
  <c r="S262" i="1"/>
  <c r="S303" i="23" s="1"/>
  <c r="T262" i="1"/>
  <c r="T303" i="23" s="1"/>
  <c r="U262" i="1"/>
  <c r="U303" i="23" s="1"/>
  <c r="V262" i="1"/>
  <c r="V303" i="23" s="1"/>
  <c r="W262" i="1"/>
  <c r="W303" i="23" s="1"/>
  <c r="X262" i="1"/>
  <c r="X303" i="23" s="1"/>
  <c r="Y262" i="1"/>
  <c r="Y303" i="23" s="1"/>
  <c r="Z262" i="1"/>
  <c r="Z303" i="23" s="1"/>
  <c r="AA262" i="1"/>
  <c r="AA303" i="23" s="1"/>
  <c r="AB262" i="1"/>
  <c r="AB303" i="23" s="1"/>
  <c r="L263" i="1"/>
  <c r="L334" i="23" s="1"/>
  <c r="M263" i="1"/>
  <c r="M334" i="23" s="1"/>
  <c r="N263" i="1"/>
  <c r="N334" i="23" s="1"/>
  <c r="O263" i="1"/>
  <c r="O334" i="23" s="1"/>
  <c r="P263" i="1"/>
  <c r="P334" i="23" s="1"/>
  <c r="Q263" i="1"/>
  <c r="Q334" i="23" s="1"/>
  <c r="R263" i="1"/>
  <c r="R334" i="23" s="1"/>
  <c r="S263" i="1"/>
  <c r="S334" i="23" s="1"/>
  <c r="T263" i="1"/>
  <c r="T334" i="23" s="1"/>
  <c r="U263" i="1"/>
  <c r="U334" i="23" s="1"/>
  <c r="V263" i="1"/>
  <c r="V334" i="23" s="1"/>
  <c r="W263" i="1"/>
  <c r="W334" i="23" s="1"/>
  <c r="X263" i="1"/>
  <c r="X334" i="23" s="1"/>
  <c r="Y263" i="1"/>
  <c r="Y334" i="23" s="1"/>
  <c r="Z263" i="1"/>
  <c r="Z334" i="23" s="1"/>
  <c r="AA263" i="1"/>
  <c r="AA334" i="23" s="1"/>
  <c r="AB263" i="1"/>
  <c r="AB334" i="23" s="1"/>
  <c r="L264" i="1"/>
  <c r="L335" i="23" s="1"/>
  <c r="M264" i="1"/>
  <c r="M335" i="23" s="1"/>
  <c r="N264" i="1"/>
  <c r="N335" i="23" s="1"/>
  <c r="O264" i="1"/>
  <c r="O335" i="23" s="1"/>
  <c r="P264" i="1"/>
  <c r="P335" i="23" s="1"/>
  <c r="Q264" i="1"/>
  <c r="Q335" i="23" s="1"/>
  <c r="R264" i="1"/>
  <c r="R335" i="23" s="1"/>
  <c r="S264" i="1"/>
  <c r="S335" i="23" s="1"/>
  <c r="T264" i="1"/>
  <c r="T335" i="23" s="1"/>
  <c r="U264" i="1"/>
  <c r="U335" i="23" s="1"/>
  <c r="V264" i="1"/>
  <c r="V335" i="23" s="1"/>
  <c r="W264" i="1"/>
  <c r="W335" i="23" s="1"/>
  <c r="X264" i="1"/>
  <c r="X335" i="23" s="1"/>
  <c r="Y264" i="1"/>
  <c r="Y335" i="23" s="1"/>
  <c r="Z264" i="1"/>
  <c r="Z335" i="23" s="1"/>
  <c r="AA264" i="1"/>
  <c r="AA335" i="23" s="1"/>
  <c r="AB264" i="1"/>
  <c r="AB335" i="23" s="1"/>
  <c r="G226" i="1"/>
  <c r="G89" i="8" s="1"/>
  <c r="H226" i="1"/>
  <c r="H89" i="8" s="1"/>
  <c r="I226" i="1"/>
  <c r="I89" i="8" s="1"/>
  <c r="J226" i="1"/>
  <c r="J89" i="8" s="1"/>
  <c r="K226" i="1"/>
  <c r="K89" i="8" s="1"/>
  <c r="L226" i="1"/>
  <c r="L89" i="8" s="1"/>
  <c r="M226" i="1"/>
  <c r="M89" i="8" s="1"/>
  <c r="N226" i="1"/>
  <c r="N89" i="8" s="1"/>
  <c r="O226" i="1"/>
  <c r="O89" i="8" s="1"/>
  <c r="P226" i="1"/>
  <c r="P89" i="8" s="1"/>
  <c r="Q226" i="1"/>
  <c r="Q89" i="8" s="1"/>
  <c r="R226" i="1"/>
  <c r="R89" i="8" s="1"/>
  <c r="S226" i="1"/>
  <c r="S89" i="8" s="1"/>
  <c r="T226" i="1"/>
  <c r="T89" i="8" s="1"/>
  <c r="U226" i="1"/>
  <c r="U89" i="8" s="1"/>
  <c r="V226" i="1"/>
  <c r="V89" i="8" s="1"/>
  <c r="W226" i="1"/>
  <c r="W89" i="8" s="1"/>
  <c r="X226" i="1"/>
  <c r="X89" i="8" s="1"/>
  <c r="Y226" i="1"/>
  <c r="Y89" i="8" s="1"/>
  <c r="Z226" i="1"/>
  <c r="Z89" i="8" s="1"/>
  <c r="AA226" i="1"/>
  <c r="AA89" i="8" s="1"/>
  <c r="G175" i="1"/>
  <c r="H175" i="1"/>
  <c r="I175" i="1"/>
  <c r="J175" i="1"/>
  <c r="K175" i="1"/>
  <c r="L175" i="1"/>
  <c r="M175" i="1"/>
  <c r="N175" i="1"/>
  <c r="O175" i="1"/>
  <c r="P175" i="1"/>
  <c r="Q175" i="1"/>
  <c r="R175" i="1"/>
  <c r="S175" i="1"/>
  <c r="T175" i="1"/>
  <c r="U175" i="1"/>
  <c r="V175" i="1"/>
  <c r="W175" i="1"/>
  <c r="X175" i="1"/>
  <c r="Y175" i="1"/>
  <c r="Z175" i="1"/>
  <c r="I18" i="1"/>
  <c r="I36" i="8" s="1"/>
  <c r="K18" i="1"/>
  <c r="K36" i="8" s="1"/>
  <c r="O18" i="1"/>
  <c r="O36" i="8" s="1"/>
  <c r="Q18" i="1"/>
  <c r="Q36" i="8" s="1"/>
  <c r="S18" i="1"/>
  <c r="S36" i="8" s="1"/>
  <c r="W18" i="1"/>
  <c r="W36" i="8" s="1"/>
  <c r="Y18" i="1"/>
  <c r="Y36" i="8" s="1"/>
  <c r="AA18" i="1"/>
  <c r="AA36" i="8" s="1"/>
  <c r="O11" i="8" l="1"/>
  <c r="O54" i="25"/>
  <c r="O40" i="8"/>
  <c r="U936" i="7"/>
  <c r="M936" i="7"/>
  <c r="Y57" i="25"/>
  <c r="Y92" i="8"/>
  <c r="Y109" i="8" s="1"/>
  <c r="Y93" i="8"/>
  <c r="M57" i="25"/>
  <c r="M92" i="8"/>
  <c r="M93" i="8"/>
  <c r="V117" i="25"/>
  <c r="V340" i="23"/>
  <c r="CG109" i="11"/>
  <c r="N117" i="25"/>
  <c r="AS109" i="11"/>
  <c r="N340" i="23"/>
  <c r="S115" i="25"/>
  <c r="BR108" i="11"/>
  <c r="S339" i="23"/>
  <c r="S336" i="23"/>
  <c r="DK94" i="11"/>
  <c r="AB114" i="25"/>
  <c r="D249" i="2"/>
  <c r="AB308" i="23"/>
  <c r="P114" i="25"/>
  <c r="BC94" i="11"/>
  <c r="P308" i="23"/>
  <c r="U112" i="25"/>
  <c r="U307" i="23"/>
  <c r="U304" i="23"/>
  <c r="CB93" i="11"/>
  <c r="DP94" i="11"/>
  <c r="AC114" i="25"/>
  <c r="E249" i="2"/>
  <c r="AD303" i="23"/>
  <c r="AC308" i="23"/>
  <c r="AB269" i="1"/>
  <c r="AB377" i="23" s="1"/>
  <c r="W11" i="8"/>
  <c r="W40" i="8"/>
  <c r="W54" i="25"/>
  <c r="K54" i="25"/>
  <c r="K11" i="8"/>
  <c r="K37" i="8" s="1"/>
  <c r="K40" i="8"/>
  <c r="T936" i="7"/>
  <c r="L936" i="7"/>
  <c r="T57" i="25"/>
  <c r="T92" i="8"/>
  <c r="T93" i="8"/>
  <c r="L93" i="8"/>
  <c r="L92" i="8"/>
  <c r="L57" i="25"/>
  <c r="CB109" i="11"/>
  <c r="U117" i="25"/>
  <c r="U340" i="23"/>
  <c r="Z339" i="23"/>
  <c r="Z115" i="25"/>
  <c r="Z336" i="23"/>
  <c r="DA108" i="11"/>
  <c r="BM108" i="11"/>
  <c r="R115" i="25"/>
  <c r="R336" i="23"/>
  <c r="R339" i="23"/>
  <c r="W114" i="25"/>
  <c r="CL94" i="11"/>
  <c r="W308" i="23"/>
  <c r="AB304" i="23"/>
  <c r="D247" i="2"/>
  <c r="AB112" i="25"/>
  <c r="AB307" i="23"/>
  <c r="DK93" i="11"/>
  <c r="AC89" i="8"/>
  <c r="AB93" i="8"/>
  <c r="AB92" i="8"/>
  <c r="AB109" i="8" s="1"/>
  <c r="D185" i="2"/>
  <c r="AU185" i="2" s="1"/>
  <c r="AB57" i="25"/>
  <c r="DP93" i="11"/>
  <c r="AC304" i="23"/>
  <c r="AC112" i="25"/>
  <c r="E247" i="2"/>
  <c r="AC307" i="23"/>
  <c r="Y11" i="8"/>
  <c r="Y37" i="8" s="1"/>
  <c r="Y54" i="25"/>
  <c r="Y40" i="8"/>
  <c r="V18" i="1"/>
  <c r="V36" i="8" s="1"/>
  <c r="S11" i="8"/>
  <c r="S40" i="8"/>
  <c r="S54" i="25"/>
  <c r="P18" i="1"/>
  <c r="P36" i="8" s="1"/>
  <c r="M18" i="1"/>
  <c r="M36" i="8" s="1"/>
  <c r="J18" i="1"/>
  <c r="J36" i="8" s="1"/>
  <c r="G18" i="1"/>
  <c r="G36" i="8" s="1"/>
  <c r="W936" i="7"/>
  <c r="S936" i="7"/>
  <c r="O936" i="7"/>
  <c r="K936" i="7"/>
  <c r="G936" i="7"/>
  <c r="AA57" i="25"/>
  <c r="AA93" i="8"/>
  <c r="AA92" i="8"/>
  <c r="AA109" i="8" s="1"/>
  <c r="C185" i="2"/>
  <c r="AT185" i="2" s="1"/>
  <c r="W57" i="25"/>
  <c r="W93" i="8"/>
  <c r="W92" i="8"/>
  <c r="W109" i="8" s="1"/>
  <c r="S57" i="25"/>
  <c r="S92" i="8"/>
  <c r="S93" i="8"/>
  <c r="O57" i="25"/>
  <c r="O93" i="8"/>
  <c r="O92" i="8"/>
  <c r="K57" i="25"/>
  <c r="K92" i="8"/>
  <c r="K93" i="8"/>
  <c r="G93" i="8"/>
  <c r="DK109" i="11"/>
  <c r="D252" i="2"/>
  <c r="AB117" i="25"/>
  <c r="AB340" i="23"/>
  <c r="CQ109" i="11"/>
  <c r="X117" i="25"/>
  <c r="X340" i="23"/>
  <c r="T340" i="23"/>
  <c r="BW109" i="11"/>
  <c r="T117" i="25"/>
  <c r="P117" i="25"/>
  <c r="P340" i="23"/>
  <c r="BC109" i="11"/>
  <c r="L117" i="25"/>
  <c r="AI109" i="11"/>
  <c r="CV108" i="11"/>
  <c r="Y339" i="23"/>
  <c r="Y336" i="23"/>
  <c r="Y115" i="25"/>
  <c r="U336" i="23"/>
  <c r="U115" i="25"/>
  <c r="U339" i="23"/>
  <c r="CB108" i="11"/>
  <c r="Q336" i="23"/>
  <c r="BH108" i="11"/>
  <c r="Q115" i="25"/>
  <c r="Q339" i="23"/>
  <c r="M115" i="25"/>
  <c r="M336" i="23"/>
  <c r="AN108" i="11"/>
  <c r="M339" i="23"/>
  <c r="DA94" i="11"/>
  <c r="Z308" i="23"/>
  <c r="Z114" i="25"/>
  <c r="V114" i="25"/>
  <c r="CG94" i="11"/>
  <c r="V308" i="23"/>
  <c r="BM94" i="11"/>
  <c r="R308" i="23"/>
  <c r="R114" i="25"/>
  <c r="AS94" i="11"/>
  <c r="N308" i="23"/>
  <c r="N114" i="25"/>
  <c r="AA112" i="25"/>
  <c r="AA307" i="23"/>
  <c r="DF93" i="11"/>
  <c r="C247" i="2"/>
  <c r="AT247" i="2" s="1"/>
  <c r="AA304" i="23"/>
  <c r="W304" i="23"/>
  <c r="W112" i="25"/>
  <c r="CL93" i="11"/>
  <c r="W307" i="23"/>
  <c r="S307" i="23"/>
  <c r="BR93" i="11"/>
  <c r="S112" i="25"/>
  <c r="S304" i="23"/>
  <c r="O112" i="25"/>
  <c r="O304" i="23"/>
  <c r="AX93" i="11"/>
  <c r="O307" i="23"/>
  <c r="AC18" i="1"/>
  <c r="AC36" i="8" s="1"/>
  <c r="DP109" i="11"/>
  <c r="AC117" i="25"/>
  <c r="AD335" i="23"/>
  <c r="E252" i="2"/>
  <c r="AC340" i="23"/>
  <c r="DP40" i="11"/>
  <c r="AC382" i="23"/>
  <c r="E154" i="2"/>
  <c r="AC41" i="25"/>
  <c r="AC936" i="7"/>
  <c r="Z18" i="1"/>
  <c r="Z36" i="8" s="1"/>
  <c r="T18" i="1"/>
  <c r="T36" i="8" s="1"/>
  <c r="I11" i="8"/>
  <c r="I40" i="8"/>
  <c r="I54" i="25"/>
  <c r="Y936" i="7"/>
  <c r="Q936" i="7"/>
  <c r="I936" i="7"/>
  <c r="U93" i="8"/>
  <c r="U57" i="25"/>
  <c r="U92" i="8"/>
  <c r="Q57" i="25"/>
  <c r="Q92" i="8"/>
  <c r="Q93" i="8"/>
  <c r="I93" i="8"/>
  <c r="I57" i="25"/>
  <c r="I92" i="8"/>
  <c r="Z117" i="25"/>
  <c r="Z340" i="23"/>
  <c r="DA109" i="11"/>
  <c r="R117" i="25"/>
  <c r="BM109" i="11"/>
  <c r="R340" i="23"/>
  <c r="DF108" i="11"/>
  <c r="AA115" i="25"/>
  <c r="AA336" i="23"/>
  <c r="C250" i="2"/>
  <c r="AT250" i="2" s="1"/>
  <c r="AA339" i="23"/>
  <c r="W115" i="25"/>
  <c r="W339" i="23"/>
  <c r="W336" i="23"/>
  <c r="CL108" i="11"/>
  <c r="AX108" i="11"/>
  <c r="O339" i="23"/>
  <c r="O336" i="23"/>
  <c r="O115" i="25"/>
  <c r="CQ94" i="11"/>
  <c r="X308" i="23"/>
  <c r="X114" i="25"/>
  <c r="T114" i="25"/>
  <c r="BW94" i="11"/>
  <c r="T308" i="23"/>
  <c r="L114" i="25"/>
  <c r="AI94" i="11"/>
  <c r="Y112" i="25"/>
  <c r="CV93" i="11"/>
  <c r="Y307" i="23"/>
  <c r="Y304" i="23"/>
  <c r="BH93" i="11"/>
  <c r="Q307" i="23"/>
  <c r="Q304" i="23"/>
  <c r="Q112" i="25"/>
  <c r="AN93" i="11"/>
  <c r="M307" i="23"/>
  <c r="M304" i="23"/>
  <c r="M112" i="25"/>
  <c r="AB936" i="7"/>
  <c r="AB18" i="1"/>
  <c r="AB36" i="8" s="1"/>
  <c r="Q54" i="25"/>
  <c r="Q40" i="8"/>
  <c r="Q11" i="8"/>
  <c r="N18" i="1"/>
  <c r="N36" i="8" s="1"/>
  <c r="H18" i="1"/>
  <c r="H36" i="8" s="1"/>
  <c r="X936" i="7"/>
  <c r="P936" i="7"/>
  <c r="H936" i="7"/>
  <c r="X92" i="8"/>
  <c r="X109" i="8" s="1"/>
  <c r="X57" i="25"/>
  <c r="X93" i="8"/>
  <c r="P93" i="8"/>
  <c r="P92" i="8"/>
  <c r="P57" i="25"/>
  <c r="H57" i="25"/>
  <c r="H93" i="8"/>
  <c r="H92" i="8"/>
  <c r="Y117" i="25"/>
  <c r="Y340" i="23"/>
  <c r="CV109" i="11"/>
  <c r="Q340" i="23"/>
  <c r="BH109" i="11"/>
  <c r="Q117" i="25"/>
  <c r="AN109" i="11"/>
  <c r="M340" i="23"/>
  <c r="M117" i="25"/>
  <c r="V336" i="23"/>
  <c r="CG108" i="11"/>
  <c r="V115" i="25"/>
  <c r="V339" i="23"/>
  <c r="N115" i="25"/>
  <c r="AS108" i="11"/>
  <c r="N336" i="23"/>
  <c r="N339" i="23"/>
  <c r="DF94" i="11"/>
  <c r="AA308" i="23"/>
  <c r="C249" i="2"/>
  <c r="AT249" i="2" s="1"/>
  <c r="AA114" i="25"/>
  <c r="BR94" i="11"/>
  <c r="S114" i="25"/>
  <c r="S308" i="23"/>
  <c r="O308" i="23"/>
  <c r="O114" i="25"/>
  <c r="AX94" i="11"/>
  <c r="X112" i="25"/>
  <c r="X307" i="23"/>
  <c r="CQ93" i="11"/>
  <c r="X304" i="23"/>
  <c r="T304" i="23"/>
  <c r="BW93" i="11"/>
  <c r="T112" i="25"/>
  <c r="T307" i="23"/>
  <c r="P304" i="23"/>
  <c r="P309" i="23" s="1"/>
  <c r="P307" i="23"/>
  <c r="BC93" i="11"/>
  <c r="P112" i="25"/>
  <c r="AI93" i="11"/>
  <c r="L304" i="23"/>
  <c r="L112" i="25"/>
  <c r="AA936" i="7"/>
  <c r="AA41" i="25"/>
  <c r="DF40" i="11"/>
  <c r="C154" i="2"/>
  <c r="AT154" i="2" s="1"/>
  <c r="AA54" i="25"/>
  <c r="C178" i="2"/>
  <c r="AT178" i="2" s="1"/>
  <c r="AA11" i="8"/>
  <c r="AA37" i="8" s="1"/>
  <c r="AA40" i="8"/>
  <c r="X18" i="1"/>
  <c r="X36" i="8" s="1"/>
  <c r="U18" i="1"/>
  <c r="U36" i="8" s="1"/>
  <c r="R18" i="1"/>
  <c r="R36" i="8" s="1"/>
  <c r="L18" i="1"/>
  <c r="L36" i="8" s="1"/>
  <c r="Z936" i="7"/>
  <c r="V936" i="7"/>
  <c r="R936" i="7"/>
  <c r="N936" i="7"/>
  <c r="J936" i="7"/>
  <c r="Z92" i="8"/>
  <c r="Z109" i="8" s="1"/>
  <c r="Z57" i="25"/>
  <c r="Z93" i="8"/>
  <c r="V93" i="8"/>
  <c r="V92" i="8"/>
  <c r="V109" i="8" s="1"/>
  <c r="V57" i="25"/>
  <c r="R92" i="8"/>
  <c r="R93" i="8"/>
  <c r="R57" i="25"/>
  <c r="N57" i="25"/>
  <c r="N92" i="8"/>
  <c r="N93" i="8"/>
  <c r="J57" i="25"/>
  <c r="J93" i="8"/>
  <c r="J92" i="8"/>
  <c r="DF109" i="11"/>
  <c r="AA117" i="25"/>
  <c r="AA340" i="23"/>
  <c r="C252" i="2"/>
  <c r="AT252" i="2" s="1"/>
  <c r="CL109" i="11"/>
  <c r="W117" i="25"/>
  <c r="W340" i="23"/>
  <c r="BR109" i="11"/>
  <c r="S340" i="23"/>
  <c r="S117" i="25"/>
  <c r="AX109" i="11"/>
  <c r="O340" i="23"/>
  <c r="O117" i="25"/>
  <c r="AB336" i="23"/>
  <c r="AB339" i="23"/>
  <c r="DK108" i="11"/>
  <c r="D250" i="2"/>
  <c r="AB115" i="25"/>
  <c r="X339" i="23"/>
  <c r="X336" i="23"/>
  <c r="CQ108" i="11"/>
  <c r="X115" i="25"/>
  <c r="BW108" i="11"/>
  <c r="T115" i="25"/>
  <c r="T336" i="23"/>
  <c r="T339" i="23"/>
  <c r="P339" i="23"/>
  <c r="P336" i="23"/>
  <c r="BC108" i="11"/>
  <c r="P115" i="25"/>
  <c r="AI108" i="11"/>
  <c r="L115" i="25"/>
  <c r="L336" i="23"/>
  <c r="Y114" i="25"/>
  <c r="Y308" i="23"/>
  <c r="CV94" i="11"/>
  <c r="CB94" i="11"/>
  <c r="U308" i="23"/>
  <c r="U114" i="25"/>
  <c r="BH94" i="11"/>
  <c r="Q308" i="23"/>
  <c r="Q114" i="25"/>
  <c r="M308" i="23"/>
  <c r="AN94" i="11"/>
  <c r="M114" i="25"/>
  <c r="DA93" i="11"/>
  <c r="Z112" i="25"/>
  <c r="Z304" i="23"/>
  <c r="Z307" i="23"/>
  <c r="V307" i="23"/>
  <c r="CG93" i="11"/>
  <c r="V304" i="23"/>
  <c r="V112" i="25"/>
  <c r="BM93" i="11"/>
  <c r="R304" i="23"/>
  <c r="R307" i="23"/>
  <c r="R112" i="25"/>
  <c r="AS93" i="11"/>
  <c r="N112" i="25"/>
  <c r="N304" i="23"/>
  <c r="N307" i="23"/>
  <c r="DP108" i="11"/>
  <c r="AC336" i="23"/>
  <c r="AD336" i="23" s="1"/>
  <c r="AE336" i="23" s="1"/>
  <c r="E250" i="2"/>
  <c r="AC115" i="25"/>
  <c r="AC339" i="23"/>
  <c r="T309" i="23" l="1"/>
  <c r="N341" i="23"/>
  <c r="I53" i="8"/>
  <c r="I571" i="7" s="1"/>
  <c r="I572" i="7" s="1"/>
  <c r="O64" i="8"/>
  <c r="Q53" i="8"/>
  <c r="Q571" i="7" s="1"/>
  <c r="Q572" i="7" s="1"/>
  <c r="W64" i="8"/>
  <c r="R309" i="23"/>
  <c r="BN93" i="11"/>
  <c r="DA95" i="11"/>
  <c r="DA96" i="11" s="1"/>
  <c r="V309" i="23"/>
  <c r="Z309" i="23"/>
  <c r="Q64" i="8"/>
  <c r="AA341" i="23"/>
  <c r="X309" i="23"/>
  <c r="S341" i="23"/>
  <c r="CR94" i="11"/>
  <c r="AA309" i="23"/>
  <c r="Q341" i="23"/>
  <c r="U341" i="23"/>
  <c r="AB309" i="23"/>
  <c r="M309" i="23"/>
  <c r="W341" i="23"/>
  <c r="BS94" i="11"/>
  <c r="AY109" i="11"/>
  <c r="AO109" i="11"/>
  <c r="AO94" i="11"/>
  <c r="CC94" i="11"/>
  <c r="CW94" i="11"/>
  <c r="AY94" i="11"/>
  <c r="CM109" i="11"/>
  <c r="CH94" i="11"/>
  <c r="AI110" i="11"/>
  <c r="AS95" i="11"/>
  <c r="AT93" i="11"/>
  <c r="AC341" i="23"/>
  <c r="AB341" i="23"/>
  <c r="O266" i="7"/>
  <c r="O933" i="7"/>
  <c r="O935" i="7" s="1"/>
  <c r="O943" i="7" s="1"/>
  <c r="N937" i="7"/>
  <c r="N938" i="7"/>
  <c r="O265" i="7"/>
  <c r="N95" i="25"/>
  <c r="O232" i="7"/>
  <c r="O233" i="7" s="1"/>
  <c r="R53" i="8"/>
  <c r="R571" i="7" s="1"/>
  <c r="R572" i="7" s="1"/>
  <c r="R40" i="8"/>
  <c r="R54" i="25"/>
  <c r="R11" i="8"/>
  <c r="S17" i="8" s="1"/>
  <c r="R64" i="8"/>
  <c r="X54" i="25"/>
  <c r="X11" i="8"/>
  <c r="X37" i="8" s="1"/>
  <c r="AI36" i="8"/>
  <c r="X53" i="8"/>
  <c r="X571" i="7" s="1"/>
  <c r="X572" i="7" s="1"/>
  <c r="X64" i="8"/>
  <c r="X40" i="8"/>
  <c r="AY108" i="11"/>
  <c r="AT108" i="11"/>
  <c r="AS110" i="11"/>
  <c r="CG110" i="11"/>
  <c r="CG125" i="11" s="1"/>
  <c r="CG126" i="11" s="1"/>
  <c r="CH108" i="11"/>
  <c r="CW109" i="11"/>
  <c r="H95" i="25"/>
  <c r="I232" i="7"/>
  <c r="I233" i="7" s="1"/>
  <c r="H938" i="7"/>
  <c r="I933" i="7"/>
  <c r="I935" i="7" s="1"/>
  <c r="I943" i="7" s="1"/>
  <c r="H937" i="7"/>
  <c r="I266" i="7"/>
  <c r="I265" i="7"/>
  <c r="Q41" i="8"/>
  <c r="Q2" i="8"/>
  <c r="Q42" i="8"/>
  <c r="Q10" i="8"/>
  <c r="AB11" i="8"/>
  <c r="AB53" i="8"/>
  <c r="AB571" i="7" s="1"/>
  <c r="AB572" i="7" s="1"/>
  <c r="AB54" i="25"/>
  <c r="D178" i="2"/>
  <c r="AB64" i="8"/>
  <c r="AB40" i="8"/>
  <c r="AM36" i="8"/>
  <c r="DB93" i="11"/>
  <c r="CV95" i="11"/>
  <c r="CW93" i="11"/>
  <c r="BS109" i="11"/>
  <c r="BN109" i="11"/>
  <c r="Z266" i="7"/>
  <c r="AM266" i="7" s="1"/>
  <c r="Z933" i="7"/>
  <c r="AM933" i="7" s="1"/>
  <c r="Y95" i="25"/>
  <c r="Z232" i="7"/>
  <c r="Y937" i="7"/>
  <c r="Y938" i="7"/>
  <c r="Z265" i="7"/>
  <c r="AM265" i="7" s="1"/>
  <c r="I2" i="8"/>
  <c r="I42" i="8"/>
  <c r="I41" i="8"/>
  <c r="I10" i="8"/>
  <c r="Z54" i="25"/>
  <c r="Z40" i="8"/>
  <c r="Z11" i="8"/>
  <c r="AL25" i="8" s="1"/>
  <c r="AK36" i="8"/>
  <c r="Z64" i="8"/>
  <c r="Z53" i="8"/>
  <c r="Z571" i="7" s="1"/>
  <c r="AY93" i="11"/>
  <c r="AX95" i="11"/>
  <c r="CM93" i="11"/>
  <c r="CL95" i="11"/>
  <c r="CL121" i="11" s="1"/>
  <c r="CL122" i="11" s="1"/>
  <c r="CC108" i="11"/>
  <c r="CB110" i="11"/>
  <c r="CB125" i="11" s="1"/>
  <c r="CB126" i="11" s="1"/>
  <c r="H933" i="7"/>
  <c r="H935" i="7" s="1"/>
  <c r="H943" i="7" s="1"/>
  <c r="H266" i="7"/>
  <c r="H232" i="7"/>
  <c r="H233" i="7" s="1"/>
  <c r="H265" i="7"/>
  <c r="W95" i="25"/>
  <c r="X266" i="7"/>
  <c r="X232" i="7"/>
  <c r="X233" i="7" s="1"/>
  <c r="X933" i="7"/>
  <c r="X935" i="7" s="1"/>
  <c r="X943" i="7" s="1"/>
  <c r="W937" i="7"/>
  <c r="W938" i="7"/>
  <c r="X265" i="7"/>
  <c r="S41" i="8"/>
  <c r="S10" i="8"/>
  <c r="S42" i="8"/>
  <c r="S2" i="8"/>
  <c r="DP95" i="11"/>
  <c r="DP96" i="11" s="1"/>
  <c r="DQ93" i="11"/>
  <c r="DK95" i="11"/>
  <c r="DK96" i="11" s="1"/>
  <c r="DL93" i="11"/>
  <c r="DA110" i="11"/>
  <c r="DA125" i="11" s="1"/>
  <c r="DA126" i="11" s="1"/>
  <c r="DB108" i="11"/>
  <c r="T95" i="25"/>
  <c r="U232" i="7"/>
  <c r="U233" i="7" s="1"/>
  <c r="T938" i="7"/>
  <c r="U266" i="7"/>
  <c r="T937" i="7"/>
  <c r="U933" i="7"/>
  <c r="U935" i="7" s="1"/>
  <c r="U943" i="7" s="1"/>
  <c r="U265" i="7"/>
  <c r="W2" i="8"/>
  <c r="W10" i="8"/>
  <c r="W41" i="8"/>
  <c r="W42" i="8"/>
  <c r="DU94" i="11"/>
  <c r="N232" i="7"/>
  <c r="N233" i="7" s="1"/>
  <c r="M937" i="7"/>
  <c r="M938" i="7"/>
  <c r="M95" i="25"/>
  <c r="N933" i="7"/>
  <c r="N935" i="7" s="1"/>
  <c r="N943" i="7" s="1"/>
  <c r="N266" i="7"/>
  <c r="N265" i="7"/>
  <c r="AV250" i="2"/>
  <c r="H544" i="20"/>
  <c r="Y544" i="20" s="1"/>
  <c r="H546" i="20"/>
  <c r="Y546" i="20" s="1"/>
  <c r="I546" i="20"/>
  <c r="Z546" i="20" s="1"/>
  <c r="BC110" i="11"/>
  <c r="BD108" i="11"/>
  <c r="T341" i="23"/>
  <c r="CR108" i="11"/>
  <c r="CQ110" i="11"/>
  <c r="CQ125" i="11" s="1"/>
  <c r="CQ126" i="11" s="1"/>
  <c r="I544" i="20"/>
  <c r="Z544" i="20" s="1"/>
  <c r="AU250" i="2"/>
  <c r="G544" i="20"/>
  <c r="X544" i="20" s="1"/>
  <c r="G546" i="20"/>
  <c r="X546" i="20" s="1"/>
  <c r="E544" i="20"/>
  <c r="V544" i="20" s="1"/>
  <c r="F544" i="20"/>
  <c r="W544" i="20" s="1"/>
  <c r="F546" i="20"/>
  <c r="W546" i="20" s="1"/>
  <c r="E546" i="20"/>
  <c r="V546" i="20" s="1"/>
  <c r="DG109" i="11"/>
  <c r="K266" i="7"/>
  <c r="K232" i="7"/>
  <c r="K233" i="7" s="1"/>
  <c r="J938" i="7"/>
  <c r="J937" i="7"/>
  <c r="J95" i="25"/>
  <c r="K933" i="7"/>
  <c r="K935" i="7" s="1"/>
  <c r="K943" i="7" s="1"/>
  <c r="K265" i="7"/>
  <c r="AA933" i="7"/>
  <c r="AA935" i="7" s="1"/>
  <c r="AA943" i="7" s="1"/>
  <c r="Z937" i="7"/>
  <c r="AM937" i="7" s="1"/>
  <c r="AM936" i="7"/>
  <c r="AA232" i="7"/>
  <c r="AA233" i="7" s="1"/>
  <c r="Z95" i="25"/>
  <c r="Z938" i="7"/>
  <c r="AA266" i="7"/>
  <c r="AA265" i="7"/>
  <c r="L53" i="8"/>
  <c r="L571" i="7" s="1"/>
  <c r="L572" i="7" s="1"/>
  <c r="L54" i="25"/>
  <c r="L64" i="8"/>
  <c r="L40" i="8"/>
  <c r="L11" i="8"/>
  <c r="AL36" i="8"/>
  <c r="BC95" i="11"/>
  <c r="BC121" i="11" s="1"/>
  <c r="BC122" i="11" s="1"/>
  <c r="BD93" i="11"/>
  <c r="CQ95" i="11"/>
  <c r="CR93" i="11"/>
  <c r="DG94" i="11"/>
  <c r="V341" i="23"/>
  <c r="H54" i="25"/>
  <c r="H64" i="8"/>
  <c r="H53" i="8"/>
  <c r="H571" i="7" s="1"/>
  <c r="H572" i="7" s="1"/>
  <c r="H11" i="8"/>
  <c r="I17" i="8" s="1"/>
  <c r="H40" i="8"/>
  <c r="Q37" i="8"/>
  <c r="AN95" i="11"/>
  <c r="BH95" i="11"/>
  <c r="BH121" i="11" s="1"/>
  <c r="BH122" i="11" s="1"/>
  <c r="BI93" i="11"/>
  <c r="BX94" i="11"/>
  <c r="AX110" i="11"/>
  <c r="Q95" i="25"/>
  <c r="R232" i="7"/>
  <c r="R233" i="7" s="1"/>
  <c r="Q937" i="7"/>
  <c r="R266" i="7"/>
  <c r="Q938" i="7"/>
  <c r="R933" i="7"/>
  <c r="R935" i="7" s="1"/>
  <c r="R943" i="7" s="1"/>
  <c r="R265" i="7"/>
  <c r="I64" i="8"/>
  <c r="DU109" i="11"/>
  <c r="DZ109" i="11" s="1"/>
  <c r="DQ109" i="11"/>
  <c r="O309" i="23"/>
  <c r="BS93" i="11"/>
  <c r="BR95" i="11"/>
  <c r="BR121" i="11" s="1"/>
  <c r="BR122" i="11" s="1"/>
  <c r="DF95" i="11"/>
  <c r="DG93" i="11"/>
  <c r="BM95" i="11"/>
  <c r="BM96" i="11" s="1"/>
  <c r="BN94" i="11"/>
  <c r="AO108" i="11"/>
  <c r="AN110" i="11"/>
  <c r="Y341" i="23"/>
  <c r="AU252" i="2"/>
  <c r="G545" i="20"/>
  <c r="X545" i="20" s="1"/>
  <c r="F545" i="20"/>
  <c r="W545" i="20" s="1"/>
  <c r="E545" i="20"/>
  <c r="V545" i="20" s="1"/>
  <c r="T232" i="7"/>
  <c r="T233" i="7" s="1"/>
  <c r="S938" i="7"/>
  <c r="S95" i="25"/>
  <c r="T933" i="7"/>
  <c r="T935" i="7" s="1"/>
  <c r="T943" i="7" s="1"/>
  <c r="S937" i="7"/>
  <c r="T266" i="7"/>
  <c r="T265" i="7"/>
  <c r="J40" i="8"/>
  <c r="J11" i="8"/>
  <c r="K22" i="8" s="1"/>
  <c r="J64" i="8"/>
  <c r="J54" i="25"/>
  <c r="J53" i="8"/>
  <c r="J571" i="7" s="1"/>
  <c r="J572" i="7" s="1"/>
  <c r="P54" i="25"/>
  <c r="P53" i="8"/>
  <c r="P571" i="7" s="1"/>
  <c r="P572" i="7" s="1"/>
  <c r="P40" i="8"/>
  <c r="P64" i="8"/>
  <c r="P11" i="8"/>
  <c r="Q17" i="8" s="1"/>
  <c r="S64" i="8"/>
  <c r="AJ36" i="8"/>
  <c r="H540" i="20"/>
  <c r="Y540" i="20" s="1"/>
  <c r="H542" i="20"/>
  <c r="Y542" i="20" s="1"/>
  <c r="AV247" i="2"/>
  <c r="H547" i="20"/>
  <c r="Y547" i="20" s="1"/>
  <c r="I542" i="20"/>
  <c r="Z542" i="20" s="1"/>
  <c r="I540" i="20"/>
  <c r="Z540" i="20" s="1"/>
  <c r="AC57" i="25"/>
  <c r="E185" i="2"/>
  <c r="AV185" i="2" s="1"/>
  <c r="AD89" i="8"/>
  <c r="AC93" i="8"/>
  <c r="R341" i="23"/>
  <c r="Z341" i="23"/>
  <c r="M933" i="7"/>
  <c r="M935" i="7" s="1"/>
  <c r="M943" i="7" s="1"/>
  <c r="M232" i="7"/>
  <c r="M233" i="7" s="1"/>
  <c r="L938" i="7"/>
  <c r="L95" i="25"/>
  <c r="L937" i="7"/>
  <c r="M266" i="7"/>
  <c r="M265" i="7"/>
  <c r="K53" i="8"/>
  <c r="K571" i="7" s="1"/>
  <c r="K572" i="7" s="1"/>
  <c r="F249" i="2"/>
  <c r="AE303" i="23"/>
  <c r="AD114" i="25"/>
  <c r="CC93" i="11"/>
  <c r="CB95" i="11"/>
  <c r="CB121" i="11" s="1"/>
  <c r="CB122" i="11" s="1"/>
  <c r="AU249" i="2"/>
  <c r="E541" i="20"/>
  <c r="V541" i="20" s="1"/>
  <c r="F541" i="20"/>
  <c r="W541" i="20" s="1"/>
  <c r="G541" i="20"/>
  <c r="X541" i="20" s="1"/>
  <c r="E542" i="20"/>
  <c r="V542" i="20" s="1"/>
  <c r="AT109" i="11"/>
  <c r="O53" i="8"/>
  <c r="O571" i="7" s="1"/>
  <c r="O572" i="7" s="1"/>
  <c r="N309" i="23"/>
  <c r="P341" i="23"/>
  <c r="X341" i="23"/>
  <c r="DK110" i="11"/>
  <c r="DK111" i="11" s="1"/>
  <c r="DL108" i="11"/>
  <c r="V95" i="25"/>
  <c r="W933" i="7"/>
  <c r="W935" i="7" s="1"/>
  <c r="W943" i="7" s="1"/>
  <c r="W266" i="7"/>
  <c r="V938" i="7"/>
  <c r="W232" i="7"/>
  <c r="W233" i="7" s="1"/>
  <c r="V937" i="7"/>
  <c r="W265" i="7"/>
  <c r="U54" i="25"/>
  <c r="U40" i="8"/>
  <c r="U53" i="8"/>
  <c r="U571" i="7" s="1"/>
  <c r="U572" i="7" s="1"/>
  <c r="U11" i="8"/>
  <c r="U37" i="8" s="1"/>
  <c r="U64" i="8"/>
  <c r="AA53" i="8"/>
  <c r="AA571" i="7" s="1"/>
  <c r="AA572" i="7" s="1"/>
  <c r="AA938" i="7"/>
  <c r="AB232" i="7"/>
  <c r="AB233" i="7" s="1"/>
  <c r="AB933" i="7"/>
  <c r="AB935" i="7" s="1"/>
  <c r="AB943" i="7" s="1"/>
  <c r="C228" i="2"/>
  <c r="AT228" i="2" s="1"/>
  <c r="AA937" i="7"/>
  <c r="AA95" i="25"/>
  <c r="AB266" i="7"/>
  <c r="AB265" i="7"/>
  <c r="BW95" i="11"/>
  <c r="BX93" i="11"/>
  <c r="BI109" i="11"/>
  <c r="X938" i="7"/>
  <c r="X95" i="25"/>
  <c r="Y266" i="7"/>
  <c r="Y933" i="7"/>
  <c r="Y935" i="7" s="1"/>
  <c r="Y943" i="7" s="1"/>
  <c r="Y232" i="7"/>
  <c r="Y233" i="7" s="1"/>
  <c r="X937" i="7"/>
  <c r="Y265" i="7"/>
  <c r="Y309" i="23"/>
  <c r="CL110" i="11"/>
  <c r="CL125" i="11" s="1"/>
  <c r="CL126" i="11" s="1"/>
  <c r="CM108" i="11"/>
  <c r="DF110" i="11"/>
  <c r="DF111" i="11" s="1"/>
  <c r="DG108" i="11"/>
  <c r="DB109" i="11"/>
  <c r="I937" i="7"/>
  <c r="J232" i="7"/>
  <c r="J233" i="7" s="1"/>
  <c r="I95" i="25"/>
  <c r="J933" i="7"/>
  <c r="J935" i="7" s="1"/>
  <c r="J943" i="7" s="1"/>
  <c r="J266" i="7"/>
  <c r="I938" i="7"/>
  <c r="J265" i="7"/>
  <c r="T54" i="25"/>
  <c r="T40" i="8"/>
  <c r="T53" i="8"/>
  <c r="T571" i="7" s="1"/>
  <c r="T572" i="7" s="1"/>
  <c r="T11" i="8"/>
  <c r="T37" i="8" s="1"/>
  <c r="T64" i="8"/>
  <c r="AC95" i="25"/>
  <c r="AD232" i="7"/>
  <c r="AD233" i="7" s="1"/>
  <c r="E228" i="2"/>
  <c r="AD933" i="7"/>
  <c r="AD936" i="7" s="1"/>
  <c r="AC938" i="7"/>
  <c r="AC937" i="7"/>
  <c r="AD265" i="7"/>
  <c r="AD266" i="7"/>
  <c r="AV154" i="2"/>
  <c r="AV252" i="2"/>
  <c r="H545" i="20"/>
  <c r="Y545" i="20" s="1"/>
  <c r="I545" i="20"/>
  <c r="Z545" i="20" s="1"/>
  <c r="E178" i="2"/>
  <c r="AC54" i="25"/>
  <c r="AC53" i="8"/>
  <c r="AC571" i="7" s="1"/>
  <c r="AC572" i="7" s="1"/>
  <c r="AC11" i="8"/>
  <c r="AN36" i="8"/>
  <c r="AC64" i="8"/>
  <c r="AC39" i="8" s="1"/>
  <c r="W309" i="23"/>
  <c r="AT94" i="11"/>
  <c r="M341" i="23"/>
  <c r="BI108" i="11"/>
  <c r="BH110" i="11"/>
  <c r="BD109" i="11"/>
  <c r="BW110" i="11"/>
  <c r="BX109" i="11"/>
  <c r="CR109" i="11"/>
  <c r="DL109" i="11"/>
  <c r="O938" i="7"/>
  <c r="P232" i="7"/>
  <c r="P233" i="7" s="1"/>
  <c r="O95" i="25"/>
  <c r="O937" i="7"/>
  <c r="P266" i="7"/>
  <c r="P933" i="7"/>
  <c r="P935" i="7" s="1"/>
  <c r="P943" i="7" s="1"/>
  <c r="P265" i="7"/>
  <c r="AG36" i="8"/>
  <c r="V53" i="8"/>
  <c r="V571" i="7" s="1"/>
  <c r="V572" i="7" s="1"/>
  <c r="V11" i="8"/>
  <c r="V37" i="8" s="1"/>
  <c r="V64" i="8"/>
  <c r="V40" i="8"/>
  <c r="V54" i="25"/>
  <c r="Y64" i="8"/>
  <c r="Y10" i="8"/>
  <c r="Y2" i="8"/>
  <c r="Y41" i="8"/>
  <c r="Y42" i="8"/>
  <c r="CM94" i="11"/>
  <c r="CC109" i="11"/>
  <c r="K64" i="8"/>
  <c r="W37" i="8"/>
  <c r="AH36" i="8"/>
  <c r="AB41" i="25"/>
  <c r="AB382" i="23"/>
  <c r="DK40" i="11"/>
  <c r="DJ40" i="11" s="1"/>
  <c r="D154" i="2"/>
  <c r="F37" i="20" s="1"/>
  <c r="W37" i="20" s="1"/>
  <c r="AV249" i="2"/>
  <c r="H541" i="20"/>
  <c r="Y541" i="20" s="1"/>
  <c r="I541" i="20"/>
  <c r="Z541" i="20" s="1"/>
  <c r="U309" i="23"/>
  <c r="BI94" i="11"/>
  <c r="BD94" i="11"/>
  <c r="BX108" i="11"/>
  <c r="BR110" i="11"/>
  <c r="BS108" i="11"/>
  <c r="O37" i="8"/>
  <c r="O42" i="8"/>
  <c r="O10" i="8"/>
  <c r="O41" i="8"/>
  <c r="O2" i="8"/>
  <c r="DP110" i="11"/>
  <c r="DP125" i="11" s="1"/>
  <c r="DP126" i="11" s="1"/>
  <c r="DQ108" i="11"/>
  <c r="CG95" i="11"/>
  <c r="CG121" i="11" s="1"/>
  <c r="CG122" i="11" s="1"/>
  <c r="CH93" i="11"/>
  <c r="R938" i="7"/>
  <c r="R95" i="25"/>
  <c r="S266" i="7"/>
  <c r="R937" i="7"/>
  <c r="S265" i="7"/>
  <c r="S232" i="7"/>
  <c r="S233" i="7" s="1"/>
  <c r="S933" i="7"/>
  <c r="S935" i="7" s="1"/>
  <c r="S943" i="7" s="1"/>
  <c r="AA64" i="8"/>
  <c r="AA10" i="8"/>
  <c r="AA42" i="8"/>
  <c r="AA41" i="8"/>
  <c r="AA2" i="8"/>
  <c r="AO93" i="11"/>
  <c r="AI95" i="11"/>
  <c r="AI121" i="11" s="1"/>
  <c r="AI122" i="11" s="1"/>
  <c r="Q232" i="7"/>
  <c r="Q233" i="7" s="1"/>
  <c r="P95" i="25"/>
  <c r="Q266" i="7"/>
  <c r="Q933" i="7"/>
  <c r="Q935" i="7" s="1"/>
  <c r="Q943" i="7" s="1"/>
  <c r="P938" i="7"/>
  <c r="P937" i="7"/>
  <c r="Q265" i="7"/>
  <c r="N54" i="25"/>
  <c r="N11" i="8"/>
  <c r="O22" i="8" s="1"/>
  <c r="N53" i="8"/>
  <c r="N571" i="7" s="1"/>
  <c r="N572" i="7" s="1"/>
  <c r="N40" i="8"/>
  <c r="N64" i="8"/>
  <c r="AC232" i="7"/>
  <c r="AC233" i="7" s="1"/>
  <c r="AB95" i="25"/>
  <c r="AB938" i="7"/>
  <c r="D228" i="2"/>
  <c r="AC933" i="7"/>
  <c r="AC935" i="7" s="1"/>
  <c r="AC943" i="7" s="1"/>
  <c r="AB937" i="7"/>
  <c r="AC265" i="7"/>
  <c r="AC266" i="7"/>
  <c r="Q309" i="23"/>
  <c r="O341" i="23"/>
  <c r="I37" i="8"/>
  <c r="AD117" i="25"/>
  <c r="AE335" i="23"/>
  <c r="F252" i="2"/>
  <c r="S309" i="23"/>
  <c r="DB94" i="11"/>
  <c r="CV110" i="11"/>
  <c r="CV111" i="11" s="1"/>
  <c r="CW108" i="11"/>
  <c r="K95" i="25"/>
  <c r="L933" i="7"/>
  <c r="L935" i="7" s="1"/>
  <c r="L943" i="7" s="1"/>
  <c r="L232" i="7"/>
  <c r="L233" i="7" s="1"/>
  <c r="L266" i="7"/>
  <c r="K938" i="7"/>
  <c r="K937" i="7"/>
  <c r="L265" i="7"/>
  <c r="G40" i="8"/>
  <c r="G11" i="8"/>
  <c r="G37" i="8" s="1"/>
  <c r="M40" i="8"/>
  <c r="M64" i="8"/>
  <c r="M54" i="25"/>
  <c r="M53" i="8"/>
  <c r="M571" i="7" s="1"/>
  <c r="M572" i="7" s="1"/>
  <c r="M11" i="8"/>
  <c r="S37" i="8"/>
  <c r="S53" i="8"/>
  <c r="S571" i="7" s="1"/>
  <c r="S572" i="7" s="1"/>
  <c r="Y53" i="8"/>
  <c r="Y571" i="7" s="1"/>
  <c r="Y572" i="7" s="1"/>
  <c r="AC309" i="23"/>
  <c r="F547" i="20"/>
  <c r="W547" i="20" s="1"/>
  <c r="F542" i="20"/>
  <c r="W542" i="20" s="1"/>
  <c r="AU247" i="2"/>
  <c r="G542" i="20"/>
  <c r="X542" i="20" s="1"/>
  <c r="F540" i="20"/>
  <c r="W540" i="20" s="1"/>
  <c r="G540" i="20"/>
  <c r="X540" i="20" s="1"/>
  <c r="E540" i="20"/>
  <c r="V540" i="20" s="1"/>
  <c r="BM110" i="11"/>
  <c r="BN108" i="11"/>
  <c r="K2" i="8"/>
  <c r="K42" i="8"/>
  <c r="K10" i="8"/>
  <c r="K41" i="8"/>
  <c r="W53" i="8"/>
  <c r="W571" i="7" s="1"/>
  <c r="W572" i="7" s="1"/>
  <c r="DQ94" i="11"/>
  <c r="DL94" i="11"/>
  <c r="CH109" i="11"/>
  <c r="V933" i="7"/>
  <c r="V935" i="7" s="1"/>
  <c r="V943" i="7" s="1"/>
  <c r="U95" i="25"/>
  <c r="V232" i="7"/>
  <c r="V233" i="7" s="1"/>
  <c r="U937" i="7"/>
  <c r="U938" i="7"/>
  <c r="V266" i="7"/>
  <c r="V265" i="7"/>
  <c r="N37" i="8" l="1"/>
  <c r="O944" i="7"/>
  <c r="AA944" i="7"/>
  <c r="AA941" i="7" s="1"/>
  <c r="U944" i="7"/>
  <c r="U941" i="7" s="1"/>
  <c r="Y17" i="8"/>
  <c r="J37" i="8"/>
  <c r="DG95" i="11"/>
  <c r="AJ25" i="8"/>
  <c r="I944" i="7"/>
  <c r="I941" i="7" s="1"/>
  <c r="Y22" i="8"/>
  <c r="DB95" i="11"/>
  <c r="DA121" i="11"/>
  <c r="DA122" i="11" s="1"/>
  <c r="Z935" i="7"/>
  <c r="Z943" i="7" s="1"/>
  <c r="AM943" i="7" s="1"/>
  <c r="K17" i="8"/>
  <c r="R944" i="7"/>
  <c r="R941" i="7" s="1"/>
  <c r="AB944" i="7"/>
  <c r="AB941" i="7" s="1"/>
  <c r="P944" i="7"/>
  <c r="P941" i="7" s="1"/>
  <c r="AA22" i="8"/>
  <c r="Z37" i="8"/>
  <c r="AA17" i="8"/>
  <c r="BI110" i="11"/>
  <c r="BX95" i="11"/>
  <c r="BH96" i="11"/>
  <c r="BM97" i="11" s="1"/>
  <c r="CQ111" i="11"/>
  <c r="BI95" i="11"/>
  <c r="DA111" i="11"/>
  <c r="DF112" i="11" s="1"/>
  <c r="AO110" i="11"/>
  <c r="AY110" i="11"/>
  <c r="BH111" i="11"/>
  <c r="DK112" i="11"/>
  <c r="G311" i="20"/>
  <c r="X311" i="20" s="1"/>
  <c r="AV178" i="2"/>
  <c r="H311" i="20"/>
  <c r="Y311" i="20" s="1"/>
  <c r="G305" i="20"/>
  <c r="X305" i="20" s="1"/>
  <c r="G312" i="20"/>
  <c r="X312" i="20" s="1"/>
  <c r="H305" i="20"/>
  <c r="Y305" i="20" s="1"/>
  <c r="G306" i="20"/>
  <c r="X306" i="20" s="1"/>
  <c r="AC944" i="7"/>
  <c r="AC941" i="7" s="1"/>
  <c r="Q944" i="7"/>
  <c r="Q941" i="7" s="1"/>
  <c r="CQ96" i="11"/>
  <c r="CR95" i="11"/>
  <c r="L17" i="8"/>
  <c r="L10" i="8"/>
  <c r="L42" i="8"/>
  <c r="L41" i="8"/>
  <c r="L22" i="8"/>
  <c r="L2" i="8"/>
  <c r="DQ95" i="11"/>
  <c r="DU95" i="11"/>
  <c r="DU96" i="11" s="1"/>
  <c r="DU97" i="11" s="1"/>
  <c r="AB10" i="8"/>
  <c r="AB41" i="8"/>
  <c r="AB42" i="8"/>
  <c r="AB22" i="8"/>
  <c r="AB17" i="8"/>
  <c r="AB2" i="8"/>
  <c r="AM25" i="8"/>
  <c r="R22" i="8"/>
  <c r="R41" i="8"/>
  <c r="R2" i="8"/>
  <c r="R17" i="8"/>
  <c r="R10" i="8"/>
  <c r="R42" i="8"/>
  <c r="S65" i="8" s="1"/>
  <c r="DP97" i="11"/>
  <c r="M22" i="8"/>
  <c r="M41" i="8"/>
  <c r="M10" i="8"/>
  <c r="M17" i="8"/>
  <c r="M2" i="8"/>
  <c r="M42" i="8"/>
  <c r="AE117" i="25"/>
  <c r="G252" i="2"/>
  <c r="V22" i="8"/>
  <c r="V17" i="8"/>
  <c r="V42" i="8"/>
  <c r="W54" i="8" s="1"/>
  <c r="AG25" i="8"/>
  <c r="V41" i="8"/>
  <c r="V2" i="8"/>
  <c r="V10" i="8"/>
  <c r="H441" i="20"/>
  <c r="Y441" i="20" s="1"/>
  <c r="F45" i="20"/>
  <c r="W45" i="20" s="1"/>
  <c r="AV228" i="2"/>
  <c r="I441" i="20"/>
  <c r="Z441" i="20" s="1"/>
  <c r="BW121" i="11"/>
  <c r="BW122" i="11" s="1"/>
  <c r="J41" i="8"/>
  <c r="J10" i="8"/>
  <c r="J42" i="8"/>
  <c r="K54" i="8" s="1"/>
  <c r="J17" i="8"/>
  <c r="J2" i="8"/>
  <c r="J22" i="8"/>
  <c r="BR96" i="11"/>
  <c r="BR97" i="11" s="1"/>
  <c r="BS95" i="11"/>
  <c r="BW96" i="11"/>
  <c r="H37" i="8"/>
  <c r="CQ121" i="11"/>
  <c r="CQ122" i="11" s="1"/>
  <c r="CR110" i="11"/>
  <c r="BC111" i="11"/>
  <c r="BD110" i="11"/>
  <c r="W17" i="8"/>
  <c r="T944" i="7"/>
  <c r="T941" i="7" s="1"/>
  <c r="CB111" i="11"/>
  <c r="CC110" i="11"/>
  <c r="AM571" i="7"/>
  <c r="Z572" i="7"/>
  <c r="AM572" i="7" s="1"/>
  <c r="CG111" i="11"/>
  <c r="CH110" i="11"/>
  <c r="R37" i="8"/>
  <c r="AS121" i="11"/>
  <c r="AS122" i="11" s="1"/>
  <c r="AT95" i="11"/>
  <c r="BW125" i="11"/>
  <c r="BW126" i="11" s="1"/>
  <c r="BX110" i="11"/>
  <c r="CL111" i="11"/>
  <c r="CM110" i="11"/>
  <c r="DK125" i="11"/>
  <c r="DK126" i="11" s="1"/>
  <c r="DL110" i="11"/>
  <c r="AW249" i="2"/>
  <c r="J541" i="20"/>
  <c r="AA541" i="20" s="1"/>
  <c r="K541" i="20"/>
  <c r="AB541" i="20" s="1"/>
  <c r="P41" i="8"/>
  <c r="P10" i="8"/>
  <c r="P42" i="8"/>
  <c r="P17" i="8"/>
  <c r="P22" i="8"/>
  <c r="P2" i="8"/>
  <c r="H10" i="8"/>
  <c r="H2" i="8"/>
  <c r="H41" i="8"/>
  <c r="H22" i="8"/>
  <c r="H17" i="8"/>
  <c r="H42" i="8"/>
  <c r="I54" i="8" s="1"/>
  <c r="J944" i="7"/>
  <c r="J941" i="7" s="1"/>
  <c r="BM111" i="11"/>
  <c r="BN110" i="11"/>
  <c r="K944" i="7"/>
  <c r="K941" i="7" s="1"/>
  <c r="E45" i="20"/>
  <c r="V45" i="20" s="1"/>
  <c r="G441" i="20"/>
  <c r="X441" i="20" s="1"/>
  <c r="AU228" i="2"/>
  <c r="F441" i="20"/>
  <c r="W441" i="20" s="1"/>
  <c r="O941" i="7"/>
  <c r="BW111" i="11"/>
  <c r="AC40" i="8"/>
  <c r="AC41" i="8"/>
  <c r="T17" i="8"/>
  <c r="T2" i="8"/>
  <c r="T42" i="8"/>
  <c r="T22" i="8"/>
  <c r="T41" i="8"/>
  <c r="T10" i="8"/>
  <c r="U17" i="8"/>
  <c r="U42" i="8"/>
  <c r="U22" i="8"/>
  <c r="U2" i="8"/>
  <c r="U41" i="8"/>
  <c r="U10" i="8"/>
  <c r="V944" i="7"/>
  <c r="V941" i="7" s="1"/>
  <c r="AE114" i="25"/>
  <c r="G249" i="2"/>
  <c r="AE89" i="8"/>
  <c r="AD93" i="8"/>
  <c r="F185" i="2"/>
  <c r="AW185" i="2" s="1"/>
  <c r="AD57" i="25"/>
  <c r="P37" i="8"/>
  <c r="S944" i="7"/>
  <c r="S941" i="7" s="1"/>
  <c r="DF121" i="11"/>
  <c r="DF122" i="11" s="1"/>
  <c r="AN121" i="11"/>
  <c r="AN122" i="11" s="1"/>
  <c r="AO95" i="11"/>
  <c r="BC96" i="11"/>
  <c r="BD95" i="11"/>
  <c r="L37" i="8"/>
  <c r="W22" i="8"/>
  <c r="DB110" i="11"/>
  <c r="DP121" i="11"/>
  <c r="DP122" i="11" s="1"/>
  <c r="S22" i="8"/>
  <c r="AX121" i="11"/>
  <c r="AX122" i="11" s="1"/>
  <c r="AY95" i="11"/>
  <c r="I22" i="8"/>
  <c r="Z233" i="7"/>
  <c r="AM233" i="7" s="1"/>
  <c r="AM232" i="7"/>
  <c r="CV121" i="11"/>
  <c r="CV122" i="11" s="1"/>
  <c r="AT110" i="11"/>
  <c r="X2" i="8"/>
  <c r="X42" i="8"/>
  <c r="Y65" i="8" s="1"/>
  <c r="AI25" i="8"/>
  <c r="X22" i="8"/>
  <c r="X41" i="8"/>
  <c r="X17" i="8"/>
  <c r="X10" i="8"/>
  <c r="N42" i="8"/>
  <c r="O54" i="8" s="1"/>
  <c r="N10" i="8"/>
  <c r="N2" i="8"/>
  <c r="N22" i="8"/>
  <c r="N41" i="8"/>
  <c r="N17" i="8"/>
  <c r="DQ110" i="11"/>
  <c r="DU110" i="11"/>
  <c r="O17" i="8"/>
  <c r="CB96" i="11"/>
  <c r="CC95" i="11"/>
  <c r="DF96" i="11"/>
  <c r="DF97" i="11" s="1"/>
  <c r="M37" i="8"/>
  <c r="G42" i="8"/>
  <c r="G41" i="8"/>
  <c r="G2" i="8"/>
  <c r="G10" i="8"/>
  <c r="CV125" i="11"/>
  <c r="CV126" i="11" s="1"/>
  <c r="CW110" i="11"/>
  <c r="J545" i="20"/>
  <c r="AA545" i="20" s="1"/>
  <c r="AW252" i="2"/>
  <c r="K545" i="20"/>
  <c r="AB545" i="20" s="1"/>
  <c r="CG96" i="11"/>
  <c r="CH95" i="11"/>
  <c r="BR111" i="11"/>
  <c r="BS110" i="11"/>
  <c r="E242" i="20"/>
  <c r="V242" i="20" s="1"/>
  <c r="E37" i="20"/>
  <c r="V37" i="20" s="1"/>
  <c r="AU154" i="2"/>
  <c r="AC37" i="8"/>
  <c r="AC42" i="8"/>
  <c r="AN25" i="8"/>
  <c r="AC2" i="8"/>
  <c r="AD11" i="8"/>
  <c r="AC17" i="8"/>
  <c r="AC22" i="8"/>
  <c r="AC10" i="8"/>
  <c r="F242" i="20"/>
  <c r="W242" i="20" s="1"/>
  <c r="AE933" i="7"/>
  <c r="AE936" i="7" s="1"/>
  <c r="AD95" i="25"/>
  <c r="AE265" i="7"/>
  <c r="AE232" i="7"/>
  <c r="AE233" i="7" s="1"/>
  <c r="AD937" i="7"/>
  <c r="F228" i="2"/>
  <c r="AD938" i="7"/>
  <c r="AD944" i="7" s="1"/>
  <c r="AD941" i="7" s="1"/>
  <c r="AE266" i="7"/>
  <c r="DF125" i="11"/>
  <c r="DF126" i="11" s="1"/>
  <c r="DG110" i="11"/>
  <c r="L944" i="7"/>
  <c r="L941" i="7" s="1"/>
  <c r="BM121" i="11"/>
  <c r="BM122" i="11" s="1"/>
  <c r="BN95" i="11"/>
  <c r="DP111" i="11"/>
  <c r="DP112" i="11" s="1"/>
  <c r="AM938" i="7"/>
  <c r="Z944" i="7"/>
  <c r="M944" i="7"/>
  <c r="M941" i="7" s="1"/>
  <c r="DZ94" i="11"/>
  <c r="AH25" i="8"/>
  <c r="DK121" i="11"/>
  <c r="DK122" i="11" s="1"/>
  <c r="DL95" i="11"/>
  <c r="X944" i="7"/>
  <c r="X941" i="7" s="1"/>
  <c r="W944" i="7"/>
  <c r="W941" i="7" s="1"/>
  <c r="CL96" i="11"/>
  <c r="CM95" i="11"/>
  <c r="DO40" i="11"/>
  <c r="Z10" i="8"/>
  <c r="AK25" i="8"/>
  <c r="Z42" i="8"/>
  <c r="AA54" i="8" s="1"/>
  <c r="Z22" i="8"/>
  <c r="Z2" i="8"/>
  <c r="Z17" i="8"/>
  <c r="Z41" i="8"/>
  <c r="Y944" i="7"/>
  <c r="Y941" i="7" s="1"/>
  <c r="CV96" i="11"/>
  <c r="CW95" i="11"/>
  <c r="AB37" i="8"/>
  <c r="E311" i="20"/>
  <c r="V311" i="20" s="1"/>
  <c r="F305" i="20"/>
  <c r="W305" i="20" s="1"/>
  <c r="E312" i="20"/>
  <c r="V312" i="20" s="1"/>
  <c r="E305" i="20"/>
  <c r="V305" i="20" s="1"/>
  <c r="AU178" i="2"/>
  <c r="F311" i="20"/>
  <c r="W311" i="20" s="1"/>
  <c r="E306" i="20"/>
  <c r="V306" i="20" s="1"/>
  <c r="Q22" i="8"/>
  <c r="N944" i="7"/>
  <c r="N941" i="7" s="1"/>
  <c r="W65" i="8" l="1"/>
  <c r="AM935" i="7"/>
  <c r="Y54" i="8"/>
  <c r="O65" i="8"/>
  <c r="AC38" i="8"/>
  <c r="BH97" i="11"/>
  <c r="CQ112" i="11"/>
  <c r="CL97" i="11"/>
  <c r="CV112" i="11"/>
  <c r="BR112" i="11"/>
  <c r="CG112" i="11"/>
  <c r="DA112" i="11"/>
  <c r="CV97" i="11"/>
  <c r="BH112" i="11"/>
  <c r="BM112" i="11"/>
  <c r="DK97" i="11"/>
  <c r="P65" i="8"/>
  <c r="P54" i="8"/>
  <c r="N54" i="8"/>
  <c r="M65" i="8"/>
  <c r="M54" i="8"/>
  <c r="R54" i="8"/>
  <c r="R65" i="8"/>
  <c r="AC54" i="8"/>
  <c r="AB65" i="8"/>
  <c r="AB54" i="8"/>
  <c r="AM944" i="7"/>
  <c r="Z941" i="7"/>
  <c r="AM941" i="7" s="1"/>
  <c r="AC65" i="8"/>
  <c r="DU111" i="11"/>
  <c r="DU112" i="11" s="1"/>
  <c r="DZ110" i="11"/>
  <c r="DU108" i="11"/>
  <c r="AE57" i="25"/>
  <c r="G185" i="2"/>
  <c r="AX185" i="2" s="1"/>
  <c r="AE93" i="8"/>
  <c r="M541" i="20"/>
  <c r="AD541" i="20" s="1"/>
  <c r="L541" i="20"/>
  <c r="AC541" i="20" s="1"/>
  <c r="AX249" i="2"/>
  <c r="BW112" i="11"/>
  <c r="CB112" i="11"/>
  <c r="V54" i="8"/>
  <c r="V65" i="8"/>
  <c r="DA97" i="11"/>
  <c r="Q65" i="8"/>
  <c r="L65" i="8"/>
  <c r="L54" i="8"/>
  <c r="CQ97" i="11"/>
  <c r="Z65" i="8"/>
  <c r="Z54" i="8"/>
  <c r="AW228" i="2"/>
  <c r="K441" i="20"/>
  <c r="AB441" i="20" s="1"/>
  <c r="G45" i="20"/>
  <c r="X45" i="20" s="1"/>
  <c r="J441" i="20"/>
  <c r="AA441" i="20" s="1"/>
  <c r="AD42" i="8"/>
  <c r="AO25" i="8"/>
  <c r="AE11" i="8"/>
  <c r="AD22" i="8"/>
  <c r="AD2" i="8"/>
  <c r="AD10" i="8"/>
  <c r="AD36" i="8"/>
  <c r="CG97" i="11"/>
  <c r="AA65" i="8"/>
  <c r="N65" i="8"/>
  <c r="H54" i="8"/>
  <c r="H65" i="8"/>
  <c r="J54" i="8"/>
  <c r="J65" i="8"/>
  <c r="K65" i="8"/>
  <c r="Q54" i="8"/>
  <c r="I65" i="8"/>
  <c r="AE937" i="7"/>
  <c r="AE95" i="25"/>
  <c r="G228" i="2"/>
  <c r="AE938" i="7"/>
  <c r="AE944" i="7" s="1"/>
  <c r="AE941" i="7" s="1"/>
  <c r="L545" i="20"/>
  <c r="AC545" i="20" s="1"/>
  <c r="M545" i="20"/>
  <c r="AD545" i="20" s="1"/>
  <c r="AX252" i="2"/>
  <c r="X54" i="8"/>
  <c r="X65" i="8"/>
  <c r="U54" i="8"/>
  <c r="U65" i="8"/>
  <c r="T54" i="8"/>
  <c r="T65" i="8"/>
  <c r="CL112" i="11"/>
  <c r="S54" i="8"/>
  <c r="CB97" i="11"/>
  <c r="BW97" i="11"/>
  <c r="DU93" i="11"/>
  <c r="DZ95" i="11"/>
  <c r="DU121" i="11" l="1"/>
  <c r="DU122" i="11" s="1"/>
  <c r="DV93" i="11"/>
  <c r="AD307" i="23" s="1"/>
  <c r="AD302" i="23" s="1"/>
  <c r="H45" i="20"/>
  <c r="Y45" i="20" s="1"/>
  <c r="L441" i="20"/>
  <c r="AC441" i="20" s="1"/>
  <c r="AX228" i="2"/>
  <c r="M441" i="20"/>
  <c r="AD441" i="20" s="1"/>
  <c r="DZ96" i="11"/>
  <c r="DZ97" i="11" s="1"/>
  <c r="DZ93" i="11"/>
  <c r="F178" i="2"/>
  <c r="AD64" i="8"/>
  <c r="AD39" i="8" s="1"/>
  <c r="AD54" i="25"/>
  <c r="AD37" i="8"/>
  <c r="AD38" i="8" s="1"/>
  <c r="AD53" i="8"/>
  <c r="AD571" i="7" s="1"/>
  <c r="AD572" i="7" s="1"/>
  <c r="AO36" i="8"/>
  <c r="AP25" i="8"/>
  <c r="AE42" i="8"/>
  <c r="AE22" i="8"/>
  <c r="AE2" i="8"/>
  <c r="AE10" i="8"/>
  <c r="AE36" i="8"/>
  <c r="DU125" i="11"/>
  <c r="DU126" i="11" s="1"/>
  <c r="DV108" i="11"/>
  <c r="AD339" i="23" s="1"/>
  <c r="AD334" i="23" s="1"/>
  <c r="DZ111" i="11"/>
  <c r="DZ112" i="11" s="1"/>
  <c r="DZ108" i="11"/>
  <c r="AD54" i="8"/>
  <c r="AD65" i="8"/>
  <c r="AE37" i="8" l="1"/>
  <c r="AE38" i="8" s="1"/>
  <c r="AE53" i="8"/>
  <c r="AE571" i="7" s="1"/>
  <c r="AE572" i="7" s="1"/>
  <c r="AE54" i="25"/>
  <c r="AP36" i="8"/>
  <c r="G178" i="2"/>
  <c r="AE64" i="8"/>
  <c r="AE39" i="8" s="1"/>
  <c r="AE65" i="8"/>
  <c r="AE54" i="8"/>
  <c r="EA108" i="11"/>
  <c r="AE339" i="23" s="1"/>
  <c r="AE334" i="23" s="1"/>
  <c r="DZ125" i="11"/>
  <c r="DZ126" i="11" s="1"/>
  <c r="AD115" i="25"/>
  <c r="F250" i="2"/>
  <c r="AD41" i="8"/>
  <c r="AD40" i="8"/>
  <c r="F247" i="2"/>
  <c r="AD112" i="25"/>
  <c r="AD304" i="23"/>
  <c r="J311" i="20"/>
  <c r="AA311" i="20" s="1"/>
  <c r="I311" i="20"/>
  <c r="Z311" i="20" s="1"/>
  <c r="I305" i="20"/>
  <c r="Z305" i="20" s="1"/>
  <c r="J305" i="20"/>
  <c r="AA305" i="20" s="1"/>
  <c r="AW178" i="2"/>
  <c r="I312" i="20"/>
  <c r="Z312" i="20" s="1"/>
  <c r="I306" i="20"/>
  <c r="Z306" i="20" s="1"/>
  <c r="EA93" i="11"/>
  <c r="AE307" i="23" s="1"/>
  <c r="AE302" i="23" s="1"/>
  <c r="DZ121" i="11"/>
  <c r="DZ122" i="11" s="1"/>
  <c r="AE304" i="23" l="1"/>
  <c r="AE112" i="25"/>
  <c r="G247" i="2"/>
  <c r="AW247" i="2"/>
  <c r="K540" i="20"/>
  <c r="AB540" i="20" s="1"/>
  <c r="K542" i="20"/>
  <c r="AB542" i="20" s="1"/>
  <c r="J540" i="20"/>
  <c r="AA540" i="20" s="1"/>
  <c r="J542" i="20"/>
  <c r="AA542" i="20" s="1"/>
  <c r="J547" i="20"/>
  <c r="AA547" i="20" s="1"/>
  <c r="K546" i="20"/>
  <c r="AB546" i="20" s="1"/>
  <c r="K544" i="20"/>
  <c r="AB544" i="20" s="1"/>
  <c r="J544" i="20"/>
  <c r="AA544" i="20" s="1"/>
  <c r="J546" i="20"/>
  <c r="AA546" i="20" s="1"/>
  <c r="AW250" i="2"/>
  <c r="L311" i="20"/>
  <c r="AC311" i="20" s="1"/>
  <c r="K312" i="20"/>
  <c r="AB312" i="20" s="1"/>
  <c r="L305" i="20"/>
  <c r="AC305" i="20" s="1"/>
  <c r="K311" i="20"/>
  <c r="AB311" i="20" s="1"/>
  <c r="K306" i="20"/>
  <c r="AB306" i="20" s="1"/>
  <c r="AX178" i="2"/>
  <c r="K305" i="20"/>
  <c r="AB305" i="20" s="1"/>
  <c r="AE115" i="25"/>
  <c r="G250" i="2"/>
  <c r="AE40" i="8"/>
  <c r="AE41" i="8"/>
  <c r="M544" i="20" l="1"/>
  <c r="AD544" i="20" s="1"/>
  <c r="M546" i="20"/>
  <c r="AD546" i="20" s="1"/>
  <c r="L546" i="20"/>
  <c r="AC546" i="20" s="1"/>
  <c r="AX250" i="2"/>
  <c r="L544" i="20"/>
  <c r="AC544" i="20" s="1"/>
  <c r="M540" i="20"/>
  <c r="AD540" i="20" s="1"/>
  <c r="M542" i="20"/>
  <c r="AD542" i="20" s="1"/>
  <c r="L540" i="20"/>
  <c r="AC540" i="20" s="1"/>
  <c r="AX247" i="2"/>
  <c r="L547" i="20"/>
  <c r="AC547" i="20" s="1"/>
  <c r="L542" i="20"/>
  <c r="AC542" i="20" s="1"/>
  <c r="AB157" i="25" l="1"/>
  <c r="AB152" i="25" l="1"/>
  <c r="AB156" i="25"/>
  <c r="AB151" i="25"/>
  <c r="AB155" i="25"/>
  <c r="AB153" i="25" l="1"/>
  <c r="AB148" i="25"/>
  <c r="AB150" i="25"/>
  <c r="AB149" i="25" l="1"/>
  <c r="AB154" i="25"/>
  <c r="J156" i="25" l="1"/>
  <c r="J155" i="25" l="1"/>
  <c r="J157" i="25"/>
  <c r="J149" i="25" l="1"/>
  <c r="J150" i="25"/>
  <c r="J154" i="25" l="1"/>
  <c r="K156" i="25" l="1"/>
  <c r="K157" i="25" l="1"/>
  <c r="K155" i="25" l="1"/>
  <c r="K160" i="25"/>
  <c r="K151" i="25"/>
  <c r="K158" i="25" l="1"/>
  <c r="K159" i="25"/>
  <c r="K150" i="25"/>
  <c r="K140" i="25" l="1"/>
  <c r="K138" i="25"/>
  <c r="K149" i="25"/>
  <c r="K139" i="25"/>
  <c r="L156" i="25" l="1"/>
  <c r="L157" i="25" l="1"/>
  <c r="L159" i="25" l="1"/>
  <c r="L155" i="25"/>
  <c r="L158" i="25"/>
  <c r="L151" i="25"/>
  <c r="L160" i="25" l="1"/>
  <c r="L140" i="25"/>
  <c r="L138" i="25"/>
  <c r="L150" i="25"/>
  <c r="L149" i="25" l="1"/>
  <c r="L139" i="25"/>
  <c r="M156" i="25" l="1"/>
  <c r="M157" i="25" l="1"/>
  <c r="M148" i="25"/>
  <c r="M155" i="25" l="1"/>
  <c r="M158" i="25"/>
  <c r="M151" i="25"/>
  <c r="M159" i="25"/>
  <c r="M160" i="25"/>
  <c r="M138" i="25" l="1"/>
  <c r="M150" i="25"/>
  <c r="M140" i="25" l="1"/>
  <c r="M149" i="25"/>
  <c r="M139" i="25" l="1"/>
  <c r="N156" i="25" l="1"/>
  <c r="N157" i="25" l="1"/>
  <c r="N148" i="25"/>
  <c r="N159" i="25" l="1"/>
  <c r="N155" i="25"/>
  <c r="N151" i="25"/>
  <c r="N160" i="25"/>
  <c r="N158" i="25"/>
  <c r="N138" i="25" l="1"/>
  <c r="N150" i="25"/>
  <c r="N140" i="25" l="1"/>
  <c r="N149" i="25"/>
  <c r="N139" i="25"/>
  <c r="O156" i="25" l="1"/>
  <c r="O148" i="25"/>
  <c r="O159" i="25" l="1"/>
  <c r="O157" i="25"/>
  <c r="O155" i="25"/>
  <c r="O158" i="25"/>
  <c r="O160" i="25"/>
  <c r="O151" i="25" l="1"/>
  <c r="O138" i="25"/>
  <c r="O150" i="25"/>
  <c r="O140" i="25" l="1"/>
  <c r="O149" i="25"/>
  <c r="O139" i="25" l="1"/>
  <c r="P148" i="25" l="1"/>
  <c r="P157" i="25"/>
  <c r="P156" i="25"/>
  <c r="P159" i="25" l="1"/>
  <c r="P155" i="25"/>
  <c r="P158" i="25"/>
  <c r="P151" i="25"/>
  <c r="P160" i="25"/>
  <c r="P150" i="25" l="1"/>
  <c r="P138" i="25" l="1"/>
  <c r="P149" i="25"/>
  <c r="P140" i="25" l="1"/>
  <c r="P139" i="25"/>
  <c r="Q148" i="25" l="1"/>
  <c r="Q156" i="25"/>
  <c r="Q155" i="25" l="1"/>
  <c r="Q160" i="25"/>
  <c r="Q159" i="25"/>
  <c r="Q158" i="25"/>
  <c r="Q157" i="25"/>
  <c r="Q151" i="25"/>
  <c r="Q150" i="25" l="1"/>
  <c r="Q138" i="25" l="1"/>
  <c r="Q149" i="25"/>
  <c r="Q140" i="25" l="1"/>
  <c r="Q139" i="25"/>
  <c r="R148" i="25" l="1"/>
  <c r="R156" i="25"/>
  <c r="R160" i="25" l="1"/>
  <c r="R159" i="25"/>
  <c r="R151" i="25"/>
  <c r="R155" i="25"/>
  <c r="R158" i="25"/>
  <c r="R157" i="25"/>
  <c r="R138" i="25" l="1"/>
  <c r="R150" i="25"/>
  <c r="R149" i="25" l="1"/>
  <c r="R140" i="25" l="1"/>
  <c r="R139" i="25"/>
  <c r="S148" i="25" l="1"/>
  <c r="S151" i="25"/>
  <c r="S156" i="25"/>
  <c r="S160" i="25" l="1"/>
  <c r="S155" i="25"/>
  <c r="S159" i="25"/>
  <c r="S158" i="25"/>
  <c r="S157" i="25"/>
  <c r="S150" i="25" l="1"/>
  <c r="S138" i="25" l="1"/>
  <c r="S149" i="25"/>
  <c r="S140" i="25" l="1"/>
  <c r="S139" i="25"/>
  <c r="T148" i="25" l="1"/>
  <c r="T156" i="25"/>
  <c r="T155" i="25" l="1"/>
  <c r="T158" i="25"/>
  <c r="T151" i="25"/>
  <c r="T160" i="25"/>
  <c r="T159" i="25"/>
  <c r="T157" i="25"/>
  <c r="T138" i="25" l="1"/>
  <c r="T150" i="25"/>
  <c r="T149" i="25" l="1"/>
  <c r="T139" i="25"/>
  <c r="T140" i="25" l="1"/>
  <c r="U148" i="25" l="1"/>
  <c r="U157" i="25"/>
  <c r="U156" i="25"/>
  <c r="U155" i="25" l="1"/>
  <c r="U151" i="25"/>
  <c r="U159" i="25"/>
  <c r="U158" i="25"/>
  <c r="U160" i="25"/>
  <c r="U150" i="25" l="1"/>
  <c r="U138" i="25" l="1"/>
  <c r="U149" i="25"/>
  <c r="U140" i="25" l="1"/>
  <c r="U139" i="25"/>
  <c r="V148" i="25" l="1"/>
  <c r="V156" i="25"/>
  <c r="V160" i="25" l="1"/>
  <c r="V155" i="25"/>
  <c r="V151" i="25"/>
  <c r="V158" i="25"/>
  <c r="V159" i="25"/>
  <c r="V157" i="25"/>
  <c r="V150" i="25" l="1"/>
  <c r="V138" i="25" l="1"/>
  <c r="V149" i="25"/>
  <c r="V140" i="25" l="1"/>
  <c r="V139" i="25"/>
  <c r="W148" i="25" l="1"/>
  <c r="W156" i="25"/>
  <c r="W157" i="25"/>
  <c r="W151" i="25" l="1"/>
  <c r="W155" i="25"/>
  <c r="W158" i="25"/>
  <c r="W160" i="25"/>
  <c r="W159" i="25"/>
  <c r="W150" i="25" l="1"/>
  <c r="W149" i="25" l="1"/>
  <c r="W138" i="25"/>
  <c r="W140" i="25" l="1"/>
  <c r="W139" i="25" l="1"/>
  <c r="X156" i="25" l="1"/>
  <c r="X148" i="25"/>
  <c r="X157" i="25"/>
  <c r="X155" i="25" l="1"/>
  <c r="X151" i="25"/>
  <c r="X160" i="25"/>
  <c r="X158" i="25"/>
  <c r="X159" i="25"/>
  <c r="X138" i="25" l="1"/>
  <c r="X150" i="25"/>
  <c r="X149" i="25" l="1"/>
  <c r="X140" i="25" l="1"/>
  <c r="X139" i="25"/>
  <c r="Y148" i="25" l="1"/>
  <c r="Y156" i="25"/>
  <c r="Y151" i="25" l="1"/>
  <c r="Y155" i="25"/>
  <c r="Y160" i="25"/>
  <c r="Y158" i="25"/>
  <c r="Y159" i="25"/>
  <c r="Y157" i="25"/>
  <c r="Y150" i="25" l="1"/>
  <c r="Y138" i="25" l="1"/>
  <c r="Y149" i="25"/>
  <c r="Y140" i="25" l="1"/>
  <c r="Y139" i="25" l="1"/>
  <c r="Z148" i="25" l="1"/>
  <c r="Z156" i="25"/>
  <c r="Z157" i="25"/>
  <c r="Z155" i="25" l="1"/>
  <c r="Z151" i="25"/>
  <c r="Z149" i="25" l="1"/>
  <c r="Z138" i="25"/>
  <c r="Z150" i="25"/>
  <c r="Z160" i="25"/>
  <c r="Z159" i="25"/>
  <c r="Z158" i="25"/>
  <c r="Z140" i="25" l="1"/>
  <c r="Z139" i="25" l="1"/>
  <c r="AA157" i="25" l="1"/>
  <c r="AA155" i="25"/>
  <c r="AA151" i="25"/>
  <c r="AA148" i="25"/>
  <c r="AA156" i="25"/>
  <c r="AA158" i="25" l="1"/>
  <c r="AA159" i="25"/>
  <c r="AA150" i="25"/>
  <c r="AA160" i="25"/>
  <c r="AA138" i="25" l="1"/>
  <c r="AA149" i="25"/>
  <c r="AA140" i="25" l="1"/>
  <c r="AA139" i="25" l="1"/>
  <c r="AB159" i="25" l="1"/>
  <c r="AB160" i="25"/>
  <c r="AB158" i="25"/>
  <c r="AB138" i="25"/>
  <c r="AB140" i="25" l="1"/>
  <c r="AC157" i="25"/>
  <c r="AC160" i="25"/>
  <c r="AD160" i="25" l="1"/>
  <c r="AB139" i="25"/>
  <c r="AE160" i="25" l="1"/>
  <c r="AE157" i="25"/>
  <c r="AD157" i="25"/>
  <c r="AA152" i="25" l="1"/>
  <c r="AA153" i="25" l="1"/>
  <c r="AA154" i="25" l="1"/>
  <c r="AB141" i="25" l="1"/>
  <c r="W152" i="25" l="1"/>
  <c r="X152" i="25"/>
  <c r="Z152" i="25"/>
  <c r="Y152" i="25"/>
  <c r="AC142" i="25" l="1"/>
  <c r="AB142" i="25"/>
  <c r="Y154" i="25"/>
  <c r="W154" i="25"/>
  <c r="X153" i="25"/>
  <c r="W153" i="25"/>
  <c r="Y153" i="25"/>
  <c r="Z153" i="25"/>
  <c r="O152" i="25"/>
  <c r="L152" i="25" l="1"/>
  <c r="M152" i="25"/>
  <c r="N152" i="25"/>
  <c r="K152" i="25"/>
  <c r="AC154" i="25"/>
  <c r="AD142" i="25"/>
  <c r="O141" i="25"/>
  <c r="V152" i="25"/>
  <c r="R152" i="25"/>
  <c r="T152" i="25"/>
  <c r="S152" i="25"/>
  <c r="Z154" i="25"/>
  <c r="X154" i="25"/>
  <c r="P152" i="25"/>
  <c r="Q152" i="25"/>
  <c r="U152" i="25"/>
  <c r="K153" i="25"/>
  <c r="L153" i="25" l="1"/>
  <c r="M153" i="25"/>
  <c r="N153" i="25"/>
  <c r="O153" i="25"/>
  <c r="AE142" i="25"/>
  <c r="R153" i="25"/>
  <c r="S153" i="25"/>
  <c r="V153" i="25"/>
  <c r="Q153" i="25"/>
  <c r="U153" i="25"/>
  <c r="T153" i="25"/>
  <c r="P153" i="25"/>
  <c r="AA141" i="25"/>
  <c r="O154" i="25"/>
  <c r="L154" i="25"/>
  <c r="N141" i="25"/>
  <c r="K154" i="25"/>
  <c r="N154" i="25"/>
  <c r="M154" i="25"/>
  <c r="K141" i="25"/>
  <c r="L141" i="25"/>
  <c r="M141" i="25"/>
  <c r="AE154" i="25" l="1"/>
  <c r="R154" i="25"/>
  <c r="U154" i="25"/>
  <c r="P154" i="25"/>
  <c r="T154" i="25"/>
  <c r="V154" i="25"/>
  <c r="Q154" i="25"/>
  <c r="S154" i="25"/>
  <c r="Z142" i="25"/>
  <c r="W142" i="25"/>
  <c r="Y142" i="25"/>
  <c r="X142" i="25"/>
  <c r="AA142" i="25"/>
  <c r="O142" i="25"/>
  <c r="L142" i="25"/>
  <c r="M142" i="25"/>
  <c r="K142" i="25"/>
  <c r="N142" i="25"/>
  <c r="T142" i="25" l="1"/>
  <c r="S142" i="25"/>
  <c r="P142" i="25"/>
  <c r="V142" i="25"/>
  <c r="R142" i="25"/>
  <c r="U142" i="25"/>
  <c r="Q142" i="25"/>
  <c r="V141" i="25"/>
  <c r="P141" i="25"/>
  <c r="R141" i="25"/>
  <c r="X141" i="25"/>
  <c r="U141" i="25"/>
  <c r="S141" i="25"/>
  <c r="W141" i="25"/>
  <c r="Q141" i="25"/>
  <c r="T141" i="25"/>
  <c r="Z141" i="25"/>
  <c r="Y141" i="25"/>
  <c r="AD154" i="25" l="1"/>
  <c r="AC158" i="25" l="1"/>
  <c r="AC159" i="25"/>
  <c r="AC156" i="25" l="1"/>
  <c r="AC155" i="25"/>
  <c r="AC140" i="25" l="1"/>
  <c r="AC150" i="25"/>
  <c r="AC141" i="25" l="1"/>
  <c r="AC153" i="25" l="1"/>
  <c r="AC151" i="25" l="1"/>
  <c r="AC152" i="25" l="1"/>
  <c r="AC139" i="25" l="1"/>
  <c r="AC138" i="25" l="1"/>
  <c r="AC148" i="25" l="1"/>
  <c r="AC149" i="25"/>
  <c r="AA145" i="25" l="1"/>
  <c r="P145" i="25"/>
  <c r="AB145" i="25" l="1"/>
  <c r="W145" i="25"/>
  <c r="AA147" i="25"/>
  <c r="S145" i="25"/>
  <c r="X145" i="25"/>
  <c r="Z145" i="25"/>
  <c r="V145" i="25"/>
  <c r="U145" i="25"/>
  <c r="P147" i="25"/>
  <c r="T145" i="25"/>
  <c r="R145" i="25"/>
  <c r="Z147" i="25" l="1"/>
  <c r="R147" i="25"/>
  <c r="T147" i="25"/>
  <c r="S147" i="25"/>
  <c r="X147" i="25"/>
  <c r="V147" i="25"/>
  <c r="W147" i="25"/>
  <c r="U147" i="25"/>
  <c r="Q145" i="25"/>
  <c r="Y145" i="25"/>
  <c r="Q147" i="25" l="1"/>
  <c r="Y147" i="25"/>
  <c r="AB147" i="25"/>
  <c r="AC145" i="25" l="1"/>
  <c r="AD145" i="25" l="1"/>
  <c r="AE145" i="25" l="1"/>
  <c r="AD153" i="25" l="1"/>
  <c r="AD159" i="25"/>
  <c r="AD158" i="25"/>
  <c r="AD151" i="25" l="1"/>
  <c r="AD155" i="25"/>
  <c r="AD156" i="25"/>
  <c r="AD150" i="25" l="1"/>
  <c r="AD152" i="25"/>
  <c r="AD140" i="25"/>
  <c r="AE158" i="25" l="1"/>
  <c r="AE153" i="25"/>
  <c r="AE159" i="25"/>
  <c r="AE152" i="25" l="1"/>
  <c r="AE155" i="25"/>
  <c r="AE156" i="25"/>
  <c r="AE151" i="25"/>
  <c r="AD141" i="25"/>
  <c r="AE150" i="25" l="1"/>
  <c r="AE140" i="25"/>
  <c r="AE141" i="25" l="1"/>
  <c r="AD143" i="25" l="1"/>
  <c r="AE143" i="25" l="1"/>
  <c r="AD139" i="25" l="1"/>
  <c r="AD138" i="25" l="1"/>
  <c r="AE139" i="25"/>
  <c r="AE138" i="25" l="1"/>
  <c r="AD149" i="25"/>
  <c r="AE149" i="25" l="1"/>
  <c r="AD148" i="25"/>
  <c r="AE148" i="25" l="1"/>
  <c r="AB268" i="1" l="1"/>
  <c r="AB376" i="23" s="1"/>
  <c r="AC268" i="1"/>
  <c r="AC376" i="23" s="1"/>
  <c r="AA268" i="1"/>
  <c r="AA376" i="23" s="1"/>
  <c r="I269" i="1"/>
  <c r="I377" i="23" s="1"/>
  <c r="J269" i="1"/>
  <c r="J377" i="23" s="1"/>
  <c r="K269" i="1"/>
  <c r="K377" i="23" s="1"/>
  <c r="L269" i="1"/>
  <c r="L377" i="23" s="1"/>
  <c r="M269" i="1"/>
  <c r="M377" i="23" s="1"/>
  <c r="N269" i="1"/>
  <c r="N377" i="23" s="1"/>
  <c r="O269" i="1"/>
  <c r="O377" i="23" s="1"/>
  <c r="P269" i="1"/>
  <c r="P377" i="23" s="1"/>
  <c r="Q269" i="1"/>
  <c r="Q377" i="23" s="1"/>
  <c r="G207" i="1"/>
  <c r="G210" i="1"/>
  <c r="G209" i="1"/>
  <c r="G208" i="1"/>
  <c r="G236" i="23" s="1"/>
  <c r="G204" i="1"/>
  <c r="G203" i="1"/>
  <c r="G202" i="1"/>
  <c r="G200" i="1"/>
  <c r="G197" i="1"/>
  <c r="G196" i="1"/>
  <c r="G191" i="1"/>
  <c r="G199" i="1"/>
  <c r="G195" i="1"/>
  <c r="G194" i="1"/>
  <c r="G188" i="1"/>
  <c r="G187" i="1"/>
  <c r="G185" i="1"/>
  <c r="G137" i="8" s="1"/>
  <c r="G184" i="1"/>
  <c r="G217" i="8" s="1"/>
  <c r="G182" i="1"/>
  <c r="G181" i="1"/>
  <c r="G186" i="1"/>
  <c r="G209" i="8" s="1"/>
  <c r="G180" i="1"/>
  <c r="G130" i="1"/>
  <c r="G133" i="1"/>
  <c r="G132" i="1"/>
  <c r="G131" i="1"/>
  <c r="G240" i="23" s="1"/>
  <c r="G127" i="1"/>
  <c r="G126" i="1"/>
  <c r="G125" i="1"/>
  <c r="G123" i="1"/>
  <c r="G121" i="1"/>
  <c r="G119" i="1"/>
  <c r="G122" i="1"/>
  <c r="G120" i="1"/>
  <c r="G116" i="1"/>
  <c r="G115" i="1"/>
  <c r="G113" i="1"/>
  <c r="G112" i="1"/>
  <c r="G114" i="1"/>
  <c r="G210" i="8" s="1"/>
  <c r="G111" i="1"/>
  <c r="G4" i="1"/>
  <c r="G5" i="8" s="1"/>
  <c r="K264" i="1"/>
  <c r="K335" i="23" s="1"/>
  <c r="J264" i="1"/>
  <c r="J335" i="23" s="1"/>
  <c r="I264" i="1"/>
  <c r="I335" i="23" s="1"/>
  <c r="H264" i="1"/>
  <c r="H335" i="23" s="1"/>
  <c r="G264" i="1"/>
  <c r="G335" i="23" s="1"/>
  <c r="J109" i="11" s="1"/>
  <c r="K263" i="1"/>
  <c r="K334" i="23" s="1"/>
  <c r="J263" i="1"/>
  <c r="J334" i="23" s="1"/>
  <c r="I263" i="1"/>
  <c r="I334" i="23" s="1"/>
  <c r="H263" i="1"/>
  <c r="H334" i="23" s="1"/>
  <c r="G263" i="1"/>
  <c r="G334" i="23" s="1"/>
  <c r="K262" i="1"/>
  <c r="K303" i="23" s="1"/>
  <c r="J262" i="1"/>
  <c r="J303" i="23" s="1"/>
  <c r="I262" i="1"/>
  <c r="I303" i="23" s="1"/>
  <c r="H262" i="1"/>
  <c r="H303" i="23" s="1"/>
  <c r="G262" i="1"/>
  <c r="G303" i="23" s="1"/>
  <c r="J94" i="11" s="1"/>
  <c r="K261" i="1"/>
  <c r="K302" i="23" s="1"/>
  <c r="J261" i="1"/>
  <c r="J302" i="23" s="1"/>
  <c r="I261" i="1"/>
  <c r="I302" i="23" s="1"/>
  <c r="H261" i="1"/>
  <c r="H302" i="23" s="1"/>
  <c r="G261" i="1"/>
  <c r="G302" i="23" s="1"/>
  <c r="J276" i="1"/>
  <c r="S276" i="17" s="1"/>
  <c r="T276" i="17" s="1"/>
  <c r="U276" i="17" s="1"/>
  <c r="V276" i="17" s="1"/>
  <c r="I276" i="1"/>
  <c r="O276" i="17" s="1"/>
  <c r="P276" i="17" s="1"/>
  <c r="Q276" i="17" s="1"/>
  <c r="R276" i="17" s="1"/>
  <c r="H276" i="1"/>
  <c r="K276" i="17" s="1"/>
  <c r="L276" i="17" s="1"/>
  <c r="M276" i="17" s="1"/>
  <c r="N276" i="17" s="1"/>
  <c r="H389" i="23" s="1"/>
  <c r="H129" i="25" s="1"/>
  <c r="J272" i="1"/>
  <c r="S272" i="17" s="1"/>
  <c r="I272" i="1"/>
  <c r="O272" i="17" s="1"/>
  <c r="H272" i="1"/>
  <c r="K272" i="17" s="1"/>
  <c r="G104" i="1"/>
  <c r="G101" i="1"/>
  <c r="G98" i="1"/>
  <c r="G96" i="1"/>
  <c r="G355" i="23" s="1"/>
  <c r="G91" i="1"/>
  <c r="G325" i="23" s="1"/>
  <c r="G87" i="1"/>
  <c r="G293" i="23" s="1"/>
  <c r="G81" i="1"/>
  <c r="G79" i="1"/>
  <c r="G220" i="23" s="1"/>
  <c r="G62" i="1"/>
  <c r="G192" i="23" s="1"/>
  <c r="G65" i="1"/>
  <c r="G200" i="23" s="1"/>
  <c r="G57" i="1"/>
  <c r="G132" i="23" s="1"/>
  <c r="G53" i="1"/>
  <c r="G112" i="23" s="1"/>
  <c r="G49" i="1"/>
  <c r="G90" i="23" s="1"/>
  <c r="G45" i="1"/>
  <c r="G101" i="23" s="1"/>
  <c r="G44" i="1"/>
  <c r="G79" i="23" s="1"/>
  <c r="G41" i="1"/>
  <c r="G71" i="23" s="1"/>
  <c r="G21" i="1"/>
  <c r="G7" i="23" s="1"/>
  <c r="G23" i="1"/>
  <c r="G22" i="1"/>
  <c r="G24" i="1"/>
  <c r="G13" i="23" s="1"/>
  <c r="Z268" i="1"/>
  <c r="Z376" i="23" s="1"/>
  <c r="Y268" i="1"/>
  <c r="Y376" i="23" s="1"/>
  <c r="X268" i="1"/>
  <c r="X376" i="23" s="1"/>
  <c r="W268" i="1"/>
  <c r="W376" i="23" s="1"/>
  <c r="V268" i="1"/>
  <c r="V376" i="23" s="1"/>
  <c r="U268" i="1"/>
  <c r="U376" i="23" s="1"/>
  <c r="T268" i="1"/>
  <c r="T376" i="23" s="1"/>
  <c r="S268" i="1"/>
  <c r="S376" i="23" s="1"/>
  <c r="R268" i="1"/>
  <c r="R376" i="23" s="1"/>
  <c r="Q268" i="1"/>
  <c r="Q376" i="23" s="1"/>
  <c r="P268" i="1"/>
  <c r="P376" i="23" s="1"/>
  <c r="O268" i="1"/>
  <c r="O376" i="23" s="1"/>
  <c r="N268" i="1"/>
  <c r="N376" i="23" s="1"/>
  <c r="M268" i="1"/>
  <c r="M376" i="23" s="1"/>
  <c r="L268" i="1"/>
  <c r="L376" i="23" s="1"/>
  <c r="K268" i="1"/>
  <c r="K376" i="23" s="1"/>
  <c r="J268" i="1"/>
  <c r="J376" i="23" s="1"/>
  <c r="I268" i="1"/>
  <c r="I376" i="23" s="1"/>
  <c r="H268" i="1"/>
  <c r="H376" i="23" s="1"/>
  <c r="G268" i="1"/>
  <c r="G376" i="23" s="1"/>
  <c r="J41" i="11" s="1"/>
  <c r="H269" i="1"/>
  <c r="H377" i="23" s="1"/>
  <c r="G269" i="1"/>
  <c r="G377" i="23" s="1"/>
  <c r="J40" i="11" s="1"/>
  <c r="J17" i="16"/>
  <c r="I17" i="16"/>
  <c r="H17" i="16"/>
  <c r="G17" i="16"/>
  <c r="G94" i="1"/>
  <c r="G90" i="1"/>
  <c r="G323" i="23" s="1"/>
  <c r="G89" i="1"/>
  <c r="G324" i="23" s="1"/>
  <c r="G86" i="1"/>
  <c r="G291" i="23" s="1"/>
  <c r="G85" i="1"/>
  <c r="G292" i="23" s="1"/>
  <c r="G83" i="1"/>
  <c r="G102" i="1"/>
  <c r="G99" i="1"/>
  <c r="G214" i="8" s="1"/>
  <c r="AB222" i="1"/>
  <c r="AA222" i="1"/>
  <c r="Z222" i="1"/>
  <c r="Y222" i="1"/>
  <c r="X222" i="1"/>
  <c r="W222" i="1"/>
  <c r="V222" i="1"/>
  <c r="U222" i="1"/>
  <c r="T222" i="1"/>
  <c r="S222" i="1"/>
  <c r="R222" i="1"/>
  <c r="Q222" i="1"/>
  <c r="P222" i="1"/>
  <c r="O222" i="1"/>
  <c r="N222" i="1"/>
  <c r="M222" i="1"/>
  <c r="L222" i="1"/>
  <c r="K222" i="1"/>
  <c r="J222" i="1"/>
  <c r="I222" i="1"/>
  <c r="H222" i="1"/>
  <c r="G222" i="1"/>
  <c r="AB221" i="1"/>
  <c r="AA221" i="1"/>
  <c r="Z221" i="1"/>
  <c r="Y221" i="1"/>
  <c r="X221" i="1"/>
  <c r="W221" i="1"/>
  <c r="V221" i="1"/>
  <c r="U221" i="1"/>
  <c r="T221" i="1"/>
  <c r="S221" i="1"/>
  <c r="R221" i="1"/>
  <c r="Q221" i="1"/>
  <c r="P221" i="1"/>
  <c r="O221" i="1"/>
  <c r="N221" i="1"/>
  <c r="M221" i="1"/>
  <c r="L221" i="1"/>
  <c r="K221" i="1"/>
  <c r="J221" i="1"/>
  <c r="I221" i="1"/>
  <c r="H221" i="1"/>
  <c r="G221" i="1"/>
  <c r="G177" i="1"/>
  <c r="G176" i="1"/>
  <c r="G78" i="1"/>
  <c r="G219" i="23" s="1"/>
  <c r="G77" i="1"/>
  <c r="G69" i="1"/>
  <c r="G212" i="23" s="1"/>
  <c r="G71" i="1"/>
  <c r="G213" i="23" s="1"/>
  <c r="G74" i="1"/>
  <c r="G218" i="23" s="1"/>
  <c r="G76" i="1"/>
  <c r="G55" i="1"/>
  <c r="G166" i="23" s="1"/>
  <c r="G38" i="1"/>
  <c r="G28" i="23" s="1"/>
  <c r="H41" i="23" s="1"/>
  <c r="L63" i="11" s="1"/>
  <c r="G37" i="1"/>
  <c r="G28" i="1"/>
  <c r="G21" i="23" s="1"/>
  <c r="H35" i="23" s="1"/>
  <c r="L57" i="11" s="1"/>
  <c r="G29" i="1"/>
  <c r="G22" i="23" s="1"/>
  <c r="H36" i="23" s="1"/>
  <c r="L58" i="11" s="1"/>
  <c r="G34" i="1"/>
  <c r="G27" i="23" s="1"/>
  <c r="H40" i="23" s="1"/>
  <c r="L62" i="11" s="1"/>
  <c r="G36" i="1"/>
  <c r="G40" i="1"/>
  <c r="G132" i="7" l="1"/>
  <c r="E7" i="6" s="1"/>
  <c r="K56" i="6" s="1"/>
  <c r="G205" i="7"/>
  <c r="G221" i="7" s="1"/>
  <c r="G169" i="7"/>
  <c r="G172" i="7" s="1"/>
  <c r="G310" i="7"/>
  <c r="G30" i="6" s="1"/>
  <c r="M79" i="6" s="1"/>
  <c r="G18" i="7"/>
  <c r="G46" i="7" s="1"/>
  <c r="G589" i="7"/>
  <c r="G1059" i="7" s="1"/>
  <c r="G588" i="7"/>
  <c r="H600" i="7" s="1"/>
  <c r="G1003" i="7"/>
  <c r="G1004" i="7" s="1"/>
  <c r="G875" i="7"/>
  <c r="H884" i="7" s="1"/>
  <c r="G519" i="7"/>
  <c r="G1081" i="7" s="1"/>
  <c r="G829" i="7"/>
  <c r="G842" i="7" s="1"/>
  <c r="G133" i="7"/>
  <c r="H146" i="7" s="1"/>
  <c r="G296" i="7"/>
  <c r="G453" i="7" s="1"/>
  <c r="G666" i="7"/>
  <c r="G678" i="7" s="1"/>
  <c r="G24" i="7"/>
  <c r="G47" i="7" s="1"/>
  <c r="G475" i="7"/>
  <c r="G1079" i="7" s="1"/>
  <c r="G590" i="7"/>
  <c r="G1082" i="7" s="1"/>
  <c r="G164" i="7"/>
  <c r="F8" i="6" s="1"/>
  <c r="L57" i="6" s="1"/>
  <c r="G474" i="7"/>
  <c r="H486" i="7" s="1"/>
  <c r="G477" i="7"/>
  <c r="G505" i="7" s="1"/>
  <c r="G970" i="7"/>
  <c r="G971" i="7" s="1"/>
  <c r="G1141" i="7"/>
  <c r="G1142" i="7" s="1"/>
  <c r="G179" i="7"/>
  <c r="G192" i="7" s="1"/>
  <c r="G8" i="7"/>
  <c r="J116" i="11" s="1"/>
  <c r="P116" i="11" s="1"/>
  <c r="G134" i="7"/>
  <c r="G155" i="7" s="1"/>
  <c r="G591" i="7"/>
  <c r="G613" i="7" s="1"/>
  <c r="G667" i="7"/>
  <c r="G679" i="7" s="1"/>
  <c r="G522" i="7"/>
  <c r="G1058" i="7" s="1"/>
  <c r="G518" i="7"/>
  <c r="H526" i="7" s="1"/>
  <c r="G828" i="7"/>
  <c r="F45" i="6" s="1"/>
  <c r="G205" i="1"/>
  <c r="G211" i="1"/>
  <c r="G128" i="1"/>
  <c r="G189" i="1"/>
  <c r="G134" i="1"/>
  <c r="AS41" i="11"/>
  <c r="N42" i="25"/>
  <c r="N381" i="23"/>
  <c r="Z42" i="25"/>
  <c r="Z381" i="23"/>
  <c r="DA41" i="11"/>
  <c r="H138" i="23"/>
  <c r="J229" i="17"/>
  <c r="G250" i="7"/>
  <c r="H362" i="23"/>
  <c r="G930" i="7"/>
  <c r="G680" i="7"/>
  <c r="G718" i="7"/>
  <c r="G978" i="7"/>
  <c r="G581" i="7"/>
  <c r="G580" i="7"/>
  <c r="G1016" i="7"/>
  <c r="G579" i="7"/>
  <c r="G254" i="23"/>
  <c r="G1014" i="7"/>
  <c r="G617" i="7"/>
  <c r="G1009" i="7"/>
  <c r="G752" i="7"/>
  <c r="G843" i="7"/>
  <c r="G814" i="7"/>
  <c r="G975" i="7"/>
  <c r="G1015" i="7"/>
  <c r="G980" i="7"/>
  <c r="G1013" i="7"/>
  <c r="G501" i="7"/>
  <c r="G578" i="7"/>
  <c r="G158" i="7"/>
  <c r="G979" i="7"/>
  <c r="G926" i="7"/>
  <c r="G50" i="7"/>
  <c r="G337" i="7"/>
  <c r="G755" i="7"/>
  <c r="G751" i="7"/>
  <c r="G576" i="7"/>
  <c r="G938" i="7"/>
  <c r="H944" i="7" s="1"/>
  <c r="H941" i="7" s="1"/>
  <c r="G977" i="7"/>
  <c r="G248" i="7"/>
  <c r="G582" i="7"/>
  <c r="G974" i="7"/>
  <c r="G817" i="7"/>
  <c r="G757" i="7"/>
  <c r="G360" i="7"/>
  <c r="J361" i="7" s="1"/>
  <c r="J123" i="25" s="1"/>
  <c r="G1116" i="7"/>
  <c r="G499" i="7"/>
  <c r="G865" i="7"/>
  <c r="G615" i="7"/>
  <c r="G255" i="23"/>
  <c r="G908" i="7"/>
  <c r="G956" i="7" s="1"/>
  <c r="G289" i="7"/>
  <c r="G251" i="7"/>
  <c r="G536" i="7"/>
  <c r="G756" i="7"/>
  <c r="G723" i="7"/>
  <c r="G48" i="7"/>
  <c r="G819" i="7"/>
  <c r="G907" i="7"/>
  <c r="G1012" i="7"/>
  <c r="G1010" i="7"/>
  <c r="G719" i="7"/>
  <c r="G306" i="7"/>
  <c r="H307" i="7" s="1"/>
  <c r="I308" i="7" s="1"/>
  <c r="I309" i="7" s="1"/>
  <c r="G49" i="7"/>
  <c r="G754" i="7"/>
  <c r="G925" i="7"/>
  <c r="G338" i="7"/>
  <c r="G722" i="7"/>
  <c r="G470" i="23"/>
  <c r="H473" i="23" s="1"/>
  <c r="G844" i="7"/>
  <c r="G157" i="7"/>
  <c r="G924" i="7"/>
  <c r="G1007" i="7"/>
  <c r="G889" i="7"/>
  <c r="G923" i="7"/>
  <c r="G815" i="7"/>
  <c r="G339" i="7"/>
  <c r="G577" i="7"/>
  <c r="G1008" i="7"/>
  <c r="G927" i="7"/>
  <c r="G813" i="7"/>
  <c r="G906" i="7"/>
  <c r="G658" i="7"/>
  <c r="G500" i="7"/>
  <c r="G614" i="7"/>
  <c r="G1011" i="7"/>
  <c r="G1049" i="7"/>
  <c r="G1050" i="7" s="1"/>
  <c r="G504" i="7"/>
  <c r="G220" i="7"/>
  <c r="G233" i="8"/>
  <c r="G717" i="7"/>
  <c r="G929" i="7"/>
  <c r="J115" i="11"/>
  <c r="P115" i="11" s="1"/>
  <c r="G583" i="7"/>
  <c r="G156" i="7"/>
  <c r="G976" i="7"/>
  <c r="G753" i="7"/>
  <c r="G816" i="7"/>
  <c r="G535" i="7"/>
  <c r="G720" i="7"/>
  <c r="E5" i="6"/>
  <c r="G778" i="7"/>
  <c r="G637" i="7"/>
  <c r="G249" i="7"/>
  <c r="G231" i="8"/>
  <c r="G818" i="7"/>
  <c r="G721" i="7"/>
  <c r="G724" i="7"/>
  <c r="J16" i="11"/>
  <c r="G822" i="7"/>
  <c r="G256" i="23"/>
  <c r="G928" i="7"/>
  <c r="Y108" i="11"/>
  <c r="J115" i="25"/>
  <c r="J336" i="23"/>
  <c r="J339" i="23"/>
  <c r="G188" i="8"/>
  <c r="H195" i="8" s="1"/>
  <c r="H221" i="8"/>
  <c r="F11" i="6"/>
  <c r="G229" i="8"/>
  <c r="G215" i="8"/>
  <c r="F13" i="6"/>
  <c r="G192" i="8"/>
  <c r="H199" i="8" s="1"/>
  <c r="G234" i="8"/>
  <c r="G19" i="7"/>
  <c r="H226" i="8"/>
  <c r="G168" i="8"/>
  <c r="P382" i="23"/>
  <c r="BC40" i="11"/>
  <c r="P41" i="25"/>
  <c r="L41" i="25"/>
  <c r="AI40" i="11"/>
  <c r="L382" i="23"/>
  <c r="D155" i="2"/>
  <c r="DK41" i="11"/>
  <c r="AB381" i="23"/>
  <c r="AB42" i="25"/>
  <c r="G417" i="23"/>
  <c r="H429" i="23" s="1"/>
  <c r="H227" i="23"/>
  <c r="J58" i="11"/>
  <c r="J100" i="11"/>
  <c r="H329" i="23"/>
  <c r="G460" i="23"/>
  <c r="H465" i="23" s="1"/>
  <c r="K42" i="25"/>
  <c r="AD41" i="11"/>
  <c r="K381" i="23"/>
  <c r="AX41" i="11"/>
  <c r="O381" i="23"/>
  <c r="O42" i="25"/>
  <c r="S42" i="25"/>
  <c r="BR41" i="11"/>
  <c r="S381" i="23"/>
  <c r="W381" i="23"/>
  <c r="CL41" i="11"/>
  <c r="W42" i="25"/>
  <c r="J59" i="17"/>
  <c r="G59" i="23"/>
  <c r="H66" i="23" s="1"/>
  <c r="H16" i="23"/>
  <c r="G129" i="23"/>
  <c r="H135" i="23" s="1"/>
  <c r="H107" i="23"/>
  <c r="J188" i="17"/>
  <c r="G202" i="23"/>
  <c r="H207" i="23"/>
  <c r="G408" i="23"/>
  <c r="H411" i="23" s="1"/>
  <c r="G262" i="23"/>
  <c r="H269" i="23" s="1"/>
  <c r="G698" i="7"/>
  <c r="J49" i="11"/>
  <c r="P49" i="11" s="1"/>
  <c r="J8" i="11"/>
  <c r="P8" i="11" s="1"/>
  <c r="L272" i="17"/>
  <c r="I389" i="23"/>
  <c r="I129" i="25" s="1"/>
  <c r="I304" i="23"/>
  <c r="I307" i="23"/>
  <c r="I112" i="25"/>
  <c r="T93" i="11"/>
  <c r="H308" i="23"/>
  <c r="H114" i="25"/>
  <c r="O94" i="11"/>
  <c r="P94" i="11" s="1"/>
  <c r="J108" i="11"/>
  <c r="J110" i="11" s="1"/>
  <c r="G336" i="23"/>
  <c r="K115" i="25"/>
  <c r="K339" i="23"/>
  <c r="AD108" i="11"/>
  <c r="K336" i="23"/>
  <c r="L339" i="23"/>
  <c r="J340" i="23"/>
  <c r="J117" i="25"/>
  <c r="Y109" i="11"/>
  <c r="H37" i="7"/>
  <c r="G115" i="8"/>
  <c r="H122" i="8" s="1"/>
  <c r="F14" i="6"/>
  <c r="L63" i="6" s="1"/>
  <c r="AX40" i="11"/>
  <c r="O382" i="23"/>
  <c r="O41" i="25"/>
  <c r="K41" i="25"/>
  <c r="AD40" i="11"/>
  <c r="K382" i="23"/>
  <c r="J63" i="11"/>
  <c r="G422" i="23"/>
  <c r="H434" i="23" s="1"/>
  <c r="H232" i="23"/>
  <c r="H382" i="23"/>
  <c r="O40" i="11"/>
  <c r="N40" i="11" s="1"/>
  <c r="H41" i="25"/>
  <c r="R381" i="23"/>
  <c r="BM41" i="11"/>
  <c r="R42" i="25"/>
  <c r="G375" i="23"/>
  <c r="H380" i="23" s="1"/>
  <c r="J40" i="17"/>
  <c r="G58" i="23"/>
  <c r="H65" i="23" s="1"/>
  <c r="H10" i="23"/>
  <c r="G261" i="23"/>
  <c r="G90" i="7"/>
  <c r="G91" i="7" s="1"/>
  <c r="H93" i="7" s="1"/>
  <c r="J7" i="11"/>
  <c r="G62" i="7"/>
  <c r="J34" i="11"/>
  <c r="P34" i="11" s="1"/>
  <c r="H195" i="23"/>
  <c r="G57" i="7"/>
  <c r="J58" i="7" s="1"/>
  <c r="J122" i="25" s="1"/>
  <c r="G9" i="7"/>
  <c r="F36" i="6"/>
  <c r="G115" i="7"/>
  <c r="G402" i="23"/>
  <c r="H405" i="23" s="1"/>
  <c r="G853" i="7"/>
  <c r="G274" i="23"/>
  <c r="H112" i="25"/>
  <c r="H304" i="23"/>
  <c r="O93" i="11"/>
  <c r="H307" i="23"/>
  <c r="I340" i="23"/>
  <c r="T109" i="11"/>
  <c r="I117" i="25"/>
  <c r="G421" i="23"/>
  <c r="H433" i="23" s="1"/>
  <c r="J62" i="11"/>
  <c r="H231" i="23"/>
  <c r="G416" i="23"/>
  <c r="H428" i="23" s="1"/>
  <c r="J57" i="11"/>
  <c r="G214" i="23"/>
  <c r="H226" i="23"/>
  <c r="J86" i="11"/>
  <c r="H298" i="23"/>
  <c r="G451" i="23"/>
  <c r="H456" i="23" s="1"/>
  <c r="G344" i="23"/>
  <c r="H348" i="23" s="1"/>
  <c r="H381" i="23"/>
  <c r="O41" i="11"/>
  <c r="N41" i="11" s="1"/>
  <c r="H42" i="25"/>
  <c r="L42" i="25"/>
  <c r="L381" i="23"/>
  <c r="AI41" i="11"/>
  <c r="P381" i="23"/>
  <c r="BC41" i="11"/>
  <c r="P42" i="25"/>
  <c r="BW41" i="11"/>
  <c r="T42" i="25"/>
  <c r="T381" i="23"/>
  <c r="X42" i="25"/>
  <c r="X381" i="23"/>
  <c r="CQ41" i="11"/>
  <c r="H96" i="23"/>
  <c r="L13" i="11" s="1"/>
  <c r="G100" i="23"/>
  <c r="H106" i="23" s="1"/>
  <c r="J166" i="17"/>
  <c r="J13" i="11"/>
  <c r="G452" i="23"/>
  <c r="H457" i="23" s="1"/>
  <c r="G345" i="23"/>
  <c r="J87" i="11"/>
  <c r="P87" i="11" s="1"/>
  <c r="G313" i="23"/>
  <c r="H319" i="23" s="1"/>
  <c r="H299" i="23"/>
  <c r="G294" i="23"/>
  <c r="P272" i="17"/>
  <c r="J389" i="23"/>
  <c r="J129" i="25" s="1"/>
  <c r="Y93" i="11"/>
  <c r="J307" i="23"/>
  <c r="J112" i="25"/>
  <c r="J304" i="23"/>
  <c r="I114" i="25"/>
  <c r="I308" i="23"/>
  <c r="T94" i="11"/>
  <c r="H339" i="23"/>
  <c r="H115" i="25"/>
  <c r="O108" i="11"/>
  <c r="H336" i="23"/>
  <c r="AD109" i="11"/>
  <c r="L340" i="23"/>
  <c r="K117" i="25"/>
  <c r="K340" i="23"/>
  <c r="H222" i="8"/>
  <c r="G11" i="6"/>
  <c r="M60" i="6" s="1"/>
  <c r="G230" i="8"/>
  <c r="AS40" i="11"/>
  <c r="N41" i="25"/>
  <c r="N382" i="23"/>
  <c r="Y40" i="11"/>
  <c r="J382" i="23"/>
  <c r="J41" i="25"/>
  <c r="C155" i="2"/>
  <c r="AT155" i="2" s="1"/>
  <c r="AA42" i="25"/>
  <c r="DF41" i="11"/>
  <c r="AA381" i="23"/>
  <c r="G243" i="8"/>
  <c r="G245" i="8" s="1"/>
  <c r="H169" i="23"/>
  <c r="L118" i="11" s="1"/>
  <c r="G78" i="7"/>
  <c r="G79" i="7" s="1"/>
  <c r="H81" i="7" s="1"/>
  <c r="J101" i="11"/>
  <c r="H330" i="23"/>
  <c r="G461" i="23"/>
  <c r="H466" i="23" s="1"/>
  <c r="J381" i="23"/>
  <c r="J42" i="25"/>
  <c r="Y41" i="11"/>
  <c r="V381" i="23"/>
  <c r="CG41" i="11"/>
  <c r="V42" i="25"/>
  <c r="J147" i="17"/>
  <c r="H85" i="23"/>
  <c r="G99" i="23"/>
  <c r="H105" i="23" s="1"/>
  <c r="K114" i="25"/>
  <c r="K308" i="23"/>
  <c r="AD94" i="11"/>
  <c r="L308" i="23"/>
  <c r="G29" i="23"/>
  <c r="G423" i="23" s="1"/>
  <c r="H435" i="23" s="1"/>
  <c r="G48" i="23"/>
  <c r="G511" i="7"/>
  <c r="J512" i="7" s="1"/>
  <c r="J124" i="25" s="1"/>
  <c r="G190" i="8"/>
  <c r="H224" i="8"/>
  <c r="G218" i="8"/>
  <c r="G232" i="8"/>
  <c r="G450" i="23"/>
  <c r="H455" i="23" s="1"/>
  <c r="J85" i="11"/>
  <c r="H297" i="23"/>
  <c r="I42" i="25"/>
  <c r="T41" i="11"/>
  <c r="I381" i="23"/>
  <c r="M381" i="23"/>
  <c r="M42" i="25"/>
  <c r="AN41" i="11"/>
  <c r="Q381" i="23"/>
  <c r="BH41" i="11"/>
  <c r="Q42" i="25"/>
  <c r="U381" i="23"/>
  <c r="U42" i="25"/>
  <c r="CB41" i="11"/>
  <c r="Y42" i="25"/>
  <c r="CV41" i="11"/>
  <c r="Y381" i="23"/>
  <c r="H74" i="23"/>
  <c r="G78" i="23"/>
  <c r="H84" i="23" s="1"/>
  <c r="J127" i="17"/>
  <c r="G122" i="23"/>
  <c r="H126" i="23" s="1"/>
  <c r="H118" i="23"/>
  <c r="L15" i="11" s="1"/>
  <c r="G130" i="23"/>
  <c r="H136" i="23" s="1"/>
  <c r="J207" i="17"/>
  <c r="E46" i="6"/>
  <c r="G263" i="23"/>
  <c r="H270" i="23" s="1"/>
  <c r="J64" i="11"/>
  <c r="H233" i="23"/>
  <c r="J9" i="11"/>
  <c r="P9" i="11" s="1"/>
  <c r="J15" i="11"/>
  <c r="P15" i="11" s="1"/>
  <c r="G353" i="23"/>
  <c r="H360" i="23" s="1"/>
  <c r="H331" i="23"/>
  <c r="J102" i="11"/>
  <c r="P102" i="11" s="1"/>
  <c r="G326" i="23"/>
  <c r="G462" i="23"/>
  <c r="H467" i="23" s="1"/>
  <c r="T272" i="17"/>
  <c r="J93" i="11"/>
  <c r="J95" i="11" s="1"/>
  <c r="J121" i="11" s="1"/>
  <c r="J122" i="11" s="1"/>
  <c r="G304" i="23"/>
  <c r="K112" i="25"/>
  <c r="K307" i="23"/>
  <c r="L307" i="23"/>
  <c r="AD93" i="11"/>
  <c r="K304" i="23"/>
  <c r="Y94" i="11"/>
  <c r="J308" i="23"/>
  <c r="J114" i="25"/>
  <c r="I339" i="23"/>
  <c r="I336" i="23"/>
  <c r="I115" i="25"/>
  <c r="T108" i="11"/>
  <c r="O109" i="11"/>
  <c r="P109" i="11" s="1"/>
  <c r="H340" i="23"/>
  <c r="H117" i="25"/>
  <c r="G9" i="8"/>
  <c r="H14" i="8"/>
  <c r="H20" i="8"/>
  <c r="G6" i="8"/>
  <c r="G117" i="1"/>
  <c r="G257" i="23"/>
  <c r="J72" i="11"/>
  <c r="P72" i="11" s="1"/>
  <c r="H249" i="23"/>
  <c r="G1086" i="7"/>
  <c r="G46" i="6"/>
  <c r="M95" i="6" s="1"/>
  <c r="G63" i="7"/>
  <c r="G1069" i="7"/>
  <c r="J71" i="11"/>
  <c r="F46" i="6"/>
  <c r="L95" i="6" s="1"/>
  <c r="H245" i="23"/>
  <c r="G253" i="23"/>
  <c r="G10" i="7"/>
  <c r="G241" i="23"/>
  <c r="Q41" i="25"/>
  <c r="BH40" i="11"/>
  <c r="Q382" i="23"/>
  <c r="M41" i="25"/>
  <c r="AN40" i="11"/>
  <c r="M382" i="23"/>
  <c r="T40" i="11"/>
  <c r="I41" i="25"/>
  <c r="I382" i="23"/>
  <c r="DP41" i="11"/>
  <c r="E155" i="2"/>
  <c r="AC381" i="23"/>
  <c r="AC42" i="25"/>
  <c r="G292" i="1"/>
  <c r="G293" i="1"/>
  <c r="G75" i="1"/>
  <c r="G30" i="1"/>
  <c r="G23" i="23" s="1"/>
  <c r="H37" i="23" s="1"/>
  <c r="G230" i="1"/>
  <c r="G135" i="8" s="1"/>
  <c r="F33" i="6" l="1"/>
  <c r="L82" i="6" s="1"/>
  <c r="G45" i="6"/>
  <c r="M94" i="6" s="1"/>
  <c r="H673" i="7"/>
  <c r="F32" i="6"/>
  <c r="L81" i="6" s="1"/>
  <c r="G154" i="7"/>
  <c r="G890" i="7"/>
  <c r="G1065" i="7"/>
  <c r="H145" i="7"/>
  <c r="H602" i="7"/>
  <c r="G841" i="7"/>
  <c r="H672" i="7"/>
  <c r="F35" i="6"/>
  <c r="L84" i="6" s="1"/>
  <c r="G167" i="7"/>
  <c r="G171" i="7"/>
  <c r="G1092" i="7"/>
  <c r="H489" i="7"/>
  <c r="G35" i="6"/>
  <c r="M84" i="6" s="1"/>
  <c r="H38" i="7"/>
  <c r="G199" i="7"/>
  <c r="G173" i="7" s="1"/>
  <c r="J117" i="11"/>
  <c r="P117" i="11" s="1"/>
  <c r="G1064" i="7"/>
  <c r="G612" i="7"/>
  <c r="H147" i="7"/>
  <c r="G153" i="7"/>
  <c r="G533" i="7"/>
  <c r="F9" i="6"/>
  <c r="L58" i="6" s="1"/>
  <c r="G33" i="6"/>
  <c r="M82" i="6" s="1"/>
  <c r="H20" i="7"/>
  <c r="H21" i="7" s="1"/>
  <c r="G10" i="6"/>
  <c r="M59" i="6" s="1"/>
  <c r="G610" i="7"/>
  <c r="G336" i="7"/>
  <c r="G9" i="6"/>
  <c r="M58" i="6" s="1"/>
  <c r="G142" i="7"/>
  <c r="F10" i="6"/>
  <c r="L59" i="6" s="1"/>
  <c r="H836" i="7"/>
  <c r="G669" i="7"/>
  <c r="G1132" i="7" s="1"/>
  <c r="G1133" i="7" s="1"/>
  <c r="F31" i="6"/>
  <c r="L80" i="6" s="1"/>
  <c r="G1063" i="7"/>
  <c r="G611" i="7"/>
  <c r="G25" i="7"/>
  <c r="H26" i="7" s="1"/>
  <c r="H27" i="7" s="1"/>
  <c r="G981" i="7"/>
  <c r="E6" i="6"/>
  <c r="K55" i="6" s="1"/>
  <c r="H601" i="7"/>
  <c r="H184" i="7"/>
  <c r="J118" i="11"/>
  <c r="M118" i="11" s="1"/>
  <c r="G320" i="7"/>
  <c r="F28" i="6"/>
  <c r="L77" i="6" s="1"/>
  <c r="G135" i="7"/>
  <c r="H136" i="7" s="1"/>
  <c r="H137" i="7" s="1"/>
  <c r="H530" i="7"/>
  <c r="G1080" i="7"/>
  <c r="G1083" i="7" s="1"/>
  <c r="G33" i="7"/>
  <c r="G1057" i="7"/>
  <c r="G1060" i="7" s="1"/>
  <c r="G8" i="6"/>
  <c r="G537" i="7"/>
  <c r="G126" i="7"/>
  <c r="G114" i="7" s="1"/>
  <c r="H36" i="7"/>
  <c r="G1017" i="7"/>
  <c r="F27" i="6"/>
  <c r="L76" i="6" s="1"/>
  <c r="G45" i="7"/>
  <c r="G198" i="7"/>
  <c r="G168" i="7" s="1"/>
  <c r="H215" i="7"/>
  <c r="G597" i="7"/>
  <c r="G1075" i="7"/>
  <c r="H835" i="7"/>
  <c r="G28" i="6"/>
  <c r="M77" i="6" s="1"/>
  <c r="G502" i="7"/>
  <c r="G24" i="6"/>
  <c r="M73" i="6" s="1"/>
  <c r="H186" i="7"/>
  <c r="H527" i="7"/>
  <c r="G354" i="7"/>
  <c r="J355" i="7" s="1"/>
  <c r="H311" i="7"/>
  <c r="H324" i="7"/>
  <c r="H352" i="7" s="1"/>
  <c r="K353" i="7" s="1"/>
  <c r="G832" i="7"/>
  <c r="G523" i="7"/>
  <c r="H603" i="7"/>
  <c r="H487" i="7"/>
  <c r="F30" i="6"/>
  <c r="E30" i="6" s="1"/>
  <c r="G32" i="6"/>
  <c r="M81" i="6" s="1"/>
  <c r="G480" i="7"/>
  <c r="G180" i="7"/>
  <c r="G191" i="7"/>
  <c r="H323" i="7"/>
  <c r="H344" i="7" s="1"/>
  <c r="K345" i="7" s="1"/>
  <c r="G190" i="7"/>
  <c r="G227" i="7"/>
  <c r="G851" i="7"/>
  <c r="H858" i="7" s="1"/>
  <c r="G795" i="7"/>
  <c r="G820" i="7" s="1"/>
  <c r="H349" i="23"/>
  <c r="F24" i="6"/>
  <c r="G189" i="7"/>
  <c r="G503" i="7"/>
  <c r="G366" i="23"/>
  <c r="H369" i="23" s="1"/>
  <c r="G335" i="7"/>
  <c r="G346" i="7"/>
  <c r="J347" i="7" s="1"/>
  <c r="G534" i="7"/>
  <c r="G235" i="7"/>
  <c r="F18" i="6" s="1"/>
  <c r="L67" i="6" s="1"/>
  <c r="G796" i="7"/>
  <c r="G821" i="7" s="1"/>
  <c r="G166" i="7"/>
  <c r="H183" i="7"/>
  <c r="G464" i="7"/>
  <c r="H465" i="7" s="1"/>
  <c r="G850" i="7"/>
  <c r="G1070" i="7" s="1"/>
  <c r="G1071" i="7" s="1"/>
  <c r="J309" i="23"/>
  <c r="CU41" i="11"/>
  <c r="BG40" i="11"/>
  <c r="I341" i="23"/>
  <c r="Z94" i="11"/>
  <c r="AW41" i="11"/>
  <c r="CA41" i="11"/>
  <c r="M15" i="11"/>
  <c r="N15" i="11" s="1"/>
  <c r="BG41" i="11"/>
  <c r="G66" i="7"/>
  <c r="G67" i="7" s="1"/>
  <c r="H69" i="7" s="1"/>
  <c r="H72" i="7" s="1"/>
  <c r="DE41" i="11"/>
  <c r="AM41" i="11"/>
  <c r="S41" i="11"/>
  <c r="S40" i="11"/>
  <c r="G13" i="7"/>
  <c r="H14" i="7" s="1"/>
  <c r="H341" i="23"/>
  <c r="U94" i="11"/>
  <c r="CP41" i="11"/>
  <c r="AM40" i="11"/>
  <c r="AH41" i="11"/>
  <c r="X41" i="11"/>
  <c r="X40" i="11"/>
  <c r="DJ41" i="11"/>
  <c r="AR41" i="11"/>
  <c r="H309" i="23"/>
  <c r="G113" i="8"/>
  <c r="H120" i="8" s="1"/>
  <c r="G133" i="8"/>
  <c r="G111" i="8" s="1"/>
  <c r="H118" i="8" s="1"/>
  <c r="N367" i="7"/>
  <c r="N368" i="7" s="1"/>
  <c r="N370" i="7" s="1"/>
  <c r="N373" i="7" s="1"/>
  <c r="N382" i="7"/>
  <c r="N383" i="7" s="1"/>
  <c r="N385" i="7" s="1"/>
  <c r="H494" i="7"/>
  <c r="H496" i="7" s="1"/>
  <c r="H509" i="7"/>
  <c r="K510" i="7" s="1"/>
  <c r="H394" i="7"/>
  <c r="H396" i="7" s="1"/>
  <c r="H253" i="8"/>
  <c r="G249" i="8"/>
  <c r="H256" i="8" s="1"/>
  <c r="AE109" i="11"/>
  <c r="AJ109" i="11"/>
  <c r="M86" i="11"/>
  <c r="P86" i="11"/>
  <c r="U109" i="11"/>
  <c r="P7" i="11"/>
  <c r="J10" i="11"/>
  <c r="AA382" i="7"/>
  <c r="AA383" i="7" s="1"/>
  <c r="AA385" i="7" s="1"/>
  <c r="AA367" i="7"/>
  <c r="AA368" i="7" s="1"/>
  <c r="AA370" i="7" s="1"/>
  <c r="AD367" i="7"/>
  <c r="AD368" i="7" s="1"/>
  <c r="AD370" i="7" s="1"/>
  <c r="AD382" i="7"/>
  <c r="AD383" i="7" s="1"/>
  <c r="AD385" i="7" s="1"/>
  <c r="G258" i="23"/>
  <c r="G242" i="23"/>
  <c r="H250" i="23"/>
  <c r="U108" i="11"/>
  <c r="T110" i="11"/>
  <c r="AD95" i="11"/>
  <c r="AE93" i="11"/>
  <c r="AJ93" i="11"/>
  <c r="K95" i="6"/>
  <c r="J46" i="6"/>
  <c r="Z367" i="7"/>
  <c r="Z382" i="7"/>
  <c r="R367" i="7"/>
  <c r="R368" i="7" s="1"/>
  <c r="R370" i="7" s="1"/>
  <c r="R373" i="7" s="1"/>
  <c r="R382" i="7"/>
  <c r="R383" i="7" s="1"/>
  <c r="R385" i="7" s="1"/>
  <c r="J367" i="7"/>
  <c r="J368" i="7" s="1"/>
  <c r="J370" i="7" s="1"/>
  <c r="J373" i="7" s="1"/>
  <c r="J382" i="7"/>
  <c r="J383" i="7" s="1"/>
  <c r="J385" i="7" s="1"/>
  <c r="M85" i="11"/>
  <c r="P85" i="11"/>
  <c r="H197" i="8"/>
  <c r="H204" i="8" s="1"/>
  <c r="G248" i="8"/>
  <c r="P101" i="11"/>
  <c r="M101" i="11"/>
  <c r="Q272" i="17"/>
  <c r="U382" i="7"/>
  <c r="U383" i="7" s="1"/>
  <c r="U385" i="7" s="1"/>
  <c r="U367" i="7"/>
  <c r="U368" i="7" s="1"/>
  <c r="U370" i="7" s="1"/>
  <c r="U373" i="7" s="1"/>
  <c r="BB41" i="11"/>
  <c r="P57" i="11"/>
  <c r="M57" i="11"/>
  <c r="H55" i="7"/>
  <c r="K56" i="7" s="1"/>
  <c r="H42" i="7"/>
  <c r="H99" i="7"/>
  <c r="H96" i="7"/>
  <c r="N45" i="17"/>
  <c r="I40" i="17"/>
  <c r="S382" i="7"/>
  <c r="S383" i="7" s="1"/>
  <c r="S385" i="7" s="1"/>
  <c r="S367" i="7"/>
  <c r="S368" i="7" s="1"/>
  <c r="S370" i="7" s="1"/>
  <c r="S373" i="7" s="1"/>
  <c r="AC40" i="11"/>
  <c r="AW40" i="11"/>
  <c r="Z109" i="11"/>
  <c r="K341" i="23"/>
  <c r="L341" i="23"/>
  <c r="I309" i="23"/>
  <c r="G725" i="7"/>
  <c r="G700" i="7"/>
  <c r="H714" i="7"/>
  <c r="G736" i="7"/>
  <c r="L8" i="11"/>
  <c r="M8" i="11" s="1"/>
  <c r="L48" i="11"/>
  <c r="M48" i="11" s="1"/>
  <c r="N48" i="11" s="1"/>
  <c r="L49" i="11"/>
  <c r="M49" i="11" s="1"/>
  <c r="N49" i="11" s="1"/>
  <c r="CK41" i="11"/>
  <c r="L367" i="7"/>
  <c r="L368" i="7" s="1"/>
  <c r="L370" i="7" s="1"/>
  <c r="L373" i="7" s="1"/>
  <c r="L382" i="7"/>
  <c r="L383" i="7" s="1"/>
  <c r="L385" i="7" s="1"/>
  <c r="P58" i="11"/>
  <c r="M58" i="11"/>
  <c r="E38" i="20"/>
  <c r="V38" i="20" s="1"/>
  <c r="AU155" i="2"/>
  <c r="H202" i="8"/>
  <c r="Z108" i="11"/>
  <c r="Y110" i="11"/>
  <c r="I229" i="17"/>
  <c r="N234" i="17"/>
  <c r="K309" i="23"/>
  <c r="L309" i="23"/>
  <c r="G60" i="23"/>
  <c r="H67" i="23" s="1"/>
  <c r="J82" i="17"/>
  <c r="H42" i="23"/>
  <c r="L9" i="11" s="1"/>
  <c r="M9" i="11" s="1"/>
  <c r="I367" i="7"/>
  <c r="I368" i="7" s="1"/>
  <c r="I370" i="7" s="1"/>
  <c r="I373" i="7" s="1"/>
  <c r="I382" i="7"/>
  <c r="I383" i="7" s="1"/>
  <c r="I385" i="7" s="1"/>
  <c r="M62" i="11"/>
  <c r="P62" i="11"/>
  <c r="BQ41" i="11"/>
  <c r="F38" i="20"/>
  <c r="W38" i="20" s="1"/>
  <c r="AV155" i="2"/>
  <c r="P71" i="11"/>
  <c r="J73" i="11"/>
  <c r="J74" i="11" s="1"/>
  <c r="U272" i="17"/>
  <c r="I207" i="17"/>
  <c r="N212" i="17"/>
  <c r="I127" i="17"/>
  <c r="N132" i="17"/>
  <c r="V382" i="7"/>
  <c r="V383" i="7" s="1"/>
  <c r="V385" i="7" s="1"/>
  <c r="V367" i="7"/>
  <c r="V368" i="7" s="1"/>
  <c r="V370" i="7" s="1"/>
  <c r="V373" i="7" s="1"/>
  <c r="CF41" i="11"/>
  <c r="K367" i="7"/>
  <c r="K368" i="7" s="1"/>
  <c r="K370" i="7" s="1"/>
  <c r="K373" i="7" s="1"/>
  <c r="K382" i="7"/>
  <c r="K383" i="7" s="1"/>
  <c r="K385" i="7" s="1"/>
  <c r="H87" i="7"/>
  <c r="H84" i="7"/>
  <c r="AB382" i="7"/>
  <c r="AB383" i="7" s="1"/>
  <c r="AB385" i="7" s="1"/>
  <c r="AB367" i="7"/>
  <c r="AB368" i="7" s="1"/>
  <c r="AB370" i="7" s="1"/>
  <c r="O110" i="11"/>
  <c r="P110" i="11" s="1"/>
  <c r="P108" i="11"/>
  <c r="P13" i="11"/>
  <c r="M13" i="11"/>
  <c r="Q367" i="7"/>
  <c r="Q368" i="7" s="1"/>
  <c r="Q370" i="7" s="1"/>
  <c r="Q373" i="7" s="1"/>
  <c r="Q382" i="7"/>
  <c r="Q383" i="7" s="1"/>
  <c r="Q385" i="7" s="1"/>
  <c r="J80" i="11"/>
  <c r="P80" i="11" s="1"/>
  <c r="J11" i="11"/>
  <c r="P11" i="11" s="1"/>
  <c r="G444" i="23"/>
  <c r="H447" i="23" s="1"/>
  <c r="E47" i="6"/>
  <c r="H277" i="23"/>
  <c r="G281" i="23"/>
  <c r="H287" i="23" s="1"/>
  <c r="E36" i="6"/>
  <c r="K85" i="6" s="1"/>
  <c r="L85" i="6"/>
  <c r="H268" i="23"/>
  <c r="G264" i="23"/>
  <c r="H205" i="8"/>
  <c r="H203" i="8"/>
  <c r="M63" i="11"/>
  <c r="P63" i="11"/>
  <c r="G136" i="8"/>
  <c r="G114" i="8" s="1"/>
  <c r="H121" i="8" s="1"/>
  <c r="AD110" i="11"/>
  <c r="AJ108" i="11"/>
  <c r="AE108" i="11"/>
  <c r="U93" i="11"/>
  <c r="T95" i="11"/>
  <c r="T121" i="11" s="1"/>
  <c r="T122" i="11" s="1"/>
  <c r="I188" i="17"/>
  <c r="N193" i="17"/>
  <c r="X382" i="7"/>
  <c r="X383" i="7" s="1"/>
  <c r="X385" i="7" s="1"/>
  <c r="X367" i="7"/>
  <c r="X368" i="7" s="1"/>
  <c r="X370" i="7" s="1"/>
  <c r="AC41" i="11"/>
  <c r="M100" i="11"/>
  <c r="P100" i="11"/>
  <c r="BB40" i="11"/>
  <c r="H461" i="7"/>
  <c r="G478" i="7"/>
  <c r="G182" i="8"/>
  <c r="H175" i="8"/>
  <c r="G147" i="8"/>
  <c r="H206" i="8"/>
  <c r="P16" i="11"/>
  <c r="H49" i="6"/>
  <c r="K54" i="6"/>
  <c r="H72" i="8"/>
  <c r="K73" i="8" s="1"/>
  <c r="H70" i="8"/>
  <c r="K71" i="8" s="1"/>
  <c r="L16" i="11"/>
  <c r="L115" i="11" s="1"/>
  <c r="M115" i="11" s="1"/>
  <c r="N115" i="11" s="1"/>
  <c r="H68" i="8"/>
  <c r="K69" i="8" s="1"/>
  <c r="O382" i="7"/>
  <c r="O383" i="7" s="1"/>
  <c r="O385" i="7" s="1"/>
  <c r="O367" i="7"/>
  <c r="O368" i="7" s="1"/>
  <c r="O370" i="7" s="1"/>
  <c r="O373" i="7" s="1"/>
  <c r="I147" i="17"/>
  <c r="N152" i="17"/>
  <c r="M382" i="7"/>
  <c r="M383" i="7" s="1"/>
  <c r="M385" i="7" s="1"/>
  <c r="M367" i="7"/>
  <c r="M368" i="7" s="1"/>
  <c r="M370" i="7" s="1"/>
  <c r="M373" i="7" s="1"/>
  <c r="J59" i="11"/>
  <c r="P59" i="11" s="1"/>
  <c r="G418" i="23"/>
  <c r="H430" i="23" s="1"/>
  <c r="H228" i="23"/>
  <c r="G215" i="23"/>
  <c r="BL41" i="11"/>
  <c r="M272" i="17"/>
  <c r="DO41" i="11"/>
  <c r="G221" i="23"/>
  <c r="P64" i="11"/>
  <c r="G166" i="8"/>
  <c r="G167" i="8" s="1"/>
  <c r="H55" i="23"/>
  <c r="G49" i="23"/>
  <c r="AJ94" i="11"/>
  <c r="AE94" i="11"/>
  <c r="W367" i="7"/>
  <c r="W368" i="7" s="1"/>
  <c r="W370" i="7" s="1"/>
  <c r="W373" i="7" s="1"/>
  <c r="W382" i="7"/>
  <c r="W383" i="7" s="1"/>
  <c r="W385" i="7" s="1"/>
  <c r="AR40" i="11"/>
  <c r="L94" i="6"/>
  <c r="Y95" i="11"/>
  <c r="Z93" i="11"/>
  <c r="I166" i="17"/>
  <c r="N171" i="17"/>
  <c r="Y367" i="7"/>
  <c r="Y368" i="7" s="1"/>
  <c r="Y370" i="7" s="1"/>
  <c r="Y382" i="7"/>
  <c r="Y383" i="7" s="1"/>
  <c r="Y385" i="7" s="1"/>
  <c r="BV41" i="11"/>
  <c r="O95" i="11"/>
  <c r="P95" i="11" s="1"/>
  <c r="P93" i="11"/>
  <c r="G866" i="7"/>
  <c r="H860" i="7"/>
  <c r="L34" i="11"/>
  <c r="M34" i="11" s="1"/>
  <c r="N34" i="11" s="1"/>
  <c r="L7" i="11"/>
  <c r="M7" i="11" s="1"/>
  <c r="N64" i="17"/>
  <c r="I59" i="17"/>
  <c r="T382" i="7"/>
  <c r="T383" i="7" s="1"/>
  <c r="T385" i="7" s="1"/>
  <c r="T367" i="7"/>
  <c r="T368" i="7" s="1"/>
  <c r="T370" i="7" s="1"/>
  <c r="T373" i="7" s="1"/>
  <c r="P367" i="7"/>
  <c r="P368" i="7" s="1"/>
  <c r="P370" i="7" s="1"/>
  <c r="P373" i="7" s="1"/>
  <c r="P382" i="7"/>
  <c r="P383" i="7" s="1"/>
  <c r="P385" i="7" s="1"/>
  <c r="AC382" i="7"/>
  <c r="AC383" i="7" s="1"/>
  <c r="AC385" i="7" s="1"/>
  <c r="AC367" i="7"/>
  <c r="AC368" i="7" s="1"/>
  <c r="AC370" i="7" s="1"/>
  <c r="AH40" i="11"/>
  <c r="F15" i="6"/>
  <c r="L64" i="6" s="1"/>
  <c r="E13" i="6"/>
  <c r="L62" i="6"/>
  <c r="E11" i="6"/>
  <c r="K60" i="6" s="1"/>
  <c r="L60" i="6"/>
  <c r="J341" i="23"/>
  <c r="H358" i="7"/>
  <c r="K359" i="7" s="1"/>
  <c r="H332" i="7"/>
  <c r="H331" i="7"/>
  <c r="H454" i="7"/>
  <c r="H456" i="7" s="1"/>
  <c r="H459" i="7" s="1"/>
  <c r="H443" i="7"/>
  <c r="H445" i="7" s="1"/>
  <c r="H448" i="7" s="1"/>
  <c r="H102" i="7"/>
  <c r="H104" i="7" s="1"/>
  <c r="H330" i="7"/>
  <c r="CZ41" i="11"/>
  <c r="G294" i="1"/>
  <c r="E45" i="6" l="1"/>
  <c r="J45" i="6" s="1"/>
  <c r="E8" i="6"/>
  <c r="K57" i="6" s="1"/>
  <c r="G681" i="7"/>
  <c r="H127" i="7"/>
  <c r="E35" i="6"/>
  <c r="K84" i="6" s="1"/>
  <c r="I35" i="6"/>
  <c r="O84" i="6" s="1"/>
  <c r="G312" i="7"/>
  <c r="I313" i="7" s="1"/>
  <c r="I314" i="7" s="1"/>
  <c r="H210" i="7"/>
  <c r="G1066" i="7"/>
  <c r="G219" i="7"/>
  <c r="G276" i="7"/>
  <c r="G288" i="7" s="1"/>
  <c r="E10" i="6"/>
  <c r="K59" i="6" s="1"/>
  <c r="L79" i="6"/>
  <c r="F12" i="6"/>
  <c r="F22" i="6" s="1"/>
  <c r="E27" i="6"/>
  <c r="K76" i="6" s="1"/>
  <c r="E33" i="6"/>
  <c r="K82" i="6" s="1"/>
  <c r="E24" i="6"/>
  <c r="K73" i="6" s="1"/>
  <c r="G12" i="6"/>
  <c r="M61" i="6" s="1"/>
  <c r="G218" i="7"/>
  <c r="M57" i="6"/>
  <c r="E31" i="6"/>
  <c r="P118" i="11"/>
  <c r="H675" i="7"/>
  <c r="G877" i="7"/>
  <c r="G878" i="7" s="1"/>
  <c r="E9" i="6"/>
  <c r="K58" i="6" s="1"/>
  <c r="F47" i="6"/>
  <c r="L96" i="6" s="1"/>
  <c r="E28" i="6"/>
  <c r="K77" i="6" s="1"/>
  <c r="H857" i="7"/>
  <c r="H239" i="7"/>
  <c r="G18" i="6"/>
  <c r="M67" i="6" s="1"/>
  <c r="H209" i="7"/>
  <c r="G1074" i="7"/>
  <c r="G1076" i="7" s="1"/>
  <c r="G252" i="7"/>
  <c r="F40" i="6"/>
  <c r="L89" i="6" s="1"/>
  <c r="G206" i="7"/>
  <c r="H808" i="7"/>
  <c r="G247" i="7"/>
  <c r="E32" i="6"/>
  <c r="G864" i="7"/>
  <c r="G47" i="6"/>
  <c r="M96" i="6" s="1"/>
  <c r="G40" i="6"/>
  <c r="M89" i="6" s="1"/>
  <c r="G1087" i="7"/>
  <c r="G1088" i="7" s="1"/>
  <c r="L73" i="6"/>
  <c r="H244" i="7"/>
  <c r="H432" i="7" s="1"/>
  <c r="G236" i="7"/>
  <c r="G299" i="7"/>
  <c r="I300" i="7" s="1"/>
  <c r="I301" i="7" s="1"/>
  <c r="G798" i="7"/>
  <c r="H366" i="7"/>
  <c r="G275" i="7"/>
  <c r="G644" i="7" s="1"/>
  <c r="G1091" i="7"/>
  <c r="G1093" i="7" s="1"/>
  <c r="G863" i="7"/>
  <c r="H809" i="7"/>
  <c r="G854" i="7"/>
  <c r="H216" i="7"/>
  <c r="H75" i="7"/>
  <c r="H149" i="23"/>
  <c r="L28" i="11" s="1"/>
  <c r="H342" i="7"/>
  <c r="K343" i="7" s="1"/>
  <c r="Z110" i="11"/>
  <c r="Z95" i="11"/>
  <c r="M16" i="11"/>
  <c r="N16" i="11" s="1"/>
  <c r="AC388" i="7"/>
  <c r="AC391" i="7"/>
  <c r="O388" i="7"/>
  <c r="O391" i="7"/>
  <c r="G146" i="8"/>
  <c r="G181" i="8"/>
  <c r="H174" i="8"/>
  <c r="N100" i="11"/>
  <c r="M102" i="11"/>
  <c r="H182" i="23"/>
  <c r="H22" i="25" s="1"/>
  <c r="K96" i="6"/>
  <c r="K73" i="11"/>
  <c r="I73" i="11"/>
  <c r="P73" i="11"/>
  <c r="L388" i="7"/>
  <c r="L391" i="7"/>
  <c r="R391" i="7"/>
  <c r="R388" i="7"/>
  <c r="AD121" i="11"/>
  <c r="AD122" i="11" s="1"/>
  <c r="AJ95" i="11"/>
  <c r="AE95" i="11"/>
  <c r="AA391" i="7"/>
  <c r="AA388" i="7"/>
  <c r="P10" i="11"/>
  <c r="J12" i="11"/>
  <c r="P388" i="7"/>
  <c r="P391" i="7"/>
  <c r="H141" i="23"/>
  <c r="M10" i="11"/>
  <c r="N7" i="11"/>
  <c r="H172" i="23"/>
  <c r="H12" i="25" s="1"/>
  <c r="O121" i="11"/>
  <c r="O122" i="11" s="1"/>
  <c r="Y121" i="11"/>
  <c r="Y122" i="11" s="1"/>
  <c r="M391" i="7"/>
  <c r="M388" i="7"/>
  <c r="H147" i="23"/>
  <c r="N13" i="11"/>
  <c r="V388" i="7"/>
  <c r="V391" i="7"/>
  <c r="V272" i="17"/>
  <c r="H173" i="23"/>
  <c r="H13" i="25" s="1"/>
  <c r="N8" i="11"/>
  <c r="H142" i="23"/>
  <c r="L21" i="11" s="1"/>
  <c r="R272" i="17"/>
  <c r="N85" i="11"/>
  <c r="H180" i="23"/>
  <c r="H20" i="25" s="1"/>
  <c r="M87" i="11"/>
  <c r="U110" i="11"/>
  <c r="AD388" i="7"/>
  <c r="AD391" i="7"/>
  <c r="K106" i="7"/>
  <c r="K109" i="7" s="1"/>
  <c r="L106" i="7"/>
  <c r="T388" i="7"/>
  <c r="T391" i="7"/>
  <c r="AB391" i="7"/>
  <c r="AB388" i="7"/>
  <c r="I388" i="7"/>
  <c r="I391" i="7"/>
  <c r="I82" i="17"/>
  <c r="N90" i="17"/>
  <c r="K62" i="6"/>
  <c r="J13" i="6"/>
  <c r="W391" i="7"/>
  <c r="W388" i="7"/>
  <c r="X373" i="7"/>
  <c r="X376" i="7"/>
  <c r="G265" i="23"/>
  <c r="G280" i="23"/>
  <c r="H271" i="23"/>
  <c r="H185" i="23"/>
  <c r="H25" i="25" s="1"/>
  <c r="N58" i="11"/>
  <c r="H748" i="7"/>
  <c r="G737" i="7"/>
  <c r="G758" i="7"/>
  <c r="N101" i="11"/>
  <c r="H181" i="23"/>
  <c r="H21" i="25" s="1"/>
  <c r="H255" i="8"/>
  <c r="G250" i="8"/>
  <c r="H254" i="8" s="1"/>
  <c r="J391" i="7"/>
  <c r="J388" i="7"/>
  <c r="AM382" i="7"/>
  <c r="Z383" i="7"/>
  <c r="AD373" i="7"/>
  <c r="AD376" i="7"/>
  <c r="N391" i="7"/>
  <c r="N388" i="7"/>
  <c r="Y376" i="7"/>
  <c r="Y373" i="7"/>
  <c r="K388" i="7"/>
  <c r="K391" i="7"/>
  <c r="J30" i="6"/>
  <c r="K79" i="6"/>
  <c r="AC376" i="7"/>
  <c r="AC373" i="7"/>
  <c r="Y388" i="7"/>
  <c r="Y391" i="7"/>
  <c r="G164" i="8"/>
  <c r="G145" i="8"/>
  <c r="G180" i="8"/>
  <c r="H173" i="8"/>
  <c r="N272" i="17"/>
  <c r="H154" i="8"/>
  <c r="G161" i="8"/>
  <c r="H490" i="7"/>
  <c r="G479" i="7"/>
  <c r="H491" i="7" s="1"/>
  <c r="X388" i="7"/>
  <c r="X391" i="7"/>
  <c r="U95" i="11"/>
  <c r="AE110" i="11"/>
  <c r="AJ110" i="11"/>
  <c r="H177" i="23"/>
  <c r="H17" i="25" s="1"/>
  <c r="N63" i="11"/>
  <c r="Q388" i="7"/>
  <c r="Q391" i="7"/>
  <c r="G116" i="7"/>
  <c r="H118" i="7" s="1"/>
  <c r="H121" i="7" s="1"/>
  <c r="H123" i="7"/>
  <c r="AB373" i="7"/>
  <c r="AB376" i="7"/>
  <c r="N62" i="11"/>
  <c r="H176" i="23"/>
  <c r="H16" i="25" s="1"/>
  <c r="H174" i="23"/>
  <c r="H14" i="25" s="1"/>
  <c r="N9" i="11"/>
  <c r="H143" i="23"/>
  <c r="L22" i="11" s="1"/>
  <c r="N118" i="11"/>
  <c r="H186" i="23"/>
  <c r="H44" i="25" s="1"/>
  <c r="G1135" i="7"/>
  <c r="G1145" i="7"/>
  <c r="G1146" i="7" s="1"/>
  <c r="S388" i="7"/>
  <c r="S391" i="7"/>
  <c r="M59" i="11"/>
  <c r="N57" i="11"/>
  <c r="U388" i="7"/>
  <c r="U391" i="7"/>
  <c r="Z368" i="7"/>
  <c r="AM367" i="7"/>
  <c r="AA373" i="7"/>
  <c r="AA376" i="7"/>
  <c r="H179" i="23"/>
  <c r="H19" i="25" s="1"/>
  <c r="N86" i="11"/>
  <c r="L398" i="7"/>
  <c r="L401" i="7" s="1"/>
  <c r="K398" i="7"/>
  <c r="K401" i="7" s="1"/>
  <c r="J31" i="6" l="1"/>
  <c r="K94" i="6"/>
  <c r="J8" i="6"/>
  <c r="I48" i="6"/>
  <c r="O97" i="6" s="1"/>
  <c r="G624" i="7"/>
  <c r="G636" i="7" s="1"/>
  <c r="E18" i="6"/>
  <c r="K67" i="6" s="1"/>
  <c r="H350" i="7"/>
  <c r="K351" i="7" s="1"/>
  <c r="G22" i="6"/>
  <c r="E22" i="6" s="1"/>
  <c r="K71" i="6" s="1"/>
  <c r="H379" i="7"/>
  <c r="H381" i="7" s="1"/>
  <c r="J17" i="6"/>
  <c r="J35" i="6"/>
  <c r="G623" i="7"/>
  <c r="G635" i="7" s="1"/>
  <c r="H282" i="7"/>
  <c r="G645" i="7"/>
  <c r="H651" i="7" s="1"/>
  <c r="K80" i="6"/>
  <c r="J16" i="6"/>
  <c r="L61" i="6"/>
  <c r="J32" i="6"/>
  <c r="J33" i="6"/>
  <c r="J47" i="6"/>
  <c r="E40" i="6"/>
  <c r="J40" i="6" s="1"/>
  <c r="E12" i="6"/>
  <c r="K61" i="6" s="1"/>
  <c r="K81" i="6"/>
  <c r="H281" i="7"/>
  <c r="G278" i="7"/>
  <c r="H284" i="7" s="1"/>
  <c r="G287" i="7"/>
  <c r="H183" i="23"/>
  <c r="H23" i="25" s="1"/>
  <c r="H151" i="23"/>
  <c r="L29" i="11" s="1"/>
  <c r="M11" i="11"/>
  <c r="L11" i="11" s="1"/>
  <c r="L80" i="11" s="1"/>
  <c r="M80" i="11" s="1"/>
  <c r="N80" i="11" s="1"/>
  <c r="F29" i="6"/>
  <c r="L71" i="6"/>
  <c r="H385" i="23"/>
  <c r="H125" i="25" s="1"/>
  <c r="H257" i="8"/>
  <c r="H258" i="8"/>
  <c r="G282" i="23"/>
  <c r="H286" i="23"/>
  <c r="N87" i="11"/>
  <c r="L87" i="11"/>
  <c r="H91" i="23"/>
  <c r="J14" i="11"/>
  <c r="P14" i="11" s="1"/>
  <c r="P12" i="11"/>
  <c r="Z385" i="7"/>
  <c r="AM383" i="7"/>
  <c r="I385" i="23"/>
  <c r="I125" i="25" s="1"/>
  <c r="J385" i="23"/>
  <c r="J125" i="25" s="1"/>
  <c r="H152" i="8"/>
  <c r="G159" i="8"/>
  <c r="H150" i="23"/>
  <c r="L26" i="11"/>
  <c r="H144" i="23"/>
  <c r="L23" i="11" s="1"/>
  <c r="N10" i="11"/>
  <c r="L10" i="11"/>
  <c r="H62" i="23"/>
  <c r="N102" i="11"/>
  <c r="H113" i="23"/>
  <c r="L102" i="11"/>
  <c r="G160" i="8"/>
  <c r="H153" i="8"/>
  <c r="AM368" i="7"/>
  <c r="Z370" i="7"/>
  <c r="M64" i="11"/>
  <c r="N59" i="11"/>
  <c r="H24" i="23"/>
  <c r="L59" i="11"/>
  <c r="H175" i="23"/>
  <c r="H15" i="25" s="1"/>
  <c r="G764" i="7"/>
  <c r="G656" i="7"/>
  <c r="H650" i="7"/>
  <c r="H661" i="7" s="1"/>
  <c r="G237" i="8"/>
  <c r="H171" i="8"/>
  <c r="G143" i="8"/>
  <c r="G178" i="8"/>
  <c r="L109" i="7"/>
  <c r="L112" i="7"/>
  <c r="H139" i="23"/>
  <c r="L20" i="11"/>
  <c r="H630" i="7" l="1"/>
  <c r="G765" i="7"/>
  <c r="G873" i="7" s="1"/>
  <c r="I49" i="6"/>
  <c r="G290" i="7"/>
  <c r="M71" i="6"/>
  <c r="G626" i="7"/>
  <c r="G638" i="7" s="1"/>
  <c r="J18" i="6"/>
  <c r="G647" i="7"/>
  <c r="G659" i="7" s="1"/>
  <c r="H629" i="7"/>
  <c r="G29" i="6"/>
  <c r="E29" i="6" s="1"/>
  <c r="K78" i="6" s="1"/>
  <c r="G657" i="7"/>
  <c r="K89" i="6"/>
  <c r="H178" i="23"/>
  <c r="H18" i="25" s="1"/>
  <c r="M12" i="11"/>
  <c r="M14" i="11" s="1"/>
  <c r="N11" i="11"/>
  <c r="H145" i="23"/>
  <c r="L24" i="11" s="1"/>
  <c r="Z388" i="7"/>
  <c r="AM388" i="7" s="1"/>
  <c r="Z391" i="7"/>
  <c r="AM391" i="7" s="1"/>
  <c r="AM385" i="7"/>
  <c r="L78" i="6"/>
  <c r="F34" i="6"/>
  <c r="G872" i="7"/>
  <c r="H770" i="7"/>
  <c r="G776" i="7"/>
  <c r="G782" i="7"/>
  <c r="Z373" i="7"/>
  <c r="AM373" i="7" s="1"/>
  <c r="AM370" i="7"/>
  <c r="Z376" i="7"/>
  <c r="AM376" i="7" s="1"/>
  <c r="G157" i="8"/>
  <c r="H150" i="8"/>
  <c r="M75" i="11"/>
  <c r="N64" i="11"/>
  <c r="H30" i="23"/>
  <c r="L64" i="11"/>
  <c r="H288" i="23"/>
  <c r="G283" i="23"/>
  <c r="G312" i="23"/>
  <c r="H771" i="7" l="1"/>
  <c r="G767" i="7"/>
  <c r="G779" i="7" s="1"/>
  <c r="G777" i="7"/>
  <c r="H653" i="7"/>
  <c r="H632" i="7"/>
  <c r="G34" i="6"/>
  <c r="M83" i="6" s="1"/>
  <c r="M78" i="6"/>
  <c r="N12" i="11"/>
  <c r="L12" i="11"/>
  <c r="H146" i="23"/>
  <c r="L25" i="11" s="1"/>
  <c r="H80" i="23"/>
  <c r="H882" i="7"/>
  <c r="G888" i="7"/>
  <c r="N75" i="11"/>
  <c r="Q75" i="11"/>
  <c r="L83" i="6"/>
  <c r="F39" i="6"/>
  <c r="H102" i="23"/>
  <c r="H148" i="23"/>
  <c r="L27" i="11" s="1"/>
  <c r="N14" i="11"/>
  <c r="L14" i="11"/>
  <c r="H318" i="23"/>
  <c r="G314" i="23"/>
  <c r="H881" i="7"/>
  <c r="G887" i="7"/>
  <c r="G876" i="7"/>
  <c r="G2" i="7" s="1"/>
  <c r="E34" i="6" l="1"/>
  <c r="K83" i="6" s="1"/>
  <c r="G39" i="6"/>
  <c r="G48" i="6" s="1"/>
  <c r="H773" i="7"/>
  <c r="H2" i="23"/>
  <c r="L4" i="11" s="1"/>
  <c r="L88" i="6"/>
  <c r="F48" i="6"/>
  <c r="H320" i="23"/>
  <c r="G315" i="23"/>
  <c r="G2" i="23" s="1"/>
  <c r="G4" i="11" s="1"/>
  <c r="G352" i="23"/>
  <c r="M88" i="6" l="1"/>
  <c r="E39" i="6"/>
  <c r="K88" i="6" s="1"/>
  <c r="M97" i="6"/>
  <c r="G49" i="6"/>
  <c r="L97" i="6"/>
  <c r="F49" i="6"/>
  <c r="H359" i="23"/>
  <c r="G354" i="23"/>
  <c r="H361" i="23" s="1"/>
  <c r="E48" i="6" l="1"/>
  <c r="J48" i="6" s="1"/>
  <c r="K97" i="6" l="1"/>
  <c r="K267" i="2" l="1"/>
  <c r="I268" i="2" l="1"/>
  <c r="I271" i="2"/>
  <c r="K268" i="2"/>
  <c r="K271" i="2"/>
  <c r="L118" i="20"/>
  <c r="BB267" i="2"/>
  <c r="BB268" i="2" l="1"/>
  <c r="L119" i="20"/>
  <c r="AZ268" i="2"/>
  <c r="J119" i="20"/>
  <c r="L122" i="20"/>
  <c r="BB271" i="2"/>
  <c r="AZ271" i="2"/>
  <c r="J122" i="20"/>
  <c r="M271" i="2" l="1"/>
  <c r="K269" i="2"/>
  <c r="M268" i="2"/>
  <c r="BD268" i="2" l="1"/>
  <c r="N119" i="20"/>
  <c r="BB269" i="2"/>
  <c r="L120" i="20"/>
  <c r="BD271" i="2"/>
  <c r="N122" i="20"/>
  <c r="O267" i="2" l="1"/>
  <c r="BF267" i="2" l="1"/>
  <c r="P118" i="20"/>
  <c r="O271" i="2" l="1"/>
  <c r="BF271" i="2" s="1"/>
  <c r="O268" i="2"/>
  <c r="BF268" i="2" s="1"/>
  <c r="O269" i="2"/>
  <c r="P120" i="20" s="1"/>
  <c r="P119" i="20" l="1"/>
  <c r="P122" i="20"/>
  <c r="BF269" i="2"/>
  <c r="DN75" i="11" l="1"/>
  <c r="DM75" i="11" s="1"/>
  <c r="DP75" i="11"/>
  <c r="AC53" i="23"/>
  <c r="DE77" i="17" s="1"/>
  <c r="AC184" i="23"/>
  <c r="DS71" i="11"/>
  <c r="DS72" i="11" s="1"/>
  <c r="DR72" i="11" s="1"/>
  <c r="AD53" i="23" s="1"/>
  <c r="DF77" i="17" s="1"/>
  <c r="AC249" i="23"/>
  <c r="AC240" i="23" s="1"/>
  <c r="AC54" i="23"/>
  <c r="DE85" i="17" s="1"/>
  <c r="AC245" i="23"/>
  <c r="AC236" i="23" s="1"/>
  <c r="DR75" i="11" l="1"/>
  <c r="DO75" i="11"/>
  <c r="AC46" i="23"/>
  <c r="AD46" i="23" s="1"/>
  <c r="AC253" i="23"/>
  <c r="AC63" i="7"/>
  <c r="AC66" i="7" s="1"/>
  <c r="AC477" i="23"/>
  <c r="EH46" i="6"/>
  <c r="AC1069" i="7"/>
  <c r="AC1071" i="7" s="1"/>
  <c r="AC241" i="23"/>
  <c r="AC10" i="7"/>
  <c r="AC13" i="7" s="1"/>
  <c r="AC872" i="7"/>
  <c r="AC257" i="23"/>
  <c r="EI46" i="6"/>
  <c r="AC873" i="7"/>
  <c r="AC47" i="23"/>
  <c r="AC1086" i="7"/>
  <c r="AC1088" i="7" s="1"/>
  <c r="DS73" i="11"/>
  <c r="DR73" i="11" s="1"/>
  <c r="DU71" i="11"/>
  <c r="E128" i="2"/>
  <c r="AC24" i="25"/>
  <c r="AC49" i="23" l="1"/>
  <c r="AC15" i="7"/>
  <c r="AC17" i="7" s="1"/>
  <c r="AD14" i="7"/>
  <c r="EI48" i="6"/>
  <c r="EI95" i="6"/>
  <c r="AC881" i="7"/>
  <c r="AC887" i="7"/>
  <c r="AC875" i="7"/>
  <c r="AC876" i="7" s="1"/>
  <c r="AC165" i="25"/>
  <c r="AC250" i="23"/>
  <c r="AC258" i="23"/>
  <c r="AC242" i="23"/>
  <c r="AC2" i="23" s="1"/>
  <c r="DM4" i="11" s="1"/>
  <c r="AC67" i="7"/>
  <c r="AC69" i="7"/>
  <c r="AC78" i="25"/>
  <c r="E209" i="2"/>
  <c r="AC888" i="7"/>
  <c r="AC882" i="7"/>
  <c r="AC164" i="25"/>
  <c r="AV128" i="2"/>
  <c r="E296" i="2"/>
  <c r="E321" i="2"/>
  <c r="E322" i="2" s="1"/>
  <c r="AD47" i="23"/>
  <c r="AC438" i="23"/>
  <c r="AC441" i="23" s="1"/>
  <c r="DU72" i="11"/>
  <c r="DU73" i="11" s="1"/>
  <c r="DV71" i="11"/>
  <c r="AD245" i="23" s="1"/>
  <c r="AD236" i="23" s="1"/>
  <c r="DX71" i="11"/>
  <c r="AC67" i="25"/>
  <c r="E196" i="2"/>
  <c r="EL46" i="6"/>
  <c r="EH95" i="6"/>
  <c r="EH48" i="6"/>
  <c r="AV196" i="2" l="1"/>
  <c r="H351" i="20"/>
  <c r="I351" i="20"/>
  <c r="Z351" i="20" s="1"/>
  <c r="I353" i="20"/>
  <c r="Z353" i="20" s="1"/>
  <c r="H354" i="20"/>
  <c r="Y354" i="20" s="1"/>
  <c r="H353" i="20"/>
  <c r="Y353" i="20" s="1"/>
  <c r="F41" i="20"/>
  <c r="W41" i="20" s="1"/>
  <c r="DT73" i="11"/>
  <c r="DU75" i="11"/>
  <c r="DT75" i="11" s="1"/>
  <c r="DV73" i="11"/>
  <c r="AD250" i="23" s="1"/>
  <c r="AD241" i="23" s="1"/>
  <c r="AD438" i="23"/>
  <c r="AD441" i="23" s="1"/>
  <c r="AE47" i="23"/>
  <c r="AE438" i="23" s="1"/>
  <c r="EH97" i="6"/>
  <c r="EH49" i="6"/>
  <c r="DZ71" i="11"/>
  <c r="DX72" i="11"/>
  <c r="DW72" i="11" s="1"/>
  <c r="AE53" i="23" s="1"/>
  <c r="AD49" i="23"/>
  <c r="H147" i="20"/>
  <c r="Y147" i="20" s="1"/>
  <c r="F322" i="2"/>
  <c r="AC72" i="7"/>
  <c r="AC75" i="7"/>
  <c r="AC884" i="7"/>
  <c r="AC878" i="7"/>
  <c r="AC2" i="7" s="1"/>
  <c r="AC890" i="7"/>
  <c r="AC173" i="25"/>
  <c r="EI49" i="6"/>
  <c r="EI97" i="6"/>
  <c r="AD253" i="23"/>
  <c r="AD477" i="23"/>
  <c r="AD63" i="7"/>
  <c r="AD66" i="7" s="1"/>
  <c r="AD10" i="7"/>
  <c r="AD13" i="7" s="1"/>
  <c r="EN46" i="6"/>
  <c r="AD872" i="7"/>
  <c r="AD1069" i="7"/>
  <c r="AD1071" i="7" s="1"/>
  <c r="H146" i="20"/>
  <c r="Y146" i="20" s="1"/>
  <c r="F296" i="2"/>
  <c r="DT72" i="11"/>
  <c r="DV72" i="11"/>
  <c r="AD249" i="23" s="1"/>
  <c r="AD240" i="23" s="1"/>
  <c r="AV209" i="2"/>
  <c r="I386" i="20"/>
  <c r="Z386" i="20" s="1"/>
  <c r="H386" i="20"/>
  <c r="Y386" i="20" s="1"/>
  <c r="H389" i="20"/>
  <c r="Y389" i="20" s="1"/>
  <c r="H388" i="20"/>
  <c r="Y388" i="20" s="1"/>
  <c r="AE441" i="23" l="1"/>
  <c r="DX73" i="11"/>
  <c r="DW73" i="11" s="1"/>
  <c r="AD15" i="7"/>
  <c r="AD17" i="7" s="1"/>
  <c r="AE14" i="7"/>
  <c r="AD67" i="7"/>
  <c r="AD69" i="7"/>
  <c r="EA71" i="11"/>
  <c r="AE245" i="23" s="1"/>
  <c r="AE236" i="23" s="1"/>
  <c r="DZ72" i="11"/>
  <c r="AD257" i="23"/>
  <c r="EO46" i="6"/>
  <c r="ER46" i="6" s="1"/>
  <c r="AD873" i="7"/>
  <c r="AD875" i="7" s="1"/>
  <c r="AD1086" i="7"/>
  <c r="AD1088" i="7" s="1"/>
  <c r="F196" i="2"/>
  <c r="AD67" i="25"/>
  <c r="AD258" i="23"/>
  <c r="AD242" i="23"/>
  <c r="AD2" i="23" s="1"/>
  <c r="DR4" i="11" s="1"/>
  <c r="Y351" i="20"/>
  <c r="H356" i="20"/>
  <c r="G296" i="2"/>
  <c r="J146" i="20" s="1"/>
  <c r="AA146" i="20" s="1"/>
  <c r="I146" i="20"/>
  <c r="Z146" i="20" s="1"/>
  <c r="AD887" i="7"/>
  <c r="AD881" i="7"/>
  <c r="AD165" i="25"/>
  <c r="EN95" i="6"/>
  <c r="EN48" i="6"/>
  <c r="I147" i="20"/>
  <c r="Z147" i="20" s="1"/>
  <c r="G322" i="2"/>
  <c r="J147" i="20" s="1"/>
  <c r="AA147" i="20" s="1"/>
  <c r="DG77" i="17"/>
  <c r="AE46" i="23"/>
  <c r="AE49" i="23" s="1"/>
  <c r="AC147" i="25" l="1"/>
  <c r="J351" i="20"/>
  <c r="J353" i="20"/>
  <c r="AA353" i="20" s="1"/>
  <c r="K353" i="20"/>
  <c r="AB353" i="20" s="1"/>
  <c r="K351" i="20"/>
  <c r="AB351" i="20" s="1"/>
  <c r="AW196" i="2"/>
  <c r="J354" i="20"/>
  <c r="AA354" i="20" s="1"/>
  <c r="DY72" i="11"/>
  <c r="EA72" i="11"/>
  <c r="AE249" i="23" s="1"/>
  <c r="AE240" i="23" s="1"/>
  <c r="EO95" i="6"/>
  <c r="EO48" i="6"/>
  <c r="AE253" i="23"/>
  <c r="AE63" i="7"/>
  <c r="AE66" i="7" s="1"/>
  <c r="AE477" i="23"/>
  <c r="AE1069" i="7"/>
  <c r="AE1071" i="7" s="1"/>
  <c r="AE872" i="7"/>
  <c r="AE10" i="7"/>
  <c r="AE13" i="7" s="1"/>
  <c r="AE15" i="7" s="1"/>
  <c r="AE17" i="7" s="1"/>
  <c r="AD882" i="7"/>
  <c r="AD888" i="7"/>
  <c r="AD164" i="25"/>
  <c r="EN49" i="6"/>
  <c r="EN97" i="6"/>
  <c r="AD876" i="7"/>
  <c r="AD72" i="7"/>
  <c r="AD75" i="7"/>
  <c r="AD890" i="7"/>
  <c r="AD878" i="7"/>
  <c r="AD173" i="25"/>
  <c r="AD884" i="7"/>
  <c r="AD78" i="25"/>
  <c r="F209" i="2"/>
  <c r="DZ73" i="11"/>
  <c r="AD147" i="25" l="1"/>
  <c r="AD2" i="7"/>
  <c r="DY73" i="11"/>
  <c r="DZ75" i="11"/>
  <c r="DY75" i="11" s="1"/>
  <c r="EA73" i="11"/>
  <c r="AE250" i="23" s="1"/>
  <c r="AE241" i="23" s="1"/>
  <c r="J356" i="20"/>
  <c r="AA351" i="20"/>
  <c r="J389" i="20"/>
  <c r="AA389" i="20" s="1"/>
  <c r="K386" i="20"/>
  <c r="AB386" i="20" s="1"/>
  <c r="J386" i="20"/>
  <c r="AA386" i="20" s="1"/>
  <c r="AW209" i="2"/>
  <c r="J388" i="20"/>
  <c r="AA388" i="20" s="1"/>
  <c r="AE887" i="7"/>
  <c r="AE881" i="7"/>
  <c r="AE165" i="25"/>
  <c r="AE67" i="7"/>
  <c r="AE69" i="7"/>
  <c r="AE873" i="7"/>
  <c r="AE875" i="7" s="1"/>
  <c r="AE876" i="7" s="1"/>
  <c r="AE1086" i="7"/>
  <c r="AE1088" i="7" s="1"/>
  <c r="AE257" i="23"/>
  <c r="G41" i="20"/>
  <c r="X41" i="20" s="1"/>
  <c r="G196" i="2"/>
  <c r="AE67" i="25"/>
  <c r="EO97" i="6"/>
  <c r="EO49" i="6"/>
  <c r="AE147" i="25" l="1"/>
  <c r="AE882" i="7"/>
  <c r="AE888" i="7"/>
  <c r="AE164" i="25"/>
  <c r="AE258" i="23"/>
  <c r="AE242" i="23"/>
  <c r="AE2" i="23" s="1"/>
  <c r="DW4" i="11" s="1"/>
  <c r="AE884" i="7"/>
  <c r="AE173" i="25"/>
  <c r="AE878" i="7"/>
  <c r="AE2" i="7" s="1"/>
  <c r="AE890" i="7"/>
  <c r="M353" i="20"/>
  <c r="AD353" i="20" s="1"/>
  <c r="AX196" i="2"/>
  <c r="L351" i="20"/>
  <c r="M351" i="20"/>
  <c r="AD351" i="20" s="1"/>
  <c r="L353" i="20"/>
  <c r="AC353" i="20" s="1"/>
  <c r="L354" i="20"/>
  <c r="AC354" i="20" s="1"/>
  <c r="AE78" i="25"/>
  <c r="G209" i="2"/>
  <c r="H41" i="20" s="1"/>
  <c r="Y41" i="20" s="1"/>
  <c r="AE75" i="7"/>
  <c r="AE72" i="7"/>
  <c r="AD144" i="25" l="1"/>
  <c r="AX209" i="2"/>
  <c r="M386" i="20"/>
  <c r="AD386" i="20" s="1"/>
  <c r="L388" i="20"/>
  <c r="AC388" i="20" s="1"/>
  <c r="L386" i="20"/>
  <c r="AC386" i="20" s="1"/>
  <c r="L389" i="20"/>
  <c r="AC389" i="20" s="1"/>
  <c r="AC351" i="20"/>
  <c r="L356" i="20"/>
  <c r="CN18" i="16" l="1"/>
  <c r="CN246" i="17" s="1"/>
  <c r="O23" i="16"/>
  <c r="AM20" i="16"/>
  <c r="AM248" i="17" s="1"/>
  <c r="L17" i="16"/>
  <c r="BM21" i="16"/>
  <c r="BM249" i="17" s="1"/>
  <c r="BW20" i="16"/>
  <c r="BW248" i="17" s="1"/>
  <c r="CR20" i="16"/>
  <c r="CR248" i="17" s="1"/>
  <c r="AT18" i="16"/>
  <c r="AT246" i="17" s="1"/>
  <c r="BQ22" i="16"/>
  <c r="BQ250" i="17" s="1"/>
  <c r="CO23" i="16"/>
  <c r="CA17" i="16"/>
  <c r="CJ18" i="16"/>
  <c r="CJ246" i="17" s="1"/>
  <c r="AZ18" i="16"/>
  <c r="AZ246" i="17" s="1"/>
  <c r="AL20" i="16"/>
  <c r="AL248" i="17" s="1"/>
  <c r="AW20" i="16"/>
  <c r="AW248" i="17" s="1"/>
  <c r="AW18" i="16"/>
  <c r="AW246" i="17" s="1"/>
  <c r="AF22" i="16"/>
  <c r="AF250" i="17" s="1"/>
  <c r="CS17" i="16"/>
  <c r="BG18" i="16"/>
  <c r="BG246" i="17" s="1"/>
  <c r="AY20" i="16"/>
  <c r="AY248" i="17" s="1"/>
  <c r="AZ19" i="16"/>
  <c r="AZ247" i="17" s="1"/>
  <c r="M20" i="16"/>
  <c r="AR19" i="16"/>
  <c r="AR247" i="17" s="1"/>
  <c r="AU23" i="16"/>
  <c r="AU255" i="17" s="1"/>
  <c r="AZ17" i="16"/>
  <c r="AZ252" i="17" s="1"/>
  <c r="BF17" i="16"/>
  <c r="BF252" i="17" s="1"/>
  <c r="CB19" i="16"/>
  <c r="CB247" i="17" s="1"/>
  <c r="AE18" i="16"/>
  <c r="AE246" i="17" s="1"/>
  <c r="BB19" i="16"/>
  <c r="BB247" i="17" s="1"/>
  <c r="AM21" i="16"/>
  <c r="AM249" i="17" s="1"/>
  <c r="CA20" i="16"/>
  <c r="CA248" i="17" s="1"/>
  <c r="AJ22" i="16"/>
  <c r="AJ250" i="17" s="1"/>
  <c r="AE17" i="16"/>
  <c r="AE252" i="17" s="1"/>
  <c r="AY19" i="16"/>
  <c r="AY247" i="17" s="1"/>
  <c r="CD21" i="16"/>
  <c r="CD249" i="17" s="1"/>
  <c r="O22" i="16"/>
  <c r="CU18" i="16"/>
  <c r="CA23" i="16"/>
  <c r="CE22" i="16"/>
  <c r="CE250" i="17" s="1"/>
  <c r="BJ18" i="16"/>
  <c r="BJ246" i="17" s="1"/>
  <c r="CC17" i="16"/>
  <c r="BQ18" i="16"/>
  <c r="BQ246" i="17" s="1"/>
  <c r="BG23" i="16"/>
  <c r="BG255" i="17" s="1"/>
  <c r="BY19" i="16"/>
  <c r="BY247" i="17" s="1"/>
  <c r="AW17" i="16"/>
  <c r="AW252" i="17" s="1"/>
  <c r="CR23" i="16"/>
  <c r="BI22" i="16"/>
  <c r="BI250" i="17" s="1"/>
  <c r="R17" i="16"/>
  <c r="BU20" i="16"/>
  <c r="BU248" i="17" s="1"/>
  <c r="BM19" i="16"/>
  <c r="BM247" i="17" s="1"/>
  <c r="CS20" i="16"/>
  <c r="CS248" i="17" s="1"/>
  <c r="BO21" i="16"/>
  <c r="BO249" i="17" s="1"/>
  <c r="M23" i="16"/>
  <c r="AY17" i="16"/>
  <c r="AY252" i="17" s="1"/>
  <c r="BS21" i="16"/>
  <c r="BS249" i="17" s="1"/>
  <c r="U21" i="16"/>
  <c r="CD19" i="16"/>
  <c r="CD247" i="17" s="1"/>
  <c r="BC20" i="16"/>
  <c r="BC248" i="17" s="1"/>
  <c r="CB17" i="16"/>
  <c r="BJ20" i="16"/>
  <c r="BJ248" i="17" s="1"/>
  <c r="X22" i="16"/>
  <c r="X250" i="17" s="1"/>
  <c r="AL22" i="16"/>
  <c r="AL250" i="17" s="1"/>
  <c r="CO19" i="16"/>
  <c r="CO247" i="17" s="1"/>
  <c r="S22" i="16"/>
  <c r="S20" i="16"/>
  <c r="CU21" i="16"/>
  <c r="AW22" i="16"/>
  <c r="AW250" i="17" s="1"/>
  <c r="V18" i="16"/>
  <c r="CI19" i="16"/>
  <c r="CI247" i="17" s="1"/>
  <c r="CJ19" i="16"/>
  <c r="CJ247" i="17" s="1"/>
  <c r="Z20" i="16"/>
  <c r="Z248" i="17" s="1"/>
  <c r="CE18" i="16"/>
  <c r="CE246" i="17" s="1"/>
  <c r="BV21" i="16"/>
  <c r="BV249" i="17" s="1"/>
  <c r="BA20" i="16"/>
  <c r="BA248" i="17" s="1"/>
  <c r="AV22" i="16"/>
  <c r="AV250" i="17" s="1"/>
  <c r="CM17" i="16"/>
  <c r="BR23" i="16"/>
  <c r="AD20" i="16"/>
  <c r="AD248" i="17" s="1"/>
  <c r="P22" i="16"/>
  <c r="BX21" i="16"/>
  <c r="BX249" i="17" s="1"/>
  <c r="BB20" i="16"/>
  <c r="BB248" i="17" s="1"/>
  <c r="CE20" i="16"/>
  <c r="CE248" i="17" s="1"/>
  <c r="CL19" i="16"/>
  <c r="CL247" i="17" s="1"/>
  <c r="AM17" i="16"/>
  <c r="AM252" i="17" s="1"/>
  <c r="BP20" i="16"/>
  <c r="BP248" i="17" s="1"/>
  <c r="N23" i="16"/>
  <c r="K18" i="16"/>
  <c r="Q20" i="16"/>
  <c r="CT18" i="16"/>
  <c r="CT246" i="17" s="1"/>
  <c r="BA21" i="16"/>
  <c r="BA249" i="17" s="1"/>
  <c r="BN19" i="16"/>
  <c r="BN247" i="17" s="1"/>
  <c r="BZ18" i="16"/>
  <c r="BZ246" i="17" s="1"/>
  <c r="AF23" i="16"/>
  <c r="AF255" i="17" s="1"/>
  <c r="AO17" i="16"/>
  <c r="AO252" i="17" s="1"/>
  <c r="BJ23" i="16"/>
  <c r="BJ255" i="17" s="1"/>
  <c r="AZ20" i="16"/>
  <c r="AZ248" i="17" s="1"/>
  <c r="K23" i="16"/>
  <c r="AQ20" i="16"/>
  <c r="AQ248" i="17" s="1"/>
  <c r="CQ22" i="16"/>
  <c r="CQ250" i="17" s="1"/>
  <c r="AE21" i="16"/>
  <c r="AE249" i="17" s="1"/>
  <c r="CF23" i="16"/>
  <c r="AC22" i="16"/>
  <c r="AC250" i="17" s="1"/>
  <c r="BA17" i="16"/>
  <c r="BA252" i="17" s="1"/>
  <c r="CI22" i="16"/>
  <c r="CI250" i="17" s="1"/>
  <c r="L20" i="16"/>
  <c r="V23" i="16"/>
  <c r="T19" i="16"/>
  <c r="BT22" i="16"/>
  <c r="BT250" i="17" s="1"/>
  <c r="BZ17" i="16"/>
  <c r="AO21" i="16"/>
  <c r="AO249" i="17" s="1"/>
  <c r="BP23" i="16"/>
  <c r="BP255" i="17" s="1"/>
  <c r="AP18" i="16"/>
  <c r="AP246" i="17" s="1"/>
  <c r="AX23" i="16"/>
  <c r="AX255" i="17" s="1"/>
  <c r="R18" i="16"/>
  <c r="S21" i="16"/>
  <c r="BN18" i="16"/>
  <c r="BN246" i="17" s="1"/>
  <c r="BT19" i="16"/>
  <c r="BT247" i="17" s="1"/>
  <c r="CN22" i="16"/>
  <c r="CN250" i="17" s="1"/>
  <c r="BJ17" i="16"/>
  <c r="BJ252" i="17" s="1"/>
  <c r="BT20" i="16"/>
  <c r="BT248" i="17" s="1"/>
  <c r="AA17" i="16"/>
  <c r="AA252" i="17" s="1"/>
  <c r="S17" i="16"/>
  <c r="BY21" i="16"/>
  <c r="BY249" i="17" s="1"/>
  <c r="BF21" i="16"/>
  <c r="BF249" i="17" s="1"/>
  <c r="CS22" i="16"/>
  <c r="CS250" i="17" s="1"/>
  <c r="CK19" i="16"/>
  <c r="CK247" i="17" s="1"/>
  <c r="S23" i="16"/>
  <c r="BQ23" i="16"/>
  <c r="BQ255" i="17" s="1"/>
  <c r="CJ22" i="16"/>
  <c r="CJ250" i="17" s="1"/>
  <c r="BR22" i="16"/>
  <c r="BR250" i="17" s="1"/>
  <c r="CF17" i="16"/>
  <c r="V19" i="16"/>
  <c r="BQ21" i="16"/>
  <c r="BQ249" i="17" s="1"/>
  <c r="AW23" i="16"/>
  <c r="AW255" i="17" s="1"/>
  <c r="X17" i="16"/>
  <c r="X252" i="17" s="1"/>
  <c r="CU20" i="16"/>
  <c r="AH20" i="16"/>
  <c r="AH248" i="17" s="1"/>
  <c r="CG20" i="16"/>
  <c r="CG248" i="17" s="1"/>
  <c r="BK17" i="16"/>
  <c r="BK252" i="17" s="1"/>
  <c r="AB19" i="16"/>
  <c r="AB247" i="17" s="1"/>
  <c r="BG20" i="16"/>
  <c r="BG248" i="17" s="1"/>
  <c r="R20" i="16"/>
  <c r="CE21" i="16"/>
  <c r="CE249" i="17" s="1"/>
  <c r="BF18" i="16"/>
  <c r="BF246" i="17" s="1"/>
  <c r="BI21" i="16"/>
  <c r="BI249" i="17" s="1"/>
  <c r="CU17" i="16"/>
  <c r="L18" i="16"/>
  <c r="AM18" i="16"/>
  <c r="AM246" i="17" s="1"/>
  <c r="BL21" i="16"/>
  <c r="BL249" i="17" s="1"/>
  <c r="R23" i="16"/>
  <c r="CM20" i="16"/>
  <c r="CM248" i="17" s="1"/>
  <c r="AE23" i="16"/>
  <c r="AE255" i="17" s="1"/>
  <c r="K22" i="16"/>
  <c r="CA18" i="16"/>
  <c r="CA246" i="17" s="1"/>
  <c r="BJ21" i="16"/>
  <c r="BJ249" i="17" s="1"/>
  <c r="CN20" i="16"/>
  <c r="CN248" i="17" s="1"/>
  <c r="CI20" i="16"/>
  <c r="CI248" i="17" s="1"/>
  <c r="AX18" i="16"/>
  <c r="AX246" i="17" s="1"/>
  <c r="BR20" i="16"/>
  <c r="BR248" i="17" s="1"/>
  <c r="BV18" i="16"/>
  <c r="BV246" i="17" s="1"/>
  <c r="BL22" i="16"/>
  <c r="BL250" i="17" s="1"/>
  <c r="AM23" i="16"/>
  <c r="AM255" i="17" s="1"/>
  <c r="M17" i="16"/>
  <c r="M21" i="16"/>
  <c r="BH20" i="16"/>
  <c r="BH248" i="17" s="1"/>
  <c r="CF20" i="16"/>
  <c r="CF248" i="17" s="1"/>
  <c r="BB23" i="16"/>
  <c r="BB255" i="17" s="1"/>
  <c r="T22" i="16"/>
  <c r="AQ18" i="16"/>
  <c r="AQ246" i="17" s="1"/>
  <c r="BP21" i="16"/>
  <c r="BP249" i="17" s="1"/>
  <c r="BL23" i="16"/>
  <c r="BL255" i="17" s="1"/>
  <c r="CT19" i="16"/>
  <c r="CT247" i="17" s="1"/>
  <c r="AH21" i="16"/>
  <c r="AH249" i="17" s="1"/>
  <c r="BB21" i="16"/>
  <c r="BB249" i="17" s="1"/>
  <c r="CL23" i="16"/>
  <c r="AI19" i="16"/>
  <c r="AI247" i="17" s="1"/>
  <c r="AP21" i="16"/>
  <c r="AP249" i="17" s="1"/>
  <c r="CE19" i="16"/>
  <c r="CE247" i="17" s="1"/>
  <c r="AF20" i="16"/>
  <c r="AF248" i="17" s="1"/>
  <c r="AG17" i="16"/>
  <c r="AG252" i="17" s="1"/>
  <c r="AW21" i="16"/>
  <c r="AW249" i="17" s="1"/>
  <c r="M22" i="16"/>
  <c r="AR23" i="16"/>
  <c r="AR255" i="17" s="1"/>
  <c r="BN20" i="16"/>
  <c r="BN248" i="17" s="1"/>
  <c r="BG19" i="16"/>
  <c r="BG247" i="17" s="1"/>
  <c r="U22" i="16"/>
  <c r="AF19" i="16"/>
  <c r="AF247" i="17" s="1"/>
  <c r="BD23" i="16"/>
  <c r="BD255" i="17" s="1"/>
  <c r="BX20" i="16"/>
  <c r="BX248" i="17" s="1"/>
  <c r="X18" i="16"/>
  <c r="X246" i="17" s="1"/>
  <c r="BN21" i="16"/>
  <c r="BN249" i="17" s="1"/>
  <c r="BD17" i="16"/>
  <c r="BD252" i="17" s="1"/>
  <c r="CH18" i="16"/>
  <c r="CH246" i="17" s="1"/>
  <c r="CP18" i="16"/>
  <c r="CP246" i="17" s="1"/>
  <c r="Z17" i="16"/>
  <c r="Z252" i="17" s="1"/>
  <c r="N21" i="16"/>
  <c r="BZ20" i="16"/>
  <c r="BZ248" i="17" s="1"/>
  <c r="Y17" i="16"/>
  <c r="Y252" i="17" s="1"/>
  <c r="CD22" i="16"/>
  <c r="CD250" i="17" s="1"/>
  <c r="CQ18" i="16"/>
  <c r="CQ246" i="17" s="1"/>
  <c r="AI21" i="16"/>
  <c r="AI249" i="17" s="1"/>
  <c r="BD18" i="16"/>
  <c r="BD246" i="17" s="1"/>
  <c r="AY23" i="16"/>
  <c r="AY255" i="17" s="1"/>
  <c r="CO21" i="16"/>
  <c r="CO249" i="17" s="1"/>
  <c r="CK21" i="16"/>
  <c r="CK249" i="17" s="1"/>
  <c r="BT18" i="16"/>
  <c r="BT246" i="17" s="1"/>
  <c r="P21" i="16"/>
  <c r="AM19" i="16"/>
  <c r="AM247" i="17" s="1"/>
  <c r="AE19" i="16"/>
  <c r="AE247" i="17" s="1"/>
  <c r="CT17" i="16"/>
  <c r="CA21" i="16"/>
  <c r="CA249" i="17" s="1"/>
  <c r="CR18" i="16"/>
  <c r="CR246" i="17" s="1"/>
  <c r="CB18" i="16"/>
  <c r="CB246" i="17" s="1"/>
  <c r="N19" i="16"/>
  <c r="BL18" i="16"/>
  <c r="BL246" i="17" s="1"/>
  <c r="X20" i="16"/>
  <c r="X248" i="17" s="1"/>
  <c r="CS18" i="16"/>
  <c r="CS246" i="17" s="1"/>
  <c r="BU21" i="16"/>
  <c r="BU249" i="17" s="1"/>
  <c r="Y22" i="16"/>
  <c r="Y250" i="17" s="1"/>
  <c r="AO23" i="16"/>
  <c r="AO255" i="17" s="1"/>
  <c r="Q18" i="16"/>
  <c r="CM21" i="16"/>
  <c r="CM249" i="17" s="1"/>
  <c r="CF18" i="16"/>
  <c r="CF246" i="17" s="1"/>
  <c r="AR20" i="16"/>
  <c r="AR248" i="17" s="1"/>
  <c r="CJ23" i="16"/>
  <c r="BH17" i="16"/>
  <c r="BH252" i="17" s="1"/>
  <c r="BI19" i="16"/>
  <c r="BI247" i="17" s="1"/>
  <c r="AS20" i="16"/>
  <c r="AS248" i="17" s="1"/>
  <c r="BK22" i="16"/>
  <c r="BK250" i="17" s="1"/>
  <c r="AB23" i="16"/>
  <c r="AB255" i="17" s="1"/>
  <c r="CP20" i="16"/>
  <c r="CP248" i="17" s="1"/>
  <c r="L19" i="16"/>
  <c r="BB18" i="16"/>
  <c r="BB246" i="17" s="1"/>
  <c r="CT22" i="16"/>
  <c r="CT250" i="17" s="1"/>
  <c r="BF20" i="16"/>
  <c r="BF248" i="17" s="1"/>
  <c r="AX17" i="16"/>
  <c r="AX252" i="17" s="1"/>
  <c r="AS17" i="16"/>
  <c r="AS252" i="17" s="1"/>
  <c r="BH22" i="16"/>
  <c r="BH250" i="17" s="1"/>
  <c r="AN18" i="16"/>
  <c r="AN246" i="17" s="1"/>
  <c r="AA18" i="16"/>
  <c r="AA246" i="17" s="1"/>
  <c r="BN22" i="16"/>
  <c r="BN250" i="17" s="1"/>
  <c r="BI18" i="16"/>
  <c r="BI246" i="17" s="1"/>
  <c r="W18" i="16"/>
  <c r="W246" i="17" s="1"/>
  <c r="CK22" i="16"/>
  <c r="CK250" i="17" s="1"/>
  <c r="CM22" i="16"/>
  <c r="CM250" i="17" s="1"/>
  <c r="AR17" i="16"/>
  <c r="AR252" i="17" s="1"/>
  <c r="BH23" i="16"/>
  <c r="BH255" i="17" s="1"/>
  <c r="AV19" i="16"/>
  <c r="AV247" i="17" s="1"/>
  <c r="AU18" i="16"/>
  <c r="AU246" i="17" s="1"/>
  <c r="AD17" i="16"/>
  <c r="AD252" i="17" s="1"/>
  <c r="BA18" i="16"/>
  <c r="BA246" i="17" s="1"/>
  <c r="AD23" i="16"/>
  <c r="AD255" i="17" s="1"/>
  <c r="BL19" i="16"/>
  <c r="BL247" i="17" s="1"/>
  <c r="BW23" i="16"/>
  <c r="AL18" i="16"/>
  <c r="AL246" i="17" s="1"/>
  <c r="V20" i="16"/>
  <c r="AZ23" i="16"/>
  <c r="AZ255" i="17" s="1"/>
  <c r="CP17" i="16"/>
  <c r="BO18" i="16"/>
  <c r="BO246" i="17" s="1"/>
  <c r="AG22" i="16"/>
  <c r="AG250" i="17" s="1"/>
  <c r="AN20" i="16"/>
  <c r="AN248" i="17" s="1"/>
  <c r="CM19" i="16"/>
  <c r="CM247" i="17" s="1"/>
  <c r="CU22" i="16"/>
  <c r="CO20" i="16"/>
  <c r="CO248" i="17" s="1"/>
  <c r="R21" i="16"/>
  <c r="AR21" i="16"/>
  <c r="AR249" i="17" s="1"/>
  <c r="BM18" i="16"/>
  <c r="BM246" i="17" s="1"/>
  <c r="N17" i="16"/>
  <c r="T17" i="16"/>
  <c r="AN23" i="16"/>
  <c r="AN255" i="17" s="1"/>
  <c r="AC18" i="16"/>
  <c r="AC246" i="17" s="1"/>
  <c r="CH22" i="16"/>
  <c r="CH250" i="17" s="1"/>
  <c r="CO17" i="16"/>
  <c r="BQ17" i="16"/>
  <c r="BQ252" i="17" s="1"/>
  <c r="BL20" i="16"/>
  <c r="BL248" i="17" s="1"/>
  <c r="CC21" i="16"/>
  <c r="CC249" i="17" s="1"/>
  <c r="BG21" i="16"/>
  <c r="BG249" i="17" s="1"/>
  <c r="BY23" i="16"/>
  <c r="CQ19" i="16"/>
  <c r="CQ247" i="17" s="1"/>
  <c r="CL20" i="16"/>
  <c r="CL248" i="17" s="1"/>
  <c r="Z19" i="16"/>
  <c r="Z247" i="17" s="1"/>
  <c r="AP19" i="16"/>
  <c r="AP247" i="17" s="1"/>
  <c r="BX23" i="16"/>
  <c r="BS17" i="16"/>
  <c r="BX18" i="16"/>
  <c r="BX246" i="17" s="1"/>
  <c r="AO22" i="16"/>
  <c r="AO250" i="17" s="1"/>
  <c r="P19" i="16"/>
  <c r="BP22" i="16"/>
  <c r="BP250" i="17" s="1"/>
  <c r="K21" i="16"/>
  <c r="BP19" i="16"/>
  <c r="BP247" i="17" s="1"/>
  <c r="BX22" i="16"/>
  <c r="BX250" i="17" s="1"/>
  <c r="AA21" i="16"/>
  <c r="AA249" i="17" s="1"/>
  <c r="BH19" i="16"/>
  <c r="BH247" i="17" s="1"/>
  <c r="AL19" i="16"/>
  <c r="AL247" i="17" s="1"/>
  <c r="BS23" i="16"/>
  <c r="P20" i="16"/>
  <c r="Q19" i="16"/>
  <c r="AU22" i="16"/>
  <c r="AU250" i="17" s="1"/>
  <c r="BE17" i="16"/>
  <c r="BE252" i="17" s="1"/>
  <c r="K19" i="16"/>
  <c r="CK23" i="16"/>
  <c r="Q23" i="16"/>
  <c r="AC21" i="16"/>
  <c r="AC249" i="17" s="1"/>
  <c r="BS20" i="16"/>
  <c r="BS248" i="17" s="1"/>
  <c r="AS18" i="16"/>
  <c r="AS246" i="17" s="1"/>
  <c r="BI20" i="16"/>
  <c r="BI248" i="17" s="1"/>
  <c r="AI20" i="16"/>
  <c r="AI248" i="17" s="1"/>
  <c r="BU19" i="16"/>
  <c r="BU247" i="17" s="1"/>
  <c r="AX21" i="16"/>
  <c r="AX249" i="17" s="1"/>
  <c r="AH17" i="16"/>
  <c r="AH252" i="17" s="1"/>
  <c r="BK23" i="16"/>
  <c r="BK255" i="17" s="1"/>
  <c r="CH19" i="16"/>
  <c r="CH247" i="17" s="1"/>
  <c r="CN21" i="16"/>
  <c r="CN249" i="17" s="1"/>
  <c r="L23" i="16"/>
  <c r="BD22" i="16"/>
  <c r="BD250" i="17" s="1"/>
  <c r="CG22" i="16"/>
  <c r="CG250" i="17" s="1"/>
  <c r="AJ19" i="16"/>
  <c r="AJ247" i="17" s="1"/>
  <c r="R19" i="16"/>
  <c r="Q22" i="16"/>
  <c r="BY17" i="16"/>
  <c r="V21" i="16"/>
  <c r="CB21" i="16"/>
  <c r="CB249" i="17" s="1"/>
  <c r="BU17" i="16"/>
  <c r="P17" i="16"/>
  <c r="CD20" i="16"/>
  <c r="CD248" i="17" s="1"/>
  <c r="BQ19" i="16"/>
  <c r="BQ247" i="17" s="1"/>
  <c r="BM20" i="16"/>
  <c r="BM248" i="17" s="1"/>
  <c r="AA23" i="16"/>
  <c r="AA255" i="17" s="1"/>
  <c r="BY18" i="16"/>
  <c r="BY246" i="17" s="1"/>
  <c r="CG18" i="16"/>
  <c r="CG246" i="17" s="1"/>
  <c r="AJ18" i="16"/>
  <c r="AJ246" i="17" s="1"/>
  <c r="AT20" i="16"/>
  <c r="AT248" i="17" s="1"/>
  <c r="AL21" i="16"/>
  <c r="AL249" i="17" s="1"/>
  <c r="AT23" i="16"/>
  <c r="AT255" i="17" s="1"/>
  <c r="CT23" i="16"/>
  <c r="CO18" i="16"/>
  <c r="CO246" i="17" s="1"/>
  <c r="U19" i="16"/>
  <c r="CN17" i="16"/>
  <c r="BJ22" i="16"/>
  <c r="BJ250" i="17" s="1"/>
  <c r="AE22" i="16"/>
  <c r="AE250" i="17" s="1"/>
  <c r="W19" i="16"/>
  <c r="W247" i="17" s="1"/>
  <c r="AK20" i="16"/>
  <c r="AK248" i="17" s="1"/>
  <c r="CJ21" i="16"/>
  <c r="CJ249" i="17" s="1"/>
  <c r="CP19" i="16"/>
  <c r="CP247" i="17" s="1"/>
  <c r="BZ22" i="16"/>
  <c r="BZ250" i="17" s="1"/>
  <c r="U276" i="1"/>
  <c r="BK276" i="17" s="1"/>
  <c r="BO23" i="16"/>
  <c r="BO255" i="17" s="1"/>
  <c r="AY22" i="16"/>
  <c r="AY250" i="17" s="1"/>
  <c r="CR22" i="16"/>
  <c r="CR250" i="17" s="1"/>
  <c r="CC20" i="16"/>
  <c r="CC248" i="17" s="1"/>
  <c r="BH18" i="16"/>
  <c r="BH246" i="17" s="1"/>
  <c r="BD19" i="16"/>
  <c r="BD247" i="17" s="1"/>
  <c r="BM17" i="16"/>
  <c r="BM252" i="17" s="1"/>
  <c r="BX19" i="16"/>
  <c r="BX247" i="17" s="1"/>
  <c r="W17" i="16"/>
  <c r="W252" i="17" s="1"/>
  <c r="AI18" i="16"/>
  <c r="AI246" i="17" s="1"/>
  <c r="S19" i="16"/>
  <c r="CT20" i="16"/>
  <c r="CT248" i="17" s="1"/>
  <c r="BQ20" i="16"/>
  <c r="BQ248" i="17" s="1"/>
  <c r="AU17" i="16"/>
  <c r="AU252" i="17" s="1"/>
  <c r="Z23" i="16"/>
  <c r="Z255" i="17" s="1"/>
  <c r="BW17" i="16"/>
  <c r="BY22" i="16"/>
  <c r="BY250" i="17" s="1"/>
  <c r="AI22" i="16"/>
  <c r="AI250" i="17" s="1"/>
  <c r="BF19" i="16"/>
  <c r="BF247" i="17" s="1"/>
  <c r="CD18" i="16"/>
  <c r="CD246" i="17" s="1"/>
  <c r="AP23" i="16"/>
  <c r="AP255" i="17" s="1"/>
  <c r="BF22" i="16"/>
  <c r="BF250" i="17" s="1"/>
  <c r="AV21" i="16"/>
  <c r="AV249" i="17" s="1"/>
  <c r="CS21" i="16"/>
  <c r="CS249" i="17" s="1"/>
  <c r="Z22" i="16"/>
  <c r="Z250" i="17" s="1"/>
  <c r="S276" i="1"/>
  <c r="BC276" i="17" s="1"/>
  <c r="BD276" i="17" s="1"/>
  <c r="BE276" i="17" s="1"/>
  <c r="BF276" i="17" s="1"/>
  <c r="CE17" i="16"/>
  <c r="BG22" i="16"/>
  <c r="BG250" i="17" s="1"/>
  <c r="AB18" i="16"/>
  <c r="AB246" i="17" s="1"/>
  <c r="CJ20" i="16"/>
  <c r="CJ248" i="17" s="1"/>
  <c r="Z272" i="1"/>
  <c r="CE272" i="17" s="1"/>
  <c r="W272" i="1"/>
  <c r="BS272" i="17" s="1"/>
  <c r="AC275" i="1"/>
  <c r="CQ275" i="17" s="1"/>
  <c r="AC272" i="1"/>
  <c r="CQ272" i="17" s="1"/>
  <c r="O276" i="1"/>
  <c r="AM276" i="17" s="1"/>
  <c r="AN276" i="17" s="1"/>
  <c r="AO276" i="17" s="1"/>
  <c r="AP276" i="17" s="1"/>
  <c r="K275" i="1"/>
  <c r="W275" i="17" s="1"/>
  <c r="X275" i="17" s="1"/>
  <c r="Y275" i="17" s="1"/>
  <c r="Z275" i="17" s="1"/>
  <c r="T272" i="1"/>
  <c r="BG272" i="17" s="1"/>
  <c r="R276" i="1"/>
  <c r="AY276" i="17" s="1"/>
  <c r="AZ276" i="17" s="1"/>
  <c r="BA276" i="17" s="1"/>
  <c r="BB276" i="17" s="1"/>
  <c r="Z273" i="1"/>
  <c r="CE273" i="17" s="1"/>
  <c r="CF273" i="17" s="1"/>
  <c r="CG273" i="17" s="1"/>
  <c r="CH273" i="17" s="1"/>
  <c r="X274" i="1"/>
  <c r="BW274" i="17" s="1"/>
  <c r="BX274" i="17" s="1"/>
  <c r="BY274" i="17" s="1"/>
  <c r="BZ274" i="17" s="1"/>
  <c r="N273" i="1"/>
  <c r="AI273" i="17" s="1"/>
  <c r="AJ273" i="17" s="1"/>
  <c r="AK273" i="17" s="1"/>
  <c r="AL273" i="17" s="1"/>
  <c r="H275" i="1"/>
  <c r="K275" i="17" s="1"/>
  <c r="L275" i="17" s="1"/>
  <c r="M275" i="17" s="1"/>
  <c r="N275" i="17" s="1"/>
  <c r="H388" i="23" s="1"/>
  <c r="H127" i="25" s="1"/>
  <c r="W274" i="1"/>
  <c r="BS274" i="17" s="1"/>
  <c r="BT274" i="17" s="1"/>
  <c r="BU274" i="17" s="1"/>
  <c r="BV274" i="17" s="1"/>
  <c r="O275" i="1"/>
  <c r="AM275" i="17" s="1"/>
  <c r="AN275" i="17" s="1"/>
  <c r="AO275" i="17" s="1"/>
  <c r="AP275" i="17" s="1"/>
  <c r="X272" i="1"/>
  <c r="BW272" i="17" s="1"/>
  <c r="Y275" i="1"/>
  <c r="CA275" i="17" s="1"/>
  <c r="CB275" i="17" s="1"/>
  <c r="CC275" i="17" s="1"/>
  <c r="CD275" i="17" s="1"/>
  <c r="N275" i="1"/>
  <c r="AI275" i="17" s="1"/>
  <c r="AJ275" i="17" s="1"/>
  <c r="AK275" i="17" s="1"/>
  <c r="AL275" i="17" s="1"/>
  <c r="AC273" i="1"/>
  <c r="CQ273" i="17" s="1"/>
  <c r="BE18" i="16"/>
  <c r="BE246" i="17" s="1"/>
  <c r="AN21" i="16"/>
  <c r="AN249" i="17" s="1"/>
  <c r="AK22" i="16"/>
  <c r="AK250" i="17" s="1"/>
  <c r="Z21" i="16"/>
  <c r="Z249" i="17" s="1"/>
  <c r="AF17" i="16"/>
  <c r="AF252" i="17" s="1"/>
  <c r="CA19" i="16"/>
  <c r="CA247" i="17" s="1"/>
  <c r="CI23" i="16"/>
  <c r="X21" i="16"/>
  <c r="X249" i="17" s="1"/>
  <c r="O20" i="16"/>
  <c r="CT21" i="16"/>
  <c r="CT249" i="17" s="1"/>
  <c r="AD22" i="16"/>
  <c r="AD250" i="17" s="1"/>
  <c r="BD20" i="16"/>
  <c r="BD248" i="17" s="1"/>
  <c r="AU19" i="16"/>
  <c r="AU247" i="17" s="1"/>
  <c r="O19" i="16"/>
  <c r="T23" i="16"/>
  <c r="BV23" i="16"/>
  <c r="V17" i="16"/>
  <c r="AQ22" i="16"/>
  <c r="AQ250" i="17" s="1"/>
  <c r="BN23" i="16"/>
  <c r="BN255" i="17" s="1"/>
  <c r="AK21" i="16"/>
  <c r="AK249" i="17" s="1"/>
  <c r="CM18" i="16"/>
  <c r="CM246" i="17" s="1"/>
  <c r="AH18" i="16"/>
  <c r="AH246" i="17" s="1"/>
  <c r="AL17" i="16"/>
  <c r="AL252" i="17" s="1"/>
  <c r="BE20" i="16"/>
  <c r="BE248" i="17" s="1"/>
  <c r="BP17" i="16"/>
  <c r="BP252" i="17" s="1"/>
  <c r="AZ21" i="16"/>
  <c r="AZ249" i="17" s="1"/>
  <c r="L22" i="16"/>
  <c r="BM23" i="16"/>
  <c r="BM255" i="17" s="1"/>
  <c r="CR21" i="16"/>
  <c r="CR249" i="17" s="1"/>
  <c r="BZ19" i="16"/>
  <c r="BZ247" i="17" s="1"/>
  <c r="T20" i="16"/>
  <c r="CN19" i="16"/>
  <c r="CN247" i="17" s="1"/>
  <c r="Y20" i="16"/>
  <c r="Y248" i="17" s="1"/>
  <c r="BD21" i="16"/>
  <c r="BD249" i="17" s="1"/>
  <c r="BE19" i="16"/>
  <c r="BE247" i="17" s="1"/>
  <c r="AK19" i="16"/>
  <c r="AK247" i="17" s="1"/>
  <c r="AQ19" i="16"/>
  <c r="AQ247" i="17" s="1"/>
  <c r="BH21" i="16"/>
  <c r="BH249" i="17" s="1"/>
  <c r="CF19" i="16"/>
  <c r="CF247" i="17" s="1"/>
  <c r="I274" i="1"/>
  <c r="O274" i="17" s="1"/>
  <c r="P274" i="17" s="1"/>
  <c r="Q274" i="17" s="1"/>
  <c r="R274" i="17" s="1"/>
  <c r="O17" i="16"/>
  <c r="BK19" i="16"/>
  <c r="BK247" i="17" s="1"/>
  <c r="AI17" i="16"/>
  <c r="AI252" i="17" s="1"/>
  <c r="CM23" i="16"/>
  <c r="AB17" i="16"/>
  <c r="AB252" i="17" s="1"/>
  <c r="BA23" i="16"/>
  <c r="BA255" i="17" s="1"/>
  <c r="AS21" i="16"/>
  <c r="AS249" i="17" s="1"/>
  <c r="CR17" i="16"/>
  <c r="U20" i="16"/>
  <c r="BZ23" i="16"/>
  <c r="AJ21" i="16"/>
  <c r="AJ249" i="17" s="1"/>
  <c r="BV22" i="16"/>
  <c r="BV250" i="17" s="1"/>
  <c r="AO18" i="16"/>
  <c r="AO246" i="17" s="1"/>
  <c r="CB22" i="16"/>
  <c r="CB250" i="17" s="1"/>
  <c r="CC19" i="16"/>
  <c r="CC247" i="17" s="1"/>
  <c r="P23" i="16"/>
  <c r="BN17" i="16"/>
  <c r="BN252" i="17" s="1"/>
  <c r="AJ17" i="16"/>
  <c r="AJ252" i="17" s="1"/>
  <c r="BW18" i="16"/>
  <c r="BW246" i="17" s="1"/>
  <c r="U17" i="16"/>
  <c r="T21" i="16"/>
  <c r="AT17" i="16"/>
  <c r="AT252" i="17" s="1"/>
  <c r="AR22" i="16"/>
  <c r="AR250" i="17" s="1"/>
  <c r="AQ21" i="16"/>
  <c r="AQ249" i="17" s="1"/>
  <c r="AA19" i="16"/>
  <c r="AA247" i="17" s="1"/>
  <c r="W23" i="16"/>
  <c r="W255" i="17" s="1"/>
  <c r="BS22" i="16"/>
  <c r="BS250" i="17" s="1"/>
  <c r="AJ23" i="16"/>
  <c r="AJ255" i="17" s="1"/>
  <c r="AA22" i="16"/>
  <c r="AA250" i="17" s="1"/>
  <c r="AN19" i="16"/>
  <c r="AN247" i="17" s="1"/>
  <c r="Y273" i="1"/>
  <c r="CA273" i="17" s="1"/>
  <c r="CB273" i="17" s="1"/>
  <c r="CC273" i="17" s="1"/>
  <c r="CD273" i="17" s="1"/>
  <c r="CI18" i="16"/>
  <c r="CI246" i="17" s="1"/>
  <c r="BK21" i="16"/>
  <c r="BK249" i="17" s="1"/>
  <c r="AY18" i="16"/>
  <c r="AY246" i="17" s="1"/>
  <c r="CD17" i="16"/>
  <c r="AH23" i="16"/>
  <c r="AH255" i="17" s="1"/>
  <c r="AX19" i="16"/>
  <c r="AX247" i="17" s="1"/>
  <c r="BV19" i="16"/>
  <c r="BV247" i="17" s="1"/>
  <c r="M18" i="16"/>
  <c r="CL22" i="16"/>
  <c r="CL250" i="17" s="1"/>
  <c r="CS23" i="16"/>
  <c r="AQ17" i="16"/>
  <c r="AQ252" i="17" s="1"/>
  <c r="CD23" i="16"/>
  <c r="U18" i="16"/>
  <c r="AO19" i="16"/>
  <c r="AO247" i="17" s="1"/>
  <c r="Y19" i="16"/>
  <c r="Y247" i="17" s="1"/>
  <c r="CK18" i="16"/>
  <c r="CK246" i="17" s="1"/>
  <c r="AC19" i="16"/>
  <c r="AC247" i="17" s="1"/>
  <c r="BF23" i="16"/>
  <c r="BF255" i="17" s="1"/>
  <c r="AB22" i="16"/>
  <c r="AB250" i="17" s="1"/>
  <c r="U23" i="16"/>
  <c r="BZ21" i="16"/>
  <c r="BZ249" i="17" s="1"/>
  <c r="BK20" i="16"/>
  <c r="BK248" i="17" s="1"/>
  <c r="AM22" i="16"/>
  <c r="AM250" i="17" s="1"/>
  <c r="AP22" i="16"/>
  <c r="AP250" i="17" s="1"/>
  <c r="CP22" i="16"/>
  <c r="CP250" i="17" s="1"/>
  <c r="AR18" i="16"/>
  <c r="AR246" i="17" s="1"/>
  <c r="CC22" i="16"/>
  <c r="CC250" i="17" s="1"/>
  <c r="BG17" i="16"/>
  <c r="BG252" i="17" s="1"/>
  <c r="AD19" i="16"/>
  <c r="AD247" i="17" s="1"/>
  <c r="CQ21" i="16"/>
  <c r="CQ249" i="17" s="1"/>
  <c r="Q21" i="16"/>
  <c r="BC21" i="16"/>
  <c r="BC249" i="17" s="1"/>
  <c r="AS22" i="16"/>
  <c r="AS250" i="17" s="1"/>
  <c r="AG18" i="16"/>
  <c r="AG246" i="17" s="1"/>
  <c r="CS19" i="16"/>
  <c r="CS247" i="17" s="1"/>
  <c r="W21" i="16"/>
  <c r="W249" i="17" s="1"/>
  <c r="CQ23" i="16"/>
  <c r="AG23" i="16"/>
  <c r="AG255" i="17" s="1"/>
  <c r="BS19" i="16"/>
  <c r="BS247" i="17" s="1"/>
  <c r="BB22" i="16"/>
  <c r="BB250" i="17" s="1"/>
  <c r="AV18" i="16"/>
  <c r="AV246" i="17" s="1"/>
  <c r="CL17" i="16"/>
  <c r="Q276" i="1"/>
  <c r="AU276" i="17" s="1"/>
  <c r="AV276" i="17" s="1"/>
  <c r="AW276" i="17" s="1"/>
  <c r="AX276" i="17" s="1"/>
  <c r="M276" i="1"/>
  <c r="AE276" i="17" s="1"/>
  <c r="AF276" i="17" s="1"/>
  <c r="AG276" i="17" s="1"/>
  <c r="AH276" i="17" s="1"/>
  <c r="N18" i="16"/>
  <c r="CP21" i="16"/>
  <c r="CP249" i="17" s="1"/>
  <c r="X23" i="16"/>
  <c r="X255" i="17" s="1"/>
  <c r="CH17" i="16"/>
  <c r="AD18" i="16"/>
  <c r="AD246" i="17" s="1"/>
  <c r="AH19" i="16"/>
  <c r="AH247" i="17" s="1"/>
  <c r="BC19" i="16"/>
  <c r="BC247" i="17" s="1"/>
  <c r="AS19" i="16"/>
  <c r="AS247" i="17" s="1"/>
  <c r="AC23" i="16"/>
  <c r="AC255" i="17" s="1"/>
  <c r="N22" i="16"/>
  <c r="BY20" i="16"/>
  <c r="BY248" i="17" s="1"/>
  <c r="CC18" i="16"/>
  <c r="CC246" i="17" s="1"/>
  <c r="CL21" i="16"/>
  <c r="CL249" i="17" s="1"/>
  <c r="CL18" i="16"/>
  <c r="CL246" i="17" s="1"/>
  <c r="BK18" i="16"/>
  <c r="BK246" i="17" s="1"/>
  <c r="CG17" i="16"/>
  <c r="P18" i="16"/>
  <c r="AZ22" i="16"/>
  <c r="AZ250" i="17" s="1"/>
  <c r="BB17" i="16"/>
  <c r="BB252" i="17" s="1"/>
  <c r="CG23" i="16"/>
  <c r="L21" i="16"/>
  <c r="AC20" i="16"/>
  <c r="AC248" i="17" s="1"/>
  <c r="CH20" i="16"/>
  <c r="CH248" i="17" s="1"/>
  <c r="AX20" i="16"/>
  <c r="AX248" i="17" s="1"/>
  <c r="BO20" i="16"/>
  <c r="BO248" i="17" s="1"/>
  <c r="N20" i="16"/>
  <c r="CR19" i="16"/>
  <c r="CR247" i="17" s="1"/>
  <c r="BL17" i="16"/>
  <c r="BL252" i="17" s="1"/>
  <c r="BS18" i="16"/>
  <c r="BS246" i="17" s="1"/>
  <c r="AA275" i="1"/>
  <c r="CI275" i="17" s="1"/>
  <c r="CJ275" i="17" s="1"/>
  <c r="CK275" i="17" s="1"/>
  <c r="CL275" i="17" s="1"/>
  <c r="CG19" i="16"/>
  <c r="CG247" i="17" s="1"/>
  <c r="CH21" i="16"/>
  <c r="CH249" i="17" s="1"/>
  <c r="BR21" i="16"/>
  <c r="BR249" i="17" s="1"/>
  <c r="S18" i="16"/>
  <c r="AA272" i="1"/>
  <c r="CI272" i="17" s="1"/>
  <c r="AB274" i="1"/>
  <c r="CM274" i="17" s="1"/>
  <c r="CN274" i="17" s="1"/>
  <c r="CO274" i="17" s="1"/>
  <c r="CP274" i="17" s="1"/>
  <c r="I275" i="1"/>
  <c r="O275" i="17" s="1"/>
  <c r="L276" i="1"/>
  <c r="AA276" i="17" s="1"/>
  <c r="AB276" i="17" s="1"/>
  <c r="AC276" i="17" s="1"/>
  <c r="AD276" i="17" s="1"/>
  <c r="U273" i="1"/>
  <c r="BK273" i="17" s="1"/>
  <c r="M272" i="1"/>
  <c r="AE272" i="17" s="1"/>
  <c r="AB273" i="1"/>
  <c r="CM273" i="17" s="1"/>
  <c r="CN273" i="17" s="1"/>
  <c r="CO273" i="17" s="1"/>
  <c r="CP273" i="17" s="1"/>
  <c r="P273" i="1"/>
  <c r="AQ273" i="17" s="1"/>
  <c r="AR273" i="17" s="1"/>
  <c r="AS273" i="17" s="1"/>
  <c r="AT273" i="17" s="1"/>
  <c r="AC274" i="1"/>
  <c r="CQ274" i="17" s="1"/>
  <c r="K274" i="1"/>
  <c r="W274" i="17" s="1"/>
  <c r="X274" i="17" s="1"/>
  <c r="Y274" i="17" s="1"/>
  <c r="Z274" i="17" s="1"/>
  <c r="L273" i="1"/>
  <c r="AA273" i="17" s="1"/>
  <c r="AB273" i="17" s="1"/>
  <c r="AC273" i="17" s="1"/>
  <c r="AD273" i="17" s="1"/>
  <c r="AB272" i="1"/>
  <c r="CM272" i="17" s="1"/>
  <c r="I273" i="1"/>
  <c r="O273" i="17" s="1"/>
  <c r="O273" i="1"/>
  <c r="AM273" i="17" s="1"/>
  <c r="AN273" i="17" s="1"/>
  <c r="AO273" i="17" s="1"/>
  <c r="AP273" i="17" s="1"/>
  <c r="K276" i="1"/>
  <c r="W276" i="17" s="1"/>
  <c r="X276" i="17" s="1"/>
  <c r="Y276" i="17" s="1"/>
  <c r="Z276" i="17" s="1"/>
  <c r="W275" i="1"/>
  <c r="BS275" i="17" s="1"/>
  <c r="BT275" i="17" s="1"/>
  <c r="BU275" i="17" s="1"/>
  <c r="BV275" i="17" s="1"/>
  <c r="P276" i="1"/>
  <c r="AQ276" i="17" s="1"/>
  <c r="AR276" i="17" s="1"/>
  <c r="AS276" i="17" s="1"/>
  <c r="AT276" i="17" s="1"/>
  <c r="O272" i="1"/>
  <c r="AM272" i="17" s="1"/>
  <c r="AC276" i="1"/>
  <c r="CQ276" i="17" s="1"/>
  <c r="J274" i="1"/>
  <c r="S274" i="17" s="1"/>
  <c r="T274" i="17" s="1"/>
  <c r="U274" i="17" s="1"/>
  <c r="V274" i="17" s="1"/>
  <c r="S274" i="1"/>
  <c r="BC274" i="17" s="1"/>
  <c r="BD274" i="17" s="1"/>
  <c r="BE274" i="17" s="1"/>
  <c r="BF274" i="17" s="1"/>
  <c r="Q275" i="1"/>
  <c r="AU275" i="17" s="1"/>
  <c r="AV275" i="17" s="1"/>
  <c r="AW275" i="17" s="1"/>
  <c r="AX275" i="17" s="1"/>
  <c r="T275" i="1"/>
  <c r="BG275" i="17" s="1"/>
  <c r="T273" i="1"/>
  <c r="BG273" i="17" s="1"/>
  <c r="V274" i="1"/>
  <c r="BO274" i="17" s="1"/>
  <c r="BE23" i="16"/>
  <c r="BE255" i="17" s="1"/>
  <c r="Q17" i="16"/>
  <c r="Y21" i="16"/>
  <c r="Y249" i="17" s="1"/>
  <c r="BC23" i="16"/>
  <c r="BC255" i="17" s="1"/>
  <c r="AA20" i="16"/>
  <c r="AA248" i="17" s="1"/>
  <c r="K20" i="16"/>
  <c r="BR19" i="16"/>
  <c r="BR247" i="17" s="1"/>
  <c r="BO22" i="16"/>
  <c r="BO250" i="17" s="1"/>
  <c r="AH22" i="16"/>
  <c r="AH250" i="17" s="1"/>
  <c r="BA22" i="16"/>
  <c r="BA250" i="17" s="1"/>
  <c r="CC23" i="16"/>
  <c r="CQ17" i="16"/>
  <c r="CJ17" i="16"/>
  <c r="X19" i="16"/>
  <c r="X247" i="17" s="1"/>
  <c r="Y18" i="16"/>
  <c r="Y246" i="17" s="1"/>
  <c r="BT21" i="16"/>
  <c r="BT249" i="17" s="1"/>
  <c r="AY21" i="16"/>
  <c r="AY249" i="17" s="1"/>
  <c r="CA22" i="16"/>
  <c r="CA250" i="17" s="1"/>
  <c r="AL23" i="16"/>
  <c r="AL255" i="17" s="1"/>
  <c r="AT19" i="16"/>
  <c r="AT247" i="17" s="1"/>
  <c r="BV20" i="16"/>
  <c r="BV248" i="17" s="1"/>
  <c r="BC18" i="16"/>
  <c r="BC246" i="17" s="1"/>
  <c r="AV17" i="16"/>
  <c r="AV252" i="17" s="1"/>
  <c r="CU23" i="16"/>
  <c r="BR17" i="16"/>
  <c r="BA19" i="16"/>
  <c r="BA247" i="17" s="1"/>
  <c r="Y23" i="16"/>
  <c r="Y255" i="17" s="1"/>
  <c r="BT23" i="16"/>
  <c r="AN22" i="16"/>
  <c r="AN250" i="17" s="1"/>
  <c r="AK17" i="16"/>
  <c r="AK252" i="17" s="1"/>
  <c r="O18" i="16"/>
  <c r="AP17" i="16"/>
  <c r="AP252" i="17" s="1"/>
  <c r="CI21" i="16"/>
  <c r="CI249" i="17" s="1"/>
  <c r="BE21" i="16"/>
  <c r="BE249" i="17" s="1"/>
  <c r="AO20" i="16"/>
  <c r="AO248" i="17" s="1"/>
  <c r="AG19" i="16"/>
  <c r="AG247" i="17" s="1"/>
  <c r="AB21" i="16"/>
  <c r="AB249" i="17" s="1"/>
  <c r="BE22" i="16"/>
  <c r="BE250" i="17" s="1"/>
  <c r="AU20" i="16"/>
  <c r="AU248" i="17" s="1"/>
  <c r="AN17" i="16"/>
  <c r="AN252" i="17" s="1"/>
  <c r="AG21" i="16"/>
  <c r="AG249" i="17" s="1"/>
  <c r="O21" i="16"/>
  <c r="CE23" i="16"/>
  <c r="CG21" i="16"/>
  <c r="CG249" i="17" s="1"/>
  <c r="BO17" i="16"/>
  <c r="BO252" i="17" s="1"/>
  <c r="BX17" i="16"/>
  <c r="AD21" i="16"/>
  <c r="AD249" i="17" s="1"/>
  <c r="AQ23" i="16"/>
  <c r="AQ255" i="17" s="1"/>
  <c r="BM22" i="16"/>
  <c r="BM250" i="17" s="1"/>
  <c r="AK23" i="16"/>
  <c r="AK255" i="17" s="1"/>
  <c r="BW22" i="16"/>
  <c r="BW250" i="17" s="1"/>
  <c r="CQ20" i="16"/>
  <c r="CQ248" i="17" s="1"/>
  <c r="BU22" i="16"/>
  <c r="BU250" i="17" s="1"/>
  <c r="T18" i="16"/>
  <c r="CP23" i="16"/>
  <c r="K17" i="16"/>
  <c r="CK20" i="16"/>
  <c r="CK248" i="17" s="1"/>
  <c r="V22" i="16"/>
  <c r="BP18" i="16"/>
  <c r="BP246" i="17" s="1"/>
  <c r="W20" i="16"/>
  <c r="W248" i="17" s="1"/>
  <c r="AK18" i="16"/>
  <c r="AK246" i="17" s="1"/>
  <c r="BI17" i="16"/>
  <c r="BI252" i="17" s="1"/>
  <c r="BC17" i="16"/>
  <c r="BC252" i="17" s="1"/>
  <c r="AV23" i="16"/>
  <c r="AV255" i="17" s="1"/>
  <c r="CF22" i="16"/>
  <c r="CF250" i="17" s="1"/>
  <c r="W22" i="16"/>
  <c r="W250" i="17" s="1"/>
  <c r="AB20" i="16"/>
  <c r="AB248" i="17" s="1"/>
  <c r="AG20" i="16"/>
  <c r="AG248" i="17" s="1"/>
  <c r="AI23" i="16"/>
  <c r="AI255" i="17" s="1"/>
  <c r="AP20" i="16"/>
  <c r="AP248" i="17" s="1"/>
  <c r="CN23" i="16"/>
  <c r="M19" i="16"/>
  <c r="AW19" i="16"/>
  <c r="AW247" i="17" s="1"/>
  <c r="R22" i="16"/>
  <c r="BJ19" i="16"/>
  <c r="BJ247" i="17" s="1"/>
  <c r="BT17" i="16"/>
  <c r="CI17" i="16"/>
  <c r="AT22" i="16"/>
  <c r="AT250" i="17" s="1"/>
  <c r="BC22" i="16"/>
  <c r="BC250" i="17" s="1"/>
  <c r="AE20" i="16"/>
  <c r="AE248" i="17" s="1"/>
  <c r="AS23" i="16"/>
  <c r="AS255" i="17" s="1"/>
  <c r="AJ20" i="16"/>
  <c r="AJ248" i="17" s="1"/>
  <c r="BU18" i="16"/>
  <c r="BU246" i="17" s="1"/>
  <c r="BV17" i="16"/>
  <c r="AF21" i="16"/>
  <c r="AF249" i="17" s="1"/>
  <c r="CF21" i="16"/>
  <c r="CF249" i="17" s="1"/>
  <c r="CO22" i="16"/>
  <c r="CO250" i="17" s="1"/>
  <c r="CB23" i="16"/>
  <c r="CK17" i="16"/>
  <c r="AC17" i="16"/>
  <c r="AC252" i="17" s="1"/>
  <c r="BR18" i="16"/>
  <c r="BR246" i="17" s="1"/>
  <c r="CB20" i="16"/>
  <c r="CB248" i="17" s="1"/>
  <c r="AU21" i="16"/>
  <c r="AU249" i="17" s="1"/>
  <c r="BW19" i="16"/>
  <c r="BW247" i="17" s="1"/>
  <c r="AT21" i="16"/>
  <c r="AT249" i="17" s="1"/>
  <c r="AX22" i="16"/>
  <c r="AX250" i="17" s="1"/>
  <c r="BW21" i="16"/>
  <c r="BW249" i="17" s="1"/>
  <c r="AV20" i="16"/>
  <c r="AV248" i="17" s="1"/>
  <c r="H274" i="1"/>
  <c r="K274" i="17" s="1"/>
  <c r="L274" i="17" s="1"/>
  <c r="M274" i="17" s="1"/>
  <c r="N274" i="17" s="1"/>
  <c r="H387" i="23" s="1"/>
  <c r="H128" i="25" s="1"/>
  <c r="Q272" i="1"/>
  <c r="AU272" i="17" s="1"/>
  <c r="W276" i="1"/>
  <c r="BS276" i="17" s="1"/>
  <c r="BT276" i="17" s="1"/>
  <c r="BU276" i="17" s="1"/>
  <c r="BV276" i="17" s="1"/>
  <c r="X276" i="1"/>
  <c r="BW276" i="17" s="1"/>
  <c r="BX276" i="17" s="1"/>
  <c r="BY276" i="17" s="1"/>
  <c r="BZ276" i="17" s="1"/>
  <c r="Y274" i="1"/>
  <c r="CA274" i="17" s="1"/>
  <c r="CB274" i="17" s="1"/>
  <c r="CC274" i="17" s="1"/>
  <c r="CD274" i="17" s="1"/>
  <c r="N276" i="1"/>
  <c r="AI276" i="17" s="1"/>
  <c r="AJ276" i="17" s="1"/>
  <c r="AK276" i="17" s="1"/>
  <c r="AL276" i="17" s="1"/>
  <c r="N272" i="1"/>
  <c r="AI272" i="17" s="1"/>
  <c r="Z275" i="1"/>
  <c r="CE275" i="17" s="1"/>
  <c r="CF275" i="17" s="1"/>
  <c r="CG275" i="17" s="1"/>
  <c r="CH275" i="17" s="1"/>
  <c r="P272" i="1"/>
  <c r="AQ272" i="17" s="1"/>
  <c r="S273" i="1"/>
  <c r="BC273" i="17" s="1"/>
  <c r="BD273" i="17" s="1"/>
  <c r="BE273" i="17" s="1"/>
  <c r="BF273" i="17" s="1"/>
  <c r="Z276" i="1"/>
  <c r="CE276" i="17" s="1"/>
  <c r="CF276" i="17" s="1"/>
  <c r="CG276" i="17" s="1"/>
  <c r="CH276" i="17" s="1"/>
  <c r="L272" i="1"/>
  <c r="AA272" i="17" s="1"/>
  <c r="J275" i="1"/>
  <c r="S275" i="17" s="1"/>
  <c r="J273" i="1"/>
  <c r="S273" i="17" s="1"/>
  <c r="O274" i="1"/>
  <c r="AM274" i="17" s="1"/>
  <c r="AN274" i="17" s="1"/>
  <c r="AO274" i="17" s="1"/>
  <c r="AP274" i="17" s="1"/>
  <c r="W273" i="1"/>
  <c r="BS273" i="17" s="1"/>
  <c r="BT273" i="17" s="1"/>
  <c r="BU273" i="17" s="1"/>
  <c r="BV273" i="17" s="1"/>
  <c r="AA276" i="1"/>
  <c r="CI276" i="17" s="1"/>
  <c r="CJ276" i="17" s="1"/>
  <c r="CK276" i="17" s="1"/>
  <c r="CL276" i="17" s="1"/>
  <c r="V272" i="1"/>
  <c r="BO272" i="17" s="1"/>
  <c r="Q274" i="1"/>
  <c r="AU274" i="17" s="1"/>
  <c r="AV274" i="17" s="1"/>
  <c r="AW274" i="17" s="1"/>
  <c r="AX274" i="17" s="1"/>
  <c r="U274" i="1"/>
  <c r="BK274" i="17" s="1"/>
  <c r="AA274" i="1"/>
  <c r="CI274" i="17" s="1"/>
  <c r="CJ274" i="17" s="1"/>
  <c r="CK274" i="17" s="1"/>
  <c r="CL274" i="17" s="1"/>
  <c r="R274" i="1"/>
  <c r="AY274" i="17" s="1"/>
  <c r="AZ274" i="17" s="1"/>
  <c r="BA274" i="17" s="1"/>
  <c r="BB274" i="17" s="1"/>
  <c r="R272" i="1"/>
  <c r="AY272" i="17" s="1"/>
  <c r="V273" i="1"/>
  <c r="BO273" i="17" s="1"/>
  <c r="S275" i="1"/>
  <c r="BC275" i="17" s="1"/>
  <c r="BD275" i="17" s="1"/>
  <c r="BE275" i="17" s="1"/>
  <c r="BF275" i="17" s="1"/>
  <c r="L275" i="1"/>
  <c r="AA275" i="17" s="1"/>
  <c r="AB275" i="17" s="1"/>
  <c r="AC275" i="17" s="1"/>
  <c r="AD275" i="17" s="1"/>
  <c r="BU23" i="16"/>
  <c r="R273" i="1"/>
  <c r="AY273" i="17" s="1"/>
  <c r="AZ273" i="17" s="1"/>
  <c r="BA273" i="17" s="1"/>
  <c r="BB273" i="17" s="1"/>
  <c r="CU19" i="16"/>
  <c r="Z18" i="16"/>
  <c r="Z246" i="17" s="1"/>
  <c r="Q273" i="1"/>
  <c r="AU273" i="17" s="1"/>
  <c r="AV273" i="17" s="1"/>
  <c r="AW273" i="17" s="1"/>
  <c r="AX273" i="17" s="1"/>
  <c r="Z274" i="1"/>
  <c r="CE274" i="17" s="1"/>
  <c r="CF274" i="17" s="1"/>
  <c r="CG274" i="17" s="1"/>
  <c r="CH274" i="17" s="1"/>
  <c r="V275" i="1"/>
  <c r="BO275" i="17" s="1"/>
  <c r="U275" i="1"/>
  <c r="BK275" i="17" s="1"/>
  <c r="T276" i="1"/>
  <c r="BG276" i="17" s="1"/>
  <c r="R275" i="1"/>
  <c r="AY275" i="17" s="1"/>
  <c r="AZ275" i="17" s="1"/>
  <c r="BA275" i="17" s="1"/>
  <c r="BB275" i="17" s="1"/>
  <c r="P274" i="1"/>
  <c r="AQ274" i="17" s="1"/>
  <c r="AR274" i="17" s="1"/>
  <c r="AS274" i="17" s="1"/>
  <c r="AT274" i="17" s="1"/>
  <c r="Y276" i="1"/>
  <c r="CA276" i="17" s="1"/>
  <c r="CB276" i="17" s="1"/>
  <c r="CC276" i="17" s="1"/>
  <c r="CD276" i="17" s="1"/>
  <c r="S272" i="1"/>
  <c r="BC272" i="17" s="1"/>
  <c r="M275" i="1"/>
  <c r="AE275" i="17" s="1"/>
  <c r="AF275" i="17" s="1"/>
  <c r="AG275" i="17" s="1"/>
  <c r="AH275" i="17" s="1"/>
  <c r="N274" i="1"/>
  <c r="AI274" i="17" s="1"/>
  <c r="AJ274" i="17" s="1"/>
  <c r="AK274" i="17" s="1"/>
  <c r="AL274" i="17" s="1"/>
  <c r="P275" i="1"/>
  <c r="AQ275" i="17" s="1"/>
  <c r="AR275" i="17" s="1"/>
  <c r="AS275" i="17" s="1"/>
  <c r="AT275" i="17" s="1"/>
  <c r="K273" i="1"/>
  <c r="W273" i="17" s="1"/>
  <c r="X273" i="17" s="1"/>
  <c r="Y273" i="17" s="1"/>
  <c r="Z273" i="17" s="1"/>
  <c r="M274" i="1"/>
  <c r="AE274" i="17" s="1"/>
  <c r="AF274" i="17" s="1"/>
  <c r="AG274" i="17" s="1"/>
  <c r="AH274" i="17" s="1"/>
  <c r="H273" i="1"/>
  <c r="K273" i="17" s="1"/>
  <c r="AA273" i="1"/>
  <c r="CI273" i="17" s="1"/>
  <c r="CJ273" i="17" s="1"/>
  <c r="CK273" i="17" s="1"/>
  <c r="CL273" i="17" s="1"/>
  <c r="AB275" i="1"/>
  <c r="CM275" i="17" s="1"/>
  <c r="CN275" i="17" s="1"/>
  <c r="CO275" i="17" s="1"/>
  <c r="CP275" i="17" s="1"/>
  <c r="AB276" i="1"/>
  <c r="CM276" i="17" s="1"/>
  <c r="CN276" i="17" s="1"/>
  <c r="CO276" i="17" s="1"/>
  <c r="CP276" i="17" s="1"/>
  <c r="Y272" i="1"/>
  <c r="CA272" i="17" s="1"/>
  <c r="K272" i="1"/>
  <c r="W272" i="17" s="1"/>
  <c r="L274" i="1"/>
  <c r="AA274" i="17" s="1"/>
  <c r="AB274" i="17" s="1"/>
  <c r="AC274" i="17" s="1"/>
  <c r="AD274" i="17" s="1"/>
  <c r="M273" i="1"/>
  <c r="AE273" i="17" s="1"/>
  <c r="AF273" i="17" s="1"/>
  <c r="AG273" i="17" s="1"/>
  <c r="AH273" i="17" s="1"/>
  <c r="T274" i="1"/>
  <c r="BG274" i="17" s="1"/>
  <c r="X273" i="1"/>
  <c r="BW273" i="17" s="1"/>
  <c r="BX273" i="17" s="1"/>
  <c r="BY273" i="17" s="1"/>
  <c r="BZ273" i="17" s="1"/>
  <c r="X275" i="1"/>
  <c r="BW275" i="17" s="1"/>
  <c r="BX275" i="17" s="1"/>
  <c r="BY275" i="17" s="1"/>
  <c r="BZ275" i="17" s="1"/>
  <c r="V276" i="1"/>
  <c r="BO276" i="17" s="1"/>
  <c r="U272" i="1"/>
  <c r="BK272" i="17" s="1"/>
  <c r="BO19" i="16"/>
  <c r="BO247" i="17" s="1"/>
  <c r="CH23" i="16"/>
  <c r="BI23" i="16"/>
  <c r="BI255" i="17" s="1"/>
  <c r="AF18" i="16"/>
  <c r="AF246" i="17" s="1"/>
  <c r="AE144" i="25" l="1"/>
  <c r="CA277" i="17"/>
  <c r="CB272" i="17"/>
  <c r="BI289" i="17"/>
  <c r="BF23" i="26"/>
  <c r="BL268" i="17"/>
  <c r="BP276" i="17"/>
  <c r="BQ276" i="17" s="1"/>
  <c r="BR276" i="17" s="1"/>
  <c r="M386" i="23"/>
  <c r="M126" i="25" s="1"/>
  <c r="L273" i="17"/>
  <c r="K277" i="17"/>
  <c r="N387" i="23"/>
  <c r="N128" i="25" s="1"/>
  <c r="Y389" i="23"/>
  <c r="Y129" i="25" s="1"/>
  <c r="BH276" i="17"/>
  <c r="Z387" i="23"/>
  <c r="Z128" i="25" s="1"/>
  <c r="BP273" i="17"/>
  <c r="BQ273" i="17" s="1"/>
  <c r="BR273" i="17" s="1"/>
  <c r="R387" i="23"/>
  <c r="R128" i="25" s="1"/>
  <c r="BL274" i="17"/>
  <c r="AA389" i="23"/>
  <c r="O387" i="23"/>
  <c r="O128" i="25" s="1"/>
  <c r="AB272" i="17"/>
  <c r="AA277" i="17"/>
  <c r="Z388" i="23"/>
  <c r="Z127" i="25" s="1"/>
  <c r="AU277" i="17"/>
  <c r="AV272" i="17"/>
  <c r="AV251" i="17" s="1"/>
  <c r="BW283" i="17"/>
  <c r="BZ262" i="17"/>
  <c r="BT26" i="26"/>
  <c r="BZ260" i="17"/>
  <c r="BT25" i="26"/>
  <c r="BW281" i="17"/>
  <c r="AF265" i="17"/>
  <c r="M128" i="8" s="1"/>
  <c r="Z22" i="26"/>
  <c r="AC286" i="17"/>
  <c r="CO284" i="17"/>
  <c r="CL28" i="26"/>
  <c r="BU280" i="17"/>
  <c r="BR24" i="26"/>
  <c r="AB27" i="26"/>
  <c r="AE282" i="17"/>
  <c r="AH261" i="17"/>
  <c r="AT25" i="26"/>
  <c r="AW281" i="17"/>
  <c r="AF23" i="26"/>
  <c r="AL268" i="17"/>
  <c r="AI289" i="17"/>
  <c r="T28" i="26"/>
  <c r="Z263" i="17"/>
  <c r="W284" i="17"/>
  <c r="BI286" i="17"/>
  <c r="BF22" i="26"/>
  <c r="BL265" i="17"/>
  <c r="CQ282" i="17"/>
  <c r="D270" i="2" s="1"/>
  <c r="CN27" i="26"/>
  <c r="CT261" i="17"/>
  <c r="CU248" i="17"/>
  <c r="AU282" i="17"/>
  <c r="AR27" i="26"/>
  <c r="AX261" i="17"/>
  <c r="AD25" i="26"/>
  <c r="AG281" i="17"/>
  <c r="BB26" i="26"/>
  <c r="BE283" i="17"/>
  <c r="AH22" i="26"/>
  <c r="AK286" i="17"/>
  <c r="AN265" i="17"/>
  <c r="O128" i="8" s="1"/>
  <c r="BA281" i="17"/>
  <c r="AX25" i="26"/>
  <c r="AS22" i="26"/>
  <c r="AV286" i="17"/>
  <c r="AL289" i="17"/>
  <c r="AI23" i="26"/>
  <c r="BQ26" i="26"/>
  <c r="BT283" i="17"/>
  <c r="AX28" i="26"/>
  <c r="BA284" i="17"/>
  <c r="Y283" i="17"/>
  <c r="V26" i="26"/>
  <c r="BH273" i="17"/>
  <c r="S387" i="23"/>
  <c r="S128" i="25" s="1"/>
  <c r="K387" i="23"/>
  <c r="K128" i="25" s="1"/>
  <c r="L389" i="23"/>
  <c r="L129" i="25" s="1"/>
  <c r="AB387" i="23"/>
  <c r="BR283" i="17"/>
  <c r="BO26" i="26"/>
  <c r="BL286" i="17"/>
  <c r="BI22" i="26"/>
  <c r="BO282" i="17"/>
  <c r="BR261" i="17"/>
  <c r="BL27" i="26"/>
  <c r="CI26" i="26"/>
  <c r="CL283" i="17"/>
  <c r="AH281" i="17"/>
  <c r="AE25" i="26"/>
  <c r="AG289" i="17"/>
  <c r="AJ268" i="17"/>
  <c r="AD23" i="26"/>
  <c r="AD24" i="26"/>
  <c r="AG280" i="17"/>
  <c r="CU249" i="17"/>
  <c r="CN26" i="26"/>
  <c r="CT262" i="17"/>
  <c r="CQ283" i="17"/>
  <c r="D269" i="2" s="1"/>
  <c r="AO24" i="26"/>
  <c r="AR280" i="17"/>
  <c r="BK282" i="17"/>
  <c r="BN261" i="17"/>
  <c r="BH27" i="26"/>
  <c r="Y28" i="26"/>
  <c r="AB284" i="17"/>
  <c r="V25" i="26"/>
  <c r="Y281" i="17"/>
  <c r="AN22" i="26"/>
  <c r="AQ286" i="17"/>
  <c r="AT265" i="17"/>
  <c r="BS25" i="26"/>
  <c r="BV281" i="17"/>
  <c r="Y386" i="23"/>
  <c r="Y126" i="25" s="1"/>
  <c r="AG23" i="26"/>
  <c r="AJ289" i="17"/>
  <c r="AQ283" i="17"/>
  <c r="AN26" i="26"/>
  <c r="AT262" i="17"/>
  <c r="BV284" i="17"/>
  <c r="BS28" i="26"/>
  <c r="CC25" i="26"/>
  <c r="CF281" i="17"/>
  <c r="BB25" i="26"/>
  <c r="BE281" i="17"/>
  <c r="CN281" i="17"/>
  <c r="CK25" i="26"/>
  <c r="BM289" i="17"/>
  <c r="BJ23" i="26"/>
  <c r="BP268" i="17"/>
  <c r="BE282" i="17"/>
  <c r="BB27" i="26"/>
  <c r="CP259" i="17"/>
  <c r="CM280" i="17"/>
  <c r="CJ24" i="26"/>
  <c r="AR25" i="26"/>
  <c r="AU281" i="17"/>
  <c r="AX260" i="17"/>
  <c r="AC22" i="26"/>
  <c r="AF286" i="17"/>
  <c r="AK26" i="26"/>
  <c r="AN283" i="17"/>
  <c r="CU273" i="17"/>
  <c r="CR273" i="17"/>
  <c r="CS273" i="17" s="1"/>
  <c r="CT273" i="17" s="1"/>
  <c r="N388" i="23"/>
  <c r="N127" i="25" s="1"/>
  <c r="BW277" i="17"/>
  <c r="BX272" i="17"/>
  <c r="CF272" i="17"/>
  <c r="CE277" i="17"/>
  <c r="BG284" i="17"/>
  <c r="BJ263" i="17"/>
  <c r="BD28" i="26"/>
  <c r="S389" i="23"/>
  <c r="S129" i="25" s="1"/>
  <c r="AV283" i="17"/>
  <c r="AS26" i="26"/>
  <c r="BC25" i="26"/>
  <c r="BF281" i="17"/>
  <c r="W23" i="26"/>
  <c r="Z289" i="17"/>
  <c r="BM286" i="17"/>
  <c r="BP265" i="17"/>
  <c r="BJ22" i="26"/>
  <c r="BZ27" i="26"/>
  <c r="CC282" i="17"/>
  <c r="BO289" i="17"/>
  <c r="BL23" i="26"/>
  <c r="CG26" i="26"/>
  <c r="CJ283" i="17"/>
  <c r="BJ284" i="17"/>
  <c r="BG28" i="26"/>
  <c r="CL24" i="26"/>
  <c r="CO280" i="17"/>
  <c r="AT282" i="17"/>
  <c r="AQ27" i="26"/>
  <c r="AA289" i="17"/>
  <c r="AD268" i="17"/>
  <c r="X23" i="26"/>
  <c r="CD28" i="26"/>
  <c r="CG284" i="17"/>
  <c r="CN283" i="17"/>
  <c r="CK26" i="26"/>
  <c r="BH23" i="26"/>
  <c r="BN268" i="17"/>
  <c r="BK289" i="17"/>
  <c r="BR25" i="26"/>
  <c r="BU281" i="17"/>
  <c r="BV261" i="17"/>
  <c r="BP27" i="26"/>
  <c r="BS282" i="17"/>
  <c r="AD262" i="17"/>
  <c r="AA283" i="17"/>
  <c r="X26" i="26"/>
  <c r="BM28" i="26"/>
  <c r="BP284" i="17"/>
  <c r="BJ262" i="17"/>
  <c r="BD26" i="26"/>
  <c r="BG283" i="17"/>
  <c r="AD286" i="17"/>
  <c r="AA22" i="26"/>
  <c r="T24" i="26"/>
  <c r="W280" i="17"/>
  <c r="Z259" i="17"/>
  <c r="AN280" i="17"/>
  <c r="AK24" i="26"/>
  <c r="AU22" i="26"/>
  <c r="AX286" i="17"/>
  <c r="BN263" i="17"/>
  <c r="BK284" i="17"/>
  <c r="BH28" i="26"/>
  <c r="CP24" i="26"/>
  <c r="CS280" i="17"/>
  <c r="F267" i="2" s="1"/>
  <c r="CW246" i="17"/>
  <c r="BY24" i="26"/>
  <c r="CB280" i="17"/>
  <c r="AH260" i="17"/>
  <c r="AE281" i="17"/>
  <c r="AB25" i="26"/>
  <c r="BD280" i="17"/>
  <c r="BA24" i="26"/>
  <c r="CA28" i="26"/>
  <c r="CD284" i="17"/>
  <c r="Z286" i="17"/>
  <c r="W22" i="26"/>
  <c r="BD289" i="17"/>
  <c r="BA23" i="26"/>
  <c r="CH260" i="17"/>
  <c r="CE281" i="17"/>
  <c r="CB25" i="26"/>
  <c r="BB283" i="17"/>
  <c r="AY26" i="26"/>
  <c r="BL289" i="17"/>
  <c r="BI23" i="26"/>
  <c r="BE27" i="26"/>
  <c r="BH282" i="17"/>
  <c r="BL284" i="17"/>
  <c r="BI28" i="26"/>
  <c r="AX280" i="17"/>
  <c r="AU24" i="26"/>
  <c r="BG26" i="26"/>
  <c r="BJ283" i="17"/>
  <c r="CJ27" i="26"/>
  <c r="CP261" i="17"/>
  <c r="CM282" i="17"/>
  <c r="BC24" i="26"/>
  <c r="BF280" i="17"/>
  <c r="BJ261" i="17"/>
  <c r="BG282" i="17"/>
  <c r="BD27" i="26"/>
  <c r="AH282" i="17"/>
  <c r="AE27" i="26"/>
  <c r="BQ283" i="17"/>
  <c r="BN26" i="26"/>
  <c r="BT282" i="17"/>
  <c r="BQ27" i="26"/>
  <c r="BQ25" i="26"/>
  <c r="BT281" i="17"/>
  <c r="AU23" i="26"/>
  <c r="AX289" i="17"/>
  <c r="Z28" i="26"/>
  <c r="AC284" i="17"/>
  <c r="AQ282" i="17"/>
  <c r="AN27" i="26"/>
  <c r="AT261" i="17"/>
  <c r="AR265" i="17"/>
  <c r="P128" i="8" s="1"/>
  <c r="AO286" i="17"/>
  <c r="AL22" i="26"/>
  <c r="BN281" i="17"/>
  <c r="BK25" i="26"/>
  <c r="CI25" i="26"/>
  <c r="CL281" i="17"/>
  <c r="BV283" i="17"/>
  <c r="BS26" i="26"/>
  <c r="CI281" i="17"/>
  <c r="CF25" i="26"/>
  <c r="CL260" i="17"/>
  <c r="X284" i="17"/>
  <c r="U28" i="26"/>
  <c r="BR262" i="17"/>
  <c r="BO283" i="17"/>
  <c r="BL26" i="26"/>
  <c r="BV25" i="26"/>
  <c r="BY281" i="17"/>
  <c r="AE286" i="17"/>
  <c r="AB22" i="26"/>
  <c r="AH265" i="17"/>
  <c r="BB281" i="17"/>
  <c r="AY25" i="26"/>
  <c r="BF286" i="17"/>
  <c r="BC22" i="26"/>
  <c r="AO25" i="26"/>
  <c r="AR281" i="17"/>
  <c r="BG251" i="17"/>
  <c r="BG253" i="17" s="1"/>
  <c r="BG280" i="17"/>
  <c r="BD24" i="26"/>
  <c r="BJ259" i="17"/>
  <c r="AW282" i="17"/>
  <c r="AT27" i="26"/>
  <c r="BW282" i="17"/>
  <c r="BT27" i="26"/>
  <c r="BZ261" i="17"/>
  <c r="BM283" i="17"/>
  <c r="BJ26" i="26"/>
  <c r="AC24" i="26"/>
  <c r="AF280" i="17"/>
  <c r="L387" i="23"/>
  <c r="L128" i="25" s="1"/>
  <c r="M387" i="23"/>
  <c r="M128" i="25" s="1"/>
  <c r="P387" i="23"/>
  <c r="P128" i="25" s="1"/>
  <c r="BL275" i="17"/>
  <c r="Z280" i="17"/>
  <c r="W24" i="26"/>
  <c r="L388" i="23"/>
  <c r="L127" i="25" s="1"/>
  <c r="Q387" i="23"/>
  <c r="Q128" i="25" s="1"/>
  <c r="W386" i="23"/>
  <c r="W126" i="25" s="1"/>
  <c r="T273" i="17"/>
  <c r="S277" i="17"/>
  <c r="Z389" i="23"/>
  <c r="Z129" i="25" s="1"/>
  <c r="Y387" i="23"/>
  <c r="Y128" i="25" s="1"/>
  <c r="AU28" i="26"/>
  <c r="AX284" i="17"/>
  <c r="AU283" i="17"/>
  <c r="AX262" i="17"/>
  <c r="AR26" i="26"/>
  <c r="CF283" i="17"/>
  <c r="CC26" i="26"/>
  <c r="AJ282" i="17"/>
  <c r="AG27" i="26"/>
  <c r="AZ28" i="26"/>
  <c r="BC284" i="17"/>
  <c r="BF263" i="17"/>
  <c r="BG25" i="26"/>
  <c r="BJ281" i="17"/>
  <c r="AD27" i="26"/>
  <c r="AG282" i="17"/>
  <c r="CF284" i="17"/>
  <c r="CC28" i="26"/>
  <c r="AK280" i="17"/>
  <c r="AH24" i="26"/>
  <c r="BW284" i="17"/>
  <c r="BT28" i="26"/>
  <c r="BZ263" i="17"/>
  <c r="BJ28" i="26"/>
  <c r="BM284" i="17"/>
  <c r="BL22" i="26"/>
  <c r="BO286" i="17"/>
  <c r="BE284" i="17"/>
  <c r="BB28" i="26"/>
  <c r="CL262" i="17"/>
  <c r="CI283" i="17"/>
  <c r="CF26" i="26"/>
  <c r="AK28" i="26"/>
  <c r="AN284" i="17"/>
  <c r="BC280" i="17"/>
  <c r="BC251" i="17"/>
  <c r="BC253" i="17" s="1"/>
  <c r="AZ24" i="26"/>
  <c r="BF259" i="17"/>
  <c r="V24" i="26"/>
  <c r="Y280" i="17"/>
  <c r="AH284" i="17"/>
  <c r="AE28" i="26"/>
  <c r="BH275" i="17"/>
  <c r="J387" i="23"/>
  <c r="J128" i="25" s="1"/>
  <c r="W388" i="23"/>
  <c r="W127" i="25" s="1"/>
  <c r="K389" i="23"/>
  <c r="K129" i="25" s="1"/>
  <c r="CM277" i="17"/>
  <c r="CN272" i="17"/>
  <c r="CU274" i="17"/>
  <c r="CR274" i="17"/>
  <c r="CS274" i="17" s="1"/>
  <c r="CT274" i="17" s="1"/>
  <c r="AF272" i="17"/>
  <c r="AE277" i="17"/>
  <c r="CJ272" i="17"/>
  <c r="CI277" i="17"/>
  <c r="CH283" i="17"/>
  <c r="CE26" i="26"/>
  <c r="CR281" i="17"/>
  <c r="E268" i="2" s="1"/>
  <c r="CO25" i="26"/>
  <c r="CV247" i="17"/>
  <c r="AU27" i="26"/>
  <c r="AX282" i="17"/>
  <c r="AC289" i="17"/>
  <c r="AF268" i="17"/>
  <c r="Z23" i="26"/>
  <c r="AA24" i="26"/>
  <c r="AD280" i="17"/>
  <c r="CM26" i="26"/>
  <c r="CP283" i="17"/>
  <c r="Q389" i="23"/>
  <c r="Q129" i="25" s="1"/>
  <c r="AV280" i="17"/>
  <c r="AS24" i="26"/>
  <c r="AP28" i="26"/>
  <c r="AS284" i="17"/>
  <c r="AD281" i="17"/>
  <c r="AA25" i="26"/>
  <c r="CM28" i="26"/>
  <c r="CP284" i="17"/>
  <c r="BF289" i="17"/>
  <c r="BC23" i="26"/>
  <c r="AL25" i="26"/>
  <c r="AO281" i="17"/>
  <c r="BB259" i="17"/>
  <c r="AY280" i="17"/>
  <c r="AV24" i="26"/>
  <c r="AY251" i="17"/>
  <c r="AN281" i="17"/>
  <c r="AK25" i="26"/>
  <c r="BV263" i="17"/>
  <c r="BS284" i="17"/>
  <c r="BP28" i="26"/>
  <c r="AR284" i="17"/>
  <c r="AO28" i="26"/>
  <c r="BW280" i="17"/>
  <c r="BT24" i="26"/>
  <c r="BZ259" i="17"/>
  <c r="CC281" i="17"/>
  <c r="BZ25" i="26"/>
  <c r="AG26" i="26"/>
  <c r="AJ283" i="17"/>
  <c r="AS283" i="17"/>
  <c r="AP26" i="26"/>
  <c r="AF22" i="26"/>
  <c r="AL265" i="17"/>
  <c r="AI286" i="17"/>
  <c r="BE26" i="26"/>
  <c r="BH283" i="17"/>
  <c r="BA26" i="26"/>
  <c r="BD283" i="17"/>
  <c r="AH26" i="26"/>
  <c r="AK283" i="17"/>
  <c r="BA27" i="26"/>
  <c r="BD282" i="17"/>
  <c r="X283" i="17"/>
  <c r="U26" i="26"/>
  <c r="Z283" i="17"/>
  <c r="W26" i="26"/>
  <c r="N386" i="23"/>
  <c r="N126" i="25" s="1"/>
  <c r="R389" i="23"/>
  <c r="R129" i="25" s="1"/>
  <c r="K388" i="23"/>
  <c r="K127" i="25" s="1"/>
  <c r="CU272" i="17"/>
  <c r="CQ277" i="17"/>
  <c r="CR272" i="17"/>
  <c r="BC28" i="26"/>
  <c r="BF284" i="17"/>
  <c r="AL263" i="17"/>
  <c r="AI284" i="17"/>
  <c r="AF28" i="26"/>
  <c r="AU286" i="17"/>
  <c r="AX265" i="17"/>
  <c r="AR22" i="26"/>
  <c r="AI280" i="17"/>
  <c r="AF24" i="26"/>
  <c r="AL259" i="17"/>
  <c r="BA25" i="26"/>
  <c r="BD281" i="17"/>
  <c r="BW28" i="26"/>
  <c r="BZ284" i="17"/>
  <c r="AK282" i="17"/>
  <c r="AH27" i="26"/>
  <c r="AJ280" i="17"/>
  <c r="AG24" i="26"/>
  <c r="BM282" i="17"/>
  <c r="BJ27" i="26"/>
  <c r="AF27" i="26"/>
  <c r="AI282" i="17"/>
  <c r="AL261" i="17"/>
  <c r="Z26" i="26"/>
  <c r="AC283" i="17"/>
  <c r="BH265" i="17"/>
  <c r="BE286" i="17"/>
  <c r="BB22" i="26"/>
  <c r="BU28" i="26"/>
  <c r="BX284" i="17"/>
  <c r="CL282" i="17"/>
  <c r="CI27" i="26"/>
  <c r="BZ26" i="26"/>
  <c r="CC283" i="17"/>
  <c r="CE28" i="26"/>
  <c r="CH284" i="17"/>
  <c r="CO282" i="17"/>
  <c r="CL27" i="26"/>
  <c r="AN282" i="17"/>
  <c r="AK27" i="26"/>
  <c r="AW23" i="26"/>
  <c r="AZ289" i="17"/>
  <c r="BI25" i="26"/>
  <c r="BL281" i="17"/>
  <c r="AU251" i="17"/>
  <c r="AR24" i="26"/>
  <c r="AU280" i="17"/>
  <c r="AX259" i="17"/>
  <c r="AO22" i="26"/>
  <c r="AR286" i="17"/>
  <c r="BF24" i="26"/>
  <c r="BI280" i="17"/>
  <c r="BH284" i="17"/>
  <c r="BE28" i="26"/>
  <c r="BC27" i="26"/>
  <c r="BF282" i="17"/>
  <c r="AS282" i="17"/>
  <c r="AP27" i="26"/>
  <c r="AO27" i="26"/>
  <c r="AR282" i="17"/>
  <c r="AL23" i="26"/>
  <c r="AO289" i="17"/>
  <c r="AR268" i="17"/>
  <c r="U27" i="26"/>
  <c r="X282" i="17"/>
  <c r="CO24" i="26"/>
  <c r="CV246" i="17"/>
  <c r="CR280" i="17"/>
  <c r="E267" i="2" s="1"/>
  <c r="AP260" i="17"/>
  <c r="AM281" i="17"/>
  <c r="AJ25" i="26"/>
  <c r="CH26" i="26"/>
  <c r="CK283" i="17"/>
  <c r="AB265" i="17"/>
  <c r="L128" i="8" s="1"/>
  <c r="V22" i="26"/>
  <c r="Y286" i="17"/>
  <c r="CP280" i="17"/>
  <c r="CM24" i="26"/>
  <c r="BK26" i="26"/>
  <c r="BN283" i="17"/>
  <c r="AF281" i="17"/>
  <c r="AC25" i="26"/>
  <c r="BK27" i="26"/>
  <c r="BN282" i="17"/>
  <c r="AT26" i="26"/>
  <c r="AW283" i="17"/>
  <c r="AM26" i="26"/>
  <c r="AP283" i="17"/>
  <c r="AE26" i="26"/>
  <c r="AH283" i="17"/>
  <c r="BM26" i="26"/>
  <c r="BP283" i="17"/>
  <c r="AY23" i="26"/>
  <c r="BB289" i="17"/>
  <c r="BS24" i="26"/>
  <c r="BV280" i="17"/>
  <c r="CF27" i="26"/>
  <c r="CI282" i="17"/>
  <c r="CL261" i="17"/>
  <c r="BX24" i="26"/>
  <c r="CD259" i="17"/>
  <c r="CA280" i="17"/>
  <c r="CB26" i="26"/>
  <c r="CE283" i="17"/>
  <c r="CH262" i="17"/>
  <c r="AB281" i="17"/>
  <c r="Y25" i="26"/>
  <c r="CG28" i="26"/>
  <c r="CJ284" i="17"/>
  <c r="CK281" i="17"/>
  <c r="CH25" i="26"/>
  <c r="BY283" i="17"/>
  <c r="BV26" i="26"/>
  <c r="BG22" i="26"/>
  <c r="BJ286" i="17"/>
  <c r="BK24" i="26"/>
  <c r="BN280" i="17"/>
  <c r="AP280" i="17"/>
  <c r="AM24" i="26"/>
  <c r="BQ28" i="26"/>
  <c r="BT284" i="17"/>
  <c r="AC23" i="26"/>
  <c r="AF289" i="17"/>
  <c r="AX26" i="26"/>
  <c r="BA283" i="17"/>
  <c r="CH261" i="17"/>
  <c r="CB27" i="26"/>
  <c r="CE282" i="17"/>
  <c r="AA27" i="26"/>
  <c r="AD282" i="17"/>
  <c r="AS28" i="26"/>
  <c r="AV284" i="17"/>
  <c r="CB24" i="26"/>
  <c r="CE280" i="17"/>
  <c r="CH259" i="17"/>
  <c r="BG27" i="26"/>
  <c r="BJ282" i="17"/>
  <c r="CA25" i="26"/>
  <c r="CD281" i="17"/>
  <c r="BB265" i="17"/>
  <c r="AY286" i="17"/>
  <c r="AV22" i="26"/>
  <c r="CS282" i="17"/>
  <c r="F270" i="2" s="1"/>
  <c r="CW248" i="17"/>
  <c r="CP27" i="26"/>
  <c r="BI284" i="17"/>
  <c r="BF28" i="26"/>
  <c r="BD23" i="26"/>
  <c r="BG289" i="17"/>
  <c r="BJ268" i="17"/>
  <c r="BG24" i="26"/>
  <c r="BJ280" i="17"/>
  <c r="AG28" i="26"/>
  <c r="AJ284" i="17"/>
  <c r="AZ286" i="17"/>
  <c r="AW22" i="26"/>
  <c r="AL282" i="17"/>
  <c r="AI27" i="26"/>
  <c r="BN28" i="26"/>
  <c r="BQ284" i="17"/>
  <c r="X388" i="23"/>
  <c r="X127" i="25" s="1"/>
  <c r="AB389" i="23"/>
  <c r="M388" i="23"/>
  <c r="M127" i="25" s="1"/>
  <c r="R388" i="23"/>
  <c r="R127" i="25" s="1"/>
  <c r="BL25" i="26"/>
  <c r="BR260" i="17"/>
  <c r="BO281" i="17"/>
  <c r="X386" i="23"/>
  <c r="X126" i="25" s="1"/>
  <c r="W277" i="17"/>
  <c r="X272" i="17"/>
  <c r="AB388" i="23"/>
  <c r="K386" i="23"/>
  <c r="K126" i="25" s="1"/>
  <c r="BP275" i="17"/>
  <c r="BQ275" i="17" s="1"/>
  <c r="BR275" i="17" s="1"/>
  <c r="Q386" i="23"/>
  <c r="Q126" i="25" s="1"/>
  <c r="S388" i="23"/>
  <c r="S127" i="25" s="1"/>
  <c r="T275" i="17"/>
  <c r="S386" i="23"/>
  <c r="S126" i="25" s="1"/>
  <c r="AI277" i="17"/>
  <c r="AJ272" i="17"/>
  <c r="X389" i="23"/>
  <c r="X129" i="25" s="1"/>
  <c r="AV282" i="17"/>
  <c r="AS27" i="26"/>
  <c r="AQ26" i="26"/>
  <c r="AT283" i="17"/>
  <c r="CB282" i="17"/>
  <c r="BY27" i="26"/>
  <c r="AC26" i="26"/>
  <c r="AF283" i="17"/>
  <c r="AQ28" i="26"/>
  <c r="AT284" i="17"/>
  <c r="Y27" i="26"/>
  <c r="AB282" i="17"/>
  <c r="AS23" i="26"/>
  <c r="AV289" i="17"/>
  <c r="Z261" i="17"/>
  <c r="W282" i="17"/>
  <c r="T27" i="26"/>
  <c r="AN268" i="17"/>
  <c r="AK289" i="17"/>
  <c r="AH23" i="26"/>
  <c r="AT268" i="17"/>
  <c r="AQ289" i="17"/>
  <c r="AN23" i="26"/>
  <c r="CG283" i="17"/>
  <c r="CD26" i="26"/>
  <c r="AG283" i="17"/>
  <c r="AD26" i="26"/>
  <c r="AL27" i="26"/>
  <c r="AO282" i="17"/>
  <c r="AM22" i="26"/>
  <c r="AP286" i="17"/>
  <c r="BV282" i="17"/>
  <c r="BS27" i="26"/>
  <c r="CD263" i="17"/>
  <c r="CA284" i="17"/>
  <c r="BX28" i="26"/>
  <c r="U25" i="26"/>
  <c r="X281" i="17"/>
  <c r="BO284" i="17"/>
  <c r="BR263" i="17"/>
  <c r="BL28" i="26"/>
  <c r="AA282" i="17"/>
  <c r="X27" i="26"/>
  <c r="AD261" i="17"/>
  <c r="BB23" i="26"/>
  <c r="BE289" i="17"/>
  <c r="BH268" i="17"/>
  <c r="AM277" i="17"/>
  <c r="AN272" i="17"/>
  <c r="P273" i="17"/>
  <c r="O251" i="17"/>
  <c r="O277" i="17"/>
  <c r="P386" i="23"/>
  <c r="P126" i="25" s="1"/>
  <c r="AB386" i="23"/>
  <c r="CD25" i="26"/>
  <c r="CG281" i="17"/>
  <c r="CE27" i="26"/>
  <c r="CH282" i="17"/>
  <c r="AY22" i="26"/>
  <c r="BB286" i="17"/>
  <c r="BN259" i="17"/>
  <c r="BH24" i="26"/>
  <c r="BK280" i="17"/>
  <c r="BK251" i="17"/>
  <c r="BK253" i="17" s="1"/>
  <c r="BZ24" i="26"/>
  <c r="CC280" i="17"/>
  <c r="AS281" i="17"/>
  <c r="AP25" i="26"/>
  <c r="AY28" i="26"/>
  <c r="BB284" i="17"/>
  <c r="Z262" i="17"/>
  <c r="T26" i="26"/>
  <c r="W283" i="17"/>
  <c r="BC283" i="17"/>
  <c r="BF262" i="17"/>
  <c r="AZ26" i="26"/>
  <c r="BG286" i="17"/>
  <c r="BD22" i="26"/>
  <c r="BJ265" i="17"/>
  <c r="AP284" i="17"/>
  <c r="AM28" i="26"/>
  <c r="BW26" i="26"/>
  <c r="BZ283" i="17"/>
  <c r="AC281" i="17"/>
  <c r="Z25" i="26"/>
  <c r="CI28" i="26"/>
  <c r="CL284" i="17"/>
  <c r="AU25" i="26"/>
  <c r="AX281" i="17"/>
  <c r="BH26" i="26"/>
  <c r="BN262" i="17"/>
  <c r="BK283" i="17"/>
  <c r="X28" i="26"/>
  <c r="AA284" i="17"/>
  <c r="AD263" i="17"/>
  <c r="W289" i="17"/>
  <c r="X268" i="17"/>
  <c r="T23" i="26"/>
  <c r="Z268" i="17"/>
  <c r="AT286" i="17"/>
  <c r="AQ22" i="26"/>
  <c r="AG22" i="26"/>
  <c r="AJ286" i="17"/>
  <c r="BY28" i="26"/>
  <c r="CB284" i="17"/>
  <c r="BD268" i="17"/>
  <c r="AX23" i="26"/>
  <c r="BA289" i="17"/>
  <c r="BK281" i="17"/>
  <c r="BN260" i="17"/>
  <c r="BH25" i="26"/>
  <c r="I387" i="23"/>
  <c r="I128" i="25" s="1"/>
  <c r="AQ281" i="17"/>
  <c r="AN25" i="26"/>
  <c r="AT260" i="17"/>
  <c r="BZ281" i="17"/>
  <c r="BW25" i="26"/>
  <c r="AZ283" i="17"/>
  <c r="AW26" i="26"/>
  <c r="AL286" i="17"/>
  <c r="AI22" i="26"/>
  <c r="BK23" i="26"/>
  <c r="BN289" i="17"/>
  <c r="AA28" i="26"/>
  <c r="AD284" i="17"/>
  <c r="Y388" i="23"/>
  <c r="Y127" i="25" s="1"/>
  <c r="O388" i="23"/>
  <c r="O127" i="25" s="1"/>
  <c r="X387" i="23"/>
  <c r="X128" i="25" s="1"/>
  <c r="O389" i="23"/>
  <c r="O129" i="25" s="1"/>
  <c r="CU275" i="17"/>
  <c r="CR275" i="17"/>
  <c r="CS275" i="17" s="1"/>
  <c r="CT275" i="17" s="1"/>
  <c r="CG27" i="26"/>
  <c r="CJ282" i="17"/>
  <c r="W28" i="26"/>
  <c r="Z284" i="17"/>
  <c r="AM23" i="26"/>
  <c r="AP289" i="17"/>
  <c r="BV28" i="26"/>
  <c r="BY284" i="17"/>
  <c r="BQ282" i="17"/>
  <c r="BN27" i="26"/>
  <c r="Z265" i="17"/>
  <c r="X265" i="17"/>
  <c r="K128" i="8" s="1"/>
  <c r="K129" i="8" s="1"/>
  <c r="K130" i="8" s="1"/>
  <c r="T22" i="26"/>
  <c r="W286" i="17"/>
  <c r="BE24" i="26"/>
  <c r="BH280" i="17"/>
  <c r="CR284" i="17"/>
  <c r="E271" i="2" s="1"/>
  <c r="CO28" i="26"/>
  <c r="CV250" i="17"/>
  <c r="BL276" i="17"/>
  <c r="T25" i="26"/>
  <c r="Z260" i="17"/>
  <c r="W281" i="17"/>
  <c r="AT289" i="17"/>
  <c r="AQ23" i="26"/>
  <c r="CD24" i="26"/>
  <c r="CG280" i="17"/>
  <c r="BN25" i="26"/>
  <c r="BQ281" i="17"/>
  <c r="BY26" i="26"/>
  <c r="CB283" i="17"/>
  <c r="BD284" i="17"/>
  <c r="BA28" i="26"/>
  <c r="CH281" i="17"/>
  <c r="CE25" i="26"/>
  <c r="AH286" i="17"/>
  <c r="AE22" i="26"/>
  <c r="BI282" i="17"/>
  <c r="BF27" i="26"/>
  <c r="AX263" i="17"/>
  <c r="AU284" i="17"/>
  <c r="AR28" i="26"/>
  <c r="AL281" i="17"/>
  <c r="AI25" i="26"/>
  <c r="BM25" i="26"/>
  <c r="BP281" i="17"/>
  <c r="AO284" i="17"/>
  <c r="AL28" i="26"/>
  <c r="AP281" i="17"/>
  <c r="AM25" i="26"/>
  <c r="CU247" i="17"/>
  <c r="CT260" i="17"/>
  <c r="CQ281" i="17"/>
  <c r="D268" i="2" s="1"/>
  <c r="CN25" i="26"/>
  <c r="BI27" i="26"/>
  <c r="BL282" i="17"/>
  <c r="AC280" i="17"/>
  <c r="Z24" i="26"/>
  <c r="BM280" i="17"/>
  <c r="BJ24" i="26"/>
  <c r="AG284" i="17"/>
  <c r="AD28" i="26"/>
  <c r="AA23" i="26"/>
  <c r="AD289" i="17"/>
  <c r="AV281" i="17"/>
  <c r="AS25" i="26"/>
  <c r="CJ28" i="26"/>
  <c r="CP263" i="17"/>
  <c r="CM284" i="17"/>
  <c r="BN284" i="17"/>
  <c r="BK28" i="26"/>
  <c r="AP22" i="26"/>
  <c r="AV265" i="17"/>
  <c r="Q128" i="8" s="1"/>
  <c r="AS286" i="17"/>
  <c r="CT284" i="17"/>
  <c r="G271" i="2" s="1"/>
  <c r="CQ28" i="26"/>
  <c r="CX250" i="17"/>
  <c r="CP282" i="17"/>
  <c r="CM27" i="26"/>
  <c r="BF25" i="26"/>
  <c r="BI281" i="17"/>
  <c r="CC24" i="26"/>
  <c r="CF280" i="17"/>
  <c r="Y284" i="17"/>
  <c r="V28" i="26"/>
  <c r="BL280" i="17"/>
  <c r="BI24" i="26"/>
  <c r="CD262" i="17"/>
  <c r="BX26" i="26"/>
  <c r="CA283" i="17"/>
  <c r="CL26" i="26"/>
  <c r="CO283" i="17"/>
  <c r="AI283" i="17"/>
  <c r="AL262" i="17"/>
  <c r="AF26" i="26"/>
  <c r="BZ282" i="17"/>
  <c r="BW27" i="26"/>
  <c r="CE24" i="26"/>
  <c r="CH280" i="17"/>
  <c r="X280" i="17"/>
  <c r="U24" i="26"/>
  <c r="AO23" i="26"/>
  <c r="AR289" i="17"/>
  <c r="AJ265" i="17"/>
  <c r="N128" i="8" s="1"/>
  <c r="AG286" i="17"/>
  <c r="AD22" i="26"/>
  <c r="AF25" i="26"/>
  <c r="AI281" i="17"/>
  <c r="AL260" i="17"/>
  <c r="CT281" i="17"/>
  <c r="G268" i="2" s="1"/>
  <c r="CQ25" i="26"/>
  <c r="CX247" i="17"/>
  <c r="AT259" i="17"/>
  <c r="AQ280" i="17"/>
  <c r="AN24" i="26"/>
  <c r="CF282" i="17"/>
  <c r="CC27" i="26"/>
  <c r="BR282" i="17"/>
  <c r="BO27" i="26"/>
  <c r="BI26" i="26"/>
  <c r="BL283" i="17"/>
  <c r="BF26" i="26"/>
  <c r="BI283" i="17"/>
  <c r="BK286" i="17"/>
  <c r="BN265" i="17"/>
  <c r="BH22" i="26"/>
  <c r="X286" i="17"/>
  <c r="U22" i="26"/>
  <c r="BQ289" i="17"/>
  <c r="BN23" i="26"/>
  <c r="CW250" i="17"/>
  <c r="CP28" i="26"/>
  <c r="CS284" i="17"/>
  <c r="F271" i="2" s="1"/>
  <c r="BP289" i="17"/>
  <c r="BM23" i="26"/>
  <c r="CL263" i="17"/>
  <c r="CI284" i="17"/>
  <c r="CF28" i="26"/>
  <c r="AE283" i="17"/>
  <c r="AB26" i="26"/>
  <c r="AH262" i="17"/>
  <c r="AZ282" i="17"/>
  <c r="AW27" i="26"/>
  <c r="CQ24" i="26"/>
  <c r="CT280" i="17"/>
  <c r="G267" i="2" s="1"/>
  <c r="CX246" i="17"/>
  <c r="BM27" i="26"/>
  <c r="BP282" i="17"/>
  <c r="AY27" i="26"/>
  <c r="BB282" i="17"/>
  <c r="BA282" i="17"/>
  <c r="AX27" i="26"/>
  <c r="Z282" i="17"/>
  <c r="W27" i="26"/>
  <c r="AT28" i="26"/>
  <c r="AW284" i="17"/>
  <c r="CL25" i="26"/>
  <c r="CO281" i="17"/>
  <c r="BJ25" i="26"/>
  <c r="BM281" i="17"/>
  <c r="CE284" i="17"/>
  <c r="CH263" i="17"/>
  <c r="CB28" i="26"/>
  <c r="CA26" i="26"/>
  <c r="CD283" i="17"/>
  <c r="BX27" i="26"/>
  <c r="CD261" i="17"/>
  <c r="CA282" i="17"/>
  <c r="AB24" i="26"/>
  <c r="AE280" i="17"/>
  <c r="AH259" i="17"/>
  <c r="AU289" i="17"/>
  <c r="AR23" i="26"/>
  <c r="AX268" i="17"/>
  <c r="AW25" i="26"/>
  <c r="AZ281" i="17"/>
  <c r="AC28" i="26"/>
  <c r="AF284" i="17"/>
  <c r="AW24" i="26"/>
  <c r="AZ280" i="17"/>
  <c r="AQ24" i="26"/>
  <c r="AT280" i="17"/>
  <c r="CK24" i="26"/>
  <c r="CN280" i="17"/>
  <c r="BK277" i="17"/>
  <c r="BL272" i="17"/>
  <c r="BH274" i="17"/>
  <c r="BI274" i="17" s="1"/>
  <c r="AA386" i="23"/>
  <c r="P388" i="23"/>
  <c r="P127" i="25" s="1"/>
  <c r="BC277" i="17"/>
  <c r="BD272" i="17"/>
  <c r="R386" i="23"/>
  <c r="R126" i="25" s="1"/>
  <c r="AZ272" i="17"/>
  <c r="AY277" i="17"/>
  <c r="AA387" i="23"/>
  <c r="BP272" i="17"/>
  <c r="BO277" i="17"/>
  <c r="BO304" i="17" s="1"/>
  <c r="AQ277" i="17"/>
  <c r="AR272" i="17"/>
  <c r="N389" i="23"/>
  <c r="N129" i="25" s="1"/>
  <c r="W389" i="23"/>
  <c r="W129" i="25" s="1"/>
  <c r="BR280" i="17"/>
  <c r="BO24" i="26"/>
  <c r="AP23" i="26"/>
  <c r="AV268" i="17"/>
  <c r="AS289" i="17"/>
  <c r="AM27" i="26"/>
  <c r="AP282" i="17"/>
  <c r="BF265" i="17"/>
  <c r="AZ22" i="26"/>
  <c r="BC286" i="17"/>
  <c r="BM24" i="26"/>
  <c r="BP280" i="17"/>
  <c r="CH27" i="26"/>
  <c r="CK282" i="17"/>
  <c r="BR28" i="26"/>
  <c r="BU284" i="17"/>
  <c r="AD283" i="17"/>
  <c r="AA26" i="26"/>
  <c r="AN286" i="17"/>
  <c r="AK22" i="26"/>
  <c r="AB283" i="17"/>
  <c r="Y26" i="26"/>
  <c r="AB268" i="17"/>
  <c r="V23" i="26"/>
  <c r="Y289" i="17"/>
  <c r="AT281" i="17"/>
  <c r="AQ25" i="26"/>
  <c r="AV26" i="26"/>
  <c r="BB262" i="17"/>
  <c r="AY283" i="17"/>
  <c r="BO25" i="26"/>
  <c r="BR281" i="17"/>
  <c r="BC289" i="17"/>
  <c r="AZ23" i="26"/>
  <c r="BF268" i="17"/>
  <c r="BP274" i="17"/>
  <c r="BQ274" i="17" s="1"/>
  <c r="BR274" i="17" s="1"/>
  <c r="Q388" i="23"/>
  <c r="Q127" i="25" s="1"/>
  <c r="CU276" i="17"/>
  <c r="CR276" i="17"/>
  <c r="CS276" i="17" s="1"/>
  <c r="CT276" i="17" s="1"/>
  <c r="P389" i="23"/>
  <c r="P129" i="25" s="1"/>
  <c r="O386" i="23"/>
  <c r="O126" i="25" s="1"/>
  <c r="L386" i="23"/>
  <c r="L126" i="25" s="1"/>
  <c r="BL273" i="17"/>
  <c r="BM273" i="17" s="1"/>
  <c r="P275" i="17"/>
  <c r="O254" i="17"/>
  <c r="AA388" i="23"/>
  <c r="BP24" i="26"/>
  <c r="BV259" i="17"/>
  <c r="BS280" i="17"/>
  <c r="Z27" i="26"/>
  <c r="AC282" i="17"/>
  <c r="AW28" i="26"/>
  <c r="AZ284" i="17"/>
  <c r="CI24" i="26"/>
  <c r="CL280" i="17"/>
  <c r="BY282" i="17"/>
  <c r="BV27" i="26"/>
  <c r="BF260" i="17"/>
  <c r="BC281" i="17"/>
  <c r="AZ25" i="26"/>
  <c r="U23" i="26"/>
  <c r="X289" i="17"/>
  <c r="M389" i="23"/>
  <c r="M129" i="25" s="1"/>
  <c r="BP25" i="26"/>
  <c r="BS281" i="17"/>
  <c r="BV260" i="17"/>
  <c r="CW247" i="17"/>
  <c r="CP25" i="26"/>
  <c r="CS281" i="17"/>
  <c r="F268" i="2" s="1"/>
  <c r="CC284" i="17"/>
  <c r="BZ28" i="26"/>
  <c r="AM284" i="17"/>
  <c r="AP263" i="17"/>
  <c r="AJ28" i="26"/>
  <c r="CH24" i="26"/>
  <c r="CK280" i="17"/>
  <c r="AE23" i="26"/>
  <c r="AH289" i="17"/>
  <c r="CI280" i="17"/>
  <c r="CF24" i="26"/>
  <c r="CL259" i="17"/>
  <c r="X25" i="26"/>
  <c r="AA281" i="17"/>
  <c r="AD260" i="17"/>
  <c r="BK22" i="26"/>
  <c r="BN286" i="17"/>
  <c r="AL24" i="26"/>
  <c r="AO280" i="17"/>
  <c r="Y22" i="26"/>
  <c r="AB286" i="17"/>
  <c r="AK281" i="17"/>
  <c r="AH25" i="26"/>
  <c r="Y282" i="17"/>
  <c r="V27" i="26"/>
  <c r="CO26" i="26"/>
  <c r="CV249" i="17"/>
  <c r="CR283" i="17"/>
  <c r="E269" i="2" s="1"/>
  <c r="BM22" i="26"/>
  <c r="BP286" i="17"/>
  <c r="AE24" i="26"/>
  <c r="AH280" i="17"/>
  <c r="AN28" i="26"/>
  <c r="AQ284" i="17"/>
  <c r="AT263" i="17"/>
  <c r="CT283" i="17"/>
  <c r="G269" i="2" s="1"/>
  <c r="CQ26" i="26"/>
  <c r="CX249" i="17"/>
  <c r="CA281" i="17"/>
  <c r="CD260" i="17"/>
  <c r="BX25" i="26"/>
  <c r="AH28" i="26"/>
  <c r="AK284" i="17"/>
  <c r="BB24" i="26"/>
  <c r="BE280" i="17"/>
  <c r="W387" i="23"/>
  <c r="W128" i="25" s="1"/>
  <c r="Z386" i="23"/>
  <c r="Z126" i="25" s="1"/>
  <c r="BG277" i="17"/>
  <c r="BH272" i="17"/>
  <c r="BT272" i="17"/>
  <c r="BS277" i="17"/>
  <c r="AB280" i="17"/>
  <c r="Y24" i="26"/>
  <c r="CW249" i="17"/>
  <c r="CS283" i="17"/>
  <c r="F269" i="2" s="1"/>
  <c r="CP26" i="26"/>
  <c r="CA24" i="26"/>
  <c r="CD280" i="17"/>
  <c r="CX248" i="17"/>
  <c r="CT282" i="17"/>
  <c r="G270" i="2" s="1"/>
  <c r="CQ27" i="26"/>
  <c r="BX281" i="17"/>
  <c r="BU25" i="26"/>
  <c r="AV28" i="26"/>
  <c r="BB263" i="17"/>
  <c r="AY284" i="17"/>
  <c r="CM25" i="26"/>
  <c r="CP281" i="17"/>
  <c r="AE284" i="17"/>
  <c r="AH263" i="17"/>
  <c r="AB28" i="26"/>
  <c r="AL283" i="17"/>
  <c r="AI26" i="26"/>
  <c r="BY280" i="17"/>
  <c r="BV24" i="26"/>
  <c r="CD282" i="17"/>
  <c r="CA27" i="26"/>
  <c r="AG25" i="26"/>
  <c r="AJ281" i="17"/>
  <c r="AU26" i="26"/>
  <c r="AX283" i="17"/>
  <c r="AS280" i="17"/>
  <c r="AP24" i="26"/>
  <c r="BH281" i="17"/>
  <c r="BE25" i="26"/>
  <c r="BU24" i="26"/>
  <c r="BX280" i="17"/>
  <c r="W25" i="26"/>
  <c r="Z281" i="17"/>
  <c r="BN22" i="26"/>
  <c r="BQ286" i="17"/>
  <c r="AN289" i="17"/>
  <c r="AK23" i="26"/>
  <c r="AO26" i="26"/>
  <c r="AR283" i="17"/>
  <c r="CP260" i="17"/>
  <c r="CM281" i="17"/>
  <c r="CJ25" i="26"/>
  <c r="BL24" i="26"/>
  <c r="BR259" i="17"/>
  <c r="BO280" i="17"/>
  <c r="BO251" i="17"/>
  <c r="AI24" i="26"/>
  <c r="AL280" i="17"/>
  <c r="BA280" i="17"/>
  <c r="AX24" i="26"/>
  <c r="BH289" i="17"/>
  <c r="BE23" i="26"/>
  <c r="CH28" i="26"/>
  <c r="CK284" i="17"/>
  <c r="AD259" i="17"/>
  <c r="AA280" i="17"/>
  <c r="X24" i="26"/>
  <c r="AY24" i="26"/>
  <c r="BB280" i="17"/>
  <c r="AB289" i="17"/>
  <c r="Y23" i="26"/>
  <c r="BH286" i="17"/>
  <c r="BE22" i="26"/>
  <c r="CJ26" i="26"/>
  <c r="CP262" i="17"/>
  <c r="CM283" i="17"/>
  <c r="BU283" i="17"/>
  <c r="BR26" i="26"/>
  <c r="BT280" i="17"/>
  <c r="BQ24" i="26"/>
  <c r="BB268" i="17"/>
  <c r="AV23" i="26"/>
  <c r="AY289" i="17"/>
  <c r="CN24" i="26"/>
  <c r="CT259" i="17"/>
  <c r="CU246" i="17"/>
  <c r="CQ280" i="17"/>
  <c r="D267" i="2" s="1"/>
  <c r="BD286" i="17"/>
  <c r="BA22" i="26"/>
  <c r="BU27" i="26"/>
  <c r="BX282" i="17"/>
  <c r="BJ260" i="17"/>
  <c r="BG281" i="17"/>
  <c r="BD25" i="26"/>
  <c r="AF282" i="17"/>
  <c r="AC27" i="26"/>
  <c r="AM289" i="17"/>
  <c r="AP268" i="17"/>
  <c r="AJ23" i="26"/>
  <c r="CN282" i="17"/>
  <c r="CK27" i="26"/>
  <c r="AH268" i="17"/>
  <c r="AB23" i="26"/>
  <c r="AE289" i="17"/>
  <c r="AP259" i="17"/>
  <c r="AJ24" i="26"/>
  <c r="AM280" i="17"/>
  <c r="CD27" i="26"/>
  <c r="CG282" i="17"/>
  <c r="AT23" i="26"/>
  <c r="AZ268" i="17"/>
  <c r="AW289" i="17"/>
  <c r="BR284" i="17"/>
  <c r="BO28" i="26"/>
  <c r="BF283" i="17"/>
  <c r="BC26" i="26"/>
  <c r="X22" i="26"/>
  <c r="AA286" i="17"/>
  <c r="AD265" i="17"/>
  <c r="CK28" i="26"/>
  <c r="CN284" i="17"/>
  <c r="AO283" i="17"/>
  <c r="AL26" i="26"/>
  <c r="BD265" i="17"/>
  <c r="S128" i="8" s="1"/>
  <c r="AX22" i="26"/>
  <c r="BA286" i="17"/>
  <c r="CU250" i="17"/>
  <c r="CN28" i="26"/>
  <c r="CQ284" i="17"/>
  <c r="D271" i="2" s="1"/>
  <c r="CT263" i="17"/>
  <c r="BJ289" i="17"/>
  <c r="BG23" i="26"/>
  <c r="BZ280" i="17"/>
  <c r="BW24" i="26"/>
  <c r="AM286" i="17"/>
  <c r="AJ22" i="26"/>
  <c r="AP265" i="17"/>
  <c r="BX283" i="17"/>
  <c r="BU26" i="26"/>
  <c r="CG25" i="26"/>
  <c r="CJ281" i="17"/>
  <c r="AL284" i="17"/>
  <c r="AI28" i="26"/>
  <c r="BC282" i="17"/>
  <c r="BF261" i="17"/>
  <c r="AZ27" i="26"/>
  <c r="BS283" i="17"/>
  <c r="BV262" i="17"/>
  <c r="BP26" i="26"/>
  <c r="BU282" i="17"/>
  <c r="BR27" i="26"/>
  <c r="AW286" i="17"/>
  <c r="AZ265" i="17"/>
  <c r="R128" i="8" s="1"/>
  <c r="AT22" i="26"/>
  <c r="BN24" i="26"/>
  <c r="BQ280" i="17"/>
  <c r="BB260" i="17"/>
  <c r="AV25" i="26"/>
  <c r="AY281" i="17"/>
  <c r="AJ26" i="26"/>
  <c r="AP262" i="17"/>
  <c r="AM283" i="17"/>
  <c r="BY25" i="26"/>
  <c r="CB281" i="17"/>
  <c r="AV27" i="26"/>
  <c r="AY282" i="17"/>
  <c r="BB261" i="17"/>
  <c r="AW280" i="17"/>
  <c r="AT24" i="26"/>
  <c r="CG24" i="26"/>
  <c r="CJ280" i="17"/>
  <c r="CV248" i="17"/>
  <c r="CR282" i="17"/>
  <c r="E270" i="2" s="1"/>
  <c r="CO27" i="26"/>
  <c r="AJ27" i="26"/>
  <c r="AP261" i="17"/>
  <c r="AM282" i="17"/>
  <c r="BG304" i="17" l="1"/>
  <c r="N129" i="8"/>
  <c r="N130" i="8" s="1"/>
  <c r="BK306" i="17"/>
  <c r="BK303" i="17"/>
  <c r="BG303" i="17"/>
  <c r="Q129" i="8"/>
  <c r="Q130" i="8" s="1"/>
  <c r="BG302" i="17"/>
  <c r="BO302" i="17"/>
  <c r="R129" i="8"/>
  <c r="R130" i="8" s="1"/>
  <c r="P129" i="8"/>
  <c r="P130" i="8" s="1"/>
  <c r="BH251" i="17"/>
  <c r="BH253" i="17" s="1"/>
  <c r="BO306" i="17"/>
  <c r="BO303" i="17"/>
  <c r="BG306" i="17"/>
  <c r="BK305" i="17"/>
  <c r="BK304" i="17"/>
  <c r="R394" i="23"/>
  <c r="R133" i="25" s="1"/>
  <c r="BB295" i="17"/>
  <c r="AC396" i="23"/>
  <c r="CT297" i="17"/>
  <c r="E118" i="20"/>
  <c r="AU267" i="2"/>
  <c r="BR293" i="17"/>
  <c r="V392" i="23"/>
  <c r="V130" i="25" s="1"/>
  <c r="AB393" i="23"/>
  <c r="CP294" i="17"/>
  <c r="R396" i="23"/>
  <c r="R134" i="25" s="1"/>
  <c r="BB297" i="17"/>
  <c r="G120" i="20"/>
  <c r="AW269" i="2"/>
  <c r="CD294" i="17"/>
  <c r="Y393" i="23"/>
  <c r="Y131" i="25" s="1"/>
  <c r="H120" i="20"/>
  <c r="AX269" i="2"/>
  <c r="AA392" i="23"/>
  <c r="CL293" i="17"/>
  <c r="AP297" i="17"/>
  <c r="O396" i="23"/>
  <c r="O134" i="25" s="1"/>
  <c r="AW268" i="2"/>
  <c r="G119" i="20"/>
  <c r="BF294" i="17"/>
  <c r="S393" i="23"/>
  <c r="S131" i="25" s="1"/>
  <c r="C263" i="2"/>
  <c r="AT263" i="2" s="1"/>
  <c r="AA127" i="25"/>
  <c r="BN273" i="17"/>
  <c r="AC389" i="23"/>
  <c r="V387" i="23"/>
  <c r="V128" i="25" s="1"/>
  <c r="BB296" i="17"/>
  <c r="R395" i="23"/>
  <c r="R132" i="25" s="1"/>
  <c r="BP251" i="17"/>
  <c r="BJ274" i="17"/>
  <c r="H119" i="20"/>
  <c r="AX268" i="2"/>
  <c r="Y395" i="23"/>
  <c r="Y132" i="25" s="1"/>
  <c r="CD296" i="17"/>
  <c r="Z294" i="17"/>
  <c r="K393" i="23"/>
  <c r="K131" i="25" s="1"/>
  <c r="CS28" i="26"/>
  <c r="CZ250" i="17"/>
  <c r="CW28" i="26" s="1"/>
  <c r="CY275" i="17"/>
  <c r="CZ275" i="17" s="1"/>
  <c r="DA275" i="17" s="1"/>
  <c r="DB275" i="17" s="1"/>
  <c r="CV275" i="17"/>
  <c r="CW275" i="17" s="1"/>
  <c r="CX275" i="17" s="1"/>
  <c r="BK285" i="17"/>
  <c r="BK287" i="17" s="1"/>
  <c r="AN277" i="17"/>
  <c r="AO272" i="17"/>
  <c r="CD297" i="17"/>
  <c r="Y396" i="23"/>
  <c r="Y134" i="25" s="1"/>
  <c r="AB129" i="25"/>
  <c r="D265" i="2"/>
  <c r="AU265" i="2" s="1"/>
  <c r="T398" i="23"/>
  <c r="T135" i="25" s="1"/>
  <c r="BJ299" i="17"/>
  <c r="L129" i="8"/>
  <c r="L130" i="8" s="1"/>
  <c r="F118" i="20"/>
  <c r="AV267" i="2"/>
  <c r="AL295" i="17"/>
  <c r="N394" i="23"/>
  <c r="N133" i="25" s="1"/>
  <c r="AU253" i="17"/>
  <c r="CN277" i="17"/>
  <c r="CO272" i="17"/>
  <c r="BC285" i="17"/>
  <c r="BC287" i="17" s="1"/>
  <c r="BJ293" i="17"/>
  <c r="T392" i="23"/>
  <c r="T130" i="25" s="1"/>
  <c r="AH298" i="17"/>
  <c r="M397" i="23"/>
  <c r="AH294" i="17"/>
  <c r="M393" i="23"/>
  <c r="M131" i="25" s="1"/>
  <c r="G118" i="20"/>
  <c r="AW267" i="2"/>
  <c r="U396" i="23"/>
  <c r="U134" i="25" s="1"/>
  <c r="BN297" i="17"/>
  <c r="AX294" i="17"/>
  <c r="Q393" i="23"/>
  <c r="Q131" i="25" s="1"/>
  <c r="AC395" i="23"/>
  <c r="CT296" i="17"/>
  <c r="BR295" i="17"/>
  <c r="V394" i="23"/>
  <c r="V133" i="25" s="1"/>
  <c r="BI273" i="17"/>
  <c r="O129" i="8"/>
  <c r="O130" i="8" s="1"/>
  <c r="BZ296" i="17"/>
  <c r="X395" i="23"/>
  <c r="X132" i="25" s="1"/>
  <c r="AA129" i="25"/>
  <c r="C265" i="2"/>
  <c r="AT265" i="2" s="1"/>
  <c r="BI276" i="17"/>
  <c r="M273" i="17"/>
  <c r="L277" i="17"/>
  <c r="S269" i="1"/>
  <c r="S377" i="23" s="1"/>
  <c r="BF295" i="17"/>
  <c r="S394" i="23"/>
  <c r="S133" i="25" s="1"/>
  <c r="AU271" i="2"/>
  <c r="E122" i="20"/>
  <c r="L397" i="23"/>
  <c r="AD298" i="17"/>
  <c r="BJ294" i="17"/>
  <c r="T393" i="23"/>
  <c r="T131" i="25" s="1"/>
  <c r="CY246" i="17"/>
  <c r="CR24" i="26"/>
  <c r="CX259" i="17"/>
  <c r="H121" i="20"/>
  <c r="AX270" i="2"/>
  <c r="DA249" i="17"/>
  <c r="CX26" i="26" s="1"/>
  <c r="CT26" i="26"/>
  <c r="BH277" i="17"/>
  <c r="BH306" i="17" s="1"/>
  <c r="BI272" i="17"/>
  <c r="P396" i="23"/>
  <c r="P134" i="25" s="1"/>
  <c r="AT297" i="17"/>
  <c r="O256" i="17"/>
  <c r="CV276" i="17"/>
  <c r="CW276" i="17" s="1"/>
  <c r="CX276" i="17" s="1"/>
  <c r="CY276" i="17"/>
  <c r="CZ276" i="17" s="1"/>
  <c r="DA276" i="17" s="1"/>
  <c r="DB276" i="17" s="1"/>
  <c r="BA272" i="17"/>
  <c r="AZ277" i="17"/>
  <c r="BK302" i="17"/>
  <c r="AZ251" i="17"/>
  <c r="AX299" i="17"/>
  <c r="Q398" i="23"/>
  <c r="Q135" i="25" s="1"/>
  <c r="CT28" i="26"/>
  <c r="DA250" i="17"/>
  <c r="CX28" i="26" s="1"/>
  <c r="AT293" i="17"/>
  <c r="P392" i="23"/>
  <c r="P130" i="25" s="1"/>
  <c r="N393" i="23"/>
  <c r="N131" i="25" s="1"/>
  <c r="AL294" i="17"/>
  <c r="AX271" i="2"/>
  <c r="H122" i="20"/>
  <c r="AB396" i="23"/>
  <c r="CP297" i="17"/>
  <c r="E119" i="20"/>
  <c r="AU268" i="2"/>
  <c r="AT294" i="17"/>
  <c r="P393" i="23"/>
  <c r="P131" i="25" s="1"/>
  <c r="K398" i="23"/>
  <c r="K135" i="25" s="1"/>
  <c r="Z299" i="17"/>
  <c r="L396" i="23"/>
  <c r="L134" i="25" s="1"/>
  <c r="AD297" i="17"/>
  <c r="BN296" i="17"/>
  <c r="U395" i="23"/>
  <c r="U132" i="25" s="1"/>
  <c r="D263" i="2"/>
  <c r="AU263" i="2" s="1"/>
  <c r="AB127" i="25"/>
  <c r="CH293" i="17"/>
  <c r="Z392" i="23"/>
  <c r="Z130" i="25" s="1"/>
  <c r="Z395" i="23"/>
  <c r="Z132" i="25" s="1"/>
  <c r="CH296" i="17"/>
  <c r="AA394" i="23"/>
  <c r="CL295" i="17"/>
  <c r="AP294" i="17"/>
  <c r="O393" i="23"/>
  <c r="O131" i="25" s="1"/>
  <c r="CS24" i="26"/>
  <c r="CZ246" i="17"/>
  <c r="Q392" i="23"/>
  <c r="Q130" i="25" s="1"/>
  <c r="AX293" i="17"/>
  <c r="N392" i="23"/>
  <c r="N130" i="25" s="1"/>
  <c r="AL293" i="17"/>
  <c r="CS272" i="17"/>
  <c r="CR277" i="17"/>
  <c r="N397" i="23"/>
  <c r="AL298" i="17"/>
  <c r="R392" i="23"/>
  <c r="R130" i="25" s="1"/>
  <c r="BB293" i="17"/>
  <c r="CS25" i="26"/>
  <c r="CZ247" i="17"/>
  <c r="CW25" i="26" s="1"/>
  <c r="AG272" i="17"/>
  <c r="AF277" i="17"/>
  <c r="BG305" i="17"/>
  <c r="BJ295" i="17"/>
  <c r="T394" i="23"/>
  <c r="T133" i="25" s="1"/>
  <c r="CF277" i="17"/>
  <c r="CG272" i="17"/>
  <c r="AC386" i="23"/>
  <c r="P397" i="23"/>
  <c r="AT298" i="17"/>
  <c r="BN295" i="17"/>
  <c r="U394" i="23"/>
  <c r="U133" i="25" s="1"/>
  <c r="E121" i="20"/>
  <c r="AU270" i="2"/>
  <c r="V386" i="23"/>
  <c r="V126" i="25" s="1"/>
  <c r="Z269" i="1"/>
  <c r="Z377" i="23" s="1"/>
  <c r="Y269" i="1"/>
  <c r="Y377" i="23" s="1"/>
  <c r="AV270" i="2"/>
  <c r="F121" i="20"/>
  <c r="O395" i="23"/>
  <c r="O132" i="25" s="1"/>
  <c r="AP296" i="17"/>
  <c r="R393" i="23"/>
  <c r="R131" i="25" s="1"/>
  <c r="BB294" i="17"/>
  <c r="W395" i="23"/>
  <c r="W132" i="25" s="1"/>
  <c r="BV296" i="17"/>
  <c r="O397" i="23"/>
  <c r="AP298" i="17"/>
  <c r="AP293" i="17"/>
  <c r="O392" i="23"/>
  <c r="O130" i="25" s="1"/>
  <c r="AH299" i="17"/>
  <c r="M398" i="23"/>
  <c r="M135" i="25" s="1"/>
  <c r="CT293" i="17"/>
  <c r="AC392" i="23"/>
  <c r="BO253" i="17"/>
  <c r="BO285" i="17"/>
  <c r="BO287" i="17" s="1"/>
  <c r="DB248" i="17"/>
  <c r="CY27" i="26" s="1"/>
  <c r="CU27" i="26"/>
  <c r="CU26" i="26"/>
  <c r="DB249" i="17"/>
  <c r="F120" i="20"/>
  <c r="AV269" i="2"/>
  <c r="DA247" i="17"/>
  <c r="CX25" i="26" s="1"/>
  <c r="CT25" i="26"/>
  <c r="W392" i="23"/>
  <c r="W130" i="25" s="1"/>
  <c r="BV293" i="17"/>
  <c r="Q275" i="17"/>
  <c r="P254" i="17"/>
  <c r="P256" i="17" s="1"/>
  <c r="S398" i="23"/>
  <c r="S135" i="25" s="1"/>
  <c r="BF299" i="17"/>
  <c r="S397" i="23"/>
  <c r="BF298" i="17"/>
  <c r="AS272" i="17"/>
  <c r="AR277" i="17"/>
  <c r="BP277" i="17"/>
  <c r="BQ272" i="17"/>
  <c r="C262" i="2"/>
  <c r="AT262" i="2" s="1"/>
  <c r="AA126" i="25"/>
  <c r="BL277" i="17"/>
  <c r="BL305" i="17" s="1"/>
  <c r="BM272" i="17"/>
  <c r="AH293" i="17"/>
  <c r="M392" i="23"/>
  <c r="M130" i="25" s="1"/>
  <c r="CD295" i="17"/>
  <c r="Y394" i="23"/>
  <c r="Y133" i="25" s="1"/>
  <c r="AX267" i="2"/>
  <c r="H118" i="20"/>
  <c r="AH296" i="17"/>
  <c r="M395" i="23"/>
  <c r="M132" i="25" s="1"/>
  <c r="CU25" i="26"/>
  <c r="DB247" i="17"/>
  <c r="CY25" i="26" s="1"/>
  <c r="N395" i="23"/>
  <c r="N132" i="25" s="1"/>
  <c r="AL296" i="17"/>
  <c r="BL251" i="17"/>
  <c r="AC393" i="23"/>
  <c r="CT294" i="17"/>
  <c r="Q396" i="23"/>
  <c r="Q134" i="25" s="1"/>
  <c r="AX297" i="17"/>
  <c r="F122" i="20"/>
  <c r="AV271" i="2"/>
  <c r="BN294" i="17"/>
  <c r="U393" i="23"/>
  <c r="U131" i="25" s="1"/>
  <c r="T397" i="23"/>
  <c r="BJ298" i="17"/>
  <c r="S395" i="23"/>
  <c r="S132" i="25" s="1"/>
  <c r="BF296" i="17"/>
  <c r="Z296" i="17"/>
  <c r="K395" i="23"/>
  <c r="K132" i="25" s="1"/>
  <c r="O253" i="17"/>
  <c r="L394" i="23"/>
  <c r="L133" i="25" s="1"/>
  <c r="AD295" i="17"/>
  <c r="V396" i="23"/>
  <c r="V134" i="25" s="1"/>
  <c r="BR297" i="17"/>
  <c r="K394" i="23"/>
  <c r="K133" i="25" s="1"/>
  <c r="Z295" i="17"/>
  <c r="BO305" i="17"/>
  <c r="X277" i="17"/>
  <c r="Y272" i="17"/>
  <c r="V393" i="23"/>
  <c r="V131" i="25" s="1"/>
  <c r="BR294" i="17"/>
  <c r="DA248" i="17"/>
  <c r="CX27" i="26" s="1"/>
  <c r="CT27" i="26"/>
  <c r="BB298" i="17"/>
  <c r="R397" i="23"/>
  <c r="CH295" i="17"/>
  <c r="Z394" i="23"/>
  <c r="Z133" i="25" s="1"/>
  <c r="Q397" i="23"/>
  <c r="AX298" i="17"/>
  <c r="AL297" i="17"/>
  <c r="N396" i="23"/>
  <c r="N134" i="25" s="1"/>
  <c r="BV297" i="17"/>
  <c r="W396" i="23"/>
  <c r="W134" i="25" s="1"/>
  <c r="AY253" i="17"/>
  <c r="AY285" i="17"/>
  <c r="AY287" i="17" s="1"/>
  <c r="AC387" i="23"/>
  <c r="BI275" i="17"/>
  <c r="BF293" i="17"/>
  <c r="S392" i="23"/>
  <c r="S130" i="25" s="1"/>
  <c r="CL296" i="17"/>
  <c r="AA395" i="23"/>
  <c r="X396" i="23"/>
  <c r="X134" i="25" s="1"/>
  <c r="BZ297" i="17"/>
  <c r="BZ295" i="17"/>
  <c r="X394" i="23"/>
  <c r="X133" i="25" s="1"/>
  <c r="CL294" i="17"/>
  <c r="AA393" i="23"/>
  <c r="Z393" i="23"/>
  <c r="Z131" i="25" s="1"/>
  <c r="CH294" i="17"/>
  <c r="K392" i="23"/>
  <c r="K130" i="25" s="1"/>
  <c r="Z293" i="17"/>
  <c r="T395" i="23"/>
  <c r="T132" i="25" s="1"/>
  <c r="BJ296" i="17"/>
  <c r="BV295" i="17"/>
  <c r="W394" i="23"/>
  <c r="W133" i="25" s="1"/>
  <c r="BJ297" i="17"/>
  <c r="T396" i="23"/>
  <c r="T134" i="25" s="1"/>
  <c r="BY272" i="17"/>
  <c r="BX277" i="17"/>
  <c r="CY273" i="17"/>
  <c r="CZ273" i="17" s="1"/>
  <c r="DA273" i="17" s="1"/>
  <c r="DB273" i="17" s="1"/>
  <c r="CV273" i="17"/>
  <c r="CW273" i="17" s="1"/>
  <c r="CX273" i="17" s="1"/>
  <c r="AT296" i="17"/>
  <c r="P395" i="23"/>
  <c r="P132" i="25" s="1"/>
  <c r="CR26" i="26"/>
  <c r="CY249" i="17"/>
  <c r="CV26" i="26" s="1"/>
  <c r="CX262" i="17"/>
  <c r="AV253" i="17"/>
  <c r="CY248" i="17"/>
  <c r="CX261" i="17"/>
  <c r="CR27" i="26"/>
  <c r="BZ294" i="17"/>
  <c r="X393" i="23"/>
  <c r="X131" i="25" s="1"/>
  <c r="AV277" i="17"/>
  <c r="AW272" i="17"/>
  <c r="AB277" i="17"/>
  <c r="AC272" i="17"/>
  <c r="BM274" i="17"/>
  <c r="X269" i="1"/>
  <c r="X377" i="23" s="1"/>
  <c r="U269" i="1"/>
  <c r="U377" i="23" s="1"/>
  <c r="V269" i="1"/>
  <c r="V377" i="23" s="1"/>
  <c r="R269" i="1"/>
  <c r="R377" i="23" s="1"/>
  <c r="AP295" i="17"/>
  <c r="O394" i="23"/>
  <c r="O133" i="25" s="1"/>
  <c r="CZ248" i="17"/>
  <c r="CW27" i="26" s="1"/>
  <c r="CS27" i="26"/>
  <c r="CY250" i="17"/>
  <c r="CV28" i="26" s="1"/>
  <c r="CR28" i="26"/>
  <c r="CX263" i="17"/>
  <c r="S129" i="8"/>
  <c r="S130" i="8" s="1"/>
  <c r="O398" i="23"/>
  <c r="O135" i="25" s="1"/>
  <c r="AP299" i="17"/>
  <c r="BB299" i="17"/>
  <c r="R398" i="23"/>
  <c r="R135" i="25" s="1"/>
  <c r="CP296" i="17"/>
  <c r="AB395" i="23"/>
  <c r="AD293" i="17"/>
  <c r="L392" i="23"/>
  <c r="L130" i="25" s="1"/>
  <c r="AH297" i="17"/>
  <c r="M396" i="23"/>
  <c r="M134" i="25" s="1"/>
  <c r="BT277" i="17"/>
  <c r="BU272" i="17"/>
  <c r="CZ249" i="17"/>
  <c r="CW26" i="26" s="1"/>
  <c r="CS26" i="26"/>
  <c r="L393" i="23"/>
  <c r="L131" i="25" s="1"/>
  <c r="AD294" i="17"/>
  <c r="BV294" i="17"/>
  <c r="W393" i="23"/>
  <c r="W131" i="25" s="1"/>
  <c r="AA128" i="25"/>
  <c r="C264" i="2"/>
  <c r="AT264" i="2" s="1"/>
  <c r="BD251" i="17"/>
  <c r="BD253" i="17" s="1"/>
  <c r="BD277" i="17"/>
  <c r="BE272" i="17"/>
  <c r="CH297" i="17"/>
  <c r="Z396" i="23"/>
  <c r="Z134" i="25" s="1"/>
  <c r="CU24" i="26"/>
  <c r="DB246" i="17"/>
  <c r="AA396" i="23"/>
  <c r="CL297" i="17"/>
  <c r="G122" i="20"/>
  <c r="AW271" i="2"/>
  <c r="BN298" i="17"/>
  <c r="U397" i="23"/>
  <c r="CU28" i="26"/>
  <c r="DB250" i="17"/>
  <c r="CR25" i="26"/>
  <c r="CY247" i="17"/>
  <c r="CX260" i="17"/>
  <c r="BM276" i="17"/>
  <c r="BN276" i="17" s="1"/>
  <c r="K397" i="23"/>
  <c r="Z298" i="17"/>
  <c r="AC388" i="23"/>
  <c r="BN293" i="17"/>
  <c r="U392" i="23"/>
  <c r="U130" i="25" s="1"/>
  <c r="D262" i="2"/>
  <c r="AU262" i="2" s="1"/>
  <c r="AB126" i="25"/>
  <c r="Q273" i="17"/>
  <c r="P277" i="17"/>
  <c r="P251" i="17"/>
  <c r="P253" i="17" s="1"/>
  <c r="AT299" i="17"/>
  <c r="P398" i="23"/>
  <c r="P135" i="25" s="1"/>
  <c r="AJ277" i="17"/>
  <c r="AK272" i="17"/>
  <c r="U275" i="17"/>
  <c r="V388" i="23"/>
  <c r="V127" i="25" s="1"/>
  <c r="G121" i="20"/>
  <c r="AW270" i="2"/>
  <c r="CD293" i="17"/>
  <c r="Y392" i="23"/>
  <c r="Y130" i="25" s="1"/>
  <c r="CV272" i="17"/>
  <c r="CY272" i="17"/>
  <c r="CU277" i="17"/>
  <c r="BZ293" i="17"/>
  <c r="X392" i="23"/>
  <c r="X130" i="25" s="1"/>
  <c r="F119" i="20"/>
  <c r="AV268" i="2"/>
  <c r="CK272" i="17"/>
  <c r="CJ277" i="17"/>
  <c r="CV274" i="17"/>
  <c r="CW274" i="17" s="1"/>
  <c r="CX274" i="17" s="1"/>
  <c r="CY274" i="17"/>
  <c r="CZ274" i="17" s="1"/>
  <c r="DA274" i="17" s="1"/>
  <c r="DB274" i="17" s="1"/>
  <c r="BF297" i="17"/>
  <c r="S396" i="23"/>
  <c r="S134" i="25" s="1"/>
  <c r="AX296" i="17"/>
  <c r="Q395" i="23"/>
  <c r="Q132" i="25" s="1"/>
  <c r="U273" i="17"/>
  <c r="T277" i="17"/>
  <c r="BM275" i="17"/>
  <c r="BG285" i="17"/>
  <c r="BG307" i="17" s="1"/>
  <c r="V395" i="23"/>
  <c r="V132" i="25" s="1"/>
  <c r="BR296" i="17"/>
  <c r="P394" i="23"/>
  <c r="P133" i="25" s="1"/>
  <c r="AT295" i="17"/>
  <c r="CP295" i="17"/>
  <c r="AB394" i="23"/>
  <c r="CT24" i="26"/>
  <c r="DA246" i="17"/>
  <c r="L395" i="23"/>
  <c r="L132" i="25" s="1"/>
  <c r="AD296" i="17"/>
  <c r="U398" i="23"/>
  <c r="U135" i="25" s="1"/>
  <c r="BN299" i="17"/>
  <c r="L398" i="23"/>
  <c r="L135" i="25" s="1"/>
  <c r="AD299" i="17"/>
  <c r="CP293" i="17"/>
  <c r="AB392" i="23"/>
  <c r="E120" i="20"/>
  <c r="AU269" i="2"/>
  <c r="D264" i="2"/>
  <c r="AU264" i="2" s="1"/>
  <c r="AB128" i="25"/>
  <c r="Q394" i="23"/>
  <c r="Q133" i="25" s="1"/>
  <c r="AX295" i="17"/>
  <c r="CT295" i="17"/>
  <c r="AC394" i="23"/>
  <c r="Z297" i="17"/>
  <c r="K396" i="23"/>
  <c r="K134" i="25" s="1"/>
  <c r="N398" i="23"/>
  <c r="N135" i="25" s="1"/>
  <c r="AL299" i="17"/>
  <c r="AH295" i="17"/>
  <c r="M394" i="23"/>
  <c r="M133" i="25" s="1"/>
  <c r="M129" i="8"/>
  <c r="M130" i="8" s="1"/>
  <c r="V389" i="23"/>
  <c r="V129" i="25" s="1"/>
  <c r="CB277" i="17"/>
  <c r="CC272" i="17"/>
  <c r="BK307" i="17" l="1"/>
  <c r="BH305" i="17"/>
  <c r="BL306" i="17"/>
  <c r="BL302" i="17"/>
  <c r="T269" i="1"/>
  <c r="T377" i="23" s="1"/>
  <c r="BW40" i="11" s="1"/>
  <c r="BL304" i="17"/>
  <c r="BH302" i="17"/>
  <c r="AB130" i="25"/>
  <c r="D272" i="2"/>
  <c r="AD387" i="23"/>
  <c r="CY277" i="17"/>
  <c r="CZ272" i="17"/>
  <c r="R273" i="17"/>
  <c r="Q277" i="17"/>
  <c r="Q251" i="17"/>
  <c r="Q253" i="17" s="1"/>
  <c r="U389" i="23"/>
  <c r="U129" i="25" s="1"/>
  <c r="AD386" i="23"/>
  <c r="E264" i="2"/>
  <c r="AV264" i="2" s="1"/>
  <c r="AC128" i="25"/>
  <c r="AS277" i="17"/>
  <c r="AT272" i="17"/>
  <c r="E272" i="2"/>
  <c r="AC130" i="25"/>
  <c r="AA382" i="23"/>
  <c r="Z382" i="23"/>
  <c r="Z41" i="25"/>
  <c r="DA40" i="11"/>
  <c r="BD285" i="17"/>
  <c r="BD287" i="17" s="1"/>
  <c r="AZ285" i="17"/>
  <c r="AZ287" i="17" s="1"/>
  <c r="AZ253" i="17"/>
  <c r="BO307" i="17"/>
  <c r="BI277" i="17"/>
  <c r="BI306" i="17" s="1"/>
  <c r="BJ272" i="17"/>
  <c r="BI251" i="17"/>
  <c r="BJ276" i="17"/>
  <c r="AP272" i="17"/>
  <c r="AO277" i="17"/>
  <c r="BG287" i="17"/>
  <c r="BP253" i="17"/>
  <c r="V128" i="8"/>
  <c r="BP285" i="17"/>
  <c r="BP287" i="17" s="1"/>
  <c r="AC129" i="25"/>
  <c r="E265" i="2"/>
  <c r="AV265" i="2" s="1"/>
  <c r="C272" i="2"/>
  <c r="AT272" i="2" s="1"/>
  <c r="AA130" i="25"/>
  <c r="AC134" i="25"/>
  <c r="E276" i="2"/>
  <c r="CC277" i="17"/>
  <c r="CD272" i="17"/>
  <c r="D275" i="2"/>
  <c r="AB133" i="25"/>
  <c r="CW272" i="17"/>
  <c r="CV277" i="17"/>
  <c r="V275" i="17"/>
  <c r="C276" i="2"/>
  <c r="AT276" i="2" s="1"/>
  <c r="AA134" i="25"/>
  <c r="BE277" i="17"/>
  <c r="BF272" i="17"/>
  <c r="BE251" i="17"/>
  <c r="BV272" i="17"/>
  <c r="BU277" i="17"/>
  <c r="BM40" i="11"/>
  <c r="BL40" i="11" s="1"/>
  <c r="R41" i="25"/>
  <c r="R382" i="23"/>
  <c r="CB40" i="11"/>
  <c r="U41" i="25"/>
  <c r="AW277" i="17"/>
  <c r="AX272" i="17"/>
  <c r="AW251" i="17"/>
  <c r="CX296" i="17"/>
  <c r="AD395" i="23"/>
  <c r="AE386" i="23"/>
  <c r="Y277" i="17"/>
  <c r="Z272" i="17"/>
  <c r="E273" i="2"/>
  <c r="AC131" i="25"/>
  <c r="BN272" i="17"/>
  <c r="BM277" i="17"/>
  <c r="BM302" i="17" s="1"/>
  <c r="BM251" i="17"/>
  <c r="BR272" i="17"/>
  <c r="BQ277" i="17"/>
  <c r="BQ251" i="17"/>
  <c r="E262" i="2"/>
  <c r="AV262" i="2" s="1"/>
  <c r="AC126" i="25"/>
  <c r="D276" i="2"/>
  <c r="AB134" i="25"/>
  <c r="AE389" i="23"/>
  <c r="BH304" i="17"/>
  <c r="AC133" i="25"/>
  <c r="E275" i="2"/>
  <c r="CX24" i="26"/>
  <c r="V273" i="17"/>
  <c r="U277" i="17"/>
  <c r="CL272" i="17"/>
  <c r="CK277" i="17"/>
  <c r="AL272" i="17"/>
  <c r="AK277" i="17"/>
  <c r="CX294" i="17"/>
  <c r="AD393" i="23"/>
  <c r="DB263" i="17"/>
  <c r="CY28" i="26"/>
  <c r="CY24" i="26"/>
  <c r="CX297" i="17"/>
  <c r="AD396" i="23"/>
  <c r="BN274" i="17"/>
  <c r="BM304" i="17"/>
  <c r="AD394" i="23"/>
  <c r="CX295" i="17"/>
  <c r="C274" i="2"/>
  <c r="AT274" i="2" s="1"/>
  <c r="AA132" i="25"/>
  <c r="T128" i="8"/>
  <c r="T129" i="8" s="1"/>
  <c r="T130" i="8" s="1"/>
  <c r="BL285" i="17"/>
  <c r="BL287" i="17" s="1"/>
  <c r="U128" i="8"/>
  <c r="BL253" i="17"/>
  <c r="BL303" i="17"/>
  <c r="R275" i="17"/>
  <c r="Q254" i="17"/>
  <c r="Q256" i="17" s="1"/>
  <c r="DB262" i="17"/>
  <c r="CY26" i="26"/>
  <c r="Y382" i="23"/>
  <c r="CV40" i="11"/>
  <c r="Y41" i="25"/>
  <c r="CG277" i="17"/>
  <c r="CH272" i="17"/>
  <c r="AG277" i="17"/>
  <c r="AH272" i="17"/>
  <c r="CT272" i="17"/>
  <c r="CS277" i="17"/>
  <c r="CW24" i="26"/>
  <c r="AD389" i="23"/>
  <c r="CX293" i="17"/>
  <c r="AD392" i="23"/>
  <c r="CV24" i="26"/>
  <c r="DB259" i="17"/>
  <c r="N273" i="17"/>
  <c r="M277" i="17"/>
  <c r="BH303" i="17"/>
  <c r="CO277" i="17"/>
  <c r="CP272" i="17"/>
  <c r="AD388" i="23"/>
  <c r="U386" i="23"/>
  <c r="U126" i="25" s="1"/>
  <c r="D273" i="2"/>
  <c r="AB131" i="25"/>
  <c r="BH285" i="17"/>
  <c r="BH287" i="17" s="1"/>
  <c r="W269" i="1"/>
  <c r="W377" i="23" s="1"/>
  <c r="X382" i="23" s="1"/>
  <c r="BN275" i="17"/>
  <c r="AE387" i="23"/>
  <c r="AC127" i="25"/>
  <c r="E263" i="2"/>
  <c r="AV263" i="2" s="1"/>
  <c r="CV25" i="26"/>
  <c r="DB260" i="17"/>
  <c r="AB132" i="25"/>
  <c r="D274" i="2"/>
  <c r="V382" i="23"/>
  <c r="V41" i="25"/>
  <c r="CG40" i="11"/>
  <c r="CQ40" i="11"/>
  <c r="X41" i="25"/>
  <c r="AD272" i="17"/>
  <c r="AC277" i="17"/>
  <c r="CV27" i="26"/>
  <c r="DB261" i="17"/>
  <c r="BZ272" i="17"/>
  <c r="BY277" i="17"/>
  <c r="C273" i="2"/>
  <c r="AT273" i="2" s="1"/>
  <c r="AA131" i="25"/>
  <c r="BJ275" i="17"/>
  <c r="AA133" i="25"/>
  <c r="C275" i="2"/>
  <c r="AT275" i="2" s="1"/>
  <c r="BB272" i="17"/>
  <c r="BA277" i="17"/>
  <c r="BA251" i="17"/>
  <c r="S41" i="25"/>
  <c r="BR40" i="11"/>
  <c r="S382" i="23"/>
  <c r="BJ273" i="17"/>
  <c r="E274" i="2"/>
  <c r="AC132" i="25"/>
  <c r="AE388" i="23"/>
  <c r="T387" i="23"/>
  <c r="T128" i="25" s="1"/>
  <c r="CF40" i="11" l="1"/>
  <c r="BQ40" i="11"/>
  <c r="BL307" i="17"/>
  <c r="T382" i="23"/>
  <c r="T41" i="25"/>
  <c r="U382" i="23"/>
  <c r="BI305" i="17"/>
  <c r="BM305" i="17"/>
  <c r="BI303" i="17"/>
  <c r="BI302" i="17"/>
  <c r="BV40" i="11"/>
  <c r="T388" i="23"/>
  <c r="T127" i="25" s="1"/>
  <c r="L385" i="23"/>
  <c r="L125" i="25" s="1"/>
  <c r="AD277" i="17"/>
  <c r="AC302" i="17" s="1"/>
  <c r="W41" i="25"/>
  <c r="W382" i="23"/>
  <c r="CL40" i="11"/>
  <c r="CK40" i="11" s="1"/>
  <c r="AU273" i="2"/>
  <c r="E244" i="20"/>
  <c r="AE392" i="23"/>
  <c r="DB293" i="17"/>
  <c r="F272" i="2"/>
  <c r="AD130" i="25"/>
  <c r="M385" i="23"/>
  <c r="M125" i="25" s="1"/>
  <c r="AH277" i="17"/>
  <c r="AH302" i="17" s="1"/>
  <c r="CH277" i="17"/>
  <c r="CE302" i="17" s="1"/>
  <c r="Z385" i="23"/>
  <c r="Z125" i="25" s="1"/>
  <c r="I388" i="23"/>
  <c r="I127" i="25" s="1"/>
  <c r="R254" i="17"/>
  <c r="U129" i="8"/>
  <c r="U130" i="8" s="1"/>
  <c r="DB297" i="17"/>
  <c r="AE396" i="23"/>
  <c r="BM285" i="17"/>
  <c r="BM287" i="17" s="1"/>
  <c r="BM253" i="17"/>
  <c r="Z277" i="17"/>
  <c r="W302" i="17" s="1"/>
  <c r="K385" i="23"/>
  <c r="K125" i="25" s="1"/>
  <c r="BE285" i="17"/>
  <c r="BE287" i="17" s="1"/>
  <c r="BE253" i="17"/>
  <c r="CW277" i="17"/>
  <c r="CX272" i="17"/>
  <c r="AP277" i="17"/>
  <c r="AP302" i="17" s="1"/>
  <c r="O385" i="23"/>
  <c r="O125" i="25" s="1"/>
  <c r="BI285" i="17"/>
  <c r="BI287" i="17" s="1"/>
  <c r="BI253" i="17"/>
  <c r="CZ40" i="11"/>
  <c r="DE40" i="11"/>
  <c r="AT277" i="17"/>
  <c r="AS302" i="17" s="1"/>
  <c r="P385" i="23"/>
  <c r="P125" i="25" s="1"/>
  <c r="AD126" i="25"/>
  <c r="F262" i="2"/>
  <c r="AW262" i="2" s="1"/>
  <c r="AD128" i="25"/>
  <c r="F264" i="2"/>
  <c r="AW264" i="2" s="1"/>
  <c r="T386" i="23"/>
  <c r="T126" i="25" s="1"/>
  <c r="AE393" i="23"/>
  <c r="DB294" i="17"/>
  <c r="G264" i="2"/>
  <c r="AX264" i="2" s="1"/>
  <c r="AE128" i="25"/>
  <c r="AC385" i="23"/>
  <c r="CT277" i="17"/>
  <c r="CQ302" i="17" s="1"/>
  <c r="U387" i="23"/>
  <c r="U128" i="25" s="1"/>
  <c r="AD131" i="25"/>
  <c r="F273" i="2"/>
  <c r="J386" i="23"/>
  <c r="J126" i="25" s="1"/>
  <c r="V277" i="17"/>
  <c r="U303" i="17" s="1"/>
  <c r="AV275" i="2"/>
  <c r="F246" i="20"/>
  <c r="G265" i="2"/>
  <c r="AX265" i="2" s="1"/>
  <c r="AE129" i="25"/>
  <c r="F244" i="20"/>
  <c r="AV273" i="2"/>
  <c r="S385" i="23"/>
  <c r="S125" i="25" s="1"/>
  <c r="BF277" i="17"/>
  <c r="BF302" i="17" s="1"/>
  <c r="BF251" i="17"/>
  <c r="Y385" i="23"/>
  <c r="Y125" i="25" s="1"/>
  <c r="CD277" i="17"/>
  <c r="CB302" i="17" s="1"/>
  <c r="F243" i="20"/>
  <c r="AV272" i="2"/>
  <c r="I386" i="23"/>
  <c r="I126" i="25" s="1"/>
  <c r="R251" i="17"/>
  <c r="R277" i="17"/>
  <c r="Q305" i="17" s="1"/>
  <c r="E243" i="20"/>
  <c r="AU272" i="2"/>
  <c r="G263" i="2"/>
  <c r="AX263" i="2" s="1"/>
  <c r="AE127" i="25"/>
  <c r="F265" i="2"/>
  <c r="AW265" i="2" s="1"/>
  <c r="AD129" i="25"/>
  <c r="DB296" i="17"/>
  <c r="AE395" i="23"/>
  <c r="AD134" i="25"/>
  <c r="F276" i="2"/>
  <c r="N385" i="23"/>
  <c r="N125" i="25" s="1"/>
  <c r="AL277" i="17"/>
  <c r="AI302" i="17" s="1"/>
  <c r="CL277" i="17"/>
  <c r="CK302" i="17" s="1"/>
  <c r="AA385" i="23"/>
  <c r="BR277" i="17"/>
  <c r="BR302" i="17" s="1"/>
  <c r="V385" i="23"/>
  <c r="V125" i="25" s="1"/>
  <c r="BM306" i="17"/>
  <c r="BM303" i="17"/>
  <c r="AE126" i="25"/>
  <c r="G262" i="2"/>
  <c r="AX262" i="2" s="1"/>
  <c r="AW253" i="17"/>
  <c r="CA40" i="11"/>
  <c r="BV277" i="17"/>
  <c r="BV302" i="17" s="1"/>
  <c r="W385" i="23"/>
  <c r="W125" i="25" s="1"/>
  <c r="J388" i="23"/>
  <c r="J127" i="25" s="1"/>
  <c r="E246" i="20"/>
  <c r="AU275" i="2"/>
  <c r="V129" i="8"/>
  <c r="V130" i="8" s="1"/>
  <c r="T389" i="23"/>
  <c r="T129" i="25" s="1"/>
  <c r="T385" i="23"/>
  <c r="T125" i="25" s="1"/>
  <c r="BJ277" i="17"/>
  <c r="BJ306" i="17" s="1"/>
  <c r="BJ251" i="17"/>
  <c r="DA272" i="17"/>
  <c r="CZ277" i="17"/>
  <c r="BB277" i="17"/>
  <c r="AZ302" i="17" s="1"/>
  <c r="R385" i="23"/>
  <c r="R125" i="25" s="1"/>
  <c r="BB251" i="17"/>
  <c r="BZ277" i="17"/>
  <c r="BX302" i="17" s="1"/>
  <c r="X385" i="23"/>
  <c r="X125" i="25" s="1"/>
  <c r="F245" i="20"/>
  <c r="AV274" i="2"/>
  <c r="BA285" i="17"/>
  <c r="BA287" i="17" s="1"/>
  <c r="BA253" i="17"/>
  <c r="AE394" i="23"/>
  <c r="DB295" i="17"/>
  <c r="E245" i="20"/>
  <c r="AU274" i="2"/>
  <c r="U388" i="23"/>
  <c r="U127" i="25" s="1"/>
  <c r="F263" i="2"/>
  <c r="AW263" i="2" s="1"/>
  <c r="AD127" i="25"/>
  <c r="AB385" i="23"/>
  <c r="CP277" i="17"/>
  <c r="CO302" i="17" s="1"/>
  <c r="H386" i="23"/>
  <c r="H126" i="25" s="1"/>
  <c r="N277" i="17"/>
  <c r="CU40" i="11"/>
  <c r="AD133" i="25"/>
  <c r="F275" i="2"/>
  <c r="BH307" i="17"/>
  <c r="E247" i="20"/>
  <c r="AU276" i="2"/>
  <c r="BQ285" i="17"/>
  <c r="BQ287" i="17" s="1"/>
  <c r="BQ253" i="17"/>
  <c r="BN277" i="17"/>
  <c r="BN304" i="17" s="1"/>
  <c r="U385" i="23"/>
  <c r="U125" i="25" s="1"/>
  <c r="BN251" i="17"/>
  <c r="AD132" i="25"/>
  <c r="F274" i="2"/>
  <c r="AX277" i="17"/>
  <c r="AV302" i="17" s="1"/>
  <c r="Q385" i="23"/>
  <c r="Q125" i="25" s="1"/>
  <c r="AX251" i="17"/>
  <c r="F247" i="20"/>
  <c r="AV276" i="2"/>
  <c r="BI304" i="17"/>
  <c r="T305" i="17" l="1"/>
  <c r="X302" i="17"/>
  <c r="BW302" i="17"/>
  <c r="BI307" i="17"/>
  <c r="CP40" i="11"/>
  <c r="AQ302" i="17"/>
  <c r="Y302" i="17"/>
  <c r="AM302" i="17"/>
  <c r="CN302" i="17"/>
  <c r="BZ302" i="17"/>
  <c r="BC302" i="17"/>
  <c r="AJ302" i="17"/>
  <c r="BA302" i="17"/>
  <c r="AO302" i="17"/>
  <c r="AU302" i="17"/>
  <c r="V305" i="17"/>
  <c r="CI302" i="17"/>
  <c r="S303" i="17"/>
  <c r="CR302" i="17"/>
  <c r="U305" i="17"/>
  <c r="BP302" i="17"/>
  <c r="CL302" i="17"/>
  <c r="P303" i="17"/>
  <c r="T303" i="17"/>
  <c r="CS302" i="17"/>
  <c r="AT302" i="17"/>
  <c r="AD302" i="17"/>
  <c r="S305" i="17"/>
  <c r="BT302" i="17"/>
  <c r="BM307" i="17"/>
  <c r="R303" i="17"/>
  <c r="CD302" i="17"/>
  <c r="CG302" i="17"/>
  <c r="AA302" i="17"/>
  <c r="AX253" i="17"/>
  <c r="CP302" i="17"/>
  <c r="AB125" i="25"/>
  <c r="D261" i="2"/>
  <c r="AU261" i="2" s="1"/>
  <c r="BY302" i="17"/>
  <c r="BW305" i="17"/>
  <c r="BZ306" i="17"/>
  <c r="BY305" i="17"/>
  <c r="BY303" i="17"/>
  <c r="BX306" i="17"/>
  <c r="BW304" i="17"/>
  <c r="BW303" i="17"/>
  <c r="BW306" i="17"/>
  <c r="BY304" i="17"/>
  <c r="BY306" i="17"/>
  <c r="BX305" i="17"/>
  <c r="BZ305" i="17"/>
  <c r="BZ304" i="17"/>
  <c r="BX303" i="17"/>
  <c r="BX304" i="17"/>
  <c r="BZ303" i="17"/>
  <c r="AY302" i="17"/>
  <c r="BJ302" i="17"/>
  <c r="BJ304" i="17"/>
  <c r="AX264" i="17"/>
  <c r="AX266" i="17" s="1"/>
  <c r="BQ302" i="17"/>
  <c r="BQ307" i="17"/>
  <c r="BP307" i="17"/>
  <c r="BR303" i="17"/>
  <c r="BQ306" i="17"/>
  <c r="BQ304" i="17"/>
  <c r="BP303" i="17"/>
  <c r="BQ305" i="17"/>
  <c r="BR304" i="17"/>
  <c r="BQ303" i="17"/>
  <c r="BP305" i="17"/>
  <c r="BP306" i="17"/>
  <c r="BP304" i="17"/>
  <c r="BR305" i="17"/>
  <c r="BR306" i="17"/>
  <c r="Q303" i="17"/>
  <c r="BF264" i="17"/>
  <c r="BF266" i="17" s="1"/>
  <c r="BF285" i="17"/>
  <c r="BF287" i="17" s="1"/>
  <c r="BF253" i="17"/>
  <c r="BE302" i="17"/>
  <c r="BC307" i="17"/>
  <c r="BE307" i="17"/>
  <c r="BD307" i="17"/>
  <c r="BE305" i="17"/>
  <c r="BE303" i="17"/>
  <c r="BD305" i="17"/>
  <c r="BD303" i="17"/>
  <c r="BF303" i="17"/>
  <c r="BE306" i="17"/>
  <c r="BF306" i="17"/>
  <c r="BC304" i="17"/>
  <c r="BF304" i="17"/>
  <c r="BF305" i="17"/>
  <c r="BD304" i="17"/>
  <c r="BE304" i="17"/>
  <c r="BC303" i="17"/>
  <c r="BC305" i="17"/>
  <c r="BC306" i="17"/>
  <c r="BD306" i="17"/>
  <c r="T302" i="17"/>
  <c r="S302" i="17"/>
  <c r="U306" i="17"/>
  <c r="V306" i="17"/>
  <c r="S306" i="17"/>
  <c r="V302" i="17"/>
  <c r="U302" i="17"/>
  <c r="T306" i="17"/>
  <c r="T304" i="17"/>
  <c r="V304" i="17"/>
  <c r="U304" i="17"/>
  <c r="S304" i="17"/>
  <c r="E261" i="2"/>
  <c r="AV261" i="2" s="1"/>
  <c r="AC125" i="25"/>
  <c r="AE131" i="25"/>
  <c r="G273" i="2"/>
  <c r="W306" i="17"/>
  <c r="Y305" i="17"/>
  <c r="X306" i="17"/>
  <c r="Z305" i="17"/>
  <c r="Y303" i="17"/>
  <c r="Z306" i="17"/>
  <c r="W303" i="17"/>
  <c r="W304" i="17"/>
  <c r="X305" i="17"/>
  <c r="X304" i="17"/>
  <c r="Z303" i="17"/>
  <c r="W305" i="17"/>
  <c r="Y304" i="17"/>
  <c r="Z304" i="17"/>
  <c r="Y306" i="17"/>
  <c r="X303" i="17"/>
  <c r="AE302" i="17"/>
  <c r="AH305" i="17"/>
  <c r="AF306" i="17"/>
  <c r="AE304" i="17"/>
  <c r="AH304" i="17"/>
  <c r="AH306" i="17"/>
  <c r="AG306" i="17"/>
  <c r="AF303" i="17"/>
  <c r="AG305" i="17"/>
  <c r="AG304" i="17"/>
  <c r="AE303" i="17"/>
  <c r="AF304" i="17"/>
  <c r="AH303" i="17"/>
  <c r="AF305" i="17"/>
  <c r="AE305" i="17"/>
  <c r="AE306" i="17"/>
  <c r="AG303" i="17"/>
  <c r="AX302" i="17"/>
  <c r="AU304" i="17"/>
  <c r="AX306" i="17"/>
  <c r="AV305" i="17"/>
  <c r="AW303" i="17"/>
  <c r="AU305" i="17"/>
  <c r="AW304" i="17"/>
  <c r="AU303" i="17"/>
  <c r="AW305" i="17"/>
  <c r="AX304" i="17"/>
  <c r="AV304" i="17"/>
  <c r="AV306" i="17"/>
  <c r="AV303" i="17"/>
  <c r="AX303" i="17"/>
  <c r="AX305" i="17"/>
  <c r="AW306" i="17"/>
  <c r="AU306" i="17"/>
  <c r="BR251" i="17"/>
  <c r="BN285" i="17"/>
  <c r="BN287" i="17" s="1"/>
  <c r="BN253" i="17"/>
  <c r="BN264" i="17"/>
  <c r="G246" i="20"/>
  <c r="AW275" i="2"/>
  <c r="G275" i="2"/>
  <c r="AE133" i="25"/>
  <c r="BB264" i="17"/>
  <c r="BB266" i="17" s="1"/>
  <c r="BB285" i="17"/>
  <c r="BB287" i="17" s="1"/>
  <c r="BB253" i="17"/>
  <c r="DB272" i="17"/>
  <c r="DA277" i="17"/>
  <c r="AL302" i="17"/>
  <c r="AJ306" i="17"/>
  <c r="AI306" i="17"/>
  <c r="AI304" i="17"/>
  <c r="AK305" i="17"/>
  <c r="AJ303" i="17"/>
  <c r="AK306" i="17"/>
  <c r="AK303" i="17"/>
  <c r="AI303" i="17"/>
  <c r="AL303" i="17"/>
  <c r="AL304" i="17"/>
  <c r="AJ304" i="17"/>
  <c r="AL306" i="17"/>
  <c r="AJ305" i="17"/>
  <c r="AI305" i="17"/>
  <c r="AK304" i="17"/>
  <c r="AL305" i="17"/>
  <c r="AE132" i="25"/>
  <c r="G274" i="2"/>
  <c r="R302" i="17"/>
  <c r="P307" i="17"/>
  <c r="Q307" i="17"/>
  <c r="O302" i="17"/>
  <c r="P302" i="17"/>
  <c r="Q302" i="17"/>
  <c r="O307" i="17"/>
  <c r="Q306" i="17"/>
  <c r="P306" i="17"/>
  <c r="R306" i="17"/>
  <c r="O306" i="17"/>
  <c r="Q304" i="17"/>
  <c r="R304" i="17"/>
  <c r="O304" i="17"/>
  <c r="P304" i="17"/>
  <c r="CA302" i="17"/>
  <c r="CC304" i="17"/>
  <c r="CC305" i="17"/>
  <c r="CA306" i="17"/>
  <c r="CD306" i="17"/>
  <c r="CB306" i="17"/>
  <c r="CD304" i="17"/>
  <c r="CB303" i="17"/>
  <c r="CD305" i="17"/>
  <c r="CA304" i="17"/>
  <c r="CD303" i="17"/>
  <c r="CA305" i="17"/>
  <c r="CA303" i="17"/>
  <c r="CC306" i="17"/>
  <c r="CB305" i="17"/>
  <c r="CC303" i="17"/>
  <c r="CB304" i="17"/>
  <c r="Z302" i="17"/>
  <c r="R305" i="17"/>
  <c r="AG302" i="17"/>
  <c r="AE130" i="25"/>
  <c r="G272" i="2"/>
  <c r="BJ305" i="17"/>
  <c r="BJ285" i="17"/>
  <c r="BJ287" i="17" s="1"/>
  <c r="BJ253" i="17"/>
  <c r="BU302" i="17"/>
  <c r="BT303" i="17"/>
  <c r="BV303" i="17"/>
  <c r="BV305" i="17"/>
  <c r="BS306" i="17"/>
  <c r="BT304" i="17"/>
  <c r="BU303" i="17"/>
  <c r="BT306" i="17"/>
  <c r="BV304" i="17"/>
  <c r="BT305" i="17"/>
  <c r="BV306" i="17"/>
  <c r="BS304" i="17"/>
  <c r="BU306" i="17"/>
  <c r="BS305" i="17"/>
  <c r="BU305" i="17"/>
  <c r="BU304" i="17"/>
  <c r="BS303" i="17"/>
  <c r="AA125" i="25"/>
  <c r="C261" i="2"/>
  <c r="AT261" i="2" s="1"/>
  <c r="V251" i="17"/>
  <c r="R285" i="17"/>
  <c r="R287" i="17" s="1"/>
  <c r="R253" i="17"/>
  <c r="S251" i="17"/>
  <c r="T251" i="17"/>
  <c r="U251" i="17"/>
  <c r="R264" i="17"/>
  <c r="R266" i="17" s="1"/>
  <c r="G244" i="20"/>
  <c r="AW273" i="2"/>
  <c r="BJ264" i="17"/>
  <c r="AD385" i="23"/>
  <c r="CX277" i="17"/>
  <c r="O305" i="17"/>
  <c r="V254" i="17"/>
  <c r="R288" i="17"/>
  <c r="R290" i="17" s="1"/>
  <c r="R256" i="17"/>
  <c r="S254" i="17"/>
  <c r="T254" i="17"/>
  <c r="R267" i="17"/>
  <c r="R269" i="17" s="1"/>
  <c r="U254" i="17"/>
  <c r="CF302" i="17"/>
  <c r="CE303" i="17"/>
  <c r="CF303" i="17"/>
  <c r="CG303" i="17"/>
  <c r="CG306" i="17"/>
  <c r="CH303" i="17"/>
  <c r="CE306" i="17"/>
  <c r="CF305" i="17"/>
  <c r="CF304" i="17"/>
  <c r="CF306" i="17"/>
  <c r="CH304" i="17"/>
  <c r="CH305" i="17"/>
  <c r="CG305" i="17"/>
  <c r="CG304" i="17"/>
  <c r="CE304" i="17"/>
  <c r="CH306" i="17"/>
  <c r="CE305" i="17"/>
  <c r="G245" i="20"/>
  <c r="AW274" i="2"/>
  <c r="AW302" i="17"/>
  <c r="BN302" i="17"/>
  <c r="BN306" i="17"/>
  <c r="BN303" i="17"/>
  <c r="CM302" i="17"/>
  <c r="CP306" i="17"/>
  <c r="CN303" i="17"/>
  <c r="CN305" i="17"/>
  <c r="CO306" i="17"/>
  <c r="CP305" i="17"/>
  <c r="CM303" i="17"/>
  <c r="CM306" i="17"/>
  <c r="CN306" i="17"/>
  <c r="CP303" i="17"/>
  <c r="CO303" i="17"/>
  <c r="CM304" i="17"/>
  <c r="CN304" i="17"/>
  <c r="CM305" i="17"/>
  <c r="CO305" i="17"/>
  <c r="CO304" i="17"/>
  <c r="CP304" i="17"/>
  <c r="BN305" i="17"/>
  <c r="BB302" i="17"/>
  <c r="BA307" i="17"/>
  <c r="AZ307" i="17"/>
  <c r="AY307" i="17"/>
  <c r="BA306" i="17"/>
  <c r="BB303" i="17"/>
  <c r="BB305" i="17"/>
  <c r="BA303" i="17"/>
  <c r="BA305" i="17"/>
  <c r="AZ303" i="17"/>
  <c r="AY304" i="17"/>
  <c r="AZ304" i="17"/>
  <c r="BB306" i="17"/>
  <c r="AY306" i="17"/>
  <c r="AZ306" i="17"/>
  <c r="BA304" i="17"/>
  <c r="AZ305" i="17"/>
  <c r="AY305" i="17"/>
  <c r="BB304" i="17"/>
  <c r="AY303" i="17"/>
  <c r="BS302" i="17"/>
  <c r="CJ302" i="17"/>
  <c r="CL303" i="17"/>
  <c r="CI305" i="17"/>
  <c r="CI303" i="17"/>
  <c r="CJ304" i="17"/>
  <c r="CJ305" i="17"/>
  <c r="CI304" i="17"/>
  <c r="CK305" i="17"/>
  <c r="CK303" i="17"/>
  <c r="CL304" i="17"/>
  <c r="CL305" i="17"/>
  <c r="CJ303" i="17"/>
  <c r="CI306" i="17"/>
  <c r="CL306" i="17"/>
  <c r="CJ306" i="17"/>
  <c r="CK306" i="17"/>
  <c r="CK304" i="17"/>
  <c r="AK302" i="17"/>
  <c r="AW276" i="2"/>
  <c r="G247" i="20"/>
  <c r="O303" i="17"/>
  <c r="CC302" i="17"/>
  <c r="BD302" i="17"/>
  <c r="V303" i="17"/>
  <c r="CT302" i="17"/>
  <c r="CS306" i="17"/>
  <c r="CQ303" i="17"/>
  <c r="CR304" i="17"/>
  <c r="CT305" i="17"/>
  <c r="CQ306" i="17"/>
  <c r="CT303" i="17"/>
  <c r="CQ304" i="17"/>
  <c r="CR305" i="17"/>
  <c r="CR306" i="17"/>
  <c r="CR303" i="17"/>
  <c r="CT304" i="17"/>
  <c r="CQ305" i="17"/>
  <c r="CT306" i="17"/>
  <c r="CS303" i="17"/>
  <c r="CS304" i="17"/>
  <c r="CS305" i="17"/>
  <c r="BJ303" i="17"/>
  <c r="AR302" i="17"/>
  <c r="AQ304" i="17"/>
  <c r="AT305" i="17"/>
  <c r="AR306" i="17"/>
  <c r="AT304" i="17"/>
  <c r="AR303" i="17"/>
  <c r="AQ305" i="17"/>
  <c r="AT306" i="17"/>
  <c r="AS305" i="17"/>
  <c r="AQ303" i="17"/>
  <c r="AS306" i="17"/>
  <c r="AR305" i="17"/>
  <c r="AR304" i="17"/>
  <c r="AQ306" i="17"/>
  <c r="AS304" i="17"/>
  <c r="AT303" i="17"/>
  <c r="AS303" i="17"/>
  <c r="AN302" i="17"/>
  <c r="AM303" i="17"/>
  <c r="AP305" i="17"/>
  <c r="AN303" i="17"/>
  <c r="AN305" i="17"/>
  <c r="AP303" i="17"/>
  <c r="AN306" i="17"/>
  <c r="AO303" i="17"/>
  <c r="AM305" i="17"/>
  <c r="AO305" i="17"/>
  <c r="AP304" i="17"/>
  <c r="AP306" i="17"/>
  <c r="AO306" i="17"/>
  <c r="AO304" i="17"/>
  <c r="AN304" i="17"/>
  <c r="AM304" i="17"/>
  <c r="AM306" i="17"/>
  <c r="G276" i="2"/>
  <c r="AE134" i="25"/>
  <c r="P305" i="17"/>
  <c r="CH302" i="17"/>
  <c r="AF302" i="17"/>
  <c r="G243" i="20"/>
  <c r="AW272" i="2"/>
  <c r="AB302" i="17"/>
  <c r="AB303" i="17"/>
  <c r="AD303" i="17"/>
  <c r="AA305" i="17"/>
  <c r="AC303" i="17"/>
  <c r="AB305" i="17"/>
  <c r="AC305" i="17"/>
  <c r="AD305" i="17"/>
  <c r="AD306" i="17"/>
  <c r="AB306" i="17"/>
  <c r="AC306" i="17"/>
  <c r="AA306" i="17"/>
  <c r="AA304" i="17"/>
  <c r="AA303" i="17"/>
  <c r="AB304" i="17"/>
  <c r="AC304" i="17"/>
  <c r="AD304" i="17"/>
  <c r="BB307" i="17" l="1"/>
  <c r="BN307" i="17"/>
  <c r="BF307" i="17"/>
  <c r="AX276" i="2"/>
  <c r="H247" i="20"/>
  <c r="CU302" i="17"/>
  <c r="CV304" i="17"/>
  <c r="CW303" i="17"/>
  <c r="CX306" i="17"/>
  <c r="CX305" i="17"/>
  <c r="CU304" i="17"/>
  <c r="CU303" i="17"/>
  <c r="CV306" i="17"/>
  <c r="CW305" i="17"/>
  <c r="CX304" i="17"/>
  <c r="CV303" i="17"/>
  <c r="CU306" i="17"/>
  <c r="CU305" i="17"/>
  <c r="CW304" i="17"/>
  <c r="CX303" i="17"/>
  <c r="CW306" i="17"/>
  <c r="CV305" i="17"/>
  <c r="T285" i="17"/>
  <c r="T253" i="17"/>
  <c r="Z251" i="17"/>
  <c r="V253" i="17"/>
  <c r="V285" i="17"/>
  <c r="X251" i="17"/>
  <c r="W251" i="17"/>
  <c r="Y251" i="17"/>
  <c r="AX275" i="2"/>
  <c r="H246" i="20"/>
  <c r="T288" i="17"/>
  <c r="T290" i="17" s="1"/>
  <c r="T256" i="17"/>
  <c r="V256" i="17"/>
  <c r="V288" i="17"/>
  <c r="V290" i="17" s="1"/>
  <c r="W254" i="17"/>
  <c r="X254" i="17"/>
  <c r="Y254" i="17"/>
  <c r="Z254" i="17"/>
  <c r="CX302" i="17"/>
  <c r="F261" i="2"/>
  <c r="AW261" i="2" s="1"/>
  <c r="AD125" i="25"/>
  <c r="S285" i="17"/>
  <c r="V264" i="17"/>
  <c r="V266" i="17" s="1"/>
  <c r="S253" i="17"/>
  <c r="R307" i="17"/>
  <c r="H245" i="20"/>
  <c r="AX274" i="2"/>
  <c r="H244" i="20"/>
  <c r="AX273" i="2"/>
  <c r="V267" i="17"/>
  <c r="V269" i="17" s="1"/>
  <c r="S288" i="17"/>
  <c r="S290" i="17" s="1"/>
  <c r="S256" i="17"/>
  <c r="CW302" i="17"/>
  <c r="BR264" i="17"/>
  <c r="BR252" i="17"/>
  <c r="BR285" i="17"/>
  <c r="BR307" i="17" s="1"/>
  <c r="BT251" i="17"/>
  <c r="BS251" i="17"/>
  <c r="BU251" i="17"/>
  <c r="BV251" i="17"/>
  <c r="U256" i="17"/>
  <c r="U288" i="17"/>
  <c r="U290" i="17" s="1"/>
  <c r="CV302" i="17"/>
  <c r="U253" i="17"/>
  <c r="U285" i="17"/>
  <c r="AX272" i="2"/>
  <c r="H243" i="20"/>
  <c r="AE385" i="23"/>
  <c r="DB277" i="17"/>
  <c r="CZ302" i="17" s="1"/>
  <c r="BJ307" i="17"/>
  <c r="DA302" i="17" l="1"/>
  <c r="CZ303" i="17"/>
  <c r="CY306" i="17"/>
  <c r="DB304" i="17"/>
  <c r="DB303" i="17"/>
  <c r="CZ306" i="17"/>
  <c r="CY304" i="17"/>
  <c r="CZ305" i="17"/>
  <c r="DA303" i="17"/>
  <c r="DB306" i="17"/>
  <c r="DA304" i="17"/>
  <c r="DB305" i="17"/>
  <c r="CY303" i="17"/>
  <c r="DA306" i="17"/>
  <c r="CZ304" i="17"/>
  <c r="CY305" i="17"/>
  <c r="DA305" i="17"/>
  <c r="BT252" i="17"/>
  <c r="BT285" i="17"/>
  <c r="BT307" i="17" s="1"/>
  <c r="W128" i="8"/>
  <c r="W129" i="8" s="1"/>
  <c r="W130" i="8" s="1"/>
  <c r="Y288" i="17"/>
  <c r="Y290" i="17" s="1"/>
  <c r="Y256" i="17"/>
  <c r="V287" i="17"/>
  <c r="V307" i="17"/>
  <c r="T287" i="17"/>
  <c r="T307" i="17"/>
  <c r="U287" i="17"/>
  <c r="U307" i="17"/>
  <c r="DB302" i="17"/>
  <c r="AE125" i="25"/>
  <c r="G261" i="2"/>
  <c r="AX261" i="2" s="1"/>
  <c r="BV252" i="17"/>
  <c r="BV285" i="17"/>
  <c r="BV307" i="17" s="1"/>
  <c r="BW251" i="17"/>
  <c r="BX251" i="17"/>
  <c r="BY251" i="17"/>
  <c r="BZ251" i="17"/>
  <c r="X288" i="17"/>
  <c r="X290" i="17" s="1"/>
  <c r="X256" i="17"/>
  <c r="Y285" i="17"/>
  <c r="Y253" i="17"/>
  <c r="BU285" i="17"/>
  <c r="BU307" i="17" s="1"/>
  <c r="BU252" i="17"/>
  <c r="Z267" i="17"/>
  <c r="Z269" i="17" s="1"/>
  <c r="W288" i="17"/>
  <c r="W290" i="17" s="1"/>
  <c r="W256" i="17"/>
  <c r="Z264" i="17"/>
  <c r="Z266" i="17" s="1"/>
  <c r="W285" i="17"/>
  <c r="W253" i="17"/>
  <c r="AD251" i="17"/>
  <c r="Z285" i="17"/>
  <c r="AB251" i="17"/>
  <c r="Z253" i="17"/>
  <c r="AA251" i="17"/>
  <c r="AC251" i="17"/>
  <c r="BR286" i="17"/>
  <c r="BR287" i="17" s="1"/>
  <c r="BO22" i="26"/>
  <c r="BR253" i="17"/>
  <c r="BR265" i="17"/>
  <c r="CY302" i="17"/>
  <c r="BV264" i="17"/>
  <c r="BS285" i="17"/>
  <c r="BS307" i="17" s="1"/>
  <c r="BS252" i="17"/>
  <c r="S287" i="17"/>
  <c r="S307" i="17"/>
  <c r="Z288" i="17"/>
  <c r="Z290" i="17" s="1"/>
  <c r="AA254" i="17"/>
  <c r="AB254" i="17"/>
  <c r="Z256" i="17"/>
  <c r="AC254" i="17"/>
  <c r="AD254" i="17"/>
  <c r="X285" i="17"/>
  <c r="X253" i="17"/>
  <c r="BT265" i="17" l="1"/>
  <c r="AA288" i="17"/>
  <c r="AA290" i="17" s="1"/>
  <c r="AD267" i="17"/>
  <c r="AD269" i="17" s="1"/>
  <c r="AA256" i="17"/>
  <c r="AB285" i="17"/>
  <c r="AB253" i="17"/>
  <c r="W287" i="17"/>
  <c r="W307" i="17"/>
  <c r="Y287" i="17"/>
  <c r="Y307" i="17"/>
  <c r="BY252" i="17"/>
  <c r="BY285" i="17"/>
  <c r="BY307" i="17" s="1"/>
  <c r="BV286" i="17"/>
  <c r="BV287" i="17" s="1"/>
  <c r="BS22" i="26"/>
  <c r="BV253" i="17"/>
  <c r="AD288" i="17"/>
  <c r="AD290" i="17" s="1"/>
  <c r="AD256" i="17"/>
  <c r="AE254" i="17"/>
  <c r="AF254" i="17"/>
  <c r="AG254" i="17"/>
  <c r="AH254" i="17"/>
  <c r="V397" i="23"/>
  <c r="BR298" i="17"/>
  <c r="AC288" i="17"/>
  <c r="AC290" i="17" s="1"/>
  <c r="AC256" i="17"/>
  <c r="AC285" i="17"/>
  <c r="AC253" i="17"/>
  <c r="Z287" i="17"/>
  <c r="Z307" i="17"/>
  <c r="BU286" i="17"/>
  <c r="BU287" i="17" s="1"/>
  <c r="BR22" i="26"/>
  <c r="BU253" i="17"/>
  <c r="BX285" i="17"/>
  <c r="BX307" i="17" s="1"/>
  <c r="X128" i="8"/>
  <c r="X129" i="8" s="1"/>
  <c r="X130" i="8" s="1"/>
  <c r="BX252" i="17"/>
  <c r="BP22" i="26"/>
  <c r="BS253" i="17"/>
  <c r="BV265" i="17"/>
  <c r="BS286" i="17"/>
  <c r="BS287" i="17" s="1"/>
  <c r="AD285" i="17"/>
  <c r="AD253" i="17"/>
  <c r="AE251" i="17"/>
  <c r="AF251" i="17"/>
  <c r="AG251" i="17"/>
  <c r="AH251" i="17"/>
  <c r="BZ264" i="17"/>
  <c r="BW285" i="17"/>
  <c r="BW307" i="17" s="1"/>
  <c r="BW252" i="17"/>
  <c r="BT286" i="17"/>
  <c r="BT287" i="17" s="1"/>
  <c r="BQ22" i="26"/>
  <c r="BT253" i="17"/>
  <c r="AD264" i="17"/>
  <c r="AD266" i="17" s="1"/>
  <c r="AA285" i="17"/>
  <c r="AA253" i="17"/>
  <c r="X287" i="17"/>
  <c r="X307" i="17"/>
  <c r="AB288" i="17"/>
  <c r="AB290" i="17" s="1"/>
  <c r="AB256" i="17"/>
  <c r="BZ285" i="17"/>
  <c r="BZ307" i="17" s="1"/>
  <c r="BZ252" i="17"/>
  <c r="CB251" i="17"/>
  <c r="CA251" i="17"/>
  <c r="CC251" i="17"/>
  <c r="CD251" i="17"/>
  <c r="CA285" i="17" l="1"/>
  <c r="CA307" i="17" s="1"/>
  <c r="CD264" i="17"/>
  <c r="CA252" i="17"/>
  <c r="BW22" i="26"/>
  <c r="BZ253" i="17"/>
  <c r="BZ286" i="17"/>
  <c r="BZ287" i="17" s="1"/>
  <c r="BT22" i="26"/>
  <c r="BW253" i="17"/>
  <c r="BZ265" i="17"/>
  <c r="BW286" i="17"/>
  <c r="BW287" i="17" s="1"/>
  <c r="AG285" i="17"/>
  <c r="AG253" i="17"/>
  <c r="AD287" i="17"/>
  <c r="AD307" i="17"/>
  <c r="BX265" i="17"/>
  <c r="AH288" i="17"/>
  <c r="AH290" i="17" s="1"/>
  <c r="AI254" i="17"/>
  <c r="AH256" i="17"/>
  <c r="AJ254" i="17"/>
  <c r="AK254" i="17"/>
  <c r="AL254" i="17"/>
  <c r="AB287" i="17"/>
  <c r="AB307" i="17"/>
  <c r="CD252" i="17"/>
  <c r="CD285" i="17"/>
  <c r="CD307" i="17" s="1"/>
  <c r="CE251" i="17"/>
  <c r="CF251" i="17"/>
  <c r="CG251" i="17"/>
  <c r="CH251" i="17"/>
  <c r="CC252" i="17"/>
  <c r="CC285" i="17"/>
  <c r="CC307" i="17" s="1"/>
  <c r="AF285" i="17"/>
  <c r="AF253" i="17"/>
  <c r="BX253" i="17"/>
  <c r="BU22" i="26"/>
  <c r="BX286" i="17"/>
  <c r="BX287" i="17" s="1"/>
  <c r="AG288" i="17"/>
  <c r="AG290" i="17" s="1"/>
  <c r="AG256" i="17"/>
  <c r="W397" i="23"/>
  <c r="BV298" i="17"/>
  <c r="AF288" i="17"/>
  <c r="AF290" i="17" s="1"/>
  <c r="AF256" i="17"/>
  <c r="BY286" i="17"/>
  <c r="BY287" i="17" s="1"/>
  <c r="BV22" i="26"/>
  <c r="BY253" i="17"/>
  <c r="AH264" i="17"/>
  <c r="AH266" i="17" s="1"/>
  <c r="AE285" i="17"/>
  <c r="AE253" i="17"/>
  <c r="CB285" i="17"/>
  <c r="CB307" i="17" s="1"/>
  <c r="CB252" i="17"/>
  <c r="Y128" i="8"/>
  <c r="Y129" i="8" s="1"/>
  <c r="Y130" i="8" s="1"/>
  <c r="AA287" i="17"/>
  <c r="AA307" i="17"/>
  <c r="AH285" i="17"/>
  <c r="AH253" i="17"/>
  <c r="AI251" i="17"/>
  <c r="AJ251" i="17"/>
  <c r="AK251" i="17"/>
  <c r="AL251" i="17"/>
  <c r="AC287" i="17"/>
  <c r="AC307" i="17"/>
  <c r="AH267" i="17"/>
  <c r="AH269" i="17" s="1"/>
  <c r="AE288" i="17"/>
  <c r="AE290" i="17" s="1"/>
  <c r="AE256" i="17"/>
  <c r="AE287" i="17" l="1"/>
  <c r="AE307" i="17"/>
  <c r="AF287" i="17"/>
  <c r="AF307" i="17"/>
  <c r="CG252" i="17"/>
  <c r="CG285" i="17"/>
  <c r="CG307" i="17" s="1"/>
  <c r="CD286" i="17"/>
  <c r="CD287" i="17" s="1"/>
  <c r="CA22" i="26"/>
  <c r="CD253" i="17"/>
  <c r="AK288" i="17"/>
  <c r="AK290" i="17" s="1"/>
  <c r="AK256" i="17"/>
  <c r="AL285" i="17"/>
  <c r="AM251" i="17"/>
  <c r="AL253" i="17"/>
  <c r="AN251" i="17"/>
  <c r="AO251" i="17"/>
  <c r="AP251" i="17"/>
  <c r="AK285" i="17"/>
  <c r="AK253" i="17"/>
  <c r="AH287" i="17"/>
  <c r="AH307" i="17"/>
  <c r="CB253" i="17"/>
  <c r="CB286" i="17"/>
  <c r="CB287" i="17" s="1"/>
  <c r="BY22" i="26"/>
  <c r="CF285" i="17"/>
  <c r="CF307" i="17" s="1"/>
  <c r="Z128" i="8"/>
  <c r="Z129" i="8" s="1"/>
  <c r="Z130" i="8" s="1"/>
  <c r="CF252" i="17"/>
  <c r="AJ288" i="17"/>
  <c r="AJ290" i="17" s="1"/>
  <c r="AJ256" i="17"/>
  <c r="AG287" i="17"/>
  <c r="AG307" i="17"/>
  <c r="CA253" i="17"/>
  <c r="CD265" i="17"/>
  <c r="CA286" i="17"/>
  <c r="CA287" i="17" s="1"/>
  <c r="BX22" i="26"/>
  <c r="AJ285" i="17"/>
  <c r="AJ253" i="17"/>
  <c r="CB265" i="17"/>
  <c r="BZ22" i="26"/>
  <c r="CC286" i="17"/>
  <c r="CC287" i="17" s="1"/>
  <c r="CC253" i="17"/>
  <c r="CE285" i="17"/>
  <c r="CE307" i="17" s="1"/>
  <c r="CE252" i="17"/>
  <c r="CF265" i="17" s="1"/>
  <c r="CH264" i="17"/>
  <c r="AI285" i="17"/>
  <c r="AL264" i="17"/>
  <c r="AL266" i="17" s="1"/>
  <c r="AI253" i="17"/>
  <c r="CH285" i="17"/>
  <c r="CH307" i="17" s="1"/>
  <c r="CH252" i="17"/>
  <c r="CI251" i="17"/>
  <c r="CJ251" i="17"/>
  <c r="CK251" i="17"/>
  <c r="CL251" i="17"/>
  <c r="AL288" i="17"/>
  <c r="AL290" i="17" s="1"/>
  <c r="AL256" i="17"/>
  <c r="AM254" i="17"/>
  <c r="AN254" i="17"/>
  <c r="AO254" i="17"/>
  <c r="AP254" i="17"/>
  <c r="AL267" i="17"/>
  <c r="AL269" i="17" s="1"/>
  <c r="AI288" i="17"/>
  <c r="AI290" i="17" s="1"/>
  <c r="AI256" i="17"/>
  <c r="X397" i="23"/>
  <c r="BZ298" i="17"/>
  <c r="AP288" i="17" l="1"/>
  <c r="AP290" i="17" s="1"/>
  <c r="AQ254" i="17"/>
  <c r="AP256" i="17"/>
  <c r="AR254" i="17"/>
  <c r="AS254" i="17"/>
  <c r="AT254" i="17"/>
  <c r="CJ285" i="17"/>
  <c r="CJ307" i="17" s="1"/>
  <c r="CJ252" i="17"/>
  <c r="AA128" i="8"/>
  <c r="AA129" i="8" s="1"/>
  <c r="AA130" i="8" s="1"/>
  <c r="CH265" i="17"/>
  <c r="CE253" i="17"/>
  <c r="CE286" i="17"/>
  <c r="CE287" i="17" s="1"/>
  <c r="CB22" i="26"/>
  <c r="AJ287" i="17"/>
  <c r="AJ307" i="17"/>
  <c r="AO285" i="17"/>
  <c r="AO253" i="17"/>
  <c r="AL287" i="17"/>
  <c r="AL307" i="17"/>
  <c r="CI285" i="17"/>
  <c r="CI307" i="17" s="1"/>
  <c r="CL264" i="17"/>
  <c r="CI252" i="17"/>
  <c r="CC22" i="26"/>
  <c r="CF253" i="17"/>
  <c r="CF286" i="17"/>
  <c r="CF287" i="17" s="1"/>
  <c r="AN285" i="17"/>
  <c r="AN253" i="17"/>
  <c r="AO288" i="17"/>
  <c r="AO290" i="17" s="1"/>
  <c r="AO256" i="17"/>
  <c r="AN288" i="17"/>
  <c r="AN290" i="17" s="1"/>
  <c r="AN256" i="17"/>
  <c r="CE22" i="26"/>
  <c r="CH286" i="17"/>
  <c r="CH287" i="17" s="1"/>
  <c r="CH253" i="17"/>
  <c r="AK287" i="17"/>
  <c r="AK307" i="17"/>
  <c r="CL285" i="17"/>
  <c r="CL307" i="17" s="1"/>
  <c r="CL252" i="17"/>
  <c r="CN251" i="17"/>
  <c r="CM251" i="17"/>
  <c r="CO251" i="17"/>
  <c r="CP251" i="17"/>
  <c r="AI287" i="17"/>
  <c r="AI307" i="17"/>
  <c r="AP267" i="17"/>
  <c r="AP269" i="17" s="1"/>
  <c r="AM288" i="17"/>
  <c r="AM290" i="17" s="1"/>
  <c r="AM256" i="17"/>
  <c r="CK252" i="17"/>
  <c r="CK285" i="17"/>
  <c r="CK307" i="17" s="1"/>
  <c r="Y397" i="23"/>
  <c r="CD298" i="17"/>
  <c r="AP285" i="17"/>
  <c r="AP253" i="17"/>
  <c r="AQ251" i="17"/>
  <c r="AR251" i="17"/>
  <c r="AS251" i="17"/>
  <c r="AT251" i="17"/>
  <c r="AP264" i="17"/>
  <c r="AP266" i="17" s="1"/>
  <c r="AM285" i="17"/>
  <c r="AM253" i="17"/>
  <c r="CG286" i="17"/>
  <c r="CG287" i="17" s="1"/>
  <c r="CD22" i="26"/>
  <c r="CG253" i="17"/>
  <c r="CJ265" i="17" l="1"/>
  <c r="AP287" i="17"/>
  <c r="AP307" i="17"/>
  <c r="CM252" i="17"/>
  <c r="CP264" i="17"/>
  <c r="CM285" i="17"/>
  <c r="CM307" i="17" s="1"/>
  <c r="AO287" i="17"/>
  <c r="AO307" i="17"/>
  <c r="CJ253" i="17"/>
  <c r="CJ286" i="17"/>
  <c r="CJ287" i="17" s="1"/>
  <c r="CG22" i="26"/>
  <c r="AR288" i="17"/>
  <c r="AR290" i="17" s="1"/>
  <c r="AR256" i="17"/>
  <c r="AS285" i="17"/>
  <c r="AS253" i="17"/>
  <c r="AW285" i="17"/>
  <c r="CK253" i="17"/>
  <c r="CK286" i="17"/>
  <c r="CK287" i="17" s="1"/>
  <c r="CH22" i="26"/>
  <c r="AM287" i="17"/>
  <c r="AM307" i="17"/>
  <c r="AR285" i="17"/>
  <c r="AR253" i="17"/>
  <c r="AV285" i="17"/>
  <c r="CN285" i="17"/>
  <c r="CN307" i="17" s="1"/>
  <c r="CN252" i="17"/>
  <c r="AB128" i="8"/>
  <c r="AB129" i="8" s="1"/>
  <c r="AB130" i="8" s="1"/>
  <c r="AT264" i="17"/>
  <c r="AT266" i="17" s="1"/>
  <c r="AQ285" i="17"/>
  <c r="AQ253" i="17"/>
  <c r="AU285" i="17"/>
  <c r="CP285" i="17"/>
  <c r="CP307" i="17" s="1"/>
  <c r="CP252" i="17"/>
  <c r="CQ251" i="17"/>
  <c r="CR251" i="17"/>
  <c r="CS251" i="17"/>
  <c r="CT251" i="17"/>
  <c r="CL286" i="17"/>
  <c r="CL287" i="17" s="1"/>
  <c r="CL253" i="17"/>
  <c r="CI22" i="26"/>
  <c r="AN287" i="17"/>
  <c r="AN307" i="17"/>
  <c r="CL265" i="17"/>
  <c r="CI253" i="17"/>
  <c r="CI286" i="17"/>
  <c r="CI287" i="17" s="1"/>
  <c r="CF22" i="26"/>
  <c r="Z397" i="23"/>
  <c r="CH298" i="17"/>
  <c r="AT288" i="17"/>
  <c r="AT290" i="17" s="1"/>
  <c r="AV254" i="17"/>
  <c r="AU254" i="17"/>
  <c r="AT256" i="17"/>
  <c r="AW254" i="17"/>
  <c r="AX254" i="17"/>
  <c r="AQ288" i="17"/>
  <c r="AQ290" i="17" s="1"/>
  <c r="AT267" i="17"/>
  <c r="AT269" i="17" s="1"/>
  <c r="AQ256" i="17"/>
  <c r="AT285" i="17"/>
  <c r="AT253" i="17"/>
  <c r="AX285" i="17"/>
  <c r="CO285" i="17"/>
  <c r="CO307" i="17" s="1"/>
  <c r="CO252" i="17"/>
  <c r="AS288" i="17"/>
  <c r="AS290" i="17" s="1"/>
  <c r="AS256" i="17"/>
  <c r="CN265" i="17" l="1"/>
  <c r="AX287" i="17"/>
  <c r="AX307" i="17"/>
  <c r="CS252" i="17"/>
  <c r="CS285" i="17"/>
  <c r="CS307" i="17" s="1"/>
  <c r="AV287" i="17"/>
  <c r="AV307" i="17"/>
  <c r="AU288" i="17"/>
  <c r="AU290" i="17" s="1"/>
  <c r="AX267" i="17"/>
  <c r="AX269" i="17" s="1"/>
  <c r="AU256" i="17"/>
  <c r="CL298" i="17"/>
  <c r="AA397" i="23"/>
  <c r="CR285" i="17"/>
  <c r="CR307" i="17" s="1"/>
  <c r="CR252" i="17"/>
  <c r="AC128" i="8"/>
  <c r="AC129" i="8" s="1"/>
  <c r="AC130" i="8" s="1"/>
  <c r="AU287" i="17"/>
  <c r="AU307" i="17"/>
  <c r="AW287" i="17"/>
  <c r="AW307" i="17"/>
  <c r="CM286" i="17"/>
  <c r="CM287" i="17" s="1"/>
  <c r="CJ22" i="26"/>
  <c r="CP265" i="17"/>
  <c r="CM253" i="17"/>
  <c r="AX288" i="17"/>
  <c r="AX290" i="17" s="1"/>
  <c r="AY254" i="17"/>
  <c r="AX256" i="17"/>
  <c r="AZ254" i="17"/>
  <c r="BA254" i="17"/>
  <c r="BB254" i="17"/>
  <c r="CQ285" i="17"/>
  <c r="CQ307" i="17" s="1"/>
  <c r="CQ252" i="17"/>
  <c r="CT264" i="17"/>
  <c r="CK22" i="26"/>
  <c r="CN286" i="17"/>
  <c r="CN287" i="17" s="1"/>
  <c r="CN253" i="17"/>
  <c r="AR287" i="17"/>
  <c r="AR307" i="17"/>
  <c r="CO253" i="17"/>
  <c r="CL22" i="26"/>
  <c r="CO286" i="17"/>
  <c r="CO287" i="17" s="1"/>
  <c r="AT287" i="17"/>
  <c r="AT307" i="17"/>
  <c r="AV288" i="17"/>
  <c r="AV290" i="17" s="1"/>
  <c r="AV256" i="17"/>
  <c r="AW288" i="17"/>
  <c r="AW290" i="17" s="1"/>
  <c r="AW256" i="17"/>
  <c r="CT252" i="17"/>
  <c r="CT285" i="17"/>
  <c r="CT307" i="17" s="1"/>
  <c r="CU251" i="17"/>
  <c r="CV251" i="17"/>
  <c r="CW251" i="17"/>
  <c r="CX251" i="17"/>
  <c r="CM22" i="26"/>
  <c r="CP286" i="17"/>
  <c r="CP287" i="17" s="1"/>
  <c r="CP253" i="17"/>
  <c r="AQ287" i="17"/>
  <c r="AQ307" i="17"/>
  <c r="AS287" i="17"/>
  <c r="AS307" i="17"/>
  <c r="CR265" i="17" l="1"/>
  <c r="CX264" i="17"/>
  <c r="CX252" i="17"/>
  <c r="CX285" i="17"/>
  <c r="CZ251" i="17"/>
  <c r="CY251" i="17"/>
  <c r="DA251" i="17"/>
  <c r="DB251" i="17"/>
  <c r="BB288" i="17"/>
  <c r="BB290" i="17" s="1"/>
  <c r="BC254" i="17"/>
  <c r="BB256" i="17"/>
  <c r="BD254" i="17"/>
  <c r="BE254" i="17"/>
  <c r="BF254" i="17"/>
  <c r="AY288" i="17"/>
  <c r="AY290" i="17" s="1"/>
  <c r="BB267" i="17"/>
  <c r="BB269" i="17" s="1"/>
  <c r="AY256" i="17"/>
  <c r="CW285" i="17"/>
  <c r="CW252" i="17"/>
  <c r="CT253" i="17"/>
  <c r="CT286" i="17"/>
  <c r="CQ22" i="26"/>
  <c r="BA288" i="17"/>
  <c r="BA290" i="17" s="1"/>
  <c r="BA256" i="17"/>
  <c r="CS286" i="17"/>
  <c r="CP22" i="26"/>
  <c r="CS253" i="17"/>
  <c r="CV252" i="17"/>
  <c r="CV285" i="17"/>
  <c r="AD128" i="8"/>
  <c r="AD129" i="8" s="1"/>
  <c r="AD130" i="8" s="1"/>
  <c r="CQ253" i="17"/>
  <c r="CQ286" i="17"/>
  <c r="CN22" i="26"/>
  <c r="CT265" i="17"/>
  <c r="AZ288" i="17"/>
  <c r="AZ290" i="17" s="1"/>
  <c r="AZ256" i="17"/>
  <c r="CU285" i="17"/>
  <c r="CU252" i="17"/>
  <c r="CP298" i="17"/>
  <c r="AB397" i="23"/>
  <c r="CO22" i="26"/>
  <c r="CR286" i="17"/>
  <c r="CR253" i="17"/>
  <c r="D125" i="2" l="1"/>
  <c r="CQ287" i="17"/>
  <c r="CS22" i="26"/>
  <c r="CV253" i="17"/>
  <c r="CS287" i="17"/>
  <c r="F125" i="2"/>
  <c r="CT287" i="17"/>
  <c r="G125" i="2"/>
  <c r="BE288" i="17"/>
  <c r="BE290" i="17" s="1"/>
  <c r="BE256" i="17"/>
  <c r="BI254" i="17"/>
  <c r="CZ252" i="17"/>
  <c r="AE128" i="8"/>
  <c r="AE129" i="8" s="1"/>
  <c r="AE130" i="8" s="1"/>
  <c r="CZ285" i="17"/>
  <c r="CR22" i="26"/>
  <c r="CU253" i="17"/>
  <c r="CX265" i="17"/>
  <c r="CV265" i="17"/>
  <c r="BD288" i="17"/>
  <c r="BD290" i="17" s="1"/>
  <c r="BD256" i="17"/>
  <c r="BH254" i="17"/>
  <c r="DB285" i="17"/>
  <c r="DB252" i="17"/>
  <c r="CX286" i="17"/>
  <c r="CX307" i="17"/>
  <c r="CT22" i="26"/>
  <c r="CW253" i="17"/>
  <c r="DA252" i="17"/>
  <c r="DA285" i="17"/>
  <c r="CX253" i="17"/>
  <c r="CU22" i="26"/>
  <c r="E125" i="2"/>
  <c r="CR287" i="17"/>
  <c r="CT298" i="17"/>
  <c r="AC397" i="23"/>
  <c r="CU286" i="17"/>
  <c r="CU307" i="17"/>
  <c r="CV286" i="17"/>
  <c r="CV307" i="17"/>
  <c r="CW286" i="17"/>
  <c r="CW307" i="17"/>
  <c r="BF288" i="17"/>
  <c r="BF290" i="17" s="1"/>
  <c r="BF256" i="17"/>
  <c r="BJ254" i="17"/>
  <c r="BF267" i="17"/>
  <c r="BF269" i="17" s="1"/>
  <c r="BC288" i="17"/>
  <c r="BC290" i="17" s="1"/>
  <c r="BG254" i="17"/>
  <c r="BC256" i="17"/>
  <c r="CY285" i="17"/>
  <c r="CY252" i="17"/>
  <c r="DB264" i="17"/>
  <c r="CZ265" i="17" l="1"/>
  <c r="CX287" i="17"/>
  <c r="K125" i="2"/>
  <c r="CZ253" i="17"/>
  <c r="CW22" i="26"/>
  <c r="AX125" i="2"/>
  <c r="H117" i="20"/>
  <c r="Y117" i="20" s="1"/>
  <c r="BJ267" i="17"/>
  <c r="BG288" i="17"/>
  <c r="BG290" i="17" s="1"/>
  <c r="BG256" i="17"/>
  <c r="BK254" i="17"/>
  <c r="CY253" i="17"/>
  <c r="CV22" i="26"/>
  <c r="DB265" i="17"/>
  <c r="CV287" i="17"/>
  <c r="I125" i="2"/>
  <c r="DB253" i="17"/>
  <c r="CY22" i="26"/>
  <c r="BI288" i="17"/>
  <c r="BI290" i="17" s="1"/>
  <c r="BI256" i="17"/>
  <c r="BM254" i="17"/>
  <c r="CY286" i="17"/>
  <c r="CY307" i="17"/>
  <c r="DA286" i="17"/>
  <c r="DA307" i="17"/>
  <c r="DB286" i="17"/>
  <c r="DB307" i="17"/>
  <c r="CZ286" i="17"/>
  <c r="CZ307" i="17"/>
  <c r="G117" i="20"/>
  <c r="X117" i="20" s="1"/>
  <c r="AW125" i="2"/>
  <c r="BJ288" i="17"/>
  <c r="BJ290" i="17" s="1"/>
  <c r="BJ256" i="17"/>
  <c r="BN254" i="17"/>
  <c r="J125" i="2"/>
  <c r="CW287" i="17"/>
  <c r="CU287" i="17"/>
  <c r="H125" i="2"/>
  <c r="AV125" i="2"/>
  <c r="F117" i="20"/>
  <c r="W117" i="20" s="1"/>
  <c r="DA253" i="17"/>
  <c r="CX22" i="26"/>
  <c r="BH288" i="17"/>
  <c r="BH290" i="17" s="1"/>
  <c r="BH256" i="17"/>
  <c r="BL254" i="17"/>
  <c r="AD397" i="23"/>
  <c r="CX298" i="17"/>
  <c r="DT40" i="11" s="1"/>
  <c r="E117" i="20"/>
  <c r="V117" i="20" s="1"/>
  <c r="AU125" i="2"/>
  <c r="BL288" i="17" l="1"/>
  <c r="BL290" i="17" s="1"/>
  <c r="BL256" i="17"/>
  <c r="BP254" i="17"/>
  <c r="BM288" i="17"/>
  <c r="BM290" i="17" s="1"/>
  <c r="BM256" i="17"/>
  <c r="BQ254" i="17"/>
  <c r="BA125" i="2"/>
  <c r="K117" i="20"/>
  <c r="AB117" i="20" s="1"/>
  <c r="M125" i="2"/>
  <c r="CZ287" i="17"/>
  <c r="N125" i="2"/>
  <c r="DA287" i="17"/>
  <c r="AZ125" i="2"/>
  <c r="J117" i="20"/>
  <c r="AA117" i="20" s="1"/>
  <c r="DU40" i="11"/>
  <c r="DT41" i="11"/>
  <c r="AD382" i="23"/>
  <c r="BN267" i="17"/>
  <c r="BK288" i="17"/>
  <c r="BK290" i="17" s="1"/>
  <c r="BK256" i="17"/>
  <c r="BO254" i="17"/>
  <c r="L117" i="20"/>
  <c r="AC117" i="20" s="1"/>
  <c r="BB125" i="2"/>
  <c r="I117" i="20"/>
  <c r="Z117" i="20" s="1"/>
  <c r="AY125" i="2"/>
  <c r="BN288" i="17"/>
  <c r="BN290" i="17" s="1"/>
  <c r="BN256" i="17"/>
  <c r="BR254" i="17"/>
  <c r="O125" i="2"/>
  <c r="DB287" i="17"/>
  <c r="CY287" i="17"/>
  <c r="L125" i="2"/>
  <c r="DB298" i="17"/>
  <c r="DY40" i="11" s="1"/>
  <c r="AE397" i="23"/>
  <c r="AD377" i="23" l="1"/>
  <c r="AD41" i="25" s="1"/>
  <c r="DU41" i="11"/>
  <c r="AD381" i="23"/>
  <c r="M117" i="20"/>
  <c r="AD117" i="20" s="1"/>
  <c r="BC125" i="2"/>
  <c r="BR255" i="17"/>
  <c r="BR288" i="17"/>
  <c r="BS254" i="17"/>
  <c r="BT254" i="17"/>
  <c r="BU254" i="17"/>
  <c r="DZ40" i="11"/>
  <c r="BE125" i="2"/>
  <c r="O117" i="20"/>
  <c r="AF117" i="20" s="1"/>
  <c r="BP288" i="17"/>
  <c r="BP290" i="17" s="1"/>
  <c r="BP256" i="17"/>
  <c r="BQ288" i="17"/>
  <c r="BQ290" i="17" s="1"/>
  <c r="BQ256" i="17"/>
  <c r="DY41" i="11"/>
  <c r="AE381" i="23" s="1"/>
  <c r="AE382" i="23"/>
  <c r="P117" i="20"/>
  <c r="AG117" i="20" s="1"/>
  <c r="BF125" i="2"/>
  <c r="BR267" i="17"/>
  <c r="BO288" i="17"/>
  <c r="BO290" i="17" s="1"/>
  <c r="BO256" i="17"/>
  <c r="N117" i="20"/>
  <c r="AE117" i="20" s="1"/>
  <c r="BD125" i="2"/>
  <c r="F154" i="2" l="1"/>
  <c r="G242" i="20" s="1"/>
  <c r="X242" i="20" s="1"/>
  <c r="AE377" i="23"/>
  <c r="AE41" i="25" s="1"/>
  <c r="BS288" i="17"/>
  <c r="BS255" i="17"/>
  <c r="BV254" i="17"/>
  <c r="BT255" i="17"/>
  <c r="BT288" i="17"/>
  <c r="AE367" i="7"/>
  <c r="AE368" i="7" s="1"/>
  <c r="AE370" i="7" s="1"/>
  <c r="AD376" i="23"/>
  <c r="AE382" i="7"/>
  <c r="AE383" i="7" s="1"/>
  <c r="AE385" i="7" s="1"/>
  <c r="BU255" i="17"/>
  <c r="BU288" i="17"/>
  <c r="BR256" i="17"/>
  <c r="BO23" i="26"/>
  <c r="BR289" i="17"/>
  <c r="BR290" i="17" s="1"/>
  <c r="BR268" i="17"/>
  <c r="DZ41" i="11"/>
  <c r="G154" i="2" l="1"/>
  <c r="G37" i="20"/>
  <c r="X37" i="20" s="1"/>
  <c r="AW154" i="2"/>
  <c r="BT268" i="17"/>
  <c r="BR23" i="26"/>
  <c r="BU256" i="17"/>
  <c r="BU289" i="17"/>
  <c r="BU290" i="17" s="1"/>
  <c r="BR299" i="17"/>
  <c r="V398" i="23"/>
  <c r="V135" i="25" s="1"/>
  <c r="AE376" i="7"/>
  <c r="AE373" i="7"/>
  <c r="BT256" i="17"/>
  <c r="BQ23" i="26"/>
  <c r="BT289" i="17"/>
  <c r="BT290" i="17" s="1"/>
  <c r="BV255" i="17"/>
  <c r="BV288" i="17"/>
  <c r="BW254" i="17"/>
  <c r="BX254" i="17"/>
  <c r="BV267" i="17"/>
  <c r="AE388" i="7"/>
  <c r="AE391" i="7"/>
  <c r="BS289" i="17"/>
  <c r="BS290" i="17" s="1"/>
  <c r="BS256" i="17"/>
  <c r="BP23" i="26"/>
  <c r="H37" i="20"/>
  <c r="Y37" i="20" s="1"/>
  <c r="H242" i="20"/>
  <c r="Y242" i="20" s="1"/>
  <c r="AX154" i="2"/>
  <c r="AD42" i="25"/>
  <c r="F155" i="2"/>
  <c r="AE376" i="23"/>
  <c r="AE42" i="25" l="1"/>
  <c r="G155" i="2"/>
  <c r="BV268" i="17"/>
  <c r="BS23" i="26"/>
  <c r="BV289" i="17"/>
  <c r="BV290" i="17" s="1"/>
  <c r="BV256" i="17"/>
  <c r="BX288" i="17"/>
  <c r="BX255" i="17"/>
  <c r="BZ254" i="17"/>
  <c r="AW155" i="2"/>
  <c r="G38" i="20"/>
  <c r="X38" i="20" s="1"/>
  <c r="BW255" i="17"/>
  <c r="BX268" i="17" s="1"/>
  <c r="BW288" i="17"/>
  <c r="BY254" i="17"/>
  <c r="BV299" i="17" l="1"/>
  <c r="W398" i="23"/>
  <c r="W135" i="25" s="1"/>
  <c r="BZ288" i="17"/>
  <c r="BZ255" i="17"/>
  <c r="CB254" i="17"/>
  <c r="CA254" i="17"/>
  <c r="AX155" i="2"/>
  <c r="H38" i="20"/>
  <c r="Y38" i="20" s="1"/>
  <c r="BY255" i="17"/>
  <c r="BY288" i="17"/>
  <c r="BZ267" i="17"/>
  <c r="BT23" i="26"/>
  <c r="BW289" i="17"/>
  <c r="BW290" i="17" s="1"/>
  <c r="BW256" i="17"/>
  <c r="BU23" i="26"/>
  <c r="BX289" i="17"/>
  <c r="BX290" i="17" s="1"/>
  <c r="BX256" i="17"/>
  <c r="BZ268" i="17" l="1"/>
  <c r="BZ299" i="17" s="1"/>
  <c r="BZ289" i="17"/>
  <c r="BZ290" i="17" s="1"/>
  <c r="BW23" i="26"/>
  <c r="BZ256" i="17"/>
  <c r="CA288" i="17"/>
  <c r="CA255" i="17"/>
  <c r="CC254" i="17"/>
  <c r="BY289" i="17"/>
  <c r="BY290" i="17" s="1"/>
  <c r="BY256" i="17"/>
  <c r="BV23" i="26"/>
  <c r="CB255" i="17"/>
  <c r="CB288" i="17"/>
  <c r="CD254" i="17"/>
  <c r="X398" i="23" l="1"/>
  <c r="X135" i="25" s="1"/>
  <c r="CD288" i="17"/>
  <c r="CD255" i="17"/>
  <c r="CE254" i="17"/>
  <c r="CF254" i="17"/>
  <c r="CD267" i="17"/>
  <c r="CA289" i="17"/>
  <c r="CA290" i="17" s="1"/>
  <c r="CA256" i="17"/>
  <c r="BX23" i="26"/>
  <c r="BY23" i="26"/>
  <c r="CB256" i="17"/>
  <c r="CB289" i="17"/>
  <c r="CB290" i="17" s="1"/>
  <c r="CB268" i="17"/>
  <c r="CC255" i="17"/>
  <c r="CC288" i="17"/>
  <c r="CD268" i="17" l="1"/>
  <c r="Y398" i="23" s="1"/>
  <c r="Y135" i="25" s="1"/>
  <c r="CF288" i="17"/>
  <c r="CF255" i="17"/>
  <c r="CH254" i="17"/>
  <c r="CE255" i="17"/>
  <c r="CE288" i="17"/>
  <c r="CG254" i="17"/>
  <c r="BZ23" i="26"/>
  <c r="CC289" i="17"/>
  <c r="CC290" i="17" s="1"/>
  <c r="CC256" i="17"/>
  <c r="CA23" i="26"/>
  <c r="CD289" i="17"/>
  <c r="CD290" i="17" s="1"/>
  <c r="CD256" i="17"/>
  <c r="CF268" i="17" l="1"/>
  <c r="CD299" i="17"/>
  <c r="CE289" i="17"/>
  <c r="CE290" i="17" s="1"/>
  <c r="CB23" i="26"/>
  <c r="CE256" i="17"/>
  <c r="CG288" i="17"/>
  <c r="CG255" i="17"/>
  <c r="CH288" i="17"/>
  <c r="CH255" i="17"/>
  <c r="CI254" i="17"/>
  <c r="CJ254" i="17"/>
  <c r="CH267" i="17"/>
  <c r="CC23" i="26"/>
  <c r="CF289" i="17"/>
  <c r="CF290" i="17" s="1"/>
  <c r="CF256" i="17"/>
  <c r="CH268" i="17" l="1"/>
  <c r="Z398" i="23" s="1"/>
  <c r="Z135" i="25" s="1"/>
  <c r="CH256" i="17"/>
  <c r="CE23" i="26"/>
  <c r="CH289" i="17"/>
  <c r="CH290" i="17" s="1"/>
  <c r="CJ288" i="17"/>
  <c r="CJ255" i="17"/>
  <c r="CL254" i="17"/>
  <c r="CG289" i="17"/>
  <c r="CG290" i="17" s="1"/>
  <c r="CG256" i="17"/>
  <c r="CD23" i="26"/>
  <c r="CI255" i="17"/>
  <c r="CI288" i="17"/>
  <c r="CK254" i="17"/>
  <c r="CL267" i="17" l="1"/>
  <c r="CH299" i="17"/>
  <c r="CJ268" i="17"/>
  <c r="CL255" i="17"/>
  <c r="CL288" i="17"/>
  <c r="CM254" i="17"/>
  <c r="CN254" i="17"/>
  <c r="CJ256" i="17"/>
  <c r="CG23" i="26"/>
  <c r="CJ289" i="17"/>
  <c r="CJ290" i="17" s="1"/>
  <c r="CK288" i="17"/>
  <c r="CK255" i="17"/>
  <c r="CL268" i="17" s="1"/>
  <c r="CI289" i="17"/>
  <c r="CI290" i="17" s="1"/>
  <c r="CF23" i="26"/>
  <c r="CI256" i="17"/>
  <c r="CN255" i="17" l="1"/>
  <c r="CN288" i="17"/>
  <c r="CP254" i="17"/>
  <c r="CM255" i="17"/>
  <c r="CM288" i="17"/>
  <c r="CO254" i="17"/>
  <c r="CL299" i="17"/>
  <c r="AA398" i="23"/>
  <c r="CK289" i="17"/>
  <c r="CK290" i="17" s="1"/>
  <c r="CH23" i="26"/>
  <c r="CK256" i="17"/>
  <c r="CL256" i="17"/>
  <c r="CL289" i="17"/>
  <c r="CL290" i="17" s="1"/>
  <c r="CI23" i="26"/>
  <c r="CM256" i="17" l="1"/>
  <c r="CM289" i="17"/>
  <c r="CM290" i="17" s="1"/>
  <c r="CJ23" i="26"/>
  <c r="CO288" i="17"/>
  <c r="CO255" i="17"/>
  <c r="CP288" i="17"/>
  <c r="CP255" i="17"/>
  <c r="CQ254" i="17"/>
  <c r="CR254" i="17"/>
  <c r="CP267" i="17"/>
  <c r="CN268" i="17"/>
  <c r="C277" i="2"/>
  <c r="AT277" i="2" s="1"/>
  <c r="AA135" i="25"/>
  <c r="CN289" i="17"/>
  <c r="CN290" i="17" s="1"/>
  <c r="CK23" i="26"/>
  <c r="CN256" i="17"/>
  <c r="CP256" i="17" l="1"/>
  <c r="CP289" i="17"/>
  <c r="CP290" i="17" s="1"/>
  <c r="CM23" i="26"/>
  <c r="CP268" i="17"/>
  <c r="CR255" i="17"/>
  <c r="CR288" i="17"/>
  <c r="CT254" i="17"/>
  <c r="CO256" i="17"/>
  <c r="CO289" i="17"/>
  <c r="CO290" i="17" s="1"/>
  <c r="CL23" i="26"/>
  <c r="CQ255" i="17"/>
  <c r="CQ288" i="17"/>
  <c r="CS254" i="17"/>
  <c r="CN23" i="26" l="1"/>
  <c r="CQ256" i="17"/>
  <c r="CQ289" i="17"/>
  <c r="CP299" i="17"/>
  <c r="AB398" i="23"/>
  <c r="CT288" i="17"/>
  <c r="CT255" i="17"/>
  <c r="CU254" i="17"/>
  <c r="CV254" i="17"/>
  <c r="CW254" i="17"/>
  <c r="CX254" i="17"/>
  <c r="CS288" i="17"/>
  <c r="CS255" i="17"/>
  <c r="CT267" i="17"/>
  <c r="CR268" i="17"/>
  <c r="CR256" i="17"/>
  <c r="CR289" i="17"/>
  <c r="CO23" i="26"/>
  <c r="CT268" i="17" l="1"/>
  <c r="CT299" i="17" s="1"/>
  <c r="CX267" i="17"/>
  <c r="CX288" i="17"/>
  <c r="CX289" i="17" s="1"/>
  <c r="CX255" i="17"/>
  <c r="CY254" i="17"/>
  <c r="CZ254" i="17"/>
  <c r="DA254" i="17"/>
  <c r="DB254" i="17"/>
  <c r="CQ23" i="26"/>
  <c r="CT289" i="17"/>
  <c r="CT256" i="17"/>
  <c r="CW255" i="17"/>
  <c r="CW288" i="17"/>
  <c r="CW289" i="17" s="1"/>
  <c r="D266" i="2"/>
  <c r="CQ290" i="17"/>
  <c r="AB135" i="25"/>
  <c r="D277" i="2"/>
  <c r="CR290" i="17"/>
  <c r="E266" i="2"/>
  <c r="CS256" i="17"/>
  <c r="CS289" i="17"/>
  <c r="CP23" i="26"/>
  <c r="CV255" i="17"/>
  <c r="CV288" i="17"/>
  <c r="CV289" i="17" s="1"/>
  <c r="CU255" i="17"/>
  <c r="CU288" i="17"/>
  <c r="CU289" i="17" s="1"/>
  <c r="CV268" i="17" l="1"/>
  <c r="AC398" i="23"/>
  <c r="AC135" i="25" s="1"/>
  <c r="F123" i="20"/>
  <c r="AV266" i="2"/>
  <c r="DA288" i="17"/>
  <c r="DA289" i="17" s="1"/>
  <c r="DA255" i="17"/>
  <c r="CX290" i="17"/>
  <c r="K266" i="2"/>
  <c r="CU290" i="17"/>
  <c r="H266" i="2"/>
  <c r="E123" i="20"/>
  <c r="AU266" i="2"/>
  <c r="CT290" i="17"/>
  <c r="G266" i="2"/>
  <c r="CZ255" i="17"/>
  <c r="CZ288" i="17"/>
  <c r="CZ289" i="17" s="1"/>
  <c r="E248" i="20"/>
  <c r="AU277" i="2"/>
  <c r="CY255" i="17"/>
  <c r="CY288" i="17"/>
  <c r="CY289" i="17" s="1"/>
  <c r="DB267" i="17"/>
  <c r="CU256" i="17"/>
  <c r="CR23" i="26"/>
  <c r="CX268" i="17"/>
  <c r="CV290" i="17"/>
  <c r="I266" i="2"/>
  <c r="CS290" i="17"/>
  <c r="F266" i="2"/>
  <c r="CW290" i="17"/>
  <c r="J266" i="2"/>
  <c r="CS23" i="26"/>
  <c r="CV256" i="17"/>
  <c r="CW256" i="17"/>
  <c r="CT23" i="26"/>
  <c r="DB288" i="17"/>
  <c r="DB289" i="17" s="1"/>
  <c r="DB255" i="17"/>
  <c r="CX256" i="17"/>
  <c r="CU23" i="26"/>
  <c r="CZ268" i="17" l="1"/>
  <c r="E277" i="2"/>
  <c r="AV277" i="2" s="1"/>
  <c r="CX299" i="17"/>
  <c r="AD398" i="23"/>
  <c r="AX266" i="2"/>
  <c r="H123" i="20"/>
  <c r="I123" i="20"/>
  <c r="AY266" i="2"/>
  <c r="CX23" i="26"/>
  <c r="DA256" i="17"/>
  <c r="AW266" i="2"/>
  <c r="G123" i="20"/>
  <c r="N266" i="2"/>
  <c r="DA290" i="17"/>
  <c r="K123" i="20"/>
  <c r="BA266" i="2"/>
  <c r="CY290" i="17"/>
  <c r="L266" i="2"/>
  <c r="BB266" i="2"/>
  <c r="L123" i="20"/>
  <c r="DB290" i="17"/>
  <c r="O266" i="2"/>
  <c r="AZ266" i="2"/>
  <c r="J123" i="20"/>
  <c r="M266" i="2"/>
  <c r="CZ290" i="17"/>
  <c r="DB256" i="17"/>
  <c r="CY23" i="26"/>
  <c r="CY256" i="17"/>
  <c r="CV23" i="26"/>
  <c r="DB268" i="17"/>
  <c r="CW23" i="26"/>
  <c r="CZ256" i="17"/>
  <c r="F248" i="20" l="1"/>
  <c r="DB299" i="17"/>
  <c r="AE398" i="23"/>
  <c r="BF266" i="2"/>
  <c r="P123" i="20"/>
  <c r="F277" i="2"/>
  <c r="AD135" i="25"/>
  <c r="M123" i="20"/>
  <c r="BC266" i="2"/>
  <c r="N123" i="20"/>
  <c r="BD266" i="2"/>
  <c r="BE266" i="2"/>
  <c r="O123" i="20"/>
  <c r="G277" i="2" l="1"/>
  <c r="AE135" i="25"/>
  <c r="AW277" i="2"/>
  <c r="G248" i="20"/>
  <c r="H248" i="20" l="1"/>
  <c r="AX277" i="2"/>
</calcChain>
</file>

<file path=xl/comments1.xml><?xml version="1.0" encoding="utf-8"?>
<comments xmlns="http://schemas.openxmlformats.org/spreadsheetml/2006/main">
  <authors>
    <author>bethuge</author>
  </authors>
  <commentList>
    <comment ref="A25"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6"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7"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8"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29"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0"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1"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2" authorId="0">
      <text>
        <r>
          <rPr>
            <b/>
            <sz val="8"/>
            <color indexed="81"/>
            <rFont val="Tahoma"/>
            <family val="2"/>
          </rPr>
          <t>bethuge:</t>
        </r>
        <r>
          <rPr>
            <sz val="8"/>
            <color indexed="81"/>
            <rFont val="Tahoma"/>
            <family val="2"/>
          </rPr>
          <t xml:space="preserve">
This line is only required in the sheet Q1b1 and Q1b2.
It can be left empty if you use the simplified sheet Q1a. </t>
        </r>
      </text>
    </comment>
    <comment ref="A34"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5"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6"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7"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8"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39"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0"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1"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2"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3"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4"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5"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6"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7"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8"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49"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0"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1"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3"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4"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5"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6"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7"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8"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59"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0"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1"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2"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3"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4"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5"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6"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7"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8"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69"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 ref="A70" authorId="0">
      <text>
        <r>
          <rPr>
            <b/>
            <sz val="8"/>
            <color indexed="81"/>
            <rFont val="Tahoma"/>
            <family val="2"/>
          </rPr>
          <t>bethuge:</t>
        </r>
        <r>
          <rPr>
            <sz val="8"/>
            <color indexed="81"/>
            <rFont val="Tahoma"/>
            <family val="2"/>
          </rPr>
          <t xml:space="preserve">
This is only required in the sheet Q1b2. 
It can be left empty if you use the simplified sheet Q1a. </t>
        </r>
      </text>
    </comment>
  </commentList>
</comments>
</file>

<file path=xl/comments2.xml><?xml version="1.0" encoding="utf-8"?>
<comments xmlns="http://schemas.openxmlformats.org/spreadsheetml/2006/main">
  <authors>
    <author>bethuge</author>
  </authors>
  <commentList>
    <comment ref="A10" authorId="0">
      <text>
        <r>
          <rPr>
            <b/>
            <sz val="8"/>
            <color indexed="81"/>
            <rFont val="Tahoma"/>
            <family val="2"/>
          </rPr>
          <t>bethuge:</t>
        </r>
        <r>
          <rPr>
            <sz val="8"/>
            <color indexed="81"/>
            <rFont val="Tahoma"/>
            <family val="2"/>
          </rPr>
          <t xml:space="preserve">
For BE no FTE data exists. We use totals instead.</t>
        </r>
      </text>
    </comment>
    <comment ref="A11" authorId="0">
      <text>
        <r>
          <rPr>
            <b/>
            <sz val="8"/>
            <color indexed="81"/>
            <rFont val="Tahoma"/>
            <family val="2"/>
          </rPr>
          <t>bethuge:</t>
        </r>
        <r>
          <rPr>
            <sz val="8"/>
            <color indexed="81"/>
            <rFont val="Tahoma"/>
            <family val="2"/>
          </rPr>
          <t xml:space="preserve">
For BE no FTE data exists. We use totals instead.</t>
        </r>
      </text>
    </comment>
    <comment ref="A14" authorId="0">
      <text>
        <r>
          <rPr>
            <b/>
            <sz val="8"/>
            <color indexed="81"/>
            <rFont val="Tahoma"/>
            <family val="2"/>
          </rPr>
          <t>bethuge:</t>
        </r>
        <r>
          <rPr>
            <sz val="8"/>
            <color indexed="81"/>
            <rFont val="Tahoma"/>
            <family val="2"/>
          </rPr>
          <t xml:space="preserve">
For BE no FTE data exists. We use totals instead.</t>
        </r>
      </text>
    </comment>
    <comment ref="A16" authorId="0">
      <text>
        <r>
          <rPr>
            <b/>
            <sz val="8"/>
            <color indexed="81"/>
            <rFont val="Tahoma"/>
            <family val="2"/>
          </rPr>
          <t>bethuge:</t>
        </r>
        <r>
          <rPr>
            <sz val="8"/>
            <color indexed="81"/>
            <rFont val="Tahoma"/>
            <family val="2"/>
          </rPr>
          <t xml:space="preserve">
For BE no FTE data exists. We use totals instead.</t>
        </r>
      </text>
    </comment>
    <comment ref="A26" authorId="0">
      <text>
        <r>
          <rPr>
            <b/>
            <sz val="8"/>
            <color indexed="81"/>
            <rFont val="Tahoma"/>
            <family val="2"/>
          </rPr>
          <t>bethuge:</t>
        </r>
        <r>
          <rPr>
            <sz val="8"/>
            <color indexed="81"/>
            <rFont val="Tahoma"/>
            <family val="2"/>
          </rPr>
          <t xml:space="preserve">
Not available for BE</t>
        </r>
      </text>
    </comment>
    <comment ref="A27" authorId="0">
      <text>
        <r>
          <rPr>
            <b/>
            <sz val="8"/>
            <color indexed="81"/>
            <rFont val="Tahoma"/>
            <family val="2"/>
          </rPr>
          <t>bethuge:</t>
        </r>
        <r>
          <rPr>
            <sz val="8"/>
            <color indexed="81"/>
            <rFont val="Tahoma"/>
            <family val="2"/>
          </rPr>
          <t xml:space="preserve">
Not available for BE</t>
        </r>
      </text>
    </comment>
    <comment ref="A32" authorId="0">
      <text>
        <r>
          <rPr>
            <b/>
            <sz val="8"/>
            <color indexed="81"/>
            <rFont val="Tahoma"/>
            <family val="2"/>
          </rPr>
          <t>bethuge:</t>
        </r>
        <r>
          <rPr>
            <sz val="8"/>
            <color indexed="81"/>
            <rFont val="Tahoma"/>
            <family val="2"/>
          </rPr>
          <t xml:space="preserve">
Not available for BE</t>
        </r>
      </text>
    </comment>
    <comment ref="A33" authorId="0">
      <text>
        <r>
          <rPr>
            <b/>
            <sz val="8"/>
            <color indexed="81"/>
            <rFont val="Tahoma"/>
            <family val="2"/>
          </rPr>
          <t>bethuge:</t>
        </r>
        <r>
          <rPr>
            <sz val="8"/>
            <color indexed="81"/>
            <rFont val="Tahoma"/>
            <family val="2"/>
          </rPr>
          <t xml:space="preserve">
Not available for BE</t>
        </r>
      </text>
    </comment>
    <comment ref="A38" authorId="0">
      <text>
        <r>
          <rPr>
            <b/>
            <sz val="8"/>
            <color indexed="81"/>
            <rFont val="Tahoma"/>
            <family val="2"/>
          </rPr>
          <t>bethuge:</t>
        </r>
        <r>
          <rPr>
            <sz val="8"/>
            <color indexed="81"/>
            <rFont val="Tahoma"/>
            <family val="2"/>
          </rPr>
          <t xml:space="preserve">
PROBLEM WITH CHAINLINKING:
This variable needs to be loaded separately when chainlinking, instead of as an aggregation of two other variables</t>
        </r>
      </text>
    </comment>
    <comment ref="A43" authorId="0">
      <text>
        <r>
          <rPr>
            <b/>
            <sz val="8"/>
            <color indexed="81"/>
            <rFont val="Tahoma"/>
            <family val="2"/>
          </rPr>
          <t>bethuge:</t>
        </r>
        <r>
          <rPr>
            <sz val="8"/>
            <color indexed="81"/>
            <rFont val="Tahoma"/>
            <family val="2"/>
          </rPr>
          <t xml:space="preserve">
For BE this is constructed on the basis of Belgostat as total consumption plus GFCF, assuming additivity !!!</t>
        </r>
      </text>
    </comment>
    <comment ref="A59" authorId="0">
      <text>
        <r>
          <rPr>
            <b/>
            <sz val="8"/>
            <color indexed="81"/>
            <rFont val="Tahoma"/>
            <family val="2"/>
          </rPr>
          <t>bethuge:</t>
        </r>
        <r>
          <rPr>
            <sz val="8"/>
            <color indexed="81"/>
            <rFont val="Tahoma"/>
            <family val="2"/>
          </rPr>
          <t xml:space="preserve">
Does anyone need this?</t>
        </r>
      </text>
    </comment>
    <comment ref="A60" authorId="0">
      <text>
        <r>
          <rPr>
            <b/>
            <sz val="8"/>
            <color indexed="81"/>
            <rFont val="Tahoma"/>
            <family val="2"/>
          </rPr>
          <t>bethuge:</t>
        </r>
        <r>
          <rPr>
            <sz val="8"/>
            <color indexed="81"/>
            <rFont val="Tahoma"/>
            <family val="2"/>
          </rPr>
          <t xml:space="preserve">
Does anyone need this?</t>
        </r>
      </text>
    </comment>
    <comment ref="A67" authorId="0">
      <text>
        <r>
          <rPr>
            <b/>
            <sz val="8"/>
            <color indexed="81"/>
            <rFont val="Tahoma"/>
            <family val="2"/>
          </rPr>
          <t>bethuge:</t>
        </r>
        <r>
          <rPr>
            <sz val="8"/>
            <color indexed="81"/>
            <rFont val="Tahoma"/>
            <family val="2"/>
          </rPr>
          <t xml:space="preserve">
Not available for BE</t>
        </r>
      </text>
    </comment>
    <comment ref="A68" authorId="0">
      <text>
        <r>
          <rPr>
            <b/>
            <sz val="8"/>
            <color indexed="81"/>
            <rFont val="Tahoma"/>
            <family val="2"/>
          </rPr>
          <t>bethuge:</t>
        </r>
        <r>
          <rPr>
            <sz val="8"/>
            <color indexed="81"/>
            <rFont val="Tahoma"/>
            <family val="2"/>
          </rPr>
          <t xml:space="preserve">
Not available for BE</t>
        </r>
      </text>
    </comment>
    <comment ref="A72" authorId="0">
      <text>
        <r>
          <rPr>
            <b/>
            <sz val="8"/>
            <color indexed="81"/>
            <rFont val="Tahoma"/>
            <family val="2"/>
          </rPr>
          <t>bethuge:</t>
        </r>
        <r>
          <rPr>
            <sz val="8"/>
            <color indexed="81"/>
            <rFont val="Tahoma"/>
            <family val="2"/>
          </rPr>
          <t xml:space="preserve">
Not available for BE</t>
        </r>
      </text>
    </comment>
    <comment ref="A73" authorId="0">
      <text>
        <r>
          <rPr>
            <b/>
            <sz val="8"/>
            <color indexed="81"/>
            <rFont val="Tahoma"/>
            <family val="2"/>
          </rPr>
          <t>bethuge:</t>
        </r>
        <r>
          <rPr>
            <sz val="8"/>
            <color indexed="81"/>
            <rFont val="Tahoma"/>
            <family val="2"/>
          </rPr>
          <t xml:space="preserve">
Not available for BE</t>
        </r>
      </text>
    </comment>
    <comment ref="A83"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92" authorId="0">
      <text>
        <r>
          <rPr>
            <b/>
            <sz val="8"/>
            <color indexed="81"/>
            <rFont val="Tahoma"/>
            <family val="2"/>
          </rPr>
          <t>bethuge:</t>
        </r>
        <r>
          <rPr>
            <sz val="8"/>
            <color indexed="81"/>
            <rFont val="Tahoma"/>
            <family val="2"/>
          </rPr>
          <t xml:space="preserve">
This variable is for consistency checking only. </t>
        </r>
      </text>
    </comment>
    <comment ref="A93" authorId="0">
      <text>
        <r>
          <rPr>
            <b/>
            <sz val="8"/>
            <color indexed="81"/>
            <rFont val="Tahoma"/>
            <family val="2"/>
          </rPr>
          <t>bethuge:</t>
        </r>
        <r>
          <rPr>
            <sz val="8"/>
            <color indexed="81"/>
            <rFont val="Tahoma"/>
            <family val="2"/>
          </rPr>
          <t xml:space="preserve">
This variable is for consistency checking only. </t>
        </r>
      </text>
    </comment>
    <comment ref="A94" authorId="0">
      <text>
        <r>
          <rPr>
            <b/>
            <sz val="8"/>
            <color indexed="81"/>
            <rFont val="Tahoma"/>
            <family val="2"/>
          </rPr>
          <t>bethuge:</t>
        </r>
        <r>
          <rPr>
            <sz val="8"/>
            <color indexed="81"/>
            <rFont val="Tahoma"/>
            <family val="2"/>
          </rPr>
          <t xml:space="preserve">
This variable is for consistency checking only. </t>
        </r>
      </text>
    </comment>
    <comment ref="A98"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99"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104"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13" authorId="0">
      <text>
        <r>
          <rPr>
            <b/>
            <sz val="8"/>
            <color indexed="81"/>
            <rFont val="Tahoma"/>
            <family val="2"/>
          </rPr>
          <t>bethuge:</t>
        </r>
        <r>
          <rPr>
            <sz val="8"/>
            <color indexed="81"/>
            <rFont val="Tahoma"/>
            <family val="2"/>
          </rPr>
          <t xml:space="preserve">
Not available for BE.
Does anyone need this?</t>
        </r>
      </text>
    </comment>
    <comment ref="A214" authorId="0">
      <text>
        <r>
          <rPr>
            <b/>
            <sz val="8"/>
            <color indexed="81"/>
            <rFont val="Tahoma"/>
            <family val="2"/>
          </rPr>
          <t>bethuge:</t>
        </r>
        <r>
          <rPr>
            <sz val="8"/>
            <color indexed="81"/>
            <rFont val="Tahoma"/>
            <family val="2"/>
          </rPr>
          <t xml:space="preserve">
Not available for BE.
Does anyone need this?</t>
        </r>
      </text>
    </comment>
    <comment ref="A221" authorId="0">
      <text>
        <r>
          <rPr>
            <b/>
            <sz val="8"/>
            <color indexed="81"/>
            <rFont val="Tahoma"/>
            <family val="2"/>
          </rPr>
          <t>bethuge:</t>
        </r>
        <r>
          <rPr>
            <sz val="8"/>
            <color indexed="81"/>
            <rFont val="Tahoma"/>
            <family val="2"/>
          </rPr>
          <t xml:space="preserve">
Can anyone explain the difference with $XSC (is there any?)</t>
        </r>
      </text>
    </comment>
    <comment ref="A222" authorId="0">
      <text>
        <r>
          <rPr>
            <b/>
            <sz val="8"/>
            <color indexed="81"/>
            <rFont val="Tahoma"/>
            <family val="2"/>
          </rPr>
          <t>bethuge:</t>
        </r>
        <r>
          <rPr>
            <sz val="8"/>
            <color indexed="81"/>
            <rFont val="Tahoma"/>
            <family val="2"/>
          </rPr>
          <t xml:space="preserve">
Can anyone explain the difference with $XSC (is there any?)</t>
        </r>
      </text>
    </comment>
    <comment ref="A233"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35"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37"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40"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44"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48"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2"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6"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8"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59" authorId="0">
      <text>
        <r>
          <rPr>
            <b/>
            <sz val="8"/>
            <color indexed="81"/>
            <rFont val="Tahoma"/>
            <family val="2"/>
          </rPr>
          <t>bethuge:</t>
        </r>
        <r>
          <rPr>
            <sz val="8"/>
            <color indexed="81"/>
            <rFont val="Tahoma"/>
            <family val="2"/>
          </rPr>
          <t xml:space="preserve">
If there are no historical data for this variable, it could also be defined as the residual in the Sector1 sheet. 
However, if there are historical data we encourage you to use them because it provides a stronger check on consistency. </t>
        </r>
      </text>
    </comment>
    <comment ref="A270" authorId="0">
      <text>
        <r>
          <rPr>
            <b/>
            <sz val="8"/>
            <color indexed="81"/>
            <rFont val="Tahoma"/>
            <family val="2"/>
          </rPr>
          <t>bethuge:</t>
        </r>
        <r>
          <rPr>
            <sz val="8"/>
            <color indexed="81"/>
            <rFont val="Tahoma"/>
            <family val="2"/>
          </rPr>
          <t xml:space="preserve">
No longer in use for BE</t>
        </r>
      </text>
    </comment>
  </commentList>
</comments>
</file>

<file path=xl/comments3.xml><?xml version="1.0" encoding="utf-8"?>
<comments xmlns="http://schemas.openxmlformats.org/spreadsheetml/2006/main">
  <authors>
    <author>bethuge</author>
    <author>VAN NOTEN Henk (ECFIN)</author>
  </authors>
  <commentList>
    <comment ref="E2" authorId="0">
      <text>
        <r>
          <rPr>
            <b/>
            <sz val="8"/>
            <color indexed="81"/>
            <rFont val="Tahoma"/>
            <family val="2"/>
          </rPr>
          <t>bethuge:</t>
        </r>
        <r>
          <rPr>
            <sz val="8"/>
            <color indexed="81"/>
            <rFont val="Tahoma"/>
            <family val="2"/>
          </rPr>
          <t xml:space="preserve">
If the country </t>
        </r>
        <r>
          <rPr>
            <u/>
            <sz val="8"/>
            <color indexed="81"/>
            <rFont val="Tahoma"/>
            <family val="2"/>
          </rPr>
          <t>does not use chain linking</t>
        </r>
        <r>
          <rPr>
            <sz val="8"/>
            <color indexed="81"/>
            <rFont val="Tahoma"/>
            <family val="2"/>
          </rPr>
          <t>, all aggregates (AG) are calculated in VVP2, because previous year prices is non-additive.
If the</t>
        </r>
        <r>
          <rPr>
            <sz val="8"/>
            <color indexed="81"/>
            <rFont val="Tahoma"/>
            <family val="2"/>
          </rPr>
          <t xml:space="preserve"> country </t>
        </r>
        <r>
          <rPr>
            <u/>
            <sz val="8"/>
            <color indexed="81"/>
            <rFont val="Tahoma"/>
            <family val="2"/>
          </rPr>
          <t>uses chain linking</t>
        </r>
        <r>
          <rPr>
            <sz val="8"/>
            <color indexed="81"/>
            <rFont val="Tahoma"/>
            <family val="2"/>
          </rPr>
          <t>, all a</t>
        </r>
        <r>
          <rPr>
            <sz val="8"/>
            <color indexed="81"/>
            <rFont val="Tahoma"/>
            <family val="2"/>
          </rPr>
          <t xml:space="preserve">ggregates (AG) are calculated in previous year's prices, because constant prices is non-additive.
Aggregates are marked as </t>
        </r>
        <r>
          <rPr>
            <b/>
            <sz val="8"/>
            <color indexed="10"/>
            <rFont val="Tahoma"/>
            <family val="2"/>
          </rPr>
          <t>AG</t>
        </r>
        <r>
          <rPr>
            <sz val="8"/>
            <color indexed="81"/>
            <rFont val="Tahoma"/>
            <family val="2"/>
          </rPr>
          <t xml:space="preserve">. 
</t>
        </r>
      </text>
    </comment>
    <comment ref="E40" authorId="0">
      <text>
        <r>
          <rPr>
            <b/>
            <sz val="8"/>
            <color indexed="81"/>
            <rFont val="Tahoma"/>
            <family val="2"/>
          </rPr>
          <t>bethuge:</t>
        </r>
        <r>
          <rPr>
            <sz val="8"/>
            <color indexed="81"/>
            <rFont val="Tahoma"/>
            <family val="2"/>
          </rPr>
          <t xml:space="preserve">
Annual forecast is automatically linked to the cumulative forecast for the corresponding quarters.</t>
        </r>
      </text>
    </comment>
    <comment ref="E46" authorId="1">
      <text>
        <r>
          <rPr>
            <b/>
            <sz val="9"/>
            <color indexed="81"/>
            <rFont val="Tahoma"/>
            <family val="2"/>
          </rPr>
          <t>VAN NOTEN Henk (ECFIN):</t>
        </r>
        <r>
          <rPr>
            <sz val="9"/>
            <color indexed="81"/>
            <rFont val="Tahoma"/>
            <family val="2"/>
          </rPr>
          <t xml:space="preserve">
transfers in kind (health, recreation, sport, culture, education, social protection, except the expenditure on general administration, regulation and research of these categories)</t>
        </r>
      </text>
    </comment>
    <comment ref="E72" authorId="0">
      <text>
        <r>
          <rPr>
            <b/>
            <sz val="8"/>
            <color indexed="81"/>
            <rFont val="Tahoma"/>
            <family val="2"/>
          </rPr>
          <t>bethuge:</t>
        </r>
        <r>
          <rPr>
            <sz val="8"/>
            <color indexed="81"/>
            <rFont val="Tahoma"/>
            <family val="2"/>
          </rPr>
          <t xml:space="preserve">
Implicit residual.
</t>
        </r>
      </text>
    </comment>
    <comment ref="I74"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N74"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S74"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X74"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AC74"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AH74"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AM74"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AR74"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AW74"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BB74"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BG74"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BL74" authorId="0">
      <text>
        <r>
          <rPr>
            <b/>
            <sz val="8"/>
            <color indexed="81"/>
            <rFont val="Tahoma"/>
            <family val="2"/>
          </rPr>
          <t>bethuge:</t>
        </r>
        <r>
          <rPr>
            <sz val="8"/>
            <color indexed="81"/>
            <rFont val="Tahoma"/>
            <family val="2"/>
          </rPr>
          <t xml:space="preserve">
This is a check to see if historical values are consistent (i.e. if total per asset type is equal to total per sector).</t>
        </r>
      </text>
    </comment>
    <comment ref="E109" authorId="0">
      <text>
        <r>
          <rPr>
            <b/>
            <sz val="8"/>
            <color indexed="81"/>
            <rFont val="Tahoma"/>
            <family val="2"/>
          </rPr>
          <t>bethuge:</t>
        </r>
        <r>
          <rPr>
            <sz val="8"/>
            <color indexed="81"/>
            <rFont val="Tahoma"/>
            <family val="2"/>
          </rPr>
          <t xml:space="preserve">
Attention: this variable is used by DG BUDG for the estimation of import duties.</t>
        </r>
      </text>
    </comment>
  </commentList>
</comments>
</file>

<file path=xl/comments4.xml><?xml version="1.0" encoding="utf-8"?>
<comments xmlns="http://schemas.openxmlformats.org/spreadsheetml/2006/main">
  <authors>
    <author>bethuge</author>
  </authors>
  <commentList>
    <comment ref="B106" authorId="0">
      <text>
        <r>
          <rPr>
            <b/>
            <sz val="8"/>
            <color indexed="81"/>
            <rFont val="Tahoma"/>
            <family val="2"/>
          </rPr>
          <t>bethuge:</t>
        </r>
        <r>
          <rPr>
            <sz val="8"/>
            <color indexed="81"/>
            <rFont val="Tahoma"/>
            <family val="2"/>
          </rPr>
          <t xml:space="preserve">
With chainlinked data, these should not add up. 
However, for BE this aggregate is not published. </t>
        </r>
      </text>
    </comment>
    <comment ref="B145" authorId="0">
      <text>
        <r>
          <rPr>
            <b/>
            <sz val="8"/>
            <color indexed="81"/>
            <rFont val="Tahoma"/>
            <family val="2"/>
          </rPr>
          <t>bethuge:</t>
        </r>
        <r>
          <rPr>
            <sz val="8"/>
            <color indexed="81"/>
            <rFont val="Tahoma"/>
            <family val="2"/>
          </rPr>
          <t xml:space="preserve">
With chainlinked data, these should not add up. 
However, for BE this aggregate is not published. </t>
        </r>
      </text>
    </comment>
    <comment ref="B186" authorId="0">
      <text>
        <r>
          <rPr>
            <b/>
            <sz val="8"/>
            <color indexed="81"/>
            <rFont val="Tahoma"/>
            <family val="2"/>
          </rPr>
          <t>bethuge:</t>
        </r>
        <r>
          <rPr>
            <sz val="8"/>
            <color indexed="81"/>
            <rFont val="Tahoma"/>
            <family val="2"/>
          </rPr>
          <t xml:space="preserve">
With chainlinked data, these should not add up. 
However, for BE this aggregate is not published. </t>
        </r>
      </text>
    </comment>
    <comment ref="B227" authorId="0">
      <text>
        <r>
          <rPr>
            <b/>
            <sz val="8"/>
            <color indexed="81"/>
            <rFont val="Tahoma"/>
            <family val="2"/>
          </rPr>
          <t>bethuge:</t>
        </r>
        <r>
          <rPr>
            <sz val="8"/>
            <color indexed="81"/>
            <rFont val="Tahoma"/>
            <family val="2"/>
          </rPr>
          <t xml:space="preserve">
With chainlinked data, these should not add up precisely. </t>
        </r>
      </text>
    </comment>
  </commentList>
</comments>
</file>

<file path=xl/comments5.xml><?xml version="1.0" encoding="utf-8"?>
<comments xmlns="http://schemas.openxmlformats.org/spreadsheetml/2006/main">
  <authors>
    <author>bethuge</author>
    <author>GB</author>
  </authors>
  <commentList>
    <comment ref="F2" authorId="0">
      <text>
        <r>
          <rPr>
            <b/>
            <sz val="8"/>
            <color indexed="81"/>
            <rFont val="Tahoma"/>
            <family val="2"/>
          </rPr>
          <t>bethuge:</t>
        </r>
        <r>
          <rPr>
            <sz val="8"/>
            <color indexed="81"/>
            <rFont val="Tahoma"/>
            <family val="2"/>
          </rPr>
          <t xml:space="preserve">
Sets the maximum tolerance for inconsistencies to be ignored (in bn euro).</t>
        </r>
      </text>
    </comment>
    <comment ref="E61" authorId="0">
      <text>
        <r>
          <rPr>
            <b/>
            <sz val="8"/>
            <color indexed="81"/>
            <rFont val="Tahoma"/>
            <family val="2"/>
          </rPr>
          <t>bethuge:</t>
        </r>
        <r>
          <rPr>
            <sz val="8"/>
            <color indexed="81"/>
            <rFont val="Tahoma"/>
            <family val="2"/>
          </rPr>
          <t xml:space="preserve">
Constructed on the basis of Belgostat as total consumption plus GFCF, assuming additivity !!!</t>
        </r>
      </text>
    </comment>
    <comment ref="E202" authorId="0">
      <text>
        <r>
          <rPr>
            <b/>
            <sz val="8"/>
            <color indexed="81"/>
            <rFont val="Tahoma"/>
            <family val="2"/>
          </rPr>
          <t>bethuge:</t>
        </r>
        <r>
          <rPr>
            <sz val="8"/>
            <color indexed="81"/>
            <rFont val="Tahoma"/>
            <family val="2"/>
          </rPr>
          <t xml:space="preserve">
Inconsistent data can result from different vintages of nationa accounts data</t>
        </r>
      </text>
    </comment>
    <comment ref="E221" authorId="0">
      <text>
        <r>
          <rPr>
            <b/>
            <sz val="8"/>
            <color indexed="81"/>
            <rFont val="Tahoma"/>
            <family val="2"/>
          </rPr>
          <t>bethuge:</t>
        </r>
        <r>
          <rPr>
            <sz val="8"/>
            <color indexed="81"/>
            <rFont val="Tahoma"/>
            <family val="2"/>
          </rPr>
          <t xml:space="preserve">
Inconsistent data can result from different vintages of nationa accounts data</t>
        </r>
      </text>
    </comment>
    <comment ref="A238" authorId="1">
      <text>
        <r>
          <rPr>
            <b/>
            <sz val="9"/>
            <color indexed="81"/>
            <rFont val="Tahoma"/>
            <family val="2"/>
          </rPr>
          <t>GB:</t>
        </r>
        <r>
          <rPr>
            <sz val="9"/>
            <color indexed="81"/>
            <rFont val="Tahoma"/>
            <family val="2"/>
          </rPr>
          <t xml:space="preserve">
Only for BE</t>
        </r>
      </text>
    </comment>
    <comment ref="E242" authorId="0">
      <text>
        <r>
          <rPr>
            <b/>
            <sz val="8"/>
            <color indexed="81"/>
            <rFont val="Tahoma"/>
            <family val="2"/>
          </rPr>
          <t>bethuge:</t>
        </r>
        <r>
          <rPr>
            <sz val="8"/>
            <color indexed="81"/>
            <rFont val="Tahoma"/>
            <family val="2"/>
          </rPr>
          <t xml:space="preserve">
Inconsistent data can result from different vintages of nationa accounts data</t>
        </r>
      </text>
    </comment>
    <comment ref="A247" authorId="1">
      <text>
        <r>
          <rPr>
            <b/>
            <sz val="9"/>
            <color indexed="81"/>
            <rFont val="Tahoma"/>
            <family val="2"/>
          </rPr>
          <t>GB:</t>
        </r>
        <r>
          <rPr>
            <sz val="9"/>
            <color indexed="81"/>
            <rFont val="Tahoma"/>
            <family val="2"/>
          </rPr>
          <t xml:space="preserve">
Only for BE</t>
        </r>
      </text>
    </comment>
    <comment ref="A255" authorId="1">
      <text>
        <r>
          <rPr>
            <b/>
            <sz val="9"/>
            <color indexed="81"/>
            <rFont val="Tahoma"/>
            <family val="2"/>
          </rPr>
          <t>GB:</t>
        </r>
        <r>
          <rPr>
            <sz val="9"/>
            <color indexed="81"/>
            <rFont val="Tahoma"/>
            <family val="2"/>
          </rPr>
          <t xml:space="preserve">
Only for BE</t>
        </r>
      </text>
    </comment>
    <comment ref="E265" authorId="0">
      <text>
        <r>
          <rPr>
            <b/>
            <sz val="8"/>
            <color indexed="81"/>
            <rFont val="Tahoma"/>
            <family val="2"/>
          </rPr>
          <t>bethuge:</t>
        </r>
        <r>
          <rPr>
            <sz val="8"/>
            <color indexed="81"/>
            <rFont val="Tahoma"/>
            <family val="2"/>
          </rPr>
          <t xml:space="preserve">
Inconsistent data can result from different vintages of nationa accounts data</t>
        </r>
      </text>
    </comment>
  </commentList>
</comments>
</file>

<file path=xl/comments6.xml><?xml version="1.0" encoding="utf-8"?>
<comments xmlns="http://schemas.openxmlformats.org/spreadsheetml/2006/main">
  <authors>
    <author>DEBOECK Ben (ECFIN)</author>
    <author>bethuge</author>
  </authors>
  <commentList>
    <comment ref="E5" authorId="0">
      <text>
        <r>
          <rPr>
            <b/>
            <sz val="9"/>
            <color indexed="81"/>
            <rFont val="Tahoma"/>
            <family val="2"/>
          </rPr>
          <t>annual avg</t>
        </r>
        <r>
          <rPr>
            <sz val="9"/>
            <color indexed="81"/>
            <rFont val="Tahoma"/>
            <family val="2"/>
          </rPr>
          <t xml:space="preserve">
</t>
        </r>
      </text>
    </comment>
    <comment ref="E7" authorId="0">
      <text>
        <r>
          <rPr>
            <sz val="9"/>
            <color indexed="81"/>
            <rFont val="Tahoma"/>
            <family val="2"/>
          </rPr>
          <t xml:space="preserve">annual avg
</t>
        </r>
      </text>
    </comment>
    <comment ref="E8" authorId="0">
      <text>
        <r>
          <rPr>
            <b/>
            <sz val="9"/>
            <color indexed="81"/>
            <rFont val="Tahoma"/>
            <family val="2"/>
          </rPr>
          <t>annual avg</t>
        </r>
      </text>
    </comment>
    <comment ref="E39" authorId="1">
      <text>
        <r>
          <rPr>
            <b/>
            <sz val="8"/>
            <color indexed="81"/>
            <rFont val="Tahoma"/>
            <family val="2"/>
          </rPr>
          <t>bethuge:</t>
        </r>
        <r>
          <rPr>
            <sz val="8"/>
            <color indexed="81"/>
            <rFont val="Tahoma"/>
            <family val="2"/>
          </rPr>
          <t xml:space="preserve">
For BE this overestimates true unemployment due to long-term unemployed, no longer looking for a job.</t>
        </r>
      </text>
    </comment>
    <comment ref="E125" authorId="1">
      <text>
        <r>
          <rPr>
            <b/>
            <sz val="8"/>
            <color indexed="81"/>
            <rFont val="Tahoma"/>
            <family val="2"/>
          </rPr>
          <t>bethuge:</t>
        </r>
        <r>
          <rPr>
            <sz val="8"/>
            <color indexed="81"/>
            <rFont val="Tahoma"/>
            <family val="2"/>
          </rPr>
          <t xml:space="preserve">
Bit unorthodox, I know.</t>
        </r>
      </text>
    </comment>
    <comment ref="E166" authorId="1">
      <text>
        <r>
          <rPr>
            <b/>
            <sz val="8"/>
            <color indexed="81"/>
            <rFont val="Tahoma"/>
            <family val="2"/>
          </rPr>
          <t>bethuge:</t>
        </r>
        <r>
          <rPr>
            <sz val="8"/>
            <color indexed="81"/>
            <rFont val="Tahoma"/>
            <family val="2"/>
          </rPr>
          <t xml:space="preserve">
In ESA95, employers' social contributions are treated as if they were received by households as parrt of compensation of employees (D.1r) and then paid to the government as social contributions (D.61p), even though the social contributions paid by the employer is never actually received by households.
This implies that employers' social contributions is not at the expenditure side for corporations (at least not explicitly), since it is already integrated in compensation paid (D.1p).
</t>
        </r>
      </text>
    </comment>
    <comment ref="E168" authorId="1">
      <text>
        <r>
          <rPr>
            <b/>
            <sz val="8"/>
            <color indexed="81"/>
            <rFont val="Tahoma"/>
            <family val="2"/>
          </rPr>
          <t>bethuge:</t>
        </r>
        <r>
          <rPr>
            <sz val="8"/>
            <color indexed="81"/>
            <rFont val="Tahoma"/>
            <family val="2"/>
          </rPr>
          <t xml:space="preserve">
In ESA95, employers' social contributions are treated as if they were received by households as parrt of compensation of employees (D.1r) and then paid to the government as social contributions (D.61p), even though the social contributions paid by the employer is never actually received by households.
This implies that employers' social contributions is not at the expenditure side for corporations (at least not explicitly), since it is already integrated in compensation paid (D.1p).
</t>
        </r>
      </text>
    </comment>
    <comment ref="E210" authorId="1">
      <text>
        <r>
          <rPr>
            <b/>
            <sz val="8"/>
            <color indexed="81"/>
            <rFont val="Tahoma"/>
            <family val="2"/>
          </rPr>
          <t>bethuge:</t>
        </r>
        <r>
          <rPr>
            <sz val="8"/>
            <color indexed="81"/>
            <rFont val="Tahoma"/>
            <family val="2"/>
          </rPr>
          <t xml:space="preserve">
Implicit residual</t>
        </r>
      </text>
    </comment>
    <comment ref="E211" authorId="1">
      <text>
        <r>
          <rPr>
            <b/>
            <sz val="8"/>
            <color indexed="81"/>
            <rFont val="Tahoma"/>
            <family val="2"/>
          </rPr>
          <t>bethuge:</t>
        </r>
        <r>
          <rPr>
            <sz val="8"/>
            <color indexed="81"/>
            <rFont val="Tahoma"/>
            <family val="2"/>
          </rPr>
          <t xml:space="preserve">
GVT D.1p is part of government final consumption expenditure (P.3) - See link.</t>
        </r>
      </text>
    </comment>
    <comment ref="E213" authorId="1">
      <text>
        <r>
          <rPr>
            <b/>
            <sz val="8"/>
            <color indexed="81"/>
            <rFont val="Tahoma"/>
            <family val="2"/>
          </rPr>
          <t>bethuge:</t>
        </r>
        <r>
          <rPr>
            <sz val="8"/>
            <color indexed="81"/>
            <rFont val="Tahoma"/>
            <family val="2"/>
          </rPr>
          <t xml:space="preserve">
Inconsistent data can result from different vintages of national accounts data</t>
        </r>
      </text>
    </comment>
    <comment ref="A214" authorId="1">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215" authorId="1">
      <text>
        <r>
          <rPr>
            <b/>
            <sz val="8"/>
            <color indexed="81"/>
            <rFont val="Tahoma"/>
            <family val="2"/>
          </rPr>
          <t>bethuge:</t>
        </r>
        <r>
          <rPr>
            <sz val="8"/>
            <color indexed="81"/>
            <rFont val="Tahoma"/>
            <family val="2"/>
          </rPr>
          <t xml:space="preserve">
Inconsistent data can result from different vintages of nationa accounts data</t>
        </r>
      </text>
    </comment>
    <comment ref="A216" authorId="1">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218" authorId="1">
      <text>
        <r>
          <rPr>
            <b/>
            <sz val="8"/>
            <color indexed="81"/>
            <rFont val="Tahoma"/>
            <family val="2"/>
          </rPr>
          <t>bethuge:</t>
        </r>
        <r>
          <rPr>
            <sz val="8"/>
            <color indexed="81"/>
            <rFont val="Tahoma"/>
            <family val="2"/>
          </rPr>
          <t xml:space="preserve">
Inconsistent data can result from different vintages of national accounts data</t>
        </r>
      </text>
    </comment>
    <comment ref="E222" authorId="1">
      <text>
        <r>
          <rPr>
            <b/>
            <sz val="8"/>
            <color indexed="81"/>
            <rFont val="Tahoma"/>
            <family val="2"/>
          </rPr>
          <t>bethuge:</t>
        </r>
        <r>
          <rPr>
            <sz val="8"/>
            <color indexed="81"/>
            <rFont val="Tahoma"/>
            <family val="2"/>
          </rPr>
          <t xml:space="preserve">
Implicit residual</t>
        </r>
      </text>
    </comment>
  </commentList>
</comments>
</file>

<file path=xl/comments7.xml><?xml version="1.0" encoding="utf-8"?>
<comments xmlns="http://schemas.openxmlformats.org/spreadsheetml/2006/main">
  <authors>
    <author>bethuge</author>
    <author>VAN NOTEN Henk (ECFIN)</author>
    <author>Pim Lescrauwaet</author>
    <author>renckaa</author>
    <author>annaeje</author>
  </authors>
  <commentList>
    <comment ref="F2" authorId="0">
      <text>
        <r>
          <rPr>
            <b/>
            <sz val="8"/>
            <color indexed="81"/>
            <rFont val="Tahoma"/>
            <family val="2"/>
          </rPr>
          <t>bethuge:</t>
        </r>
        <r>
          <rPr>
            <sz val="8"/>
            <color indexed="81"/>
            <rFont val="Tahoma"/>
            <family val="2"/>
          </rPr>
          <t xml:space="preserve">
Sets the maximum tolerance for inconsistencies to be ignored (in bn euro).</t>
        </r>
      </text>
    </comment>
    <comment ref="E8" authorId="1">
      <text>
        <r>
          <rPr>
            <b/>
            <sz val="9"/>
            <color indexed="81"/>
            <rFont val="Tahoma"/>
            <family val="2"/>
          </rPr>
          <t>VAN NOTEN Henk (ECFIN):</t>
        </r>
        <r>
          <rPr>
            <sz val="9"/>
            <color indexed="81"/>
            <rFont val="Tahoma"/>
            <family val="2"/>
          </rPr>
          <t xml:space="preserve">
calculated in detail below</t>
        </r>
      </text>
    </comment>
    <comment ref="V17" authorId="1">
      <text>
        <r>
          <rPr>
            <b/>
            <sz val="9"/>
            <color indexed="81"/>
            <rFont val="Tahoma"/>
            <family val="2"/>
          </rPr>
          <t>renckaa:
opheffing maatregel VAT reduction on dwellings (extra 150 mn); extra inkomsten uit accijnzen (275 mn); anderzijds nog steeds VAT reduction in horeca (255 mn)</t>
        </r>
        <r>
          <rPr>
            <sz val="9"/>
            <color indexed="81"/>
            <rFont val="Tahoma"/>
            <family val="2"/>
          </rPr>
          <t xml:space="preserve">
</t>
        </r>
      </text>
    </comment>
    <comment ref="X17" authorId="1">
      <text>
        <r>
          <rPr>
            <b/>
            <sz val="9"/>
            <color indexed="81"/>
            <rFont val="Tahoma"/>
            <family val="2"/>
          </rPr>
          <t>VAN NOTEN Henk (ECFIN):</t>
        </r>
        <r>
          <rPr>
            <sz val="9"/>
            <color indexed="81"/>
            <rFont val="Tahoma"/>
            <family val="2"/>
          </rPr>
          <t xml:space="preserve">
DFM: +527
Of which
+84 mn VAT payTV
+150+16 mn excise duties tobacco
+100 VAT notaries
(+150 bette perception of taxes and contributions via notaries): not taken into account
+45 reduction in deadline for payment of excise duties
+12.5 harmonisation VAT fines
+87 correction UEBL
+55 externalization (incl. taxation) of internal pensions
</t>
        </r>
      </text>
    </comment>
    <comment ref="Y17" authorId="1">
      <text>
        <r>
          <rPr>
            <b/>
            <sz val="9"/>
            <color indexed="81"/>
            <rFont val="Tahoma"/>
            <family val="2"/>
          </rPr>
          <t>VAN NOTEN Henk (ECFIN):</t>
        </r>
        <r>
          <rPr>
            <sz val="9"/>
            <color indexed="81"/>
            <rFont val="Tahoma"/>
            <family val="2"/>
          </rPr>
          <t xml:space="preserve">
DFM +680
</t>
        </r>
        <r>
          <rPr>
            <b/>
            <sz val="9"/>
            <color indexed="81"/>
            <rFont val="Tahoma"/>
            <family val="2"/>
          </rPr>
          <t>Initial budget13:</t>
        </r>
        <r>
          <rPr>
            <sz val="9"/>
            <color indexed="81"/>
            <rFont val="Tahoma"/>
            <family val="2"/>
          </rPr>
          <t xml:space="preserve">
excise duties tobacco: 98
excise duties alcohol: 64
tax insurance premia: 140 (80% accepted)
</t>
        </r>
        <r>
          <rPr>
            <b/>
            <sz val="9"/>
            <color indexed="81"/>
            <rFont val="Tahoma"/>
            <family val="2"/>
          </rPr>
          <t>March13 budget control:</t>
        </r>
        <r>
          <rPr>
            <sz val="9"/>
            <color indexed="81"/>
            <rFont val="Tahoma"/>
            <family val="2"/>
          </rPr>
          <t xml:space="preserve">
+50 excise duties tobacco
+65 notarial duties duties
+115 VAT company cars
</t>
        </r>
      </text>
    </comment>
    <comment ref="E18" authorId="1">
      <text>
        <r>
          <rPr>
            <b/>
            <sz val="9"/>
            <color indexed="81"/>
            <rFont val="Tahoma"/>
            <family val="2"/>
          </rPr>
          <t>VAN NOTEN Henk (ECFIN):</t>
        </r>
        <r>
          <rPr>
            <sz val="9"/>
            <color indexed="81"/>
            <rFont val="Tahoma"/>
            <family val="2"/>
          </rPr>
          <t xml:space="preserve">
Mainly advance tax on property</t>
        </r>
      </text>
    </comment>
    <comment ref="X23" authorId="1">
      <text>
        <r>
          <rPr>
            <b/>
            <sz val="9"/>
            <color indexed="81"/>
            <rFont val="Tahoma"/>
            <family val="2"/>
          </rPr>
          <t>VAN NOTEN Henk (ECFIN):</t>
        </r>
        <r>
          <rPr>
            <sz val="9"/>
            <color indexed="81"/>
            <rFont val="Tahoma"/>
            <family val="2"/>
          </rPr>
          <t xml:space="preserve">
In theory: +105 mn
+50mn increased tax on stock exchange operations
+18mn new number plates
+37 mn 2nd increase stock exchange tax</t>
        </r>
      </text>
    </comment>
    <comment ref="T28" authorId="1">
      <text>
        <r>
          <rPr>
            <b/>
            <sz val="9"/>
            <color indexed="81"/>
            <rFont val="Tahoma"/>
            <family val="2"/>
          </rPr>
          <t>VAN NOTEN Henk (ECFIN):</t>
        </r>
        <r>
          <rPr>
            <sz val="9"/>
            <color indexed="81"/>
            <rFont val="Tahoma"/>
            <family val="2"/>
          </rPr>
          <t xml:space="preserve">
1st tax nuclear rent (250 mn)</t>
        </r>
      </text>
    </comment>
    <comment ref="W28" authorId="1">
      <text>
        <r>
          <rPr>
            <b/>
            <sz val="9"/>
            <color indexed="81"/>
            <rFont val="Tahoma"/>
            <family val="2"/>
          </rPr>
          <t>VAN NOTEN Henk (ECFIN):</t>
        </r>
        <r>
          <rPr>
            <sz val="9"/>
            <color indexed="81"/>
            <rFont val="Tahoma"/>
            <family val="2"/>
          </rPr>
          <t xml:space="preserve">
no tax on nuclear rent paid = -250</t>
        </r>
      </text>
    </comment>
    <comment ref="X28" authorId="1">
      <text>
        <r>
          <rPr>
            <b/>
            <sz val="9"/>
            <color indexed="81"/>
            <rFont val="Tahoma"/>
            <family val="2"/>
          </rPr>
          <t>VAN NOTEN Henk (ECFIN):</t>
        </r>
        <r>
          <rPr>
            <sz val="9"/>
            <color indexed="81"/>
            <rFont val="Tahoma"/>
            <family val="2"/>
          </rPr>
          <t xml:space="preserve">
DFM +1026
250 mn levy on nuclear rent amount due for 2011 (one off)
+550 levy nuclear rent (permanent)
+200 contribution life insurance companies (one-off re-estimated at 100 in Sept 2012)
</t>
        </r>
      </text>
    </comment>
    <comment ref="Y28" authorId="1">
      <text>
        <r>
          <rPr>
            <b/>
            <sz val="9"/>
            <color indexed="81"/>
            <rFont val="Tahoma"/>
            <family val="2"/>
          </rPr>
          <t>VAN NOTEN Henk (ECFIN):</t>
        </r>
        <r>
          <rPr>
            <sz val="9"/>
            <color indexed="81"/>
            <rFont val="Tahoma"/>
            <family val="2"/>
          </rPr>
          <t xml:space="preserve">
DFM: -445
one off 250mn EUR nuclear rent 2011 paid in 2012 disappears
-100 compensation one off 2012 insurance companies
-10 lost revenue due to one-off payment in 2012
</t>
        </r>
      </text>
    </comment>
    <comment ref="A31"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31" authorId="0">
      <text>
        <r>
          <rPr>
            <b/>
            <sz val="8"/>
            <color indexed="81"/>
            <rFont val="Tahoma"/>
            <family val="2"/>
          </rPr>
          <t>bethuge:</t>
        </r>
        <r>
          <rPr>
            <sz val="8"/>
            <color indexed="81"/>
            <rFont val="Tahoma"/>
            <family val="2"/>
          </rPr>
          <t xml:space="preserve">
DG BUDG uses the forecast for this variable.</t>
        </r>
      </text>
    </comment>
    <comment ref="E33" authorId="0">
      <text>
        <r>
          <rPr>
            <b/>
            <sz val="8"/>
            <color indexed="81"/>
            <rFont val="Tahoma"/>
            <family val="2"/>
          </rPr>
          <t>bethuge:</t>
        </r>
        <r>
          <rPr>
            <sz val="8"/>
            <color indexed="81"/>
            <rFont val="Tahoma"/>
            <family val="2"/>
          </rPr>
          <t xml:space="preserve">
Inconsistent data can result from different vintages of nationa accounts data</t>
        </r>
      </text>
    </comment>
    <comment ref="U36" authorId="2">
      <text>
        <r>
          <rPr>
            <b/>
            <sz val="8"/>
            <color indexed="81"/>
            <rFont val="Tahoma"/>
            <family val="2"/>
          </rPr>
          <t>Pim Lescrauwaet:</t>
        </r>
        <r>
          <rPr>
            <sz val="8"/>
            <color indexed="81"/>
            <rFont val="Tahoma"/>
            <family val="2"/>
          </rPr>
          <t xml:space="preserve">
bevat BTW maatregelen bouw en 15 mln lagere taks op insurance contracts
</t>
        </r>
      </text>
    </comment>
    <comment ref="V36" authorId="3">
      <text>
        <r>
          <rPr>
            <b/>
            <sz val="8"/>
            <color indexed="81"/>
            <rFont val="Tahoma"/>
            <family val="2"/>
          </rPr>
          <t>renckaa:</t>
        </r>
        <r>
          <rPr>
            <sz val="8"/>
            <color indexed="81"/>
            <rFont val="Tahoma"/>
            <family val="2"/>
          </rPr>
          <t xml:space="preserve">
opheffing maatregel VAT reduction on dwellings (extra 150 mn); extra inkomsten uit accijnzen (275 mn); anderzijds nog steeds VAT reduction in horeca (255 mn)</t>
        </r>
      </text>
    </comment>
    <comment ref="W36" authorId="3">
      <text>
        <r>
          <rPr>
            <b/>
            <sz val="8"/>
            <color indexed="81"/>
            <rFont val="Tahoma"/>
            <family val="2"/>
          </rPr>
          <t>renckaa:</t>
        </r>
        <r>
          <rPr>
            <sz val="8"/>
            <color indexed="81"/>
            <rFont val="Tahoma"/>
            <family val="2"/>
          </rPr>
          <t xml:space="preserve">
abolishment VAT reduction dwellings; Breitsohl judgment, excise duties mineral oils</t>
        </r>
      </text>
    </comment>
    <comment ref="U40" authorId="0">
      <text>
        <r>
          <rPr>
            <b/>
            <sz val="8"/>
            <color indexed="81"/>
            <rFont val="Tahoma"/>
            <family val="2"/>
          </rPr>
          <t>bethuge:</t>
        </r>
        <r>
          <rPr>
            <sz val="8"/>
            <color indexed="81"/>
            <rFont val="Tahoma"/>
            <family val="2"/>
          </rPr>
          <t xml:space="preserve">
ORD 2007 reduces VAT contribution by 97 million euro in 2009.</t>
        </r>
      </text>
    </comment>
    <comment ref="F55" authorId="0">
      <text>
        <r>
          <rPr>
            <b/>
            <sz val="8"/>
            <color indexed="81"/>
            <rFont val="Tahoma"/>
            <family val="2"/>
          </rPr>
          <t>bethuge:</t>
        </r>
        <r>
          <rPr>
            <sz val="8"/>
            <color indexed="81"/>
            <rFont val="Tahoma"/>
            <family val="2"/>
          </rPr>
          <t xml:space="preserve">
Theoretical value by OECD</t>
        </r>
      </text>
    </comment>
    <comment ref="Y70" authorId="1">
      <text>
        <r>
          <rPr>
            <b/>
            <sz val="9"/>
            <color indexed="81"/>
            <rFont val="Tahoma"/>
            <family val="2"/>
          </rPr>
          <t>VAN NOTEN Henk (ECFIN):</t>
        </r>
        <r>
          <rPr>
            <sz val="9"/>
            <color indexed="81"/>
            <rFont val="Tahoma"/>
            <family val="2"/>
          </rPr>
          <t xml:space="preserve">
mc sept13</t>
        </r>
      </text>
    </comment>
    <comment ref="Z70" authorId="1">
      <text>
        <r>
          <rPr>
            <b/>
            <sz val="9"/>
            <color indexed="81"/>
            <rFont val="Tahoma"/>
            <family val="2"/>
          </rPr>
          <t>VAN NOTEN Henk (ECFIN):</t>
        </r>
        <r>
          <rPr>
            <sz val="9"/>
            <color indexed="81"/>
            <rFont val="Tahoma"/>
            <family val="2"/>
          </rPr>
          <t xml:space="preserve">
mc sept 2013
</t>
        </r>
      </text>
    </comment>
    <comment ref="Y71" authorId="1">
      <text>
        <r>
          <rPr>
            <b/>
            <sz val="9"/>
            <color indexed="81"/>
            <rFont val="Tahoma"/>
            <family val="2"/>
          </rPr>
          <t>VAN NOTEN Henk (ECFIN):</t>
        </r>
        <r>
          <rPr>
            <sz val="9"/>
            <color indexed="81"/>
            <rFont val="Tahoma"/>
            <family val="2"/>
          </rPr>
          <t xml:space="preserve">
remboursement Jetair</t>
        </r>
      </text>
    </comment>
    <comment ref="Y94" authorId="1">
      <text>
        <r>
          <rPr>
            <b/>
            <sz val="9"/>
            <color indexed="81"/>
            <rFont val="Tahoma"/>
            <family val="2"/>
          </rPr>
          <t>VAN NOTEN Henk (ECFIN):</t>
        </r>
        <r>
          <rPr>
            <sz val="9"/>
            <color indexed="81"/>
            <rFont val="Tahoma"/>
            <family val="2"/>
          </rPr>
          <t xml:space="preserve">
mc sept13</t>
        </r>
      </text>
    </comment>
    <comment ref="Z94" authorId="1">
      <text>
        <r>
          <rPr>
            <b/>
            <sz val="9"/>
            <color indexed="81"/>
            <rFont val="Tahoma"/>
            <family val="2"/>
          </rPr>
          <t>VAN NOTEN Henk (ECFIN):</t>
        </r>
        <r>
          <rPr>
            <sz val="9"/>
            <color indexed="81"/>
            <rFont val="Tahoma"/>
            <family val="2"/>
          </rPr>
          <t xml:space="preserve">
mc sept13</t>
        </r>
      </text>
    </comment>
    <comment ref="X95" authorId="1">
      <text>
        <r>
          <rPr>
            <b/>
            <sz val="9"/>
            <color indexed="81"/>
            <rFont val="Tahoma"/>
            <family val="2"/>
          </rPr>
          <t>VAN NOTEN Henk (ECFIN):</t>
        </r>
        <r>
          <rPr>
            <sz val="9"/>
            <color indexed="81"/>
            <rFont val="Tahoma"/>
            <family val="2"/>
          </rPr>
          <t xml:space="preserve">
excise duties received from LUX (2013 budget)</t>
        </r>
      </text>
    </comment>
    <comment ref="X138" authorId="1">
      <text>
        <r>
          <rPr>
            <b/>
            <sz val="9"/>
            <color indexed="81"/>
            <rFont val="Tahoma"/>
            <family val="2"/>
          </rPr>
          <t>VAN NOTEN Henk (ECFIN):</t>
        </r>
        <r>
          <rPr>
            <sz val="9"/>
            <color indexed="81"/>
            <rFont val="Tahoma"/>
            <family val="2"/>
          </rPr>
          <t xml:space="preserve">
DFM -87
one off reductions SNCB: 2012: -290
2013: -90
2014:-150
Incremental:
2012:-290
2013: +200
2014: -60
but also dienstencheques increase</t>
        </r>
      </text>
    </comment>
    <comment ref="Y138" authorId="1">
      <text>
        <r>
          <rPr>
            <b/>
            <sz val="9"/>
            <color indexed="81"/>
            <rFont val="Tahoma"/>
            <family val="2"/>
          </rPr>
          <t>VAN NOTEN Henk (ECFIN):</t>
        </r>
        <r>
          <rPr>
            <sz val="9"/>
            <color indexed="81"/>
            <rFont val="Tahoma"/>
            <family val="2"/>
          </rPr>
          <t xml:space="preserve">
DFM: -152</t>
        </r>
      </text>
    </comment>
    <comment ref="Z138" authorId="1">
      <text>
        <r>
          <rPr>
            <b/>
            <sz val="9"/>
            <color indexed="81"/>
            <rFont val="Tahoma"/>
            <family val="2"/>
          </rPr>
          <t>VAN NOTEN Henk (ECFIN):</t>
        </r>
        <r>
          <rPr>
            <sz val="9"/>
            <color indexed="81"/>
            <rFont val="Tahoma"/>
            <family val="2"/>
          </rPr>
          <t xml:space="preserve">
DFM -60</t>
        </r>
      </text>
    </comment>
    <comment ref="AA138" authorId="1">
      <text>
        <r>
          <rPr>
            <b/>
            <sz val="9"/>
            <color indexed="81"/>
            <rFont val="Tahoma"/>
            <family val="2"/>
          </rPr>
          <t>VAN NOTEN Henk (ECFIN):</t>
        </r>
        <r>
          <rPr>
            <sz val="9"/>
            <color indexed="81"/>
            <rFont val="Tahoma"/>
            <family val="2"/>
          </rPr>
          <t xml:space="preserve">
DFM -60</t>
        </r>
      </text>
    </comment>
    <comment ref="AB138" authorId="1">
      <text>
        <r>
          <rPr>
            <b/>
            <sz val="9"/>
            <color indexed="81"/>
            <rFont val="Tahoma"/>
            <family val="2"/>
          </rPr>
          <t>VAN NOTEN Henk (ECFIN):</t>
        </r>
        <r>
          <rPr>
            <sz val="9"/>
            <color indexed="81"/>
            <rFont val="Tahoma"/>
            <family val="2"/>
          </rPr>
          <t xml:space="preserve">
DFM -60</t>
        </r>
      </text>
    </comment>
    <comment ref="AC138" authorId="1">
      <text>
        <r>
          <rPr>
            <b/>
            <sz val="9"/>
            <color indexed="81"/>
            <rFont val="Tahoma"/>
            <family val="2"/>
          </rPr>
          <t>VAN NOTEN Henk (ECFIN):</t>
        </r>
        <r>
          <rPr>
            <sz val="9"/>
            <color indexed="81"/>
            <rFont val="Tahoma"/>
            <family val="2"/>
          </rPr>
          <t xml:space="preserve">
DFM -60</t>
        </r>
      </text>
    </comment>
    <comment ref="AD138" authorId="1">
      <text>
        <r>
          <rPr>
            <b/>
            <sz val="9"/>
            <color indexed="81"/>
            <rFont val="Tahoma"/>
            <family val="2"/>
          </rPr>
          <t>VAN NOTEN Henk (ECFIN):</t>
        </r>
        <r>
          <rPr>
            <sz val="9"/>
            <color indexed="81"/>
            <rFont val="Tahoma"/>
            <family val="2"/>
          </rPr>
          <t xml:space="preserve">
DFM -60</t>
        </r>
      </text>
    </comment>
    <comment ref="AE138" authorId="1">
      <text>
        <r>
          <rPr>
            <b/>
            <sz val="9"/>
            <color indexed="81"/>
            <rFont val="Tahoma"/>
            <family val="2"/>
          </rPr>
          <t>VAN NOTEN Henk (ECFIN):</t>
        </r>
        <r>
          <rPr>
            <sz val="9"/>
            <color indexed="81"/>
            <rFont val="Tahoma"/>
            <family val="2"/>
          </rPr>
          <t xml:space="preserve">
DFM -60</t>
        </r>
      </text>
    </comment>
    <comment ref="A140"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142" authorId="0">
      <text>
        <r>
          <rPr>
            <b/>
            <sz val="8"/>
            <color indexed="81"/>
            <rFont val="Tahoma"/>
            <family val="2"/>
          </rPr>
          <t>bethuge:</t>
        </r>
        <r>
          <rPr>
            <sz val="8"/>
            <color indexed="81"/>
            <rFont val="Tahoma"/>
            <family val="2"/>
          </rPr>
          <t xml:space="preserve">
Inconsistent data can result from different vintages of nationa accounts data</t>
        </r>
      </text>
    </comment>
    <comment ref="X145" authorId="1">
      <text>
        <r>
          <rPr>
            <b/>
            <sz val="9"/>
            <color indexed="81"/>
            <rFont val="Tahoma"/>
            <family val="2"/>
          </rPr>
          <t>VAN NOTEN Henk (ECFIN):</t>
        </r>
        <r>
          <rPr>
            <sz val="9"/>
            <color indexed="81"/>
            <rFont val="Tahoma"/>
            <family val="2"/>
          </rPr>
          <t xml:space="preserve">
Suppression clean car subsidie: 328 mn (=-12%)</t>
        </r>
      </text>
    </comment>
    <comment ref="U147" authorId="2">
      <text>
        <r>
          <rPr>
            <b/>
            <sz val="9"/>
            <color indexed="81"/>
            <rFont val="Tahoma"/>
            <family val="2"/>
          </rPr>
          <t>Pim Lescrauwaet:</t>
        </r>
        <r>
          <rPr>
            <sz val="9"/>
            <color indexed="81"/>
            <rFont val="Tahoma"/>
            <family val="2"/>
          </rPr>
          <t xml:space="preserve">
bevta 26 mln besparingh reeds en bevat ook de lagere subsidies aan de NMBS voor investeringen! Bevat ook lagere doorstoring bedrijfsvoorheffing in 2009 en 2010 ook voor onderzoekers 38 mln</t>
        </r>
      </text>
    </comment>
    <comment ref="V147" authorId="2">
      <text>
        <r>
          <rPr>
            <b/>
            <sz val="8"/>
            <color indexed="81"/>
            <rFont val="Tahoma"/>
            <family val="2"/>
          </rPr>
          <t>Pim Lescrauwaet:</t>
        </r>
        <r>
          <rPr>
            <sz val="8"/>
            <color indexed="81"/>
            <rFont val="Tahoma"/>
            <family val="2"/>
          </rPr>
          <t xml:space="preserve">
bevat 357 mln extra verminderde doorstoring bedrijfsvoorheffing maar ook 50 mln besparing dienstencheques en nog activeringsvergoeding 24 mln euro</t>
        </r>
      </text>
    </comment>
    <comment ref="W147" authorId="2">
      <text>
        <r>
          <rPr>
            <b/>
            <sz val="8"/>
            <color indexed="81"/>
            <rFont val="Tahoma"/>
            <family val="2"/>
          </rPr>
          <t>Pim Lescrauwaet:</t>
        </r>
        <r>
          <rPr>
            <sz val="8"/>
            <color indexed="81"/>
            <rFont val="Tahoma"/>
            <family val="2"/>
          </rPr>
          <t xml:space="preserve">
extra activeringsvergoeding 24 mln euro</t>
        </r>
      </text>
    </comment>
    <comment ref="A179"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180" authorId="0">
      <text>
        <r>
          <rPr>
            <b/>
            <sz val="8"/>
            <color indexed="81"/>
            <rFont val="Tahoma"/>
            <family val="2"/>
          </rPr>
          <t>bethuge:</t>
        </r>
        <r>
          <rPr>
            <sz val="8"/>
            <color indexed="81"/>
            <rFont val="Tahoma"/>
            <family val="2"/>
          </rPr>
          <t xml:space="preserve">
Inconsistent data can result from different vintages of nationa accounts data</t>
        </r>
      </text>
    </comment>
    <comment ref="E199" authorId="0">
      <text>
        <r>
          <rPr>
            <b/>
            <sz val="8"/>
            <color indexed="81"/>
            <rFont val="Tahoma"/>
            <family val="2"/>
          </rPr>
          <t>bethuge:</t>
        </r>
        <r>
          <rPr>
            <sz val="8"/>
            <color indexed="81"/>
            <rFont val="Tahoma"/>
            <family val="2"/>
          </rPr>
          <t xml:space="preserve">
Implicit residual.
</t>
        </r>
      </text>
    </comment>
    <comment ref="E200" authorId="0">
      <text>
        <r>
          <rPr>
            <b/>
            <sz val="8"/>
            <color indexed="81"/>
            <rFont val="Tahoma"/>
            <family val="2"/>
          </rPr>
          <t>bethuge:</t>
        </r>
        <r>
          <rPr>
            <sz val="8"/>
            <color indexed="81"/>
            <rFont val="Tahoma"/>
            <family val="2"/>
          </rPr>
          <t xml:space="preserve">
GVT B.2g is part of government final consumption expenditure (P.3) - See link.</t>
        </r>
      </text>
    </comment>
    <comment ref="AA200" authorId="1">
      <text>
        <r>
          <rPr>
            <b/>
            <sz val="9"/>
            <color indexed="81"/>
            <rFont val="Tahoma"/>
            <family val="2"/>
          </rPr>
          <t>VAN NOTEN Henk (ECFIN):</t>
        </r>
        <r>
          <rPr>
            <sz val="9"/>
            <color indexed="81"/>
            <rFont val="Tahoma"/>
            <family val="2"/>
          </rPr>
          <t xml:space="preserve">
Formula adapted for forecast years to ensure consistency with K1 and B2n</t>
        </r>
      </text>
    </comment>
    <comment ref="AB200" authorId="1">
      <text>
        <r>
          <rPr>
            <b/>
            <sz val="9"/>
            <color indexed="81"/>
            <rFont val="Tahoma"/>
            <family val="2"/>
          </rPr>
          <t>VAN NOTEN Henk (ECFIN):</t>
        </r>
        <r>
          <rPr>
            <sz val="9"/>
            <color indexed="81"/>
            <rFont val="Tahoma"/>
            <family val="2"/>
          </rPr>
          <t xml:space="preserve">
Formula adapted for forecast years to ensure consistency with K1 and B2n</t>
        </r>
      </text>
    </comment>
    <comment ref="AC200" authorId="1">
      <text>
        <r>
          <rPr>
            <b/>
            <sz val="9"/>
            <color indexed="81"/>
            <rFont val="Tahoma"/>
            <family val="2"/>
          </rPr>
          <t>VAN NOTEN Henk (ECFIN):</t>
        </r>
        <r>
          <rPr>
            <sz val="9"/>
            <color indexed="81"/>
            <rFont val="Tahoma"/>
            <family val="2"/>
          </rPr>
          <t xml:space="preserve">
Formula adapted for forecast years to ensure consistency with K1 and B2n</t>
        </r>
      </text>
    </comment>
    <comment ref="AD200" authorId="1">
      <text>
        <r>
          <rPr>
            <b/>
            <sz val="9"/>
            <color indexed="81"/>
            <rFont val="Tahoma"/>
            <family val="2"/>
          </rPr>
          <t>VAN NOTEN Henk (ECFIN):</t>
        </r>
        <r>
          <rPr>
            <sz val="9"/>
            <color indexed="81"/>
            <rFont val="Tahoma"/>
            <family val="2"/>
          </rPr>
          <t xml:space="preserve">
Formula adapted for forecast years to ensure consistency with K1 and B2n</t>
        </r>
      </text>
    </comment>
    <comment ref="AE200" authorId="1">
      <text>
        <r>
          <rPr>
            <b/>
            <sz val="9"/>
            <color indexed="81"/>
            <rFont val="Tahoma"/>
            <family val="2"/>
          </rPr>
          <t>VAN NOTEN Henk (ECFIN):</t>
        </r>
        <r>
          <rPr>
            <sz val="9"/>
            <color indexed="81"/>
            <rFont val="Tahoma"/>
            <family val="2"/>
          </rPr>
          <t xml:space="preserve">
Formula adapted for forecast years to ensure consistency with K1 and B2n</t>
        </r>
      </text>
    </comment>
    <comment ref="A205"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206" authorId="0">
      <text>
        <r>
          <rPr>
            <b/>
            <sz val="8"/>
            <color indexed="81"/>
            <rFont val="Tahoma"/>
            <family val="2"/>
          </rPr>
          <t>bethuge:</t>
        </r>
        <r>
          <rPr>
            <sz val="8"/>
            <color indexed="81"/>
            <rFont val="Tahoma"/>
            <family val="2"/>
          </rPr>
          <t xml:space="preserve">
Inconsistent data can result from different vintages of nationa accounts data</t>
        </r>
      </text>
    </comment>
    <comment ref="E210" authorId="0">
      <text>
        <r>
          <rPr>
            <b/>
            <sz val="8"/>
            <color indexed="81"/>
            <rFont val="Tahoma"/>
            <family val="2"/>
          </rPr>
          <t>bethuge:</t>
        </r>
        <r>
          <rPr>
            <sz val="8"/>
            <color indexed="81"/>
            <rFont val="Tahoma"/>
            <family val="2"/>
          </rPr>
          <t xml:space="preserve">
Implicit residual.
</t>
        </r>
      </text>
    </comment>
    <comment ref="X228" authorId="1">
      <text>
        <r>
          <rPr>
            <b/>
            <sz val="9"/>
            <color indexed="81"/>
            <rFont val="Tahoma"/>
            <family val="2"/>
          </rPr>
          <t>VAN NOTEN Henk (ECFIN):</t>
        </r>
        <r>
          <rPr>
            <sz val="9"/>
            <color indexed="81"/>
            <rFont val="Tahoma"/>
            <family val="2"/>
          </rPr>
          <t xml:space="preserve">
including 153 BNP Paribas dividend
</t>
        </r>
      </text>
    </comment>
    <comment ref="Y228" authorId="1">
      <text>
        <r>
          <rPr>
            <b/>
            <sz val="9"/>
            <color indexed="81"/>
            <rFont val="Tahoma"/>
            <family val="2"/>
          </rPr>
          <t>VAN NOTEN Henk (ECFIN):</t>
        </r>
        <r>
          <rPr>
            <sz val="9"/>
            <color indexed="81"/>
            <rFont val="Tahoma"/>
            <family val="2"/>
          </rPr>
          <t xml:space="preserve">
including 191 BNP Paribas dividend</t>
        </r>
      </text>
    </comment>
    <comment ref="Y229" authorId="1">
      <text>
        <r>
          <rPr>
            <b/>
            <sz val="9"/>
            <color indexed="81"/>
            <rFont val="Tahoma"/>
            <family val="2"/>
          </rPr>
          <t>VAN NOTEN Henk (ECFIN):</t>
        </r>
        <r>
          <rPr>
            <sz val="9"/>
            <color indexed="81"/>
            <rFont val="Tahoma"/>
            <family val="2"/>
          </rPr>
          <t xml:space="preserve">
March 2013 (compared to 2012 estimate):
+300 NBB dividend
-50 Belgacom
-80 interim belgacom
+70 loterie
+50 fin institut
sum: +277</t>
        </r>
      </text>
    </comment>
    <comment ref="A234"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236" authorId="0">
      <text>
        <r>
          <rPr>
            <b/>
            <sz val="8"/>
            <color indexed="81"/>
            <rFont val="Tahoma"/>
            <family val="2"/>
          </rPr>
          <t>bethuge:</t>
        </r>
        <r>
          <rPr>
            <sz val="8"/>
            <color indexed="81"/>
            <rFont val="Tahoma"/>
            <family val="2"/>
          </rPr>
          <t xml:space="preserve">
Inconsistent data can result from different vintages of nationa accounts data</t>
        </r>
      </text>
    </comment>
    <comment ref="W240" authorId="4">
      <text>
        <r>
          <rPr>
            <b/>
            <sz val="8"/>
            <color indexed="81"/>
            <rFont val="Tahoma"/>
            <family val="2"/>
          </rPr>
          <t>annaeje:</t>
        </r>
        <r>
          <rPr>
            <sz val="8"/>
            <color indexed="81"/>
            <rFont val="Tahoma"/>
            <family val="2"/>
          </rPr>
          <t xml:space="preserve">
609 Mio de licences UMTS &amp; dividendes supplémentaires (source MdB)</t>
        </r>
      </text>
    </comment>
    <comment ref="X240" authorId="1">
      <text>
        <r>
          <rPr>
            <b/>
            <sz val="9"/>
            <color indexed="81"/>
            <rFont val="Tahoma"/>
            <family val="2"/>
          </rPr>
          <t>VAN NOTEN Henk (ECFIN):</t>
        </r>
        <r>
          <rPr>
            <sz val="9"/>
            <color indexed="81"/>
            <rFont val="Tahoma"/>
            <family val="2"/>
          </rPr>
          <t xml:space="preserve">
-50 mn dividend BNB (mc oct 2012)
-160 mn dividend fin institutions
+100 dividend Belgacom
+40 bPost</t>
        </r>
      </text>
    </comment>
    <comment ref="V242" authorId="3">
      <text>
        <r>
          <rPr>
            <b/>
            <sz val="8"/>
            <color indexed="81"/>
            <rFont val="Tahoma"/>
            <family val="2"/>
          </rPr>
          <t>renckaa:</t>
        </r>
        <r>
          <rPr>
            <sz val="8"/>
            <color indexed="81"/>
            <rFont val="Tahoma"/>
            <family val="2"/>
          </rPr>
          <t xml:space="preserve">
ministry of budget: decrease interest rate so stabilization interst payments</t>
        </r>
      </text>
    </comment>
    <comment ref="X242" authorId="1">
      <text>
        <r>
          <rPr>
            <b/>
            <sz val="9"/>
            <color indexed="81"/>
            <rFont val="Tahoma"/>
            <family val="2"/>
          </rPr>
          <t>VAN NOTEN Henk (ECFIN):</t>
        </r>
        <r>
          <rPr>
            <sz val="9"/>
            <color indexed="81"/>
            <rFont val="Tahoma"/>
            <family val="2"/>
          </rPr>
          <t xml:space="preserve">
Budget control 2012-10: rijksschuld +6.5% (but cash-based?)</t>
        </r>
      </text>
    </comment>
    <comment ref="X302" authorId="1">
      <text>
        <r>
          <rPr>
            <b/>
            <sz val="9"/>
            <color indexed="81"/>
            <rFont val="Tahoma"/>
            <family val="2"/>
          </rPr>
          <t>VAN NOTEN Henk (ECFIN):</t>
        </r>
        <r>
          <rPr>
            <sz val="9"/>
            <color indexed="81"/>
            <rFont val="Tahoma"/>
            <family val="2"/>
          </rPr>
          <t xml:space="preserve">
+825 roerende voorheffing
+100 company cars (only half taken into account)
+20 taxation stock options
+170 taxation company houses
+11 change in legislation precompte immob</t>
        </r>
      </text>
    </comment>
    <comment ref="Y302" authorId="1">
      <text>
        <r>
          <rPr>
            <b/>
            <sz val="9"/>
            <color indexed="81"/>
            <rFont val="Tahoma"/>
            <family val="2"/>
          </rPr>
          <t>VAN NOTEN Henk (ECFIN):</t>
        </r>
        <r>
          <rPr>
            <sz val="9"/>
            <color indexed="81"/>
            <rFont val="Tahoma"/>
            <family val="2"/>
          </rPr>
          <t xml:space="preserve">
-120mn verhoging belastingvrije som (NBB june 2012)
Roerende voorheffing: +325</t>
        </r>
      </text>
    </comment>
    <comment ref="E304" authorId="1">
      <text>
        <r>
          <rPr>
            <b/>
            <sz val="9"/>
            <color indexed="81"/>
            <rFont val="Tahoma"/>
            <family val="2"/>
          </rPr>
          <t>VAN NOTEN Henk (ECFIN):</t>
        </r>
        <r>
          <rPr>
            <sz val="9"/>
            <color indexed="81"/>
            <rFont val="Tahoma"/>
            <family val="2"/>
          </rPr>
          <t xml:space="preserve">
mainly taxe de circulation households (1054 in 2010), before also tv radio tax</t>
        </r>
      </text>
    </comment>
    <comment ref="X315" authorId="1">
      <text>
        <r>
          <rPr>
            <b/>
            <sz val="9"/>
            <color indexed="81"/>
            <rFont val="Tahoma"/>
            <family val="2"/>
          </rPr>
          <t xml:space="preserve">VAN NOTEN Henk (ECFIN):
</t>
        </r>
        <r>
          <rPr>
            <sz val="9"/>
            <color indexed="81"/>
            <rFont val="Tahoma"/>
            <family val="2"/>
          </rPr>
          <t xml:space="preserve">100mn  company cars, employer's share (only half taken into account)
+1450 notional intrest reform
+150 capital gains taxed at corporate tax rate
+100 bank tax
</t>
        </r>
      </text>
    </comment>
    <comment ref="A318"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320" authorId="0">
      <text>
        <r>
          <rPr>
            <b/>
            <sz val="8"/>
            <color indexed="81"/>
            <rFont val="Tahoma"/>
            <family val="2"/>
          </rPr>
          <t>bethuge:</t>
        </r>
        <r>
          <rPr>
            <sz val="8"/>
            <color indexed="81"/>
            <rFont val="Tahoma"/>
            <family val="2"/>
          </rPr>
          <t xml:space="preserve">
Inconsistent data can result from different vintages of nationa accounts data</t>
        </r>
      </text>
    </comment>
    <comment ref="V323" authorId="2">
      <text>
        <r>
          <rPr>
            <b/>
            <sz val="8"/>
            <color indexed="81"/>
            <rFont val="Tahoma"/>
            <family val="2"/>
          </rPr>
          <t>Pim Lescrauwaet:</t>
        </r>
        <r>
          <rPr>
            <sz val="8"/>
            <color indexed="81"/>
            <rFont val="Tahoma"/>
            <family val="2"/>
          </rPr>
          <t xml:space="preserve">
o.a. door vlaamse jobkorting, voordelen in natura</t>
        </r>
      </text>
    </comment>
    <comment ref="W323" authorId="2">
      <text>
        <r>
          <rPr>
            <b/>
            <sz val="8"/>
            <color indexed="81"/>
            <rFont val="Tahoma"/>
            <family val="2"/>
          </rPr>
          <t>renckaa:</t>
        </r>
        <r>
          <rPr>
            <sz val="8"/>
            <color indexed="81"/>
            <rFont val="Tahoma"/>
            <family val="2"/>
          </rPr>
          <t xml:space="preserve">
strengere aftrek energievriendelijke invest;
Afschaffing jobkorting: -75 mn EUR</t>
        </r>
      </text>
    </comment>
    <comment ref="V324" authorId="2">
      <text>
        <r>
          <rPr>
            <b/>
            <sz val="8"/>
            <color indexed="81"/>
            <rFont val="Tahoma"/>
            <family val="2"/>
          </rPr>
          <t>renckaa:</t>
        </r>
        <r>
          <rPr>
            <sz val="8"/>
            <color indexed="81"/>
            <rFont val="Tahoma"/>
            <family val="2"/>
          </rPr>
          <t xml:space="preserve">
inclusief bedrijfswagens, fiscale fraude, DBI; tegenvallende inkomsten bedrijfsvoorheffing (mede door grote verliezen van de banken voorbije jaren)</t>
        </r>
      </text>
    </comment>
    <comment ref="W324" authorId="3">
      <text>
        <r>
          <rPr>
            <b/>
            <sz val="8"/>
            <color indexed="81"/>
            <rFont val="Tahoma"/>
            <family val="2"/>
          </rPr>
          <t>renckaa:</t>
        </r>
        <r>
          <rPr>
            <sz val="8"/>
            <color indexed="81"/>
            <rFont val="Tahoma"/>
            <family val="2"/>
          </rPr>
          <t xml:space="preserve">
reversal effect jobkorting Vlaanderen</t>
        </r>
      </text>
    </comment>
    <comment ref="E342" authorId="1">
      <text>
        <r>
          <rPr>
            <b/>
            <sz val="9"/>
            <color indexed="81"/>
            <rFont val="Tahoma"/>
            <family val="2"/>
          </rPr>
          <t>VAN NOTEN Henk (ECFIN):</t>
        </r>
        <r>
          <rPr>
            <sz val="9"/>
            <color indexed="81"/>
            <rFont val="Tahoma"/>
            <family val="2"/>
          </rPr>
          <t xml:space="preserve">
wrong reference?</t>
        </r>
      </text>
    </comment>
    <comment ref="F344" authorId="0">
      <text>
        <r>
          <rPr>
            <b/>
            <sz val="8"/>
            <color indexed="81"/>
            <rFont val="Tahoma"/>
            <family val="2"/>
          </rPr>
          <t>bethuge:</t>
        </r>
        <r>
          <rPr>
            <sz val="8"/>
            <color indexed="81"/>
            <rFont val="Tahoma"/>
            <family val="2"/>
          </rPr>
          <t xml:space="preserve">
Theoretical value by OECD</t>
        </r>
      </text>
    </comment>
    <comment ref="F352" authorId="0">
      <text>
        <r>
          <rPr>
            <b/>
            <sz val="8"/>
            <color indexed="81"/>
            <rFont val="Tahoma"/>
            <family val="2"/>
          </rPr>
          <t>bethuge:</t>
        </r>
        <r>
          <rPr>
            <sz val="8"/>
            <color indexed="81"/>
            <rFont val="Tahoma"/>
            <family val="2"/>
          </rPr>
          <t xml:space="preserve">
Theoretical value by OECD</t>
        </r>
      </text>
    </comment>
    <comment ref="F358" authorId="0">
      <text>
        <r>
          <rPr>
            <b/>
            <sz val="8"/>
            <color indexed="81"/>
            <rFont val="Tahoma"/>
            <family val="2"/>
          </rPr>
          <t>bethuge:</t>
        </r>
        <r>
          <rPr>
            <sz val="8"/>
            <color indexed="81"/>
            <rFont val="Tahoma"/>
            <family val="2"/>
          </rPr>
          <t xml:space="preserve">
Theoretical value by OECD</t>
        </r>
      </text>
    </comment>
    <comment ref="F368" authorId="1">
      <text>
        <r>
          <rPr>
            <b/>
            <sz val="9"/>
            <color indexed="81"/>
            <rFont val="Tahoma"/>
            <family val="2"/>
          </rPr>
          <t>VAN NOTEN Henk (ECFIN):</t>
        </r>
        <r>
          <rPr>
            <sz val="9"/>
            <color indexed="81"/>
            <rFont val="Tahoma"/>
            <family val="2"/>
          </rPr>
          <t xml:space="preserve">
cf. note FPB-NBB 15 November 2010</t>
        </r>
      </text>
    </comment>
    <comment ref="X371" authorId="1">
      <text>
        <r>
          <rPr>
            <b/>
            <sz val="9"/>
            <color indexed="81"/>
            <rFont val="Tahoma"/>
            <family val="2"/>
          </rPr>
          <t>VAN NOTEN Henk (ECFIN):</t>
        </r>
        <r>
          <rPr>
            <sz val="9"/>
            <color indexed="81"/>
            <rFont val="Tahoma"/>
            <family val="2"/>
          </rPr>
          <t xml:space="preserve">
+825 roerende voorheffing
+100 company cars (only half taken into account)
+20 taxation stock options
+170 taxation company houses
+11 change in legislation precompte immob</t>
        </r>
      </text>
    </comment>
    <comment ref="Y371" authorId="1">
      <text>
        <r>
          <rPr>
            <b/>
            <sz val="9"/>
            <color indexed="81"/>
            <rFont val="Tahoma"/>
            <family val="2"/>
          </rPr>
          <t>VAN NOTEN Henk (ECFIN):</t>
        </r>
        <r>
          <rPr>
            <sz val="9"/>
            <color indexed="81"/>
            <rFont val="Tahoma"/>
            <family val="2"/>
          </rPr>
          <t xml:space="preserve">
-120mn verhoging belastingvrije som (NBB june 2012)
MCsept13: 39.8</t>
        </r>
      </text>
    </comment>
    <comment ref="Z371" authorId="1">
      <text>
        <r>
          <rPr>
            <b/>
            <sz val="9"/>
            <color indexed="81"/>
            <rFont val="Tahoma"/>
            <family val="2"/>
          </rPr>
          <t>VAN NOTEN Henk (ECFIN):</t>
        </r>
        <r>
          <rPr>
            <sz val="9"/>
            <color indexed="81"/>
            <rFont val="Tahoma"/>
            <family val="2"/>
          </rPr>
          <t xml:space="preserve">
-50 dispense de versement précompte PME (mc sept13)</t>
        </r>
      </text>
    </comment>
    <comment ref="F383" authorId="1">
      <text>
        <r>
          <rPr>
            <b/>
            <sz val="9"/>
            <color indexed="81"/>
            <rFont val="Tahoma"/>
            <family val="2"/>
          </rPr>
          <t>VAN NOTEN Henk (ECFIN):</t>
        </r>
        <r>
          <rPr>
            <sz val="9"/>
            <color indexed="81"/>
            <rFont val="Tahoma"/>
            <family val="2"/>
          </rPr>
          <t xml:space="preserve">
cf. note FPB-NBB 15 November 2010</t>
        </r>
      </text>
    </comment>
    <comment ref="Y411" authorId="1">
      <text>
        <r>
          <rPr>
            <b/>
            <sz val="9"/>
            <color indexed="81"/>
            <rFont val="Tahoma"/>
            <family val="2"/>
          </rPr>
          <t>VAN NOTEN Henk (ECFIN):</t>
        </r>
        <r>
          <rPr>
            <sz val="9"/>
            <color indexed="81"/>
            <rFont val="Tahoma"/>
            <family val="2"/>
          </rPr>
          <t xml:space="preserve">
mc sept13</t>
        </r>
      </text>
    </comment>
    <comment ref="Z411" authorId="1">
      <text>
        <r>
          <rPr>
            <b/>
            <sz val="9"/>
            <color indexed="81"/>
            <rFont val="Tahoma"/>
            <family val="2"/>
          </rPr>
          <t>VAN NOTEN Henk (ECFIN):</t>
        </r>
        <r>
          <rPr>
            <sz val="9"/>
            <color indexed="81"/>
            <rFont val="Tahoma"/>
            <family val="2"/>
          </rPr>
          <t xml:space="preserve">
MC sept 2013</t>
        </r>
      </text>
    </comment>
    <comment ref="X412" authorId="1">
      <text>
        <r>
          <rPr>
            <b/>
            <sz val="9"/>
            <color indexed="81"/>
            <rFont val="Tahoma"/>
            <family val="2"/>
          </rPr>
          <t>VAN NOTEN Henk (ECFIN):</t>
        </r>
        <r>
          <rPr>
            <sz val="9"/>
            <color indexed="81"/>
            <rFont val="Tahoma"/>
            <family val="2"/>
          </rPr>
          <t xml:space="preserve">
Acceleration of enrolment (source: revised 2013 budget)</t>
        </r>
      </text>
    </comment>
    <comment ref="Y430" authorId="1">
      <text>
        <r>
          <rPr>
            <b/>
            <sz val="9"/>
            <color indexed="81"/>
            <rFont val="Tahoma"/>
            <family val="2"/>
          </rPr>
          <t>VAN NOTEN Henk (ECFIN):</t>
        </r>
        <r>
          <rPr>
            <sz val="9"/>
            <color indexed="81"/>
            <rFont val="Tahoma"/>
            <family val="2"/>
          </rPr>
          <t xml:space="preserve">
Belfius August 2013</t>
        </r>
      </text>
    </comment>
    <comment ref="Y435" authorId="1">
      <text>
        <r>
          <rPr>
            <b/>
            <sz val="9"/>
            <color indexed="81"/>
            <rFont val="Tahoma"/>
            <family val="2"/>
          </rPr>
          <t>VAN NOTEN Henk (ECFIN):</t>
        </r>
        <r>
          <rPr>
            <sz val="9"/>
            <color indexed="81"/>
            <rFont val="Tahoma"/>
            <family val="2"/>
          </rPr>
          <t xml:space="preserve">
Revised 2013 budget</t>
        </r>
      </text>
    </comment>
    <comment ref="X441" authorId="1">
      <text>
        <r>
          <rPr>
            <b/>
            <sz val="9"/>
            <color indexed="81"/>
            <rFont val="Tahoma"/>
            <family val="2"/>
          </rPr>
          <t>VAN NOTEN Henk (ECFIN):</t>
        </r>
        <r>
          <rPr>
            <sz val="9"/>
            <color indexed="81"/>
            <rFont val="Tahoma"/>
            <family val="2"/>
          </rPr>
          <t xml:space="preserve">
cash-based, includes Corp (source 2013 budget)</t>
        </r>
      </text>
    </comment>
    <comment ref="A476"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X477" authorId="1">
      <text>
        <r>
          <rPr>
            <b/>
            <sz val="9"/>
            <color indexed="81"/>
            <rFont val="Tahoma"/>
            <family val="2"/>
          </rPr>
          <t>VAN NOTEN Henk (ECFIN):</t>
        </r>
        <r>
          <rPr>
            <sz val="9"/>
            <color indexed="81"/>
            <rFont val="Tahoma"/>
            <family val="2"/>
          </rPr>
          <t xml:space="preserve">
FPB: 77.92</t>
        </r>
      </text>
    </comment>
    <comment ref="Y477" authorId="1">
      <text>
        <r>
          <rPr>
            <b/>
            <sz val="9"/>
            <color indexed="81"/>
            <rFont val="Tahoma"/>
            <family val="2"/>
          </rPr>
          <t>VAN NOTEN Henk (ECFIN):</t>
        </r>
        <r>
          <rPr>
            <sz val="9"/>
            <color indexed="81"/>
            <rFont val="Tahoma"/>
            <family val="2"/>
          </rPr>
          <t xml:space="preserve">
FPB: 80.17</t>
        </r>
      </text>
    </comment>
    <comment ref="E478" authorId="0">
      <text>
        <r>
          <rPr>
            <b/>
            <sz val="8"/>
            <color indexed="81"/>
            <rFont val="Tahoma"/>
            <family val="2"/>
          </rPr>
          <t>bethuge:</t>
        </r>
        <r>
          <rPr>
            <sz val="8"/>
            <color indexed="81"/>
            <rFont val="Tahoma"/>
            <family val="2"/>
          </rPr>
          <t xml:space="preserve">
In ESA95, employers' social contributions are treated as if they were received by households as part of compensation of employees (D.1r) and then paid to the government as social contributions (D.61p), even though the social contributions paid by the employer is never actually received by households.
This implies that employers' social contributions is not at the expenditure side for corporations (at least not explicitly), since it is already integrated in compensation paid (D.1p).
</t>
        </r>
      </text>
    </comment>
    <comment ref="E480" authorId="0">
      <text>
        <r>
          <rPr>
            <b/>
            <sz val="8"/>
            <color indexed="81"/>
            <rFont val="Tahoma"/>
            <family val="2"/>
          </rPr>
          <t>bethuge:</t>
        </r>
        <r>
          <rPr>
            <sz val="8"/>
            <color indexed="81"/>
            <rFont val="Tahoma"/>
            <family val="2"/>
          </rPr>
          <t xml:space="preserve">
Inconsistent data can result from different vintages of nationa accounts data</t>
        </r>
      </text>
    </comment>
    <comment ref="U483" authorId="2">
      <text>
        <r>
          <rPr>
            <b/>
            <sz val="8"/>
            <color indexed="81"/>
            <rFont val="Tahoma"/>
            <family val="2"/>
          </rPr>
          <t>Pim Lescrauwaet:</t>
        </r>
        <r>
          <rPr>
            <sz val="8"/>
            <color indexed="81"/>
            <rFont val="Tahoma"/>
            <family val="2"/>
          </rPr>
          <t xml:space="preserve">
bevat lagere lasten op ploegenarb en derg in relanceplan</t>
        </r>
      </text>
    </comment>
    <comment ref="V483" authorId="2">
      <text>
        <r>
          <rPr>
            <b/>
            <sz val="8"/>
            <color indexed="81"/>
            <rFont val="Tahoma"/>
            <family val="2"/>
          </rPr>
          <t>Pim Lescrauwaet:</t>
        </r>
        <r>
          <rPr>
            <sz val="8"/>
            <color indexed="81"/>
            <rFont val="Tahoma"/>
            <family val="2"/>
          </rPr>
          <t xml:space="preserve">
includes additional tax cuts 428-183, maar ook strijd sociale fraude en ook extra sociale maribel (43 mln) en versterking lage lonen (42 mln)</t>
        </r>
      </text>
    </comment>
    <comment ref="F509" authorId="0">
      <text>
        <r>
          <rPr>
            <b/>
            <sz val="8"/>
            <color indexed="81"/>
            <rFont val="Tahoma"/>
            <family val="2"/>
          </rPr>
          <t>bethuge:</t>
        </r>
        <r>
          <rPr>
            <sz val="8"/>
            <color indexed="81"/>
            <rFont val="Tahoma"/>
            <family val="2"/>
          </rPr>
          <t xml:space="preserve">
Theoretical value by OECD</t>
        </r>
      </text>
    </comment>
    <comment ref="A521"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T522" authorId="2">
      <text>
        <r>
          <rPr>
            <b/>
            <sz val="8"/>
            <color indexed="81"/>
            <rFont val="Tahoma"/>
            <family val="2"/>
          </rPr>
          <t>Pim Lescrauwaet:</t>
        </r>
        <r>
          <rPr>
            <sz val="8"/>
            <color indexed="81"/>
            <rFont val="Tahoma"/>
            <family val="2"/>
          </rPr>
          <t xml:space="preserve">
63.295</t>
        </r>
      </text>
    </comment>
    <comment ref="E523" authorId="0">
      <text>
        <r>
          <rPr>
            <b/>
            <sz val="8"/>
            <color indexed="81"/>
            <rFont val="Tahoma"/>
            <family val="2"/>
          </rPr>
          <t>bethuge:</t>
        </r>
        <r>
          <rPr>
            <sz val="8"/>
            <color indexed="81"/>
            <rFont val="Tahoma"/>
            <family val="2"/>
          </rPr>
          <t xml:space="preserve">
Inconsistent data can result from different vintages of nationa accounts data</t>
        </r>
      </text>
    </comment>
    <comment ref="U528" authorId="2">
      <text>
        <r>
          <rPr>
            <b/>
            <sz val="8"/>
            <color indexed="81"/>
            <rFont val="Tahoma"/>
            <family val="2"/>
          </rPr>
          <t>Pim Lescrauwaet:</t>
        </r>
        <r>
          <rPr>
            <sz val="8"/>
            <color indexed="81"/>
            <rFont val="Tahoma"/>
            <family val="2"/>
          </rPr>
          <t xml:space="preserve">
includes higher unempl benefit 0.1 bln euro</t>
        </r>
      </text>
    </comment>
    <comment ref="V528" authorId="2">
      <text>
        <r>
          <rPr>
            <b/>
            <sz val="8"/>
            <color indexed="81"/>
            <rFont val="Tahoma"/>
            <family val="2"/>
          </rPr>
          <t>Pim Lescrauwaet:</t>
        </r>
        <r>
          <rPr>
            <sz val="8"/>
            <color indexed="81"/>
            <rFont val="Tahoma"/>
            <family val="2"/>
          </rPr>
          <t xml:space="preserve">
volgens de tijd is de verhoging met 0.1 bln tijdelijk. Daarnaast ook nog verlenging tidelijke werkloosheid voor 85 mln euro en nog 50 mlkn extra voor activeringsvergoeding en minimumpensioenen zelfstandigen</t>
        </r>
      </text>
    </comment>
    <comment ref="W528" authorId="2">
      <text>
        <r>
          <rPr>
            <b/>
            <sz val="8"/>
            <color indexed="81"/>
            <rFont val="Tahoma"/>
            <family val="2"/>
          </rPr>
          <t>Pim Lescrauwaet:</t>
        </r>
        <r>
          <rPr>
            <sz val="8"/>
            <color indexed="81"/>
            <rFont val="Tahoma"/>
            <family val="2"/>
          </rPr>
          <t xml:space="preserve">
phasing out tijdelijke werkloosheid en nog 50 mln extra uitgaven voor activeringsvergoeding en verhoginh minipensioen
HVN: effect indexation 2.7</t>
        </r>
      </text>
    </comment>
    <comment ref="A549"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T551" authorId="2">
      <text>
        <r>
          <rPr>
            <b/>
            <sz val="8"/>
            <color indexed="81"/>
            <rFont val="Tahoma"/>
            <family val="2"/>
          </rPr>
          <t>Pim Lescrauwaet:</t>
        </r>
        <r>
          <rPr>
            <sz val="8"/>
            <color indexed="81"/>
            <rFont val="Tahoma"/>
            <family val="2"/>
          </rPr>
          <t xml:space="preserve">
63.295</t>
        </r>
      </text>
    </comment>
    <comment ref="E552" authorId="0">
      <text>
        <r>
          <rPr>
            <b/>
            <sz val="8"/>
            <color indexed="81"/>
            <rFont val="Tahoma"/>
            <family val="2"/>
          </rPr>
          <t>bethuge:</t>
        </r>
        <r>
          <rPr>
            <sz val="8"/>
            <color indexed="81"/>
            <rFont val="Tahoma"/>
            <family val="2"/>
          </rPr>
          <t xml:space="preserve">
Inconsistent data can result from different vintages of nationa accounts data</t>
        </r>
      </text>
    </comment>
    <comment ref="Y556" authorId="1">
      <text>
        <r>
          <rPr>
            <b/>
            <sz val="9"/>
            <color indexed="81"/>
            <rFont val="Tahoma"/>
            <family val="2"/>
          </rPr>
          <t>VAN NOTEN Henk (ECFIN):</t>
        </r>
        <r>
          <rPr>
            <sz val="9"/>
            <color indexed="81"/>
            <rFont val="Tahoma"/>
            <family val="2"/>
          </rPr>
          <t xml:space="preserve">
stricter criteria for accession</t>
        </r>
      </text>
    </comment>
    <comment ref="Y572" authorId="1">
      <text>
        <r>
          <rPr>
            <b/>
            <sz val="9"/>
            <color indexed="81"/>
            <rFont val="Tahoma"/>
            <family val="2"/>
          </rPr>
          <t>VAN NOTEN Henk (ECFIN):</t>
        </r>
        <r>
          <rPr>
            <sz val="9"/>
            <color indexed="81"/>
            <rFont val="Tahoma"/>
            <family val="2"/>
          </rPr>
          <t xml:space="preserve">
UB reform</t>
        </r>
      </text>
    </comment>
    <comment ref="E592" authorId="1">
      <text>
        <r>
          <rPr>
            <b/>
            <sz val="9"/>
            <color indexed="81"/>
            <rFont val="Tahoma"/>
            <family val="2"/>
          </rPr>
          <t>VAN NOTEN Henk (ECFIN):</t>
        </r>
        <r>
          <rPr>
            <sz val="9"/>
            <color indexed="81"/>
            <rFont val="Tahoma"/>
            <family val="2"/>
          </rPr>
          <t xml:space="preserve">
includes payment to EU</t>
        </r>
      </text>
    </comment>
    <comment ref="X595" authorId="1">
      <text>
        <r>
          <rPr>
            <b/>
            <sz val="9"/>
            <color indexed="81"/>
            <rFont val="Tahoma"/>
            <family val="2"/>
          </rPr>
          <t>VAN NOTEN Henk (ECFIN):</t>
        </r>
        <r>
          <rPr>
            <sz val="9"/>
            <color indexed="81"/>
            <rFont val="Tahoma"/>
            <family val="2"/>
          </rPr>
          <t xml:space="preserve">
increase deposit scheme (+220) and special contribution financial institutions (+238)</t>
        </r>
      </text>
    </comment>
    <comment ref="A596"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597" authorId="0">
      <text>
        <r>
          <rPr>
            <b/>
            <sz val="8"/>
            <color indexed="81"/>
            <rFont val="Tahoma"/>
            <family val="2"/>
          </rPr>
          <t>bethuge:</t>
        </r>
        <r>
          <rPr>
            <sz val="8"/>
            <color indexed="81"/>
            <rFont val="Tahoma"/>
            <family val="2"/>
          </rPr>
          <t xml:space="preserve">
Inconsistent data can result from different vintages of nationa accounts data</t>
        </r>
      </text>
    </comment>
    <comment ref="U601" authorId="2">
      <text>
        <r>
          <rPr>
            <b/>
            <sz val="8"/>
            <color indexed="81"/>
            <rFont val="Tahoma"/>
            <family val="2"/>
          </rPr>
          <t>Pim Lescrauwaet:</t>
        </r>
        <r>
          <rPr>
            <sz val="8"/>
            <color indexed="81"/>
            <rFont val="Tahoma"/>
            <family val="2"/>
          </rPr>
          <t xml:space="preserve">
electricity subsidy 135 mln</t>
        </r>
      </text>
    </comment>
    <comment ref="U604" authorId="0">
      <text>
        <r>
          <rPr>
            <b/>
            <sz val="8"/>
            <color indexed="81"/>
            <rFont val="Tahoma"/>
            <family val="2"/>
          </rPr>
          <t>bethuge:</t>
        </r>
        <r>
          <rPr>
            <sz val="8"/>
            <color indexed="81"/>
            <rFont val="Tahoma"/>
            <family val="2"/>
          </rPr>
          <t xml:space="preserve">
Includes 360 million increase in contributions to EU</t>
        </r>
      </text>
    </comment>
    <comment ref="V604" authorId="2">
      <text>
        <r>
          <rPr>
            <b/>
            <sz val="8"/>
            <color indexed="81"/>
            <rFont val="Tahoma"/>
            <family val="2"/>
          </rPr>
          <t>Pim Lescrauwaet:</t>
        </r>
        <r>
          <rPr>
            <sz val="8"/>
            <color indexed="81"/>
            <rFont val="Tahoma"/>
            <family val="2"/>
          </rPr>
          <t xml:space="preserve">
terugkeer geen elektriciteitssubsidie en lagere contributie EU</t>
        </r>
      </text>
    </comment>
    <comment ref="X604" authorId="1">
      <text>
        <r>
          <rPr>
            <b/>
            <sz val="9"/>
            <color indexed="81"/>
            <rFont val="Tahoma"/>
            <family val="2"/>
          </rPr>
          <t>VAN NOTEN Henk (ECFIN):</t>
        </r>
        <r>
          <rPr>
            <sz val="9"/>
            <color indexed="81"/>
            <rFont val="Tahoma"/>
            <family val="2"/>
          </rPr>
          <t xml:space="preserve">
Including reduction in development aid:
2012:-145mn
2013:-145mn
2014: -310 mn (incremental: -165)</t>
        </r>
      </text>
    </comment>
    <comment ref="V605" authorId="3">
      <text>
        <r>
          <rPr>
            <b/>
            <sz val="8"/>
            <color indexed="81"/>
            <rFont val="Tahoma"/>
            <family val="2"/>
          </rPr>
          <t>renckaa:</t>
        </r>
        <r>
          <rPr>
            <sz val="8"/>
            <color indexed="81"/>
            <rFont val="Tahoma"/>
            <family val="2"/>
          </rPr>
          <t xml:space="preserve">
bankenbijdrage depositogarantiefonds
(entrance fee 130 mn EUR)</t>
        </r>
      </text>
    </comment>
    <comment ref="W605" authorId="3">
      <text>
        <r>
          <rPr>
            <b/>
            <sz val="8"/>
            <color indexed="81"/>
            <rFont val="Tahoma"/>
            <family val="2"/>
          </rPr>
          <t>renckaa:</t>
        </r>
        <r>
          <rPr>
            <sz val="8"/>
            <color indexed="81"/>
            <rFont val="Tahoma"/>
            <family val="2"/>
          </rPr>
          <t xml:space="preserve">
bijdrage banken aan depositogarantiefonds (entrance fee+eigenlijke bijdrage; samen 450 mn EUR)</t>
        </r>
      </text>
    </comment>
    <comment ref="E689" authorId="0">
      <text>
        <r>
          <rPr>
            <b/>
            <sz val="8"/>
            <color indexed="81"/>
            <rFont val="Tahoma"/>
            <family val="2"/>
          </rPr>
          <t>bethuge:</t>
        </r>
        <r>
          <rPr>
            <sz val="8"/>
            <color indexed="81"/>
            <rFont val="Tahoma"/>
            <family val="2"/>
          </rPr>
          <t xml:space="preserve">
Implicit residual.
</t>
        </r>
      </text>
    </comment>
    <comment ref="E696" authorId="0">
      <text>
        <r>
          <rPr>
            <b/>
            <sz val="8"/>
            <color indexed="81"/>
            <rFont val="Tahoma"/>
            <family val="2"/>
          </rPr>
          <t>bethuge:</t>
        </r>
        <r>
          <rPr>
            <sz val="8"/>
            <color indexed="81"/>
            <rFont val="Tahoma"/>
            <family val="2"/>
          </rPr>
          <t xml:space="preserve">
Sales = 
Market output (P.11) + 
Output for own final use (P.12) + 
Payments for the other non-market output (P.131).</t>
        </r>
      </text>
    </comment>
    <comment ref="X697" authorId="1">
      <text>
        <r>
          <rPr>
            <b/>
            <sz val="9"/>
            <color indexed="81"/>
            <rFont val="Tahoma"/>
            <family val="2"/>
          </rPr>
          <t>VAN NOTEN Henk (ECFIN):</t>
        </r>
        <r>
          <rPr>
            <sz val="9"/>
            <color indexed="81"/>
            <rFont val="Tahoma"/>
            <family val="2"/>
          </rPr>
          <t xml:space="preserve">
increase in payments for guarantees</t>
        </r>
      </text>
    </comment>
    <comment ref="Y697" authorId="1">
      <text>
        <r>
          <rPr>
            <b/>
            <sz val="9"/>
            <color indexed="81"/>
            <rFont val="Tahoma"/>
            <family val="2"/>
          </rPr>
          <t>VAN NOTEN Henk (ECFIN):</t>
        </r>
        <r>
          <rPr>
            <sz val="9"/>
            <color indexed="81"/>
            <rFont val="Tahoma"/>
            <family val="2"/>
          </rPr>
          <t xml:space="preserve">
due to reduction in guarantee</t>
        </r>
      </text>
    </comment>
    <comment ref="Z697" authorId="1">
      <text>
        <r>
          <rPr>
            <b/>
            <sz val="9"/>
            <color indexed="81"/>
            <rFont val="Tahoma"/>
            <family val="2"/>
          </rPr>
          <t>VAN NOTEN Henk (ECFIN):</t>
        </r>
        <r>
          <rPr>
            <sz val="9"/>
            <color indexed="81"/>
            <rFont val="Tahoma"/>
            <family val="2"/>
          </rPr>
          <t xml:space="preserve">
reduction in guarantees</t>
        </r>
      </text>
    </comment>
    <comment ref="AA697" authorId="1">
      <text>
        <r>
          <rPr>
            <b/>
            <sz val="9"/>
            <color indexed="81"/>
            <rFont val="Tahoma"/>
            <family val="2"/>
          </rPr>
          <t>VAN NOTEN Henk (ECFIN):</t>
        </r>
        <r>
          <rPr>
            <sz val="9"/>
            <color indexed="81"/>
            <rFont val="Tahoma"/>
            <family val="2"/>
          </rPr>
          <t xml:space="preserve">
reduction in guarantees</t>
        </r>
      </text>
    </comment>
    <comment ref="AB697" authorId="1">
      <text>
        <r>
          <rPr>
            <b/>
            <sz val="9"/>
            <color indexed="81"/>
            <rFont val="Tahoma"/>
            <family val="2"/>
          </rPr>
          <t>VAN NOTEN Henk (ECFIN):</t>
        </r>
        <r>
          <rPr>
            <sz val="9"/>
            <color indexed="81"/>
            <rFont val="Tahoma"/>
            <family val="2"/>
          </rPr>
          <t xml:space="preserve">
reduction in guarantees</t>
        </r>
      </text>
    </comment>
    <comment ref="AC697" authorId="1">
      <text>
        <r>
          <rPr>
            <b/>
            <sz val="9"/>
            <color indexed="81"/>
            <rFont val="Tahoma"/>
            <family val="2"/>
          </rPr>
          <t>VAN NOTEN Henk (ECFIN):</t>
        </r>
        <r>
          <rPr>
            <sz val="9"/>
            <color indexed="81"/>
            <rFont val="Tahoma"/>
            <family val="2"/>
          </rPr>
          <t xml:space="preserve">
reduction in guarantees</t>
        </r>
      </text>
    </comment>
    <comment ref="AD697" authorId="1">
      <text>
        <r>
          <rPr>
            <b/>
            <sz val="9"/>
            <color indexed="81"/>
            <rFont val="Tahoma"/>
            <family val="2"/>
          </rPr>
          <t>VAN NOTEN Henk (ECFIN):</t>
        </r>
        <r>
          <rPr>
            <sz val="9"/>
            <color indexed="81"/>
            <rFont val="Tahoma"/>
            <family val="2"/>
          </rPr>
          <t xml:space="preserve">
reduction in guarantees</t>
        </r>
      </text>
    </comment>
    <comment ref="AE697" authorId="1">
      <text>
        <r>
          <rPr>
            <b/>
            <sz val="9"/>
            <color indexed="81"/>
            <rFont val="Tahoma"/>
            <family val="2"/>
          </rPr>
          <t>VAN NOTEN Henk (ECFIN):</t>
        </r>
        <r>
          <rPr>
            <sz val="9"/>
            <color indexed="81"/>
            <rFont val="Tahoma"/>
            <family val="2"/>
          </rPr>
          <t xml:space="preserve">
reduction in guarantees</t>
        </r>
      </text>
    </comment>
    <comment ref="E700" authorId="0">
      <text>
        <r>
          <rPr>
            <b/>
            <sz val="8"/>
            <color indexed="81"/>
            <rFont val="Tahoma"/>
            <family val="2"/>
          </rPr>
          <t>bethuge:</t>
        </r>
        <r>
          <rPr>
            <sz val="8"/>
            <color indexed="81"/>
            <rFont val="Tahoma"/>
            <family val="2"/>
          </rPr>
          <t xml:space="preserve">
Inconsistent data can result from different vintages of national accounts data</t>
        </r>
      </text>
    </comment>
    <comment ref="Y705" authorId="1">
      <text>
        <r>
          <rPr>
            <b/>
            <sz val="9"/>
            <color indexed="81"/>
            <rFont val="Tahoma"/>
            <family val="2"/>
          </rPr>
          <t>VAN NOTEN Henk (ECFIN):</t>
        </r>
        <r>
          <rPr>
            <sz val="9"/>
            <color indexed="81"/>
            <rFont val="Tahoma"/>
            <family val="2"/>
          </rPr>
          <t xml:space="preserve">
Budget Flanders: no indexation of operational expenditure=-60 mn EUR (= 0.43% of total intermediate cons)</t>
        </r>
      </text>
    </comment>
    <comment ref="X706" authorId="1">
      <text>
        <r>
          <rPr>
            <b/>
            <sz val="9"/>
            <color indexed="81"/>
            <rFont val="Tahoma"/>
            <family val="2"/>
          </rPr>
          <t>VAN NOTEN Henk (ECFIN):</t>
        </r>
        <r>
          <rPr>
            <sz val="9"/>
            <color indexed="81"/>
            <rFont val="Tahoma"/>
            <family val="2"/>
          </rPr>
          <t xml:space="preserve">
The federal authorities have taken measures to constraint the so called "budget norm", i.e. the maximum-allowed increase in health insurance expenditures on top of inflation. Traditionally set at 4.5%, the budget norm will be set as follows:
- for 2013, at 2% (+ expected increase of the health price index for 2013 + € 40 million for new jobs in non-profit sector)
- for 2014, at 3% (+ expected increase of the health price index for 2014)
- beyond, at 3% (+ expected increase of the health price index)
(Loi Programme/Programmawet – June 22d 2012 – art 122) </t>
        </r>
      </text>
    </comment>
    <comment ref="E709" authorId="0">
      <text>
        <r>
          <rPr>
            <b/>
            <sz val="8"/>
            <color indexed="81"/>
            <rFont val="Tahoma"/>
            <family val="2"/>
          </rPr>
          <t>bethuge:</t>
        </r>
        <r>
          <rPr>
            <sz val="8"/>
            <color indexed="81"/>
            <rFont val="Tahoma"/>
            <family val="2"/>
          </rPr>
          <t xml:space="preserve">
In most cases the net operating surplus of the government sector is close to zero. 
Therefore consumption of fixed capital should be nearly identical to gross operating surplus. 
</t>
        </r>
      </text>
    </comment>
    <comment ref="U713" authorId="2">
      <text>
        <r>
          <rPr>
            <b/>
            <sz val="8"/>
            <color indexed="81"/>
            <rFont val="Tahoma"/>
            <family val="2"/>
          </rPr>
          <t>Pim Lescrauwaet:</t>
        </r>
        <r>
          <rPr>
            <sz val="8"/>
            <color indexed="81"/>
            <rFont val="Tahoma"/>
            <family val="2"/>
          </rPr>
          <t xml:space="preserve">
includes 150 mln voor Dexia</t>
        </r>
      </text>
    </comment>
    <comment ref="V713" authorId="3">
      <text>
        <r>
          <rPr>
            <b/>
            <sz val="8"/>
            <color indexed="81"/>
            <rFont val="Tahoma"/>
            <family val="2"/>
          </rPr>
          <t>renckaa:</t>
        </r>
        <r>
          <rPr>
            <sz val="8"/>
            <color indexed="81"/>
            <rFont val="Tahoma"/>
            <family val="2"/>
          </rPr>
          <t xml:space="preserve">
commercial bank guarantee</t>
        </r>
      </text>
    </comment>
    <comment ref="W713" authorId="1">
      <text>
        <r>
          <rPr>
            <b/>
            <sz val="9"/>
            <color indexed="81"/>
            <rFont val="Tahoma"/>
            <family val="2"/>
          </rPr>
          <t>VAN NOTEN Henk (ECFIN):</t>
        </r>
        <r>
          <rPr>
            <sz val="9"/>
            <color indexed="81"/>
            <rFont val="Tahoma"/>
            <family val="2"/>
          </rPr>
          <t xml:space="preserve">
incl.  136 mn EUR upfront fee Dexia</t>
        </r>
      </text>
    </comment>
    <comment ref="E737" authorId="0">
      <text>
        <r>
          <rPr>
            <b/>
            <sz val="8"/>
            <color indexed="81"/>
            <rFont val="Tahoma"/>
            <family val="2"/>
          </rPr>
          <t>bethuge:</t>
        </r>
        <r>
          <rPr>
            <sz val="8"/>
            <color indexed="81"/>
            <rFont val="Tahoma"/>
            <family val="2"/>
          </rPr>
          <t xml:space="preserve">
Inconsistent data can result from different vintages of national accounts data</t>
        </r>
      </text>
    </comment>
    <comment ref="X742" authorId="1">
      <text>
        <r>
          <rPr>
            <b/>
            <sz val="9"/>
            <color indexed="81"/>
            <rFont val="Tahoma"/>
            <family val="2"/>
          </rPr>
          <t>VAN NOTEN Henk (ECFIN):</t>
        </r>
        <r>
          <rPr>
            <sz val="9"/>
            <color indexed="81"/>
            <rFont val="Tahoma"/>
            <family val="2"/>
          </rPr>
          <t xml:space="preserve">
The federal authorities have taken measures to constraint the so called "budget norm", i.e. the maximum-allowed increase in health insurance expenditures on top of inflation. Traditionally set at 4.5%, the budget norm will be set as follows:
- for 2013, at 2% (+ expected increase of the health price index for 2013 + € 40 million for new jobs in non-profit sector)
- for 2014, at 3% (+ expected increase of the health price index for 2014)
- beyond, at 3% (+ expected increase of the health price index)
(Loi Programme/Programmawet – June 22d 2012 – art 122) </t>
        </r>
      </text>
    </comment>
    <comment ref="E744" authorId="0">
      <text>
        <r>
          <rPr>
            <b/>
            <sz val="8"/>
            <color indexed="81"/>
            <rFont val="Tahoma"/>
            <family val="2"/>
          </rPr>
          <t>bethuge:</t>
        </r>
        <r>
          <rPr>
            <sz val="8"/>
            <color indexed="81"/>
            <rFont val="Tahoma"/>
            <family val="2"/>
          </rPr>
          <t xml:space="preserve">
In most cases the net operating surplus of the government sector is close to zero. 
Therefore consumption of fixed capital should be nearly identical to gross operating surplus. 
</t>
        </r>
      </text>
    </comment>
    <comment ref="E766" authorId="1">
      <text>
        <r>
          <rPr>
            <b/>
            <sz val="9"/>
            <color indexed="81"/>
            <rFont val="Tahoma"/>
            <family val="2"/>
          </rPr>
          <t>VAN NOTEN Henk (ECFIN):</t>
        </r>
        <r>
          <rPr>
            <sz val="9"/>
            <color indexed="81"/>
            <rFont val="Tahoma"/>
            <family val="2"/>
          </rPr>
          <t xml:space="preserve">
2014-04-09 Formula manually adapted: to ensure that EDP deficit is consistent with EDP notification, we use public consumption of EDP notification.</t>
        </r>
      </text>
    </comment>
    <comment ref="E789" authorId="0">
      <text>
        <r>
          <rPr>
            <b/>
            <sz val="8"/>
            <color indexed="81"/>
            <rFont val="Tahoma"/>
            <family val="2"/>
          </rPr>
          <t>bethuge:</t>
        </r>
        <r>
          <rPr>
            <sz val="8"/>
            <color indexed="81"/>
            <rFont val="Tahoma"/>
            <family val="2"/>
          </rPr>
          <t xml:space="preserve">
Capital transfers to relevant sectors for taxes and social contributions assessed but unlikely to be collected D.995</t>
        </r>
      </text>
    </comment>
    <comment ref="X790" authorId="1">
      <text>
        <r>
          <rPr>
            <b/>
            <sz val="9"/>
            <color indexed="81"/>
            <rFont val="Tahoma"/>
            <family val="2"/>
          </rPr>
          <t>VAN NOTEN Henk (ECFIN):</t>
        </r>
        <r>
          <rPr>
            <sz val="9"/>
            <color indexed="81"/>
            <rFont val="Tahoma"/>
            <family val="2"/>
          </rPr>
          <t xml:space="preserve">
Reimbursement illegal state aid Bpost: +300 (one off)</t>
        </r>
      </text>
    </comment>
    <comment ref="X793" authorId="1">
      <text>
        <r>
          <rPr>
            <b/>
            <sz val="9"/>
            <color indexed="81"/>
            <rFont val="Tahoma"/>
            <family val="2"/>
          </rPr>
          <t>VAN NOTEN Henk (ECFIN):</t>
        </r>
        <r>
          <rPr>
            <sz val="9"/>
            <color indexed="81"/>
            <rFont val="Tahoma"/>
            <family val="2"/>
          </rPr>
          <t xml:space="preserve">
incl. 2915 mn Dexia recap</t>
        </r>
      </text>
    </comment>
    <comment ref="A797"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798" authorId="0">
      <text>
        <r>
          <rPr>
            <b/>
            <sz val="8"/>
            <color indexed="81"/>
            <rFont val="Tahoma"/>
            <family val="2"/>
          </rPr>
          <t>bethuge:</t>
        </r>
        <r>
          <rPr>
            <sz val="8"/>
            <color indexed="81"/>
            <rFont val="Tahoma"/>
            <family val="2"/>
          </rPr>
          <t xml:space="preserve">
Inconsistent data can result from different vintages of nationa accounts data</t>
        </r>
      </text>
    </comment>
    <comment ref="V803" authorId="2">
      <text>
        <r>
          <rPr>
            <b/>
            <sz val="8"/>
            <color indexed="81"/>
            <rFont val="Tahoma"/>
            <family val="2"/>
          </rPr>
          <t>Pim Lescrauwaet:</t>
        </r>
        <r>
          <rPr>
            <sz val="8"/>
            <color indexed="81"/>
            <rFont val="Tahoma"/>
            <family val="2"/>
          </rPr>
          <t xml:space="preserve">
Vlaanderen hijsvestingmij</t>
        </r>
      </text>
    </comment>
    <comment ref="U806" authorId="2">
      <text>
        <r>
          <rPr>
            <b/>
            <sz val="8"/>
            <color indexed="81"/>
            <rFont val="Tahoma"/>
            <family val="2"/>
          </rPr>
          <t>Pim Lescrauwaet:</t>
        </r>
        <r>
          <rPr>
            <sz val="8"/>
            <color indexed="81"/>
            <rFont val="Tahoma"/>
            <family val="2"/>
          </rPr>
          <t xml:space="preserve">
cobelfret ea</t>
        </r>
      </text>
    </comment>
    <comment ref="V806" authorId="2">
      <text>
        <r>
          <rPr>
            <b/>
            <sz val="8"/>
            <color indexed="81"/>
            <rFont val="Tahoma"/>
            <family val="2"/>
          </rPr>
          <t>Pim Lescrauwaet:</t>
        </r>
        <r>
          <rPr>
            <sz val="8"/>
            <color indexed="81"/>
            <rFont val="Tahoma"/>
            <family val="2"/>
          </rPr>
          <t xml:space="preserve">
bevat terugkeer van cobelfret</t>
        </r>
      </text>
    </comment>
    <comment ref="W806" authorId="1">
      <text>
        <r>
          <rPr>
            <b/>
            <sz val="9"/>
            <color indexed="81"/>
            <rFont val="Tahoma"/>
            <family val="2"/>
          </rPr>
          <t>VAN NOTEN Henk (ECFIN):</t>
        </r>
        <r>
          <rPr>
            <sz val="9"/>
            <color indexed="81"/>
            <rFont val="Tahoma"/>
            <family val="2"/>
          </rPr>
          <t xml:space="preserve">
incl. 570mn holding communal
</t>
        </r>
      </text>
    </comment>
    <comment ref="X830" authorId="1">
      <text>
        <r>
          <rPr>
            <b/>
            <sz val="9"/>
            <color indexed="81"/>
            <rFont val="Tahoma"/>
            <family val="2"/>
          </rPr>
          <t>VAN NOTEN Henk (ECFIN):</t>
        </r>
        <r>
          <rPr>
            <sz val="9"/>
            <color indexed="81"/>
            <rFont val="Tahoma"/>
            <family val="2"/>
          </rPr>
          <t xml:space="preserve">
sale UMTS licences: +118 mn (recorded with negative sign)</t>
        </r>
      </text>
    </comment>
    <comment ref="Y830" authorId="1">
      <text>
        <r>
          <rPr>
            <b/>
            <sz val="9"/>
            <color indexed="81"/>
            <rFont val="Tahoma"/>
            <family val="2"/>
          </rPr>
          <t>VAN NOTEN Henk (ECFIN):</t>
        </r>
        <r>
          <rPr>
            <sz val="9"/>
            <color indexed="81"/>
            <rFont val="Tahoma"/>
            <family val="2"/>
          </rPr>
          <t xml:space="preserve">
March 2013 conclave: licences 800 mhz: 360, dont 72 communautés</t>
        </r>
      </text>
    </comment>
    <comment ref="A831"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832" authorId="0">
      <text>
        <r>
          <rPr>
            <b/>
            <sz val="8"/>
            <color indexed="81"/>
            <rFont val="Tahoma"/>
            <family val="2"/>
          </rPr>
          <t>bethuge:</t>
        </r>
        <r>
          <rPr>
            <sz val="8"/>
            <color indexed="81"/>
            <rFont val="Tahoma"/>
            <family val="2"/>
          </rPr>
          <t xml:space="preserve">
Inconsistent data can result from different vintages of nationa accounts data</t>
        </r>
      </text>
    </comment>
    <comment ref="V837" authorId="2">
      <text>
        <r>
          <rPr>
            <b/>
            <sz val="8"/>
            <color indexed="81"/>
            <rFont val="Tahoma"/>
            <family val="2"/>
          </rPr>
          <t>Pim Lescrauwaet:</t>
        </r>
        <r>
          <rPr>
            <sz val="8"/>
            <color indexed="81"/>
            <rFont val="Tahoma"/>
            <family val="2"/>
          </rPr>
          <t xml:space="preserve">
gronden van aquafin en gsm licentie</t>
        </r>
      </text>
    </comment>
    <comment ref="E851" authorId="0">
      <text>
        <r>
          <rPr>
            <b/>
            <sz val="8"/>
            <color indexed="81"/>
            <rFont val="Tahoma"/>
            <family val="2"/>
          </rPr>
          <t>bethuge:</t>
        </r>
        <r>
          <rPr>
            <sz val="8"/>
            <color indexed="81"/>
            <rFont val="Tahoma"/>
            <family val="2"/>
          </rPr>
          <t xml:space="preserve">
Implicit residual.
</t>
        </r>
      </text>
    </comment>
    <comment ref="E854" authorId="0">
      <text>
        <r>
          <rPr>
            <b/>
            <sz val="8"/>
            <color indexed="81"/>
            <rFont val="Tahoma"/>
            <family val="2"/>
          </rPr>
          <t>bethuge:</t>
        </r>
        <r>
          <rPr>
            <sz val="8"/>
            <color indexed="81"/>
            <rFont val="Tahoma"/>
            <family val="2"/>
          </rPr>
          <t xml:space="preserve">
Inconsistent data can result from different vintages of nationa accounts data</t>
        </r>
      </text>
    </comment>
    <comment ref="E858" authorId="0">
      <text>
        <r>
          <rPr>
            <b/>
            <sz val="8"/>
            <color indexed="81"/>
            <rFont val="Tahoma"/>
            <family val="2"/>
          </rPr>
          <t>bethuge:</t>
        </r>
        <r>
          <rPr>
            <sz val="8"/>
            <color indexed="81"/>
            <rFont val="Tahoma"/>
            <family val="2"/>
          </rPr>
          <t xml:space="preserve">
Implicit residual.
</t>
        </r>
      </text>
    </comment>
    <comment ref="A875" authorId="0">
      <text>
        <r>
          <rPr>
            <b/>
            <sz val="8"/>
            <color indexed="81"/>
            <rFont val="Tahoma"/>
            <family val="2"/>
          </rPr>
          <t>bethuge:</t>
        </r>
        <r>
          <rPr>
            <sz val="8"/>
            <color indexed="81"/>
            <rFont val="Tahoma"/>
            <family val="2"/>
          </rPr>
          <t xml:space="preserve">
If there are no historical data for this variable, it could also be defined as the residual. 
However, if there are historical data we encourage you to use them because it provides a stronger check on consistency. </t>
        </r>
      </text>
    </comment>
    <comment ref="E876" authorId="0">
      <text>
        <r>
          <rPr>
            <b/>
            <sz val="8"/>
            <color indexed="81"/>
            <rFont val="Tahoma"/>
            <family val="2"/>
          </rPr>
          <t>bethuge:</t>
        </r>
        <r>
          <rPr>
            <sz val="8"/>
            <color indexed="81"/>
            <rFont val="Tahoma"/>
            <family val="2"/>
          </rPr>
          <t xml:space="preserve">
Inconsistent data can result from different vintages of nationa accounts data</t>
        </r>
      </text>
    </comment>
    <comment ref="E878" authorId="0">
      <text>
        <r>
          <rPr>
            <b/>
            <sz val="8"/>
            <color indexed="81"/>
            <rFont val="Tahoma"/>
            <family val="2"/>
          </rPr>
          <t>bethuge:</t>
        </r>
        <r>
          <rPr>
            <sz val="8"/>
            <color indexed="81"/>
            <rFont val="Tahoma"/>
            <family val="2"/>
          </rPr>
          <t xml:space="preserve">
Inconsistent data can result from different vintages of nationa accounts data</t>
        </r>
      </text>
    </comment>
    <comment ref="X909" authorId="1">
      <text>
        <r>
          <rPr>
            <b/>
            <sz val="9"/>
            <color indexed="81"/>
            <rFont val="Tahoma"/>
            <family val="2"/>
          </rPr>
          <t>VAN NOTEN Henk (ECFIN):</t>
        </r>
        <r>
          <rPr>
            <sz val="9"/>
            <color indexed="81"/>
            <rFont val="Tahoma"/>
            <family val="2"/>
          </rPr>
          <t xml:space="preserve">
excl Dexia)</t>
        </r>
      </text>
    </comment>
    <comment ref="E920" authorId="0">
      <text>
        <r>
          <rPr>
            <b/>
            <sz val="8"/>
            <color indexed="81"/>
            <rFont val="Tahoma"/>
            <family val="2"/>
          </rPr>
          <t>bethuge:</t>
        </r>
        <r>
          <rPr>
            <sz val="8"/>
            <color indexed="81"/>
            <rFont val="Tahoma"/>
            <family val="2"/>
          </rPr>
          <t xml:space="preserve">
Inconsistent data can result from different vintages of national accounts data</t>
        </r>
      </text>
    </comment>
    <comment ref="W935" authorId="1">
      <text>
        <r>
          <rPr>
            <b/>
            <sz val="9"/>
            <color indexed="81"/>
            <rFont val="Tahoma"/>
            <family val="2"/>
          </rPr>
          <t>VAN NOTEN Henk (ECFIN):</t>
        </r>
        <r>
          <rPr>
            <sz val="9"/>
            <color indexed="81"/>
            <rFont val="Tahoma"/>
            <family val="2"/>
          </rPr>
          <t xml:space="preserve">
incl. 4bn Dexia Bank Belgium</t>
        </r>
      </text>
    </comment>
    <comment ref="X935" authorId="1">
      <text>
        <r>
          <rPr>
            <b/>
            <sz val="9"/>
            <color indexed="81"/>
            <rFont val="Tahoma"/>
            <family val="2"/>
          </rPr>
          <t>VAN NOTEN Henk (ECFIN):</t>
        </r>
        <r>
          <rPr>
            <sz val="9"/>
            <color indexed="81"/>
            <rFont val="Tahoma"/>
            <family val="2"/>
          </rPr>
          <t xml:space="preserve">
4.8 EFSF issuances to PT, IE, EL (incl bilateral loans)
1.113 ESM (A2)
-4025 terugbetaling financial sector (MinFin)
+2900 dexia</t>
        </r>
      </text>
    </comment>
    <comment ref="V943" authorId="3">
      <text>
        <r>
          <rPr>
            <b/>
            <sz val="8"/>
            <color indexed="81"/>
            <rFont val="Tahoma"/>
            <family val="2"/>
          </rPr>
          <t>renckaa:</t>
        </r>
        <r>
          <rPr>
            <sz val="8"/>
            <color indexed="81"/>
            <rFont val="Tahoma"/>
            <family val="2"/>
          </rPr>
          <t xml:space="preserve">
0,85% before, but taking into account loan to Greece (0,3% of GDP)</t>
        </r>
      </text>
    </comment>
    <comment ref="W943" authorId="3">
      <text>
        <r>
          <rPr>
            <b/>
            <sz val="8"/>
            <color indexed="81"/>
            <rFont val="Tahoma"/>
            <family val="2"/>
          </rPr>
          <t>renckaa:</t>
        </r>
        <r>
          <rPr>
            <sz val="8"/>
            <color indexed="81"/>
            <rFont val="Tahoma"/>
            <family val="2"/>
          </rPr>
          <t xml:space="preserve">
0,55% before but taking into account loan to Greece (0,3% of GDP)</t>
        </r>
      </text>
    </comment>
    <comment ref="T947" authorId="2">
      <text>
        <r>
          <rPr>
            <b/>
            <sz val="8"/>
            <color indexed="81"/>
            <rFont val="Tahoma"/>
            <family val="2"/>
          </rPr>
          <t>Pim Lescrauwaet:</t>
        </r>
        <r>
          <rPr>
            <sz val="8"/>
            <color indexed="81"/>
            <rFont val="Tahoma"/>
            <family val="2"/>
          </rPr>
          <t xml:space="preserve">
vooral electrabel heffing (250 mn)
comment hvn: not one-off (repeated every year)</t>
        </r>
      </text>
    </comment>
    <comment ref="U947" authorId="2">
      <text>
        <r>
          <rPr>
            <b/>
            <sz val="8"/>
            <color indexed="81"/>
            <rFont val="Tahoma"/>
            <family val="2"/>
          </rPr>
          <t>F MELCARNE</t>
        </r>
        <r>
          <rPr>
            <sz val="8"/>
            <color indexed="81"/>
            <rFont val="Tahoma"/>
            <family val="2"/>
          </rPr>
          <t xml:space="preserve">
 speeding up of collection and settlement of taxes (-1170)  one-off tax paid by Electrabel (250)</t>
        </r>
      </text>
    </comment>
    <comment ref="V947" authorId="1">
      <text>
        <r>
          <rPr>
            <b/>
            <sz val="9"/>
            <color indexed="81"/>
            <rFont val="Tahoma"/>
            <family val="2"/>
          </rPr>
          <t>VAN NOTEN Henk (ECFIN):</t>
        </r>
        <r>
          <rPr>
            <sz val="9"/>
            <color indexed="81"/>
            <rFont val="Tahoma"/>
            <family val="2"/>
          </rPr>
          <t xml:space="preserve">
Electrabel heffing</t>
        </r>
      </text>
    </comment>
    <comment ref="W947" authorId="1">
      <text>
        <r>
          <rPr>
            <b/>
            <sz val="9"/>
            <color indexed="81"/>
            <rFont val="Tahoma"/>
            <family val="2"/>
          </rPr>
          <t>VAN NOTEN Henk (ECFIN):</t>
        </r>
        <r>
          <rPr>
            <sz val="9"/>
            <color indexed="81"/>
            <rFont val="Tahoma"/>
            <family val="2"/>
          </rPr>
          <t xml:space="preserve">
nucleaire heffing 2011 pas in 2012 geboekt</t>
        </r>
      </text>
    </comment>
    <comment ref="U949" authorId="2">
      <text>
        <r>
          <rPr>
            <b/>
            <sz val="8"/>
            <color indexed="81"/>
            <rFont val="Tahoma"/>
            <family val="2"/>
          </rPr>
          <t>Pim Lescrauwaet:</t>
        </r>
        <r>
          <rPr>
            <sz val="8"/>
            <color indexed="81"/>
            <rFont val="Tahoma"/>
            <family val="2"/>
          </rPr>
          <t xml:space="preserve">
exceptional tax remboursemt from 2 judgements (-1100)</t>
        </r>
      </text>
    </comment>
    <comment ref="V949" authorId="2">
      <text>
        <r>
          <rPr>
            <b/>
            <sz val="8"/>
            <color indexed="81"/>
            <rFont val="Tahoma"/>
            <family val="2"/>
          </rPr>
          <t>Pim Lescrauwaet:</t>
        </r>
        <r>
          <rPr>
            <sz val="8"/>
            <color indexed="81"/>
            <rFont val="Tahoma"/>
            <family val="2"/>
          </rPr>
          <t xml:space="preserve">
sales of real estate (145)</t>
        </r>
      </text>
    </comment>
    <comment ref="W949" authorId="1">
      <text>
        <r>
          <rPr>
            <b/>
            <sz val="9"/>
            <color indexed="81"/>
            <rFont val="Tahoma"/>
            <family val="2"/>
          </rPr>
          <t>VAN NOTEN Henk (ECFIN):</t>
        </r>
        <r>
          <rPr>
            <sz val="9"/>
            <color indexed="81"/>
            <rFont val="Tahoma"/>
            <family val="2"/>
          </rPr>
          <t xml:space="preserve">
570 losses on guarantees regions to holding communal (source planning bureau)</t>
        </r>
      </text>
    </comment>
    <comment ref="T956" authorId="2">
      <text>
        <r>
          <rPr>
            <b/>
            <sz val="8"/>
            <color indexed="81"/>
            <rFont val="Tahoma"/>
            <family val="2"/>
          </rPr>
          <t>Pim Lescrauwaet:</t>
        </r>
        <r>
          <rPr>
            <sz val="8"/>
            <color indexed="81"/>
            <rFont val="Tahoma"/>
            <family val="2"/>
          </rPr>
          <t xml:space="preserve">
vooral electrabel heffing</t>
        </r>
      </text>
    </comment>
    <comment ref="E970" authorId="0">
      <text>
        <r>
          <rPr>
            <b/>
            <sz val="8"/>
            <color indexed="81"/>
            <rFont val="Tahoma"/>
            <family val="2"/>
          </rPr>
          <t>bethuge:</t>
        </r>
        <r>
          <rPr>
            <sz val="8"/>
            <color indexed="81"/>
            <rFont val="Tahoma"/>
            <family val="2"/>
          </rPr>
          <t xml:space="preserve">
Total government expenditure = P.2 + P.5 + D.1p + D.29p + D.3p + D.4p + D.5p D.62p + D.6311p + D.63121p + D.63131p + D.7p + D.8 + D.9p + K.2.</t>
        </r>
      </text>
    </comment>
    <comment ref="E971" authorId="0">
      <text>
        <r>
          <rPr>
            <b/>
            <sz val="8"/>
            <color indexed="81"/>
            <rFont val="Tahoma"/>
            <family val="2"/>
          </rPr>
          <t>bethuge:</t>
        </r>
        <r>
          <rPr>
            <sz val="8"/>
            <color indexed="81"/>
            <rFont val="Tahoma"/>
            <family val="2"/>
          </rPr>
          <t xml:space="preserve">
Inconsistent data can result from different vintages of nationa accounts data</t>
        </r>
      </text>
    </comment>
    <comment ref="E1003" authorId="0">
      <text>
        <r>
          <rPr>
            <b/>
            <sz val="8"/>
            <color indexed="81"/>
            <rFont val="Tahoma"/>
            <family val="2"/>
          </rPr>
          <t>bethuge:</t>
        </r>
        <r>
          <rPr>
            <sz val="8"/>
            <color indexed="81"/>
            <rFont val="Tahoma"/>
            <family val="2"/>
          </rPr>
          <t xml:space="preserve">
Total government expenditure = P.2 + P.5 + D.1p + D.29p + D.3p + D.4p + D.5p D.62p + D.6311p + D.63121p + D.63131p + D.7p + D.8 + D.9p + K.2.</t>
        </r>
      </text>
    </comment>
    <comment ref="E1004" authorId="0">
      <text>
        <r>
          <rPr>
            <b/>
            <sz val="8"/>
            <color indexed="81"/>
            <rFont val="Tahoma"/>
            <family val="2"/>
          </rPr>
          <t>bethuge:</t>
        </r>
        <r>
          <rPr>
            <sz val="8"/>
            <color indexed="81"/>
            <rFont val="Tahoma"/>
            <family val="2"/>
          </rPr>
          <t xml:space="preserve">
Inconsistent data can result from different vintages of nationa accounts data</t>
        </r>
      </text>
    </comment>
    <comment ref="W1021" authorId="1">
      <text>
        <r>
          <rPr>
            <b/>
            <sz val="9"/>
            <color indexed="81"/>
            <rFont val="Tahoma"/>
            <family val="2"/>
          </rPr>
          <t>VAN NOTEN Henk (ECFIN):</t>
        </r>
        <r>
          <rPr>
            <sz val="9"/>
            <color indexed="81"/>
            <rFont val="Tahoma"/>
            <family val="2"/>
          </rPr>
          <t xml:space="preserve">
570 mn Holding communal (regions)</t>
        </r>
      </text>
    </comment>
    <comment ref="Y1038" authorId="1">
      <text>
        <r>
          <rPr>
            <b/>
            <sz val="9"/>
            <color indexed="81"/>
            <rFont val="Tahoma"/>
            <family val="2"/>
          </rPr>
          <t>VAN NOTEN Henk (ECFIN):</t>
        </r>
        <r>
          <rPr>
            <sz val="9"/>
            <color indexed="81"/>
            <rFont val="Tahoma"/>
            <family val="2"/>
          </rPr>
          <t xml:space="preserve">
Includes statistical effect Dexia on 2013</t>
        </r>
      </text>
    </comment>
    <comment ref="E1125" authorId="0">
      <text>
        <r>
          <rPr>
            <b/>
            <sz val="8"/>
            <color indexed="81"/>
            <rFont val="Tahoma"/>
            <family val="2"/>
          </rPr>
          <t>bethuge:</t>
        </r>
        <r>
          <rPr>
            <sz val="8"/>
            <color indexed="81"/>
            <rFont val="Tahoma"/>
            <family val="2"/>
          </rPr>
          <t xml:space="preserve">
Inconsistent data can result from different vintages of nationa accounts data</t>
        </r>
      </text>
    </comment>
    <comment ref="E1135" authorId="0">
      <text>
        <r>
          <rPr>
            <b/>
            <sz val="8"/>
            <color indexed="81"/>
            <rFont val="Tahoma"/>
            <family val="2"/>
          </rPr>
          <t>bethuge:</t>
        </r>
        <r>
          <rPr>
            <sz val="8"/>
            <color indexed="81"/>
            <rFont val="Tahoma"/>
            <family val="2"/>
          </rPr>
          <t xml:space="preserve">
Inconsistent data can result from different vintages of nationa accounts data</t>
        </r>
      </text>
    </comment>
    <comment ref="E1142" authorId="0">
      <text>
        <r>
          <rPr>
            <b/>
            <sz val="8"/>
            <color indexed="81"/>
            <rFont val="Tahoma"/>
            <family val="2"/>
          </rPr>
          <t>bethuge:</t>
        </r>
        <r>
          <rPr>
            <sz val="8"/>
            <color indexed="81"/>
            <rFont val="Tahoma"/>
            <family val="2"/>
          </rPr>
          <t xml:space="preserve">
Inconsistent data can result from different vintages of nationa accounts data</t>
        </r>
      </text>
    </comment>
  </commentList>
</comments>
</file>

<file path=xl/comments8.xml><?xml version="1.0" encoding="utf-8"?>
<comments xmlns="http://schemas.openxmlformats.org/spreadsheetml/2006/main">
  <authors>
    <author>ECFIN (Lopes)</author>
  </authors>
  <commentList>
    <comment ref="A11" authorId="0">
      <text>
        <r>
          <rPr>
            <sz val="9"/>
            <color indexed="81"/>
            <rFont val="Tahoma"/>
            <family val="2"/>
          </rPr>
          <t>Saved by NET1\LOPESDA on 23/04/2018 10:43:29
Latest revision date 23/04/2018 10:43:21</t>
        </r>
      </text>
    </comment>
  </commentList>
</comments>
</file>

<file path=xl/comments9.xml><?xml version="1.0" encoding="utf-8"?>
<comments xmlns="http://schemas.openxmlformats.org/spreadsheetml/2006/main">
  <authors>
    <author>ECFIN (Lopes)</author>
  </authors>
  <commentList>
    <comment ref="A11" authorId="0">
      <text>
        <r>
          <rPr>
            <sz val="9"/>
            <color indexed="81"/>
            <rFont val="Tahoma"/>
            <family val="2"/>
          </rPr>
          <t>Saved by NET1\LOPESDA on 23/04/2018 10:43:42
Latest revision date 23/04/2018 10:43:36</t>
        </r>
      </text>
    </comment>
  </commentList>
</comments>
</file>

<file path=xl/connections.xml><?xml version="1.0" encoding="utf-8"?>
<connections xmlns="http://schemas.openxmlformats.org/spreadsheetml/2006/main">
  <connection id="1" name="Connection4" type="4" refreshedVersion="4" background="1" saveData="1">
    <webPr sourceData="1" parsePre="1" consecutive="1" xl2000="1" url="http://intragate.ec.europa.eu/scopax/dfm/web_query/qy_transfer_matrix.cfm?cty=BE" htmlTables="1" htmlFormat="all"/>
  </connection>
  <connection id="2" name="Connection41" type="4" refreshedVersion="4" background="1" saveData="1">
    <webPr sourceData="1" parsePre="1" consecutive="1" xl2000="1" url="http://intragate.ec.europa.eu/scopax/dfm/web_query/qy_transfer_matrix.cfm?cty=BE&amp;cvt=1" htmlTables="1" htmlFormat="all"/>
  </connection>
  <connection id="3" name="Connection42" type="4" refreshedVersion="4" background="1" saveData="1">
    <webPr sourceData="1" parsePre="1" consecutive="1" xl2000="1" url="http://intragate.ec.europa.eu/scopax/dfm/web_query/qy_transfer_matrix.cfm?cty=BE&amp;cvt=1" htmlTables="1" htmlFormat="all"/>
  </connection>
  <connection id="4" name="Connection5" type="4" refreshedVersion="4" background="1" saveData="1">
    <webPr sourceData="1" parsePre="1" consecutive="1" xl2000="1" url="http://intragate.ec.europa.eu/scopax/dfm/web_query/qy_additional_impact.cfm?cty=BE" htmlTables="1" htmlFormat="all"/>
  </connection>
  <connection id="5" name="Connection51" type="4" refreshedVersion="4" background="1" saveData="1">
    <webPr sourceData="1" parsePre="1" consecutive="1" xl2000="1" url="http://intragate.ec.europa.eu/scopax/dfm/web_query/qy_additional_impact.cfm?cty=BE&amp;cvt=1" htmlTables="1" htmlFormat="all"/>
  </connection>
  <connection id="6" name="Connection52" type="4" refreshedVersion="4" background="1" saveData="1">
    <webPr sourceData="1" parsePre="1" consecutive="1" xl2000="1" url="http://intragate.ec.europa.eu/scopax/dfm/web_query/qy_additional_impact.cfm?cty=BE&amp;cvt=1" htmlTables="1" htmlFormat="all"/>
  </connection>
</connections>
</file>

<file path=xl/sharedStrings.xml><?xml version="1.0" encoding="utf-8"?>
<sst xmlns="http://schemas.openxmlformats.org/spreadsheetml/2006/main" count="12675" uniqueCount="2745">
  <si>
    <t>Follow this link to the detailed breakdown of nominal government consumption in the sector sheet</t>
  </si>
  <si>
    <t>Follow this link to the total consumption forecast in VVP1</t>
  </si>
  <si>
    <t>Of which:</t>
  </si>
  <si>
    <t>Gross operating surplus / mixed income (B.2g)</t>
  </si>
  <si>
    <t>Overview table</t>
  </si>
  <si>
    <t>Individual consumption expenditure (P.31)</t>
  </si>
  <si>
    <t>Collective consumption expenditure (P.32)</t>
  </si>
  <si>
    <t>Pi6(5)</t>
  </si>
  <si>
    <t>Currency:</t>
  </si>
  <si>
    <t xml:space="preserve">   4. Consumption of fixed capital</t>
  </si>
  <si>
    <t>K1</t>
  </si>
  <si>
    <t xml:space="preserve">   5. Other</t>
  </si>
  <si>
    <t xml:space="preserve">   6. Sales</t>
  </si>
  <si>
    <t xml:space="preserve">   7. Government consumption (1+2+3+4+5-6)</t>
  </si>
  <si>
    <t>In sheet VVP1, select the block of 5 columns for t-2 and copy to the right (overwriting the old forecast columns for t-1).</t>
  </si>
  <si>
    <t>In sheet Sector2, select the block of 6 columns for t-2 ad copy it to the right (overwriting the old forecast columns for t-1).</t>
  </si>
  <si>
    <t>For example: In the quarterly sheet, usually information on HICP available sooner than data on expenditure.</t>
  </si>
  <si>
    <t>Employer's social contr. / employee (private)</t>
  </si>
  <si>
    <t>HICP Y INDEX UNPROCESSED FOOD</t>
  </si>
  <si>
    <t xml:space="preserve">  14. Gross saving (5-13)</t>
  </si>
  <si>
    <t xml:space="preserve">VVP1, cells BM118:BN118 </t>
  </si>
  <si>
    <t>Error in formula corrected</t>
  </si>
  <si>
    <t xml:space="preserve">VVP2, cells S344:U344 </t>
  </si>
  <si>
    <t>Sector1, line 11</t>
  </si>
  <si>
    <t>Values should be divided by 1000</t>
  </si>
  <si>
    <t>When forecasting a variable (e.g. social contributions - D.61), the sheet automatically enforces consistency between</t>
  </si>
  <si>
    <t>P31=D63</t>
  </si>
  <si>
    <t xml:space="preserve">   4. Sales and other current revenue</t>
  </si>
  <si>
    <t xml:space="preserve">   2a.  - of which, paid by households and NPISH</t>
  </si>
  <si>
    <t xml:space="preserve">   2b.  - of which, paid by corporations</t>
  </si>
  <si>
    <t xml:space="preserve">   5. Total current revenue (1+2+3+4)</t>
  </si>
  <si>
    <t>Error in formulas table 10b, lines 7a and 7b corrected</t>
  </si>
  <si>
    <t>Imports (constant prices)</t>
  </si>
  <si>
    <t>*11</t>
  </si>
  <si>
    <t>*10</t>
  </si>
  <si>
    <t>Balances (constant prices)</t>
  </si>
  <si>
    <t>Balance of goods</t>
  </si>
  <si>
    <t>VBG</t>
  </si>
  <si>
    <t xml:space="preserve">VOL. GOVERNMENT CONSUMPTION EXPEND. </t>
  </si>
  <si>
    <t>VAC</t>
  </si>
  <si>
    <t>VOL. G.F.C.F. TOTAL</t>
  </si>
  <si>
    <t>VOL. G.F.C.F. CONSTRUCTION</t>
  </si>
  <si>
    <t>VICst</t>
  </si>
  <si>
    <t>VOL. G.F.C.F. EQUIPMENT</t>
  </si>
  <si>
    <t>Investment in inventories (constant prices)</t>
  </si>
  <si>
    <t>*7</t>
  </si>
  <si>
    <t>Domestic demand including inventories</t>
  </si>
  <si>
    <t>VDDI</t>
  </si>
  <si>
    <t>Exports (constant prices)</t>
  </si>
  <si>
    <t>*9</t>
  </si>
  <si>
    <t>*8</t>
  </si>
  <si>
    <t>Exports (P.6)</t>
  </si>
  <si>
    <t>VFD</t>
  </si>
  <si>
    <t>Change in inventories in % of GDP</t>
  </si>
  <si>
    <t>Sheets with blue tabs are for information or (in some cases) contain necessary calculations.</t>
  </si>
  <si>
    <t>Sheets with green tabs contain charts for illustration.</t>
  </si>
  <si>
    <t>Investment by type of asset (current prices)</t>
  </si>
  <si>
    <t>$Pr$ICstNonR</t>
  </si>
  <si>
    <t>$ICst</t>
  </si>
  <si>
    <t>$Pr$Eq</t>
  </si>
  <si>
    <t>$I</t>
  </si>
  <si>
    <t>Investment by sector (current prices)</t>
  </si>
  <si>
    <t>pm Real estate sales</t>
  </si>
  <si>
    <t>pm Gross fixed capital formation (P.51) excl. Sale of real estate</t>
  </si>
  <si>
    <t>As % of GDP</t>
  </si>
  <si>
    <t>GROWTH RATES</t>
  </si>
  <si>
    <t xml:space="preserve"> L42:L47</t>
  </si>
  <si>
    <t xml:space="preserve"> L28</t>
  </si>
  <si>
    <t xml:space="preserve"> L58:L59</t>
  </si>
  <si>
    <t xml:space="preserve"> L62:L63</t>
  </si>
  <si>
    <t>and here are all stored transfer matrices (up to five).</t>
  </si>
  <si>
    <t>INCOME AND EXPENDITURE OF HOUSEHOLDS AND NON-PROFIT INSTITUTIONS SERVING HOUSEHOLDS (S14+S15)</t>
  </si>
  <si>
    <t>- level, expressed in previous year's prices (PYP)</t>
  </si>
  <si>
    <t>Growth rates (quarter-on-quarter)</t>
  </si>
  <si>
    <t>Yearly growth implicit in quarterly profile</t>
  </si>
  <si>
    <t xml:space="preserve">Government final consumption expenditure                                        </t>
  </si>
  <si>
    <t xml:space="preserve">Changes in inventories and net acquisition of valuables                         </t>
  </si>
  <si>
    <t>in % GDP</t>
  </si>
  <si>
    <t xml:space="preserve">  11. HICP</t>
  </si>
  <si>
    <t>Wages &amp; salaries</t>
  </si>
  <si>
    <r>
      <t xml:space="preserve">The Labour sheet has </t>
    </r>
    <r>
      <rPr>
        <b/>
        <sz val="11"/>
        <rFont val="Arial"/>
        <family val="2"/>
      </rPr>
      <t>one column for each year</t>
    </r>
    <r>
      <rPr>
        <sz val="11"/>
        <rFont val="Arial"/>
        <family val="2"/>
      </rPr>
      <t xml:space="preserve"> (historical and forecast years).</t>
    </r>
  </si>
  <si>
    <t>TAX ELASTICITY OECD SOCIAL CONTR. (col 1)</t>
  </si>
  <si>
    <t>VMG</t>
  </si>
  <si>
    <t>$XG</t>
  </si>
  <si>
    <t>D61</t>
  </si>
  <si>
    <r>
      <t>Quart</t>
    </r>
    <r>
      <rPr>
        <sz val="11"/>
        <rFont val="Arial"/>
        <family val="2"/>
      </rPr>
      <t xml:space="preserve"> contains all variables forecasted on a quarterly basis.</t>
    </r>
  </si>
  <si>
    <t>Before you start making a forecast, some preparations need to be made:</t>
  </si>
  <si>
    <t>Debt current year - Growth rate</t>
  </si>
  <si>
    <t>D.612r (GVT)</t>
  </si>
  <si>
    <t>K.2 (GVT)</t>
  </si>
  <si>
    <t>P.52 + P.53 (GVT)</t>
  </si>
  <si>
    <t>D.9 (EXT)</t>
  </si>
  <si>
    <t>Services</t>
  </si>
  <si>
    <t>- price growth</t>
  </si>
  <si>
    <t>Investment in inventories (current prices)</t>
  </si>
  <si>
    <t>Exports (current prices)</t>
  </si>
  <si>
    <t>$XFob</t>
  </si>
  <si>
    <t xml:space="preserve">  2. Government consumption expenditure</t>
  </si>
  <si>
    <t xml:space="preserve">  3. Gross fixed capital formation</t>
  </si>
  <si>
    <t xml:space="preserve">  3a.  - of which, construction </t>
  </si>
  <si>
    <t xml:space="preserve">  3b.  - of which, equipment </t>
  </si>
  <si>
    <t xml:space="preserve">  19. Total government expenditure (13+16+17)</t>
  </si>
  <si>
    <t xml:space="preserve">  18. Total government revenue (5+15)</t>
  </si>
  <si>
    <r>
      <t>VVP</t>
    </r>
    <r>
      <rPr>
        <sz val="11"/>
        <rFont val="Arial"/>
        <family val="2"/>
      </rPr>
      <t xml:space="preserve"> contains all variables for which volume, value and price developments have to be forecasted.</t>
    </r>
  </si>
  <si>
    <t>GVT: Capital transfers (D.9p)</t>
  </si>
  <si>
    <t>LEmpTotManD</t>
  </si>
  <si>
    <t xml:space="preserve"> ((L113+L131 t - L113+L131 t-1) ÷ L113+L131 t-1) ÷ ((L36 t - L36 t-1) ÷ L36 t-1)</t>
  </si>
  <si>
    <t xml:space="preserve"> L158 col 1</t>
  </si>
  <si>
    <t xml:space="preserve"> (L113+L131) ÷ L36</t>
  </si>
  <si>
    <t xml:space="preserve"> From line 18 onwards : % GDP instead of % change in every second column. Value divided by L47 (current GDP)</t>
  </si>
  <si>
    <t xml:space="preserve"> L113+L114+L115+L117+L125+L143</t>
  </si>
  <si>
    <t>GG CONSUMPTION OF FIXED CAPITAL</t>
  </si>
  <si>
    <t xml:space="preserve"> L91</t>
  </si>
  <si>
    <t xml:space="preserve"> L93</t>
  </si>
  <si>
    <t>ESA code</t>
  </si>
  <si>
    <t>Quarter on quarter growth rates</t>
  </si>
  <si>
    <t>Domestic demand (incl. inventories)</t>
  </si>
  <si>
    <t>TOT. WAGE AND SALARY EARNERS F.T.E.</t>
  </si>
  <si>
    <r>
      <t xml:space="preserve">A very </t>
    </r>
    <r>
      <rPr>
        <b/>
        <sz val="11"/>
        <rFont val="Arial"/>
        <family val="2"/>
      </rPr>
      <t>useful feature</t>
    </r>
    <r>
      <rPr>
        <sz val="11"/>
        <rFont val="Arial"/>
        <family val="2"/>
      </rPr>
      <t xml:space="preserve"> is the "save values" button.</t>
    </r>
  </si>
  <si>
    <t>This allows you to store the values of up to five transfer matrices.</t>
  </si>
  <si>
    <t xml:space="preserve"> Special calculation A-4 based on Eurostat unemployment rates</t>
  </si>
  <si>
    <t>Total employment (domestic - full time equivalent)</t>
  </si>
  <si>
    <t>AV. HOURS WORKED</t>
  </si>
  <si>
    <t>GG SOC TRANSF IN KIND VIA MARKET PRODUCERS</t>
  </si>
  <si>
    <t>Other current revenue</t>
  </si>
  <si>
    <t>p.m. growth of total social transfers in kind (D.63 = P.31)</t>
  </si>
  <si>
    <t>YATotRev</t>
  </si>
  <si>
    <t>D.41p (GVT)</t>
  </si>
  <si>
    <t>YAPropN</t>
  </si>
  <si>
    <t>D.7r (GVT)</t>
  </si>
  <si>
    <t>D.7p (GVT)</t>
  </si>
  <si>
    <t>D.611r (GVT)</t>
  </si>
  <si>
    <t xml:space="preserve">   4. Current taxes on income and wealth</t>
  </si>
  <si>
    <t>D5K</t>
  </si>
  <si>
    <t>D5</t>
  </si>
  <si>
    <t xml:space="preserve">   5. Current Transfers paid</t>
  </si>
  <si>
    <t>D61+D7</t>
  </si>
  <si>
    <t xml:space="preserve">   6. Gross disposable income (1+2+3-4-5)</t>
  </si>
  <si>
    <t>B6g</t>
  </si>
  <si>
    <t xml:space="preserve"> L95</t>
  </si>
  <si>
    <t xml:space="preserve"> L47</t>
  </si>
  <si>
    <t>B.11</t>
  </si>
  <si>
    <t>HH GROSS OPERATION SURPLUS</t>
  </si>
  <si>
    <t>YHGos</t>
  </si>
  <si>
    <t xml:space="preserve"> L78:L77</t>
  </si>
  <si>
    <t>Additional lines 167-176 in transfer matrix</t>
  </si>
  <si>
    <t>Sector1, line 70-131</t>
  </si>
  <si>
    <t>Small modifications to the way GVA and GOS is forecasted</t>
  </si>
  <si>
    <t>v3</t>
  </si>
  <si>
    <t xml:space="preserve">  17. Other capital expenditure</t>
  </si>
  <si>
    <t xml:space="preserve">  14a. p.m. as % of GDP</t>
  </si>
  <si>
    <t xml:space="preserve">  20. Net lending (+) / net borrowing (-) (18-19)</t>
  </si>
  <si>
    <t xml:space="preserve">  21. Net lending/borrowing for EDP purposes</t>
  </si>
  <si>
    <r>
      <t xml:space="preserve">3. Also in the forecast sheet, </t>
    </r>
    <r>
      <rPr>
        <b/>
        <sz val="11"/>
        <rFont val="Arial"/>
        <family val="2"/>
      </rPr>
      <t>overwrite previous forecast years</t>
    </r>
    <r>
      <rPr>
        <sz val="11"/>
        <rFont val="Arial"/>
        <family val="2"/>
      </rPr>
      <t xml:space="preserve"> for which you now have a full set of historical data.</t>
    </r>
  </si>
  <si>
    <t>Contribution to change in GDP</t>
  </si>
  <si>
    <t xml:space="preserve"> 11. Final domestic demand</t>
  </si>
  <si>
    <t>Wage and salary earners (domestic - full time equivalent)</t>
  </si>
  <si>
    <t>YASubProd</t>
  </si>
  <si>
    <t>Check:</t>
  </si>
  <si>
    <t>D.8r (HH)</t>
  </si>
  <si>
    <t>D.8p (E)</t>
  </si>
  <si>
    <t xml:space="preserve"> L36+L37+L38</t>
  </si>
  <si>
    <t xml:space="preserve"> L36+L37+L38+L42</t>
  </si>
  <si>
    <t xml:space="preserve"> L43+L44</t>
  </si>
  <si>
    <t xml:space="preserve"> External file LONGM  (ECFIN A-4 database)</t>
  </si>
  <si>
    <t xml:space="preserve"> L45:L10</t>
  </si>
  <si>
    <t>Contribution to quarterly growth</t>
  </si>
  <si>
    <t>Debt increase as % of GDP</t>
  </si>
  <si>
    <t>Stock-flow adjustment as % of GDP</t>
  </si>
  <si>
    <t>Snowball effect</t>
  </si>
  <si>
    <t>Net borrowing as % of GDP</t>
  </si>
  <si>
    <t>- ALend</t>
  </si>
  <si>
    <t>ADebt[t] - ADebt[t-1]</t>
  </si>
  <si>
    <t>- growth rate in values</t>
  </si>
  <si>
    <t>VAL. GFCF in other domestic sectors</t>
  </si>
  <si>
    <t>AGG. GFCF in other domestic sectors</t>
  </si>
  <si>
    <t>VOL. GFCF in other domestic sectors</t>
  </si>
  <si>
    <t>D.1p[GVT]</t>
  </si>
  <si>
    <t>D29p[GVT] - D39r[GVT]</t>
  </si>
  <si>
    <t>B.2g[GVT]</t>
  </si>
  <si>
    <t>D.1p[E]</t>
  </si>
  <si>
    <t>D29p[E] - D39r[E]</t>
  </si>
  <si>
    <t xml:space="preserve"> ((L87+L89+L90+L91-L92-L93) + L94) : (L36:L1)    L36:L1 = private consumption deflator</t>
  </si>
  <si>
    <t xml:space="preserve"> 13. External balance of goods and services </t>
  </si>
  <si>
    <t>B11</t>
  </si>
  <si>
    <t xml:space="preserve">   7a. - individual consumption = social transfers in kind</t>
  </si>
  <si>
    <t xml:space="preserve">   7b. - collective consumption</t>
  </si>
  <si>
    <t xml:space="preserve">  20a. - primary balance (20+10)</t>
  </si>
  <si>
    <t xml:space="preserve"> L107</t>
  </si>
  <si>
    <t xml:space="preserve"> L143+L117</t>
  </si>
  <si>
    <t xml:space="preserve"> L113+L114+L115+L117+L143</t>
  </si>
  <si>
    <t xml:space="preserve"> L120</t>
  </si>
  <si>
    <t xml:space="preserve"> L146</t>
  </si>
  <si>
    <t>TOTAL POPULATION</t>
  </si>
  <si>
    <t>POPULATION OF WORKING AGE (15-64)</t>
  </si>
  <si>
    <t>REGISTERED UNEMPLOYED PERSONS</t>
  </si>
  <si>
    <t>LUemp</t>
  </si>
  <si>
    <t xml:space="preserve">   6. Compensation of employees</t>
  </si>
  <si>
    <t xml:space="preserve">   7. Intermediate consumption</t>
  </si>
  <si>
    <t xml:space="preserve">   8. Social transfers in kind supplied via market producers</t>
  </si>
  <si>
    <t xml:space="preserve">  10. Interest</t>
  </si>
  <si>
    <t xml:space="preserve">  11. Subsidies</t>
  </si>
  <si>
    <t xml:space="preserve">Current taxes on income and wealth (D.5p) </t>
  </si>
  <si>
    <t xml:space="preserve"> L50-L51</t>
  </si>
  <si>
    <t>D21</t>
  </si>
  <si>
    <t xml:space="preserve"> L50</t>
  </si>
  <si>
    <t>D31</t>
  </si>
  <si>
    <t xml:space="preserve"> L51</t>
  </si>
  <si>
    <t>Last forecast year</t>
  </si>
  <si>
    <t xml:space="preserve"> L47 (repeat of line 10)</t>
  </si>
  <si>
    <t>Table 5</t>
  </si>
  <si>
    <t>% change in implicit price deflator</t>
  </si>
  <si>
    <t>$ACapT</t>
  </si>
  <si>
    <t>$AI</t>
  </si>
  <si>
    <t>$AIny</t>
  </si>
  <si>
    <t>D.21r (GVT)</t>
  </si>
  <si>
    <t>HH GROSS WAGES AND SALARIES</t>
  </si>
  <si>
    <t>YHW</t>
  </si>
  <si>
    <t xml:space="preserve">   1. Ex ante elasticity with respect to nominal GDP</t>
  </si>
  <si>
    <t>$ADebt[t-1]</t>
  </si>
  <si>
    <t>Growth July - July</t>
  </si>
  <si>
    <r>
      <t>VVP1</t>
    </r>
    <r>
      <rPr>
        <sz val="11"/>
        <rFont val="Arial"/>
        <family val="2"/>
      </rPr>
      <t xml:space="preserve"> contains </t>
    </r>
    <r>
      <rPr>
        <b/>
        <sz val="11"/>
        <rFont val="Arial"/>
        <family val="2"/>
      </rPr>
      <t>five columns for every year</t>
    </r>
    <r>
      <rPr>
        <sz val="11"/>
        <rFont val="Arial"/>
        <family val="2"/>
      </rPr>
      <t>, expressing:</t>
    </r>
  </si>
  <si>
    <t>VOL. IMPORTS OF GOODS (FOB)</t>
  </si>
  <si>
    <t xml:space="preserve"> L1+L2+L3+L7</t>
  </si>
  <si>
    <t xml:space="preserve"> L8+L9</t>
  </si>
  <si>
    <t xml:space="preserve"> L8</t>
  </si>
  <si>
    <t xml:space="preserve"> L9</t>
  </si>
  <si>
    <t xml:space="preserve"> L1+L2+L3+L7+L8+L9</t>
  </si>
  <si>
    <t xml:space="preserve"> L10+L11</t>
  </si>
  <si>
    <t xml:space="preserve"> L10</t>
  </si>
  <si>
    <t xml:space="preserve"> L11</t>
  </si>
  <si>
    <t xml:space="preserve"> L12</t>
  </si>
  <si>
    <t xml:space="preserve">   9. GDP</t>
  </si>
  <si>
    <t>GG TOTAL GOVERNMENT EXPENDITURE</t>
  </si>
  <si>
    <t>$ATotExp</t>
  </si>
  <si>
    <t>Property income (net, excluding interests paid) (D.4-D.41p)</t>
  </si>
  <si>
    <t xml:space="preserve"> L128</t>
  </si>
  <si>
    <t xml:space="preserve"> L113+L114+L116+L130+L131</t>
  </si>
  <si>
    <t>Table 11</t>
  </si>
  <si>
    <t>EXTERNAL TRANSACTIONS ACCOUNT OF THE NATION (S2)</t>
  </si>
  <si>
    <t xml:space="preserve">   1. Exports of goods (fob)</t>
  </si>
  <si>
    <t>133/*141</t>
  </si>
  <si>
    <t xml:space="preserve"> ((L50-L51) : L47) x ((L50-L51) : L12)</t>
  </si>
  <si>
    <t xml:space="preserve"> L47:L12 (repeat of line 10)</t>
  </si>
  <si>
    <t xml:space="preserve"> L75</t>
  </si>
  <si>
    <t>Sector1, line 481</t>
  </si>
  <si>
    <t>Additional line 148 in transfer matrix</t>
  </si>
  <si>
    <t>p.m. : other current revenues excluding sales</t>
  </si>
  <si>
    <t>DECOMPOSITION OF GOVERNMENT CONSUMPTION EXPENDITURE</t>
  </si>
  <si>
    <t>Gross saving (B.8g)</t>
  </si>
  <si>
    <t>Capital transfers (net) (D.9)</t>
  </si>
  <si>
    <t xml:space="preserve"> 14. Compensation of employees</t>
  </si>
  <si>
    <t>(in the example: only select the part of the column covering HICP).</t>
  </si>
  <si>
    <t>historical year = a year for which data is available in the input sheet</t>
  </si>
  <si>
    <t xml:space="preserve">Although the previous example is still relatively easy, integrating partial historical data can in some cases cause some complications. </t>
  </si>
  <si>
    <t>HICP Y INDEX NON-ENERGY INDUSTRIAL GOODS</t>
  </si>
  <si>
    <t>HICP Y INDEX ENERGY</t>
  </si>
  <si>
    <t>HICP Y INDEX PROCESSED FOOD INCL. ALCOHOL AND TOBACCO</t>
  </si>
  <si>
    <t>GG COLLECTIVE CONSUMPTION EXPENDITURE</t>
  </si>
  <si>
    <t>GG SOCIAL TRANSFERS IN KIND</t>
  </si>
  <si>
    <t>GG COMPENSATION OF EMPLOYEES</t>
  </si>
  <si>
    <t>[Table 8.12]</t>
  </si>
  <si>
    <t xml:space="preserve">   Gross savings (B.8g - private sector)</t>
  </si>
  <si>
    <t>growth rates</t>
  </si>
  <si>
    <t>Structure</t>
  </si>
  <si>
    <t>1OFS (REVENUE SIDE)</t>
  </si>
  <si>
    <t>1OFS (EXPENDITURE SIDE)</t>
  </si>
  <si>
    <t>AYTaxSoc</t>
  </si>
  <si>
    <t>TSocToRow (*)</t>
  </si>
  <si>
    <t>*91</t>
  </si>
  <si>
    <t>YHTot</t>
  </si>
  <si>
    <t>YETot</t>
  </si>
  <si>
    <t>YATot</t>
  </si>
  <si>
    <t>- Rest of the world (S.2)</t>
  </si>
  <si>
    <t>d. Sector sheets</t>
  </si>
  <si>
    <t>Exports of goods by region</t>
  </si>
  <si>
    <t>HICP (calculated)</t>
  </si>
  <si>
    <r>
      <t xml:space="preserve">Don't forget to fill in the </t>
    </r>
    <r>
      <rPr>
        <b/>
        <sz val="11"/>
        <rFont val="Arial"/>
        <family val="2"/>
      </rPr>
      <t>global settings</t>
    </r>
    <r>
      <rPr>
        <sz val="11"/>
        <rFont val="Arial"/>
        <family val="2"/>
      </rPr>
      <t xml:space="preserve"> at the top before you decide to store your data in the central system.</t>
    </r>
  </si>
  <si>
    <t>EMPLOYEES LAB. FORCE STATISTICS</t>
  </si>
  <si>
    <t>GVT: Other capital transfers (D.9r-D.91r-D.995)</t>
  </si>
  <si>
    <t>TaxToRow</t>
  </si>
  <si>
    <t>133/*140</t>
  </si>
  <si>
    <t>$ATE</t>
  </si>
  <si>
    <t xml:space="preserve"> (L113+L114+L115+L117+L125+L143)-(L120+L121+L123+L124+L126+L127+L145+L146)</t>
  </si>
  <si>
    <t>v2</t>
  </si>
  <si>
    <t>Wages &amp; salaries (manufacturing added)</t>
  </si>
  <si>
    <t>Labour1, lines 267-278 inserted (+additional input line in InputY and data_p)</t>
  </si>
  <si>
    <t>LEmpManDFTE</t>
  </si>
  <si>
    <t>VACIndv</t>
  </si>
  <si>
    <t>VACColl</t>
  </si>
  <si>
    <t>HICP Y INDEX SERVICES</t>
  </si>
  <si>
    <t xml:space="preserve"> L45</t>
  </si>
  <si>
    <t xml:space="preserve"> Table-line 3 : L47</t>
  </si>
  <si>
    <t xml:space="preserve"> L138</t>
  </si>
  <si>
    <t xml:space="preserve"> L139</t>
  </si>
  <si>
    <t xml:space="preserve"> Table-line 6 : L47</t>
  </si>
  <si>
    <t>SubFrRow</t>
  </si>
  <si>
    <t>YHPropN</t>
  </si>
  <si>
    <t xml:space="preserve">   1. Ex ante elasticity with respect to compensation of employees</t>
  </si>
  <si>
    <t>GVT+EXT</t>
  </si>
  <si>
    <t>HH CURRENT TAXES ON INCOME AND WEALTH</t>
  </si>
  <si>
    <t>$HTaxDir</t>
  </si>
  <si>
    <t>Employer's social contr. / employee (in % of wages)</t>
  </si>
  <si>
    <t xml:space="preserve"> 12. HICP</t>
  </si>
  <si>
    <t xml:space="preserve"> Table-line 7 : L47</t>
  </si>
  <si>
    <t xml:space="preserve"> External file UNEMPLR (ECFIN A-4 database, source : Ameco + nat. uneployment rates)</t>
  </si>
  <si>
    <t xml:space="preserve"> L12:L59</t>
  </si>
  <si>
    <t xml:space="preserve"> L61:L63</t>
  </si>
  <si>
    <t xml:space="preserve"> (L113+L114+L115+L117+L143) - (L120+L121+L122+L123+L124+L145+L146)</t>
  </si>
  <si>
    <t xml:space="preserve"> L126</t>
  </si>
  <si>
    <t xml:space="preserve"> L100</t>
  </si>
  <si>
    <t xml:space="preserve"> L101</t>
  </si>
  <si>
    <t xml:space="preserve"> L102</t>
  </si>
  <si>
    <t>HICP Q ENERGY</t>
  </si>
  <si>
    <t>HICP Q PROCESSED FOOD INCL. ALCOHOL AND TOBACCO</t>
  </si>
  <si>
    <t xml:space="preserve"> Table-line 10 : L47</t>
  </si>
  <si>
    <t xml:space="preserve"> L109</t>
  </si>
  <si>
    <t xml:space="preserve"> L110</t>
  </si>
  <si>
    <r>
      <t>PLEASE MAKE SURE THAT THE DATA_P.XLS FILE IS IN THE SAME FOLDER AS THIS FORECAST SHEET!</t>
    </r>
    <r>
      <rPr>
        <b/>
        <sz val="10"/>
        <rFont val="Arial"/>
        <family val="2"/>
      </rPr>
      <t xml:space="preserve"> </t>
    </r>
    <r>
      <rPr>
        <b/>
        <u/>
        <sz val="10"/>
        <rFont val="Arial"/>
        <family val="2"/>
      </rPr>
      <t>Instruction</t>
    </r>
    <r>
      <rPr>
        <b/>
        <sz val="10"/>
        <rFont val="Arial"/>
        <family val="2"/>
      </rPr>
      <t>: To create a link to data_p, enter the data_p sheetname (e.g. UG) in column D and the data_p row number in column E. Columns F - AF will be filled automatically.</t>
    </r>
    <r>
      <rPr>
        <b/>
        <sz val="10"/>
        <color indexed="10"/>
        <rFont val="Arial"/>
        <family val="2"/>
      </rPr>
      <t xml:space="preserve"> </t>
    </r>
  </si>
  <si>
    <t xml:space="preserve"> External file ECUS  (ECFIN A-4 database)</t>
  </si>
  <si>
    <t xml:space="preserve"> L43</t>
  </si>
  <si>
    <t>VXSTour</t>
  </si>
  <si>
    <t>VMSTour</t>
  </si>
  <si>
    <t>VECapForm</t>
  </si>
  <si>
    <t>VPrvCapForm</t>
  </si>
  <si>
    <t>VManCapForm</t>
  </si>
  <si>
    <t>YCompD W&amp;S</t>
  </si>
  <si>
    <t>LEmpTot</t>
  </si>
  <si>
    <t>CompFrRow</t>
  </si>
  <si>
    <t>CompToRow</t>
  </si>
  <si>
    <t>GDP (EDP)</t>
  </si>
  <si>
    <t>PropFrRowN</t>
  </si>
  <si>
    <t>CapTRowN</t>
  </si>
  <si>
    <t>RowNonFinN</t>
  </si>
  <si>
    <t>$IMan</t>
  </si>
  <si>
    <t>$ASubProd</t>
  </si>
  <si>
    <t>VM</t>
  </si>
  <si>
    <t>VGrVadd</t>
  </si>
  <si>
    <t>P.3 (HH)</t>
  </si>
  <si>
    <t>P.31 (GVT)</t>
  </si>
  <si>
    <t>P.32 (GVT)</t>
  </si>
  <si>
    <t>P.3 (GVT)</t>
  </si>
  <si>
    <t>P61</t>
  </si>
  <si>
    <t>Total compensation per employee (values in 1000 euro)</t>
  </si>
  <si>
    <t xml:space="preserve"> L140+L141</t>
  </si>
  <si>
    <t xml:space="preserve"> L141</t>
  </si>
  <si>
    <t xml:space="preserve"> L147</t>
  </si>
  <si>
    <t xml:space="preserve"> L149</t>
  </si>
  <si>
    <t xml:space="preserve">  11d. Unprocessed food</t>
  </si>
  <si>
    <t xml:space="preserve">  11e. Services</t>
  </si>
  <si>
    <t>*31</t>
  </si>
  <si>
    <t>Dwellings</t>
  </si>
  <si>
    <t>*4</t>
  </si>
  <si>
    <t>*5</t>
  </si>
  <si>
    <t>*6</t>
  </si>
  <si>
    <t>*3</t>
  </si>
  <si>
    <t>European Commission, Office BU-1 01/111</t>
  </si>
  <si>
    <t>Year total implicit in quarterly profile</t>
  </si>
  <si>
    <t>USE AND SUPPLY OF GOODS AND SERVICES, VOLUMES (ESA, AT 1995 PRICES)</t>
  </si>
  <si>
    <t>Percentage change from previous quarter</t>
  </si>
  <si>
    <t xml:space="preserve">   8a. - of which, balance of primary income</t>
  </si>
  <si>
    <t xml:space="preserve">  8b. - of which, net current Transfers</t>
  </si>
  <si>
    <t xml:space="preserve">Gross domestic product at market prices                                         </t>
  </si>
  <si>
    <t>QUART</t>
  </si>
  <si>
    <t>Q1</t>
  </si>
  <si>
    <t>RES</t>
  </si>
  <si>
    <t xml:space="preserve">  L120</t>
  </si>
  <si>
    <t xml:space="preserve">  L145</t>
  </si>
  <si>
    <t xml:space="preserve">  L146</t>
  </si>
  <si>
    <t xml:space="preserve">  L144</t>
  </si>
  <si>
    <t xml:space="preserve">  L143</t>
  </si>
  <si>
    <t xml:space="preserve">  L37</t>
  </si>
  <si>
    <t>HH CURRENT TRANSFERS PAID</t>
  </si>
  <si>
    <t>$HT</t>
  </si>
  <si>
    <t>HH CHANGE IN NET EQUITY IN PENSION FUNDS</t>
  </si>
  <si>
    <t>HH FINAL CONSUMPTION EXPENDITURE</t>
  </si>
  <si>
    <t>HH GROSS CAPITAL FORMATION</t>
  </si>
  <si>
    <t>$HI</t>
  </si>
  <si>
    <t>Original version</t>
  </si>
  <si>
    <t xml:space="preserve">   Wages and salaries, employer's social contributions and compensation of employees</t>
  </si>
  <si>
    <t xml:space="preserve">   Private consumption expenditure (P.3)</t>
  </si>
  <si>
    <t xml:space="preserve">   Government consumption expenditure (P.3)</t>
  </si>
  <si>
    <t xml:space="preserve">   Domestic demand (Excl. Inventories)</t>
  </si>
  <si>
    <t xml:space="preserve">   Domestic demand (Incl. Inventories)</t>
  </si>
  <si>
    <t xml:space="preserve">   Final demand</t>
  </si>
  <si>
    <t xml:space="preserve">   HICP</t>
  </si>
  <si>
    <t xml:space="preserve">   4. Final domestic demand</t>
  </si>
  <si>
    <t xml:space="preserve"> 16. Gross value added at basic prices</t>
  </si>
  <si>
    <t xml:space="preserve"> 17. Taxes net of subsidies</t>
  </si>
  <si>
    <t xml:space="preserve"> 18. Gross domestic product at market prices</t>
  </si>
  <si>
    <t xml:space="preserve">   9a.  - of which goods</t>
  </si>
  <si>
    <t>P71</t>
  </si>
  <si>
    <t>P72</t>
  </si>
  <si>
    <t xml:space="preserve"> 10. Gross domestic product at market prices (8-9)</t>
  </si>
  <si>
    <t>B1*g</t>
  </si>
  <si>
    <t>Total population</t>
  </si>
  <si>
    <t>Population at working age</t>
  </si>
  <si>
    <t xml:space="preserve"> L114 ÷ L47</t>
  </si>
  <si>
    <t>GDP</t>
  </si>
  <si>
    <t>TC</t>
  </si>
  <si>
    <t>Avg. ann. hours worked / person</t>
  </si>
  <si>
    <t>Growth rate</t>
  </si>
  <si>
    <t>Hours / year</t>
  </si>
  <si>
    <t>Hours worked per person</t>
  </si>
  <si>
    <t xml:space="preserve">Gross value added (B.1g-D.21+D.31 - Volumes) </t>
  </si>
  <si>
    <t>ULPdty</t>
  </si>
  <si>
    <t>/</t>
  </si>
  <si>
    <t>YCompAvD</t>
  </si>
  <si>
    <t>Productivity</t>
  </si>
  <si>
    <t xml:space="preserve">  By type of asset</t>
  </si>
  <si>
    <t>LEmpDPriv</t>
  </si>
  <si>
    <t>D62+D7</t>
  </si>
  <si>
    <t>Report in transfer in PYP (Y / N)?</t>
  </si>
  <si>
    <t>HICP Index energy</t>
  </si>
  <si>
    <t>HICP Index non-energy industrial goods</t>
  </si>
  <si>
    <t>Weights</t>
  </si>
  <si>
    <t>Contributions</t>
  </si>
  <si>
    <r>
      <t>Capital transfers (</t>
    </r>
    <r>
      <rPr>
        <b/>
        <sz val="10"/>
        <color indexed="10"/>
        <rFont val="Arial"/>
        <family val="2"/>
      </rPr>
      <t>received - paid</t>
    </r>
    <r>
      <rPr>
        <sz val="10"/>
        <rFont val="Arial"/>
        <family val="2"/>
      </rPr>
      <t>) (D.9)</t>
    </r>
  </si>
  <si>
    <t>Capital transfers (received - paid) (D.9)</t>
  </si>
  <si>
    <t xml:space="preserve"> L19</t>
  </si>
  <si>
    <t xml:space="preserve">   6. Domestic demand</t>
  </si>
  <si>
    <t xml:space="preserve"> L21</t>
  </si>
  <si>
    <t>LempRow</t>
  </si>
  <si>
    <t>LempD</t>
  </si>
  <si>
    <t>Wages &amp; salaries / employee (private)</t>
  </si>
  <si>
    <t>If you start with the autumn forecast from the previous year, these columns should already be present.</t>
  </si>
  <si>
    <t>$ETaxDir</t>
  </si>
  <si>
    <t>COR CHANGE IN NET EQUITY IN PENSION FUNDS</t>
  </si>
  <si>
    <t>COR GROSS CAPITAL FORMATION</t>
  </si>
  <si>
    <t>COR OTHER CAPITAL EXPENDITURE (PAID-REC.)</t>
  </si>
  <si>
    <t>$ETCap</t>
  </si>
  <si>
    <t>GG TAXES ON PRODUCTION AND IMPORTS</t>
  </si>
  <si>
    <t>Implicit employees' social contributions</t>
  </si>
  <si>
    <t>Elasticity w.r.t. compensation of employees</t>
  </si>
  <si>
    <t xml:space="preserve"> 14a. - of which, gross wages and salaries</t>
  </si>
  <si>
    <t xml:space="preserve"> 14b. - of which, employers' social contributions</t>
  </si>
  <si>
    <t xml:space="preserve">  3. Construction</t>
  </si>
  <si>
    <t>HARMONISED INDEX OF CONSUMER PRICES</t>
  </si>
  <si>
    <t>Percentage change from four quarters earlier</t>
  </si>
  <si>
    <t xml:space="preserve"> L25</t>
  </si>
  <si>
    <t xml:space="preserve">   Balance of goods and services</t>
  </si>
  <si>
    <t xml:space="preserve">   GDP and GVA</t>
  </si>
  <si>
    <t xml:space="preserve">  6. Total employment</t>
  </si>
  <si>
    <t xml:space="preserve">  6a. - of which, employees</t>
  </si>
  <si>
    <t xml:space="preserve">  6b. - of which, self-employed</t>
  </si>
  <si>
    <t>1. Gross value added of HH and GVT = B.2g + (D.29 - D.39) + D.1p</t>
  </si>
  <si>
    <t>2. Gross value added of E = GVA(ECO) - GVA(GVT) - GVA(HH)</t>
  </si>
  <si>
    <t>((L114 t ÷ L114 t-1) - (L163 col 1 × (L47 t ÷ L47 t-1))) × (L114 t-1 ÷ L47 t)</t>
  </si>
  <si>
    <t xml:space="preserve"> L164 col 1</t>
  </si>
  <si>
    <t>D.995</t>
  </si>
  <si>
    <t>GVT: Unpaid taxes (D.995)</t>
  </si>
  <si>
    <t>GVA[HH] 
= B.2g[HH] + D.29[HH] - D.39[HH] + D.1p[HH]</t>
  </si>
  <si>
    <t>*175</t>
  </si>
  <si>
    <t>*176</t>
  </si>
  <si>
    <t>When copying formulas, always copy Q1 into Q1 etc. (instead of Q1 into Q2)</t>
  </si>
  <si>
    <t>YACap</t>
  </si>
  <si>
    <t>D.9r (GVT)</t>
  </si>
  <si>
    <t>Total compensation / employee (domestic)</t>
  </si>
  <si>
    <t xml:space="preserve">   6. Services balance (a) (4-5)</t>
  </si>
  <si>
    <t xml:space="preserve">TAX RATE DIRECT TAXES PAST 4-Y AVG (col 1) </t>
  </si>
  <si>
    <t>This table is used for ...</t>
  </si>
  <si>
    <t>Auxiliary table (constant prices)</t>
  </si>
  <si>
    <t xml:space="preserve">AGG. Exports of goods and services </t>
  </si>
  <si>
    <t xml:space="preserve">VOL. Exports of goods and services </t>
  </si>
  <si>
    <t>- Non-financial and financial corporations (S.11 + S.12)</t>
  </si>
  <si>
    <t xml:space="preserve"> Total government expenditure</t>
  </si>
  <si>
    <t xml:space="preserve"> L120+L121+L122+L123+L124+L126+L127+L145+L146</t>
  </si>
  <si>
    <t>VGDP</t>
  </si>
  <si>
    <t>Error in formula table 0, line 21 corrected</t>
  </si>
  <si>
    <t>Wage &amp; salary earners (private sector)</t>
  </si>
  <si>
    <t xml:space="preserve"> Special calculation A-4 based on Benchmark employment rates</t>
  </si>
  <si>
    <t>Error in formulas table 10, line 21 corrected</t>
  </si>
  <si>
    <t>VVP2, line 392-398 and Q1, lines 219-277</t>
  </si>
  <si>
    <t>Inflation forecast by subcomponent included</t>
  </si>
  <si>
    <t>CHECK: Residual should be zero for consistency</t>
  </si>
  <si>
    <t>Consistency checks</t>
  </si>
  <si>
    <t>Be careful: you should normally use previous year prices if the country uses chain linking, and constant prices otherwise.</t>
  </si>
  <si>
    <t>D.7p (E)</t>
  </si>
  <si>
    <t>D.61r (E)</t>
  </si>
  <si>
    <t>D.62p (E)</t>
  </si>
  <si>
    <t xml:space="preserve">  11a. p.m. 11 as % of GDP</t>
  </si>
  <si>
    <t>Table 12</t>
  </si>
  <si>
    <t>GG OTHER CAPITAL EXPENDITURE, NET</t>
  </si>
  <si>
    <t>Property income (received) (D.4r)</t>
  </si>
  <si>
    <t>TAXES ON PRODUCTS</t>
  </si>
  <si>
    <t>YATaxProd</t>
  </si>
  <si>
    <t>SUBSIDIES ON PRODUCTS</t>
  </si>
  <si>
    <t>Total imports of goods</t>
  </si>
  <si>
    <t xml:space="preserve">   8. Final demand (6+7)</t>
  </si>
  <si>
    <t xml:space="preserve">   9a.  - of which, services</t>
  </si>
  <si>
    <t>D.4r (GVT)</t>
  </si>
  <si>
    <t>D.4p (GVT)</t>
  </si>
  <si>
    <t>TAX RATE SOCIAL CONTR. PAST 4-Y AVG (col 1)</t>
  </si>
  <si>
    <t>TAX ELASTICITY OECD INDIRECT TAXES (col 1)</t>
  </si>
  <si>
    <t>VXG</t>
  </si>
  <si>
    <t>TAX ELASTICITY OECD DIRECT TAXES (col 1)</t>
  </si>
  <si>
    <t>Compensation of employees (D.1)</t>
  </si>
  <si>
    <t>Taxes on production and imports (D.2 = D.21+D.29)</t>
  </si>
  <si>
    <t>Subsidies (D.3 = D.31+D.39)</t>
  </si>
  <si>
    <t>PYP</t>
  </si>
  <si>
    <t>Total current expenditure</t>
  </si>
  <si>
    <t>[Table 10.5]</t>
  </si>
  <si>
    <t>$AO</t>
  </si>
  <si>
    <t>[Table 10.14]</t>
  </si>
  <si>
    <t>A second (alternative) quarterly sheet has been introduced (Q1b1 and Q1b2)</t>
  </si>
  <si>
    <t>Non-residential construction</t>
  </si>
  <si>
    <r>
      <t xml:space="preserve">% vol </t>
    </r>
    <r>
      <rPr>
        <b/>
        <sz val="10"/>
        <color indexed="9"/>
        <rFont val="Symbol"/>
        <family val="1"/>
        <charset val="2"/>
      </rPr>
      <t>D</t>
    </r>
  </si>
  <si>
    <t>Employer's social contr. (private)</t>
  </si>
  <si>
    <t>KEY POINTS OF THE FORECAST</t>
  </si>
  <si>
    <t>VOLUMES</t>
  </si>
  <si>
    <t>VOL. PRIVATE CONSUMPTION EXPEND.</t>
  </si>
  <si>
    <t>VPrvC</t>
  </si>
  <si>
    <t xml:space="preserve">   Taxes on production and imports (D.2r = D.21r+D.29r)</t>
  </si>
  <si>
    <t xml:space="preserve">   Current taxes on income and wealth (D.5r)  </t>
  </si>
  <si>
    <t xml:space="preserve">   Social contributions (D.61r)</t>
  </si>
  <si>
    <t xml:space="preserve">   Government and EDP</t>
  </si>
  <si>
    <t xml:space="preserve">   Subsidies (D.3 = D.31+D.39)</t>
  </si>
  <si>
    <t>Total expenditure</t>
  </si>
  <si>
    <t>Capital expenditure</t>
  </si>
  <si>
    <t>ADebt[t-1]</t>
  </si>
  <si>
    <t>HH OTHER CAPITAL EXPENDITURE (PAID-REC.)</t>
  </si>
  <si>
    <t xml:space="preserve">   9. Change in HH's net equity in pension funds</t>
  </si>
  <si>
    <t>USE AND SUPPLY OF GOODS AND SERVICES</t>
  </si>
  <si>
    <t>Social transfers in kind via market producers (D.6311+D.63121+D.63122)</t>
  </si>
  <si>
    <t xml:space="preserve">  10. Gross saving (5+6+7-8-9)</t>
  </si>
  <si>
    <t>VAL. Gross value added (non-manufacturing)</t>
  </si>
  <si>
    <t>AGG. Gross value added (non-manufacturing)</t>
  </si>
  <si>
    <t>VOL. Gross value added (non-manufacturing)</t>
  </si>
  <si>
    <t>Table 2</t>
  </si>
  <si>
    <t>I</t>
  </si>
  <si>
    <t>II</t>
  </si>
  <si>
    <t>III</t>
  </si>
  <si>
    <t>IV</t>
  </si>
  <si>
    <t>in columns A and B means that the variable comes from row 11 in the input sheet and goes to row 23 of the transfer matrix.</t>
  </si>
  <si>
    <t>Elasticity of domestic employment w.r.t. GDP growth</t>
  </si>
  <si>
    <t>Total revenue (harmonised)</t>
  </si>
  <si>
    <t>QUART. VOL. IMPORTS G AND S (cols 2-13)</t>
  </si>
  <si>
    <t xml:space="preserve">   8. Current taxes on income and wealth</t>
  </si>
  <si>
    <t xml:space="preserve">  15a. p.m. 15 as % of GDP</t>
  </si>
  <si>
    <t>YWAvD</t>
  </si>
  <si>
    <t>YWAvRow</t>
  </si>
  <si>
    <t>YWAv</t>
  </si>
  <si>
    <t>How to overwrite forecast columns with columns linking to historical data?</t>
  </si>
  <si>
    <t>calendar factor:</t>
  </si>
  <si>
    <t>p.m. corresponding number in quarterly sheet</t>
  </si>
  <si>
    <r>
      <t xml:space="preserve">To </t>
    </r>
    <r>
      <rPr>
        <b/>
        <sz val="11"/>
        <rFont val="Arial"/>
        <family val="2"/>
      </rPr>
      <t xml:space="preserve">add additional years </t>
    </r>
    <r>
      <rPr>
        <sz val="11"/>
        <rFont val="Arial"/>
        <family val="2"/>
      </rPr>
      <t>or change forecast year into historical year, read the somewhat longer instructions (sorry for that).</t>
    </r>
  </si>
  <si>
    <t>HICP Processed food incl. alcohol and tobacco - weight</t>
  </si>
  <si>
    <t>p.m. as % of total social transfers in kind (D.63 = P.31)</t>
  </si>
  <si>
    <t>K.1</t>
  </si>
  <si>
    <t>P.2</t>
  </si>
  <si>
    <t>Other subsidies on production received (D.39r)</t>
  </si>
  <si>
    <t>Other taxes on production paid (D.29p)</t>
  </si>
  <si>
    <t>Sales (P.11 + P.12 + P.131)</t>
  </si>
  <si>
    <t>Wages &amp; salaries / employee (values in 1000 euro)</t>
  </si>
  <si>
    <t>QUART. VOL. EXPORTS G AND S (cols 2-13)</t>
  </si>
  <si>
    <t>QUART. VOL. FINAL DEMAND (cols 2-13)</t>
  </si>
  <si>
    <t xml:space="preserve">   7a.  - of which, goods</t>
  </si>
  <si>
    <t>Adj. for change in net eq. of pens. fund res. (D.8p)</t>
  </si>
  <si>
    <t xml:space="preserve">   15. Gross operating surplus and mixed income</t>
  </si>
  <si>
    <t xml:space="preserve">   16a. - of which, labour costs, including self-employed</t>
  </si>
  <si>
    <t>Gross operating surplus (B.2g) / mixed income (B.3g)</t>
  </si>
  <si>
    <t>Compensation of employees (D.1r)</t>
  </si>
  <si>
    <t>Imports of goods by region</t>
  </si>
  <si>
    <t xml:space="preserve">TRADE IN GOODS BY REGION (CUSTOMS BASIS) </t>
  </si>
  <si>
    <t>% trade</t>
  </si>
  <si>
    <t xml:space="preserve">   Exports of goods (fob)</t>
  </si>
  <si>
    <t xml:space="preserve">   Imports of goods (cif)</t>
  </si>
  <si>
    <t>Wages &amp; salaries (frontier workers)</t>
  </si>
  <si>
    <t>Carry-over to next year</t>
  </si>
  <si>
    <t>Ann. growth if qoq growth is zero in the next quarters</t>
  </si>
  <si>
    <t>YACapT</t>
  </si>
  <si>
    <t>AG</t>
  </si>
  <si>
    <t>HICP Services - weight</t>
  </si>
  <si>
    <t xml:space="preserve">  2. Population of working age (15-64 years)</t>
  </si>
  <si>
    <t>Total current revenue</t>
  </si>
  <si>
    <t>[Table 10.15]</t>
  </si>
  <si>
    <t>[Table 10.13]</t>
  </si>
  <si>
    <t>[Table 10.17]</t>
  </si>
  <si>
    <t xml:space="preserve">  12. Saving rate (%) (11:8)</t>
  </si>
  <si>
    <t xml:space="preserve">  13. Gross capital formation</t>
  </si>
  <si>
    <t>P5</t>
  </si>
  <si>
    <t>D.9 (HH)</t>
  </si>
  <si>
    <t>HTCapN</t>
  </si>
  <si>
    <t>$HTaxSoc(1)</t>
  </si>
  <si>
    <t>$HTaxSoc(2)</t>
  </si>
  <si>
    <t>D.4 (HH)</t>
  </si>
  <si>
    <t>HPropN</t>
  </si>
  <si>
    <t>$Hprop</t>
  </si>
  <si>
    <t>ECO</t>
  </si>
  <si>
    <t>HH</t>
  </si>
  <si>
    <t>E</t>
  </si>
  <si>
    <t>GVT</t>
  </si>
  <si>
    <t>EXT</t>
  </si>
  <si>
    <t>Wages &amp; salaries (national)</t>
  </si>
  <si>
    <t xml:space="preserve"> Levels as % of GDP</t>
  </si>
  <si>
    <t xml:space="preserve"> 19. Current external balance</t>
  </si>
  <si>
    <t>GVT: Collective consumption expenditure (P.32)</t>
  </si>
  <si>
    <t>$AProp</t>
  </si>
  <si>
    <t>Other capital transfers (D.9r-D.91r-D.995)</t>
  </si>
  <si>
    <t>Unpaid taxes (D.995)</t>
  </si>
  <si>
    <t>Included separate line for unpaid taxes (Note n°2 spring forecast 2008)</t>
  </si>
  <si>
    <t xml:space="preserve"> (L43+L44) - (L45+L46)</t>
  </si>
  <si>
    <t xml:space="preserve"> L43-L45</t>
  </si>
  <si>
    <t xml:space="preserve"> L44-L46</t>
  </si>
  <si>
    <t xml:space="preserve">   12. Balance of primary income with rest of the world</t>
  </si>
  <si>
    <t xml:space="preserve"> (((L47+L123+L133) - (L113+L131)) : L47) x (((L47+L123+L133) - (L113+L131)) : L12)</t>
  </si>
  <si>
    <t xml:space="preserve">   5. Other factors including discretionary measures implied by forecast (% GDP)</t>
  </si>
  <si>
    <t>Taxes on production and imports (Indirect taxes)</t>
  </si>
  <si>
    <r>
      <t xml:space="preserve">The sheet </t>
    </r>
    <r>
      <rPr>
        <b/>
        <sz val="11"/>
        <rFont val="Arial"/>
        <family val="2"/>
      </rPr>
      <t xml:space="preserve">Transfer </t>
    </r>
    <r>
      <rPr>
        <sz val="11"/>
        <rFont val="Arial"/>
        <family val="2"/>
      </rPr>
      <t>contains</t>
    </r>
    <r>
      <rPr>
        <b/>
        <sz val="11"/>
        <rFont val="Arial"/>
        <family val="2"/>
      </rPr>
      <t xml:space="preserve"> </t>
    </r>
    <r>
      <rPr>
        <sz val="11"/>
        <rFont val="Arial"/>
        <family val="2"/>
      </rPr>
      <t>the matrix of country variables and forecasts that will be sent to the central system.</t>
    </r>
  </si>
  <si>
    <t>Non-energy industrial goods</t>
  </si>
  <si>
    <t>Energy</t>
  </si>
  <si>
    <t>Processed food (incl. Alcohol and tobacco)</t>
  </si>
  <si>
    <t>Unprocessed food</t>
  </si>
  <si>
    <t>Capital transfers (D.9r)</t>
  </si>
  <si>
    <t xml:space="preserve">   18. - taxes on products</t>
  </si>
  <si>
    <t xml:space="preserve">   19. - subsidies on products</t>
  </si>
  <si>
    <t>$ATaxProd</t>
  </si>
  <si>
    <t>D.29p (GVT)</t>
  </si>
  <si>
    <t>D.39r (GVT)</t>
  </si>
  <si>
    <t>CHK</t>
  </si>
  <si>
    <t>Gross value added / Gross domestic product (B.1g)</t>
  </si>
  <si>
    <t>Taxes on products (D.21p)</t>
  </si>
  <si>
    <t>+</t>
  </si>
  <si>
    <t>Subsidies on products (D.31r)</t>
  </si>
  <si>
    <t>=</t>
  </si>
  <si>
    <t>CODE</t>
  </si>
  <si>
    <t>Percentage change</t>
  </si>
  <si>
    <t xml:space="preserve">   1. Private consumption expenditure</t>
  </si>
  <si>
    <t>P3</t>
  </si>
  <si>
    <t xml:space="preserve"> 12e. Services</t>
  </si>
  <si>
    <t>GG SUBSIDIES</t>
  </si>
  <si>
    <t>GG OTHER CURRENT EXPENDITURE</t>
  </si>
  <si>
    <t>Employment / Unemployment</t>
  </si>
  <si>
    <t>Registered unemployment</t>
  </si>
  <si>
    <t>ULUemp</t>
  </si>
  <si>
    <t>LEmpTot / Lage</t>
  </si>
  <si>
    <t>Total compensation / employee (frontier workers)</t>
  </si>
  <si>
    <t>Total compensation / employee (national)</t>
  </si>
  <si>
    <t>YCompAvDPr</t>
  </si>
  <si>
    <t>YCompAvDPu</t>
  </si>
  <si>
    <t>Employment / Wage &amp; salary earners (FTE)</t>
  </si>
  <si>
    <t>Implicit FTE per salary earner</t>
  </si>
  <si>
    <t>Implicit FTE per employed person</t>
  </si>
  <si>
    <t>*124</t>
  </si>
  <si>
    <t>$HTSoc (*)</t>
  </si>
  <si>
    <t>TSocFrRow (*)</t>
  </si>
  <si>
    <t>$ATH</t>
  </si>
  <si>
    <t>YHDisp</t>
  </si>
  <si>
    <t xml:space="preserve">Current taxes on income and wealth (Net) (D.5)  </t>
  </si>
  <si>
    <t>RowTaxDirN</t>
  </si>
  <si>
    <t>Social contributions (D.61)</t>
  </si>
  <si>
    <t>Actual social contributions (D.611r)</t>
  </si>
  <si>
    <t>Imputed social contributions (D.612r)</t>
  </si>
  <si>
    <t>QUART. VOL. CHANGE IN INVENTORIES (cols 2-13)</t>
  </si>
  <si>
    <t>QUART. VOL. DOMESTIC DEMAND (cols 2-13)</t>
  </si>
  <si>
    <r>
      <t>Important remark 1</t>
    </r>
    <r>
      <rPr>
        <sz val="11"/>
        <rFont val="Arial"/>
        <family val="2"/>
      </rPr>
      <t xml:space="preserve">: indicate if the country uses </t>
    </r>
    <r>
      <rPr>
        <b/>
        <sz val="11"/>
        <color indexed="10"/>
        <rFont val="Arial"/>
        <family val="2"/>
      </rPr>
      <t>chain linking</t>
    </r>
    <r>
      <rPr>
        <sz val="11"/>
        <rFont val="Arial"/>
        <family val="2"/>
      </rPr>
      <t xml:space="preserve"> (YES / NO) in VVP1 (top left corner)</t>
    </r>
  </si>
  <si>
    <t>GVT: Actual social contributions (D.611r)</t>
  </si>
  <si>
    <t>EYDisp</t>
  </si>
  <si>
    <t>YADisp</t>
  </si>
  <si>
    <t>ERR</t>
  </si>
  <si>
    <t>Hsav</t>
  </si>
  <si>
    <t>Esav</t>
  </si>
  <si>
    <t>Asav</t>
  </si>
  <si>
    <t>*97</t>
  </si>
  <si>
    <t>*110</t>
  </si>
  <si>
    <t>YACapTN</t>
  </si>
  <si>
    <t>**125</t>
  </si>
  <si>
    <t>*127</t>
  </si>
  <si>
    <t>YANonFinN</t>
  </si>
  <si>
    <t xml:space="preserve"> 13. HICP excl. energy and unprocessed food</t>
  </si>
  <si>
    <t xml:space="preserve"> External file USDM  (ECFIN A-4 database)</t>
  </si>
  <si>
    <t>Q2</t>
  </si>
  <si>
    <t>Q3</t>
  </si>
  <si>
    <t>Q4</t>
  </si>
  <si>
    <t>Government final consumption expenditure</t>
  </si>
  <si>
    <t>Year total from annual forecast</t>
  </si>
  <si>
    <t>Growth rate (year-on-year)</t>
  </si>
  <si>
    <t>Gross fixed capital formation</t>
  </si>
  <si>
    <t>Domestic demand (excl. Inventories)</t>
  </si>
  <si>
    <t>YESubProd</t>
  </si>
  <si>
    <t>$ATaxDir</t>
  </si>
  <si>
    <t>YATaxSocImp</t>
  </si>
  <si>
    <t>AChEqPenR</t>
  </si>
  <si>
    <t>YAProp</t>
  </si>
  <si>
    <t>COSTS AND PRICES</t>
  </si>
  <si>
    <t>$HTCap</t>
  </si>
  <si>
    <t>NET CAPITAL TRANSACTIONS (RECEIV - PAYED)</t>
  </si>
  <si>
    <t>EXPORTS OF GOODS INTRA-EU (FOB)</t>
  </si>
  <si>
    <t>$XGIntr</t>
  </si>
  <si>
    <t xml:space="preserve"> Table-line 9 : L47</t>
  </si>
  <si>
    <t xml:space="preserve"> ((L43-L45) + (L44-L46)) + (L140+L141)</t>
  </si>
  <si>
    <t>Exports of services (P.62)</t>
  </si>
  <si>
    <t>Exports of goods (P.61)</t>
  </si>
  <si>
    <t>Imports of services (P.72)</t>
  </si>
  <si>
    <t>Imports of goods (P.71)</t>
  </si>
  <si>
    <t xml:space="preserve">  9a.  - of which, goods</t>
  </si>
  <si>
    <t xml:space="preserve">   3. euro (1 EUR = )</t>
  </si>
  <si>
    <t xml:space="preserve">  4. Calculated activity rate (%) (3:2)</t>
  </si>
  <si>
    <t>To integrate historical data for Qn(t) (the n'th quarter of year t), use the following procedure:</t>
  </si>
  <si>
    <t xml:space="preserve">  3a. -of which, housing</t>
  </si>
  <si>
    <t>Pi6(4)</t>
  </si>
  <si>
    <t>Gross domestic product at market prices</t>
  </si>
  <si>
    <t>by pressing "save values" in the Transfer sheet</t>
  </si>
  <si>
    <t>Core inflation</t>
  </si>
  <si>
    <t>In sheets VVP2, Labour1 and Sector1: select the column for t-2 and copy it to the right (overwriting the old forecast column for t-1).</t>
  </si>
  <si>
    <t xml:space="preserve">GG CAPITAL TRANSFERS, RECEIVED </t>
  </si>
  <si>
    <t>GG GROSS FIXED CAPITAL FORMATION</t>
  </si>
  <si>
    <t>This will store the matrix as a txt file on your local D:\data folder.</t>
  </si>
  <si>
    <t>--</t>
  </si>
  <si>
    <t xml:space="preserve">  5. Other</t>
  </si>
  <si>
    <t>GG ONE-OFF MEASURES</t>
  </si>
  <si>
    <t>AC</t>
  </si>
  <si>
    <t>INDICATOR CHAINED INDEX (col 1)</t>
  </si>
  <si>
    <t xml:space="preserve">VOL. FIXED INVESTMENT CORPORATIONS </t>
  </si>
  <si>
    <t>VOL. FIXED INVESTMENT HH AND NPISH</t>
  </si>
  <si>
    <t>VOL. FIXED INVESTMENT HOUSING</t>
  </si>
  <si>
    <t xml:space="preserve">  6. Gross fixed capital formation</t>
  </si>
  <si>
    <t xml:space="preserve">      (whole economy)  (=1+2=3+4+5)</t>
  </si>
  <si>
    <t>Table 4</t>
  </si>
  <si>
    <t>Volume</t>
  </si>
  <si>
    <t>HICP Index unprocessed food</t>
  </si>
  <si>
    <t>HICP Index processed food incl. alcohol and tobacco</t>
  </si>
  <si>
    <t>Wages &amp; salaries / employee (public)</t>
  </si>
  <si>
    <t>Wage &amp; salary earners (national)</t>
  </si>
  <si>
    <t>Compared to:</t>
  </si>
  <si>
    <t xml:space="preserve">  7b.  - of which, services</t>
  </si>
  <si>
    <t xml:space="preserve">  8. Final demand</t>
  </si>
  <si>
    <t xml:space="preserve">The identifying number is a unique code assigned to each variable in data_p. </t>
  </si>
  <si>
    <t>The information in columns A, B and C of the input sheets is optional and for information only.</t>
  </si>
  <si>
    <t>YHComp</t>
  </si>
  <si>
    <t>bn EUR</t>
  </si>
  <si>
    <t>v1</t>
  </si>
  <si>
    <t>Volumes are stored in constant or previous year prices</t>
  </si>
  <si>
    <t>depending on your choice in sheet VVP1</t>
  </si>
  <si>
    <t>You can use them to save the values as they were transfered in the preliminary or provisional storage (or any other you prefer).</t>
  </si>
  <si>
    <t>GG EDP REPORTED DEFICIT / SURPLUS</t>
  </si>
  <si>
    <t>GVA[E] = GVA[ECO]
 - GVA[HH] - GVA[GVT]</t>
  </si>
  <si>
    <t>S13</t>
  </si>
  <si>
    <t>NET CURRENT TRANSFERS</t>
  </si>
  <si>
    <t>NTRow</t>
  </si>
  <si>
    <t>Social contributions (Net) (D.61)</t>
  </si>
  <si>
    <t>RowTaxSocN</t>
  </si>
  <si>
    <t>RowTSocN</t>
  </si>
  <si>
    <t>Other current transfers (D.7)</t>
  </si>
  <si>
    <t>Other current transfers (Net) (D.7)</t>
  </si>
  <si>
    <t>RowTON</t>
  </si>
  <si>
    <t>GG ONE-OFF MEASURES (EXPENDITURE SIDE)</t>
  </si>
  <si>
    <t>HICP Y WEIGHT NON-ENERGY INDUSTRIAL GOODS</t>
  </si>
  <si>
    <t>HICP Y WEIGHT ENERGY</t>
  </si>
  <si>
    <t>HICP Y WEIGHT PROCESSED FOOD INCL. ALCOHOL AND TOBACCO</t>
  </si>
  <si>
    <t>HICP Y WEIGHT UNPROCESSED FOOD</t>
  </si>
  <si>
    <t>HICP Y WEIGHT SERVICES</t>
  </si>
  <si>
    <t>HICP Q EXCL. ENERGY AND UNPROCESSED FOOD</t>
  </si>
  <si>
    <t>HICP Q NON-ENERGY INDUSTRIAL GOODS</t>
  </si>
  <si>
    <t>HICP Q UNPROCESSED FOOD</t>
  </si>
  <si>
    <t>HICP Q SERVICES</t>
  </si>
  <si>
    <t>HICP Y INDEX EXCL. ENERGY AND UNPROCESSED FOOD</t>
  </si>
  <si>
    <t xml:space="preserve">  11a. Non-energy industrial goods</t>
  </si>
  <si>
    <t>level</t>
  </si>
  <si>
    <t>% change</t>
  </si>
  <si>
    <t xml:space="preserve">   2. Government consumption expenditure</t>
  </si>
  <si>
    <t>Private consumption</t>
  </si>
  <si>
    <t>GFCF Households</t>
  </si>
  <si>
    <t>GFCF GG</t>
  </si>
  <si>
    <t>Taux apparent -1</t>
  </si>
  <si>
    <t>Evolutionne tendencialle</t>
  </si>
  <si>
    <t>Discretionary measures</t>
  </si>
  <si>
    <t>Compensation of employees</t>
  </si>
  <si>
    <t>Gross value added - Corporations</t>
  </si>
  <si>
    <r>
      <t xml:space="preserve">In the </t>
    </r>
    <r>
      <rPr>
        <b/>
        <sz val="11"/>
        <rFont val="Arial"/>
        <family val="2"/>
      </rPr>
      <t>Autumn forecast</t>
    </r>
    <r>
      <rPr>
        <sz val="11"/>
        <rFont val="Arial"/>
        <family val="2"/>
      </rPr>
      <t xml:space="preserve"> of year t, historical data should be available for t-1 (see also item 1).</t>
    </r>
  </si>
  <si>
    <t xml:space="preserve">   2. US dollar (1 USD = )</t>
  </si>
  <si>
    <t xml:space="preserve"> Not calculated</t>
  </si>
  <si>
    <t>To use these data, you need to overwrite the forecast columns for t-1 with columns linking to historical data.</t>
  </si>
  <si>
    <t>Subsidies on production from the rest of the world</t>
  </si>
  <si>
    <t xml:space="preserve"> 11a. - of which, terms of trade of goods</t>
  </si>
  <si>
    <t>GG NOTIFIED GDP FOR PUBLIC FINANCE</t>
  </si>
  <si>
    <t>Elasticity w.r.t. private consumption</t>
  </si>
  <si>
    <t xml:space="preserve"> L162 col 1</t>
  </si>
  <si>
    <t xml:space="preserve"> (L36+L37+L38) : (L1+L2+L3)</t>
  </si>
  <si>
    <t xml:space="preserve">  11b. Energy</t>
  </si>
  <si>
    <t>PRODUCTIVITY AND UNIT LABOUR COSTS</t>
  </si>
  <si>
    <t xml:space="preserve"> L128:L47</t>
  </si>
  <si>
    <t>Table 1</t>
  </si>
  <si>
    <t>GVT: Individual consumption expenditure (P.31)</t>
  </si>
  <si>
    <t>HH COMPENSATION OF EMPLOYEES</t>
  </si>
  <si>
    <t xml:space="preserve">  7. Exports of goods and services </t>
  </si>
  <si>
    <t xml:space="preserve">   3. Trade balance (goods, fob/fob) (1-2)</t>
  </si>
  <si>
    <t>D.39r (E)</t>
  </si>
  <si>
    <t>D.4r (E)</t>
  </si>
  <si>
    <t>D.4p (E)</t>
  </si>
  <si>
    <t>D.29p (HH)</t>
  </si>
  <si>
    <t>D.39r (HH)</t>
  </si>
  <si>
    <t>D.1r (HH)</t>
  </si>
  <si>
    <t>D.11r (HH)</t>
  </si>
  <si>
    <t>D.1p</t>
  </si>
  <si>
    <t>D.4r (HH)</t>
  </si>
  <si>
    <t>D.4p (HH)</t>
  </si>
  <si>
    <t>D.61r (HH)</t>
  </si>
  <si>
    <t>D.62r (HH)</t>
  </si>
  <si>
    <t>Contribution to % change in cost</t>
  </si>
  <si>
    <t>Intra-EU imports of goods</t>
  </si>
  <si>
    <t>D.31p (GVT)</t>
  </si>
  <si>
    <t>$IO(1)</t>
  </si>
  <si>
    <t>$IO(2)</t>
  </si>
  <si>
    <t>ETCapN</t>
  </si>
  <si>
    <t>D.9 (E)</t>
  </si>
  <si>
    <t>D.4 (E)</t>
  </si>
  <si>
    <t>$HIny</t>
  </si>
  <si>
    <t xml:space="preserve">   11. - of wich, external balance of goods and services</t>
  </si>
  <si>
    <t xml:space="preserve">   11a. - of wich, goods</t>
  </si>
  <si>
    <t xml:space="preserve">   11b. - of wich, services</t>
  </si>
  <si>
    <t xml:space="preserve">  23. Tax burden = D2(incl. paid to EU)+D5+D611+D91-D995</t>
  </si>
  <si>
    <t xml:space="preserve">  23. Tax burden = D2 (incl. paid to EU)+D5+D611+D91-D995</t>
  </si>
  <si>
    <t xml:space="preserve"> 20. Private sector net lending</t>
  </si>
  <si>
    <t xml:space="preserve">  12. Other current expenditure</t>
  </si>
  <si>
    <t xml:space="preserve">  13. Total current expenditure (6+7+8+9+10+11+12)</t>
  </si>
  <si>
    <t>N</t>
  </si>
  <si>
    <t>p.m. Employers' social contributions</t>
  </si>
  <si>
    <t>$ETSocD</t>
  </si>
  <si>
    <t>Self employed</t>
  </si>
  <si>
    <t xml:space="preserve">Careful: The sheet assumes additivity, which is not entirely accurate when using chainlinked data. </t>
  </si>
  <si>
    <t>Error in description of table 10, line 20a corrected</t>
  </si>
  <si>
    <t>D.8p (GVT)</t>
  </si>
  <si>
    <t>RowChEqPenR</t>
  </si>
  <si>
    <t>Exports of goods and services (P.6)</t>
  </si>
  <si>
    <t>Final demand</t>
  </si>
  <si>
    <t xml:space="preserve">  3. Total labour force</t>
  </si>
  <si>
    <t>D41</t>
  </si>
  <si>
    <t>Other subsidies on production (D.39r)</t>
  </si>
  <si>
    <t>Compensation of employees (D.1p)</t>
  </si>
  <si>
    <t>There are no further forecasts below this line</t>
  </si>
  <si>
    <r>
      <t xml:space="preserve">To </t>
    </r>
    <r>
      <rPr>
        <b/>
        <sz val="11"/>
        <rFont val="Arial"/>
        <family val="2"/>
      </rPr>
      <t>make a forecast</t>
    </r>
    <r>
      <rPr>
        <sz val="11"/>
        <rFont val="Arial"/>
        <family val="2"/>
      </rPr>
      <t>, fill the yellow cells, go to the transfer sheet, press the button 'transfer forecast data' and you're done.</t>
    </r>
  </si>
  <si>
    <t xml:space="preserve">   Gross fixed capital formation (P.51)</t>
  </si>
  <si>
    <t xml:space="preserve">   6a. p.m. 6 as % of GDP</t>
  </si>
  <si>
    <t xml:space="preserve">   7a. p.m. 7 as % of GDP</t>
  </si>
  <si>
    <t xml:space="preserve"> ((L87+89+90+91+94+100+101+105+106) - (L92+93+95+96+97+102+103+107+108+109+110)) : L47</t>
  </si>
  <si>
    <t xml:space="preserve"> ((L115 t - L115 t-1) ÷ L115 t-1) ÷ ((L61 t - L61 t-1) ÷ L61 t-1)</t>
  </si>
  <si>
    <t xml:space="preserve"> L160 col 1</t>
  </si>
  <si>
    <t>2. Taxes less subsidies on products (D.21 - D.31) are forecasted for the total economy in Sector1</t>
  </si>
  <si>
    <t>At sectoral level:</t>
  </si>
  <si>
    <t>Implicitly, GVA for the total economy is forecasted as B.1g - (D.21 - D.31)</t>
  </si>
  <si>
    <t>In doing so, we also implicitly forecast:</t>
  </si>
  <si>
    <t>Employer's social contr. / employee (frontier workers)</t>
  </si>
  <si>
    <t>Participation ratio</t>
  </si>
  <si>
    <t>UL</t>
  </si>
  <si>
    <t>CompRowNet</t>
  </si>
  <si>
    <t>D.1 (EXT)</t>
  </si>
  <si>
    <t xml:space="preserve">  4. Domestic demand excl. inventories (1+2+3)</t>
  </si>
  <si>
    <r>
      <t xml:space="preserve">Data_p can also contain </t>
    </r>
    <r>
      <rPr>
        <u/>
        <sz val="11"/>
        <rFont val="Arial"/>
        <family val="2"/>
      </rPr>
      <t>additional sheets</t>
    </r>
    <r>
      <rPr>
        <sz val="11"/>
        <rFont val="Arial"/>
        <family val="2"/>
      </rPr>
      <t xml:space="preserve"> (at least two, although it is possible to add more).</t>
    </r>
  </si>
  <si>
    <t>Employer's social contr. / employee (domestic)</t>
  </si>
  <si>
    <t xml:space="preserve">The growth rates obtained in VVP2 will then be used to determine the volume growth in previous year's prices. </t>
  </si>
  <si>
    <t xml:space="preserve">   3. Social contributions</t>
  </si>
  <si>
    <t xml:space="preserve"> ((L114 t - L114 t-1) ÷ L114 t-1) ÷ ((L47 t - L47 t-1) ÷ L47 t-1)</t>
  </si>
  <si>
    <t xml:space="preserve"> L159 col 1</t>
  </si>
  <si>
    <t xml:space="preserve"> (((L87+L89+L90+L91-L92-L93) + L94) - L95) - L96 - L97</t>
  </si>
  <si>
    <t xml:space="preserve"> Table-line 15 : L47</t>
  </si>
  <si>
    <t xml:space="preserve"> L76</t>
  </si>
  <si>
    <t xml:space="preserve"> L78+L79</t>
  </si>
  <si>
    <t>VOL. EXPORTS OF GOODS (FOB)</t>
  </si>
  <si>
    <t>VOL. EXPORTS OF SERVICES</t>
  </si>
  <si>
    <t>VXS</t>
  </si>
  <si>
    <t>If NO, aggregates (like GDP) are additive in constant prices and therefore they will be calculated in VVP2.</t>
  </si>
  <si>
    <t>Follow this link to GVT final consumption expenditure</t>
  </si>
  <si>
    <t>Follow this link to GVT final consumption expenditure (P.3)</t>
  </si>
  <si>
    <t>Tax burden as % of GDP</t>
  </si>
  <si>
    <t>Other current resources</t>
  </si>
  <si>
    <t>Other current expenditure</t>
  </si>
  <si>
    <t>Residual summary needed for transfer matrix</t>
  </si>
  <si>
    <t>Government &amp; EDP</t>
  </si>
  <si>
    <t>Formats and colour codes</t>
  </si>
  <si>
    <t>4 year average</t>
  </si>
  <si>
    <t>Taxes on production and imports (D.2r)</t>
  </si>
  <si>
    <t>Elasticity w.r.t. GDP</t>
  </si>
  <si>
    <t>MAN. GROSS VALUE ADDED (VAL)</t>
  </si>
  <si>
    <t>MAN. GROSS VALUE ADDED (VOL)</t>
  </si>
  <si>
    <t xml:space="preserve">VAL. PRIVATE CONSUMPTION EXPEND. </t>
  </si>
  <si>
    <t>$PrvC</t>
  </si>
  <si>
    <r>
      <t xml:space="preserve">For each year there is a </t>
    </r>
    <r>
      <rPr>
        <b/>
        <sz val="11"/>
        <rFont val="Arial"/>
        <family val="2"/>
      </rPr>
      <t>consistency check</t>
    </r>
    <r>
      <rPr>
        <sz val="11"/>
        <rFont val="Arial"/>
        <family val="2"/>
      </rPr>
      <t>, which makes sure that:</t>
    </r>
  </si>
  <si>
    <t xml:space="preserve"> (L61:L47) x (L61:L12)</t>
  </si>
  <si>
    <t xml:space="preserve"> (L62:L47) x (L62:L12)</t>
  </si>
  <si>
    <t>Subsidies on products (D.3p) (Subsidies from RoW)</t>
  </si>
  <si>
    <t>$Aint</t>
  </si>
  <si>
    <t>$HGNI</t>
  </si>
  <si>
    <t>$EGNI</t>
  </si>
  <si>
    <t>$AGNI</t>
  </si>
  <si>
    <t xml:space="preserve"> L163 col 1</t>
  </si>
  <si>
    <t xml:space="preserve"> ((L43+L44) : (L8+L9)) : ((L45+L46) : (L10+L11))</t>
  </si>
  <si>
    <t xml:space="preserve"> (L43:L8) : (L45:L10)</t>
  </si>
  <si>
    <r>
      <t xml:space="preserve">The labour sheet is used to forecast all variables related to the </t>
    </r>
    <r>
      <rPr>
        <b/>
        <sz val="11"/>
        <rFont val="Arial"/>
        <family val="2"/>
      </rPr>
      <t>labour market</t>
    </r>
    <r>
      <rPr>
        <sz val="11"/>
        <rFont val="Arial"/>
        <family val="2"/>
      </rPr>
      <t xml:space="preserve"> (population, employment, wages &amp; productivity).</t>
    </r>
  </si>
  <si>
    <t xml:space="preserve">  9b.  - of which services</t>
  </si>
  <si>
    <t>Between here</t>
  </si>
  <si>
    <r>
      <t>===</t>
    </r>
    <r>
      <rPr>
        <b/>
        <sz val="12"/>
        <color indexed="9"/>
        <rFont val="Arial"/>
        <family val="2"/>
      </rPr>
      <t>&gt;</t>
    </r>
  </si>
  <si>
    <r>
      <t>&lt;</t>
    </r>
    <r>
      <rPr>
        <sz val="12"/>
        <color indexed="9"/>
        <rFont val="Arial"/>
        <family val="2"/>
      </rPr>
      <t>===</t>
    </r>
  </si>
  <si>
    <t>and here is the comparison matrix.</t>
  </si>
  <si>
    <t>It is selected from the stored transfer matrices</t>
  </si>
  <si>
    <t>by selecting an option in the Tables sheet</t>
  </si>
  <si>
    <t>Scrolling down, the first part of the sheet contains all volumes developments, the second part values and the third implicit prices.</t>
  </si>
  <si>
    <t>*141</t>
  </si>
  <si>
    <t>YTaxDir</t>
  </si>
  <si>
    <t xml:space="preserve">   3a.  - of which, actual social contributions</t>
  </si>
  <si>
    <t>D611</t>
  </si>
  <si>
    <t>Table 9</t>
  </si>
  <si>
    <t>???</t>
  </si>
  <si>
    <t>*96</t>
  </si>
  <si>
    <t>*109</t>
  </si>
  <si>
    <t>$Hiny</t>
  </si>
  <si>
    <t>$Einy</t>
  </si>
  <si>
    <t>$Ainy</t>
  </si>
  <si>
    <t>HLend</t>
  </si>
  <si>
    <t>Elend</t>
  </si>
  <si>
    <t>Alend</t>
  </si>
  <si>
    <t>RowLend</t>
  </si>
  <si>
    <t>VAL GROSS VALUE ADDED</t>
  </si>
  <si>
    <t>VOL GROSS VALUE ADDED</t>
  </si>
  <si>
    <t xml:space="preserve">  15. Capital Transfers, received</t>
  </si>
  <si>
    <t xml:space="preserve">  16. Gross fixed capital formation</t>
  </si>
  <si>
    <t>Fields in this colour contain forecasts made elsewhere in the workbook</t>
  </si>
  <si>
    <t xml:space="preserve">   1. Taxes on production and imports</t>
  </si>
  <si>
    <t>D2</t>
  </si>
  <si>
    <r>
      <t xml:space="preserve">Fields marked in </t>
    </r>
    <r>
      <rPr>
        <b/>
        <sz val="11"/>
        <rFont val="Arial"/>
        <family val="2"/>
      </rPr>
      <t>yellow</t>
    </r>
    <r>
      <rPr>
        <sz val="11"/>
        <rFont val="Arial"/>
        <family val="2"/>
      </rPr>
      <t xml:space="preserve"> need</t>
    </r>
    <r>
      <rPr>
        <sz val="11"/>
        <rFont val="Arial"/>
        <family val="2"/>
      </rPr>
      <t xml:space="preserve"> to be filled in by the forecaster. These are the </t>
    </r>
    <r>
      <rPr>
        <b/>
        <sz val="11"/>
        <color indexed="10"/>
        <rFont val="Arial"/>
        <family val="2"/>
      </rPr>
      <t>ONLY</t>
    </r>
    <r>
      <rPr>
        <sz val="11"/>
        <rFont val="Arial"/>
        <family val="2"/>
      </rPr>
      <t xml:space="preserve"> fields that should be filled in. </t>
    </r>
  </si>
  <si>
    <t>* Note: 16 = 14 + 15 + Other taxes less subsidies on production (D.29r - D.39p)</t>
  </si>
  <si>
    <t>HNonFinN</t>
  </si>
  <si>
    <t>Social contributions</t>
  </si>
  <si>
    <t>Ygos</t>
  </si>
  <si>
    <t>$GNI</t>
  </si>
  <si>
    <t>Balance of primary income (gross) / GNI (B.5g)</t>
  </si>
  <si>
    <t>ESA -95</t>
  </si>
  <si>
    <t>Code</t>
  </si>
  <si>
    <t xml:space="preserve">   1. Compensation of employees</t>
  </si>
  <si>
    <t>European Commission</t>
  </si>
  <si>
    <t>Comment: differences are usually the result of seasonal or working day adjustments in the quarterly pattern.</t>
  </si>
  <si>
    <t>TOT. EMPLOYMENT PERSONS</t>
  </si>
  <si>
    <t>LEmpTotD</t>
  </si>
  <si>
    <t>TOT. COMPENSATION OF EMPLOYEES</t>
  </si>
  <si>
    <t>TOT. WAGES AND SALARIES</t>
  </si>
  <si>
    <t>TOT. WAGE AND SALARY EARNERS PERSONS</t>
  </si>
  <si>
    <t>LEmpD</t>
  </si>
  <si>
    <r>
      <t xml:space="preserve">All </t>
    </r>
    <r>
      <rPr>
        <b/>
        <sz val="11"/>
        <rFont val="Arial"/>
        <family val="2"/>
      </rPr>
      <t>forecasts</t>
    </r>
    <r>
      <rPr>
        <sz val="11"/>
        <rFont val="Arial"/>
        <family val="2"/>
      </rPr>
      <t xml:space="preserve"> are made in VVP1. The second sheet is only used for calculations and to make the charts.</t>
    </r>
  </si>
  <si>
    <t>1. The input sheets</t>
  </si>
  <si>
    <t>2008Q3</t>
  </si>
  <si>
    <t>2008Q4</t>
  </si>
  <si>
    <t>You can store a transfer matrix for later comparison</t>
  </si>
  <si>
    <t xml:space="preserve">  2. Other domestic sectors</t>
  </si>
  <si>
    <t>S1-S13</t>
  </si>
  <si>
    <t>Table 6</t>
  </si>
  <si>
    <t>ESA</t>
  </si>
  <si>
    <t>WHOLE ECONOMY</t>
  </si>
  <si>
    <t>Table 7</t>
  </si>
  <si>
    <t>QUARTERLY PROFILES</t>
  </si>
  <si>
    <t>FURTHER ANALYSIS OF FIXED INVESTMENT</t>
  </si>
  <si>
    <t>USE AND SUPPLY OF GOODS AND SERVICES (VALUES)</t>
  </si>
  <si>
    <t>Productivity and unit labour cost</t>
  </si>
  <si>
    <t>Unit labour cost</t>
  </si>
  <si>
    <t xml:space="preserve"> (L61:L63) : (L58:L59)</t>
  </si>
  <si>
    <t xml:space="preserve"> External file RULCU (ECFIN A-4 database, source : Ameco)</t>
  </si>
  <si>
    <r>
      <t>DO NOT INSERT OR DELETE COLUMNS (NEVER, NEVER, NEVER !!!)</t>
    </r>
    <r>
      <rPr>
        <sz val="11"/>
        <rFont val="Arial"/>
        <family val="2"/>
      </rPr>
      <t>. Such operation will inevitably damage the transfer matrix.</t>
    </r>
  </si>
  <si>
    <t xml:space="preserve">   Social benefits (D.61)</t>
  </si>
  <si>
    <t>Values as % of GDP</t>
  </si>
  <si>
    <t xml:space="preserve">HSav </t>
  </si>
  <si>
    <t>Household savings rate</t>
  </si>
  <si>
    <r>
      <t>Capital transfers (</t>
    </r>
    <r>
      <rPr>
        <b/>
        <sz val="10"/>
        <color indexed="10"/>
        <rFont val="Arial"/>
        <family val="2"/>
      </rPr>
      <t>paid - received</t>
    </r>
    <r>
      <rPr>
        <sz val="10"/>
        <rFont val="Arial"/>
        <family val="2"/>
      </rPr>
      <t>) (D.9)</t>
    </r>
  </si>
  <si>
    <t>Capital transfers (paid - received) (D.9)</t>
  </si>
  <si>
    <t>YECapN</t>
  </si>
  <si>
    <t>Current transfers (Net)</t>
  </si>
  <si>
    <t>ETN</t>
  </si>
  <si>
    <t>Swaps</t>
  </si>
  <si>
    <t>$Swap</t>
  </si>
  <si>
    <t>Interest paid (D.41p - EDP)</t>
  </si>
  <si>
    <t>Implicit interest rates</t>
  </si>
  <si>
    <t>$AInt / $Debt(t-1)</t>
  </si>
  <si>
    <t xml:space="preserve">   2. Apparent elasticity of forecast</t>
  </si>
  <si>
    <t xml:space="preserve">   3. Past average tax rate</t>
  </si>
  <si>
    <t xml:space="preserve">   4. Average tax rate of forecast (in percent)</t>
  </si>
  <si>
    <r>
      <t xml:space="preserve">1. </t>
    </r>
    <r>
      <rPr>
        <b/>
        <sz val="11"/>
        <rFont val="Arial"/>
        <family val="2"/>
      </rPr>
      <t>Update data_p</t>
    </r>
    <r>
      <rPr>
        <sz val="11"/>
        <rFont val="Arial"/>
        <family val="2"/>
      </rPr>
      <t xml:space="preserve"> with the latest available historical data</t>
    </r>
  </si>
  <si>
    <r>
      <t xml:space="preserve">2. In the forecast sheet, make sure all sheets have </t>
    </r>
    <r>
      <rPr>
        <b/>
        <sz val="11"/>
        <rFont val="Arial"/>
        <family val="2"/>
      </rPr>
      <t>sufficient forecast columns</t>
    </r>
    <r>
      <rPr>
        <sz val="11"/>
        <rFont val="Arial"/>
        <family val="2"/>
      </rPr>
      <t xml:space="preserve"> to reach the forecast horizon.</t>
    </r>
  </si>
  <si>
    <t>Property income (net - negative means paid) (D.4)</t>
  </si>
  <si>
    <t>How to add a forecast year?</t>
  </si>
  <si>
    <t>Government net-lending (EDP definition) - Values</t>
  </si>
  <si>
    <t>LUempEstat</t>
  </si>
  <si>
    <t>Unemployment rate (Eurostat)</t>
  </si>
  <si>
    <t>Employer's social contr. / employee (national)</t>
  </si>
  <si>
    <t>Wages &amp; salaries (values)</t>
  </si>
  <si>
    <t>Difference with Eurostat</t>
  </si>
  <si>
    <t>per unit of real GDP at market prices*</t>
  </si>
  <si>
    <t xml:space="preserve">   6. Property income, net</t>
  </si>
  <si>
    <t>D4</t>
  </si>
  <si>
    <t xml:space="preserve">   7. Current Transfers, net receipts</t>
  </si>
  <si>
    <t>D7+D6</t>
  </si>
  <si>
    <t>One-off measures</t>
  </si>
  <si>
    <t>One-offs</t>
  </si>
  <si>
    <t>1FS</t>
  </si>
  <si>
    <t xml:space="preserve"> L38:L3</t>
  </si>
  <si>
    <t xml:space="preserve"> L39:L4</t>
  </si>
  <si>
    <t xml:space="preserve"> L40:L5</t>
  </si>
  <si>
    <t>p.m. implicit values for private sector</t>
  </si>
  <si>
    <t xml:space="preserve">Final demand                                                                    </t>
  </si>
  <si>
    <t>Imports of goods and services</t>
  </si>
  <si>
    <t>Names of quarterly sheets have been changed</t>
  </si>
  <si>
    <t>Exchange rates, annual average</t>
  </si>
  <si>
    <t xml:space="preserve">   1. Effective (%change)</t>
  </si>
  <si>
    <t xml:space="preserve"> 11. Terms of trade of goods and services</t>
  </si>
  <si>
    <t>LUemp (Eurostat)</t>
  </si>
  <si>
    <t>Registered unemployment (Eurostat)</t>
  </si>
  <si>
    <t xml:space="preserve">Note: A positive sign means that revenue increases. Total amount, in national currency. </t>
  </si>
  <si>
    <r>
      <t xml:space="preserve">Note: A positive sign means that expenditure </t>
    </r>
    <r>
      <rPr>
        <b/>
        <u/>
        <sz val="10"/>
        <color indexed="10"/>
        <rFont val="Arial"/>
        <family val="2"/>
      </rPr>
      <t>decreases</t>
    </r>
    <r>
      <rPr>
        <b/>
        <sz val="10"/>
        <color indexed="10"/>
        <rFont val="Arial"/>
        <family val="2"/>
      </rPr>
      <t xml:space="preserve">. Total amount, in national currency. </t>
    </r>
  </si>
  <si>
    <t>Impact of discretionary measures on revenue</t>
  </si>
  <si>
    <t>Current revenue</t>
  </si>
  <si>
    <t>Capital transfers received</t>
  </si>
  <si>
    <t xml:space="preserve">Note: A positive sign indicates a revenue increasing measure. Incremental impact compared to previous year, in national currency. </t>
  </si>
  <si>
    <t>Total revenue (excluding impact of discretionary measures)</t>
  </si>
  <si>
    <t>Impact of discretionary measures on expenditure</t>
  </si>
  <si>
    <t>Current expenditure</t>
  </si>
  <si>
    <t>Capital expenditure (GFCF and other)</t>
  </si>
  <si>
    <t>Final domestic demand (excl. inventories)</t>
  </si>
  <si>
    <t>D.2r (GVT)</t>
  </si>
  <si>
    <t>D.5r (GVT)</t>
  </si>
  <si>
    <t>D.5p (GVT)</t>
  </si>
  <si>
    <t>Tax rate relative to GDP</t>
  </si>
  <si>
    <t xml:space="preserve"> Structural Indicators definitions</t>
  </si>
  <si>
    <t>Gross operating surplus (B.2g) / Mixed income (implicit residual)</t>
  </si>
  <si>
    <t xml:space="preserve"> (L36+L37+L38+L42+L43+L44) : (L1+L2+L3+L7+L8+L9)</t>
  </si>
  <si>
    <t xml:space="preserve"> (L45+L46) : (L10+L11)</t>
  </si>
  <si>
    <t xml:space="preserve"> L46:L11</t>
  </si>
  <si>
    <t xml:space="preserve"> L47:L12</t>
  </si>
  <si>
    <t xml:space="preserve">Compensation of employees (D.1p) </t>
  </si>
  <si>
    <t>In principle, for a variable we report:</t>
  </si>
  <si>
    <t>volumes (only for the major expenditure variables)</t>
  </si>
  <si>
    <t>other useful information (% of GDP, elasticities, ...)</t>
  </si>
  <si>
    <t>Tax rate relative to private consumption expenditure</t>
  </si>
  <si>
    <t xml:space="preserve">VOL. Imports of goods and services </t>
  </si>
  <si>
    <t xml:space="preserve">VAL. Exports of goods and services </t>
  </si>
  <si>
    <t>VAL. Domestic demand excl. Inventories</t>
  </si>
  <si>
    <t>AGG. Domestic demand excl. Inventories</t>
  </si>
  <si>
    <t xml:space="preserve"> (L43+L44) : (L8+L9)</t>
  </si>
  <si>
    <t xml:space="preserve"> L43:L8</t>
  </si>
  <si>
    <r>
      <t>Important remark 2</t>
    </r>
    <r>
      <rPr>
        <sz val="11"/>
        <rFont val="Arial"/>
        <family val="2"/>
      </rPr>
      <t xml:space="preserve">: indicate if you want to report in </t>
    </r>
    <r>
      <rPr>
        <b/>
        <sz val="11"/>
        <color indexed="10"/>
        <rFont val="Arial"/>
        <family val="2"/>
      </rPr>
      <t>previous year prices</t>
    </r>
    <r>
      <rPr>
        <sz val="11"/>
        <rFont val="Arial"/>
        <family val="2"/>
      </rPr>
      <t xml:space="preserve"> (YES / NO) in VVP1 (top left corner)</t>
    </r>
  </si>
  <si>
    <t xml:space="preserve">If you choose NO your volume data will be transfered in constant prices. </t>
  </si>
  <si>
    <t>gerrit.bethuyne@ec.europa.eu</t>
  </si>
  <si>
    <t>Compare with the following saved matrix</t>
  </si>
  <si>
    <t>D.3p (EXT)</t>
  </si>
  <si>
    <t>Property income (paid, excluding interests) (D.4p-D.41p)</t>
  </si>
  <si>
    <t>Other taxes less subsidies on production (D.29p - D.39r)</t>
  </si>
  <si>
    <t>Net lending as % of GDP</t>
  </si>
  <si>
    <t>Final consumption expenditure (P.3)</t>
  </si>
  <si>
    <t>Employer's social contr. (public)</t>
  </si>
  <si>
    <t>Employer's social contr. (domestic)</t>
  </si>
  <si>
    <t>Employer's social contr. (frontier workers)</t>
  </si>
  <si>
    <t>Employer's social contr. (national)</t>
  </si>
  <si>
    <t>YWD</t>
  </si>
  <si>
    <t>ETSocAvDPr</t>
  </si>
  <si>
    <t>ETSocAvDPu</t>
  </si>
  <si>
    <t>ETSocAvD</t>
  </si>
  <si>
    <t>ETSocAvRow</t>
  </si>
  <si>
    <t>ETSocAv</t>
  </si>
  <si>
    <t>ETSocAvDPr x LempDpr</t>
  </si>
  <si>
    <t>ETSocAvDPu x LEmpDPu</t>
  </si>
  <si>
    <t xml:space="preserve"> 11. Activity rate (%)</t>
  </si>
  <si>
    <t xml:space="preserve"> 12. Employment rate (%)</t>
  </si>
  <si>
    <t>Table 8</t>
  </si>
  <si>
    <t>INCOME AND EXPENDITURE OF CORPORATIONS (S11+S12)</t>
  </si>
  <si>
    <t>code</t>
  </si>
  <si>
    <t>p.m. Registered unemployment (national definition)</t>
  </si>
  <si>
    <t>B.1g</t>
  </si>
  <si>
    <t>B.1g (E)</t>
  </si>
  <si>
    <t>D.29p (E)</t>
  </si>
  <si>
    <t>D.1p (E)</t>
  </si>
  <si>
    <t>D.7r (E)</t>
  </si>
  <si>
    <t>YATO</t>
  </si>
  <si>
    <t>$ATO</t>
  </si>
  <si>
    <t xml:space="preserve">   5. Gross operating surplus (1+2-3-4)</t>
  </si>
  <si>
    <t>B2g</t>
  </si>
  <si>
    <t>Total labour force</t>
  </si>
  <si>
    <t>L</t>
  </si>
  <si>
    <t>Wage and salary earners (domestic)</t>
  </si>
  <si>
    <t>LEmpSelfD</t>
  </si>
  <si>
    <t>Employment (domestic)</t>
  </si>
  <si>
    <t>Frontier workers</t>
  </si>
  <si>
    <t>LEmp</t>
  </si>
  <si>
    <t>Capital transfers (D.9p)</t>
  </si>
  <si>
    <t>YACapTax</t>
  </si>
  <si>
    <t>YACapTO</t>
  </si>
  <si>
    <t>$AComp</t>
  </si>
  <si>
    <t>Minor changes to the titles in table 10</t>
  </si>
  <si>
    <t>Version</t>
  </si>
  <si>
    <t>UN</t>
  </si>
  <si>
    <t>P.52 + P.53</t>
  </si>
  <si>
    <t xml:space="preserve"> L120+L121+L122+L123+L124+L145+L146</t>
  </si>
  <si>
    <t>1. Compensation of employees (D.1p) is forecasted for HH, E and GVT (in Labour1)</t>
  </si>
  <si>
    <t>Total compensation / employee (public)</t>
  </si>
  <si>
    <t>forecast year = a year for which a variable needs to be forecasted</t>
  </si>
  <si>
    <t xml:space="preserve">   Labour productivity and unit labour cost</t>
  </si>
  <si>
    <t xml:space="preserve"> L100+L101-L102-L103 (or if any of these 4 line are missing : L104)</t>
  </si>
  <si>
    <r>
      <t xml:space="preserve">Historical data should be put in a file called </t>
    </r>
    <r>
      <rPr>
        <b/>
        <sz val="11"/>
        <color indexed="10"/>
        <rFont val="Arial"/>
        <family val="2"/>
      </rPr>
      <t>data_p.xls</t>
    </r>
    <r>
      <rPr>
        <sz val="11"/>
        <rFont val="Arial"/>
        <family val="2"/>
      </rPr>
      <t xml:space="preserve">, stored in the </t>
    </r>
    <r>
      <rPr>
        <b/>
        <sz val="11"/>
        <color indexed="10"/>
        <rFont val="Arial"/>
        <family val="2"/>
      </rPr>
      <t>same folder as the forecast sheet</t>
    </r>
    <r>
      <rPr>
        <sz val="11"/>
        <rFont val="Arial"/>
        <family val="2"/>
      </rPr>
      <t xml:space="preserve">. </t>
    </r>
  </si>
  <si>
    <t>VAL. G.F.C.F. OTHER</t>
  </si>
  <si>
    <t>Total government expenditure (harmonised)</t>
  </si>
  <si>
    <t>D.7p (EXT)</t>
  </si>
  <si>
    <t>K.2 (EXT)</t>
  </si>
  <si>
    <t>$MG</t>
  </si>
  <si>
    <t>$IO</t>
  </si>
  <si>
    <t>VAL. CHANGE IN INVENTORIES</t>
  </si>
  <si>
    <t>$Iny</t>
  </si>
  <si>
    <t xml:space="preserve"> L43-L45                                                                    </t>
  </si>
  <si>
    <t xml:space="preserve">   3a. p.m. (3) as % of GDP</t>
  </si>
  <si>
    <t>YRowTaxDir</t>
  </si>
  <si>
    <t>*93</t>
  </si>
  <si>
    <t>*106</t>
  </si>
  <si>
    <t>YHTSoc (*)</t>
  </si>
  <si>
    <t>YESoc (*)</t>
  </si>
  <si>
    <t xml:space="preserve">  3b. - of which other construction</t>
  </si>
  <si>
    <t>LEmpTotDFTE</t>
  </si>
  <si>
    <t>LEmpTotMandDFTE</t>
  </si>
  <si>
    <t xml:space="preserve"> L122</t>
  </si>
  <si>
    <t xml:space="preserve"> L123</t>
  </si>
  <si>
    <t xml:space="preserve"> L124</t>
  </si>
  <si>
    <t>IMPORTS OF GOODS EXTRA-EU (CIF)</t>
  </si>
  <si>
    <t>$MGExtr</t>
  </si>
  <si>
    <t>INDUSTRIAL PRODUCTION</t>
  </si>
  <si>
    <t>Debt dynamics</t>
  </si>
  <si>
    <t>Gross value added</t>
  </si>
  <si>
    <t>XFob</t>
  </si>
  <si>
    <t>XG</t>
  </si>
  <si>
    <t xml:space="preserve">MCif </t>
  </si>
  <si>
    <t>XS</t>
  </si>
  <si>
    <t>MS</t>
  </si>
  <si>
    <t>MG</t>
  </si>
  <si>
    <t>ATaxProd</t>
  </si>
  <si>
    <t>ASubProd</t>
  </si>
  <si>
    <t>GVAdd</t>
  </si>
  <si>
    <t xml:space="preserve"> L79</t>
  </si>
  <si>
    <t xml:space="preserve"> L83 or L63 (if L83 is not filled)</t>
  </si>
  <si>
    <t>XGIntr</t>
  </si>
  <si>
    <t>XGExtr</t>
  </si>
  <si>
    <t>Intra-EU exports of goods</t>
  </si>
  <si>
    <t>Extra-EU exports of goods</t>
  </si>
  <si>
    <t>$AIswap / $Debt(t-1)</t>
  </si>
  <si>
    <t>ACIndv</t>
  </si>
  <si>
    <t>ACColl</t>
  </si>
  <si>
    <r>
      <t xml:space="preserve">Above all: </t>
    </r>
    <r>
      <rPr>
        <b/>
        <sz val="11"/>
        <color indexed="10"/>
        <rFont val="Arial"/>
        <family val="2"/>
      </rPr>
      <t>DO NOT INSERT OR DELETE COLUMNS (NEVER, NEVER, NEVER !!!)</t>
    </r>
    <r>
      <rPr>
        <sz val="11"/>
        <rFont val="Arial"/>
        <family val="2"/>
      </rPr>
      <t xml:space="preserve">. </t>
    </r>
  </si>
  <si>
    <t>CONSUMER PRICE HARMONIZED INDEX</t>
  </si>
  <si>
    <t>HICP</t>
  </si>
  <si>
    <t>CONSUMER PRICE GENERAL INDEX</t>
  </si>
  <si>
    <t>REVENUE AND EXPENDITURE OF GENERAL GOVERNMENT (S13)</t>
  </si>
  <si>
    <t>TR</t>
  </si>
  <si>
    <t>TE</t>
  </si>
  <si>
    <t>Here, volumes are expressed in constant prices (e.g. prices of 2000).</t>
  </si>
  <si>
    <t>Net current transfers (rest of the world)</t>
  </si>
  <si>
    <t>*142</t>
  </si>
  <si>
    <t>Net capital transactions (rest of the world)</t>
  </si>
  <si>
    <t>Net operating surplus (B.2n)</t>
  </si>
  <si>
    <t>Consumption of fixed capital (K.1)</t>
  </si>
  <si>
    <t xml:space="preserve"> (((L47+L123+L133) - (L61+L113+L131)) : L47) x (((L47+L123+L133) - (L61+L113+L131)) : L12)</t>
  </si>
  <si>
    <t xml:space="preserve"> L137 : L47</t>
  </si>
  <si>
    <t>Tables!E43:H43, Tables!AE43:AH43, Tables!BA43</t>
  </si>
  <si>
    <t xml:space="preserve"> (L43-L45) + (L44-L46)</t>
  </si>
  <si>
    <t>As a rule, the user can insert as many additional lines as needed without impact on the transfer matrix.</t>
  </si>
  <si>
    <t>Extra-EU imports of goods</t>
  </si>
  <si>
    <t>MGIntr</t>
  </si>
  <si>
    <t>MGExtr</t>
  </si>
  <si>
    <t>Unemployment rate (national definition)</t>
  </si>
  <si>
    <t xml:space="preserve"> External file NOMM  (ECFIN A-4 database)</t>
  </si>
  <si>
    <t>Contributions to growth</t>
  </si>
  <si>
    <t>Domestic demand</t>
  </si>
  <si>
    <t>Text</t>
  </si>
  <si>
    <t>Lpop</t>
  </si>
  <si>
    <t>Lage</t>
  </si>
  <si>
    <t>NP</t>
  </si>
  <si>
    <t>NN</t>
  </si>
  <si>
    <t>LEmpDFTE</t>
  </si>
  <si>
    <t>Although not strictly necessary, the storage will be executed much faster if you close Excel before you use EU4CAST.</t>
  </si>
  <si>
    <t xml:space="preserve">   5. Change in inventories + net acquisition of valuables as % of GDP </t>
  </si>
  <si>
    <t xml:space="preserve">  7a.  - of which, goods</t>
  </si>
  <si>
    <t xml:space="preserve"> L44</t>
  </si>
  <si>
    <t xml:space="preserve"> ((L100+L101-L102-L103) + L105 + L106 - L107 - L108) - L109 - L110</t>
  </si>
  <si>
    <t xml:space="preserve"> Table-line 13 : L47</t>
  </si>
  <si>
    <t xml:space="preserve"> L87</t>
  </si>
  <si>
    <t>$AInt</t>
  </si>
  <si>
    <t xml:space="preserve">   3. Social transfers in kind via market producers</t>
  </si>
  <si>
    <t xml:space="preserve">   2. Non-labour income, net</t>
  </si>
  <si>
    <t>B2g+B3g+D4</t>
  </si>
  <si>
    <t xml:space="preserve">  8. Final demand (6+7)</t>
  </si>
  <si>
    <t xml:space="preserve">   9. Imports of goods and services </t>
  </si>
  <si>
    <t xml:space="preserve"> L29+L30 or L3-L28 if these lines are missing</t>
  </si>
  <si>
    <t xml:space="preserve"> L4</t>
  </si>
  <si>
    <t xml:space="preserve"> L31</t>
  </si>
  <si>
    <t xml:space="preserve"> L4-L31</t>
  </si>
  <si>
    <t>- level in values</t>
  </si>
  <si>
    <r>
      <t xml:space="preserve">% p </t>
    </r>
    <r>
      <rPr>
        <b/>
        <sz val="10"/>
        <color indexed="9"/>
        <rFont val="Symbol"/>
        <family val="1"/>
        <charset val="2"/>
      </rPr>
      <t>D</t>
    </r>
  </si>
  <si>
    <r>
      <t xml:space="preserve">% val </t>
    </r>
    <r>
      <rPr>
        <b/>
        <sz val="10"/>
        <color indexed="9"/>
        <rFont val="Symbol"/>
        <family val="1"/>
        <charset val="2"/>
      </rPr>
      <t>D</t>
    </r>
  </si>
  <si>
    <t>YEDisp</t>
  </si>
  <si>
    <t>YDisp</t>
  </si>
  <si>
    <t>Total compensation / employee (private)</t>
  </si>
  <si>
    <t xml:space="preserve"> (L44:L9) : (L46:L11)</t>
  </si>
  <si>
    <t>Volumes</t>
  </si>
  <si>
    <t>Household consumption (constant prices)</t>
  </si>
  <si>
    <t>*1</t>
  </si>
  <si>
    <t>Household consumption</t>
  </si>
  <si>
    <t>Government consumption (constant prices)</t>
  </si>
  <si>
    <t>*2</t>
  </si>
  <si>
    <t>Government consumption</t>
  </si>
  <si>
    <t>Investment by type of asset (constant prices)</t>
  </si>
  <si>
    <t>Non-residential construction and civil engineering</t>
  </si>
  <si>
    <t>Balance of goods and services</t>
  </si>
  <si>
    <t>VB</t>
  </si>
  <si>
    <t>Gross domestic product (constant prices)</t>
  </si>
  <si>
    <t>*12</t>
  </si>
  <si>
    <t>Gross domestic product (B.1g - constant prices)</t>
  </si>
  <si>
    <t>Net exports</t>
  </si>
  <si>
    <t>VNX</t>
  </si>
  <si>
    <t>Discrepancies due to calendar effects</t>
  </si>
  <si>
    <t>Gross value added (constant prices)</t>
  </si>
  <si>
    <t>*58</t>
  </si>
  <si>
    <t>GVA</t>
  </si>
  <si>
    <t>VGVAdd</t>
  </si>
  <si>
    <t>Previous year prices series</t>
  </si>
  <si>
    <t>Household consumption (current prices)</t>
  </si>
  <si>
    <t>36/95</t>
  </si>
  <si>
    <t>Government consumption (current prices)</t>
  </si>
  <si>
    <t xml:space="preserve">  9a.  - of which, services</t>
  </si>
  <si>
    <t xml:space="preserve"> L46</t>
  </si>
  <si>
    <t xml:space="preserve">HICP mid-year index </t>
  </si>
  <si>
    <t>Tables!F492:M493, Tables!AN492:AU493; Tables!BA492:BA493</t>
  </si>
  <si>
    <t>Investment by sector (constant prices)</t>
  </si>
  <si>
    <t>*28</t>
  </si>
  <si>
    <t>Domestic demand excluding inventories</t>
  </si>
  <si>
    <t>VDDE</t>
  </si>
  <si>
    <t xml:space="preserve"> L16</t>
  </si>
  <si>
    <t>This matrix is transfered to the central forecast system</t>
  </si>
  <si>
    <t>Annual HICP INDEX</t>
  </si>
  <si>
    <t>Household consumption (deflator)</t>
  </si>
  <si>
    <t>Government consumption (deflator)</t>
  </si>
  <si>
    <t>PAC</t>
  </si>
  <si>
    <t>Investment by type of asset  (deflator)</t>
  </si>
  <si>
    <t>PAICstNonR</t>
  </si>
  <si>
    <t>PPr$ICstNonR</t>
  </si>
  <si>
    <t>PICstNonR</t>
  </si>
  <si>
    <t>PICstR</t>
  </si>
  <si>
    <t>PICst</t>
  </si>
  <si>
    <t>PAIEq</t>
  </si>
  <si>
    <t>PIEq</t>
  </si>
  <si>
    <t>PIO</t>
  </si>
  <si>
    <t>PI</t>
  </si>
  <si>
    <t>Investment by sector  (deflator)</t>
  </si>
  <si>
    <t>PAI</t>
  </si>
  <si>
    <t>Investment in inventories  (deflator)</t>
  </si>
  <si>
    <t>PIny</t>
  </si>
  <si>
    <t>Other current expenditure (D.29p + D.4p - D.41p + D.5p + D.7p + D.8p)</t>
  </si>
  <si>
    <t>Social benefits (D.62)</t>
  </si>
  <si>
    <t>Acq. less disp. of non-fin. non-prod. assets (K.2)</t>
  </si>
  <si>
    <t>Gross fixed capital formation (P.51)</t>
  </si>
  <si>
    <t>Real disposable income (deflator of private consumption)</t>
  </si>
  <si>
    <t>LUempRate (Eurostat)</t>
  </si>
  <si>
    <t>Unemployment rate (own calculation)</t>
  </si>
  <si>
    <t>ULUempRate</t>
  </si>
  <si>
    <t>((L113+L131 t ÷ L113+L131 t-1) - (L162 col 1 × (L36 t ÷ L36 t-1))) × (L113+L131 t-1 ÷ L47 t)</t>
  </si>
  <si>
    <t xml:space="preserve">  7. Calculated employment rate (6:2)</t>
  </si>
  <si>
    <t xml:space="preserve">  8. Unemployment (3 - 6)</t>
  </si>
  <si>
    <t xml:space="preserve">   3. Gross fixed capital formation</t>
  </si>
  <si>
    <t xml:space="preserve">Current taxes on income and wealth (D.5)  </t>
  </si>
  <si>
    <t>Cyclically adjusted balance</t>
  </si>
  <si>
    <t>Structural balance</t>
  </si>
  <si>
    <t xml:space="preserve"> 15. Gross operating surplus/mixed income</t>
  </si>
  <si>
    <t>Imports (current prices)</t>
  </si>
  <si>
    <t xml:space="preserve">$MCif </t>
  </si>
  <si>
    <t>Imports of goods (P.61)</t>
  </si>
  <si>
    <t>$MFob</t>
  </si>
  <si>
    <t>Balances (current prices)</t>
  </si>
  <si>
    <t>$BG</t>
  </si>
  <si>
    <t>$B</t>
  </si>
  <si>
    <t>Gross domestic product (B.1g - current prices)</t>
  </si>
  <si>
    <t>47/136</t>
  </si>
  <si>
    <t>Gross value added (current prices)</t>
  </si>
  <si>
    <t>$GVAdd</t>
  </si>
  <si>
    <t>Prices</t>
  </si>
  <si>
    <t>Household consumption prices</t>
  </si>
  <si>
    <t>Deflator</t>
  </si>
  <si>
    <t>PPrvC</t>
  </si>
  <si>
    <t>National consumer price index</t>
  </si>
  <si>
    <t>Harmonized consumer price index</t>
  </si>
  <si>
    <t>Annual HICP WEIGHTS</t>
  </si>
  <si>
    <t>Unit: '000 persons</t>
  </si>
  <si>
    <t>If YES, aggregates are not additive in constant prices, but they are additive in previous year's prices.</t>
  </si>
  <si>
    <t>Employer's social contr. / employee (public)</t>
  </si>
  <si>
    <t>Table 3</t>
  </si>
  <si>
    <t xml:space="preserve">  By sector</t>
  </si>
  <si>
    <t xml:space="preserve">  1. General government</t>
  </si>
  <si>
    <t xml:space="preserve"> Special calculation A-4 based on Benchmark activity rates</t>
  </si>
  <si>
    <t xml:space="preserve">   4a.  -  of which, tourism </t>
  </si>
  <si>
    <t>DISCRETIONARY MEASURES CURRENT EXPENDITURE</t>
  </si>
  <si>
    <t>DISCRETIONARY MEASURES CURRENT REVENUE</t>
  </si>
  <si>
    <t>DISCRETIONARY MEASURES CAPITAL EXPENDITURE</t>
  </si>
  <si>
    <t>DISCRETIONARY MEASURES CAPITAL TRANSFERS RECEIVED</t>
  </si>
  <si>
    <t>The sheet also provides comparison tables, which clearly indicate all cells that have changed compared to a reference storage.</t>
  </si>
  <si>
    <t>D.4p - D.41p (GVT)</t>
  </si>
  <si>
    <t>$AProp - $AInt</t>
  </si>
  <si>
    <t>GVT: Property income (received) (D.4r)</t>
  </si>
  <si>
    <t>GVT: Property income (paid, excluding interests) (D.4-D.41p)</t>
  </si>
  <si>
    <t>The reference storage is one of the five storages you have savedusing the "save values" button described above.</t>
  </si>
  <si>
    <t xml:space="preserve"> L88</t>
  </si>
  <si>
    <t xml:space="preserve"> L89+L90</t>
  </si>
  <si>
    <t xml:space="preserve"> (L36+L37+L38+L42) : (L1+L2+L3+L7)</t>
  </si>
  <si>
    <t>Government net-lending (EDP definition) - as % of GDP</t>
  </si>
  <si>
    <t>Debt current year - as % of GDP</t>
  </si>
  <si>
    <t>- sums received are equal to sums paid</t>
  </si>
  <si>
    <t>Gross capital formation (P.5)</t>
  </si>
  <si>
    <t>VAL</t>
  </si>
  <si>
    <t>PrvC</t>
  </si>
  <si>
    <t>1000 persons</t>
  </si>
  <si>
    <t>x</t>
  </si>
  <si>
    <t>Growth (1000 persons)</t>
  </si>
  <si>
    <t>ULage</t>
  </si>
  <si>
    <t>D29</t>
  </si>
  <si>
    <t xml:space="preserve">   4. Compensation of employees</t>
  </si>
  <si>
    <t>MAN. WAGE AND SALARY EARNERS PERSONS</t>
  </si>
  <si>
    <t>LEmpManD</t>
  </si>
  <si>
    <t>MAN. WAGE AND SALARY EARNERS F.T.E.</t>
  </si>
  <si>
    <t xml:space="preserve">Current taxes on income and wealth (D.5p)  </t>
  </si>
  <si>
    <t xml:space="preserve">   10. Gross domestic product at market prices ( 8-9 )</t>
  </si>
  <si>
    <t>QUART. VOL. PRIV. CONS. EXP. (cols 2-13)</t>
  </si>
  <si>
    <t>VAL. EXPORTS OF GOODS (FOB)</t>
  </si>
  <si>
    <t>VAL. EXPORTS OF SERVICES</t>
  </si>
  <si>
    <t>$XS</t>
  </si>
  <si>
    <t>VAL. IMPORTS OF GOODS (FOB)</t>
  </si>
  <si>
    <t>VAL. IMPORTS OF SERVICES</t>
  </si>
  <si>
    <t xml:space="preserve">   7. Import prices of goods</t>
  </si>
  <si>
    <t xml:space="preserve">   8. Final demand</t>
  </si>
  <si>
    <t xml:space="preserve"> L103</t>
  </si>
  <si>
    <t xml:space="preserve"> L105</t>
  </si>
  <si>
    <t xml:space="preserve"> L106</t>
  </si>
  <si>
    <t xml:space="preserve"> L108</t>
  </si>
  <si>
    <t xml:space="preserve"> (L100+L101-L102-L103) + L105 + L106 - L107 - L108</t>
  </si>
  <si>
    <t>o/w Other current taxes on income and wealth (D.59)</t>
  </si>
  <si>
    <t>Gross Operating surplus</t>
  </si>
  <si>
    <t xml:space="preserve"> L79-L83 or L79-L63 (if L83 is not filled)</t>
  </si>
  <si>
    <t xml:space="preserve"> L79:L76</t>
  </si>
  <si>
    <t xml:space="preserve"> L78</t>
  </si>
  <si>
    <t>Dette des APU (n-1)</t>
  </si>
  <si>
    <t>Taux d'intérêt apparent</t>
  </si>
  <si>
    <t>o/w current taxes on income and wealth (D.51)</t>
  </si>
  <si>
    <t>D.51 (HH)</t>
  </si>
  <si>
    <t>19a</t>
  </si>
  <si>
    <t>D.59 (HH)</t>
  </si>
  <si>
    <t>19b</t>
  </si>
  <si>
    <t>Revenue imposable des ménages</t>
  </si>
  <si>
    <t>Variation</t>
  </si>
  <si>
    <t>Taux apparent n-1</t>
  </si>
  <si>
    <t>Evolution tendancielle</t>
  </si>
  <si>
    <t>VAL. G.F.C.F. CONSTRUCTION</t>
  </si>
  <si>
    <t>3. Gross operating surplus (B.2g) is forecasted for HH and GVT in Sector1 (but not for E !)</t>
  </si>
  <si>
    <t>The growth rates will then be calculated in VVP1 (in previous year's prices) and used to calculate aggregates in constant prices.</t>
  </si>
  <si>
    <t xml:space="preserve">COR GROSS VALUE ADDED </t>
  </si>
  <si>
    <t xml:space="preserve">COR OTHER SUBSIDIES ON PRODUCTION </t>
  </si>
  <si>
    <t>COR OTHER TAXES ON PRODUCTS</t>
  </si>
  <si>
    <t>$ETaxProd</t>
  </si>
  <si>
    <t>Statistical discrepancy</t>
  </si>
  <si>
    <t>VOL. Domestic demand excl. Inventories</t>
  </si>
  <si>
    <t>p.m. total primary expenditure</t>
  </si>
  <si>
    <t>p.m. : total taxes and social contributions</t>
  </si>
  <si>
    <t>p.m. : total taxes</t>
  </si>
  <si>
    <t>GOVERNMENT CONSUMPTION EXPENDITURE</t>
  </si>
  <si>
    <t xml:space="preserve">   2. Intermediate consumption</t>
  </si>
  <si>
    <t>Values as percent of HH disposable income</t>
  </si>
  <si>
    <t xml:space="preserve"> 11b. - of which, terms of trade of services</t>
  </si>
  <si>
    <t xml:space="preserve">   Exports (P.6)</t>
  </si>
  <si>
    <t xml:space="preserve">   Imports (P.7)</t>
  </si>
  <si>
    <t xml:space="preserve">   Gross domestic product (B.1g)</t>
  </si>
  <si>
    <t>Net operating surplus</t>
  </si>
  <si>
    <t>Intermediate consumption (P.2)</t>
  </si>
  <si>
    <t>Employer's social contributions (values)</t>
  </si>
  <si>
    <t>Domestic demand (incl. Inventories)</t>
  </si>
  <si>
    <r>
      <t xml:space="preserve">Growth rates </t>
    </r>
    <r>
      <rPr>
        <b/>
        <sz val="10"/>
        <color indexed="10"/>
        <rFont val="Arial"/>
        <family val="2"/>
      </rPr>
      <t>(year-on-year)</t>
    </r>
  </si>
  <si>
    <t>YATaxActSoc</t>
  </si>
  <si>
    <t>GG OTHER CURRENT RESOURCES</t>
  </si>
  <si>
    <t>YAO</t>
  </si>
  <si>
    <t>Acquisition less disposal of non-fin. non-prod. assets (K.2)</t>
  </si>
  <si>
    <t xml:space="preserve">  22. General government consolidated gross debt</t>
  </si>
  <si>
    <t>It ensures the consistency between GDP from expenditure and income side. The forecast of this section is set up as follows:</t>
  </si>
  <si>
    <t>1. GDP (B.1g) is first forecasted from the expenditure side in VVP1</t>
  </si>
  <si>
    <t xml:space="preserve">  L119</t>
  </si>
  <si>
    <t xml:space="preserve">  L118</t>
  </si>
  <si>
    <t xml:space="preserve"> L137</t>
  </si>
  <si>
    <t xml:space="preserve"> L44:L9</t>
  </si>
  <si>
    <t xml:space="preserve">VAL. GOVERNMENT CONSUMPTION EXPEND. </t>
  </si>
  <si>
    <t>$AC</t>
  </si>
  <si>
    <t>VAL. G.F.C.F. TOTAL</t>
  </si>
  <si>
    <t xml:space="preserve"> (((L43-L45) + (L44-L46)) + (L140+L141)) + L142</t>
  </si>
  <si>
    <t>Gross operating surplus (B.2g) / Mixed income</t>
  </si>
  <si>
    <t>QUART. VOL. GVMNT CONS. EXP. (cols 2-13)</t>
  </si>
  <si>
    <t>QUART. VOL. G.F.C.F. TOTAL (cols 2-13)</t>
  </si>
  <si>
    <t>QUART. VOL. FINAL DOM. DEMAND (cols 2-13)</t>
  </si>
  <si>
    <t xml:space="preserve">      valuables as % of GDP</t>
  </si>
  <si>
    <t xml:space="preserve">  7a.  - of which goods</t>
  </si>
  <si>
    <t xml:space="preserve">  7b.  - of which services</t>
  </si>
  <si>
    <r>
      <t xml:space="preserve">The sheet </t>
    </r>
    <r>
      <rPr>
        <b/>
        <sz val="11"/>
        <rFont val="Arial"/>
        <family val="2"/>
      </rPr>
      <t>Tables</t>
    </r>
    <r>
      <rPr>
        <sz val="11"/>
        <rFont val="Arial"/>
        <family val="2"/>
      </rPr>
      <t xml:space="preserve"> gives the main tables that will be produced centrally after a storage.</t>
    </r>
  </si>
  <si>
    <t>Adding forecast years / changing old forecast years into historical years</t>
  </si>
  <si>
    <t>GG SOCIAL CONTRIBUTIONS</t>
  </si>
  <si>
    <t>YATaxSoc</t>
  </si>
  <si>
    <t>Wages &amp; salaries / employee (domestic)</t>
  </si>
  <si>
    <t>Wages &amp; salaries / employee (national)</t>
  </si>
  <si>
    <t>YWAvDPr</t>
  </si>
  <si>
    <t>YWAvDPu</t>
  </si>
  <si>
    <t>A particular section is the calculation of gross value added (GVA) and Gross operating surplus (GOS)</t>
  </si>
  <si>
    <t xml:space="preserve">   3. Current Transfers received</t>
  </si>
  <si>
    <t>Wage &amp; salary earners (public sector)</t>
  </si>
  <si>
    <t>LEmpDPubl</t>
  </si>
  <si>
    <t xml:space="preserve">These can be used for comparison, to see what has changed between two storages. </t>
  </si>
  <si>
    <t>VAL. G.F.C.F. EQUIPMENT</t>
  </si>
  <si>
    <t xml:space="preserve"> ((L87+L89+L90+L91-L92-L93) + L94) - L95</t>
  </si>
  <si>
    <t xml:space="preserve">   Consumption expenditure (P.3)</t>
  </si>
  <si>
    <t xml:space="preserve">   Employment</t>
  </si>
  <si>
    <t xml:space="preserve">   Hours worked / FTE Employment</t>
  </si>
  <si>
    <t xml:space="preserve">   16. Gross value added at basic prices* </t>
  </si>
  <si>
    <t xml:space="preserve">   14. Compensation of employees</t>
  </si>
  <si>
    <t>p.m. Total capital expenditure</t>
  </si>
  <si>
    <t xml:space="preserve">  11. Gross capital formation</t>
  </si>
  <si>
    <t>Employer's social contr. / employee (values in 1000 euro)</t>
  </si>
  <si>
    <t>Taxes on production and imports (D.2r = D.21r+D.29r)</t>
  </si>
  <si>
    <t xml:space="preserve">   9. Social transfers other than in kind</t>
  </si>
  <si>
    <t>Social contributions (D.61r)</t>
  </si>
  <si>
    <t>P.11 + P.12</t>
  </si>
  <si>
    <t>P.131</t>
  </si>
  <si>
    <t>P.11 + P.12 + P.131</t>
  </si>
  <si>
    <t>D.6311p + D.63121p + D.63131p</t>
  </si>
  <si>
    <t xml:space="preserve">  13a. p.m. 13 as % of GDP</t>
  </si>
  <si>
    <t>Table 10</t>
  </si>
  <si>
    <t>RESOURCES AND EXPENDITURE OF GENERAL GOVERNMENT (S13)</t>
  </si>
  <si>
    <t>AvHoursWorked</t>
  </si>
  <si>
    <t>D.1p (EXT)</t>
  </si>
  <si>
    <t>D.1r (EXT)</t>
  </si>
  <si>
    <t>B.1g (EDP)</t>
  </si>
  <si>
    <t>$RowTaxDir</t>
  </si>
  <si>
    <t>Wages &amp; salaries (private)</t>
  </si>
  <si>
    <t xml:space="preserve"> 12. Unemployment rate (level) (Eurostat)</t>
  </si>
  <si>
    <t>In the input sheets, fill in the name of the sheet in data_p where a variable is stored (in column D) and its identifying number (in column E).</t>
  </si>
  <si>
    <t>Wages &amp; salaries (public)</t>
  </si>
  <si>
    <t>Wages &amp; salaries (domestic)</t>
  </si>
  <si>
    <t xml:space="preserve"> 13. Consumer prices (general index)</t>
  </si>
  <si>
    <t>Employer's social contributions (growth rates)</t>
  </si>
  <si>
    <t>Employer's social contributions (% of total compensation)</t>
  </si>
  <si>
    <t>Social contributions (D.61p)</t>
  </si>
  <si>
    <t>Social benefits (D.62p)</t>
  </si>
  <si>
    <t>Other current transfers (D.7p)</t>
  </si>
  <si>
    <t>Disposable income (B.6g)</t>
  </si>
  <si>
    <t>Adjustment for change in net equity of pension fund reserves (D.8)</t>
  </si>
  <si>
    <r>
      <t xml:space="preserve">4. You can also </t>
    </r>
    <r>
      <rPr>
        <b/>
        <sz val="11"/>
        <rFont val="Arial"/>
        <family val="2"/>
      </rPr>
      <t>integrate partial historical data</t>
    </r>
  </si>
  <si>
    <t>Dom. demand incl. ch. in invent. &amp; incl. net acq. of val.</t>
  </si>
  <si>
    <t>Exports of goods and services</t>
  </si>
  <si>
    <t xml:space="preserve">  9. Calculated unemployment rate (%) (8:5)</t>
  </si>
  <si>
    <t xml:space="preserve">When this system was created (2007), charts were created to cover the period 1995 - 2014. </t>
  </si>
  <si>
    <t>However, after that new forecast years will no longer be shown in the charts unless the data range in all charts is updated.</t>
  </si>
  <si>
    <t xml:space="preserve">   7. Exports of goods and services </t>
  </si>
  <si>
    <t>P6</t>
  </si>
  <si>
    <t>P.61</t>
  </si>
  <si>
    <t>P.62</t>
  </si>
  <si>
    <t>P.6</t>
  </si>
  <si>
    <t>P.71</t>
  </si>
  <si>
    <t>P.72</t>
  </si>
  <si>
    <t>P.7</t>
  </si>
  <si>
    <t>ON</t>
  </si>
  <si>
    <t>VIO</t>
  </si>
  <si>
    <t>$XSC</t>
  </si>
  <si>
    <t>$MSC</t>
  </si>
  <si>
    <t>$ACIndv</t>
  </si>
  <si>
    <t>$ACColl</t>
  </si>
  <si>
    <t>$AICstNonR</t>
  </si>
  <si>
    <t>$PrvICstNonR</t>
  </si>
  <si>
    <t>$ICstNonR</t>
  </si>
  <si>
    <t>$ICstR</t>
  </si>
  <si>
    <t xml:space="preserve">COR COMPENSATION OF EMPLOYEES </t>
  </si>
  <si>
    <t>$EComp</t>
  </si>
  <si>
    <t>COR GROSS OPERATING SURPLUS</t>
  </si>
  <si>
    <t>YEGos</t>
  </si>
  <si>
    <t>COR PROPERTY INCOME (NET)</t>
  </si>
  <si>
    <t>YEPropN</t>
  </si>
  <si>
    <t>Compensation of employees (D.1p) (Domestic)</t>
  </si>
  <si>
    <t>Compensation of employees (Net) (D.1)</t>
  </si>
  <si>
    <t>CompRowN</t>
  </si>
  <si>
    <t>Gross domestic product (B.1g)</t>
  </si>
  <si>
    <t>Sectors as % of total economy</t>
  </si>
  <si>
    <t>Value at current prices</t>
  </si>
  <si>
    <t>GVT: Imputed social contributions (D.612r)</t>
  </si>
  <si>
    <t>Social benefits (D.62r)</t>
  </si>
  <si>
    <t>Other current transfers (D.7r)</t>
  </si>
  <si>
    <t>Total revenue</t>
  </si>
  <si>
    <t>Current taxes on income and wealth (D.5p)</t>
  </si>
  <si>
    <t>Dwellings (= HH investment)</t>
  </si>
  <si>
    <t>Changes in inventories / valuables (P.52+P.53)</t>
  </si>
  <si>
    <t>EDP B9</t>
  </si>
  <si>
    <t>Table 10a</t>
  </si>
  <si>
    <t>Interest rates, annual average</t>
  </si>
  <si>
    <t>GG ACTUAL SOCIAL CONTRIBUTIONS</t>
  </si>
  <si>
    <t xml:space="preserve">  12. HICP excl. energy and unprocessed food</t>
  </si>
  <si>
    <t xml:space="preserve">  5. Change in inventories and net acquisitions of </t>
  </si>
  <si>
    <t xml:space="preserve">  4. Domestic demand (excl. inventories)</t>
  </si>
  <si>
    <t xml:space="preserve">  6. Domestic demand (incl. inventories)</t>
  </si>
  <si>
    <t xml:space="preserve"> 12a. Non-energy industrial goods</t>
  </si>
  <si>
    <t xml:space="preserve"> 12b. Energy</t>
  </si>
  <si>
    <t xml:space="preserve"> 12c. Processed food (incl. alcohol and tobacco)</t>
  </si>
  <si>
    <t xml:space="preserve"> 12d. Unprocessed food</t>
  </si>
  <si>
    <t xml:space="preserve"> Table-line 11 : L47</t>
  </si>
  <si>
    <t>P51</t>
  </si>
  <si>
    <t>P52+P53</t>
  </si>
  <si>
    <t xml:space="preserve">       valuables as % of GDP</t>
  </si>
  <si>
    <t xml:space="preserve">  6. Domestic demand (4+5)</t>
  </si>
  <si>
    <t xml:space="preserve"> 21. Net lending (EDP)</t>
  </si>
  <si>
    <t xml:space="preserve">   4. Exports of services (a)</t>
  </si>
  <si>
    <t>Taxes on production to the rest of the world</t>
  </si>
  <si>
    <t>NYPrimRow</t>
  </si>
  <si>
    <t xml:space="preserve"> L115 ÷ L61</t>
  </si>
  <si>
    <t>*137</t>
  </si>
  <si>
    <t>D.62p (HH)</t>
  </si>
  <si>
    <t>D.7p (HH)</t>
  </si>
  <si>
    <t>D.9r (HH)</t>
  </si>
  <si>
    <t>D.9p (HH)</t>
  </si>
  <si>
    <t>P.51 (HH)</t>
  </si>
  <si>
    <t>K.2 (HH)</t>
  </si>
  <si>
    <t>P.52 (HH)</t>
  </si>
  <si>
    <t>P.53 (HH)</t>
  </si>
  <si>
    <t>DATA_A11</t>
  </si>
  <si>
    <t>Changes in inventories / valuables (P.51+P.52)</t>
  </si>
  <si>
    <t xml:space="preserve">   5. Change in inventories + net acquisition of</t>
  </si>
  <si>
    <t xml:space="preserve"> Table-line 8 : L47</t>
  </si>
  <si>
    <t>Exports  (deflator)</t>
  </si>
  <si>
    <t>PXS</t>
  </si>
  <si>
    <t>PXG</t>
  </si>
  <si>
    <t>PXFob</t>
  </si>
  <si>
    <t>Exports (deflator)</t>
  </si>
  <si>
    <t>Imports  (deflator)</t>
  </si>
  <si>
    <t>Gross domestic product (B.1g - deflator)</t>
  </si>
  <si>
    <t>Changes in inventories / valuables (P.52 + P.53)</t>
  </si>
  <si>
    <t>Net lending / net borrowing (B.9)</t>
  </si>
  <si>
    <t>New formula to correct error in chainlinked changes in inventories</t>
  </si>
  <si>
    <t>VVP2!L10, M10, L15, M15, L83 (and corresponding cells in following years)</t>
  </si>
  <si>
    <t>Print_Tables_all macro</t>
  </si>
  <si>
    <t>Now includes also table 0</t>
  </si>
  <si>
    <t>Household final consumption expenditure</t>
  </si>
  <si>
    <t>Taxes on income and wealth (direct taxes)</t>
  </si>
  <si>
    <t>Tax rate relative to compensation of employees</t>
  </si>
  <si>
    <t>YATaxIndir</t>
  </si>
  <si>
    <t xml:space="preserve">GG CURRENT TAXES ON INCOME AND WEALTH </t>
  </si>
  <si>
    <t xml:space="preserve">   8. Balance of primary incomes and current Transfers</t>
  </si>
  <si>
    <t xml:space="preserve">  9. Imports of goods and services </t>
  </si>
  <si>
    <t>Change in civil servants purchasing power (July - July estimates)</t>
  </si>
  <si>
    <t xml:space="preserve"> L5</t>
  </si>
  <si>
    <t xml:space="preserve"> L6</t>
  </si>
  <si>
    <t xml:space="preserve"> L3</t>
  </si>
  <si>
    <t>FOR INFORMATION ONLY - There are no forecasts in this sheet</t>
  </si>
  <si>
    <t>Pi6(1,6)</t>
  </si>
  <si>
    <t>Short instructions:</t>
  </si>
  <si>
    <r>
      <t xml:space="preserve">In the </t>
    </r>
    <r>
      <rPr>
        <b/>
        <sz val="11"/>
        <rFont val="Arial"/>
        <family val="2"/>
      </rPr>
      <t xml:space="preserve">Autumn </t>
    </r>
    <r>
      <rPr>
        <sz val="11"/>
        <rFont val="Arial"/>
        <family val="2"/>
      </rPr>
      <t>and</t>
    </r>
    <r>
      <rPr>
        <b/>
        <sz val="11"/>
        <rFont val="Arial"/>
        <family val="2"/>
      </rPr>
      <t xml:space="preserve"> Spring forecast</t>
    </r>
    <r>
      <rPr>
        <sz val="11"/>
        <rFont val="Arial"/>
        <family val="2"/>
      </rPr>
      <t>, you should have historical data for the early quarters of the first forecast year.</t>
    </r>
  </si>
  <si>
    <t xml:space="preserve"> ((L8+L9-L10-L11(T)) - (L8+L9-L10-L11(T-1))) : L12(T-1)</t>
  </si>
  <si>
    <t xml:space="preserve"> External file CYCLPBAL (ECFIN B-5 database, source : Ameco)</t>
  </si>
  <si>
    <t>MAN. EMPLOYMENT PERSONS</t>
  </si>
  <si>
    <t>MAN. COMPENSATION OF EMPLOYEES</t>
  </si>
  <si>
    <t>MAN. WAGES AND SALARIES</t>
  </si>
  <si>
    <t>$MS</t>
  </si>
  <si>
    <t>VAL. GROSS DOMESTIC PRODUCT</t>
  </si>
  <si>
    <t>Other capital transfers (D.9r-D.91r)</t>
  </si>
  <si>
    <t xml:space="preserve">   6. Export markets total</t>
  </si>
  <si>
    <t xml:space="preserve">   Domestic demand</t>
  </si>
  <si>
    <t>Wage &amp; salary earners (domestic)</t>
  </si>
  <si>
    <r>
      <t xml:space="preserve">The information in Sectors 1 is </t>
    </r>
    <r>
      <rPr>
        <b/>
        <sz val="11"/>
        <rFont val="Arial"/>
        <family val="2"/>
      </rPr>
      <t>a more detailed version of standard output tables</t>
    </r>
    <r>
      <rPr>
        <sz val="11"/>
        <rFont val="Arial"/>
        <family val="2"/>
      </rPr>
      <t xml:space="preserve"> 8 - 11.</t>
    </r>
  </si>
  <si>
    <r>
      <t xml:space="preserve">When the </t>
    </r>
    <r>
      <rPr>
        <b/>
        <sz val="11"/>
        <rFont val="Arial"/>
        <family val="2"/>
      </rPr>
      <t>forecast is finished</t>
    </r>
    <r>
      <rPr>
        <sz val="11"/>
        <rFont val="Arial"/>
        <family val="2"/>
      </rPr>
      <t>, press the button "transfer forecast".</t>
    </r>
  </si>
  <si>
    <t>Pi6(4+5)</t>
  </si>
  <si>
    <t>QGDP</t>
  </si>
  <si>
    <t>Gross operating surplus (B.2g) / Mixed income (implicit)</t>
  </si>
  <si>
    <t>Interest paid (D.41p)</t>
  </si>
  <si>
    <t>D.3p (GVT)</t>
  </si>
  <si>
    <t>D.62p (GVT)</t>
  </si>
  <si>
    <t>GG GEN. GVMNT CONSOLIDATED GROSS DEBT</t>
  </si>
  <si>
    <t>MFob</t>
  </si>
  <si>
    <t>QDDE</t>
  </si>
  <si>
    <t>QDDI</t>
  </si>
  <si>
    <t>QIny</t>
  </si>
  <si>
    <t>QXFob</t>
  </si>
  <si>
    <t>QMCif</t>
  </si>
  <si>
    <t>QFD</t>
  </si>
  <si>
    <t xml:space="preserve"> ((L43+L44+L140+L141) - (L45+L46)) : L47</t>
  </si>
  <si>
    <t xml:space="preserve"> External file EFFC (ECFIN A-4 database)</t>
  </si>
  <si>
    <t xml:space="preserve"> 12. Change in inventories + net acq. of valuables</t>
  </si>
  <si>
    <t>Other current revenue (D.39r + D.4r + D.7r)</t>
  </si>
  <si>
    <t>Other capital expenditure (K.2 + P.52 + P.53 + D.9p)</t>
  </si>
  <si>
    <t>Adj. for change in net eq. of pens. fund res. (D.8r)</t>
  </si>
  <si>
    <t>GVT: Capital taxes (D.91r)</t>
  </si>
  <si>
    <t xml:space="preserve">  5. Unit labour costs (4:3)</t>
  </si>
  <si>
    <t xml:space="preserve">   1. Ex ante elasticity with respect to private consumption</t>
  </si>
  <si>
    <t>Final domestic demand</t>
  </si>
  <si>
    <t>Total current resources</t>
  </si>
  <si>
    <t>In sheets VVP2, Labour1 and Sector1: select the last column and copy it to the right.</t>
  </si>
  <si>
    <t>In sheet Quart1: select the last block of 4 columns and copy it to the right.</t>
  </si>
  <si>
    <r>
      <t>You can make as many '</t>
    </r>
    <r>
      <rPr>
        <b/>
        <sz val="11"/>
        <rFont val="Arial"/>
        <family val="2"/>
      </rPr>
      <t>private storages</t>
    </r>
    <r>
      <rPr>
        <sz val="11"/>
        <rFont val="Arial"/>
        <family val="2"/>
      </rPr>
      <t>' as you wish. However, a '</t>
    </r>
    <r>
      <rPr>
        <b/>
        <sz val="11"/>
        <rFont val="Arial"/>
        <family val="2"/>
      </rPr>
      <t>shared storage</t>
    </r>
    <r>
      <rPr>
        <sz val="11"/>
        <rFont val="Arial"/>
        <family val="2"/>
      </rPr>
      <t>' is final and irreversible.</t>
    </r>
  </si>
  <si>
    <t>For the first forecast year, it often happens that you have historical data for some variables (but not for all).</t>
  </si>
  <si>
    <t>((L115 t ÷ L115 t-1) - (L164 col 1 × (L61 t ÷ L61 t-1))) × (L115 t-1 ÷ L47 t)</t>
  </si>
  <si>
    <t xml:space="preserve"> L113</t>
  </si>
  <si>
    <t xml:space="preserve"> L114</t>
  </si>
  <si>
    <t xml:space="preserve"> L92</t>
  </si>
  <si>
    <t xml:space="preserve"> L115</t>
  </si>
  <si>
    <t xml:space="preserve"> L116</t>
  </si>
  <si>
    <t xml:space="preserve"> L145</t>
  </si>
  <si>
    <t xml:space="preserve"> L121</t>
  </si>
  <si>
    <r>
      <t xml:space="preserve">Then use the shortcut </t>
    </r>
    <r>
      <rPr>
        <b/>
        <sz val="11"/>
        <rFont val="Arial"/>
        <family val="2"/>
      </rPr>
      <t>EU4CAST</t>
    </r>
    <r>
      <rPr>
        <sz val="11"/>
        <rFont val="Arial"/>
        <family val="2"/>
      </rPr>
      <t xml:space="preserve"> on your desktop to store this file into the central forecast system. </t>
    </r>
  </si>
  <si>
    <t xml:space="preserve">   Gross value added (B.1g-D.21+D.31)</t>
  </si>
  <si>
    <t>2. Taxes less subsidies on production (D.29 - D.39) is forecasted for HH, E and GVT (in Sector1)</t>
  </si>
  <si>
    <t>TAX RATE INDIRECT TAXES PAST 4-Y AVG (col 1)</t>
  </si>
  <si>
    <t>GG SALES</t>
  </si>
  <si>
    <t xml:space="preserve"> 15. Unit labour costs</t>
  </si>
  <si>
    <t xml:space="preserve"> 16. Relative unit labour costs in USD</t>
  </si>
  <si>
    <t xml:space="preserve"> 17. HICP</t>
  </si>
  <si>
    <t xml:space="preserve"> L54</t>
  </si>
  <si>
    <t xml:space="preserve"> 18. National CPI</t>
  </si>
  <si>
    <t xml:space="preserve">  11. Net lending (+)/ net borrowing (-) (9+10)</t>
  </si>
  <si>
    <t xml:space="preserve">   3. Total exports (1 + 2)</t>
  </si>
  <si>
    <r>
      <t xml:space="preserve">Normally, in the </t>
    </r>
    <r>
      <rPr>
        <b/>
        <sz val="11"/>
        <rFont val="Arial"/>
        <family val="2"/>
      </rPr>
      <t>Spring forecast</t>
    </r>
    <r>
      <rPr>
        <sz val="11"/>
        <rFont val="Arial"/>
        <family val="2"/>
      </rPr>
      <t xml:space="preserve"> of year t, columns should be available for t-1 (which is estimated), t and t+1 (forecasted).</t>
    </r>
  </si>
  <si>
    <t>Total employment (domestic)</t>
  </si>
  <si>
    <t>Total employment (national)</t>
  </si>
  <si>
    <t xml:space="preserve">Changes in inventories and net acquisition of valuables as % of GDP                        </t>
  </si>
  <si>
    <t xml:space="preserve">  L37-L120-L144-L145-L146+L143</t>
  </si>
  <si>
    <t xml:space="preserve">   7. External balance of goods &amp; services (3+6)</t>
  </si>
  <si>
    <t xml:space="preserve">   9. Current external balance (7+8)</t>
  </si>
  <si>
    <t xml:space="preserve">   13. Gross national income at market prices (10+12)</t>
  </si>
  <si>
    <r>
      <t xml:space="preserve">All variables (aggregates) affected by chain linking are marked in </t>
    </r>
    <r>
      <rPr>
        <b/>
        <sz val="11"/>
        <color indexed="10"/>
        <rFont val="Arial"/>
        <family val="2"/>
      </rPr>
      <t xml:space="preserve">red </t>
    </r>
    <r>
      <rPr>
        <sz val="11"/>
        <rFont val="Arial"/>
        <family val="2"/>
      </rPr>
      <t xml:space="preserve">and have </t>
    </r>
    <r>
      <rPr>
        <b/>
        <sz val="11"/>
        <color indexed="10"/>
        <rFont val="Arial"/>
        <family val="2"/>
      </rPr>
      <t>AG</t>
    </r>
    <r>
      <rPr>
        <sz val="11"/>
        <rFont val="Arial"/>
        <family val="2"/>
      </rPr>
      <t xml:space="preserve"> in the left margin. </t>
    </r>
  </si>
  <si>
    <r>
      <t>Quart</t>
    </r>
    <r>
      <rPr>
        <sz val="11"/>
        <rFont val="Arial"/>
        <family val="2"/>
      </rPr>
      <t xml:space="preserve"> contains all variables to be forecasted on a quarterly basis and has </t>
    </r>
    <r>
      <rPr>
        <b/>
        <sz val="11"/>
        <rFont val="Arial"/>
        <family val="2"/>
      </rPr>
      <t>one column per quarter</t>
    </r>
    <r>
      <rPr>
        <sz val="11"/>
        <rFont val="Arial"/>
        <family val="2"/>
      </rPr>
      <t>.</t>
    </r>
  </si>
  <si>
    <r>
      <t xml:space="preserve">The sheet also checks the </t>
    </r>
    <r>
      <rPr>
        <b/>
        <sz val="11"/>
        <rFont val="Arial"/>
        <family val="2"/>
      </rPr>
      <t>consistency</t>
    </r>
    <r>
      <rPr>
        <sz val="11"/>
        <rFont val="Arial"/>
        <family val="2"/>
      </rPr>
      <t xml:space="preserve"> between annual figures and quarters.</t>
    </r>
  </si>
  <si>
    <t xml:space="preserve"> L1</t>
  </si>
  <si>
    <t xml:space="preserve"> L2</t>
  </si>
  <si>
    <t xml:space="preserve"> L1+L2+L3</t>
  </si>
  <si>
    <t xml:space="preserve"> L7:L12</t>
  </si>
  <si>
    <r>
      <t xml:space="preserve">Information is </t>
    </r>
    <r>
      <rPr>
        <b/>
        <sz val="11"/>
        <rFont val="Arial"/>
        <family val="2"/>
      </rPr>
      <t>grouped by type of variable</t>
    </r>
    <r>
      <rPr>
        <sz val="11"/>
        <rFont val="Arial"/>
        <family val="2"/>
      </rPr>
      <t xml:space="preserve">, to ensure that aggregates are equal to the sum of the components. </t>
    </r>
  </si>
  <si>
    <r>
      <t xml:space="preserve">In the </t>
    </r>
    <r>
      <rPr>
        <b/>
        <sz val="11"/>
        <rFont val="Arial"/>
        <family val="2"/>
      </rPr>
      <t>Autumn forecast</t>
    </r>
    <r>
      <rPr>
        <sz val="11"/>
        <rFont val="Arial"/>
        <family val="2"/>
      </rPr>
      <t xml:space="preserve"> of year t, an </t>
    </r>
    <r>
      <rPr>
        <b/>
        <sz val="11"/>
        <rFont val="Arial"/>
        <family val="2"/>
      </rPr>
      <t>additional forecast year</t>
    </r>
    <r>
      <rPr>
        <sz val="11"/>
        <rFont val="Arial"/>
        <family val="2"/>
      </rPr>
      <t xml:space="preserve"> is added: t, t+1 and</t>
    </r>
    <r>
      <rPr>
        <b/>
        <sz val="11"/>
        <rFont val="Arial"/>
        <family val="2"/>
      </rPr>
      <t xml:space="preserve"> t+2.</t>
    </r>
  </si>
  <si>
    <t>Gross real wage growth per employee in public sector (July - July estimates)</t>
  </si>
  <si>
    <t xml:space="preserve">   20. Gross domestic product at market prices ( 16 + 17 )</t>
  </si>
  <si>
    <t xml:space="preserve"> L47-L50+L51</t>
  </si>
  <si>
    <t>Property income (net) (D.4)</t>
  </si>
  <si>
    <t>GVT: Interest paid (D.41p)</t>
  </si>
  <si>
    <t>TOTAL EMPLOYMENT LAB. FORCE STATISTICS</t>
  </si>
  <si>
    <t>General Government</t>
  </si>
  <si>
    <t xml:space="preserve"> 21. Net lending</t>
  </si>
  <si>
    <r>
      <t>VVP2</t>
    </r>
    <r>
      <rPr>
        <sz val="11"/>
        <rFont val="Arial"/>
        <family val="2"/>
      </rPr>
      <t xml:space="preserve"> has only </t>
    </r>
    <r>
      <rPr>
        <b/>
        <sz val="11"/>
        <rFont val="Arial"/>
        <family val="2"/>
      </rPr>
      <t>one column for each year</t>
    </r>
    <r>
      <rPr>
        <sz val="11"/>
        <rFont val="Arial"/>
        <family val="2"/>
      </rPr>
      <t>.</t>
    </r>
  </si>
  <si>
    <t>c. Labour sheet</t>
  </si>
  <si>
    <t xml:space="preserve">   6. Total imports (4 + 5)</t>
  </si>
  <si>
    <t xml:space="preserve">   7. Trade balance (fob/cif) (3 - 6)</t>
  </si>
  <si>
    <t>Table 0</t>
  </si>
  <si>
    <t>ESA 95</t>
  </si>
  <si>
    <t>Level</t>
  </si>
  <si>
    <t xml:space="preserve">This file is produced by the Ameco team. </t>
  </si>
  <si>
    <t>Unless better / earlier data are available from an alternative source, these Ameco figures can be copied directly in data_p.</t>
  </si>
  <si>
    <t>Subsidies (D.3p = D.31p+D.39p)</t>
  </si>
  <si>
    <t xml:space="preserve">  15. Net lending (+) or net borrowing (-) (11-13-14)</t>
  </si>
  <si>
    <t>B9</t>
  </si>
  <si>
    <t>ANonFinN</t>
  </si>
  <si>
    <t>YAGVadd</t>
  </si>
  <si>
    <t>$Aiswap</t>
  </si>
  <si>
    <t>B5</t>
  </si>
  <si>
    <t xml:space="preserve"> L140</t>
  </si>
  <si>
    <t>B5*g</t>
  </si>
  <si>
    <t xml:space="preserve"> L47+L140</t>
  </si>
  <si>
    <t>D1</t>
  </si>
  <si>
    <t>B2g+B3g</t>
  </si>
  <si>
    <t xml:space="preserve">   6. Domestic demand (4+5)</t>
  </si>
  <si>
    <t>However, some of the variables are not filled in because they are produced by the central system.</t>
  </si>
  <si>
    <t>VAL. Domestic demand</t>
  </si>
  <si>
    <t>AGG. Domestic demand</t>
  </si>
  <si>
    <t>VOL. Domestic demand</t>
  </si>
  <si>
    <t>VAL. Final demand</t>
  </si>
  <si>
    <t>Auxiliary table (aggregates)</t>
  </si>
  <si>
    <t>AGG. Final demand</t>
  </si>
  <si>
    <t>VOL. Final demand</t>
  </si>
  <si>
    <t xml:space="preserve">VAL. Imports of goods and services </t>
  </si>
  <si>
    <t xml:space="preserve">AGG. Imports of goods and services </t>
  </si>
  <si>
    <t xml:space="preserve"> (L113+L114+L115+L117+L125+L143)-(L120+L121+L122+L123+L124+L126+L127+L145+L146)</t>
  </si>
  <si>
    <t xml:space="preserve">  9a.  - of which goods</t>
  </si>
  <si>
    <t>- growth rate in volumes</t>
  </si>
  <si>
    <t>Tables!F442:M442, Tables!AN442:AU442; Tables!BA442</t>
  </si>
  <si>
    <t xml:space="preserve">   5. Imports of services (a)</t>
  </si>
  <si>
    <t>p.m. Total labour force</t>
  </si>
  <si>
    <t>VOL. CHANGE IN INVENTORIES</t>
  </si>
  <si>
    <t>VIny</t>
  </si>
  <si>
    <t>Select the entire column for Qn(t-1) and copy it over the old forecast column for Qn(t), for all quarters with historical data.</t>
  </si>
  <si>
    <t>Taxes on production and imports (D.2r) - Elasticities table 10a</t>
  </si>
  <si>
    <t>D3</t>
  </si>
  <si>
    <t>D9</t>
  </si>
  <si>
    <t xml:space="preserve"> L125</t>
  </si>
  <si>
    <t xml:space="preserve"> L127</t>
  </si>
  <si>
    <t>% of GDP</t>
  </si>
  <si>
    <t xml:space="preserve">  6. Domestic demand</t>
  </si>
  <si>
    <t>Gross value added (B.1g-D.21+D.31)</t>
  </si>
  <si>
    <t>Other taxes on production (D.29p)</t>
  </si>
  <si>
    <t>(This description may seem somewhat long, but in practice most procedures will only take a couple of seconds for an experienced user)</t>
  </si>
  <si>
    <t>If necessary ask someone who is more familiar with the system.</t>
  </si>
  <si>
    <r>
      <t xml:space="preserve">5. Updating the </t>
    </r>
    <r>
      <rPr>
        <b/>
        <sz val="11"/>
        <rFont val="Arial"/>
        <family val="2"/>
      </rPr>
      <t>charts.</t>
    </r>
  </si>
  <si>
    <t>Changes in inventories / net acq. of valuables</t>
  </si>
  <si>
    <t>VGrVaddMan</t>
  </si>
  <si>
    <t>OA</t>
  </si>
  <si>
    <t>Real total compensation per employee (GDP deflator)</t>
  </si>
  <si>
    <t>YWAvRow x LEmpRow</t>
  </si>
  <si>
    <t>Capital taxes (D.91r)</t>
  </si>
  <si>
    <t>RoWTCapN</t>
  </si>
  <si>
    <t>HH: Wages and salaries (D.11r)</t>
  </si>
  <si>
    <t>Harmonized index</t>
  </si>
  <si>
    <t>IND</t>
  </si>
  <si>
    <t>(although somehow, in real life, it may take slightly longer than this box seems to suggest).</t>
  </si>
  <si>
    <r>
      <t xml:space="preserve">This is a technical feature that should not be used lightly: people from Ameco </t>
    </r>
    <r>
      <rPr>
        <b/>
        <sz val="11"/>
        <color indexed="10"/>
        <rFont val="Arial"/>
        <family val="2"/>
      </rPr>
      <t>DO NOT LIKE IT AT ALL</t>
    </r>
    <r>
      <rPr>
        <sz val="11"/>
        <rFont val="Arial"/>
        <family val="2"/>
      </rPr>
      <t>!!!</t>
    </r>
  </si>
  <si>
    <t>HH OTHER NON-LABOUR INCOME (NET)</t>
  </si>
  <si>
    <t>Net-lending</t>
  </si>
  <si>
    <t>Net-lending (EDP)</t>
  </si>
  <si>
    <t>Debt previous year</t>
  </si>
  <si>
    <t>Stock-flow adjustment</t>
  </si>
  <si>
    <t>Debt current year</t>
  </si>
  <si>
    <t>ALend</t>
  </si>
  <si>
    <t>AStockflow</t>
  </si>
  <si>
    <t>ADebt [t]</t>
  </si>
  <si>
    <t>ALend (EDP)</t>
  </si>
  <si>
    <t>Tax burden</t>
  </si>
  <si>
    <t>Unit labour productivity</t>
  </si>
  <si>
    <t>ULCost</t>
  </si>
  <si>
    <t>YWAvDPu x LEmpDPu</t>
  </si>
  <si>
    <t>YWAvDPr x LempDpr</t>
  </si>
  <si>
    <t>YATaxDir</t>
  </si>
  <si>
    <t>In that case, you can use the procedure explained in 3., but instead of selecting an entire column, only select the relevant part.</t>
  </si>
  <si>
    <t>EMPLOYMENT AND UNEMPLOYMENT</t>
  </si>
  <si>
    <t>D.7r (EXT)</t>
  </si>
  <si>
    <t>D.5p (EXT)</t>
  </si>
  <si>
    <t>D.61p (EXT)</t>
  </si>
  <si>
    <t>D.62p (EXT)</t>
  </si>
  <si>
    <t xml:space="preserve"> 13. GDP per person employed</t>
  </si>
  <si>
    <r>
      <t>Sectors2</t>
    </r>
    <r>
      <rPr>
        <sz val="11"/>
        <rFont val="Arial"/>
        <family val="2"/>
      </rPr>
      <t xml:space="preserve"> is</t>
    </r>
    <r>
      <rPr>
        <b/>
        <sz val="11"/>
        <rFont val="Arial"/>
        <family val="2"/>
      </rPr>
      <t xml:space="preserve"> </t>
    </r>
    <r>
      <rPr>
        <sz val="11"/>
        <rFont val="Arial"/>
        <family val="2"/>
      </rPr>
      <t>an</t>
    </r>
    <r>
      <rPr>
        <b/>
        <sz val="11"/>
        <rFont val="Arial"/>
        <family val="2"/>
      </rPr>
      <t xml:space="preserve"> </t>
    </r>
    <r>
      <rPr>
        <sz val="11"/>
        <rFont val="Arial"/>
        <family val="2"/>
      </rPr>
      <t xml:space="preserve">overview sheet </t>
    </r>
    <r>
      <rPr>
        <sz val="11"/>
        <rFont val="Arial"/>
        <family val="2"/>
      </rPr>
      <t>and follows the standard order of ESA95. It groups information in 4 economic sectors</t>
    </r>
  </si>
  <si>
    <t>Location of modifications</t>
  </si>
  <si>
    <t>Description of modification</t>
  </si>
  <si>
    <t xml:space="preserve"> External files XXXKEY (XXX : 3-letter country name) created in ECFIN A-4 Consistency exercise</t>
  </si>
  <si>
    <t>VAICstNonR</t>
  </si>
  <si>
    <t>VPrvICstNonR</t>
  </si>
  <si>
    <t>VICstNonR</t>
  </si>
  <si>
    <t>VICstR</t>
  </si>
  <si>
    <t>VAIEq</t>
  </si>
  <si>
    <t>VPrvEq</t>
  </si>
  <si>
    <t>VIEq</t>
  </si>
  <si>
    <t>VIO(1)</t>
  </si>
  <si>
    <t>EXPORTS OF GOODS EXTRA-EU (FOB)</t>
  </si>
  <si>
    <t>$XGExtr</t>
  </si>
  <si>
    <t>IMPORTS OF GOODS INTRA-EU (CIF)</t>
  </si>
  <si>
    <t xml:space="preserve">sums received and paid and between the aggregates and their components. </t>
  </si>
  <si>
    <t>Construction</t>
  </si>
  <si>
    <t>Equipment</t>
  </si>
  <si>
    <t>Others</t>
  </si>
  <si>
    <t>HH+E</t>
  </si>
  <si>
    <t>==</t>
  </si>
  <si>
    <t>Index</t>
  </si>
  <si>
    <t>HICP Index services</t>
  </si>
  <si>
    <t>HICP Index</t>
  </si>
  <si>
    <t>VIO(2)</t>
  </si>
  <si>
    <t>Viny</t>
  </si>
  <si>
    <t>VX</t>
  </si>
  <si>
    <t xml:space="preserve">  12. Other capital expenditure, net</t>
  </si>
  <si>
    <t xml:space="preserve"> L38</t>
  </si>
  <si>
    <t>$GVaddMan</t>
  </si>
  <si>
    <t>YCompManD</t>
  </si>
  <si>
    <t>UA</t>
  </si>
  <si>
    <t>YEGrVadd</t>
  </si>
  <si>
    <t>EChEqPenR</t>
  </si>
  <si>
    <t>YETO</t>
  </si>
  <si>
    <t>$ETO</t>
  </si>
  <si>
    <t>YESoc</t>
  </si>
  <si>
    <t>$ETSoc</t>
  </si>
  <si>
    <t>ENonFinN</t>
  </si>
  <si>
    <t>$EI</t>
  </si>
  <si>
    <t xml:space="preserve"> (L59xL61) : L63</t>
  </si>
  <si>
    <t>HH: Employer's social contributions (D.12r)</t>
  </si>
  <si>
    <t>D.7r (HH)</t>
  </si>
  <si>
    <t>D.5p (HH)</t>
  </si>
  <si>
    <t>D.61p (HH)</t>
  </si>
  <si>
    <t>COR CURRENT TRANSFERS (NET RECEIPTS)</t>
  </si>
  <si>
    <t>COR CURRENT TAXES ON INCOME AND WEALTH</t>
  </si>
  <si>
    <t xml:space="preserve">   17. Taxes net of subsidies (18-19)</t>
  </si>
  <si>
    <t>Consumption of fixed capital</t>
  </si>
  <si>
    <t>Differences exceeding a chosen tolerance level will be highlighted.</t>
  </si>
  <si>
    <t>Sheet</t>
  </si>
  <si>
    <t>Row</t>
  </si>
  <si>
    <t>Database Text</t>
  </si>
  <si>
    <t>Tables!BA485:BA493</t>
  </si>
  <si>
    <t>Legend to table 10b added</t>
  </si>
  <si>
    <t>Tables!BA441</t>
  </si>
  <si>
    <t xml:space="preserve">  13. Net lending (+) or net borrowing (-) (10-11-12)</t>
  </si>
  <si>
    <t>P62</t>
  </si>
  <si>
    <t>$AIEq</t>
  </si>
  <si>
    <t>$PrvIEq</t>
  </si>
  <si>
    <t>$IEq</t>
  </si>
  <si>
    <t>$X</t>
  </si>
  <si>
    <t>$M</t>
  </si>
  <si>
    <t>YCompD</t>
  </si>
  <si>
    <t xml:space="preserve"> ((L1+L2+L3(T)) - (L1+L2+L3(T-1))) : L12(T-1)</t>
  </si>
  <si>
    <t xml:space="preserve"> ((L7(T)) - (L7(T-1))) : L12(T-1)</t>
  </si>
  <si>
    <t>P7</t>
  </si>
  <si>
    <t>BEL</t>
  </si>
  <si>
    <t>Imports of goods and services (P.7)</t>
  </si>
  <si>
    <t>Final consumption expenditure</t>
  </si>
  <si>
    <t>The forecast system contains four actual forecast sheets:</t>
  </si>
  <si>
    <t>Effect on forecast</t>
  </si>
  <si>
    <t>Uploaded on p:</t>
  </si>
  <si>
    <t>None</t>
  </si>
  <si>
    <r>
      <t>Sectors1</t>
    </r>
    <r>
      <rPr>
        <sz val="11"/>
        <rFont val="Arial"/>
        <family val="2"/>
      </rPr>
      <t xml:space="preserve"> is used to forecast variables on a sectoral basis. It contains </t>
    </r>
    <r>
      <rPr>
        <b/>
        <sz val="11"/>
        <rFont val="Arial"/>
        <family val="2"/>
      </rPr>
      <t>one column per year</t>
    </r>
    <r>
      <rPr>
        <sz val="11"/>
        <rFont val="Arial"/>
        <family val="2"/>
      </rPr>
      <t xml:space="preserve">. </t>
    </r>
  </si>
  <si>
    <t xml:space="preserve">VAL. FIXED INVESTMENT HOUSING </t>
  </si>
  <si>
    <t>VAL. FIXED INVESTMENT MANUFACTURING</t>
  </si>
  <si>
    <t xml:space="preserve">Household final consumption expenditure (domestic)            </t>
  </si>
  <si>
    <t xml:space="preserve">   2. Imports of goods (fob) </t>
  </si>
  <si>
    <t>Values</t>
  </si>
  <si>
    <t>Growth rates</t>
  </si>
  <si>
    <t>Values as percent of GDP</t>
  </si>
  <si>
    <t>Belgium</t>
  </si>
  <si>
    <t xml:space="preserve"> (L47+L123+L133) - (L61+L113+L131)</t>
  </si>
  <si>
    <t>B1g</t>
  </si>
  <si>
    <t>Corresponding annual index</t>
  </si>
  <si>
    <t>Corresponding annual growth rate</t>
  </si>
  <si>
    <t>HICP Non-energy industrial goods - weight</t>
  </si>
  <si>
    <t>Core inflation (calculated)</t>
  </si>
  <si>
    <t>HICP Index core inflation</t>
  </si>
  <si>
    <t>Calculation of core inflation added for information</t>
  </si>
  <si>
    <t>Q1, several information lines added in inflation forecast</t>
  </si>
  <si>
    <t xml:space="preserve"> L87+L89+L90+L91-L92-L93</t>
  </si>
  <si>
    <t xml:space="preserve"> L94</t>
  </si>
  <si>
    <t xml:space="preserve"> (L87+L89+L90+L91-L92-L93) + L94</t>
  </si>
  <si>
    <t>In sheet Quart1: select the block of 4 columns for t-2 and copy to the right (overwriting the old forecast columns for t-1).</t>
  </si>
  <si>
    <t xml:space="preserve">  4. Equipment</t>
  </si>
  <si>
    <t>Pi6(2+3)</t>
  </si>
  <si>
    <t>Current transfers received</t>
  </si>
  <si>
    <t>Current transfers paid</t>
  </si>
  <si>
    <t>Other capital expenditure</t>
  </si>
  <si>
    <t>YHCapN</t>
  </si>
  <si>
    <t>- ACapTN</t>
  </si>
  <si>
    <t>- HTCapN</t>
  </si>
  <si>
    <t>- ETCapN</t>
  </si>
  <si>
    <t>One-offs (Revenue side)</t>
  </si>
  <si>
    <t>1FSR</t>
  </si>
  <si>
    <t>One-offs (Expenditure side)</t>
  </si>
  <si>
    <t>1FSE</t>
  </si>
  <si>
    <t>GG ONE-OFF MEASURES (REVENUE SIDE)</t>
  </si>
  <si>
    <t xml:space="preserve"> 10. Output gap (relative to trend)</t>
  </si>
  <si>
    <t xml:space="preserve"> 11. Employment</t>
  </si>
  <si>
    <r>
      <t>PLEASE MAKE SURE THAT THE DATA_P.XLS FILE IS IN THE SAME FOLDER AS THIS FORECAST SHEET!</t>
    </r>
    <r>
      <rPr>
        <b/>
        <sz val="10"/>
        <rFont val="Arial"/>
        <family val="2"/>
      </rPr>
      <t xml:space="preserve"> </t>
    </r>
    <r>
      <rPr>
        <b/>
        <u/>
        <sz val="10"/>
        <rFont val="Arial"/>
        <family val="2"/>
      </rPr>
      <t>Instruction</t>
    </r>
    <r>
      <rPr>
        <b/>
        <sz val="10"/>
        <rFont val="Arial"/>
        <family val="2"/>
      </rPr>
      <t>: To create a link to data_p, enter the data_p sheetname (e.g. UG) in column D and the data_p row number in column E. Columns F - AF will be filled automatically</t>
    </r>
    <r>
      <rPr>
        <b/>
        <sz val="10"/>
        <color indexed="10"/>
        <rFont val="Arial"/>
        <family val="2"/>
      </rPr>
      <t/>
    </r>
  </si>
  <si>
    <t xml:space="preserve">  1. Gross value added in volumes</t>
  </si>
  <si>
    <t>B.1g (HH)</t>
  </si>
  <si>
    <t>HICP Energy - weight</t>
  </si>
  <si>
    <t>HICP Unprocessed food - weight</t>
  </si>
  <si>
    <t xml:space="preserve">  1. Private consumption expenditure</t>
  </si>
  <si>
    <t xml:space="preserve"> 10. Gross domestic product at market prices</t>
  </si>
  <si>
    <t>Balance of primary income (rest of the world)</t>
  </si>
  <si>
    <t xml:space="preserve">In sheet Sector2: select the last block of 6 columns and copy it to the right. </t>
  </si>
  <si>
    <t>In sheet Transfer: change the global setting 'Last forecast year' to the desired value.</t>
  </si>
  <si>
    <t>All links should be updated automatically.</t>
  </si>
  <si>
    <t xml:space="preserve">   5a.  -  of which, tourism </t>
  </si>
  <si>
    <t xml:space="preserve"> L142                                                                </t>
  </si>
  <si>
    <t>Private consumption expenditure</t>
  </si>
  <si>
    <t>Government consumption expenditure</t>
  </si>
  <si>
    <t xml:space="preserve"> L147+L149</t>
  </si>
  <si>
    <t xml:space="preserve"> L150</t>
  </si>
  <si>
    <t xml:space="preserve"> L152</t>
  </si>
  <si>
    <t xml:space="preserve"> L150+L152</t>
  </si>
  <si>
    <t xml:space="preserve"> (L147+L149) - (L150-L152)</t>
  </si>
  <si>
    <t xml:space="preserve"> L58</t>
  </si>
  <si>
    <t xml:space="preserve"> L60</t>
  </si>
  <si>
    <t xml:space="preserve"> L58:L60</t>
  </si>
  <si>
    <t xml:space="preserve"> L61:L64</t>
  </si>
  <si>
    <t xml:space="preserve"> L62:L64</t>
  </si>
  <si>
    <t xml:space="preserve"> (L61-L62) : L64</t>
  </si>
  <si>
    <t xml:space="preserve"> (L61:L64) : (L58:L60)</t>
  </si>
  <si>
    <t>In sheet VVP1: select the last block of 5 columns and copy it to the right.</t>
  </si>
  <si>
    <t xml:space="preserve">Note: </t>
  </si>
  <si>
    <t>To see labels attached to the data points,</t>
  </si>
  <si>
    <t>you need to install pup6 add in.</t>
  </si>
  <si>
    <t>Go to Tools, Add-in and browse.</t>
  </si>
  <si>
    <t>You will find pup6 on your c drive under program files</t>
  </si>
  <si>
    <t xml:space="preserve">  11c. Processed food (incl. alcohol and tobacco)</t>
  </si>
  <si>
    <t>Elasticity w.r.t. GOS</t>
  </si>
  <si>
    <t xml:space="preserve">   1. Gross value added at basic prices</t>
  </si>
  <si>
    <t xml:space="preserve">   2. Other subsidies on production </t>
  </si>
  <si>
    <t>D39</t>
  </si>
  <si>
    <t xml:space="preserve">   3. Other taxes on production</t>
  </si>
  <si>
    <r>
      <t xml:space="preserve">In principle, data_p has the same </t>
    </r>
    <r>
      <rPr>
        <b/>
        <sz val="11"/>
        <rFont val="Arial"/>
        <family val="2"/>
      </rPr>
      <t>structure</t>
    </r>
    <r>
      <rPr>
        <sz val="11"/>
        <rFont val="Arial"/>
        <family val="2"/>
      </rPr>
      <t xml:space="preserve"> for all countries.</t>
    </r>
  </si>
  <si>
    <t>The easiest way is to fill the sheet from left to right, top to bottom (in that case new inputs do not affect your previous forecasts).</t>
  </si>
  <si>
    <t>Somewhat longer instructions:</t>
  </si>
  <si>
    <r>
      <t xml:space="preserve">Fields marked in this colour need to be filled in by the forecaster. These are the </t>
    </r>
    <r>
      <rPr>
        <b/>
        <sz val="11"/>
        <color indexed="10"/>
        <rFont val="Arial"/>
        <family val="2"/>
      </rPr>
      <t>ONLY</t>
    </r>
    <r>
      <rPr>
        <sz val="11"/>
        <rFont val="Arial"/>
        <family val="2"/>
      </rPr>
      <t xml:space="preserve"> fields that should be filled in. </t>
    </r>
  </si>
  <si>
    <t>values (euro, persons, ...), and in some cases also:</t>
  </si>
  <si>
    <t xml:space="preserve"> 22. Cyclically-adjusted primary balance</t>
  </si>
  <si>
    <t xml:space="preserve"> 23. Gross debt</t>
  </si>
  <si>
    <r>
      <t xml:space="preserve">There are </t>
    </r>
    <r>
      <rPr>
        <b/>
        <sz val="11"/>
        <rFont val="Arial"/>
        <family val="2"/>
      </rPr>
      <t xml:space="preserve">two input sheets </t>
    </r>
    <r>
      <rPr>
        <sz val="11"/>
        <rFont val="Arial"/>
        <family val="2"/>
      </rPr>
      <t>for historical data; one for annual data and one for quarterly data.</t>
    </r>
  </si>
  <si>
    <t xml:space="preserve"> External file GDPGAP (ECFIN A-4 database, source : Ameco)</t>
  </si>
  <si>
    <t xml:space="preserve"> L59</t>
  </si>
  <si>
    <t xml:space="preserve">   4. Short-term interest rate</t>
  </si>
  <si>
    <t xml:space="preserve">   5. Long-term interest rate</t>
  </si>
  <si>
    <t>% change on previous year</t>
  </si>
  <si>
    <t xml:space="preserve">  14. Other capital expenditure, net</t>
  </si>
  <si>
    <t>D9+K2</t>
  </si>
  <si>
    <t>D.5p (E)</t>
  </si>
  <si>
    <t>D.9r (E)</t>
  </si>
  <si>
    <t>UC</t>
  </si>
  <si>
    <t>YETCap</t>
  </si>
  <si>
    <t>D.9p (E)</t>
  </si>
  <si>
    <t>K.2</t>
  </si>
  <si>
    <t>P.51</t>
  </si>
  <si>
    <t>YEProp</t>
  </si>
  <si>
    <t>$Eprop</t>
  </si>
  <si>
    <r>
      <t xml:space="preserve">All forecasts are grouped by variable, to ensure </t>
    </r>
    <r>
      <rPr>
        <b/>
        <sz val="11"/>
        <rFont val="Arial"/>
        <family val="2"/>
      </rPr>
      <t>consistency</t>
    </r>
    <r>
      <rPr>
        <sz val="11"/>
        <rFont val="Arial"/>
        <family val="2"/>
      </rPr>
      <t xml:space="preserve">. </t>
    </r>
  </si>
  <si>
    <t xml:space="preserve">  8c. p.m. 8 as % of GDP</t>
  </si>
  <si>
    <t>One-offs as % of GDP</t>
  </si>
  <si>
    <t>Structural balance as % of GDP</t>
  </si>
  <si>
    <t>Value according to theoretical OECD elasticity</t>
  </si>
  <si>
    <t>OECD</t>
  </si>
  <si>
    <t>P.52 (E)</t>
  </si>
  <si>
    <t>P.53 (E)</t>
  </si>
  <si>
    <t>$EIny</t>
  </si>
  <si>
    <t>Consumption price indices</t>
  </si>
  <si>
    <t>National index</t>
  </si>
  <si>
    <t>- the sum of the domestic sectors is equal to the total economy</t>
  </si>
  <si>
    <t>- Government (S.13)</t>
  </si>
  <si>
    <t xml:space="preserve">- Households and non-profit institutions serving households (S.14 + S.15) </t>
  </si>
  <si>
    <r>
      <t>Labour</t>
    </r>
    <r>
      <rPr>
        <sz val="11"/>
        <rFont val="Arial"/>
        <family val="2"/>
      </rPr>
      <t xml:space="preserve"> contains all data related to population and labour market (employment, wages &amp; productivity)</t>
    </r>
  </si>
  <si>
    <r>
      <t>Sector</t>
    </r>
    <r>
      <rPr>
        <sz val="11"/>
        <rFont val="Arial"/>
        <family val="2"/>
      </rPr>
      <t xml:space="preserve"> contains all data attributed to different sectors (government, households, corporations and rest of the world).</t>
    </r>
  </si>
  <si>
    <t>YHProp</t>
  </si>
  <si>
    <t>HH CURRENT TRANSFERS RECEIVED</t>
  </si>
  <si>
    <t>YHT</t>
  </si>
  <si>
    <t xml:space="preserve">Note: A positive sign indicates an expenditure increasing measure. Incremental impact compared to previous year, in national currency. </t>
  </si>
  <si>
    <t xml:space="preserve"> 10. Unemployment rate, Eurostat definition (%)</t>
  </si>
  <si>
    <t xml:space="preserve">  9a. p.m. 9 as % of GDP</t>
  </si>
  <si>
    <t xml:space="preserve">  10. Net capital transactions</t>
  </si>
  <si>
    <t xml:space="preserve">   1a.  - of which, gross wages and salaries</t>
  </si>
  <si>
    <t>D11</t>
  </si>
  <si>
    <t>GG SOCIAL TRANSFERS OTHER THAN IN KIND</t>
  </si>
  <si>
    <t>$ATToH</t>
  </si>
  <si>
    <t>GG INTEREST excl SWAPS</t>
  </si>
  <si>
    <t>D.91r (GVT)</t>
  </si>
  <si>
    <t>D.1p (GVT)</t>
  </si>
  <si>
    <t>D.9p</t>
  </si>
  <si>
    <t>P.51 (GVT)</t>
  </si>
  <si>
    <t>D.41p (GVT - EDP)</t>
  </si>
  <si>
    <t>UG</t>
  </si>
  <si>
    <t>YHGrVadd</t>
  </si>
  <si>
    <t>UH</t>
  </si>
  <si>
    <t>$HTaxOth</t>
  </si>
  <si>
    <t>YHSubOth</t>
  </si>
  <si>
    <t>$HComp</t>
  </si>
  <si>
    <t>YHTSoc(1)</t>
  </si>
  <si>
    <t>YHTSoc(2)</t>
  </si>
  <si>
    <t>YHTO</t>
  </si>
  <si>
    <t>$HTaxSoc</t>
  </si>
  <si>
    <t>$HTO</t>
  </si>
  <si>
    <t>HChEqPenR</t>
  </si>
  <si>
    <t>YHTCap</t>
  </si>
  <si>
    <t>QUART. VOL. GROSS DOM. PRODUCT (cols 2-13)</t>
  </si>
  <si>
    <t>QUART. HICP (cols 2-13)</t>
  </si>
  <si>
    <t xml:space="preserve">VOL. FIXED INVESTMENT GOVERNMENT  </t>
  </si>
  <si>
    <t>VAI</t>
  </si>
  <si>
    <t xml:space="preserve"> (L61-L62) : L63</t>
  </si>
  <si>
    <t xml:space="preserve"> (L78+L79) : L76</t>
  </si>
  <si>
    <t xml:space="preserve">  10a. p.m. 10 as % of GDP</t>
  </si>
  <si>
    <t>Y</t>
  </si>
  <si>
    <t xml:space="preserve">  1. Total population</t>
  </si>
  <si>
    <t xml:space="preserve"> 14. Compensation of employees per head</t>
  </si>
  <si>
    <t>TOFrRow</t>
  </si>
  <si>
    <t>TOToRow</t>
  </si>
  <si>
    <t>D.4 (EXT)</t>
  </si>
  <si>
    <t>D.5r (EXT)</t>
  </si>
  <si>
    <t>D.61r (EXT)</t>
  </si>
  <si>
    <t>D.62r (EXT)</t>
  </si>
  <si>
    <t xml:space="preserve"> % GDP. Value divided by L47 (current GDP)</t>
  </si>
  <si>
    <t>GG UNPAID TAXES</t>
  </si>
  <si>
    <t>Residual due to chainlinking</t>
  </si>
  <si>
    <t>Tables!C416:C445, Tables!T416:T445, Tables!AK416:AK445</t>
  </si>
  <si>
    <t xml:space="preserve">   7. Change in net equity in pension funds</t>
  </si>
  <si>
    <t>D8</t>
  </si>
  <si>
    <t xml:space="preserve">   8. Adjusted gross disposable income (6+7)</t>
  </si>
  <si>
    <t>B7g</t>
  </si>
  <si>
    <t xml:space="preserve">   9. Real adjusted gross disposable income</t>
  </si>
  <si>
    <t xml:space="preserve">  10. Final consumption expenditure</t>
  </si>
  <si>
    <t>*172</t>
  </si>
  <si>
    <t>*173</t>
  </si>
  <si>
    <t>*174</t>
  </si>
  <si>
    <t>B.2g[E] = GVA[E] - D.1p[E] - (D.29p[E] - D.39r[E])</t>
  </si>
  <si>
    <t>D.1p[HH]</t>
  </si>
  <si>
    <t>D29p[HH] - D39r[HH]</t>
  </si>
  <si>
    <t>B.2g[HH]</t>
  </si>
  <si>
    <t>Taxes on products (D.21)</t>
  </si>
  <si>
    <t>Subsidies on products (D.31)</t>
  </si>
  <si>
    <t>CORRESPONDANCE</t>
  </si>
  <si>
    <t>TRANSFER MATRIX</t>
  </si>
  <si>
    <t>VARIABLES</t>
  </si>
  <si>
    <t>$GDP</t>
  </si>
  <si>
    <t>$Gvadd</t>
  </si>
  <si>
    <t>*140</t>
  </si>
  <si>
    <t>$Hcomp</t>
  </si>
  <si>
    <t>$Ecomp</t>
  </si>
  <si>
    <t>$Acomp</t>
  </si>
  <si>
    <t>*117</t>
  </si>
  <si>
    <t>YAGos</t>
  </si>
  <si>
    <t>$ETaxSoc</t>
  </si>
  <si>
    <t>131/*140</t>
  </si>
  <si>
    <t>Taxes on products (D.2r) (Taxes paid to RoW)</t>
  </si>
  <si>
    <t>D.2r (EXT)</t>
  </si>
  <si>
    <t>VOL. IMPORTS OF SERVICES</t>
  </si>
  <si>
    <t>VMS</t>
  </si>
  <si>
    <t>VOL. GROSS DOMESTIC PRODUCT</t>
  </si>
  <si>
    <t>FOR FUTURE USE</t>
  </si>
  <si>
    <t xml:space="preserve"> </t>
  </si>
  <si>
    <t>GG CAPITAL TAXES</t>
  </si>
  <si>
    <t>GG TAXES TO EU</t>
  </si>
  <si>
    <t>GG INTEREST incl. SWAPS</t>
  </si>
  <si>
    <t>GG SUBSIDIES FROM EU</t>
  </si>
  <si>
    <t>GG VOL. INDIVIDUAL CONSUMPT. EXPENDITURE</t>
  </si>
  <si>
    <t>GG VOL. COLLECTIVE CONSUMPT. EXPENDITURE</t>
  </si>
  <si>
    <t>EXPORTS OF TOURISM</t>
  </si>
  <si>
    <t>$XSTour</t>
  </si>
  <si>
    <t>IMPORTS OF TOURISM</t>
  </si>
  <si>
    <t>$MSTour</t>
  </si>
  <si>
    <t>BALANCE OF PRIMARY INCOME</t>
  </si>
  <si>
    <t>$MGIntr</t>
  </si>
  <si>
    <t>Difference matrix</t>
  </si>
  <si>
    <t>2006Q1</t>
  </si>
  <si>
    <t>2006Q2</t>
  </si>
  <si>
    <t>2006Q3</t>
  </si>
  <si>
    <t>2006Q4</t>
  </si>
  <si>
    <t>2007Q1</t>
  </si>
  <si>
    <t>2007Q2</t>
  </si>
  <si>
    <t>2007Q3</t>
  </si>
  <si>
    <t>2007Q4</t>
  </si>
  <si>
    <t>2008Q1</t>
  </si>
  <si>
    <t>2008Q2</t>
  </si>
  <si>
    <t xml:space="preserve"> (((L87+L89+L90+L91-L92-L93) + L94) - L95) : ((L87+L89+L90+L91-L92-L93) + L94)</t>
  </si>
  <si>
    <t xml:space="preserve"> L96</t>
  </si>
  <si>
    <t xml:space="preserve"> L97</t>
  </si>
  <si>
    <t>Balance of primary income (gross) / Gross national income (B.5g)</t>
  </si>
  <si>
    <t xml:space="preserve">   1. Intra-EU</t>
  </si>
  <si>
    <t xml:space="preserve">   2. Extra-EU</t>
  </si>
  <si>
    <t xml:space="preserve">   4. Intra-EU</t>
  </si>
  <si>
    <t xml:space="preserve">   5. Extra-EU</t>
  </si>
  <si>
    <t>P32</t>
  </si>
  <si>
    <t>$RowTaxDirNet</t>
  </si>
  <si>
    <t>D.5 (EXT)</t>
  </si>
  <si>
    <t>D.61 (EXT)</t>
  </si>
  <si>
    <t>D.62 (EXT)</t>
  </si>
  <si>
    <t>D.7</t>
  </si>
  <si>
    <t>Columns F and following will be filled automatically. The sheet can hold data till 2020.</t>
  </si>
  <si>
    <t>Employer's social contributions</t>
  </si>
  <si>
    <t>D62</t>
  </si>
  <si>
    <t>Investment by type of asset</t>
  </si>
  <si>
    <t>Investment by sector</t>
  </si>
  <si>
    <t>Exports</t>
  </si>
  <si>
    <t>Imports</t>
  </si>
  <si>
    <t>VXFob</t>
  </si>
  <si>
    <t xml:space="preserve">VMCif </t>
  </si>
  <si>
    <t>VHI</t>
  </si>
  <si>
    <t>VEI</t>
  </si>
  <si>
    <t>VI</t>
  </si>
  <si>
    <t>Investment in inventories</t>
  </si>
  <si>
    <t>Removing sheets can damage the workbook beyond repair.</t>
  </si>
  <si>
    <t>VOL. G.F.C.F. OTHER</t>
  </si>
  <si>
    <r>
      <t xml:space="preserve">The </t>
    </r>
    <r>
      <rPr>
        <u/>
        <sz val="11"/>
        <rFont val="Arial"/>
        <family val="2"/>
      </rPr>
      <t>first sheets</t>
    </r>
    <r>
      <rPr>
        <sz val="11"/>
        <rFont val="Arial"/>
        <family val="2"/>
      </rPr>
      <t xml:space="preserve"> of data_p have a structure identical to a file ( XXX-Ameco.xls, where XXX is a country code).</t>
    </r>
  </si>
  <si>
    <t>These contain quarterly data (usually in QUART) and additional annual data which is not in Ameco (usually in Data_A11).</t>
  </si>
  <si>
    <t>Hint: updating charts is easier if you do it before all the empty values are filled.</t>
  </si>
  <si>
    <t>YATaxIndir + TaxToRow(1)</t>
  </si>
  <si>
    <t>Wages &amp; salaries / employee (frontier workers)</t>
  </si>
  <si>
    <t xml:space="preserve">  11. Gross saving (8-10)</t>
  </si>
  <si>
    <t>B8g</t>
  </si>
  <si>
    <t>HSav</t>
  </si>
  <si>
    <t>ESav</t>
  </si>
  <si>
    <t>ASav</t>
  </si>
  <si>
    <t>Sav</t>
  </si>
  <si>
    <t>ELend</t>
  </si>
  <si>
    <t>RoWLend</t>
  </si>
  <si>
    <t>Country uses chain linking (Y / N) ?</t>
  </si>
  <si>
    <t>QPrvC</t>
  </si>
  <si>
    <t>QAC</t>
  </si>
  <si>
    <t>QI</t>
  </si>
  <si>
    <t xml:space="preserve">Sheets with yellow tabs contain the actual forecast. </t>
  </si>
  <si>
    <t>Directorate-General for Economic and Financial Affairs</t>
  </si>
  <si>
    <t>Economies of the Member States</t>
  </si>
  <si>
    <t>Desk Belgium</t>
  </si>
  <si>
    <t>Author: G. Bethuyne</t>
  </si>
  <si>
    <t xml:space="preserve">Last update: </t>
  </si>
  <si>
    <t>Avenue de Beaulieu 1, B-1160 Brussels</t>
  </si>
  <si>
    <t>Tel. +32-2-29 52214, Fax: +32-2-29 98544</t>
  </si>
  <si>
    <t>Email:</t>
  </si>
  <si>
    <t>Forecast file BE</t>
  </si>
  <si>
    <t>CPI</t>
  </si>
  <si>
    <t>GG INTERMEDIATE CONSUMPTION</t>
  </si>
  <si>
    <t>Country acronym:</t>
  </si>
  <si>
    <t>Label part</t>
  </si>
  <si>
    <t>T row</t>
  </si>
  <si>
    <t>Government net-lending (EDP definition) - Growth rate</t>
  </si>
  <si>
    <t>CONSISTENCY ANALYSIS OF REVENUE FORECASTS</t>
  </si>
  <si>
    <r>
      <t xml:space="preserve">There is </t>
    </r>
    <r>
      <rPr>
        <b/>
        <sz val="11"/>
        <rFont val="Arial"/>
        <family val="2"/>
      </rPr>
      <t>no forecasting</t>
    </r>
    <r>
      <rPr>
        <sz val="11"/>
        <rFont val="Arial"/>
        <family val="2"/>
      </rPr>
      <t xml:space="preserve"> in Sectors2. All variables are forecasted in previous sheets.</t>
    </r>
  </si>
  <si>
    <t>3. Transfer matrix and tables</t>
  </si>
  <si>
    <t>ETSocAvRow x LEmpRow</t>
  </si>
  <si>
    <t xml:space="preserve">   7a.  - of which, services</t>
  </si>
  <si>
    <t xml:space="preserve"> ((L61:L47) x (L61:L12)) : ((L62:L47) x (L62:L12))</t>
  </si>
  <si>
    <t>CompAvRowN</t>
  </si>
  <si>
    <t>Total expenditure (harmonised)</t>
  </si>
  <si>
    <t>Transfer sheet</t>
  </si>
  <si>
    <t>P2</t>
  </si>
  <si>
    <t xml:space="preserve">   2. Current taxes on income and wealth</t>
  </si>
  <si>
    <t>Table 10b</t>
  </si>
  <si>
    <t>Pi6</t>
  </si>
  <si>
    <t>GVA[GVT] 
= B.2g[GVT] + D.29[GVT] - D.39[GVT] + D.1p[GVT]</t>
  </si>
  <si>
    <t>3. Gross operating surplus (B.2g) of E = GVA[E] - D.1p - (D.29 - D.39)</t>
  </si>
  <si>
    <t>For the total economy (ECO):</t>
  </si>
  <si>
    <t>D.21 - D.31</t>
  </si>
  <si>
    <t>GVA[ECO] = B.1g - (D.21 - D.31)</t>
  </si>
  <si>
    <t>Nevertheless, the system is capable to transfer in constant prices when using chain linking (or vice versa).</t>
  </si>
  <si>
    <t>Try this only if you feel lucky or if you are a very experienced user who is fully aware of the deep consequences.</t>
  </si>
  <si>
    <t>YCompAv</t>
  </si>
  <si>
    <t>LEmpPrivD</t>
  </si>
  <si>
    <t>LEmpPublD</t>
  </si>
  <si>
    <t>Global settings:</t>
  </si>
  <si>
    <t>Country:</t>
  </si>
  <si>
    <t>Employment rate</t>
  </si>
  <si>
    <t>Gross saving (B.8g) / Adj. Disp. Income (B.6g + D.8)</t>
  </si>
  <si>
    <t xml:space="preserve">   4. Final domestic demand (1+2+3)</t>
  </si>
  <si>
    <t xml:space="preserve"> L36+L37+L38+L42+L43+L44</t>
  </si>
  <si>
    <t xml:space="preserve"> L45+L46</t>
  </si>
  <si>
    <t xml:space="preserve"> L61</t>
  </si>
  <si>
    <t xml:space="preserve"> L36:L1</t>
  </si>
  <si>
    <t xml:space="preserve"> L37:L2</t>
  </si>
  <si>
    <t xml:space="preserve"> L55</t>
  </si>
  <si>
    <t xml:space="preserve"> L15</t>
  </si>
  <si>
    <t xml:space="preserve"> L17</t>
  </si>
  <si>
    <t xml:space="preserve"> L18</t>
  </si>
  <si>
    <t xml:space="preserve"> L20</t>
  </si>
  <si>
    <t xml:space="preserve"> L22</t>
  </si>
  <si>
    <t xml:space="preserve"> L23</t>
  </si>
  <si>
    <t xml:space="preserve"> L36</t>
  </si>
  <si>
    <t xml:space="preserve"> L37</t>
  </si>
  <si>
    <t xml:space="preserve">Current taxes on income and wealth (D.5r)  </t>
  </si>
  <si>
    <t xml:space="preserve">  10. Gross domestic product at market prices</t>
  </si>
  <si>
    <t xml:space="preserve"> L24</t>
  </si>
  <si>
    <t>VOL. FIXED INVESTMENT MANUFACTURING</t>
  </si>
  <si>
    <t xml:space="preserve">  4. Final domestic demand</t>
  </si>
  <si>
    <t xml:space="preserve">  5. Change in inventories </t>
  </si>
  <si>
    <t>-</t>
  </si>
  <si>
    <t>2. The forecast sheets</t>
  </si>
  <si>
    <t>a. Volumes, value and prices</t>
  </si>
  <si>
    <t>b. Quarterly sheet</t>
  </si>
  <si>
    <t>* Note: Contributions are non-additive and may differ from results in official forecast tables</t>
  </si>
  <si>
    <t>MAN. EMPLOYMENT F.T.E.</t>
  </si>
  <si>
    <t>TOT. EMPLOYMENT F.T.E.</t>
  </si>
  <si>
    <t>Total government revenue (harmonised)</t>
  </si>
  <si>
    <t>col 222</t>
  </si>
  <si>
    <t>Final consumption expenditure (P.3) - EDP NOTIFICATION</t>
  </si>
  <si>
    <t>Final consumption expenditure (P.3) - EDP Notification</t>
  </si>
  <si>
    <t>GG</t>
  </si>
  <si>
    <t>Final consumption expenditure - EDP Notification</t>
  </si>
  <si>
    <t>Wages &amp; salaries / employee (growth rate)</t>
  </si>
  <si>
    <t xml:space="preserve">   2c.  - others</t>
  </si>
  <si>
    <t>Employer's social contr. / employee (growth rate)</t>
  </si>
  <si>
    <t>pm fiscal capital revenue (cash based)</t>
  </si>
  <si>
    <t>of which discretionary measures</t>
  </si>
  <si>
    <t>Population at working age (15-64)</t>
  </si>
  <si>
    <t>Population at working age (15-74)</t>
  </si>
  <si>
    <t>POPULATION OF WORKING AGE (15-74)</t>
  </si>
  <si>
    <t>Fraction at working age (15-74)</t>
  </si>
  <si>
    <t>Fraction at working age (15-64)</t>
  </si>
  <si>
    <t>pm primary expenditure % of GDP</t>
  </si>
  <si>
    <t>\\DG ECFIN\Forecast\Country databases\Desk transfer databases\</t>
  </si>
  <si>
    <t>BE</t>
  </si>
  <si>
    <t>Variable code</t>
  </si>
  <si>
    <t>Unit</t>
  </si>
  <si>
    <t>TM line</t>
  </si>
  <si>
    <t>EcDatabase</t>
  </si>
  <si>
    <t>Country</t>
  </si>
  <si>
    <t>Frequency</t>
  </si>
  <si>
    <t>Variable</t>
  </si>
  <si>
    <t>Annual</t>
  </si>
  <si>
    <t>OCPH</t>
  </si>
  <si>
    <t>billions</t>
  </si>
  <si>
    <t>OCTG</t>
  </si>
  <si>
    <t>OIGT</t>
  </si>
  <si>
    <t>OIGCO</t>
  </si>
  <si>
    <t>OIGEQ</t>
  </si>
  <si>
    <t>OIGOT</t>
  </si>
  <si>
    <t>OIST</t>
  </si>
  <si>
    <t>OXGN</t>
  </si>
  <si>
    <t>OXSN</t>
  </si>
  <si>
    <t>OMGN</t>
  </si>
  <si>
    <t>OMSN</t>
  </si>
  <si>
    <t>OVGD</t>
  </si>
  <si>
    <t>OIGG</t>
  </si>
  <si>
    <t>OIGDW</t>
  </si>
  <si>
    <t>UIGDW</t>
  </si>
  <si>
    <t>UCPH</t>
  </si>
  <si>
    <t>UCTG</t>
  </si>
  <si>
    <t>UIGT</t>
  </si>
  <si>
    <t>UIGCO</t>
  </si>
  <si>
    <t>UIGEQ</t>
  </si>
  <si>
    <t>UIGOT</t>
  </si>
  <si>
    <t>UIST</t>
  </si>
  <si>
    <t>UXGN</t>
  </si>
  <si>
    <t>UXSN</t>
  </si>
  <si>
    <t>UMGN</t>
  </si>
  <si>
    <t>UMSN</t>
  </si>
  <si>
    <t>UVGD</t>
  </si>
  <si>
    <t>UTVTBP</t>
  </si>
  <si>
    <t>UYVTBP</t>
  </si>
  <si>
    <t>ZCPIH</t>
  </si>
  <si>
    <t>ZCPIN</t>
  </si>
  <si>
    <t>n.a.</t>
  </si>
  <si>
    <t>UVGE</t>
  </si>
  <si>
    <t>OVGE</t>
  </si>
  <si>
    <t>NETD</t>
  </si>
  <si>
    <t>thousands</t>
  </si>
  <si>
    <t>FETD</t>
  </si>
  <si>
    <t>UWCD</t>
  </si>
  <si>
    <t>UWWD</t>
  </si>
  <si>
    <t>NWTD</t>
  </si>
  <si>
    <t>FWTD</t>
  </si>
  <si>
    <t>NPTD</t>
  </si>
  <si>
    <t>NPAN</t>
  </si>
  <si>
    <t>NPAN1</t>
  </si>
  <si>
    <t>NUTN</t>
  </si>
  <si>
    <t>NETN</t>
  </si>
  <si>
    <t>NLFS</t>
  </si>
  <si>
    <t>NLHA</t>
  </si>
  <si>
    <t>UWCH</t>
  </si>
  <si>
    <t>UWSH</t>
  </si>
  <si>
    <t>UOGH</t>
  </si>
  <si>
    <t>UYNH</t>
  </si>
  <si>
    <t>UCTRH</t>
  </si>
  <si>
    <t>UTYH</t>
  </si>
  <si>
    <t>UCTPH</t>
  </si>
  <si>
    <t>UEHH</t>
  </si>
  <si>
    <t>UCPH0</t>
  </si>
  <si>
    <t>UITH</t>
  </si>
  <si>
    <t>UKOH</t>
  </si>
  <si>
    <t>UGVAC</t>
  </si>
  <si>
    <t>UYVC</t>
  </si>
  <si>
    <t>UTVC</t>
  </si>
  <si>
    <t>UWCC</t>
  </si>
  <si>
    <t>UOGC</t>
  </si>
  <si>
    <t>UYNC</t>
  </si>
  <si>
    <t>UCTRC</t>
  </si>
  <si>
    <t>UTYC</t>
  </si>
  <si>
    <t>UEHC</t>
  </si>
  <si>
    <t>UITC</t>
  </si>
  <si>
    <t>UKOC</t>
  </si>
  <si>
    <t>UTVG</t>
  </si>
  <si>
    <t>UTYG</t>
  </si>
  <si>
    <t>UTSG</t>
  </si>
  <si>
    <t>UTAG</t>
  </si>
  <si>
    <t>UROG</t>
  </si>
  <si>
    <t>UCCG0</t>
  </si>
  <si>
    <t>UCIG0</t>
  </si>
  <si>
    <t>UWCG</t>
  </si>
  <si>
    <t>UYTGH</t>
  </si>
  <si>
    <t>UYIG</t>
  </si>
  <si>
    <t>UYVG</t>
  </si>
  <si>
    <t>UUOG</t>
  </si>
  <si>
    <t>UKTTG</t>
  </si>
  <si>
    <t>UIGG0</t>
  </si>
  <si>
    <t>UKOG</t>
  </si>
  <si>
    <t>UDGG</t>
  </si>
  <si>
    <t>UUTG</t>
  </si>
  <si>
    <t>UTKG</t>
  </si>
  <si>
    <t>UTEU</t>
  </si>
  <si>
    <t>GG TAXES TO THE REST OF THE WORLD</t>
  </si>
  <si>
    <t>UYIGE</t>
  </si>
  <si>
    <t>UYEU</t>
  </si>
  <si>
    <t>GG SUBSIDIES FROM THE REST OF THE WORLD</t>
  </si>
  <si>
    <t>UVGDH</t>
  </si>
  <si>
    <t>UBLGE</t>
  </si>
  <si>
    <t>UOOMSR</t>
  </si>
  <si>
    <t>UOOMSE</t>
  </si>
  <si>
    <t>UBRA</t>
  </si>
  <si>
    <t>UBTA</t>
  </si>
  <si>
    <t>UBKA</t>
  </si>
  <si>
    <t>UPOMN</t>
  </si>
  <si>
    <t>UKCG0</t>
  </si>
  <si>
    <t>UCTGI</t>
  </si>
  <si>
    <t>UYTGM</t>
  </si>
  <si>
    <t>DXGI</t>
  </si>
  <si>
    <t>UKTG995</t>
  </si>
  <si>
    <t>DXGE</t>
  </si>
  <si>
    <t>DMGI</t>
  </si>
  <si>
    <t>DMGE</t>
  </si>
  <si>
    <t>UDMGCE</t>
  </si>
  <si>
    <t>UDMGCR</t>
  </si>
  <si>
    <t>UDMGKE</t>
  </si>
  <si>
    <t>UDMGKTR</t>
  </si>
  <si>
    <t>TRIT</t>
  </si>
  <si>
    <t>TAX RATE INDIRECT TAXES PAST 4-Y AVG</t>
  </si>
  <si>
    <t>TRDT</t>
  </si>
  <si>
    <t xml:space="preserve">TAX RATE DIRECT TAXES PAST 4-Y AVG </t>
  </si>
  <si>
    <t>TRSC</t>
  </si>
  <si>
    <t>TAX RATE SOCIAL CONTR. PAST 4-Y AVG</t>
  </si>
  <si>
    <t>WCPINEG</t>
  </si>
  <si>
    <t>WCPIENG</t>
  </si>
  <si>
    <t>WCPIFOO</t>
  </si>
  <si>
    <t>WCPIUNF</t>
  </si>
  <si>
    <t>WCPISER</t>
  </si>
  <si>
    <t>ZCPINEG</t>
  </si>
  <si>
    <t>ZCPIENG</t>
  </si>
  <si>
    <t>ZCPIFOO</t>
  </si>
  <si>
    <t>ZCPIUNF</t>
  </si>
  <si>
    <t>ZCPISER</t>
  </si>
  <si>
    <t>ZCPIXEF</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</si>
  <si>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</si>
  <si>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</si>
  <si>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</si>
  <si>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</si>
  <si>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</si>
  <si>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</si>
  <si>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</si>
  <si>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</si>
  <si>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</si>
  <si>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</si>
  <si>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</si>
  <si>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</si>
  <si>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</si>
  <si>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</si>
  <si>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</si>
  <si>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</si>
  <si>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</si>
  <si>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</si>
  <si>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</si>
  <si>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</si>
  <si>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</si>
  <si>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</si>
  <si>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</si>
  <si>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</si>
  <si>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</si>
  <si>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</si>
  <si>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</si>
  <si>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</si>
  <si>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</si>
  <si>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</si>
  <si>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</si>
  <si>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</si>
  <si>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</si>
  <si>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</si>
  <si>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</si>
  <si>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</si>
  <si>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</si>
  <si>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</si>
  <si>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</si>
  <si>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</si>
  <si>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</si>
  <si>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</si>
  <si>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</si>
  <si>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</si>
  <si>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</si>
  <si>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</si>
  <si>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</si>
  <si>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</si>
  <si>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</si>
  <si>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</si>
  <si>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</si>
  <si>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</si>
  <si>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</si>
  <si>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</si>
  <si>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</si>
  <si>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</si>
  <si>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</si>
  <si>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</si>
  <si>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</si>
  <si>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</si>
  <si>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</si>
  <si>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</si>
  <si>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</si>
  <si>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</si>
  <si>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Quarterly</t>
  </si>
  <si>
    <t>OUNF</t>
  </si>
  <si>
    <t>OUNT</t>
  </si>
  <si>
    <t>OXGS</t>
  </si>
  <si>
    <t>OUTT</t>
  </si>
  <si>
    <t>OMGS</t>
  </si>
  <si>
    <t>Nominal change</t>
  </si>
  <si>
    <t>Discretionary measures (DFM)</t>
  </si>
  <si>
    <t>Mesures discrétionnaires/other factors</t>
  </si>
  <si>
    <t>Other factors (not explained by trend or measures)</t>
  </si>
  <si>
    <t>Total expenditure (excluding impact of discretionary measures)</t>
  </si>
  <si>
    <t>Revenue measures (% of GDP)</t>
  </si>
  <si>
    <t>Total measures (% of GDP)</t>
  </si>
  <si>
    <t>Change in the revenue ratio (pp of GDP)</t>
  </si>
  <si>
    <t>Change in the expenditure ratio excluding interests (pp of GDP)</t>
  </si>
  <si>
    <t>Expenditure measures (+ sign is exp increasing!!) (% of GDP)</t>
  </si>
  <si>
    <t>Difference (pp)</t>
  </si>
  <si>
    <t>Difference (not explained by measures)</t>
  </si>
  <si>
    <t>Total impact of measures (incl. One-off opposite effect in following year)</t>
  </si>
  <si>
    <t>Social benefits excluding unemployment</t>
  </si>
  <si>
    <t xml:space="preserve">  Unemployment</t>
  </si>
  <si>
    <t xml:space="preserve">  Other</t>
  </si>
  <si>
    <t xml:space="preserve">  Family allowances</t>
  </si>
  <si>
    <t xml:space="preserve">  Pensions</t>
  </si>
  <si>
    <t xml:space="preserve">  Early retirement pensions and career termination</t>
  </si>
  <si>
    <t xml:space="preserve">  Sickness and disability benefits</t>
  </si>
  <si>
    <t xml:space="preserve">  Unemployment benefits</t>
  </si>
  <si>
    <t>Of which discretionary measures (DFM)</t>
  </si>
  <si>
    <t>Of which indexation effect (FPB)</t>
  </si>
  <si>
    <t>Other factors</t>
  </si>
  <si>
    <t>of which change in the number of unemployed</t>
  </si>
  <si>
    <t>Other factors (more exclusions, change in structure of unemployed population,…)</t>
  </si>
  <si>
    <t>Change in the structural balance</t>
  </si>
  <si>
    <t>Other factors implied by the forecast</t>
  </si>
  <si>
    <t>144</t>
  </si>
  <si>
    <t>517</t>
  </si>
  <si>
    <t>527.6</t>
  </si>
  <si>
    <t>-32</t>
  </si>
  <si>
    <t>Discretionary measures (DFM in mnEUR)</t>
  </si>
  <si>
    <t>570</t>
  </si>
  <si>
    <t>335</t>
  </si>
  <si>
    <t>264</t>
  </si>
  <si>
    <t>-238</t>
  </si>
  <si>
    <t>Value as percent of GDP (EDP)</t>
  </si>
  <si>
    <t>Change in the ratio (pp of GDP)</t>
  </si>
  <si>
    <t>Of which increase in 65+ population</t>
  </si>
  <si>
    <t>Of which due to other factors (early pensions, measures, higher pension rights, welfare adaptations,…)</t>
  </si>
  <si>
    <t>current revenue measures (% of GDP)</t>
  </si>
  <si>
    <t>welfare adaptations (in mn EUR)</t>
  </si>
  <si>
    <t>Of which welfare adaptations</t>
  </si>
  <si>
    <t>2015Q1</t>
  </si>
  <si>
    <t>2015Q2</t>
  </si>
  <si>
    <t>2015Q3</t>
  </si>
  <si>
    <t>2015Q4</t>
  </si>
  <si>
    <t>Intermediate Consumption GG</t>
  </si>
  <si>
    <t>Total tax base</t>
  </si>
  <si>
    <t>Growth rates - details GVT social benefits</t>
  </si>
  <si>
    <t>GFCF GG (excl. Sale of real estate since 2001)</t>
  </si>
  <si>
    <t>Trend evolution (i.e. constant tax rate)</t>
  </si>
  <si>
    <t>Taxes on Products (D21p)</t>
  </si>
  <si>
    <t>Other factors implied by the forecast (residual)</t>
  </si>
  <si>
    <t>Growth rate VAT</t>
  </si>
  <si>
    <t>PM: growth rate budget/MC</t>
  </si>
  <si>
    <t>Imports of Goods</t>
  </si>
  <si>
    <t>Implicit tax rate (excluding one-offs)</t>
  </si>
  <si>
    <t>Revenue growth (excluding measures and one-offs)</t>
  </si>
  <si>
    <t>Observed elasticity with respect to GDP</t>
  </si>
  <si>
    <t>Theoretic growth rate</t>
  </si>
  <si>
    <t>Theoretic growth rate (constant tax rate)</t>
  </si>
  <si>
    <t>Nominal GDP growth</t>
  </si>
  <si>
    <t>Trend evolution (i.e. 4 year average elasticity)</t>
  </si>
  <si>
    <t>Discretionary measures (in mn EUR)</t>
  </si>
  <si>
    <t>One-offs and temporary factors (in mn EUR)</t>
  </si>
  <si>
    <t>Change in the number of employees</t>
  </si>
  <si>
    <t>Growth rate with standard elasticity</t>
  </si>
  <si>
    <t>Trend evolution</t>
  </si>
  <si>
    <t>Change in income per employee</t>
  </si>
  <si>
    <t>Inflation (t-1) used to index tax brackets</t>
  </si>
  <si>
    <t>Observed growth (excluding measures and one-offs)</t>
  </si>
  <si>
    <t>3 year average growth rate</t>
  </si>
  <si>
    <t>Trend evolution (using 3y avg)</t>
  </si>
  <si>
    <t>Growth of property income HH</t>
  </si>
  <si>
    <t>Residual</t>
  </si>
  <si>
    <t>Theoretic growth rate (constant elasticity)</t>
  </si>
  <si>
    <t>rows added to the standard forecast sheet by desk</t>
  </si>
  <si>
    <t>Central government</t>
  </si>
  <si>
    <t>p.m. social transfers in kind via market producers</t>
  </si>
  <si>
    <t xml:space="preserve"> = </t>
  </si>
  <si>
    <t>Entity I</t>
  </si>
  <si>
    <t>Local government</t>
  </si>
  <si>
    <t>Entity II</t>
  </si>
  <si>
    <t>State government (communities and regions)</t>
  </si>
  <si>
    <t>Social security</t>
  </si>
  <si>
    <t>Values by subsector (optional)</t>
  </si>
  <si>
    <t>Growth rates by subsector (optional)</t>
  </si>
  <si>
    <t>Values as percent of GDP by subsector (optional)</t>
  </si>
  <si>
    <t>Net lending by subsector (implicit) - % of GDP</t>
  </si>
  <si>
    <t xml:space="preserve"> + </t>
  </si>
  <si>
    <t>Net lending by subsector (implicit) - values</t>
  </si>
  <si>
    <t>Source:</t>
  </si>
  <si>
    <t>http://www.nbb.be/belgostat/PublicatieSelectieLinker?LinkID=592000081|910000082&amp;Lang=E</t>
  </si>
  <si>
    <t>Taxes on fin. and cap. transactions (D.214 C) - mainly registration taxes</t>
  </si>
  <si>
    <t>VAT (D211) incl. Paid to RoW</t>
  </si>
  <si>
    <t>Taxes and duties on imports (D212) incl. Paid to RoW</t>
  </si>
  <si>
    <t>Excise duties (D214 A) incl. Paid to RoW</t>
  </si>
  <si>
    <t>Advance tax payment on movable property (PP) paid by HH</t>
  </si>
  <si>
    <t>Business' advance tax payment (PP)</t>
  </si>
  <si>
    <t>(Recurrent) Taxes on traffic paid by the households</t>
  </si>
  <si>
    <t>Special social contributions</t>
  </si>
  <si>
    <t>Change in compensation of employees</t>
  </si>
  <si>
    <t>Theoretic growth rate (4 y average elasticity)</t>
  </si>
  <si>
    <t>Other taxes on income and wealth paid by HH (incl. to ROW)</t>
  </si>
  <si>
    <t>Other taxes on products (D214D-L) - residual</t>
  </si>
  <si>
    <t>Advance payments (PP - self employed)</t>
  </si>
  <si>
    <t>Assessments (PP) - central government</t>
  </si>
  <si>
    <t>Assessments (PP) - local government</t>
  </si>
  <si>
    <t>PM: estimation budget/MC</t>
  </si>
  <si>
    <t>link to be made</t>
  </si>
  <si>
    <t>Advance payments (t-1) + Assessment (t)</t>
  </si>
  <si>
    <t>Growth rate (advance payments (t-1) + Assessment (t))</t>
  </si>
  <si>
    <t>Average rate of local surcharges (approx)</t>
  </si>
  <si>
    <t>Trend evolution (in line with advance payments (t-1) and assessment (t)</t>
  </si>
  <si>
    <t>Change in the mixed income HH</t>
  </si>
  <si>
    <t xml:space="preserve">   of which: Change in the number of self-employed</t>
  </si>
  <si>
    <t xml:space="preserve">   of which: Change in income per self-employed (residual - proxy)</t>
  </si>
  <si>
    <t xml:space="preserve"> sept 13</t>
  </si>
  <si>
    <t>Taxes on products (D.21p) - detail (outdated - see separate file)</t>
  </si>
  <si>
    <t>Current taxes on income and wealth (D.5p)  - details (outdated! See seperate file)</t>
  </si>
  <si>
    <t>Values - details GVT social benefits (outdated - see seperate file)</t>
  </si>
  <si>
    <t>Scale</t>
  </si>
  <si>
    <t>units</t>
  </si>
  <si>
    <t>UTNXTMR</t>
  </si>
  <si>
    <t>dNFAmfi_Mon</t>
  </si>
  <si>
    <t>Net foreign assets (MFI)</t>
  </si>
  <si>
    <t>UTNDCMG</t>
  </si>
  <si>
    <t>dNDCgvt</t>
  </si>
  <si>
    <t>Net credit to the general government (MFI)</t>
  </si>
  <si>
    <t>UTADCMY</t>
  </si>
  <si>
    <t>dDCprv</t>
  </si>
  <si>
    <t>Credit to the domestic private sector (MFI)</t>
  </si>
  <si>
    <t>UTLCDMY</t>
  </si>
  <si>
    <t>d(C+D)</t>
  </si>
  <si>
    <t>Currency and deposits (MFI)</t>
  </si>
  <si>
    <t>UTNOIMU</t>
  </si>
  <si>
    <t>OINmfi</t>
  </si>
  <si>
    <t>Other items, net (MFI)</t>
  </si>
  <si>
    <t>UTNFBRG</t>
  </si>
  <si>
    <t>NFBgvt</t>
  </si>
  <si>
    <t>Net foreign borrowing of the general government</t>
  </si>
  <si>
    <t>UTNFBRY</t>
  </si>
  <si>
    <t>NFBprv</t>
  </si>
  <si>
    <t>Net foreign borrowing of the private sector</t>
  </si>
  <si>
    <t>UTNNBYG</t>
  </si>
  <si>
    <t>NB</t>
  </si>
  <si>
    <t>Non-bank domestic borrowing (GVT)</t>
  </si>
  <si>
    <t>UTNOIGU</t>
  </si>
  <si>
    <t>OINgvt</t>
  </si>
  <si>
    <t>Other items, net (GVT)</t>
  </si>
  <si>
    <t>UTNOIYU</t>
  </si>
  <si>
    <t>OINprv</t>
  </si>
  <si>
    <t>Other items, net (PRV)</t>
  </si>
  <si>
    <t>USNXTMR</t>
  </si>
  <si>
    <t>NFAmfi</t>
  </si>
  <si>
    <t>Net foreign assets of MFI sector</t>
  </si>
  <si>
    <t>USNDCMG</t>
  </si>
  <si>
    <t>NDCgvt</t>
  </si>
  <si>
    <t>Net claims of MFI sector on government</t>
  </si>
  <si>
    <t>USADCMY</t>
  </si>
  <si>
    <t>DCprv</t>
  </si>
  <si>
    <t>Credit (all instruments) of the MFI sector to the domestic private sector</t>
  </si>
  <si>
    <t>USLCUMY</t>
  </si>
  <si>
    <t>C</t>
  </si>
  <si>
    <t>Currency in circulation</t>
  </si>
  <si>
    <t>USLDPMY</t>
  </si>
  <si>
    <t>D</t>
  </si>
  <si>
    <t>Deposits of the domestic private sector with MFI</t>
  </si>
  <si>
    <t>USLCDMY</t>
  </si>
  <si>
    <t>C+D</t>
  </si>
  <si>
    <t>Currency and deposits (MFI liabilities)</t>
  </si>
  <si>
    <t>USNOIMU</t>
  </si>
  <si>
    <t>ONAmfi</t>
  </si>
  <si>
    <t>Other net assets of the MFI sector</t>
  </si>
  <si>
    <t>Monthly</t>
  </si>
  <si>
    <t>emploi</t>
  </si>
  <si>
    <t>salaries</t>
  </si>
  <si>
    <t>public</t>
  </si>
  <si>
    <t>frontaliers</t>
  </si>
  <si>
    <t>independants</t>
  </si>
  <si>
    <t>p.m. Employers' social contributions (national)</t>
  </si>
  <si>
    <t>2016Q1</t>
  </si>
  <si>
    <t>2016Q2</t>
  </si>
  <si>
    <t>2016Q3</t>
  </si>
  <si>
    <t>2016Q4</t>
  </si>
  <si>
    <t>527.7</t>
  </si>
  <si>
    <t>% GDP</t>
  </si>
  <si>
    <t>labour force</t>
  </si>
  <si>
    <t>LC</t>
  </si>
  <si>
    <t>prod.</t>
  </si>
  <si>
    <t>ULC</t>
  </si>
  <si>
    <t>GFCF corporations</t>
  </si>
  <si>
    <t>GFCF dwelling</t>
  </si>
  <si>
    <t>GFCF Public Administration</t>
  </si>
  <si>
    <t>pm. Indexation social benefits (FPB Mar-2015)</t>
  </si>
  <si>
    <t>pm. Indexation wages and salaries public sector (FPB Mar-2015)</t>
  </si>
  <si>
    <t>2017Q1</t>
  </si>
  <si>
    <t>2017Q2</t>
  </si>
  <si>
    <t>2017Q3</t>
  </si>
  <si>
    <t>2017Q4</t>
  </si>
  <si>
    <t>FPB projections</t>
  </si>
  <si>
    <t>527.8</t>
  </si>
  <si>
    <t>-239</t>
  </si>
  <si>
    <t>Indicator</t>
  </si>
  <si>
    <t>Description</t>
  </si>
  <si>
    <t>UOOMSR.1.0.0.0</t>
  </si>
  <si>
    <t>138 GG ONE-OFF MEASURES (REVENUE SIDE)</t>
  </si>
  <si>
    <t>UOOMSE.1.0.0.0</t>
  </si>
  <si>
    <t>139 GG ONE-OFF MEASURES (EXPENDITURE SIDE)</t>
  </si>
  <si>
    <t>UDMGCE.1.0.0.0</t>
  </si>
  <si>
    <t>153 DISCRETIONARY MEASURES CURRENT EXPENDITURE</t>
  </si>
  <si>
    <t>UDMGCR.1.0.0.0</t>
  </si>
  <si>
    <t>154 DISCRETIONARY MEASURES CURRENT REVENUE</t>
  </si>
  <si>
    <t>UDMGKE.1.0.0.0</t>
  </si>
  <si>
    <t>155 DISCRETIONARY MEASURES CAPITAL EXPENDITURE</t>
  </si>
  <si>
    <t>UDMGKTR.1.0.0.0</t>
  </si>
  <si>
    <t>156 DISCRETIONARY MEASURES CAPITAL TRANSFERS RECEIVED</t>
  </si>
  <si>
    <t>P.2 - Intermediate consumption</t>
  </si>
  <si>
    <t>D.8</t>
  </si>
  <si>
    <t>P.52/53 - Changes in inventories / valuables</t>
  </si>
  <si>
    <t>UNEMPLOYMENT RATE (Eurostat def; calc by B-5)</t>
  </si>
  <si>
    <t>ACTIVITY RATE (Struct. Ind. def; calc by B-5)</t>
  </si>
  <si>
    <t>EMPLOYMENT RATE (Struct. Ind. def; calc by B-5)</t>
  </si>
  <si>
    <t xml:space="preserve">GG CAPITAL TRANSFERS; RECEIVED </t>
  </si>
  <si>
    <t>GG OTHER CAPITAL EXPENDITURE; NET</t>
  </si>
  <si>
    <t xml:space="preserve">  3a. - of which, housing</t>
  </si>
  <si>
    <t>REFRESH ALL AND ENSURE FIGURES ARE IN BILLIONS</t>
  </si>
  <si>
    <t>2015SFC</t>
  </si>
  <si>
    <t>Base difference</t>
  </si>
  <si>
    <t>-227</t>
  </si>
  <si>
    <t>2018Q1</t>
  </si>
  <si>
    <t>2018Q2</t>
  </si>
  <si>
    <t>2018Q3</t>
  </si>
  <si>
    <t>2018Q4</t>
  </si>
  <si>
    <t>stocks</t>
  </si>
  <si>
    <t>Current external balance BPM6</t>
  </si>
  <si>
    <t>USADCMYH</t>
  </si>
  <si>
    <t>Credit (all instruments) of the MFI sector to the domestic private sector - households</t>
  </si>
  <si>
    <t>USADCMYC</t>
  </si>
  <si>
    <t>Credit (all instruments) of the MFI sector to the domestic private sector - domestic non-financial corporations (inc. securities)</t>
  </si>
  <si>
    <t>USADCMYO</t>
  </si>
  <si>
    <t>Credit (all instruments) of the MFI sector to the domestic private sector - other domestic financial intermediaries and auxiliaries</t>
  </si>
  <si>
    <t>UTADCMYH</t>
  </si>
  <si>
    <t>Credit to the domestic private sector (MFI) - households</t>
  </si>
  <si>
    <t>UTADCMYC</t>
  </si>
  <si>
    <t>Credit to the domestic private sector (MFI) - domestic non-financial corporations (inc. securities)</t>
  </si>
  <si>
    <t>UTADCMYO</t>
  </si>
  <si>
    <t>Credit to the domestic private sector (MFI) - other domestic financial intermediaries and auxiliaries</t>
  </si>
  <si>
    <t>Mn EUR</t>
  </si>
  <si>
    <t>Current external balance NA</t>
  </si>
  <si>
    <t>see separate workfile</t>
  </si>
  <si>
    <t>of which current transfers from EU institutions</t>
  </si>
  <si>
    <t>UCTREU</t>
  </si>
  <si>
    <t>Current transfers from EU Institutions</t>
  </si>
  <si>
    <t>UKTGEU</t>
  </si>
  <si>
    <t>Capital transfers from EU Institutions</t>
  </si>
  <si>
    <t>of which capital transfers from EU institutions</t>
  </si>
  <si>
    <t>GG Current transfers from EU Institutions</t>
  </si>
  <si>
    <t>GG Capital transfers from EU Institutions</t>
  </si>
  <si>
    <t>:</t>
  </si>
  <si>
    <t>2019Q1</t>
  </si>
  <si>
    <t>2019Q2</t>
  </si>
  <si>
    <t>2019Q3</t>
  </si>
  <si>
    <t>2019Q4</t>
  </si>
  <si>
    <t>UBLC</t>
  </si>
  <si>
    <t>E Net lending / net borrowing (B.9)</t>
  </si>
  <si>
    <t>UBLH</t>
  </si>
  <si>
    <t>HH Net lending / net borrowing (B.9)</t>
  </si>
  <si>
    <t>UBLG</t>
  </si>
  <si>
    <t>GVT Net lending / net borrowing (B.9)</t>
  </si>
  <si>
    <t>USGC</t>
  </si>
  <si>
    <t>E Gross saving (B.8g)</t>
  </si>
  <si>
    <t>USGH</t>
  </si>
  <si>
    <t>HH Gross saving (B.8g)</t>
  </si>
  <si>
    <t>USGG</t>
  </si>
  <si>
    <t>GVT Gross saving (B.8g)</t>
  </si>
  <si>
    <t>UVGH</t>
  </si>
  <si>
    <t>HH Disposable income (B.6g)</t>
  </si>
  <si>
    <t>HH Gross operating surplus (B.2g) / Mixed income</t>
  </si>
  <si>
    <t>UOGD</t>
  </si>
  <si>
    <t>UBLA</t>
  </si>
  <si>
    <t>EXT Net lending / net borrowing (B.9)</t>
  </si>
  <si>
    <t>Name</t>
  </si>
  <si>
    <t>FPB 01/06/2017</t>
  </si>
  <si>
    <t>LT demographic projections FPB</t>
  </si>
  <si>
    <t>TOTAL EMPLOYMENT National Accounts</t>
  </si>
  <si>
    <t>general reduction</t>
  </si>
  <si>
    <t>night and shifted labour</t>
  </si>
  <si>
    <t>lower contributions independents</t>
  </si>
  <si>
    <t>lower SSC for first 6 employees</t>
  </si>
  <si>
    <t>SSC reductions (tax shift)</t>
  </si>
  <si>
    <t>transactions</t>
  </si>
  <si>
    <t>\\DG ECFIN\Forecast\Country databases\Desk transfer databases\BE</t>
  </si>
  <si>
    <t>P.11+P.12+</t>
  </si>
  <si>
    <t>P.11+P.12+P.131 - 'Total sales of goods and services'</t>
  </si>
  <si>
    <t>D.21</t>
  </si>
  <si>
    <t>D.21 - Taxes on products (received from the domestic economy)</t>
  </si>
  <si>
    <t>D.29</t>
  </si>
  <si>
    <t>D.29 - Other taxes on production (received from households)</t>
  </si>
  <si>
    <t>D.29 - Other taxes on production (received from corporations)</t>
  </si>
  <si>
    <t>D.29 - Other taxes on production (received from government)</t>
  </si>
  <si>
    <t>D.2</t>
  </si>
  <si>
    <t>D.2 - Taxes on production and imports (received from RoW)</t>
  </si>
  <si>
    <t>D.39</t>
  </si>
  <si>
    <t>D.39 - Other subsidies on production (received from government)</t>
  </si>
  <si>
    <t>D.3</t>
  </si>
  <si>
    <t>D.3 - Subsidies (received from RoW)</t>
  </si>
  <si>
    <t>D.4</t>
  </si>
  <si>
    <t>D.4 - Property income (received)</t>
  </si>
  <si>
    <t>D.5</t>
  </si>
  <si>
    <t>D.5 - Current taxes on income and wealth (received from households)</t>
  </si>
  <si>
    <t>D.5 - Current taxes on income and wealth (received from corporations)</t>
  </si>
  <si>
    <t>D.5 - Current taxes on income and wealth (received from government)</t>
  </si>
  <si>
    <t>D.5 - Current taxes on income and wealth (received from RoW)</t>
  </si>
  <si>
    <t>D.611+D.61</t>
  </si>
  <si>
    <t>D.611+D.613 - Actual social contributions (received)</t>
  </si>
  <si>
    <t>D.612+D.61</t>
  </si>
  <si>
    <t>D.612+D.614-D.61SC - Imputed and other social contributions (received)</t>
  </si>
  <si>
    <t>D.7 - Other current transfers (received)</t>
  </si>
  <si>
    <t>D.9</t>
  </si>
  <si>
    <t>D.9 - Capital transfers (received)</t>
  </si>
  <si>
    <t>D.1</t>
  </si>
  <si>
    <t>D.1 - Compensation of employees</t>
  </si>
  <si>
    <t>D.29 - Other taxes on production (paid to government)</t>
  </si>
  <si>
    <t>D.2 - Taxes on production and imports (paid to RoW)</t>
  </si>
  <si>
    <t>D.31</t>
  </si>
  <si>
    <t>D.31 - Subsidies on products (paid to the domestic economy)</t>
  </si>
  <si>
    <t>D.39 - Other subsidies on production (paid to households)</t>
  </si>
  <si>
    <t>D.39 - Other subsidies on production (paid to corporations)</t>
  </si>
  <si>
    <t>D.39 - Other subsidies on production (paid to government)</t>
  </si>
  <si>
    <t>D.3 - Subsidies (paid to RoW)</t>
  </si>
  <si>
    <t>D.4-D.41</t>
  </si>
  <si>
    <t>D.4-D.41 - Property income (paid, excluding interests)</t>
  </si>
  <si>
    <t>D.41</t>
  </si>
  <si>
    <t>D.41 - Interest (paid)</t>
  </si>
  <si>
    <t>D.5 - Current taxes on income and wealth (paid to government)</t>
  </si>
  <si>
    <t>D.5 - Current taxes on income and wealth (paid to RoW)</t>
  </si>
  <si>
    <t>D.62</t>
  </si>
  <si>
    <t>D.62 - Social benefits other than in kind (paid)</t>
  </si>
  <si>
    <t>D.632</t>
  </si>
  <si>
    <t>D.632 - Social transfers in kind supplied via market producers (paid)</t>
  </si>
  <si>
    <t>D.7 - Other current transfers (paid)</t>
  </si>
  <si>
    <t>D.8 - Adjustment for change in pension entitlements</t>
  </si>
  <si>
    <t>D.9 - Capital transfers (paid)</t>
  </si>
  <si>
    <t>P.51g</t>
  </si>
  <si>
    <t>P.51g - Gross fixed capital expenditure</t>
  </si>
  <si>
    <t>P.52/53</t>
  </si>
  <si>
    <t>NP - Acquisition less disposal of non-produced assets</t>
  </si>
  <si>
    <t>of which discretionary measures (in mio EUR)</t>
  </si>
  <si>
    <r>
      <t>Output gap (</t>
    </r>
    <r>
      <rPr>
        <b/>
        <sz val="10"/>
        <color rgb="FFFF0000"/>
        <rFont val="Arial"/>
        <family val="2"/>
      </rPr>
      <t>from SF17 final storage</t>
    </r>
    <r>
      <rPr>
        <sz val="10"/>
        <rFont val="Arial"/>
        <family val="2"/>
      </rPr>
      <t>)</t>
    </r>
  </si>
  <si>
    <t>UBCABOP</t>
  </si>
  <si>
    <t>CURRENT ACCOUNT BALANCE (BPM6 - BALANCE OF PAYMENTS STATISTICS)</t>
  </si>
  <si>
    <t>Consumption</t>
  </si>
  <si>
    <t>GFCF</t>
  </si>
  <si>
    <t>Change in inventories</t>
  </si>
  <si>
    <t>Belgium, Business Surveys, Bank of Belgium, Total, Overall Synthetic Curve, SA</t>
  </si>
  <si>
    <t>Belgium, Eurostat, Business Surveys, Eurostat, Sentiment Indicators, Economic Sentiment Indicator, SA</t>
  </si>
  <si>
    <t>Core HICP</t>
  </si>
  <si>
    <t>GFCF (yoy%) (lhs)</t>
  </si>
  <si>
    <t>CUR (rhs)</t>
  </si>
  <si>
    <t>GFCF equipment (yoy%)(lhs)</t>
  </si>
  <si>
    <t>from public finance forecast, sector sheet</t>
  </si>
  <si>
    <t>FPB 22/02/2018 + LT projections (2018)</t>
  </si>
  <si>
    <t>Check labour file, line 19</t>
  </si>
  <si>
    <t>Real GDP growth (lhs)</t>
  </si>
  <si>
    <t>ESI NBB</t>
  </si>
  <si>
    <t>ESI ECFIN</t>
  </si>
  <si>
    <t>SF2018 - first storage</t>
  </si>
  <si>
    <t>VVP1</t>
  </si>
  <si>
    <t>from private wages worksheet</t>
  </si>
  <si>
    <t>SF2018 -  TCE5</t>
  </si>
  <si>
    <t>SF2018 TCE5</t>
  </si>
  <si>
    <t>SF2018 - final storage FRI</t>
  </si>
  <si>
    <t>SF2018 - final storage</t>
  </si>
  <si>
    <t>Country: BE - Scale: Billions - Last update (server time): 2018.04.23 - 15:23:12</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</si>
</sst>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3" formatCode="_-* #,##0.00_-;\-* #,##0.00_-;_-* &quot;-&quot;??_-;_-@_-"/>
    <numFmt numFmtId="164" formatCode="0.0"/>
    <numFmt numFmtId="165" formatCode="0.0%"/>
    <numFmt numFmtId="166" formatCode="0.000"/>
    <numFmt numFmtId="167" formatCode="0.0000"/>
    <numFmt numFmtId="168" formatCode="0.0_)"/>
    <numFmt numFmtId="169" formatCode="0.0_);[Red]\-0.0_)"/>
    <numFmt numFmtId="170" formatCode="0.00_);[Red]\-0.00_)"/>
    <numFmt numFmtId="171" formatCode="#,##0.0"/>
    <numFmt numFmtId="172" formatCode="dd/mm/yyyy\ hh:mm:ss"/>
    <numFmt numFmtId="173" formatCode="0.000%"/>
    <numFmt numFmtId="174" formatCode="d\ mmm\ yyyy\ \-\ hh:mm"/>
    <numFmt numFmtId="175" formatCode="0.00_#"/>
    <numFmt numFmtId="176" formatCode="0.000000"/>
    <numFmt numFmtId="177" formatCode="0.00000"/>
    <numFmt numFmtId="178" formatCode="0.00000%"/>
    <numFmt numFmtId="179" formatCode="_-* #,##0.00\ _€_-;\-* #,##0.00\ _€_-;_-* &quot;-&quot;??\ _€_-;_-@_-"/>
    <numFmt numFmtId="180" formatCode="#,##0.00_ ;[Red]\-#,##0.00\ "/>
  </numFmts>
  <fonts count="19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indexed="9"/>
      <name val="Arial"/>
      <family val="2"/>
    </font>
    <font>
      <sz val="8"/>
      <name val="Arial"/>
      <family val="2"/>
    </font>
    <font>
      <b/>
      <sz val="8"/>
      <name val="Arial"/>
      <family val="2"/>
    </font>
    <font>
      <sz val="8"/>
      <name val="Tms Rmn"/>
    </font>
    <font>
      <b/>
      <sz val="11"/>
      <name val="Gentle Sans"/>
    </font>
    <font>
      <sz val="10"/>
      <color indexed="14"/>
      <name val="Arial MT"/>
    </font>
    <font>
      <sz val="10"/>
      <color indexed="8"/>
      <name val="Arial MT"/>
    </font>
    <font>
      <b/>
      <i/>
      <sz val="12"/>
      <name val="Gentle Sans"/>
    </font>
    <font>
      <u/>
      <sz val="10"/>
      <color indexed="20"/>
      <name val="Arial"/>
      <family val="2"/>
    </font>
    <font>
      <sz val="10"/>
      <name val="Helv"/>
    </font>
    <font>
      <u/>
      <sz val="7.5"/>
      <color indexed="12"/>
      <name val="Arial"/>
      <family val="2"/>
    </font>
    <font>
      <u/>
      <sz val="10"/>
      <color indexed="12"/>
      <name val="Arial"/>
      <family val="2"/>
    </font>
    <font>
      <b/>
      <sz val="10"/>
      <color indexed="8"/>
      <name val="Arial MT"/>
    </font>
    <font>
      <sz val="12"/>
      <name val="Arial CE"/>
      <family val="2"/>
      <charset val="238"/>
    </font>
    <font>
      <sz val="9"/>
      <name val="Times New Roman"/>
      <family val="1"/>
    </font>
    <font>
      <sz val="11"/>
      <name val="Tms Rmn"/>
    </font>
    <font>
      <i/>
      <sz val="12"/>
      <name val="Gentle Sans"/>
    </font>
    <font>
      <sz val="9"/>
      <name val="Gentle Sans"/>
    </font>
    <font>
      <sz val="9"/>
      <name val="Gentle Sans Light"/>
    </font>
    <font>
      <sz val="8"/>
      <name val="Helvetica"/>
      <family val="2"/>
    </font>
    <font>
      <sz val="10"/>
      <name val="Gentle Sans"/>
    </font>
    <font>
      <i/>
      <sz val="8"/>
      <name val="Tms Rmn"/>
    </font>
    <font>
      <b/>
      <sz val="14"/>
      <color indexed="8"/>
      <name val="CG Times (WN)"/>
    </font>
    <font>
      <b/>
      <sz val="8"/>
      <name val="Tms Rmn"/>
    </font>
    <font>
      <b/>
      <sz val="10"/>
      <color indexed="9"/>
      <name val="Arial MT"/>
    </font>
    <font>
      <sz val="10"/>
      <name val="New Baskerville"/>
    </font>
    <font>
      <sz val="10"/>
      <name val="Arial"/>
      <family val="2"/>
    </font>
    <font>
      <b/>
      <sz val="10"/>
      <color indexed="9"/>
      <name val="Arial"/>
      <family val="2"/>
    </font>
    <font>
      <b/>
      <sz val="10"/>
      <name val="Arial"/>
      <family val="2"/>
    </font>
    <font>
      <sz val="10"/>
      <color indexed="12"/>
      <name val="Arial"/>
      <family val="2"/>
    </font>
    <font>
      <b/>
      <sz val="10"/>
      <name val="Arial"/>
      <family val="2"/>
    </font>
    <font>
      <i/>
      <sz val="10"/>
      <name val="Arial"/>
      <family val="2"/>
    </font>
    <font>
      <sz val="10"/>
      <color indexed="8"/>
      <name val="Arial"/>
      <family val="2"/>
    </font>
    <font>
      <sz val="10"/>
      <name val="Arial MT"/>
    </font>
    <font>
      <sz val="9"/>
      <color indexed="8"/>
      <name val="Arial"/>
      <family val="2"/>
    </font>
    <font>
      <b/>
      <sz val="9"/>
      <color indexed="9"/>
      <name val="Arial"/>
      <family val="2"/>
    </font>
    <font>
      <b/>
      <sz val="9"/>
      <color indexed="8"/>
      <name val="Arial"/>
      <family val="2"/>
    </font>
    <font>
      <b/>
      <sz val="10"/>
      <color indexed="8"/>
      <name val="Arial"/>
      <family val="2"/>
    </font>
    <font>
      <b/>
      <sz val="10"/>
      <color indexed="8"/>
      <name val="Arial"/>
      <family val="2"/>
    </font>
    <font>
      <b/>
      <sz val="12"/>
      <color indexed="8"/>
      <name val="Arial"/>
      <family val="2"/>
    </font>
    <font>
      <sz val="8"/>
      <color indexed="8"/>
      <name val="Arial"/>
      <family val="2"/>
    </font>
    <font>
      <i/>
      <sz val="10"/>
      <color indexed="8"/>
      <name val="Arial"/>
      <family val="2"/>
    </font>
    <font>
      <sz val="12"/>
      <color indexed="8"/>
      <name val="Arial"/>
      <family val="2"/>
    </font>
    <font>
      <sz val="10"/>
      <color indexed="55"/>
      <name val="Arial"/>
      <family val="2"/>
    </font>
    <font>
      <sz val="10"/>
      <color indexed="11"/>
      <name val="Arial"/>
      <family val="2"/>
    </font>
    <font>
      <sz val="8"/>
      <color indexed="10"/>
      <name val="Arial"/>
      <family val="2"/>
    </font>
    <font>
      <b/>
      <sz val="8"/>
      <color indexed="8"/>
      <name val="Arial"/>
      <family val="2"/>
    </font>
    <font>
      <sz val="10"/>
      <color indexed="10"/>
      <name val="Arial"/>
      <family val="2"/>
    </font>
    <font>
      <b/>
      <i/>
      <sz val="10"/>
      <color indexed="8"/>
      <name val="Arial"/>
      <family val="2"/>
    </font>
    <font>
      <sz val="12"/>
      <name val="Arial"/>
      <family val="2"/>
    </font>
    <font>
      <i/>
      <sz val="8"/>
      <color indexed="8"/>
      <name val="Arial"/>
      <family val="2"/>
    </font>
    <font>
      <u/>
      <sz val="10"/>
      <color indexed="8"/>
      <name val="Arial"/>
      <family val="2"/>
    </font>
    <font>
      <sz val="7"/>
      <name val="Arial"/>
      <family val="2"/>
    </font>
    <font>
      <b/>
      <sz val="10"/>
      <color indexed="10"/>
      <name val="Arial"/>
      <family val="2"/>
    </font>
    <font>
      <sz val="8"/>
      <color indexed="81"/>
      <name val="Tahoma"/>
      <family val="2"/>
    </font>
    <font>
      <b/>
      <sz val="8"/>
      <color indexed="81"/>
      <name val="Tahoma"/>
      <family val="2"/>
    </font>
    <font>
      <b/>
      <i/>
      <sz val="8"/>
      <name val="Arial"/>
      <family val="2"/>
    </font>
    <font>
      <i/>
      <sz val="8"/>
      <name val="Arial"/>
      <family val="2"/>
    </font>
    <font>
      <sz val="8"/>
      <name val="Arial"/>
      <family val="2"/>
    </font>
    <font>
      <sz val="8"/>
      <color indexed="9"/>
      <name val="Arial"/>
      <family val="2"/>
    </font>
    <font>
      <b/>
      <sz val="10"/>
      <color indexed="62"/>
      <name val="Arial"/>
      <family val="2"/>
    </font>
    <font>
      <b/>
      <sz val="10"/>
      <color indexed="9"/>
      <name val="Arial"/>
      <family val="2"/>
    </font>
    <font>
      <b/>
      <sz val="8"/>
      <name val="Arial"/>
      <family val="2"/>
    </font>
    <font>
      <sz val="7"/>
      <color indexed="9"/>
      <name val="Arial"/>
      <family val="2"/>
    </font>
    <font>
      <b/>
      <i/>
      <sz val="12"/>
      <color indexed="9"/>
      <name val="Arial"/>
      <family val="2"/>
    </font>
    <font>
      <b/>
      <i/>
      <sz val="10"/>
      <name val="Arial"/>
      <family val="2"/>
    </font>
    <font>
      <b/>
      <sz val="8"/>
      <color indexed="10"/>
      <name val="Arial"/>
      <family val="2"/>
    </font>
    <font>
      <b/>
      <i/>
      <sz val="11"/>
      <color indexed="9"/>
      <name val="Arial"/>
      <family val="2"/>
    </font>
    <font>
      <sz val="10"/>
      <name val="Arial CE"/>
      <charset val="238"/>
    </font>
    <font>
      <sz val="10"/>
      <name val="Times New Roman CE"/>
      <charset val="238"/>
    </font>
    <font>
      <b/>
      <sz val="18"/>
      <name val="Arial CE"/>
      <charset val="238"/>
    </font>
    <font>
      <b/>
      <sz val="12"/>
      <name val="Arial CE"/>
      <charset val="238"/>
    </font>
    <font>
      <b/>
      <sz val="14"/>
      <name val="Arial"/>
      <family val="2"/>
    </font>
    <font>
      <i/>
      <sz val="12"/>
      <name val="Arial"/>
      <family val="2"/>
    </font>
    <font>
      <sz val="24"/>
      <name val="Arial"/>
      <family val="2"/>
    </font>
    <font>
      <b/>
      <sz val="12"/>
      <name val="Arial"/>
      <family val="2"/>
    </font>
    <font>
      <b/>
      <sz val="8"/>
      <color indexed="9"/>
      <name val="Arial"/>
      <family val="2"/>
    </font>
    <font>
      <sz val="10"/>
      <color indexed="9"/>
      <name val="Arial"/>
      <family val="2"/>
    </font>
    <font>
      <sz val="10"/>
      <name val="Arial"/>
      <family val="2"/>
    </font>
    <font>
      <b/>
      <sz val="10"/>
      <color indexed="9"/>
      <name val="Symbol"/>
      <family val="1"/>
      <charset val="2"/>
    </font>
    <font>
      <b/>
      <u/>
      <sz val="10"/>
      <name val="Arial"/>
      <family val="2"/>
    </font>
    <font>
      <b/>
      <sz val="14"/>
      <color indexed="9"/>
      <name val="Arial"/>
      <family val="2"/>
    </font>
    <font>
      <i/>
      <sz val="8"/>
      <color indexed="17"/>
      <name val="Arial"/>
      <family val="2"/>
    </font>
    <font>
      <b/>
      <i/>
      <sz val="8"/>
      <color indexed="17"/>
      <name val="Arial"/>
      <family val="2"/>
    </font>
    <font>
      <sz val="12"/>
      <color indexed="12"/>
      <name val="Arial"/>
      <family val="2"/>
    </font>
    <font>
      <b/>
      <sz val="12"/>
      <color indexed="10"/>
      <name val="Arial"/>
      <family val="2"/>
    </font>
    <font>
      <sz val="12"/>
      <color indexed="13"/>
      <name val="Arial"/>
      <family val="2"/>
    </font>
    <font>
      <u/>
      <sz val="8"/>
      <color indexed="81"/>
      <name val="Tahoma"/>
      <family val="2"/>
    </font>
    <font>
      <b/>
      <sz val="8"/>
      <color indexed="10"/>
      <name val="Tahoma"/>
      <family val="2"/>
    </font>
    <font>
      <sz val="10"/>
      <color indexed="8"/>
      <name val="Arial"/>
      <family val="2"/>
    </font>
    <font>
      <sz val="10"/>
      <name val="Arial"/>
      <family val="2"/>
    </font>
    <font>
      <sz val="9"/>
      <name val="Arial"/>
      <family val="2"/>
    </font>
    <font>
      <sz val="11"/>
      <name val="Arial"/>
      <family val="2"/>
    </font>
    <font>
      <b/>
      <sz val="11"/>
      <name val="Arial"/>
      <family val="2"/>
    </font>
    <font>
      <b/>
      <sz val="11"/>
      <color indexed="10"/>
      <name val="Arial"/>
      <family val="2"/>
    </font>
    <font>
      <b/>
      <i/>
      <sz val="11"/>
      <name val="Arial"/>
      <family val="2"/>
    </font>
    <font>
      <b/>
      <sz val="11"/>
      <color indexed="10"/>
      <name val="Arial"/>
      <family val="2"/>
    </font>
    <font>
      <u/>
      <sz val="11"/>
      <name val="Arial"/>
      <family val="2"/>
    </font>
    <font>
      <b/>
      <sz val="11"/>
      <name val="Arial"/>
      <family val="2"/>
    </font>
    <font>
      <sz val="11"/>
      <name val="Arial"/>
      <family val="2"/>
    </font>
    <font>
      <sz val="10"/>
      <name val="Arial"/>
      <family val="2"/>
    </font>
    <font>
      <sz val="11"/>
      <color indexed="9"/>
      <name val="Arial"/>
      <family val="2"/>
    </font>
    <font>
      <b/>
      <i/>
      <sz val="14"/>
      <color indexed="9"/>
      <name val="Arial"/>
      <family val="2"/>
    </font>
    <font>
      <b/>
      <i/>
      <sz val="10"/>
      <color indexed="9"/>
      <name val="Arial"/>
      <family val="2"/>
    </font>
    <font>
      <b/>
      <sz val="10"/>
      <color indexed="10"/>
      <name val="Arial"/>
      <family val="2"/>
    </font>
    <font>
      <b/>
      <sz val="10"/>
      <color indexed="12"/>
      <name val="Arial"/>
      <family val="2"/>
    </font>
    <font>
      <b/>
      <i/>
      <sz val="12"/>
      <color indexed="13"/>
      <name val="Arial"/>
      <family val="2"/>
    </font>
    <font>
      <b/>
      <sz val="12"/>
      <color indexed="9"/>
      <name val="Arial"/>
      <family val="2"/>
    </font>
    <font>
      <sz val="12"/>
      <color indexed="9"/>
      <name val="Arial"/>
      <family val="2"/>
    </font>
    <font>
      <b/>
      <u/>
      <sz val="12"/>
      <color indexed="9"/>
      <name val="Arial"/>
      <family val="2"/>
    </font>
    <font>
      <b/>
      <sz val="9"/>
      <name val="Arial"/>
      <family val="2"/>
    </font>
    <font>
      <sz val="8"/>
      <color indexed="9"/>
      <name val="Arial"/>
      <family val="2"/>
    </font>
    <font>
      <i/>
      <sz val="10"/>
      <color indexed="12"/>
      <name val="Arial"/>
      <family val="2"/>
    </font>
    <font>
      <sz val="8"/>
      <color indexed="12"/>
      <name val="Arial"/>
      <family val="2"/>
    </font>
    <font>
      <i/>
      <sz val="8"/>
      <color indexed="12"/>
      <name val="Arial"/>
      <family val="2"/>
    </font>
    <font>
      <b/>
      <sz val="8"/>
      <color indexed="12"/>
      <name val="Arial"/>
      <family val="2"/>
    </font>
    <font>
      <b/>
      <i/>
      <sz val="8"/>
      <color indexed="8"/>
      <name val="Arial"/>
      <family val="2"/>
    </font>
    <font>
      <sz val="10"/>
      <color indexed="48"/>
      <name val="Arial"/>
      <family val="2"/>
    </font>
    <font>
      <sz val="9"/>
      <color indexed="81"/>
      <name val="Tahoma"/>
      <family val="2"/>
    </font>
    <font>
      <b/>
      <sz val="9"/>
      <color indexed="81"/>
      <name val="Tahoma"/>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sz val="11"/>
      <color indexed="8"/>
      <name val="Calibri"/>
      <family val="2"/>
    </font>
    <font>
      <b/>
      <u/>
      <sz val="10"/>
      <color indexed="10"/>
      <name val="Arial"/>
      <family val="2"/>
    </font>
    <font>
      <i/>
      <sz val="9"/>
      <name val="Arial"/>
      <family val="2"/>
    </font>
    <font>
      <b/>
      <sz val="6"/>
      <name val="Arial"/>
      <family val="2"/>
    </font>
    <font>
      <b/>
      <i/>
      <sz val="8"/>
      <color indexed="10"/>
      <name val="Arial"/>
      <family val="2"/>
    </font>
    <font>
      <sz val="11"/>
      <color indexed="8"/>
      <name val="Calibri"/>
      <family val="2"/>
    </font>
    <font>
      <sz val="10"/>
      <name val="Arial"/>
      <family val="2"/>
    </font>
    <font>
      <i/>
      <sz val="10"/>
      <color indexed="10"/>
      <name val="Arial"/>
      <family val="2"/>
    </font>
    <font>
      <b/>
      <sz val="10"/>
      <color indexed="10"/>
      <name val="Arial"/>
      <family val="2"/>
    </font>
    <font>
      <sz val="10"/>
      <color theme="1"/>
      <name val="Arial"/>
      <family val="2"/>
    </font>
    <font>
      <sz val="11"/>
      <color theme="1"/>
      <name val="Calibri"/>
      <family val="2"/>
      <scheme val="minor"/>
    </font>
    <font>
      <b/>
      <sz val="12"/>
      <color rgb="FF000000"/>
      <name val="Arial"/>
      <family val="2"/>
    </font>
    <font>
      <sz val="10"/>
      <color rgb="FF000000"/>
      <name val="Arial"/>
      <family val="2"/>
    </font>
    <font>
      <b/>
      <sz val="10"/>
      <color rgb="FFFF0000"/>
      <name val="Arial"/>
      <family val="2"/>
    </font>
    <font>
      <b/>
      <i/>
      <sz val="10"/>
      <color rgb="FF0070C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Arial"/>
      <family val="2"/>
    </font>
    <font>
      <sz val="12"/>
      <color theme="3"/>
      <name val="Arial"/>
      <family val="2"/>
    </font>
    <font>
      <sz val="10"/>
      <color rgb="FFFF0000"/>
      <name val="Arial"/>
      <family val="2"/>
    </font>
    <font>
      <sz val="10"/>
      <color theme="1"/>
      <name val="Calibri"/>
      <family val="2"/>
      <scheme val="minor"/>
    </font>
    <font>
      <b/>
      <sz val="12"/>
      <color rgb="FFFF0000"/>
      <name val="Arial"/>
      <family val="2"/>
    </font>
    <font>
      <sz val="11"/>
      <name val="Calibri"/>
      <family val="2"/>
      <scheme val="minor"/>
    </font>
    <font>
      <sz val="10"/>
      <color theme="0"/>
      <name val="Arial"/>
      <family val="2"/>
    </font>
    <font>
      <u/>
      <sz val="11"/>
      <color theme="10"/>
      <name val="Calibri"/>
      <family val="2"/>
      <scheme val="minor"/>
    </font>
    <font>
      <sz val="18"/>
      <color theme="3"/>
      <name val="Cambria"/>
      <family val="2"/>
      <scheme val="major"/>
    </font>
  </fonts>
  <fills count="11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19"/>
      </patternFill>
    </fill>
    <fill>
      <patternFill patternType="solid">
        <fgColor indexed="13"/>
      </patternFill>
    </fill>
    <fill>
      <patternFill patternType="solid">
        <fgColor indexed="26"/>
      </patternFill>
    </fill>
    <fill>
      <patternFill patternType="solid">
        <fgColor indexed="9"/>
      </patternFill>
    </fill>
    <fill>
      <patternFill patternType="solid">
        <fgColor indexed="48"/>
        <bgColor indexed="64"/>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30"/>
        <bgColor indexed="64"/>
      </patternFill>
    </fill>
    <fill>
      <patternFill patternType="solid">
        <fgColor indexed="65"/>
        <bgColor indexed="44"/>
      </patternFill>
    </fill>
    <fill>
      <patternFill patternType="lightUp">
        <fgColor indexed="41"/>
        <bgColor indexed="30"/>
      </patternFill>
    </fill>
    <fill>
      <patternFill patternType="solid">
        <fgColor indexed="41"/>
        <bgColor indexed="64"/>
      </patternFill>
    </fill>
    <fill>
      <patternFill patternType="solid">
        <fgColor indexed="31"/>
        <bgColor indexed="64"/>
      </patternFill>
    </fill>
    <fill>
      <patternFill patternType="solid">
        <fgColor indexed="42"/>
        <bgColor indexed="64"/>
      </patternFill>
    </fill>
    <fill>
      <patternFill patternType="solid">
        <fgColor indexed="31"/>
        <bgColor indexed="12"/>
      </patternFill>
    </fill>
    <fill>
      <patternFill patternType="solid">
        <fgColor indexed="45"/>
        <bgColor indexed="64"/>
      </patternFill>
    </fill>
    <fill>
      <patternFill patternType="solid">
        <fgColor indexed="43"/>
        <bgColor indexed="44"/>
      </patternFill>
    </fill>
    <fill>
      <patternFill patternType="solid">
        <fgColor indexed="51"/>
        <bgColor indexed="44"/>
      </patternFill>
    </fill>
    <fill>
      <patternFill patternType="solid">
        <fgColor indexed="62"/>
        <bgColor indexed="64"/>
      </patternFill>
    </fill>
    <fill>
      <patternFill patternType="gray125">
        <bgColor indexed="41"/>
      </patternFill>
    </fill>
    <fill>
      <patternFill patternType="gray125">
        <bgColor indexed="42"/>
      </patternFill>
    </fill>
    <fill>
      <patternFill patternType="solid">
        <fgColor indexed="65"/>
        <bgColor indexed="64"/>
      </patternFill>
    </fill>
    <fill>
      <patternFill patternType="gray125">
        <bgColor indexed="31"/>
      </patternFill>
    </fill>
    <fill>
      <patternFill patternType="solid">
        <fgColor indexed="47"/>
        <bgColor indexed="64"/>
      </patternFill>
    </fill>
    <fill>
      <patternFill patternType="gray125">
        <bgColor indexed="44"/>
      </patternFill>
    </fill>
    <fill>
      <patternFill patternType="gray125">
        <bgColor indexed="22"/>
      </patternFill>
    </fill>
    <fill>
      <patternFill patternType="solid">
        <fgColor indexed="51"/>
        <bgColor indexed="64"/>
      </patternFill>
    </fill>
    <fill>
      <patternFill patternType="solid">
        <fgColor indexed="31"/>
        <bgColor indexed="44"/>
      </patternFill>
    </fill>
    <fill>
      <patternFill patternType="solid">
        <fgColor indexed="22"/>
        <bgColor indexed="42"/>
      </patternFill>
    </fill>
    <fill>
      <patternFill patternType="gray125">
        <bgColor indexed="43"/>
      </patternFill>
    </fill>
    <fill>
      <patternFill patternType="solid">
        <fgColor indexed="31"/>
        <bgColor indexed="8"/>
      </patternFill>
    </fill>
    <fill>
      <patternFill patternType="solid">
        <fgColor indexed="14"/>
        <bgColor indexed="64"/>
      </patternFill>
    </fill>
    <fill>
      <patternFill patternType="solid">
        <fgColor indexed="13"/>
        <bgColor indexed="64"/>
      </patternFill>
    </fill>
    <fill>
      <patternFill patternType="solid">
        <fgColor indexed="52"/>
        <bgColor indexed="64"/>
      </patternFill>
    </fill>
    <fill>
      <patternFill patternType="solid">
        <fgColor indexed="46"/>
        <bgColor indexed="64"/>
      </patternFill>
    </fill>
    <fill>
      <patternFill patternType="solid">
        <fgColor indexed="53"/>
        <bgColor indexed="64"/>
      </patternFill>
    </fill>
    <fill>
      <patternFill patternType="solid">
        <fgColor rgb="FFFFFFCC"/>
      </patternFill>
    </fill>
    <fill>
      <patternFill patternType="solid">
        <fgColor rgb="FFFFFF00"/>
        <bgColor indexed="64"/>
      </patternFill>
    </fill>
    <fill>
      <patternFill patternType="gray0625"/>
    </fill>
    <fill>
      <patternFill patternType="gray0625">
        <bgColor indexed="44"/>
      </patternFill>
    </fill>
    <fill>
      <patternFill patternType="gray0625">
        <bgColor indexed="31"/>
      </patternFill>
    </fill>
    <fill>
      <patternFill patternType="gray0625">
        <bgColor indexed="43"/>
      </patternFill>
    </fill>
    <fill>
      <patternFill patternType="gray0625">
        <bgColor indexed="42"/>
      </patternFill>
    </fill>
    <fill>
      <patternFill patternType="gray0625">
        <bgColor indexed="22"/>
      </patternFill>
    </fill>
    <fill>
      <patternFill patternType="gray0625">
        <bgColor indexed="13"/>
      </patternFill>
    </fill>
    <fill>
      <patternFill patternType="gray0625">
        <bgColor indexed="41"/>
      </patternFill>
    </fill>
    <fill>
      <patternFill patternType="gray0625">
        <bgColor theme="0" tint="-0.249977111117893"/>
      </patternFill>
    </fill>
    <fill>
      <patternFill patternType="gray0625">
        <bgColor rgb="FFFFFF00"/>
      </patternFill>
    </fill>
    <fill>
      <patternFill patternType="gray0625">
        <bgColor rgb="FFFFFF99"/>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0"/>
        <bgColor indexed="64"/>
      </patternFill>
    </fill>
    <fill>
      <patternFill patternType="solid">
        <fgColor rgb="FF00B0F0"/>
        <bgColor indexed="64"/>
      </patternFill>
    </fill>
    <fill>
      <patternFill patternType="solid">
        <fgColor theme="8"/>
        <bgColor indexed="64"/>
      </patternFill>
    </fill>
    <fill>
      <patternFill patternType="solid">
        <fgColor rgb="FF92D050"/>
        <bgColor indexed="64"/>
      </patternFill>
    </fill>
    <fill>
      <patternFill patternType="solid">
        <fgColor theme="9" tint="-0.249977111117893"/>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rgb="FF00B050"/>
        <bgColor indexed="64"/>
      </patternFill>
    </fill>
    <fill>
      <patternFill patternType="solid">
        <fgColor rgb="FF99FF99"/>
        <bgColor indexed="64"/>
      </patternFill>
    </fill>
    <fill>
      <patternFill patternType="solid">
        <fgColor rgb="FFFF0000"/>
        <bgColor indexed="64"/>
      </patternFill>
    </fill>
  </fills>
  <borders count="195">
    <border>
      <left/>
      <right/>
      <top/>
      <bottom/>
      <diagonal/>
    </border>
    <border>
      <left style="thin">
        <color indexed="23"/>
      </left>
      <right style="thin">
        <color indexed="23"/>
      </right>
      <top style="thin">
        <color indexed="23"/>
      </top>
      <bottom style="thin">
        <color indexed="23"/>
      </bottom>
      <diagonal/>
    </border>
    <border>
      <left/>
      <right/>
      <top style="double">
        <color indexed="8"/>
      </top>
      <bottom/>
      <diagonal/>
    </border>
    <border>
      <left style="double">
        <color indexed="63"/>
      </left>
      <right style="double">
        <color indexed="63"/>
      </right>
      <top style="double">
        <color indexed="63"/>
      </top>
      <bottom style="double">
        <color indexed="63"/>
      </bottom>
      <diagonal/>
    </border>
    <border>
      <left style="thin">
        <color indexed="64"/>
      </left>
      <right/>
      <top/>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right/>
      <top/>
      <bottom style="thin">
        <color indexed="8"/>
      </bottom>
      <diagonal/>
    </border>
    <border>
      <left/>
      <right/>
      <top style="thin">
        <color indexed="62"/>
      </top>
      <bottom style="double">
        <color indexed="62"/>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style="medium">
        <color indexed="64"/>
      </right>
      <top style="thin">
        <color indexed="64"/>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top style="thin">
        <color indexed="64"/>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diagonal/>
    </border>
    <border>
      <left/>
      <right style="medium">
        <color indexed="64"/>
      </right>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style="thin">
        <color indexed="44"/>
      </left>
      <right style="thin">
        <color indexed="44"/>
      </right>
      <top style="thin">
        <color indexed="44"/>
      </top>
      <bottom/>
      <diagonal/>
    </border>
    <border>
      <left style="thin">
        <color indexed="12"/>
      </left>
      <right/>
      <top style="thin">
        <color indexed="12"/>
      </top>
      <bottom/>
      <diagonal/>
    </border>
    <border>
      <left style="thin">
        <color indexed="12"/>
      </left>
      <right style="thin">
        <color indexed="12"/>
      </right>
      <top style="thin">
        <color indexed="12"/>
      </top>
      <bottom/>
      <diagonal/>
    </border>
    <border>
      <left style="thin">
        <color indexed="12"/>
      </left>
      <right style="thin">
        <color indexed="12"/>
      </right>
      <top/>
      <bottom/>
      <diagonal/>
    </border>
    <border>
      <left style="thin">
        <color indexed="12"/>
      </left>
      <right/>
      <top/>
      <bottom/>
      <diagonal/>
    </border>
    <border>
      <left/>
      <right style="thin">
        <color indexed="12"/>
      </right>
      <top/>
      <bottom/>
      <diagonal/>
    </border>
    <border>
      <left style="medium">
        <color indexed="12"/>
      </left>
      <right style="medium">
        <color indexed="12"/>
      </right>
      <top/>
      <bottom/>
      <diagonal/>
    </border>
    <border>
      <left style="medium">
        <color indexed="12"/>
      </left>
      <right style="medium">
        <color indexed="12"/>
      </right>
      <top/>
      <bottom style="medium">
        <color indexed="12"/>
      </bottom>
      <diagonal/>
    </border>
    <border>
      <left/>
      <right/>
      <top/>
      <bottom style="thin">
        <color indexed="12"/>
      </bottom>
      <diagonal/>
    </border>
    <border>
      <left/>
      <right/>
      <top style="thin">
        <color indexed="12"/>
      </top>
      <bottom style="thin">
        <color indexed="12"/>
      </bottom>
      <diagonal/>
    </border>
    <border>
      <left style="medium">
        <color indexed="12"/>
      </left>
      <right style="medium">
        <color indexed="12"/>
      </right>
      <top style="medium">
        <color indexed="12"/>
      </top>
      <bottom/>
      <diagonal/>
    </border>
    <border>
      <left style="thin">
        <color indexed="12"/>
      </left>
      <right style="thin">
        <color indexed="12"/>
      </right>
      <top/>
      <bottom style="thin">
        <color indexed="12"/>
      </bottom>
      <diagonal/>
    </border>
    <border>
      <left style="thin">
        <color indexed="12"/>
      </left>
      <right style="thin">
        <color indexed="12"/>
      </right>
      <top style="thin">
        <color indexed="12"/>
      </top>
      <bottom style="thin">
        <color indexed="12"/>
      </bottom>
      <diagonal/>
    </border>
    <border>
      <left/>
      <right/>
      <top style="thin">
        <color indexed="12"/>
      </top>
      <bottom/>
      <diagonal/>
    </border>
    <border>
      <left style="thin">
        <color indexed="12"/>
      </left>
      <right/>
      <top/>
      <bottom style="thin">
        <color indexed="12"/>
      </bottom>
      <diagonal/>
    </border>
    <border>
      <left style="thin">
        <color indexed="12"/>
      </left>
      <right/>
      <top style="thin">
        <color indexed="12"/>
      </top>
      <bottom style="thin">
        <color indexed="12"/>
      </bottom>
      <diagonal/>
    </border>
    <border>
      <left style="thin">
        <color indexed="17"/>
      </left>
      <right/>
      <top style="thin">
        <color indexed="17"/>
      </top>
      <bottom/>
      <diagonal/>
    </border>
    <border>
      <left/>
      <right/>
      <top style="thin">
        <color indexed="17"/>
      </top>
      <bottom/>
      <diagonal/>
    </border>
    <border>
      <left style="thin">
        <color indexed="17"/>
      </left>
      <right/>
      <top/>
      <bottom style="thin">
        <color indexed="17"/>
      </bottom>
      <diagonal/>
    </border>
    <border>
      <left/>
      <right/>
      <top/>
      <bottom style="thin">
        <color indexed="17"/>
      </bottom>
      <diagonal/>
    </border>
    <border>
      <left style="thin">
        <color indexed="57"/>
      </left>
      <right/>
      <top/>
      <bottom/>
      <diagonal/>
    </border>
    <border>
      <left style="thin">
        <color indexed="57"/>
      </left>
      <right/>
      <top style="thin">
        <color indexed="57"/>
      </top>
      <bottom style="thin">
        <color indexed="57"/>
      </bottom>
      <diagonal/>
    </border>
    <border>
      <left/>
      <right/>
      <top style="thin">
        <color indexed="57"/>
      </top>
      <bottom style="thin">
        <color indexed="57"/>
      </bottom>
      <diagonal/>
    </border>
    <border>
      <left style="thin">
        <color indexed="57"/>
      </left>
      <right/>
      <top style="thin">
        <color indexed="57"/>
      </top>
      <bottom/>
      <diagonal/>
    </border>
    <border>
      <left/>
      <right/>
      <top style="thin">
        <color indexed="57"/>
      </top>
      <bottom/>
      <diagonal/>
    </border>
    <border>
      <left style="thin">
        <color indexed="17"/>
      </left>
      <right/>
      <top style="thin">
        <color indexed="17"/>
      </top>
      <bottom style="thin">
        <color indexed="17"/>
      </bottom>
      <diagonal/>
    </border>
    <border>
      <left/>
      <right/>
      <top style="thin">
        <color indexed="17"/>
      </top>
      <bottom style="thin">
        <color indexed="17"/>
      </bottom>
      <diagonal/>
    </border>
    <border>
      <left style="thin">
        <color indexed="17"/>
      </left>
      <right/>
      <top/>
      <bottom/>
      <diagonal/>
    </border>
    <border>
      <left style="thin">
        <color indexed="8"/>
      </left>
      <right/>
      <top style="thin">
        <color indexed="8"/>
      </top>
      <bottom/>
      <diagonal/>
    </border>
    <border>
      <left/>
      <right/>
      <top style="thin">
        <color indexed="8"/>
      </top>
      <bottom/>
      <diagonal/>
    </border>
    <border>
      <left style="thin">
        <color indexed="8"/>
      </left>
      <right/>
      <top/>
      <bottom style="thin">
        <color indexed="8"/>
      </bottom>
      <diagonal/>
    </border>
    <border>
      <left style="thin">
        <color indexed="57"/>
      </left>
      <right/>
      <top/>
      <bottom style="thin">
        <color indexed="17"/>
      </bottom>
      <diagonal/>
    </border>
    <border>
      <left style="thin">
        <color indexed="8"/>
      </left>
      <right/>
      <top/>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12"/>
      </right>
      <top/>
      <bottom style="thin">
        <color indexed="12"/>
      </bottom>
      <diagonal/>
    </border>
    <border>
      <left/>
      <right style="thin">
        <color indexed="12"/>
      </right>
      <top style="thin">
        <color indexed="12"/>
      </top>
      <bottom/>
      <diagonal/>
    </border>
    <border>
      <left style="thin">
        <color indexed="41"/>
      </left>
      <right style="thin">
        <color indexed="41"/>
      </right>
      <top style="thin">
        <color indexed="41"/>
      </top>
      <bottom style="thin">
        <color indexed="12"/>
      </bottom>
      <diagonal/>
    </border>
    <border>
      <left style="thin">
        <color indexed="41"/>
      </left>
      <right style="thin">
        <color indexed="41"/>
      </right>
      <top style="thin">
        <color indexed="41"/>
      </top>
      <bottom/>
      <diagonal/>
    </border>
    <border>
      <left style="thin">
        <color indexed="12"/>
      </left>
      <right style="thin">
        <color indexed="41"/>
      </right>
      <top style="thin">
        <color indexed="41"/>
      </top>
      <bottom style="thin">
        <color indexed="12"/>
      </bottom>
      <diagonal/>
    </border>
    <border>
      <left style="thin">
        <color indexed="12"/>
      </left>
      <right style="thin">
        <color indexed="41"/>
      </right>
      <top style="thin">
        <color indexed="41"/>
      </top>
      <bottom/>
      <diagonal/>
    </border>
    <border>
      <left/>
      <right style="thin">
        <color indexed="12"/>
      </right>
      <top style="thin">
        <color indexed="12"/>
      </top>
      <bottom style="thin">
        <color indexed="12"/>
      </bottom>
      <diagonal/>
    </border>
    <border>
      <left style="thin">
        <color indexed="48"/>
      </left>
      <right/>
      <top style="thin">
        <color indexed="48"/>
      </top>
      <bottom/>
      <diagonal/>
    </border>
    <border>
      <left/>
      <right/>
      <top style="thin">
        <color indexed="48"/>
      </top>
      <bottom/>
      <diagonal/>
    </border>
    <border>
      <left style="thin">
        <color indexed="48"/>
      </left>
      <right/>
      <top/>
      <bottom style="thin">
        <color indexed="48"/>
      </bottom>
      <diagonal/>
    </border>
    <border>
      <left/>
      <right/>
      <top/>
      <bottom style="thin">
        <color indexed="48"/>
      </bottom>
      <diagonal/>
    </border>
    <border>
      <left style="medium">
        <color indexed="64"/>
      </left>
      <right/>
      <top/>
      <bottom style="hair">
        <color indexed="64"/>
      </bottom>
      <diagonal/>
    </border>
    <border>
      <left/>
      <right style="medium">
        <color indexed="64"/>
      </right>
      <top/>
      <bottom style="hair">
        <color indexed="64"/>
      </bottom>
      <diagonal/>
    </border>
    <border>
      <left style="medium">
        <color indexed="64"/>
      </left>
      <right style="medium">
        <color indexed="64"/>
      </right>
      <top/>
      <bottom style="hair">
        <color indexed="64"/>
      </bottom>
      <diagonal/>
    </border>
    <border>
      <left/>
      <right/>
      <top/>
      <bottom style="hair">
        <color indexed="64"/>
      </bottom>
      <diagonal/>
    </border>
    <border>
      <left/>
      <right style="thin">
        <color indexed="17"/>
      </right>
      <top/>
      <bottom style="thin">
        <color indexed="57"/>
      </bottom>
      <diagonal/>
    </border>
    <border>
      <left style="thin">
        <color indexed="17"/>
      </left>
      <right/>
      <top/>
      <bottom style="thin">
        <color indexed="57"/>
      </bottom>
      <diagonal/>
    </border>
    <border>
      <left style="thin">
        <color indexed="8"/>
      </left>
      <right/>
      <top/>
      <bottom style="thin">
        <color indexed="64"/>
      </bottom>
      <diagonal/>
    </border>
    <border>
      <left/>
      <right style="thin">
        <color indexed="57"/>
      </right>
      <top/>
      <bottom/>
      <diagonal/>
    </border>
    <border>
      <left style="thin">
        <color indexed="57"/>
      </left>
      <right/>
      <top/>
      <bottom style="thin">
        <color indexed="57"/>
      </bottom>
      <diagonal/>
    </border>
    <border>
      <left/>
      <right style="thin">
        <color indexed="17"/>
      </right>
      <top style="thin">
        <color indexed="17"/>
      </top>
      <bottom style="thin">
        <color indexed="17"/>
      </bottom>
      <diagonal/>
    </border>
    <border>
      <left/>
      <right/>
      <top/>
      <bottom style="thin">
        <color indexed="57"/>
      </bottom>
      <diagonal/>
    </border>
    <border>
      <left style="thin">
        <color indexed="17"/>
      </left>
      <right style="thin">
        <color indexed="17"/>
      </right>
      <top style="thin">
        <color indexed="17"/>
      </top>
      <bottom style="thin">
        <color indexed="17"/>
      </bottom>
      <diagonal/>
    </border>
    <border>
      <left style="thin">
        <color indexed="17"/>
      </left>
      <right style="thin">
        <color indexed="17"/>
      </right>
      <top/>
      <bottom style="thin">
        <color indexed="17"/>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diagonal/>
    </border>
    <border>
      <left/>
      <right style="thin">
        <color indexed="9"/>
      </right>
      <top/>
      <bottom/>
      <diagonal/>
    </border>
    <border>
      <left style="medium">
        <color indexed="10"/>
      </left>
      <right style="medium">
        <color indexed="10"/>
      </right>
      <top style="medium">
        <color indexed="10"/>
      </top>
      <bottom style="medium">
        <color indexed="10"/>
      </bottom>
      <diagonal/>
    </border>
    <border>
      <left/>
      <right style="medium">
        <color indexed="64"/>
      </right>
      <top style="medium">
        <color indexed="64"/>
      </top>
      <bottom style="thin">
        <color indexed="64"/>
      </bottom>
      <diagonal/>
    </border>
    <border>
      <left style="thin">
        <color indexed="12"/>
      </left>
      <right/>
      <top style="thin">
        <color indexed="12"/>
      </top>
      <bottom style="dashed">
        <color indexed="12"/>
      </bottom>
      <diagonal/>
    </border>
    <border>
      <left/>
      <right/>
      <top style="thin">
        <color indexed="12"/>
      </top>
      <bottom style="dashed">
        <color indexed="12"/>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style="medium">
        <color indexed="64"/>
      </left>
      <right style="medium">
        <color indexed="64"/>
      </right>
      <top style="medium">
        <color indexed="64"/>
      </top>
      <bottom style="medium">
        <color indexed="64"/>
      </bottom>
      <diagonal/>
    </border>
    <border>
      <left style="thin">
        <color indexed="17"/>
      </left>
      <right/>
      <top/>
      <bottom style="thin">
        <color indexed="64"/>
      </bottom>
      <diagonal/>
    </border>
    <border>
      <left style="thin">
        <color indexed="17"/>
      </left>
      <right/>
      <top style="thin">
        <color indexed="64"/>
      </top>
      <bottom style="thin">
        <color indexed="17"/>
      </bottom>
      <diagonal/>
    </border>
    <border>
      <left/>
      <right/>
      <top style="thin">
        <color indexed="64"/>
      </top>
      <bottom style="thin">
        <color indexed="17"/>
      </bottom>
      <diagonal/>
    </border>
    <border>
      <left style="thin">
        <color indexed="12"/>
      </left>
      <right/>
      <top/>
      <bottom style="dashed">
        <color indexed="12"/>
      </bottom>
      <diagonal/>
    </border>
    <border>
      <left/>
      <right/>
      <top/>
      <bottom style="dashed">
        <color indexed="12"/>
      </bottom>
      <diagonal/>
    </border>
    <border>
      <left style="thin">
        <color indexed="41"/>
      </left>
      <right/>
      <top style="thin">
        <color indexed="12"/>
      </top>
      <bottom style="thin">
        <color indexed="41"/>
      </bottom>
      <diagonal/>
    </border>
    <border>
      <left/>
      <right/>
      <top style="thin">
        <color indexed="12"/>
      </top>
      <bottom style="thin">
        <color indexed="41"/>
      </bottom>
      <diagonal/>
    </border>
    <border>
      <left/>
      <right style="thin">
        <color indexed="41"/>
      </right>
      <top style="thin">
        <color indexed="12"/>
      </top>
      <bottom style="thin">
        <color indexed="41"/>
      </bottom>
      <diagonal/>
    </border>
    <border>
      <left style="thin">
        <color indexed="41"/>
      </left>
      <right/>
      <top style="thin">
        <color indexed="41"/>
      </top>
      <bottom style="thin">
        <color indexed="41"/>
      </bottom>
      <diagonal/>
    </border>
    <border>
      <left/>
      <right/>
      <top style="thin">
        <color indexed="41"/>
      </top>
      <bottom style="thin">
        <color indexed="41"/>
      </bottom>
      <diagonal/>
    </border>
    <border>
      <left/>
      <right style="thin">
        <color indexed="41"/>
      </right>
      <top style="thin">
        <color indexed="41"/>
      </top>
      <bottom style="thin">
        <color indexed="41"/>
      </bottom>
      <diagonal/>
    </border>
    <border>
      <left/>
      <right/>
      <top/>
      <bottom style="thin">
        <color indexed="41"/>
      </bottom>
      <diagonal/>
    </border>
    <border>
      <left/>
      <right style="thin">
        <color indexed="41"/>
      </right>
      <top/>
      <bottom style="thin">
        <color indexed="41"/>
      </bottom>
      <diagonal/>
    </border>
    <border>
      <left style="thin">
        <color indexed="41"/>
      </left>
      <right/>
      <top style="thin">
        <color indexed="41"/>
      </top>
      <bottom/>
      <diagonal/>
    </border>
    <border>
      <left/>
      <right/>
      <top style="thin">
        <color indexed="41"/>
      </top>
      <bottom/>
      <diagonal/>
    </border>
    <border>
      <left/>
      <right style="thin">
        <color indexed="41"/>
      </right>
      <top style="thin">
        <color indexed="41"/>
      </top>
      <bottom/>
      <diagonal/>
    </border>
    <border>
      <left style="thin">
        <color indexed="41"/>
      </left>
      <right style="thin">
        <color indexed="41"/>
      </right>
      <top style="thin">
        <color indexed="12"/>
      </top>
      <bottom style="thin">
        <color indexed="41"/>
      </bottom>
      <diagonal/>
    </border>
    <border>
      <left style="thin">
        <color indexed="12"/>
      </left>
      <right style="thin">
        <color indexed="41"/>
      </right>
      <top style="thin">
        <color indexed="12"/>
      </top>
      <bottom style="thin">
        <color indexed="41"/>
      </bottom>
      <diagonal/>
    </border>
    <border>
      <left/>
      <right style="thin">
        <color indexed="41"/>
      </right>
      <top/>
      <bottom/>
      <diagonal/>
    </border>
    <border>
      <left/>
      <right style="thin">
        <color indexed="41"/>
      </right>
      <top/>
      <bottom style="thin">
        <color indexed="12"/>
      </bottom>
      <diagonal/>
    </border>
    <border>
      <left style="thin">
        <color indexed="44"/>
      </left>
      <right/>
      <top style="thin">
        <color indexed="44"/>
      </top>
      <bottom style="thin">
        <color indexed="12"/>
      </bottom>
      <diagonal/>
    </border>
    <border>
      <left/>
      <right/>
      <top style="thin">
        <color indexed="44"/>
      </top>
      <bottom style="thin">
        <color indexed="12"/>
      </bottom>
      <diagonal/>
    </border>
    <border>
      <left/>
      <right style="thin">
        <color indexed="44"/>
      </right>
      <top style="thin">
        <color indexed="44"/>
      </top>
      <bottom style="thin">
        <color indexed="12"/>
      </bottom>
      <diagonal/>
    </border>
    <border>
      <left style="thin">
        <color indexed="44"/>
      </left>
      <right/>
      <top style="thin">
        <color indexed="44"/>
      </top>
      <bottom/>
      <diagonal/>
    </border>
    <border>
      <left/>
      <right/>
      <top style="thin">
        <color indexed="44"/>
      </top>
      <bottom/>
      <diagonal/>
    </border>
    <border>
      <left/>
      <right style="thin">
        <color indexed="44"/>
      </right>
      <top style="thin">
        <color indexed="44"/>
      </top>
      <bottom/>
      <diagonal/>
    </border>
    <border>
      <left style="thin">
        <color indexed="44"/>
      </left>
      <right/>
      <top/>
      <bottom style="thin">
        <color indexed="44"/>
      </bottom>
      <diagonal/>
    </border>
    <border>
      <left/>
      <right/>
      <top/>
      <bottom style="thin">
        <color indexed="44"/>
      </bottom>
      <diagonal/>
    </border>
    <border>
      <left/>
      <right style="thin">
        <color indexed="44"/>
      </right>
      <top/>
      <bottom style="thin">
        <color indexed="44"/>
      </bottom>
      <diagonal/>
    </border>
    <border>
      <left style="thin">
        <color indexed="44"/>
      </left>
      <right/>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right/>
      <top style="thin">
        <color indexed="12"/>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indexed="57"/>
      </top>
      <bottom style="thin">
        <color indexed="64"/>
      </bottom>
      <diagonal/>
    </border>
  </borders>
  <cellStyleXfs count="2028">
    <xf numFmtId="0" fontId="0" fillId="0" borderId="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7" fillId="0" borderId="0" applyFont="0" applyFill="0" applyBorder="0" applyAlignment="0" applyProtection="0"/>
    <xf numFmtId="0" fontId="154" fillId="2" borderId="0" applyNumberFormat="0" applyBorder="0" applyAlignment="0" applyProtection="0"/>
    <xf numFmtId="0" fontId="154" fillId="3" borderId="0" applyNumberFormat="0" applyBorder="0" applyAlignment="0" applyProtection="0"/>
    <xf numFmtId="0" fontId="154" fillId="4" borderId="0" applyNumberFormat="0" applyBorder="0" applyAlignment="0" applyProtection="0"/>
    <xf numFmtId="0" fontId="154" fillId="5" borderId="0" applyNumberFormat="0" applyBorder="0" applyAlignment="0" applyProtection="0"/>
    <xf numFmtId="0" fontId="154" fillId="6" borderId="0" applyNumberFormat="0" applyBorder="0" applyAlignment="0" applyProtection="0"/>
    <xf numFmtId="0" fontId="154" fillId="7" borderId="0" applyNumberFormat="0" applyBorder="0" applyAlignment="0" applyProtection="0"/>
    <xf numFmtId="0" fontId="154" fillId="8" borderId="0" applyNumberFormat="0" applyBorder="0" applyAlignment="0" applyProtection="0"/>
    <xf numFmtId="0" fontId="154" fillId="9" borderId="0" applyNumberFormat="0" applyBorder="0" applyAlignment="0" applyProtection="0"/>
    <xf numFmtId="0" fontId="154" fillId="10" borderId="0" applyNumberFormat="0" applyBorder="0" applyAlignment="0" applyProtection="0"/>
    <xf numFmtId="0" fontId="154" fillId="5" borderId="0" applyNumberFormat="0" applyBorder="0" applyAlignment="0" applyProtection="0"/>
    <xf numFmtId="0" fontId="154" fillId="8" borderId="0" applyNumberFormat="0" applyBorder="0" applyAlignment="0" applyProtection="0"/>
    <xf numFmtId="0" fontId="154" fillId="11" borderId="0" applyNumberFormat="0" applyBorder="0" applyAlignment="0" applyProtection="0"/>
    <xf numFmtId="0" fontId="153" fillId="12" borderId="0" applyNumberFormat="0" applyBorder="0" applyAlignment="0" applyProtection="0"/>
    <xf numFmtId="0" fontId="153" fillId="9" borderId="0" applyNumberFormat="0" applyBorder="0" applyAlignment="0" applyProtection="0"/>
    <xf numFmtId="0" fontId="153" fillId="10" borderId="0" applyNumberFormat="0" applyBorder="0" applyAlignment="0" applyProtection="0"/>
    <xf numFmtId="0" fontId="153" fillId="13" borderId="0" applyNumberFormat="0" applyBorder="0" applyAlignment="0" applyProtection="0"/>
    <xf numFmtId="0" fontId="153" fillId="14" borderId="0" applyNumberFormat="0" applyBorder="0" applyAlignment="0" applyProtection="0"/>
    <xf numFmtId="0" fontId="153" fillId="15" borderId="0" applyNumberFormat="0" applyBorder="0" applyAlignment="0" applyProtection="0"/>
    <xf numFmtId="0" fontId="153" fillId="16" borderId="0" applyNumberFormat="0" applyBorder="0" applyAlignment="0" applyProtection="0"/>
    <xf numFmtId="0" fontId="153" fillId="17" borderId="0" applyNumberFormat="0" applyBorder="0" applyAlignment="0" applyProtection="0"/>
    <xf numFmtId="0" fontId="153" fillId="18" borderId="0" applyNumberFormat="0" applyBorder="0" applyAlignment="0" applyProtection="0"/>
    <xf numFmtId="0" fontId="153" fillId="13" borderId="0" applyNumberFormat="0" applyBorder="0" applyAlignment="0" applyProtection="0"/>
    <xf numFmtId="0" fontId="153" fillId="14" borderId="0" applyNumberFormat="0" applyBorder="0" applyAlignment="0" applyProtection="0"/>
    <xf numFmtId="0" fontId="153" fillId="19" borderId="0" applyNumberFormat="0" applyBorder="0" applyAlignment="0" applyProtection="0"/>
    <xf numFmtId="0" fontId="21" fillId="0" borderId="0">
      <alignment horizontal="left" vertical="center"/>
    </xf>
    <xf numFmtId="0" fontId="22" fillId="0" borderId="0">
      <alignment horizontal="right"/>
    </xf>
    <xf numFmtId="0" fontId="147" fillId="20" borderId="1" applyNumberFormat="0" applyAlignment="0" applyProtection="0"/>
    <xf numFmtId="0" fontId="86" fillId="0" borderId="2" applyNumberFormat="0" applyFont="0" applyFill="0" applyAlignment="0" applyProtection="0"/>
    <xf numFmtId="170" fontId="23" fillId="20" borderId="0"/>
    <xf numFmtId="0" fontId="149" fillId="21" borderId="3" applyNumberFormat="0" applyAlignment="0" applyProtection="0"/>
    <xf numFmtId="170" fontId="24" fillId="22" borderId="0"/>
    <xf numFmtId="0" fontId="86" fillId="0" borderId="0" applyFont="0" applyFill="0" applyBorder="0" applyAlignment="0" applyProtection="0"/>
    <xf numFmtId="175" fontId="17" fillId="0" borderId="0" applyBorder="0" applyProtection="0"/>
    <xf numFmtId="0" fontId="21" fillId="0" borderId="0"/>
    <xf numFmtId="0" fontId="21" fillId="0" borderId="4"/>
    <xf numFmtId="169" fontId="24" fillId="23" borderId="0">
      <protection locked="0"/>
    </xf>
    <xf numFmtId="170" fontId="24" fillId="23" borderId="0">
      <protection locked="0"/>
    </xf>
    <xf numFmtId="0" fontId="25" fillId="0" borderId="0"/>
    <xf numFmtId="3" fontId="86" fillId="0" borderId="0" applyFont="0" applyFill="0" applyBorder="0" applyAlignment="0" applyProtection="0"/>
    <xf numFmtId="0" fontId="26" fillId="0" borderId="0" applyNumberFormat="0" applyFill="0" applyBorder="0" applyAlignment="0" applyProtection="0">
      <alignment vertical="top"/>
      <protection locked="0"/>
    </xf>
    <xf numFmtId="0" fontId="148" fillId="0" borderId="5" applyNumberFormat="0" applyFill="0" applyAlignment="0" applyProtection="0"/>
    <xf numFmtId="0" fontId="142" fillId="4" borderId="0" applyNumberFormat="0" applyBorder="0" applyAlignment="0" applyProtection="0"/>
    <xf numFmtId="0" fontId="27" fillId="24" borderId="0" applyNumberFormat="0" applyFont="0" applyBorder="0" applyAlignment="0" applyProtection="0"/>
    <xf numFmtId="164" fontId="65" fillId="0" borderId="0"/>
    <xf numFmtId="0" fontId="28"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145" fillId="7" borderId="1" applyNumberFormat="0" applyAlignment="0" applyProtection="0"/>
    <xf numFmtId="0" fontId="139" fillId="0" borderId="6" applyNumberFormat="0" applyFill="0" applyAlignment="0" applyProtection="0"/>
    <xf numFmtId="0" fontId="140" fillId="0" borderId="7" applyNumberFormat="0" applyFill="0" applyAlignment="0" applyProtection="0"/>
    <xf numFmtId="0" fontId="141" fillId="0" borderId="8" applyNumberFormat="0" applyFill="0" applyAlignment="0" applyProtection="0"/>
    <xf numFmtId="0" fontId="141" fillId="0" borderId="0" applyNumberFormat="0" applyFill="0" applyBorder="0" applyAlignment="0" applyProtection="0"/>
    <xf numFmtId="0" fontId="135" fillId="0" borderId="0"/>
    <xf numFmtId="0" fontId="86" fillId="0" borderId="0" applyFont="0" applyFill="0" applyBorder="0" applyAlignment="0" applyProtection="0"/>
    <xf numFmtId="0" fontId="96" fillId="0" borderId="0"/>
    <xf numFmtId="168" fontId="30" fillId="0" borderId="0">
      <alignment horizontal="center" vertical="center"/>
    </xf>
    <xf numFmtId="0" fontId="144" fillId="22" borderId="0" applyNumberFormat="0" applyBorder="0" applyAlignment="0" applyProtection="0"/>
    <xf numFmtId="0" fontId="44" fillId="0" borderId="0"/>
    <xf numFmtId="0" fontId="163" fillId="0" borderId="0"/>
    <xf numFmtId="0" fontId="164" fillId="0" borderId="0"/>
    <xf numFmtId="0" fontId="51" fillId="0" borderId="0"/>
    <xf numFmtId="0" fontId="31" fillId="0" borderId="0"/>
    <xf numFmtId="164" fontId="17" fillId="0" borderId="0"/>
    <xf numFmtId="0" fontId="87" fillId="0" borderId="0"/>
    <xf numFmtId="0" fontId="21" fillId="0" borderId="4"/>
    <xf numFmtId="0" fontId="159" fillId="61" borderId="184" applyNumberFormat="0" applyFont="0" applyAlignment="0" applyProtection="0"/>
    <xf numFmtId="0" fontId="32" fillId="0" borderId="0"/>
    <xf numFmtId="0" fontId="96" fillId="25" borderId="9" applyNumberFormat="0" applyFont="0" applyAlignment="0" applyProtection="0"/>
    <xf numFmtId="0" fontId="143" fillId="3" borderId="0" applyNumberFormat="0" applyBorder="0" applyAlignment="0" applyProtection="0"/>
    <xf numFmtId="0" fontId="33" fillId="0" borderId="0"/>
    <xf numFmtId="9" fontId="17" fillId="0" borderId="0" applyFont="0" applyFill="0" applyBorder="0" applyAlignment="0" applyProtection="0"/>
    <xf numFmtId="2" fontId="86" fillId="0" borderId="0" applyFont="0" applyFill="0" applyBorder="0" applyAlignment="0" applyProtection="0"/>
    <xf numFmtId="9" fontId="160" fillId="0" borderId="0" applyFont="0" applyFill="0" applyProtection="0"/>
    <xf numFmtId="0" fontId="34" fillId="0" borderId="0"/>
    <xf numFmtId="0" fontId="35" fillId="0" borderId="0"/>
    <xf numFmtId="0" fontId="36" fillId="0" borderId="0"/>
    <xf numFmtId="0" fontId="21" fillId="0" borderId="11">
      <alignment horizontal="right" vertical="center"/>
    </xf>
    <xf numFmtId="170" fontId="24" fillId="26" borderId="0"/>
    <xf numFmtId="170" fontId="24" fillId="26" borderId="0"/>
    <xf numFmtId="0" fontId="37" fillId="0" borderId="0"/>
    <xf numFmtId="0" fontId="17" fillId="0" borderId="0" applyFont="0" applyFill="0" applyBorder="0" applyAlignment="0" applyProtection="0"/>
    <xf numFmtId="0" fontId="160" fillId="0" borderId="0" applyFont="0" applyFill="0" applyBorder="0" applyAlignment="0" applyProtection="0"/>
    <xf numFmtId="0" fontId="25" fillId="0" borderId="0"/>
    <xf numFmtId="0" fontId="38" fillId="0" borderId="0"/>
    <xf numFmtId="0" fontId="35" fillId="0" borderId="0"/>
    <xf numFmtId="0" fontId="36" fillId="0" borderId="0"/>
    <xf numFmtId="0" fontId="39" fillId="0" borderId="0"/>
    <xf numFmtId="0" fontId="138" fillId="0" borderId="0" applyNumberFormat="0" applyFill="0" applyBorder="0" applyAlignment="0" applyProtection="0"/>
    <xf numFmtId="168" fontId="40" fillId="21" borderId="12">
      <alignment vertical="center"/>
    </xf>
    <xf numFmtId="0" fontId="41" fillId="0" borderId="0"/>
    <xf numFmtId="0" fontId="152" fillId="0" borderId="13" applyNumberFormat="0" applyFill="0" applyAlignment="0" applyProtection="0"/>
    <xf numFmtId="168" fontId="42" fillId="15" borderId="0">
      <alignment horizontal="center" vertical="center"/>
    </xf>
    <xf numFmtId="0" fontId="43" fillId="0" borderId="0" applyFont="0" applyFill="0" applyBorder="0" applyAlignment="0" applyProtection="0"/>
    <xf numFmtId="0" fontId="43" fillId="0" borderId="0" applyFont="0" applyFill="0" applyBorder="0" applyAlignment="0" applyProtection="0"/>
    <xf numFmtId="0" fontId="146" fillId="20" borderId="10" applyNumberFormat="0" applyAlignment="0" applyProtection="0"/>
    <xf numFmtId="0" fontId="43" fillId="0" borderId="0" applyFont="0" applyFill="0" applyBorder="0" applyAlignment="0" applyProtection="0"/>
    <xf numFmtId="0" fontId="151" fillId="0" borderId="0" applyNumberFormat="0" applyFill="0" applyBorder="0" applyAlignment="0" applyProtection="0"/>
    <xf numFmtId="0" fontId="150" fillId="0" borderId="0" applyNumberFormat="0" applyFill="0" applyBorder="0" applyAlignment="0" applyProtection="0"/>
    <xf numFmtId="0" fontId="88" fillId="0" borderId="0" applyNumberFormat="0" applyFill="0" applyBorder="0" applyAlignment="0" applyProtection="0"/>
    <xf numFmtId="0" fontId="89" fillId="0" borderId="0" applyNumberFormat="0" applyFill="0" applyBorder="0" applyAlignment="0" applyProtection="0"/>
    <xf numFmtId="0" fontId="169" fillId="0" borderId="0" applyNumberFormat="0" applyFill="0" applyBorder="0" applyAlignment="0" applyProtection="0"/>
    <xf numFmtId="0" fontId="170" fillId="0" borderId="186" applyNumberFormat="0" applyFill="0" applyAlignment="0" applyProtection="0"/>
    <xf numFmtId="0" fontId="171" fillId="0" borderId="187" applyNumberFormat="0" applyFill="0" applyAlignment="0" applyProtection="0"/>
    <xf numFmtId="0" fontId="172" fillId="0" borderId="188" applyNumberFormat="0" applyFill="0" applyAlignment="0" applyProtection="0"/>
    <xf numFmtId="0" fontId="172" fillId="0" borderId="0" applyNumberFormat="0" applyFill="0" applyBorder="0" applyAlignment="0" applyProtection="0"/>
    <xf numFmtId="0" fontId="173" fillId="74" borderId="0" applyNumberFormat="0" applyBorder="0" applyAlignment="0" applyProtection="0"/>
    <xf numFmtId="0" fontId="174" fillId="75" borderId="0" applyNumberFormat="0" applyBorder="0" applyAlignment="0" applyProtection="0"/>
    <xf numFmtId="0" fontId="175" fillId="76" borderId="0" applyNumberFormat="0" applyBorder="0" applyAlignment="0" applyProtection="0"/>
    <xf numFmtId="0" fontId="176" fillId="77" borderId="189" applyNumberFormat="0" applyAlignment="0" applyProtection="0"/>
    <xf numFmtId="0" fontId="177" fillId="78" borderId="190" applyNumberFormat="0" applyAlignment="0" applyProtection="0"/>
    <xf numFmtId="0" fontId="178" fillId="78" borderId="189" applyNumberFormat="0" applyAlignment="0" applyProtection="0"/>
    <xf numFmtId="0" fontId="179" fillId="0" borderId="191" applyNumberFormat="0" applyFill="0" applyAlignment="0" applyProtection="0"/>
    <xf numFmtId="0" fontId="180" fillId="79" borderId="192" applyNumberFormat="0" applyAlignment="0" applyProtection="0"/>
    <xf numFmtId="0" fontId="181" fillId="0" borderId="0" applyNumberFormat="0" applyFill="0" applyBorder="0" applyAlignment="0" applyProtection="0"/>
    <xf numFmtId="0" fontId="182" fillId="0" borderId="0" applyNumberFormat="0" applyFill="0" applyBorder="0" applyAlignment="0" applyProtection="0"/>
    <xf numFmtId="0" fontId="183" fillId="0" borderId="193" applyNumberFormat="0" applyFill="0" applyAlignment="0" applyProtection="0"/>
    <xf numFmtId="0" fontId="16" fillId="0" borderId="0"/>
    <xf numFmtId="0" fontId="16" fillId="81" borderId="0" applyNumberFormat="0" applyBorder="0" applyAlignment="0" applyProtection="0"/>
    <xf numFmtId="0" fontId="16" fillId="85" borderId="0" applyNumberFormat="0" applyBorder="0" applyAlignment="0" applyProtection="0"/>
    <xf numFmtId="0" fontId="16" fillId="89" borderId="0" applyNumberFormat="0" applyBorder="0" applyAlignment="0" applyProtection="0"/>
    <xf numFmtId="0" fontId="16" fillId="93" borderId="0" applyNumberFormat="0" applyBorder="0" applyAlignment="0" applyProtection="0"/>
    <xf numFmtId="0" fontId="16" fillId="97" borderId="0" applyNumberFormat="0" applyBorder="0" applyAlignment="0" applyProtection="0"/>
    <xf numFmtId="0" fontId="16" fillId="101" borderId="0" applyNumberFormat="0" applyBorder="0" applyAlignment="0" applyProtection="0"/>
    <xf numFmtId="0" fontId="16" fillId="82" borderId="0" applyNumberFormat="0" applyBorder="0" applyAlignment="0" applyProtection="0"/>
    <xf numFmtId="0" fontId="16" fillId="86" borderId="0" applyNumberFormat="0" applyBorder="0" applyAlignment="0" applyProtection="0"/>
    <xf numFmtId="0" fontId="16" fillId="90" borderId="0" applyNumberFormat="0" applyBorder="0" applyAlignment="0" applyProtection="0"/>
    <xf numFmtId="0" fontId="16" fillId="94" borderId="0" applyNumberFormat="0" applyBorder="0" applyAlignment="0" applyProtection="0"/>
    <xf numFmtId="0" fontId="16" fillId="98" borderId="0" applyNumberFormat="0" applyBorder="0" applyAlignment="0" applyProtection="0"/>
    <xf numFmtId="0" fontId="16" fillId="102" borderId="0" applyNumberFormat="0" applyBorder="0" applyAlignment="0" applyProtection="0"/>
    <xf numFmtId="0" fontId="184" fillId="83" borderId="0" applyNumberFormat="0" applyBorder="0" applyAlignment="0" applyProtection="0"/>
    <xf numFmtId="0" fontId="184" fillId="87" borderId="0" applyNumberFormat="0" applyBorder="0" applyAlignment="0" applyProtection="0"/>
    <xf numFmtId="0" fontId="184" fillId="91" borderId="0" applyNumberFormat="0" applyBorder="0" applyAlignment="0" applyProtection="0"/>
    <xf numFmtId="0" fontId="184" fillId="95" borderId="0" applyNumberFormat="0" applyBorder="0" applyAlignment="0" applyProtection="0"/>
    <xf numFmtId="0" fontId="184" fillId="99" borderId="0" applyNumberFormat="0" applyBorder="0" applyAlignment="0" applyProtection="0"/>
    <xf numFmtId="0" fontId="184" fillId="103" borderId="0" applyNumberFormat="0" applyBorder="0" applyAlignment="0" applyProtection="0"/>
    <xf numFmtId="0" fontId="184" fillId="80" borderId="0" applyNumberFormat="0" applyBorder="0" applyAlignment="0" applyProtection="0"/>
    <xf numFmtId="0" fontId="184" fillId="84" borderId="0" applyNumberFormat="0" applyBorder="0" applyAlignment="0" applyProtection="0"/>
    <xf numFmtId="0" fontId="184" fillId="88" borderId="0" applyNumberFormat="0" applyBorder="0" applyAlignment="0" applyProtection="0"/>
    <xf numFmtId="0" fontId="184" fillId="92" borderId="0" applyNumberFormat="0" applyBorder="0" applyAlignment="0" applyProtection="0"/>
    <xf numFmtId="0" fontId="184" fillId="96" borderId="0" applyNumberFormat="0" applyBorder="0" applyAlignment="0" applyProtection="0"/>
    <xf numFmtId="0" fontId="184" fillId="100" borderId="0" applyNumberFormat="0" applyBorder="0" applyAlignment="0" applyProtection="0"/>
    <xf numFmtId="0" fontId="16" fillId="61" borderId="184" applyNumberFormat="0" applyFont="0" applyAlignment="0" applyProtection="0"/>
    <xf numFmtId="0" fontId="15" fillId="0" borderId="0"/>
    <xf numFmtId="0" fontId="15" fillId="81" borderId="0" applyNumberFormat="0" applyBorder="0" applyAlignment="0" applyProtection="0"/>
    <xf numFmtId="0" fontId="15" fillId="85" borderId="0" applyNumberFormat="0" applyBorder="0" applyAlignment="0" applyProtection="0"/>
    <xf numFmtId="0" fontId="15" fillId="89" borderId="0" applyNumberFormat="0" applyBorder="0" applyAlignment="0" applyProtection="0"/>
    <xf numFmtId="0" fontId="15" fillId="93" borderId="0" applyNumberFormat="0" applyBorder="0" applyAlignment="0" applyProtection="0"/>
    <xf numFmtId="0" fontId="15" fillId="97" borderId="0" applyNumberFormat="0" applyBorder="0" applyAlignment="0" applyProtection="0"/>
    <xf numFmtId="0" fontId="15" fillId="101" borderId="0" applyNumberFormat="0" applyBorder="0" applyAlignment="0" applyProtection="0"/>
    <xf numFmtId="0" fontId="15" fillId="82" borderId="0" applyNumberFormat="0" applyBorder="0" applyAlignment="0" applyProtection="0"/>
    <xf numFmtId="0" fontId="15" fillId="86" borderId="0" applyNumberFormat="0" applyBorder="0" applyAlignment="0" applyProtection="0"/>
    <xf numFmtId="0" fontId="15" fillId="90" borderId="0" applyNumberFormat="0" applyBorder="0" applyAlignment="0" applyProtection="0"/>
    <xf numFmtId="0" fontId="15" fillId="94" borderId="0" applyNumberFormat="0" applyBorder="0" applyAlignment="0" applyProtection="0"/>
    <xf numFmtId="0" fontId="15" fillId="98" borderId="0" applyNumberFormat="0" applyBorder="0" applyAlignment="0" applyProtection="0"/>
    <xf numFmtId="0" fontId="15" fillId="102" borderId="0" applyNumberFormat="0" applyBorder="0" applyAlignment="0" applyProtection="0"/>
    <xf numFmtId="0" fontId="15" fillId="61" borderId="184" applyNumberFormat="0" applyFont="0" applyAlignment="0" applyProtection="0"/>
    <xf numFmtId="0" fontId="14" fillId="0" borderId="0"/>
    <xf numFmtId="0" fontId="14" fillId="61" borderId="184" applyNumberFormat="0" applyFont="0" applyAlignment="0" applyProtection="0"/>
    <xf numFmtId="0" fontId="14" fillId="81" borderId="0" applyNumberFormat="0" applyBorder="0" applyAlignment="0" applyProtection="0"/>
    <xf numFmtId="0" fontId="14" fillId="82" borderId="0" applyNumberFormat="0" applyBorder="0" applyAlignment="0" applyProtection="0"/>
    <xf numFmtId="0" fontId="14" fillId="85" borderId="0" applyNumberFormat="0" applyBorder="0" applyAlignment="0" applyProtection="0"/>
    <xf numFmtId="0" fontId="14" fillId="86" borderId="0" applyNumberFormat="0" applyBorder="0" applyAlignment="0" applyProtection="0"/>
    <xf numFmtId="0" fontId="14" fillId="89" borderId="0" applyNumberFormat="0" applyBorder="0" applyAlignment="0" applyProtection="0"/>
    <xf numFmtId="0" fontId="14" fillId="90" borderId="0" applyNumberFormat="0" applyBorder="0" applyAlignment="0" applyProtection="0"/>
    <xf numFmtId="0" fontId="14" fillId="93" borderId="0" applyNumberFormat="0" applyBorder="0" applyAlignment="0" applyProtection="0"/>
    <xf numFmtId="0" fontId="14" fillId="94" borderId="0" applyNumberFormat="0" applyBorder="0" applyAlignment="0" applyProtection="0"/>
    <xf numFmtId="0" fontId="14" fillId="97" borderId="0" applyNumberFormat="0" applyBorder="0" applyAlignment="0" applyProtection="0"/>
    <xf numFmtId="0" fontId="14" fillId="98" borderId="0" applyNumberFormat="0" applyBorder="0" applyAlignment="0" applyProtection="0"/>
    <xf numFmtId="0" fontId="14" fillId="101" borderId="0" applyNumberFormat="0" applyBorder="0" applyAlignment="0" applyProtection="0"/>
    <xf numFmtId="0" fontId="14" fillId="102" borderId="0" applyNumberFormat="0" applyBorder="0" applyAlignment="0" applyProtection="0"/>
    <xf numFmtId="0" fontId="13" fillId="0" borderId="0"/>
    <xf numFmtId="0" fontId="110" fillId="0" borderId="0"/>
    <xf numFmtId="0" fontId="110" fillId="0" borderId="0"/>
    <xf numFmtId="9" fontId="110" fillId="0" borderId="0" applyFont="0" applyFill="0" applyBorder="0" applyAlignment="0" applyProtection="0"/>
    <xf numFmtId="0" fontId="17" fillId="0" borderId="0"/>
    <xf numFmtId="0" fontId="154" fillId="2" borderId="0" applyNumberFormat="0" applyBorder="0" applyAlignment="0" applyProtection="0"/>
    <xf numFmtId="0" fontId="154" fillId="3" borderId="0" applyNumberFormat="0" applyBorder="0" applyAlignment="0" applyProtection="0"/>
    <xf numFmtId="0" fontId="154" fillId="4" borderId="0" applyNumberFormat="0" applyBorder="0" applyAlignment="0" applyProtection="0"/>
    <xf numFmtId="0" fontId="154" fillId="5" borderId="0" applyNumberFormat="0" applyBorder="0" applyAlignment="0" applyProtection="0"/>
    <xf numFmtId="0" fontId="154" fillId="6" borderId="0" applyNumberFormat="0" applyBorder="0" applyAlignment="0" applyProtection="0"/>
    <xf numFmtId="0" fontId="154" fillId="7" borderId="0" applyNumberFormat="0" applyBorder="0" applyAlignment="0" applyProtection="0"/>
    <xf numFmtId="0" fontId="154" fillId="8" borderId="0" applyNumberFormat="0" applyBorder="0" applyAlignment="0" applyProtection="0"/>
    <xf numFmtId="0" fontId="154" fillId="9" borderId="0" applyNumberFormat="0" applyBorder="0" applyAlignment="0" applyProtection="0"/>
    <xf numFmtId="0" fontId="154" fillId="10" borderId="0" applyNumberFormat="0" applyBorder="0" applyAlignment="0" applyProtection="0"/>
    <xf numFmtId="0" fontId="154" fillId="5" borderId="0" applyNumberFormat="0" applyBorder="0" applyAlignment="0" applyProtection="0"/>
    <xf numFmtId="0" fontId="154" fillId="8" borderId="0" applyNumberFormat="0" applyBorder="0" applyAlignment="0" applyProtection="0"/>
    <xf numFmtId="0" fontId="154" fillId="11" borderId="0" applyNumberFormat="0" applyBorder="0" applyAlignment="0" applyProtection="0"/>
    <xf numFmtId="0" fontId="153" fillId="12" borderId="0" applyNumberFormat="0" applyBorder="0" applyAlignment="0" applyProtection="0"/>
    <xf numFmtId="0" fontId="153" fillId="9" borderId="0" applyNumberFormat="0" applyBorder="0" applyAlignment="0" applyProtection="0"/>
    <xf numFmtId="0" fontId="153" fillId="10" borderId="0" applyNumberFormat="0" applyBorder="0" applyAlignment="0" applyProtection="0"/>
    <xf numFmtId="0" fontId="153" fillId="13" borderId="0" applyNumberFormat="0" applyBorder="0" applyAlignment="0" applyProtection="0"/>
    <xf numFmtId="0" fontId="153" fillId="14" borderId="0" applyNumberFormat="0" applyBorder="0" applyAlignment="0" applyProtection="0"/>
    <xf numFmtId="0" fontId="153" fillId="15" borderId="0" applyNumberFormat="0" applyBorder="0" applyAlignment="0" applyProtection="0"/>
    <xf numFmtId="0" fontId="153" fillId="16" borderId="0" applyNumberFormat="0" applyBorder="0" applyAlignment="0" applyProtection="0"/>
    <xf numFmtId="0" fontId="153" fillId="17" borderId="0" applyNumberFormat="0" applyBorder="0" applyAlignment="0" applyProtection="0"/>
    <xf numFmtId="0" fontId="153" fillId="18" borderId="0" applyNumberFormat="0" applyBorder="0" applyAlignment="0" applyProtection="0"/>
    <xf numFmtId="0" fontId="153" fillId="13" borderId="0" applyNumberFormat="0" applyBorder="0" applyAlignment="0" applyProtection="0"/>
    <xf numFmtId="0" fontId="153" fillId="14" borderId="0" applyNumberFormat="0" applyBorder="0" applyAlignment="0" applyProtection="0"/>
    <xf numFmtId="0" fontId="153" fillId="19" borderId="0" applyNumberFormat="0" applyBorder="0" applyAlignment="0" applyProtection="0"/>
    <xf numFmtId="0" fontId="17" fillId="0" borderId="0"/>
    <xf numFmtId="0" fontId="17" fillId="0" borderId="0"/>
    <xf numFmtId="0" fontId="12" fillId="0" borderId="0"/>
    <xf numFmtId="0" fontId="154" fillId="61" borderId="184" applyNumberFormat="0" applyFont="0" applyAlignment="0" applyProtection="0"/>
    <xf numFmtId="0" fontId="17" fillId="25" borderId="9" applyNumberFormat="0" applyFont="0" applyAlignment="0" applyProtection="0"/>
    <xf numFmtId="9" fontId="17" fillId="0" borderId="0" applyFont="0" applyFill="0" applyBorder="0" applyAlignment="0" applyProtection="0"/>
    <xf numFmtId="0" fontId="17" fillId="0" borderId="0" applyFont="0" applyFill="0" applyBorder="0" applyAlignment="0" applyProtection="0"/>
    <xf numFmtId="0" fontId="12" fillId="0" borderId="0"/>
    <xf numFmtId="0" fontId="12" fillId="81" borderId="0" applyNumberFormat="0" applyBorder="0" applyAlignment="0" applyProtection="0"/>
    <xf numFmtId="0" fontId="12" fillId="85" borderId="0" applyNumberFormat="0" applyBorder="0" applyAlignment="0" applyProtection="0"/>
    <xf numFmtId="0" fontId="12" fillId="89" borderId="0" applyNumberFormat="0" applyBorder="0" applyAlignment="0" applyProtection="0"/>
    <xf numFmtId="0" fontId="12" fillId="93" borderId="0" applyNumberFormat="0" applyBorder="0" applyAlignment="0" applyProtection="0"/>
    <xf numFmtId="0" fontId="12" fillId="97" borderId="0" applyNumberFormat="0" applyBorder="0" applyAlignment="0" applyProtection="0"/>
    <xf numFmtId="0" fontId="12" fillId="101" borderId="0" applyNumberFormat="0" applyBorder="0" applyAlignment="0" applyProtection="0"/>
    <xf numFmtId="0" fontId="12" fillId="82" borderId="0" applyNumberFormat="0" applyBorder="0" applyAlignment="0" applyProtection="0"/>
    <xf numFmtId="0" fontId="12" fillId="86" borderId="0" applyNumberFormat="0" applyBorder="0" applyAlignment="0" applyProtection="0"/>
    <xf numFmtId="0" fontId="12" fillId="90" borderId="0" applyNumberFormat="0" applyBorder="0" applyAlignment="0" applyProtection="0"/>
    <xf numFmtId="0" fontId="12" fillId="94" borderId="0" applyNumberFormat="0" applyBorder="0" applyAlignment="0" applyProtection="0"/>
    <xf numFmtId="0" fontId="12" fillId="98" borderId="0" applyNumberFormat="0" applyBorder="0" applyAlignment="0" applyProtection="0"/>
    <xf numFmtId="0" fontId="12" fillId="102" borderId="0" applyNumberFormat="0" applyBorder="0" applyAlignment="0" applyProtection="0"/>
    <xf numFmtId="0" fontId="12" fillId="61" borderId="184" applyNumberFormat="0" applyFont="0" applyAlignment="0" applyProtection="0"/>
    <xf numFmtId="0" fontId="12" fillId="0" borderId="0"/>
    <xf numFmtId="0" fontId="12" fillId="81" borderId="0" applyNumberFormat="0" applyBorder="0" applyAlignment="0" applyProtection="0"/>
    <xf numFmtId="0" fontId="12" fillId="85" borderId="0" applyNumberFormat="0" applyBorder="0" applyAlignment="0" applyProtection="0"/>
    <xf numFmtId="0" fontId="12" fillId="89" borderId="0" applyNumberFormat="0" applyBorder="0" applyAlignment="0" applyProtection="0"/>
    <xf numFmtId="0" fontId="12" fillId="93" borderId="0" applyNumberFormat="0" applyBorder="0" applyAlignment="0" applyProtection="0"/>
    <xf numFmtId="0" fontId="12" fillId="97" borderId="0" applyNumberFormat="0" applyBorder="0" applyAlignment="0" applyProtection="0"/>
    <xf numFmtId="0" fontId="12" fillId="101" borderId="0" applyNumberFormat="0" applyBorder="0" applyAlignment="0" applyProtection="0"/>
    <xf numFmtId="0" fontId="12" fillId="82" borderId="0" applyNumberFormat="0" applyBorder="0" applyAlignment="0" applyProtection="0"/>
    <xf numFmtId="0" fontId="12" fillId="86" borderId="0" applyNumberFormat="0" applyBorder="0" applyAlignment="0" applyProtection="0"/>
    <xf numFmtId="0" fontId="12" fillId="90" borderId="0" applyNumberFormat="0" applyBorder="0" applyAlignment="0" applyProtection="0"/>
    <xf numFmtId="0" fontId="12" fillId="94" borderId="0" applyNumberFormat="0" applyBorder="0" applyAlignment="0" applyProtection="0"/>
    <xf numFmtId="0" fontId="12" fillId="98" borderId="0" applyNumberFormat="0" applyBorder="0" applyAlignment="0" applyProtection="0"/>
    <xf numFmtId="0" fontId="12" fillId="102" borderId="0" applyNumberFormat="0" applyBorder="0" applyAlignment="0" applyProtection="0"/>
    <xf numFmtId="0" fontId="12" fillId="61" borderId="184" applyNumberFormat="0" applyFont="0" applyAlignment="0" applyProtection="0"/>
    <xf numFmtId="0" fontId="12" fillId="0" borderId="0"/>
    <xf numFmtId="0" fontId="12" fillId="61" borderId="184" applyNumberFormat="0" applyFont="0" applyAlignment="0" applyProtection="0"/>
    <xf numFmtId="0" fontId="12" fillId="81" borderId="0" applyNumberFormat="0" applyBorder="0" applyAlignment="0" applyProtection="0"/>
    <xf numFmtId="0" fontId="12" fillId="82" borderId="0" applyNumberFormat="0" applyBorder="0" applyAlignment="0" applyProtection="0"/>
    <xf numFmtId="0" fontId="12" fillId="85" borderId="0" applyNumberFormat="0" applyBorder="0" applyAlignment="0" applyProtection="0"/>
    <xf numFmtId="0" fontId="12" fillId="86" borderId="0" applyNumberFormat="0" applyBorder="0" applyAlignment="0" applyProtection="0"/>
    <xf numFmtId="0" fontId="12" fillId="89" borderId="0" applyNumberFormat="0" applyBorder="0" applyAlignment="0" applyProtection="0"/>
    <xf numFmtId="0" fontId="12" fillId="90" borderId="0" applyNumberFormat="0" applyBorder="0" applyAlignment="0" applyProtection="0"/>
    <xf numFmtId="0" fontId="12" fillId="93" borderId="0" applyNumberFormat="0" applyBorder="0" applyAlignment="0" applyProtection="0"/>
    <xf numFmtId="0" fontId="12" fillId="94" borderId="0" applyNumberFormat="0" applyBorder="0" applyAlignment="0" applyProtection="0"/>
    <xf numFmtId="0" fontId="12" fillId="97" borderId="0" applyNumberFormat="0" applyBorder="0" applyAlignment="0" applyProtection="0"/>
    <xf numFmtId="0" fontId="12" fillId="98" borderId="0" applyNumberFormat="0" applyBorder="0" applyAlignment="0" applyProtection="0"/>
    <xf numFmtId="0" fontId="12" fillId="101" borderId="0" applyNumberFormat="0" applyBorder="0" applyAlignment="0" applyProtection="0"/>
    <xf numFmtId="0" fontId="12" fillId="102" borderId="0" applyNumberFormat="0" applyBorder="0" applyAlignment="0" applyProtection="0"/>
    <xf numFmtId="0" fontId="12" fillId="0" borderId="0"/>
    <xf numFmtId="179" fontId="17" fillId="0" borderId="0" applyFont="0" applyFill="0" applyBorder="0" applyAlignment="0" applyProtection="0"/>
    <xf numFmtId="0" fontId="11" fillId="0" borderId="0"/>
    <xf numFmtId="180" fontId="17" fillId="0" borderId="0" applyFont="0" applyFill="0" applyBorder="0" applyAlignment="0" applyProtection="0"/>
    <xf numFmtId="43" fontId="17" fillId="0" borderId="0" applyFont="0" applyFill="0" applyBorder="0" applyAlignment="0" applyProtection="0"/>
    <xf numFmtId="0" fontId="176" fillId="77" borderId="189" applyNumberFormat="0" applyAlignment="0" applyProtection="0"/>
    <xf numFmtId="0" fontId="17" fillId="0" borderId="0"/>
    <xf numFmtId="0" fontId="11" fillId="0" borderId="0"/>
    <xf numFmtId="0" fontId="17" fillId="0" borderId="0"/>
    <xf numFmtId="0" fontId="17" fillId="0" borderId="0"/>
    <xf numFmtId="0" fontId="11" fillId="81" borderId="0" applyNumberFormat="0" applyBorder="0" applyAlignment="0" applyProtection="0"/>
    <xf numFmtId="0" fontId="11" fillId="85" borderId="0" applyNumberFormat="0" applyBorder="0" applyAlignment="0" applyProtection="0"/>
    <xf numFmtId="0" fontId="11" fillId="89" borderId="0" applyNumberFormat="0" applyBorder="0" applyAlignment="0" applyProtection="0"/>
    <xf numFmtId="0" fontId="11" fillId="93" borderId="0" applyNumberFormat="0" applyBorder="0" applyAlignment="0" applyProtection="0"/>
    <xf numFmtId="0" fontId="11" fillId="97" borderId="0" applyNumberFormat="0" applyBorder="0" applyAlignment="0" applyProtection="0"/>
    <xf numFmtId="0" fontId="11" fillId="101" borderId="0" applyNumberFormat="0" applyBorder="0" applyAlignment="0" applyProtection="0"/>
    <xf numFmtId="0" fontId="11" fillId="82" borderId="0" applyNumberFormat="0" applyBorder="0" applyAlignment="0" applyProtection="0"/>
    <xf numFmtId="0" fontId="11" fillId="86" borderId="0" applyNumberFormat="0" applyBorder="0" applyAlignment="0" applyProtection="0"/>
    <xf numFmtId="0" fontId="11" fillId="90" borderId="0" applyNumberFormat="0" applyBorder="0" applyAlignment="0" applyProtection="0"/>
    <xf numFmtId="0" fontId="11" fillId="94" borderId="0" applyNumberFormat="0" applyBorder="0" applyAlignment="0" applyProtection="0"/>
    <xf numFmtId="0" fontId="11" fillId="98" borderId="0" applyNumberFormat="0" applyBorder="0" applyAlignment="0" applyProtection="0"/>
    <xf numFmtId="0" fontId="11" fillId="102" borderId="0" applyNumberFormat="0" applyBorder="0" applyAlignment="0" applyProtection="0"/>
    <xf numFmtId="0" fontId="11" fillId="61" borderId="184" applyNumberFormat="0" applyFont="0" applyAlignment="0" applyProtection="0"/>
    <xf numFmtId="0" fontId="11" fillId="0" borderId="0"/>
    <xf numFmtId="0" fontId="11" fillId="81" borderId="0" applyNumberFormat="0" applyBorder="0" applyAlignment="0" applyProtection="0"/>
    <xf numFmtId="0" fontId="11" fillId="82" borderId="0" applyNumberFormat="0" applyBorder="0" applyAlignment="0" applyProtection="0"/>
    <xf numFmtId="0" fontId="11" fillId="85" borderId="0" applyNumberFormat="0" applyBorder="0" applyAlignment="0" applyProtection="0"/>
    <xf numFmtId="0" fontId="11" fillId="86" borderId="0" applyNumberFormat="0" applyBorder="0" applyAlignment="0" applyProtection="0"/>
    <xf numFmtId="0" fontId="11" fillId="89" borderId="0" applyNumberFormat="0" applyBorder="0" applyAlignment="0" applyProtection="0"/>
    <xf numFmtId="0" fontId="11" fillId="90" borderId="0" applyNumberFormat="0" applyBorder="0" applyAlignment="0" applyProtection="0"/>
    <xf numFmtId="0" fontId="11" fillId="93" borderId="0" applyNumberFormat="0" applyBorder="0" applyAlignment="0" applyProtection="0"/>
    <xf numFmtId="0" fontId="11" fillId="94" borderId="0" applyNumberFormat="0" applyBorder="0" applyAlignment="0" applyProtection="0"/>
    <xf numFmtId="0" fontId="11" fillId="97" borderId="0" applyNumberFormat="0" applyBorder="0" applyAlignment="0" applyProtection="0"/>
    <xf numFmtId="0" fontId="11" fillId="98" borderId="0" applyNumberFormat="0" applyBorder="0" applyAlignment="0" applyProtection="0"/>
    <xf numFmtId="0" fontId="11" fillId="101" borderId="0" applyNumberFormat="0" applyBorder="0" applyAlignment="0" applyProtection="0"/>
    <xf numFmtId="0" fontId="11" fillId="102" borderId="0" applyNumberFormat="0" applyBorder="0" applyAlignment="0" applyProtection="0"/>
    <xf numFmtId="0" fontId="11" fillId="0" borderId="0"/>
    <xf numFmtId="0" fontId="11" fillId="61" borderId="184" applyNumberFormat="0" applyFont="0" applyAlignment="0" applyProtection="0"/>
    <xf numFmtId="0" fontId="17" fillId="0" borderId="0"/>
    <xf numFmtId="0" fontId="11" fillId="0" borderId="0"/>
    <xf numFmtId="0" fontId="67" fillId="0" borderId="0"/>
    <xf numFmtId="0" fontId="11" fillId="0" borderId="0"/>
    <xf numFmtId="0" fontId="11" fillId="81" borderId="0" applyNumberFormat="0" applyBorder="0" applyAlignment="0" applyProtection="0"/>
    <xf numFmtId="0" fontId="11" fillId="85" borderId="0" applyNumberFormat="0" applyBorder="0" applyAlignment="0" applyProtection="0"/>
    <xf numFmtId="0" fontId="11" fillId="89" borderId="0" applyNumberFormat="0" applyBorder="0" applyAlignment="0" applyProtection="0"/>
    <xf numFmtId="0" fontId="11" fillId="93" borderId="0" applyNumberFormat="0" applyBorder="0" applyAlignment="0" applyProtection="0"/>
    <xf numFmtId="0" fontId="11" fillId="97" borderId="0" applyNumberFormat="0" applyBorder="0" applyAlignment="0" applyProtection="0"/>
    <xf numFmtId="0" fontId="11" fillId="101" borderId="0" applyNumberFormat="0" applyBorder="0" applyAlignment="0" applyProtection="0"/>
    <xf numFmtId="0" fontId="11" fillId="82" borderId="0" applyNumberFormat="0" applyBorder="0" applyAlignment="0" applyProtection="0"/>
    <xf numFmtId="0" fontId="11" fillId="86" borderId="0" applyNumberFormat="0" applyBorder="0" applyAlignment="0" applyProtection="0"/>
    <xf numFmtId="0" fontId="11" fillId="90" borderId="0" applyNumberFormat="0" applyBorder="0" applyAlignment="0" applyProtection="0"/>
    <xf numFmtId="0" fontId="11" fillId="94" borderId="0" applyNumberFormat="0" applyBorder="0" applyAlignment="0" applyProtection="0"/>
    <xf numFmtId="0" fontId="11" fillId="98" borderId="0" applyNumberFormat="0" applyBorder="0" applyAlignment="0" applyProtection="0"/>
    <xf numFmtId="0" fontId="11" fillId="102" borderId="0" applyNumberFormat="0" applyBorder="0" applyAlignment="0" applyProtection="0"/>
    <xf numFmtId="0" fontId="11" fillId="61" borderId="184" applyNumberFormat="0" applyFont="0" applyAlignment="0" applyProtection="0"/>
    <xf numFmtId="0" fontId="11" fillId="0" borderId="0"/>
    <xf numFmtId="0" fontId="11" fillId="0" borderId="0"/>
    <xf numFmtId="0" fontId="11" fillId="0" borderId="0"/>
    <xf numFmtId="0" fontId="17" fillId="0" borderId="0"/>
    <xf numFmtId="0" fontId="11" fillId="0" borderId="0"/>
    <xf numFmtId="0" fontId="11" fillId="0" borderId="0"/>
    <xf numFmtId="0" fontId="11" fillId="0" borderId="0"/>
    <xf numFmtId="0" fontId="17" fillId="0" borderId="0"/>
    <xf numFmtId="0" fontId="17" fillId="0" borderId="0"/>
    <xf numFmtId="0" fontId="11" fillId="61" borderId="184" applyNumberFormat="0" applyFont="0" applyAlignment="0" applyProtection="0"/>
    <xf numFmtId="0" fontId="11" fillId="81" borderId="0" applyNumberFormat="0" applyBorder="0" applyAlignment="0" applyProtection="0"/>
    <xf numFmtId="0" fontId="11" fillId="82" borderId="0" applyNumberFormat="0" applyBorder="0" applyAlignment="0" applyProtection="0"/>
    <xf numFmtId="0" fontId="11" fillId="85" borderId="0" applyNumberFormat="0" applyBorder="0" applyAlignment="0" applyProtection="0"/>
    <xf numFmtId="0" fontId="11" fillId="86" borderId="0" applyNumberFormat="0" applyBorder="0" applyAlignment="0" applyProtection="0"/>
    <xf numFmtId="0" fontId="11" fillId="89" borderId="0" applyNumberFormat="0" applyBorder="0" applyAlignment="0" applyProtection="0"/>
    <xf numFmtId="0" fontId="11" fillId="90" borderId="0" applyNumberFormat="0" applyBorder="0" applyAlignment="0" applyProtection="0"/>
    <xf numFmtId="0" fontId="11" fillId="93" borderId="0" applyNumberFormat="0" applyBorder="0" applyAlignment="0" applyProtection="0"/>
    <xf numFmtId="0" fontId="11" fillId="94" borderId="0" applyNumberFormat="0" applyBorder="0" applyAlignment="0" applyProtection="0"/>
    <xf numFmtId="0" fontId="11" fillId="97" borderId="0" applyNumberFormat="0" applyBorder="0" applyAlignment="0" applyProtection="0"/>
    <xf numFmtId="0" fontId="11" fillId="98" borderId="0" applyNumberFormat="0" applyBorder="0" applyAlignment="0" applyProtection="0"/>
    <xf numFmtId="0" fontId="11" fillId="101" borderId="0" applyNumberFormat="0" applyBorder="0" applyAlignment="0" applyProtection="0"/>
    <xf numFmtId="0" fontId="11" fillId="102" borderId="0" applyNumberFormat="0" applyBorder="0" applyAlignment="0" applyProtection="0"/>
    <xf numFmtId="0" fontId="17" fillId="0" borderId="0"/>
    <xf numFmtId="0" fontId="11" fillId="61" borderId="184" applyNumberFormat="0" applyFont="0" applyAlignment="0" applyProtection="0"/>
    <xf numFmtId="0" fontId="11" fillId="81" borderId="0" applyNumberFormat="0" applyBorder="0" applyAlignment="0" applyProtection="0"/>
    <xf numFmtId="0" fontId="11" fillId="82" borderId="0" applyNumberFormat="0" applyBorder="0" applyAlignment="0" applyProtection="0"/>
    <xf numFmtId="0" fontId="11" fillId="85" borderId="0" applyNumberFormat="0" applyBorder="0" applyAlignment="0" applyProtection="0"/>
    <xf numFmtId="0" fontId="11" fillId="86" borderId="0" applyNumberFormat="0" applyBorder="0" applyAlignment="0" applyProtection="0"/>
    <xf numFmtId="0" fontId="11" fillId="89" borderId="0" applyNumberFormat="0" applyBorder="0" applyAlignment="0" applyProtection="0"/>
    <xf numFmtId="0" fontId="11" fillId="90" borderId="0" applyNumberFormat="0" applyBorder="0" applyAlignment="0" applyProtection="0"/>
    <xf numFmtId="0" fontId="11" fillId="93" borderId="0" applyNumberFormat="0" applyBorder="0" applyAlignment="0" applyProtection="0"/>
    <xf numFmtId="0" fontId="11" fillId="94" borderId="0" applyNumberFormat="0" applyBorder="0" applyAlignment="0" applyProtection="0"/>
    <xf numFmtId="0" fontId="11" fillId="97" borderId="0" applyNumberFormat="0" applyBorder="0" applyAlignment="0" applyProtection="0"/>
    <xf numFmtId="0" fontId="11" fillId="98" borderId="0" applyNumberFormat="0" applyBorder="0" applyAlignment="0" applyProtection="0"/>
    <xf numFmtId="0" fontId="11" fillId="101" borderId="0" applyNumberFormat="0" applyBorder="0" applyAlignment="0" applyProtection="0"/>
    <xf numFmtId="0" fontId="11" fillId="102" borderId="0" applyNumberFormat="0" applyBorder="0" applyAlignment="0" applyProtection="0"/>
    <xf numFmtId="0" fontId="11" fillId="0" borderId="0"/>
    <xf numFmtId="9" fontId="11" fillId="0" borderId="0" applyFont="0" applyFill="0" applyBorder="0" applyAlignment="0" applyProtection="0"/>
    <xf numFmtId="0" fontId="192" fillId="0" borderId="0" applyNumberFormat="0" applyFill="0" applyBorder="0" applyAlignment="0" applyProtection="0"/>
    <xf numFmtId="0" fontId="17" fillId="0" borderId="0"/>
    <xf numFmtId="0" fontId="11" fillId="61" borderId="184" applyNumberFormat="0" applyFont="0" applyAlignment="0" applyProtection="0"/>
    <xf numFmtId="0" fontId="11" fillId="81" borderId="0" applyNumberFormat="0" applyBorder="0" applyAlignment="0" applyProtection="0"/>
    <xf numFmtId="0" fontId="11" fillId="82" borderId="0" applyNumberFormat="0" applyBorder="0" applyAlignment="0" applyProtection="0"/>
    <xf numFmtId="0" fontId="11" fillId="85" borderId="0" applyNumberFormat="0" applyBorder="0" applyAlignment="0" applyProtection="0"/>
    <xf numFmtId="0" fontId="11" fillId="86" borderId="0" applyNumberFormat="0" applyBorder="0" applyAlignment="0" applyProtection="0"/>
    <xf numFmtId="0" fontId="11" fillId="89" borderId="0" applyNumberFormat="0" applyBorder="0" applyAlignment="0" applyProtection="0"/>
    <xf numFmtId="0" fontId="11" fillId="90" borderId="0" applyNumberFormat="0" applyBorder="0" applyAlignment="0" applyProtection="0"/>
    <xf numFmtId="0" fontId="11" fillId="93" borderId="0" applyNumberFormat="0" applyBorder="0" applyAlignment="0" applyProtection="0"/>
    <xf numFmtId="0" fontId="11" fillId="94" borderId="0" applyNumberFormat="0" applyBorder="0" applyAlignment="0" applyProtection="0"/>
    <xf numFmtId="0" fontId="11" fillId="97" borderId="0" applyNumberFormat="0" applyBorder="0" applyAlignment="0" applyProtection="0"/>
    <xf numFmtId="0" fontId="11" fillId="98" borderId="0" applyNumberFormat="0" applyBorder="0" applyAlignment="0" applyProtection="0"/>
    <xf numFmtId="0" fontId="11" fillId="101" borderId="0" applyNumberFormat="0" applyBorder="0" applyAlignment="0" applyProtection="0"/>
    <xf numFmtId="0" fontId="11" fillId="102" borderId="0" applyNumberFormat="0" applyBorder="0" applyAlignment="0" applyProtection="0"/>
    <xf numFmtId="0" fontId="11" fillId="0" borderId="0"/>
    <xf numFmtId="0" fontId="11" fillId="81" borderId="0" applyNumberFormat="0" applyBorder="0" applyAlignment="0" applyProtection="0"/>
    <xf numFmtId="0" fontId="11" fillId="85" borderId="0" applyNumberFormat="0" applyBorder="0" applyAlignment="0" applyProtection="0"/>
    <xf numFmtId="0" fontId="11" fillId="89" borderId="0" applyNumberFormat="0" applyBorder="0" applyAlignment="0" applyProtection="0"/>
    <xf numFmtId="0" fontId="11" fillId="93" borderId="0" applyNumberFormat="0" applyBorder="0" applyAlignment="0" applyProtection="0"/>
    <xf numFmtId="0" fontId="11" fillId="97" borderId="0" applyNumberFormat="0" applyBorder="0" applyAlignment="0" applyProtection="0"/>
    <xf numFmtId="0" fontId="11" fillId="101" borderId="0" applyNumberFormat="0" applyBorder="0" applyAlignment="0" applyProtection="0"/>
    <xf numFmtId="0" fontId="11" fillId="82" borderId="0" applyNumberFormat="0" applyBorder="0" applyAlignment="0" applyProtection="0"/>
    <xf numFmtId="0" fontId="11" fillId="86" borderId="0" applyNumberFormat="0" applyBorder="0" applyAlignment="0" applyProtection="0"/>
    <xf numFmtId="0" fontId="11" fillId="90" borderId="0" applyNumberFormat="0" applyBorder="0" applyAlignment="0" applyProtection="0"/>
    <xf numFmtId="0" fontId="11" fillId="94" borderId="0" applyNumberFormat="0" applyBorder="0" applyAlignment="0" applyProtection="0"/>
    <xf numFmtId="0" fontId="11" fillId="98" borderId="0" applyNumberFormat="0" applyBorder="0" applyAlignment="0" applyProtection="0"/>
    <xf numFmtId="0" fontId="11" fillId="102" borderId="0" applyNumberFormat="0" applyBorder="0" applyAlignment="0" applyProtection="0"/>
    <xf numFmtId="0" fontId="11" fillId="61" borderId="184" applyNumberFormat="0" applyFont="0" applyAlignment="0" applyProtection="0"/>
    <xf numFmtId="0" fontId="193" fillId="0" borderId="0" applyNumberFormat="0" applyFill="0" applyBorder="0" applyAlignment="0" applyProtection="0"/>
    <xf numFmtId="0" fontId="17" fillId="0" borderId="0"/>
    <xf numFmtId="0" fontId="11" fillId="0" borderId="0"/>
    <xf numFmtId="0" fontId="17" fillId="0" borderId="0"/>
    <xf numFmtId="0" fontId="11" fillId="0" borderId="0"/>
    <xf numFmtId="0" fontId="11" fillId="0" borderId="0"/>
    <xf numFmtId="0" fontId="10" fillId="0" borderId="0"/>
    <xf numFmtId="0" fontId="10" fillId="0" borderId="0"/>
    <xf numFmtId="0" fontId="10" fillId="81" borderId="0" applyNumberFormat="0" applyBorder="0" applyAlignment="0" applyProtection="0"/>
    <xf numFmtId="0" fontId="10" fillId="85" borderId="0" applyNumberFormat="0" applyBorder="0" applyAlignment="0" applyProtection="0"/>
    <xf numFmtId="0" fontId="10" fillId="89" borderId="0" applyNumberFormat="0" applyBorder="0" applyAlignment="0" applyProtection="0"/>
    <xf numFmtId="0" fontId="10" fillId="93" borderId="0" applyNumberFormat="0" applyBorder="0" applyAlignment="0" applyProtection="0"/>
    <xf numFmtId="0" fontId="10" fillId="97" borderId="0" applyNumberFormat="0" applyBorder="0" applyAlignment="0" applyProtection="0"/>
    <xf numFmtId="0" fontId="10" fillId="101" borderId="0" applyNumberFormat="0" applyBorder="0" applyAlignment="0" applyProtection="0"/>
    <xf numFmtId="0" fontId="10" fillId="82" borderId="0" applyNumberFormat="0" applyBorder="0" applyAlignment="0" applyProtection="0"/>
    <xf numFmtId="0" fontId="10" fillId="86" borderId="0" applyNumberFormat="0" applyBorder="0" applyAlignment="0" applyProtection="0"/>
    <xf numFmtId="0" fontId="10" fillId="90" borderId="0" applyNumberFormat="0" applyBorder="0" applyAlignment="0" applyProtection="0"/>
    <xf numFmtId="0" fontId="10" fillId="94" borderId="0" applyNumberFormat="0" applyBorder="0" applyAlignment="0" applyProtection="0"/>
    <xf numFmtId="0" fontId="10" fillId="98" borderId="0" applyNumberFormat="0" applyBorder="0" applyAlignment="0" applyProtection="0"/>
    <xf numFmtId="0" fontId="10" fillId="102" borderId="0" applyNumberFormat="0" applyBorder="0" applyAlignment="0" applyProtection="0"/>
    <xf numFmtId="0" fontId="10" fillId="61" borderId="184" applyNumberFormat="0" applyFont="0" applyAlignment="0" applyProtection="0"/>
    <xf numFmtId="0" fontId="10" fillId="0" borderId="0"/>
    <xf numFmtId="0" fontId="10" fillId="81" borderId="0" applyNumberFormat="0" applyBorder="0" applyAlignment="0" applyProtection="0"/>
    <xf numFmtId="0" fontId="10" fillId="82" borderId="0" applyNumberFormat="0" applyBorder="0" applyAlignment="0" applyProtection="0"/>
    <xf numFmtId="0" fontId="10" fillId="85" borderId="0" applyNumberFormat="0" applyBorder="0" applyAlignment="0" applyProtection="0"/>
    <xf numFmtId="0" fontId="10" fillId="86" borderId="0" applyNumberFormat="0" applyBorder="0" applyAlignment="0" applyProtection="0"/>
    <xf numFmtId="0" fontId="10" fillId="89" borderId="0" applyNumberFormat="0" applyBorder="0" applyAlignment="0" applyProtection="0"/>
    <xf numFmtId="0" fontId="10" fillId="90" borderId="0" applyNumberFormat="0" applyBorder="0" applyAlignment="0" applyProtection="0"/>
    <xf numFmtId="0" fontId="10" fillId="93" borderId="0" applyNumberFormat="0" applyBorder="0" applyAlignment="0" applyProtection="0"/>
    <xf numFmtId="0" fontId="10" fillId="94" borderId="0" applyNumberFormat="0" applyBorder="0" applyAlignment="0" applyProtection="0"/>
    <xf numFmtId="0" fontId="10" fillId="97" borderId="0" applyNumberFormat="0" applyBorder="0" applyAlignment="0" applyProtection="0"/>
    <xf numFmtId="0" fontId="10" fillId="98" borderId="0" applyNumberFormat="0" applyBorder="0" applyAlignment="0" applyProtection="0"/>
    <xf numFmtId="0" fontId="10" fillId="101" borderId="0" applyNumberFormat="0" applyBorder="0" applyAlignment="0" applyProtection="0"/>
    <xf numFmtId="0" fontId="10" fillId="102" borderId="0" applyNumberFormat="0" applyBorder="0" applyAlignment="0" applyProtection="0"/>
    <xf numFmtId="0" fontId="10" fillId="0" borderId="0"/>
    <xf numFmtId="0" fontId="10" fillId="61" borderId="184" applyNumberFormat="0" applyFont="0" applyAlignment="0" applyProtection="0"/>
    <xf numFmtId="0" fontId="10" fillId="0" borderId="0"/>
    <xf numFmtId="0" fontId="10" fillId="0" borderId="0"/>
    <xf numFmtId="0" fontId="10" fillId="81" borderId="0" applyNumberFormat="0" applyBorder="0" applyAlignment="0" applyProtection="0"/>
    <xf numFmtId="0" fontId="10" fillId="85" borderId="0" applyNumberFormat="0" applyBorder="0" applyAlignment="0" applyProtection="0"/>
    <xf numFmtId="0" fontId="10" fillId="89" borderId="0" applyNumberFormat="0" applyBorder="0" applyAlignment="0" applyProtection="0"/>
    <xf numFmtId="0" fontId="10" fillId="93" borderId="0" applyNumberFormat="0" applyBorder="0" applyAlignment="0" applyProtection="0"/>
    <xf numFmtId="0" fontId="10" fillId="97" borderId="0" applyNumberFormat="0" applyBorder="0" applyAlignment="0" applyProtection="0"/>
    <xf numFmtId="0" fontId="10" fillId="101" borderId="0" applyNumberFormat="0" applyBorder="0" applyAlignment="0" applyProtection="0"/>
    <xf numFmtId="0" fontId="10" fillId="82" borderId="0" applyNumberFormat="0" applyBorder="0" applyAlignment="0" applyProtection="0"/>
    <xf numFmtId="0" fontId="10" fillId="86" borderId="0" applyNumberFormat="0" applyBorder="0" applyAlignment="0" applyProtection="0"/>
    <xf numFmtId="0" fontId="10" fillId="90" borderId="0" applyNumberFormat="0" applyBorder="0" applyAlignment="0" applyProtection="0"/>
    <xf numFmtId="0" fontId="10" fillId="94" borderId="0" applyNumberFormat="0" applyBorder="0" applyAlignment="0" applyProtection="0"/>
    <xf numFmtId="0" fontId="10" fillId="98" borderId="0" applyNumberFormat="0" applyBorder="0" applyAlignment="0" applyProtection="0"/>
    <xf numFmtId="0" fontId="10" fillId="102" borderId="0" applyNumberFormat="0" applyBorder="0" applyAlignment="0" applyProtection="0"/>
    <xf numFmtId="0" fontId="10" fillId="61" borderId="184" applyNumberFormat="0" applyFont="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61" borderId="184" applyNumberFormat="0" applyFont="0" applyAlignment="0" applyProtection="0"/>
    <xf numFmtId="0" fontId="10" fillId="81" borderId="0" applyNumberFormat="0" applyBorder="0" applyAlignment="0" applyProtection="0"/>
    <xf numFmtId="0" fontId="10" fillId="82" borderId="0" applyNumberFormat="0" applyBorder="0" applyAlignment="0" applyProtection="0"/>
    <xf numFmtId="0" fontId="10" fillId="85" borderId="0" applyNumberFormat="0" applyBorder="0" applyAlignment="0" applyProtection="0"/>
    <xf numFmtId="0" fontId="10" fillId="86" borderId="0" applyNumberFormat="0" applyBorder="0" applyAlignment="0" applyProtection="0"/>
    <xf numFmtId="0" fontId="10" fillId="89" borderId="0" applyNumberFormat="0" applyBorder="0" applyAlignment="0" applyProtection="0"/>
    <xf numFmtId="0" fontId="10" fillId="90" borderId="0" applyNumberFormat="0" applyBorder="0" applyAlignment="0" applyProtection="0"/>
    <xf numFmtId="0" fontId="10" fillId="93" borderId="0" applyNumberFormat="0" applyBorder="0" applyAlignment="0" applyProtection="0"/>
    <xf numFmtId="0" fontId="10" fillId="94" borderId="0" applyNumberFormat="0" applyBorder="0" applyAlignment="0" applyProtection="0"/>
    <xf numFmtId="0" fontId="10" fillId="97" borderId="0" applyNumberFormat="0" applyBorder="0" applyAlignment="0" applyProtection="0"/>
    <xf numFmtId="0" fontId="10" fillId="98" borderId="0" applyNumberFormat="0" applyBorder="0" applyAlignment="0" applyProtection="0"/>
    <xf numFmtId="0" fontId="10" fillId="101" borderId="0" applyNumberFormat="0" applyBorder="0" applyAlignment="0" applyProtection="0"/>
    <xf numFmtId="0" fontId="10" fillId="102" borderId="0" applyNumberFormat="0" applyBorder="0" applyAlignment="0" applyProtection="0"/>
    <xf numFmtId="0" fontId="10" fillId="61" borderId="184" applyNumberFormat="0" applyFont="0" applyAlignment="0" applyProtection="0"/>
    <xf numFmtId="0" fontId="10" fillId="81" borderId="0" applyNumberFormat="0" applyBorder="0" applyAlignment="0" applyProtection="0"/>
    <xf numFmtId="0" fontId="10" fillId="82" borderId="0" applyNumberFormat="0" applyBorder="0" applyAlignment="0" applyProtection="0"/>
    <xf numFmtId="0" fontId="10" fillId="85" borderId="0" applyNumberFormat="0" applyBorder="0" applyAlignment="0" applyProtection="0"/>
    <xf numFmtId="0" fontId="10" fillId="86" borderId="0" applyNumberFormat="0" applyBorder="0" applyAlignment="0" applyProtection="0"/>
    <xf numFmtId="0" fontId="10" fillId="89" borderId="0" applyNumberFormat="0" applyBorder="0" applyAlignment="0" applyProtection="0"/>
    <xf numFmtId="0" fontId="10" fillId="90" borderId="0" applyNumberFormat="0" applyBorder="0" applyAlignment="0" applyProtection="0"/>
    <xf numFmtId="0" fontId="10" fillId="93" borderId="0" applyNumberFormat="0" applyBorder="0" applyAlignment="0" applyProtection="0"/>
    <xf numFmtId="0" fontId="10" fillId="94" borderId="0" applyNumberFormat="0" applyBorder="0" applyAlignment="0" applyProtection="0"/>
    <xf numFmtId="0" fontId="10" fillId="97" borderId="0" applyNumberFormat="0" applyBorder="0" applyAlignment="0" applyProtection="0"/>
    <xf numFmtId="0" fontId="10" fillId="98" borderId="0" applyNumberFormat="0" applyBorder="0" applyAlignment="0" applyProtection="0"/>
    <xf numFmtId="0" fontId="10" fillId="101" borderId="0" applyNumberFormat="0" applyBorder="0" applyAlignment="0" applyProtection="0"/>
    <xf numFmtId="0" fontId="10" fillId="102" borderId="0" applyNumberFormat="0" applyBorder="0" applyAlignment="0" applyProtection="0"/>
    <xf numFmtId="0" fontId="10" fillId="0" borderId="0"/>
    <xf numFmtId="9" fontId="10" fillId="0" borderId="0" applyFont="0" applyFill="0" applyBorder="0" applyAlignment="0" applyProtection="0"/>
    <xf numFmtId="0" fontId="10" fillId="61" borderId="184" applyNumberFormat="0" applyFont="0" applyAlignment="0" applyProtection="0"/>
    <xf numFmtId="0" fontId="10" fillId="81" borderId="0" applyNumberFormat="0" applyBorder="0" applyAlignment="0" applyProtection="0"/>
    <xf numFmtId="0" fontId="10" fillId="82" borderId="0" applyNumberFormat="0" applyBorder="0" applyAlignment="0" applyProtection="0"/>
    <xf numFmtId="0" fontId="10" fillId="85" borderId="0" applyNumberFormat="0" applyBorder="0" applyAlignment="0" applyProtection="0"/>
    <xf numFmtId="0" fontId="10" fillId="86" borderId="0" applyNumberFormat="0" applyBorder="0" applyAlignment="0" applyProtection="0"/>
    <xf numFmtId="0" fontId="10" fillId="89" borderId="0" applyNumberFormat="0" applyBorder="0" applyAlignment="0" applyProtection="0"/>
    <xf numFmtId="0" fontId="10" fillId="90" borderId="0" applyNumberFormat="0" applyBorder="0" applyAlignment="0" applyProtection="0"/>
    <xf numFmtId="0" fontId="10" fillId="93" borderId="0" applyNumberFormat="0" applyBorder="0" applyAlignment="0" applyProtection="0"/>
    <xf numFmtId="0" fontId="10" fillId="94" borderId="0" applyNumberFormat="0" applyBorder="0" applyAlignment="0" applyProtection="0"/>
    <xf numFmtId="0" fontId="10" fillId="97" borderId="0" applyNumberFormat="0" applyBorder="0" applyAlignment="0" applyProtection="0"/>
    <xf numFmtId="0" fontId="10" fillId="98" borderId="0" applyNumberFormat="0" applyBorder="0" applyAlignment="0" applyProtection="0"/>
    <xf numFmtId="0" fontId="10" fillId="101" borderId="0" applyNumberFormat="0" applyBorder="0" applyAlignment="0" applyProtection="0"/>
    <xf numFmtId="0" fontId="10" fillId="102" borderId="0" applyNumberFormat="0" applyBorder="0" applyAlignment="0" applyProtection="0"/>
    <xf numFmtId="0" fontId="10" fillId="0" borderId="0"/>
    <xf numFmtId="0" fontId="10" fillId="81" borderId="0" applyNumberFormat="0" applyBorder="0" applyAlignment="0" applyProtection="0"/>
    <xf numFmtId="0" fontId="10" fillId="85" borderId="0" applyNumberFormat="0" applyBorder="0" applyAlignment="0" applyProtection="0"/>
    <xf numFmtId="0" fontId="10" fillId="89" borderId="0" applyNumberFormat="0" applyBorder="0" applyAlignment="0" applyProtection="0"/>
    <xf numFmtId="0" fontId="10" fillId="93" borderId="0" applyNumberFormat="0" applyBorder="0" applyAlignment="0" applyProtection="0"/>
    <xf numFmtId="0" fontId="10" fillId="97" borderId="0" applyNumberFormat="0" applyBorder="0" applyAlignment="0" applyProtection="0"/>
    <xf numFmtId="0" fontId="10" fillId="101" borderId="0" applyNumberFormat="0" applyBorder="0" applyAlignment="0" applyProtection="0"/>
    <xf numFmtId="0" fontId="10" fillId="82" borderId="0" applyNumberFormat="0" applyBorder="0" applyAlignment="0" applyProtection="0"/>
    <xf numFmtId="0" fontId="10" fillId="86" borderId="0" applyNumberFormat="0" applyBorder="0" applyAlignment="0" applyProtection="0"/>
    <xf numFmtId="0" fontId="10" fillId="90" borderId="0" applyNumberFormat="0" applyBorder="0" applyAlignment="0" applyProtection="0"/>
    <xf numFmtId="0" fontId="10" fillId="94" borderId="0" applyNumberFormat="0" applyBorder="0" applyAlignment="0" applyProtection="0"/>
    <xf numFmtId="0" fontId="10" fillId="98" borderId="0" applyNumberFormat="0" applyBorder="0" applyAlignment="0" applyProtection="0"/>
    <xf numFmtId="0" fontId="10" fillId="102" borderId="0" applyNumberFormat="0" applyBorder="0" applyAlignment="0" applyProtection="0"/>
    <xf numFmtId="0" fontId="10" fillId="61" borderId="184" applyNumberFormat="0" applyFont="0" applyAlignment="0" applyProtection="0"/>
    <xf numFmtId="0" fontId="10" fillId="0" borderId="0"/>
    <xf numFmtId="0" fontId="10" fillId="0" borderId="0"/>
    <xf numFmtId="0" fontId="10" fillId="0" borderId="0"/>
    <xf numFmtId="0" fontId="9" fillId="0" borderId="0"/>
    <xf numFmtId="0" fontId="9" fillId="0" borderId="0"/>
    <xf numFmtId="0" fontId="9" fillId="81" borderId="0" applyNumberFormat="0" applyBorder="0" applyAlignment="0" applyProtection="0"/>
    <xf numFmtId="0" fontId="9" fillId="85" borderId="0" applyNumberFormat="0" applyBorder="0" applyAlignment="0" applyProtection="0"/>
    <xf numFmtId="0" fontId="9" fillId="89" borderId="0" applyNumberFormat="0" applyBorder="0" applyAlignment="0" applyProtection="0"/>
    <xf numFmtId="0" fontId="9" fillId="93" borderId="0" applyNumberFormat="0" applyBorder="0" applyAlignment="0" applyProtection="0"/>
    <xf numFmtId="0" fontId="9" fillId="97" borderId="0" applyNumberFormat="0" applyBorder="0" applyAlignment="0" applyProtection="0"/>
    <xf numFmtId="0" fontId="9" fillId="101" borderId="0" applyNumberFormat="0" applyBorder="0" applyAlignment="0" applyProtection="0"/>
    <xf numFmtId="0" fontId="9" fillId="82" borderId="0" applyNumberFormat="0" applyBorder="0" applyAlignment="0" applyProtection="0"/>
    <xf numFmtId="0" fontId="9" fillId="86" borderId="0" applyNumberFormat="0" applyBorder="0" applyAlignment="0" applyProtection="0"/>
    <xf numFmtId="0" fontId="9" fillId="90" borderId="0" applyNumberFormat="0" applyBorder="0" applyAlignment="0" applyProtection="0"/>
    <xf numFmtId="0" fontId="9" fillId="94" borderId="0" applyNumberFormat="0" applyBorder="0" applyAlignment="0" applyProtection="0"/>
    <xf numFmtId="0" fontId="9" fillId="98" borderId="0" applyNumberFormat="0" applyBorder="0" applyAlignment="0" applyProtection="0"/>
    <xf numFmtId="0" fontId="9" fillId="102" borderId="0" applyNumberFormat="0" applyBorder="0" applyAlignment="0" applyProtection="0"/>
    <xf numFmtId="0" fontId="9" fillId="61" borderId="184" applyNumberFormat="0" applyFont="0" applyAlignment="0" applyProtection="0"/>
    <xf numFmtId="0" fontId="9" fillId="0" borderId="0"/>
    <xf numFmtId="0" fontId="9" fillId="81" borderId="0" applyNumberFormat="0" applyBorder="0" applyAlignment="0" applyProtection="0"/>
    <xf numFmtId="0" fontId="9" fillId="82" borderId="0" applyNumberFormat="0" applyBorder="0" applyAlignment="0" applyProtection="0"/>
    <xf numFmtId="0" fontId="9" fillId="85" borderId="0" applyNumberFormat="0" applyBorder="0" applyAlignment="0" applyProtection="0"/>
    <xf numFmtId="0" fontId="9" fillId="86" borderId="0" applyNumberFormat="0" applyBorder="0" applyAlignment="0" applyProtection="0"/>
    <xf numFmtId="0" fontId="9" fillId="89" borderId="0" applyNumberFormat="0" applyBorder="0" applyAlignment="0" applyProtection="0"/>
    <xf numFmtId="0" fontId="9" fillId="90" borderId="0" applyNumberFormat="0" applyBorder="0" applyAlignment="0" applyProtection="0"/>
    <xf numFmtId="0" fontId="9" fillId="93" borderId="0" applyNumberFormat="0" applyBorder="0" applyAlignment="0" applyProtection="0"/>
    <xf numFmtId="0" fontId="9" fillId="94" borderId="0" applyNumberFormat="0" applyBorder="0" applyAlignment="0" applyProtection="0"/>
    <xf numFmtId="0" fontId="9" fillId="97" borderId="0" applyNumberFormat="0" applyBorder="0" applyAlignment="0" applyProtection="0"/>
    <xf numFmtId="0" fontId="9" fillId="98" borderId="0" applyNumberFormat="0" applyBorder="0" applyAlignment="0" applyProtection="0"/>
    <xf numFmtId="0" fontId="9" fillId="101" borderId="0" applyNumberFormat="0" applyBorder="0" applyAlignment="0" applyProtection="0"/>
    <xf numFmtId="0" fontId="9" fillId="102" borderId="0" applyNumberFormat="0" applyBorder="0" applyAlignment="0" applyProtection="0"/>
    <xf numFmtId="0" fontId="9" fillId="0" borderId="0"/>
    <xf numFmtId="0" fontId="9" fillId="61" borderId="184" applyNumberFormat="0" applyFont="0" applyAlignment="0" applyProtection="0"/>
    <xf numFmtId="0" fontId="9" fillId="0" borderId="0"/>
    <xf numFmtId="0" fontId="9" fillId="0" borderId="0"/>
    <xf numFmtId="0" fontId="9" fillId="81" borderId="0" applyNumberFormat="0" applyBorder="0" applyAlignment="0" applyProtection="0"/>
    <xf numFmtId="0" fontId="9" fillId="85" borderId="0" applyNumberFormat="0" applyBorder="0" applyAlignment="0" applyProtection="0"/>
    <xf numFmtId="0" fontId="9" fillId="89" borderId="0" applyNumberFormat="0" applyBorder="0" applyAlignment="0" applyProtection="0"/>
    <xf numFmtId="0" fontId="9" fillId="93" borderId="0" applyNumberFormat="0" applyBorder="0" applyAlignment="0" applyProtection="0"/>
    <xf numFmtId="0" fontId="9" fillId="97" borderId="0" applyNumberFormat="0" applyBorder="0" applyAlignment="0" applyProtection="0"/>
    <xf numFmtId="0" fontId="9" fillId="101" borderId="0" applyNumberFormat="0" applyBorder="0" applyAlignment="0" applyProtection="0"/>
    <xf numFmtId="0" fontId="9" fillId="82" borderId="0" applyNumberFormat="0" applyBorder="0" applyAlignment="0" applyProtection="0"/>
    <xf numFmtId="0" fontId="9" fillId="86" borderId="0" applyNumberFormat="0" applyBorder="0" applyAlignment="0" applyProtection="0"/>
    <xf numFmtId="0" fontId="9" fillId="90" borderId="0" applyNumberFormat="0" applyBorder="0" applyAlignment="0" applyProtection="0"/>
    <xf numFmtId="0" fontId="9" fillId="94" borderId="0" applyNumberFormat="0" applyBorder="0" applyAlignment="0" applyProtection="0"/>
    <xf numFmtId="0" fontId="9" fillId="98" borderId="0" applyNumberFormat="0" applyBorder="0" applyAlignment="0" applyProtection="0"/>
    <xf numFmtId="0" fontId="9" fillId="102" borderId="0" applyNumberFormat="0" applyBorder="0" applyAlignment="0" applyProtection="0"/>
    <xf numFmtId="0" fontId="9" fillId="61" borderId="184" applyNumberFormat="0" applyFont="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61" borderId="184" applyNumberFormat="0" applyFont="0" applyAlignment="0" applyProtection="0"/>
    <xf numFmtId="0" fontId="9" fillId="81" borderId="0" applyNumberFormat="0" applyBorder="0" applyAlignment="0" applyProtection="0"/>
    <xf numFmtId="0" fontId="9" fillId="82" borderId="0" applyNumberFormat="0" applyBorder="0" applyAlignment="0" applyProtection="0"/>
    <xf numFmtId="0" fontId="9" fillId="85" borderId="0" applyNumberFormat="0" applyBorder="0" applyAlignment="0" applyProtection="0"/>
    <xf numFmtId="0" fontId="9" fillId="86" borderId="0" applyNumberFormat="0" applyBorder="0" applyAlignment="0" applyProtection="0"/>
    <xf numFmtId="0" fontId="9" fillId="89" borderId="0" applyNumberFormat="0" applyBorder="0" applyAlignment="0" applyProtection="0"/>
    <xf numFmtId="0" fontId="9" fillId="90" borderId="0" applyNumberFormat="0" applyBorder="0" applyAlignment="0" applyProtection="0"/>
    <xf numFmtId="0" fontId="9" fillId="93" borderId="0" applyNumberFormat="0" applyBorder="0" applyAlignment="0" applyProtection="0"/>
    <xf numFmtId="0" fontId="9" fillId="94" borderId="0" applyNumberFormat="0" applyBorder="0" applyAlignment="0" applyProtection="0"/>
    <xf numFmtId="0" fontId="9" fillId="97" borderId="0" applyNumberFormat="0" applyBorder="0" applyAlignment="0" applyProtection="0"/>
    <xf numFmtId="0" fontId="9" fillId="98" borderId="0" applyNumberFormat="0" applyBorder="0" applyAlignment="0" applyProtection="0"/>
    <xf numFmtId="0" fontId="9" fillId="101" borderId="0" applyNumberFormat="0" applyBorder="0" applyAlignment="0" applyProtection="0"/>
    <xf numFmtId="0" fontId="9" fillId="102" borderId="0" applyNumberFormat="0" applyBorder="0" applyAlignment="0" applyProtection="0"/>
    <xf numFmtId="0" fontId="9" fillId="61" borderId="184" applyNumberFormat="0" applyFont="0" applyAlignment="0" applyProtection="0"/>
    <xf numFmtId="0" fontId="9" fillId="81" borderId="0" applyNumberFormat="0" applyBorder="0" applyAlignment="0" applyProtection="0"/>
    <xf numFmtId="0" fontId="9" fillId="82" borderId="0" applyNumberFormat="0" applyBorder="0" applyAlignment="0" applyProtection="0"/>
    <xf numFmtId="0" fontId="9" fillId="85" borderId="0" applyNumberFormat="0" applyBorder="0" applyAlignment="0" applyProtection="0"/>
    <xf numFmtId="0" fontId="9" fillId="86" borderId="0" applyNumberFormat="0" applyBorder="0" applyAlignment="0" applyProtection="0"/>
    <xf numFmtId="0" fontId="9" fillId="89" borderId="0" applyNumberFormat="0" applyBorder="0" applyAlignment="0" applyProtection="0"/>
    <xf numFmtId="0" fontId="9" fillId="90" borderId="0" applyNumberFormat="0" applyBorder="0" applyAlignment="0" applyProtection="0"/>
    <xf numFmtId="0" fontId="9" fillId="93" borderId="0" applyNumberFormat="0" applyBorder="0" applyAlignment="0" applyProtection="0"/>
    <xf numFmtId="0" fontId="9" fillId="94" borderId="0" applyNumberFormat="0" applyBorder="0" applyAlignment="0" applyProtection="0"/>
    <xf numFmtId="0" fontId="9" fillId="97" borderId="0" applyNumberFormat="0" applyBorder="0" applyAlignment="0" applyProtection="0"/>
    <xf numFmtId="0" fontId="9" fillId="98" borderId="0" applyNumberFormat="0" applyBorder="0" applyAlignment="0" applyProtection="0"/>
    <xf numFmtId="0" fontId="9" fillId="101" borderId="0" applyNumberFormat="0" applyBorder="0" applyAlignment="0" applyProtection="0"/>
    <xf numFmtId="0" fontId="9" fillId="102" borderId="0" applyNumberFormat="0" applyBorder="0" applyAlignment="0" applyProtection="0"/>
    <xf numFmtId="0" fontId="9" fillId="0" borderId="0"/>
    <xf numFmtId="9" fontId="9" fillId="0" borderId="0" applyFont="0" applyFill="0" applyBorder="0" applyAlignment="0" applyProtection="0"/>
    <xf numFmtId="0" fontId="9" fillId="61" borderId="184" applyNumberFormat="0" applyFont="0" applyAlignment="0" applyProtection="0"/>
    <xf numFmtId="0" fontId="9" fillId="81" borderId="0" applyNumberFormat="0" applyBorder="0" applyAlignment="0" applyProtection="0"/>
    <xf numFmtId="0" fontId="9" fillId="82" borderId="0" applyNumberFormat="0" applyBorder="0" applyAlignment="0" applyProtection="0"/>
    <xf numFmtId="0" fontId="9" fillId="85" borderId="0" applyNumberFormat="0" applyBorder="0" applyAlignment="0" applyProtection="0"/>
    <xf numFmtId="0" fontId="9" fillId="86" borderId="0" applyNumberFormat="0" applyBorder="0" applyAlignment="0" applyProtection="0"/>
    <xf numFmtId="0" fontId="9" fillId="89" borderId="0" applyNumberFormat="0" applyBorder="0" applyAlignment="0" applyProtection="0"/>
    <xf numFmtId="0" fontId="9" fillId="90" borderId="0" applyNumberFormat="0" applyBorder="0" applyAlignment="0" applyProtection="0"/>
    <xf numFmtId="0" fontId="9" fillId="93" borderId="0" applyNumberFormat="0" applyBorder="0" applyAlignment="0" applyProtection="0"/>
    <xf numFmtId="0" fontId="9" fillId="94" borderId="0" applyNumberFormat="0" applyBorder="0" applyAlignment="0" applyProtection="0"/>
    <xf numFmtId="0" fontId="9" fillId="97" borderId="0" applyNumberFormat="0" applyBorder="0" applyAlignment="0" applyProtection="0"/>
    <xf numFmtId="0" fontId="9" fillId="98" borderId="0" applyNumberFormat="0" applyBorder="0" applyAlignment="0" applyProtection="0"/>
    <xf numFmtId="0" fontId="9" fillId="101" borderId="0" applyNumberFormat="0" applyBorder="0" applyAlignment="0" applyProtection="0"/>
    <xf numFmtId="0" fontId="9" fillId="102" borderId="0" applyNumberFormat="0" applyBorder="0" applyAlignment="0" applyProtection="0"/>
    <xf numFmtId="0" fontId="9" fillId="0" borderId="0"/>
    <xf numFmtId="0" fontId="9" fillId="81" borderId="0" applyNumberFormat="0" applyBorder="0" applyAlignment="0" applyProtection="0"/>
    <xf numFmtId="0" fontId="9" fillId="85" borderId="0" applyNumberFormat="0" applyBorder="0" applyAlignment="0" applyProtection="0"/>
    <xf numFmtId="0" fontId="9" fillId="89" borderId="0" applyNumberFormat="0" applyBorder="0" applyAlignment="0" applyProtection="0"/>
    <xf numFmtId="0" fontId="9" fillId="93" borderId="0" applyNumberFormat="0" applyBorder="0" applyAlignment="0" applyProtection="0"/>
    <xf numFmtId="0" fontId="9" fillId="97" borderId="0" applyNumberFormat="0" applyBorder="0" applyAlignment="0" applyProtection="0"/>
    <xf numFmtId="0" fontId="9" fillId="101" borderId="0" applyNumberFormat="0" applyBorder="0" applyAlignment="0" applyProtection="0"/>
    <xf numFmtId="0" fontId="9" fillId="82" borderId="0" applyNumberFormat="0" applyBorder="0" applyAlignment="0" applyProtection="0"/>
    <xf numFmtId="0" fontId="9" fillId="86" borderId="0" applyNumberFormat="0" applyBorder="0" applyAlignment="0" applyProtection="0"/>
    <xf numFmtId="0" fontId="9" fillId="90" borderId="0" applyNumberFormat="0" applyBorder="0" applyAlignment="0" applyProtection="0"/>
    <xf numFmtId="0" fontId="9" fillId="94" borderId="0" applyNumberFormat="0" applyBorder="0" applyAlignment="0" applyProtection="0"/>
    <xf numFmtId="0" fontId="9" fillId="98" borderId="0" applyNumberFormat="0" applyBorder="0" applyAlignment="0" applyProtection="0"/>
    <xf numFmtId="0" fontId="9" fillId="102" borderId="0" applyNumberFormat="0" applyBorder="0" applyAlignment="0" applyProtection="0"/>
    <xf numFmtId="0" fontId="9" fillId="61" borderId="184" applyNumberFormat="0" applyFont="0" applyAlignment="0" applyProtection="0"/>
    <xf numFmtId="0" fontId="9" fillId="0" borderId="0"/>
    <xf numFmtId="0" fontId="9" fillId="0" borderId="0"/>
    <xf numFmtId="0" fontId="9" fillId="0" borderId="0"/>
    <xf numFmtId="0" fontId="8" fillId="0" borderId="0"/>
    <xf numFmtId="0" fontId="8" fillId="0" borderId="0"/>
    <xf numFmtId="0" fontId="8" fillId="81" borderId="0" applyNumberFormat="0" applyBorder="0" applyAlignment="0" applyProtection="0"/>
    <xf numFmtId="0" fontId="8" fillId="85" borderId="0" applyNumberFormat="0" applyBorder="0" applyAlignment="0" applyProtection="0"/>
    <xf numFmtId="0" fontId="8" fillId="89" borderId="0" applyNumberFormat="0" applyBorder="0" applyAlignment="0" applyProtection="0"/>
    <xf numFmtId="0" fontId="8" fillId="93" borderId="0" applyNumberFormat="0" applyBorder="0" applyAlignment="0" applyProtection="0"/>
    <xf numFmtId="0" fontId="8" fillId="97" borderId="0" applyNumberFormat="0" applyBorder="0" applyAlignment="0" applyProtection="0"/>
    <xf numFmtId="0" fontId="8" fillId="101" borderId="0" applyNumberFormat="0" applyBorder="0" applyAlignment="0" applyProtection="0"/>
    <xf numFmtId="0" fontId="8" fillId="82" borderId="0" applyNumberFormat="0" applyBorder="0" applyAlignment="0" applyProtection="0"/>
    <xf numFmtId="0" fontId="8" fillId="86" borderId="0" applyNumberFormat="0" applyBorder="0" applyAlignment="0" applyProtection="0"/>
    <xf numFmtId="0" fontId="8" fillId="90" borderId="0" applyNumberFormat="0" applyBorder="0" applyAlignment="0" applyProtection="0"/>
    <xf numFmtId="0" fontId="8" fillId="94" borderId="0" applyNumberFormat="0" applyBorder="0" applyAlignment="0" applyProtection="0"/>
    <xf numFmtId="0" fontId="8" fillId="98" borderId="0" applyNumberFormat="0" applyBorder="0" applyAlignment="0" applyProtection="0"/>
    <xf numFmtId="0" fontId="8" fillId="102" borderId="0" applyNumberFormat="0" applyBorder="0" applyAlignment="0" applyProtection="0"/>
    <xf numFmtId="0" fontId="8" fillId="61" borderId="184" applyNumberFormat="0" applyFont="0" applyAlignment="0" applyProtection="0"/>
    <xf numFmtId="0" fontId="8" fillId="0" borderId="0"/>
    <xf numFmtId="0" fontId="8" fillId="81" borderId="0" applyNumberFormat="0" applyBorder="0" applyAlignment="0" applyProtection="0"/>
    <xf numFmtId="0" fontId="8" fillId="82" borderId="0" applyNumberFormat="0" applyBorder="0" applyAlignment="0" applyProtection="0"/>
    <xf numFmtId="0" fontId="8" fillId="85" borderId="0" applyNumberFormat="0" applyBorder="0" applyAlignment="0" applyProtection="0"/>
    <xf numFmtId="0" fontId="8" fillId="86" borderId="0" applyNumberFormat="0" applyBorder="0" applyAlignment="0" applyProtection="0"/>
    <xf numFmtId="0" fontId="8" fillId="89" borderId="0" applyNumberFormat="0" applyBorder="0" applyAlignment="0" applyProtection="0"/>
    <xf numFmtId="0" fontId="8" fillId="90" borderId="0" applyNumberFormat="0" applyBorder="0" applyAlignment="0" applyProtection="0"/>
    <xf numFmtId="0" fontId="8" fillId="93" borderId="0" applyNumberFormat="0" applyBorder="0" applyAlignment="0" applyProtection="0"/>
    <xf numFmtId="0" fontId="8" fillId="94" borderId="0" applyNumberFormat="0" applyBorder="0" applyAlignment="0" applyProtection="0"/>
    <xf numFmtId="0" fontId="8" fillId="97" borderId="0" applyNumberFormat="0" applyBorder="0" applyAlignment="0" applyProtection="0"/>
    <xf numFmtId="0" fontId="8" fillId="98" borderId="0" applyNumberFormat="0" applyBorder="0" applyAlignment="0" applyProtection="0"/>
    <xf numFmtId="0" fontId="8" fillId="101" borderId="0" applyNumberFormat="0" applyBorder="0" applyAlignment="0" applyProtection="0"/>
    <xf numFmtId="0" fontId="8" fillId="102" borderId="0" applyNumberFormat="0" applyBorder="0" applyAlignment="0" applyProtection="0"/>
    <xf numFmtId="0" fontId="8" fillId="0" borderId="0"/>
    <xf numFmtId="0" fontId="8" fillId="61" borderId="184" applyNumberFormat="0" applyFont="0" applyAlignment="0" applyProtection="0"/>
    <xf numFmtId="0" fontId="8" fillId="0" borderId="0"/>
    <xf numFmtId="0" fontId="8" fillId="0" borderId="0"/>
    <xf numFmtId="0" fontId="8" fillId="81" borderId="0" applyNumberFormat="0" applyBorder="0" applyAlignment="0" applyProtection="0"/>
    <xf numFmtId="0" fontId="8" fillId="85" borderId="0" applyNumberFormat="0" applyBorder="0" applyAlignment="0" applyProtection="0"/>
    <xf numFmtId="0" fontId="8" fillId="89" borderId="0" applyNumberFormat="0" applyBorder="0" applyAlignment="0" applyProtection="0"/>
    <xf numFmtId="0" fontId="8" fillId="93" borderId="0" applyNumberFormat="0" applyBorder="0" applyAlignment="0" applyProtection="0"/>
    <xf numFmtId="0" fontId="8" fillId="97" borderId="0" applyNumberFormat="0" applyBorder="0" applyAlignment="0" applyProtection="0"/>
    <xf numFmtId="0" fontId="8" fillId="101" borderId="0" applyNumberFormat="0" applyBorder="0" applyAlignment="0" applyProtection="0"/>
    <xf numFmtId="0" fontId="8" fillId="82" borderId="0" applyNumberFormat="0" applyBorder="0" applyAlignment="0" applyProtection="0"/>
    <xf numFmtId="0" fontId="8" fillId="86" borderId="0" applyNumberFormat="0" applyBorder="0" applyAlignment="0" applyProtection="0"/>
    <xf numFmtId="0" fontId="8" fillId="90" borderId="0" applyNumberFormat="0" applyBorder="0" applyAlignment="0" applyProtection="0"/>
    <xf numFmtId="0" fontId="8" fillId="94" borderId="0" applyNumberFormat="0" applyBorder="0" applyAlignment="0" applyProtection="0"/>
    <xf numFmtId="0" fontId="8" fillId="98" borderId="0" applyNumberFormat="0" applyBorder="0" applyAlignment="0" applyProtection="0"/>
    <xf numFmtId="0" fontId="8" fillId="102" borderId="0" applyNumberFormat="0" applyBorder="0" applyAlignment="0" applyProtection="0"/>
    <xf numFmtId="0" fontId="8" fillId="61" borderId="184" applyNumberFormat="0" applyFon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61" borderId="184" applyNumberFormat="0" applyFont="0" applyAlignment="0" applyProtection="0"/>
    <xf numFmtId="0" fontId="8" fillId="81" borderId="0" applyNumberFormat="0" applyBorder="0" applyAlignment="0" applyProtection="0"/>
    <xf numFmtId="0" fontId="8" fillId="82" borderId="0" applyNumberFormat="0" applyBorder="0" applyAlignment="0" applyProtection="0"/>
    <xf numFmtId="0" fontId="8" fillId="85" borderId="0" applyNumberFormat="0" applyBorder="0" applyAlignment="0" applyProtection="0"/>
    <xf numFmtId="0" fontId="8" fillId="86" borderId="0" applyNumberFormat="0" applyBorder="0" applyAlignment="0" applyProtection="0"/>
    <xf numFmtId="0" fontId="8" fillId="89" borderId="0" applyNumberFormat="0" applyBorder="0" applyAlignment="0" applyProtection="0"/>
    <xf numFmtId="0" fontId="8" fillId="90" borderId="0" applyNumberFormat="0" applyBorder="0" applyAlignment="0" applyProtection="0"/>
    <xf numFmtId="0" fontId="8" fillId="93" borderId="0" applyNumberFormat="0" applyBorder="0" applyAlignment="0" applyProtection="0"/>
    <xf numFmtId="0" fontId="8" fillId="94" borderId="0" applyNumberFormat="0" applyBorder="0" applyAlignment="0" applyProtection="0"/>
    <xf numFmtId="0" fontId="8" fillId="97" borderId="0" applyNumberFormat="0" applyBorder="0" applyAlignment="0" applyProtection="0"/>
    <xf numFmtId="0" fontId="8" fillId="98" borderId="0" applyNumberFormat="0" applyBorder="0" applyAlignment="0" applyProtection="0"/>
    <xf numFmtId="0" fontId="8" fillId="101" borderId="0" applyNumberFormat="0" applyBorder="0" applyAlignment="0" applyProtection="0"/>
    <xf numFmtId="0" fontId="8" fillId="102" borderId="0" applyNumberFormat="0" applyBorder="0" applyAlignment="0" applyProtection="0"/>
    <xf numFmtId="0" fontId="8" fillId="61" borderId="184" applyNumberFormat="0" applyFont="0" applyAlignment="0" applyProtection="0"/>
    <xf numFmtId="0" fontId="8" fillId="81" borderId="0" applyNumberFormat="0" applyBorder="0" applyAlignment="0" applyProtection="0"/>
    <xf numFmtId="0" fontId="8" fillId="82" borderId="0" applyNumberFormat="0" applyBorder="0" applyAlignment="0" applyProtection="0"/>
    <xf numFmtId="0" fontId="8" fillId="85" borderId="0" applyNumberFormat="0" applyBorder="0" applyAlignment="0" applyProtection="0"/>
    <xf numFmtId="0" fontId="8" fillId="86" borderId="0" applyNumberFormat="0" applyBorder="0" applyAlignment="0" applyProtection="0"/>
    <xf numFmtId="0" fontId="8" fillId="89" borderId="0" applyNumberFormat="0" applyBorder="0" applyAlignment="0" applyProtection="0"/>
    <xf numFmtId="0" fontId="8" fillId="90" borderId="0" applyNumberFormat="0" applyBorder="0" applyAlignment="0" applyProtection="0"/>
    <xf numFmtId="0" fontId="8" fillId="93" borderId="0" applyNumberFormat="0" applyBorder="0" applyAlignment="0" applyProtection="0"/>
    <xf numFmtId="0" fontId="8" fillId="94" borderId="0" applyNumberFormat="0" applyBorder="0" applyAlignment="0" applyProtection="0"/>
    <xf numFmtId="0" fontId="8" fillId="97" borderId="0" applyNumberFormat="0" applyBorder="0" applyAlignment="0" applyProtection="0"/>
    <xf numFmtId="0" fontId="8" fillId="98" borderId="0" applyNumberFormat="0" applyBorder="0" applyAlignment="0" applyProtection="0"/>
    <xf numFmtId="0" fontId="8" fillId="101" borderId="0" applyNumberFormat="0" applyBorder="0" applyAlignment="0" applyProtection="0"/>
    <xf numFmtId="0" fontId="8" fillId="102" borderId="0" applyNumberFormat="0" applyBorder="0" applyAlignment="0" applyProtection="0"/>
    <xf numFmtId="0" fontId="8" fillId="0" borderId="0"/>
    <xf numFmtId="9" fontId="8" fillId="0" borderId="0" applyFont="0" applyFill="0" applyBorder="0" applyAlignment="0" applyProtection="0"/>
    <xf numFmtId="0" fontId="8" fillId="61" borderId="184" applyNumberFormat="0" applyFont="0" applyAlignment="0" applyProtection="0"/>
    <xf numFmtId="0" fontId="8" fillId="81" borderId="0" applyNumberFormat="0" applyBorder="0" applyAlignment="0" applyProtection="0"/>
    <xf numFmtId="0" fontId="8" fillId="82" borderId="0" applyNumberFormat="0" applyBorder="0" applyAlignment="0" applyProtection="0"/>
    <xf numFmtId="0" fontId="8" fillId="85" borderId="0" applyNumberFormat="0" applyBorder="0" applyAlignment="0" applyProtection="0"/>
    <xf numFmtId="0" fontId="8" fillId="86" borderId="0" applyNumberFormat="0" applyBorder="0" applyAlignment="0" applyProtection="0"/>
    <xf numFmtId="0" fontId="8" fillId="89" borderId="0" applyNumberFormat="0" applyBorder="0" applyAlignment="0" applyProtection="0"/>
    <xf numFmtId="0" fontId="8" fillId="90" borderId="0" applyNumberFormat="0" applyBorder="0" applyAlignment="0" applyProtection="0"/>
    <xf numFmtId="0" fontId="8" fillId="93" borderId="0" applyNumberFormat="0" applyBorder="0" applyAlignment="0" applyProtection="0"/>
    <xf numFmtId="0" fontId="8" fillId="94" borderId="0" applyNumberFormat="0" applyBorder="0" applyAlignment="0" applyProtection="0"/>
    <xf numFmtId="0" fontId="8" fillId="97" borderId="0" applyNumberFormat="0" applyBorder="0" applyAlignment="0" applyProtection="0"/>
    <xf numFmtId="0" fontId="8" fillId="98" borderId="0" applyNumberFormat="0" applyBorder="0" applyAlignment="0" applyProtection="0"/>
    <xf numFmtId="0" fontId="8" fillId="101" borderId="0" applyNumberFormat="0" applyBorder="0" applyAlignment="0" applyProtection="0"/>
    <xf numFmtId="0" fontId="8" fillId="102" borderId="0" applyNumberFormat="0" applyBorder="0" applyAlignment="0" applyProtection="0"/>
    <xf numFmtId="0" fontId="8" fillId="0" borderId="0"/>
    <xf numFmtId="0" fontId="8" fillId="81" borderId="0" applyNumberFormat="0" applyBorder="0" applyAlignment="0" applyProtection="0"/>
    <xf numFmtId="0" fontId="8" fillId="85" borderId="0" applyNumberFormat="0" applyBorder="0" applyAlignment="0" applyProtection="0"/>
    <xf numFmtId="0" fontId="8" fillId="89" borderId="0" applyNumberFormat="0" applyBorder="0" applyAlignment="0" applyProtection="0"/>
    <xf numFmtId="0" fontId="8" fillId="93" borderId="0" applyNumberFormat="0" applyBorder="0" applyAlignment="0" applyProtection="0"/>
    <xf numFmtId="0" fontId="8" fillId="97" borderId="0" applyNumberFormat="0" applyBorder="0" applyAlignment="0" applyProtection="0"/>
    <xf numFmtId="0" fontId="8" fillId="101" borderId="0" applyNumberFormat="0" applyBorder="0" applyAlignment="0" applyProtection="0"/>
    <xf numFmtId="0" fontId="8" fillId="82" borderId="0" applyNumberFormat="0" applyBorder="0" applyAlignment="0" applyProtection="0"/>
    <xf numFmtId="0" fontId="8" fillId="86" borderId="0" applyNumberFormat="0" applyBorder="0" applyAlignment="0" applyProtection="0"/>
    <xf numFmtId="0" fontId="8" fillId="90" borderId="0" applyNumberFormat="0" applyBorder="0" applyAlignment="0" applyProtection="0"/>
    <xf numFmtId="0" fontId="8" fillId="94" borderId="0" applyNumberFormat="0" applyBorder="0" applyAlignment="0" applyProtection="0"/>
    <xf numFmtId="0" fontId="8" fillId="98" borderId="0" applyNumberFormat="0" applyBorder="0" applyAlignment="0" applyProtection="0"/>
    <xf numFmtId="0" fontId="8" fillId="102" borderId="0" applyNumberFormat="0" applyBorder="0" applyAlignment="0" applyProtection="0"/>
    <xf numFmtId="0" fontId="8" fillId="61" borderId="184" applyNumberFormat="0" applyFont="0" applyAlignment="0" applyProtection="0"/>
    <xf numFmtId="0" fontId="8" fillId="0" borderId="0"/>
    <xf numFmtId="0" fontId="8" fillId="0" borderId="0"/>
    <xf numFmtId="0" fontId="8" fillId="0" borderId="0"/>
    <xf numFmtId="0" fontId="7" fillId="0" borderId="0"/>
    <xf numFmtId="0" fontId="7" fillId="0" borderId="0"/>
    <xf numFmtId="0" fontId="7" fillId="81" borderId="0" applyNumberFormat="0" applyBorder="0" applyAlignment="0" applyProtection="0"/>
    <xf numFmtId="0" fontId="7" fillId="85" borderId="0" applyNumberFormat="0" applyBorder="0" applyAlignment="0" applyProtection="0"/>
    <xf numFmtId="0" fontId="7" fillId="89" borderId="0" applyNumberFormat="0" applyBorder="0" applyAlignment="0" applyProtection="0"/>
    <xf numFmtId="0" fontId="7" fillId="93" borderId="0" applyNumberFormat="0" applyBorder="0" applyAlignment="0" applyProtection="0"/>
    <xf numFmtId="0" fontId="7" fillId="97" borderId="0" applyNumberFormat="0" applyBorder="0" applyAlignment="0" applyProtection="0"/>
    <xf numFmtId="0" fontId="7" fillId="101" borderId="0" applyNumberFormat="0" applyBorder="0" applyAlignment="0" applyProtection="0"/>
    <xf numFmtId="0" fontId="7" fillId="82" borderId="0" applyNumberFormat="0" applyBorder="0" applyAlignment="0" applyProtection="0"/>
    <xf numFmtId="0" fontId="7" fillId="86" borderId="0" applyNumberFormat="0" applyBorder="0" applyAlignment="0" applyProtection="0"/>
    <xf numFmtId="0" fontId="7" fillId="90" borderId="0" applyNumberFormat="0" applyBorder="0" applyAlignment="0" applyProtection="0"/>
    <xf numFmtId="0" fontId="7" fillId="94" borderId="0" applyNumberFormat="0" applyBorder="0" applyAlignment="0" applyProtection="0"/>
    <xf numFmtId="0" fontId="7" fillId="98" borderId="0" applyNumberFormat="0" applyBorder="0" applyAlignment="0" applyProtection="0"/>
    <xf numFmtId="0" fontId="7" fillId="102" borderId="0" applyNumberFormat="0" applyBorder="0" applyAlignment="0" applyProtection="0"/>
    <xf numFmtId="0" fontId="7" fillId="61" borderId="184" applyNumberFormat="0" applyFont="0" applyAlignment="0" applyProtection="0"/>
    <xf numFmtId="0" fontId="7" fillId="0" borderId="0"/>
    <xf numFmtId="0" fontId="7" fillId="81" borderId="0" applyNumberFormat="0" applyBorder="0" applyAlignment="0" applyProtection="0"/>
    <xf numFmtId="0" fontId="7" fillId="82" borderId="0" applyNumberFormat="0" applyBorder="0" applyAlignment="0" applyProtection="0"/>
    <xf numFmtId="0" fontId="7" fillId="85" borderId="0" applyNumberFormat="0" applyBorder="0" applyAlignment="0" applyProtection="0"/>
    <xf numFmtId="0" fontId="7" fillId="86" borderId="0" applyNumberFormat="0" applyBorder="0" applyAlignment="0" applyProtection="0"/>
    <xf numFmtId="0" fontId="7" fillId="89" borderId="0" applyNumberFormat="0" applyBorder="0" applyAlignment="0" applyProtection="0"/>
    <xf numFmtId="0" fontId="7" fillId="90" borderId="0" applyNumberFormat="0" applyBorder="0" applyAlignment="0" applyProtection="0"/>
    <xf numFmtId="0" fontId="7" fillId="93" borderId="0" applyNumberFormat="0" applyBorder="0" applyAlignment="0" applyProtection="0"/>
    <xf numFmtId="0" fontId="7" fillId="94" borderId="0" applyNumberFormat="0" applyBorder="0" applyAlignment="0" applyProtection="0"/>
    <xf numFmtId="0" fontId="7" fillId="97" borderId="0" applyNumberFormat="0" applyBorder="0" applyAlignment="0" applyProtection="0"/>
    <xf numFmtId="0" fontId="7" fillId="98" borderId="0" applyNumberFormat="0" applyBorder="0" applyAlignment="0" applyProtection="0"/>
    <xf numFmtId="0" fontId="7" fillId="101" borderId="0" applyNumberFormat="0" applyBorder="0" applyAlignment="0" applyProtection="0"/>
    <xf numFmtId="0" fontId="7" fillId="102" borderId="0" applyNumberFormat="0" applyBorder="0" applyAlignment="0" applyProtection="0"/>
    <xf numFmtId="0" fontId="7" fillId="0" borderId="0"/>
    <xf numFmtId="0" fontId="7" fillId="61" borderId="184" applyNumberFormat="0" applyFont="0" applyAlignment="0" applyProtection="0"/>
    <xf numFmtId="0" fontId="7" fillId="0" borderId="0"/>
    <xf numFmtId="0" fontId="7" fillId="0" borderId="0"/>
    <xf numFmtId="0" fontId="7" fillId="81" borderId="0" applyNumberFormat="0" applyBorder="0" applyAlignment="0" applyProtection="0"/>
    <xf numFmtId="0" fontId="7" fillId="85" borderId="0" applyNumberFormat="0" applyBorder="0" applyAlignment="0" applyProtection="0"/>
    <xf numFmtId="0" fontId="7" fillId="89" borderId="0" applyNumberFormat="0" applyBorder="0" applyAlignment="0" applyProtection="0"/>
    <xf numFmtId="0" fontId="7" fillId="93" borderId="0" applyNumberFormat="0" applyBorder="0" applyAlignment="0" applyProtection="0"/>
    <xf numFmtId="0" fontId="7" fillId="97" borderId="0" applyNumberFormat="0" applyBorder="0" applyAlignment="0" applyProtection="0"/>
    <xf numFmtId="0" fontId="7" fillId="101" borderId="0" applyNumberFormat="0" applyBorder="0" applyAlignment="0" applyProtection="0"/>
    <xf numFmtId="0" fontId="7" fillId="82" borderId="0" applyNumberFormat="0" applyBorder="0" applyAlignment="0" applyProtection="0"/>
    <xf numFmtId="0" fontId="7" fillId="86" borderId="0" applyNumberFormat="0" applyBorder="0" applyAlignment="0" applyProtection="0"/>
    <xf numFmtId="0" fontId="7" fillId="90" borderId="0" applyNumberFormat="0" applyBorder="0" applyAlignment="0" applyProtection="0"/>
    <xf numFmtId="0" fontId="7" fillId="94" borderId="0" applyNumberFormat="0" applyBorder="0" applyAlignment="0" applyProtection="0"/>
    <xf numFmtId="0" fontId="7" fillId="98" borderId="0" applyNumberFormat="0" applyBorder="0" applyAlignment="0" applyProtection="0"/>
    <xf numFmtId="0" fontId="7" fillId="102" borderId="0" applyNumberFormat="0" applyBorder="0" applyAlignment="0" applyProtection="0"/>
    <xf numFmtId="0" fontId="7" fillId="61" borderId="184" applyNumberFormat="0" applyFon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61" borderId="184" applyNumberFormat="0" applyFont="0" applyAlignment="0" applyProtection="0"/>
    <xf numFmtId="0" fontId="7" fillId="81" borderId="0" applyNumberFormat="0" applyBorder="0" applyAlignment="0" applyProtection="0"/>
    <xf numFmtId="0" fontId="7" fillId="82" borderId="0" applyNumberFormat="0" applyBorder="0" applyAlignment="0" applyProtection="0"/>
    <xf numFmtId="0" fontId="7" fillId="85" borderId="0" applyNumberFormat="0" applyBorder="0" applyAlignment="0" applyProtection="0"/>
    <xf numFmtId="0" fontId="7" fillId="86" borderId="0" applyNumberFormat="0" applyBorder="0" applyAlignment="0" applyProtection="0"/>
    <xf numFmtId="0" fontId="7" fillId="89" borderId="0" applyNumberFormat="0" applyBorder="0" applyAlignment="0" applyProtection="0"/>
    <xf numFmtId="0" fontId="7" fillId="90" borderId="0" applyNumberFormat="0" applyBorder="0" applyAlignment="0" applyProtection="0"/>
    <xf numFmtId="0" fontId="7" fillId="93" borderId="0" applyNumberFormat="0" applyBorder="0" applyAlignment="0" applyProtection="0"/>
    <xf numFmtId="0" fontId="7" fillId="94" borderId="0" applyNumberFormat="0" applyBorder="0" applyAlignment="0" applyProtection="0"/>
    <xf numFmtId="0" fontId="7" fillId="97" borderId="0" applyNumberFormat="0" applyBorder="0" applyAlignment="0" applyProtection="0"/>
    <xf numFmtId="0" fontId="7" fillId="98" borderId="0" applyNumberFormat="0" applyBorder="0" applyAlignment="0" applyProtection="0"/>
    <xf numFmtId="0" fontId="7" fillId="101" borderId="0" applyNumberFormat="0" applyBorder="0" applyAlignment="0" applyProtection="0"/>
    <xf numFmtId="0" fontId="7" fillId="102" borderId="0" applyNumberFormat="0" applyBorder="0" applyAlignment="0" applyProtection="0"/>
    <xf numFmtId="0" fontId="7" fillId="61" borderId="184" applyNumberFormat="0" applyFont="0" applyAlignment="0" applyProtection="0"/>
    <xf numFmtId="0" fontId="7" fillId="81" borderId="0" applyNumberFormat="0" applyBorder="0" applyAlignment="0" applyProtection="0"/>
    <xf numFmtId="0" fontId="7" fillId="82" borderId="0" applyNumberFormat="0" applyBorder="0" applyAlignment="0" applyProtection="0"/>
    <xf numFmtId="0" fontId="7" fillId="85" borderId="0" applyNumberFormat="0" applyBorder="0" applyAlignment="0" applyProtection="0"/>
    <xf numFmtId="0" fontId="7" fillId="86" borderId="0" applyNumberFormat="0" applyBorder="0" applyAlignment="0" applyProtection="0"/>
    <xf numFmtId="0" fontId="7" fillId="89" borderId="0" applyNumberFormat="0" applyBorder="0" applyAlignment="0" applyProtection="0"/>
    <xf numFmtId="0" fontId="7" fillId="90" borderId="0" applyNumberFormat="0" applyBorder="0" applyAlignment="0" applyProtection="0"/>
    <xf numFmtId="0" fontId="7" fillId="93" borderId="0" applyNumberFormat="0" applyBorder="0" applyAlignment="0" applyProtection="0"/>
    <xf numFmtId="0" fontId="7" fillId="94" borderId="0" applyNumberFormat="0" applyBorder="0" applyAlignment="0" applyProtection="0"/>
    <xf numFmtId="0" fontId="7" fillId="97" borderId="0" applyNumberFormat="0" applyBorder="0" applyAlignment="0" applyProtection="0"/>
    <xf numFmtId="0" fontId="7" fillId="98" borderId="0" applyNumberFormat="0" applyBorder="0" applyAlignment="0" applyProtection="0"/>
    <xf numFmtId="0" fontId="7" fillId="101" borderId="0" applyNumberFormat="0" applyBorder="0" applyAlignment="0" applyProtection="0"/>
    <xf numFmtId="0" fontId="7" fillId="102" borderId="0" applyNumberFormat="0" applyBorder="0" applyAlignment="0" applyProtection="0"/>
    <xf numFmtId="0" fontId="7" fillId="0" borderId="0"/>
    <xf numFmtId="9" fontId="7" fillId="0" borderId="0" applyFont="0" applyFill="0" applyBorder="0" applyAlignment="0" applyProtection="0"/>
    <xf numFmtId="0" fontId="7" fillId="61" borderId="184" applyNumberFormat="0" applyFont="0" applyAlignment="0" applyProtection="0"/>
    <xf numFmtId="0" fontId="7" fillId="81" borderId="0" applyNumberFormat="0" applyBorder="0" applyAlignment="0" applyProtection="0"/>
    <xf numFmtId="0" fontId="7" fillId="82" borderId="0" applyNumberFormat="0" applyBorder="0" applyAlignment="0" applyProtection="0"/>
    <xf numFmtId="0" fontId="7" fillId="85" borderId="0" applyNumberFormat="0" applyBorder="0" applyAlignment="0" applyProtection="0"/>
    <xf numFmtId="0" fontId="7" fillId="86" borderId="0" applyNumberFormat="0" applyBorder="0" applyAlignment="0" applyProtection="0"/>
    <xf numFmtId="0" fontId="7" fillId="89" borderId="0" applyNumberFormat="0" applyBorder="0" applyAlignment="0" applyProtection="0"/>
    <xf numFmtId="0" fontId="7" fillId="90" borderId="0" applyNumberFormat="0" applyBorder="0" applyAlignment="0" applyProtection="0"/>
    <xf numFmtId="0" fontId="7" fillId="93" borderId="0" applyNumberFormat="0" applyBorder="0" applyAlignment="0" applyProtection="0"/>
    <xf numFmtId="0" fontId="7" fillId="94" borderId="0" applyNumberFormat="0" applyBorder="0" applyAlignment="0" applyProtection="0"/>
    <xf numFmtId="0" fontId="7" fillId="97" borderId="0" applyNumberFormat="0" applyBorder="0" applyAlignment="0" applyProtection="0"/>
    <xf numFmtId="0" fontId="7" fillId="98" borderId="0" applyNumberFormat="0" applyBorder="0" applyAlignment="0" applyProtection="0"/>
    <xf numFmtId="0" fontId="7" fillId="101" borderId="0" applyNumberFormat="0" applyBorder="0" applyAlignment="0" applyProtection="0"/>
    <xf numFmtId="0" fontId="7" fillId="102" borderId="0" applyNumberFormat="0" applyBorder="0" applyAlignment="0" applyProtection="0"/>
    <xf numFmtId="0" fontId="7" fillId="0" borderId="0"/>
    <xf numFmtId="0" fontId="7" fillId="81" borderId="0" applyNumberFormat="0" applyBorder="0" applyAlignment="0" applyProtection="0"/>
    <xf numFmtId="0" fontId="7" fillId="85" borderId="0" applyNumberFormat="0" applyBorder="0" applyAlignment="0" applyProtection="0"/>
    <xf numFmtId="0" fontId="7" fillId="89" borderId="0" applyNumberFormat="0" applyBorder="0" applyAlignment="0" applyProtection="0"/>
    <xf numFmtId="0" fontId="7" fillId="93" borderId="0" applyNumberFormat="0" applyBorder="0" applyAlignment="0" applyProtection="0"/>
    <xf numFmtId="0" fontId="7" fillId="97" borderId="0" applyNumberFormat="0" applyBorder="0" applyAlignment="0" applyProtection="0"/>
    <xf numFmtId="0" fontId="7" fillId="101" borderId="0" applyNumberFormat="0" applyBorder="0" applyAlignment="0" applyProtection="0"/>
    <xf numFmtId="0" fontId="7" fillId="82" borderId="0" applyNumberFormat="0" applyBorder="0" applyAlignment="0" applyProtection="0"/>
    <xf numFmtId="0" fontId="7" fillId="86" borderId="0" applyNumberFormat="0" applyBorder="0" applyAlignment="0" applyProtection="0"/>
    <xf numFmtId="0" fontId="7" fillId="90" borderId="0" applyNumberFormat="0" applyBorder="0" applyAlignment="0" applyProtection="0"/>
    <xf numFmtId="0" fontId="7" fillId="94" borderId="0" applyNumberFormat="0" applyBorder="0" applyAlignment="0" applyProtection="0"/>
    <xf numFmtId="0" fontId="7" fillId="98" borderId="0" applyNumberFormat="0" applyBorder="0" applyAlignment="0" applyProtection="0"/>
    <xf numFmtId="0" fontId="7" fillId="102" borderId="0" applyNumberFormat="0" applyBorder="0" applyAlignment="0" applyProtection="0"/>
    <xf numFmtId="0" fontId="7" fillId="61" borderId="184" applyNumberFormat="0" applyFont="0" applyAlignment="0" applyProtection="0"/>
    <xf numFmtId="0" fontId="7" fillId="0" borderId="0"/>
    <xf numFmtId="0" fontId="7" fillId="0" borderId="0"/>
    <xf numFmtId="0" fontId="7" fillId="0" borderId="0"/>
    <xf numFmtId="0" fontId="6" fillId="0" borderId="0"/>
    <xf numFmtId="0" fontId="6" fillId="0" borderId="0"/>
    <xf numFmtId="0" fontId="6" fillId="81" borderId="0" applyNumberFormat="0" applyBorder="0" applyAlignment="0" applyProtection="0"/>
    <xf numFmtId="0" fontId="6" fillId="85" borderId="0" applyNumberFormat="0" applyBorder="0" applyAlignment="0" applyProtection="0"/>
    <xf numFmtId="0" fontId="6" fillId="89" borderId="0" applyNumberFormat="0" applyBorder="0" applyAlignment="0" applyProtection="0"/>
    <xf numFmtId="0" fontId="6" fillId="93" borderId="0" applyNumberFormat="0" applyBorder="0" applyAlignment="0" applyProtection="0"/>
    <xf numFmtId="0" fontId="6" fillId="97" borderId="0" applyNumberFormat="0" applyBorder="0" applyAlignment="0" applyProtection="0"/>
    <xf numFmtId="0" fontId="6" fillId="101" borderId="0" applyNumberFormat="0" applyBorder="0" applyAlignment="0" applyProtection="0"/>
    <xf numFmtId="0" fontId="6" fillId="82" borderId="0" applyNumberFormat="0" applyBorder="0" applyAlignment="0" applyProtection="0"/>
    <xf numFmtId="0" fontId="6" fillId="86" borderId="0" applyNumberFormat="0" applyBorder="0" applyAlignment="0" applyProtection="0"/>
    <xf numFmtId="0" fontId="6" fillId="90" borderId="0" applyNumberFormat="0" applyBorder="0" applyAlignment="0" applyProtection="0"/>
    <xf numFmtId="0" fontId="6" fillId="94" borderId="0" applyNumberFormat="0" applyBorder="0" applyAlignment="0" applyProtection="0"/>
    <xf numFmtId="0" fontId="6" fillId="98" borderId="0" applyNumberFormat="0" applyBorder="0" applyAlignment="0" applyProtection="0"/>
    <xf numFmtId="0" fontId="6" fillId="102" borderId="0" applyNumberFormat="0" applyBorder="0" applyAlignment="0" applyProtection="0"/>
    <xf numFmtId="0" fontId="6" fillId="61" borderId="184" applyNumberFormat="0" applyFont="0" applyAlignment="0" applyProtection="0"/>
    <xf numFmtId="0" fontId="6" fillId="0" borderId="0"/>
    <xf numFmtId="0" fontId="6" fillId="81" borderId="0" applyNumberFormat="0" applyBorder="0" applyAlignment="0" applyProtection="0"/>
    <xf numFmtId="0" fontId="6" fillId="82" borderId="0" applyNumberFormat="0" applyBorder="0" applyAlignment="0" applyProtection="0"/>
    <xf numFmtId="0" fontId="6" fillId="85" borderId="0" applyNumberFormat="0" applyBorder="0" applyAlignment="0" applyProtection="0"/>
    <xf numFmtId="0" fontId="6" fillId="86" borderId="0" applyNumberFormat="0" applyBorder="0" applyAlignment="0" applyProtection="0"/>
    <xf numFmtId="0" fontId="6" fillId="89" borderId="0" applyNumberFormat="0" applyBorder="0" applyAlignment="0" applyProtection="0"/>
    <xf numFmtId="0" fontId="6" fillId="90" borderId="0" applyNumberFormat="0" applyBorder="0" applyAlignment="0" applyProtection="0"/>
    <xf numFmtId="0" fontId="6" fillId="93" borderId="0" applyNumberFormat="0" applyBorder="0" applyAlignment="0" applyProtection="0"/>
    <xf numFmtId="0" fontId="6" fillId="94" borderId="0" applyNumberFormat="0" applyBorder="0" applyAlignment="0" applyProtection="0"/>
    <xf numFmtId="0" fontId="6" fillId="97" borderId="0" applyNumberFormat="0" applyBorder="0" applyAlignment="0" applyProtection="0"/>
    <xf numFmtId="0" fontId="6" fillId="98" borderId="0" applyNumberFormat="0" applyBorder="0" applyAlignment="0" applyProtection="0"/>
    <xf numFmtId="0" fontId="6" fillId="101" borderId="0" applyNumberFormat="0" applyBorder="0" applyAlignment="0" applyProtection="0"/>
    <xf numFmtId="0" fontId="6" fillId="102" borderId="0" applyNumberFormat="0" applyBorder="0" applyAlignment="0" applyProtection="0"/>
    <xf numFmtId="0" fontId="6" fillId="0" borderId="0"/>
    <xf numFmtId="0" fontId="6" fillId="61" borderId="184" applyNumberFormat="0" applyFont="0" applyAlignment="0" applyProtection="0"/>
    <xf numFmtId="0" fontId="6" fillId="0" borderId="0"/>
    <xf numFmtId="0" fontId="6" fillId="0" borderId="0"/>
    <xf numFmtId="0" fontId="6" fillId="81" borderId="0" applyNumberFormat="0" applyBorder="0" applyAlignment="0" applyProtection="0"/>
    <xf numFmtId="0" fontId="6" fillId="85" borderId="0" applyNumberFormat="0" applyBorder="0" applyAlignment="0" applyProtection="0"/>
    <xf numFmtId="0" fontId="6" fillId="89" borderId="0" applyNumberFormat="0" applyBorder="0" applyAlignment="0" applyProtection="0"/>
    <xf numFmtId="0" fontId="6" fillId="93" borderId="0" applyNumberFormat="0" applyBorder="0" applyAlignment="0" applyProtection="0"/>
    <xf numFmtId="0" fontId="6" fillId="97" borderId="0" applyNumberFormat="0" applyBorder="0" applyAlignment="0" applyProtection="0"/>
    <xf numFmtId="0" fontId="6" fillId="101" borderId="0" applyNumberFormat="0" applyBorder="0" applyAlignment="0" applyProtection="0"/>
    <xf numFmtId="0" fontId="6" fillId="82" borderId="0" applyNumberFormat="0" applyBorder="0" applyAlignment="0" applyProtection="0"/>
    <xf numFmtId="0" fontId="6" fillId="86" borderId="0" applyNumberFormat="0" applyBorder="0" applyAlignment="0" applyProtection="0"/>
    <xf numFmtId="0" fontId="6" fillId="90" borderId="0" applyNumberFormat="0" applyBorder="0" applyAlignment="0" applyProtection="0"/>
    <xf numFmtId="0" fontId="6" fillId="94" borderId="0" applyNumberFormat="0" applyBorder="0" applyAlignment="0" applyProtection="0"/>
    <xf numFmtId="0" fontId="6" fillId="98" borderId="0" applyNumberFormat="0" applyBorder="0" applyAlignment="0" applyProtection="0"/>
    <xf numFmtId="0" fontId="6" fillId="102" borderId="0" applyNumberFormat="0" applyBorder="0" applyAlignment="0" applyProtection="0"/>
    <xf numFmtId="0" fontId="6" fillId="61" borderId="184" applyNumberFormat="0" applyFon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61" borderId="184" applyNumberFormat="0" applyFont="0" applyAlignment="0" applyProtection="0"/>
    <xf numFmtId="0" fontId="6" fillId="81" borderId="0" applyNumberFormat="0" applyBorder="0" applyAlignment="0" applyProtection="0"/>
    <xf numFmtId="0" fontId="6" fillId="82" borderId="0" applyNumberFormat="0" applyBorder="0" applyAlignment="0" applyProtection="0"/>
    <xf numFmtId="0" fontId="6" fillId="85" borderId="0" applyNumberFormat="0" applyBorder="0" applyAlignment="0" applyProtection="0"/>
    <xf numFmtId="0" fontId="6" fillId="86" borderId="0" applyNumberFormat="0" applyBorder="0" applyAlignment="0" applyProtection="0"/>
    <xf numFmtId="0" fontId="6" fillId="89" borderId="0" applyNumberFormat="0" applyBorder="0" applyAlignment="0" applyProtection="0"/>
    <xf numFmtId="0" fontId="6" fillId="90" borderId="0" applyNumberFormat="0" applyBorder="0" applyAlignment="0" applyProtection="0"/>
    <xf numFmtId="0" fontId="6" fillId="93" borderId="0" applyNumberFormat="0" applyBorder="0" applyAlignment="0" applyProtection="0"/>
    <xf numFmtId="0" fontId="6" fillId="94" borderId="0" applyNumberFormat="0" applyBorder="0" applyAlignment="0" applyProtection="0"/>
    <xf numFmtId="0" fontId="6" fillId="97" borderId="0" applyNumberFormat="0" applyBorder="0" applyAlignment="0" applyProtection="0"/>
    <xf numFmtId="0" fontId="6" fillId="98" borderId="0" applyNumberFormat="0" applyBorder="0" applyAlignment="0" applyProtection="0"/>
    <xf numFmtId="0" fontId="6" fillId="101" borderId="0" applyNumberFormat="0" applyBorder="0" applyAlignment="0" applyProtection="0"/>
    <xf numFmtId="0" fontId="6" fillId="102" borderId="0" applyNumberFormat="0" applyBorder="0" applyAlignment="0" applyProtection="0"/>
    <xf numFmtId="0" fontId="6" fillId="61" borderId="184" applyNumberFormat="0" applyFont="0" applyAlignment="0" applyProtection="0"/>
    <xf numFmtId="0" fontId="6" fillId="81" borderId="0" applyNumberFormat="0" applyBorder="0" applyAlignment="0" applyProtection="0"/>
    <xf numFmtId="0" fontId="6" fillId="82" borderId="0" applyNumberFormat="0" applyBorder="0" applyAlignment="0" applyProtection="0"/>
    <xf numFmtId="0" fontId="6" fillId="85" borderId="0" applyNumberFormat="0" applyBorder="0" applyAlignment="0" applyProtection="0"/>
    <xf numFmtId="0" fontId="6" fillId="86" borderId="0" applyNumberFormat="0" applyBorder="0" applyAlignment="0" applyProtection="0"/>
    <xf numFmtId="0" fontId="6" fillId="89" borderId="0" applyNumberFormat="0" applyBorder="0" applyAlignment="0" applyProtection="0"/>
    <xf numFmtId="0" fontId="6" fillId="90" borderId="0" applyNumberFormat="0" applyBorder="0" applyAlignment="0" applyProtection="0"/>
    <xf numFmtId="0" fontId="6" fillId="93" borderId="0" applyNumberFormat="0" applyBorder="0" applyAlignment="0" applyProtection="0"/>
    <xf numFmtId="0" fontId="6" fillId="94" borderId="0" applyNumberFormat="0" applyBorder="0" applyAlignment="0" applyProtection="0"/>
    <xf numFmtId="0" fontId="6" fillId="97" borderId="0" applyNumberFormat="0" applyBorder="0" applyAlignment="0" applyProtection="0"/>
    <xf numFmtId="0" fontId="6" fillId="98" borderId="0" applyNumberFormat="0" applyBorder="0" applyAlignment="0" applyProtection="0"/>
    <xf numFmtId="0" fontId="6" fillId="101" borderId="0" applyNumberFormat="0" applyBorder="0" applyAlignment="0" applyProtection="0"/>
    <xf numFmtId="0" fontId="6" fillId="102" borderId="0" applyNumberFormat="0" applyBorder="0" applyAlignment="0" applyProtection="0"/>
    <xf numFmtId="0" fontId="6" fillId="0" borderId="0"/>
    <xf numFmtId="9" fontId="6" fillId="0" borderId="0" applyFont="0" applyFill="0" applyBorder="0" applyAlignment="0" applyProtection="0"/>
    <xf numFmtId="0" fontId="6" fillId="61" borderId="184" applyNumberFormat="0" applyFont="0" applyAlignment="0" applyProtection="0"/>
    <xf numFmtId="0" fontId="6" fillId="81" borderId="0" applyNumberFormat="0" applyBorder="0" applyAlignment="0" applyProtection="0"/>
    <xf numFmtId="0" fontId="6" fillId="82" borderId="0" applyNumberFormat="0" applyBorder="0" applyAlignment="0" applyProtection="0"/>
    <xf numFmtId="0" fontId="6" fillId="85" borderId="0" applyNumberFormat="0" applyBorder="0" applyAlignment="0" applyProtection="0"/>
    <xf numFmtId="0" fontId="6" fillId="86" borderId="0" applyNumberFormat="0" applyBorder="0" applyAlignment="0" applyProtection="0"/>
    <xf numFmtId="0" fontId="6" fillId="89" borderId="0" applyNumberFormat="0" applyBorder="0" applyAlignment="0" applyProtection="0"/>
    <xf numFmtId="0" fontId="6" fillId="90" borderId="0" applyNumberFormat="0" applyBorder="0" applyAlignment="0" applyProtection="0"/>
    <xf numFmtId="0" fontId="6" fillId="93" borderId="0" applyNumberFormat="0" applyBorder="0" applyAlignment="0" applyProtection="0"/>
    <xf numFmtId="0" fontId="6" fillId="94" borderId="0" applyNumberFormat="0" applyBorder="0" applyAlignment="0" applyProtection="0"/>
    <xf numFmtId="0" fontId="6" fillId="97" borderId="0" applyNumberFormat="0" applyBorder="0" applyAlignment="0" applyProtection="0"/>
    <xf numFmtId="0" fontId="6" fillId="98" borderId="0" applyNumberFormat="0" applyBorder="0" applyAlignment="0" applyProtection="0"/>
    <xf numFmtId="0" fontId="6" fillId="101" borderId="0" applyNumberFormat="0" applyBorder="0" applyAlignment="0" applyProtection="0"/>
    <xf numFmtId="0" fontId="6" fillId="102" borderId="0" applyNumberFormat="0" applyBorder="0" applyAlignment="0" applyProtection="0"/>
    <xf numFmtId="0" fontId="6" fillId="0" borderId="0"/>
    <xf numFmtId="0" fontId="6" fillId="81" borderId="0" applyNumberFormat="0" applyBorder="0" applyAlignment="0" applyProtection="0"/>
    <xf numFmtId="0" fontId="6" fillId="85" borderId="0" applyNumberFormat="0" applyBorder="0" applyAlignment="0" applyProtection="0"/>
    <xf numFmtId="0" fontId="6" fillId="89" borderId="0" applyNumberFormat="0" applyBorder="0" applyAlignment="0" applyProtection="0"/>
    <xf numFmtId="0" fontId="6" fillId="93" borderId="0" applyNumberFormat="0" applyBorder="0" applyAlignment="0" applyProtection="0"/>
    <xf numFmtId="0" fontId="6" fillId="97" borderId="0" applyNumberFormat="0" applyBorder="0" applyAlignment="0" applyProtection="0"/>
    <xf numFmtId="0" fontId="6" fillId="101" borderId="0" applyNumberFormat="0" applyBorder="0" applyAlignment="0" applyProtection="0"/>
    <xf numFmtId="0" fontId="6" fillId="82" borderId="0" applyNumberFormat="0" applyBorder="0" applyAlignment="0" applyProtection="0"/>
    <xf numFmtId="0" fontId="6" fillId="86" borderId="0" applyNumberFormat="0" applyBorder="0" applyAlignment="0" applyProtection="0"/>
    <xf numFmtId="0" fontId="6" fillId="90" borderId="0" applyNumberFormat="0" applyBorder="0" applyAlignment="0" applyProtection="0"/>
    <xf numFmtId="0" fontId="6" fillId="94" borderId="0" applyNumberFormat="0" applyBorder="0" applyAlignment="0" applyProtection="0"/>
    <xf numFmtId="0" fontId="6" fillId="98" borderId="0" applyNumberFormat="0" applyBorder="0" applyAlignment="0" applyProtection="0"/>
    <xf numFmtId="0" fontId="6" fillId="102" borderId="0" applyNumberFormat="0" applyBorder="0" applyAlignment="0" applyProtection="0"/>
    <xf numFmtId="0" fontId="6" fillId="61" borderId="184" applyNumberFormat="0" applyFont="0" applyAlignment="0" applyProtection="0"/>
    <xf numFmtId="0" fontId="6" fillId="0" borderId="0"/>
    <xf numFmtId="0" fontId="6" fillId="0" borderId="0"/>
    <xf numFmtId="0" fontId="6" fillId="0" borderId="0"/>
    <xf numFmtId="0" fontId="5" fillId="0" borderId="0"/>
    <xf numFmtId="0" fontId="5" fillId="0" borderId="0"/>
    <xf numFmtId="0" fontId="5" fillId="81" borderId="0" applyNumberFormat="0" applyBorder="0" applyAlignment="0" applyProtection="0"/>
    <xf numFmtId="0" fontId="5" fillId="85" borderId="0" applyNumberFormat="0" applyBorder="0" applyAlignment="0" applyProtection="0"/>
    <xf numFmtId="0" fontId="5" fillId="89" borderId="0" applyNumberFormat="0" applyBorder="0" applyAlignment="0" applyProtection="0"/>
    <xf numFmtId="0" fontId="5" fillId="93" borderId="0" applyNumberFormat="0" applyBorder="0" applyAlignment="0" applyProtection="0"/>
    <xf numFmtId="0" fontId="5" fillId="97" borderId="0" applyNumberFormat="0" applyBorder="0" applyAlignment="0" applyProtection="0"/>
    <xf numFmtId="0" fontId="5" fillId="101" borderId="0" applyNumberFormat="0" applyBorder="0" applyAlignment="0" applyProtection="0"/>
    <xf numFmtId="0" fontId="5" fillId="82" borderId="0" applyNumberFormat="0" applyBorder="0" applyAlignment="0" applyProtection="0"/>
    <xf numFmtId="0" fontId="5" fillId="86" borderId="0" applyNumberFormat="0" applyBorder="0" applyAlignment="0" applyProtection="0"/>
    <xf numFmtId="0" fontId="5" fillId="90" borderId="0" applyNumberFormat="0" applyBorder="0" applyAlignment="0" applyProtection="0"/>
    <xf numFmtId="0" fontId="5" fillId="94" borderId="0" applyNumberFormat="0" applyBorder="0" applyAlignment="0" applyProtection="0"/>
    <xf numFmtId="0" fontId="5" fillId="98" borderId="0" applyNumberFormat="0" applyBorder="0" applyAlignment="0" applyProtection="0"/>
    <xf numFmtId="0" fontId="5" fillId="102" borderId="0" applyNumberFormat="0" applyBorder="0" applyAlignment="0" applyProtection="0"/>
    <xf numFmtId="0" fontId="5" fillId="61" borderId="184" applyNumberFormat="0" applyFont="0" applyAlignment="0" applyProtection="0"/>
    <xf numFmtId="0" fontId="5" fillId="0" borderId="0"/>
    <xf numFmtId="0" fontId="5" fillId="81" borderId="0" applyNumberFormat="0" applyBorder="0" applyAlignment="0" applyProtection="0"/>
    <xf numFmtId="0" fontId="5" fillId="82" borderId="0" applyNumberFormat="0" applyBorder="0" applyAlignment="0" applyProtection="0"/>
    <xf numFmtId="0" fontId="5" fillId="85" borderId="0" applyNumberFormat="0" applyBorder="0" applyAlignment="0" applyProtection="0"/>
    <xf numFmtId="0" fontId="5" fillId="86" borderId="0" applyNumberFormat="0" applyBorder="0" applyAlignment="0" applyProtection="0"/>
    <xf numFmtId="0" fontId="5" fillId="89" borderId="0" applyNumberFormat="0" applyBorder="0" applyAlignment="0" applyProtection="0"/>
    <xf numFmtId="0" fontId="5" fillId="90" borderId="0" applyNumberFormat="0" applyBorder="0" applyAlignment="0" applyProtection="0"/>
    <xf numFmtId="0" fontId="5" fillId="93" borderId="0" applyNumberFormat="0" applyBorder="0" applyAlignment="0" applyProtection="0"/>
    <xf numFmtId="0" fontId="5" fillId="94" borderId="0" applyNumberFormat="0" applyBorder="0" applyAlignment="0" applyProtection="0"/>
    <xf numFmtId="0" fontId="5" fillId="97" borderId="0" applyNumberFormat="0" applyBorder="0" applyAlignment="0" applyProtection="0"/>
    <xf numFmtId="0" fontId="5" fillId="98" borderId="0" applyNumberFormat="0" applyBorder="0" applyAlignment="0" applyProtection="0"/>
    <xf numFmtId="0" fontId="5" fillId="101" borderId="0" applyNumberFormat="0" applyBorder="0" applyAlignment="0" applyProtection="0"/>
    <xf numFmtId="0" fontId="5" fillId="102" borderId="0" applyNumberFormat="0" applyBorder="0" applyAlignment="0" applyProtection="0"/>
    <xf numFmtId="0" fontId="5" fillId="0" borderId="0"/>
    <xf numFmtId="0" fontId="5" fillId="61" borderId="184" applyNumberFormat="0" applyFont="0" applyAlignment="0" applyProtection="0"/>
    <xf numFmtId="0" fontId="5" fillId="0" borderId="0"/>
    <xf numFmtId="0" fontId="5" fillId="0" borderId="0"/>
    <xf numFmtId="0" fontId="5" fillId="81" borderId="0" applyNumberFormat="0" applyBorder="0" applyAlignment="0" applyProtection="0"/>
    <xf numFmtId="0" fontId="5" fillId="85" borderId="0" applyNumberFormat="0" applyBorder="0" applyAlignment="0" applyProtection="0"/>
    <xf numFmtId="0" fontId="5" fillId="89" borderId="0" applyNumberFormat="0" applyBorder="0" applyAlignment="0" applyProtection="0"/>
    <xf numFmtId="0" fontId="5" fillId="93" borderId="0" applyNumberFormat="0" applyBorder="0" applyAlignment="0" applyProtection="0"/>
    <xf numFmtId="0" fontId="5" fillId="97" borderId="0" applyNumberFormat="0" applyBorder="0" applyAlignment="0" applyProtection="0"/>
    <xf numFmtId="0" fontId="5" fillId="101" borderId="0" applyNumberFormat="0" applyBorder="0" applyAlignment="0" applyProtection="0"/>
    <xf numFmtId="0" fontId="5" fillId="82" borderId="0" applyNumberFormat="0" applyBorder="0" applyAlignment="0" applyProtection="0"/>
    <xf numFmtId="0" fontId="5" fillId="86" borderId="0" applyNumberFormat="0" applyBorder="0" applyAlignment="0" applyProtection="0"/>
    <xf numFmtId="0" fontId="5" fillId="90" borderId="0" applyNumberFormat="0" applyBorder="0" applyAlignment="0" applyProtection="0"/>
    <xf numFmtId="0" fontId="5" fillId="94" borderId="0" applyNumberFormat="0" applyBorder="0" applyAlignment="0" applyProtection="0"/>
    <xf numFmtId="0" fontId="5" fillId="98" borderId="0" applyNumberFormat="0" applyBorder="0" applyAlignment="0" applyProtection="0"/>
    <xf numFmtId="0" fontId="5" fillId="102" borderId="0" applyNumberFormat="0" applyBorder="0" applyAlignment="0" applyProtection="0"/>
    <xf numFmtId="0" fontId="5" fillId="61" borderId="184" applyNumberFormat="0" applyFont="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61" borderId="184" applyNumberFormat="0" applyFont="0" applyAlignment="0" applyProtection="0"/>
    <xf numFmtId="0" fontId="5" fillId="81" borderId="0" applyNumberFormat="0" applyBorder="0" applyAlignment="0" applyProtection="0"/>
    <xf numFmtId="0" fontId="5" fillId="82" borderId="0" applyNumberFormat="0" applyBorder="0" applyAlignment="0" applyProtection="0"/>
    <xf numFmtId="0" fontId="5" fillId="85" borderId="0" applyNumberFormat="0" applyBorder="0" applyAlignment="0" applyProtection="0"/>
    <xf numFmtId="0" fontId="5" fillId="86" borderId="0" applyNumberFormat="0" applyBorder="0" applyAlignment="0" applyProtection="0"/>
    <xf numFmtId="0" fontId="5" fillId="89" borderId="0" applyNumberFormat="0" applyBorder="0" applyAlignment="0" applyProtection="0"/>
    <xf numFmtId="0" fontId="5" fillId="90" borderId="0" applyNumberFormat="0" applyBorder="0" applyAlignment="0" applyProtection="0"/>
    <xf numFmtId="0" fontId="5" fillId="93" borderId="0" applyNumberFormat="0" applyBorder="0" applyAlignment="0" applyProtection="0"/>
    <xf numFmtId="0" fontId="5" fillId="94" borderId="0" applyNumberFormat="0" applyBorder="0" applyAlignment="0" applyProtection="0"/>
    <xf numFmtId="0" fontId="5" fillId="97" borderId="0" applyNumberFormat="0" applyBorder="0" applyAlignment="0" applyProtection="0"/>
    <xf numFmtId="0" fontId="5" fillId="98" borderId="0" applyNumberFormat="0" applyBorder="0" applyAlignment="0" applyProtection="0"/>
    <xf numFmtId="0" fontId="5" fillId="101" borderId="0" applyNumberFormat="0" applyBorder="0" applyAlignment="0" applyProtection="0"/>
    <xf numFmtId="0" fontId="5" fillId="102" borderId="0" applyNumberFormat="0" applyBorder="0" applyAlignment="0" applyProtection="0"/>
    <xf numFmtId="0" fontId="5" fillId="61" borderId="184" applyNumberFormat="0" applyFont="0" applyAlignment="0" applyProtection="0"/>
    <xf numFmtId="0" fontId="5" fillId="81" borderId="0" applyNumberFormat="0" applyBorder="0" applyAlignment="0" applyProtection="0"/>
    <xf numFmtId="0" fontId="5" fillId="82" borderId="0" applyNumberFormat="0" applyBorder="0" applyAlignment="0" applyProtection="0"/>
    <xf numFmtId="0" fontId="5" fillId="85" borderId="0" applyNumberFormat="0" applyBorder="0" applyAlignment="0" applyProtection="0"/>
    <xf numFmtId="0" fontId="5" fillId="86" borderId="0" applyNumberFormat="0" applyBorder="0" applyAlignment="0" applyProtection="0"/>
    <xf numFmtId="0" fontId="5" fillId="89" borderId="0" applyNumberFormat="0" applyBorder="0" applyAlignment="0" applyProtection="0"/>
    <xf numFmtId="0" fontId="5" fillId="90" borderId="0" applyNumberFormat="0" applyBorder="0" applyAlignment="0" applyProtection="0"/>
    <xf numFmtId="0" fontId="5" fillId="93" borderId="0" applyNumberFormat="0" applyBorder="0" applyAlignment="0" applyProtection="0"/>
    <xf numFmtId="0" fontId="5" fillId="94" borderId="0" applyNumberFormat="0" applyBorder="0" applyAlignment="0" applyProtection="0"/>
    <xf numFmtId="0" fontId="5" fillId="97" borderId="0" applyNumberFormat="0" applyBorder="0" applyAlignment="0" applyProtection="0"/>
    <xf numFmtId="0" fontId="5" fillId="98" borderId="0" applyNumberFormat="0" applyBorder="0" applyAlignment="0" applyProtection="0"/>
    <xf numFmtId="0" fontId="5" fillId="101" borderId="0" applyNumberFormat="0" applyBorder="0" applyAlignment="0" applyProtection="0"/>
    <xf numFmtId="0" fontId="5" fillId="102" borderId="0" applyNumberFormat="0" applyBorder="0" applyAlignment="0" applyProtection="0"/>
    <xf numFmtId="0" fontId="5" fillId="0" borderId="0"/>
    <xf numFmtId="9" fontId="5" fillId="0" borderId="0" applyFont="0" applyFill="0" applyBorder="0" applyAlignment="0" applyProtection="0"/>
    <xf numFmtId="0" fontId="5" fillId="61" borderId="184" applyNumberFormat="0" applyFont="0" applyAlignment="0" applyProtection="0"/>
    <xf numFmtId="0" fontId="5" fillId="81" borderId="0" applyNumberFormat="0" applyBorder="0" applyAlignment="0" applyProtection="0"/>
    <xf numFmtId="0" fontId="5" fillId="82" borderId="0" applyNumberFormat="0" applyBorder="0" applyAlignment="0" applyProtection="0"/>
    <xf numFmtId="0" fontId="5" fillId="85" borderId="0" applyNumberFormat="0" applyBorder="0" applyAlignment="0" applyProtection="0"/>
    <xf numFmtId="0" fontId="5" fillId="86" borderId="0" applyNumberFormat="0" applyBorder="0" applyAlignment="0" applyProtection="0"/>
    <xf numFmtId="0" fontId="5" fillId="89" borderId="0" applyNumberFormat="0" applyBorder="0" applyAlignment="0" applyProtection="0"/>
    <xf numFmtId="0" fontId="5" fillId="90" borderId="0" applyNumberFormat="0" applyBorder="0" applyAlignment="0" applyProtection="0"/>
    <xf numFmtId="0" fontId="5" fillId="93" borderId="0" applyNumberFormat="0" applyBorder="0" applyAlignment="0" applyProtection="0"/>
    <xf numFmtId="0" fontId="5" fillId="94" borderId="0" applyNumberFormat="0" applyBorder="0" applyAlignment="0" applyProtection="0"/>
    <xf numFmtId="0" fontId="5" fillId="97" borderId="0" applyNumberFormat="0" applyBorder="0" applyAlignment="0" applyProtection="0"/>
    <xf numFmtId="0" fontId="5" fillId="98" borderId="0" applyNumberFormat="0" applyBorder="0" applyAlignment="0" applyProtection="0"/>
    <xf numFmtId="0" fontId="5" fillId="101" borderId="0" applyNumberFormat="0" applyBorder="0" applyAlignment="0" applyProtection="0"/>
    <xf numFmtId="0" fontId="5" fillId="102" borderId="0" applyNumberFormat="0" applyBorder="0" applyAlignment="0" applyProtection="0"/>
    <xf numFmtId="0" fontId="5" fillId="0" borderId="0"/>
    <xf numFmtId="0" fontId="5" fillId="81" borderId="0" applyNumberFormat="0" applyBorder="0" applyAlignment="0" applyProtection="0"/>
    <xf numFmtId="0" fontId="5" fillId="85" borderId="0" applyNumberFormat="0" applyBorder="0" applyAlignment="0" applyProtection="0"/>
    <xf numFmtId="0" fontId="5" fillId="89" borderId="0" applyNumberFormat="0" applyBorder="0" applyAlignment="0" applyProtection="0"/>
    <xf numFmtId="0" fontId="5" fillId="93" borderId="0" applyNumberFormat="0" applyBorder="0" applyAlignment="0" applyProtection="0"/>
    <xf numFmtId="0" fontId="5" fillId="97" borderId="0" applyNumberFormat="0" applyBorder="0" applyAlignment="0" applyProtection="0"/>
    <xf numFmtId="0" fontId="5" fillId="101" borderId="0" applyNumberFormat="0" applyBorder="0" applyAlignment="0" applyProtection="0"/>
    <xf numFmtId="0" fontId="5" fillId="82" borderId="0" applyNumberFormat="0" applyBorder="0" applyAlignment="0" applyProtection="0"/>
    <xf numFmtId="0" fontId="5" fillId="86" borderId="0" applyNumberFormat="0" applyBorder="0" applyAlignment="0" applyProtection="0"/>
    <xf numFmtId="0" fontId="5" fillId="90" borderId="0" applyNumberFormat="0" applyBorder="0" applyAlignment="0" applyProtection="0"/>
    <xf numFmtId="0" fontId="5" fillId="94" borderId="0" applyNumberFormat="0" applyBorder="0" applyAlignment="0" applyProtection="0"/>
    <xf numFmtId="0" fontId="5" fillId="98" borderId="0" applyNumberFormat="0" applyBorder="0" applyAlignment="0" applyProtection="0"/>
    <xf numFmtId="0" fontId="5" fillId="102" borderId="0" applyNumberFormat="0" applyBorder="0" applyAlignment="0" applyProtection="0"/>
    <xf numFmtId="0" fontId="5" fillId="61" borderId="184" applyNumberFormat="0" applyFont="0" applyAlignment="0" applyProtection="0"/>
    <xf numFmtId="0" fontId="5" fillId="0" borderId="0"/>
    <xf numFmtId="0" fontId="5" fillId="0" borderId="0"/>
    <xf numFmtId="0" fontId="5" fillId="0" borderId="0"/>
    <xf numFmtId="0" fontId="141" fillId="0" borderId="8" applyNumberFormat="0" applyFill="0" applyAlignment="0" applyProtection="0"/>
    <xf numFmtId="0" fontId="5" fillId="0" borderId="0"/>
    <xf numFmtId="0" fontId="21" fillId="0" borderId="11">
      <alignment horizontal="right" vertical="center"/>
    </xf>
    <xf numFmtId="0" fontId="5" fillId="0" borderId="0"/>
    <xf numFmtId="0" fontId="17" fillId="0" borderId="0"/>
    <xf numFmtId="0" fontId="17" fillId="0" borderId="0"/>
    <xf numFmtId="0" fontId="5" fillId="81" borderId="0" applyNumberFormat="0" applyBorder="0" applyAlignment="0" applyProtection="0"/>
    <xf numFmtId="0" fontId="5" fillId="85" borderId="0" applyNumberFormat="0" applyBorder="0" applyAlignment="0" applyProtection="0"/>
    <xf numFmtId="0" fontId="5" fillId="89" borderId="0" applyNumberFormat="0" applyBorder="0" applyAlignment="0" applyProtection="0"/>
    <xf numFmtId="0" fontId="5" fillId="93" borderId="0" applyNumberFormat="0" applyBorder="0" applyAlignment="0" applyProtection="0"/>
    <xf numFmtId="0" fontId="5" fillId="97" borderId="0" applyNumberFormat="0" applyBorder="0" applyAlignment="0" applyProtection="0"/>
    <xf numFmtId="0" fontId="5" fillId="101" borderId="0" applyNumberFormat="0" applyBorder="0" applyAlignment="0" applyProtection="0"/>
    <xf numFmtId="0" fontId="5" fillId="82" borderId="0" applyNumberFormat="0" applyBorder="0" applyAlignment="0" applyProtection="0"/>
    <xf numFmtId="0" fontId="5" fillId="86" borderId="0" applyNumberFormat="0" applyBorder="0" applyAlignment="0" applyProtection="0"/>
    <xf numFmtId="0" fontId="5" fillId="90" borderId="0" applyNumberFormat="0" applyBorder="0" applyAlignment="0" applyProtection="0"/>
    <xf numFmtId="0" fontId="5" fillId="94" borderId="0" applyNumberFormat="0" applyBorder="0" applyAlignment="0" applyProtection="0"/>
    <xf numFmtId="0" fontId="5" fillId="98" borderId="0" applyNumberFormat="0" applyBorder="0" applyAlignment="0" applyProtection="0"/>
    <xf numFmtId="0" fontId="5" fillId="102" borderId="0" applyNumberFormat="0" applyBorder="0" applyAlignment="0" applyProtection="0"/>
    <xf numFmtId="0" fontId="5" fillId="61" borderId="184" applyNumberFormat="0" applyFont="0" applyAlignment="0" applyProtection="0"/>
    <xf numFmtId="0" fontId="5" fillId="0" borderId="0"/>
    <xf numFmtId="0" fontId="5" fillId="81" borderId="0" applyNumberFormat="0" applyBorder="0" applyAlignment="0" applyProtection="0"/>
    <xf numFmtId="0" fontId="5" fillId="82" borderId="0" applyNumberFormat="0" applyBorder="0" applyAlignment="0" applyProtection="0"/>
    <xf numFmtId="0" fontId="5" fillId="85" borderId="0" applyNumberFormat="0" applyBorder="0" applyAlignment="0" applyProtection="0"/>
    <xf numFmtId="0" fontId="5" fillId="86" borderId="0" applyNumberFormat="0" applyBorder="0" applyAlignment="0" applyProtection="0"/>
    <xf numFmtId="0" fontId="5" fillId="89" borderId="0" applyNumberFormat="0" applyBorder="0" applyAlignment="0" applyProtection="0"/>
    <xf numFmtId="0" fontId="5" fillId="90" borderId="0" applyNumberFormat="0" applyBorder="0" applyAlignment="0" applyProtection="0"/>
    <xf numFmtId="0" fontId="5" fillId="93" borderId="0" applyNumberFormat="0" applyBorder="0" applyAlignment="0" applyProtection="0"/>
    <xf numFmtId="0" fontId="5" fillId="94" borderId="0" applyNumberFormat="0" applyBorder="0" applyAlignment="0" applyProtection="0"/>
    <xf numFmtId="0" fontId="5" fillId="97" borderId="0" applyNumberFormat="0" applyBorder="0" applyAlignment="0" applyProtection="0"/>
    <xf numFmtId="0" fontId="5" fillId="98" borderId="0" applyNumberFormat="0" applyBorder="0" applyAlignment="0" applyProtection="0"/>
    <xf numFmtId="0" fontId="5" fillId="101" borderId="0" applyNumberFormat="0" applyBorder="0" applyAlignment="0" applyProtection="0"/>
    <xf numFmtId="0" fontId="5" fillId="102" borderId="0" applyNumberFormat="0" applyBorder="0" applyAlignment="0" applyProtection="0"/>
    <xf numFmtId="0" fontId="5" fillId="0" borderId="0"/>
    <xf numFmtId="0" fontId="5" fillId="61" borderId="184" applyNumberFormat="0" applyFont="0" applyAlignment="0" applyProtection="0"/>
    <xf numFmtId="0" fontId="17" fillId="0" borderId="0"/>
    <xf numFmtId="0" fontId="5" fillId="0" borderId="0"/>
    <xf numFmtId="0" fontId="5" fillId="0" borderId="0"/>
    <xf numFmtId="0" fontId="5" fillId="81" borderId="0" applyNumberFormat="0" applyBorder="0" applyAlignment="0" applyProtection="0"/>
    <xf numFmtId="0" fontId="5" fillId="85" borderId="0" applyNumberFormat="0" applyBorder="0" applyAlignment="0" applyProtection="0"/>
    <xf numFmtId="0" fontId="5" fillId="89" borderId="0" applyNumberFormat="0" applyBorder="0" applyAlignment="0" applyProtection="0"/>
    <xf numFmtId="0" fontId="5" fillId="93" borderId="0" applyNumberFormat="0" applyBorder="0" applyAlignment="0" applyProtection="0"/>
    <xf numFmtId="0" fontId="5" fillId="97" borderId="0" applyNumberFormat="0" applyBorder="0" applyAlignment="0" applyProtection="0"/>
    <xf numFmtId="0" fontId="5" fillId="101" borderId="0" applyNumberFormat="0" applyBorder="0" applyAlignment="0" applyProtection="0"/>
    <xf numFmtId="0" fontId="5" fillId="82" borderId="0" applyNumberFormat="0" applyBorder="0" applyAlignment="0" applyProtection="0"/>
    <xf numFmtId="0" fontId="5" fillId="86" borderId="0" applyNumberFormat="0" applyBorder="0" applyAlignment="0" applyProtection="0"/>
    <xf numFmtId="0" fontId="5" fillId="90" borderId="0" applyNumberFormat="0" applyBorder="0" applyAlignment="0" applyProtection="0"/>
    <xf numFmtId="0" fontId="5" fillId="94" borderId="0" applyNumberFormat="0" applyBorder="0" applyAlignment="0" applyProtection="0"/>
    <xf numFmtId="0" fontId="5" fillId="98" borderId="0" applyNumberFormat="0" applyBorder="0" applyAlignment="0" applyProtection="0"/>
    <xf numFmtId="0" fontId="5" fillId="102" borderId="0" applyNumberFormat="0" applyBorder="0" applyAlignment="0" applyProtection="0"/>
    <xf numFmtId="0" fontId="5" fillId="61" borderId="184" applyNumberFormat="0" applyFont="0" applyAlignment="0" applyProtection="0"/>
    <xf numFmtId="0" fontId="5" fillId="0" borderId="0"/>
    <xf numFmtId="0" fontId="5" fillId="0" borderId="0"/>
    <xf numFmtId="0" fontId="5" fillId="0" borderId="0"/>
    <xf numFmtId="0" fontId="17" fillId="0" borderId="0"/>
    <xf numFmtId="0" fontId="5" fillId="0" borderId="0"/>
    <xf numFmtId="0" fontId="5" fillId="0" borderId="0"/>
    <xf numFmtId="0" fontId="5" fillId="0" borderId="0"/>
    <xf numFmtId="0" fontId="17" fillId="0" borderId="0"/>
    <xf numFmtId="0" fontId="17" fillId="0" borderId="0"/>
    <xf numFmtId="0" fontId="5" fillId="61" borderId="184" applyNumberFormat="0" applyFont="0" applyAlignment="0" applyProtection="0"/>
    <xf numFmtId="0" fontId="5" fillId="81" borderId="0" applyNumberFormat="0" applyBorder="0" applyAlignment="0" applyProtection="0"/>
    <xf numFmtId="0" fontId="5" fillId="82" borderId="0" applyNumberFormat="0" applyBorder="0" applyAlignment="0" applyProtection="0"/>
    <xf numFmtId="0" fontId="5" fillId="85" borderId="0" applyNumberFormat="0" applyBorder="0" applyAlignment="0" applyProtection="0"/>
    <xf numFmtId="0" fontId="5" fillId="86" borderId="0" applyNumberFormat="0" applyBorder="0" applyAlignment="0" applyProtection="0"/>
    <xf numFmtId="0" fontId="5" fillId="89" borderId="0" applyNumberFormat="0" applyBorder="0" applyAlignment="0" applyProtection="0"/>
    <xf numFmtId="0" fontId="5" fillId="90" borderId="0" applyNumberFormat="0" applyBorder="0" applyAlignment="0" applyProtection="0"/>
    <xf numFmtId="0" fontId="5" fillId="93" borderId="0" applyNumberFormat="0" applyBorder="0" applyAlignment="0" applyProtection="0"/>
    <xf numFmtId="0" fontId="5" fillId="94" borderId="0" applyNumberFormat="0" applyBorder="0" applyAlignment="0" applyProtection="0"/>
    <xf numFmtId="0" fontId="5" fillId="97" borderId="0" applyNumberFormat="0" applyBorder="0" applyAlignment="0" applyProtection="0"/>
    <xf numFmtId="0" fontId="5" fillId="98" borderId="0" applyNumberFormat="0" applyBorder="0" applyAlignment="0" applyProtection="0"/>
    <xf numFmtId="0" fontId="5" fillId="101" borderId="0" applyNumberFormat="0" applyBorder="0" applyAlignment="0" applyProtection="0"/>
    <xf numFmtId="0" fontId="5" fillId="102" borderId="0" applyNumberFormat="0" applyBorder="0" applyAlignment="0" applyProtection="0"/>
    <xf numFmtId="0" fontId="17" fillId="0" borderId="0"/>
    <xf numFmtId="0" fontId="5" fillId="61" borderId="184" applyNumberFormat="0" applyFont="0" applyAlignment="0" applyProtection="0"/>
    <xf numFmtId="0" fontId="5" fillId="81" borderId="0" applyNumberFormat="0" applyBorder="0" applyAlignment="0" applyProtection="0"/>
    <xf numFmtId="0" fontId="5" fillId="82" borderId="0" applyNumberFormat="0" applyBorder="0" applyAlignment="0" applyProtection="0"/>
    <xf numFmtId="0" fontId="5" fillId="85" borderId="0" applyNumberFormat="0" applyBorder="0" applyAlignment="0" applyProtection="0"/>
    <xf numFmtId="0" fontId="5" fillId="86" borderId="0" applyNumberFormat="0" applyBorder="0" applyAlignment="0" applyProtection="0"/>
    <xf numFmtId="0" fontId="5" fillId="89" borderId="0" applyNumberFormat="0" applyBorder="0" applyAlignment="0" applyProtection="0"/>
    <xf numFmtId="0" fontId="5" fillId="90" borderId="0" applyNumberFormat="0" applyBorder="0" applyAlignment="0" applyProtection="0"/>
    <xf numFmtId="0" fontId="5" fillId="93" borderId="0" applyNumberFormat="0" applyBorder="0" applyAlignment="0" applyProtection="0"/>
    <xf numFmtId="0" fontId="5" fillId="94" borderId="0" applyNumberFormat="0" applyBorder="0" applyAlignment="0" applyProtection="0"/>
    <xf numFmtId="0" fontId="5" fillId="97" borderId="0" applyNumberFormat="0" applyBorder="0" applyAlignment="0" applyProtection="0"/>
    <xf numFmtId="0" fontId="5" fillId="98" borderId="0" applyNumberFormat="0" applyBorder="0" applyAlignment="0" applyProtection="0"/>
    <xf numFmtId="0" fontId="5" fillId="101" borderId="0" applyNumberFormat="0" applyBorder="0" applyAlignment="0" applyProtection="0"/>
    <xf numFmtId="0" fontId="5" fillId="102" borderId="0" applyNumberFormat="0" applyBorder="0" applyAlignment="0" applyProtection="0"/>
    <xf numFmtId="0" fontId="5" fillId="0" borderId="0"/>
    <xf numFmtId="9" fontId="5" fillId="0" borderId="0" applyFont="0" applyFill="0" applyBorder="0" applyAlignment="0" applyProtection="0"/>
    <xf numFmtId="0" fontId="17" fillId="0" borderId="0"/>
    <xf numFmtId="0" fontId="5" fillId="61" borderId="184" applyNumberFormat="0" applyFont="0" applyAlignment="0" applyProtection="0"/>
    <xf numFmtId="0" fontId="5" fillId="81" borderId="0" applyNumberFormat="0" applyBorder="0" applyAlignment="0" applyProtection="0"/>
    <xf numFmtId="0" fontId="5" fillId="82" borderId="0" applyNumberFormat="0" applyBorder="0" applyAlignment="0" applyProtection="0"/>
    <xf numFmtId="0" fontId="5" fillId="85" borderId="0" applyNumberFormat="0" applyBorder="0" applyAlignment="0" applyProtection="0"/>
    <xf numFmtId="0" fontId="5" fillId="86" borderId="0" applyNumberFormat="0" applyBorder="0" applyAlignment="0" applyProtection="0"/>
    <xf numFmtId="0" fontId="5" fillId="89" borderId="0" applyNumberFormat="0" applyBorder="0" applyAlignment="0" applyProtection="0"/>
    <xf numFmtId="0" fontId="5" fillId="90" borderId="0" applyNumberFormat="0" applyBorder="0" applyAlignment="0" applyProtection="0"/>
    <xf numFmtId="0" fontId="5" fillId="93" borderId="0" applyNumberFormat="0" applyBorder="0" applyAlignment="0" applyProtection="0"/>
    <xf numFmtId="0" fontId="5" fillId="94" borderId="0" applyNumberFormat="0" applyBorder="0" applyAlignment="0" applyProtection="0"/>
    <xf numFmtId="0" fontId="5" fillId="97" borderId="0" applyNumberFormat="0" applyBorder="0" applyAlignment="0" applyProtection="0"/>
    <xf numFmtId="0" fontId="5" fillId="98" borderId="0" applyNumberFormat="0" applyBorder="0" applyAlignment="0" applyProtection="0"/>
    <xf numFmtId="0" fontId="5" fillId="101" borderId="0" applyNumberFormat="0" applyBorder="0" applyAlignment="0" applyProtection="0"/>
    <xf numFmtId="0" fontId="5" fillId="102" borderId="0" applyNumberFormat="0" applyBorder="0" applyAlignment="0" applyProtection="0"/>
    <xf numFmtId="0" fontId="5" fillId="0" borderId="0"/>
    <xf numFmtId="0" fontId="5" fillId="81" borderId="0" applyNumberFormat="0" applyBorder="0" applyAlignment="0" applyProtection="0"/>
    <xf numFmtId="0" fontId="5" fillId="85" borderId="0" applyNumberFormat="0" applyBorder="0" applyAlignment="0" applyProtection="0"/>
    <xf numFmtId="0" fontId="5" fillId="89" borderId="0" applyNumberFormat="0" applyBorder="0" applyAlignment="0" applyProtection="0"/>
    <xf numFmtId="0" fontId="5" fillId="93" borderId="0" applyNumberFormat="0" applyBorder="0" applyAlignment="0" applyProtection="0"/>
    <xf numFmtId="0" fontId="5" fillId="97" borderId="0" applyNumberFormat="0" applyBorder="0" applyAlignment="0" applyProtection="0"/>
    <xf numFmtId="0" fontId="5" fillId="101" borderId="0" applyNumberFormat="0" applyBorder="0" applyAlignment="0" applyProtection="0"/>
    <xf numFmtId="0" fontId="5" fillId="82" borderId="0" applyNumberFormat="0" applyBorder="0" applyAlignment="0" applyProtection="0"/>
    <xf numFmtId="0" fontId="5" fillId="86" borderId="0" applyNumberFormat="0" applyBorder="0" applyAlignment="0" applyProtection="0"/>
    <xf numFmtId="0" fontId="5" fillId="90" borderId="0" applyNumberFormat="0" applyBorder="0" applyAlignment="0" applyProtection="0"/>
    <xf numFmtId="0" fontId="5" fillId="94" borderId="0" applyNumberFormat="0" applyBorder="0" applyAlignment="0" applyProtection="0"/>
    <xf numFmtId="0" fontId="5" fillId="98" borderId="0" applyNumberFormat="0" applyBorder="0" applyAlignment="0" applyProtection="0"/>
    <xf numFmtId="0" fontId="5" fillId="102" borderId="0" applyNumberFormat="0" applyBorder="0" applyAlignment="0" applyProtection="0"/>
    <xf numFmtId="0" fontId="5" fillId="61" borderId="184" applyNumberFormat="0" applyFont="0" applyAlignment="0" applyProtection="0"/>
    <xf numFmtId="0" fontId="17" fillId="0" borderId="0"/>
    <xf numFmtId="0" fontId="5" fillId="0" borderId="0"/>
    <xf numFmtId="0" fontId="17" fillId="0" borderId="0"/>
    <xf numFmtId="0" fontId="5" fillId="0" borderId="0"/>
    <xf numFmtId="0" fontId="4" fillId="0" borderId="0"/>
    <xf numFmtId="0" fontId="4" fillId="0" borderId="0"/>
    <xf numFmtId="0" fontId="4" fillId="81" borderId="0" applyNumberFormat="0" applyBorder="0" applyAlignment="0" applyProtection="0"/>
    <xf numFmtId="0" fontId="4" fillId="85" borderId="0" applyNumberFormat="0" applyBorder="0" applyAlignment="0" applyProtection="0"/>
    <xf numFmtId="0" fontId="4" fillId="89" borderId="0" applyNumberFormat="0" applyBorder="0" applyAlignment="0" applyProtection="0"/>
    <xf numFmtId="0" fontId="4" fillId="93" borderId="0" applyNumberFormat="0" applyBorder="0" applyAlignment="0" applyProtection="0"/>
    <xf numFmtId="0" fontId="4" fillId="97" borderId="0" applyNumberFormat="0" applyBorder="0" applyAlignment="0" applyProtection="0"/>
    <xf numFmtId="0" fontId="4" fillId="101" borderId="0" applyNumberFormat="0" applyBorder="0" applyAlignment="0" applyProtection="0"/>
    <xf numFmtId="0" fontId="4" fillId="82" borderId="0" applyNumberFormat="0" applyBorder="0" applyAlignment="0" applyProtection="0"/>
    <xf numFmtId="0" fontId="4" fillId="86" borderId="0" applyNumberFormat="0" applyBorder="0" applyAlignment="0" applyProtection="0"/>
    <xf numFmtId="0" fontId="4" fillId="90" borderId="0" applyNumberFormat="0" applyBorder="0" applyAlignment="0" applyProtection="0"/>
    <xf numFmtId="0" fontId="4" fillId="94" borderId="0" applyNumberFormat="0" applyBorder="0" applyAlignment="0" applyProtection="0"/>
    <xf numFmtId="0" fontId="4" fillId="98" borderId="0" applyNumberFormat="0" applyBorder="0" applyAlignment="0" applyProtection="0"/>
    <xf numFmtId="0" fontId="4" fillId="102" borderId="0" applyNumberFormat="0" applyBorder="0" applyAlignment="0" applyProtection="0"/>
    <xf numFmtId="0" fontId="4" fillId="61" borderId="184" applyNumberFormat="0" applyFont="0" applyAlignment="0" applyProtection="0"/>
    <xf numFmtId="0" fontId="4" fillId="0" borderId="0"/>
    <xf numFmtId="0" fontId="4" fillId="81" borderId="0" applyNumberFormat="0" applyBorder="0" applyAlignment="0" applyProtection="0"/>
    <xf numFmtId="0" fontId="4" fillId="82" borderId="0" applyNumberFormat="0" applyBorder="0" applyAlignment="0" applyProtection="0"/>
    <xf numFmtId="0" fontId="4" fillId="85" borderId="0" applyNumberFormat="0" applyBorder="0" applyAlignment="0" applyProtection="0"/>
    <xf numFmtId="0" fontId="4" fillId="86" borderId="0" applyNumberFormat="0" applyBorder="0" applyAlignment="0" applyProtection="0"/>
    <xf numFmtId="0" fontId="4" fillId="89" borderId="0" applyNumberFormat="0" applyBorder="0" applyAlignment="0" applyProtection="0"/>
    <xf numFmtId="0" fontId="4" fillId="90" borderId="0" applyNumberFormat="0" applyBorder="0" applyAlignment="0" applyProtection="0"/>
    <xf numFmtId="0" fontId="4" fillId="93" borderId="0" applyNumberFormat="0" applyBorder="0" applyAlignment="0" applyProtection="0"/>
    <xf numFmtId="0" fontId="4" fillId="94" borderId="0" applyNumberFormat="0" applyBorder="0" applyAlignment="0" applyProtection="0"/>
    <xf numFmtId="0" fontId="4" fillId="97" borderId="0" applyNumberFormat="0" applyBorder="0" applyAlignment="0" applyProtection="0"/>
    <xf numFmtId="0" fontId="4" fillId="98" borderId="0" applyNumberFormat="0" applyBorder="0" applyAlignment="0" applyProtection="0"/>
    <xf numFmtId="0" fontId="4" fillId="101" borderId="0" applyNumberFormat="0" applyBorder="0" applyAlignment="0" applyProtection="0"/>
    <xf numFmtId="0" fontId="4" fillId="102" borderId="0" applyNumberFormat="0" applyBorder="0" applyAlignment="0" applyProtection="0"/>
    <xf numFmtId="0" fontId="4" fillId="0" borderId="0"/>
    <xf numFmtId="0" fontId="4" fillId="61" borderId="184" applyNumberFormat="0" applyFont="0" applyAlignment="0" applyProtection="0"/>
    <xf numFmtId="0" fontId="4" fillId="0" borderId="0"/>
    <xf numFmtId="0" fontId="4" fillId="0" borderId="0"/>
    <xf numFmtId="0" fontId="4" fillId="81" borderId="0" applyNumberFormat="0" applyBorder="0" applyAlignment="0" applyProtection="0"/>
    <xf numFmtId="0" fontId="4" fillId="85" borderId="0" applyNumberFormat="0" applyBorder="0" applyAlignment="0" applyProtection="0"/>
    <xf numFmtId="0" fontId="4" fillId="89" borderId="0" applyNumberFormat="0" applyBorder="0" applyAlignment="0" applyProtection="0"/>
    <xf numFmtId="0" fontId="4" fillId="93" borderId="0" applyNumberFormat="0" applyBorder="0" applyAlignment="0" applyProtection="0"/>
    <xf numFmtId="0" fontId="4" fillId="97" borderId="0" applyNumberFormat="0" applyBorder="0" applyAlignment="0" applyProtection="0"/>
    <xf numFmtId="0" fontId="4" fillId="101" borderId="0" applyNumberFormat="0" applyBorder="0" applyAlignment="0" applyProtection="0"/>
    <xf numFmtId="0" fontId="4" fillId="82" borderId="0" applyNumberFormat="0" applyBorder="0" applyAlignment="0" applyProtection="0"/>
    <xf numFmtId="0" fontId="4" fillId="86" borderId="0" applyNumberFormat="0" applyBorder="0" applyAlignment="0" applyProtection="0"/>
    <xf numFmtId="0" fontId="4" fillId="90" borderId="0" applyNumberFormat="0" applyBorder="0" applyAlignment="0" applyProtection="0"/>
    <xf numFmtId="0" fontId="4" fillId="94" borderId="0" applyNumberFormat="0" applyBorder="0" applyAlignment="0" applyProtection="0"/>
    <xf numFmtId="0" fontId="4" fillId="98" borderId="0" applyNumberFormat="0" applyBorder="0" applyAlignment="0" applyProtection="0"/>
    <xf numFmtId="0" fontId="4" fillId="102" borderId="0" applyNumberFormat="0" applyBorder="0" applyAlignment="0" applyProtection="0"/>
    <xf numFmtId="0" fontId="4" fillId="61" borderId="184"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1" borderId="184" applyNumberFormat="0" applyFont="0" applyAlignment="0" applyProtection="0"/>
    <xf numFmtId="0" fontId="4" fillId="81" borderId="0" applyNumberFormat="0" applyBorder="0" applyAlignment="0" applyProtection="0"/>
    <xf numFmtId="0" fontId="4" fillId="82" borderId="0" applyNumberFormat="0" applyBorder="0" applyAlignment="0" applyProtection="0"/>
    <xf numFmtId="0" fontId="4" fillId="85" borderId="0" applyNumberFormat="0" applyBorder="0" applyAlignment="0" applyProtection="0"/>
    <xf numFmtId="0" fontId="4" fillId="86" borderId="0" applyNumberFormat="0" applyBorder="0" applyAlignment="0" applyProtection="0"/>
    <xf numFmtId="0" fontId="4" fillId="89" borderId="0" applyNumberFormat="0" applyBorder="0" applyAlignment="0" applyProtection="0"/>
    <xf numFmtId="0" fontId="4" fillId="90" borderId="0" applyNumberFormat="0" applyBorder="0" applyAlignment="0" applyProtection="0"/>
    <xf numFmtId="0" fontId="4" fillId="93" borderId="0" applyNumberFormat="0" applyBorder="0" applyAlignment="0" applyProtection="0"/>
    <xf numFmtId="0" fontId="4" fillId="94" borderId="0" applyNumberFormat="0" applyBorder="0" applyAlignment="0" applyProtection="0"/>
    <xf numFmtId="0" fontId="4" fillId="97" borderId="0" applyNumberFormat="0" applyBorder="0" applyAlignment="0" applyProtection="0"/>
    <xf numFmtId="0" fontId="4" fillId="98" borderId="0" applyNumberFormat="0" applyBorder="0" applyAlignment="0" applyProtection="0"/>
    <xf numFmtId="0" fontId="4" fillId="101" borderId="0" applyNumberFormat="0" applyBorder="0" applyAlignment="0" applyProtection="0"/>
    <xf numFmtId="0" fontId="4" fillId="102" borderId="0" applyNumberFormat="0" applyBorder="0" applyAlignment="0" applyProtection="0"/>
    <xf numFmtId="0" fontId="4" fillId="61" borderId="184" applyNumberFormat="0" applyFont="0" applyAlignment="0" applyProtection="0"/>
    <xf numFmtId="0" fontId="4" fillId="81" borderId="0" applyNumberFormat="0" applyBorder="0" applyAlignment="0" applyProtection="0"/>
    <xf numFmtId="0" fontId="4" fillId="82" borderId="0" applyNumberFormat="0" applyBorder="0" applyAlignment="0" applyProtection="0"/>
    <xf numFmtId="0" fontId="4" fillId="85" borderId="0" applyNumberFormat="0" applyBorder="0" applyAlignment="0" applyProtection="0"/>
    <xf numFmtId="0" fontId="4" fillId="86" borderId="0" applyNumberFormat="0" applyBorder="0" applyAlignment="0" applyProtection="0"/>
    <xf numFmtId="0" fontId="4" fillId="89" borderId="0" applyNumberFormat="0" applyBorder="0" applyAlignment="0" applyProtection="0"/>
    <xf numFmtId="0" fontId="4" fillId="90" borderId="0" applyNumberFormat="0" applyBorder="0" applyAlignment="0" applyProtection="0"/>
    <xf numFmtId="0" fontId="4" fillId="93" borderId="0" applyNumberFormat="0" applyBorder="0" applyAlignment="0" applyProtection="0"/>
    <xf numFmtId="0" fontId="4" fillId="94" borderId="0" applyNumberFormat="0" applyBorder="0" applyAlignment="0" applyProtection="0"/>
    <xf numFmtId="0" fontId="4" fillId="97" borderId="0" applyNumberFormat="0" applyBorder="0" applyAlignment="0" applyProtection="0"/>
    <xf numFmtId="0" fontId="4" fillId="98" borderId="0" applyNumberFormat="0" applyBorder="0" applyAlignment="0" applyProtection="0"/>
    <xf numFmtId="0" fontId="4" fillId="101" borderId="0" applyNumberFormat="0" applyBorder="0" applyAlignment="0" applyProtection="0"/>
    <xf numFmtId="0" fontId="4" fillId="102" borderId="0" applyNumberFormat="0" applyBorder="0" applyAlignment="0" applyProtection="0"/>
    <xf numFmtId="0" fontId="4" fillId="0" borderId="0"/>
    <xf numFmtId="9" fontId="4" fillId="0" borderId="0" applyFont="0" applyFill="0" applyBorder="0" applyAlignment="0" applyProtection="0"/>
    <xf numFmtId="0" fontId="4" fillId="61" borderId="184" applyNumberFormat="0" applyFont="0" applyAlignment="0" applyProtection="0"/>
    <xf numFmtId="0" fontId="4" fillId="81" borderId="0" applyNumberFormat="0" applyBorder="0" applyAlignment="0" applyProtection="0"/>
    <xf numFmtId="0" fontId="4" fillId="82" borderId="0" applyNumberFormat="0" applyBorder="0" applyAlignment="0" applyProtection="0"/>
    <xf numFmtId="0" fontId="4" fillId="85" borderId="0" applyNumberFormat="0" applyBorder="0" applyAlignment="0" applyProtection="0"/>
    <xf numFmtId="0" fontId="4" fillId="86" borderId="0" applyNumberFormat="0" applyBorder="0" applyAlignment="0" applyProtection="0"/>
    <xf numFmtId="0" fontId="4" fillId="89" borderId="0" applyNumberFormat="0" applyBorder="0" applyAlignment="0" applyProtection="0"/>
    <xf numFmtId="0" fontId="4" fillId="90" borderId="0" applyNumberFormat="0" applyBorder="0" applyAlignment="0" applyProtection="0"/>
    <xf numFmtId="0" fontId="4" fillId="93" borderId="0" applyNumberFormat="0" applyBorder="0" applyAlignment="0" applyProtection="0"/>
    <xf numFmtId="0" fontId="4" fillId="94" borderId="0" applyNumberFormat="0" applyBorder="0" applyAlignment="0" applyProtection="0"/>
    <xf numFmtId="0" fontId="4" fillId="97" borderId="0" applyNumberFormat="0" applyBorder="0" applyAlignment="0" applyProtection="0"/>
    <xf numFmtId="0" fontId="4" fillId="98" borderId="0" applyNumberFormat="0" applyBorder="0" applyAlignment="0" applyProtection="0"/>
    <xf numFmtId="0" fontId="4" fillId="101" borderId="0" applyNumberFormat="0" applyBorder="0" applyAlignment="0" applyProtection="0"/>
    <xf numFmtId="0" fontId="4" fillId="102" borderId="0" applyNumberFormat="0" applyBorder="0" applyAlignment="0" applyProtection="0"/>
    <xf numFmtId="0" fontId="4" fillId="0" borderId="0"/>
    <xf numFmtId="0" fontId="4" fillId="81" borderId="0" applyNumberFormat="0" applyBorder="0" applyAlignment="0" applyProtection="0"/>
    <xf numFmtId="0" fontId="4" fillId="85" borderId="0" applyNumberFormat="0" applyBorder="0" applyAlignment="0" applyProtection="0"/>
    <xf numFmtId="0" fontId="4" fillId="89" borderId="0" applyNumberFormat="0" applyBorder="0" applyAlignment="0" applyProtection="0"/>
    <xf numFmtId="0" fontId="4" fillId="93" borderId="0" applyNumberFormat="0" applyBorder="0" applyAlignment="0" applyProtection="0"/>
    <xf numFmtId="0" fontId="4" fillId="97" borderId="0" applyNumberFormat="0" applyBorder="0" applyAlignment="0" applyProtection="0"/>
    <xf numFmtId="0" fontId="4" fillId="101" borderId="0" applyNumberFormat="0" applyBorder="0" applyAlignment="0" applyProtection="0"/>
    <xf numFmtId="0" fontId="4" fillId="82" borderId="0" applyNumberFormat="0" applyBorder="0" applyAlignment="0" applyProtection="0"/>
    <xf numFmtId="0" fontId="4" fillId="86" borderId="0" applyNumberFormat="0" applyBorder="0" applyAlignment="0" applyProtection="0"/>
    <xf numFmtId="0" fontId="4" fillId="90" borderId="0" applyNumberFormat="0" applyBorder="0" applyAlignment="0" applyProtection="0"/>
    <xf numFmtId="0" fontId="4" fillId="94" borderId="0" applyNumberFormat="0" applyBorder="0" applyAlignment="0" applyProtection="0"/>
    <xf numFmtId="0" fontId="4" fillId="98" borderId="0" applyNumberFormat="0" applyBorder="0" applyAlignment="0" applyProtection="0"/>
    <xf numFmtId="0" fontId="4" fillId="102" borderId="0" applyNumberFormat="0" applyBorder="0" applyAlignment="0" applyProtection="0"/>
    <xf numFmtId="0" fontId="4" fillId="61" borderId="184"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81" borderId="0" applyNumberFormat="0" applyBorder="0" applyAlignment="0" applyProtection="0"/>
    <xf numFmtId="0" fontId="4" fillId="85" borderId="0" applyNumberFormat="0" applyBorder="0" applyAlignment="0" applyProtection="0"/>
    <xf numFmtId="0" fontId="4" fillId="89" borderId="0" applyNumberFormat="0" applyBorder="0" applyAlignment="0" applyProtection="0"/>
    <xf numFmtId="0" fontId="4" fillId="93" borderId="0" applyNumberFormat="0" applyBorder="0" applyAlignment="0" applyProtection="0"/>
    <xf numFmtId="0" fontId="4" fillId="97" borderId="0" applyNumberFormat="0" applyBorder="0" applyAlignment="0" applyProtection="0"/>
    <xf numFmtId="0" fontId="4" fillId="101" borderId="0" applyNumberFormat="0" applyBorder="0" applyAlignment="0" applyProtection="0"/>
    <xf numFmtId="0" fontId="4" fillId="82" borderId="0" applyNumberFormat="0" applyBorder="0" applyAlignment="0" applyProtection="0"/>
    <xf numFmtId="0" fontId="4" fillId="86" borderId="0" applyNumberFormat="0" applyBorder="0" applyAlignment="0" applyProtection="0"/>
    <xf numFmtId="0" fontId="4" fillId="90" borderId="0" applyNumberFormat="0" applyBorder="0" applyAlignment="0" applyProtection="0"/>
    <xf numFmtId="0" fontId="4" fillId="94" borderId="0" applyNumberFormat="0" applyBorder="0" applyAlignment="0" applyProtection="0"/>
    <xf numFmtId="0" fontId="4" fillId="98" borderId="0" applyNumberFormat="0" applyBorder="0" applyAlignment="0" applyProtection="0"/>
    <xf numFmtId="0" fontId="4" fillId="102" borderId="0" applyNumberFormat="0" applyBorder="0" applyAlignment="0" applyProtection="0"/>
    <xf numFmtId="0" fontId="4" fillId="61" borderId="184" applyNumberFormat="0" applyFont="0" applyAlignment="0" applyProtection="0"/>
    <xf numFmtId="0" fontId="4" fillId="0" borderId="0"/>
    <xf numFmtId="0" fontId="4" fillId="81" borderId="0" applyNumberFormat="0" applyBorder="0" applyAlignment="0" applyProtection="0"/>
    <xf numFmtId="0" fontId="4" fillId="82" borderId="0" applyNumberFormat="0" applyBorder="0" applyAlignment="0" applyProtection="0"/>
    <xf numFmtId="0" fontId="4" fillId="85" borderId="0" applyNumberFormat="0" applyBorder="0" applyAlignment="0" applyProtection="0"/>
    <xf numFmtId="0" fontId="4" fillId="86" borderId="0" applyNumberFormat="0" applyBorder="0" applyAlignment="0" applyProtection="0"/>
    <xf numFmtId="0" fontId="4" fillId="89" borderId="0" applyNumberFormat="0" applyBorder="0" applyAlignment="0" applyProtection="0"/>
    <xf numFmtId="0" fontId="4" fillId="90" borderId="0" applyNumberFormat="0" applyBorder="0" applyAlignment="0" applyProtection="0"/>
    <xf numFmtId="0" fontId="4" fillId="93" borderId="0" applyNumberFormat="0" applyBorder="0" applyAlignment="0" applyProtection="0"/>
    <xf numFmtId="0" fontId="4" fillId="94" borderId="0" applyNumberFormat="0" applyBorder="0" applyAlignment="0" applyProtection="0"/>
    <xf numFmtId="0" fontId="4" fillId="97" borderId="0" applyNumberFormat="0" applyBorder="0" applyAlignment="0" applyProtection="0"/>
    <xf numFmtId="0" fontId="4" fillId="98" borderId="0" applyNumberFormat="0" applyBorder="0" applyAlignment="0" applyProtection="0"/>
    <xf numFmtId="0" fontId="4" fillId="101" borderId="0" applyNumberFormat="0" applyBorder="0" applyAlignment="0" applyProtection="0"/>
    <xf numFmtId="0" fontId="4" fillId="102" borderId="0" applyNumberFormat="0" applyBorder="0" applyAlignment="0" applyProtection="0"/>
    <xf numFmtId="0" fontId="4" fillId="0" borderId="0"/>
    <xf numFmtId="0" fontId="4" fillId="61" borderId="184" applyNumberFormat="0" applyFont="0" applyAlignment="0" applyProtection="0"/>
    <xf numFmtId="0" fontId="4" fillId="0" borderId="0"/>
    <xf numFmtId="0" fontId="4" fillId="0" borderId="0"/>
    <xf numFmtId="0" fontId="4" fillId="81" borderId="0" applyNumberFormat="0" applyBorder="0" applyAlignment="0" applyProtection="0"/>
    <xf numFmtId="0" fontId="4" fillId="85" borderId="0" applyNumberFormat="0" applyBorder="0" applyAlignment="0" applyProtection="0"/>
    <xf numFmtId="0" fontId="4" fillId="89" borderId="0" applyNumberFormat="0" applyBorder="0" applyAlignment="0" applyProtection="0"/>
    <xf numFmtId="0" fontId="4" fillId="93" borderId="0" applyNumberFormat="0" applyBorder="0" applyAlignment="0" applyProtection="0"/>
    <xf numFmtId="0" fontId="4" fillId="97" borderId="0" applyNumberFormat="0" applyBorder="0" applyAlignment="0" applyProtection="0"/>
    <xf numFmtId="0" fontId="4" fillId="101" borderId="0" applyNumberFormat="0" applyBorder="0" applyAlignment="0" applyProtection="0"/>
    <xf numFmtId="0" fontId="4" fillId="82" borderId="0" applyNumberFormat="0" applyBorder="0" applyAlignment="0" applyProtection="0"/>
    <xf numFmtId="0" fontId="4" fillId="86" borderId="0" applyNumberFormat="0" applyBorder="0" applyAlignment="0" applyProtection="0"/>
    <xf numFmtId="0" fontId="4" fillId="90" borderId="0" applyNumberFormat="0" applyBorder="0" applyAlignment="0" applyProtection="0"/>
    <xf numFmtId="0" fontId="4" fillId="94" borderId="0" applyNumberFormat="0" applyBorder="0" applyAlignment="0" applyProtection="0"/>
    <xf numFmtId="0" fontId="4" fillId="98" borderId="0" applyNumberFormat="0" applyBorder="0" applyAlignment="0" applyProtection="0"/>
    <xf numFmtId="0" fontId="4" fillId="102" borderId="0" applyNumberFormat="0" applyBorder="0" applyAlignment="0" applyProtection="0"/>
    <xf numFmtId="0" fontId="4" fillId="61" borderId="184" applyNumberFormat="0" applyFont="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61" borderId="184" applyNumberFormat="0" applyFont="0" applyAlignment="0" applyProtection="0"/>
    <xf numFmtId="0" fontId="4" fillId="81" borderId="0" applyNumberFormat="0" applyBorder="0" applyAlignment="0" applyProtection="0"/>
    <xf numFmtId="0" fontId="4" fillId="82" borderId="0" applyNumberFormat="0" applyBorder="0" applyAlignment="0" applyProtection="0"/>
    <xf numFmtId="0" fontId="4" fillId="85" borderId="0" applyNumberFormat="0" applyBorder="0" applyAlignment="0" applyProtection="0"/>
    <xf numFmtId="0" fontId="4" fillId="86" borderId="0" applyNumberFormat="0" applyBorder="0" applyAlignment="0" applyProtection="0"/>
    <xf numFmtId="0" fontId="4" fillId="89" borderId="0" applyNumberFormat="0" applyBorder="0" applyAlignment="0" applyProtection="0"/>
    <xf numFmtId="0" fontId="4" fillId="90" borderId="0" applyNumberFormat="0" applyBorder="0" applyAlignment="0" applyProtection="0"/>
    <xf numFmtId="0" fontId="4" fillId="93" borderId="0" applyNumberFormat="0" applyBorder="0" applyAlignment="0" applyProtection="0"/>
    <xf numFmtId="0" fontId="4" fillId="94" borderId="0" applyNumberFormat="0" applyBorder="0" applyAlignment="0" applyProtection="0"/>
    <xf numFmtId="0" fontId="4" fillId="97" borderId="0" applyNumberFormat="0" applyBorder="0" applyAlignment="0" applyProtection="0"/>
    <xf numFmtId="0" fontId="4" fillId="98" borderId="0" applyNumberFormat="0" applyBorder="0" applyAlignment="0" applyProtection="0"/>
    <xf numFmtId="0" fontId="4" fillId="101" borderId="0" applyNumberFormat="0" applyBorder="0" applyAlignment="0" applyProtection="0"/>
    <xf numFmtId="0" fontId="4" fillId="102" borderId="0" applyNumberFormat="0" applyBorder="0" applyAlignment="0" applyProtection="0"/>
    <xf numFmtId="0" fontId="4" fillId="61" borderId="184" applyNumberFormat="0" applyFont="0" applyAlignment="0" applyProtection="0"/>
    <xf numFmtId="0" fontId="4" fillId="81" borderId="0" applyNumberFormat="0" applyBorder="0" applyAlignment="0" applyProtection="0"/>
    <xf numFmtId="0" fontId="4" fillId="82" borderId="0" applyNumberFormat="0" applyBorder="0" applyAlignment="0" applyProtection="0"/>
    <xf numFmtId="0" fontId="4" fillId="85" borderId="0" applyNumberFormat="0" applyBorder="0" applyAlignment="0" applyProtection="0"/>
    <xf numFmtId="0" fontId="4" fillId="86" borderId="0" applyNumberFormat="0" applyBorder="0" applyAlignment="0" applyProtection="0"/>
    <xf numFmtId="0" fontId="4" fillId="89" borderId="0" applyNumberFormat="0" applyBorder="0" applyAlignment="0" applyProtection="0"/>
    <xf numFmtId="0" fontId="4" fillId="90" borderId="0" applyNumberFormat="0" applyBorder="0" applyAlignment="0" applyProtection="0"/>
    <xf numFmtId="0" fontId="4" fillId="93" borderId="0" applyNumberFormat="0" applyBorder="0" applyAlignment="0" applyProtection="0"/>
    <xf numFmtId="0" fontId="4" fillId="94" borderId="0" applyNumberFormat="0" applyBorder="0" applyAlignment="0" applyProtection="0"/>
    <xf numFmtId="0" fontId="4" fillId="97" borderId="0" applyNumberFormat="0" applyBorder="0" applyAlignment="0" applyProtection="0"/>
    <xf numFmtId="0" fontId="4" fillId="98" borderId="0" applyNumberFormat="0" applyBorder="0" applyAlignment="0" applyProtection="0"/>
    <xf numFmtId="0" fontId="4" fillId="101" borderId="0" applyNumberFormat="0" applyBorder="0" applyAlignment="0" applyProtection="0"/>
    <xf numFmtId="0" fontId="4" fillId="102" borderId="0" applyNumberFormat="0" applyBorder="0" applyAlignment="0" applyProtection="0"/>
    <xf numFmtId="0" fontId="4" fillId="0" borderId="0"/>
    <xf numFmtId="9" fontId="4" fillId="0" borderId="0" applyFont="0" applyFill="0" applyBorder="0" applyAlignment="0" applyProtection="0"/>
    <xf numFmtId="0" fontId="4" fillId="61" borderId="184" applyNumberFormat="0" applyFont="0" applyAlignment="0" applyProtection="0"/>
    <xf numFmtId="0" fontId="4" fillId="81" borderId="0" applyNumberFormat="0" applyBorder="0" applyAlignment="0" applyProtection="0"/>
    <xf numFmtId="0" fontId="4" fillId="82" borderId="0" applyNumberFormat="0" applyBorder="0" applyAlignment="0" applyProtection="0"/>
    <xf numFmtId="0" fontId="4" fillId="85" borderId="0" applyNumberFormat="0" applyBorder="0" applyAlignment="0" applyProtection="0"/>
    <xf numFmtId="0" fontId="4" fillId="86" borderId="0" applyNumberFormat="0" applyBorder="0" applyAlignment="0" applyProtection="0"/>
    <xf numFmtId="0" fontId="4" fillId="89" borderId="0" applyNumberFormat="0" applyBorder="0" applyAlignment="0" applyProtection="0"/>
    <xf numFmtId="0" fontId="4" fillId="90" borderId="0" applyNumberFormat="0" applyBorder="0" applyAlignment="0" applyProtection="0"/>
    <xf numFmtId="0" fontId="4" fillId="93" borderId="0" applyNumberFormat="0" applyBorder="0" applyAlignment="0" applyProtection="0"/>
    <xf numFmtId="0" fontId="4" fillId="94" borderId="0" applyNumberFormat="0" applyBorder="0" applyAlignment="0" applyProtection="0"/>
    <xf numFmtId="0" fontId="4" fillId="97" borderId="0" applyNumberFormat="0" applyBorder="0" applyAlignment="0" applyProtection="0"/>
    <xf numFmtId="0" fontId="4" fillId="98" borderId="0" applyNumberFormat="0" applyBorder="0" applyAlignment="0" applyProtection="0"/>
    <xf numFmtId="0" fontId="4" fillId="101" borderId="0" applyNumberFormat="0" applyBorder="0" applyAlignment="0" applyProtection="0"/>
    <xf numFmtId="0" fontId="4" fillId="102" borderId="0" applyNumberFormat="0" applyBorder="0" applyAlignment="0" applyProtection="0"/>
    <xf numFmtId="0" fontId="4" fillId="0" borderId="0"/>
    <xf numFmtId="0" fontId="4" fillId="81" borderId="0" applyNumberFormat="0" applyBorder="0" applyAlignment="0" applyProtection="0"/>
    <xf numFmtId="0" fontId="4" fillId="85" borderId="0" applyNumberFormat="0" applyBorder="0" applyAlignment="0" applyProtection="0"/>
    <xf numFmtId="0" fontId="4" fillId="89" borderId="0" applyNumberFormat="0" applyBorder="0" applyAlignment="0" applyProtection="0"/>
    <xf numFmtId="0" fontId="4" fillId="93" borderId="0" applyNumberFormat="0" applyBorder="0" applyAlignment="0" applyProtection="0"/>
    <xf numFmtId="0" fontId="4" fillId="97" borderId="0" applyNumberFormat="0" applyBorder="0" applyAlignment="0" applyProtection="0"/>
    <xf numFmtId="0" fontId="4" fillId="101" borderId="0" applyNumberFormat="0" applyBorder="0" applyAlignment="0" applyProtection="0"/>
    <xf numFmtId="0" fontId="4" fillId="82" borderId="0" applyNumberFormat="0" applyBorder="0" applyAlignment="0" applyProtection="0"/>
    <xf numFmtId="0" fontId="4" fillId="86" borderId="0" applyNumberFormat="0" applyBorder="0" applyAlignment="0" applyProtection="0"/>
    <xf numFmtId="0" fontId="4" fillId="90" borderId="0" applyNumberFormat="0" applyBorder="0" applyAlignment="0" applyProtection="0"/>
    <xf numFmtId="0" fontId="4" fillId="94" borderId="0" applyNumberFormat="0" applyBorder="0" applyAlignment="0" applyProtection="0"/>
    <xf numFmtId="0" fontId="4" fillId="98" borderId="0" applyNumberFormat="0" applyBorder="0" applyAlignment="0" applyProtection="0"/>
    <xf numFmtId="0" fontId="4" fillId="102" borderId="0" applyNumberFormat="0" applyBorder="0" applyAlignment="0" applyProtection="0"/>
    <xf numFmtId="0" fontId="4" fillId="61" borderId="184" applyNumberFormat="0" applyFont="0" applyAlignment="0" applyProtection="0"/>
    <xf numFmtId="0" fontId="4" fillId="0" borderId="0"/>
    <xf numFmtId="0" fontId="4" fillId="0" borderId="0"/>
    <xf numFmtId="0" fontId="4" fillId="0" borderId="0"/>
    <xf numFmtId="0" fontId="3" fillId="0" borderId="0"/>
    <xf numFmtId="0" fontId="3" fillId="0" borderId="0"/>
    <xf numFmtId="0" fontId="3" fillId="81" borderId="0" applyNumberFormat="0" applyBorder="0" applyAlignment="0" applyProtection="0"/>
    <xf numFmtId="0" fontId="3" fillId="85" borderId="0" applyNumberFormat="0" applyBorder="0" applyAlignment="0" applyProtection="0"/>
    <xf numFmtId="0" fontId="3" fillId="89" borderId="0" applyNumberFormat="0" applyBorder="0" applyAlignment="0" applyProtection="0"/>
    <xf numFmtId="0" fontId="3" fillId="93" borderId="0" applyNumberFormat="0" applyBorder="0" applyAlignment="0" applyProtection="0"/>
    <xf numFmtId="0" fontId="3" fillId="97" borderId="0" applyNumberFormat="0" applyBorder="0" applyAlignment="0" applyProtection="0"/>
    <xf numFmtId="0" fontId="3" fillId="101" borderId="0" applyNumberFormat="0" applyBorder="0" applyAlignment="0" applyProtection="0"/>
    <xf numFmtId="0" fontId="3" fillId="82" borderId="0" applyNumberFormat="0" applyBorder="0" applyAlignment="0" applyProtection="0"/>
    <xf numFmtId="0" fontId="3" fillId="86" borderId="0" applyNumberFormat="0" applyBorder="0" applyAlignment="0" applyProtection="0"/>
    <xf numFmtId="0" fontId="3" fillId="90" borderId="0" applyNumberFormat="0" applyBorder="0" applyAlignment="0" applyProtection="0"/>
    <xf numFmtId="0" fontId="3" fillId="94" borderId="0" applyNumberFormat="0" applyBorder="0" applyAlignment="0" applyProtection="0"/>
    <xf numFmtId="0" fontId="3" fillId="98" borderId="0" applyNumberFormat="0" applyBorder="0" applyAlignment="0" applyProtection="0"/>
    <xf numFmtId="0" fontId="3" fillId="102" borderId="0" applyNumberFormat="0" applyBorder="0" applyAlignment="0" applyProtection="0"/>
    <xf numFmtId="0" fontId="3" fillId="61" borderId="184" applyNumberFormat="0" applyFont="0" applyAlignment="0" applyProtection="0"/>
    <xf numFmtId="0" fontId="3" fillId="0" borderId="0"/>
    <xf numFmtId="0" fontId="3" fillId="81" borderId="0" applyNumberFormat="0" applyBorder="0" applyAlignment="0" applyProtection="0"/>
    <xf numFmtId="0" fontId="3" fillId="82" borderId="0" applyNumberFormat="0" applyBorder="0" applyAlignment="0" applyProtection="0"/>
    <xf numFmtId="0" fontId="3" fillId="85" borderId="0" applyNumberFormat="0" applyBorder="0" applyAlignment="0" applyProtection="0"/>
    <xf numFmtId="0" fontId="3" fillId="86" borderId="0" applyNumberFormat="0" applyBorder="0" applyAlignment="0" applyProtection="0"/>
    <xf numFmtId="0" fontId="3" fillId="89" borderId="0" applyNumberFormat="0" applyBorder="0" applyAlignment="0" applyProtection="0"/>
    <xf numFmtId="0" fontId="3" fillId="90" borderId="0" applyNumberFormat="0" applyBorder="0" applyAlignment="0" applyProtection="0"/>
    <xf numFmtId="0" fontId="3" fillId="93" borderId="0" applyNumberFormat="0" applyBorder="0" applyAlignment="0" applyProtection="0"/>
    <xf numFmtId="0" fontId="3" fillId="94" borderId="0" applyNumberFormat="0" applyBorder="0" applyAlignment="0" applyProtection="0"/>
    <xf numFmtId="0" fontId="3" fillId="97" borderId="0" applyNumberFormat="0" applyBorder="0" applyAlignment="0" applyProtection="0"/>
    <xf numFmtId="0" fontId="3" fillId="98" borderId="0" applyNumberFormat="0" applyBorder="0" applyAlignment="0" applyProtection="0"/>
    <xf numFmtId="0" fontId="3" fillId="101" borderId="0" applyNumberFormat="0" applyBorder="0" applyAlignment="0" applyProtection="0"/>
    <xf numFmtId="0" fontId="3" fillId="102" borderId="0" applyNumberFormat="0" applyBorder="0" applyAlignment="0" applyProtection="0"/>
    <xf numFmtId="0" fontId="3" fillId="0" borderId="0"/>
    <xf numFmtId="0" fontId="3" fillId="61" borderId="184" applyNumberFormat="0" applyFont="0" applyAlignment="0" applyProtection="0"/>
    <xf numFmtId="0" fontId="3" fillId="0" borderId="0"/>
    <xf numFmtId="0" fontId="3" fillId="0" borderId="0"/>
    <xf numFmtId="0" fontId="3" fillId="81" borderId="0" applyNumberFormat="0" applyBorder="0" applyAlignment="0" applyProtection="0"/>
    <xf numFmtId="0" fontId="3" fillId="85" borderId="0" applyNumberFormat="0" applyBorder="0" applyAlignment="0" applyProtection="0"/>
    <xf numFmtId="0" fontId="3" fillId="89" borderId="0" applyNumberFormat="0" applyBorder="0" applyAlignment="0" applyProtection="0"/>
    <xf numFmtId="0" fontId="3" fillId="93" borderId="0" applyNumberFormat="0" applyBorder="0" applyAlignment="0" applyProtection="0"/>
    <xf numFmtId="0" fontId="3" fillId="97" borderId="0" applyNumberFormat="0" applyBorder="0" applyAlignment="0" applyProtection="0"/>
    <xf numFmtId="0" fontId="3" fillId="101" borderId="0" applyNumberFormat="0" applyBorder="0" applyAlignment="0" applyProtection="0"/>
    <xf numFmtId="0" fontId="3" fillId="82" borderId="0" applyNumberFormat="0" applyBorder="0" applyAlignment="0" applyProtection="0"/>
    <xf numFmtId="0" fontId="3" fillId="86" borderId="0" applyNumberFormat="0" applyBorder="0" applyAlignment="0" applyProtection="0"/>
    <xf numFmtId="0" fontId="3" fillId="90" borderId="0" applyNumberFormat="0" applyBorder="0" applyAlignment="0" applyProtection="0"/>
    <xf numFmtId="0" fontId="3" fillId="94" borderId="0" applyNumberFormat="0" applyBorder="0" applyAlignment="0" applyProtection="0"/>
    <xf numFmtId="0" fontId="3" fillId="98" borderId="0" applyNumberFormat="0" applyBorder="0" applyAlignment="0" applyProtection="0"/>
    <xf numFmtId="0" fontId="3" fillId="102" borderId="0" applyNumberFormat="0" applyBorder="0" applyAlignment="0" applyProtection="0"/>
    <xf numFmtId="0" fontId="3" fillId="61" borderId="184"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1" borderId="184" applyNumberFormat="0" applyFont="0" applyAlignment="0" applyProtection="0"/>
    <xf numFmtId="0" fontId="3" fillId="81" borderId="0" applyNumberFormat="0" applyBorder="0" applyAlignment="0" applyProtection="0"/>
    <xf numFmtId="0" fontId="3" fillId="82" borderId="0" applyNumberFormat="0" applyBorder="0" applyAlignment="0" applyProtection="0"/>
    <xf numFmtId="0" fontId="3" fillId="85" borderId="0" applyNumberFormat="0" applyBorder="0" applyAlignment="0" applyProtection="0"/>
    <xf numFmtId="0" fontId="3" fillId="86" borderId="0" applyNumberFormat="0" applyBorder="0" applyAlignment="0" applyProtection="0"/>
    <xf numFmtId="0" fontId="3" fillId="89" borderId="0" applyNumberFormat="0" applyBorder="0" applyAlignment="0" applyProtection="0"/>
    <xf numFmtId="0" fontId="3" fillId="90" borderId="0" applyNumberFormat="0" applyBorder="0" applyAlignment="0" applyProtection="0"/>
    <xf numFmtId="0" fontId="3" fillId="93" borderId="0" applyNumberFormat="0" applyBorder="0" applyAlignment="0" applyProtection="0"/>
    <xf numFmtId="0" fontId="3" fillId="94" borderId="0" applyNumberFormat="0" applyBorder="0" applyAlignment="0" applyProtection="0"/>
    <xf numFmtId="0" fontId="3" fillId="97" borderId="0" applyNumberFormat="0" applyBorder="0" applyAlignment="0" applyProtection="0"/>
    <xf numFmtId="0" fontId="3" fillId="98" borderId="0" applyNumberFormat="0" applyBorder="0" applyAlignment="0" applyProtection="0"/>
    <xf numFmtId="0" fontId="3" fillId="101" borderId="0" applyNumberFormat="0" applyBorder="0" applyAlignment="0" applyProtection="0"/>
    <xf numFmtId="0" fontId="3" fillId="102" borderId="0" applyNumberFormat="0" applyBorder="0" applyAlignment="0" applyProtection="0"/>
    <xf numFmtId="0" fontId="3" fillId="61" borderId="184" applyNumberFormat="0" applyFont="0" applyAlignment="0" applyProtection="0"/>
    <xf numFmtId="0" fontId="3" fillId="81" borderId="0" applyNumberFormat="0" applyBorder="0" applyAlignment="0" applyProtection="0"/>
    <xf numFmtId="0" fontId="3" fillId="82" borderId="0" applyNumberFormat="0" applyBorder="0" applyAlignment="0" applyProtection="0"/>
    <xf numFmtId="0" fontId="3" fillId="85" borderId="0" applyNumberFormat="0" applyBorder="0" applyAlignment="0" applyProtection="0"/>
    <xf numFmtId="0" fontId="3" fillId="86" borderId="0" applyNumberFormat="0" applyBorder="0" applyAlignment="0" applyProtection="0"/>
    <xf numFmtId="0" fontId="3" fillId="89" borderId="0" applyNumberFormat="0" applyBorder="0" applyAlignment="0" applyProtection="0"/>
    <xf numFmtId="0" fontId="3" fillId="90" borderId="0" applyNumberFormat="0" applyBorder="0" applyAlignment="0" applyProtection="0"/>
    <xf numFmtId="0" fontId="3" fillId="93" borderId="0" applyNumberFormat="0" applyBorder="0" applyAlignment="0" applyProtection="0"/>
    <xf numFmtId="0" fontId="3" fillId="94" borderId="0" applyNumberFormat="0" applyBorder="0" applyAlignment="0" applyProtection="0"/>
    <xf numFmtId="0" fontId="3" fillId="97" borderId="0" applyNumberFormat="0" applyBorder="0" applyAlignment="0" applyProtection="0"/>
    <xf numFmtId="0" fontId="3" fillId="98" borderId="0" applyNumberFormat="0" applyBorder="0" applyAlignment="0" applyProtection="0"/>
    <xf numFmtId="0" fontId="3" fillId="101" borderId="0" applyNumberFormat="0" applyBorder="0" applyAlignment="0" applyProtection="0"/>
    <xf numFmtId="0" fontId="3" fillId="102" borderId="0" applyNumberFormat="0" applyBorder="0" applyAlignment="0" applyProtection="0"/>
    <xf numFmtId="0" fontId="3" fillId="0" borderId="0"/>
    <xf numFmtId="9" fontId="3" fillId="0" borderId="0" applyFont="0" applyFill="0" applyBorder="0" applyAlignment="0" applyProtection="0"/>
    <xf numFmtId="0" fontId="3" fillId="61" borderId="184" applyNumberFormat="0" applyFont="0" applyAlignment="0" applyProtection="0"/>
    <xf numFmtId="0" fontId="3" fillId="81" borderId="0" applyNumberFormat="0" applyBorder="0" applyAlignment="0" applyProtection="0"/>
    <xf numFmtId="0" fontId="3" fillId="82" borderId="0" applyNumberFormat="0" applyBorder="0" applyAlignment="0" applyProtection="0"/>
    <xf numFmtId="0" fontId="3" fillId="85" borderId="0" applyNumberFormat="0" applyBorder="0" applyAlignment="0" applyProtection="0"/>
    <xf numFmtId="0" fontId="3" fillId="86" borderId="0" applyNumberFormat="0" applyBorder="0" applyAlignment="0" applyProtection="0"/>
    <xf numFmtId="0" fontId="3" fillId="89" borderId="0" applyNumberFormat="0" applyBorder="0" applyAlignment="0" applyProtection="0"/>
    <xf numFmtId="0" fontId="3" fillId="90" borderId="0" applyNumberFormat="0" applyBorder="0" applyAlignment="0" applyProtection="0"/>
    <xf numFmtId="0" fontId="3" fillId="93" borderId="0" applyNumberFormat="0" applyBorder="0" applyAlignment="0" applyProtection="0"/>
    <xf numFmtId="0" fontId="3" fillId="94" borderId="0" applyNumberFormat="0" applyBorder="0" applyAlignment="0" applyProtection="0"/>
    <xf numFmtId="0" fontId="3" fillId="97" borderId="0" applyNumberFormat="0" applyBorder="0" applyAlignment="0" applyProtection="0"/>
    <xf numFmtId="0" fontId="3" fillId="98" borderId="0" applyNumberFormat="0" applyBorder="0" applyAlignment="0" applyProtection="0"/>
    <xf numFmtId="0" fontId="3" fillId="101" borderId="0" applyNumberFormat="0" applyBorder="0" applyAlignment="0" applyProtection="0"/>
    <xf numFmtId="0" fontId="3" fillId="102" borderId="0" applyNumberFormat="0" applyBorder="0" applyAlignment="0" applyProtection="0"/>
    <xf numFmtId="0" fontId="3" fillId="0" borderId="0"/>
    <xf numFmtId="0" fontId="3" fillId="81" borderId="0" applyNumberFormat="0" applyBorder="0" applyAlignment="0" applyProtection="0"/>
    <xf numFmtId="0" fontId="3" fillId="85" borderId="0" applyNumberFormat="0" applyBorder="0" applyAlignment="0" applyProtection="0"/>
    <xf numFmtId="0" fontId="3" fillId="89" borderId="0" applyNumberFormat="0" applyBorder="0" applyAlignment="0" applyProtection="0"/>
    <xf numFmtId="0" fontId="3" fillId="93" borderId="0" applyNumberFormat="0" applyBorder="0" applyAlignment="0" applyProtection="0"/>
    <xf numFmtId="0" fontId="3" fillId="97" borderId="0" applyNumberFormat="0" applyBorder="0" applyAlignment="0" applyProtection="0"/>
    <xf numFmtId="0" fontId="3" fillId="101" borderId="0" applyNumberFormat="0" applyBorder="0" applyAlignment="0" applyProtection="0"/>
    <xf numFmtId="0" fontId="3" fillId="82" borderId="0" applyNumberFormat="0" applyBorder="0" applyAlignment="0" applyProtection="0"/>
    <xf numFmtId="0" fontId="3" fillId="86" borderId="0" applyNumberFormat="0" applyBorder="0" applyAlignment="0" applyProtection="0"/>
    <xf numFmtId="0" fontId="3" fillId="90" borderId="0" applyNumberFormat="0" applyBorder="0" applyAlignment="0" applyProtection="0"/>
    <xf numFmtId="0" fontId="3" fillId="94" borderId="0" applyNumberFormat="0" applyBorder="0" applyAlignment="0" applyProtection="0"/>
    <xf numFmtId="0" fontId="3" fillId="98" borderId="0" applyNumberFormat="0" applyBorder="0" applyAlignment="0" applyProtection="0"/>
    <xf numFmtId="0" fontId="3" fillId="102" borderId="0" applyNumberFormat="0" applyBorder="0" applyAlignment="0" applyProtection="0"/>
    <xf numFmtId="0" fontId="3" fillId="61" borderId="184"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81" borderId="0" applyNumberFormat="0" applyBorder="0" applyAlignment="0" applyProtection="0"/>
    <xf numFmtId="0" fontId="3" fillId="85" borderId="0" applyNumberFormat="0" applyBorder="0" applyAlignment="0" applyProtection="0"/>
    <xf numFmtId="0" fontId="3" fillId="89" borderId="0" applyNumberFormat="0" applyBorder="0" applyAlignment="0" applyProtection="0"/>
    <xf numFmtId="0" fontId="3" fillId="93" borderId="0" applyNumberFormat="0" applyBorder="0" applyAlignment="0" applyProtection="0"/>
    <xf numFmtId="0" fontId="3" fillId="97" borderId="0" applyNumberFormat="0" applyBorder="0" applyAlignment="0" applyProtection="0"/>
    <xf numFmtId="0" fontId="3" fillId="101" borderId="0" applyNumberFormat="0" applyBorder="0" applyAlignment="0" applyProtection="0"/>
    <xf numFmtId="0" fontId="3" fillId="82" borderId="0" applyNumberFormat="0" applyBorder="0" applyAlignment="0" applyProtection="0"/>
    <xf numFmtId="0" fontId="3" fillId="86" borderId="0" applyNumberFormat="0" applyBorder="0" applyAlignment="0" applyProtection="0"/>
    <xf numFmtId="0" fontId="3" fillId="90" borderId="0" applyNumberFormat="0" applyBorder="0" applyAlignment="0" applyProtection="0"/>
    <xf numFmtId="0" fontId="3" fillId="94" borderId="0" applyNumberFormat="0" applyBorder="0" applyAlignment="0" applyProtection="0"/>
    <xf numFmtId="0" fontId="3" fillId="98" borderId="0" applyNumberFormat="0" applyBorder="0" applyAlignment="0" applyProtection="0"/>
    <xf numFmtId="0" fontId="3" fillId="102" borderId="0" applyNumberFormat="0" applyBorder="0" applyAlignment="0" applyProtection="0"/>
    <xf numFmtId="0" fontId="3" fillId="61" borderId="184" applyNumberFormat="0" applyFont="0" applyAlignment="0" applyProtection="0"/>
    <xf numFmtId="0" fontId="3" fillId="0" borderId="0"/>
    <xf numFmtId="0" fontId="3" fillId="81" borderId="0" applyNumberFormat="0" applyBorder="0" applyAlignment="0" applyProtection="0"/>
    <xf numFmtId="0" fontId="3" fillId="82" borderId="0" applyNumberFormat="0" applyBorder="0" applyAlignment="0" applyProtection="0"/>
    <xf numFmtId="0" fontId="3" fillId="85" borderId="0" applyNumberFormat="0" applyBorder="0" applyAlignment="0" applyProtection="0"/>
    <xf numFmtId="0" fontId="3" fillId="86" borderId="0" applyNumberFormat="0" applyBorder="0" applyAlignment="0" applyProtection="0"/>
    <xf numFmtId="0" fontId="3" fillId="89" borderId="0" applyNumberFormat="0" applyBorder="0" applyAlignment="0" applyProtection="0"/>
    <xf numFmtId="0" fontId="3" fillId="90" borderId="0" applyNumberFormat="0" applyBorder="0" applyAlignment="0" applyProtection="0"/>
    <xf numFmtId="0" fontId="3" fillId="93" borderId="0" applyNumberFormat="0" applyBorder="0" applyAlignment="0" applyProtection="0"/>
    <xf numFmtId="0" fontId="3" fillId="94" borderId="0" applyNumberFormat="0" applyBorder="0" applyAlignment="0" applyProtection="0"/>
    <xf numFmtId="0" fontId="3" fillId="97" borderId="0" applyNumberFormat="0" applyBorder="0" applyAlignment="0" applyProtection="0"/>
    <xf numFmtId="0" fontId="3" fillId="98" borderId="0" applyNumberFormat="0" applyBorder="0" applyAlignment="0" applyProtection="0"/>
    <xf numFmtId="0" fontId="3" fillId="101" borderId="0" applyNumberFormat="0" applyBorder="0" applyAlignment="0" applyProtection="0"/>
    <xf numFmtId="0" fontId="3" fillId="102" borderId="0" applyNumberFormat="0" applyBorder="0" applyAlignment="0" applyProtection="0"/>
    <xf numFmtId="0" fontId="3" fillId="0" borderId="0"/>
    <xf numFmtId="0" fontId="3" fillId="61" borderId="184" applyNumberFormat="0" applyFont="0" applyAlignment="0" applyProtection="0"/>
    <xf numFmtId="0" fontId="3" fillId="0" borderId="0"/>
    <xf numFmtId="0" fontId="3" fillId="0" borderId="0"/>
    <xf numFmtId="0" fontId="3" fillId="81" borderId="0" applyNumberFormat="0" applyBorder="0" applyAlignment="0" applyProtection="0"/>
    <xf numFmtId="0" fontId="3" fillId="85" borderId="0" applyNumberFormat="0" applyBorder="0" applyAlignment="0" applyProtection="0"/>
    <xf numFmtId="0" fontId="3" fillId="89" borderId="0" applyNumberFormat="0" applyBorder="0" applyAlignment="0" applyProtection="0"/>
    <xf numFmtId="0" fontId="3" fillId="93" borderId="0" applyNumberFormat="0" applyBorder="0" applyAlignment="0" applyProtection="0"/>
    <xf numFmtId="0" fontId="3" fillId="97" borderId="0" applyNumberFormat="0" applyBorder="0" applyAlignment="0" applyProtection="0"/>
    <xf numFmtId="0" fontId="3" fillId="101" borderId="0" applyNumberFormat="0" applyBorder="0" applyAlignment="0" applyProtection="0"/>
    <xf numFmtId="0" fontId="3" fillId="82" borderId="0" applyNumberFormat="0" applyBorder="0" applyAlignment="0" applyProtection="0"/>
    <xf numFmtId="0" fontId="3" fillId="86" borderId="0" applyNumberFormat="0" applyBorder="0" applyAlignment="0" applyProtection="0"/>
    <xf numFmtId="0" fontId="3" fillId="90" borderId="0" applyNumberFormat="0" applyBorder="0" applyAlignment="0" applyProtection="0"/>
    <xf numFmtId="0" fontId="3" fillId="94" borderId="0" applyNumberFormat="0" applyBorder="0" applyAlignment="0" applyProtection="0"/>
    <xf numFmtId="0" fontId="3" fillId="98" borderId="0" applyNumberFormat="0" applyBorder="0" applyAlignment="0" applyProtection="0"/>
    <xf numFmtId="0" fontId="3" fillId="102" borderId="0" applyNumberFormat="0" applyBorder="0" applyAlignment="0" applyProtection="0"/>
    <xf numFmtId="0" fontId="3" fillId="61" borderId="184"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61" borderId="184" applyNumberFormat="0" applyFont="0" applyAlignment="0" applyProtection="0"/>
    <xf numFmtId="0" fontId="3" fillId="81" borderId="0" applyNumberFormat="0" applyBorder="0" applyAlignment="0" applyProtection="0"/>
    <xf numFmtId="0" fontId="3" fillId="82" borderId="0" applyNumberFormat="0" applyBorder="0" applyAlignment="0" applyProtection="0"/>
    <xf numFmtId="0" fontId="3" fillId="85" borderId="0" applyNumberFormat="0" applyBorder="0" applyAlignment="0" applyProtection="0"/>
    <xf numFmtId="0" fontId="3" fillId="86" borderId="0" applyNumberFormat="0" applyBorder="0" applyAlignment="0" applyProtection="0"/>
    <xf numFmtId="0" fontId="3" fillId="89" borderId="0" applyNumberFormat="0" applyBorder="0" applyAlignment="0" applyProtection="0"/>
    <xf numFmtId="0" fontId="3" fillId="90" borderId="0" applyNumberFormat="0" applyBorder="0" applyAlignment="0" applyProtection="0"/>
    <xf numFmtId="0" fontId="3" fillId="93" borderId="0" applyNumberFormat="0" applyBorder="0" applyAlignment="0" applyProtection="0"/>
    <xf numFmtId="0" fontId="3" fillId="94" borderId="0" applyNumberFormat="0" applyBorder="0" applyAlignment="0" applyProtection="0"/>
    <xf numFmtId="0" fontId="3" fillId="97" borderId="0" applyNumberFormat="0" applyBorder="0" applyAlignment="0" applyProtection="0"/>
    <xf numFmtId="0" fontId="3" fillId="98" borderId="0" applyNumberFormat="0" applyBorder="0" applyAlignment="0" applyProtection="0"/>
    <xf numFmtId="0" fontId="3" fillId="101" borderId="0" applyNumberFormat="0" applyBorder="0" applyAlignment="0" applyProtection="0"/>
    <xf numFmtId="0" fontId="3" fillId="102" borderId="0" applyNumberFormat="0" applyBorder="0" applyAlignment="0" applyProtection="0"/>
    <xf numFmtId="0" fontId="3" fillId="61" borderId="184" applyNumberFormat="0" applyFont="0" applyAlignment="0" applyProtection="0"/>
    <xf numFmtId="0" fontId="3" fillId="81" borderId="0" applyNumberFormat="0" applyBorder="0" applyAlignment="0" applyProtection="0"/>
    <xf numFmtId="0" fontId="3" fillId="82" borderId="0" applyNumberFormat="0" applyBorder="0" applyAlignment="0" applyProtection="0"/>
    <xf numFmtId="0" fontId="3" fillId="85" borderId="0" applyNumberFormat="0" applyBorder="0" applyAlignment="0" applyProtection="0"/>
    <xf numFmtId="0" fontId="3" fillId="86" borderId="0" applyNumberFormat="0" applyBorder="0" applyAlignment="0" applyProtection="0"/>
    <xf numFmtId="0" fontId="3" fillId="89" borderId="0" applyNumberFormat="0" applyBorder="0" applyAlignment="0" applyProtection="0"/>
    <xf numFmtId="0" fontId="3" fillId="90" borderId="0" applyNumberFormat="0" applyBorder="0" applyAlignment="0" applyProtection="0"/>
    <xf numFmtId="0" fontId="3" fillId="93" borderId="0" applyNumberFormat="0" applyBorder="0" applyAlignment="0" applyProtection="0"/>
    <xf numFmtId="0" fontId="3" fillId="94" borderId="0" applyNumberFormat="0" applyBorder="0" applyAlignment="0" applyProtection="0"/>
    <xf numFmtId="0" fontId="3" fillId="97" borderId="0" applyNumberFormat="0" applyBorder="0" applyAlignment="0" applyProtection="0"/>
    <xf numFmtId="0" fontId="3" fillId="98" borderId="0" applyNumberFormat="0" applyBorder="0" applyAlignment="0" applyProtection="0"/>
    <xf numFmtId="0" fontId="3" fillId="101" borderId="0" applyNumberFormat="0" applyBorder="0" applyAlignment="0" applyProtection="0"/>
    <xf numFmtId="0" fontId="3" fillId="102" borderId="0" applyNumberFormat="0" applyBorder="0" applyAlignment="0" applyProtection="0"/>
    <xf numFmtId="0" fontId="3" fillId="0" borderId="0"/>
    <xf numFmtId="9" fontId="3" fillId="0" borderId="0" applyFont="0" applyFill="0" applyBorder="0" applyAlignment="0" applyProtection="0"/>
    <xf numFmtId="0" fontId="3" fillId="61" borderId="184" applyNumberFormat="0" applyFont="0" applyAlignment="0" applyProtection="0"/>
    <xf numFmtId="0" fontId="3" fillId="81" borderId="0" applyNumberFormat="0" applyBorder="0" applyAlignment="0" applyProtection="0"/>
    <xf numFmtId="0" fontId="3" fillId="82" borderId="0" applyNumberFormat="0" applyBorder="0" applyAlignment="0" applyProtection="0"/>
    <xf numFmtId="0" fontId="3" fillId="85" borderId="0" applyNumberFormat="0" applyBorder="0" applyAlignment="0" applyProtection="0"/>
    <xf numFmtId="0" fontId="3" fillId="86" borderId="0" applyNumberFormat="0" applyBorder="0" applyAlignment="0" applyProtection="0"/>
    <xf numFmtId="0" fontId="3" fillId="89" borderId="0" applyNumberFormat="0" applyBorder="0" applyAlignment="0" applyProtection="0"/>
    <xf numFmtId="0" fontId="3" fillId="90" borderId="0" applyNumberFormat="0" applyBorder="0" applyAlignment="0" applyProtection="0"/>
    <xf numFmtId="0" fontId="3" fillId="93" borderId="0" applyNumberFormat="0" applyBorder="0" applyAlignment="0" applyProtection="0"/>
    <xf numFmtId="0" fontId="3" fillId="94" borderId="0" applyNumberFormat="0" applyBorder="0" applyAlignment="0" applyProtection="0"/>
    <xf numFmtId="0" fontId="3" fillId="97" borderId="0" applyNumberFormat="0" applyBorder="0" applyAlignment="0" applyProtection="0"/>
    <xf numFmtId="0" fontId="3" fillId="98" borderId="0" applyNumberFormat="0" applyBorder="0" applyAlignment="0" applyProtection="0"/>
    <xf numFmtId="0" fontId="3" fillId="101" borderId="0" applyNumberFormat="0" applyBorder="0" applyAlignment="0" applyProtection="0"/>
    <xf numFmtId="0" fontId="3" fillId="102" borderId="0" applyNumberFormat="0" applyBorder="0" applyAlignment="0" applyProtection="0"/>
    <xf numFmtId="0" fontId="3" fillId="0" borderId="0"/>
    <xf numFmtId="0" fontId="3" fillId="81" borderId="0" applyNumberFormat="0" applyBorder="0" applyAlignment="0" applyProtection="0"/>
    <xf numFmtId="0" fontId="3" fillId="85" borderId="0" applyNumberFormat="0" applyBorder="0" applyAlignment="0" applyProtection="0"/>
    <xf numFmtId="0" fontId="3" fillId="89" borderId="0" applyNumberFormat="0" applyBorder="0" applyAlignment="0" applyProtection="0"/>
    <xf numFmtId="0" fontId="3" fillId="93" borderId="0" applyNumberFormat="0" applyBorder="0" applyAlignment="0" applyProtection="0"/>
    <xf numFmtId="0" fontId="3" fillId="97" borderId="0" applyNumberFormat="0" applyBorder="0" applyAlignment="0" applyProtection="0"/>
    <xf numFmtId="0" fontId="3" fillId="101" borderId="0" applyNumberFormat="0" applyBorder="0" applyAlignment="0" applyProtection="0"/>
    <xf numFmtId="0" fontId="3" fillId="82" borderId="0" applyNumberFormat="0" applyBorder="0" applyAlignment="0" applyProtection="0"/>
    <xf numFmtId="0" fontId="3" fillId="86" borderId="0" applyNumberFormat="0" applyBorder="0" applyAlignment="0" applyProtection="0"/>
    <xf numFmtId="0" fontId="3" fillId="90" borderId="0" applyNumberFormat="0" applyBorder="0" applyAlignment="0" applyProtection="0"/>
    <xf numFmtId="0" fontId="3" fillId="94" borderId="0" applyNumberFormat="0" applyBorder="0" applyAlignment="0" applyProtection="0"/>
    <xf numFmtId="0" fontId="3" fillId="98" borderId="0" applyNumberFormat="0" applyBorder="0" applyAlignment="0" applyProtection="0"/>
    <xf numFmtId="0" fontId="3" fillId="102" borderId="0" applyNumberFormat="0" applyBorder="0" applyAlignment="0" applyProtection="0"/>
    <xf numFmtId="0" fontId="3" fillId="61" borderId="184" applyNumberFormat="0" applyFont="0" applyAlignment="0" applyProtection="0"/>
    <xf numFmtId="0" fontId="3" fillId="0" borderId="0"/>
    <xf numFmtId="0" fontId="3" fillId="0" borderId="0"/>
    <xf numFmtId="0" fontId="3" fillId="0" borderId="0"/>
    <xf numFmtId="0" fontId="2" fillId="0" borderId="0"/>
    <xf numFmtId="0" fontId="2" fillId="0" borderId="0"/>
    <xf numFmtId="0" fontId="2" fillId="81" borderId="0" applyNumberFormat="0" applyBorder="0" applyAlignment="0" applyProtection="0"/>
    <xf numFmtId="0" fontId="2" fillId="85" borderId="0" applyNumberFormat="0" applyBorder="0" applyAlignment="0" applyProtection="0"/>
    <xf numFmtId="0" fontId="2" fillId="89" borderId="0" applyNumberFormat="0" applyBorder="0" applyAlignment="0" applyProtection="0"/>
    <xf numFmtId="0" fontId="2" fillId="93" borderId="0" applyNumberFormat="0" applyBorder="0" applyAlignment="0" applyProtection="0"/>
    <xf numFmtId="0" fontId="2" fillId="97" borderId="0" applyNumberFormat="0" applyBorder="0" applyAlignment="0" applyProtection="0"/>
    <xf numFmtId="0" fontId="2" fillId="101" borderId="0" applyNumberFormat="0" applyBorder="0" applyAlignment="0" applyProtection="0"/>
    <xf numFmtId="0" fontId="2" fillId="82" borderId="0" applyNumberFormat="0" applyBorder="0" applyAlignment="0" applyProtection="0"/>
    <xf numFmtId="0" fontId="2" fillId="86" borderId="0" applyNumberFormat="0" applyBorder="0" applyAlignment="0" applyProtection="0"/>
    <xf numFmtId="0" fontId="2" fillId="90" borderId="0" applyNumberFormat="0" applyBorder="0" applyAlignment="0" applyProtection="0"/>
    <xf numFmtId="0" fontId="2" fillId="94" borderId="0" applyNumberFormat="0" applyBorder="0" applyAlignment="0" applyProtection="0"/>
    <xf numFmtId="0" fontId="2" fillId="98" borderId="0" applyNumberFormat="0" applyBorder="0" applyAlignment="0" applyProtection="0"/>
    <xf numFmtId="0" fontId="2" fillId="102" borderId="0" applyNumberFormat="0" applyBorder="0" applyAlignment="0" applyProtection="0"/>
    <xf numFmtId="0" fontId="2" fillId="61" borderId="184" applyNumberFormat="0" applyFont="0" applyAlignment="0" applyProtection="0"/>
    <xf numFmtId="0" fontId="2" fillId="0" borderId="0"/>
    <xf numFmtId="0" fontId="2" fillId="81" borderId="0" applyNumberFormat="0" applyBorder="0" applyAlignment="0" applyProtection="0"/>
    <xf numFmtId="0" fontId="2" fillId="82" borderId="0" applyNumberFormat="0" applyBorder="0" applyAlignment="0" applyProtection="0"/>
    <xf numFmtId="0" fontId="2" fillId="85" borderId="0" applyNumberFormat="0" applyBorder="0" applyAlignment="0" applyProtection="0"/>
    <xf numFmtId="0" fontId="2" fillId="86" borderId="0" applyNumberFormat="0" applyBorder="0" applyAlignment="0" applyProtection="0"/>
    <xf numFmtId="0" fontId="2" fillId="89" borderId="0" applyNumberFormat="0" applyBorder="0" applyAlignment="0" applyProtection="0"/>
    <xf numFmtId="0" fontId="2" fillId="90" borderId="0" applyNumberFormat="0" applyBorder="0" applyAlignment="0" applyProtection="0"/>
    <xf numFmtId="0" fontId="2" fillId="93" borderId="0" applyNumberFormat="0" applyBorder="0" applyAlignment="0" applyProtection="0"/>
    <xf numFmtId="0" fontId="2" fillId="94" borderId="0" applyNumberFormat="0" applyBorder="0" applyAlignment="0" applyProtection="0"/>
    <xf numFmtId="0" fontId="2" fillId="97" borderId="0" applyNumberFormat="0" applyBorder="0" applyAlignment="0" applyProtection="0"/>
    <xf numFmtId="0" fontId="2" fillId="98" borderId="0" applyNumberFormat="0" applyBorder="0" applyAlignment="0" applyProtection="0"/>
    <xf numFmtId="0" fontId="2" fillId="101" borderId="0" applyNumberFormat="0" applyBorder="0" applyAlignment="0" applyProtection="0"/>
    <xf numFmtId="0" fontId="2" fillId="102" borderId="0" applyNumberFormat="0" applyBorder="0" applyAlignment="0" applyProtection="0"/>
    <xf numFmtId="0" fontId="2" fillId="0" borderId="0"/>
    <xf numFmtId="0" fontId="2" fillId="61" borderId="184" applyNumberFormat="0" applyFont="0" applyAlignment="0" applyProtection="0"/>
    <xf numFmtId="0" fontId="2" fillId="0" borderId="0"/>
    <xf numFmtId="0" fontId="2" fillId="0" borderId="0"/>
    <xf numFmtId="0" fontId="2" fillId="81" borderId="0" applyNumberFormat="0" applyBorder="0" applyAlignment="0" applyProtection="0"/>
    <xf numFmtId="0" fontId="2" fillId="85" borderId="0" applyNumberFormat="0" applyBorder="0" applyAlignment="0" applyProtection="0"/>
    <xf numFmtId="0" fontId="2" fillId="89" borderId="0" applyNumberFormat="0" applyBorder="0" applyAlignment="0" applyProtection="0"/>
    <xf numFmtId="0" fontId="2" fillId="93" borderId="0" applyNumberFormat="0" applyBorder="0" applyAlignment="0" applyProtection="0"/>
    <xf numFmtId="0" fontId="2" fillId="97" borderId="0" applyNumberFormat="0" applyBorder="0" applyAlignment="0" applyProtection="0"/>
    <xf numFmtId="0" fontId="2" fillId="101" borderId="0" applyNumberFormat="0" applyBorder="0" applyAlignment="0" applyProtection="0"/>
    <xf numFmtId="0" fontId="2" fillId="82" borderId="0" applyNumberFormat="0" applyBorder="0" applyAlignment="0" applyProtection="0"/>
    <xf numFmtId="0" fontId="2" fillId="86" borderId="0" applyNumberFormat="0" applyBorder="0" applyAlignment="0" applyProtection="0"/>
    <xf numFmtId="0" fontId="2" fillId="90" borderId="0" applyNumberFormat="0" applyBorder="0" applyAlignment="0" applyProtection="0"/>
    <xf numFmtId="0" fontId="2" fillId="94" borderId="0" applyNumberFormat="0" applyBorder="0" applyAlignment="0" applyProtection="0"/>
    <xf numFmtId="0" fontId="2" fillId="98" borderId="0" applyNumberFormat="0" applyBorder="0" applyAlignment="0" applyProtection="0"/>
    <xf numFmtId="0" fontId="2" fillId="102" borderId="0" applyNumberFormat="0" applyBorder="0" applyAlignment="0" applyProtection="0"/>
    <xf numFmtId="0" fontId="2" fillId="61" borderId="184"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1" borderId="184" applyNumberFormat="0" applyFont="0" applyAlignment="0" applyProtection="0"/>
    <xf numFmtId="0" fontId="2" fillId="81" borderId="0" applyNumberFormat="0" applyBorder="0" applyAlignment="0" applyProtection="0"/>
    <xf numFmtId="0" fontId="2" fillId="82" borderId="0" applyNumberFormat="0" applyBorder="0" applyAlignment="0" applyProtection="0"/>
    <xf numFmtId="0" fontId="2" fillId="85" borderId="0" applyNumberFormat="0" applyBorder="0" applyAlignment="0" applyProtection="0"/>
    <xf numFmtId="0" fontId="2" fillId="86" borderId="0" applyNumberFormat="0" applyBorder="0" applyAlignment="0" applyProtection="0"/>
    <xf numFmtId="0" fontId="2" fillId="89" borderId="0" applyNumberFormat="0" applyBorder="0" applyAlignment="0" applyProtection="0"/>
    <xf numFmtId="0" fontId="2" fillId="90" borderId="0" applyNumberFormat="0" applyBorder="0" applyAlignment="0" applyProtection="0"/>
    <xf numFmtId="0" fontId="2" fillId="93" borderId="0" applyNumberFormat="0" applyBorder="0" applyAlignment="0" applyProtection="0"/>
    <xf numFmtId="0" fontId="2" fillId="94" borderId="0" applyNumberFormat="0" applyBorder="0" applyAlignment="0" applyProtection="0"/>
    <xf numFmtId="0" fontId="2" fillId="97" borderId="0" applyNumberFormat="0" applyBorder="0" applyAlignment="0" applyProtection="0"/>
    <xf numFmtId="0" fontId="2" fillId="98" borderId="0" applyNumberFormat="0" applyBorder="0" applyAlignment="0" applyProtection="0"/>
    <xf numFmtId="0" fontId="2" fillId="101" borderId="0" applyNumberFormat="0" applyBorder="0" applyAlignment="0" applyProtection="0"/>
    <xf numFmtId="0" fontId="2" fillId="102" borderId="0" applyNumberFormat="0" applyBorder="0" applyAlignment="0" applyProtection="0"/>
    <xf numFmtId="0" fontId="2" fillId="61" borderId="184" applyNumberFormat="0" applyFont="0" applyAlignment="0" applyProtection="0"/>
    <xf numFmtId="0" fontId="2" fillId="81" borderId="0" applyNumberFormat="0" applyBorder="0" applyAlignment="0" applyProtection="0"/>
    <xf numFmtId="0" fontId="2" fillId="82" borderId="0" applyNumberFormat="0" applyBorder="0" applyAlignment="0" applyProtection="0"/>
    <xf numFmtId="0" fontId="2" fillId="85" borderId="0" applyNumberFormat="0" applyBorder="0" applyAlignment="0" applyProtection="0"/>
    <xf numFmtId="0" fontId="2" fillId="86" borderId="0" applyNumberFormat="0" applyBorder="0" applyAlignment="0" applyProtection="0"/>
    <xf numFmtId="0" fontId="2" fillId="89" borderId="0" applyNumberFormat="0" applyBorder="0" applyAlignment="0" applyProtection="0"/>
    <xf numFmtId="0" fontId="2" fillId="90" borderId="0" applyNumberFormat="0" applyBorder="0" applyAlignment="0" applyProtection="0"/>
    <xf numFmtId="0" fontId="2" fillId="93" borderId="0" applyNumberFormat="0" applyBorder="0" applyAlignment="0" applyProtection="0"/>
    <xf numFmtId="0" fontId="2" fillId="94" borderId="0" applyNumberFormat="0" applyBorder="0" applyAlignment="0" applyProtection="0"/>
    <xf numFmtId="0" fontId="2" fillId="97" borderId="0" applyNumberFormat="0" applyBorder="0" applyAlignment="0" applyProtection="0"/>
    <xf numFmtId="0" fontId="2" fillId="98" borderId="0" applyNumberFormat="0" applyBorder="0" applyAlignment="0" applyProtection="0"/>
    <xf numFmtId="0" fontId="2" fillId="101" borderId="0" applyNumberFormat="0" applyBorder="0" applyAlignment="0" applyProtection="0"/>
    <xf numFmtId="0" fontId="2" fillId="102" borderId="0" applyNumberFormat="0" applyBorder="0" applyAlignment="0" applyProtection="0"/>
    <xf numFmtId="0" fontId="2" fillId="0" borderId="0"/>
    <xf numFmtId="9" fontId="2" fillId="0" borderId="0" applyFont="0" applyFill="0" applyBorder="0" applyAlignment="0" applyProtection="0"/>
    <xf numFmtId="0" fontId="2" fillId="61" borderId="184" applyNumberFormat="0" applyFont="0" applyAlignment="0" applyProtection="0"/>
    <xf numFmtId="0" fontId="2" fillId="81" borderId="0" applyNumberFormat="0" applyBorder="0" applyAlignment="0" applyProtection="0"/>
    <xf numFmtId="0" fontId="2" fillId="82" borderId="0" applyNumberFormat="0" applyBorder="0" applyAlignment="0" applyProtection="0"/>
    <xf numFmtId="0" fontId="2" fillId="85" borderId="0" applyNumberFormat="0" applyBorder="0" applyAlignment="0" applyProtection="0"/>
    <xf numFmtId="0" fontId="2" fillId="86" borderId="0" applyNumberFormat="0" applyBorder="0" applyAlignment="0" applyProtection="0"/>
    <xf numFmtId="0" fontId="2" fillId="89" borderId="0" applyNumberFormat="0" applyBorder="0" applyAlignment="0" applyProtection="0"/>
    <xf numFmtId="0" fontId="2" fillId="90" borderId="0" applyNumberFormat="0" applyBorder="0" applyAlignment="0" applyProtection="0"/>
    <xf numFmtId="0" fontId="2" fillId="93" borderId="0" applyNumberFormat="0" applyBorder="0" applyAlignment="0" applyProtection="0"/>
    <xf numFmtId="0" fontId="2" fillId="94" borderId="0" applyNumberFormat="0" applyBorder="0" applyAlignment="0" applyProtection="0"/>
    <xf numFmtId="0" fontId="2" fillId="97" borderId="0" applyNumberFormat="0" applyBorder="0" applyAlignment="0" applyProtection="0"/>
    <xf numFmtId="0" fontId="2" fillId="98" borderId="0" applyNumberFormat="0" applyBorder="0" applyAlignment="0" applyProtection="0"/>
    <xf numFmtId="0" fontId="2" fillId="101" borderId="0" applyNumberFormat="0" applyBorder="0" applyAlignment="0" applyProtection="0"/>
    <xf numFmtId="0" fontId="2" fillId="102" borderId="0" applyNumberFormat="0" applyBorder="0" applyAlignment="0" applyProtection="0"/>
    <xf numFmtId="0" fontId="2" fillId="0" borderId="0"/>
    <xf numFmtId="0" fontId="2" fillId="81" borderId="0" applyNumberFormat="0" applyBorder="0" applyAlignment="0" applyProtection="0"/>
    <xf numFmtId="0" fontId="2" fillId="85" borderId="0" applyNumberFormat="0" applyBorder="0" applyAlignment="0" applyProtection="0"/>
    <xf numFmtId="0" fontId="2" fillId="89" borderId="0" applyNumberFormat="0" applyBorder="0" applyAlignment="0" applyProtection="0"/>
    <xf numFmtId="0" fontId="2" fillId="93" borderId="0" applyNumberFormat="0" applyBorder="0" applyAlignment="0" applyProtection="0"/>
    <xf numFmtId="0" fontId="2" fillId="97" borderId="0" applyNumberFormat="0" applyBorder="0" applyAlignment="0" applyProtection="0"/>
    <xf numFmtId="0" fontId="2" fillId="101" borderId="0" applyNumberFormat="0" applyBorder="0" applyAlignment="0" applyProtection="0"/>
    <xf numFmtId="0" fontId="2" fillId="82" borderId="0" applyNumberFormat="0" applyBorder="0" applyAlignment="0" applyProtection="0"/>
    <xf numFmtId="0" fontId="2" fillId="86" borderId="0" applyNumberFormat="0" applyBorder="0" applyAlignment="0" applyProtection="0"/>
    <xf numFmtId="0" fontId="2" fillId="90" borderId="0" applyNumberFormat="0" applyBorder="0" applyAlignment="0" applyProtection="0"/>
    <xf numFmtId="0" fontId="2" fillId="94" borderId="0" applyNumberFormat="0" applyBorder="0" applyAlignment="0" applyProtection="0"/>
    <xf numFmtId="0" fontId="2" fillId="98" borderId="0" applyNumberFormat="0" applyBorder="0" applyAlignment="0" applyProtection="0"/>
    <xf numFmtId="0" fontId="2" fillId="102" borderId="0" applyNumberFormat="0" applyBorder="0" applyAlignment="0" applyProtection="0"/>
    <xf numFmtId="0" fontId="2" fillId="61" borderId="184"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81" borderId="0" applyNumberFormat="0" applyBorder="0" applyAlignment="0" applyProtection="0"/>
    <xf numFmtId="0" fontId="2" fillId="85" borderId="0" applyNumberFormat="0" applyBorder="0" applyAlignment="0" applyProtection="0"/>
    <xf numFmtId="0" fontId="2" fillId="89" borderId="0" applyNumberFormat="0" applyBorder="0" applyAlignment="0" applyProtection="0"/>
    <xf numFmtId="0" fontId="2" fillId="93" borderId="0" applyNumberFormat="0" applyBorder="0" applyAlignment="0" applyProtection="0"/>
    <xf numFmtId="0" fontId="2" fillId="97" borderId="0" applyNumberFormat="0" applyBorder="0" applyAlignment="0" applyProtection="0"/>
    <xf numFmtId="0" fontId="2" fillId="101" borderId="0" applyNumberFormat="0" applyBorder="0" applyAlignment="0" applyProtection="0"/>
    <xf numFmtId="0" fontId="2" fillId="82" borderId="0" applyNumberFormat="0" applyBorder="0" applyAlignment="0" applyProtection="0"/>
    <xf numFmtId="0" fontId="2" fillId="86" borderId="0" applyNumberFormat="0" applyBorder="0" applyAlignment="0" applyProtection="0"/>
    <xf numFmtId="0" fontId="2" fillId="90" borderId="0" applyNumberFormat="0" applyBorder="0" applyAlignment="0" applyProtection="0"/>
    <xf numFmtId="0" fontId="2" fillId="94" borderId="0" applyNumberFormat="0" applyBorder="0" applyAlignment="0" applyProtection="0"/>
    <xf numFmtId="0" fontId="2" fillId="98" borderId="0" applyNumberFormat="0" applyBorder="0" applyAlignment="0" applyProtection="0"/>
    <xf numFmtId="0" fontId="2" fillId="102" borderId="0" applyNumberFormat="0" applyBorder="0" applyAlignment="0" applyProtection="0"/>
    <xf numFmtId="0" fontId="2" fillId="61" borderId="184" applyNumberFormat="0" applyFont="0" applyAlignment="0" applyProtection="0"/>
    <xf numFmtId="0" fontId="2" fillId="0" borderId="0"/>
    <xf numFmtId="0" fontId="2" fillId="81" borderId="0" applyNumberFormat="0" applyBorder="0" applyAlignment="0" applyProtection="0"/>
    <xf numFmtId="0" fontId="2" fillId="82" borderId="0" applyNumberFormat="0" applyBorder="0" applyAlignment="0" applyProtection="0"/>
    <xf numFmtId="0" fontId="2" fillId="85" borderId="0" applyNumberFormat="0" applyBorder="0" applyAlignment="0" applyProtection="0"/>
    <xf numFmtId="0" fontId="2" fillId="86" borderId="0" applyNumberFormat="0" applyBorder="0" applyAlignment="0" applyProtection="0"/>
    <xf numFmtId="0" fontId="2" fillId="89" borderId="0" applyNumberFormat="0" applyBorder="0" applyAlignment="0" applyProtection="0"/>
    <xf numFmtId="0" fontId="2" fillId="90" borderId="0" applyNumberFormat="0" applyBorder="0" applyAlignment="0" applyProtection="0"/>
    <xf numFmtId="0" fontId="2" fillId="93" borderId="0" applyNumberFormat="0" applyBorder="0" applyAlignment="0" applyProtection="0"/>
    <xf numFmtId="0" fontId="2" fillId="94" borderId="0" applyNumberFormat="0" applyBorder="0" applyAlignment="0" applyProtection="0"/>
    <xf numFmtId="0" fontId="2" fillId="97" borderId="0" applyNumberFormat="0" applyBorder="0" applyAlignment="0" applyProtection="0"/>
    <xf numFmtId="0" fontId="2" fillId="98" borderId="0" applyNumberFormat="0" applyBorder="0" applyAlignment="0" applyProtection="0"/>
    <xf numFmtId="0" fontId="2" fillId="101" borderId="0" applyNumberFormat="0" applyBorder="0" applyAlignment="0" applyProtection="0"/>
    <xf numFmtId="0" fontId="2" fillId="102" borderId="0" applyNumberFormat="0" applyBorder="0" applyAlignment="0" applyProtection="0"/>
    <xf numFmtId="0" fontId="2" fillId="0" borderId="0"/>
    <xf numFmtId="0" fontId="2" fillId="61" borderId="184" applyNumberFormat="0" applyFont="0" applyAlignment="0" applyProtection="0"/>
    <xf numFmtId="0" fontId="2" fillId="0" borderId="0"/>
    <xf numFmtId="0" fontId="2" fillId="0" borderId="0"/>
    <xf numFmtId="0" fontId="2" fillId="81" borderId="0" applyNumberFormat="0" applyBorder="0" applyAlignment="0" applyProtection="0"/>
    <xf numFmtId="0" fontId="2" fillId="85" borderId="0" applyNumberFormat="0" applyBorder="0" applyAlignment="0" applyProtection="0"/>
    <xf numFmtId="0" fontId="2" fillId="89" borderId="0" applyNumberFormat="0" applyBorder="0" applyAlignment="0" applyProtection="0"/>
    <xf numFmtId="0" fontId="2" fillId="93" borderId="0" applyNumberFormat="0" applyBorder="0" applyAlignment="0" applyProtection="0"/>
    <xf numFmtId="0" fontId="2" fillId="97" borderId="0" applyNumberFormat="0" applyBorder="0" applyAlignment="0" applyProtection="0"/>
    <xf numFmtId="0" fontId="2" fillId="101" borderId="0" applyNumberFormat="0" applyBorder="0" applyAlignment="0" applyProtection="0"/>
    <xf numFmtId="0" fontId="2" fillId="82" borderId="0" applyNumberFormat="0" applyBorder="0" applyAlignment="0" applyProtection="0"/>
    <xf numFmtId="0" fontId="2" fillId="86" borderId="0" applyNumberFormat="0" applyBorder="0" applyAlignment="0" applyProtection="0"/>
    <xf numFmtId="0" fontId="2" fillId="90" borderId="0" applyNumberFormat="0" applyBorder="0" applyAlignment="0" applyProtection="0"/>
    <xf numFmtId="0" fontId="2" fillId="94" borderId="0" applyNumberFormat="0" applyBorder="0" applyAlignment="0" applyProtection="0"/>
    <xf numFmtId="0" fontId="2" fillId="98" borderId="0" applyNumberFormat="0" applyBorder="0" applyAlignment="0" applyProtection="0"/>
    <xf numFmtId="0" fontId="2" fillId="102" borderId="0" applyNumberFormat="0" applyBorder="0" applyAlignment="0" applyProtection="0"/>
    <xf numFmtId="0" fontId="2" fillId="61" borderId="184"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61" borderId="184" applyNumberFormat="0" applyFont="0" applyAlignment="0" applyProtection="0"/>
    <xf numFmtId="0" fontId="2" fillId="81" borderId="0" applyNumberFormat="0" applyBorder="0" applyAlignment="0" applyProtection="0"/>
    <xf numFmtId="0" fontId="2" fillId="82" borderId="0" applyNumberFormat="0" applyBorder="0" applyAlignment="0" applyProtection="0"/>
    <xf numFmtId="0" fontId="2" fillId="85" borderId="0" applyNumberFormat="0" applyBorder="0" applyAlignment="0" applyProtection="0"/>
    <xf numFmtId="0" fontId="2" fillId="86" borderId="0" applyNumberFormat="0" applyBorder="0" applyAlignment="0" applyProtection="0"/>
    <xf numFmtId="0" fontId="2" fillId="89" borderId="0" applyNumberFormat="0" applyBorder="0" applyAlignment="0" applyProtection="0"/>
    <xf numFmtId="0" fontId="2" fillId="90" borderId="0" applyNumberFormat="0" applyBorder="0" applyAlignment="0" applyProtection="0"/>
    <xf numFmtId="0" fontId="2" fillId="93" borderId="0" applyNumberFormat="0" applyBorder="0" applyAlignment="0" applyProtection="0"/>
    <xf numFmtId="0" fontId="2" fillId="94" borderId="0" applyNumberFormat="0" applyBorder="0" applyAlignment="0" applyProtection="0"/>
    <xf numFmtId="0" fontId="2" fillId="97" borderId="0" applyNumberFormat="0" applyBorder="0" applyAlignment="0" applyProtection="0"/>
    <xf numFmtId="0" fontId="2" fillId="98" borderId="0" applyNumberFormat="0" applyBorder="0" applyAlignment="0" applyProtection="0"/>
    <xf numFmtId="0" fontId="2" fillId="101" borderId="0" applyNumberFormat="0" applyBorder="0" applyAlignment="0" applyProtection="0"/>
    <xf numFmtId="0" fontId="2" fillId="102" borderId="0" applyNumberFormat="0" applyBorder="0" applyAlignment="0" applyProtection="0"/>
    <xf numFmtId="0" fontId="2" fillId="61" borderId="184" applyNumberFormat="0" applyFont="0" applyAlignment="0" applyProtection="0"/>
    <xf numFmtId="0" fontId="2" fillId="81" borderId="0" applyNumberFormat="0" applyBorder="0" applyAlignment="0" applyProtection="0"/>
    <xf numFmtId="0" fontId="2" fillId="82" borderId="0" applyNumberFormat="0" applyBorder="0" applyAlignment="0" applyProtection="0"/>
    <xf numFmtId="0" fontId="2" fillId="85" borderId="0" applyNumberFormat="0" applyBorder="0" applyAlignment="0" applyProtection="0"/>
    <xf numFmtId="0" fontId="2" fillId="86" borderId="0" applyNumberFormat="0" applyBorder="0" applyAlignment="0" applyProtection="0"/>
    <xf numFmtId="0" fontId="2" fillId="89" borderId="0" applyNumberFormat="0" applyBorder="0" applyAlignment="0" applyProtection="0"/>
    <xf numFmtId="0" fontId="2" fillId="90" borderId="0" applyNumberFormat="0" applyBorder="0" applyAlignment="0" applyProtection="0"/>
    <xf numFmtId="0" fontId="2" fillId="93" borderId="0" applyNumberFormat="0" applyBorder="0" applyAlignment="0" applyProtection="0"/>
    <xf numFmtId="0" fontId="2" fillId="94" borderId="0" applyNumberFormat="0" applyBorder="0" applyAlignment="0" applyProtection="0"/>
    <xf numFmtId="0" fontId="2" fillId="97" borderId="0" applyNumberFormat="0" applyBorder="0" applyAlignment="0" applyProtection="0"/>
    <xf numFmtId="0" fontId="2" fillId="98" borderId="0" applyNumberFormat="0" applyBorder="0" applyAlignment="0" applyProtection="0"/>
    <xf numFmtId="0" fontId="2" fillId="101" borderId="0" applyNumberFormat="0" applyBorder="0" applyAlignment="0" applyProtection="0"/>
    <xf numFmtId="0" fontId="2" fillId="102" borderId="0" applyNumberFormat="0" applyBorder="0" applyAlignment="0" applyProtection="0"/>
    <xf numFmtId="0" fontId="2" fillId="0" borderId="0"/>
    <xf numFmtId="9" fontId="2" fillId="0" borderId="0" applyFont="0" applyFill="0" applyBorder="0" applyAlignment="0" applyProtection="0"/>
    <xf numFmtId="0" fontId="2" fillId="61" borderId="184" applyNumberFormat="0" applyFont="0" applyAlignment="0" applyProtection="0"/>
    <xf numFmtId="0" fontId="2" fillId="81" borderId="0" applyNumberFormat="0" applyBorder="0" applyAlignment="0" applyProtection="0"/>
    <xf numFmtId="0" fontId="2" fillId="82" borderId="0" applyNumberFormat="0" applyBorder="0" applyAlignment="0" applyProtection="0"/>
    <xf numFmtId="0" fontId="2" fillId="85" borderId="0" applyNumberFormat="0" applyBorder="0" applyAlignment="0" applyProtection="0"/>
    <xf numFmtId="0" fontId="2" fillId="86" borderId="0" applyNumberFormat="0" applyBorder="0" applyAlignment="0" applyProtection="0"/>
    <xf numFmtId="0" fontId="2" fillId="89" borderId="0" applyNumberFormat="0" applyBorder="0" applyAlignment="0" applyProtection="0"/>
    <xf numFmtId="0" fontId="2" fillId="90" borderId="0" applyNumberFormat="0" applyBorder="0" applyAlignment="0" applyProtection="0"/>
    <xf numFmtId="0" fontId="2" fillId="93" borderId="0" applyNumberFormat="0" applyBorder="0" applyAlignment="0" applyProtection="0"/>
    <xf numFmtId="0" fontId="2" fillId="94" borderId="0" applyNumberFormat="0" applyBorder="0" applyAlignment="0" applyProtection="0"/>
    <xf numFmtId="0" fontId="2" fillId="97" borderId="0" applyNumberFormat="0" applyBorder="0" applyAlignment="0" applyProtection="0"/>
    <xf numFmtId="0" fontId="2" fillId="98" borderId="0" applyNumberFormat="0" applyBorder="0" applyAlignment="0" applyProtection="0"/>
    <xf numFmtId="0" fontId="2" fillId="101" borderId="0" applyNumberFormat="0" applyBorder="0" applyAlignment="0" applyProtection="0"/>
    <xf numFmtId="0" fontId="2" fillId="102" borderId="0" applyNumberFormat="0" applyBorder="0" applyAlignment="0" applyProtection="0"/>
    <xf numFmtId="0" fontId="2" fillId="0" borderId="0"/>
    <xf numFmtId="0" fontId="2" fillId="81" borderId="0" applyNumberFormat="0" applyBorder="0" applyAlignment="0" applyProtection="0"/>
    <xf numFmtId="0" fontId="2" fillId="85" borderId="0" applyNumberFormat="0" applyBorder="0" applyAlignment="0" applyProtection="0"/>
    <xf numFmtId="0" fontId="2" fillId="89" borderId="0" applyNumberFormat="0" applyBorder="0" applyAlignment="0" applyProtection="0"/>
    <xf numFmtId="0" fontId="2" fillId="93" borderId="0" applyNumberFormat="0" applyBorder="0" applyAlignment="0" applyProtection="0"/>
    <xf numFmtId="0" fontId="2" fillId="97" borderId="0" applyNumberFormat="0" applyBorder="0" applyAlignment="0" applyProtection="0"/>
    <xf numFmtId="0" fontId="2" fillId="101" borderId="0" applyNumberFormat="0" applyBorder="0" applyAlignment="0" applyProtection="0"/>
    <xf numFmtId="0" fontId="2" fillId="82" borderId="0" applyNumberFormat="0" applyBorder="0" applyAlignment="0" applyProtection="0"/>
    <xf numFmtId="0" fontId="2" fillId="86" borderId="0" applyNumberFormat="0" applyBorder="0" applyAlignment="0" applyProtection="0"/>
    <xf numFmtId="0" fontId="2" fillId="90" borderId="0" applyNumberFormat="0" applyBorder="0" applyAlignment="0" applyProtection="0"/>
    <xf numFmtId="0" fontId="2" fillId="94" borderId="0" applyNumberFormat="0" applyBorder="0" applyAlignment="0" applyProtection="0"/>
    <xf numFmtId="0" fontId="2" fillId="98" borderId="0" applyNumberFormat="0" applyBorder="0" applyAlignment="0" applyProtection="0"/>
    <xf numFmtId="0" fontId="2" fillId="102" borderId="0" applyNumberFormat="0" applyBorder="0" applyAlignment="0" applyProtection="0"/>
    <xf numFmtId="0" fontId="2" fillId="61" borderId="184" applyNumberFormat="0" applyFont="0" applyAlignment="0" applyProtection="0"/>
    <xf numFmtId="0" fontId="2" fillId="0" borderId="0"/>
    <xf numFmtId="0" fontId="2" fillId="0" borderId="0"/>
    <xf numFmtId="0" fontId="2" fillId="0" borderId="0"/>
    <xf numFmtId="0" fontId="1" fillId="0" borderId="0"/>
    <xf numFmtId="0" fontId="1" fillId="0" borderId="0"/>
    <xf numFmtId="0" fontId="1" fillId="81" borderId="0" applyNumberFormat="0" applyBorder="0" applyAlignment="0" applyProtection="0"/>
    <xf numFmtId="0" fontId="1" fillId="85" borderId="0" applyNumberFormat="0" applyBorder="0" applyAlignment="0" applyProtection="0"/>
    <xf numFmtId="0" fontId="1" fillId="89" borderId="0" applyNumberFormat="0" applyBorder="0" applyAlignment="0" applyProtection="0"/>
    <xf numFmtId="0" fontId="1" fillId="93" borderId="0" applyNumberFormat="0" applyBorder="0" applyAlignment="0" applyProtection="0"/>
    <xf numFmtId="0" fontId="1" fillId="97" borderId="0" applyNumberFormat="0" applyBorder="0" applyAlignment="0" applyProtection="0"/>
    <xf numFmtId="0" fontId="1" fillId="101" borderId="0" applyNumberFormat="0" applyBorder="0" applyAlignment="0" applyProtection="0"/>
    <xf numFmtId="0" fontId="1" fillId="82" borderId="0" applyNumberFormat="0" applyBorder="0" applyAlignment="0" applyProtection="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61" borderId="184" applyNumberFormat="0" applyFont="0" applyAlignment="0" applyProtection="0"/>
    <xf numFmtId="0" fontId="1" fillId="0" borderId="0"/>
    <xf numFmtId="0" fontId="1" fillId="81" borderId="0" applyNumberFormat="0" applyBorder="0" applyAlignment="0" applyProtection="0"/>
    <xf numFmtId="0" fontId="1" fillId="82" borderId="0" applyNumberFormat="0" applyBorder="0" applyAlignment="0" applyProtection="0"/>
    <xf numFmtId="0" fontId="1" fillId="85" borderId="0" applyNumberFormat="0" applyBorder="0" applyAlignment="0" applyProtection="0"/>
    <xf numFmtId="0" fontId="1" fillId="86" borderId="0" applyNumberFormat="0" applyBorder="0" applyAlignment="0" applyProtection="0"/>
    <xf numFmtId="0" fontId="1" fillId="89" borderId="0" applyNumberFormat="0" applyBorder="0" applyAlignment="0" applyProtection="0"/>
    <xf numFmtId="0" fontId="1" fillId="90" borderId="0" applyNumberFormat="0" applyBorder="0" applyAlignment="0" applyProtection="0"/>
    <xf numFmtId="0" fontId="1" fillId="93" borderId="0" applyNumberFormat="0" applyBorder="0" applyAlignment="0" applyProtection="0"/>
    <xf numFmtId="0" fontId="1" fillId="94" borderId="0" applyNumberFormat="0" applyBorder="0" applyAlignment="0" applyProtection="0"/>
    <xf numFmtId="0" fontId="1" fillId="97" borderId="0" applyNumberFormat="0" applyBorder="0" applyAlignment="0" applyProtection="0"/>
    <xf numFmtId="0" fontId="1" fillId="98" borderId="0" applyNumberFormat="0" applyBorder="0" applyAlignment="0" applyProtection="0"/>
    <xf numFmtId="0" fontId="1" fillId="101" borderId="0" applyNumberFormat="0" applyBorder="0" applyAlignment="0" applyProtection="0"/>
    <xf numFmtId="0" fontId="1" fillId="102" borderId="0" applyNumberFormat="0" applyBorder="0" applyAlignment="0" applyProtection="0"/>
    <xf numFmtId="0" fontId="1" fillId="0" borderId="0"/>
    <xf numFmtId="0" fontId="1" fillId="61" borderId="184" applyNumberFormat="0" applyFont="0" applyAlignment="0" applyProtection="0"/>
    <xf numFmtId="0" fontId="1" fillId="0" borderId="0"/>
    <xf numFmtId="0" fontId="1" fillId="0" borderId="0"/>
    <xf numFmtId="0" fontId="1" fillId="81" borderId="0" applyNumberFormat="0" applyBorder="0" applyAlignment="0" applyProtection="0"/>
    <xf numFmtId="0" fontId="1" fillId="85" borderId="0" applyNumberFormat="0" applyBorder="0" applyAlignment="0" applyProtection="0"/>
    <xf numFmtId="0" fontId="1" fillId="89" borderId="0" applyNumberFormat="0" applyBorder="0" applyAlignment="0" applyProtection="0"/>
    <xf numFmtId="0" fontId="1" fillId="93" borderId="0" applyNumberFormat="0" applyBorder="0" applyAlignment="0" applyProtection="0"/>
    <xf numFmtId="0" fontId="1" fillId="97" borderId="0" applyNumberFormat="0" applyBorder="0" applyAlignment="0" applyProtection="0"/>
    <xf numFmtId="0" fontId="1" fillId="101" borderId="0" applyNumberFormat="0" applyBorder="0" applyAlignment="0" applyProtection="0"/>
    <xf numFmtId="0" fontId="1" fillId="82" borderId="0" applyNumberFormat="0" applyBorder="0" applyAlignment="0" applyProtection="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61" borderId="184"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1" borderId="184" applyNumberFormat="0" applyFont="0" applyAlignment="0" applyProtection="0"/>
    <xf numFmtId="0" fontId="1" fillId="81" borderId="0" applyNumberFormat="0" applyBorder="0" applyAlignment="0" applyProtection="0"/>
    <xf numFmtId="0" fontId="1" fillId="82" borderId="0" applyNumberFormat="0" applyBorder="0" applyAlignment="0" applyProtection="0"/>
    <xf numFmtId="0" fontId="1" fillId="85" borderId="0" applyNumberFormat="0" applyBorder="0" applyAlignment="0" applyProtection="0"/>
    <xf numFmtId="0" fontId="1" fillId="86" borderId="0" applyNumberFormat="0" applyBorder="0" applyAlignment="0" applyProtection="0"/>
    <xf numFmtId="0" fontId="1" fillId="89" borderId="0" applyNumberFormat="0" applyBorder="0" applyAlignment="0" applyProtection="0"/>
    <xf numFmtId="0" fontId="1" fillId="90" borderId="0" applyNumberFormat="0" applyBorder="0" applyAlignment="0" applyProtection="0"/>
    <xf numFmtId="0" fontId="1" fillId="93" borderId="0" applyNumberFormat="0" applyBorder="0" applyAlignment="0" applyProtection="0"/>
    <xf numFmtId="0" fontId="1" fillId="94" borderId="0" applyNumberFormat="0" applyBorder="0" applyAlignment="0" applyProtection="0"/>
    <xf numFmtId="0" fontId="1" fillId="97" borderId="0" applyNumberFormat="0" applyBorder="0" applyAlignment="0" applyProtection="0"/>
    <xf numFmtId="0" fontId="1" fillId="98" borderId="0" applyNumberFormat="0" applyBorder="0" applyAlignment="0" applyProtection="0"/>
    <xf numFmtId="0" fontId="1" fillId="101" borderId="0" applyNumberFormat="0" applyBorder="0" applyAlignment="0" applyProtection="0"/>
    <xf numFmtId="0" fontId="1" fillId="102" borderId="0" applyNumberFormat="0" applyBorder="0" applyAlignment="0" applyProtection="0"/>
    <xf numFmtId="0" fontId="1" fillId="61" borderId="184" applyNumberFormat="0" applyFont="0" applyAlignment="0" applyProtection="0"/>
    <xf numFmtId="0" fontId="1" fillId="81" borderId="0" applyNumberFormat="0" applyBorder="0" applyAlignment="0" applyProtection="0"/>
    <xf numFmtId="0" fontId="1" fillId="82" borderId="0" applyNumberFormat="0" applyBorder="0" applyAlignment="0" applyProtection="0"/>
    <xf numFmtId="0" fontId="1" fillId="85" borderId="0" applyNumberFormat="0" applyBorder="0" applyAlignment="0" applyProtection="0"/>
    <xf numFmtId="0" fontId="1" fillId="86" borderId="0" applyNumberFormat="0" applyBorder="0" applyAlignment="0" applyProtection="0"/>
    <xf numFmtId="0" fontId="1" fillId="89" borderId="0" applyNumberFormat="0" applyBorder="0" applyAlignment="0" applyProtection="0"/>
    <xf numFmtId="0" fontId="1" fillId="90" borderId="0" applyNumberFormat="0" applyBorder="0" applyAlignment="0" applyProtection="0"/>
    <xf numFmtId="0" fontId="1" fillId="93" borderId="0" applyNumberFormat="0" applyBorder="0" applyAlignment="0" applyProtection="0"/>
    <xf numFmtId="0" fontId="1" fillId="94" borderId="0" applyNumberFormat="0" applyBorder="0" applyAlignment="0" applyProtection="0"/>
    <xf numFmtId="0" fontId="1" fillId="97" borderId="0" applyNumberFormat="0" applyBorder="0" applyAlignment="0" applyProtection="0"/>
    <xf numFmtId="0" fontId="1" fillId="98" borderId="0" applyNumberFormat="0" applyBorder="0" applyAlignment="0" applyProtection="0"/>
    <xf numFmtId="0" fontId="1" fillId="101" borderId="0" applyNumberFormat="0" applyBorder="0" applyAlignment="0" applyProtection="0"/>
    <xf numFmtId="0" fontId="1" fillId="102" borderId="0" applyNumberFormat="0" applyBorder="0" applyAlignment="0" applyProtection="0"/>
    <xf numFmtId="0" fontId="1" fillId="0" borderId="0"/>
    <xf numFmtId="9" fontId="1" fillId="0" borderId="0" applyFont="0" applyFill="0" applyBorder="0" applyAlignment="0" applyProtection="0"/>
    <xf numFmtId="0" fontId="1" fillId="61" borderId="184" applyNumberFormat="0" applyFont="0" applyAlignment="0" applyProtection="0"/>
    <xf numFmtId="0" fontId="1" fillId="81" borderId="0" applyNumberFormat="0" applyBorder="0" applyAlignment="0" applyProtection="0"/>
    <xf numFmtId="0" fontId="1" fillId="82" borderId="0" applyNumberFormat="0" applyBorder="0" applyAlignment="0" applyProtection="0"/>
    <xf numFmtId="0" fontId="1" fillId="85" borderId="0" applyNumberFormat="0" applyBorder="0" applyAlignment="0" applyProtection="0"/>
    <xf numFmtId="0" fontId="1" fillId="86" borderId="0" applyNumberFormat="0" applyBorder="0" applyAlignment="0" applyProtection="0"/>
    <xf numFmtId="0" fontId="1" fillId="89" borderId="0" applyNumberFormat="0" applyBorder="0" applyAlignment="0" applyProtection="0"/>
    <xf numFmtId="0" fontId="1" fillId="90" borderId="0" applyNumberFormat="0" applyBorder="0" applyAlignment="0" applyProtection="0"/>
    <xf numFmtId="0" fontId="1" fillId="93" borderId="0" applyNumberFormat="0" applyBorder="0" applyAlignment="0" applyProtection="0"/>
    <xf numFmtId="0" fontId="1" fillId="94" borderId="0" applyNumberFormat="0" applyBorder="0" applyAlignment="0" applyProtection="0"/>
    <xf numFmtId="0" fontId="1" fillId="97" borderId="0" applyNumberFormat="0" applyBorder="0" applyAlignment="0" applyProtection="0"/>
    <xf numFmtId="0" fontId="1" fillId="98" borderId="0" applyNumberFormat="0" applyBorder="0" applyAlignment="0" applyProtection="0"/>
    <xf numFmtId="0" fontId="1" fillId="101" borderId="0" applyNumberFormat="0" applyBorder="0" applyAlignment="0" applyProtection="0"/>
    <xf numFmtId="0" fontId="1" fillId="102" borderId="0" applyNumberFormat="0" applyBorder="0" applyAlignment="0" applyProtection="0"/>
    <xf numFmtId="0" fontId="1" fillId="0" borderId="0"/>
    <xf numFmtId="0" fontId="1" fillId="81" borderId="0" applyNumberFormat="0" applyBorder="0" applyAlignment="0" applyProtection="0"/>
    <xf numFmtId="0" fontId="1" fillId="85" borderId="0" applyNumberFormat="0" applyBorder="0" applyAlignment="0" applyProtection="0"/>
    <xf numFmtId="0" fontId="1" fillId="89" borderId="0" applyNumberFormat="0" applyBorder="0" applyAlignment="0" applyProtection="0"/>
    <xf numFmtId="0" fontId="1" fillId="93" borderId="0" applyNumberFormat="0" applyBorder="0" applyAlignment="0" applyProtection="0"/>
    <xf numFmtId="0" fontId="1" fillId="97" borderId="0" applyNumberFormat="0" applyBorder="0" applyAlignment="0" applyProtection="0"/>
    <xf numFmtId="0" fontId="1" fillId="101" borderId="0" applyNumberFormat="0" applyBorder="0" applyAlignment="0" applyProtection="0"/>
    <xf numFmtId="0" fontId="1" fillId="82" borderId="0" applyNumberFormat="0" applyBorder="0" applyAlignment="0" applyProtection="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61" borderId="184"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81" borderId="0" applyNumberFormat="0" applyBorder="0" applyAlignment="0" applyProtection="0"/>
    <xf numFmtId="0" fontId="1" fillId="85" borderId="0" applyNumberFormat="0" applyBorder="0" applyAlignment="0" applyProtection="0"/>
    <xf numFmtId="0" fontId="1" fillId="89" borderId="0" applyNumberFormat="0" applyBorder="0" applyAlignment="0" applyProtection="0"/>
    <xf numFmtId="0" fontId="1" fillId="93" borderId="0" applyNumberFormat="0" applyBorder="0" applyAlignment="0" applyProtection="0"/>
    <xf numFmtId="0" fontId="1" fillId="97" borderId="0" applyNumberFormat="0" applyBorder="0" applyAlignment="0" applyProtection="0"/>
    <xf numFmtId="0" fontId="1" fillId="101" borderId="0" applyNumberFormat="0" applyBorder="0" applyAlignment="0" applyProtection="0"/>
    <xf numFmtId="0" fontId="1" fillId="82" borderId="0" applyNumberFormat="0" applyBorder="0" applyAlignment="0" applyProtection="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61" borderId="184" applyNumberFormat="0" applyFont="0" applyAlignment="0" applyProtection="0"/>
    <xf numFmtId="0" fontId="1" fillId="0" borderId="0"/>
    <xf numFmtId="0" fontId="1" fillId="81" borderId="0" applyNumberFormat="0" applyBorder="0" applyAlignment="0" applyProtection="0"/>
    <xf numFmtId="0" fontId="1" fillId="82" borderId="0" applyNumberFormat="0" applyBorder="0" applyAlignment="0" applyProtection="0"/>
    <xf numFmtId="0" fontId="1" fillId="85" borderId="0" applyNumberFormat="0" applyBorder="0" applyAlignment="0" applyProtection="0"/>
    <xf numFmtId="0" fontId="1" fillId="86" borderId="0" applyNumberFormat="0" applyBorder="0" applyAlignment="0" applyProtection="0"/>
    <xf numFmtId="0" fontId="1" fillId="89" borderId="0" applyNumberFormat="0" applyBorder="0" applyAlignment="0" applyProtection="0"/>
    <xf numFmtId="0" fontId="1" fillId="90" borderId="0" applyNumberFormat="0" applyBorder="0" applyAlignment="0" applyProtection="0"/>
    <xf numFmtId="0" fontId="1" fillId="93" borderId="0" applyNumberFormat="0" applyBorder="0" applyAlignment="0" applyProtection="0"/>
    <xf numFmtId="0" fontId="1" fillId="94" borderId="0" applyNumberFormat="0" applyBorder="0" applyAlignment="0" applyProtection="0"/>
    <xf numFmtId="0" fontId="1" fillId="97" borderId="0" applyNumberFormat="0" applyBorder="0" applyAlignment="0" applyProtection="0"/>
    <xf numFmtId="0" fontId="1" fillId="98" borderId="0" applyNumberFormat="0" applyBorder="0" applyAlignment="0" applyProtection="0"/>
    <xf numFmtId="0" fontId="1" fillId="101" borderId="0" applyNumberFormat="0" applyBorder="0" applyAlignment="0" applyProtection="0"/>
    <xf numFmtId="0" fontId="1" fillId="102" borderId="0" applyNumberFormat="0" applyBorder="0" applyAlignment="0" applyProtection="0"/>
    <xf numFmtId="0" fontId="1" fillId="0" borderId="0"/>
    <xf numFmtId="0" fontId="1" fillId="61" borderId="184" applyNumberFormat="0" applyFont="0" applyAlignment="0" applyProtection="0"/>
    <xf numFmtId="0" fontId="1" fillId="0" borderId="0"/>
    <xf numFmtId="0" fontId="1" fillId="0" borderId="0"/>
    <xf numFmtId="0" fontId="1" fillId="81" borderId="0" applyNumberFormat="0" applyBorder="0" applyAlignment="0" applyProtection="0"/>
    <xf numFmtId="0" fontId="1" fillId="85" borderId="0" applyNumberFormat="0" applyBorder="0" applyAlignment="0" applyProtection="0"/>
    <xf numFmtId="0" fontId="1" fillId="89" borderId="0" applyNumberFormat="0" applyBorder="0" applyAlignment="0" applyProtection="0"/>
    <xf numFmtId="0" fontId="1" fillId="93" borderId="0" applyNumberFormat="0" applyBorder="0" applyAlignment="0" applyProtection="0"/>
    <xf numFmtId="0" fontId="1" fillId="97" borderId="0" applyNumberFormat="0" applyBorder="0" applyAlignment="0" applyProtection="0"/>
    <xf numFmtId="0" fontId="1" fillId="101" borderId="0" applyNumberFormat="0" applyBorder="0" applyAlignment="0" applyProtection="0"/>
    <xf numFmtId="0" fontId="1" fillId="82" borderId="0" applyNumberFormat="0" applyBorder="0" applyAlignment="0" applyProtection="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61" borderId="184"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61" borderId="184" applyNumberFormat="0" applyFont="0" applyAlignment="0" applyProtection="0"/>
    <xf numFmtId="0" fontId="1" fillId="81" borderId="0" applyNumberFormat="0" applyBorder="0" applyAlignment="0" applyProtection="0"/>
    <xf numFmtId="0" fontId="1" fillId="82" borderId="0" applyNumberFormat="0" applyBorder="0" applyAlignment="0" applyProtection="0"/>
    <xf numFmtId="0" fontId="1" fillId="85" borderId="0" applyNumberFormat="0" applyBorder="0" applyAlignment="0" applyProtection="0"/>
    <xf numFmtId="0" fontId="1" fillId="86" borderId="0" applyNumberFormat="0" applyBorder="0" applyAlignment="0" applyProtection="0"/>
    <xf numFmtId="0" fontId="1" fillId="89" borderId="0" applyNumberFormat="0" applyBorder="0" applyAlignment="0" applyProtection="0"/>
    <xf numFmtId="0" fontId="1" fillId="90" borderId="0" applyNumberFormat="0" applyBorder="0" applyAlignment="0" applyProtection="0"/>
    <xf numFmtId="0" fontId="1" fillId="93" borderId="0" applyNumberFormat="0" applyBorder="0" applyAlignment="0" applyProtection="0"/>
    <xf numFmtId="0" fontId="1" fillId="94" borderId="0" applyNumberFormat="0" applyBorder="0" applyAlignment="0" applyProtection="0"/>
    <xf numFmtId="0" fontId="1" fillId="97" borderId="0" applyNumberFormat="0" applyBorder="0" applyAlignment="0" applyProtection="0"/>
    <xf numFmtId="0" fontId="1" fillId="98" borderId="0" applyNumberFormat="0" applyBorder="0" applyAlignment="0" applyProtection="0"/>
    <xf numFmtId="0" fontId="1" fillId="101" borderId="0" applyNumberFormat="0" applyBorder="0" applyAlignment="0" applyProtection="0"/>
    <xf numFmtId="0" fontId="1" fillId="102" borderId="0" applyNumberFormat="0" applyBorder="0" applyAlignment="0" applyProtection="0"/>
    <xf numFmtId="0" fontId="1" fillId="61" borderId="184" applyNumberFormat="0" applyFont="0" applyAlignment="0" applyProtection="0"/>
    <xf numFmtId="0" fontId="1" fillId="81" borderId="0" applyNumberFormat="0" applyBorder="0" applyAlignment="0" applyProtection="0"/>
    <xf numFmtId="0" fontId="1" fillId="82" borderId="0" applyNumberFormat="0" applyBorder="0" applyAlignment="0" applyProtection="0"/>
    <xf numFmtId="0" fontId="1" fillId="85" borderId="0" applyNumberFormat="0" applyBorder="0" applyAlignment="0" applyProtection="0"/>
    <xf numFmtId="0" fontId="1" fillId="86" borderId="0" applyNumberFormat="0" applyBorder="0" applyAlignment="0" applyProtection="0"/>
    <xf numFmtId="0" fontId="1" fillId="89" borderId="0" applyNumberFormat="0" applyBorder="0" applyAlignment="0" applyProtection="0"/>
    <xf numFmtId="0" fontId="1" fillId="90" borderId="0" applyNumberFormat="0" applyBorder="0" applyAlignment="0" applyProtection="0"/>
    <xf numFmtId="0" fontId="1" fillId="93" borderId="0" applyNumberFormat="0" applyBorder="0" applyAlignment="0" applyProtection="0"/>
    <xf numFmtId="0" fontId="1" fillId="94" borderId="0" applyNumberFormat="0" applyBorder="0" applyAlignment="0" applyProtection="0"/>
    <xf numFmtId="0" fontId="1" fillId="97" borderId="0" applyNumberFormat="0" applyBorder="0" applyAlignment="0" applyProtection="0"/>
    <xf numFmtId="0" fontId="1" fillId="98" borderId="0" applyNumberFormat="0" applyBorder="0" applyAlignment="0" applyProtection="0"/>
    <xf numFmtId="0" fontId="1" fillId="101" borderId="0" applyNumberFormat="0" applyBorder="0" applyAlignment="0" applyProtection="0"/>
    <xf numFmtId="0" fontId="1" fillId="102" borderId="0" applyNumberFormat="0" applyBorder="0" applyAlignment="0" applyProtection="0"/>
    <xf numFmtId="0" fontId="1" fillId="0" borderId="0"/>
    <xf numFmtId="9" fontId="1" fillId="0" borderId="0" applyFont="0" applyFill="0" applyBorder="0" applyAlignment="0" applyProtection="0"/>
    <xf numFmtId="0" fontId="1" fillId="61" borderId="184" applyNumberFormat="0" applyFont="0" applyAlignment="0" applyProtection="0"/>
    <xf numFmtId="0" fontId="1" fillId="81" borderId="0" applyNumberFormat="0" applyBorder="0" applyAlignment="0" applyProtection="0"/>
    <xf numFmtId="0" fontId="1" fillId="82" borderId="0" applyNumberFormat="0" applyBorder="0" applyAlignment="0" applyProtection="0"/>
    <xf numFmtId="0" fontId="1" fillId="85" borderId="0" applyNumberFormat="0" applyBorder="0" applyAlignment="0" applyProtection="0"/>
    <xf numFmtId="0" fontId="1" fillId="86" borderId="0" applyNumberFormat="0" applyBorder="0" applyAlignment="0" applyProtection="0"/>
    <xf numFmtId="0" fontId="1" fillId="89" borderId="0" applyNumberFormat="0" applyBorder="0" applyAlignment="0" applyProtection="0"/>
    <xf numFmtId="0" fontId="1" fillId="90" borderId="0" applyNumberFormat="0" applyBorder="0" applyAlignment="0" applyProtection="0"/>
    <xf numFmtId="0" fontId="1" fillId="93" borderId="0" applyNumberFormat="0" applyBorder="0" applyAlignment="0" applyProtection="0"/>
    <xf numFmtId="0" fontId="1" fillId="94" borderId="0" applyNumberFormat="0" applyBorder="0" applyAlignment="0" applyProtection="0"/>
    <xf numFmtId="0" fontId="1" fillId="97" borderId="0" applyNumberFormat="0" applyBorder="0" applyAlignment="0" applyProtection="0"/>
    <xf numFmtId="0" fontId="1" fillId="98" borderId="0" applyNumberFormat="0" applyBorder="0" applyAlignment="0" applyProtection="0"/>
    <xf numFmtId="0" fontId="1" fillId="101" borderId="0" applyNumberFormat="0" applyBorder="0" applyAlignment="0" applyProtection="0"/>
    <xf numFmtId="0" fontId="1" fillId="102" borderId="0" applyNumberFormat="0" applyBorder="0" applyAlignment="0" applyProtection="0"/>
    <xf numFmtId="0" fontId="1" fillId="0" borderId="0"/>
    <xf numFmtId="0" fontId="1" fillId="81" borderId="0" applyNumberFormat="0" applyBorder="0" applyAlignment="0" applyProtection="0"/>
    <xf numFmtId="0" fontId="1" fillId="85" borderId="0" applyNumberFormat="0" applyBorder="0" applyAlignment="0" applyProtection="0"/>
    <xf numFmtId="0" fontId="1" fillId="89" borderId="0" applyNumberFormat="0" applyBorder="0" applyAlignment="0" applyProtection="0"/>
    <xf numFmtId="0" fontId="1" fillId="93" borderId="0" applyNumberFormat="0" applyBorder="0" applyAlignment="0" applyProtection="0"/>
    <xf numFmtId="0" fontId="1" fillId="97" borderId="0" applyNumberFormat="0" applyBorder="0" applyAlignment="0" applyProtection="0"/>
    <xf numFmtId="0" fontId="1" fillId="101" borderId="0" applyNumberFormat="0" applyBorder="0" applyAlignment="0" applyProtection="0"/>
    <xf numFmtId="0" fontId="1" fillId="82" borderId="0" applyNumberFormat="0" applyBorder="0" applyAlignment="0" applyProtection="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61" borderId="184" applyNumberFormat="0" applyFont="0" applyAlignment="0" applyProtection="0"/>
    <xf numFmtId="0" fontId="1" fillId="0" borderId="0"/>
    <xf numFmtId="0" fontId="1" fillId="0" borderId="0"/>
    <xf numFmtId="0" fontId="1" fillId="0" borderId="0"/>
    <xf numFmtId="0" fontId="17" fillId="0" borderId="0" applyNumberFormat="0" applyFill="0" applyBorder="0" applyAlignment="0" applyProtection="0"/>
  </cellStyleXfs>
  <cellXfs count="4331">
    <xf numFmtId="0" fontId="0" fillId="0" borderId="0" xfId="0"/>
    <xf numFmtId="0" fontId="0" fillId="0" borderId="0" xfId="59" applyFont="1" applyBorder="1"/>
    <xf numFmtId="0" fontId="0" fillId="0" borderId="0" xfId="59" applyFont="1" applyBorder="1" applyAlignment="1">
      <alignment horizontal="left"/>
    </xf>
    <xf numFmtId="0" fontId="0" fillId="0" borderId="0" xfId="59" applyFont="1" applyBorder="1" applyAlignment="1">
      <alignment horizontal="center"/>
    </xf>
    <xf numFmtId="0" fontId="18" fillId="27" borderId="14" xfId="59" applyFont="1" applyFill="1" applyBorder="1" applyAlignment="1">
      <alignment horizontal="center"/>
    </xf>
    <xf numFmtId="0" fontId="18" fillId="27" borderId="15" xfId="59" applyFont="1" applyFill="1" applyBorder="1" applyAlignment="1">
      <alignment horizontal="center"/>
    </xf>
    <xf numFmtId="0" fontId="18" fillId="27" borderId="16" xfId="59" applyFont="1" applyFill="1" applyBorder="1" applyAlignment="1">
      <alignment horizontal="center"/>
    </xf>
    <xf numFmtId="0" fontId="18" fillId="27" borderId="17" xfId="59" applyFont="1" applyFill="1" applyBorder="1"/>
    <xf numFmtId="0" fontId="18" fillId="27" borderId="18" xfId="59" applyFont="1" applyFill="1" applyBorder="1" applyAlignment="1">
      <alignment horizontal="left"/>
    </xf>
    <xf numFmtId="0" fontId="0" fillId="28" borderId="19" xfId="59" applyFont="1" applyFill="1" applyBorder="1" applyAlignment="1">
      <alignment horizontal="center"/>
    </xf>
    <xf numFmtId="0" fontId="0" fillId="28" borderId="20" xfId="59" applyFont="1" applyFill="1" applyBorder="1" applyAlignment="1">
      <alignment horizontal="center"/>
    </xf>
    <xf numFmtId="0" fontId="20" fillId="0" borderId="21" xfId="59" applyFont="1" applyFill="1" applyBorder="1"/>
    <xf numFmtId="0" fontId="0" fillId="28" borderId="22" xfId="59" applyFont="1" applyFill="1" applyBorder="1" applyAlignment="1">
      <alignment horizontal="center"/>
    </xf>
    <xf numFmtId="0" fontId="0" fillId="28" borderId="23" xfId="59" applyFont="1" applyFill="1" applyBorder="1" applyAlignment="1">
      <alignment horizontal="center"/>
    </xf>
    <xf numFmtId="0" fontId="20" fillId="0" borderId="24" xfId="59" applyFont="1" applyFill="1" applyBorder="1"/>
    <xf numFmtId="0" fontId="44" fillId="0" borderId="0" xfId="59" applyFont="1" applyProtection="1"/>
    <xf numFmtId="0" fontId="0" fillId="0" borderId="0" xfId="59" applyFont="1" applyProtection="1"/>
    <xf numFmtId="0" fontId="47" fillId="0" borderId="0" xfId="59" applyFont="1" applyProtection="1"/>
    <xf numFmtId="0" fontId="0" fillId="0" borderId="0" xfId="59" applyFont="1" applyAlignment="1" applyProtection="1">
      <alignment horizontal="center"/>
    </xf>
    <xf numFmtId="1" fontId="0" fillId="0" borderId="0" xfId="59" applyNumberFormat="1" applyFont="1" applyBorder="1" applyAlignment="1" applyProtection="1">
      <alignment horizontal="center"/>
    </xf>
    <xf numFmtId="1" fontId="0" fillId="0" borderId="0" xfId="59" applyNumberFormat="1" applyFont="1" applyBorder="1" applyProtection="1"/>
    <xf numFmtId="0" fontId="0" fillId="0" borderId="0" xfId="59" applyFont="1" applyBorder="1" applyProtection="1"/>
    <xf numFmtId="0" fontId="48" fillId="29" borderId="0" xfId="59" applyFont="1" applyFill="1" applyAlignment="1">
      <alignment horizontal="center"/>
    </xf>
    <xf numFmtId="0" fontId="0" fillId="0" borderId="25" xfId="59" applyFont="1" applyBorder="1"/>
    <xf numFmtId="166" fontId="0" fillId="0" borderId="0" xfId="59" applyNumberFormat="1" applyFont="1" applyBorder="1" applyProtection="1"/>
    <xf numFmtId="0" fontId="0" fillId="30" borderId="0" xfId="59" applyNumberFormat="1" applyFont="1" applyFill="1" applyBorder="1" applyProtection="1"/>
    <xf numFmtId="0" fontId="49" fillId="0" borderId="0" xfId="59" applyFont="1"/>
    <xf numFmtId="0" fontId="44" fillId="0" borderId="0" xfId="59" applyFont="1" applyBorder="1" applyAlignment="1">
      <alignment horizontal="left"/>
    </xf>
    <xf numFmtId="0" fontId="0" fillId="0" borderId="0" xfId="59" applyFont="1" applyFill="1"/>
    <xf numFmtId="0" fontId="0" fillId="0" borderId="0" xfId="59" applyFont="1" applyFill="1" applyBorder="1"/>
    <xf numFmtId="0" fontId="0" fillId="30" borderId="0" xfId="59" applyFont="1" applyFill="1" applyBorder="1" applyAlignment="1">
      <alignment horizontal="center"/>
    </xf>
    <xf numFmtId="0" fontId="44" fillId="0" borderId="0" xfId="59" applyFont="1" applyAlignment="1" applyProtection="1">
      <alignment horizontal="left"/>
    </xf>
    <xf numFmtId="0" fontId="49" fillId="0" borderId="0" xfId="59" applyFont="1" applyFill="1" applyProtection="1"/>
    <xf numFmtId="0" fontId="0" fillId="0" borderId="0" xfId="59" applyFont="1" applyFill="1" applyBorder="1" applyAlignment="1">
      <alignment horizontal="left"/>
    </xf>
    <xf numFmtId="0" fontId="0" fillId="0" borderId="0" xfId="59" applyNumberFormat="1" applyFont="1" applyFill="1" applyBorder="1" applyProtection="1"/>
    <xf numFmtId="166" fontId="0" fillId="0" borderId="0" xfId="59" applyNumberFormat="1" applyFont="1" applyFill="1" applyBorder="1" applyProtection="1"/>
    <xf numFmtId="0" fontId="44" fillId="30" borderId="0" xfId="59" applyFont="1" applyFill="1" applyBorder="1" applyAlignment="1">
      <alignment horizontal="left"/>
    </xf>
    <xf numFmtId="0" fontId="0" fillId="30" borderId="0" xfId="59" applyFont="1" applyFill="1" applyBorder="1" applyAlignment="1">
      <alignment horizontal="left"/>
    </xf>
    <xf numFmtId="0" fontId="0" fillId="0" borderId="0" xfId="59" applyNumberFormat="1" applyFont="1" applyBorder="1" applyProtection="1"/>
    <xf numFmtId="0" fontId="0" fillId="0" borderId="26" xfId="59" applyFont="1" applyBorder="1"/>
    <xf numFmtId="0" fontId="50" fillId="0" borderId="26" xfId="59" applyFont="1" applyBorder="1" applyProtection="1"/>
    <xf numFmtId="0" fontId="0" fillId="31" borderId="0" xfId="59" applyFont="1" applyFill="1"/>
    <xf numFmtId="0" fontId="54" fillId="31" borderId="0" xfId="59" applyFont="1" applyFill="1" applyProtection="1"/>
    <xf numFmtId="0" fontId="44" fillId="31" borderId="0" xfId="59" applyFont="1" applyFill="1"/>
    <xf numFmtId="0" fontId="52" fillId="0" borderId="0" xfId="59" applyFont="1" applyFill="1" applyBorder="1" applyProtection="1"/>
    <xf numFmtId="0" fontId="0" fillId="30" borderId="0" xfId="59" applyFont="1" applyFill="1"/>
    <xf numFmtId="0" fontId="0" fillId="31" borderId="0" xfId="59" applyFont="1" applyFill="1" applyBorder="1"/>
    <xf numFmtId="0" fontId="54" fillId="31" borderId="0" xfId="59" applyFont="1" applyFill="1" applyBorder="1" applyProtection="1"/>
    <xf numFmtId="0" fontId="55" fillId="0" borderId="0" xfId="59" applyFont="1" applyFill="1" applyBorder="1" applyProtection="1"/>
    <xf numFmtId="0" fontId="50" fillId="0" borderId="0" xfId="59" applyFont="1" applyFill="1" applyBorder="1" applyProtection="1"/>
    <xf numFmtId="0" fontId="0" fillId="30" borderId="0" xfId="59" applyFont="1" applyFill="1" applyBorder="1"/>
    <xf numFmtId="14" fontId="53" fillId="30" borderId="0" xfId="59" applyNumberFormat="1" applyFont="1" applyFill="1" applyBorder="1" applyAlignment="1" applyProtection="1">
      <alignment horizontal="left"/>
    </xf>
    <xf numFmtId="0" fontId="54" fillId="30" borderId="0" xfId="59" applyFont="1" applyFill="1" applyBorder="1" applyProtection="1"/>
    <xf numFmtId="0" fontId="54" fillId="30" borderId="0" xfId="59" applyFont="1" applyFill="1" applyProtection="1"/>
    <xf numFmtId="0" fontId="44" fillId="30" borderId="0" xfId="59" applyFont="1" applyFill="1"/>
    <xf numFmtId="0" fontId="0" fillId="0" borderId="27" xfId="59" applyFont="1" applyBorder="1"/>
    <xf numFmtId="0" fontId="56" fillId="0" borderId="25" xfId="59" applyFont="1" applyFill="1" applyBorder="1" applyProtection="1"/>
    <xf numFmtId="0" fontId="50" fillId="0" borderId="25" xfId="59" applyFont="1" applyBorder="1" applyProtection="1"/>
    <xf numFmtId="15" fontId="56" fillId="0" borderId="25" xfId="59" applyNumberFormat="1" applyFont="1" applyFill="1" applyBorder="1" applyAlignment="1" applyProtection="1">
      <alignment horizontal="left"/>
    </xf>
    <xf numFmtId="0" fontId="56" fillId="0" borderId="28" xfId="59" applyFont="1" applyFill="1" applyBorder="1" applyProtection="1"/>
    <xf numFmtId="0" fontId="0" fillId="0" borderId="4" xfId="59" applyFont="1" applyBorder="1"/>
    <xf numFmtId="0" fontId="57" fillId="0" borderId="29" xfId="59" applyFont="1" applyBorder="1" applyAlignment="1" applyProtection="1">
      <alignment horizontal="center"/>
    </xf>
    <xf numFmtId="0" fontId="56" fillId="0" borderId="29" xfId="59" applyFont="1" applyBorder="1" applyAlignment="1" applyProtection="1">
      <alignment horizontal="center"/>
    </xf>
    <xf numFmtId="0" fontId="50" fillId="0" borderId="0" xfId="59" quotePrefix="1" applyFont="1" applyBorder="1" applyAlignment="1" applyProtection="1">
      <alignment horizontal="left"/>
    </xf>
    <xf numFmtId="0" fontId="56" fillId="0" borderId="0" xfId="59" applyFont="1" applyBorder="1" applyAlignment="1" applyProtection="1">
      <alignment horizontal="left"/>
    </xf>
    <xf numFmtId="0" fontId="50" fillId="0" borderId="0" xfId="59" applyFont="1" applyBorder="1" applyProtection="1"/>
    <xf numFmtId="3" fontId="50" fillId="0" borderId="29" xfId="59" applyNumberFormat="1" applyFont="1" applyBorder="1" applyProtection="1"/>
    <xf numFmtId="0" fontId="56" fillId="0" borderId="0" xfId="59" applyFont="1" applyBorder="1" applyProtection="1"/>
    <xf numFmtId="3" fontId="50" fillId="0" borderId="0" xfId="59" applyNumberFormat="1" applyFont="1" applyBorder="1" applyProtection="1"/>
    <xf numFmtId="0" fontId="50" fillId="0" borderId="0" xfId="59" applyFont="1" applyBorder="1" applyAlignment="1" applyProtection="1">
      <alignment horizontal="left"/>
    </xf>
    <xf numFmtId="0" fontId="50" fillId="0" borderId="0" xfId="59" applyFont="1" applyBorder="1" applyAlignment="1" applyProtection="1">
      <alignment horizontal="right"/>
    </xf>
    <xf numFmtId="15" fontId="58" fillId="0" borderId="29" xfId="59" applyNumberFormat="1" applyFont="1" applyBorder="1" applyAlignment="1" applyProtection="1">
      <alignment horizontal="left"/>
    </xf>
    <xf numFmtId="0" fontId="50" fillId="0" borderId="15" xfId="59" applyFont="1" applyFill="1" applyBorder="1" applyProtection="1"/>
    <xf numFmtId="0" fontId="50" fillId="0" borderId="14" xfId="59" applyFont="1" applyBorder="1" applyProtection="1"/>
    <xf numFmtId="1" fontId="56" fillId="0" borderId="30" xfId="59" applyNumberFormat="1" applyFont="1" applyBorder="1" applyAlignment="1" applyProtection="1">
      <alignment horizontal="center"/>
    </xf>
    <xf numFmtId="1" fontId="56" fillId="0" borderId="31" xfId="59" applyNumberFormat="1" applyFont="1" applyBorder="1" applyAlignment="1" applyProtection="1">
      <alignment horizontal="center"/>
    </xf>
    <xf numFmtId="1" fontId="56" fillId="0" borderId="29" xfId="59" applyNumberFormat="1" applyFont="1" applyFill="1" applyBorder="1" applyProtection="1"/>
    <xf numFmtId="0" fontId="56" fillId="0" borderId="29" xfId="59" applyFont="1" applyFill="1" applyBorder="1" applyAlignment="1" applyProtection="1">
      <alignment horizontal="centerContinuous"/>
    </xf>
    <xf numFmtId="0" fontId="59" fillId="0" borderId="32" xfId="59" applyFont="1" applyBorder="1" applyProtection="1"/>
    <xf numFmtId="164" fontId="50" fillId="0" borderId="33" xfId="59" applyNumberFormat="1" applyFont="1" applyFill="1" applyBorder="1" applyAlignment="1" applyProtection="1">
      <alignment horizontal="right"/>
    </xf>
    <xf numFmtId="164" fontId="50" fillId="0" borderId="25" xfId="59" applyNumberFormat="1" applyFont="1" applyFill="1" applyBorder="1" applyAlignment="1" applyProtection="1">
      <alignment horizontal="right"/>
    </xf>
    <xf numFmtId="164" fontId="50" fillId="0" borderId="34" xfId="59" applyNumberFormat="1" applyFont="1" applyFill="1" applyBorder="1" applyAlignment="1" applyProtection="1">
      <alignment horizontal="right"/>
    </xf>
    <xf numFmtId="0" fontId="50" fillId="0" borderId="29" xfId="59" applyFont="1" applyFill="1" applyBorder="1" applyAlignment="1" applyProtection="1">
      <alignment horizontal="right"/>
    </xf>
    <xf numFmtId="0" fontId="0" fillId="0" borderId="35" xfId="59" applyFont="1" applyBorder="1"/>
    <xf numFmtId="0" fontId="0" fillId="0" borderId="36" xfId="59" applyFont="1" applyFill="1" applyBorder="1"/>
    <xf numFmtId="0" fontId="56" fillId="0" borderId="29" xfId="59" applyFont="1" applyFill="1" applyBorder="1" applyAlignment="1" applyProtection="1">
      <alignment horizontal="right"/>
    </xf>
    <xf numFmtId="0" fontId="59" fillId="0" borderId="26" xfId="59" applyFont="1" applyBorder="1" applyProtection="1"/>
    <xf numFmtId="164" fontId="44" fillId="0" borderId="35" xfId="59" applyNumberFormat="1" applyFont="1" applyBorder="1"/>
    <xf numFmtId="164" fontId="44" fillId="0" borderId="35" xfId="59" applyNumberFormat="1" applyFont="1" applyFill="1" applyBorder="1"/>
    <xf numFmtId="164" fontId="44" fillId="0" borderId="36" xfId="59" applyNumberFormat="1" applyFont="1" applyBorder="1"/>
    <xf numFmtId="0" fontId="0" fillId="0" borderId="29" xfId="59" applyFont="1" applyBorder="1"/>
    <xf numFmtId="164" fontId="50" fillId="0" borderId="35" xfId="59" applyNumberFormat="1" applyFont="1" applyFill="1" applyBorder="1" applyAlignment="1" applyProtection="1">
      <alignment horizontal="right"/>
    </xf>
    <xf numFmtId="164" fontId="50" fillId="0" borderId="0" xfId="59" applyNumberFormat="1" applyFont="1" applyFill="1" applyBorder="1" applyAlignment="1" applyProtection="1">
      <alignment horizontal="right"/>
    </xf>
    <xf numFmtId="164" fontId="50" fillId="0" borderId="36" xfId="59" applyNumberFormat="1" applyFont="1" applyFill="1" applyBorder="1" applyAlignment="1" applyProtection="1">
      <alignment horizontal="right"/>
    </xf>
    <xf numFmtId="0" fontId="50" fillId="0" borderId="37" xfId="59" applyFont="1" applyBorder="1" applyProtection="1"/>
    <xf numFmtId="0" fontId="50" fillId="0" borderId="38" xfId="59" applyFont="1" applyFill="1" applyBorder="1" applyProtection="1"/>
    <xf numFmtId="164" fontId="50" fillId="0" borderId="39" xfId="59" applyNumberFormat="1" applyFont="1" applyFill="1" applyBorder="1" applyAlignment="1" applyProtection="1">
      <alignment horizontal="right"/>
    </xf>
    <xf numFmtId="164" fontId="50" fillId="0" borderId="38" xfId="59" applyNumberFormat="1" applyFont="1" applyFill="1" applyBorder="1" applyAlignment="1" applyProtection="1">
      <alignment horizontal="right"/>
    </xf>
    <xf numFmtId="164" fontId="50" fillId="0" borderId="40" xfId="59" applyNumberFormat="1" applyFont="1" applyFill="1" applyBorder="1" applyAlignment="1" applyProtection="1">
      <alignment horizontal="right"/>
    </xf>
    <xf numFmtId="0" fontId="50" fillId="0" borderId="32" xfId="59" applyFont="1" applyFill="1" applyBorder="1" applyProtection="1"/>
    <xf numFmtId="0" fontId="50" fillId="0" borderId="25" xfId="59" applyFont="1" applyFill="1" applyBorder="1" applyProtection="1"/>
    <xf numFmtId="0" fontId="50" fillId="0" borderId="26" xfId="59" applyFont="1" applyFill="1" applyBorder="1" applyProtection="1"/>
    <xf numFmtId="0" fontId="59" fillId="0" borderId="0" xfId="59" applyFont="1" applyFill="1" applyBorder="1" applyProtection="1"/>
    <xf numFmtId="0" fontId="59" fillId="0" borderId="29" xfId="59" applyFont="1" applyFill="1" applyBorder="1" applyAlignment="1" applyProtection="1">
      <alignment horizontal="right"/>
    </xf>
    <xf numFmtId="0" fontId="56" fillId="0" borderId="0" xfId="59" applyFont="1" applyFill="1" applyBorder="1" applyProtection="1"/>
    <xf numFmtId="0" fontId="59" fillId="0" borderId="0" xfId="59" applyFont="1" applyBorder="1" applyProtection="1"/>
    <xf numFmtId="0" fontId="56" fillId="0" borderId="29" xfId="59" applyFont="1" applyFill="1" applyBorder="1" applyAlignment="1" applyProtection="1">
      <alignment horizontal="center"/>
    </xf>
    <xf numFmtId="164" fontId="50" fillId="0" borderId="4" xfId="59" applyNumberFormat="1" applyFont="1" applyFill="1" applyBorder="1" applyAlignment="1" applyProtection="1">
      <alignment horizontal="right"/>
    </xf>
    <xf numFmtId="0" fontId="52" fillId="30" borderId="0" xfId="59" applyFont="1" applyFill="1" applyBorder="1" applyProtection="1"/>
    <xf numFmtId="0" fontId="50" fillId="0" borderId="41" xfId="59" applyFont="1" applyFill="1" applyBorder="1" applyProtection="1"/>
    <xf numFmtId="0" fontId="52" fillId="0" borderId="11" xfId="59" applyFont="1" applyFill="1" applyBorder="1" applyProtection="1"/>
    <xf numFmtId="164" fontId="50" fillId="0" borderId="42" xfId="59" applyNumberFormat="1" applyFont="1" applyFill="1" applyBorder="1" applyAlignment="1" applyProtection="1">
      <alignment horizontal="right"/>
    </xf>
    <xf numFmtId="164" fontId="50" fillId="0" borderId="43" xfId="59" applyNumberFormat="1" applyFont="1" applyFill="1" applyBorder="1" applyAlignment="1" applyProtection="1">
      <alignment horizontal="right"/>
    </xf>
    <xf numFmtId="0" fontId="0" fillId="0" borderId="38" xfId="59" applyFont="1" applyBorder="1"/>
    <xf numFmtId="0" fontId="0" fillId="0" borderId="44" xfId="59" applyFont="1" applyBorder="1"/>
    <xf numFmtId="0" fontId="50" fillId="0" borderId="38" xfId="59" applyFont="1" applyBorder="1" applyProtection="1"/>
    <xf numFmtId="0" fontId="44" fillId="0" borderId="38" xfId="59" applyFont="1" applyBorder="1"/>
    <xf numFmtId="0" fontId="44" fillId="0" borderId="38" xfId="59" applyFont="1" applyFill="1" applyBorder="1"/>
    <xf numFmtId="0" fontId="56" fillId="0" borderId="38" xfId="59" applyFont="1" applyBorder="1" applyAlignment="1" applyProtection="1">
      <alignment horizontal="right"/>
    </xf>
    <xf numFmtId="0" fontId="44" fillId="0" borderId="45" xfId="59" applyFont="1" applyBorder="1"/>
    <xf numFmtId="166" fontId="52" fillId="30" borderId="0" xfId="59" applyNumberFormat="1" applyFont="1" applyFill="1" applyBorder="1" applyProtection="1"/>
    <xf numFmtId="0" fontId="60" fillId="30" borderId="0" xfId="59" quotePrefix="1" applyFont="1" applyFill="1" applyBorder="1" applyProtection="1"/>
    <xf numFmtId="0" fontId="56" fillId="30" borderId="0" xfId="59" applyFont="1" applyFill="1" applyProtection="1"/>
    <xf numFmtId="0" fontId="56" fillId="0" borderId="0" xfId="59" quotePrefix="1" applyFont="1" applyFill="1" applyBorder="1" applyAlignment="1" applyProtection="1">
      <alignment horizontal="left"/>
    </xf>
    <xf numFmtId="0" fontId="55" fillId="0" borderId="0" xfId="59" quotePrefix="1" applyFont="1" applyFill="1" applyBorder="1" applyAlignment="1" applyProtection="1">
      <alignment horizontal="left"/>
    </xf>
    <xf numFmtId="0" fontId="56" fillId="0" borderId="0" xfId="59" applyFont="1" applyBorder="1" applyAlignment="1" applyProtection="1">
      <alignment horizontal="center"/>
    </xf>
    <xf numFmtId="0" fontId="50" fillId="0" borderId="29" xfId="59" applyNumberFormat="1" applyFont="1" applyBorder="1" applyAlignment="1" applyProtection="1">
      <alignment horizontal="centerContinuous"/>
    </xf>
    <xf numFmtId="0" fontId="50" fillId="30" borderId="4" xfId="59" applyNumberFormat="1" applyFont="1" applyFill="1" applyBorder="1" applyAlignment="1" applyProtection="1">
      <alignment horizontal="centerContinuous"/>
    </xf>
    <xf numFmtId="0" fontId="50" fillId="30" borderId="0" xfId="59" applyNumberFormat="1" applyFont="1" applyFill="1" applyAlignment="1" applyProtection="1">
      <alignment horizontal="centerContinuous"/>
    </xf>
    <xf numFmtId="0" fontId="50" fillId="0" borderId="0" xfId="59" quotePrefix="1" applyFont="1" applyFill="1" applyBorder="1" applyAlignment="1" applyProtection="1">
      <alignment horizontal="left"/>
    </xf>
    <xf numFmtId="0" fontId="50" fillId="0" borderId="29" xfId="59" applyNumberFormat="1" applyFont="1" applyBorder="1" applyProtection="1"/>
    <xf numFmtId="0" fontId="50" fillId="30" borderId="0" xfId="59" applyNumberFormat="1" applyFont="1" applyFill="1" applyProtection="1"/>
    <xf numFmtId="3" fontId="50" fillId="30" borderId="0" xfId="59" applyNumberFormat="1" applyFont="1" applyFill="1" applyProtection="1"/>
    <xf numFmtId="0" fontId="50" fillId="0" borderId="0" xfId="59" applyFont="1" applyFill="1" applyBorder="1" applyAlignment="1" applyProtection="1">
      <alignment horizontal="left"/>
    </xf>
    <xf numFmtId="3" fontId="62" fillId="30" borderId="0" xfId="59" applyNumberFormat="1" applyFont="1" applyFill="1" applyProtection="1"/>
    <xf numFmtId="0" fontId="50" fillId="0" borderId="0" xfId="59" applyFont="1" applyFill="1" applyBorder="1" applyAlignment="1" applyProtection="1">
      <alignment horizontal="right"/>
    </xf>
    <xf numFmtId="0" fontId="54" fillId="0" borderId="0" xfId="59" applyFont="1" applyFill="1" applyBorder="1" applyAlignment="1" applyProtection="1">
      <alignment horizontal="center"/>
    </xf>
    <xf numFmtId="0" fontId="58" fillId="0" borderId="29" xfId="59" applyFont="1" applyBorder="1" applyProtection="1"/>
    <xf numFmtId="0" fontId="58" fillId="30" borderId="0" xfId="59" applyFont="1" applyFill="1" applyProtection="1"/>
    <xf numFmtId="0" fontId="50" fillId="0" borderId="0" xfId="59" applyFont="1" applyFill="1" applyBorder="1" applyAlignment="1" applyProtection="1">
      <alignment horizontal="center"/>
    </xf>
    <xf numFmtId="164" fontId="50" fillId="0" borderId="0" xfId="59" applyNumberFormat="1" applyFont="1" applyFill="1" applyBorder="1" applyProtection="1"/>
    <xf numFmtId="0" fontId="56" fillId="0" borderId="46" xfId="59" applyFont="1" applyBorder="1" applyAlignment="1" applyProtection="1">
      <alignment horizontal="center"/>
    </xf>
    <xf numFmtId="1" fontId="56" fillId="30" borderId="0" xfId="59" applyNumberFormat="1" applyFont="1" applyFill="1" applyBorder="1" applyProtection="1"/>
    <xf numFmtId="0" fontId="44" fillId="0" borderId="0" xfId="59" applyFont="1" applyFill="1" applyBorder="1" applyProtection="1"/>
    <xf numFmtId="164" fontId="44" fillId="0" borderId="0" xfId="59" applyNumberFormat="1" applyFont="1" applyFill="1" applyBorder="1" applyProtection="1"/>
    <xf numFmtId="0" fontId="56" fillId="0" borderId="35" xfId="59" applyFont="1" applyBorder="1" applyAlignment="1" applyProtection="1">
      <alignment horizontal="center"/>
    </xf>
    <xf numFmtId="0" fontId="56" fillId="30" borderId="0" xfId="59" applyFont="1" applyFill="1" applyBorder="1" applyAlignment="1" applyProtection="1">
      <alignment horizontal="centerContinuous"/>
    </xf>
    <xf numFmtId="0" fontId="50" fillId="0" borderId="32" xfId="59" applyFont="1" applyBorder="1" applyProtection="1"/>
    <xf numFmtId="0" fontId="58" fillId="0" borderId="33" xfId="59" applyFont="1" applyBorder="1" applyAlignment="1" applyProtection="1">
      <alignment horizontal="center"/>
    </xf>
    <xf numFmtId="0" fontId="50" fillId="30" borderId="0" xfId="59" applyFont="1" applyFill="1" applyBorder="1" applyAlignment="1" applyProtection="1">
      <alignment horizontal="right"/>
    </xf>
    <xf numFmtId="0" fontId="59" fillId="0" borderId="0" xfId="59" applyFont="1" applyFill="1" applyBorder="1" applyAlignment="1" applyProtection="1">
      <alignment horizontal="center"/>
    </xf>
    <xf numFmtId="0" fontId="58" fillId="0" borderId="35" xfId="59" applyFont="1" applyBorder="1" applyAlignment="1" applyProtection="1">
      <alignment horizontal="center"/>
    </xf>
    <xf numFmtId="0" fontId="58" fillId="0" borderId="0" xfId="59" applyFont="1" applyBorder="1" applyProtection="1"/>
    <xf numFmtId="0" fontId="56" fillId="0" borderId="37" xfId="59" applyFont="1" applyBorder="1" applyAlignment="1" applyProtection="1"/>
    <xf numFmtId="0" fontId="58" fillId="0" borderId="39" xfId="59" applyFont="1" applyBorder="1" applyAlignment="1" applyProtection="1">
      <alignment horizontal="center"/>
    </xf>
    <xf numFmtId="164" fontId="56" fillId="0" borderId="39" xfId="59" applyNumberFormat="1" applyFont="1" applyFill="1" applyBorder="1" applyAlignment="1" applyProtection="1">
      <alignment horizontal="right"/>
    </xf>
    <xf numFmtId="0" fontId="56" fillId="30" borderId="0" xfId="59" applyFont="1" applyFill="1" applyBorder="1" applyAlignment="1" applyProtection="1">
      <alignment horizontal="right"/>
    </xf>
    <xf numFmtId="0" fontId="50" fillId="0" borderId="26" xfId="59" applyFont="1" applyBorder="1" applyAlignment="1" applyProtection="1"/>
    <xf numFmtId="0" fontId="56" fillId="0" borderId="37" xfId="59" applyFont="1" applyFill="1" applyBorder="1" applyProtection="1"/>
    <xf numFmtId="0" fontId="58" fillId="0" borderId="39" xfId="59" applyFont="1" applyFill="1" applyBorder="1" applyAlignment="1" applyProtection="1">
      <alignment horizontal="center"/>
    </xf>
    <xf numFmtId="0" fontId="58" fillId="0" borderId="33" xfId="59" applyFont="1" applyFill="1" applyBorder="1" applyAlignment="1" applyProtection="1">
      <alignment horizontal="center"/>
    </xf>
    <xf numFmtId="0" fontId="59" fillId="0" borderId="26" xfId="59" applyFont="1" applyFill="1" applyBorder="1" applyProtection="1"/>
    <xf numFmtId="0" fontId="68" fillId="0" borderId="35" xfId="59" applyFont="1" applyFill="1" applyBorder="1" applyAlignment="1" applyProtection="1">
      <alignment horizontal="center"/>
    </xf>
    <xf numFmtId="0" fontId="56" fillId="0" borderId="26" xfId="59" quotePrefix="1" applyFont="1" applyFill="1" applyBorder="1" applyAlignment="1" applyProtection="1">
      <alignment horizontal="left"/>
    </xf>
    <xf numFmtId="0" fontId="64" fillId="0" borderId="35" xfId="59" applyFont="1" applyFill="1" applyBorder="1" applyAlignment="1" applyProtection="1">
      <alignment horizontal="center"/>
    </xf>
    <xf numFmtId="0" fontId="50" fillId="0" borderId="32" xfId="59" quotePrefix="1" applyFont="1" applyBorder="1" applyAlignment="1" applyProtection="1">
      <alignment horizontal="left"/>
    </xf>
    <xf numFmtId="0" fontId="44" fillId="0" borderId="0" xfId="59" applyFont="1" applyFill="1" applyBorder="1"/>
    <xf numFmtId="0" fontId="59" fillId="0" borderId="26" xfId="59" quotePrefix="1" applyFont="1" applyBorder="1" applyAlignment="1" applyProtection="1">
      <alignment horizontal="left"/>
    </xf>
    <xf numFmtId="0" fontId="68" fillId="0" borderId="35" xfId="59" applyFont="1" applyBorder="1" applyAlignment="1" applyProtection="1">
      <alignment horizontal="center"/>
    </xf>
    <xf numFmtId="0" fontId="59" fillId="0" borderId="37" xfId="59" quotePrefix="1" applyFont="1" applyBorder="1" applyAlignment="1" applyProtection="1">
      <alignment horizontal="left"/>
    </xf>
    <xf numFmtId="0" fontId="59" fillId="0" borderId="38" xfId="59" applyFont="1" applyBorder="1" applyProtection="1"/>
    <xf numFmtId="0" fontId="68" fillId="0" borderId="39" xfId="59" applyFont="1" applyBorder="1" applyAlignment="1" applyProtection="1">
      <alignment horizontal="center"/>
    </xf>
    <xf numFmtId="0" fontId="56" fillId="0" borderId="47" xfId="59" applyFont="1" applyBorder="1" applyAlignment="1" applyProtection="1">
      <alignment horizontal="left"/>
    </xf>
    <xf numFmtId="0" fontId="56" fillId="0" borderId="48" xfId="59" applyFont="1" applyBorder="1" applyProtection="1"/>
    <xf numFmtId="0" fontId="64" fillId="0" borderId="49" xfId="59" applyFont="1" applyBorder="1" applyAlignment="1" applyProtection="1">
      <alignment horizontal="center"/>
    </xf>
    <xf numFmtId="0" fontId="0" fillId="0" borderId="0" xfId="59" applyFont="1" applyFill="1" applyBorder="1" applyAlignment="1">
      <alignment horizontal="center"/>
    </xf>
    <xf numFmtId="164" fontId="44" fillId="0" borderId="0" xfId="59" applyNumberFormat="1" applyFont="1" applyFill="1" applyBorder="1" applyAlignment="1" applyProtection="1">
      <alignment horizontal="right"/>
    </xf>
    <xf numFmtId="0" fontId="56" fillId="30" borderId="0" xfId="59" applyFont="1" applyFill="1" applyBorder="1" applyAlignment="1" applyProtection="1">
      <alignment horizontal="center"/>
    </xf>
    <xf numFmtId="0" fontId="50" fillId="0" borderId="26" xfId="59" quotePrefix="1" applyFont="1" applyBorder="1" applyAlignment="1" applyProtection="1">
      <alignment horizontal="left"/>
    </xf>
    <xf numFmtId="0" fontId="50" fillId="0" borderId="26" xfId="59" quotePrefix="1" applyFont="1" applyFill="1" applyBorder="1" applyAlignment="1" applyProtection="1">
      <alignment horizontal="left"/>
    </xf>
    <xf numFmtId="0" fontId="58" fillId="0" borderId="35" xfId="59" applyFont="1" applyFill="1" applyBorder="1" applyAlignment="1" applyProtection="1">
      <alignment horizontal="center"/>
    </xf>
    <xf numFmtId="0" fontId="50" fillId="0" borderId="41" xfId="59" quotePrefix="1" applyFont="1" applyFill="1" applyBorder="1" applyAlignment="1" applyProtection="1">
      <alignment horizontal="left"/>
    </xf>
    <xf numFmtId="0" fontId="50" fillId="0" borderId="11" xfId="59" applyFont="1" applyFill="1" applyBorder="1" applyProtection="1"/>
    <xf numFmtId="0" fontId="58" fillId="0" borderId="50" xfId="59" applyFont="1" applyFill="1" applyBorder="1" applyAlignment="1" applyProtection="1">
      <alignment horizontal="center"/>
    </xf>
    <xf numFmtId="0" fontId="44" fillId="30" borderId="25" xfId="59" applyFont="1" applyFill="1" applyBorder="1"/>
    <xf numFmtId="0" fontId="0" fillId="30" borderId="25" xfId="59" applyFont="1" applyFill="1" applyBorder="1"/>
    <xf numFmtId="0" fontId="44" fillId="30" borderId="0" xfId="59" applyFont="1" applyFill="1" applyBorder="1" applyAlignment="1">
      <alignment horizontal="center"/>
    </xf>
    <xf numFmtId="0" fontId="0" fillId="0" borderId="27" xfId="59" applyFont="1" applyFill="1" applyBorder="1"/>
    <xf numFmtId="0" fontId="0" fillId="0" borderId="28" xfId="59" applyFont="1" applyBorder="1"/>
    <xf numFmtId="0" fontId="0" fillId="0" borderId="4" xfId="59" applyFont="1" applyFill="1" applyBorder="1"/>
    <xf numFmtId="0" fontId="50" fillId="0" borderId="15" xfId="59" applyFont="1" applyBorder="1" applyProtection="1"/>
    <xf numFmtId="1" fontId="56" fillId="0" borderId="29" xfId="59" applyNumberFormat="1" applyFont="1" applyBorder="1" applyAlignment="1" applyProtection="1">
      <alignment horizontal="center"/>
    </xf>
    <xf numFmtId="1" fontId="56" fillId="0" borderId="49" xfId="59" applyNumberFormat="1" applyFont="1" applyBorder="1" applyAlignment="1" applyProtection="1">
      <alignment horizontal="center"/>
    </xf>
    <xf numFmtId="1" fontId="56" fillId="0" borderId="51" xfId="59" applyNumberFormat="1" applyFont="1" applyBorder="1" applyAlignment="1" applyProtection="1">
      <alignment horizontal="center"/>
    </xf>
    <xf numFmtId="164" fontId="50" fillId="0" borderId="33" xfId="59" applyNumberFormat="1" applyFont="1" applyBorder="1" applyProtection="1"/>
    <xf numFmtId="0" fontId="50" fillId="0" borderId="29" xfId="59" applyFont="1" applyBorder="1" applyProtection="1"/>
    <xf numFmtId="164" fontId="50" fillId="0" borderId="35" xfId="59" applyNumberFormat="1" applyFont="1" applyBorder="1" applyProtection="1"/>
    <xf numFmtId="0" fontId="44" fillId="0" borderId="26" xfId="59" applyFont="1" applyBorder="1" applyProtection="1"/>
    <xf numFmtId="0" fontId="44" fillId="0" borderId="0" xfId="59" applyFont="1" applyBorder="1" applyProtection="1"/>
    <xf numFmtId="0" fontId="50" fillId="0" borderId="29" xfId="59" applyFont="1" applyFill="1" applyBorder="1" applyProtection="1"/>
    <xf numFmtId="0" fontId="48" fillId="0" borderId="37" xfId="59" applyFont="1" applyBorder="1" applyAlignment="1" applyProtection="1">
      <alignment horizontal="left"/>
    </xf>
    <xf numFmtId="0" fontId="48" fillId="0" borderId="38" xfId="59" applyFont="1" applyBorder="1" applyAlignment="1" applyProtection="1">
      <alignment horizontal="left"/>
    </xf>
    <xf numFmtId="164" fontId="56" fillId="0" borderId="39" xfId="59" applyNumberFormat="1" applyFont="1" applyBorder="1" applyProtection="1"/>
    <xf numFmtId="0" fontId="56" fillId="0" borderId="29" xfId="59" applyFont="1" applyBorder="1" applyProtection="1"/>
    <xf numFmtId="0" fontId="44" fillId="0" borderId="26" xfId="59" applyFont="1" applyBorder="1" applyAlignment="1" applyProtection="1">
      <alignment horizontal="left"/>
    </xf>
    <xf numFmtId="0" fontId="44" fillId="0" borderId="0" xfId="59" applyFont="1" applyBorder="1" applyAlignment="1" applyProtection="1">
      <alignment horizontal="left"/>
    </xf>
    <xf numFmtId="0" fontId="56" fillId="0" borderId="37" xfId="59" applyFont="1" applyBorder="1" applyProtection="1"/>
    <xf numFmtId="0" fontId="56" fillId="0" borderId="38" xfId="59" applyFont="1" applyBorder="1" applyProtection="1"/>
    <xf numFmtId="0" fontId="48" fillId="0" borderId="29" xfId="59" applyFont="1" applyBorder="1" applyProtection="1"/>
    <xf numFmtId="0" fontId="56" fillId="0" borderId="37" xfId="59" applyFont="1" applyBorder="1" applyAlignment="1" applyProtection="1">
      <alignment horizontal="left"/>
    </xf>
    <xf numFmtId="0" fontId="56" fillId="0" borderId="38" xfId="59" quotePrefix="1" applyFont="1" applyBorder="1" applyAlignment="1" applyProtection="1">
      <alignment horizontal="left"/>
    </xf>
    <xf numFmtId="0" fontId="50" fillId="0" borderId="14" xfId="59" applyFont="1" applyFill="1" applyBorder="1" applyProtection="1"/>
    <xf numFmtId="0" fontId="50" fillId="0" borderId="15" xfId="59" quotePrefix="1" applyFont="1" applyBorder="1" applyAlignment="1" applyProtection="1">
      <alignment horizontal="left"/>
    </xf>
    <xf numFmtId="0" fontId="50" fillId="0" borderId="31" xfId="59" quotePrefix="1" applyFont="1" applyBorder="1" applyAlignment="1" applyProtection="1">
      <alignment horizontal="left"/>
    </xf>
    <xf numFmtId="0" fontId="50" fillId="0" borderId="41" xfId="59" applyFont="1" applyBorder="1" applyAlignment="1" applyProtection="1">
      <alignment horizontal="left"/>
    </xf>
    <xf numFmtId="0" fontId="50" fillId="0" borderId="11" xfId="59" quotePrefix="1" applyFont="1" applyBorder="1" applyAlignment="1" applyProtection="1">
      <alignment horizontal="left"/>
    </xf>
    <xf numFmtId="0" fontId="0" fillId="0" borderId="44" xfId="59" applyFont="1" applyFill="1" applyBorder="1"/>
    <xf numFmtId="0" fontId="56" fillId="0" borderId="45" xfId="59" applyFont="1" applyBorder="1" applyAlignment="1" applyProtection="1">
      <alignment horizontal="right"/>
    </xf>
    <xf numFmtId="0" fontId="44" fillId="0" borderId="0" xfId="59" applyFont="1"/>
    <xf numFmtId="0" fontId="44" fillId="0" borderId="25" xfId="59" applyFont="1" applyBorder="1"/>
    <xf numFmtId="0" fontId="44" fillId="0" borderId="28" xfId="59" applyFont="1" applyBorder="1"/>
    <xf numFmtId="0" fontId="44" fillId="0" borderId="0" xfId="59" applyFont="1" applyBorder="1"/>
    <xf numFmtId="0" fontId="44" fillId="0" borderId="29" xfId="59" applyFont="1" applyBorder="1"/>
    <xf numFmtId="0" fontId="56" fillId="0" borderId="0" xfId="59" quotePrefix="1" applyFont="1" applyBorder="1" applyAlignment="1" applyProtection="1">
      <alignment horizontal="left"/>
    </xf>
    <xf numFmtId="3" fontId="50" fillId="0" borderId="15" xfId="59" applyNumberFormat="1" applyFont="1" applyFill="1" applyBorder="1" applyProtection="1"/>
    <xf numFmtId="3" fontId="50" fillId="0" borderId="31" xfId="59" applyNumberFormat="1" applyFont="1" applyFill="1" applyBorder="1" applyProtection="1"/>
    <xf numFmtId="3" fontId="56" fillId="0" borderId="46" xfId="59" applyNumberFormat="1" applyFont="1" applyFill="1" applyBorder="1" applyAlignment="1" applyProtection="1">
      <alignment horizontal="center"/>
    </xf>
    <xf numFmtId="1" fontId="56" fillId="0" borderId="52" xfId="59" applyNumberFormat="1" applyFont="1" applyFill="1" applyBorder="1" applyAlignment="1" applyProtection="1">
      <alignment horizontal="center"/>
    </xf>
    <xf numFmtId="1" fontId="56" fillId="0" borderId="29" xfId="59" applyNumberFormat="1" applyFont="1" applyFill="1" applyBorder="1" applyAlignment="1" applyProtection="1">
      <alignment horizontal="center"/>
    </xf>
    <xf numFmtId="1" fontId="56" fillId="30" borderId="0" xfId="59" applyNumberFormat="1" applyFont="1" applyFill="1" applyBorder="1" applyAlignment="1" applyProtection="1">
      <alignment horizontal="center"/>
    </xf>
    <xf numFmtId="3" fontId="50" fillId="0" borderId="26" xfId="59" applyNumberFormat="1" applyFont="1" applyFill="1" applyBorder="1" applyProtection="1"/>
    <xf numFmtId="3" fontId="50" fillId="0" borderId="29" xfId="59" applyNumberFormat="1" applyFont="1" applyFill="1" applyBorder="1" applyProtection="1"/>
    <xf numFmtId="3" fontId="56" fillId="0" borderId="35" xfId="59" applyNumberFormat="1" applyFont="1" applyFill="1" applyBorder="1" applyAlignment="1" applyProtection="1">
      <alignment horizontal="center"/>
    </xf>
    <xf numFmtId="3" fontId="69" fillId="0" borderId="32" xfId="59" applyNumberFormat="1" applyFont="1" applyFill="1" applyBorder="1" applyProtection="1"/>
    <xf numFmtId="3" fontId="69" fillId="0" borderId="28" xfId="59" applyNumberFormat="1" applyFont="1" applyFill="1" applyBorder="1" applyProtection="1"/>
    <xf numFmtId="3" fontId="69" fillId="0" borderId="33" xfId="59" applyNumberFormat="1" applyFont="1" applyFill="1" applyBorder="1" applyAlignment="1" applyProtection="1">
      <alignment horizontal="center"/>
    </xf>
    <xf numFmtId="171" fontId="50" fillId="0" borderId="28" xfId="59" applyNumberFormat="1" applyFont="1" applyFill="1" applyBorder="1" applyProtection="1"/>
    <xf numFmtId="3" fontId="50" fillId="0" borderId="25" xfId="59" applyNumberFormat="1" applyFont="1" applyFill="1" applyBorder="1" applyProtection="1"/>
    <xf numFmtId="3" fontId="50" fillId="0" borderId="33" xfId="59" applyNumberFormat="1" applyFont="1" applyFill="1" applyBorder="1" applyProtection="1"/>
    <xf numFmtId="0" fontId="50" fillId="0" borderId="28" xfId="59" applyFont="1" applyFill="1" applyBorder="1" applyProtection="1"/>
    <xf numFmtId="0" fontId="50" fillId="0" borderId="53" xfId="59" applyFont="1" applyFill="1" applyBorder="1" applyProtection="1"/>
    <xf numFmtId="0" fontId="50" fillId="30" borderId="0" xfId="59" applyFont="1" applyFill="1" applyBorder="1" applyProtection="1"/>
    <xf numFmtId="3" fontId="50" fillId="0" borderId="35" xfId="59" applyNumberFormat="1" applyFont="1" applyFill="1" applyBorder="1" applyAlignment="1" applyProtection="1">
      <alignment horizontal="center"/>
    </xf>
    <xf numFmtId="164" fontId="50" fillId="0" borderId="29" xfId="59" applyNumberFormat="1" applyFont="1" applyFill="1" applyBorder="1" applyAlignment="1" applyProtection="1">
      <alignment horizontal="right"/>
    </xf>
    <xf numFmtId="164" fontId="50" fillId="0" borderId="54" xfId="59" applyNumberFormat="1" applyFont="1" applyFill="1" applyBorder="1" applyAlignment="1" applyProtection="1">
      <alignment horizontal="right"/>
    </xf>
    <xf numFmtId="3" fontId="59" fillId="0" borderId="26" xfId="59" applyNumberFormat="1" applyFont="1" applyFill="1" applyBorder="1" applyProtection="1"/>
    <xf numFmtId="164" fontId="50" fillId="0" borderId="35" xfId="59" applyNumberFormat="1" applyFont="1" applyFill="1" applyBorder="1" applyProtection="1"/>
    <xf numFmtId="3" fontId="69" fillId="0" borderId="26" xfId="59" applyNumberFormat="1" applyFont="1" applyFill="1" applyBorder="1" applyProtection="1"/>
    <xf numFmtId="3" fontId="69" fillId="0" borderId="29" xfId="59" applyNumberFormat="1" applyFont="1" applyFill="1" applyBorder="1" applyProtection="1"/>
    <xf numFmtId="164" fontId="50" fillId="0" borderId="29" xfId="59" applyNumberFormat="1" applyFont="1" applyFill="1" applyBorder="1" applyProtection="1"/>
    <xf numFmtId="164" fontId="50" fillId="0" borderId="54" xfId="59" applyNumberFormat="1" applyFont="1" applyFill="1" applyBorder="1" applyProtection="1"/>
    <xf numFmtId="3" fontId="59" fillId="0" borderId="35" xfId="59" applyNumberFormat="1" applyFont="1" applyFill="1" applyBorder="1" applyAlignment="1" applyProtection="1">
      <alignment horizontal="center"/>
    </xf>
    <xf numFmtId="3" fontId="50" fillId="0" borderId="32" xfId="59" applyNumberFormat="1" applyFont="1" applyFill="1" applyBorder="1" applyProtection="1"/>
    <xf numFmtId="3" fontId="50" fillId="0" borderId="28" xfId="59" applyNumberFormat="1" applyFont="1" applyFill="1" applyBorder="1" applyProtection="1"/>
    <xf numFmtId="3" fontId="50" fillId="0" borderId="33" xfId="59" applyNumberFormat="1" applyFont="1" applyFill="1" applyBorder="1" applyAlignment="1" applyProtection="1">
      <alignment horizontal="center"/>
    </xf>
    <xf numFmtId="0" fontId="50" fillId="0" borderId="35" xfId="59" applyFont="1" applyFill="1" applyBorder="1" applyAlignment="1" applyProtection="1">
      <alignment horizontal="center"/>
    </xf>
    <xf numFmtId="0" fontId="0" fillId="0" borderId="38" xfId="59" applyFont="1" applyFill="1" applyBorder="1"/>
    <xf numFmtId="0" fontId="56" fillId="30" borderId="0" xfId="59" applyFont="1" applyFill="1" applyAlignment="1" applyProtection="1">
      <alignment horizontal="right"/>
    </xf>
    <xf numFmtId="0" fontId="44" fillId="0" borderId="27" xfId="59" applyFont="1" applyFill="1" applyBorder="1"/>
    <xf numFmtId="0" fontId="50" fillId="30" borderId="0" xfId="59" applyFont="1" applyFill="1" applyProtection="1"/>
    <xf numFmtId="0" fontId="44" fillId="0" borderId="4" xfId="59" applyFont="1" applyFill="1" applyBorder="1"/>
    <xf numFmtId="0" fontId="50" fillId="0" borderId="29" xfId="59" applyFont="1" applyBorder="1" applyAlignment="1" applyProtection="1">
      <alignment horizontal="centerContinuous"/>
    </xf>
    <xf numFmtId="0" fontId="50" fillId="30" borderId="0" xfId="59" applyFont="1" applyFill="1" applyAlignment="1" applyProtection="1">
      <alignment horizontal="centerContinuous"/>
    </xf>
    <xf numFmtId="0" fontId="50" fillId="0" borderId="46" xfId="59" applyFont="1" applyBorder="1" applyProtection="1"/>
    <xf numFmtId="0" fontId="0" fillId="0" borderId="14" xfId="59" applyFont="1" applyBorder="1"/>
    <xf numFmtId="0" fontId="56" fillId="0" borderId="14" xfId="59" applyFont="1" applyBorder="1" applyAlignment="1" applyProtection="1">
      <alignment horizontal="left"/>
    </xf>
    <xf numFmtId="0" fontId="56" fillId="0" borderId="14" xfId="59" applyFont="1" applyBorder="1" applyAlignment="1" applyProtection="1">
      <alignment horizontal="centerContinuous"/>
    </xf>
    <xf numFmtId="0" fontId="56" fillId="0" borderId="16" xfId="59" applyFont="1" applyBorder="1" applyAlignment="1" applyProtection="1">
      <alignment horizontal="centerContinuous"/>
    </xf>
    <xf numFmtId="0" fontId="56" fillId="0" borderId="29" xfId="59" applyFont="1" applyBorder="1" applyAlignment="1" applyProtection="1">
      <alignment horizontal="centerContinuous"/>
    </xf>
    <xf numFmtId="1" fontId="56" fillId="0" borderId="4" xfId="59" applyNumberFormat="1" applyFont="1" applyFill="1" applyBorder="1" applyAlignment="1" applyProtection="1">
      <alignment horizontal="center"/>
    </xf>
    <xf numFmtId="0" fontId="56" fillId="0" borderId="39" xfId="59" applyFont="1" applyBorder="1" applyAlignment="1" applyProtection="1">
      <alignment horizontal="center"/>
    </xf>
    <xf numFmtId="0" fontId="64" fillId="0" borderId="49" xfId="59" applyFont="1" applyBorder="1" applyAlignment="1" applyProtection="1">
      <alignment horizontal="left"/>
    </xf>
    <xf numFmtId="0" fontId="64" fillId="0" borderId="39" xfId="59" applyFont="1" applyBorder="1" applyAlignment="1" applyProtection="1">
      <alignment horizontal="center"/>
    </xf>
    <xf numFmtId="0" fontId="64" fillId="0" borderId="51" xfId="59" applyFont="1" applyBorder="1" applyAlignment="1" applyProtection="1">
      <alignment horizontal="center"/>
    </xf>
    <xf numFmtId="0" fontId="64" fillId="0" borderId="29" xfId="59" applyFont="1" applyBorder="1" applyAlignment="1" applyProtection="1">
      <alignment horizontal="center"/>
    </xf>
    <xf numFmtId="0" fontId="56" fillId="0" borderId="4" xfId="59" applyFont="1" applyFill="1" applyBorder="1" applyAlignment="1" applyProtection="1">
      <alignment horizontal="centerContinuous"/>
    </xf>
    <xf numFmtId="0" fontId="50" fillId="0" borderId="4" xfId="59" applyFont="1" applyFill="1" applyBorder="1" applyProtection="1"/>
    <xf numFmtId="0" fontId="50" fillId="0" borderId="4" xfId="59" applyFont="1" applyFill="1" applyBorder="1" applyAlignment="1" applyProtection="1">
      <alignment horizontal="right"/>
    </xf>
    <xf numFmtId="0" fontId="50" fillId="0" borderId="38" xfId="59" quotePrefix="1" applyFont="1" applyBorder="1" applyAlignment="1" applyProtection="1">
      <alignment horizontal="left"/>
    </xf>
    <xf numFmtId="164" fontId="50" fillId="0" borderId="33" xfId="59" quotePrefix="1" applyNumberFormat="1" applyFont="1" applyFill="1" applyBorder="1" applyAlignment="1" applyProtection="1">
      <alignment horizontal="center"/>
    </xf>
    <xf numFmtId="164" fontId="50" fillId="0" borderId="25" xfId="59" quotePrefix="1" applyNumberFormat="1" applyFont="1" applyFill="1" applyBorder="1" applyAlignment="1" applyProtection="1">
      <alignment horizontal="right"/>
    </xf>
    <xf numFmtId="164" fontId="50" fillId="0" borderId="34" xfId="59" applyNumberFormat="1" applyFont="1" applyFill="1" applyBorder="1" applyAlignment="1" applyProtection="1">
      <alignment horizontal="center"/>
    </xf>
    <xf numFmtId="0" fontId="50" fillId="0" borderId="29" xfId="59" applyFont="1" applyFill="1" applyBorder="1" applyAlignment="1" applyProtection="1">
      <alignment horizontal="center"/>
    </xf>
    <xf numFmtId="164" fontId="56" fillId="0" borderId="45" xfId="59" applyNumberFormat="1" applyFont="1" applyFill="1" applyBorder="1" applyAlignment="1" applyProtection="1">
      <alignment horizontal="right"/>
    </xf>
    <xf numFmtId="164" fontId="56" fillId="0" borderId="40" xfId="59" applyNumberFormat="1" applyFont="1" applyFill="1" applyBorder="1" applyAlignment="1" applyProtection="1">
      <alignment horizontal="right"/>
    </xf>
    <xf numFmtId="0" fontId="64" fillId="0" borderId="39" xfId="59" applyFont="1" applyFill="1" applyBorder="1" applyAlignment="1" applyProtection="1">
      <alignment horizontal="center"/>
    </xf>
    <xf numFmtId="0" fontId="50" fillId="0" borderId="32" xfId="59" quotePrefix="1" applyFont="1" applyFill="1" applyBorder="1" applyAlignment="1" applyProtection="1">
      <alignment horizontal="left"/>
    </xf>
    <xf numFmtId="0" fontId="50" fillId="0" borderId="25" xfId="59" quotePrefix="1" applyFont="1" applyFill="1" applyBorder="1" applyAlignment="1" applyProtection="1">
      <alignment horizontal="left"/>
    </xf>
    <xf numFmtId="0" fontId="59" fillId="0" borderId="26" xfId="59" applyFont="1" applyFill="1" applyBorder="1" applyAlignment="1" applyProtection="1">
      <alignment horizontal="left"/>
    </xf>
    <xf numFmtId="0" fontId="56" fillId="0" borderId="37" xfId="59" quotePrefix="1" applyFont="1" applyBorder="1" applyAlignment="1" applyProtection="1">
      <alignment horizontal="left"/>
    </xf>
    <xf numFmtId="0" fontId="64" fillId="0" borderId="35" xfId="59" applyFont="1" applyBorder="1" applyAlignment="1" applyProtection="1">
      <alignment horizontal="center"/>
    </xf>
    <xf numFmtId="164" fontId="56" fillId="0" borderId="35" xfId="59" applyNumberFormat="1" applyFont="1" applyFill="1" applyBorder="1" applyAlignment="1" applyProtection="1">
      <alignment horizontal="right"/>
    </xf>
    <xf numFmtId="0" fontId="56" fillId="0" borderId="4" xfId="59" applyFont="1" applyFill="1" applyBorder="1" applyAlignment="1" applyProtection="1">
      <alignment horizontal="right"/>
    </xf>
    <xf numFmtId="164" fontId="50" fillId="0" borderId="53" xfId="59" applyNumberFormat="1" applyFont="1" applyFill="1" applyBorder="1" applyAlignment="1" applyProtection="1">
      <alignment horizontal="center"/>
    </xf>
    <xf numFmtId="0" fontId="0" fillId="0" borderId="35" xfId="59" applyFont="1" applyFill="1" applyBorder="1"/>
    <xf numFmtId="164" fontId="0" fillId="0" borderId="35" xfId="59" applyNumberFormat="1" applyFont="1" applyFill="1" applyBorder="1"/>
    <xf numFmtId="164" fontId="0" fillId="0" borderId="35" xfId="59" quotePrefix="1" applyNumberFormat="1" applyFont="1" applyFill="1" applyBorder="1" applyAlignment="1">
      <alignment horizontal="center"/>
    </xf>
    <xf numFmtId="164" fontId="0" fillId="0" borderId="54" xfId="59" applyNumberFormat="1" applyFont="1" applyFill="1" applyBorder="1" applyAlignment="1">
      <alignment horizontal="center"/>
    </xf>
    <xf numFmtId="0" fontId="0" fillId="0" borderId="29" xfId="59" applyFont="1" applyFill="1" applyBorder="1" applyAlignment="1">
      <alignment horizontal="center"/>
    </xf>
    <xf numFmtId="0" fontId="59" fillId="0" borderId="37" xfId="59" applyFont="1" applyFill="1" applyBorder="1" applyAlignment="1" applyProtection="1">
      <alignment horizontal="left"/>
    </xf>
    <xf numFmtId="0" fontId="0" fillId="0" borderId="39" xfId="59" applyFont="1" applyFill="1" applyBorder="1"/>
    <xf numFmtId="164" fontId="0" fillId="0" borderId="39" xfId="59" applyNumberFormat="1" applyFont="1" applyFill="1" applyBorder="1"/>
    <xf numFmtId="164" fontId="0" fillId="0" borderId="39" xfId="59" quotePrefix="1" applyNumberFormat="1" applyFont="1" applyFill="1" applyBorder="1" applyAlignment="1">
      <alignment horizontal="center"/>
    </xf>
    <xf numFmtId="164" fontId="0" fillId="0" borderId="55" xfId="59" applyNumberFormat="1" applyFont="1" applyFill="1" applyBorder="1" applyAlignment="1">
      <alignment horizontal="center"/>
    </xf>
    <xf numFmtId="0" fontId="19" fillId="0" borderId="44" xfId="59" applyFont="1" applyBorder="1" applyAlignment="1">
      <alignment horizontal="center"/>
    </xf>
    <xf numFmtId="0" fontId="56" fillId="0" borderId="56" xfId="59" quotePrefix="1" applyFont="1" applyBorder="1" applyAlignment="1" applyProtection="1">
      <alignment horizontal="left"/>
    </xf>
    <xf numFmtId="0" fontId="64" fillId="0" borderId="57" xfId="59" applyFont="1" applyBorder="1" applyAlignment="1" applyProtection="1">
      <alignment horizontal="center"/>
    </xf>
    <xf numFmtId="164" fontId="56" fillId="0" borderId="57" xfId="59" applyNumberFormat="1" applyFont="1" applyFill="1" applyBorder="1" applyAlignment="1" applyProtection="1">
      <alignment horizontal="right"/>
    </xf>
    <xf numFmtId="164" fontId="56" fillId="0" borderId="58" xfId="59" applyNumberFormat="1" applyFont="1" applyFill="1" applyBorder="1" applyAlignment="1" applyProtection="1">
      <alignment horizontal="right"/>
    </xf>
    <xf numFmtId="0" fontId="58" fillId="0" borderId="0" xfId="59" applyFont="1" applyBorder="1" applyAlignment="1" applyProtection="1">
      <alignment horizontal="center"/>
    </xf>
    <xf numFmtId="0" fontId="50" fillId="0" borderId="15" xfId="59" applyFont="1" applyFill="1" applyBorder="1" applyAlignment="1" applyProtection="1">
      <alignment horizontal="left"/>
    </xf>
    <xf numFmtId="0" fontId="50" fillId="0" borderId="14" xfId="59" quotePrefix="1" applyFont="1" applyFill="1" applyBorder="1" applyAlignment="1" applyProtection="1">
      <alignment horizontal="left"/>
    </xf>
    <xf numFmtId="0" fontId="58" fillId="0" borderId="46" xfId="59" applyFont="1" applyFill="1" applyBorder="1" applyAlignment="1" applyProtection="1">
      <alignment horizontal="center"/>
    </xf>
    <xf numFmtId="164" fontId="50" fillId="0" borderId="46" xfId="59" applyNumberFormat="1" applyFont="1" applyFill="1" applyBorder="1" applyAlignment="1" applyProtection="1">
      <alignment horizontal="right"/>
    </xf>
    <xf numFmtId="164" fontId="50" fillId="0" borderId="14" xfId="59" applyNumberFormat="1" applyFont="1" applyFill="1" applyBorder="1" applyAlignment="1" applyProtection="1">
      <alignment horizontal="right"/>
    </xf>
    <xf numFmtId="164" fontId="50" fillId="0" borderId="59" xfId="59" applyNumberFormat="1" applyFont="1" applyFill="1" applyBorder="1" applyAlignment="1" applyProtection="1">
      <alignment horizontal="right"/>
    </xf>
    <xf numFmtId="0" fontId="50" fillId="0" borderId="26" xfId="59" applyFont="1" applyFill="1" applyBorder="1" applyAlignment="1" applyProtection="1">
      <alignment horizontal="left"/>
    </xf>
    <xf numFmtId="0" fontId="56" fillId="0" borderId="26" xfId="59" applyFont="1" applyBorder="1" applyAlignment="1" applyProtection="1">
      <alignment horizontal="left"/>
    </xf>
    <xf numFmtId="164" fontId="56" fillId="0" borderId="36" xfId="59" applyNumberFormat="1" applyFont="1" applyFill="1" applyBorder="1" applyAlignment="1" applyProtection="1">
      <alignment horizontal="right"/>
    </xf>
    <xf numFmtId="0" fontId="59" fillId="0" borderId="26" xfId="59" applyFont="1" applyBorder="1" applyAlignment="1" applyProtection="1">
      <alignment horizontal="left"/>
    </xf>
    <xf numFmtId="0" fontId="59" fillId="0" borderId="0" xfId="59" quotePrefix="1" applyFont="1" applyBorder="1" applyAlignment="1" applyProtection="1">
      <alignment horizontal="left"/>
    </xf>
    <xf numFmtId="164" fontId="50" fillId="0" borderId="36" xfId="59" applyNumberFormat="1" applyFont="1" applyFill="1" applyBorder="1" applyProtection="1"/>
    <xf numFmtId="0" fontId="56" fillId="0" borderId="41" xfId="59" applyFont="1" applyFill="1" applyBorder="1" applyAlignment="1" applyProtection="1">
      <alignment horizontal="left"/>
    </xf>
    <xf numFmtId="0" fontId="56" fillId="0" borderId="11" xfId="59" quotePrefix="1" applyFont="1" applyFill="1" applyBorder="1" applyAlignment="1" applyProtection="1">
      <alignment horizontal="left"/>
    </xf>
    <xf numFmtId="0" fontId="64" fillId="0" borderId="50" xfId="59" applyFont="1" applyFill="1" applyBorder="1" applyAlignment="1" applyProtection="1">
      <alignment horizontal="center"/>
    </xf>
    <xf numFmtId="164" fontId="56" fillId="0" borderId="50" xfId="59" applyNumberFormat="1" applyFont="1" applyFill="1" applyBorder="1" applyAlignment="1" applyProtection="1">
      <alignment horizontal="right"/>
    </xf>
    <xf numFmtId="164" fontId="56" fillId="0" borderId="11" xfId="59" applyNumberFormat="1" applyFont="1" applyFill="1" applyBorder="1" applyAlignment="1" applyProtection="1">
      <alignment horizontal="right"/>
    </xf>
    <xf numFmtId="164" fontId="56" fillId="0" borderId="43" xfId="59" applyNumberFormat="1" applyFont="1" applyFill="1" applyBorder="1" applyAlignment="1" applyProtection="1">
      <alignment horizontal="right"/>
    </xf>
    <xf numFmtId="0" fontId="44" fillId="0" borderId="44" xfId="59" applyFont="1" applyFill="1" applyBorder="1"/>
    <xf numFmtId="0" fontId="50" fillId="0" borderId="38" xfId="59" applyFont="1" applyBorder="1" applyAlignment="1" applyProtection="1">
      <alignment horizontal="left"/>
    </xf>
    <xf numFmtId="0" fontId="56" fillId="0" borderId="38" xfId="59" quotePrefix="1" applyFont="1" applyBorder="1" applyAlignment="1" applyProtection="1">
      <alignment horizontal="right"/>
    </xf>
    <xf numFmtId="0" fontId="56" fillId="0" borderId="45" xfId="59" quotePrefix="1" applyFont="1" applyBorder="1" applyAlignment="1" applyProtection="1">
      <alignment horizontal="right"/>
    </xf>
    <xf numFmtId="0" fontId="56" fillId="30" borderId="0" xfId="59" quotePrefix="1" applyFont="1" applyFill="1" applyAlignment="1" applyProtection="1">
      <alignment horizontal="left"/>
    </xf>
    <xf numFmtId="0" fontId="50" fillId="30" borderId="0" xfId="59" applyFont="1" applyFill="1" applyBorder="1" applyAlignment="1" applyProtection="1">
      <alignment horizontal="left"/>
    </xf>
    <xf numFmtId="0" fontId="50" fillId="30" borderId="0" xfId="59" quotePrefix="1" applyFont="1" applyFill="1" applyBorder="1" applyAlignment="1" applyProtection="1">
      <alignment horizontal="left"/>
    </xf>
    <xf numFmtId="0" fontId="44" fillId="30" borderId="0" xfId="59" applyFont="1" applyFill="1" applyBorder="1"/>
    <xf numFmtId="0" fontId="50" fillId="0" borderId="27" xfId="59" applyFont="1" applyFill="1" applyBorder="1" applyProtection="1"/>
    <xf numFmtId="0" fontId="55" fillId="0" borderId="25" xfId="59" applyFont="1" applyFill="1" applyBorder="1" applyProtection="1"/>
    <xf numFmtId="14" fontId="52" fillId="0" borderId="29" xfId="59" applyNumberFormat="1" applyFont="1" applyBorder="1" applyAlignment="1" applyProtection="1">
      <alignment horizontal="center"/>
    </xf>
    <xf numFmtId="1" fontId="55" fillId="0" borderId="30" xfId="59" applyNumberFormat="1" applyFont="1" applyBorder="1" applyAlignment="1" applyProtection="1">
      <alignment horizontal="center"/>
    </xf>
    <xf numFmtId="1" fontId="55" fillId="0" borderId="29" xfId="59" applyNumberFormat="1" applyFont="1" applyBorder="1" applyAlignment="1" applyProtection="1">
      <alignment horizontal="center"/>
    </xf>
    <xf numFmtId="164" fontId="50" fillId="0" borderId="29" xfId="59" applyNumberFormat="1" applyFont="1" applyBorder="1" applyProtection="1"/>
    <xf numFmtId="164" fontId="50" fillId="0" borderId="36" xfId="59" applyNumberFormat="1" applyFont="1" applyBorder="1" applyProtection="1"/>
    <xf numFmtId="0" fontId="59" fillId="0" borderId="0" xfId="59" applyFont="1" applyBorder="1" applyAlignment="1" applyProtection="1">
      <alignment horizontal="left"/>
    </xf>
    <xf numFmtId="0" fontId="59" fillId="0" borderId="29" xfId="59" applyFont="1" applyBorder="1" applyProtection="1"/>
    <xf numFmtId="0" fontId="59" fillId="0" borderId="4" xfId="59" applyFont="1" applyFill="1" applyBorder="1" applyProtection="1"/>
    <xf numFmtId="164" fontId="56" fillId="0" borderId="40" xfId="59" applyNumberFormat="1" applyFont="1" applyBorder="1" applyProtection="1"/>
    <xf numFmtId="164" fontId="50" fillId="0" borderId="35" xfId="59" quotePrefix="1" applyNumberFormat="1" applyFont="1" applyBorder="1" applyAlignment="1" applyProtection="1">
      <alignment horizontal="center"/>
    </xf>
    <xf numFmtId="164" fontId="50" fillId="0" borderId="36" xfId="59" quotePrefix="1" applyNumberFormat="1" applyFont="1" applyBorder="1" applyAlignment="1" applyProtection="1">
      <alignment horizontal="center"/>
    </xf>
    <xf numFmtId="0" fontId="50" fillId="0" borderId="29" xfId="59" quotePrefix="1" applyFont="1" applyBorder="1" applyAlignment="1" applyProtection="1">
      <alignment horizontal="center"/>
    </xf>
    <xf numFmtId="0" fontId="59" fillId="0" borderId="4" xfId="59" quotePrefix="1" applyFont="1" applyFill="1" applyBorder="1" applyAlignment="1" applyProtection="1">
      <alignment horizontal="left"/>
    </xf>
    <xf numFmtId="0" fontId="50" fillId="0" borderId="4" xfId="59" applyFont="1" applyFill="1" applyBorder="1" applyAlignment="1" applyProtection="1">
      <alignment horizontal="left"/>
    </xf>
    <xf numFmtId="0" fontId="59" fillId="0" borderId="4" xfId="59" applyFont="1" applyFill="1" applyBorder="1" applyAlignment="1" applyProtection="1">
      <alignment horizontal="left"/>
    </xf>
    <xf numFmtId="0" fontId="50" fillId="0" borderId="26" xfId="59" applyFont="1" applyBorder="1" applyAlignment="1" applyProtection="1">
      <alignment horizontal="left"/>
    </xf>
    <xf numFmtId="0" fontId="59" fillId="0" borderId="41" xfId="59" applyFont="1" applyBorder="1" applyAlignment="1" applyProtection="1">
      <alignment horizontal="left"/>
    </xf>
    <xf numFmtId="0" fontId="59" fillId="0" borderId="11" xfId="59" applyFont="1" applyBorder="1" applyAlignment="1" applyProtection="1">
      <alignment horizontal="left"/>
    </xf>
    <xf numFmtId="0" fontId="50" fillId="0" borderId="18" xfId="59" applyFont="1" applyBorder="1" applyProtection="1"/>
    <xf numFmtId="0" fontId="50" fillId="0" borderId="52" xfId="59" applyFont="1" applyBorder="1" applyProtection="1"/>
    <xf numFmtId="0" fontId="48" fillId="0" borderId="26" xfId="59" applyFont="1" applyBorder="1"/>
    <xf numFmtId="0" fontId="48" fillId="0" borderId="0" xfId="59" applyFont="1" applyBorder="1"/>
    <xf numFmtId="164" fontId="56" fillId="0" borderId="33" xfId="59" applyNumberFormat="1" applyFont="1" applyBorder="1" applyProtection="1"/>
    <xf numFmtId="164" fontId="56" fillId="0" borderId="54" xfId="59" applyNumberFormat="1" applyFont="1" applyBorder="1" applyProtection="1"/>
    <xf numFmtId="0" fontId="50" fillId="0" borderId="11" xfId="59" applyFont="1" applyBorder="1" applyAlignment="1" applyProtection="1">
      <alignment horizontal="left"/>
    </xf>
    <xf numFmtId="0" fontId="50" fillId="0" borderId="31" xfId="59" applyFont="1" applyBorder="1" applyProtection="1"/>
    <xf numFmtId="0" fontId="50" fillId="0" borderId="4" xfId="59" applyFont="1" applyFill="1" applyBorder="1" applyAlignment="1" applyProtection="1">
      <alignment horizontal="center"/>
    </xf>
    <xf numFmtId="0" fontId="50" fillId="0" borderId="28" xfId="59" quotePrefix="1" applyFont="1" applyFill="1" applyBorder="1" applyAlignment="1" applyProtection="1">
      <alignment horizontal="left"/>
    </xf>
    <xf numFmtId="164" fontId="50" fillId="0" borderId="34" xfId="59" applyNumberFormat="1" applyFont="1" applyBorder="1" applyProtection="1"/>
    <xf numFmtId="164" fontId="50" fillId="0" borderId="35" xfId="59" applyNumberFormat="1" applyFont="1" applyBorder="1" applyAlignment="1" applyProtection="1">
      <alignment horizontal="right"/>
    </xf>
    <xf numFmtId="164" fontId="50" fillId="0" borderId="36" xfId="59" applyNumberFormat="1" applyFont="1" applyBorder="1" applyAlignment="1" applyProtection="1">
      <alignment horizontal="right"/>
    </xf>
    <xf numFmtId="0" fontId="59" fillId="0" borderId="29" xfId="59" applyFont="1" applyBorder="1" applyAlignment="1" applyProtection="1">
      <alignment horizontal="right"/>
    </xf>
    <xf numFmtId="164" fontId="50" fillId="0" borderId="35" xfId="59" quotePrefix="1" applyNumberFormat="1" applyFont="1" applyBorder="1" applyAlignment="1" applyProtection="1">
      <alignment horizontal="right"/>
    </xf>
    <xf numFmtId="0" fontId="50" fillId="0" borderId="29" xfId="59" quotePrefix="1" applyFont="1" applyFill="1" applyBorder="1" applyAlignment="1" applyProtection="1">
      <alignment horizontal="left"/>
    </xf>
    <xf numFmtId="0" fontId="50" fillId="0" borderId="29" xfId="59" applyFont="1" applyBorder="1" applyAlignment="1" applyProtection="1">
      <alignment horizontal="right"/>
    </xf>
    <xf numFmtId="0" fontId="56" fillId="0" borderId="45" xfId="59" quotePrefix="1" applyFont="1" applyBorder="1" applyAlignment="1" applyProtection="1">
      <alignment horizontal="left"/>
    </xf>
    <xf numFmtId="0" fontId="56" fillId="0" borderId="29" xfId="59" applyFont="1" applyBorder="1" applyAlignment="1" applyProtection="1">
      <alignment horizontal="right"/>
    </xf>
    <xf numFmtId="164" fontId="50" fillId="0" borderId="33" xfId="59" applyNumberFormat="1" applyFont="1" applyBorder="1" applyAlignment="1" applyProtection="1">
      <alignment horizontal="right"/>
    </xf>
    <xf numFmtId="164" fontId="50" fillId="0" borderId="34" xfId="59" applyNumberFormat="1" applyFont="1" applyBorder="1" applyAlignment="1" applyProtection="1">
      <alignment horizontal="right"/>
    </xf>
    <xf numFmtId="0" fontId="56" fillId="0" borderId="41" xfId="59" quotePrefix="1" applyFont="1" applyBorder="1" applyAlignment="1" applyProtection="1">
      <alignment horizontal="left"/>
    </xf>
    <xf numFmtId="0" fontId="56" fillId="0" borderId="60" xfId="59" quotePrefix="1" applyFont="1" applyBorder="1" applyAlignment="1" applyProtection="1">
      <alignment horizontal="left"/>
    </xf>
    <xf numFmtId="164" fontId="56" fillId="0" borderId="50" xfId="59" applyNumberFormat="1" applyFont="1" applyBorder="1" applyProtection="1"/>
    <xf numFmtId="164" fontId="56" fillId="0" borderId="43" xfId="59" applyNumberFormat="1" applyFont="1" applyBorder="1" applyProtection="1"/>
    <xf numFmtId="0" fontId="61" fillId="30" borderId="0" xfId="59" applyFont="1" applyFill="1"/>
    <xf numFmtId="14" fontId="50" fillId="0" borderId="0" xfId="59" applyNumberFormat="1" applyFont="1" applyBorder="1" applyProtection="1"/>
    <xf numFmtId="14" fontId="50" fillId="0" borderId="29" xfId="59" applyNumberFormat="1" applyFont="1" applyBorder="1" applyProtection="1"/>
    <xf numFmtId="14" fontId="50" fillId="30" borderId="0" xfId="59" applyNumberFormat="1" applyFont="1" applyFill="1" applyProtection="1"/>
    <xf numFmtId="0" fontId="44" fillId="0" borderId="35" xfId="59" applyFont="1" applyBorder="1" applyProtection="1"/>
    <xf numFmtId="0" fontId="56" fillId="0" borderId="29" xfId="59" quotePrefix="1" applyFont="1" applyBorder="1" applyAlignment="1" applyProtection="1">
      <alignment horizontal="center"/>
    </xf>
    <xf numFmtId="0" fontId="50" fillId="0" borderId="33" xfId="59" applyFont="1" applyBorder="1" applyAlignment="1" applyProtection="1">
      <alignment horizontal="center"/>
    </xf>
    <xf numFmtId="0" fontId="50" fillId="0" borderId="61" xfId="59" applyFont="1" applyBorder="1" applyAlignment="1" applyProtection="1">
      <alignment horizontal="center"/>
    </xf>
    <xf numFmtId="0" fontId="56" fillId="0" borderId="62" xfId="59" applyFont="1" applyBorder="1" applyAlignment="1" applyProtection="1">
      <alignment horizontal="centerContinuous"/>
    </xf>
    <xf numFmtId="0" fontId="50" fillId="0" borderId="35" xfId="59" applyFont="1" applyBorder="1" applyAlignment="1" applyProtection="1">
      <alignment horizontal="center"/>
    </xf>
    <xf numFmtId="0" fontId="59" fillId="0" borderId="35" xfId="59" applyFont="1" applyFill="1" applyBorder="1" applyAlignment="1" applyProtection="1">
      <alignment horizontal="center"/>
    </xf>
    <xf numFmtId="0" fontId="50" fillId="0" borderId="39" xfId="59" applyFont="1" applyFill="1" applyBorder="1" applyAlignment="1" applyProtection="1">
      <alignment horizontal="center"/>
    </xf>
    <xf numFmtId="0" fontId="50" fillId="0" borderId="50" xfId="59" applyFont="1" applyFill="1" applyBorder="1" applyAlignment="1" applyProtection="1">
      <alignment horizontal="center"/>
    </xf>
    <xf numFmtId="0" fontId="59" fillId="0" borderId="44" xfId="59" applyFont="1" applyFill="1" applyBorder="1" applyProtection="1"/>
    <xf numFmtId="0" fontId="50" fillId="0" borderId="0" xfId="59" quotePrefix="1" applyFont="1" applyBorder="1" applyProtection="1"/>
    <xf numFmtId="0" fontId="44" fillId="0" borderId="4" xfId="59" applyFont="1" applyFill="1" applyBorder="1" applyAlignment="1" applyProtection="1">
      <alignment horizontal="centerContinuous"/>
    </xf>
    <xf numFmtId="0" fontId="54" fillId="0" borderId="49" xfId="59" applyFont="1" applyFill="1" applyBorder="1" applyAlignment="1" applyProtection="1">
      <alignment horizontal="center"/>
    </xf>
    <xf numFmtId="0" fontId="54" fillId="0" borderId="49" xfId="59" quotePrefix="1" applyFont="1" applyFill="1" applyBorder="1" applyAlignment="1" applyProtection="1">
      <alignment horizontal="center"/>
    </xf>
    <xf numFmtId="0" fontId="54" fillId="0" borderId="51" xfId="59" quotePrefix="1" applyFont="1" applyFill="1" applyBorder="1" applyAlignment="1" applyProtection="1">
      <alignment horizontal="center"/>
    </xf>
    <xf numFmtId="0" fontId="54" fillId="0" borderId="29" xfId="59" quotePrefix="1" applyFont="1" applyFill="1" applyBorder="1" applyAlignment="1" applyProtection="1">
      <alignment horizontal="center"/>
    </xf>
    <xf numFmtId="164" fontId="50" fillId="0" borderId="27" xfId="59" applyNumberFormat="1" applyFont="1" applyBorder="1" applyAlignment="1" applyProtection="1">
      <alignment horizontal="right"/>
    </xf>
    <xf numFmtId="164" fontId="50" fillId="0" borderId="25" xfId="59" applyNumberFormat="1" applyFont="1" applyBorder="1" applyAlignment="1" applyProtection="1">
      <alignment horizontal="right"/>
    </xf>
    <xf numFmtId="164" fontId="50" fillId="0" borderId="4" xfId="59" applyNumberFormat="1" applyFont="1" applyBorder="1" applyAlignment="1" applyProtection="1">
      <alignment horizontal="right"/>
    </xf>
    <xf numFmtId="164" fontId="50" fillId="0" borderId="0" xfId="59" applyNumberFormat="1" applyFont="1" applyBorder="1" applyAlignment="1" applyProtection="1">
      <alignment horizontal="right"/>
    </xf>
    <xf numFmtId="0" fontId="56" fillId="0" borderId="26" xfId="59" applyFont="1" applyBorder="1" applyProtection="1"/>
    <xf numFmtId="164" fontId="56" fillId="0" borderId="4" xfId="59" applyNumberFormat="1" applyFont="1" applyBorder="1" applyAlignment="1" applyProtection="1">
      <alignment horizontal="right"/>
    </xf>
    <xf numFmtId="164" fontId="56" fillId="0" borderId="35" xfId="59" applyNumberFormat="1" applyFont="1" applyBorder="1" applyAlignment="1" applyProtection="1">
      <alignment horizontal="right"/>
    </xf>
    <xf numFmtId="164" fontId="56" fillId="0" borderId="0" xfId="59" applyNumberFormat="1" applyFont="1" applyBorder="1" applyAlignment="1" applyProtection="1">
      <alignment horizontal="right"/>
    </xf>
    <xf numFmtId="164" fontId="56" fillId="0" borderId="36" xfId="59" applyNumberFormat="1" applyFont="1" applyBorder="1" applyAlignment="1" applyProtection="1">
      <alignment horizontal="right"/>
    </xf>
    <xf numFmtId="0" fontId="59" fillId="0" borderId="41" xfId="59" applyFont="1" applyBorder="1" applyProtection="1"/>
    <xf numFmtId="0" fontId="59" fillId="0" borderId="11" xfId="59" applyFont="1" applyBorder="1" applyProtection="1"/>
    <xf numFmtId="164" fontId="50" fillId="0" borderId="42" xfId="59" applyNumberFormat="1" applyFont="1" applyBorder="1" applyAlignment="1" applyProtection="1">
      <alignment horizontal="right"/>
    </xf>
    <xf numFmtId="164" fontId="50" fillId="0" borderId="50" xfId="59" applyNumberFormat="1" applyFont="1" applyFill="1" applyBorder="1" applyAlignment="1" applyProtection="1">
      <alignment horizontal="right"/>
    </xf>
    <xf numFmtId="164" fontId="50" fillId="0" borderId="11" xfId="59" applyNumberFormat="1" applyFont="1" applyBorder="1" applyAlignment="1" applyProtection="1">
      <alignment horizontal="right"/>
    </xf>
    <xf numFmtId="0" fontId="0" fillId="0" borderId="54" xfId="59" applyFont="1" applyBorder="1"/>
    <xf numFmtId="0" fontId="48" fillId="0" borderId="15" xfId="59" applyFont="1" applyBorder="1"/>
    <xf numFmtId="0" fontId="0" fillId="0" borderId="63" xfId="59" applyFont="1" applyBorder="1"/>
    <xf numFmtId="0" fontId="0" fillId="0" borderId="59" xfId="59" applyFont="1" applyBorder="1"/>
    <xf numFmtId="0" fontId="56" fillId="0" borderId="4" xfId="59" quotePrefix="1" applyFont="1" applyBorder="1" applyAlignment="1" applyProtection="1">
      <alignment horizontal="right"/>
    </xf>
    <xf numFmtId="0" fontId="56" fillId="0" borderId="35" xfId="59" applyFont="1" applyBorder="1" applyAlignment="1" applyProtection="1">
      <alignment horizontal="right"/>
    </xf>
    <xf numFmtId="0" fontId="56" fillId="0" borderId="0" xfId="59" quotePrefix="1" applyFont="1" applyBorder="1" applyAlignment="1" applyProtection="1">
      <alignment horizontal="right"/>
    </xf>
    <xf numFmtId="0" fontId="56" fillId="0" borderId="36" xfId="59" applyFont="1" applyBorder="1" applyAlignment="1" applyProtection="1">
      <alignment horizontal="right"/>
    </xf>
    <xf numFmtId="0" fontId="50" fillId="0" borderId="4" xfId="59" applyFont="1" applyBorder="1" applyAlignment="1" applyProtection="1">
      <alignment horizontal="right"/>
    </xf>
    <xf numFmtId="0" fontId="56" fillId="0" borderId="41" xfId="59" applyFont="1" applyBorder="1" applyProtection="1"/>
    <xf numFmtId="0" fontId="56" fillId="0" borderId="11" xfId="59" applyFont="1" applyBorder="1" applyProtection="1"/>
    <xf numFmtId="0" fontId="50" fillId="0" borderId="42" xfId="59" applyFont="1" applyBorder="1" applyAlignment="1" applyProtection="1">
      <alignment horizontal="right"/>
    </xf>
    <xf numFmtId="0" fontId="56" fillId="0" borderId="50" xfId="59" applyFont="1" applyBorder="1" applyAlignment="1" applyProtection="1">
      <alignment horizontal="right"/>
    </xf>
    <xf numFmtId="0" fontId="56" fillId="0" borderId="43" xfId="59" applyFont="1" applyBorder="1" applyAlignment="1" applyProtection="1">
      <alignment horizontal="right"/>
    </xf>
    <xf numFmtId="0" fontId="50" fillId="0" borderId="31" xfId="59" applyFont="1" applyFill="1" applyBorder="1" applyProtection="1"/>
    <xf numFmtId="0" fontId="56" fillId="0" borderId="46" xfId="59" applyFont="1" applyFill="1" applyBorder="1" applyAlignment="1" applyProtection="1">
      <alignment horizontal="center"/>
    </xf>
    <xf numFmtId="1" fontId="56" fillId="0" borderId="63" xfId="59" applyNumberFormat="1" applyFont="1" applyBorder="1" applyAlignment="1" applyProtection="1">
      <alignment horizontal="center"/>
    </xf>
    <xf numFmtId="0" fontId="50" fillId="0" borderId="45" xfId="59" applyFont="1" applyFill="1" applyBorder="1" applyProtection="1"/>
    <xf numFmtId="0" fontId="56" fillId="0" borderId="35" xfId="59" applyFont="1" applyFill="1" applyBorder="1" applyAlignment="1" applyProtection="1">
      <alignment horizontal="center"/>
    </xf>
    <xf numFmtId="0" fontId="56" fillId="0" borderId="32" xfId="59" applyFont="1" applyFill="1" applyBorder="1" applyProtection="1"/>
    <xf numFmtId="0" fontId="56" fillId="0" borderId="33" xfId="59" applyFont="1" applyFill="1" applyBorder="1" applyAlignment="1" applyProtection="1">
      <alignment horizontal="center"/>
    </xf>
    <xf numFmtId="164" fontId="56" fillId="0" borderId="33" xfId="59" applyNumberFormat="1" applyFont="1" applyFill="1" applyBorder="1" applyProtection="1"/>
    <xf numFmtId="0" fontId="50" fillId="0" borderId="37" xfId="59" applyFont="1" applyFill="1" applyBorder="1" applyProtection="1"/>
    <xf numFmtId="164" fontId="50" fillId="0" borderId="39" xfId="59" applyNumberFormat="1" applyFont="1" applyFill="1" applyBorder="1" applyProtection="1"/>
    <xf numFmtId="164" fontId="50" fillId="0" borderId="45" xfId="59" applyNumberFormat="1" applyFont="1" applyFill="1" applyBorder="1" applyProtection="1"/>
    <xf numFmtId="164" fontId="50" fillId="0" borderId="38" xfId="59" applyNumberFormat="1" applyFont="1" applyFill="1" applyBorder="1" applyProtection="1"/>
    <xf numFmtId="164" fontId="50" fillId="0" borderId="55" xfId="59" applyNumberFormat="1" applyFont="1" applyFill="1" applyBorder="1" applyProtection="1"/>
    <xf numFmtId="0" fontId="48" fillId="0" borderId="37" xfId="59" applyFont="1" applyFill="1" applyBorder="1" applyProtection="1"/>
    <xf numFmtId="0" fontId="56" fillId="0" borderId="39" xfId="59" applyFont="1" applyFill="1" applyBorder="1" applyAlignment="1" applyProtection="1">
      <alignment horizontal="center"/>
    </xf>
    <xf numFmtId="164" fontId="56" fillId="0" borderId="38" xfId="59" quotePrefix="1" applyNumberFormat="1" applyFont="1" applyFill="1" applyBorder="1" applyAlignment="1" applyProtection="1">
      <alignment horizontal="right"/>
    </xf>
    <xf numFmtId="164" fontId="48" fillId="0" borderId="39" xfId="65" applyNumberFormat="1" applyFont="1" applyBorder="1" applyAlignment="1" applyProtection="1">
      <alignment horizontal="right"/>
    </xf>
    <xf numFmtId="164" fontId="56" fillId="0" borderId="55" xfId="59" applyNumberFormat="1" applyFont="1" applyFill="1" applyBorder="1" applyAlignment="1" applyProtection="1">
      <alignment horizontal="right"/>
    </xf>
    <xf numFmtId="0" fontId="44" fillId="0" borderId="26" xfId="59" applyFont="1" applyFill="1" applyBorder="1" applyProtection="1"/>
    <xf numFmtId="164" fontId="44" fillId="0" borderId="29" xfId="59" applyNumberFormat="1" applyFont="1" applyFill="1" applyBorder="1" applyAlignment="1" applyProtection="1">
      <alignment horizontal="right"/>
    </xf>
    <xf numFmtId="0" fontId="56" fillId="0" borderId="41" xfId="59" applyFont="1" applyFill="1" applyBorder="1" applyProtection="1"/>
    <xf numFmtId="0" fontId="66" fillId="0" borderId="50" xfId="59" applyFont="1" applyFill="1" applyBorder="1" applyProtection="1"/>
    <xf numFmtId="164" fontId="56" fillId="0" borderId="60" xfId="59" applyNumberFormat="1" applyFont="1" applyFill="1" applyBorder="1" applyAlignment="1" applyProtection="1">
      <alignment horizontal="right"/>
    </xf>
    <xf numFmtId="0" fontId="50" fillId="0" borderId="29" xfId="59" applyFont="1" applyFill="1" applyBorder="1" applyAlignment="1" applyProtection="1">
      <alignment horizontal="centerContinuous"/>
    </xf>
    <xf numFmtId="1" fontId="55" fillId="0" borderId="29" xfId="59" applyNumberFormat="1" applyFont="1" applyFill="1" applyBorder="1" applyAlignment="1" applyProtection="1">
      <alignment horizontal="center"/>
    </xf>
    <xf numFmtId="164" fontId="56" fillId="0" borderId="34" xfId="59" applyNumberFormat="1" applyFont="1" applyFill="1" applyBorder="1" applyProtection="1"/>
    <xf numFmtId="0" fontId="56" fillId="0" borderId="29" xfId="59" applyFont="1" applyFill="1" applyBorder="1" applyProtection="1"/>
    <xf numFmtId="164" fontId="56" fillId="0" borderId="39" xfId="59" applyNumberFormat="1" applyFont="1" applyFill="1" applyBorder="1" applyProtection="1"/>
    <xf numFmtId="164" fontId="56" fillId="0" borderId="40" xfId="59" applyNumberFormat="1" applyFont="1" applyFill="1" applyBorder="1" applyProtection="1"/>
    <xf numFmtId="0" fontId="66" fillId="0" borderId="37" xfId="59" applyFont="1" applyFill="1" applyBorder="1" applyProtection="1"/>
    <xf numFmtId="0" fontId="66" fillId="0" borderId="39" xfId="59" applyFont="1" applyFill="1" applyBorder="1" applyAlignment="1" applyProtection="1">
      <alignment horizontal="center"/>
    </xf>
    <xf numFmtId="164" fontId="66" fillId="0" borderId="45" xfId="59" applyNumberFormat="1" applyFont="1" applyFill="1" applyBorder="1" applyProtection="1"/>
    <xf numFmtId="0" fontId="66" fillId="0" borderId="29" xfId="59" applyFont="1" applyFill="1" applyBorder="1" applyProtection="1"/>
    <xf numFmtId="0" fontId="44" fillId="0" borderId="35" xfId="59" applyFont="1" applyFill="1" applyBorder="1" applyAlignment="1" applyProtection="1">
      <alignment horizontal="center"/>
    </xf>
    <xf numFmtId="164" fontId="44" fillId="0" borderId="35" xfId="59" applyNumberFormat="1" applyFont="1" applyFill="1" applyBorder="1" applyProtection="1"/>
    <xf numFmtId="164" fontId="44" fillId="0" borderId="29" xfId="59" applyNumberFormat="1" applyFont="1" applyFill="1" applyBorder="1" applyProtection="1"/>
    <xf numFmtId="164" fontId="44" fillId="0" borderId="54" xfId="59" applyNumberFormat="1" applyFont="1" applyFill="1" applyBorder="1" applyProtection="1"/>
    <xf numFmtId="0" fontId="44" fillId="0" borderId="29" xfId="59" applyFont="1" applyFill="1" applyBorder="1" applyProtection="1"/>
    <xf numFmtId="0" fontId="66" fillId="0" borderId="41" xfId="59" applyFont="1" applyFill="1" applyBorder="1" applyProtection="1"/>
    <xf numFmtId="164" fontId="66" fillId="0" borderId="50" xfId="59" applyNumberFormat="1" applyFont="1" applyFill="1" applyBorder="1" applyProtection="1"/>
    <xf numFmtId="164" fontId="66" fillId="0" borderId="43" xfId="59" applyNumberFormat="1" applyFont="1" applyFill="1" applyBorder="1" applyProtection="1"/>
    <xf numFmtId="0" fontId="55" fillId="0" borderId="25" xfId="59" applyFont="1" applyBorder="1" applyProtection="1"/>
    <xf numFmtId="0" fontId="0" fillId="0" borderId="25" xfId="59" applyFont="1" applyBorder="1" applyProtection="1"/>
    <xf numFmtId="0" fontId="0" fillId="0" borderId="28" xfId="59" applyFont="1" applyBorder="1" applyProtection="1"/>
    <xf numFmtId="0" fontId="55" fillId="0" borderId="46" xfId="59" applyFont="1" applyBorder="1" applyAlignment="1" applyProtection="1">
      <alignment horizontal="center"/>
    </xf>
    <xf numFmtId="0" fontId="46" fillId="0" borderId="39" xfId="59" applyFont="1" applyBorder="1" applyAlignment="1" applyProtection="1">
      <alignment horizontal="center"/>
    </xf>
    <xf numFmtId="164" fontId="50" fillId="0" borderId="0" xfId="59" applyNumberFormat="1" applyFont="1" applyBorder="1" applyProtection="1"/>
    <xf numFmtId="164" fontId="50" fillId="0" borderId="54" xfId="59" applyNumberFormat="1" applyFont="1" applyBorder="1" applyProtection="1"/>
    <xf numFmtId="0" fontId="59" fillId="0" borderId="29" xfId="59" applyFont="1" applyFill="1" applyBorder="1" applyProtection="1"/>
    <xf numFmtId="0" fontId="59" fillId="0" borderId="38" xfId="59" applyFont="1" applyFill="1" applyBorder="1" applyProtection="1"/>
    <xf numFmtId="0" fontId="59" fillId="0" borderId="39" xfId="59" applyFont="1" applyFill="1" applyBorder="1" applyAlignment="1" applyProtection="1">
      <alignment horizontal="center"/>
    </xf>
    <xf numFmtId="164" fontId="50" fillId="0" borderId="40" xfId="59" applyNumberFormat="1" applyFont="1" applyFill="1" applyBorder="1" applyProtection="1"/>
    <xf numFmtId="0" fontId="50" fillId="0" borderId="29" xfId="59" quotePrefix="1" applyFont="1" applyFill="1" applyBorder="1" applyAlignment="1" applyProtection="1">
      <alignment horizontal="right"/>
    </xf>
    <xf numFmtId="164" fontId="50" fillId="0" borderId="11" xfId="59" applyNumberFormat="1" applyFont="1" applyFill="1" applyBorder="1" applyProtection="1"/>
    <xf numFmtId="164" fontId="50" fillId="0" borderId="50" xfId="59" applyNumberFormat="1" applyFont="1" applyFill="1" applyBorder="1" applyProtection="1"/>
    <xf numFmtId="164" fontId="50" fillId="0" borderId="43" xfId="59" applyNumberFormat="1" applyFont="1" applyFill="1" applyBorder="1" applyProtection="1"/>
    <xf numFmtId="164" fontId="56" fillId="0" borderId="35" xfId="59" applyNumberFormat="1" applyFont="1" applyFill="1" applyBorder="1" applyProtection="1"/>
    <xf numFmtId="164" fontId="56" fillId="0" borderId="64" xfId="59" applyNumberFormat="1" applyFont="1" applyFill="1" applyBorder="1" applyProtection="1"/>
    <xf numFmtId="164" fontId="50" fillId="0" borderId="46" xfId="59" applyNumberFormat="1" applyFont="1" applyFill="1" applyBorder="1" applyProtection="1"/>
    <xf numFmtId="164" fontId="56" fillId="0" borderId="36" xfId="59" applyNumberFormat="1" applyFont="1" applyFill="1" applyBorder="1" applyProtection="1"/>
    <xf numFmtId="0" fontId="56" fillId="0" borderId="57" xfId="59" applyFont="1" applyFill="1" applyBorder="1" applyAlignment="1" applyProtection="1">
      <alignment horizontal="center"/>
    </xf>
    <xf numFmtId="164" fontId="50" fillId="0" borderId="57" xfId="59" applyNumberFormat="1" applyFont="1" applyFill="1" applyBorder="1" applyProtection="1"/>
    <xf numFmtId="0" fontId="56" fillId="0" borderId="29" xfId="59" quotePrefix="1" applyFont="1" applyFill="1" applyBorder="1" applyAlignment="1" applyProtection="1">
      <alignment horizontal="right"/>
    </xf>
    <xf numFmtId="0" fontId="50" fillId="0" borderId="65" xfId="59" applyFont="1" applyFill="1" applyBorder="1" applyProtection="1"/>
    <xf numFmtId="164" fontId="50" fillId="0" borderId="65" xfId="59" applyNumberFormat="1" applyFont="1" applyFill="1" applyBorder="1" applyProtection="1"/>
    <xf numFmtId="0" fontId="50" fillId="0" borderId="65" xfId="59" quotePrefix="1" applyFont="1" applyFill="1" applyBorder="1" applyAlignment="1" applyProtection="1">
      <alignment horizontal="left"/>
    </xf>
    <xf numFmtId="0" fontId="50" fillId="0" borderId="66" xfId="59" applyFont="1" applyFill="1" applyBorder="1" applyAlignment="1" applyProtection="1">
      <alignment horizontal="center"/>
    </xf>
    <xf numFmtId="0" fontId="50" fillId="0" borderId="65" xfId="59" quotePrefix="1" applyFont="1" applyFill="1" applyBorder="1" applyAlignment="1" applyProtection="1">
      <alignment horizontal="center"/>
    </xf>
    <xf numFmtId="164" fontId="50" fillId="0" borderId="66" xfId="59" applyNumberFormat="1" applyFont="1" applyFill="1" applyBorder="1" applyAlignment="1" applyProtection="1">
      <alignment horizontal="right"/>
    </xf>
    <xf numFmtId="164" fontId="50" fillId="0" borderId="65" xfId="59" quotePrefix="1" applyNumberFormat="1" applyFont="1" applyFill="1" applyBorder="1" applyAlignment="1" applyProtection="1">
      <alignment horizontal="center"/>
    </xf>
    <xf numFmtId="164" fontId="50" fillId="0" borderId="64" xfId="59" applyNumberFormat="1" applyFont="1" applyFill="1" applyBorder="1" applyAlignment="1" applyProtection="1">
      <alignment horizontal="right"/>
    </xf>
    <xf numFmtId="0" fontId="50" fillId="0" borderId="45" xfId="59" applyFont="1" applyBorder="1" applyProtection="1"/>
    <xf numFmtId="0" fontId="54" fillId="0" borderId="49" xfId="59" applyFont="1" applyBorder="1" applyAlignment="1" applyProtection="1">
      <alignment horizontal="center"/>
    </xf>
    <xf numFmtId="0" fontId="55" fillId="0" borderId="29" xfId="59" applyFont="1" applyBorder="1" applyAlignment="1" applyProtection="1">
      <alignment horizontal="center"/>
    </xf>
    <xf numFmtId="164" fontId="50" fillId="0" borderId="28" xfId="59" applyNumberFormat="1" applyFont="1" applyBorder="1" applyProtection="1"/>
    <xf numFmtId="164" fontId="50" fillId="0" borderId="53" xfId="59" applyNumberFormat="1" applyFont="1" applyBorder="1" applyProtection="1"/>
    <xf numFmtId="164" fontId="56" fillId="0" borderId="29" xfId="59" applyNumberFormat="1" applyFont="1" applyBorder="1" applyAlignment="1" applyProtection="1">
      <alignment horizontal="center"/>
    </xf>
    <xf numFmtId="164" fontId="56" fillId="0" borderId="54" xfId="59" applyNumberFormat="1" applyFont="1" applyBorder="1" applyAlignment="1" applyProtection="1">
      <alignment horizontal="center"/>
    </xf>
    <xf numFmtId="0" fontId="66" fillId="0" borderId="26" xfId="59" applyFont="1" applyBorder="1" applyProtection="1"/>
    <xf numFmtId="0" fontId="66" fillId="0" borderId="29" xfId="59" applyFont="1" applyBorder="1" applyAlignment="1" applyProtection="1">
      <alignment horizontal="center"/>
    </xf>
    <xf numFmtId="164" fontId="50" fillId="0" borderId="29" xfId="59" applyNumberFormat="1" applyFont="1" applyBorder="1" applyAlignment="1" applyProtection="1">
      <alignment horizontal="right"/>
    </xf>
    <xf numFmtId="164" fontId="50" fillId="0" borderId="54" xfId="59" applyNumberFormat="1" applyFont="1" applyBorder="1" applyAlignment="1" applyProtection="1">
      <alignment horizontal="right"/>
    </xf>
    <xf numFmtId="164" fontId="56" fillId="0" borderId="45" xfId="59" applyNumberFormat="1" applyFont="1" applyBorder="1" applyAlignment="1" applyProtection="1">
      <alignment horizontal="center"/>
    </xf>
    <xf numFmtId="164" fontId="56" fillId="0" borderId="45" xfId="59" quotePrefix="1" applyNumberFormat="1" applyFont="1" applyBorder="1" applyAlignment="1" applyProtection="1">
      <alignment horizontal="center"/>
    </xf>
    <xf numFmtId="0" fontId="66" fillId="0" borderId="37" xfId="59" applyFont="1" applyBorder="1" applyProtection="1"/>
    <xf numFmtId="164" fontId="66" fillId="0" borderId="55" xfId="59" quotePrefix="1" applyNumberFormat="1" applyFont="1" applyBorder="1" applyAlignment="1" applyProtection="1">
      <alignment horizontal="center"/>
    </xf>
    <xf numFmtId="0" fontId="66" fillId="0" borderId="29" xfId="59" quotePrefix="1" applyFont="1" applyBorder="1" applyAlignment="1" applyProtection="1">
      <alignment horizontal="center"/>
    </xf>
    <xf numFmtId="164" fontId="56" fillId="0" borderId="28" xfId="59" applyNumberFormat="1" applyFont="1" applyBorder="1" applyAlignment="1" applyProtection="1">
      <alignment horizontal="center"/>
    </xf>
    <xf numFmtId="164" fontId="56" fillId="0" borderId="53" xfId="59" applyNumberFormat="1" applyFont="1" applyBorder="1" applyAlignment="1" applyProtection="1">
      <alignment horizontal="center"/>
    </xf>
    <xf numFmtId="164" fontId="50" fillId="0" borderId="29" xfId="59" applyNumberFormat="1" applyFont="1" applyBorder="1" applyAlignment="1" applyProtection="1">
      <alignment horizontal="center"/>
    </xf>
    <xf numFmtId="164" fontId="50" fillId="0" borderId="54" xfId="59" applyNumberFormat="1" applyFont="1" applyBorder="1" applyAlignment="1" applyProtection="1">
      <alignment horizontal="center"/>
    </xf>
    <xf numFmtId="0" fontId="50" fillId="0" borderId="29" xfId="59" applyFont="1" applyBorder="1" applyAlignment="1" applyProtection="1">
      <alignment horizontal="center"/>
    </xf>
    <xf numFmtId="164" fontId="59" fillId="0" borderId="54" xfId="59" applyNumberFormat="1" applyFont="1" applyBorder="1" applyAlignment="1" applyProtection="1">
      <alignment horizontal="center"/>
    </xf>
    <xf numFmtId="0" fontId="59" fillId="0" borderId="29" xfId="59" applyFont="1" applyBorder="1" applyAlignment="1" applyProtection="1">
      <alignment horizontal="center"/>
    </xf>
    <xf numFmtId="164" fontId="56" fillId="0" borderId="29" xfId="59" applyNumberFormat="1" applyFont="1" applyBorder="1" applyProtection="1"/>
    <xf numFmtId="164" fontId="66" fillId="0" borderId="54" xfId="59" applyNumberFormat="1" applyFont="1" applyBorder="1" applyProtection="1"/>
    <xf numFmtId="0" fontId="66" fillId="0" borderId="29" xfId="59" applyFont="1" applyBorder="1" applyProtection="1"/>
    <xf numFmtId="164" fontId="50" fillId="0" borderId="28" xfId="59" applyNumberFormat="1" applyFont="1" applyBorder="1" applyAlignment="1" applyProtection="1">
      <alignment horizontal="center"/>
    </xf>
    <xf numFmtId="0" fontId="66" fillId="0" borderId="41" xfId="59" applyFont="1" applyBorder="1" applyProtection="1"/>
    <xf numFmtId="164" fontId="56" fillId="0" borderId="60" xfId="59" applyNumberFormat="1" applyFont="1" applyBorder="1" applyProtection="1"/>
    <xf numFmtId="164" fontId="66" fillId="0" borderId="67" xfId="59" applyNumberFormat="1" applyFont="1" applyBorder="1" applyProtection="1"/>
    <xf numFmtId="0" fontId="64" fillId="0" borderId="29" xfId="59" quotePrefix="1" applyFont="1" applyBorder="1" applyAlignment="1" applyProtection="1">
      <alignment horizontal="right"/>
    </xf>
    <xf numFmtId="0" fontId="50" fillId="0" borderId="33" xfId="59" applyFont="1" applyBorder="1" applyProtection="1"/>
    <xf numFmtId="164" fontId="18" fillId="27" borderId="14" xfId="59" applyNumberFormat="1" applyFont="1" applyFill="1" applyBorder="1" applyAlignment="1">
      <alignment horizontal="right"/>
    </xf>
    <xf numFmtId="0" fontId="19" fillId="32" borderId="47" xfId="59" applyFont="1" applyFill="1" applyBorder="1" applyAlignment="1">
      <alignment horizontal="center" vertical="top"/>
    </xf>
    <xf numFmtId="0" fontId="19" fillId="32" borderId="48" xfId="59" applyFont="1" applyFill="1" applyBorder="1" applyAlignment="1">
      <alignment horizontal="center" vertical="top"/>
    </xf>
    <xf numFmtId="0" fontId="19" fillId="32" borderId="47" xfId="59" applyFont="1" applyFill="1" applyBorder="1" applyAlignment="1">
      <alignment horizontal="left" vertical="top"/>
    </xf>
    <xf numFmtId="0" fontId="19" fillId="32" borderId="62" xfId="59" applyFont="1" applyFill="1" applyBorder="1" applyAlignment="1">
      <alignment horizontal="left" vertical="top"/>
    </xf>
    <xf numFmtId="0" fontId="19" fillId="32" borderId="68" xfId="59" applyFont="1" applyFill="1" applyBorder="1" applyAlignment="1">
      <alignment vertical="top"/>
    </xf>
    <xf numFmtId="1" fontId="19" fillId="32" borderId="48" xfId="59" applyNumberFormat="1" applyFont="1" applyFill="1" applyBorder="1" applyAlignment="1">
      <alignment horizontal="right" vertical="top"/>
    </xf>
    <xf numFmtId="0" fontId="0" fillId="0" borderId="0" xfId="59" applyFont="1" applyBorder="1" applyAlignment="1">
      <alignment vertical="top"/>
    </xf>
    <xf numFmtId="0" fontId="49" fillId="28" borderId="22" xfId="59" applyFont="1" applyFill="1" applyBorder="1" applyAlignment="1">
      <alignment horizontal="center"/>
    </xf>
    <xf numFmtId="0" fontId="49" fillId="28" borderId="23" xfId="59" applyFont="1" applyFill="1" applyBorder="1" applyAlignment="1">
      <alignment horizontal="center"/>
    </xf>
    <xf numFmtId="0" fontId="20" fillId="28" borderId="19" xfId="59" applyFont="1" applyFill="1" applyBorder="1" applyAlignment="1">
      <alignment horizontal="center"/>
    </xf>
    <xf numFmtId="0" fontId="20" fillId="28" borderId="69" xfId="59" applyFont="1" applyFill="1" applyBorder="1"/>
    <xf numFmtId="0" fontId="0" fillId="28" borderId="69" xfId="59" applyFont="1" applyFill="1" applyBorder="1"/>
    <xf numFmtId="0" fontId="20" fillId="28" borderId="22" xfId="59" applyFont="1" applyFill="1" applyBorder="1" applyAlignment="1">
      <alignment horizontal="center"/>
    </xf>
    <xf numFmtId="0" fontId="20" fillId="28" borderId="70" xfId="59" applyFont="1" applyFill="1" applyBorder="1"/>
    <xf numFmtId="0" fontId="0" fillId="28" borderId="70" xfId="59" applyFont="1" applyFill="1" applyBorder="1"/>
    <xf numFmtId="0" fontId="74" fillId="28" borderId="22" xfId="59" applyFont="1" applyFill="1" applyBorder="1" applyAlignment="1">
      <alignment horizontal="center"/>
    </xf>
    <xf numFmtId="0" fontId="74" fillId="28" borderId="70" xfId="59" applyFont="1" applyFill="1" applyBorder="1"/>
    <xf numFmtId="0" fontId="49" fillId="28" borderId="70" xfId="59" applyFont="1" applyFill="1" applyBorder="1"/>
    <xf numFmtId="0" fontId="74" fillId="28" borderId="24" xfId="59" applyFont="1" applyFill="1" applyBorder="1"/>
    <xf numFmtId="0" fontId="49" fillId="28" borderId="0" xfId="59" applyFont="1" applyFill="1" applyBorder="1"/>
    <xf numFmtId="164" fontId="71" fillId="0" borderId="11" xfId="59" applyNumberFormat="1" applyFont="1" applyBorder="1" applyAlignment="1">
      <alignment horizontal="right"/>
    </xf>
    <xf numFmtId="164" fontId="0" fillId="0" borderId="0" xfId="59" applyNumberFormat="1" applyFont="1" applyBorder="1" applyAlignment="1">
      <alignment horizontal="right"/>
    </xf>
    <xf numFmtId="164" fontId="19" fillId="0" borderId="69" xfId="59" applyNumberFormat="1" applyFont="1" applyFill="1" applyBorder="1" applyAlignment="1">
      <alignment horizontal="right"/>
    </xf>
    <xf numFmtId="164" fontId="19" fillId="0" borderId="70" xfId="59" applyNumberFormat="1" applyFont="1" applyFill="1" applyBorder="1" applyAlignment="1">
      <alignment horizontal="right"/>
    </xf>
    <xf numFmtId="164" fontId="75" fillId="28" borderId="70" xfId="59" applyNumberFormat="1" applyFont="1" applyFill="1" applyBorder="1" applyAlignment="1">
      <alignment horizontal="right"/>
    </xf>
    <xf numFmtId="0" fontId="0" fillId="0" borderId="0" xfId="59" applyFont="1" applyAlignment="1">
      <alignment horizontal="center"/>
    </xf>
    <xf numFmtId="0" fontId="17" fillId="0" borderId="0" xfId="59" applyFont="1" applyAlignment="1"/>
    <xf numFmtId="0" fontId="0" fillId="0" borderId="0" xfId="59" applyFont="1" applyAlignment="1">
      <alignment horizontal="center" wrapText="1"/>
    </xf>
    <xf numFmtId="172" fontId="0" fillId="0" borderId="0" xfId="59" applyNumberFormat="1" applyFont="1" applyAlignment="1">
      <alignment horizontal="center" wrapText="1"/>
    </xf>
    <xf numFmtId="0" fontId="45" fillId="33" borderId="71" xfId="59" applyFont="1" applyFill="1" applyBorder="1" applyAlignment="1" applyProtection="1">
      <alignment horizontal="center"/>
    </xf>
    <xf numFmtId="15" fontId="18" fillId="0" borderId="0" xfId="59" applyNumberFormat="1" applyFont="1" applyFill="1" applyAlignment="1" applyProtection="1">
      <alignment horizontal="center" vertical="center"/>
    </xf>
    <xf numFmtId="15" fontId="44" fillId="0" borderId="72" xfId="59" applyNumberFormat="1" applyFont="1" applyFill="1" applyBorder="1" applyAlignment="1" applyProtection="1">
      <alignment horizontal="center" vertical="center"/>
    </xf>
    <xf numFmtId="164" fontId="44" fillId="34" borderId="73" xfId="59" applyNumberFormat="1" applyFont="1" applyFill="1" applyBorder="1" applyAlignment="1" applyProtection="1">
      <alignment vertical="center"/>
    </xf>
    <xf numFmtId="164" fontId="48" fillId="35" borderId="74" xfId="59" applyNumberFormat="1" applyFont="1" applyFill="1" applyBorder="1" applyAlignment="1" applyProtection="1">
      <alignment horizontal="center"/>
    </xf>
    <xf numFmtId="15" fontId="18" fillId="0" borderId="0" xfId="59" applyNumberFormat="1" applyFont="1" applyFill="1" applyAlignment="1" applyProtection="1">
      <alignment horizontal="center"/>
    </xf>
    <xf numFmtId="15" fontId="44" fillId="0" borderId="75" xfId="59" applyNumberFormat="1" applyFont="1" applyFill="1" applyBorder="1" applyAlignment="1" applyProtection="1">
      <alignment horizontal="center" vertical="center"/>
    </xf>
    <xf numFmtId="164" fontId="44" fillId="36" borderId="75" xfId="59" applyNumberFormat="1" applyFont="1" applyFill="1" applyBorder="1" applyProtection="1"/>
    <xf numFmtId="164" fontId="44" fillId="34" borderId="74" xfId="59" applyNumberFormat="1" applyFont="1" applyFill="1" applyBorder="1" applyProtection="1"/>
    <xf numFmtId="164" fontId="44" fillId="34" borderId="74" xfId="59" applyNumberFormat="1" applyFont="1" applyFill="1" applyBorder="1" applyAlignment="1" applyProtection="1">
      <alignment vertical="center"/>
    </xf>
    <xf numFmtId="15" fontId="45" fillId="0" borderId="0" xfId="59" applyNumberFormat="1" applyFont="1" applyFill="1" applyAlignment="1" applyProtection="1">
      <alignment horizontal="center"/>
    </xf>
    <xf numFmtId="15" fontId="48" fillId="0" borderId="75" xfId="59" applyNumberFormat="1" applyFont="1" applyFill="1" applyBorder="1" applyAlignment="1" applyProtection="1">
      <alignment horizontal="center" vertical="center"/>
    </xf>
    <xf numFmtId="164" fontId="48" fillId="37" borderId="74" xfId="59" applyNumberFormat="1" applyFont="1" applyFill="1" applyBorder="1" applyProtection="1"/>
    <xf numFmtId="164" fontId="48" fillId="37" borderId="74" xfId="59" applyNumberFormat="1" applyFont="1" applyFill="1" applyBorder="1" applyAlignment="1" applyProtection="1">
      <alignment horizontal="right"/>
    </xf>
    <xf numFmtId="164" fontId="45" fillId="33" borderId="76" xfId="59" applyNumberFormat="1" applyFont="1" applyFill="1" applyBorder="1" applyAlignment="1" applyProtection="1">
      <alignment horizontal="center" wrapText="1"/>
    </xf>
    <xf numFmtId="0" fontId="48" fillId="0" borderId="0" xfId="59" applyFont="1"/>
    <xf numFmtId="164" fontId="44" fillId="0" borderId="74" xfId="59" applyNumberFormat="1" applyFont="1" applyFill="1" applyBorder="1" applyProtection="1"/>
    <xf numFmtId="164" fontId="44" fillId="0" borderId="74" xfId="59" applyNumberFormat="1" applyFont="1" applyFill="1" applyBorder="1" applyAlignment="1" applyProtection="1">
      <alignment vertical="center"/>
    </xf>
    <xf numFmtId="164" fontId="48" fillId="35" borderId="74" xfId="59" applyNumberFormat="1" applyFont="1" applyFill="1" applyBorder="1" applyAlignment="1" applyProtection="1">
      <alignment horizontal="center" vertical="center"/>
    </xf>
    <xf numFmtId="164" fontId="44" fillId="36" borderId="74" xfId="59" applyNumberFormat="1" applyFont="1" applyFill="1" applyBorder="1" applyAlignment="1" applyProtection="1">
      <alignment vertical="center"/>
    </xf>
    <xf numFmtId="164" fontId="44" fillId="36" borderId="75" xfId="59" applyNumberFormat="1" applyFont="1" applyFill="1" applyBorder="1" applyAlignment="1" applyProtection="1">
      <alignment vertical="center"/>
    </xf>
    <xf numFmtId="164" fontId="48" fillId="37" borderId="74" xfId="59" applyNumberFormat="1" applyFont="1" applyFill="1" applyBorder="1" applyAlignment="1" applyProtection="1">
      <alignment vertical="center"/>
    </xf>
    <xf numFmtId="164" fontId="48" fillId="37" borderId="74" xfId="59" applyNumberFormat="1" applyFont="1" applyFill="1" applyBorder="1" applyAlignment="1" applyProtection="1">
      <alignment horizontal="right" vertical="center"/>
    </xf>
    <xf numFmtId="164" fontId="44" fillId="0" borderId="76" xfId="59" applyNumberFormat="1" applyFont="1" applyFill="1" applyBorder="1" applyProtection="1"/>
    <xf numFmtId="0" fontId="76" fillId="0" borderId="0" xfId="59" applyFont="1"/>
    <xf numFmtId="15" fontId="76" fillId="0" borderId="75" xfId="59" applyNumberFormat="1" applyFont="1" applyFill="1" applyBorder="1" applyAlignment="1" applyProtection="1">
      <alignment horizontal="center" vertical="center"/>
    </xf>
    <xf numFmtId="14" fontId="76" fillId="0" borderId="0" xfId="59" applyNumberFormat="1" applyFont="1" applyFill="1" applyBorder="1" applyAlignment="1" applyProtection="1">
      <alignment horizontal="left" vertical="center" wrapText="1"/>
    </xf>
    <xf numFmtId="14" fontId="76" fillId="0" borderId="76" xfId="59" applyNumberFormat="1" applyFont="1" applyFill="1" applyBorder="1" applyAlignment="1" applyProtection="1">
      <alignment horizontal="left" vertical="center" wrapText="1"/>
    </xf>
    <xf numFmtId="164" fontId="19" fillId="0" borderId="77" xfId="59" applyNumberFormat="1" applyFont="1" applyFill="1" applyBorder="1" applyAlignment="1" applyProtection="1">
      <alignment vertical="center"/>
    </xf>
    <xf numFmtId="15" fontId="77" fillId="0" borderId="0" xfId="59" applyNumberFormat="1" applyFont="1" applyFill="1" applyAlignment="1" applyProtection="1">
      <alignment horizontal="center"/>
    </xf>
    <xf numFmtId="15" fontId="19" fillId="0" borderId="75" xfId="59" applyNumberFormat="1" applyFont="1" applyFill="1" applyBorder="1" applyAlignment="1" applyProtection="1">
      <alignment horizontal="center" vertical="center"/>
    </xf>
    <xf numFmtId="14" fontId="19" fillId="0" borderId="0" xfId="59" applyNumberFormat="1" applyFont="1" applyFill="1" applyBorder="1" applyAlignment="1" applyProtection="1">
      <alignment horizontal="left" vertical="center" wrapText="1"/>
    </xf>
    <xf numFmtId="14" fontId="19" fillId="0" borderId="76" xfId="59" applyNumberFormat="1" applyFont="1" applyFill="1" applyBorder="1" applyAlignment="1" applyProtection="1">
      <alignment horizontal="left" vertical="center" wrapText="1"/>
    </xf>
    <xf numFmtId="164" fontId="19" fillId="36" borderId="74" xfId="59" applyNumberFormat="1" applyFont="1" applyFill="1" applyBorder="1" applyAlignment="1" applyProtection="1">
      <alignment vertical="center"/>
    </xf>
    <xf numFmtId="0" fontId="19" fillId="0" borderId="0" xfId="59" applyFont="1"/>
    <xf numFmtId="164" fontId="19" fillId="0" borderId="78" xfId="59" applyNumberFormat="1" applyFont="1" applyFill="1" applyBorder="1" applyAlignment="1" applyProtection="1">
      <alignment vertical="center"/>
    </xf>
    <xf numFmtId="164" fontId="45" fillId="33" borderId="74" xfId="59" applyNumberFormat="1" applyFont="1" applyFill="1" applyBorder="1" applyAlignment="1" applyProtection="1">
      <alignment horizontal="center" vertical="center"/>
    </xf>
    <xf numFmtId="0" fontId="19" fillId="0" borderId="0" xfId="59" applyFont="1" applyAlignment="1">
      <alignment wrapText="1"/>
    </xf>
    <xf numFmtId="14" fontId="19" fillId="0" borderId="76" xfId="59" applyNumberFormat="1" applyFont="1" applyFill="1" applyBorder="1" applyAlignment="1" applyProtection="1">
      <alignment vertical="center" wrapText="1"/>
    </xf>
    <xf numFmtId="164" fontId="44" fillId="0" borderId="75" xfId="59" applyNumberFormat="1" applyFont="1" applyFill="1" applyBorder="1" applyProtection="1"/>
    <xf numFmtId="15" fontId="77" fillId="0" borderId="0" xfId="59" applyNumberFormat="1" applyFont="1" applyFill="1" applyAlignment="1" applyProtection="1"/>
    <xf numFmtId="0" fontId="19" fillId="0" borderId="0" xfId="59" applyFont="1" applyAlignment="1"/>
    <xf numFmtId="164" fontId="19" fillId="0" borderId="74" xfId="59" applyNumberFormat="1" applyFont="1" applyFill="1" applyBorder="1" applyAlignment="1" applyProtection="1">
      <alignment vertical="center"/>
    </xf>
    <xf numFmtId="164" fontId="19" fillId="0" borderId="75" xfId="59" applyNumberFormat="1" applyFont="1" applyFill="1" applyBorder="1" applyAlignment="1" applyProtection="1">
      <alignment vertical="center"/>
    </xf>
    <xf numFmtId="164" fontId="19" fillId="0" borderId="77" xfId="59" applyNumberFormat="1" applyFont="1" applyFill="1" applyBorder="1" applyAlignment="1" applyProtection="1">
      <alignment horizontal="right" vertical="center"/>
    </xf>
    <xf numFmtId="164" fontId="19" fillId="0" borderId="76" xfId="59" applyNumberFormat="1" applyFont="1" applyFill="1" applyBorder="1" applyAlignment="1" applyProtection="1">
      <alignment vertical="center"/>
    </xf>
    <xf numFmtId="164" fontId="20" fillId="35" borderId="74" xfId="59" applyNumberFormat="1" applyFont="1" applyFill="1" applyBorder="1" applyAlignment="1" applyProtection="1">
      <alignment horizontal="center" vertical="center"/>
    </xf>
    <xf numFmtId="164" fontId="19" fillId="0" borderId="78" xfId="59" applyNumberFormat="1" applyFont="1" applyFill="1" applyBorder="1" applyAlignment="1" applyProtection="1">
      <alignment horizontal="right" vertical="center"/>
    </xf>
    <xf numFmtId="164" fontId="45" fillId="33" borderId="76" xfId="59" applyNumberFormat="1" applyFont="1" applyFill="1" applyBorder="1" applyAlignment="1" applyProtection="1">
      <alignment horizontal="center" vertical="center" wrapText="1"/>
    </xf>
    <xf numFmtId="14" fontId="19" fillId="0" borderId="0" xfId="59" applyNumberFormat="1" applyFont="1" applyFill="1" applyBorder="1" applyAlignment="1" applyProtection="1">
      <alignment vertical="center" wrapText="1"/>
    </xf>
    <xf numFmtId="15" fontId="19" fillId="0" borderId="0" xfId="59" applyNumberFormat="1" applyFont="1" applyFill="1" applyBorder="1" applyAlignment="1" applyProtection="1">
      <alignment horizontal="left" vertical="center" wrapText="1"/>
    </xf>
    <xf numFmtId="164" fontId="20" fillId="35" borderId="76" xfId="59" applyNumberFormat="1" applyFont="1" applyFill="1" applyBorder="1" applyAlignment="1" applyProtection="1">
      <alignment horizontal="center" vertical="center"/>
    </xf>
    <xf numFmtId="164" fontId="19" fillId="36" borderId="74" xfId="59" applyNumberFormat="1" applyFont="1" applyFill="1" applyBorder="1" applyAlignment="1" applyProtection="1">
      <alignment horizontal="right" vertical="center"/>
    </xf>
    <xf numFmtId="164" fontId="45" fillId="33" borderId="74" xfId="59" applyNumberFormat="1" applyFont="1" applyFill="1" applyBorder="1" applyAlignment="1" applyProtection="1">
      <alignment horizontal="center" vertical="center" wrapText="1"/>
    </xf>
    <xf numFmtId="164" fontId="45" fillId="33" borderId="79" xfId="59" applyNumberFormat="1" applyFont="1" applyFill="1" applyBorder="1" applyAlignment="1" applyProtection="1">
      <alignment horizontal="center"/>
    </xf>
    <xf numFmtId="164" fontId="45" fillId="33" borderId="79" xfId="59" applyNumberFormat="1" applyFont="1" applyFill="1" applyBorder="1" applyProtection="1"/>
    <xf numFmtId="164" fontId="45" fillId="33" borderId="79" xfId="59" applyNumberFormat="1" applyFont="1" applyFill="1" applyBorder="1" applyAlignment="1" applyProtection="1">
      <alignment horizontal="center" wrapText="1"/>
    </xf>
    <xf numFmtId="9" fontId="48" fillId="0" borderId="0" xfId="75" applyFont="1" applyFill="1" applyBorder="1" applyAlignment="1" applyProtection="1">
      <alignment horizontal="center"/>
    </xf>
    <xf numFmtId="9" fontId="48" fillId="0" borderId="0" xfId="75" applyFont="1" applyFill="1" applyAlignment="1" applyProtection="1">
      <alignment horizontal="center" vertical="center"/>
    </xf>
    <xf numFmtId="9" fontId="44" fillId="0" borderId="80" xfId="75" applyFont="1" applyBorder="1" applyProtection="1"/>
    <xf numFmtId="165" fontId="44" fillId="0" borderId="80" xfId="75" applyNumberFormat="1" applyFont="1" applyFill="1" applyBorder="1" applyProtection="1"/>
    <xf numFmtId="9" fontId="78" fillId="0" borderId="80" xfId="75" quotePrefix="1" applyFont="1" applyFill="1" applyBorder="1" applyAlignment="1" applyProtection="1">
      <alignment horizontal="center" wrapText="1"/>
    </xf>
    <xf numFmtId="0" fontId="17" fillId="0" borderId="0" xfId="59" applyFont="1" applyAlignment="1">
      <alignment wrapText="1"/>
    </xf>
    <xf numFmtId="172" fontId="48" fillId="0" borderId="0" xfId="59" applyNumberFormat="1" applyFont="1" applyAlignment="1">
      <alignment horizontal="center" wrapText="1"/>
    </xf>
    <xf numFmtId="164" fontId="44" fillId="38" borderId="73" xfId="59" applyNumberFormat="1" applyFont="1" applyFill="1" applyBorder="1" applyAlignment="1" applyProtection="1">
      <alignment horizontal="right" vertical="center"/>
    </xf>
    <xf numFmtId="164" fontId="44" fillId="34" borderId="73" xfId="59" applyNumberFormat="1" applyFont="1" applyFill="1" applyBorder="1" applyAlignment="1" applyProtection="1">
      <alignment horizontal="right" vertical="center"/>
    </xf>
    <xf numFmtId="164" fontId="44" fillId="38" borderId="75" xfId="59" applyNumberFormat="1" applyFont="1" applyFill="1" applyBorder="1" applyAlignment="1" applyProtection="1">
      <alignment horizontal="right"/>
    </xf>
    <xf numFmtId="164" fontId="44" fillId="34" borderId="74" xfId="59" applyNumberFormat="1" applyFont="1" applyFill="1" applyBorder="1" applyAlignment="1" applyProtection="1">
      <alignment horizontal="right"/>
    </xf>
    <xf numFmtId="164" fontId="44" fillId="34" borderId="74" xfId="59" applyNumberFormat="1" applyFont="1" applyFill="1" applyBorder="1" applyAlignment="1" applyProtection="1">
      <alignment horizontal="right" vertical="center"/>
    </xf>
    <xf numFmtId="164" fontId="48" fillId="39" borderId="74" xfId="59" applyNumberFormat="1" applyFont="1" applyFill="1" applyBorder="1" applyAlignment="1" applyProtection="1">
      <alignment horizontal="right"/>
    </xf>
    <xf numFmtId="164" fontId="44" fillId="38" borderId="75" xfId="59" applyNumberFormat="1" applyFont="1" applyFill="1" applyBorder="1" applyAlignment="1" applyProtection="1">
      <alignment horizontal="right" vertical="center"/>
    </xf>
    <xf numFmtId="164" fontId="44" fillId="0" borderId="74" xfId="59" applyNumberFormat="1" applyFont="1" applyFill="1" applyBorder="1" applyAlignment="1" applyProtection="1">
      <alignment horizontal="right" vertical="center"/>
    </xf>
    <xf numFmtId="164" fontId="44" fillId="0" borderId="76" xfId="59" applyNumberFormat="1" applyFont="1" applyFill="1" applyBorder="1" applyAlignment="1" applyProtection="1">
      <alignment horizontal="right" vertical="center"/>
    </xf>
    <xf numFmtId="164" fontId="44" fillId="0" borderId="74" xfId="59" applyNumberFormat="1" applyFont="1" applyFill="1" applyBorder="1" applyAlignment="1" applyProtection="1">
      <alignment horizontal="right"/>
    </xf>
    <xf numFmtId="164" fontId="44" fillId="38" borderId="74" xfId="59" applyNumberFormat="1" applyFont="1" applyFill="1" applyBorder="1" applyAlignment="1" applyProtection="1">
      <alignment horizontal="right" vertical="center"/>
    </xf>
    <xf numFmtId="164" fontId="44" fillId="38" borderId="81" xfId="59" applyNumberFormat="1" applyFont="1" applyFill="1" applyBorder="1" applyAlignment="1" applyProtection="1">
      <alignment horizontal="right" vertical="center"/>
    </xf>
    <xf numFmtId="164" fontId="44" fillId="0" borderId="76" xfId="59" applyNumberFormat="1" applyFont="1" applyFill="1" applyBorder="1" applyAlignment="1" applyProtection="1">
      <alignment horizontal="right"/>
    </xf>
    <xf numFmtId="1" fontId="19" fillId="38" borderId="75" xfId="59" applyNumberFormat="1" applyFont="1" applyFill="1" applyBorder="1" applyAlignment="1" applyProtection="1">
      <alignment horizontal="right" vertical="center"/>
    </xf>
    <xf numFmtId="1" fontId="19" fillId="0" borderId="76" xfId="59" applyNumberFormat="1" applyFont="1" applyFill="1" applyBorder="1" applyAlignment="1" applyProtection="1">
      <alignment horizontal="right"/>
    </xf>
    <xf numFmtId="1" fontId="19" fillId="0" borderId="74" xfId="59" applyNumberFormat="1" applyFont="1" applyFill="1" applyBorder="1" applyAlignment="1" applyProtection="1">
      <alignment horizontal="right"/>
    </xf>
    <xf numFmtId="164" fontId="63" fillId="0" borderId="78" xfId="59" applyNumberFormat="1" applyFont="1" applyFill="1" applyBorder="1" applyAlignment="1" applyProtection="1">
      <alignment horizontal="right" vertical="center"/>
    </xf>
    <xf numFmtId="164" fontId="44" fillId="0" borderId="75" xfId="59" applyNumberFormat="1" applyFont="1" applyFill="1" applyBorder="1" applyAlignment="1" applyProtection="1">
      <alignment horizontal="right" vertical="center"/>
    </xf>
    <xf numFmtId="164" fontId="19" fillId="38" borderId="74" xfId="59" applyNumberFormat="1" applyFont="1" applyFill="1" applyBorder="1" applyAlignment="1" applyProtection="1">
      <alignment horizontal="right" vertical="center"/>
    </xf>
    <xf numFmtId="164" fontId="44" fillId="0" borderId="75" xfId="59" applyNumberFormat="1" applyFont="1" applyFill="1" applyBorder="1" applyAlignment="1" applyProtection="1">
      <alignment horizontal="right"/>
    </xf>
    <xf numFmtId="0" fontId="17" fillId="0" borderId="0" xfId="59" applyFont="1"/>
    <xf numFmtId="15" fontId="17" fillId="0" borderId="75" xfId="59" applyNumberFormat="1" applyFont="1" applyFill="1" applyBorder="1" applyAlignment="1" applyProtection="1">
      <alignment horizontal="center" vertical="center"/>
    </xf>
    <xf numFmtId="164" fontId="17" fillId="38" borderId="74" xfId="59" applyNumberFormat="1" applyFont="1" applyFill="1" applyBorder="1" applyAlignment="1" applyProtection="1">
      <alignment horizontal="right" vertical="center"/>
    </xf>
    <xf numFmtId="164" fontId="17" fillId="0" borderId="74" xfId="59" applyNumberFormat="1" applyFont="1" applyFill="1" applyBorder="1" applyAlignment="1" applyProtection="1">
      <alignment horizontal="right"/>
    </xf>
    <xf numFmtId="164" fontId="17" fillId="0" borderId="74" xfId="59" applyNumberFormat="1" applyFont="1" applyFill="1" applyBorder="1" applyAlignment="1" applyProtection="1">
      <alignment horizontal="right" vertical="center"/>
    </xf>
    <xf numFmtId="164" fontId="46" fillId="35" borderId="74" xfId="59" applyNumberFormat="1" applyFont="1" applyFill="1" applyBorder="1" applyAlignment="1" applyProtection="1">
      <alignment horizontal="center" vertical="center"/>
    </xf>
    <xf numFmtId="164" fontId="19" fillId="0" borderId="74" xfId="59" applyNumberFormat="1" applyFont="1" applyFill="1" applyBorder="1" applyAlignment="1" applyProtection="1">
      <alignment horizontal="right" vertical="center"/>
    </xf>
    <xf numFmtId="164" fontId="19" fillId="0" borderId="75" xfId="59" applyNumberFormat="1" applyFont="1" applyFill="1" applyBorder="1" applyAlignment="1" applyProtection="1">
      <alignment horizontal="right" vertical="center"/>
    </xf>
    <xf numFmtId="164" fontId="19" fillId="0" borderId="76" xfId="59" applyNumberFormat="1" applyFont="1" applyFill="1" applyBorder="1" applyAlignment="1" applyProtection="1">
      <alignment horizontal="right" vertical="center"/>
    </xf>
    <xf numFmtId="164" fontId="44" fillId="0" borderId="82" xfId="59" applyNumberFormat="1" applyFont="1" applyFill="1" applyBorder="1" applyAlignment="1" applyProtection="1">
      <alignment horizontal="right" vertical="center"/>
    </xf>
    <xf numFmtId="164" fontId="18" fillId="33" borderId="79" xfId="59" applyNumberFormat="1" applyFont="1" applyFill="1" applyBorder="1" applyAlignment="1" applyProtection="1">
      <alignment horizontal="center"/>
    </xf>
    <xf numFmtId="164" fontId="79" fillId="33" borderId="79" xfId="59" applyNumberFormat="1" applyFont="1" applyFill="1" applyBorder="1" applyAlignment="1" applyProtection="1">
      <alignment horizontal="right"/>
    </xf>
    <xf numFmtId="165" fontId="48" fillId="0" borderId="80" xfId="75" applyNumberFormat="1" applyFont="1" applyFill="1" applyBorder="1" applyProtection="1"/>
    <xf numFmtId="1" fontId="48" fillId="40" borderId="73" xfId="59" applyNumberFormat="1" applyFont="1" applyFill="1" applyBorder="1" applyAlignment="1" applyProtection="1">
      <alignment horizontal="center" vertical="center"/>
    </xf>
    <xf numFmtId="1" fontId="48" fillId="34" borderId="73" xfId="59" applyNumberFormat="1" applyFont="1" applyFill="1" applyBorder="1" applyAlignment="1" applyProtection="1">
      <alignment horizontal="center" vertical="center"/>
    </xf>
    <xf numFmtId="1" fontId="45" fillId="33" borderId="76" xfId="59" applyNumberFormat="1" applyFont="1" applyFill="1" applyBorder="1" applyAlignment="1" applyProtection="1">
      <alignment horizontal="center" wrapText="1"/>
    </xf>
    <xf numFmtId="1" fontId="70" fillId="40" borderId="73" xfId="59" applyNumberFormat="1" applyFont="1" applyFill="1" applyBorder="1" applyAlignment="1" applyProtection="1">
      <alignment horizontal="center" vertical="center"/>
    </xf>
    <xf numFmtId="1" fontId="70" fillId="34" borderId="73" xfId="59" applyNumberFormat="1" applyFont="1" applyFill="1" applyBorder="1" applyAlignment="1" applyProtection="1">
      <alignment horizontal="center" vertical="center"/>
    </xf>
    <xf numFmtId="1" fontId="48" fillId="28" borderId="75" xfId="59" applyNumberFormat="1" applyFont="1" applyFill="1" applyBorder="1" applyAlignment="1" applyProtection="1">
      <alignment horizontal="center"/>
    </xf>
    <xf numFmtId="1" fontId="48" fillId="34" borderId="74" xfId="59" applyNumberFormat="1" applyFont="1" applyFill="1" applyBorder="1" applyAlignment="1" applyProtection="1">
      <alignment horizontal="center"/>
    </xf>
    <xf numFmtId="1" fontId="70" fillId="28" borderId="75" xfId="59" applyNumberFormat="1" applyFont="1" applyFill="1" applyBorder="1" applyAlignment="1" applyProtection="1">
      <alignment horizontal="center"/>
    </xf>
    <xf numFmtId="1" fontId="70" fillId="34" borderId="74" xfId="59" applyNumberFormat="1" applyFont="1" applyFill="1" applyBorder="1" applyAlignment="1" applyProtection="1">
      <alignment horizontal="center"/>
    </xf>
    <xf numFmtId="1" fontId="48" fillId="28" borderId="74" xfId="59" applyNumberFormat="1" applyFont="1" applyFill="1" applyBorder="1" applyAlignment="1" applyProtection="1">
      <alignment horizontal="center"/>
    </xf>
    <xf numFmtId="1" fontId="70" fillId="28" borderId="74" xfId="59" applyNumberFormat="1" applyFont="1" applyFill="1" applyBorder="1" applyAlignment="1" applyProtection="1">
      <alignment horizontal="center"/>
    </xf>
    <xf numFmtId="1" fontId="48" fillId="37" borderId="74" xfId="59" applyNumberFormat="1" applyFont="1" applyFill="1" applyBorder="1" applyAlignment="1" applyProtection="1">
      <alignment horizontal="center"/>
    </xf>
    <xf numFmtId="1" fontId="48" fillId="28" borderId="83" xfId="59" applyNumberFormat="1" applyFont="1" applyFill="1" applyBorder="1" applyAlignment="1" applyProtection="1">
      <alignment horizontal="center"/>
    </xf>
    <xf numFmtId="1" fontId="48" fillId="39" borderId="74" xfId="59" applyNumberFormat="1" applyFont="1" applyFill="1" applyBorder="1" applyAlignment="1" applyProtection="1">
      <alignment horizontal="center"/>
    </xf>
    <xf numFmtId="1" fontId="70" fillId="37" borderId="74" xfId="59" applyNumberFormat="1" applyFont="1" applyFill="1" applyBorder="1" applyAlignment="1" applyProtection="1">
      <alignment horizontal="center"/>
    </xf>
    <xf numFmtId="1" fontId="70" fillId="28" borderId="83" xfId="59" applyNumberFormat="1" applyFont="1" applyFill="1" applyBorder="1" applyAlignment="1" applyProtection="1">
      <alignment horizontal="center"/>
    </xf>
    <xf numFmtId="1" fontId="70" fillId="39" borderId="74" xfId="59" applyNumberFormat="1" applyFont="1" applyFill="1" applyBorder="1" applyAlignment="1" applyProtection="1">
      <alignment horizontal="center"/>
    </xf>
    <xf numFmtId="1" fontId="48" fillId="36" borderId="74" xfId="59" applyNumberFormat="1" applyFont="1" applyFill="1" applyBorder="1" applyAlignment="1" applyProtection="1">
      <alignment horizontal="center" vertical="center"/>
    </xf>
    <xf numFmtId="1" fontId="48" fillId="28" borderId="74" xfId="59" applyNumberFormat="1" applyFont="1" applyFill="1" applyBorder="1" applyAlignment="1" applyProtection="1">
      <alignment horizontal="center" vertical="center"/>
    </xf>
    <xf numFmtId="1" fontId="70" fillId="36" borderId="74" xfId="59" applyNumberFormat="1" applyFont="1" applyFill="1" applyBorder="1" applyAlignment="1" applyProtection="1">
      <alignment horizontal="center" vertical="center"/>
    </xf>
    <xf numFmtId="1" fontId="70" fillId="28" borderId="74" xfId="59" applyNumberFormat="1" applyFont="1" applyFill="1" applyBorder="1" applyAlignment="1" applyProtection="1">
      <alignment horizontal="center" vertical="center"/>
    </xf>
    <xf numFmtId="1" fontId="48" fillId="41" borderId="74" xfId="59" applyNumberFormat="1" applyFont="1" applyFill="1" applyBorder="1" applyAlignment="1" applyProtection="1">
      <alignment horizontal="center" vertical="center"/>
    </xf>
    <xf numFmtId="1" fontId="70" fillId="41" borderId="74" xfId="59" applyNumberFormat="1" applyFont="1" applyFill="1" applyBorder="1" applyAlignment="1" applyProtection="1">
      <alignment horizontal="center" vertical="center"/>
    </xf>
    <xf numFmtId="1" fontId="48" fillId="37" borderId="74" xfId="59" applyNumberFormat="1" applyFont="1" applyFill="1" applyBorder="1" applyAlignment="1" applyProtection="1">
      <alignment horizontal="center" vertical="center"/>
    </xf>
    <xf numFmtId="1" fontId="70" fillId="37" borderId="74" xfId="59" applyNumberFormat="1" applyFont="1" applyFill="1" applyBorder="1" applyAlignment="1" applyProtection="1">
      <alignment horizontal="center" vertical="center"/>
    </xf>
    <xf numFmtId="1" fontId="80" fillId="36" borderId="74" xfId="59" applyNumberFormat="1" applyFont="1" applyFill="1" applyBorder="1" applyAlignment="1" applyProtection="1">
      <alignment horizontal="center" vertical="center"/>
    </xf>
    <xf numFmtId="1" fontId="80" fillId="28" borderId="74" xfId="59" applyNumberFormat="1" applyFont="1" applyFill="1" applyBorder="1" applyAlignment="1" applyProtection="1">
      <alignment horizontal="center" vertical="center"/>
    </xf>
    <xf numFmtId="1" fontId="80" fillId="34" borderId="74" xfId="59" applyNumberFormat="1" applyFont="1" applyFill="1" applyBorder="1" applyAlignment="1" applyProtection="1">
      <alignment horizontal="center"/>
    </xf>
    <xf numFmtId="1" fontId="48" fillId="36" borderId="81" xfId="59" applyNumberFormat="1" applyFont="1" applyFill="1" applyBorder="1" applyAlignment="1" applyProtection="1">
      <alignment horizontal="center" vertical="center"/>
    </xf>
    <xf numFmtId="1" fontId="70" fillId="36" borderId="81" xfId="59" applyNumberFormat="1" applyFont="1" applyFill="1" applyBorder="1" applyAlignment="1" applyProtection="1">
      <alignment horizontal="center" vertical="center"/>
    </xf>
    <xf numFmtId="1" fontId="20" fillId="28" borderId="77" xfId="59" applyNumberFormat="1" applyFont="1" applyFill="1" applyBorder="1" applyAlignment="1" applyProtection="1">
      <alignment horizontal="center" vertical="center"/>
    </xf>
    <xf numFmtId="1" fontId="70" fillId="28" borderId="77" xfId="59" applyNumberFormat="1" applyFont="1" applyFill="1" applyBorder="1" applyAlignment="1" applyProtection="1">
      <alignment horizontal="center" vertical="center"/>
    </xf>
    <xf numFmtId="1" fontId="20" fillId="28" borderId="78" xfId="59" applyNumberFormat="1" applyFont="1" applyFill="1" applyBorder="1" applyAlignment="1" applyProtection="1">
      <alignment horizontal="center" vertical="center"/>
    </xf>
    <xf numFmtId="1" fontId="70" fillId="28" borderId="78" xfId="59" applyNumberFormat="1" applyFont="1" applyFill="1" applyBorder="1" applyAlignment="1" applyProtection="1">
      <alignment horizontal="center" vertical="center"/>
    </xf>
    <xf numFmtId="1" fontId="20" fillId="36" borderId="74" xfId="59" applyNumberFormat="1" applyFont="1" applyFill="1" applyBorder="1" applyAlignment="1" applyProtection="1">
      <alignment horizontal="center" vertical="center"/>
    </xf>
    <xf numFmtId="1" fontId="48" fillId="42" borderId="74" xfId="59" applyNumberFormat="1" applyFont="1" applyFill="1" applyBorder="1" applyAlignment="1" applyProtection="1">
      <alignment horizontal="center"/>
    </xf>
    <xf numFmtId="1" fontId="70" fillId="42" borderId="74" xfId="59" applyNumberFormat="1" applyFont="1" applyFill="1" applyBorder="1" applyAlignment="1" applyProtection="1">
      <alignment horizontal="center"/>
    </xf>
    <xf numFmtId="1" fontId="20" fillId="0" borderId="74" xfId="59" applyNumberFormat="1" applyFont="1" applyFill="1" applyBorder="1" applyAlignment="1" applyProtection="1">
      <alignment horizontal="center" vertical="center"/>
    </xf>
    <xf numFmtId="1" fontId="70" fillId="0" borderId="74" xfId="59" applyNumberFormat="1" applyFont="1" applyFill="1" applyBorder="1" applyAlignment="1" applyProtection="1">
      <alignment horizontal="center" vertical="center"/>
    </xf>
    <xf numFmtId="1" fontId="48" fillId="40" borderId="74" xfId="59" applyNumberFormat="1" applyFont="1" applyFill="1" applyBorder="1" applyAlignment="1" applyProtection="1">
      <alignment horizontal="center" vertical="center"/>
    </xf>
    <xf numFmtId="1" fontId="48" fillId="34" borderId="75" xfId="59" applyNumberFormat="1" applyFont="1" applyFill="1" applyBorder="1" applyAlignment="1" applyProtection="1">
      <alignment horizontal="center"/>
    </xf>
    <xf numFmtId="1" fontId="48" fillId="34" borderId="76" xfId="59" applyNumberFormat="1" applyFont="1" applyFill="1" applyBorder="1" applyAlignment="1" applyProtection="1">
      <alignment horizontal="center"/>
    </xf>
    <xf numFmtId="1" fontId="70" fillId="40" borderId="74" xfId="59" applyNumberFormat="1" applyFont="1" applyFill="1" applyBorder="1" applyAlignment="1" applyProtection="1">
      <alignment horizontal="center" vertical="center"/>
    </xf>
    <xf numFmtId="1" fontId="70" fillId="34" borderId="75" xfId="59" applyNumberFormat="1" applyFont="1" applyFill="1" applyBorder="1" applyAlignment="1" applyProtection="1">
      <alignment horizontal="center"/>
    </xf>
    <xf numFmtId="1" fontId="70" fillId="34" borderId="76" xfId="59" applyNumberFormat="1" applyFont="1" applyFill="1" applyBorder="1" applyAlignment="1" applyProtection="1">
      <alignment horizontal="center"/>
    </xf>
    <xf numFmtId="1" fontId="20" fillId="40" borderId="77" xfId="59" applyNumberFormat="1" applyFont="1" applyFill="1" applyBorder="1" applyAlignment="1" applyProtection="1">
      <alignment horizontal="center" vertical="center"/>
    </xf>
    <xf numFmtId="1" fontId="70" fillId="40" borderId="77" xfId="59" applyNumberFormat="1" applyFont="1" applyFill="1" applyBorder="1" applyAlignment="1" applyProtection="1">
      <alignment horizontal="center" vertical="center"/>
    </xf>
    <xf numFmtId="1" fontId="20" fillId="40" borderId="78" xfId="59" applyNumberFormat="1" applyFont="1" applyFill="1" applyBorder="1" applyAlignment="1" applyProtection="1">
      <alignment horizontal="center" vertical="center"/>
    </xf>
    <xf numFmtId="1" fontId="70" fillId="40" borderId="78" xfId="59" applyNumberFormat="1" applyFont="1" applyFill="1" applyBorder="1" applyAlignment="1" applyProtection="1">
      <alignment horizontal="center" vertical="center"/>
    </xf>
    <xf numFmtId="1" fontId="20" fillId="28" borderId="74" xfId="59" applyNumberFormat="1" applyFont="1" applyFill="1" applyBorder="1" applyAlignment="1" applyProtection="1">
      <alignment horizontal="center" vertical="center"/>
    </xf>
    <xf numFmtId="1" fontId="79" fillId="33" borderId="79" xfId="59" applyNumberFormat="1" applyFont="1" applyFill="1" applyBorder="1" applyAlignment="1" applyProtection="1">
      <alignment horizontal="center"/>
    </xf>
    <xf numFmtId="1" fontId="81" fillId="33" borderId="79" xfId="59" applyNumberFormat="1" applyFont="1" applyFill="1" applyBorder="1" applyAlignment="1" applyProtection="1">
      <alignment horizontal="center"/>
    </xf>
    <xf numFmtId="1" fontId="48" fillId="0" borderId="80" xfId="75" applyNumberFormat="1" applyFont="1" applyBorder="1" applyAlignment="1" applyProtection="1">
      <alignment horizontal="center"/>
    </xf>
    <xf numFmtId="1" fontId="48" fillId="0" borderId="80" xfId="75" applyNumberFormat="1" applyFont="1" applyFill="1" applyBorder="1" applyAlignment="1" applyProtection="1">
      <alignment horizontal="center"/>
    </xf>
    <xf numFmtId="1" fontId="20" fillId="0" borderId="0" xfId="59" applyNumberFormat="1" applyFont="1" applyAlignment="1">
      <alignment horizontal="center"/>
    </xf>
    <xf numFmtId="1" fontId="20" fillId="0" borderId="0" xfId="59" applyNumberFormat="1" applyFont="1" applyFill="1" applyBorder="1" applyAlignment="1" applyProtection="1">
      <alignment horizontal="center" vertical="center"/>
    </xf>
    <xf numFmtId="0" fontId="20" fillId="0" borderId="0" xfId="59" applyFont="1" applyAlignment="1">
      <alignment horizontal="center"/>
    </xf>
    <xf numFmtId="14" fontId="19" fillId="0" borderId="0" xfId="59" applyNumberFormat="1" applyFont="1" applyFill="1" applyBorder="1" applyAlignment="1" applyProtection="1">
      <alignment horizontal="center" vertical="center"/>
    </xf>
    <xf numFmtId="14" fontId="19" fillId="0" borderId="72" xfId="59" applyNumberFormat="1" applyFont="1" applyFill="1" applyBorder="1" applyAlignment="1" applyProtection="1">
      <alignment horizontal="center" vertical="center"/>
    </xf>
    <xf numFmtId="0" fontId="19" fillId="0" borderId="84" xfId="59" applyFont="1" applyBorder="1" applyAlignment="1">
      <alignment horizontal="center"/>
    </xf>
    <xf numFmtId="14" fontId="19" fillId="0" borderId="84" xfId="59" applyNumberFormat="1" applyFont="1" applyFill="1" applyBorder="1" applyAlignment="1" applyProtection="1">
      <alignment horizontal="center" vertical="center"/>
    </xf>
    <xf numFmtId="0" fontId="19" fillId="0" borderId="0" xfId="59" applyFont="1" applyAlignment="1">
      <alignment horizontal="center"/>
    </xf>
    <xf numFmtId="0" fontId="19" fillId="0" borderId="75" xfId="59" applyFont="1" applyBorder="1" applyAlignment="1">
      <alignment horizontal="center"/>
    </xf>
    <xf numFmtId="0" fontId="19" fillId="0" borderId="85" xfId="59" applyFont="1" applyBorder="1" applyAlignment="1">
      <alignment horizontal="center"/>
    </xf>
    <xf numFmtId="0" fontId="74" fillId="0" borderId="0" xfId="59" applyFont="1" applyAlignment="1">
      <alignment horizontal="center"/>
    </xf>
    <xf numFmtId="0" fontId="19" fillId="0" borderId="0" xfId="59" applyFont="1" applyBorder="1" applyAlignment="1">
      <alignment horizontal="center"/>
    </xf>
    <xf numFmtId="0" fontId="19" fillId="0" borderId="72" xfId="59" applyFont="1" applyBorder="1" applyAlignment="1">
      <alignment horizontal="center"/>
    </xf>
    <xf numFmtId="0" fontId="19" fillId="0" borderId="79" xfId="59" applyFont="1" applyBorder="1" applyAlignment="1">
      <alignment horizontal="center"/>
    </xf>
    <xf numFmtId="0" fontId="19" fillId="0" borderId="86" xfId="59" applyFont="1" applyBorder="1" applyAlignment="1">
      <alignment horizontal="center"/>
    </xf>
    <xf numFmtId="0" fontId="19" fillId="0" borderId="80" xfId="59" applyFont="1" applyBorder="1" applyAlignment="1">
      <alignment horizontal="center"/>
    </xf>
    <xf numFmtId="0" fontId="75" fillId="36" borderId="0" xfId="59" applyFont="1" applyFill="1" applyBorder="1" applyAlignment="1">
      <alignment horizontal="center"/>
    </xf>
    <xf numFmtId="0" fontId="49" fillId="36" borderId="0" xfId="59" applyFont="1" applyFill="1" applyBorder="1"/>
    <xf numFmtId="164" fontId="49" fillId="36" borderId="0" xfId="59" applyNumberFormat="1" applyFont="1" applyFill="1" applyBorder="1" applyAlignment="1">
      <alignment horizontal="center"/>
    </xf>
    <xf numFmtId="165" fontId="49" fillId="36" borderId="0" xfId="75" applyNumberFormat="1" applyFont="1" applyFill="1" applyBorder="1" applyAlignment="1"/>
    <xf numFmtId="0" fontId="75" fillId="36" borderId="79" xfId="59" applyFont="1" applyFill="1" applyBorder="1" applyAlignment="1">
      <alignment horizontal="center"/>
    </xf>
    <xf numFmtId="0" fontId="49" fillId="36" borderId="79" xfId="59" applyFont="1" applyFill="1" applyBorder="1"/>
    <xf numFmtId="0" fontId="49" fillId="36" borderId="79" xfId="59" applyFont="1" applyFill="1" applyBorder="1" applyAlignment="1">
      <alignment horizontal="center"/>
    </xf>
    <xf numFmtId="165" fontId="49" fillId="36" borderId="79" xfId="75" applyNumberFormat="1" applyFont="1" applyFill="1" applyBorder="1"/>
    <xf numFmtId="0" fontId="75" fillId="0" borderId="85" xfId="59" applyFont="1" applyBorder="1" applyAlignment="1">
      <alignment horizontal="center"/>
    </xf>
    <xf numFmtId="14" fontId="19" fillId="0" borderId="87" xfId="59" applyNumberFormat="1" applyFont="1" applyFill="1" applyBorder="1" applyAlignment="1" applyProtection="1">
      <alignment horizontal="center" vertical="center"/>
    </xf>
    <xf numFmtId="0" fontId="19" fillId="0" borderId="88" xfId="59" applyFont="1" applyBorder="1" applyAlignment="1">
      <alignment horizontal="center"/>
    </xf>
    <xf numFmtId="0" fontId="19" fillId="0" borderId="89" xfId="59" applyFont="1" applyBorder="1" applyAlignment="1">
      <alignment horizontal="center"/>
    </xf>
    <xf numFmtId="0" fontId="19" fillId="0" borderId="90" xfId="59" applyFont="1" applyBorder="1" applyAlignment="1">
      <alignment horizontal="center"/>
    </xf>
    <xf numFmtId="14" fontId="19" fillId="0" borderId="91" xfId="59" applyNumberFormat="1" applyFont="1" applyFill="1" applyBorder="1" applyAlignment="1" applyProtection="1">
      <alignment horizontal="center" vertical="center"/>
    </xf>
    <xf numFmtId="0" fontId="19" fillId="0" borderId="91" xfId="59" applyFont="1" applyBorder="1" applyAlignment="1">
      <alignment horizontal="center"/>
    </xf>
    <xf numFmtId="0" fontId="44" fillId="0" borderId="0" xfId="59" applyFont="1" applyAlignment="1">
      <alignment horizontal="center"/>
    </xf>
    <xf numFmtId="0" fontId="20" fillId="32" borderId="72" xfId="59" applyFont="1" applyFill="1" applyBorder="1" applyAlignment="1">
      <alignment horizontal="center"/>
    </xf>
    <xf numFmtId="0" fontId="48" fillId="32" borderId="84" xfId="59" applyFont="1" applyFill="1" applyBorder="1" applyAlignment="1"/>
    <xf numFmtId="0" fontId="48" fillId="32" borderId="84" xfId="59" applyFont="1" applyFill="1" applyBorder="1" applyAlignment="1">
      <alignment horizontal="center"/>
    </xf>
    <xf numFmtId="1" fontId="48" fillId="32" borderId="84" xfId="59" applyNumberFormat="1" applyFont="1" applyFill="1" applyBorder="1" applyAlignment="1"/>
    <xf numFmtId="0" fontId="44" fillId="0" borderId="0" xfId="59" applyFont="1" applyAlignment="1"/>
    <xf numFmtId="14" fontId="44" fillId="0" borderId="84" xfId="59" applyNumberFormat="1" applyFont="1" applyBorder="1" applyAlignment="1"/>
    <xf numFmtId="164" fontId="44" fillId="0" borderId="84" xfId="59" applyNumberFormat="1" applyFont="1" applyBorder="1" applyAlignment="1">
      <alignment horizontal="center"/>
    </xf>
    <xf numFmtId="1" fontId="44" fillId="0" borderId="84" xfId="59" applyNumberFormat="1" applyFont="1" applyBorder="1" applyAlignment="1"/>
    <xf numFmtId="164" fontId="44" fillId="0" borderId="0" xfId="59" applyNumberFormat="1" applyFont="1" applyAlignment="1"/>
    <xf numFmtId="164" fontId="44" fillId="0" borderId="0" xfId="59" applyNumberFormat="1" applyFont="1" applyBorder="1" applyAlignment="1">
      <alignment horizontal="center"/>
    </xf>
    <xf numFmtId="1" fontId="44" fillId="0" borderId="0" xfId="59" applyNumberFormat="1" applyFont="1" applyBorder="1" applyAlignment="1"/>
    <xf numFmtId="164" fontId="44" fillId="0" borderId="0" xfId="59" applyNumberFormat="1" applyFont="1" applyBorder="1" applyAlignment="1"/>
    <xf numFmtId="0" fontId="44" fillId="0" borderId="84" xfId="59" applyFont="1" applyBorder="1"/>
    <xf numFmtId="1" fontId="44" fillId="0" borderId="84" xfId="59" applyNumberFormat="1" applyFont="1" applyBorder="1" applyAlignment="1">
      <alignment horizontal="center"/>
    </xf>
    <xf numFmtId="0" fontId="44" fillId="0" borderId="0" xfId="59" applyFont="1" applyBorder="1" applyAlignment="1">
      <alignment horizontal="center"/>
    </xf>
    <xf numFmtId="0" fontId="44" fillId="0" borderId="79" xfId="59" applyFont="1" applyBorder="1"/>
    <xf numFmtId="1" fontId="44" fillId="0" borderId="79" xfId="59" applyNumberFormat="1" applyFont="1" applyBorder="1"/>
    <xf numFmtId="0" fontId="20" fillId="38" borderId="92" xfId="59" applyFont="1" applyFill="1" applyBorder="1" applyAlignment="1">
      <alignment horizontal="center"/>
    </xf>
    <xf numFmtId="0" fontId="48" fillId="38" borderId="93" xfId="59" applyFont="1" applyFill="1" applyBorder="1" applyAlignment="1"/>
    <xf numFmtId="0" fontId="48" fillId="38" borderId="93" xfId="59" applyFont="1" applyFill="1" applyBorder="1" applyAlignment="1">
      <alignment horizontal="center"/>
    </xf>
    <xf numFmtId="1" fontId="48" fillId="38" borderId="93" xfId="59" applyNumberFormat="1" applyFont="1" applyFill="1" applyBorder="1" applyAlignment="1"/>
    <xf numFmtId="0" fontId="19" fillId="38" borderId="0" xfId="59" applyFont="1" applyFill="1" applyBorder="1" applyAlignment="1">
      <alignment horizontal="center"/>
    </xf>
    <xf numFmtId="0" fontId="44" fillId="38" borderId="0" xfId="59" applyFont="1" applyFill="1" applyBorder="1"/>
    <xf numFmtId="1" fontId="44" fillId="38" borderId="0" xfId="59" applyNumberFormat="1" applyFont="1" applyFill="1" applyBorder="1" applyAlignment="1">
      <alignment horizontal="center"/>
    </xf>
    <xf numFmtId="1" fontId="44" fillId="38" borderId="0" xfId="59" applyNumberFormat="1" applyFont="1" applyFill="1" applyBorder="1" applyAlignment="1"/>
    <xf numFmtId="164" fontId="44" fillId="38" borderId="0" xfId="59" applyNumberFormat="1" applyFont="1" applyFill="1" applyBorder="1" applyAlignment="1"/>
    <xf numFmtId="14" fontId="44" fillId="38" borderId="0" xfId="59" applyNumberFormat="1" applyFont="1" applyFill="1" applyBorder="1" applyAlignment="1"/>
    <xf numFmtId="164" fontId="44" fillId="38" borderId="0" xfId="59" applyNumberFormat="1" applyFont="1" applyFill="1" applyBorder="1" applyAlignment="1">
      <alignment horizontal="center"/>
    </xf>
    <xf numFmtId="0" fontId="44" fillId="0" borderId="84" xfId="59" applyFont="1" applyBorder="1" applyAlignment="1">
      <alignment horizontal="center"/>
    </xf>
    <xf numFmtId="1" fontId="44" fillId="0" borderId="0" xfId="59" applyNumberFormat="1" applyFont="1" applyBorder="1" applyAlignment="1">
      <alignment horizontal="center"/>
    </xf>
    <xf numFmtId="0" fontId="44" fillId="0" borderId="80" xfId="59" applyFont="1" applyBorder="1"/>
    <xf numFmtId="1" fontId="44" fillId="0" borderId="80" xfId="59" applyNumberFormat="1" applyFont="1" applyBorder="1" applyAlignment="1"/>
    <xf numFmtId="0" fontId="20" fillId="38" borderId="94" xfId="59" applyFont="1" applyFill="1" applyBorder="1" applyAlignment="1">
      <alignment horizontal="center"/>
    </xf>
    <xf numFmtId="0" fontId="48" fillId="38" borderId="95" xfId="59" applyFont="1" applyFill="1" applyBorder="1" applyAlignment="1"/>
    <xf numFmtId="0" fontId="48" fillId="38" borderId="95" xfId="59" applyFont="1" applyFill="1" applyBorder="1" applyAlignment="1">
      <alignment horizontal="center"/>
    </xf>
    <xf numFmtId="1" fontId="48" fillId="38" borderId="95" xfId="59" applyNumberFormat="1" applyFont="1" applyFill="1" applyBorder="1" applyAlignment="1"/>
    <xf numFmtId="0" fontId="44" fillId="0" borderId="88" xfId="59" applyFont="1" applyBorder="1"/>
    <xf numFmtId="164" fontId="44" fillId="0" borderId="88" xfId="59" applyNumberFormat="1" applyFont="1" applyBorder="1" applyAlignment="1">
      <alignment horizontal="center"/>
    </xf>
    <xf numFmtId="1" fontId="44" fillId="0" borderId="88" xfId="59" applyNumberFormat="1" applyFont="1" applyBorder="1" applyAlignment="1"/>
    <xf numFmtId="0" fontId="44" fillId="0" borderId="90" xfId="59" applyFont="1" applyBorder="1"/>
    <xf numFmtId="164" fontId="44" fillId="0" borderId="90" xfId="59" applyNumberFormat="1" applyFont="1" applyBorder="1" applyAlignment="1">
      <alignment horizontal="center"/>
    </xf>
    <xf numFmtId="1" fontId="44" fillId="0" borderId="90" xfId="59" applyNumberFormat="1" applyFont="1" applyBorder="1" applyAlignment="1"/>
    <xf numFmtId="14" fontId="44" fillId="0" borderId="88" xfId="59" applyNumberFormat="1" applyFont="1" applyBorder="1" applyAlignment="1"/>
    <xf numFmtId="164" fontId="44" fillId="0" borderId="88" xfId="59" applyNumberFormat="1" applyFont="1" applyBorder="1" applyAlignment="1"/>
    <xf numFmtId="164" fontId="44" fillId="0" borderId="90" xfId="59" applyNumberFormat="1" applyFont="1" applyBorder="1" applyAlignment="1"/>
    <xf numFmtId="0" fontId="20" fillId="38" borderId="96" xfId="59" applyFont="1" applyFill="1" applyBorder="1" applyAlignment="1">
      <alignment horizontal="center"/>
    </xf>
    <xf numFmtId="0" fontId="48" fillId="38" borderId="97" xfId="59" applyFont="1" applyFill="1" applyBorder="1" applyAlignment="1"/>
    <xf numFmtId="0" fontId="48" fillId="38" borderId="97" xfId="59" applyFont="1" applyFill="1" applyBorder="1" applyAlignment="1">
      <alignment horizontal="center"/>
    </xf>
    <xf numFmtId="1" fontId="48" fillId="38" borderId="97" xfId="59" applyNumberFormat="1" applyFont="1" applyFill="1" applyBorder="1" applyAlignment="1"/>
    <xf numFmtId="0" fontId="19" fillId="32" borderId="0" xfId="59" applyFont="1" applyFill="1" applyBorder="1" applyAlignment="1">
      <alignment horizontal="center"/>
    </xf>
    <xf numFmtId="14" fontId="44" fillId="32" borderId="0" xfId="59" applyNumberFormat="1" applyFont="1" applyFill="1" applyBorder="1" applyAlignment="1"/>
    <xf numFmtId="164" fontId="44" fillId="32" borderId="0" xfId="59" applyNumberFormat="1" applyFont="1" applyFill="1" applyBorder="1" applyAlignment="1">
      <alignment horizontal="center"/>
    </xf>
    <xf numFmtId="1" fontId="44" fillId="32" borderId="0" xfId="59" applyNumberFormat="1" applyFont="1" applyFill="1" applyBorder="1" applyAlignment="1"/>
    <xf numFmtId="0" fontId="44" fillId="32" borderId="0" xfId="59" applyFont="1" applyFill="1" applyBorder="1"/>
    <xf numFmtId="1" fontId="44" fillId="32" borderId="0" xfId="59" applyNumberFormat="1" applyFont="1" applyFill="1" applyBorder="1" applyAlignment="1">
      <alignment horizontal="center"/>
    </xf>
    <xf numFmtId="0" fontId="19" fillId="32" borderId="84" xfId="59" applyFont="1" applyFill="1" applyBorder="1" applyAlignment="1">
      <alignment horizontal="center"/>
    </xf>
    <xf numFmtId="14" fontId="44" fillId="32" borderId="84" xfId="59" applyNumberFormat="1" applyFont="1" applyFill="1" applyBorder="1" applyAlignment="1"/>
    <xf numFmtId="164" fontId="44" fillId="32" borderId="84" xfId="59" applyNumberFormat="1" applyFont="1" applyFill="1" applyBorder="1" applyAlignment="1">
      <alignment horizontal="center"/>
    </xf>
    <xf numFmtId="1" fontId="44" fillId="32" borderId="84" xfId="59" applyNumberFormat="1" applyFont="1" applyFill="1" applyBorder="1" applyAlignment="1"/>
    <xf numFmtId="14" fontId="19" fillId="0" borderId="92" xfId="59" applyNumberFormat="1" applyFont="1" applyFill="1" applyBorder="1" applyAlignment="1" applyProtection="1">
      <alignment horizontal="center" vertical="center"/>
    </xf>
    <xf numFmtId="0" fontId="19" fillId="0" borderId="93" xfId="59" applyFont="1" applyBorder="1" applyAlignment="1">
      <alignment horizontal="center"/>
    </xf>
    <xf numFmtId="0" fontId="44" fillId="0" borderId="93" xfId="59" applyFont="1" applyBorder="1"/>
    <xf numFmtId="164" fontId="44" fillId="0" borderId="93" xfId="59" applyNumberFormat="1" applyFont="1" applyBorder="1" applyAlignment="1">
      <alignment horizontal="center"/>
    </xf>
    <xf numFmtId="1" fontId="44" fillId="0" borderId="93" xfId="59" applyNumberFormat="1" applyFont="1" applyBorder="1" applyAlignment="1"/>
    <xf numFmtId="2" fontId="44" fillId="0" borderId="93" xfId="59" applyNumberFormat="1" applyFont="1" applyBorder="1" applyAlignment="1"/>
    <xf numFmtId="0" fontId="19" fillId="0" borderId="87" xfId="59" applyFont="1" applyBorder="1" applyAlignment="1">
      <alignment horizontal="center"/>
    </xf>
    <xf numFmtId="0" fontId="44" fillId="0" borderId="88" xfId="59" applyFont="1" applyBorder="1" applyAlignment="1">
      <alignment horizontal="center"/>
    </xf>
    <xf numFmtId="1" fontId="44" fillId="0" borderId="90" xfId="59" applyNumberFormat="1" applyFont="1" applyBorder="1" applyAlignment="1">
      <alignment horizontal="center"/>
    </xf>
    <xf numFmtId="2" fontId="44" fillId="0" borderId="90" xfId="59" applyNumberFormat="1" applyFont="1" applyBorder="1" applyAlignment="1"/>
    <xf numFmtId="1" fontId="44" fillId="0" borderId="79" xfId="59" applyNumberFormat="1" applyFont="1" applyBorder="1" applyAlignment="1">
      <alignment horizontal="center"/>
    </xf>
    <xf numFmtId="1" fontId="49" fillId="36" borderId="79" xfId="59" applyNumberFormat="1" applyFont="1" applyFill="1" applyBorder="1" applyAlignment="1">
      <alignment horizontal="center"/>
    </xf>
    <xf numFmtId="0" fontId="19" fillId="0" borderId="85" xfId="59" quotePrefix="1" applyFont="1" applyBorder="1" applyAlignment="1">
      <alignment horizontal="center"/>
    </xf>
    <xf numFmtId="0" fontId="19" fillId="32" borderId="0" xfId="59" applyFont="1" applyFill="1" applyAlignment="1">
      <alignment horizontal="center"/>
    </xf>
    <xf numFmtId="0" fontId="44" fillId="32" borderId="0" xfId="59" applyFont="1" applyFill="1"/>
    <xf numFmtId="0" fontId="44" fillId="32" borderId="0" xfId="59" applyFont="1" applyFill="1" applyAlignment="1">
      <alignment horizontal="center"/>
    </xf>
    <xf numFmtId="164" fontId="44" fillId="32" borderId="0" xfId="59" applyNumberFormat="1" applyFont="1" applyFill="1"/>
    <xf numFmtId="0" fontId="19" fillId="0" borderId="84" xfId="59" applyFont="1" applyFill="1" applyBorder="1" applyAlignment="1">
      <alignment horizontal="center"/>
    </xf>
    <xf numFmtId="14" fontId="44" fillId="0" borderId="0" xfId="59" applyNumberFormat="1" applyFont="1" applyFill="1" applyBorder="1" applyAlignment="1" applyProtection="1">
      <alignment horizontal="center" vertical="center"/>
    </xf>
    <xf numFmtId="0" fontId="20" fillId="32" borderId="86" xfId="59" applyFont="1" applyFill="1" applyBorder="1" applyAlignment="1">
      <alignment horizontal="center"/>
    </xf>
    <xf numFmtId="0" fontId="48" fillId="32" borderId="80" xfId="59" applyFont="1" applyFill="1" applyBorder="1" applyAlignment="1"/>
    <xf numFmtId="0" fontId="48" fillId="32" borderId="80" xfId="59" applyFont="1" applyFill="1" applyBorder="1" applyAlignment="1">
      <alignment horizontal="center"/>
    </xf>
    <xf numFmtId="1" fontId="48" fillId="32" borderId="80" xfId="59" applyNumberFormat="1" applyFont="1" applyFill="1" applyBorder="1" applyAlignment="1"/>
    <xf numFmtId="14" fontId="44" fillId="0" borderId="72" xfId="59" applyNumberFormat="1" applyFont="1" applyFill="1" applyBorder="1" applyAlignment="1" applyProtection="1">
      <alignment horizontal="center" vertical="center"/>
    </xf>
    <xf numFmtId="164" fontId="44" fillId="0" borderId="84" xfId="59" applyNumberFormat="1" applyFont="1" applyBorder="1" applyAlignment="1"/>
    <xf numFmtId="14" fontId="44" fillId="0" borderId="75" xfId="59" applyNumberFormat="1" applyFont="1" applyFill="1" applyBorder="1" applyAlignment="1" applyProtection="1">
      <alignment horizontal="center" vertical="center"/>
    </xf>
    <xf numFmtId="14" fontId="44" fillId="0" borderId="0" xfId="59" applyNumberFormat="1" applyFont="1" applyBorder="1" applyAlignment="1"/>
    <xf numFmtId="14" fontId="44" fillId="0" borderId="84" xfId="59" applyNumberFormat="1" applyFont="1" applyFill="1" applyBorder="1" applyAlignment="1" applyProtection="1">
      <alignment horizontal="center" vertical="center"/>
    </xf>
    <xf numFmtId="164" fontId="44" fillId="32" borderId="84" xfId="59" applyNumberFormat="1" applyFont="1" applyFill="1" applyBorder="1" applyAlignment="1"/>
    <xf numFmtId="14" fontId="44" fillId="0" borderId="0" xfId="59" applyNumberFormat="1" applyFont="1" applyAlignment="1"/>
    <xf numFmtId="14" fontId="44" fillId="0" borderId="0" xfId="59" applyNumberFormat="1" applyFont="1" applyAlignment="1">
      <alignment horizontal="center"/>
    </xf>
    <xf numFmtId="2" fontId="44" fillId="0" borderId="0" xfId="59" applyNumberFormat="1" applyFont="1" applyAlignment="1"/>
    <xf numFmtId="164" fontId="48" fillId="0" borderId="0" xfId="59" applyNumberFormat="1" applyFont="1" applyBorder="1" applyAlignment="1"/>
    <xf numFmtId="0" fontId="48" fillId="0" borderId="0" xfId="59" applyFont="1" applyBorder="1" applyAlignment="1"/>
    <xf numFmtId="2" fontId="48" fillId="38" borderId="0" xfId="59" applyNumberFormat="1" applyFont="1" applyFill="1" applyBorder="1" applyAlignment="1"/>
    <xf numFmtId="14" fontId="44" fillId="0" borderId="87" xfId="59" applyNumberFormat="1" applyFont="1" applyFill="1" applyBorder="1" applyAlignment="1" applyProtection="1">
      <alignment horizontal="center" vertical="center"/>
    </xf>
    <xf numFmtId="14" fontId="44" fillId="0" borderId="98" xfId="59" applyNumberFormat="1" applyFont="1" applyFill="1" applyBorder="1" applyAlignment="1" applyProtection="1">
      <alignment horizontal="center" vertical="center"/>
    </xf>
    <xf numFmtId="14" fontId="44" fillId="0" borderId="89" xfId="59" applyNumberFormat="1" applyFont="1" applyFill="1" applyBorder="1" applyAlignment="1" applyProtection="1">
      <alignment horizontal="center" vertical="center"/>
    </xf>
    <xf numFmtId="14" fontId="44" fillId="0" borderId="90" xfId="59" applyNumberFormat="1" applyFont="1" applyBorder="1" applyAlignment="1"/>
    <xf numFmtId="164" fontId="44" fillId="32" borderId="0" xfId="59" applyNumberFormat="1" applyFont="1" applyFill="1" applyBorder="1" applyAlignment="1"/>
    <xf numFmtId="164" fontId="48" fillId="32" borderId="0" xfId="59" applyNumberFormat="1" applyFont="1" applyFill="1" applyBorder="1" applyAlignment="1"/>
    <xf numFmtId="164" fontId="48" fillId="38" borderId="0" xfId="59" applyNumberFormat="1" applyFont="1" applyFill="1" applyBorder="1" applyAlignment="1"/>
    <xf numFmtId="2" fontId="48" fillId="30" borderId="0" xfId="59" applyNumberFormat="1" applyFont="1" applyFill="1" applyBorder="1" applyAlignment="1">
      <alignment horizontal="right"/>
    </xf>
    <xf numFmtId="0" fontId="20" fillId="30" borderId="0" xfId="59" applyFont="1" applyFill="1" applyBorder="1" applyAlignment="1">
      <alignment horizontal="center"/>
    </xf>
    <xf numFmtId="14" fontId="48" fillId="30" borderId="0" xfId="59" applyNumberFormat="1" applyFont="1" applyFill="1" applyBorder="1" applyAlignment="1"/>
    <xf numFmtId="164" fontId="48" fillId="30" borderId="0" xfId="59" applyNumberFormat="1" applyFont="1" applyFill="1" applyBorder="1" applyAlignment="1">
      <alignment horizontal="center"/>
    </xf>
    <xf numFmtId="0" fontId="19" fillId="30" borderId="0" xfId="59" applyFont="1" applyFill="1" applyBorder="1" applyAlignment="1">
      <alignment horizontal="center"/>
    </xf>
    <xf numFmtId="14" fontId="44" fillId="30" borderId="0" xfId="59" applyNumberFormat="1" applyFont="1" applyFill="1" applyBorder="1" applyAlignment="1"/>
    <xf numFmtId="164" fontId="44" fillId="30" borderId="0" xfId="59" applyNumberFormat="1" applyFont="1" applyFill="1" applyBorder="1" applyAlignment="1">
      <alignment horizontal="center"/>
    </xf>
    <xf numFmtId="164" fontId="44" fillId="30" borderId="0" xfId="59" applyNumberFormat="1" applyFont="1" applyFill="1" applyBorder="1" applyAlignment="1"/>
    <xf numFmtId="14" fontId="44" fillId="0" borderId="61" xfId="59" applyNumberFormat="1" applyFont="1" applyFill="1" applyBorder="1" applyAlignment="1" applyProtection="1">
      <alignment horizontal="center" vertical="center"/>
    </xf>
    <xf numFmtId="0" fontId="19" fillId="0" borderId="48" xfId="59" applyFont="1" applyFill="1" applyBorder="1" applyAlignment="1">
      <alignment horizontal="center"/>
    </xf>
    <xf numFmtId="14" fontId="44" fillId="0" borderId="48" xfId="59" applyNumberFormat="1" applyFont="1" applyFill="1" applyBorder="1" applyAlignment="1"/>
    <xf numFmtId="164" fontId="44" fillId="0" borderId="48" xfId="59" applyNumberFormat="1" applyFont="1" applyFill="1" applyBorder="1" applyAlignment="1">
      <alignment horizontal="center"/>
    </xf>
    <xf numFmtId="0" fontId="20" fillId="30" borderId="61" xfId="59" applyFont="1" applyFill="1" applyBorder="1" applyAlignment="1">
      <alignment horizontal="center"/>
    </xf>
    <xf numFmtId="0" fontId="48" fillId="30" borderId="48" xfId="59" applyFont="1" applyFill="1" applyBorder="1" applyAlignment="1"/>
    <xf numFmtId="0" fontId="48" fillId="30" borderId="48" xfId="59" applyFont="1" applyFill="1" applyBorder="1" applyAlignment="1">
      <alignment horizontal="center"/>
    </xf>
    <xf numFmtId="1" fontId="48" fillId="30" borderId="48" xfId="59" applyNumberFormat="1" applyFont="1" applyFill="1" applyBorder="1" applyAlignment="1"/>
    <xf numFmtId="0" fontId="20" fillId="30" borderId="27" xfId="59" applyFont="1" applyFill="1" applyBorder="1" applyAlignment="1">
      <alignment horizontal="center"/>
    </xf>
    <xf numFmtId="0" fontId="48" fillId="30" borderId="25" xfId="59" applyFont="1" applyFill="1" applyBorder="1" applyAlignment="1"/>
    <xf numFmtId="0" fontId="48" fillId="30" borderId="25" xfId="59" applyFont="1" applyFill="1" applyBorder="1" applyAlignment="1">
      <alignment horizontal="center"/>
    </xf>
    <xf numFmtId="1" fontId="48" fillId="30" borderId="25" xfId="59" applyNumberFormat="1" applyFont="1" applyFill="1" applyBorder="1" applyAlignment="1"/>
    <xf numFmtId="14" fontId="44" fillId="0" borderId="27" xfId="59" applyNumberFormat="1" applyFont="1" applyFill="1" applyBorder="1" applyAlignment="1" applyProtection="1">
      <alignment horizontal="center" vertical="center"/>
    </xf>
    <xf numFmtId="0" fontId="19" fillId="0" borderId="25" xfId="59" applyFont="1" applyBorder="1" applyAlignment="1">
      <alignment horizontal="center"/>
    </xf>
    <xf numFmtId="14" fontId="44" fillId="0" borderId="25" xfId="59" applyNumberFormat="1" applyFont="1" applyBorder="1" applyAlignment="1"/>
    <xf numFmtId="164" fontId="44" fillId="0" borderId="25" xfId="59" applyNumberFormat="1" applyFont="1" applyBorder="1" applyAlignment="1">
      <alignment horizontal="center"/>
    </xf>
    <xf numFmtId="14" fontId="44" fillId="0" borderId="4" xfId="59" applyNumberFormat="1" applyFont="1" applyFill="1" applyBorder="1" applyAlignment="1" applyProtection="1">
      <alignment horizontal="center" vertical="center"/>
    </xf>
    <xf numFmtId="14" fontId="44" fillId="0" borderId="44" xfId="59" applyNumberFormat="1" applyFont="1" applyFill="1" applyBorder="1" applyAlignment="1" applyProtection="1">
      <alignment horizontal="center" vertical="center"/>
    </xf>
    <xf numFmtId="0" fontId="19" fillId="0" borderId="38" xfId="59" applyFont="1" applyBorder="1" applyAlignment="1">
      <alignment horizontal="center"/>
    </xf>
    <xf numFmtId="14" fontId="44" fillId="0" borderId="38" xfId="59" applyNumberFormat="1" applyFont="1" applyBorder="1" applyAlignment="1"/>
    <xf numFmtId="164" fontId="44" fillId="0" borderId="38" xfId="59" applyNumberFormat="1" applyFont="1" applyBorder="1" applyAlignment="1">
      <alignment horizontal="center"/>
    </xf>
    <xf numFmtId="0" fontId="84" fillId="0" borderId="0" xfId="59" applyFont="1" applyBorder="1" applyAlignment="1">
      <alignment horizontal="center"/>
    </xf>
    <xf numFmtId="14" fontId="71" fillId="0" borderId="0" xfId="59" applyNumberFormat="1" applyFont="1" applyBorder="1" applyAlignment="1"/>
    <xf numFmtId="164" fontId="71" fillId="0" borderId="0" xfId="59" applyNumberFormat="1" applyFont="1" applyBorder="1" applyAlignment="1"/>
    <xf numFmtId="165" fontId="44" fillId="0" borderId="25" xfId="75" applyNumberFormat="1" applyFont="1" applyBorder="1" applyAlignment="1"/>
    <xf numFmtId="165" fontId="44" fillId="0" borderId="0" xfId="75" applyNumberFormat="1" applyFont="1" applyBorder="1" applyAlignment="1"/>
    <xf numFmtId="165" fontId="44" fillId="0" borderId="38" xfId="75" applyNumberFormat="1" applyFont="1" applyBorder="1" applyAlignment="1"/>
    <xf numFmtId="165" fontId="44" fillId="30" borderId="0" xfId="75" applyNumberFormat="1" applyFont="1" applyFill="1" applyBorder="1" applyAlignment="1"/>
    <xf numFmtId="14" fontId="44" fillId="0" borderId="85" xfId="59" applyNumberFormat="1" applyFont="1" applyFill="1" applyBorder="1" applyAlignment="1" applyProtection="1">
      <alignment horizontal="center" vertical="center"/>
    </xf>
    <xf numFmtId="0" fontId="48" fillId="0" borderId="0" xfId="59" applyFont="1" applyAlignment="1"/>
    <xf numFmtId="164" fontId="48" fillId="32" borderId="84" xfId="59" applyNumberFormat="1" applyFont="1" applyFill="1" applyBorder="1" applyAlignment="1"/>
    <xf numFmtId="164" fontId="48" fillId="0" borderId="0" xfId="59" applyNumberFormat="1" applyFont="1" applyAlignment="1"/>
    <xf numFmtId="164" fontId="48" fillId="0" borderId="84" xfId="59" applyNumberFormat="1" applyFont="1" applyBorder="1" applyAlignment="1"/>
    <xf numFmtId="0" fontId="20" fillId="40" borderId="22" xfId="59" applyFont="1" applyFill="1" applyBorder="1" applyAlignment="1">
      <alignment horizontal="center"/>
    </xf>
    <xf numFmtId="2" fontId="48" fillId="0" borderId="0" xfId="59" applyNumberFormat="1" applyFont="1" applyAlignment="1"/>
    <xf numFmtId="167" fontId="44" fillId="0" borderId="0" xfId="59" applyNumberFormat="1" applyFont="1" applyAlignment="1"/>
    <xf numFmtId="0" fontId="90" fillId="0" borderId="0" xfId="59" applyFont="1"/>
    <xf numFmtId="0" fontId="91" fillId="0" borderId="0" xfId="59" applyFont="1"/>
    <xf numFmtId="0" fontId="67" fillId="0" borderId="0" xfId="59" applyFont="1"/>
    <xf numFmtId="0" fontId="92" fillId="0" borderId="0" xfId="59" applyFont="1" applyProtection="1">
      <protection locked="0"/>
    </xf>
    <xf numFmtId="14" fontId="0" fillId="0" borderId="0" xfId="59" applyNumberFormat="1" applyFont="1" applyAlignment="1" applyProtection="1">
      <alignment horizontal="center"/>
      <protection locked="0"/>
    </xf>
    <xf numFmtId="0" fontId="0" fillId="0" borderId="0" xfId="59" applyFont="1" applyProtection="1">
      <protection locked="0"/>
    </xf>
    <xf numFmtId="0" fontId="29" fillId="0" borderId="0" xfId="51" applyAlignment="1" applyProtection="1">
      <protection locked="0"/>
    </xf>
    <xf numFmtId="1" fontId="44" fillId="30" borderId="0" xfId="59" applyNumberFormat="1" applyFont="1" applyFill="1" applyBorder="1" applyAlignment="1"/>
    <xf numFmtId="0" fontId="20" fillId="30" borderId="99" xfId="59" applyFont="1" applyFill="1" applyBorder="1" applyAlignment="1">
      <alignment horizontal="center"/>
    </xf>
    <xf numFmtId="0" fontId="48" fillId="30" borderId="100" xfId="59" applyFont="1" applyFill="1" applyBorder="1" applyAlignment="1"/>
    <xf numFmtId="0" fontId="48" fillId="30" borderId="100" xfId="59" applyFont="1" applyFill="1" applyBorder="1" applyAlignment="1">
      <alignment horizontal="center"/>
    </xf>
    <xf numFmtId="1" fontId="48" fillId="30" borderId="100" xfId="59" applyNumberFormat="1" applyFont="1" applyFill="1" applyBorder="1" applyAlignment="1"/>
    <xf numFmtId="14" fontId="19" fillId="0" borderId="99" xfId="59" applyNumberFormat="1" applyFont="1" applyFill="1" applyBorder="1" applyAlignment="1" applyProtection="1">
      <alignment horizontal="center" vertical="center"/>
    </xf>
    <xf numFmtId="0" fontId="19" fillId="0" borderId="100" xfId="59" applyFont="1" applyBorder="1" applyAlignment="1">
      <alignment horizontal="center"/>
    </xf>
    <xf numFmtId="14" fontId="44" fillId="0" borderId="100" xfId="59" applyNumberFormat="1" applyFont="1" applyBorder="1" applyAlignment="1"/>
    <xf numFmtId="164" fontId="44" fillId="0" borderId="100" xfId="59" applyNumberFormat="1" applyFont="1" applyBorder="1" applyAlignment="1">
      <alignment horizontal="center"/>
    </xf>
    <xf numFmtId="1" fontId="44" fillId="0" borderId="100" xfId="59" applyNumberFormat="1" applyFont="1" applyBorder="1" applyAlignment="1"/>
    <xf numFmtId="0" fontId="19" fillId="0" borderId="101" xfId="59" applyFont="1" applyBorder="1" applyAlignment="1">
      <alignment horizontal="center"/>
    </xf>
    <xf numFmtId="0" fontId="19" fillId="0" borderId="12" xfId="59" applyFont="1" applyBorder="1" applyAlignment="1">
      <alignment horizontal="center"/>
    </xf>
    <xf numFmtId="0" fontId="44" fillId="0" borderId="12" xfId="59" applyFont="1" applyBorder="1"/>
    <xf numFmtId="164" fontId="44" fillId="0" borderId="12" xfId="59" applyNumberFormat="1" applyFont="1" applyBorder="1" applyAlignment="1">
      <alignment horizontal="center"/>
    </xf>
    <xf numFmtId="1" fontId="44" fillId="0" borderId="12" xfId="59" applyNumberFormat="1" applyFont="1" applyBorder="1" applyAlignment="1"/>
    <xf numFmtId="165" fontId="83" fillId="36" borderId="79" xfId="75" applyNumberFormat="1" applyFont="1" applyFill="1" applyBorder="1"/>
    <xf numFmtId="1" fontId="48" fillId="0" borderId="0" xfId="59" applyNumberFormat="1" applyFont="1" applyBorder="1" applyAlignment="1"/>
    <xf numFmtId="2" fontId="48" fillId="38" borderId="90" xfId="59" applyNumberFormat="1" applyFont="1" applyFill="1" applyBorder="1" applyAlignment="1"/>
    <xf numFmtId="164" fontId="48" fillId="32" borderId="0" xfId="59" applyNumberFormat="1" applyFont="1" applyFill="1"/>
    <xf numFmtId="1" fontId="44" fillId="30" borderId="0" xfId="59" applyNumberFormat="1" applyFont="1" applyFill="1" applyBorder="1" applyAlignment="1">
      <alignment horizontal="center"/>
    </xf>
    <xf numFmtId="14" fontId="19" fillId="0" borderId="4" xfId="59" applyNumberFormat="1" applyFont="1" applyFill="1" applyBorder="1" applyAlignment="1" applyProtection="1">
      <alignment horizontal="center" vertical="center"/>
    </xf>
    <xf numFmtId="0" fontId="19" fillId="0" borderId="4" xfId="59" applyFont="1" applyBorder="1" applyAlignment="1">
      <alignment horizontal="center"/>
    </xf>
    <xf numFmtId="1" fontId="44" fillId="0" borderId="38" xfId="59" applyNumberFormat="1" applyFont="1" applyBorder="1" applyAlignment="1"/>
    <xf numFmtId="1" fontId="44" fillId="0" borderId="0" xfId="59" applyNumberFormat="1" applyFont="1" applyBorder="1"/>
    <xf numFmtId="14" fontId="19" fillId="0" borderId="75" xfId="59" applyNumberFormat="1" applyFont="1" applyFill="1" applyBorder="1" applyAlignment="1" applyProtection="1">
      <alignment horizontal="center" vertical="center"/>
    </xf>
    <xf numFmtId="0" fontId="75" fillId="0" borderId="75" xfId="59" applyFont="1" applyBorder="1" applyAlignment="1">
      <alignment horizontal="center"/>
    </xf>
    <xf numFmtId="0" fontId="19" fillId="0" borderId="102" xfId="59" applyFont="1" applyBorder="1" applyAlignment="1">
      <alignment horizontal="center"/>
    </xf>
    <xf numFmtId="164" fontId="44" fillId="1" borderId="0" xfId="59" applyNumberFormat="1" applyFont="1" applyFill="1" applyBorder="1" applyAlignment="1"/>
    <xf numFmtId="1" fontId="44" fillId="0" borderId="38" xfId="59" applyNumberFormat="1" applyFont="1" applyBorder="1" applyAlignment="1">
      <alignment horizontal="center"/>
    </xf>
    <xf numFmtId="2" fontId="44" fillId="0" borderId="38" xfId="59" applyNumberFormat="1" applyFont="1" applyBorder="1" applyAlignment="1"/>
    <xf numFmtId="0" fontId="44" fillId="0" borderId="0" xfId="59" applyFont="1" applyFill="1" applyAlignment="1"/>
    <xf numFmtId="0" fontId="44" fillId="0" borderId="0" xfId="59" applyFont="1" applyFill="1" applyBorder="1" applyAlignment="1"/>
    <xf numFmtId="14" fontId="19" fillId="0" borderId="85" xfId="59" applyNumberFormat="1" applyFont="1" applyFill="1" applyBorder="1" applyAlignment="1" applyProtection="1">
      <alignment horizontal="center" vertical="center"/>
    </xf>
    <xf numFmtId="0" fontId="44" fillId="0" borderId="84" xfId="59" applyFont="1" applyFill="1" applyBorder="1" applyAlignment="1"/>
    <xf numFmtId="0" fontId="44" fillId="0" borderId="84" xfId="59" applyFont="1" applyFill="1" applyBorder="1" applyAlignment="1">
      <alignment horizontal="center"/>
    </xf>
    <xf numFmtId="1" fontId="44" fillId="0" borderId="84" xfId="59" applyNumberFormat="1" applyFont="1" applyFill="1" applyBorder="1" applyAlignment="1"/>
    <xf numFmtId="0" fontId="19" fillId="0" borderId="79" xfId="59" applyFont="1" applyFill="1" applyBorder="1" applyAlignment="1">
      <alignment horizontal="center"/>
    </xf>
    <xf numFmtId="0" fontId="44" fillId="0" borderId="79" xfId="59" applyFont="1" applyFill="1" applyBorder="1" applyAlignment="1"/>
    <xf numFmtId="0" fontId="44" fillId="0" borderId="79" xfId="59" applyFont="1" applyFill="1" applyBorder="1" applyAlignment="1">
      <alignment horizontal="center"/>
    </xf>
    <xf numFmtId="1" fontId="44" fillId="0" borderId="79" xfId="59" applyNumberFormat="1" applyFont="1" applyFill="1" applyBorder="1" applyAlignment="1"/>
    <xf numFmtId="0" fontId="44" fillId="32" borderId="0" xfId="59" applyFont="1" applyFill="1" applyBorder="1" applyAlignment="1"/>
    <xf numFmtId="0" fontId="44" fillId="32" borderId="0" xfId="59" applyFont="1" applyFill="1" applyBorder="1" applyAlignment="1">
      <alignment horizontal="center"/>
    </xf>
    <xf numFmtId="1" fontId="48" fillId="38" borderId="88" xfId="59" applyNumberFormat="1" applyFont="1" applyFill="1" applyBorder="1" applyAlignment="1"/>
    <xf numFmtId="0" fontId="20" fillId="0" borderId="0" xfId="59" applyFont="1" applyAlignment="1">
      <alignment horizontal="center" vertical="center"/>
    </xf>
    <xf numFmtId="0" fontId="44" fillId="0" borderId="0" xfId="59" applyFont="1" applyAlignment="1">
      <alignment vertical="center"/>
    </xf>
    <xf numFmtId="0" fontId="44" fillId="0" borderId="79" xfId="59" applyFont="1" applyBorder="1" applyAlignment="1">
      <alignment horizontal="center"/>
    </xf>
    <xf numFmtId="0" fontId="19" fillId="32" borderId="86" xfId="59" applyFont="1" applyFill="1" applyBorder="1" applyAlignment="1">
      <alignment horizontal="center"/>
    </xf>
    <xf numFmtId="0" fontId="48" fillId="32" borderId="80" xfId="59" applyFont="1" applyFill="1" applyBorder="1"/>
    <xf numFmtId="0" fontId="44" fillId="32" borderId="80" xfId="59" applyFont="1" applyFill="1" applyBorder="1" applyAlignment="1">
      <alignment horizontal="center"/>
    </xf>
    <xf numFmtId="0" fontId="20" fillId="0" borderId="0" xfId="59" applyFont="1" applyBorder="1" applyAlignment="1">
      <alignment horizontal="center"/>
    </xf>
    <xf numFmtId="0" fontId="19" fillId="0" borderId="72" xfId="59" applyFont="1" applyBorder="1" applyAlignment="1">
      <alignment horizontal="center" vertical="center"/>
    </xf>
    <xf numFmtId="0" fontId="19" fillId="0" borderId="84" xfId="59" applyFont="1" applyBorder="1" applyAlignment="1">
      <alignment horizontal="center" vertical="center"/>
    </xf>
    <xf numFmtId="0" fontId="44" fillId="0" borderId="84" xfId="59" applyFont="1" applyBorder="1" applyAlignment="1">
      <alignment vertical="center"/>
    </xf>
    <xf numFmtId="0" fontId="19" fillId="0" borderId="75" xfId="59" applyFont="1" applyBorder="1" applyAlignment="1">
      <alignment horizontal="center" vertical="center"/>
    </xf>
    <xf numFmtId="0" fontId="19" fillId="0" borderId="0" xfId="59" applyFont="1" applyBorder="1" applyAlignment="1">
      <alignment horizontal="center" vertical="center"/>
    </xf>
    <xf numFmtId="0" fontId="44" fillId="0" borderId="0" xfId="59" applyFont="1" applyBorder="1" applyAlignment="1">
      <alignment vertical="center"/>
    </xf>
    <xf numFmtId="0" fontId="19" fillId="32" borderId="0" xfId="59" applyFont="1" applyFill="1" applyBorder="1" applyAlignment="1">
      <alignment horizontal="center" vertical="center"/>
    </xf>
    <xf numFmtId="0" fontId="44" fillId="32" borderId="0" xfId="59" applyFont="1" applyFill="1" applyBorder="1" applyAlignment="1">
      <alignment vertical="center"/>
    </xf>
    <xf numFmtId="0" fontId="19" fillId="0" borderId="85" xfId="59" applyFont="1" applyBorder="1" applyAlignment="1">
      <alignment horizontal="center" vertical="center"/>
    </xf>
    <xf numFmtId="0" fontId="19" fillId="0" borderId="79" xfId="59" applyFont="1" applyBorder="1" applyAlignment="1">
      <alignment horizontal="center" vertical="center"/>
    </xf>
    <xf numFmtId="0" fontId="44" fillId="0" borderId="79" xfId="59" applyFont="1" applyBorder="1" applyAlignment="1">
      <alignment vertical="center"/>
    </xf>
    <xf numFmtId="0" fontId="20" fillId="0" borderId="0" xfId="59" applyFont="1" applyBorder="1" applyAlignment="1">
      <alignment horizontal="center" vertical="center"/>
    </xf>
    <xf numFmtId="0" fontId="44" fillId="32" borderId="0" xfId="59" applyFont="1" applyFill="1" applyBorder="1" applyAlignment="1">
      <alignment horizontal="center" vertical="center" wrapText="1"/>
    </xf>
    <xf numFmtId="0" fontId="19" fillId="0" borderId="84" xfId="59" applyFont="1" applyBorder="1" applyAlignment="1">
      <alignment horizontal="center" vertical="center" wrapText="1"/>
    </xf>
    <xf numFmtId="0" fontId="19" fillId="0" borderId="0" xfId="59" applyFont="1" applyBorder="1" applyAlignment="1">
      <alignment horizontal="center" vertical="center" wrapText="1"/>
    </xf>
    <xf numFmtId="0" fontId="19" fillId="0" borderId="79" xfId="59" applyFont="1" applyBorder="1" applyAlignment="1">
      <alignment horizontal="center" vertical="center" wrapText="1"/>
    </xf>
    <xf numFmtId="164" fontId="44" fillId="32" borderId="0" xfId="59" applyNumberFormat="1" applyFont="1" applyFill="1" applyBorder="1" applyAlignment="1">
      <alignment vertical="center"/>
    </xf>
    <xf numFmtId="164" fontId="44" fillId="0" borderId="79" xfId="59" applyNumberFormat="1" applyFont="1" applyBorder="1" applyAlignment="1">
      <alignment vertical="center"/>
    </xf>
    <xf numFmtId="164" fontId="44" fillId="32" borderId="0" xfId="59" applyNumberFormat="1" applyFont="1" applyFill="1" applyBorder="1"/>
    <xf numFmtId="164" fontId="44" fillId="0" borderId="79" xfId="59" applyNumberFormat="1" applyFont="1" applyBorder="1"/>
    <xf numFmtId="0" fontId="44" fillId="38" borderId="0" xfId="59" applyFont="1" applyFill="1" applyBorder="1" applyAlignment="1">
      <alignment horizontal="center"/>
    </xf>
    <xf numFmtId="164" fontId="44" fillId="38" borderId="0" xfId="59" applyNumberFormat="1" applyFont="1" applyFill="1" applyBorder="1"/>
    <xf numFmtId="0" fontId="19" fillId="38" borderId="96" xfId="59" applyFont="1" applyFill="1" applyBorder="1" applyAlignment="1">
      <alignment horizontal="center"/>
    </xf>
    <xf numFmtId="0" fontId="48" fillId="38" borderId="97" xfId="59" applyFont="1" applyFill="1" applyBorder="1"/>
    <xf numFmtId="0" fontId="44" fillId="38" borderId="97" xfId="59" applyFont="1" applyFill="1" applyBorder="1" applyAlignment="1">
      <alignment horizontal="center"/>
    </xf>
    <xf numFmtId="0" fontId="19" fillId="38" borderId="87" xfId="59" applyFont="1" applyFill="1" applyBorder="1" applyAlignment="1">
      <alignment horizontal="center"/>
    </xf>
    <xf numFmtId="0" fontId="48" fillId="38" borderId="88" xfId="59" applyFont="1" applyFill="1" applyBorder="1"/>
    <xf numFmtId="0" fontId="44" fillId="38" borderId="88" xfId="59" applyFont="1" applyFill="1" applyBorder="1" applyAlignment="1">
      <alignment horizontal="center"/>
    </xf>
    <xf numFmtId="0" fontId="19" fillId="0" borderId="98" xfId="59" applyFont="1" applyBorder="1" applyAlignment="1">
      <alignment horizontal="center"/>
    </xf>
    <xf numFmtId="0" fontId="44" fillId="0" borderId="90" xfId="59" applyFont="1" applyBorder="1" applyAlignment="1">
      <alignment horizontal="center"/>
    </xf>
    <xf numFmtId="164" fontId="44" fillId="0" borderId="90" xfId="59" applyNumberFormat="1" applyFont="1" applyBorder="1"/>
    <xf numFmtId="2" fontId="48" fillId="0" borderId="88" xfId="59" applyNumberFormat="1" applyFont="1" applyBorder="1" applyAlignment="1"/>
    <xf numFmtId="164" fontId="48" fillId="32" borderId="0" xfId="59" applyNumberFormat="1" applyFont="1" applyFill="1" applyBorder="1"/>
    <xf numFmtId="164" fontId="48" fillId="0" borderId="79" xfId="59" applyNumberFormat="1" applyFont="1" applyBorder="1"/>
    <xf numFmtId="164" fontId="48" fillId="38" borderId="0" xfId="59" applyNumberFormat="1" applyFont="1" applyFill="1" applyBorder="1"/>
    <xf numFmtId="14" fontId="44" fillId="0" borderId="90" xfId="59" applyNumberFormat="1" applyFont="1" applyBorder="1" applyAlignment="1">
      <alignment horizontal="center"/>
    </xf>
    <xf numFmtId="2" fontId="71" fillId="0" borderId="0" xfId="59" applyNumberFormat="1" applyFont="1" applyBorder="1" applyAlignment="1"/>
    <xf numFmtId="14" fontId="19" fillId="0" borderId="98" xfId="59" applyNumberFormat="1" applyFont="1" applyFill="1" applyBorder="1" applyAlignment="1" applyProtection="1">
      <alignment horizontal="center" vertical="center"/>
    </xf>
    <xf numFmtId="0" fontId="19" fillId="0" borderId="103" xfId="59" applyFont="1" applyBorder="1" applyAlignment="1">
      <alignment horizontal="center"/>
    </xf>
    <xf numFmtId="14" fontId="19" fillId="0" borderId="103" xfId="59" applyNumberFormat="1" applyFont="1" applyFill="1" applyBorder="1" applyAlignment="1" applyProtection="1">
      <alignment horizontal="center" vertical="center"/>
    </xf>
    <xf numFmtId="0" fontId="19" fillId="38" borderId="0" xfId="59" applyFont="1" applyFill="1" applyBorder="1" applyAlignment="1">
      <alignment horizontal="center" vertical="center"/>
    </xf>
    <xf numFmtId="0" fontId="44" fillId="38" borderId="0" xfId="59" applyFont="1" applyFill="1" applyBorder="1" applyAlignment="1">
      <alignment vertical="center"/>
    </xf>
    <xf numFmtId="0" fontId="44" fillId="38" borderId="0" xfId="59" applyFont="1" applyFill="1" applyBorder="1" applyAlignment="1">
      <alignment horizontal="center" vertical="center" wrapText="1"/>
    </xf>
    <xf numFmtId="164" fontId="44" fillId="38" borderId="0" xfId="59" applyNumberFormat="1" applyFont="1" applyFill="1" applyBorder="1" applyAlignment="1">
      <alignment vertical="center"/>
    </xf>
    <xf numFmtId="0" fontId="19" fillId="0" borderId="87" xfId="59" applyFont="1" applyBorder="1" applyAlignment="1">
      <alignment horizontal="center" vertical="center"/>
    </xf>
    <xf numFmtId="0" fontId="19" fillId="0" borderId="88" xfId="59" applyFont="1" applyBorder="1" applyAlignment="1">
      <alignment horizontal="center" vertical="center"/>
    </xf>
    <xf numFmtId="0" fontId="44" fillId="0" borderId="88" xfId="59" applyFont="1" applyBorder="1" applyAlignment="1">
      <alignment vertical="center"/>
    </xf>
    <xf numFmtId="0" fontId="19" fillId="0" borderId="88" xfId="59" applyFont="1" applyBorder="1" applyAlignment="1">
      <alignment horizontal="center" vertical="center" wrapText="1"/>
    </xf>
    <xf numFmtId="0" fontId="19" fillId="0" borderId="98" xfId="59" applyFont="1" applyBorder="1" applyAlignment="1">
      <alignment horizontal="center" vertical="center"/>
    </xf>
    <xf numFmtId="0" fontId="19" fillId="0" borderId="89" xfId="59" applyFont="1" applyBorder="1" applyAlignment="1">
      <alignment horizontal="center" vertical="center"/>
    </xf>
    <xf numFmtId="0" fontId="19" fillId="0" borderId="90" xfId="59" applyFont="1" applyBorder="1" applyAlignment="1">
      <alignment horizontal="center" vertical="center"/>
    </xf>
    <xf numFmtId="0" fontId="44" fillId="0" borderId="90" xfId="59" applyFont="1" applyBorder="1" applyAlignment="1">
      <alignment vertical="center"/>
    </xf>
    <xf numFmtId="0" fontId="19" fillId="0" borderId="90" xfId="59" applyFont="1" applyBorder="1" applyAlignment="1">
      <alignment horizontal="center" vertical="center" wrapText="1"/>
    </xf>
    <xf numFmtId="164" fontId="44" fillId="0" borderId="90" xfId="59" applyNumberFormat="1" applyFont="1" applyBorder="1" applyAlignment="1">
      <alignment vertical="center"/>
    </xf>
    <xf numFmtId="0" fontId="19" fillId="30" borderId="0" xfId="59" applyFont="1" applyFill="1" applyBorder="1" applyAlignment="1">
      <alignment horizontal="center" vertical="center"/>
    </xf>
    <xf numFmtId="0" fontId="44" fillId="30" borderId="0" xfId="59" applyFont="1" applyFill="1" applyBorder="1" applyAlignment="1">
      <alignment vertical="center"/>
    </xf>
    <xf numFmtId="0" fontId="44" fillId="30" borderId="0" xfId="59" applyFont="1" applyFill="1" applyBorder="1" applyAlignment="1">
      <alignment horizontal="center" vertical="center" wrapText="1"/>
    </xf>
    <xf numFmtId="0" fontId="19" fillId="0" borderId="27" xfId="59" applyFont="1" applyBorder="1" applyAlignment="1">
      <alignment horizontal="center" vertical="center"/>
    </xf>
    <xf numFmtId="0" fontId="19" fillId="0" borderId="25" xfId="59" applyFont="1" applyBorder="1" applyAlignment="1">
      <alignment horizontal="center" vertical="center"/>
    </xf>
    <xf numFmtId="0" fontId="44" fillId="0" borderId="25" xfId="59" applyFont="1" applyBorder="1" applyAlignment="1">
      <alignment vertical="center"/>
    </xf>
    <xf numFmtId="0" fontId="19" fillId="0" borderId="25" xfId="59" applyFont="1" applyBorder="1" applyAlignment="1">
      <alignment horizontal="center" vertical="center" wrapText="1"/>
    </xf>
    <xf numFmtId="0" fontId="19" fillId="0" borderId="4" xfId="59" applyFont="1" applyBorder="1" applyAlignment="1">
      <alignment horizontal="center" vertical="center"/>
    </xf>
    <xf numFmtId="0" fontId="19" fillId="0" borderId="44" xfId="59" applyFont="1" applyBorder="1" applyAlignment="1">
      <alignment horizontal="center" vertical="center"/>
    </xf>
    <xf numFmtId="0" fontId="19" fillId="0" borderId="38" xfId="59" applyFont="1" applyBorder="1" applyAlignment="1">
      <alignment horizontal="center" vertical="center"/>
    </xf>
    <xf numFmtId="0" fontId="44" fillId="0" borderId="38" xfId="59" applyFont="1" applyBorder="1" applyAlignment="1">
      <alignment vertical="center"/>
    </xf>
    <xf numFmtId="0" fontId="19" fillId="0" borderId="38" xfId="59" applyFont="1" applyBorder="1" applyAlignment="1">
      <alignment horizontal="center" vertical="center" wrapText="1"/>
    </xf>
    <xf numFmtId="0" fontId="19" fillId="30" borderId="104" xfId="59" applyFont="1" applyFill="1" applyBorder="1" applyAlignment="1">
      <alignment horizontal="center"/>
    </xf>
    <xf numFmtId="0" fontId="48" fillId="30" borderId="105" xfId="59" applyFont="1" applyFill="1" applyBorder="1"/>
    <xf numFmtId="0" fontId="44" fillId="30" borderId="105" xfId="59" applyFont="1" applyFill="1" applyBorder="1" applyAlignment="1">
      <alignment horizontal="center"/>
    </xf>
    <xf numFmtId="1" fontId="48" fillId="30" borderId="105" xfId="59" applyNumberFormat="1" applyFont="1" applyFill="1" applyBorder="1" applyAlignment="1"/>
    <xf numFmtId="165" fontId="44" fillId="30" borderId="0" xfId="75" applyNumberFormat="1" applyFont="1" applyFill="1" applyBorder="1" applyAlignment="1">
      <alignment vertical="center"/>
    </xf>
    <xf numFmtId="165" fontId="44" fillId="0" borderId="38" xfId="75" applyNumberFormat="1" applyFont="1" applyBorder="1" applyAlignment="1">
      <alignment vertical="center"/>
    </xf>
    <xf numFmtId="164" fontId="44" fillId="0" borderId="84" xfId="59" applyNumberFormat="1" applyFont="1" applyBorder="1"/>
    <xf numFmtId="2" fontId="44" fillId="0" borderId="88" xfId="59" applyNumberFormat="1" applyFont="1" applyBorder="1" applyAlignment="1"/>
    <xf numFmtId="0" fontId="44" fillId="0" borderId="89" xfId="59" applyFont="1" applyBorder="1" applyAlignment="1">
      <alignment horizontal="center"/>
    </xf>
    <xf numFmtId="0" fontId="44" fillId="0" borderId="90" xfId="59" applyFont="1" applyBorder="1" applyAlignment="1"/>
    <xf numFmtId="14" fontId="19" fillId="0" borderId="27" xfId="59" applyNumberFormat="1" applyFont="1" applyFill="1" applyBorder="1" applyAlignment="1" applyProtection="1">
      <alignment horizontal="center" vertical="center"/>
    </xf>
    <xf numFmtId="164" fontId="19" fillId="0" borderId="0" xfId="59" applyNumberFormat="1" applyFont="1" applyBorder="1" applyAlignment="1">
      <alignment horizontal="center"/>
    </xf>
    <xf numFmtId="0" fontId="20" fillId="30" borderId="106" xfId="59" applyFont="1" applyFill="1" applyBorder="1" applyAlignment="1">
      <alignment horizontal="center"/>
    </xf>
    <xf numFmtId="0" fontId="48" fillId="30" borderId="107" xfId="59" applyFont="1" applyFill="1" applyBorder="1" applyAlignment="1"/>
    <xf numFmtId="1" fontId="48" fillId="30" borderId="107" xfId="59" applyNumberFormat="1" applyFont="1" applyFill="1" applyBorder="1" applyAlignment="1"/>
    <xf numFmtId="0" fontId="19" fillId="0" borderId="72" xfId="59" applyFont="1" applyFill="1" applyBorder="1" applyAlignment="1">
      <alignment horizontal="center"/>
    </xf>
    <xf numFmtId="0" fontId="44" fillId="0" borderId="84" xfId="59" applyFont="1" applyFill="1" applyBorder="1"/>
    <xf numFmtId="1" fontId="44" fillId="0" borderId="84" xfId="59" applyNumberFormat="1" applyFont="1" applyFill="1" applyBorder="1" applyAlignment="1">
      <alignment horizontal="center"/>
    </xf>
    <xf numFmtId="0" fontId="19" fillId="0" borderId="88" xfId="59" applyFont="1" applyFill="1" applyBorder="1" applyAlignment="1">
      <alignment horizontal="center"/>
    </xf>
    <xf numFmtId="0" fontId="44" fillId="0" borderId="88" xfId="59" applyFont="1" applyFill="1" applyBorder="1"/>
    <xf numFmtId="1" fontId="44" fillId="0" borderId="88" xfId="59" applyNumberFormat="1" applyFont="1" applyFill="1" applyBorder="1" applyAlignment="1">
      <alignment horizontal="center"/>
    </xf>
    <xf numFmtId="0" fontId="19" fillId="0" borderId="99" xfId="59" applyFont="1" applyBorder="1" applyAlignment="1">
      <alignment horizontal="center"/>
    </xf>
    <xf numFmtId="0" fontId="19" fillId="0" borderId="100" xfId="59" applyFont="1" applyFill="1" applyBorder="1" applyAlignment="1">
      <alignment horizontal="center"/>
    </xf>
    <xf numFmtId="0" fontId="44" fillId="0" borderId="100" xfId="59" applyFont="1" applyFill="1" applyBorder="1"/>
    <xf numFmtId="1" fontId="44" fillId="0" borderId="100" xfId="59" applyNumberFormat="1" applyFont="1" applyFill="1" applyBorder="1" applyAlignment="1">
      <alignment horizontal="center"/>
    </xf>
    <xf numFmtId="164" fontId="44" fillId="0" borderId="84" xfId="59" applyNumberFormat="1" applyFont="1" applyFill="1" applyBorder="1" applyAlignment="1"/>
    <xf numFmtId="1" fontId="74" fillId="0" borderId="0" xfId="59" applyNumberFormat="1" applyFont="1" applyFill="1" applyBorder="1" applyAlignment="1" applyProtection="1">
      <alignment horizontal="center" vertical="center"/>
    </xf>
    <xf numFmtId="14" fontId="75" fillId="0" borderId="98" xfId="59" applyNumberFormat="1" applyFont="1" applyFill="1" applyBorder="1" applyAlignment="1" applyProtection="1">
      <alignment horizontal="center" vertical="center"/>
    </xf>
    <xf numFmtId="0" fontId="75" fillId="38" borderId="0" xfId="59" applyFont="1" applyFill="1" applyBorder="1" applyAlignment="1">
      <alignment horizontal="center"/>
    </xf>
    <xf numFmtId="164" fontId="75" fillId="38" borderId="0" xfId="59" applyNumberFormat="1" applyFont="1" applyFill="1" applyBorder="1" applyAlignment="1">
      <alignment horizontal="center"/>
    </xf>
    <xf numFmtId="164" fontId="75" fillId="36" borderId="0" xfId="59" applyNumberFormat="1" applyFont="1" applyFill="1" applyBorder="1" applyAlignment="1">
      <alignment horizontal="right"/>
    </xf>
    <xf numFmtId="0" fontId="75" fillId="0" borderId="0" xfId="59" applyFont="1"/>
    <xf numFmtId="14" fontId="75" fillId="38" borderId="0" xfId="59" applyNumberFormat="1" applyFont="1" applyFill="1" applyBorder="1" applyAlignment="1"/>
    <xf numFmtId="164" fontId="75" fillId="38" borderId="0" xfId="59" applyNumberFormat="1" applyFont="1" applyFill="1" applyBorder="1" applyAlignment="1"/>
    <xf numFmtId="0" fontId="75" fillId="0" borderId="0" xfId="59" applyFont="1" applyAlignment="1"/>
    <xf numFmtId="0" fontId="75" fillId="0" borderId="0" xfId="59" applyFont="1" applyAlignment="1">
      <alignment horizontal="center"/>
    </xf>
    <xf numFmtId="0" fontId="75" fillId="36" borderId="0" xfId="59" applyFont="1" applyFill="1" applyAlignment="1">
      <alignment horizontal="center"/>
    </xf>
    <xf numFmtId="0" fontId="75" fillId="36" borderId="0" xfId="59" applyFont="1" applyFill="1"/>
    <xf numFmtId="164" fontId="75" fillId="36" borderId="0" xfId="59" applyNumberFormat="1" applyFont="1" applyFill="1" applyAlignment="1">
      <alignment horizontal="right"/>
    </xf>
    <xf numFmtId="164" fontId="44" fillId="36" borderId="81" xfId="59" applyNumberFormat="1" applyFont="1" applyFill="1" applyBorder="1" applyAlignment="1" applyProtection="1">
      <alignment vertical="center"/>
    </xf>
    <xf numFmtId="164" fontId="44" fillId="36" borderId="81" xfId="59" applyNumberFormat="1" applyFont="1" applyFill="1" applyBorder="1" applyAlignment="1" applyProtection="1">
      <alignment horizontal="right" vertical="center"/>
    </xf>
    <xf numFmtId="0" fontId="75" fillId="36" borderId="0" xfId="59" applyFont="1" applyFill="1" applyAlignment="1"/>
    <xf numFmtId="164" fontId="75" fillId="36" borderId="0" xfId="59" applyNumberFormat="1" applyFont="1" applyFill="1" applyAlignment="1"/>
    <xf numFmtId="0" fontId="75" fillId="38" borderId="0" xfId="59" applyFont="1" applyFill="1" applyAlignment="1">
      <alignment horizontal="center"/>
    </xf>
    <xf numFmtId="0" fontId="75" fillId="38" borderId="0" xfId="59" applyFont="1" applyFill="1" applyAlignment="1"/>
    <xf numFmtId="164" fontId="75" fillId="38" borderId="0" xfId="59" applyNumberFormat="1" applyFont="1" applyFill="1" applyAlignment="1"/>
    <xf numFmtId="14" fontId="44" fillId="0" borderId="84" xfId="59" applyNumberFormat="1" applyFont="1" applyBorder="1" applyAlignment="1">
      <alignment horizontal="center"/>
    </xf>
    <xf numFmtId="14" fontId="44" fillId="0" borderId="0" xfId="59" applyNumberFormat="1" applyFont="1" applyBorder="1" applyAlignment="1">
      <alignment horizontal="center"/>
    </xf>
    <xf numFmtId="164" fontId="44" fillId="0" borderId="84" xfId="59" applyNumberFormat="1" applyFont="1" applyBorder="1" applyAlignment="1">
      <alignment horizontal="right"/>
    </xf>
    <xf numFmtId="164" fontId="44" fillId="0" borderId="0" xfId="59" applyNumberFormat="1" applyFont="1" applyBorder="1" applyAlignment="1">
      <alignment horizontal="right"/>
    </xf>
    <xf numFmtId="164" fontId="44" fillId="32" borderId="0" xfId="59" quotePrefix="1" applyNumberFormat="1" applyFont="1" applyFill="1" applyBorder="1" applyAlignment="1">
      <alignment horizontal="center"/>
    </xf>
    <xf numFmtId="164" fontId="44" fillId="0" borderId="0" xfId="59" quotePrefix="1" applyNumberFormat="1" applyFont="1" applyBorder="1" applyAlignment="1">
      <alignment horizontal="center"/>
    </xf>
    <xf numFmtId="14" fontId="44" fillId="32" borderId="84" xfId="59" applyNumberFormat="1" applyFont="1" applyFill="1" applyBorder="1" applyAlignment="1">
      <alignment horizontal="center"/>
    </xf>
    <xf numFmtId="2" fontId="44" fillId="0" borderId="0" xfId="59" applyNumberFormat="1" applyFont="1" applyAlignment="1">
      <alignment horizontal="center"/>
    </xf>
    <xf numFmtId="14" fontId="44" fillId="0" borderId="75" xfId="59" quotePrefix="1" applyNumberFormat="1" applyFont="1" applyFill="1" applyBorder="1" applyAlignment="1" applyProtection="1">
      <alignment horizontal="center" vertical="center"/>
    </xf>
    <xf numFmtId="164" fontId="44" fillId="0" borderId="0" xfId="59" applyNumberFormat="1" applyFont="1" applyBorder="1" applyAlignment="1">
      <alignment horizontal="left"/>
    </xf>
    <xf numFmtId="164" fontId="44" fillId="32" borderId="84" xfId="59" applyNumberFormat="1" applyFont="1" applyFill="1" applyBorder="1" applyAlignment="1">
      <alignment horizontal="left"/>
    </xf>
    <xf numFmtId="0" fontId="46" fillId="43" borderId="0" xfId="59" applyFont="1" applyFill="1" applyProtection="1"/>
    <xf numFmtId="0" fontId="0" fillId="43" borderId="0" xfId="59" applyFont="1" applyFill="1" applyProtection="1"/>
    <xf numFmtId="0" fontId="47" fillId="43" borderId="0" xfId="59" applyFont="1" applyFill="1" applyProtection="1"/>
    <xf numFmtId="0" fontId="44" fillId="43" borderId="0" xfId="59" applyFont="1" applyFill="1" applyProtection="1"/>
    <xf numFmtId="14" fontId="45" fillId="43" borderId="0" xfId="59" applyNumberFormat="1" applyFont="1" applyFill="1" applyAlignment="1" applyProtection="1">
      <alignment horizontal="left"/>
    </xf>
    <xf numFmtId="0" fontId="18" fillId="43" borderId="0" xfId="59" applyFont="1" applyFill="1" applyProtection="1"/>
    <xf numFmtId="0" fontId="45" fillId="43" borderId="0" xfId="59" applyFont="1" applyFill="1" applyBorder="1" applyProtection="1"/>
    <xf numFmtId="0" fontId="44" fillId="43" borderId="0" xfId="59" applyFont="1" applyFill="1" applyBorder="1" applyProtection="1"/>
    <xf numFmtId="0" fontId="71" fillId="0" borderId="0" xfId="59" applyFont="1" applyFill="1" applyBorder="1" applyAlignment="1">
      <alignment horizontal="left"/>
    </xf>
    <xf numFmtId="0" fontId="48" fillId="0" borderId="0" xfId="59" applyFont="1" applyAlignment="1">
      <alignment horizontal="center"/>
    </xf>
    <xf numFmtId="0" fontId="0" fillId="0" borderId="84" xfId="59" applyFont="1" applyFill="1" applyBorder="1"/>
    <xf numFmtId="2" fontId="0" fillId="0" borderId="0" xfId="59" applyNumberFormat="1" applyFont="1" applyFill="1" applyBorder="1" applyProtection="1"/>
    <xf numFmtId="0" fontId="19" fillId="0" borderId="0" xfId="59" applyFont="1" applyFill="1" applyBorder="1" applyAlignment="1">
      <alignment horizontal="center"/>
    </xf>
    <xf numFmtId="14" fontId="44" fillId="0" borderId="0" xfId="59" applyNumberFormat="1" applyFont="1" applyFill="1" applyBorder="1" applyAlignment="1"/>
    <xf numFmtId="164" fontId="44" fillId="0" borderId="0" xfId="59" applyNumberFormat="1" applyFont="1" applyFill="1" applyBorder="1" applyAlignment="1">
      <alignment horizontal="center"/>
    </xf>
    <xf numFmtId="164" fontId="44" fillId="0" borderId="0" xfId="59" applyNumberFormat="1" applyFont="1" applyFill="1" applyBorder="1" applyAlignment="1"/>
    <xf numFmtId="0" fontId="19" fillId="0" borderId="25" xfId="59" applyFont="1" applyFill="1" applyBorder="1" applyAlignment="1">
      <alignment horizontal="center"/>
    </xf>
    <xf numFmtId="14" fontId="44" fillId="0" borderId="25" xfId="59" applyNumberFormat="1" applyFont="1" applyFill="1" applyBorder="1" applyAlignment="1"/>
    <xf numFmtId="164" fontId="44" fillId="0" borderId="25" xfId="59" applyNumberFormat="1" applyFont="1" applyFill="1" applyBorder="1" applyAlignment="1">
      <alignment horizontal="center"/>
    </xf>
    <xf numFmtId="164" fontId="44" fillId="0" borderId="25" xfId="59" applyNumberFormat="1" applyFont="1" applyFill="1" applyBorder="1" applyAlignment="1"/>
    <xf numFmtId="0" fontId="19" fillId="30" borderId="38" xfId="59" applyFont="1" applyFill="1" applyBorder="1" applyAlignment="1">
      <alignment horizontal="center"/>
    </xf>
    <xf numFmtId="14" fontId="44" fillId="30" borderId="38" xfId="59" applyNumberFormat="1" applyFont="1" applyFill="1" applyBorder="1" applyAlignment="1"/>
    <xf numFmtId="164" fontId="44" fillId="30" borderId="38" xfId="59" applyNumberFormat="1" applyFont="1" applyFill="1" applyBorder="1" applyAlignment="1">
      <alignment horizontal="center"/>
    </xf>
    <xf numFmtId="14" fontId="48" fillId="30" borderId="25" xfId="59" applyNumberFormat="1" applyFont="1" applyFill="1" applyBorder="1" applyAlignment="1"/>
    <xf numFmtId="166" fontId="0" fillId="0" borderId="0" xfId="59" applyNumberFormat="1" applyFont="1"/>
    <xf numFmtId="164" fontId="44" fillId="1" borderId="84" xfId="59" applyNumberFormat="1" applyFont="1" applyFill="1" applyBorder="1" applyAlignment="1"/>
    <xf numFmtId="0" fontId="0" fillId="32" borderId="0" xfId="59" applyFont="1" applyFill="1" applyAlignment="1">
      <alignment horizontal="center"/>
    </xf>
    <xf numFmtId="0" fontId="0" fillId="32" borderId="0" xfId="59" applyFont="1" applyFill="1"/>
    <xf numFmtId="164" fontId="0" fillId="32" borderId="0" xfId="59" applyNumberFormat="1" applyFont="1" applyFill="1"/>
    <xf numFmtId="0" fontId="0" fillId="0" borderId="84" xfId="59" applyFont="1" applyBorder="1" applyAlignment="1">
      <alignment horizontal="center"/>
    </xf>
    <xf numFmtId="0" fontId="0" fillId="0" borderId="84" xfId="59" applyFont="1" applyBorder="1"/>
    <xf numFmtId="0" fontId="0" fillId="32" borderId="0" xfId="59" applyFont="1" applyFill="1" applyBorder="1"/>
    <xf numFmtId="164" fontId="0" fillId="32" borderId="0" xfId="59" applyNumberFormat="1" applyFont="1" applyFill="1" applyBorder="1"/>
    <xf numFmtId="164" fontId="0" fillId="32" borderId="79" xfId="59" applyNumberFormat="1" applyFont="1" applyFill="1" applyBorder="1"/>
    <xf numFmtId="164" fontId="0" fillId="36" borderId="0" xfId="59" applyNumberFormat="1" applyFont="1" applyFill="1" applyBorder="1"/>
    <xf numFmtId="0" fontId="76" fillId="0" borderId="84" xfId="59" applyFont="1" applyBorder="1" applyAlignment="1">
      <alignment horizontal="center"/>
    </xf>
    <xf numFmtId="0" fontId="76" fillId="0" borderId="0" xfId="59" applyFont="1" applyBorder="1" applyAlignment="1">
      <alignment horizontal="center"/>
    </xf>
    <xf numFmtId="0" fontId="0" fillId="32" borderId="72" xfId="59" applyFont="1" applyFill="1" applyBorder="1" applyAlignment="1">
      <alignment horizontal="center"/>
    </xf>
    <xf numFmtId="0" fontId="48" fillId="32" borderId="84" xfId="59" applyFont="1" applyFill="1" applyBorder="1"/>
    <xf numFmtId="0" fontId="0" fillId="32" borderId="84" xfId="59" applyFont="1" applyFill="1" applyBorder="1" applyAlignment="1">
      <alignment horizontal="center"/>
    </xf>
    <xf numFmtId="0" fontId="0" fillId="0" borderId="79" xfId="59" applyFont="1" applyBorder="1" applyAlignment="1">
      <alignment horizontal="center"/>
    </xf>
    <xf numFmtId="0" fontId="0" fillId="0" borderId="79" xfId="59" applyFont="1" applyBorder="1"/>
    <xf numFmtId="0" fontId="44" fillId="0" borderId="72" xfId="59" applyFont="1" applyBorder="1" applyAlignment="1">
      <alignment horizontal="center"/>
    </xf>
    <xf numFmtId="0" fontId="44" fillId="0" borderId="75" xfId="59" applyFont="1" applyBorder="1" applyAlignment="1">
      <alignment horizontal="center"/>
    </xf>
    <xf numFmtId="0" fontId="44" fillId="0" borderId="85" xfId="59" applyFont="1" applyBorder="1" applyAlignment="1">
      <alignment horizontal="center"/>
    </xf>
    <xf numFmtId="0" fontId="44" fillId="0" borderId="86" xfId="59" applyFont="1" applyBorder="1" applyAlignment="1">
      <alignment horizontal="center"/>
    </xf>
    <xf numFmtId="164" fontId="0" fillId="0" borderId="79" xfId="59" applyNumberFormat="1" applyFont="1" applyBorder="1"/>
    <xf numFmtId="0" fontId="0" fillId="0" borderId="80" xfId="59" applyFont="1" applyBorder="1" applyAlignment="1">
      <alignment horizontal="center"/>
    </xf>
    <xf numFmtId="0" fontId="0" fillId="0" borderId="80" xfId="59" applyFont="1" applyBorder="1"/>
    <xf numFmtId="0" fontId="76" fillId="0" borderId="80" xfId="59" applyFont="1" applyBorder="1" applyAlignment="1">
      <alignment horizontal="center"/>
    </xf>
    <xf numFmtId="0" fontId="44" fillId="0" borderId="72" xfId="59" applyFont="1" applyFill="1" applyBorder="1" applyAlignment="1">
      <alignment horizontal="center"/>
    </xf>
    <xf numFmtId="0" fontId="0" fillId="0" borderId="84" xfId="59" applyFont="1" applyFill="1" applyBorder="1" applyAlignment="1">
      <alignment horizontal="center"/>
    </xf>
    <xf numFmtId="164" fontId="44" fillId="0" borderId="88" xfId="59" applyNumberFormat="1" applyFont="1" applyFill="1" applyBorder="1" applyAlignment="1"/>
    <xf numFmtId="0" fontId="20" fillId="0" borderId="0" xfId="59" applyFont="1" applyFill="1" applyAlignment="1">
      <alignment horizontal="center"/>
    </xf>
    <xf numFmtId="164" fontId="44" fillId="0" borderId="79" xfId="59" applyNumberFormat="1" applyFont="1" applyBorder="1" applyAlignment="1"/>
    <xf numFmtId="0" fontId="45" fillId="33" borderId="84" xfId="59" applyFont="1" applyFill="1" applyBorder="1" applyAlignment="1">
      <alignment horizontal="center"/>
    </xf>
    <xf numFmtId="0" fontId="45" fillId="33" borderId="84" xfId="59" applyFont="1" applyFill="1" applyBorder="1"/>
    <xf numFmtId="0" fontId="71" fillId="0" borderId="0" xfId="59" applyFont="1"/>
    <xf numFmtId="164" fontId="44" fillId="32" borderId="75" xfId="59" applyNumberFormat="1" applyFont="1" applyFill="1" applyBorder="1" applyProtection="1"/>
    <xf numFmtId="164" fontId="44" fillId="32" borderId="74" xfId="59" applyNumberFormat="1" applyFont="1" applyFill="1" applyBorder="1" applyProtection="1"/>
    <xf numFmtId="164" fontId="44" fillId="32" borderId="74" xfId="59" applyNumberFormat="1" applyFont="1" applyFill="1" applyBorder="1" applyAlignment="1" applyProtection="1">
      <alignment vertical="center"/>
    </xf>
    <xf numFmtId="164" fontId="44" fillId="32" borderId="81" xfId="59" applyNumberFormat="1" applyFont="1" applyFill="1" applyBorder="1" applyAlignment="1" applyProtection="1">
      <alignment vertical="center"/>
    </xf>
    <xf numFmtId="164" fontId="19" fillId="32" borderId="77" xfId="59" applyNumberFormat="1" applyFont="1" applyFill="1" applyBorder="1" applyAlignment="1" applyProtection="1">
      <alignment vertical="center"/>
    </xf>
    <xf numFmtId="164" fontId="63" fillId="32" borderId="78" xfId="59" applyNumberFormat="1" applyFont="1" applyFill="1" applyBorder="1" applyAlignment="1" applyProtection="1">
      <alignment vertical="center"/>
    </xf>
    <xf numFmtId="164" fontId="19" fillId="32" borderId="77" xfId="59" applyNumberFormat="1" applyFont="1" applyFill="1" applyBorder="1" applyAlignment="1" applyProtection="1">
      <alignment horizontal="right" vertical="center"/>
    </xf>
    <xf numFmtId="164" fontId="19" fillId="32" borderId="78" xfId="59" applyNumberFormat="1" applyFont="1" applyFill="1" applyBorder="1" applyAlignment="1" applyProtection="1">
      <alignment horizontal="right" vertical="center"/>
    </xf>
    <xf numFmtId="167" fontId="0" fillId="0" borderId="0" xfId="59" applyNumberFormat="1" applyFont="1"/>
    <xf numFmtId="164" fontId="19" fillId="36" borderId="75" xfId="59" applyNumberFormat="1" applyFont="1" applyFill="1" applyBorder="1" applyAlignment="1" applyProtection="1">
      <alignment horizontal="center" vertical="center"/>
    </xf>
    <xf numFmtId="164" fontId="19" fillId="0" borderId="76" xfId="59" applyNumberFormat="1" applyFont="1" applyFill="1" applyBorder="1" applyAlignment="1" applyProtection="1">
      <alignment horizontal="center"/>
    </xf>
    <xf numFmtId="164" fontId="19" fillId="0" borderId="74" xfId="59" applyNumberFormat="1" applyFont="1" applyFill="1" applyBorder="1" applyAlignment="1" applyProtection="1">
      <alignment horizontal="center"/>
    </xf>
    <xf numFmtId="0" fontId="0" fillId="1" borderId="84" xfId="59" applyFont="1" applyFill="1" applyBorder="1"/>
    <xf numFmtId="0" fontId="0" fillId="1" borderId="0" xfId="59" applyFont="1" applyFill="1" applyBorder="1"/>
    <xf numFmtId="0" fontId="94" fillId="33" borderId="0" xfId="59" applyFont="1" applyFill="1" applyBorder="1" applyAlignment="1">
      <alignment horizontal="center"/>
    </xf>
    <xf numFmtId="0" fontId="45" fillId="33" borderId="0" xfId="59" applyFont="1" applyFill="1" applyBorder="1" applyAlignment="1">
      <alignment horizontal="center"/>
    </xf>
    <xf numFmtId="0" fontId="44" fillId="0" borderId="0" xfId="59" quotePrefix="1" applyFont="1" applyBorder="1" applyAlignment="1">
      <alignment horizontal="center"/>
    </xf>
    <xf numFmtId="0" fontId="76" fillId="0" borderId="0" xfId="59" applyFont="1" applyFill="1" applyBorder="1" applyAlignment="1">
      <alignment horizontal="center"/>
    </xf>
    <xf numFmtId="0" fontId="0" fillId="37" borderId="0" xfId="59" applyFont="1" applyFill="1" applyBorder="1"/>
    <xf numFmtId="0" fontId="76" fillId="1" borderId="75" xfId="59" applyFont="1" applyFill="1" applyBorder="1" applyAlignment="1">
      <alignment horizontal="center"/>
    </xf>
    <xf numFmtId="164" fontId="44" fillId="1" borderId="75" xfId="59" applyNumberFormat="1" applyFont="1" applyFill="1" applyBorder="1" applyAlignment="1"/>
    <xf numFmtId="0" fontId="0" fillId="38" borderId="76" xfId="59" applyFont="1" applyFill="1" applyBorder="1" applyAlignment="1">
      <alignment horizontal="right"/>
    </xf>
    <xf numFmtId="164" fontId="0" fillId="32" borderId="0" xfId="59" applyNumberFormat="1" applyFont="1" applyFill="1" applyBorder="1" applyAlignment="1">
      <alignment horizontal="right"/>
    </xf>
    <xf numFmtId="164" fontId="0" fillId="32" borderId="79" xfId="59" applyNumberFormat="1" applyFont="1" applyFill="1" applyBorder="1" applyAlignment="1">
      <alignment horizontal="right"/>
    </xf>
    <xf numFmtId="164" fontId="48" fillId="0" borderId="0" xfId="59" applyNumberFormat="1" applyFont="1" applyFill="1" applyBorder="1" applyAlignment="1">
      <alignment horizontal="right"/>
    </xf>
    <xf numFmtId="164" fontId="44" fillId="32" borderId="0" xfId="59" applyNumberFormat="1" applyFont="1" applyFill="1" applyBorder="1" applyAlignment="1">
      <alignment horizontal="right"/>
    </xf>
    <xf numFmtId="164" fontId="44" fillId="32" borderId="79" xfId="59" applyNumberFormat="1" applyFont="1" applyFill="1" applyBorder="1" applyAlignment="1">
      <alignment horizontal="right"/>
    </xf>
    <xf numFmtId="164" fontId="44" fillId="37" borderId="0" xfId="59" applyNumberFormat="1" applyFont="1" applyFill="1" applyBorder="1" applyAlignment="1">
      <alignment horizontal="right"/>
    </xf>
    <xf numFmtId="164" fontId="48" fillId="0" borderId="79" xfId="59" applyNumberFormat="1" applyFont="1" applyFill="1" applyBorder="1" applyAlignment="1">
      <alignment horizontal="right"/>
    </xf>
    <xf numFmtId="164" fontId="44" fillId="37" borderId="79" xfId="59" applyNumberFormat="1" applyFont="1" applyFill="1" applyBorder="1" applyAlignment="1">
      <alignment horizontal="right"/>
    </xf>
    <xf numFmtId="0" fontId="76" fillId="0" borderId="79" xfId="59" applyFont="1" applyBorder="1" applyAlignment="1">
      <alignment horizontal="center"/>
    </xf>
    <xf numFmtId="164" fontId="0" fillId="37" borderId="0" xfId="59" applyNumberFormat="1" applyFont="1" applyFill="1" applyBorder="1" applyAlignment="1">
      <alignment horizontal="right"/>
    </xf>
    <xf numFmtId="164" fontId="0" fillId="38" borderId="76" xfId="59" applyNumberFormat="1" applyFont="1" applyFill="1" applyBorder="1" applyAlignment="1">
      <alignment horizontal="right"/>
    </xf>
    <xf numFmtId="164" fontId="0" fillId="38" borderId="108" xfId="59" applyNumberFormat="1" applyFont="1" applyFill="1" applyBorder="1" applyAlignment="1">
      <alignment horizontal="right"/>
    </xf>
    <xf numFmtId="14" fontId="44" fillId="0" borderId="84" xfId="59" applyNumberFormat="1" applyFont="1" applyFill="1" applyBorder="1" applyAlignment="1"/>
    <xf numFmtId="164" fontId="44" fillId="0" borderId="84" xfId="59" applyNumberFormat="1" applyFont="1" applyFill="1" applyBorder="1" applyAlignment="1">
      <alignment horizontal="center"/>
    </xf>
    <xf numFmtId="164" fontId="44" fillId="38" borderId="109" xfId="59" applyNumberFormat="1" applyFont="1" applyFill="1" applyBorder="1" applyAlignment="1">
      <alignment horizontal="right"/>
    </xf>
    <xf numFmtId="164" fontId="48" fillId="0" borderId="84" xfId="59" applyNumberFormat="1" applyFont="1" applyFill="1" applyBorder="1" applyAlignment="1">
      <alignment horizontal="right"/>
    </xf>
    <xf numFmtId="164" fontId="44" fillId="32" borderId="84" xfId="59" applyNumberFormat="1" applyFont="1" applyFill="1" applyBorder="1" applyAlignment="1">
      <alignment horizontal="right"/>
    </xf>
    <xf numFmtId="0" fontId="0" fillId="0" borderId="75" xfId="59" applyFont="1" applyBorder="1" applyAlignment="1">
      <alignment horizontal="center"/>
    </xf>
    <xf numFmtId="164" fontId="44" fillId="1" borderId="79" xfId="59" applyNumberFormat="1" applyFont="1" applyFill="1" applyBorder="1" applyAlignment="1"/>
    <xf numFmtId="164" fontId="44" fillId="0" borderId="79" xfId="59" applyNumberFormat="1" applyFont="1" applyBorder="1" applyAlignment="1">
      <alignment horizontal="center"/>
    </xf>
    <xf numFmtId="0" fontId="0" fillId="37" borderId="0" xfId="59" applyFont="1" applyFill="1" applyBorder="1" applyAlignment="1">
      <alignment horizontal="center"/>
    </xf>
    <xf numFmtId="164" fontId="44" fillId="36" borderId="84" xfId="59" applyNumberFormat="1" applyFont="1" applyFill="1" applyBorder="1" applyAlignment="1">
      <alignment horizontal="right"/>
    </xf>
    <xf numFmtId="0" fontId="0" fillId="36" borderId="79" xfId="59" applyFont="1" applyFill="1" applyBorder="1" applyAlignment="1">
      <alignment horizontal="right"/>
    </xf>
    <xf numFmtId="164" fontId="0" fillId="37" borderId="76" xfId="59" applyNumberFormat="1" applyFont="1" applyFill="1" applyBorder="1" applyAlignment="1">
      <alignment horizontal="right"/>
    </xf>
    <xf numFmtId="164" fontId="44" fillId="36" borderId="79" xfId="59" applyNumberFormat="1" applyFont="1" applyFill="1" applyBorder="1" applyAlignment="1">
      <alignment horizontal="right"/>
    </xf>
    <xf numFmtId="164" fontId="44" fillId="36" borderId="0" xfId="59" applyNumberFormat="1" applyFont="1" applyFill="1" applyBorder="1" applyAlignment="1">
      <alignment horizontal="right"/>
    </xf>
    <xf numFmtId="0" fontId="45" fillId="33" borderId="84" xfId="59" applyFont="1" applyFill="1" applyBorder="1" applyAlignment="1">
      <alignment horizontal="right"/>
    </xf>
    <xf numFmtId="164" fontId="45" fillId="33" borderId="84" xfId="59" applyNumberFormat="1" applyFont="1" applyFill="1" applyBorder="1" applyAlignment="1">
      <alignment horizontal="right"/>
    </xf>
    <xf numFmtId="164" fontId="0" fillId="36" borderId="0" xfId="59" applyNumberFormat="1" applyFont="1" applyFill="1" applyBorder="1" applyAlignment="1">
      <alignment horizontal="right"/>
    </xf>
    <xf numFmtId="164" fontId="0" fillId="36" borderId="79" xfId="59" applyNumberFormat="1" applyFont="1" applyFill="1" applyBorder="1" applyAlignment="1">
      <alignment horizontal="right"/>
    </xf>
    <xf numFmtId="164" fontId="44" fillId="1" borderId="72" xfId="59" applyNumberFormat="1" applyFont="1" applyFill="1" applyBorder="1" applyAlignment="1">
      <alignment horizontal="right"/>
    </xf>
    <xf numFmtId="164" fontId="44" fillId="44" borderId="84" xfId="59" applyNumberFormat="1" applyFont="1" applyFill="1" applyBorder="1" applyAlignment="1">
      <alignment horizontal="right"/>
    </xf>
    <xf numFmtId="164" fontId="44" fillId="1" borderId="84" xfId="59" applyNumberFormat="1" applyFont="1" applyFill="1" applyBorder="1" applyAlignment="1">
      <alignment horizontal="right"/>
    </xf>
    <xf numFmtId="164" fontId="44" fillId="45" borderId="109" xfId="59" applyNumberFormat="1" applyFont="1" applyFill="1" applyBorder="1" applyAlignment="1">
      <alignment horizontal="right"/>
    </xf>
    <xf numFmtId="0" fontId="0" fillId="1" borderId="75" xfId="59" applyFont="1" applyFill="1" applyBorder="1" applyAlignment="1">
      <alignment horizontal="right"/>
    </xf>
    <xf numFmtId="0" fontId="0" fillId="44" borderId="0" xfId="59" applyFont="1" applyFill="1" applyBorder="1" applyAlignment="1">
      <alignment horizontal="right"/>
    </xf>
    <xf numFmtId="0" fontId="0" fillId="1" borderId="0" xfId="59" applyFont="1" applyFill="1" applyBorder="1" applyAlignment="1">
      <alignment horizontal="right"/>
    </xf>
    <xf numFmtId="164" fontId="44" fillId="44" borderId="0" xfId="59" applyNumberFormat="1" applyFont="1" applyFill="1" applyBorder="1" applyAlignment="1">
      <alignment horizontal="right"/>
    </xf>
    <xf numFmtId="0" fontId="0" fillId="45" borderId="76" xfId="59" applyFont="1" applyFill="1" applyBorder="1" applyAlignment="1">
      <alignment horizontal="right"/>
    </xf>
    <xf numFmtId="0" fontId="0" fillId="1" borderId="85" xfId="59" applyFont="1" applyFill="1" applyBorder="1" applyAlignment="1">
      <alignment horizontal="right"/>
    </xf>
    <xf numFmtId="0" fontId="0" fillId="44" borderId="79" xfId="59" applyFont="1" applyFill="1" applyBorder="1" applyAlignment="1">
      <alignment horizontal="right"/>
    </xf>
    <xf numFmtId="0" fontId="0" fillId="1" borderId="79" xfId="59" applyFont="1" applyFill="1" applyBorder="1" applyAlignment="1">
      <alignment horizontal="right"/>
    </xf>
    <xf numFmtId="0" fontId="0" fillId="45" borderId="108" xfId="59" applyFont="1" applyFill="1" applyBorder="1" applyAlignment="1">
      <alignment horizontal="right"/>
    </xf>
    <xf numFmtId="2" fontId="45" fillId="33" borderId="110" xfId="59" applyNumberFormat="1" applyFont="1" applyFill="1" applyBorder="1" applyAlignment="1" applyProtection="1">
      <alignment horizontal="center"/>
    </xf>
    <xf numFmtId="0" fontId="45" fillId="33" borderId="110" xfId="59" applyFont="1" applyFill="1" applyBorder="1" applyAlignment="1" applyProtection="1">
      <alignment horizontal="center"/>
    </xf>
    <xf numFmtId="2" fontId="45" fillId="33" borderId="111" xfId="59" applyNumberFormat="1" applyFont="1" applyFill="1" applyBorder="1" applyAlignment="1" applyProtection="1">
      <alignment horizontal="center"/>
    </xf>
    <xf numFmtId="0" fontId="45" fillId="33" borderId="111" xfId="59" applyFont="1" applyFill="1" applyBorder="1" applyAlignment="1" applyProtection="1">
      <alignment horizontal="center"/>
    </xf>
    <xf numFmtId="0" fontId="0" fillId="33" borderId="0" xfId="59" applyFont="1" applyFill="1"/>
    <xf numFmtId="2" fontId="45" fillId="33" borderId="112" xfId="59" applyNumberFormat="1" applyFont="1" applyFill="1" applyBorder="1" applyAlignment="1" applyProtection="1">
      <alignment horizontal="center"/>
    </xf>
    <xf numFmtId="2" fontId="45" fillId="33" borderId="113" xfId="59" applyNumberFormat="1" applyFont="1" applyFill="1" applyBorder="1" applyAlignment="1" applyProtection="1">
      <alignment horizontal="center"/>
    </xf>
    <xf numFmtId="0" fontId="45" fillId="33" borderId="0" xfId="59" applyFont="1" applyFill="1" applyBorder="1"/>
    <xf numFmtId="0" fontId="45" fillId="33" borderId="0" xfId="59" applyFont="1" applyFill="1" applyBorder="1" applyAlignment="1">
      <alignment horizontal="right"/>
    </xf>
    <xf numFmtId="164" fontId="45" fillId="33" borderId="0" xfId="59" applyNumberFormat="1" applyFont="1" applyFill="1" applyBorder="1" applyAlignment="1">
      <alignment horizontal="right"/>
    </xf>
    <xf numFmtId="0" fontId="0" fillId="36" borderId="84" xfId="59" applyFont="1" applyFill="1" applyBorder="1" applyAlignment="1">
      <alignment horizontal="right"/>
    </xf>
    <xf numFmtId="164" fontId="0" fillId="38" borderId="109" xfId="59" applyNumberFormat="1" applyFont="1" applyFill="1" applyBorder="1" applyAlignment="1">
      <alignment horizontal="right"/>
    </xf>
    <xf numFmtId="14" fontId="44" fillId="0" borderId="79" xfId="59" applyNumberFormat="1" applyFont="1" applyBorder="1" applyAlignment="1"/>
    <xf numFmtId="0" fontId="0" fillId="1" borderId="72" xfId="59" applyFont="1" applyFill="1" applyBorder="1" applyAlignment="1">
      <alignment horizontal="center"/>
    </xf>
    <xf numFmtId="0" fontId="0" fillId="37" borderId="79" xfId="59" applyFont="1" applyFill="1" applyBorder="1"/>
    <xf numFmtId="0" fontId="0" fillId="37" borderId="79" xfId="59" applyFont="1" applyFill="1" applyBorder="1" applyAlignment="1">
      <alignment horizontal="center"/>
    </xf>
    <xf numFmtId="164" fontId="48" fillId="37" borderId="79" xfId="59" applyNumberFormat="1" applyFont="1" applyFill="1" applyBorder="1" applyAlignment="1">
      <alignment horizontal="right"/>
    </xf>
    <xf numFmtId="164" fontId="0" fillId="37" borderId="79" xfId="59" applyNumberFormat="1" applyFont="1" applyFill="1" applyBorder="1" applyAlignment="1">
      <alignment horizontal="right"/>
    </xf>
    <xf numFmtId="164" fontId="0" fillId="37" borderId="108" xfId="59" applyNumberFormat="1" applyFont="1" applyFill="1" applyBorder="1" applyAlignment="1">
      <alignment horizontal="right"/>
    </xf>
    <xf numFmtId="0" fontId="0" fillId="37" borderId="80" xfId="59" applyFont="1" applyFill="1" applyBorder="1"/>
    <xf numFmtId="0" fontId="0" fillId="37" borderId="80" xfId="59" applyFont="1" applyFill="1" applyBorder="1" applyAlignment="1">
      <alignment horizontal="center"/>
    </xf>
    <xf numFmtId="164" fontId="44" fillId="37" borderId="80" xfId="59" applyNumberFormat="1" applyFont="1" applyFill="1" applyBorder="1" applyAlignment="1">
      <alignment horizontal="right"/>
    </xf>
    <xf numFmtId="164" fontId="48" fillId="37" borderId="80" xfId="59" applyNumberFormat="1" applyFont="1" applyFill="1" applyBorder="1" applyAlignment="1">
      <alignment horizontal="right"/>
    </xf>
    <xf numFmtId="164" fontId="0" fillId="37" borderId="80" xfId="59" applyNumberFormat="1" applyFont="1" applyFill="1" applyBorder="1" applyAlignment="1">
      <alignment horizontal="right"/>
    </xf>
    <xf numFmtId="164" fontId="0" fillId="37" borderId="114" xfId="59" applyNumberFormat="1" applyFont="1" applyFill="1" applyBorder="1" applyAlignment="1">
      <alignment horizontal="right"/>
    </xf>
    <xf numFmtId="0" fontId="0" fillId="44" borderId="84" xfId="59" applyFont="1" applyFill="1" applyBorder="1"/>
    <xf numFmtId="0" fontId="0" fillId="44" borderId="0" xfId="59" applyFont="1" applyFill="1" applyBorder="1"/>
    <xf numFmtId="0" fontId="0" fillId="45" borderId="109" xfId="59" applyFont="1" applyFill="1" applyBorder="1"/>
    <xf numFmtId="0" fontId="0" fillId="45" borderId="76" xfId="59" applyFont="1" applyFill="1" applyBorder="1"/>
    <xf numFmtId="164" fontId="48" fillId="1" borderId="72" xfId="59" applyNumberFormat="1" applyFont="1" applyFill="1" applyBorder="1" applyAlignment="1">
      <alignment horizontal="right"/>
    </xf>
    <xf numFmtId="164" fontId="20" fillId="1" borderId="75" xfId="59" applyNumberFormat="1" applyFont="1" applyFill="1" applyBorder="1" applyAlignment="1">
      <alignment horizontal="right"/>
    </xf>
    <xf numFmtId="164" fontId="48" fillId="37" borderId="75" xfId="59" applyNumberFormat="1" applyFont="1" applyFill="1" applyBorder="1" applyAlignment="1">
      <alignment horizontal="right"/>
    </xf>
    <xf numFmtId="164" fontId="48" fillId="0" borderId="75" xfId="59" applyNumberFormat="1" applyFont="1" applyBorder="1" applyAlignment="1">
      <alignment horizontal="right"/>
    </xf>
    <xf numFmtId="164" fontId="0" fillId="38" borderId="76" xfId="59" applyNumberFormat="1" applyFont="1" applyFill="1" applyBorder="1"/>
    <xf numFmtId="164" fontId="0" fillId="45" borderId="109" xfId="59" applyNumberFormat="1" applyFont="1" applyFill="1" applyBorder="1"/>
    <xf numFmtId="164" fontId="0" fillId="45" borderId="76" xfId="59" applyNumberFormat="1" applyFont="1" applyFill="1" applyBorder="1"/>
    <xf numFmtId="164" fontId="46" fillId="0" borderId="0" xfId="59" applyNumberFormat="1" applyFont="1" applyBorder="1" applyAlignment="1">
      <alignment horizontal="right"/>
    </xf>
    <xf numFmtId="164" fontId="46" fillId="0" borderId="79" xfId="59" applyNumberFormat="1" applyFont="1" applyBorder="1" applyAlignment="1">
      <alignment horizontal="right"/>
    </xf>
    <xf numFmtId="164" fontId="46" fillId="37" borderId="0" xfId="59" applyNumberFormat="1" applyFont="1" applyFill="1" applyBorder="1" applyAlignment="1">
      <alignment horizontal="right"/>
    </xf>
    <xf numFmtId="0" fontId="46" fillId="0" borderId="0" xfId="59" applyFont="1"/>
    <xf numFmtId="0" fontId="46" fillId="1" borderId="84" xfId="59" applyFont="1" applyFill="1" applyBorder="1"/>
    <xf numFmtId="0" fontId="46" fillId="1" borderId="0" xfId="59" applyFont="1" applyFill="1" applyBorder="1"/>
    <xf numFmtId="164" fontId="46" fillId="0" borderId="0" xfId="59" applyNumberFormat="1" applyFont="1" applyBorder="1"/>
    <xf numFmtId="164" fontId="46" fillId="37" borderId="79" xfId="59" applyNumberFormat="1" applyFont="1" applyFill="1" applyBorder="1" applyAlignment="1">
      <alignment horizontal="right"/>
    </xf>
    <xf numFmtId="164" fontId="46" fillId="1" borderId="84" xfId="59" applyNumberFormat="1" applyFont="1" applyFill="1" applyBorder="1"/>
    <xf numFmtId="164" fontId="46" fillId="1" borderId="0" xfId="59" applyNumberFormat="1" applyFont="1" applyFill="1" applyBorder="1"/>
    <xf numFmtId="164" fontId="46" fillId="37" borderId="80" xfId="59" applyNumberFormat="1" applyFont="1" applyFill="1" applyBorder="1" applyAlignment="1">
      <alignment horizontal="right"/>
    </xf>
    <xf numFmtId="0" fontId="0" fillId="46" borderId="0" xfId="59" applyFont="1" applyFill="1"/>
    <xf numFmtId="14" fontId="44" fillId="46" borderId="72" xfId="59" applyNumberFormat="1" applyFont="1" applyFill="1" applyBorder="1" applyAlignment="1" applyProtection="1">
      <alignment horizontal="center" vertical="center"/>
    </xf>
    <xf numFmtId="164" fontId="44" fillId="46" borderId="0" xfId="59" applyNumberFormat="1" applyFont="1" applyFill="1" applyBorder="1" applyAlignment="1"/>
    <xf numFmtId="164" fontId="44" fillId="46" borderId="0" xfId="59" applyNumberFormat="1" applyFont="1" applyFill="1" applyBorder="1" applyAlignment="1">
      <alignment horizontal="center"/>
    </xf>
    <xf numFmtId="164" fontId="48" fillId="46" borderId="84" xfId="59" applyNumberFormat="1" applyFont="1" applyFill="1" applyBorder="1" applyAlignment="1">
      <alignment horizontal="right"/>
    </xf>
    <xf numFmtId="14" fontId="44" fillId="46" borderId="75" xfId="59" applyNumberFormat="1" applyFont="1" applyFill="1" applyBorder="1" applyAlignment="1" applyProtection="1">
      <alignment horizontal="center" vertical="center"/>
    </xf>
    <xf numFmtId="14" fontId="44" fillId="46" borderId="85" xfId="59" applyNumberFormat="1" applyFont="1" applyFill="1" applyBorder="1" applyAlignment="1" applyProtection="1">
      <alignment horizontal="center" vertical="center"/>
    </xf>
    <xf numFmtId="164" fontId="44" fillId="46" borderId="79" xfId="59" applyNumberFormat="1" applyFont="1" applyFill="1" applyBorder="1" applyAlignment="1"/>
    <xf numFmtId="164" fontId="44" fillId="46" borderId="79" xfId="59" applyNumberFormat="1" applyFont="1" applyFill="1" applyBorder="1" applyAlignment="1">
      <alignment horizontal="center"/>
    </xf>
    <xf numFmtId="0" fontId="0" fillId="46" borderId="85" xfId="59" applyFont="1" applyFill="1" applyBorder="1" applyAlignment="1">
      <alignment horizontal="right"/>
    </xf>
    <xf numFmtId="0" fontId="0" fillId="46" borderId="79" xfId="59" applyFont="1" applyFill="1" applyBorder="1" applyAlignment="1">
      <alignment horizontal="right"/>
    </xf>
    <xf numFmtId="164" fontId="44" fillId="44" borderId="0" xfId="59" applyNumberFormat="1" applyFont="1" applyFill="1" applyBorder="1" applyAlignment="1"/>
    <xf numFmtId="164" fontId="44" fillId="38" borderId="76" xfId="59" applyNumberFormat="1" applyFont="1" applyFill="1" applyBorder="1" applyAlignment="1"/>
    <xf numFmtId="164" fontId="44" fillId="1" borderId="72" xfId="59" applyNumberFormat="1" applyFont="1" applyFill="1" applyBorder="1" applyAlignment="1"/>
    <xf numFmtId="164" fontId="44" fillId="44" borderId="84" xfId="59" applyNumberFormat="1" applyFont="1" applyFill="1" applyBorder="1" applyAlignment="1"/>
    <xf numFmtId="164" fontId="44" fillId="38" borderId="109" xfId="59" applyNumberFormat="1" applyFont="1" applyFill="1" applyBorder="1" applyAlignment="1"/>
    <xf numFmtId="164" fontId="44" fillId="0" borderId="80" xfId="59" applyNumberFormat="1" applyFont="1" applyFill="1" applyBorder="1" applyAlignment="1"/>
    <xf numFmtId="164" fontId="48" fillId="0" borderId="0" xfId="59" applyNumberFormat="1" applyFont="1" applyFill="1" applyBorder="1" applyAlignment="1"/>
    <xf numFmtId="0" fontId="44" fillId="32" borderId="0" xfId="59" applyFont="1" applyFill="1" applyAlignment="1"/>
    <xf numFmtId="164" fontId="44" fillId="32" borderId="0" xfId="59" applyNumberFormat="1" applyFont="1" applyFill="1" applyAlignment="1"/>
    <xf numFmtId="2" fontId="44" fillId="32" borderId="0" xfId="59" applyNumberFormat="1" applyFont="1" applyFill="1" applyAlignment="1">
      <alignment horizontal="center"/>
    </xf>
    <xf numFmtId="0" fontId="44" fillId="0" borderId="115" xfId="59" applyFont="1" applyBorder="1" applyAlignment="1">
      <alignment horizontal="center"/>
    </xf>
    <xf numFmtId="0" fontId="19" fillId="0" borderId="116" xfId="59" applyFont="1" applyBorder="1" applyAlignment="1">
      <alignment horizontal="center"/>
    </xf>
    <xf numFmtId="0" fontId="44" fillId="0" borderId="116" xfId="59" applyFont="1" applyBorder="1" applyAlignment="1"/>
    <xf numFmtId="0" fontId="44" fillId="0" borderId="116" xfId="59" applyFont="1" applyBorder="1" applyAlignment="1">
      <alignment horizontal="center"/>
    </xf>
    <xf numFmtId="164" fontId="44" fillId="0" borderId="116" xfId="59" applyNumberFormat="1" applyFont="1" applyBorder="1" applyAlignment="1"/>
    <xf numFmtId="0" fontId="44" fillId="0" borderId="117" xfId="59" applyFont="1" applyBorder="1" applyAlignment="1">
      <alignment horizontal="center"/>
    </xf>
    <xf numFmtId="0" fontId="19" fillId="0" borderId="118" xfId="59" applyFont="1" applyBorder="1" applyAlignment="1">
      <alignment horizontal="center"/>
    </xf>
    <xf numFmtId="164" fontId="44" fillId="0" borderId="118" xfId="59" applyNumberFormat="1" applyFont="1" applyBorder="1" applyAlignment="1"/>
    <xf numFmtId="164" fontId="44" fillId="0" borderId="118" xfId="59" applyNumberFormat="1" applyFont="1" applyBorder="1" applyAlignment="1">
      <alignment horizontal="center"/>
    </xf>
    <xf numFmtId="0" fontId="44" fillId="0" borderId="84" xfId="59" applyFont="1" applyBorder="1" applyAlignment="1"/>
    <xf numFmtId="2" fontId="44" fillId="0" borderId="84" xfId="59" applyNumberFormat="1" applyFont="1" applyBorder="1" applyAlignment="1">
      <alignment horizontal="center"/>
    </xf>
    <xf numFmtId="0" fontId="44" fillId="0" borderId="0" xfId="59" applyFont="1" applyBorder="1" applyAlignment="1"/>
    <xf numFmtId="2" fontId="44" fillId="0" borderId="0" xfId="59" applyNumberFormat="1" applyFont="1" applyBorder="1" applyAlignment="1">
      <alignment horizontal="center"/>
    </xf>
    <xf numFmtId="0" fontId="44" fillId="0" borderId="79" xfId="59" applyFont="1" applyBorder="1" applyAlignment="1"/>
    <xf numFmtId="2" fontId="44" fillId="0" borderId="79" xfId="59" applyNumberFormat="1" applyFont="1" applyBorder="1" applyAlignment="1">
      <alignment horizontal="center"/>
    </xf>
    <xf numFmtId="0" fontId="19" fillId="30" borderId="84" xfId="59" applyFont="1" applyFill="1" applyBorder="1" applyAlignment="1">
      <alignment horizontal="center"/>
    </xf>
    <xf numFmtId="165" fontId="44" fillId="30" borderId="84" xfId="75" applyNumberFormat="1" applyFont="1" applyFill="1" applyBorder="1" applyAlignment="1"/>
    <xf numFmtId="0" fontId="19" fillId="38" borderId="0" xfId="59" applyFont="1" applyFill="1" applyAlignment="1">
      <alignment horizontal="center"/>
    </xf>
    <xf numFmtId="0" fontId="44" fillId="38" borderId="0" xfId="59" applyFont="1" applyFill="1" applyAlignment="1"/>
    <xf numFmtId="2" fontId="44" fillId="38" borderId="0" xfId="59" applyNumberFormat="1" applyFont="1" applyFill="1" applyAlignment="1">
      <alignment horizontal="center"/>
    </xf>
    <xf numFmtId="0" fontId="19" fillId="30" borderId="0" xfId="59" applyFont="1" applyFill="1" applyAlignment="1">
      <alignment horizontal="center"/>
    </xf>
    <xf numFmtId="0" fontId="44" fillId="30" borderId="0" xfId="59" applyFont="1" applyFill="1" applyAlignment="1"/>
    <xf numFmtId="2" fontId="44" fillId="30" borderId="0" xfId="59" applyNumberFormat="1" applyFont="1" applyFill="1" applyAlignment="1">
      <alignment horizontal="center"/>
    </xf>
    <xf numFmtId="164" fontId="48" fillId="0" borderId="0" xfId="59" applyNumberFormat="1" applyFont="1" applyBorder="1"/>
    <xf numFmtId="164" fontId="48" fillId="32" borderId="79" xfId="59" applyNumberFormat="1" applyFont="1" applyFill="1" applyBorder="1"/>
    <xf numFmtId="166" fontId="17" fillId="0" borderId="0" xfId="59" applyNumberFormat="1" applyFont="1" applyBorder="1" applyProtection="1"/>
    <xf numFmtId="164" fontId="44" fillId="38" borderId="0" xfId="59" applyNumberFormat="1" applyFont="1" applyFill="1" applyAlignment="1"/>
    <xf numFmtId="0" fontId="44" fillId="28" borderId="70" xfId="59" applyFont="1" applyFill="1" applyBorder="1"/>
    <xf numFmtId="0" fontId="44" fillId="28" borderId="22" xfId="59" applyFont="1" applyFill="1" applyBorder="1" applyAlignment="1">
      <alignment horizontal="center"/>
    </xf>
    <xf numFmtId="0" fontId="44" fillId="28" borderId="23" xfId="59" applyFont="1" applyFill="1" applyBorder="1" applyAlignment="1">
      <alignment horizontal="center"/>
    </xf>
    <xf numFmtId="164" fontId="0" fillId="36" borderId="80" xfId="59" applyNumberFormat="1" applyFont="1" applyFill="1" applyBorder="1"/>
    <xf numFmtId="164" fontId="0" fillId="36" borderId="79" xfId="59" applyNumberFormat="1" applyFont="1" applyFill="1" applyBorder="1"/>
    <xf numFmtId="164" fontId="44" fillId="36" borderId="84" xfId="59" applyNumberFormat="1" applyFont="1" applyFill="1" applyBorder="1" applyAlignment="1"/>
    <xf numFmtId="164" fontId="44" fillId="36" borderId="0" xfId="59" applyNumberFormat="1" applyFont="1" applyFill="1" applyBorder="1" applyAlignment="1"/>
    <xf numFmtId="14" fontId="45" fillId="33" borderId="0" xfId="59" applyNumberFormat="1" applyFont="1" applyFill="1" applyBorder="1"/>
    <xf numFmtId="164" fontId="46" fillId="0" borderId="86" xfId="59" applyNumberFormat="1" applyFont="1" applyBorder="1"/>
    <xf numFmtId="164" fontId="46" fillId="0" borderId="80" xfId="59" applyNumberFormat="1" applyFont="1" applyBorder="1"/>
    <xf numFmtId="164" fontId="0" fillId="38" borderId="114" xfId="59" applyNumberFormat="1" applyFont="1" applyFill="1" applyBorder="1"/>
    <xf numFmtId="164" fontId="0" fillId="38" borderId="108" xfId="59" applyNumberFormat="1" applyFont="1" applyFill="1" applyBorder="1"/>
    <xf numFmtId="164" fontId="46" fillId="0" borderId="85" xfId="59" applyNumberFormat="1" applyFont="1" applyBorder="1"/>
    <xf numFmtId="164" fontId="46" fillId="0" borderId="79" xfId="59" applyNumberFormat="1" applyFont="1" applyBorder="1"/>
    <xf numFmtId="164" fontId="48" fillId="46" borderId="72" xfId="59" applyNumberFormat="1" applyFont="1" applyFill="1" applyBorder="1" applyAlignment="1"/>
    <xf numFmtId="164" fontId="48" fillId="46" borderId="84" xfId="59" applyNumberFormat="1" applyFont="1" applyFill="1" applyBorder="1" applyAlignment="1"/>
    <xf numFmtId="164" fontId="44" fillId="1" borderId="75" xfId="59" applyNumberFormat="1" applyFont="1" applyFill="1" applyBorder="1" applyAlignment="1">
      <alignment horizontal="right"/>
    </xf>
    <xf numFmtId="164" fontId="44" fillId="1" borderId="0" xfId="59" applyNumberFormat="1" applyFont="1" applyFill="1" applyBorder="1" applyAlignment="1">
      <alignment horizontal="right"/>
    </xf>
    <xf numFmtId="0" fontId="0" fillId="47" borderId="75" xfId="59" applyFont="1" applyFill="1" applyBorder="1" applyAlignment="1">
      <alignment horizontal="right"/>
    </xf>
    <xf numFmtId="0" fontId="0" fillId="47" borderId="0" xfId="59" applyFont="1" applyFill="1" applyBorder="1" applyAlignment="1">
      <alignment horizontal="right"/>
    </xf>
    <xf numFmtId="164" fontId="44" fillId="45" borderId="76" xfId="59" applyNumberFormat="1" applyFont="1" applyFill="1" applyBorder="1" applyAlignment="1">
      <alignment horizontal="right"/>
    </xf>
    <xf numFmtId="0" fontId="0" fillId="47" borderId="76" xfId="59" applyFont="1" applyFill="1" applyBorder="1" applyAlignment="1">
      <alignment horizontal="right"/>
    </xf>
    <xf numFmtId="0" fontId="0" fillId="1" borderId="75" xfId="59" applyFont="1" applyFill="1" applyBorder="1"/>
    <xf numFmtId="0" fontId="0" fillId="47" borderId="85" xfId="59" applyFont="1" applyFill="1" applyBorder="1" applyAlignment="1">
      <alignment horizontal="right"/>
    </xf>
    <xf numFmtId="0" fontId="0" fillId="47" borderId="79" xfId="59" applyFont="1" applyFill="1" applyBorder="1" applyAlignment="1">
      <alignment horizontal="right"/>
    </xf>
    <xf numFmtId="0" fontId="0" fillId="47" borderId="86" xfId="59" applyFont="1" applyFill="1" applyBorder="1" applyAlignment="1">
      <alignment horizontal="right"/>
    </xf>
    <xf numFmtId="0" fontId="0" fillId="47" borderId="80" xfId="59" applyFont="1" applyFill="1" applyBorder="1" applyAlignment="1">
      <alignment horizontal="right"/>
    </xf>
    <xf numFmtId="0" fontId="0" fillId="47" borderId="108" xfId="59" applyFont="1" applyFill="1" applyBorder="1" applyAlignment="1">
      <alignment horizontal="right"/>
    </xf>
    <xf numFmtId="0" fontId="0" fillId="47" borderId="114" xfId="59" applyFont="1" applyFill="1" applyBorder="1" applyAlignment="1">
      <alignment horizontal="right"/>
    </xf>
    <xf numFmtId="0" fontId="0" fillId="1" borderId="86" xfId="59" applyFont="1" applyFill="1" applyBorder="1"/>
    <xf numFmtId="0" fontId="0" fillId="44" borderId="80" xfId="59" applyFont="1" applyFill="1" applyBorder="1"/>
    <xf numFmtId="0" fontId="0" fillId="1" borderId="80" xfId="59" applyFont="1" applyFill="1" applyBorder="1"/>
    <xf numFmtId="0" fontId="0" fillId="45" borderId="114" xfId="59" applyFont="1" applyFill="1" applyBorder="1"/>
    <xf numFmtId="164" fontId="44" fillId="45" borderId="109" xfId="59" applyNumberFormat="1" applyFont="1" applyFill="1" applyBorder="1" applyAlignment="1"/>
    <xf numFmtId="164" fontId="44" fillId="45" borderId="76" xfId="59" applyNumberFormat="1" applyFont="1" applyFill="1" applyBorder="1" applyAlignment="1"/>
    <xf numFmtId="164" fontId="0" fillId="45" borderId="108" xfId="59" applyNumberFormat="1" applyFont="1" applyFill="1" applyBorder="1"/>
    <xf numFmtId="0" fontId="46" fillId="1" borderId="85" xfId="59" applyFont="1" applyFill="1" applyBorder="1"/>
    <xf numFmtId="0" fontId="0" fillId="44" borderId="79" xfId="59" applyFont="1" applyFill="1" applyBorder="1"/>
    <xf numFmtId="0" fontId="46" fillId="1" borderId="79" xfId="59" applyFont="1" applyFill="1" applyBorder="1"/>
    <xf numFmtId="164" fontId="0" fillId="44" borderId="79" xfId="59" applyNumberFormat="1" applyFont="1" applyFill="1" applyBorder="1"/>
    <xf numFmtId="0" fontId="0" fillId="45" borderId="108" xfId="59" applyFont="1" applyFill="1" applyBorder="1"/>
    <xf numFmtId="164" fontId="48" fillId="0" borderId="80" xfId="59" applyNumberFormat="1" applyFont="1" applyFill="1" applyBorder="1" applyAlignment="1"/>
    <xf numFmtId="0" fontId="44" fillId="0" borderId="86" xfId="59" applyFont="1" applyFill="1" applyBorder="1" applyAlignment="1">
      <alignment horizontal="center"/>
    </xf>
    <xf numFmtId="0" fontId="0" fillId="0" borderId="80" xfId="59" applyFont="1" applyFill="1" applyBorder="1" applyAlignment="1">
      <alignment horizontal="center"/>
    </xf>
    <xf numFmtId="164" fontId="44" fillId="1" borderId="86" xfId="59" applyNumberFormat="1" applyFont="1" applyFill="1" applyBorder="1" applyAlignment="1"/>
    <xf numFmtId="164" fontId="44" fillId="1" borderId="80" xfId="59" applyNumberFormat="1" applyFont="1" applyFill="1" applyBorder="1" applyAlignment="1"/>
    <xf numFmtId="164" fontId="44" fillId="36" borderId="80" xfId="59" applyNumberFormat="1" applyFont="1" applyFill="1" applyBorder="1" applyAlignment="1"/>
    <xf numFmtId="165" fontId="0" fillId="0" borderId="0" xfId="75" applyNumberFormat="1" applyFont="1"/>
    <xf numFmtId="2" fontId="44" fillId="38" borderId="109" xfId="59" applyNumberFormat="1" applyFont="1" applyFill="1" applyBorder="1" applyAlignment="1">
      <alignment horizontal="right"/>
    </xf>
    <xf numFmtId="2" fontId="0" fillId="38" borderId="76" xfId="59" applyNumberFormat="1" applyFont="1" applyFill="1" applyBorder="1" applyAlignment="1">
      <alignment horizontal="right"/>
    </xf>
    <xf numFmtId="2" fontId="0" fillId="38" borderId="108" xfId="59" applyNumberFormat="1" applyFont="1" applyFill="1" applyBorder="1" applyAlignment="1">
      <alignment horizontal="right"/>
    </xf>
    <xf numFmtId="164" fontId="48" fillId="32" borderId="80" xfId="59" applyNumberFormat="1" applyFont="1" applyFill="1" applyBorder="1" applyAlignment="1">
      <alignment horizontal="right"/>
    </xf>
    <xf numFmtId="2" fontId="48" fillId="32" borderId="114" xfId="59" applyNumberFormat="1" applyFont="1" applyFill="1" applyBorder="1" applyAlignment="1">
      <alignment horizontal="right"/>
    </xf>
    <xf numFmtId="0" fontId="0" fillId="46" borderId="72" xfId="59" applyFont="1" applyFill="1" applyBorder="1" applyAlignment="1">
      <alignment horizontal="right"/>
    </xf>
    <xf numFmtId="0" fontId="0" fillId="46" borderId="84" xfId="59" applyFont="1" applyFill="1" applyBorder="1" applyAlignment="1">
      <alignment horizontal="right"/>
    </xf>
    <xf numFmtId="164" fontId="0" fillId="32" borderId="80" xfId="59" applyNumberFormat="1" applyFont="1" applyFill="1" applyBorder="1" applyAlignment="1">
      <alignment horizontal="right"/>
    </xf>
    <xf numFmtId="164" fontId="44" fillId="32" borderId="80" xfId="59" applyNumberFormat="1" applyFont="1" applyFill="1" applyBorder="1" applyAlignment="1">
      <alignment horizontal="right"/>
    </xf>
    <xf numFmtId="164" fontId="0" fillId="38" borderId="114" xfId="59" applyNumberFormat="1" applyFont="1" applyFill="1" applyBorder="1" applyAlignment="1">
      <alignment horizontal="right"/>
    </xf>
    <xf numFmtId="164" fontId="0" fillId="32" borderId="108" xfId="59" applyNumberFormat="1" applyFont="1" applyFill="1" applyBorder="1" applyAlignment="1">
      <alignment horizontal="right"/>
    </xf>
    <xf numFmtId="164" fontId="48" fillId="32" borderId="86" xfId="59" applyNumberFormat="1" applyFont="1" applyFill="1" applyBorder="1" applyAlignment="1">
      <alignment horizontal="right"/>
    </xf>
    <xf numFmtId="164" fontId="48" fillId="32" borderId="114" xfId="59" applyNumberFormat="1" applyFont="1" applyFill="1" applyBorder="1" applyAlignment="1">
      <alignment horizontal="right"/>
    </xf>
    <xf numFmtId="164" fontId="48" fillId="48" borderId="72" xfId="59" applyNumberFormat="1" applyFont="1" applyFill="1" applyBorder="1" applyAlignment="1"/>
    <xf numFmtId="164" fontId="48" fillId="48" borderId="84" xfId="59" applyNumberFormat="1" applyFont="1" applyFill="1" applyBorder="1" applyAlignment="1"/>
    <xf numFmtId="164" fontId="44" fillId="49" borderId="0" xfId="59" applyNumberFormat="1" applyFont="1" applyFill="1" applyBorder="1" applyAlignment="1"/>
    <xf numFmtId="164" fontId="48" fillId="48" borderId="80" xfId="59" applyNumberFormat="1" applyFont="1" applyFill="1" applyBorder="1" applyAlignment="1">
      <alignment horizontal="right"/>
    </xf>
    <xf numFmtId="0" fontId="0" fillId="49" borderId="84" xfId="59" applyFont="1" applyFill="1" applyBorder="1"/>
    <xf numFmtId="0" fontId="0" fillId="49" borderId="0" xfId="59" applyFont="1" applyFill="1" applyBorder="1"/>
    <xf numFmtId="164" fontId="48" fillId="32" borderId="84" xfId="59" applyNumberFormat="1" applyFont="1" applyFill="1" applyBorder="1"/>
    <xf numFmtId="164" fontId="48" fillId="48" borderId="86" xfId="59" applyNumberFormat="1" applyFont="1" applyFill="1" applyBorder="1" applyAlignment="1">
      <alignment horizontal="right"/>
    </xf>
    <xf numFmtId="2" fontId="48" fillId="48" borderId="0" xfId="59" applyNumberFormat="1" applyFont="1" applyFill="1" applyBorder="1"/>
    <xf numFmtId="164" fontId="44" fillId="49" borderId="84" xfId="59" applyNumberFormat="1" applyFont="1" applyFill="1" applyBorder="1" applyAlignment="1"/>
    <xf numFmtId="2" fontId="71" fillId="48" borderId="76" xfId="59" applyNumberFormat="1" applyFont="1" applyFill="1" applyBorder="1" applyAlignment="1">
      <alignment horizontal="right"/>
    </xf>
    <xf numFmtId="2" fontId="48" fillId="37" borderId="0" xfId="59" applyNumberFormat="1" applyFont="1" applyFill="1" applyBorder="1" applyAlignment="1">
      <alignment horizontal="right"/>
    </xf>
    <xf numFmtId="2" fontId="45" fillId="33" borderId="84" xfId="59" applyNumberFormat="1" applyFont="1" applyFill="1" applyBorder="1" applyAlignment="1">
      <alignment horizontal="right"/>
    </xf>
    <xf numFmtId="2" fontId="0" fillId="37" borderId="76" xfId="59" applyNumberFormat="1" applyFont="1" applyFill="1" applyBorder="1" applyAlignment="1">
      <alignment horizontal="right"/>
    </xf>
    <xf numFmtId="0" fontId="84" fillId="0" borderId="0" xfId="59" applyFont="1" applyAlignment="1">
      <alignment horizontal="left"/>
    </xf>
    <xf numFmtId="165" fontId="44" fillId="30" borderId="0" xfId="75" applyNumberFormat="1" applyFont="1" applyFill="1" applyAlignment="1"/>
    <xf numFmtId="1" fontId="71" fillId="0" borderId="0" xfId="59" applyNumberFormat="1" applyFont="1" applyAlignment="1">
      <alignment horizontal="left"/>
    </xf>
    <xf numFmtId="164" fontId="44" fillId="1" borderId="114" xfId="59" applyNumberFormat="1" applyFont="1" applyFill="1" applyBorder="1" applyAlignment="1"/>
    <xf numFmtId="164" fontId="44" fillId="32" borderId="80" xfId="59" applyNumberFormat="1" applyFont="1" applyFill="1" applyBorder="1" applyAlignment="1"/>
    <xf numFmtId="164" fontId="44" fillId="0" borderId="79" xfId="59" applyNumberFormat="1" applyFont="1" applyFill="1" applyBorder="1" applyAlignment="1"/>
    <xf numFmtId="164" fontId="44" fillId="0" borderId="79" xfId="59" applyNumberFormat="1" applyFont="1" applyFill="1" applyBorder="1" applyAlignment="1">
      <alignment horizontal="center"/>
    </xf>
    <xf numFmtId="164" fontId="0" fillId="0" borderId="0" xfId="59" applyNumberFormat="1" applyFont="1"/>
    <xf numFmtId="0" fontId="76" fillId="30" borderId="0" xfId="59" applyFont="1" applyFill="1" applyBorder="1" applyAlignment="1">
      <alignment horizontal="center"/>
    </xf>
    <xf numFmtId="0" fontId="17" fillId="30" borderId="0" xfId="59" applyFont="1" applyFill="1" applyBorder="1" applyAlignment="1">
      <alignment horizontal="center"/>
    </xf>
    <xf numFmtId="165" fontId="44" fillId="50" borderId="0" xfId="75" applyNumberFormat="1" applyFont="1" applyFill="1" applyAlignment="1"/>
    <xf numFmtId="0" fontId="48" fillId="40" borderId="0" xfId="59" applyFont="1" applyFill="1" applyAlignment="1">
      <alignment horizontal="center"/>
    </xf>
    <xf numFmtId="164" fontId="44" fillId="0" borderId="84" xfId="59" applyNumberFormat="1" applyFont="1" applyFill="1" applyBorder="1"/>
    <xf numFmtId="166" fontId="44" fillId="0" borderId="0" xfId="59" applyNumberFormat="1" applyFont="1" applyBorder="1" applyAlignment="1"/>
    <xf numFmtId="0" fontId="71" fillId="0" borderId="0" xfId="59" applyFont="1" applyAlignment="1">
      <alignment horizontal="center"/>
    </xf>
    <xf numFmtId="0" fontId="71" fillId="0" borderId="0" xfId="59" applyFont="1" applyFill="1" applyAlignment="1">
      <alignment horizontal="center"/>
    </xf>
    <xf numFmtId="0" fontId="71" fillId="46" borderId="0" xfId="59" applyFont="1" applyFill="1" applyAlignment="1">
      <alignment horizontal="center"/>
    </xf>
    <xf numFmtId="164" fontId="48" fillId="0" borderId="0" xfId="59" applyNumberFormat="1" applyFont="1"/>
    <xf numFmtId="164" fontId="71" fillId="37" borderId="0" xfId="59" applyNumberFormat="1" applyFont="1" applyFill="1" applyBorder="1" applyAlignment="1">
      <alignment horizontal="right"/>
    </xf>
    <xf numFmtId="164" fontId="65" fillId="37" borderId="0" xfId="59" applyNumberFormat="1" applyFont="1" applyFill="1" applyBorder="1" applyAlignment="1">
      <alignment horizontal="right"/>
    </xf>
    <xf numFmtId="164" fontId="71" fillId="33" borderId="84" xfId="59" applyNumberFormat="1" applyFont="1" applyFill="1" applyBorder="1" applyAlignment="1">
      <alignment horizontal="right"/>
    </xf>
    <xf numFmtId="164" fontId="71" fillId="33" borderId="0" xfId="59" applyNumberFormat="1" applyFont="1" applyFill="1" applyBorder="1" applyAlignment="1">
      <alignment horizontal="right"/>
    </xf>
    <xf numFmtId="164" fontId="71" fillId="37" borderId="85" xfId="59" applyNumberFormat="1" applyFont="1" applyFill="1" applyBorder="1" applyAlignment="1">
      <alignment horizontal="right"/>
    </xf>
    <xf numFmtId="164" fontId="65" fillId="37" borderId="79" xfId="59" applyNumberFormat="1" applyFont="1" applyFill="1" applyBorder="1" applyAlignment="1">
      <alignment horizontal="right"/>
    </xf>
    <xf numFmtId="0" fontId="0" fillId="30" borderId="0" xfId="59" applyFont="1" applyFill="1" applyAlignment="1">
      <alignment horizontal="center"/>
    </xf>
    <xf numFmtId="0" fontId="44" fillId="30" borderId="27" xfId="59" applyFont="1" applyFill="1" applyBorder="1"/>
    <xf numFmtId="0" fontId="48" fillId="30" borderId="25" xfId="59" applyFont="1" applyFill="1" applyBorder="1" applyAlignment="1">
      <alignment vertical="center"/>
    </xf>
    <xf numFmtId="0" fontId="0" fillId="0" borderId="27" xfId="59" applyFont="1" applyBorder="1" applyAlignment="1">
      <alignment horizontal="center"/>
    </xf>
    <xf numFmtId="0" fontId="0" fillId="0" borderId="4" xfId="59" applyFont="1" applyBorder="1" applyAlignment="1">
      <alignment horizontal="center"/>
    </xf>
    <xf numFmtId="0" fontId="0" fillId="0" borderId="29" xfId="59" applyFont="1" applyBorder="1" applyAlignment="1">
      <alignment horizontal="center"/>
    </xf>
    <xf numFmtId="0" fontId="0" fillId="0" borderId="45" xfId="59" applyFont="1" applyBorder="1" applyAlignment="1">
      <alignment horizontal="center"/>
    </xf>
    <xf numFmtId="0" fontId="0" fillId="30" borderId="29" xfId="59" applyFont="1" applyFill="1" applyBorder="1" applyAlignment="1">
      <alignment horizontal="center"/>
    </xf>
    <xf numFmtId="0" fontId="0" fillId="0" borderId="44" xfId="59" applyFont="1" applyBorder="1" applyAlignment="1">
      <alignment horizontal="center"/>
    </xf>
    <xf numFmtId="0" fontId="0" fillId="1" borderId="25" xfId="59" applyFont="1" applyFill="1" applyBorder="1"/>
    <xf numFmtId="0" fontId="0" fillId="1" borderId="28" xfId="59" applyFont="1" applyFill="1" applyBorder="1"/>
    <xf numFmtId="0" fontId="0" fillId="1" borderId="29" xfId="59" applyFont="1" applyFill="1" applyBorder="1"/>
    <xf numFmtId="0" fontId="0" fillId="1" borderId="38" xfId="59" applyFont="1" applyFill="1" applyBorder="1"/>
    <xf numFmtId="0" fontId="0" fillId="1" borderId="45" xfId="59" applyFont="1" applyFill="1" applyBorder="1"/>
    <xf numFmtId="0" fontId="0" fillId="50" borderId="0" xfId="59" applyFont="1" applyFill="1" applyBorder="1"/>
    <xf numFmtId="0" fontId="0" fillId="50" borderId="29" xfId="59" applyFont="1" applyFill="1" applyBorder="1"/>
    <xf numFmtId="0" fontId="48" fillId="30" borderId="28" xfId="59" applyFont="1" applyFill="1" applyBorder="1" applyAlignment="1">
      <alignment horizontal="center" vertical="center"/>
    </xf>
    <xf numFmtId="0" fontId="0" fillId="0" borderId="28" xfId="59" applyFont="1" applyBorder="1" applyAlignment="1">
      <alignment horizontal="center"/>
    </xf>
    <xf numFmtId="164" fontId="71" fillId="32" borderId="80" xfId="59" applyNumberFormat="1" applyFont="1" applyFill="1" applyBorder="1" applyAlignment="1">
      <alignment horizontal="right"/>
    </xf>
    <xf numFmtId="164" fontId="65" fillId="32" borderId="79" xfId="59" applyNumberFormat="1" applyFont="1" applyFill="1" applyBorder="1" applyAlignment="1">
      <alignment horizontal="right"/>
    </xf>
    <xf numFmtId="2" fontId="71" fillId="32" borderId="85" xfId="59" applyNumberFormat="1" applyFont="1" applyFill="1" applyBorder="1" applyAlignment="1">
      <alignment horizontal="right"/>
    </xf>
    <xf numFmtId="2" fontId="46" fillId="32" borderId="79" xfId="59" applyNumberFormat="1" applyFont="1" applyFill="1" applyBorder="1" applyAlignment="1">
      <alignment horizontal="right"/>
    </xf>
    <xf numFmtId="165" fontId="44" fillId="30" borderId="38" xfId="59" applyNumberFormat="1" applyFont="1" applyFill="1" applyBorder="1" applyAlignment="1"/>
    <xf numFmtId="165" fontId="44" fillId="30" borderId="38" xfId="75" applyNumberFormat="1" applyFont="1" applyFill="1" applyBorder="1" applyAlignment="1"/>
    <xf numFmtId="165" fontId="44" fillId="0" borderId="0" xfId="75" applyNumberFormat="1" applyFont="1" applyFill="1" applyBorder="1" applyAlignment="1"/>
    <xf numFmtId="0" fontId="95" fillId="33" borderId="0" xfId="59" applyFont="1" applyFill="1"/>
    <xf numFmtId="14" fontId="99" fillId="33" borderId="0" xfId="59" applyNumberFormat="1" applyFont="1" applyFill="1" applyBorder="1" applyAlignment="1"/>
    <xf numFmtId="2" fontId="48" fillId="28" borderId="49" xfId="59" applyNumberFormat="1" applyFont="1" applyFill="1" applyBorder="1" applyAlignment="1">
      <alignment horizontal="center"/>
    </xf>
    <xf numFmtId="0" fontId="19" fillId="0" borderId="38" xfId="59" applyFont="1" applyFill="1" applyBorder="1" applyAlignment="1">
      <alignment horizontal="center"/>
    </xf>
    <xf numFmtId="14" fontId="44" fillId="0" borderId="38" xfId="59" applyNumberFormat="1" applyFont="1" applyFill="1" applyBorder="1" applyAlignment="1"/>
    <xf numFmtId="164" fontId="44" fillId="0" borderId="38" xfId="59" applyNumberFormat="1" applyFont="1" applyFill="1" applyBorder="1" applyAlignment="1">
      <alignment horizontal="center"/>
    </xf>
    <xf numFmtId="164" fontId="44" fillId="0" borderId="38" xfId="59" applyNumberFormat="1" applyFont="1" applyFill="1" applyBorder="1" applyAlignment="1"/>
    <xf numFmtId="2" fontId="0" fillId="30" borderId="25" xfId="59" applyNumberFormat="1" applyFont="1" applyFill="1" applyBorder="1"/>
    <xf numFmtId="164" fontId="0" fillId="0" borderId="38" xfId="59" applyNumberFormat="1" applyFont="1" applyBorder="1"/>
    <xf numFmtId="2" fontId="0" fillId="30" borderId="0" xfId="59" applyNumberFormat="1" applyFont="1" applyFill="1" applyBorder="1"/>
    <xf numFmtId="2" fontId="0" fillId="30" borderId="38" xfId="59" applyNumberFormat="1" applyFont="1" applyFill="1" applyBorder="1"/>
    <xf numFmtId="2" fontId="0" fillId="30" borderId="0" xfId="59" applyNumberFormat="1" applyFont="1" applyFill="1"/>
    <xf numFmtId="2" fontId="48" fillId="0" borderId="0" xfId="59" applyNumberFormat="1" applyFont="1" applyBorder="1"/>
    <xf numFmtId="2" fontId="48" fillId="0" borderId="0" xfId="59" applyNumberFormat="1" applyFont="1" applyBorder="1" applyAlignment="1">
      <alignment horizontal="right"/>
    </xf>
    <xf numFmtId="0" fontId="0" fillId="50" borderId="25" xfId="59" applyFont="1" applyFill="1" applyBorder="1"/>
    <xf numFmtId="0" fontId="0" fillId="50" borderId="38" xfId="59" applyFont="1" applyFill="1" applyBorder="1"/>
    <xf numFmtId="164" fontId="0" fillId="30" borderId="0" xfId="59" applyNumberFormat="1" applyFont="1" applyFill="1" applyBorder="1" applyAlignment="1">
      <alignment horizontal="right"/>
    </xf>
    <xf numFmtId="165" fontId="44" fillId="30" borderId="0" xfId="75" applyNumberFormat="1" applyFont="1" applyFill="1" applyBorder="1" applyAlignment="1">
      <alignment horizontal="right"/>
    </xf>
    <xf numFmtId="165" fontId="44" fillId="0" borderId="48" xfId="75" applyNumberFormat="1" applyFont="1" applyFill="1" applyBorder="1" applyAlignment="1"/>
    <xf numFmtId="165" fontId="44" fillId="30" borderId="84" xfId="75" applyNumberFormat="1" applyFont="1" applyFill="1" applyBorder="1" applyAlignment="1">
      <alignment horizontal="center"/>
    </xf>
    <xf numFmtId="164" fontId="44" fillId="0" borderId="79" xfId="59" applyNumberFormat="1" applyFont="1" applyBorder="1" applyAlignment="1">
      <alignment horizontal="right"/>
    </xf>
    <xf numFmtId="1" fontId="20" fillId="0" borderId="0" xfId="59" applyNumberFormat="1" applyFont="1" applyAlignment="1">
      <alignment horizontal="center" vertical="center"/>
    </xf>
    <xf numFmtId="0" fontId="44" fillId="0" borderId="0" xfId="59" applyFont="1" applyAlignment="1">
      <alignment horizontal="center" vertical="center"/>
    </xf>
    <xf numFmtId="165" fontId="44" fillId="30" borderId="0" xfId="75" applyNumberFormat="1" applyFont="1" applyFill="1" applyAlignment="1">
      <alignment vertical="center"/>
    </xf>
    <xf numFmtId="2" fontId="44" fillId="0" borderId="0" xfId="59" quotePrefix="1" applyNumberFormat="1" applyFont="1" applyBorder="1" applyAlignment="1">
      <alignment horizontal="center"/>
    </xf>
    <xf numFmtId="0" fontId="44" fillId="0" borderId="27" xfId="59" applyFont="1" applyBorder="1" applyAlignment="1">
      <alignment horizontal="center"/>
    </xf>
    <xf numFmtId="0" fontId="44" fillId="0" borderId="25" xfId="59" applyFont="1" applyBorder="1" applyAlignment="1"/>
    <xf numFmtId="2" fontId="44" fillId="0" borderId="25" xfId="59" quotePrefix="1" applyNumberFormat="1" applyFont="1" applyBorder="1" applyAlignment="1">
      <alignment horizontal="center"/>
    </xf>
    <xf numFmtId="0" fontId="44" fillId="0" borderId="4" xfId="59" applyFont="1" applyBorder="1" applyAlignment="1">
      <alignment horizontal="center"/>
    </xf>
    <xf numFmtId="0" fontId="44" fillId="0" borderId="44" xfId="59" applyFont="1" applyBorder="1" applyAlignment="1">
      <alignment horizontal="center"/>
    </xf>
    <xf numFmtId="0" fontId="44" fillId="0" borderId="38" xfId="59" applyFont="1" applyBorder="1" applyAlignment="1"/>
    <xf numFmtId="2" fontId="44" fillId="0" borderId="38" xfId="59" applyNumberFormat="1" applyFont="1" applyBorder="1" applyAlignment="1">
      <alignment horizontal="center"/>
    </xf>
    <xf numFmtId="0" fontId="19" fillId="30" borderId="0" xfId="59" applyFont="1" applyFill="1" applyAlignment="1">
      <alignment horizontal="center" vertical="center"/>
    </xf>
    <xf numFmtId="0" fontId="44" fillId="30" borderId="0" xfId="59" applyFont="1" applyFill="1" applyAlignment="1">
      <alignment vertical="center"/>
    </xf>
    <xf numFmtId="2" fontId="44" fillId="30" borderId="0" xfId="59" applyNumberFormat="1" applyFont="1" applyFill="1" applyAlignment="1">
      <alignment horizontal="center" vertical="center" wrapText="1"/>
    </xf>
    <xf numFmtId="164" fontId="44" fillId="30" borderId="0" xfId="59" applyNumberFormat="1" applyFont="1" applyFill="1" applyAlignment="1">
      <alignment vertical="center"/>
    </xf>
    <xf numFmtId="165" fontId="44" fillId="0" borderId="38" xfId="75" applyNumberFormat="1" applyFont="1" applyFill="1" applyBorder="1" applyAlignment="1"/>
    <xf numFmtId="0" fontId="20" fillId="28" borderId="119" xfId="59" applyFont="1" applyFill="1" applyBorder="1" applyAlignment="1">
      <alignment horizontal="center"/>
    </xf>
    <xf numFmtId="0" fontId="0" fillId="28" borderId="119" xfId="59" applyFont="1" applyFill="1" applyBorder="1" applyAlignment="1">
      <alignment horizontal="center"/>
    </xf>
    <xf numFmtId="0" fontId="0" fillId="28" borderId="120" xfId="59" applyFont="1" applyFill="1" applyBorder="1" applyAlignment="1">
      <alignment horizontal="center"/>
    </xf>
    <xf numFmtId="0" fontId="20" fillId="0" borderId="121" xfId="59" applyFont="1" applyFill="1" applyBorder="1"/>
    <xf numFmtId="164" fontId="19" fillId="0" borderId="122" xfId="59" applyNumberFormat="1" applyFont="1" applyFill="1" applyBorder="1" applyAlignment="1">
      <alignment horizontal="right"/>
    </xf>
    <xf numFmtId="0" fontId="20" fillId="28" borderId="122" xfId="59" applyFont="1" applyFill="1" applyBorder="1"/>
    <xf numFmtId="0" fontId="0" fillId="28" borderId="122" xfId="59" applyFont="1" applyFill="1" applyBorder="1"/>
    <xf numFmtId="14" fontId="19" fillId="0" borderId="123" xfId="59" applyNumberFormat="1" applyFont="1" applyFill="1" applyBorder="1" applyAlignment="1" applyProtection="1">
      <alignment horizontal="center" vertical="center"/>
    </xf>
    <xf numFmtId="1" fontId="48" fillId="38" borderId="97" xfId="59" applyNumberFormat="1" applyFont="1" applyFill="1" applyBorder="1" applyAlignment="1">
      <alignment horizontal="right"/>
    </xf>
    <xf numFmtId="0" fontId="19" fillId="0" borderId="124" xfId="59" applyFont="1" applyBorder="1" applyAlignment="1">
      <alignment horizontal="center"/>
    </xf>
    <xf numFmtId="1" fontId="48" fillId="30" borderId="100" xfId="59" applyNumberFormat="1" applyFont="1" applyFill="1" applyBorder="1" applyAlignment="1">
      <alignment horizontal="right"/>
    </xf>
    <xf numFmtId="0" fontId="19" fillId="0" borderId="125" xfId="59" applyFont="1" applyBorder="1" applyAlignment="1">
      <alignment horizontal="center"/>
    </xf>
    <xf numFmtId="0" fontId="44" fillId="0" borderId="0" xfId="59" applyFont="1" applyFill="1" applyBorder="1" applyAlignment="1">
      <alignment horizontal="left"/>
    </xf>
    <xf numFmtId="1" fontId="44" fillId="0" borderId="0" xfId="59" applyNumberFormat="1" applyFont="1" applyFill="1" applyBorder="1" applyAlignment="1"/>
    <xf numFmtId="1" fontId="48" fillId="0" borderId="0" xfId="59" applyNumberFormat="1" applyFont="1" applyFill="1" applyBorder="1" applyAlignment="1"/>
    <xf numFmtId="14" fontId="19" fillId="0" borderId="72" xfId="59" quotePrefix="1" applyNumberFormat="1" applyFont="1" applyFill="1" applyBorder="1" applyAlignment="1" applyProtection="1">
      <alignment horizontal="center" vertical="center"/>
    </xf>
    <xf numFmtId="14" fontId="19" fillId="0" borderId="75" xfId="59" quotePrefix="1" applyNumberFormat="1" applyFont="1" applyFill="1" applyBorder="1" applyAlignment="1" applyProtection="1">
      <alignment horizontal="center" vertical="center"/>
    </xf>
    <xf numFmtId="0" fontId="44" fillId="32" borderId="0" xfId="59" applyFont="1" applyFill="1" applyBorder="1" applyAlignment="1">
      <alignment horizontal="left"/>
    </xf>
    <xf numFmtId="0" fontId="44" fillId="0" borderId="38" xfId="59" applyFont="1" applyBorder="1" applyAlignment="1">
      <alignment horizontal="left"/>
    </xf>
    <xf numFmtId="1" fontId="20" fillId="0" borderId="126" xfId="59" applyNumberFormat="1" applyFont="1" applyFill="1" applyBorder="1" applyAlignment="1" applyProtection="1">
      <alignment horizontal="center" vertical="center"/>
    </xf>
    <xf numFmtId="2" fontId="44" fillId="0" borderId="0" xfId="59" applyNumberFormat="1" applyFont="1" applyBorder="1" applyAlignment="1"/>
    <xf numFmtId="2" fontId="48" fillId="0" borderId="0" xfId="59" applyNumberFormat="1" applyFont="1" applyBorder="1" applyAlignment="1"/>
    <xf numFmtId="164" fontId="44" fillId="0" borderId="72" xfId="59" applyNumberFormat="1" applyFont="1" applyBorder="1" applyAlignment="1"/>
    <xf numFmtId="1" fontId="48" fillId="32" borderId="72" xfId="59" applyNumberFormat="1" applyFont="1" applyFill="1" applyBorder="1" applyAlignment="1">
      <alignment horizontal="center"/>
    </xf>
    <xf numFmtId="1" fontId="48" fillId="32" borderId="84" xfId="59" applyNumberFormat="1" applyFont="1" applyFill="1" applyBorder="1" applyAlignment="1">
      <alignment horizontal="center"/>
    </xf>
    <xf numFmtId="1" fontId="48" fillId="32" borderId="109" xfId="59" applyNumberFormat="1" applyFont="1" applyFill="1" applyBorder="1" applyAlignment="1">
      <alignment horizontal="center"/>
    </xf>
    <xf numFmtId="2" fontId="44" fillId="0" borderId="87" xfId="59" applyNumberFormat="1" applyFont="1" applyBorder="1" applyAlignment="1"/>
    <xf numFmtId="164" fontId="49" fillId="36" borderId="85" xfId="75" applyNumberFormat="1" applyFont="1" applyFill="1" applyBorder="1"/>
    <xf numFmtId="164" fontId="49" fillId="36" borderId="79" xfId="75" applyNumberFormat="1" applyFont="1" applyFill="1" applyBorder="1"/>
    <xf numFmtId="0" fontId="49" fillId="36" borderId="0" xfId="59" applyFont="1" applyFill="1" applyBorder="1" applyAlignment="1">
      <alignment horizontal="left"/>
    </xf>
    <xf numFmtId="164" fontId="49" fillId="36" borderId="84" xfId="59" applyNumberFormat="1" applyFont="1" applyFill="1" applyBorder="1" applyAlignment="1"/>
    <xf numFmtId="164" fontId="49" fillId="36" borderId="83" xfId="59" applyNumberFormat="1" applyFont="1" applyFill="1" applyBorder="1" applyAlignment="1">
      <alignment horizontal="right"/>
    </xf>
    <xf numFmtId="164" fontId="49" fillId="36" borderId="83" xfId="75" applyNumberFormat="1" applyFont="1" applyFill="1" applyBorder="1"/>
    <xf numFmtId="14" fontId="19" fillId="0" borderId="94" xfId="59" applyNumberFormat="1" applyFont="1" applyFill="1" applyBorder="1" applyAlignment="1" applyProtection="1">
      <alignment horizontal="center" vertical="center"/>
    </xf>
    <xf numFmtId="0" fontId="19" fillId="0" borderId="127" xfId="59" applyFont="1" applyBorder="1" applyAlignment="1">
      <alignment horizontal="center"/>
    </xf>
    <xf numFmtId="1" fontId="48" fillId="38" borderId="96" xfId="59" applyNumberFormat="1" applyFont="1" applyFill="1" applyBorder="1" applyAlignment="1">
      <alignment horizontal="center"/>
    </xf>
    <xf numFmtId="1" fontId="48" fillId="38" borderId="97" xfId="59" applyNumberFormat="1" applyFont="1" applyFill="1" applyBorder="1" applyAlignment="1">
      <alignment horizontal="center"/>
    </xf>
    <xf numFmtId="1" fontId="48" fillId="38" borderId="128" xfId="59" applyNumberFormat="1" applyFont="1" applyFill="1" applyBorder="1" applyAlignment="1">
      <alignment horizontal="center"/>
    </xf>
    <xf numFmtId="0" fontId="19" fillId="38" borderId="129" xfId="59" applyFont="1" applyFill="1" applyBorder="1" applyAlignment="1">
      <alignment horizontal="center"/>
    </xf>
    <xf numFmtId="0" fontId="49" fillId="38" borderId="129" xfId="59" applyFont="1" applyFill="1" applyBorder="1"/>
    <xf numFmtId="2" fontId="44" fillId="38" borderId="90" xfId="59" applyNumberFormat="1" applyFont="1" applyFill="1" applyBorder="1" applyAlignment="1"/>
    <xf numFmtId="2" fontId="44" fillId="38" borderId="0" xfId="59" applyNumberFormat="1" applyFont="1" applyFill="1" applyBorder="1" applyAlignment="1"/>
    <xf numFmtId="2" fontId="44" fillId="38" borderId="0" xfId="59" applyNumberFormat="1" applyFont="1" applyFill="1" applyBorder="1" applyAlignment="1">
      <alignment horizontal="right"/>
    </xf>
    <xf numFmtId="2" fontId="44" fillId="38" borderId="130" xfId="59" applyNumberFormat="1" applyFont="1" applyFill="1" applyBorder="1" applyAlignment="1"/>
    <xf numFmtId="2" fontId="44" fillId="38" borderId="131" xfId="59" applyNumberFormat="1" applyFont="1" applyFill="1" applyBorder="1" applyAlignment="1">
      <alignment horizontal="right"/>
    </xf>
    <xf numFmtId="1" fontId="48" fillId="30" borderId="48" xfId="59" applyNumberFormat="1" applyFont="1" applyFill="1" applyBorder="1" applyAlignment="1">
      <alignment horizontal="center"/>
    </xf>
    <xf numFmtId="164" fontId="44" fillId="0" borderId="80" xfId="59" applyNumberFormat="1" applyFont="1" applyBorder="1" applyAlignment="1"/>
    <xf numFmtId="2" fontId="48" fillId="37" borderId="84" xfId="59" applyNumberFormat="1" applyFont="1" applyFill="1" applyBorder="1" applyAlignment="1"/>
    <xf numFmtId="2" fontId="83" fillId="36" borderId="83" xfId="75" applyNumberFormat="1" applyFont="1" applyFill="1" applyBorder="1"/>
    <xf numFmtId="2" fontId="83" fillId="36" borderId="83" xfId="59" applyNumberFormat="1" applyFont="1" applyFill="1" applyBorder="1" applyAlignment="1">
      <alignment horizontal="right"/>
    </xf>
    <xf numFmtId="1" fontId="48" fillId="30" borderId="61" xfId="59" applyNumberFormat="1" applyFont="1" applyFill="1" applyBorder="1" applyAlignment="1">
      <alignment horizontal="center"/>
    </xf>
    <xf numFmtId="1" fontId="48" fillId="30" borderId="132" xfId="59" applyNumberFormat="1" applyFont="1" applyFill="1" applyBorder="1" applyAlignment="1">
      <alignment horizontal="center"/>
    </xf>
    <xf numFmtId="14" fontId="75" fillId="0" borderId="0" xfId="59" applyNumberFormat="1" applyFont="1" applyFill="1" applyBorder="1" applyAlignment="1" applyProtection="1">
      <alignment horizontal="center" vertical="center"/>
    </xf>
    <xf numFmtId="0" fontId="49" fillId="38" borderId="0" xfId="59" applyFont="1" applyFill="1" applyBorder="1" applyAlignment="1">
      <alignment horizontal="left"/>
    </xf>
    <xf numFmtId="2" fontId="49" fillId="38" borderId="0" xfId="59" applyNumberFormat="1" applyFont="1" applyFill="1" applyBorder="1" applyAlignment="1"/>
    <xf numFmtId="2" fontId="49" fillId="38" borderId="0" xfId="59" applyNumberFormat="1" applyFont="1" applyFill="1" applyBorder="1" applyAlignment="1">
      <alignment horizontal="right"/>
    </xf>
    <xf numFmtId="2" fontId="49" fillId="38" borderId="131" xfId="59" applyNumberFormat="1" applyFont="1" applyFill="1" applyBorder="1" applyAlignment="1">
      <alignment horizontal="right"/>
    </xf>
    <xf numFmtId="0" fontId="49" fillId="0" borderId="0" xfId="59" applyFont="1" applyAlignment="1"/>
    <xf numFmtId="0" fontId="49" fillId="0" borderId="0" xfId="59" applyFont="1" applyAlignment="1">
      <alignment horizontal="center"/>
    </xf>
    <xf numFmtId="0" fontId="83" fillId="0" borderId="0" xfId="59" applyFont="1"/>
    <xf numFmtId="0" fontId="75" fillId="0" borderId="127" xfId="59" applyFont="1" applyBorder="1" applyAlignment="1">
      <alignment horizontal="center"/>
    </xf>
    <xf numFmtId="0" fontId="75" fillId="38" borderId="129" xfId="59" applyFont="1" applyFill="1" applyBorder="1" applyAlignment="1">
      <alignment horizontal="center"/>
    </xf>
    <xf numFmtId="2" fontId="49" fillId="38" borderId="89" xfId="59" applyNumberFormat="1" applyFont="1" applyFill="1" applyBorder="1" applyAlignment="1"/>
    <xf numFmtId="2" fontId="49" fillId="38" borderId="90" xfId="59" applyNumberFormat="1" applyFont="1" applyFill="1" applyBorder="1" applyAlignment="1"/>
    <xf numFmtId="2" fontId="100" fillId="38" borderId="90" xfId="59" applyNumberFormat="1" applyFont="1" applyFill="1" applyBorder="1" applyAlignment="1"/>
    <xf numFmtId="2" fontId="49" fillId="38" borderId="130" xfId="59" applyNumberFormat="1" applyFont="1" applyFill="1" applyBorder="1" applyAlignment="1"/>
    <xf numFmtId="2" fontId="101" fillId="38" borderId="90" xfId="59" applyNumberFormat="1" applyFont="1" applyFill="1" applyBorder="1" applyAlignment="1"/>
    <xf numFmtId="2" fontId="83" fillId="38" borderId="130" xfId="59" applyNumberFormat="1" applyFont="1" applyFill="1" applyBorder="1" applyAlignment="1"/>
    <xf numFmtId="2" fontId="83" fillId="38" borderId="0" xfId="59" applyNumberFormat="1" applyFont="1" applyFill="1" applyBorder="1" applyAlignment="1"/>
    <xf numFmtId="2" fontId="83" fillId="38" borderId="131" xfId="59" applyNumberFormat="1" applyFont="1" applyFill="1" applyBorder="1" applyAlignment="1">
      <alignment horizontal="right"/>
    </xf>
    <xf numFmtId="2" fontId="48" fillId="0" borderId="38" xfId="59" applyNumberFormat="1" applyFont="1" applyBorder="1" applyAlignment="1"/>
    <xf numFmtId="0" fontId="75" fillId="0" borderId="85" xfId="59" quotePrefix="1" applyFont="1" applyBorder="1" applyAlignment="1">
      <alignment horizontal="center"/>
    </xf>
    <xf numFmtId="14" fontId="75" fillId="0" borderId="84" xfId="59" applyNumberFormat="1" applyFont="1" applyFill="1" applyBorder="1" applyAlignment="1" applyProtection="1">
      <alignment horizontal="center" vertical="center"/>
    </xf>
    <xf numFmtId="164" fontId="49" fillId="36" borderId="82" xfId="59" applyNumberFormat="1" applyFont="1" applyFill="1" applyBorder="1" applyAlignment="1">
      <alignment horizontal="right"/>
    </xf>
    <xf numFmtId="1" fontId="44" fillId="32" borderId="0" xfId="59" applyNumberFormat="1" applyFont="1" applyFill="1" applyBorder="1" applyAlignment="1">
      <alignment horizontal="left"/>
    </xf>
    <xf numFmtId="2" fontId="49" fillId="36" borderId="83" xfId="75" applyNumberFormat="1" applyFont="1" applyFill="1" applyBorder="1"/>
    <xf numFmtId="2" fontId="49" fillId="36" borderId="83" xfId="59" applyNumberFormat="1" applyFont="1" applyFill="1" applyBorder="1" applyAlignment="1">
      <alignment horizontal="right"/>
    </xf>
    <xf numFmtId="2" fontId="48" fillId="38" borderId="130" xfId="59" applyNumberFormat="1" applyFont="1" applyFill="1" applyBorder="1" applyAlignment="1"/>
    <xf numFmtId="2" fontId="48" fillId="38" borderId="131" xfId="59" applyNumberFormat="1" applyFont="1" applyFill="1" applyBorder="1" applyAlignment="1">
      <alignment horizontal="right"/>
    </xf>
    <xf numFmtId="2" fontId="48" fillId="32" borderId="0" xfId="59" applyNumberFormat="1" applyFont="1" applyFill="1" applyBorder="1" applyAlignment="1"/>
    <xf numFmtId="2" fontId="83" fillId="36" borderId="79" xfId="75" applyNumberFormat="1" applyFont="1" applyFill="1" applyBorder="1"/>
    <xf numFmtId="2" fontId="83" fillId="36" borderId="82" xfId="59" applyNumberFormat="1" applyFont="1" applyFill="1" applyBorder="1" applyAlignment="1">
      <alignment horizontal="right"/>
    </xf>
    <xf numFmtId="2" fontId="44" fillId="1" borderId="38" xfId="59" applyNumberFormat="1" applyFont="1" applyFill="1" applyBorder="1" applyAlignment="1"/>
    <xf numFmtId="2" fontId="44" fillId="1" borderId="0" xfId="59" applyNumberFormat="1" applyFont="1" applyFill="1" applyBorder="1" applyAlignment="1"/>
    <xf numFmtId="1" fontId="48" fillId="30" borderId="25" xfId="59" applyNumberFormat="1" applyFont="1" applyFill="1" applyBorder="1" applyAlignment="1">
      <alignment horizontal="center"/>
    </xf>
    <xf numFmtId="1" fontId="48" fillId="30" borderId="27" xfId="59" applyNumberFormat="1" applyFont="1" applyFill="1" applyBorder="1" applyAlignment="1">
      <alignment horizontal="center"/>
    </xf>
    <xf numFmtId="1" fontId="48" fillId="30" borderId="28" xfId="59" applyNumberFormat="1" applyFont="1" applyFill="1" applyBorder="1" applyAlignment="1">
      <alignment horizontal="center"/>
    </xf>
    <xf numFmtId="14" fontId="19" fillId="0" borderId="106" xfId="59" applyNumberFormat="1" applyFont="1" applyFill="1" applyBorder="1" applyAlignment="1" applyProtection="1">
      <alignment horizontal="center" vertical="center"/>
    </xf>
    <xf numFmtId="0" fontId="19" fillId="0" borderId="107" xfId="59" applyFont="1" applyBorder="1" applyAlignment="1">
      <alignment horizontal="center"/>
    </xf>
    <xf numFmtId="14" fontId="44" fillId="0" borderId="107" xfId="59" applyNumberFormat="1" applyFont="1" applyBorder="1" applyAlignment="1"/>
    <xf numFmtId="164" fontId="44" fillId="0" borderId="107" xfId="59" applyNumberFormat="1" applyFont="1" applyBorder="1" applyAlignment="1">
      <alignment horizontal="center"/>
    </xf>
    <xf numFmtId="2" fontId="44" fillId="0" borderId="107" xfId="59" applyNumberFormat="1" applyFont="1" applyBorder="1" applyAlignment="1"/>
    <xf numFmtId="2" fontId="48" fillId="0" borderId="107" xfId="59" applyNumberFormat="1" applyFont="1" applyBorder="1" applyAlignment="1"/>
    <xf numFmtId="0" fontId="67" fillId="43" borderId="0" xfId="59" applyFont="1" applyFill="1" applyProtection="1"/>
    <xf numFmtId="0" fontId="102" fillId="43" borderId="0" xfId="59" applyFont="1" applyFill="1" applyProtection="1"/>
    <xf numFmtId="0" fontId="57" fillId="32" borderId="61" xfId="59" applyFont="1" applyFill="1" applyBorder="1" applyAlignment="1" applyProtection="1">
      <alignment horizontal="left"/>
    </xf>
    <xf numFmtId="0" fontId="67" fillId="32" borderId="48" xfId="59" applyFont="1" applyFill="1" applyBorder="1" applyProtection="1"/>
    <xf numFmtId="0" fontId="67" fillId="32" borderId="48" xfId="59" applyFont="1" applyFill="1" applyBorder="1"/>
    <xf numFmtId="0" fontId="67" fillId="32" borderId="132" xfId="59" applyFont="1" applyFill="1" applyBorder="1" applyProtection="1"/>
    <xf numFmtId="0" fontId="60" fillId="29" borderId="44" xfId="59" applyFont="1" applyFill="1" applyBorder="1" applyAlignment="1" applyProtection="1">
      <alignment horizontal="left"/>
    </xf>
    <xf numFmtId="0" fontId="67" fillId="29" borderId="38" xfId="59" applyFont="1" applyFill="1" applyBorder="1" applyProtection="1"/>
    <xf numFmtId="0" fontId="93" fillId="28" borderId="45" xfId="59" applyFont="1" applyFill="1" applyBorder="1" applyAlignment="1" applyProtection="1">
      <alignment horizontal="center"/>
    </xf>
    <xf numFmtId="0" fontId="60" fillId="29" borderId="27" xfId="59" applyFont="1" applyFill="1" applyBorder="1" applyAlignment="1" applyProtection="1">
      <alignment horizontal="left"/>
    </xf>
    <xf numFmtId="0" fontId="67" fillId="29" borderId="25" xfId="59" applyFont="1" applyFill="1" applyBorder="1" applyProtection="1"/>
    <xf numFmtId="14" fontId="93" fillId="28" borderId="28" xfId="59" applyNumberFormat="1" applyFont="1" applyFill="1" applyBorder="1" applyAlignment="1" applyProtection="1">
      <alignment horizontal="center"/>
    </xf>
    <xf numFmtId="0" fontId="93" fillId="28" borderId="114" xfId="59" applyFont="1" applyFill="1" applyBorder="1" applyAlignment="1">
      <alignment horizontal="center"/>
    </xf>
    <xf numFmtId="1" fontId="77" fillId="27" borderId="14" xfId="59" applyNumberFormat="1" applyFont="1" applyFill="1" applyBorder="1" applyAlignment="1">
      <alignment horizontal="right"/>
    </xf>
    <xf numFmtId="0" fontId="77" fillId="27" borderId="18" xfId="59" applyFont="1" applyFill="1" applyBorder="1" applyAlignment="1">
      <alignment horizontal="left"/>
    </xf>
    <xf numFmtId="0" fontId="77" fillId="27" borderId="14" xfId="59" applyFont="1" applyFill="1" applyBorder="1" applyAlignment="1">
      <alignment horizontal="center"/>
    </xf>
    <xf numFmtId="0" fontId="77" fillId="27" borderId="15" xfId="59" applyFont="1" applyFill="1" applyBorder="1" applyAlignment="1">
      <alignment horizontal="center"/>
    </xf>
    <xf numFmtId="0" fontId="77" fillId="27" borderId="16" xfId="59" applyFont="1" applyFill="1" applyBorder="1" applyAlignment="1">
      <alignment horizontal="center"/>
    </xf>
    <xf numFmtId="0" fontId="77" fillId="27" borderId="17" xfId="59" applyFont="1" applyFill="1" applyBorder="1"/>
    <xf numFmtId="0" fontId="19" fillId="0" borderId="0" xfId="59" applyFont="1" applyBorder="1"/>
    <xf numFmtId="0" fontId="49" fillId="38" borderId="129" xfId="59" applyFont="1" applyFill="1" applyBorder="1" applyAlignment="1">
      <alignment horizontal="center"/>
    </xf>
    <xf numFmtId="0" fontId="103" fillId="36" borderId="86" xfId="59" applyFont="1" applyFill="1" applyBorder="1" applyAlignment="1" applyProtection="1">
      <alignment horizontal="left"/>
    </xf>
    <xf numFmtId="0" fontId="104" fillId="36" borderId="80" xfId="59" applyFont="1" applyFill="1" applyBorder="1"/>
    <xf numFmtId="0" fontId="19" fillId="0" borderId="48" xfId="59" applyFont="1" applyBorder="1" applyAlignment="1">
      <alignment horizontal="center"/>
    </xf>
    <xf numFmtId="14" fontId="44" fillId="0" borderId="48" xfId="59" applyNumberFormat="1" applyFont="1" applyBorder="1" applyAlignment="1"/>
    <xf numFmtId="164" fontId="44" fillId="0" borderId="48" xfId="59" applyNumberFormat="1" applyFont="1" applyBorder="1" applyAlignment="1">
      <alignment horizontal="center"/>
    </xf>
    <xf numFmtId="165" fontId="44" fillId="0" borderId="48" xfId="75" applyNumberFormat="1" applyFont="1" applyBorder="1" applyAlignment="1"/>
    <xf numFmtId="164" fontId="44" fillId="30" borderId="0" xfId="75" applyNumberFormat="1" applyFont="1" applyFill="1" applyBorder="1" applyAlignment="1"/>
    <xf numFmtId="164" fontId="44" fillId="0" borderId="38" xfId="75" applyNumberFormat="1" applyFont="1" applyBorder="1" applyAlignment="1"/>
    <xf numFmtId="14" fontId="44" fillId="0" borderId="25" xfId="59" applyNumberFormat="1" applyFont="1" applyBorder="1" applyAlignment="1">
      <alignment horizontal="center"/>
    </xf>
    <xf numFmtId="14" fontId="44" fillId="30" borderId="0" xfId="59" applyNumberFormat="1" applyFont="1" applyFill="1" applyBorder="1" applyAlignment="1">
      <alignment horizontal="center"/>
    </xf>
    <xf numFmtId="14" fontId="44" fillId="0" borderId="38" xfId="59" applyNumberFormat="1" applyFont="1" applyBorder="1" applyAlignment="1">
      <alignment horizontal="center"/>
    </xf>
    <xf numFmtId="0" fontId="0" fillId="29" borderId="29" xfId="59" applyFont="1" applyFill="1" applyBorder="1"/>
    <xf numFmtId="0" fontId="0" fillId="29" borderId="4" xfId="59" applyFont="1" applyFill="1" applyBorder="1"/>
    <xf numFmtId="0" fontId="50" fillId="29" borderId="26" xfId="59" applyFont="1" applyFill="1" applyBorder="1" applyProtection="1"/>
    <xf numFmtId="0" fontId="52" fillId="29" borderId="0" xfId="59" applyFont="1" applyFill="1" applyBorder="1" applyProtection="1"/>
    <xf numFmtId="164" fontId="44" fillId="29" borderId="35" xfId="59" applyNumberFormat="1" applyFont="1" applyFill="1" applyBorder="1" applyAlignment="1" applyProtection="1">
      <alignment horizontal="right"/>
    </xf>
    <xf numFmtId="164" fontId="44" fillId="29" borderId="36" xfId="59" applyNumberFormat="1" applyFont="1" applyFill="1" applyBorder="1" applyAlignment="1" applyProtection="1">
      <alignment horizontal="right"/>
    </xf>
    <xf numFmtId="0" fontId="50" fillId="0" borderId="27" xfId="59" applyFont="1" applyBorder="1" applyProtection="1"/>
    <xf numFmtId="0" fontId="50" fillId="0" borderId="4" xfId="59" applyFont="1" applyBorder="1" applyProtection="1"/>
    <xf numFmtId="0" fontId="44" fillId="0" borderId="4" xfId="59" applyFont="1" applyBorder="1"/>
    <xf numFmtId="0" fontId="50" fillId="29" borderId="4" xfId="59" applyFont="1" applyFill="1" applyBorder="1" applyProtection="1"/>
    <xf numFmtId="0" fontId="50" fillId="0" borderId="44" xfId="59" applyFont="1" applyBorder="1" applyProtection="1"/>
    <xf numFmtId="1" fontId="56" fillId="0" borderId="16" xfId="59" applyNumberFormat="1" applyFont="1" applyBorder="1" applyAlignment="1" applyProtection="1">
      <alignment horizontal="center"/>
    </xf>
    <xf numFmtId="0" fontId="50" fillId="0" borderId="28" xfId="59" applyFont="1" applyBorder="1" applyProtection="1"/>
    <xf numFmtId="0" fontId="50" fillId="0" borderId="35" xfId="59" applyFont="1" applyBorder="1" applyProtection="1"/>
    <xf numFmtId="0" fontId="50" fillId="0" borderId="39" xfId="59" applyFont="1" applyBorder="1" applyProtection="1"/>
    <xf numFmtId="0" fontId="56" fillId="0" borderId="26" xfId="59" applyFont="1" applyFill="1" applyBorder="1" applyAlignment="1" applyProtection="1">
      <alignment horizontal="left"/>
    </xf>
    <xf numFmtId="0" fontId="56" fillId="0" borderId="133" xfId="59" applyFont="1" applyBorder="1" applyAlignment="1" applyProtection="1">
      <alignment horizontal="left"/>
    </xf>
    <xf numFmtId="0" fontId="59" fillId="0" borderId="134" xfId="59" applyFont="1" applyFill="1" applyBorder="1" applyAlignment="1" applyProtection="1">
      <alignment horizontal="left"/>
    </xf>
    <xf numFmtId="0" fontId="0" fillId="0" borderId="65" xfId="59" applyFont="1" applyBorder="1"/>
    <xf numFmtId="0" fontId="0" fillId="0" borderId="65" xfId="59" applyFont="1" applyFill="1" applyBorder="1"/>
    <xf numFmtId="0" fontId="0" fillId="0" borderId="135" xfId="59" applyFont="1" applyBorder="1"/>
    <xf numFmtId="166" fontId="44" fillId="0" borderId="38" xfId="59" applyNumberFormat="1" applyFont="1" applyBorder="1"/>
    <xf numFmtId="1" fontId="44" fillId="0" borderId="88" xfId="59" applyNumberFormat="1" applyFont="1" applyFill="1" applyBorder="1" applyAlignment="1"/>
    <xf numFmtId="1" fontId="44" fillId="0" borderId="100" xfId="59" applyNumberFormat="1" applyFont="1" applyFill="1" applyBorder="1" applyAlignment="1"/>
    <xf numFmtId="1" fontId="44" fillId="0" borderId="88" xfId="59" applyNumberFormat="1" applyFont="1" applyFill="1" applyBorder="1"/>
    <xf numFmtId="164" fontId="44" fillId="0" borderId="88" xfId="59" applyNumberFormat="1" applyFont="1" applyFill="1" applyBorder="1"/>
    <xf numFmtId="164" fontId="44" fillId="0" borderId="0" xfId="59" applyNumberFormat="1" applyFont="1" applyFill="1" applyBorder="1"/>
    <xf numFmtId="165" fontId="44" fillId="0" borderId="25" xfId="75" applyNumberFormat="1" applyFont="1" applyFill="1" applyBorder="1"/>
    <xf numFmtId="164" fontId="44" fillId="0" borderId="0" xfId="59" applyNumberFormat="1" applyFont="1"/>
    <xf numFmtId="164" fontId="71" fillId="37" borderId="0" xfId="59" applyNumberFormat="1" applyFont="1" applyFill="1" applyBorder="1" applyAlignment="1"/>
    <xf numFmtId="2" fontId="48" fillId="0" borderId="0" xfId="59" applyNumberFormat="1" applyFont="1"/>
    <xf numFmtId="164" fontId="50" fillId="0" borderId="36" xfId="59" quotePrefix="1" applyNumberFormat="1" applyFont="1" applyBorder="1" applyAlignment="1" applyProtection="1">
      <alignment horizontal="right"/>
    </xf>
    <xf numFmtId="0" fontId="0" fillId="0" borderId="134" xfId="59" applyFont="1" applyBorder="1"/>
    <xf numFmtId="0" fontId="0" fillId="0" borderId="135" xfId="59" applyFont="1" applyFill="1" applyBorder="1"/>
    <xf numFmtId="0" fontId="59" fillId="0" borderId="37" xfId="59" applyFont="1" applyBorder="1" applyProtection="1"/>
    <xf numFmtId="0" fontId="17" fillId="29" borderId="27" xfId="59" applyFont="1" applyFill="1" applyBorder="1"/>
    <xf numFmtId="0" fontId="44" fillId="29" borderId="28" xfId="59" applyFont="1" applyFill="1" applyBorder="1"/>
    <xf numFmtId="0" fontId="108" fillId="29" borderId="4" xfId="59" applyFont="1" applyFill="1" applyBorder="1"/>
    <xf numFmtId="0" fontId="44" fillId="29" borderId="29" xfId="59" applyFont="1" applyFill="1" applyBorder="1"/>
    <xf numFmtId="0" fontId="107" fillId="29" borderId="4" xfId="59" applyFont="1" applyFill="1" applyBorder="1" applyProtection="1"/>
    <xf numFmtId="0" fontId="0" fillId="29" borderId="44" xfId="59" applyFont="1" applyFill="1" applyBorder="1"/>
    <xf numFmtId="0" fontId="44" fillId="29" borderId="45" xfId="59" applyFont="1" applyFill="1" applyBorder="1"/>
    <xf numFmtId="164" fontId="50" fillId="0" borderId="35" xfId="59" quotePrefix="1" applyNumberFormat="1" applyFont="1" applyFill="1" applyBorder="1" applyAlignment="1" applyProtection="1">
      <alignment horizontal="right"/>
    </xf>
    <xf numFmtId="164" fontId="50" fillId="0" borderId="36" xfId="59" quotePrefix="1" applyNumberFormat="1" applyFont="1" applyFill="1" applyBorder="1" applyAlignment="1" applyProtection="1">
      <alignment horizontal="right"/>
    </xf>
    <xf numFmtId="0" fontId="48" fillId="0" borderId="38" xfId="59" applyFont="1" applyFill="1" applyBorder="1" applyProtection="1"/>
    <xf numFmtId="0" fontId="56" fillId="0" borderId="38" xfId="59" applyFont="1" applyFill="1" applyBorder="1" applyProtection="1"/>
    <xf numFmtId="0" fontId="56" fillId="0" borderId="11" xfId="59" applyFont="1" applyFill="1" applyBorder="1" applyProtection="1"/>
    <xf numFmtId="0" fontId="17" fillId="0" borderId="33" xfId="59" applyFont="1" applyBorder="1"/>
    <xf numFmtId="0" fontId="108" fillId="0" borderId="35" xfId="59" applyFont="1" applyBorder="1"/>
    <xf numFmtId="0" fontId="108" fillId="0" borderId="39" xfId="59" applyFont="1" applyBorder="1"/>
    <xf numFmtId="164" fontId="50" fillId="0" borderId="57" xfId="59" applyNumberFormat="1" applyFont="1" applyBorder="1" applyProtection="1"/>
    <xf numFmtId="164" fontId="50" fillId="0" borderId="58" xfId="59" applyNumberFormat="1" applyFont="1" applyBorder="1" applyProtection="1"/>
    <xf numFmtId="0" fontId="56" fillId="0" borderId="45" xfId="59" applyFont="1" applyFill="1" applyBorder="1" applyProtection="1"/>
    <xf numFmtId="0" fontId="66" fillId="0" borderId="45" xfId="59" applyFont="1" applyFill="1" applyBorder="1" applyProtection="1"/>
    <xf numFmtId="0" fontId="66" fillId="0" borderId="60" xfId="59" applyFont="1" applyFill="1" applyBorder="1" applyProtection="1"/>
    <xf numFmtId="0" fontId="56" fillId="0" borderId="14" xfId="59" applyFont="1" applyFill="1" applyBorder="1" applyProtection="1"/>
    <xf numFmtId="164" fontId="56" fillId="0" borderId="16" xfId="59" applyNumberFormat="1" applyFont="1" applyFill="1" applyBorder="1" applyProtection="1"/>
    <xf numFmtId="164" fontId="56" fillId="0" borderId="54" xfId="59" applyNumberFormat="1" applyFont="1" applyFill="1" applyBorder="1" applyProtection="1"/>
    <xf numFmtId="164" fontId="56" fillId="0" borderId="46" xfId="59" applyNumberFormat="1" applyFont="1" applyFill="1" applyBorder="1" applyProtection="1"/>
    <xf numFmtId="0" fontId="56" fillId="0" borderId="50" xfId="59" applyFont="1" applyFill="1" applyBorder="1" applyAlignment="1" applyProtection="1">
      <alignment horizontal="center"/>
    </xf>
    <xf numFmtId="164" fontId="56" fillId="0" borderId="50" xfId="59" applyNumberFormat="1" applyFont="1" applyFill="1" applyBorder="1" applyProtection="1"/>
    <xf numFmtId="166" fontId="0" fillId="30" borderId="0" xfId="59" applyNumberFormat="1" applyFont="1" applyFill="1"/>
    <xf numFmtId="164" fontId="0" fillId="30" borderId="0" xfId="59" applyNumberFormat="1" applyFont="1" applyFill="1"/>
    <xf numFmtId="0" fontId="46" fillId="0" borderId="0" xfId="59" applyFont="1" applyBorder="1" applyAlignment="1" applyProtection="1">
      <alignment horizontal="center"/>
    </xf>
    <xf numFmtId="0" fontId="50" fillId="0" borderId="0" xfId="59" applyFont="1" applyBorder="1" applyAlignment="1" applyProtection="1">
      <alignment horizontal="center"/>
    </xf>
    <xf numFmtId="3" fontId="56" fillId="0" borderId="28" xfId="59" applyNumberFormat="1" applyFont="1" applyFill="1" applyBorder="1" applyAlignment="1" applyProtection="1">
      <alignment horizontal="center"/>
    </xf>
    <xf numFmtId="0" fontId="50" fillId="0" borderId="11" xfId="59" applyFont="1" applyFill="1" applyBorder="1" applyAlignment="1" applyProtection="1">
      <alignment horizontal="center"/>
    </xf>
    <xf numFmtId="0" fontId="56" fillId="0" borderId="134" xfId="59" applyFont="1" applyFill="1" applyBorder="1" applyProtection="1"/>
    <xf numFmtId="0" fontId="50" fillId="0" borderId="65" xfId="59" applyFont="1" applyFill="1" applyBorder="1" applyAlignment="1" applyProtection="1">
      <alignment horizontal="center"/>
    </xf>
    <xf numFmtId="164" fontId="50" fillId="0" borderId="65" xfId="59" applyNumberFormat="1" applyFont="1" applyFill="1" applyBorder="1" applyAlignment="1" applyProtection="1">
      <alignment horizontal="right"/>
    </xf>
    <xf numFmtId="0" fontId="56" fillId="0" borderId="134" xfId="59" applyFont="1" applyBorder="1" applyProtection="1"/>
    <xf numFmtId="0" fontId="50" fillId="0" borderId="65" xfId="59" applyFont="1" applyBorder="1" applyProtection="1"/>
    <xf numFmtId="0" fontId="55" fillId="0" borderId="65" xfId="59" applyFont="1" applyBorder="1" applyAlignment="1" applyProtection="1">
      <alignment horizontal="center"/>
    </xf>
    <xf numFmtId="1" fontId="56" fillId="0" borderId="65" xfId="59" applyNumberFormat="1" applyFont="1" applyBorder="1" applyAlignment="1" applyProtection="1">
      <alignment horizontal="center"/>
    </xf>
    <xf numFmtId="0" fontId="44" fillId="30" borderId="0" xfId="59" applyFont="1" applyFill="1" applyBorder="1" applyAlignment="1"/>
    <xf numFmtId="0" fontId="17" fillId="29" borderId="4" xfId="59" applyFont="1" applyFill="1" applyBorder="1"/>
    <xf numFmtId="0" fontId="108" fillId="29" borderId="29" xfId="59" applyFont="1" applyFill="1" applyBorder="1"/>
    <xf numFmtId="0" fontId="108" fillId="29" borderId="44" xfId="59" applyFont="1" applyFill="1" applyBorder="1"/>
    <xf numFmtId="0" fontId="50" fillId="0" borderId="29" xfId="59" quotePrefix="1" applyFont="1" applyBorder="1" applyAlignment="1" applyProtection="1">
      <alignment horizontal="left"/>
    </xf>
    <xf numFmtId="0" fontId="50" fillId="0" borderId="28" xfId="59" quotePrefix="1" applyFont="1" applyBorder="1" applyAlignment="1" applyProtection="1">
      <alignment horizontal="left"/>
    </xf>
    <xf numFmtId="0" fontId="66" fillId="0" borderId="45" xfId="59" applyFont="1" applyBorder="1" applyProtection="1"/>
    <xf numFmtId="0" fontId="50" fillId="0" borderId="29" xfId="59" applyFont="1" applyBorder="1" applyAlignment="1" applyProtection="1">
      <alignment horizontal="left"/>
    </xf>
    <xf numFmtId="0" fontId="59" fillId="0" borderId="29" xfId="59" applyFont="1" applyBorder="1" applyAlignment="1" applyProtection="1">
      <alignment horizontal="left"/>
    </xf>
    <xf numFmtId="0" fontId="66" fillId="0" borderId="60" xfId="59" applyFont="1" applyBorder="1" applyProtection="1"/>
    <xf numFmtId="0" fontId="54" fillId="0" borderId="49" xfId="59" applyFont="1" applyBorder="1" applyAlignment="1" applyProtection="1">
      <alignment horizontal="center" wrapText="1"/>
    </xf>
    <xf numFmtId="164" fontId="56" fillId="0" borderId="29" xfId="59" quotePrefix="1" applyNumberFormat="1" applyFont="1" applyBorder="1" applyAlignment="1" applyProtection="1">
      <alignment horizontal="center"/>
    </xf>
    <xf numFmtId="164" fontId="56" fillId="0" borderId="54" xfId="59" quotePrefix="1" applyNumberFormat="1" applyFont="1" applyBorder="1" applyAlignment="1" applyProtection="1">
      <alignment horizontal="center"/>
    </xf>
    <xf numFmtId="0" fontId="54" fillId="0" borderId="132" xfId="59" applyFont="1" applyBorder="1" applyAlignment="1" applyProtection="1">
      <alignment horizontal="center" wrapText="1"/>
    </xf>
    <xf numFmtId="0" fontId="54" fillId="0" borderId="51" xfId="59" applyFont="1" applyBorder="1" applyAlignment="1" applyProtection="1">
      <alignment horizontal="center" wrapText="1"/>
    </xf>
    <xf numFmtId="0" fontId="54" fillId="0" borderId="49" xfId="59" quotePrefix="1" applyFont="1" applyBorder="1" applyAlignment="1" applyProtection="1">
      <alignment horizontal="center"/>
    </xf>
    <xf numFmtId="0" fontId="54" fillId="0" borderId="51" xfId="59" quotePrefix="1" applyFont="1" applyBorder="1" applyAlignment="1" applyProtection="1">
      <alignment horizontal="center"/>
    </xf>
    <xf numFmtId="0" fontId="54" fillId="0" borderId="0" xfId="59" quotePrefix="1" applyFont="1" applyBorder="1" applyAlignment="1" applyProtection="1">
      <alignment horizontal="center"/>
    </xf>
    <xf numFmtId="0" fontId="54" fillId="0" borderId="0" xfId="59" applyFont="1" applyBorder="1" applyAlignment="1" applyProtection="1">
      <alignment horizontal="center"/>
    </xf>
    <xf numFmtId="0" fontId="54" fillId="0" borderId="4" xfId="59" applyFont="1" applyBorder="1" applyAlignment="1" applyProtection="1">
      <alignment horizontal="center"/>
    </xf>
    <xf numFmtId="0" fontId="54" fillId="0" borderId="29" xfId="59" quotePrefix="1" applyFont="1" applyBorder="1" applyAlignment="1" applyProtection="1">
      <alignment horizontal="center"/>
    </xf>
    <xf numFmtId="0" fontId="56" fillId="0" borderId="0" xfId="59" applyFont="1" applyBorder="1" applyAlignment="1" applyProtection="1">
      <alignment horizontal="right"/>
    </xf>
    <xf numFmtId="164" fontId="56" fillId="0" borderId="29" xfId="59" applyNumberFormat="1" applyFont="1" applyBorder="1" applyAlignment="1" applyProtection="1">
      <alignment horizontal="right"/>
    </xf>
    <xf numFmtId="0" fontId="50" fillId="0" borderId="25" xfId="59" applyFont="1" applyBorder="1" applyAlignment="1" applyProtection="1">
      <alignment horizontal="right"/>
    </xf>
    <xf numFmtId="0" fontId="50" fillId="0" borderId="27" xfId="59" applyFont="1" applyBorder="1" applyAlignment="1" applyProtection="1">
      <alignment horizontal="right"/>
    </xf>
    <xf numFmtId="0" fontId="59" fillId="0" borderId="28" xfId="59" applyFont="1" applyBorder="1" applyAlignment="1" applyProtection="1">
      <alignment horizontal="right"/>
    </xf>
    <xf numFmtId="0" fontId="50" fillId="0" borderId="28" xfId="59" applyFont="1" applyBorder="1" applyAlignment="1" applyProtection="1">
      <alignment horizontal="right"/>
    </xf>
    <xf numFmtId="0" fontId="50" fillId="0" borderId="38" xfId="59" applyFont="1" applyBorder="1" applyAlignment="1" applyProtection="1">
      <alignment horizontal="right"/>
    </xf>
    <xf numFmtId="164" fontId="50" fillId="0" borderId="44" xfId="59" applyNumberFormat="1" applyFont="1" applyBorder="1" applyAlignment="1" applyProtection="1">
      <alignment horizontal="right"/>
    </xf>
    <xf numFmtId="164" fontId="50" fillId="0" borderId="45" xfId="59" applyNumberFormat="1" applyFont="1" applyBorder="1" applyAlignment="1" applyProtection="1">
      <alignment horizontal="right"/>
    </xf>
    <xf numFmtId="164" fontId="50" fillId="0" borderId="38" xfId="59" applyNumberFormat="1" applyFont="1" applyBorder="1" applyAlignment="1" applyProtection="1">
      <alignment horizontal="right"/>
    </xf>
    <xf numFmtId="164" fontId="50" fillId="0" borderId="28" xfId="59" applyNumberFormat="1" applyFont="1" applyBorder="1" applyAlignment="1" applyProtection="1">
      <alignment horizontal="right"/>
    </xf>
    <xf numFmtId="0" fontId="54" fillId="0" borderId="35" xfId="59" quotePrefix="1" applyFont="1" applyBorder="1" applyAlignment="1" applyProtection="1">
      <alignment horizontal="center"/>
    </xf>
    <xf numFmtId="0" fontId="54" fillId="0" borderId="54" xfId="59" quotePrefix="1" applyFont="1" applyBorder="1" applyAlignment="1" applyProtection="1">
      <alignment horizontal="center"/>
    </xf>
    <xf numFmtId="0" fontId="59" fillId="0" borderId="53" xfId="59" applyFont="1" applyBorder="1" applyAlignment="1" applyProtection="1">
      <alignment horizontal="right"/>
    </xf>
    <xf numFmtId="0" fontId="50" fillId="0" borderId="37" xfId="59" applyFont="1" applyBorder="1" applyAlignment="1" applyProtection="1">
      <alignment horizontal="left"/>
    </xf>
    <xf numFmtId="164" fontId="50" fillId="0" borderId="55" xfId="59" applyNumberFormat="1" applyFont="1" applyBorder="1" applyAlignment="1" applyProtection="1">
      <alignment horizontal="right"/>
    </xf>
    <xf numFmtId="164" fontId="56" fillId="0" borderId="54" xfId="59" applyNumberFormat="1" applyFont="1" applyBorder="1" applyAlignment="1" applyProtection="1">
      <alignment horizontal="right"/>
    </xf>
    <xf numFmtId="164" fontId="50" fillId="0" borderId="53" xfId="59" applyNumberFormat="1" applyFont="1" applyBorder="1" applyAlignment="1" applyProtection="1">
      <alignment horizontal="right"/>
    </xf>
    <xf numFmtId="0" fontId="56" fillId="0" borderId="56" xfId="59" applyFont="1" applyBorder="1" applyAlignment="1" applyProtection="1">
      <alignment horizontal="right"/>
    </xf>
    <xf numFmtId="164" fontId="56" fillId="0" borderId="56" xfId="59" applyNumberFormat="1" applyFont="1" applyBorder="1" applyAlignment="1" applyProtection="1">
      <alignment horizontal="right"/>
    </xf>
    <xf numFmtId="164" fontId="56" fillId="0" borderId="136" xfId="59" applyNumberFormat="1" applyFont="1" applyBorder="1" applyAlignment="1" applyProtection="1">
      <alignment horizontal="right"/>
    </xf>
    <xf numFmtId="164" fontId="56" fillId="0" borderId="137" xfId="59" applyNumberFormat="1" applyFont="1" applyBorder="1" applyAlignment="1" applyProtection="1">
      <alignment horizontal="right"/>
    </xf>
    <xf numFmtId="164" fontId="56" fillId="0" borderId="138" xfId="59" applyNumberFormat="1" applyFont="1" applyBorder="1" applyAlignment="1" applyProtection="1">
      <alignment horizontal="right"/>
    </xf>
    <xf numFmtId="165" fontId="0" fillId="0" borderId="35" xfId="75" applyNumberFormat="1" applyFont="1" applyBorder="1" applyAlignment="1">
      <alignment horizontal="center"/>
    </xf>
    <xf numFmtId="165" fontId="0" fillId="0" borderId="39" xfId="75" applyNumberFormat="1" applyFont="1" applyBorder="1" applyAlignment="1">
      <alignment horizontal="center"/>
    </xf>
    <xf numFmtId="0" fontId="0" fillId="0" borderId="33" xfId="59" applyFont="1" applyBorder="1" applyAlignment="1">
      <alignment horizontal="center"/>
    </xf>
    <xf numFmtId="0" fontId="0" fillId="0" borderId="57" xfId="59" applyFont="1" applyBorder="1" applyAlignment="1">
      <alignment horizontal="center"/>
    </xf>
    <xf numFmtId="0" fontId="56" fillId="0" borderId="32" xfId="59" applyFont="1" applyBorder="1" applyAlignment="1" applyProtection="1">
      <alignment horizontal="left"/>
    </xf>
    <xf numFmtId="0" fontId="44" fillId="36" borderId="0" xfId="59" applyFont="1" applyFill="1" applyBorder="1"/>
    <xf numFmtId="0" fontId="50" fillId="0" borderId="54" xfId="59" applyFont="1" applyBorder="1" applyProtection="1"/>
    <xf numFmtId="0" fontId="56" fillId="0" borderId="41" xfId="59" applyFont="1" applyBorder="1" applyAlignment="1" applyProtection="1">
      <alignment horizontal="left"/>
    </xf>
    <xf numFmtId="0" fontId="56" fillId="0" borderId="11" xfId="59" quotePrefix="1" applyFont="1" applyBorder="1" applyAlignment="1" applyProtection="1">
      <alignment horizontal="left"/>
    </xf>
    <xf numFmtId="164" fontId="48" fillId="38" borderId="88" xfId="59" applyNumberFormat="1" applyFont="1" applyFill="1" applyBorder="1" applyAlignment="1"/>
    <xf numFmtId="0" fontId="110" fillId="0" borderId="0" xfId="59" applyFont="1"/>
    <xf numFmtId="0" fontId="110" fillId="0" borderId="0" xfId="59" applyFont="1" applyAlignment="1"/>
    <xf numFmtId="0" fontId="111" fillId="0" borderId="0" xfId="59" applyFont="1" applyAlignment="1">
      <alignment horizontal="center"/>
    </xf>
    <xf numFmtId="0" fontId="110" fillId="28" borderId="0" xfId="59" applyFont="1" applyFill="1"/>
    <xf numFmtId="0" fontId="110" fillId="48" borderId="0" xfId="59" applyFont="1" applyFill="1"/>
    <xf numFmtId="0" fontId="110" fillId="32" borderId="86" xfId="59" applyFont="1" applyFill="1" applyBorder="1"/>
    <xf numFmtId="0" fontId="110" fillId="37" borderId="86" xfId="59" applyFont="1" applyFill="1" applyBorder="1" applyAlignment="1">
      <alignment horizontal="center"/>
    </xf>
    <xf numFmtId="0" fontId="110" fillId="38" borderId="96" xfId="59" applyFont="1" applyFill="1" applyBorder="1"/>
    <xf numFmtId="0" fontId="110" fillId="30" borderId="61" xfId="59" applyFont="1" applyFill="1" applyBorder="1"/>
    <xf numFmtId="0" fontId="111" fillId="0" borderId="0" xfId="59" applyFont="1"/>
    <xf numFmtId="0" fontId="111" fillId="0" borderId="0" xfId="59" applyFont="1" applyAlignment="1"/>
    <xf numFmtId="0" fontId="110" fillId="0" borderId="0" xfId="59" quotePrefix="1" applyFont="1" applyAlignment="1"/>
    <xf numFmtId="0" fontId="110" fillId="0" borderId="0" xfId="59" applyFont="1" applyAlignment="1">
      <alignment wrapText="1"/>
    </xf>
    <xf numFmtId="0" fontId="110" fillId="30" borderId="15" xfId="59" applyFont="1" applyFill="1" applyBorder="1"/>
    <xf numFmtId="0" fontId="110" fillId="30" borderId="14" xfId="59" applyFont="1" applyFill="1" applyBorder="1"/>
    <xf numFmtId="0" fontId="110" fillId="30" borderId="14" xfId="59" applyFont="1" applyFill="1" applyBorder="1" applyAlignment="1"/>
    <xf numFmtId="0" fontId="110" fillId="30" borderId="16" xfId="59" applyFont="1" applyFill="1" applyBorder="1"/>
    <xf numFmtId="0" fontId="110" fillId="30" borderId="26" xfId="59" applyFont="1" applyFill="1" applyBorder="1"/>
    <xf numFmtId="0" fontId="110" fillId="28" borderId="0" xfId="59" applyFont="1" applyFill="1" applyBorder="1" applyAlignment="1"/>
    <xf numFmtId="0" fontId="110" fillId="28" borderId="0" xfId="59" applyFont="1" applyFill="1" applyAlignment="1"/>
    <xf numFmtId="0" fontId="110" fillId="28" borderId="0" xfId="59" applyFont="1" applyFill="1" applyBorder="1"/>
    <xf numFmtId="0" fontId="110" fillId="30" borderId="54" xfId="59" applyFont="1" applyFill="1" applyBorder="1"/>
    <xf numFmtId="0" fontId="110" fillId="30" borderId="0" xfId="59" applyFont="1" applyFill="1" applyBorder="1"/>
    <xf numFmtId="0" fontId="110" fillId="30" borderId="0" xfId="59" applyFont="1" applyFill="1" applyBorder="1" applyAlignment="1"/>
    <xf numFmtId="0" fontId="110" fillId="30" borderId="0" xfId="59" applyFont="1" applyFill="1"/>
    <xf numFmtId="0" fontId="110" fillId="30" borderId="0" xfId="59" applyFont="1" applyFill="1" applyAlignment="1"/>
    <xf numFmtId="0" fontId="110" fillId="30" borderId="41" xfId="59" applyFont="1" applyFill="1" applyBorder="1"/>
    <xf numFmtId="0" fontId="116" fillId="30" borderId="11" xfId="59" applyFont="1" applyFill="1" applyBorder="1"/>
    <xf numFmtId="0" fontId="110" fillId="30" borderId="11" xfId="59" applyFont="1" applyFill="1" applyBorder="1" applyAlignment="1"/>
    <xf numFmtId="0" fontId="110" fillId="30" borderId="11" xfId="59" applyFont="1" applyFill="1" applyBorder="1"/>
    <xf numFmtId="0" fontId="110" fillId="30" borderId="67" xfId="59" applyFont="1" applyFill="1" applyBorder="1"/>
    <xf numFmtId="0" fontId="110" fillId="32" borderId="80" xfId="59" applyFont="1" applyFill="1" applyBorder="1"/>
    <xf numFmtId="0" fontId="110" fillId="0" borderId="0" xfId="59" applyFont="1" applyBorder="1" applyAlignment="1"/>
    <xf numFmtId="0" fontId="110" fillId="38" borderId="97" xfId="59" applyFont="1" applyFill="1" applyBorder="1"/>
    <xf numFmtId="0" fontId="110" fillId="30" borderId="48" xfId="59" applyFont="1" applyFill="1" applyBorder="1"/>
    <xf numFmtId="0" fontId="116" fillId="0" borderId="0" xfId="59" applyFont="1" applyAlignment="1"/>
    <xf numFmtId="0" fontId="114" fillId="0" borderId="0" xfId="59" applyFont="1" applyAlignment="1"/>
    <xf numFmtId="0" fontId="112" fillId="0" borderId="0" xfId="59" applyFont="1"/>
    <xf numFmtId="0" fontId="116" fillId="0" borderId="0" xfId="59" applyFont="1"/>
    <xf numFmtId="0" fontId="110" fillId="0" borderId="0" xfId="59" quotePrefix="1" applyFont="1"/>
    <xf numFmtId="0" fontId="110" fillId="0" borderId="0" xfId="59" applyFont="1" applyAlignment="1">
      <alignment horizontal="center"/>
    </xf>
    <xf numFmtId="0" fontId="118" fillId="0" borderId="0" xfId="59" applyFont="1"/>
    <xf numFmtId="0" fontId="119" fillId="33" borderId="0" xfId="59" applyFont="1" applyFill="1"/>
    <xf numFmtId="0" fontId="119" fillId="33" borderId="0" xfId="59" applyFont="1" applyFill="1" applyAlignment="1"/>
    <xf numFmtId="0" fontId="120" fillId="33" borderId="0" xfId="59" applyFont="1" applyFill="1"/>
    <xf numFmtId="0" fontId="121" fillId="33" borderId="0" xfId="59" applyFont="1" applyFill="1"/>
    <xf numFmtId="0" fontId="95" fillId="33" borderId="0" xfId="59" applyFont="1" applyFill="1" applyAlignment="1"/>
    <xf numFmtId="0" fontId="119" fillId="33" borderId="0" xfId="59" applyFont="1" applyFill="1" applyAlignment="1">
      <alignment vertical="center"/>
    </xf>
    <xf numFmtId="0" fontId="110" fillId="0" borderId="0" xfId="59" applyFont="1" applyAlignment="1">
      <alignment vertical="center"/>
    </xf>
    <xf numFmtId="0" fontId="19" fillId="0" borderId="25" xfId="59" applyFont="1" applyBorder="1" applyAlignment="1">
      <alignment horizontal="right" vertical="center"/>
    </xf>
    <xf numFmtId="14" fontId="44" fillId="0" borderId="25" xfId="59" applyNumberFormat="1" applyFont="1" applyFill="1" applyBorder="1" applyAlignment="1">
      <alignment vertical="center"/>
    </xf>
    <xf numFmtId="0" fontId="44" fillId="0" borderId="25" xfId="59" applyFont="1" applyBorder="1" applyAlignment="1">
      <alignment horizontal="center" vertical="center" wrapText="1"/>
    </xf>
    <xf numFmtId="164" fontId="44" fillId="0" borderId="25" xfId="59" applyNumberFormat="1" applyFont="1" applyBorder="1" applyAlignment="1">
      <alignment vertical="center"/>
    </xf>
    <xf numFmtId="0" fontId="82" fillId="33" borderId="0" xfId="59" applyFont="1" applyFill="1" applyAlignment="1">
      <alignment vertical="center"/>
    </xf>
    <xf numFmtId="0" fontId="113" fillId="36" borderId="61" xfId="59" applyFont="1" applyFill="1" applyBorder="1"/>
    <xf numFmtId="0" fontId="110" fillId="36" borderId="48" xfId="59" applyFont="1" applyFill="1" applyBorder="1" applyAlignment="1"/>
    <xf numFmtId="0" fontId="110" fillId="36" borderId="48" xfId="59" applyFont="1" applyFill="1" applyBorder="1"/>
    <xf numFmtId="0" fontId="110" fillId="36" borderId="132" xfId="59" applyFont="1" applyFill="1" applyBorder="1"/>
    <xf numFmtId="0" fontId="111" fillId="32" borderId="61" xfId="59" applyFont="1" applyFill="1" applyBorder="1"/>
    <xf numFmtId="0" fontId="110" fillId="32" borderId="48" xfId="59" applyFont="1" applyFill="1" applyBorder="1"/>
    <xf numFmtId="0" fontId="110" fillId="32" borderId="48" xfId="59" applyFont="1" applyFill="1" applyBorder="1" applyAlignment="1"/>
    <xf numFmtId="0" fontId="110" fillId="32" borderId="132" xfId="59" applyFont="1" applyFill="1" applyBorder="1"/>
    <xf numFmtId="1" fontId="20" fillId="28" borderId="48" xfId="59" applyNumberFormat="1" applyFont="1" applyFill="1" applyBorder="1" applyAlignment="1">
      <alignment horizontal="right" vertical="top"/>
    </xf>
    <xf numFmtId="2" fontId="48" fillId="0" borderId="84" xfId="59" applyNumberFormat="1" applyFont="1" applyFill="1" applyBorder="1" applyAlignment="1">
      <alignment horizontal="right"/>
    </xf>
    <xf numFmtId="2" fontId="48" fillId="0" borderId="0" xfId="59" applyNumberFormat="1" applyFont="1" applyFill="1" applyBorder="1" applyAlignment="1">
      <alignment horizontal="right"/>
    </xf>
    <xf numFmtId="2" fontId="48" fillId="0" borderId="79" xfId="59" applyNumberFormat="1" applyFont="1" applyFill="1" applyBorder="1" applyAlignment="1">
      <alignment horizontal="right"/>
    </xf>
    <xf numFmtId="0" fontId="75" fillId="0" borderId="0" xfId="59" applyFont="1" applyBorder="1" applyAlignment="1">
      <alignment horizontal="center"/>
    </xf>
    <xf numFmtId="1" fontId="49" fillId="36" borderId="0" xfId="59" applyNumberFormat="1" applyFont="1" applyFill="1" applyBorder="1" applyAlignment="1">
      <alignment horizontal="center"/>
    </xf>
    <xf numFmtId="0" fontId="74" fillId="0" borderId="76" xfId="59" applyFont="1" applyBorder="1" applyAlignment="1">
      <alignment horizontal="center"/>
    </xf>
    <xf numFmtId="14" fontId="19" fillId="0" borderId="127" xfId="59" applyNumberFormat="1" applyFont="1" applyFill="1" applyBorder="1" applyAlignment="1" applyProtection="1">
      <alignment horizontal="center" vertical="center"/>
    </xf>
    <xf numFmtId="0" fontId="19" fillId="0" borderId="129" xfId="59" applyFont="1" applyBorder="1" applyAlignment="1">
      <alignment horizontal="center"/>
    </xf>
    <xf numFmtId="0" fontId="44" fillId="0" borderId="129" xfId="59" applyFont="1" applyBorder="1"/>
    <xf numFmtId="164" fontId="44" fillId="0" borderId="129" xfId="59" applyNumberFormat="1" applyFont="1" applyBorder="1" applyAlignment="1">
      <alignment horizontal="center"/>
    </xf>
    <xf numFmtId="0" fontId="19" fillId="0" borderId="95" xfId="59" applyFont="1" applyBorder="1" applyAlignment="1">
      <alignment horizontal="center"/>
    </xf>
    <xf numFmtId="0" fontId="44" fillId="0" borderId="95" xfId="59" applyFont="1" applyBorder="1"/>
    <xf numFmtId="164" fontId="44" fillId="0" borderId="95" xfId="59" applyNumberFormat="1" applyFont="1" applyBorder="1" applyAlignment="1">
      <alignment horizontal="center"/>
    </xf>
    <xf numFmtId="166" fontId="0" fillId="29" borderId="0" xfId="59" applyNumberFormat="1" applyFont="1" applyFill="1" applyBorder="1" applyProtection="1"/>
    <xf numFmtId="1" fontId="44" fillId="1" borderId="84" xfId="59" applyNumberFormat="1" applyFont="1" applyFill="1" applyBorder="1" applyAlignment="1"/>
    <xf numFmtId="164" fontId="49" fillId="44" borderId="0" xfId="59" applyNumberFormat="1" applyFont="1" applyFill="1" applyBorder="1" applyAlignment="1"/>
    <xf numFmtId="1" fontId="44" fillId="1" borderId="0" xfId="59" applyNumberFormat="1" applyFont="1" applyFill="1" applyBorder="1" applyAlignment="1"/>
    <xf numFmtId="164" fontId="49" fillId="44" borderId="79" xfId="59" applyNumberFormat="1" applyFont="1" applyFill="1" applyBorder="1" applyAlignment="1"/>
    <xf numFmtId="1" fontId="44" fillId="1" borderId="95" xfId="59" applyNumberFormat="1" applyFont="1" applyFill="1" applyBorder="1" applyAlignment="1"/>
    <xf numFmtId="2" fontId="44" fillId="1" borderId="95" xfId="59" applyNumberFormat="1" applyFont="1" applyFill="1" applyBorder="1" applyAlignment="1"/>
    <xf numFmtId="1" fontId="44" fillId="1" borderId="129" xfId="59" applyNumberFormat="1" applyFont="1" applyFill="1" applyBorder="1" applyAlignment="1"/>
    <xf numFmtId="2" fontId="44" fillId="1" borderId="129" xfId="59" applyNumberFormat="1" applyFont="1" applyFill="1" applyBorder="1" applyAlignment="1"/>
    <xf numFmtId="9" fontId="48" fillId="0" borderId="0" xfId="75" applyFont="1" applyAlignment="1"/>
    <xf numFmtId="2" fontId="48" fillId="46" borderId="72" xfId="59" applyNumberFormat="1" applyFont="1" applyFill="1" applyBorder="1" applyAlignment="1"/>
    <xf numFmtId="166" fontId="48" fillId="35" borderId="74" xfId="59" applyNumberFormat="1" applyFont="1" applyFill="1" applyBorder="1" applyAlignment="1" applyProtection="1">
      <alignment horizontal="center" vertical="center"/>
    </xf>
    <xf numFmtId="1" fontId="48" fillId="0" borderId="0" xfId="75" applyNumberFormat="1" applyFont="1" applyAlignment="1"/>
    <xf numFmtId="14" fontId="44" fillId="0" borderId="99" xfId="59" applyNumberFormat="1" applyFont="1" applyFill="1" applyBorder="1" applyAlignment="1" applyProtection="1">
      <alignment horizontal="center" vertical="center"/>
    </xf>
    <xf numFmtId="14" fontId="44" fillId="0" borderId="103" xfId="59" applyNumberFormat="1" applyFont="1" applyFill="1" applyBorder="1" applyAlignment="1" applyProtection="1">
      <alignment horizontal="center" vertical="center"/>
    </xf>
    <xf numFmtId="14" fontId="44" fillId="0" borderId="101" xfId="59" applyNumberFormat="1" applyFont="1" applyFill="1" applyBorder="1" applyAlignment="1" applyProtection="1">
      <alignment horizontal="center" vertical="center"/>
    </xf>
    <xf numFmtId="0" fontId="48" fillId="30" borderId="107" xfId="59" applyFont="1" applyFill="1" applyBorder="1" applyAlignment="1">
      <alignment horizontal="center"/>
    </xf>
    <xf numFmtId="165" fontId="44" fillId="0" borderId="12" xfId="75" applyNumberFormat="1" applyFont="1" applyFill="1" applyBorder="1" applyAlignment="1"/>
    <xf numFmtId="165" fontId="44" fillId="30" borderId="0" xfId="75" applyNumberFormat="1" applyFont="1" applyFill="1" applyBorder="1"/>
    <xf numFmtId="0" fontId="44" fillId="0" borderId="100" xfId="59" applyFont="1" applyBorder="1"/>
    <xf numFmtId="0" fontId="44" fillId="0" borderId="100" xfId="59" applyFont="1" applyBorder="1" applyAlignment="1">
      <alignment horizontal="center"/>
    </xf>
    <xf numFmtId="165" fontId="44" fillId="0" borderId="100" xfId="75" applyNumberFormat="1" applyFont="1" applyFill="1" applyBorder="1"/>
    <xf numFmtId="0" fontId="44" fillId="0" borderId="12" xfId="59" applyFont="1" applyBorder="1" applyAlignment="1">
      <alignment horizontal="center"/>
    </xf>
    <xf numFmtId="165" fontId="44" fillId="0" borderId="12" xfId="75" applyNumberFormat="1" applyFont="1" applyBorder="1"/>
    <xf numFmtId="0" fontId="19" fillId="30" borderId="106" xfId="59" applyFont="1" applyFill="1" applyBorder="1" applyAlignment="1">
      <alignment horizontal="center"/>
    </xf>
    <xf numFmtId="0" fontId="48" fillId="30" borderId="107" xfId="59" applyFont="1" applyFill="1" applyBorder="1"/>
    <xf numFmtId="0" fontId="44" fillId="30" borderId="107" xfId="59" applyFont="1" applyFill="1" applyBorder="1" applyAlignment="1">
      <alignment horizontal="center"/>
    </xf>
    <xf numFmtId="164" fontId="44" fillId="0" borderId="100" xfId="59" applyNumberFormat="1" applyFont="1" applyBorder="1" applyAlignment="1"/>
    <xf numFmtId="0" fontId="19" fillId="0" borderId="12" xfId="59" applyFont="1" applyFill="1" applyBorder="1" applyAlignment="1">
      <alignment horizontal="center"/>
    </xf>
    <xf numFmtId="164" fontId="44" fillId="0" borderId="12" xfId="59" applyNumberFormat="1" applyFont="1" applyFill="1" applyBorder="1" applyAlignment="1"/>
    <xf numFmtId="164" fontId="44" fillId="0" borderId="12" xfId="59" applyNumberFormat="1" applyFont="1" applyFill="1" applyBorder="1" applyAlignment="1">
      <alignment horizontal="center"/>
    </xf>
    <xf numFmtId="165" fontId="44" fillId="0" borderId="100" xfId="75" applyNumberFormat="1" applyFont="1" applyBorder="1" applyAlignment="1"/>
    <xf numFmtId="165" fontId="44" fillId="0" borderId="0" xfId="59" applyNumberFormat="1" applyFont="1" applyBorder="1" applyAlignment="1"/>
    <xf numFmtId="165" fontId="44" fillId="30" borderId="0" xfId="59" applyNumberFormat="1" applyFont="1" applyFill="1" applyBorder="1" applyAlignment="1"/>
    <xf numFmtId="165" fontId="44" fillId="0" borderId="12" xfId="59" applyNumberFormat="1" applyFont="1" applyFill="1" applyBorder="1" applyAlignment="1"/>
    <xf numFmtId="165" fontId="48" fillId="0" borderId="0" xfId="59" applyNumberFormat="1" applyFont="1" applyAlignment="1"/>
    <xf numFmtId="164" fontId="56" fillId="0" borderId="74" xfId="59" applyNumberFormat="1" applyFont="1" applyFill="1" applyBorder="1" applyProtection="1"/>
    <xf numFmtId="164" fontId="56" fillId="0" borderId="67" xfId="59" applyNumberFormat="1" applyFont="1" applyFill="1" applyBorder="1" applyProtection="1"/>
    <xf numFmtId="164" fontId="71" fillId="36" borderId="0" xfId="59" applyNumberFormat="1" applyFont="1" applyFill="1" applyBorder="1" applyAlignment="1">
      <alignment horizontal="right"/>
    </xf>
    <xf numFmtId="164" fontId="122" fillId="46" borderId="0" xfId="59" applyNumberFormat="1" applyFont="1" applyFill="1" applyBorder="1" applyAlignment="1">
      <alignment horizontal="right"/>
    </xf>
    <xf numFmtId="164" fontId="71" fillId="46" borderId="79" xfId="59" applyNumberFormat="1" applyFont="1" applyFill="1" applyBorder="1" applyAlignment="1"/>
    <xf numFmtId="164" fontId="71" fillId="46" borderId="79" xfId="59" applyNumberFormat="1" applyFont="1" applyFill="1" applyBorder="1" applyAlignment="1">
      <alignment horizontal="center"/>
    </xf>
    <xf numFmtId="0" fontId="20" fillId="0" borderId="0" xfId="59" applyFont="1" applyFill="1" applyAlignment="1">
      <alignment horizontal="center" vertical="center"/>
    </xf>
    <xf numFmtId="0" fontId="74" fillId="0" borderId="0" xfId="59" applyFont="1" applyFill="1" applyAlignment="1">
      <alignment horizontal="center"/>
    </xf>
    <xf numFmtId="166" fontId="50" fillId="0" borderId="0" xfId="59" applyNumberFormat="1" applyFont="1" applyBorder="1" applyProtection="1"/>
    <xf numFmtId="0" fontId="48" fillId="0" borderId="0" xfId="59" applyFont="1" applyFill="1" applyAlignment="1">
      <alignment horizontal="center"/>
    </xf>
    <xf numFmtId="166" fontId="48" fillId="0" borderId="0" xfId="59" applyNumberFormat="1" applyFont="1" applyAlignment="1"/>
    <xf numFmtId="0" fontId="49" fillId="36" borderId="0" xfId="59" applyFont="1" applyFill="1" applyBorder="1" applyAlignment="1">
      <alignment horizontal="center"/>
    </xf>
    <xf numFmtId="165" fontId="49" fillId="36" borderId="0" xfId="75" applyNumberFormat="1" applyFont="1" applyFill="1" applyBorder="1"/>
    <xf numFmtId="0" fontId="75" fillId="32" borderId="79" xfId="59" applyFont="1" applyFill="1" applyBorder="1" applyAlignment="1">
      <alignment horizontal="center"/>
    </xf>
    <xf numFmtId="0" fontId="75" fillId="32" borderId="0" xfId="59" applyFont="1" applyFill="1" applyBorder="1" applyAlignment="1">
      <alignment horizontal="center"/>
    </xf>
    <xf numFmtId="0" fontId="75" fillId="32" borderId="0" xfId="59" applyFont="1" applyFill="1" applyBorder="1"/>
    <xf numFmtId="1" fontId="75" fillId="32" borderId="0" xfId="59" applyNumberFormat="1" applyFont="1" applyFill="1" applyBorder="1" applyAlignment="1">
      <alignment horizontal="center"/>
    </xf>
    <xf numFmtId="1" fontId="75" fillId="32" borderId="0" xfId="59" applyNumberFormat="1" applyFont="1" applyFill="1" applyBorder="1" applyAlignment="1"/>
    <xf numFmtId="0" fontId="75" fillId="32" borderId="79" xfId="59" applyFont="1" applyFill="1" applyBorder="1"/>
    <xf numFmtId="2" fontId="71" fillId="0" borderId="0" xfId="59" applyNumberFormat="1" applyFont="1"/>
    <xf numFmtId="2" fontId="44" fillId="0" borderId="100" xfId="75" applyNumberFormat="1" applyFont="1" applyFill="1" applyBorder="1" applyAlignment="1"/>
    <xf numFmtId="2" fontId="44" fillId="30" borderId="0" xfId="75" applyNumberFormat="1" applyFont="1" applyFill="1" applyBorder="1" applyAlignment="1"/>
    <xf numFmtId="2" fontId="44" fillId="30" borderId="12" xfId="75" applyNumberFormat="1" applyFont="1" applyFill="1" applyBorder="1" applyAlignment="1"/>
    <xf numFmtId="2" fontId="44" fillId="0" borderId="0" xfId="75" applyNumberFormat="1" applyFont="1" applyFill="1" applyBorder="1" applyAlignment="1"/>
    <xf numFmtId="0" fontId="19" fillId="30" borderId="12" xfId="59" applyFont="1" applyFill="1" applyBorder="1" applyAlignment="1">
      <alignment horizontal="center"/>
    </xf>
    <xf numFmtId="0" fontId="44" fillId="30" borderId="12" xfId="59" applyFont="1" applyFill="1" applyBorder="1"/>
    <xf numFmtId="1" fontId="44" fillId="30" borderId="12" xfId="59" applyNumberFormat="1" applyFont="1" applyFill="1" applyBorder="1" applyAlignment="1">
      <alignment horizontal="center"/>
    </xf>
    <xf numFmtId="1" fontId="44" fillId="30" borderId="12" xfId="59" applyNumberFormat="1" applyFont="1" applyFill="1" applyBorder="1" applyAlignment="1"/>
    <xf numFmtId="164" fontId="44" fillId="0" borderId="0" xfId="59" applyNumberFormat="1" applyFont="1" applyBorder="1"/>
    <xf numFmtId="0" fontId="19" fillId="0" borderId="27" xfId="59" applyFont="1" applyBorder="1" applyAlignment="1">
      <alignment horizontal="center"/>
    </xf>
    <xf numFmtId="0" fontId="44" fillId="0" borderId="25" xfId="59" applyFont="1" applyBorder="1" applyAlignment="1">
      <alignment horizontal="center"/>
    </xf>
    <xf numFmtId="164" fontId="44" fillId="0" borderId="25" xfId="59" applyNumberFormat="1" applyFont="1" applyBorder="1"/>
    <xf numFmtId="0" fontId="74" fillId="0" borderId="0" xfId="59" applyFont="1" applyBorder="1" applyAlignment="1">
      <alignment horizontal="center"/>
    </xf>
    <xf numFmtId="0" fontId="75" fillId="0" borderId="4" xfId="59" applyFont="1" applyBorder="1" applyAlignment="1">
      <alignment horizontal="center"/>
    </xf>
    <xf numFmtId="0" fontId="49" fillId="0" borderId="0" xfId="59" applyFont="1" applyBorder="1"/>
    <xf numFmtId="0" fontId="75" fillId="0" borderId="44" xfId="59" applyFont="1" applyBorder="1" applyAlignment="1">
      <alignment horizontal="center"/>
    </xf>
    <xf numFmtId="0" fontId="44" fillId="0" borderId="0" xfId="59" applyFont="1" applyAlignment="1">
      <alignment horizontal="right" vertical="top"/>
    </xf>
    <xf numFmtId="0" fontId="20" fillId="51" borderId="27" xfId="59" applyFont="1" applyFill="1" applyBorder="1" applyAlignment="1">
      <alignment horizontal="center"/>
    </xf>
    <xf numFmtId="0" fontId="48" fillId="51" borderId="25" xfId="59" applyFont="1" applyFill="1" applyBorder="1"/>
    <xf numFmtId="0" fontId="48" fillId="51" borderId="25" xfId="59" applyFont="1" applyFill="1" applyBorder="1" applyAlignment="1">
      <alignment horizontal="center"/>
    </xf>
    <xf numFmtId="1" fontId="48" fillId="51" borderId="25" xfId="59" applyNumberFormat="1" applyFont="1" applyFill="1" applyBorder="1" applyAlignment="1"/>
    <xf numFmtId="0" fontId="20" fillId="51" borderId="25" xfId="59" applyFont="1" applyFill="1" applyBorder="1" applyAlignment="1">
      <alignment horizontal="right"/>
    </xf>
    <xf numFmtId="0" fontId="75" fillId="51" borderId="0" xfId="59" applyFont="1" applyFill="1" applyBorder="1" applyAlignment="1">
      <alignment horizontal="center"/>
    </xf>
    <xf numFmtId="0" fontId="49" fillId="51" borderId="0" xfId="59" applyFont="1" applyFill="1" applyBorder="1"/>
    <xf numFmtId="0" fontId="49" fillId="51" borderId="0" xfId="59" applyFont="1" applyFill="1" applyBorder="1" applyAlignment="1">
      <alignment horizontal="center"/>
    </xf>
    <xf numFmtId="165" fontId="49" fillId="51" borderId="0" xfId="75" applyNumberFormat="1" applyFont="1" applyFill="1" applyBorder="1"/>
    <xf numFmtId="0" fontId="75" fillId="51" borderId="38" xfId="59" applyFont="1" applyFill="1" applyBorder="1" applyAlignment="1">
      <alignment horizontal="center"/>
    </xf>
    <xf numFmtId="0" fontId="49" fillId="51" borderId="38" xfId="59" applyFont="1" applyFill="1" applyBorder="1"/>
    <xf numFmtId="0" fontId="49" fillId="51" borderId="38" xfId="59" applyFont="1" applyFill="1" applyBorder="1" applyAlignment="1">
      <alignment horizontal="center"/>
    </xf>
    <xf numFmtId="165" fontId="49" fillId="51" borderId="38" xfId="75" applyNumberFormat="1" applyFont="1" applyFill="1" applyBorder="1"/>
    <xf numFmtId="0" fontId="19" fillId="51" borderId="0" xfId="59" applyFont="1" applyFill="1" applyBorder="1" applyAlignment="1">
      <alignment horizontal="center"/>
    </xf>
    <xf numFmtId="0" fontId="44" fillId="51" borderId="0" xfId="59" applyFont="1" applyFill="1" applyBorder="1"/>
    <xf numFmtId="0" fontId="44" fillId="51" borderId="0" xfId="59" applyFont="1" applyFill="1" applyBorder="1" applyAlignment="1">
      <alignment horizontal="center"/>
    </xf>
    <xf numFmtId="165" fontId="44" fillId="51" borderId="0" xfId="59" applyNumberFormat="1" applyFont="1" applyFill="1" applyBorder="1"/>
    <xf numFmtId="2" fontId="48" fillId="32" borderId="84" xfId="59" applyNumberFormat="1" applyFont="1" applyFill="1" applyBorder="1" applyAlignment="1"/>
    <xf numFmtId="1" fontId="84" fillId="0" borderId="0" xfId="59" applyNumberFormat="1" applyFont="1" applyFill="1" applyBorder="1" applyAlignment="1" applyProtection="1">
      <alignment horizontal="center" vertical="center"/>
    </xf>
    <xf numFmtId="0" fontId="20" fillId="36" borderId="22" xfId="59" applyFont="1" applyFill="1" applyBorder="1" applyAlignment="1">
      <alignment horizontal="center"/>
    </xf>
    <xf numFmtId="165" fontId="48" fillId="0" borderId="0" xfId="75" applyNumberFormat="1" applyFont="1"/>
    <xf numFmtId="164" fontId="71" fillId="0" borderId="75" xfId="59" applyNumberFormat="1" applyFont="1" applyFill="1" applyBorder="1" applyAlignment="1" applyProtection="1">
      <alignment horizontal="right"/>
      <protection locked="0"/>
    </xf>
    <xf numFmtId="2" fontId="20" fillId="0" borderId="0" xfId="59" applyNumberFormat="1" applyFont="1" applyFill="1" applyBorder="1" applyAlignment="1" applyProtection="1">
      <alignment horizontal="center" vertical="center"/>
    </xf>
    <xf numFmtId="2" fontId="19" fillId="0" borderId="75" xfId="59" quotePrefix="1" applyNumberFormat="1" applyFont="1" applyFill="1" applyBorder="1" applyAlignment="1" applyProtection="1">
      <alignment horizontal="center" vertical="center"/>
    </xf>
    <xf numFmtId="2" fontId="19" fillId="0" borderId="0" xfId="59" applyNumberFormat="1" applyFont="1" applyBorder="1" applyAlignment="1">
      <alignment horizontal="center"/>
    </xf>
    <xf numFmtId="2" fontId="75" fillId="0" borderId="0" xfId="59" applyNumberFormat="1" applyFont="1" applyBorder="1" applyAlignment="1"/>
    <xf numFmtId="2" fontId="19" fillId="0" borderId="0" xfId="59" applyNumberFormat="1" applyFont="1" applyAlignment="1"/>
    <xf numFmtId="2" fontId="19" fillId="0" borderId="75" xfId="59" applyNumberFormat="1" applyFont="1" applyFill="1" applyBorder="1" applyAlignment="1" applyProtection="1">
      <alignment horizontal="center" vertical="center"/>
    </xf>
    <xf numFmtId="2" fontId="74" fillId="32" borderId="0" xfId="59" applyNumberFormat="1" applyFont="1" applyFill="1" applyBorder="1" applyAlignment="1"/>
    <xf numFmtId="0" fontId="76" fillId="30" borderId="0" xfId="59" applyFont="1" applyFill="1" applyAlignment="1">
      <alignment horizontal="center"/>
    </xf>
    <xf numFmtId="0" fontId="75" fillId="0" borderId="0" xfId="59" applyFont="1" applyFill="1" applyAlignment="1"/>
    <xf numFmtId="0" fontId="75" fillId="36" borderId="0" xfId="59" applyFont="1" applyFill="1" applyBorder="1" applyAlignment="1">
      <alignment horizontal="left"/>
    </xf>
    <xf numFmtId="164" fontId="75" fillId="36" borderId="0" xfId="59" applyNumberFormat="1" applyFont="1" applyFill="1" applyBorder="1" applyAlignment="1">
      <alignment horizontal="center"/>
    </xf>
    <xf numFmtId="0" fontId="75" fillId="36" borderId="0" xfId="59" applyFont="1" applyFill="1" applyBorder="1" applyAlignment="1"/>
    <xf numFmtId="0" fontId="75" fillId="0" borderId="0" xfId="59" applyFont="1" applyFill="1" applyBorder="1" applyAlignment="1"/>
    <xf numFmtId="0" fontId="45" fillId="33" borderId="0" xfId="59" applyFont="1" applyFill="1" applyAlignment="1">
      <alignment horizontal="center" vertical="center"/>
    </xf>
    <xf numFmtId="0" fontId="125" fillId="43" borderId="0" xfId="59" applyFont="1" applyFill="1" applyProtection="1"/>
    <xf numFmtId="0" fontId="77" fillId="43" borderId="0" xfId="59" applyFont="1" applyFill="1" applyProtection="1"/>
    <xf numFmtId="0" fontId="48" fillId="0" borderId="0" xfId="59" applyNumberFormat="1" applyFont="1" applyFill="1" applyBorder="1" applyProtection="1"/>
    <xf numFmtId="164" fontId="44" fillId="0" borderId="35" xfId="59" applyNumberFormat="1" applyFont="1" applyFill="1" applyBorder="1" applyAlignment="1" applyProtection="1">
      <alignment horizontal="right"/>
    </xf>
    <xf numFmtId="164" fontId="44" fillId="0" borderId="36" xfId="59" applyNumberFormat="1" applyFont="1" applyFill="1" applyBorder="1" applyAlignment="1" applyProtection="1">
      <alignment horizontal="right"/>
    </xf>
    <xf numFmtId="164" fontId="75" fillId="0" borderId="35" xfId="59" applyNumberFormat="1" applyFont="1" applyFill="1" applyBorder="1" applyAlignment="1" applyProtection="1">
      <alignment horizontal="right"/>
    </xf>
    <xf numFmtId="164" fontId="75" fillId="0" borderId="36" xfId="59" applyNumberFormat="1" applyFont="1" applyFill="1" applyBorder="1" applyAlignment="1" applyProtection="1">
      <alignment horizontal="right"/>
    </xf>
    <xf numFmtId="164" fontId="19" fillId="0" borderId="0" xfId="59" applyNumberFormat="1" applyFont="1" applyFill="1" applyBorder="1" applyAlignment="1" applyProtection="1">
      <alignment horizontal="center"/>
    </xf>
    <xf numFmtId="164" fontId="44" fillId="0" borderId="54" xfId="59" applyNumberFormat="1" applyFont="1" applyFill="1" applyBorder="1" applyAlignment="1" applyProtection="1">
      <alignment horizontal="right"/>
    </xf>
    <xf numFmtId="0" fontId="44" fillId="0" borderId="35" xfId="59" applyFont="1" applyBorder="1"/>
    <xf numFmtId="0" fontId="50" fillId="29" borderId="33" xfId="59" applyFont="1" applyFill="1" applyBorder="1" applyProtection="1"/>
    <xf numFmtId="0" fontId="50" fillId="29" borderId="35" xfId="59" applyFont="1" applyFill="1" applyBorder="1" applyProtection="1"/>
    <xf numFmtId="0" fontId="44" fillId="29" borderId="35" xfId="59" applyFont="1" applyFill="1" applyBorder="1"/>
    <xf numFmtId="0" fontId="44" fillId="29" borderId="39" xfId="59" applyFont="1" applyFill="1" applyBorder="1"/>
    <xf numFmtId="0" fontId="50" fillId="29" borderId="27" xfId="59" applyFont="1" applyFill="1" applyBorder="1" applyProtection="1"/>
    <xf numFmtId="0" fontId="44" fillId="29" borderId="4" xfId="59" applyFont="1" applyFill="1" applyBorder="1"/>
    <xf numFmtId="0" fontId="56" fillId="29" borderId="4" xfId="59" applyFont="1" applyFill="1" applyBorder="1" applyProtection="1"/>
    <xf numFmtId="0" fontId="50" fillId="29" borderId="44" xfId="59" applyFont="1" applyFill="1" applyBorder="1" applyProtection="1"/>
    <xf numFmtId="0" fontId="71" fillId="0" borderId="35" xfId="59" applyFont="1" applyBorder="1"/>
    <xf numFmtId="0" fontId="71" fillId="29" borderId="4" xfId="59" applyFont="1" applyFill="1" applyBorder="1" applyProtection="1"/>
    <xf numFmtId="0" fontId="108" fillId="29" borderId="28" xfId="59" applyFont="1" applyFill="1" applyBorder="1"/>
    <xf numFmtId="0" fontId="17" fillId="29" borderId="33" xfId="59" applyFont="1" applyFill="1" applyBorder="1"/>
    <xf numFmtId="0" fontId="108" fillId="29" borderId="35" xfId="59" applyFont="1" applyFill="1" applyBorder="1"/>
    <xf numFmtId="0" fontId="108" fillId="29" borderId="39" xfId="59" applyFont="1" applyFill="1" applyBorder="1"/>
    <xf numFmtId="0" fontId="107" fillId="29" borderId="44" xfId="59" applyFont="1" applyFill="1" applyBorder="1" applyProtection="1"/>
    <xf numFmtId="0" fontId="50" fillId="29" borderId="39" xfId="59" applyFont="1" applyFill="1" applyBorder="1" applyProtection="1"/>
    <xf numFmtId="0" fontId="44" fillId="30" borderId="4" xfId="59" applyFont="1" applyFill="1" applyBorder="1"/>
    <xf numFmtId="0" fontId="127" fillId="43" borderId="0" xfId="59" applyFont="1" applyFill="1" applyProtection="1"/>
    <xf numFmtId="0" fontId="103" fillId="0" borderId="0" xfId="59" applyFont="1" applyBorder="1" applyProtection="1"/>
    <xf numFmtId="167" fontId="50" fillId="0" borderId="35" xfId="59" applyNumberFormat="1" applyFont="1" applyFill="1" applyBorder="1" applyAlignment="1" applyProtection="1">
      <alignment horizontal="right"/>
    </xf>
    <xf numFmtId="164" fontId="50" fillId="0" borderId="27" xfId="59" applyNumberFormat="1" applyFont="1" applyFill="1" applyBorder="1" applyAlignment="1" applyProtection="1">
      <alignment horizontal="right"/>
    </xf>
    <xf numFmtId="164" fontId="56" fillId="0" borderId="38" xfId="59" applyNumberFormat="1" applyFont="1" applyFill="1" applyBorder="1" applyAlignment="1" applyProtection="1">
      <alignment horizontal="right"/>
    </xf>
    <xf numFmtId="164" fontId="58" fillId="0" borderId="33" xfId="59" applyNumberFormat="1" applyFont="1" applyFill="1" applyBorder="1" applyAlignment="1" applyProtection="1">
      <alignment horizontal="center"/>
    </xf>
    <xf numFmtId="1" fontId="56" fillId="0" borderId="139" xfId="59" applyNumberFormat="1" applyFont="1" applyFill="1" applyBorder="1" applyAlignment="1" applyProtection="1">
      <alignment horizontal="center"/>
    </xf>
    <xf numFmtId="164" fontId="50" fillId="0" borderId="45" xfId="59" applyNumberFormat="1" applyFont="1" applyFill="1" applyBorder="1" applyAlignment="1" applyProtection="1">
      <alignment horizontal="right"/>
    </xf>
    <xf numFmtId="164" fontId="50" fillId="0" borderId="11" xfId="59" applyNumberFormat="1" applyFont="1" applyFill="1" applyBorder="1" applyAlignment="1" applyProtection="1">
      <alignment horizontal="right"/>
    </xf>
    <xf numFmtId="0" fontId="50" fillId="0" borderId="67" xfId="59" applyFont="1" applyFill="1" applyBorder="1" applyAlignment="1" applyProtection="1">
      <alignment horizontal="right"/>
    </xf>
    <xf numFmtId="164" fontId="56" fillId="0" borderId="34" xfId="59" applyNumberFormat="1" applyFont="1" applyFill="1" applyBorder="1" applyAlignment="1" applyProtection="1">
      <alignment horizontal="right"/>
    </xf>
    <xf numFmtId="164" fontId="50" fillId="0" borderId="44" xfId="59" applyNumberFormat="1" applyFont="1" applyFill="1" applyBorder="1" applyAlignment="1" applyProtection="1">
      <alignment horizontal="right"/>
    </xf>
    <xf numFmtId="164" fontId="50" fillId="0" borderId="43" xfId="59" applyNumberFormat="1" applyFont="1" applyBorder="1" applyAlignment="1" applyProtection="1">
      <alignment horizontal="right"/>
    </xf>
    <xf numFmtId="0" fontId="0" fillId="0" borderId="67" xfId="59" applyFont="1" applyBorder="1"/>
    <xf numFmtId="164" fontId="66" fillId="0" borderId="40" xfId="59" applyNumberFormat="1" applyFont="1" applyFill="1" applyBorder="1" applyProtection="1"/>
    <xf numFmtId="164" fontId="50" fillId="0" borderId="28" xfId="59" applyNumberFormat="1" applyFont="1" applyFill="1" applyBorder="1" applyProtection="1"/>
    <xf numFmtId="164" fontId="50" fillId="0" borderId="33" xfId="59" applyNumberFormat="1" applyFont="1" applyFill="1" applyBorder="1" applyProtection="1"/>
    <xf numFmtId="164" fontId="50" fillId="0" borderId="140" xfId="59" applyNumberFormat="1" applyFont="1" applyFill="1" applyBorder="1" applyProtection="1"/>
    <xf numFmtId="164" fontId="50" fillId="0" borderId="66" xfId="59" applyNumberFormat="1" applyFont="1" applyFill="1" applyBorder="1" applyProtection="1"/>
    <xf numFmtId="164" fontId="50" fillId="0" borderId="60" xfId="59" applyNumberFormat="1" applyFont="1" applyFill="1" applyBorder="1" applyProtection="1"/>
    <xf numFmtId="164" fontId="50" fillId="0" borderId="67" xfId="59" applyNumberFormat="1" applyFont="1" applyFill="1" applyBorder="1" applyProtection="1"/>
    <xf numFmtId="164" fontId="50" fillId="0" borderId="135" xfId="59" applyNumberFormat="1" applyFont="1" applyFill="1" applyBorder="1" applyProtection="1"/>
    <xf numFmtId="164" fontId="56" fillId="0" borderId="35" xfId="59" applyNumberFormat="1" applyFont="1" applyBorder="1" applyProtection="1"/>
    <xf numFmtId="164" fontId="56" fillId="0" borderId="36" xfId="59" applyNumberFormat="1" applyFont="1" applyBorder="1" applyAlignment="1" applyProtection="1">
      <alignment horizontal="center"/>
    </xf>
    <xf numFmtId="164" fontId="66" fillId="0" borderId="36" xfId="59" applyNumberFormat="1" applyFont="1" applyBorder="1" applyAlignment="1" applyProtection="1">
      <alignment horizontal="center"/>
    </xf>
    <xf numFmtId="0" fontId="54" fillId="0" borderId="62" xfId="59" quotePrefix="1" applyFont="1" applyBorder="1" applyAlignment="1" applyProtection="1">
      <alignment horizontal="center"/>
    </xf>
    <xf numFmtId="0" fontId="64" fillId="0" borderId="141" xfId="59" quotePrefix="1" applyFont="1" applyBorder="1" applyAlignment="1" applyProtection="1">
      <alignment horizontal="right"/>
    </xf>
    <xf numFmtId="165" fontId="48" fillId="0" borderId="35" xfId="75" applyNumberFormat="1" applyFont="1" applyBorder="1" applyAlignment="1">
      <alignment horizontal="center"/>
    </xf>
    <xf numFmtId="165" fontId="0" fillId="0" borderId="33" xfId="75" applyNumberFormat="1" applyFont="1" applyBorder="1" applyAlignment="1">
      <alignment horizontal="center"/>
    </xf>
    <xf numFmtId="164" fontId="56" fillId="0" borderId="61" xfId="59" applyNumberFormat="1" applyFont="1" applyBorder="1" applyAlignment="1" applyProtection="1">
      <alignment horizontal="right"/>
    </xf>
    <xf numFmtId="164" fontId="56" fillId="0" borderId="132" xfId="59" applyNumberFormat="1" applyFont="1" applyBorder="1" applyAlignment="1" applyProtection="1">
      <alignment horizontal="right"/>
    </xf>
    <xf numFmtId="164" fontId="56" fillId="0" borderId="48" xfId="59" applyNumberFormat="1" applyFont="1" applyBorder="1" applyAlignment="1" applyProtection="1">
      <alignment horizontal="right"/>
    </xf>
    <xf numFmtId="164" fontId="56" fillId="0" borderId="62" xfId="59" applyNumberFormat="1" applyFont="1" applyBorder="1" applyAlignment="1" applyProtection="1">
      <alignment horizontal="right"/>
    </xf>
    <xf numFmtId="0" fontId="48" fillId="0" borderId="57" xfId="59" applyFont="1" applyBorder="1" applyAlignment="1">
      <alignment horizontal="center"/>
    </xf>
    <xf numFmtId="164" fontId="56" fillId="0" borderId="67" xfId="59" applyNumberFormat="1" applyFont="1" applyBorder="1" applyAlignment="1" applyProtection="1">
      <alignment horizontal="right"/>
    </xf>
    <xf numFmtId="0" fontId="45" fillId="31" borderId="0" xfId="59" applyFont="1" applyFill="1"/>
    <xf numFmtId="164" fontId="56" fillId="0" borderId="35" xfId="59" quotePrefix="1" applyNumberFormat="1" applyFont="1" applyBorder="1" applyAlignment="1" applyProtection="1">
      <alignment horizontal="right"/>
    </xf>
    <xf numFmtId="164" fontId="66" fillId="0" borderId="54" xfId="59" applyNumberFormat="1" applyFont="1" applyBorder="1" applyAlignment="1" applyProtection="1">
      <alignment horizontal="right"/>
    </xf>
    <xf numFmtId="164" fontId="56" fillId="0" borderId="29" xfId="59" quotePrefix="1" applyNumberFormat="1" applyFont="1" applyBorder="1" applyAlignment="1" applyProtection="1">
      <alignment horizontal="right"/>
    </xf>
    <xf numFmtId="164" fontId="56" fillId="0" borderId="54" xfId="59" quotePrefix="1" applyNumberFormat="1" applyFont="1" applyBorder="1" applyAlignment="1" applyProtection="1">
      <alignment horizontal="right"/>
    </xf>
    <xf numFmtId="164" fontId="56" fillId="0" borderId="39" xfId="59" quotePrefix="1" applyNumberFormat="1" applyFont="1" applyBorder="1" applyAlignment="1" applyProtection="1">
      <alignment horizontal="right"/>
    </xf>
    <xf numFmtId="164" fontId="56" fillId="0" borderId="45" xfId="59" applyNumberFormat="1" applyFont="1" applyBorder="1" applyAlignment="1" applyProtection="1">
      <alignment horizontal="right"/>
    </xf>
    <xf numFmtId="164" fontId="56" fillId="0" borderId="45" xfId="59" quotePrefix="1" applyNumberFormat="1" applyFont="1" applyBorder="1" applyAlignment="1" applyProtection="1">
      <alignment horizontal="right"/>
    </xf>
    <xf numFmtId="164" fontId="66" fillId="0" borderId="55" xfId="59" quotePrefix="1" applyNumberFormat="1" applyFont="1" applyBorder="1" applyAlignment="1" applyProtection="1">
      <alignment horizontal="right"/>
    </xf>
    <xf numFmtId="164" fontId="56" fillId="0" borderId="33" xfId="59" quotePrefix="1" applyNumberFormat="1" applyFont="1" applyBorder="1" applyAlignment="1" applyProtection="1">
      <alignment horizontal="right"/>
    </xf>
    <xf numFmtId="164" fontId="56" fillId="0" borderId="28" xfId="59" applyNumberFormat="1" applyFont="1" applyBorder="1" applyAlignment="1" applyProtection="1">
      <alignment horizontal="right"/>
    </xf>
    <xf numFmtId="164" fontId="56" fillId="0" borderId="53" xfId="59" applyNumberFormat="1" applyFont="1" applyBorder="1" applyAlignment="1" applyProtection="1">
      <alignment horizontal="right"/>
    </xf>
    <xf numFmtId="164" fontId="59" fillId="0" borderId="54" xfId="59" applyNumberFormat="1" applyFont="1" applyBorder="1" applyAlignment="1" applyProtection="1">
      <alignment horizontal="right"/>
    </xf>
    <xf numFmtId="164" fontId="50" fillId="0" borderId="33" xfId="59" quotePrefix="1" applyNumberFormat="1" applyFont="1" applyBorder="1" applyAlignment="1" applyProtection="1">
      <alignment horizontal="right"/>
    </xf>
    <xf numFmtId="164" fontId="56" fillId="0" borderId="50" xfId="59" quotePrefix="1" applyNumberFormat="1" applyFont="1" applyBorder="1" applyAlignment="1" applyProtection="1">
      <alignment horizontal="right"/>
    </xf>
    <xf numFmtId="164" fontId="56" fillId="0" borderId="60" xfId="59" applyNumberFormat="1" applyFont="1" applyBorder="1" applyAlignment="1" applyProtection="1">
      <alignment horizontal="right"/>
    </xf>
    <xf numFmtId="164" fontId="66" fillId="0" borderId="67" xfId="59" applyNumberFormat="1" applyFont="1" applyBorder="1" applyAlignment="1" applyProtection="1">
      <alignment horizontal="right"/>
    </xf>
    <xf numFmtId="164" fontId="50" fillId="0" borderId="55" xfId="59" applyNumberFormat="1" applyFont="1" applyFill="1" applyBorder="1" applyAlignment="1" applyProtection="1">
      <alignment horizontal="right"/>
    </xf>
    <xf numFmtId="164" fontId="56" fillId="0" borderId="33" xfId="59" applyNumberFormat="1" applyFont="1" applyFill="1" applyBorder="1" applyAlignment="1" applyProtection="1">
      <alignment horizontal="right"/>
    </xf>
    <xf numFmtId="164" fontId="56" fillId="0" borderId="28" xfId="59" applyNumberFormat="1" applyFont="1" applyFill="1" applyBorder="1" applyAlignment="1" applyProtection="1">
      <alignment horizontal="right"/>
    </xf>
    <xf numFmtId="164" fontId="66" fillId="0" borderId="45" xfId="59" applyNumberFormat="1" applyFont="1" applyFill="1" applyBorder="1" applyAlignment="1" applyProtection="1">
      <alignment horizontal="right"/>
    </xf>
    <xf numFmtId="164" fontId="66" fillId="0" borderId="55" xfId="59" applyNumberFormat="1" applyFont="1" applyFill="1" applyBorder="1" applyAlignment="1" applyProtection="1">
      <alignment horizontal="right"/>
    </xf>
    <xf numFmtId="164" fontId="66" fillId="0" borderId="50" xfId="59" applyNumberFormat="1" applyFont="1" applyFill="1" applyBorder="1" applyAlignment="1" applyProtection="1">
      <alignment horizontal="right"/>
    </xf>
    <xf numFmtId="164" fontId="66" fillId="0" borderId="43" xfId="59" applyNumberFormat="1" applyFont="1" applyFill="1" applyBorder="1" applyAlignment="1" applyProtection="1">
      <alignment horizontal="right"/>
    </xf>
    <xf numFmtId="164" fontId="56" fillId="0" borderId="25" xfId="59" applyNumberFormat="1" applyFont="1" applyFill="1" applyBorder="1" applyAlignment="1" applyProtection="1">
      <alignment horizontal="right"/>
    </xf>
    <xf numFmtId="164" fontId="56" fillId="0" borderId="53" xfId="59" applyNumberFormat="1" applyFont="1" applyFill="1" applyBorder="1" applyAlignment="1" applyProtection="1">
      <alignment horizontal="right"/>
    </xf>
    <xf numFmtId="164" fontId="50" fillId="0" borderId="50" xfId="59" applyNumberFormat="1" applyFont="1" applyBorder="1" applyAlignment="1" applyProtection="1">
      <alignment horizontal="right"/>
    </xf>
    <xf numFmtId="0" fontId="126" fillId="43" borderId="142" xfId="59" quotePrefix="1" applyFont="1" applyFill="1" applyBorder="1" applyAlignment="1" applyProtection="1">
      <alignment horizontal="right"/>
    </xf>
    <xf numFmtId="0" fontId="125" fillId="43" borderId="142" xfId="59" applyFont="1" applyFill="1" applyBorder="1" applyAlignment="1" applyProtection="1">
      <alignment horizontal="right"/>
    </xf>
    <xf numFmtId="1" fontId="0" fillId="0" borderId="0" xfId="59" applyNumberFormat="1" applyFont="1" applyFill="1" applyBorder="1" applyProtection="1"/>
    <xf numFmtId="0" fontId="44" fillId="0" borderId="0" xfId="59" applyNumberFormat="1" applyFont="1" applyFill="1" applyBorder="1" applyProtection="1"/>
    <xf numFmtId="1" fontId="44" fillId="0" borderId="0" xfId="59" applyNumberFormat="1" applyFont="1" applyFill="1" applyBorder="1" applyProtection="1"/>
    <xf numFmtId="0" fontId="129" fillId="43" borderId="0" xfId="59" applyFont="1" applyFill="1" applyProtection="1"/>
    <xf numFmtId="0" fontId="117" fillId="0" borderId="0" xfId="59" applyFont="1" applyAlignment="1"/>
    <xf numFmtId="0" fontId="44" fillId="31" borderId="0" xfId="59" applyFont="1" applyFill="1" applyBorder="1"/>
    <xf numFmtId="0" fontId="0" fillId="31" borderId="38" xfId="59" applyFont="1" applyFill="1" applyBorder="1"/>
    <xf numFmtId="0" fontId="54" fillId="31" borderId="38" xfId="59" applyFont="1" applyFill="1" applyBorder="1" applyProtection="1"/>
    <xf numFmtId="0" fontId="44" fillId="31" borderId="38" xfId="59" applyFont="1" applyFill="1" applyBorder="1"/>
    <xf numFmtId="0" fontId="45" fillId="31" borderId="0" xfId="59" applyFont="1" applyFill="1" applyBorder="1"/>
    <xf numFmtId="0" fontId="48" fillId="28" borderId="49" xfId="59" applyFont="1" applyFill="1" applyBorder="1" applyAlignment="1" applyProtection="1">
      <alignment horizontal="center"/>
    </xf>
    <xf numFmtId="0" fontId="44" fillId="31" borderId="0" xfId="59" applyFont="1" applyFill="1" applyAlignment="1">
      <alignment horizontal="left"/>
    </xf>
    <xf numFmtId="49" fontId="18" fillId="43" borderId="0" xfId="59" applyNumberFormat="1" applyFont="1" applyFill="1" applyProtection="1"/>
    <xf numFmtId="164" fontId="50" fillId="0" borderId="35" xfId="59" applyNumberFormat="1" applyFont="1" applyFill="1" applyBorder="1" applyAlignment="1" applyProtection="1"/>
    <xf numFmtId="164" fontId="50" fillId="0" borderId="34" xfId="59" applyNumberFormat="1" applyFont="1" applyFill="1" applyBorder="1" applyAlignment="1" applyProtection="1"/>
    <xf numFmtId="164" fontId="50" fillId="0" borderId="36" xfId="59" applyNumberFormat="1" applyFont="1" applyFill="1" applyBorder="1" applyAlignment="1" applyProtection="1"/>
    <xf numFmtId="164" fontId="50" fillId="0" borderId="39" xfId="59" applyNumberFormat="1" applyFont="1" applyFill="1" applyBorder="1" applyAlignment="1" applyProtection="1"/>
    <xf numFmtId="164" fontId="50" fillId="0" borderId="40" xfId="59" applyNumberFormat="1" applyFont="1" applyFill="1" applyBorder="1" applyAlignment="1" applyProtection="1"/>
    <xf numFmtId="164" fontId="50" fillId="0" borderId="35" xfId="59" quotePrefix="1" applyNumberFormat="1" applyFont="1" applyFill="1" applyBorder="1" applyAlignment="1" applyProtection="1"/>
    <xf numFmtId="164" fontId="50" fillId="0" borderId="54" xfId="59" applyNumberFormat="1" applyFont="1" applyFill="1" applyBorder="1" applyAlignment="1" applyProtection="1"/>
    <xf numFmtId="164" fontId="0" fillId="0" borderId="35" xfId="59" quotePrefix="1" applyNumberFormat="1" applyFont="1" applyFill="1" applyBorder="1" applyAlignment="1"/>
    <xf numFmtId="164" fontId="0" fillId="0" borderId="54" xfId="59" applyNumberFormat="1" applyFont="1" applyFill="1" applyBorder="1" applyAlignment="1"/>
    <xf numFmtId="164" fontId="0" fillId="0" borderId="39" xfId="59" quotePrefix="1" applyNumberFormat="1" applyFont="1" applyFill="1" applyBorder="1" applyAlignment="1"/>
    <xf numFmtId="164" fontId="0" fillId="0" borderId="55" xfId="59" applyNumberFormat="1" applyFont="1" applyFill="1" applyBorder="1" applyAlignment="1"/>
    <xf numFmtId="164" fontId="50" fillId="0" borderId="49" xfId="59" applyNumberFormat="1" applyFont="1" applyFill="1" applyBorder="1" applyAlignment="1" applyProtection="1"/>
    <xf numFmtId="164" fontId="50" fillId="0" borderId="50" xfId="59" applyNumberFormat="1" applyFont="1" applyFill="1" applyBorder="1" applyAlignment="1" applyProtection="1"/>
    <xf numFmtId="164" fontId="50" fillId="0" borderId="43" xfId="59" applyNumberFormat="1" applyFont="1" applyFill="1" applyBorder="1" applyAlignment="1" applyProtection="1"/>
    <xf numFmtId="0" fontId="59" fillId="0" borderId="60" xfId="59" applyFont="1" applyBorder="1" applyProtection="1"/>
    <xf numFmtId="2" fontId="45" fillId="31" borderId="0" xfId="59" applyNumberFormat="1" applyFont="1" applyFill="1"/>
    <xf numFmtId="2" fontId="48" fillId="28" borderId="39" xfId="59" applyNumberFormat="1" applyFont="1" applyFill="1" applyBorder="1" applyAlignment="1">
      <alignment horizontal="center"/>
    </xf>
    <xf numFmtId="14" fontId="48" fillId="30" borderId="48" xfId="59" applyNumberFormat="1" applyFont="1" applyFill="1" applyBorder="1" applyAlignment="1"/>
    <xf numFmtId="166" fontId="44" fillId="32" borderId="84" xfId="59" applyNumberFormat="1" applyFont="1" applyFill="1" applyBorder="1" applyAlignment="1"/>
    <xf numFmtId="164" fontId="44" fillId="30" borderId="34" xfId="59" applyNumberFormat="1" applyFont="1" applyFill="1" applyBorder="1" applyAlignment="1" applyProtection="1">
      <alignment horizontal="right"/>
    </xf>
    <xf numFmtId="164" fontId="44" fillId="30" borderId="36" xfId="59" applyNumberFormat="1" applyFont="1" applyFill="1" applyBorder="1" applyAlignment="1" applyProtection="1">
      <alignment horizontal="right"/>
    </xf>
    <xf numFmtId="164" fontId="44" fillId="30" borderId="4" xfId="59" applyNumberFormat="1" applyFont="1" applyFill="1" applyBorder="1" applyAlignment="1" applyProtection="1">
      <alignment horizontal="right"/>
    </xf>
    <xf numFmtId="164" fontId="44" fillId="30" borderId="42" xfId="59" applyNumberFormat="1" applyFont="1" applyFill="1" applyBorder="1" applyAlignment="1" applyProtection="1">
      <alignment horizontal="right"/>
    </xf>
    <xf numFmtId="164" fontId="44" fillId="30" borderId="27" xfId="59" applyNumberFormat="1" applyFont="1" applyFill="1" applyBorder="1" applyAlignment="1" applyProtection="1">
      <alignment horizontal="right"/>
    </xf>
    <xf numFmtId="164" fontId="44" fillId="30" borderId="43" xfId="59" applyNumberFormat="1" applyFont="1" applyFill="1" applyBorder="1" applyAlignment="1" applyProtection="1">
      <alignment horizontal="right"/>
    </xf>
    <xf numFmtId="0" fontId="48" fillId="29" borderId="0" xfId="59" applyFont="1" applyFill="1" applyAlignment="1" applyProtection="1">
      <alignment horizontal="center"/>
    </xf>
    <xf numFmtId="0" fontId="48" fillId="30" borderId="0" xfId="59" applyFont="1" applyFill="1" applyBorder="1" applyAlignment="1" applyProtection="1">
      <alignment horizontal="left"/>
    </xf>
    <xf numFmtId="0" fontId="0" fillId="30" borderId="0" xfId="59" applyFont="1" applyFill="1" applyProtection="1"/>
    <xf numFmtId="0" fontId="0" fillId="37" borderId="0" xfId="59" applyFont="1" applyFill="1" applyProtection="1"/>
    <xf numFmtId="166" fontId="0" fillId="37" borderId="0" xfId="59" applyNumberFormat="1" applyFont="1" applyFill="1" applyProtection="1"/>
    <xf numFmtId="0" fontId="47" fillId="0" borderId="26" xfId="59" applyFont="1" applyFill="1" applyBorder="1" applyProtection="1"/>
    <xf numFmtId="0" fontId="130" fillId="0" borderId="0" xfId="59" applyFont="1" applyFill="1" applyBorder="1" applyProtection="1"/>
    <xf numFmtId="164" fontId="47" fillId="0" borderId="35" xfId="59" applyNumberFormat="1" applyFont="1" applyFill="1" applyBorder="1" applyAlignment="1" applyProtection="1">
      <alignment horizontal="right"/>
    </xf>
    <xf numFmtId="164" fontId="47" fillId="0" borderId="0" xfId="59" applyNumberFormat="1" applyFont="1" applyFill="1" applyBorder="1" applyAlignment="1" applyProtection="1">
      <alignment horizontal="right"/>
    </xf>
    <xf numFmtId="164" fontId="47" fillId="0" borderId="36" xfId="59" applyNumberFormat="1" applyFont="1" applyFill="1" applyBorder="1" applyAlignment="1" applyProtection="1">
      <alignment horizontal="right"/>
    </xf>
    <xf numFmtId="0" fontId="47" fillId="0" borderId="32" xfId="59" applyFont="1" applyBorder="1" applyProtection="1"/>
    <xf numFmtId="0" fontId="47" fillId="0" borderId="25" xfId="59" applyFont="1" applyBorder="1" applyProtection="1"/>
    <xf numFmtId="0" fontId="131" fillId="0" borderId="33" xfId="59" applyFont="1" applyBorder="1" applyAlignment="1" applyProtection="1">
      <alignment horizontal="center"/>
    </xf>
    <xf numFmtId="164" fontId="47" fillId="0" borderId="27" xfId="59" applyNumberFormat="1" applyFont="1" applyFill="1" applyBorder="1" applyAlignment="1" applyProtection="1">
      <alignment horizontal="right"/>
    </xf>
    <xf numFmtId="164" fontId="47" fillId="0" borderId="33" xfId="59" applyNumberFormat="1" applyFont="1" applyFill="1" applyBorder="1" applyAlignment="1" applyProtection="1">
      <alignment horizontal="right"/>
    </xf>
    <xf numFmtId="164" fontId="47" fillId="0" borderId="34" xfId="59" applyNumberFormat="1" applyFont="1" applyFill="1" applyBorder="1" applyAlignment="1" applyProtection="1">
      <alignment horizontal="right"/>
    </xf>
    <xf numFmtId="0" fontId="47" fillId="0" borderId="26" xfId="59" applyFont="1" applyBorder="1" applyProtection="1"/>
    <xf numFmtId="0" fontId="47" fillId="0" borderId="0" xfId="59" applyFont="1" applyBorder="1" applyProtection="1"/>
    <xf numFmtId="0" fontId="131" fillId="0" borderId="35" xfId="59" applyFont="1" applyBorder="1" applyAlignment="1" applyProtection="1">
      <alignment horizontal="center"/>
    </xf>
    <xf numFmtId="0" fontId="130" fillId="0" borderId="26" xfId="59" applyFont="1" applyFill="1" applyBorder="1" applyProtection="1"/>
    <xf numFmtId="0" fontId="132" fillId="0" borderId="35" xfId="59" applyFont="1" applyFill="1" applyBorder="1" applyAlignment="1" applyProtection="1">
      <alignment horizontal="center"/>
    </xf>
    <xf numFmtId="164" fontId="47" fillId="0" borderId="38" xfId="59" applyNumberFormat="1" applyFont="1" applyFill="1" applyBorder="1" applyAlignment="1" applyProtection="1">
      <alignment horizontal="right"/>
    </xf>
    <xf numFmtId="164" fontId="47" fillId="0" borderId="39" xfId="59" applyNumberFormat="1" applyFont="1" applyFill="1" applyBorder="1" applyAlignment="1" applyProtection="1">
      <alignment horizontal="right"/>
    </xf>
    <xf numFmtId="164" fontId="47" fillId="0" borderId="40" xfId="59" applyNumberFormat="1" applyFont="1" applyFill="1" applyBorder="1" applyAlignment="1" applyProtection="1">
      <alignment horizontal="right"/>
    </xf>
    <xf numFmtId="0" fontId="123" fillId="0" borderId="47" xfId="59" applyFont="1" applyBorder="1" applyAlignment="1" applyProtection="1">
      <alignment horizontal="left"/>
    </xf>
    <xf numFmtId="0" fontId="123" fillId="0" borderId="48" xfId="59" applyFont="1" applyBorder="1" applyProtection="1"/>
    <xf numFmtId="0" fontId="133" fillId="0" borderId="49" xfId="59" applyFont="1" applyBorder="1" applyAlignment="1" applyProtection="1">
      <alignment horizontal="center"/>
    </xf>
    <xf numFmtId="164" fontId="123" fillId="0" borderId="48" xfId="59" applyNumberFormat="1" applyFont="1" applyFill="1" applyBorder="1" applyAlignment="1" applyProtection="1">
      <alignment horizontal="right"/>
    </xf>
    <xf numFmtId="164" fontId="123" fillId="0" borderId="49" xfId="59" applyNumberFormat="1" applyFont="1" applyFill="1" applyBorder="1" applyAlignment="1" applyProtection="1">
      <alignment horizontal="right"/>
    </xf>
    <xf numFmtId="164" fontId="123" fillId="0" borderId="51" xfId="59" applyNumberFormat="1" applyFont="1" applyFill="1" applyBorder="1" applyAlignment="1" applyProtection="1">
      <alignment horizontal="right"/>
    </xf>
    <xf numFmtId="0" fontId="44" fillId="30" borderId="26" xfId="59" quotePrefix="1" applyFont="1" applyFill="1" applyBorder="1" applyAlignment="1" applyProtection="1">
      <alignment horizontal="left"/>
    </xf>
    <xf numFmtId="0" fontId="44" fillId="30" borderId="0" xfId="59" applyFont="1" applyFill="1" applyBorder="1" applyProtection="1"/>
    <xf numFmtId="0" fontId="19" fillId="30" borderId="35" xfId="59" applyFont="1" applyFill="1" applyBorder="1" applyAlignment="1" applyProtection="1">
      <alignment horizontal="center"/>
    </xf>
    <xf numFmtId="0" fontId="44" fillId="30" borderId="41" xfId="59" quotePrefix="1" applyFont="1" applyFill="1" applyBorder="1" applyAlignment="1" applyProtection="1">
      <alignment horizontal="left"/>
    </xf>
    <xf numFmtId="0" fontId="44" fillId="30" borderId="11" xfId="59" applyFont="1" applyFill="1" applyBorder="1" applyProtection="1"/>
    <xf numFmtId="0" fontId="19" fillId="30" borderId="50" xfId="59" applyFont="1" applyFill="1" applyBorder="1" applyAlignment="1" applyProtection="1">
      <alignment horizontal="center"/>
    </xf>
    <xf numFmtId="164" fontId="47" fillId="0" borderId="4" xfId="59" applyNumberFormat="1" applyFont="1" applyFill="1" applyBorder="1" applyAlignment="1" applyProtection="1">
      <alignment horizontal="right"/>
    </xf>
    <xf numFmtId="3" fontId="130" fillId="0" borderId="26" xfId="59" applyNumberFormat="1" applyFont="1" applyFill="1" applyBorder="1" applyProtection="1"/>
    <xf numFmtId="3" fontId="130" fillId="0" borderId="29" xfId="59" applyNumberFormat="1" applyFont="1" applyFill="1" applyBorder="1" applyProtection="1"/>
    <xf numFmtId="3" fontId="132" fillId="0" borderId="35" xfId="59" applyNumberFormat="1" applyFont="1" applyFill="1" applyBorder="1" applyAlignment="1" applyProtection="1">
      <alignment horizontal="center"/>
    </xf>
    <xf numFmtId="164" fontId="47" fillId="0" borderId="29" xfId="59" applyNumberFormat="1" applyFont="1" applyFill="1" applyBorder="1" applyAlignment="1" applyProtection="1">
      <alignment horizontal="right"/>
    </xf>
    <xf numFmtId="164" fontId="47" fillId="0" borderId="35" xfId="59" applyNumberFormat="1" applyFont="1" applyFill="1" applyBorder="1" applyProtection="1"/>
    <xf numFmtId="164" fontId="47" fillId="0" borderId="54" xfId="59" applyNumberFormat="1" applyFont="1" applyFill="1" applyBorder="1" applyAlignment="1" applyProtection="1">
      <alignment horizontal="right"/>
    </xf>
    <xf numFmtId="164" fontId="47" fillId="0" borderId="45" xfId="59" applyNumberFormat="1" applyFont="1" applyFill="1" applyBorder="1" applyAlignment="1" applyProtection="1">
      <alignment horizontal="right"/>
    </xf>
    <xf numFmtId="164" fontId="47" fillId="0" borderId="55" xfId="59" applyNumberFormat="1" applyFont="1" applyFill="1" applyBorder="1" applyAlignment="1" applyProtection="1">
      <alignment horizontal="right"/>
    </xf>
    <xf numFmtId="1" fontId="55" fillId="0" borderId="139" xfId="59" applyNumberFormat="1" applyFont="1" applyBorder="1" applyAlignment="1" applyProtection="1">
      <alignment horizontal="center"/>
    </xf>
    <xf numFmtId="0" fontId="130" fillId="0" borderId="26" xfId="59" applyFont="1" applyBorder="1" applyAlignment="1" applyProtection="1">
      <alignment horizontal="left"/>
    </xf>
    <xf numFmtId="0" fontId="130" fillId="0" borderId="0" xfId="59" applyFont="1" applyBorder="1" applyAlignment="1" applyProtection="1">
      <alignment horizontal="left"/>
    </xf>
    <xf numFmtId="0" fontId="130" fillId="0" borderId="41" xfId="59" applyFont="1" applyBorder="1" applyAlignment="1" applyProtection="1">
      <alignment horizontal="left"/>
    </xf>
    <xf numFmtId="0" fontId="130" fillId="0" borderId="11" xfId="59" applyFont="1" applyBorder="1" applyAlignment="1" applyProtection="1">
      <alignment horizontal="left"/>
    </xf>
    <xf numFmtId="0" fontId="50" fillId="0" borderId="15" xfId="59" applyFont="1" applyBorder="1" applyAlignment="1" applyProtection="1">
      <alignment horizontal="left"/>
    </xf>
    <xf numFmtId="0" fontId="50" fillId="0" borderId="14" xfId="59" applyFont="1" applyBorder="1" applyAlignment="1" applyProtection="1">
      <alignment horizontal="left"/>
    </xf>
    <xf numFmtId="0" fontId="123" fillId="0" borderId="37" xfId="59" applyFont="1" applyBorder="1"/>
    <xf numFmtId="0" fontId="123" fillId="0" borderId="38" xfId="59" applyFont="1" applyBorder="1"/>
    <xf numFmtId="0" fontId="0" fillId="36" borderId="0" xfId="59" applyFont="1" applyFill="1" applyProtection="1"/>
    <xf numFmtId="166" fontId="0" fillId="36" borderId="0" xfId="59" applyNumberFormat="1" applyFont="1" applyFill="1" applyProtection="1"/>
    <xf numFmtId="1" fontId="0" fillId="36" borderId="0" xfId="59" applyNumberFormat="1" applyFont="1" applyFill="1" applyProtection="1"/>
    <xf numFmtId="0" fontId="123" fillId="0" borderId="37" xfId="59" applyFont="1" applyFill="1" applyBorder="1" applyAlignment="1" applyProtection="1"/>
    <xf numFmtId="0" fontId="47" fillId="0" borderId="38" xfId="59" applyFont="1" applyFill="1" applyBorder="1" applyProtection="1"/>
    <xf numFmtId="0" fontId="131" fillId="0" borderId="39" xfId="59" applyFont="1" applyFill="1" applyBorder="1" applyAlignment="1" applyProtection="1">
      <alignment horizontal="center"/>
    </xf>
    <xf numFmtId="164" fontId="123" fillId="0" borderId="38" xfId="59" applyNumberFormat="1" applyFont="1" applyFill="1" applyBorder="1" applyAlignment="1" applyProtection="1">
      <alignment horizontal="right"/>
    </xf>
    <xf numFmtId="164" fontId="123" fillId="0" borderId="39" xfId="59" applyNumberFormat="1" applyFont="1" applyFill="1" applyBorder="1" applyAlignment="1" applyProtection="1">
      <alignment horizontal="right"/>
    </xf>
    <xf numFmtId="164" fontId="123" fillId="0" borderId="40" xfId="59" applyNumberFormat="1" applyFont="1" applyFill="1" applyBorder="1" applyAlignment="1" applyProtection="1">
      <alignment horizontal="right"/>
    </xf>
    <xf numFmtId="3" fontId="47" fillId="0" borderId="26" xfId="59" applyNumberFormat="1" applyFont="1" applyFill="1" applyBorder="1" applyProtection="1"/>
    <xf numFmtId="3" fontId="47" fillId="0" borderId="29" xfId="59" applyNumberFormat="1" applyFont="1" applyFill="1" applyBorder="1" applyProtection="1"/>
    <xf numFmtId="3" fontId="47" fillId="0" borderId="35" xfId="59" applyNumberFormat="1" applyFont="1" applyFill="1" applyBorder="1" applyAlignment="1" applyProtection="1">
      <alignment horizontal="center"/>
    </xf>
    <xf numFmtId="164" fontId="47" fillId="0" borderId="0" xfId="59" applyNumberFormat="1" applyFont="1" applyFill="1" applyBorder="1" applyProtection="1"/>
    <xf numFmtId="3" fontId="47" fillId="0" borderId="37" xfId="59" applyNumberFormat="1" applyFont="1" applyFill="1" applyBorder="1" applyProtection="1"/>
    <xf numFmtId="3" fontId="47" fillId="0" borderId="45" xfId="59" applyNumberFormat="1" applyFont="1" applyFill="1" applyBorder="1" applyProtection="1"/>
    <xf numFmtId="3" fontId="47" fillId="0" borderId="39" xfId="59" applyNumberFormat="1" applyFont="1" applyFill="1" applyBorder="1" applyAlignment="1" applyProtection="1">
      <alignment horizontal="center"/>
    </xf>
    <xf numFmtId="164" fontId="47" fillId="0" borderId="39" xfId="59" applyNumberFormat="1" applyFont="1" applyFill="1" applyBorder="1" applyProtection="1"/>
    <xf numFmtId="3" fontId="47" fillId="0" borderId="41" xfId="59" applyNumberFormat="1" applyFont="1" applyFill="1" applyBorder="1" applyProtection="1"/>
    <xf numFmtId="3" fontId="47" fillId="0" borderId="60" xfId="59" applyNumberFormat="1" applyFont="1" applyFill="1" applyBorder="1" applyProtection="1"/>
    <xf numFmtId="3" fontId="47" fillId="0" borderId="50" xfId="59" applyNumberFormat="1" applyFont="1" applyFill="1" applyBorder="1" applyAlignment="1" applyProtection="1">
      <alignment horizontal="center"/>
    </xf>
    <xf numFmtId="164" fontId="47" fillId="0" borderId="60" xfId="59" applyNumberFormat="1" applyFont="1" applyFill="1" applyBorder="1" applyAlignment="1" applyProtection="1">
      <alignment horizontal="right"/>
    </xf>
    <xf numFmtId="164" fontId="47" fillId="0" borderId="11" xfId="59" applyNumberFormat="1" applyFont="1" applyFill="1" applyBorder="1" applyAlignment="1" applyProtection="1">
      <alignment horizontal="right"/>
    </xf>
    <xf numFmtId="164" fontId="47" fillId="0" borderId="50" xfId="59" applyNumberFormat="1" applyFont="1" applyFill="1" applyBorder="1" applyProtection="1"/>
    <xf numFmtId="164" fontId="47" fillId="0" borderId="67" xfId="59" applyNumberFormat="1" applyFont="1" applyFill="1" applyBorder="1" applyAlignment="1" applyProtection="1">
      <alignment horizontal="right"/>
    </xf>
    <xf numFmtId="0" fontId="123" fillId="0" borderId="37" xfId="59" applyFont="1" applyFill="1" applyBorder="1"/>
    <xf numFmtId="0" fontId="123" fillId="0" borderId="38" xfId="59" applyFont="1" applyFill="1" applyBorder="1"/>
    <xf numFmtId="164" fontId="123" fillId="0" borderId="44" xfId="59" applyNumberFormat="1" applyFont="1" applyFill="1" applyBorder="1" applyProtection="1"/>
    <xf numFmtId="164" fontId="123" fillId="0" borderId="39" xfId="59" applyNumberFormat="1" applyFont="1" applyFill="1" applyBorder="1" applyProtection="1"/>
    <xf numFmtId="164" fontId="123" fillId="0" borderId="55" xfId="59" applyNumberFormat="1" applyFont="1" applyFill="1" applyBorder="1" applyProtection="1"/>
    <xf numFmtId="0" fontId="47" fillId="0" borderId="26" xfId="59" quotePrefix="1" applyFont="1" applyBorder="1" applyAlignment="1" applyProtection="1">
      <alignment horizontal="left"/>
    </xf>
    <xf numFmtId="0" fontId="47" fillId="0" borderId="0" xfId="59" quotePrefix="1" applyFont="1" applyBorder="1" applyAlignment="1" applyProtection="1">
      <alignment horizontal="left"/>
    </xf>
    <xf numFmtId="0" fontId="47" fillId="0" borderId="35" xfId="59" applyFont="1" applyBorder="1" applyAlignment="1" applyProtection="1">
      <alignment horizontal="center"/>
    </xf>
    <xf numFmtId="164" fontId="47" fillId="0" borderId="44" xfId="59" applyNumberFormat="1" applyFont="1" applyFill="1" applyBorder="1" applyAlignment="1" applyProtection="1">
      <alignment horizontal="right"/>
    </xf>
    <xf numFmtId="0" fontId="47" fillId="0" borderId="37" xfId="59" quotePrefix="1" applyFont="1" applyBorder="1" applyAlignment="1" applyProtection="1">
      <alignment horizontal="left"/>
    </xf>
    <xf numFmtId="0" fontId="47" fillId="0" borderId="38" xfId="59" quotePrefix="1" applyFont="1" applyBorder="1" applyAlignment="1" applyProtection="1">
      <alignment horizontal="left"/>
    </xf>
    <xf numFmtId="0" fontId="47" fillId="0" borderId="39" xfId="59" applyFont="1" applyBorder="1" applyAlignment="1" applyProtection="1">
      <alignment horizontal="center"/>
    </xf>
    <xf numFmtId="166" fontId="0" fillId="0" borderId="0" xfId="59" applyNumberFormat="1" applyFont="1" applyProtection="1"/>
    <xf numFmtId="1" fontId="0" fillId="0" borderId="0" xfId="59" applyNumberFormat="1" applyFont="1" applyProtection="1"/>
    <xf numFmtId="164" fontId="47" fillId="0" borderId="29" xfId="59" applyNumberFormat="1" applyFont="1" applyFill="1" applyBorder="1" applyProtection="1"/>
    <xf numFmtId="164" fontId="47" fillId="0" borderId="36" xfId="59" applyNumberFormat="1" applyFont="1" applyFill="1" applyBorder="1" applyProtection="1"/>
    <xf numFmtId="164" fontId="47" fillId="0" borderId="43" xfId="59" applyNumberFormat="1" applyFont="1" applyFill="1" applyBorder="1" applyProtection="1"/>
    <xf numFmtId="0" fontId="59" fillId="0" borderId="54" xfId="59" applyFont="1" applyFill="1" applyBorder="1" applyProtection="1"/>
    <xf numFmtId="164" fontId="56" fillId="0" borderId="27" xfId="59" applyNumberFormat="1" applyFont="1" applyFill="1" applyBorder="1" applyProtection="1"/>
    <xf numFmtId="164" fontId="50" fillId="0" borderId="42" xfId="59" applyNumberFormat="1" applyFont="1" applyFill="1" applyBorder="1" applyProtection="1"/>
    <xf numFmtId="0" fontId="50" fillId="0" borderId="16" xfId="59" applyFont="1" applyFill="1" applyBorder="1" applyProtection="1"/>
    <xf numFmtId="14" fontId="75" fillId="0" borderId="75" xfId="59" applyNumberFormat="1" applyFont="1" applyFill="1" applyBorder="1" applyAlignment="1" applyProtection="1">
      <alignment horizontal="center" vertical="center"/>
    </xf>
    <xf numFmtId="165" fontId="75" fillId="36" borderId="0" xfId="75" applyNumberFormat="1" applyFont="1" applyFill="1" applyBorder="1" applyAlignment="1"/>
    <xf numFmtId="0" fontId="20" fillId="0" borderId="0" xfId="59" applyFont="1" applyFill="1" applyBorder="1" applyAlignment="1">
      <alignment horizontal="center"/>
    </xf>
    <xf numFmtId="0" fontId="76" fillId="32" borderId="0" xfId="59" applyFont="1" applyFill="1" applyBorder="1" applyAlignment="1">
      <alignment horizontal="center"/>
    </xf>
    <xf numFmtId="0" fontId="17" fillId="32" borderId="0" xfId="59" applyFont="1" applyFill="1" applyBorder="1" applyAlignment="1">
      <alignment horizontal="center"/>
    </xf>
    <xf numFmtId="2" fontId="75" fillId="36" borderId="0" xfId="59" applyNumberFormat="1" applyFont="1" applyFill="1" applyBorder="1" applyAlignment="1">
      <alignment horizontal="right"/>
    </xf>
    <xf numFmtId="0" fontId="56" fillId="0" borderId="0" xfId="59" applyFont="1"/>
    <xf numFmtId="1" fontId="56" fillId="32" borderId="84" xfId="59" applyNumberFormat="1" applyFont="1" applyFill="1" applyBorder="1" applyAlignment="1"/>
    <xf numFmtId="165" fontId="66" fillId="36" borderId="0" xfId="75" applyNumberFormat="1" applyFont="1" applyFill="1" applyBorder="1" applyAlignment="1"/>
    <xf numFmtId="1" fontId="56" fillId="37" borderId="0" xfId="59" applyNumberFormat="1" applyFont="1" applyFill="1" applyBorder="1" applyAlignment="1"/>
    <xf numFmtId="165" fontId="66" fillId="36" borderId="79" xfId="75" applyNumberFormat="1" applyFont="1" applyFill="1" applyBorder="1"/>
    <xf numFmtId="1" fontId="56" fillId="38" borderId="97" xfId="59" applyNumberFormat="1" applyFont="1" applyFill="1" applyBorder="1" applyAlignment="1"/>
    <xf numFmtId="164" fontId="50" fillId="0" borderId="88" xfId="59" applyNumberFormat="1" applyFont="1" applyBorder="1" applyAlignment="1"/>
    <xf numFmtId="2" fontId="56" fillId="28" borderId="90" xfId="59" applyNumberFormat="1" applyFont="1" applyFill="1" applyBorder="1" applyAlignment="1"/>
    <xf numFmtId="2" fontId="56" fillId="28" borderId="0" xfId="59" applyNumberFormat="1" applyFont="1" applyFill="1" applyBorder="1" applyAlignment="1"/>
    <xf numFmtId="1" fontId="56" fillId="30" borderId="100" xfId="59" applyNumberFormat="1" applyFont="1" applyFill="1" applyBorder="1" applyAlignment="1"/>
    <xf numFmtId="164" fontId="56" fillId="30" borderId="100" xfId="59" applyNumberFormat="1" applyFont="1" applyFill="1" applyBorder="1" applyAlignment="1"/>
    <xf numFmtId="164" fontId="56" fillId="30" borderId="12" xfId="59" applyNumberFormat="1" applyFont="1" applyFill="1" applyBorder="1" applyAlignment="1"/>
    <xf numFmtId="164" fontId="56" fillId="30" borderId="0" xfId="59" applyNumberFormat="1" applyFont="1" applyFill="1" applyBorder="1" applyAlignment="1"/>
    <xf numFmtId="1" fontId="56" fillId="0" borderId="0" xfId="59" applyNumberFormat="1" applyFont="1"/>
    <xf numFmtId="164" fontId="56" fillId="37" borderId="0" xfId="59" applyNumberFormat="1" applyFont="1" applyFill="1" applyBorder="1" applyAlignment="1"/>
    <xf numFmtId="1" fontId="56" fillId="52" borderId="0" xfId="59" applyNumberFormat="1" applyFont="1" applyFill="1" applyBorder="1" applyAlignment="1"/>
    <xf numFmtId="1" fontId="134" fillId="32" borderId="0" xfId="59" applyNumberFormat="1" applyFont="1" applyFill="1" applyBorder="1" applyAlignment="1"/>
    <xf numFmtId="165" fontId="56" fillId="0" borderId="0" xfId="75" applyNumberFormat="1" applyFont="1" applyBorder="1" applyAlignment="1"/>
    <xf numFmtId="164" fontId="50" fillId="0" borderId="0" xfId="59" applyNumberFormat="1" applyFont="1" applyBorder="1" applyAlignment="1"/>
    <xf numFmtId="1" fontId="56" fillId="38" borderId="95" xfId="59" applyNumberFormat="1" applyFont="1" applyFill="1" applyBorder="1" applyAlignment="1"/>
    <xf numFmtId="2" fontId="56" fillId="38" borderId="0" xfId="59" applyNumberFormat="1" applyFont="1" applyFill="1" applyBorder="1" applyAlignment="1"/>
    <xf numFmtId="1" fontId="56" fillId="0" borderId="0" xfId="59" applyNumberFormat="1" applyFont="1" applyBorder="1" applyAlignment="1"/>
    <xf numFmtId="1" fontId="56" fillId="30" borderId="0" xfId="59" applyNumberFormat="1" applyFont="1" applyFill="1" applyBorder="1" applyAlignment="1"/>
    <xf numFmtId="1" fontId="56" fillId="53" borderId="0" xfId="59" applyNumberFormat="1" applyFont="1" applyFill="1" applyBorder="1" applyAlignment="1"/>
    <xf numFmtId="1" fontId="56" fillId="30" borderId="38" xfId="59" applyNumberFormat="1" applyFont="1" applyFill="1" applyBorder="1" applyAlignment="1"/>
    <xf numFmtId="2" fontId="56" fillId="30" borderId="100" xfId="75" applyNumberFormat="1" applyFont="1" applyFill="1" applyBorder="1" applyAlignment="1"/>
    <xf numFmtId="2" fontId="56" fillId="30" borderId="0" xfId="75" applyNumberFormat="1" applyFont="1" applyFill="1" applyBorder="1" applyAlignment="1"/>
    <xf numFmtId="2" fontId="56" fillId="30" borderId="12" xfId="75" applyNumberFormat="1" applyFont="1" applyFill="1" applyBorder="1" applyAlignment="1"/>
    <xf numFmtId="1" fontId="56" fillId="0" borderId="84" xfId="59" applyNumberFormat="1" applyFont="1" applyFill="1" applyBorder="1" applyAlignment="1"/>
    <xf numFmtId="1" fontId="56" fillId="0" borderId="79" xfId="59" applyNumberFormat="1" applyFont="1" applyFill="1" applyBorder="1" applyAlignment="1"/>
    <xf numFmtId="1" fontId="56" fillId="32" borderId="0" xfId="59" applyNumberFormat="1" applyFont="1" applyFill="1" applyBorder="1" applyAlignment="1"/>
    <xf numFmtId="2" fontId="56" fillId="0" borderId="88" xfId="59" applyNumberFormat="1" applyFont="1" applyBorder="1" applyAlignment="1"/>
    <xf numFmtId="2" fontId="56" fillId="0" borderId="90" xfId="59" applyNumberFormat="1" applyFont="1" applyBorder="1" applyAlignment="1"/>
    <xf numFmtId="1" fontId="56" fillId="37" borderId="80" xfId="59" applyNumberFormat="1" applyFont="1" applyFill="1" applyBorder="1"/>
    <xf numFmtId="1" fontId="56" fillId="38" borderId="93" xfId="59" applyNumberFormat="1" applyFont="1" applyFill="1" applyBorder="1" applyAlignment="1"/>
    <xf numFmtId="1" fontId="56" fillId="47" borderId="84" xfId="59" applyNumberFormat="1" applyFont="1" applyFill="1" applyBorder="1"/>
    <xf numFmtId="164" fontId="66" fillId="44" borderId="0" xfId="59" applyNumberFormat="1" applyFont="1" applyFill="1" applyBorder="1" applyAlignment="1"/>
    <xf numFmtId="1" fontId="56" fillId="47" borderId="0" xfId="59" applyNumberFormat="1" applyFont="1" applyFill="1" applyBorder="1"/>
    <xf numFmtId="164" fontId="66" fillId="44" borderId="79" xfId="59" applyNumberFormat="1" applyFont="1" applyFill="1" applyBorder="1" applyAlignment="1"/>
    <xf numFmtId="2" fontId="56" fillId="54" borderId="95" xfId="59" applyNumberFormat="1" applyFont="1" applyFill="1" applyBorder="1" applyAlignment="1"/>
    <xf numFmtId="2" fontId="56" fillId="54" borderId="129" xfId="59" applyNumberFormat="1" applyFont="1" applyFill="1" applyBorder="1" applyAlignment="1"/>
    <xf numFmtId="0" fontId="56" fillId="0" borderId="0" xfId="59" applyFont="1" applyAlignment="1"/>
    <xf numFmtId="1" fontId="56" fillId="32" borderId="80" xfId="59" applyNumberFormat="1" applyFont="1" applyFill="1" applyBorder="1" applyAlignment="1"/>
    <xf numFmtId="164" fontId="56" fillId="55" borderId="0" xfId="59" applyNumberFormat="1" applyFont="1" applyFill="1" applyBorder="1" applyAlignment="1"/>
    <xf numFmtId="164" fontId="56" fillId="37" borderId="0" xfId="59" applyNumberFormat="1" applyFont="1" applyFill="1" applyBorder="1"/>
    <xf numFmtId="164" fontId="56" fillId="37" borderId="79" xfId="59" applyNumberFormat="1" applyFont="1" applyFill="1" applyBorder="1"/>
    <xf numFmtId="164" fontId="56" fillId="32" borderId="0" xfId="59" applyNumberFormat="1" applyFont="1" applyFill="1" applyBorder="1"/>
    <xf numFmtId="0" fontId="56" fillId="0" borderId="0" xfId="59" applyFont="1" applyBorder="1"/>
    <xf numFmtId="2" fontId="56" fillId="38" borderId="0" xfId="59" applyNumberFormat="1" applyFont="1" applyFill="1" applyBorder="1"/>
    <xf numFmtId="2" fontId="56" fillId="28" borderId="90" xfId="59" applyNumberFormat="1" applyFont="1" applyFill="1" applyBorder="1"/>
    <xf numFmtId="0" fontId="64" fillId="51" borderId="25" xfId="59" applyFont="1" applyFill="1" applyBorder="1" applyAlignment="1">
      <alignment horizontal="right"/>
    </xf>
    <xf numFmtId="164" fontId="50" fillId="0" borderId="25" xfId="59" applyNumberFormat="1" applyFont="1" applyBorder="1"/>
    <xf numFmtId="165" fontId="59" fillId="51" borderId="0" xfId="75" applyNumberFormat="1" applyFont="1" applyFill="1" applyBorder="1"/>
    <xf numFmtId="165" fontId="59" fillId="51" borderId="38" xfId="75" applyNumberFormat="1" applyFont="1" applyFill="1" applyBorder="1"/>
    <xf numFmtId="165" fontId="50" fillId="51" borderId="0" xfId="59" applyNumberFormat="1" applyFont="1" applyFill="1" applyBorder="1"/>
    <xf numFmtId="164" fontId="56" fillId="37" borderId="84" xfId="59" applyNumberFormat="1" applyFont="1" applyFill="1" applyBorder="1"/>
    <xf numFmtId="164" fontId="56" fillId="37" borderId="0" xfId="59" applyNumberFormat="1" applyFont="1" applyFill="1" applyBorder="1" applyAlignment="1">
      <alignment vertical="center"/>
    </xf>
    <xf numFmtId="164" fontId="56" fillId="37" borderId="79" xfId="59" applyNumberFormat="1" applyFont="1" applyFill="1" applyBorder="1" applyAlignment="1">
      <alignment vertical="center"/>
    </xf>
    <xf numFmtId="2" fontId="56" fillId="0" borderId="0" xfId="59" applyNumberFormat="1" applyFont="1" applyBorder="1"/>
    <xf numFmtId="1" fontId="56" fillId="30" borderId="107" xfId="59" applyNumberFormat="1" applyFont="1" applyFill="1" applyBorder="1" applyAlignment="1"/>
    <xf numFmtId="165" fontId="56" fillId="0" borderId="100" xfId="75" applyNumberFormat="1" applyFont="1" applyFill="1" applyBorder="1"/>
    <xf numFmtId="165" fontId="56" fillId="0" borderId="0" xfId="75" applyNumberFormat="1" applyFont="1" applyFill="1" applyBorder="1" applyAlignment="1"/>
    <xf numFmtId="165" fontId="56" fillId="30" borderId="0" xfId="75" applyNumberFormat="1" applyFont="1" applyFill="1" applyBorder="1"/>
    <xf numFmtId="165" fontId="56" fillId="0" borderId="12" xfId="75" applyNumberFormat="1" applyFont="1" applyBorder="1"/>
    <xf numFmtId="164" fontId="56" fillId="0" borderId="88" xfId="59" applyNumberFormat="1" applyFont="1" applyFill="1" applyBorder="1"/>
    <xf numFmtId="164" fontId="56" fillId="0" borderId="0" xfId="59" applyNumberFormat="1" applyFont="1" applyFill="1" applyBorder="1" applyAlignment="1"/>
    <xf numFmtId="164" fontId="56" fillId="38" borderId="0" xfId="59" applyNumberFormat="1" applyFont="1" applyFill="1" applyBorder="1" applyAlignment="1">
      <alignment vertical="center"/>
    </xf>
    <xf numFmtId="164" fontId="56" fillId="0" borderId="90" xfId="59" applyNumberFormat="1" applyFont="1" applyBorder="1" applyAlignment="1">
      <alignment vertical="center"/>
    </xf>
    <xf numFmtId="1" fontId="56" fillId="30" borderId="105" xfId="59" applyNumberFormat="1" applyFont="1" applyFill="1" applyBorder="1" applyAlignment="1"/>
    <xf numFmtId="165" fontId="56" fillId="0" borderId="25" xfId="75" applyNumberFormat="1" applyFont="1" applyFill="1" applyBorder="1"/>
    <xf numFmtId="165" fontId="56" fillId="30" borderId="0" xfId="75" applyNumberFormat="1" applyFont="1" applyFill="1" applyBorder="1" applyAlignment="1">
      <alignment vertical="center"/>
    </xf>
    <xf numFmtId="165" fontId="56" fillId="0" borderId="38" xfId="75" applyNumberFormat="1" applyFont="1" applyBorder="1" applyAlignment="1">
      <alignment vertical="center"/>
    </xf>
    <xf numFmtId="164" fontId="56" fillId="37" borderId="0" xfId="59" applyNumberFormat="1" applyFont="1" applyFill="1"/>
    <xf numFmtId="2" fontId="56" fillId="37" borderId="0" xfId="59" applyNumberFormat="1" applyFont="1" applyFill="1"/>
    <xf numFmtId="2" fontId="56" fillId="0" borderId="90" xfId="59" applyNumberFormat="1" applyFont="1" applyBorder="1"/>
    <xf numFmtId="1" fontId="56" fillId="30" borderId="48" xfId="59" applyNumberFormat="1" applyFont="1" applyFill="1" applyBorder="1" applyAlignment="1"/>
    <xf numFmtId="164" fontId="56" fillId="30" borderId="0" xfId="75" applyNumberFormat="1" applyFont="1" applyFill="1" applyBorder="1" applyAlignment="1"/>
    <xf numFmtId="164" fontId="56" fillId="0" borderId="38" xfId="75" applyNumberFormat="1" applyFont="1" applyBorder="1" applyAlignment="1"/>
    <xf numFmtId="0" fontId="50" fillId="0" borderId="0" xfId="59" applyFont="1" applyAlignment="1">
      <alignment horizontal="right" vertical="top"/>
    </xf>
    <xf numFmtId="164" fontId="56" fillId="37" borderId="84" xfId="59" applyNumberFormat="1" applyFont="1" applyFill="1" applyBorder="1" applyAlignment="1"/>
    <xf numFmtId="164" fontId="68" fillId="36" borderId="0" xfId="59" applyNumberFormat="1" applyFont="1" applyFill="1" applyBorder="1" applyAlignment="1">
      <alignment horizontal="right"/>
    </xf>
    <xf numFmtId="2" fontId="56" fillId="0" borderId="0" xfId="59" applyNumberFormat="1" applyFont="1" applyBorder="1" applyAlignment="1"/>
    <xf numFmtId="164" fontId="56" fillId="0" borderId="90" xfId="59" applyNumberFormat="1" applyFont="1" applyBorder="1" applyAlignment="1"/>
    <xf numFmtId="165" fontId="56" fillId="0" borderId="25" xfId="75" applyNumberFormat="1" applyFont="1" applyBorder="1" applyAlignment="1"/>
    <xf numFmtId="165" fontId="56" fillId="30" borderId="0" xfId="75" applyNumberFormat="1" applyFont="1" applyFill="1" applyBorder="1" applyAlignment="1"/>
    <xf numFmtId="165" fontId="56" fillId="0" borderId="38" xfId="75" applyNumberFormat="1" applyFont="1" applyBorder="1" applyAlignment="1"/>
    <xf numFmtId="165" fontId="56" fillId="0" borderId="48" xfId="75" applyNumberFormat="1" applyFont="1" applyBorder="1" applyAlignment="1"/>
    <xf numFmtId="164" fontId="107" fillId="32" borderId="0" xfId="59" applyNumberFormat="1" applyFont="1" applyFill="1" applyBorder="1" applyAlignment="1">
      <alignment horizontal="right"/>
    </xf>
    <xf numFmtId="164" fontId="107" fillId="32" borderId="79" xfId="59" applyNumberFormat="1" applyFont="1" applyFill="1" applyBorder="1" applyAlignment="1">
      <alignment horizontal="right"/>
    </xf>
    <xf numFmtId="164" fontId="50" fillId="32" borderId="0" xfId="59" applyNumberFormat="1" applyFont="1" applyFill="1" applyBorder="1" applyAlignment="1">
      <alignment horizontal="right"/>
    </xf>
    <xf numFmtId="164" fontId="50" fillId="38" borderId="76" xfId="59" applyNumberFormat="1" applyFont="1" applyFill="1" applyBorder="1" applyAlignment="1">
      <alignment horizontal="right"/>
    </xf>
    <xf numFmtId="164" fontId="50" fillId="32" borderId="0" xfId="59" applyNumberFormat="1" applyFont="1" applyFill="1" applyBorder="1"/>
    <xf numFmtId="164" fontId="50" fillId="38" borderId="76" xfId="59" applyNumberFormat="1" applyFont="1" applyFill="1" applyBorder="1"/>
    <xf numFmtId="164" fontId="107" fillId="38" borderId="76" xfId="59" applyNumberFormat="1" applyFont="1" applyFill="1" applyBorder="1" applyAlignment="1">
      <alignment horizontal="right"/>
    </xf>
    <xf numFmtId="164" fontId="50" fillId="32" borderId="80" xfId="59" applyNumberFormat="1" applyFont="1" applyFill="1" applyBorder="1"/>
    <xf numFmtId="164" fontId="50" fillId="38" borderId="114" xfId="59" applyNumberFormat="1" applyFont="1" applyFill="1" applyBorder="1"/>
    <xf numFmtId="2" fontId="56" fillId="30" borderId="0" xfId="59" applyNumberFormat="1" applyFont="1" applyFill="1" applyBorder="1" applyAlignment="1"/>
    <xf numFmtId="164" fontId="56" fillId="0" borderId="0" xfId="59" applyNumberFormat="1" applyFont="1" applyAlignment="1"/>
    <xf numFmtId="1" fontId="56" fillId="30" borderId="25" xfId="59" applyNumberFormat="1" applyFont="1" applyFill="1" applyBorder="1" applyAlignment="1"/>
    <xf numFmtId="164" fontId="56" fillId="0" borderId="25" xfId="59" applyNumberFormat="1" applyFont="1" applyBorder="1" applyAlignment="1">
      <alignment vertical="center"/>
    </xf>
    <xf numFmtId="2" fontId="56" fillId="51" borderId="143" xfId="75" applyNumberFormat="1" applyFont="1" applyFill="1" applyBorder="1" applyAlignment="1"/>
    <xf numFmtId="165" fontId="56" fillId="30" borderId="38" xfId="75" applyNumberFormat="1" applyFont="1" applyFill="1" applyBorder="1" applyAlignment="1"/>
    <xf numFmtId="164" fontId="56" fillId="38" borderId="0" xfId="59" applyNumberFormat="1" applyFont="1" applyFill="1" applyBorder="1" applyAlignment="1"/>
    <xf numFmtId="10" fontId="56" fillId="0" borderId="25" xfId="75" applyNumberFormat="1" applyFont="1" applyBorder="1" applyAlignment="1"/>
    <xf numFmtId="10" fontId="56" fillId="0" borderId="0" xfId="75" applyNumberFormat="1" applyFont="1" applyBorder="1" applyAlignment="1"/>
    <xf numFmtId="10" fontId="56" fillId="0" borderId="38" xfId="75" applyNumberFormat="1" applyFont="1" applyBorder="1" applyAlignment="1"/>
    <xf numFmtId="10" fontId="56" fillId="30" borderId="0" xfId="75" applyNumberFormat="1" applyFont="1" applyFill="1" applyBorder="1" applyAlignment="1"/>
    <xf numFmtId="164" fontId="56" fillId="0" borderId="0" xfId="59" applyNumberFormat="1" applyFont="1" applyBorder="1" applyAlignment="1"/>
    <xf numFmtId="164" fontId="50" fillId="0" borderId="90" xfId="59" applyNumberFormat="1" applyFont="1" applyBorder="1" applyAlignment="1"/>
    <xf numFmtId="164" fontId="56" fillId="0" borderId="84" xfId="59" applyNumberFormat="1" applyFont="1" applyBorder="1" applyAlignment="1"/>
    <xf numFmtId="164" fontId="56" fillId="0" borderId="88" xfId="59" applyNumberFormat="1" applyFont="1" applyBorder="1" applyAlignment="1"/>
    <xf numFmtId="164" fontId="50" fillId="0" borderId="0" xfId="59" applyNumberFormat="1" applyFont="1" applyFill="1" applyBorder="1" applyAlignment="1"/>
    <xf numFmtId="166" fontId="56" fillId="0" borderId="0" xfId="59" applyNumberFormat="1" applyFont="1" applyAlignment="1"/>
    <xf numFmtId="165" fontId="56" fillId="0" borderId="0" xfId="75" applyNumberFormat="1" applyFont="1" applyAlignment="1"/>
    <xf numFmtId="164" fontId="50" fillId="38" borderId="0" xfId="59" applyNumberFormat="1" applyFont="1" applyFill="1" applyBorder="1" applyAlignment="1"/>
    <xf numFmtId="10" fontId="56" fillId="30" borderId="48" xfId="75" applyNumberFormat="1" applyFont="1" applyFill="1" applyBorder="1" applyAlignment="1">
      <alignment horizontal="right"/>
    </xf>
    <xf numFmtId="10" fontId="56" fillId="30" borderId="0" xfId="75" applyNumberFormat="1" applyFont="1" applyFill="1" applyBorder="1" applyAlignment="1">
      <alignment horizontal="right"/>
    </xf>
    <xf numFmtId="164" fontId="56" fillId="32" borderId="84" xfId="59" applyNumberFormat="1" applyFont="1" applyFill="1" applyBorder="1" applyAlignment="1"/>
    <xf numFmtId="2" fontId="56" fillId="0" borderId="0" xfId="59" applyNumberFormat="1" applyFont="1" applyAlignment="1"/>
    <xf numFmtId="2" fontId="56" fillId="37" borderId="0" xfId="59" applyNumberFormat="1" applyFont="1" applyFill="1" applyBorder="1" applyAlignment="1"/>
    <xf numFmtId="0" fontId="50" fillId="0" borderId="0" xfId="59" quotePrefix="1" applyFont="1" applyAlignment="1"/>
    <xf numFmtId="164" fontId="50" fillId="0" borderId="25" xfId="59" applyNumberFormat="1" applyFont="1" applyFill="1" applyBorder="1" applyAlignment="1"/>
    <xf numFmtId="2" fontId="56" fillId="0" borderId="25" xfId="59" applyNumberFormat="1" applyFont="1" applyFill="1" applyBorder="1" applyAlignment="1"/>
    <xf numFmtId="2" fontId="56" fillId="0" borderId="0" xfId="59" applyNumberFormat="1" applyFont="1" applyFill="1" applyBorder="1" applyAlignment="1"/>
    <xf numFmtId="164" fontId="50" fillId="0" borderId="38" xfId="59" applyNumberFormat="1" applyFont="1" applyFill="1" applyBorder="1" applyAlignment="1"/>
    <xf numFmtId="2" fontId="56" fillId="0" borderId="38" xfId="59" applyNumberFormat="1" applyFont="1" applyFill="1" applyBorder="1" applyAlignment="1"/>
    <xf numFmtId="165" fontId="50" fillId="0" borderId="25" xfId="75" applyNumberFormat="1" applyFont="1" applyBorder="1" applyAlignment="1"/>
    <xf numFmtId="165" fontId="50" fillId="0" borderId="0" xfId="75" applyNumberFormat="1" applyFont="1" applyBorder="1" applyAlignment="1"/>
    <xf numFmtId="165" fontId="50" fillId="0" borderId="38" xfId="75" applyNumberFormat="1" applyFont="1" applyBorder="1" applyAlignment="1"/>
    <xf numFmtId="165" fontId="50" fillId="30" borderId="0" xfId="75" applyNumberFormat="1" applyFont="1" applyFill="1" applyBorder="1" applyAlignment="1"/>
    <xf numFmtId="164" fontId="50" fillId="30" borderId="0" xfId="59" applyNumberFormat="1" applyFont="1" applyFill="1" applyBorder="1" applyAlignment="1"/>
    <xf numFmtId="165" fontId="50" fillId="0" borderId="0" xfId="75" applyNumberFormat="1" applyFont="1" applyFill="1" applyBorder="1" applyAlignment="1"/>
    <xf numFmtId="165" fontId="50" fillId="30" borderId="38" xfId="75" applyNumberFormat="1" applyFont="1" applyFill="1" applyBorder="1" applyAlignment="1"/>
    <xf numFmtId="0" fontId="50" fillId="0" borderId="0" xfId="59" applyFont="1" applyAlignment="1"/>
    <xf numFmtId="164" fontId="134" fillId="36" borderId="0" xfId="59" applyNumberFormat="1" applyFont="1" applyFill="1" applyAlignment="1"/>
    <xf numFmtId="2" fontId="134" fillId="38" borderId="0" xfId="59" applyNumberFormat="1" applyFont="1" applyFill="1" applyAlignment="1"/>
    <xf numFmtId="164" fontId="68" fillId="38" borderId="0" xfId="59" applyNumberFormat="1" applyFont="1" applyFill="1" applyBorder="1" applyAlignment="1"/>
    <xf numFmtId="10" fontId="50" fillId="30" borderId="0" xfId="75" applyNumberFormat="1" applyFont="1" applyFill="1" applyBorder="1" applyAlignment="1"/>
    <xf numFmtId="173" fontId="56" fillId="0" borderId="25" xfId="75" applyNumberFormat="1" applyFont="1" applyBorder="1" applyAlignment="1"/>
    <xf numFmtId="164" fontId="56" fillId="38" borderId="0" xfId="59" applyNumberFormat="1" applyFont="1" applyFill="1" applyAlignment="1"/>
    <xf numFmtId="165" fontId="56" fillId="51" borderId="143" xfId="75" applyNumberFormat="1" applyFont="1" applyFill="1" applyBorder="1" applyAlignment="1"/>
    <xf numFmtId="10" fontId="50" fillId="0" borderId="38" xfId="75" applyNumberFormat="1" applyFont="1" applyBorder="1" applyAlignment="1"/>
    <xf numFmtId="165" fontId="50" fillId="30" borderId="0" xfId="75" applyNumberFormat="1" applyFont="1" applyFill="1" applyAlignment="1">
      <alignment vertical="center"/>
    </xf>
    <xf numFmtId="164" fontId="56" fillId="32" borderId="0" xfId="59" applyNumberFormat="1" applyFont="1" applyFill="1" applyBorder="1" applyAlignment="1"/>
    <xf numFmtId="164" fontId="56" fillId="0" borderId="79" xfId="59" applyNumberFormat="1" applyFont="1" applyFill="1" applyBorder="1" applyAlignment="1"/>
    <xf numFmtId="165" fontId="56" fillId="0" borderId="0" xfId="59" applyNumberFormat="1" applyFont="1" applyAlignment="1"/>
    <xf numFmtId="165" fontId="56" fillId="30" borderId="84" xfId="75" applyNumberFormat="1" applyFont="1" applyFill="1" applyBorder="1" applyAlignment="1"/>
    <xf numFmtId="2" fontId="56" fillId="28" borderId="49" xfId="59" applyNumberFormat="1" applyFont="1" applyFill="1" applyBorder="1" applyAlignment="1">
      <alignment horizontal="center" vertical="center"/>
    </xf>
    <xf numFmtId="166" fontId="44" fillId="0" borderId="0" xfId="59" applyNumberFormat="1" applyFont="1" applyAlignment="1"/>
    <xf numFmtId="164" fontId="50" fillId="0" borderId="27" xfId="59" applyNumberFormat="1" applyFont="1" applyFill="1" applyBorder="1" applyProtection="1"/>
    <xf numFmtId="164" fontId="50" fillId="0" borderId="25" xfId="59" applyNumberFormat="1" applyFont="1" applyFill="1" applyBorder="1" applyProtection="1"/>
    <xf numFmtId="164" fontId="50" fillId="0" borderId="34" xfId="59" applyNumberFormat="1" applyFont="1" applyFill="1" applyBorder="1" applyProtection="1"/>
    <xf numFmtId="164" fontId="50" fillId="0" borderId="4" xfId="59" applyNumberFormat="1" applyFont="1" applyFill="1" applyBorder="1" applyProtection="1"/>
    <xf numFmtId="0" fontId="59" fillId="0" borderId="41" xfId="59" applyFont="1" applyFill="1" applyBorder="1" applyProtection="1"/>
    <xf numFmtId="0" fontId="59" fillId="0" borderId="11" xfId="59" applyFont="1" applyFill="1" applyBorder="1" applyProtection="1"/>
    <xf numFmtId="0" fontId="50" fillId="0" borderId="45" xfId="59" applyFont="1" applyFill="1" applyBorder="1" applyAlignment="1" applyProtection="1">
      <alignment horizontal="right"/>
    </xf>
    <xf numFmtId="0" fontId="44" fillId="0" borderId="25" xfId="59" applyFont="1" applyFill="1" applyBorder="1" applyProtection="1"/>
    <xf numFmtId="0" fontId="44" fillId="0" borderId="28" xfId="59" applyFont="1" applyFill="1" applyBorder="1" applyProtection="1"/>
    <xf numFmtId="166" fontId="50" fillId="0" borderId="0" xfId="59" applyNumberFormat="1" applyFont="1" applyFill="1" applyBorder="1" applyProtection="1"/>
    <xf numFmtId="0" fontId="44" fillId="0" borderId="29" xfId="59" applyFont="1" applyFill="1" applyBorder="1"/>
    <xf numFmtId="14" fontId="52" fillId="0" borderId="29" xfId="59" applyNumberFormat="1" applyFont="1" applyFill="1" applyBorder="1" applyAlignment="1" applyProtection="1">
      <alignment horizontal="center"/>
    </xf>
    <xf numFmtId="0" fontId="48" fillId="0" borderId="39" xfId="59" applyFont="1" applyFill="1" applyBorder="1" applyAlignment="1" applyProtection="1">
      <alignment horizontal="center"/>
    </xf>
    <xf numFmtId="0" fontId="50" fillId="0" borderId="33" xfId="59" applyFont="1" applyFill="1" applyBorder="1" applyAlignment="1" applyProtection="1">
      <alignment horizontal="center"/>
    </xf>
    <xf numFmtId="164" fontId="44" fillId="0" borderId="38" xfId="59" applyNumberFormat="1" applyFont="1" applyFill="1" applyBorder="1"/>
    <xf numFmtId="0" fontId="56" fillId="0" borderId="38" xfId="59" applyFont="1" applyFill="1" applyBorder="1" applyAlignment="1" applyProtection="1">
      <alignment horizontal="right"/>
    </xf>
    <xf numFmtId="164" fontId="50" fillId="0" borderId="33" xfId="59" quotePrefix="1" applyNumberFormat="1" applyFont="1" applyFill="1" applyBorder="1" applyAlignment="1" applyProtection="1">
      <alignment horizontal="right"/>
    </xf>
    <xf numFmtId="164" fontId="50" fillId="0" borderId="34" xfId="59" quotePrefix="1" applyNumberFormat="1" applyFont="1" applyFill="1" applyBorder="1" applyAlignment="1" applyProtection="1">
      <alignment horizontal="right"/>
    </xf>
    <xf numFmtId="0" fontId="56" fillId="0" borderId="65" xfId="59" quotePrefix="1" applyFont="1" applyFill="1" applyBorder="1" applyAlignment="1" applyProtection="1">
      <alignment horizontal="left"/>
    </xf>
    <xf numFmtId="0" fontId="56" fillId="0" borderId="66" xfId="59" applyFont="1" applyFill="1" applyBorder="1" applyAlignment="1" applyProtection="1">
      <alignment horizontal="center"/>
    </xf>
    <xf numFmtId="164" fontId="56" fillId="0" borderId="66" xfId="59" applyNumberFormat="1" applyFont="1" applyFill="1" applyBorder="1" applyProtection="1"/>
    <xf numFmtId="166" fontId="50" fillId="0" borderId="65" xfId="59" applyNumberFormat="1" applyFont="1" applyFill="1" applyBorder="1" applyProtection="1"/>
    <xf numFmtId="164" fontId="56" fillId="0" borderId="66" xfId="59" quotePrefix="1" applyNumberFormat="1" applyFont="1" applyFill="1" applyBorder="1" applyAlignment="1" applyProtection="1">
      <alignment horizontal="right"/>
    </xf>
    <xf numFmtId="164" fontId="56" fillId="0" borderId="135" xfId="59" quotePrefix="1" applyNumberFormat="1" applyFont="1" applyFill="1" applyBorder="1" applyAlignment="1" applyProtection="1">
      <alignment horizontal="right"/>
    </xf>
    <xf numFmtId="164" fontId="0" fillId="0" borderId="33" xfId="59" applyNumberFormat="1" applyFont="1" applyFill="1" applyBorder="1"/>
    <xf numFmtId="164" fontId="0" fillId="0" borderId="34" xfId="59" applyNumberFormat="1" applyFont="1" applyFill="1" applyBorder="1"/>
    <xf numFmtId="164" fontId="56" fillId="0" borderId="39" xfId="59" quotePrefix="1" applyNumberFormat="1" applyFont="1" applyFill="1" applyBorder="1" applyAlignment="1" applyProtection="1">
      <alignment horizontal="right"/>
    </xf>
    <xf numFmtId="164" fontId="56" fillId="0" borderId="40" xfId="59" quotePrefix="1" applyNumberFormat="1" applyFont="1" applyFill="1" applyBorder="1" applyAlignment="1" applyProtection="1">
      <alignment horizontal="right"/>
    </xf>
    <xf numFmtId="164" fontId="50" fillId="0" borderId="53" xfId="59" applyNumberFormat="1" applyFont="1" applyFill="1" applyBorder="1" applyProtection="1"/>
    <xf numFmtId="164" fontId="50" fillId="0" borderId="136" xfId="59" applyNumberFormat="1" applyFont="1" applyFill="1" applyBorder="1" applyProtection="1"/>
    <xf numFmtId="164" fontId="50" fillId="0" borderId="138" xfId="59" applyNumberFormat="1" applyFont="1" applyFill="1" applyBorder="1" applyProtection="1"/>
    <xf numFmtId="0" fontId="0" fillId="29" borderId="27" xfId="59" applyFont="1" applyFill="1" applyBorder="1"/>
    <xf numFmtId="0" fontId="56" fillId="29" borderId="25" xfId="59" applyFont="1" applyFill="1" applyBorder="1" applyProtection="1"/>
    <xf numFmtId="0" fontId="50" fillId="29" borderId="25" xfId="59" applyFont="1" applyFill="1" applyBorder="1" applyProtection="1"/>
    <xf numFmtId="15" fontId="56" fillId="29" borderId="25" xfId="59" applyNumberFormat="1" applyFont="1" applyFill="1" applyBorder="1" applyAlignment="1" applyProtection="1">
      <alignment horizontal="left"/>
    </xf>
    <xf numFmtId="0" fontId="56" fillId="29" borderId="28" xfId="59" applyFont="1" applyFill="1" applyBorder="1" applyProtection="1"/>
    <xf numFmtId="0" fontId="57" fillId="29" borderId="29" xfId="59" applyFont="1" applyFill="1" applyBorder="1" applyAlignment="1" applyProtection="1">
      <alignment horizontal="center"/>
    </xf>
    <xf numFmtId="0" fontId="56" fillId="29" borderId="0" xfId="59" applyFont="1" applyFill="1" applyBorder="1" applyAlignment="1" applyProtection="1">
      <alignment horizontal="center"/>
    </xf>
    <xf numFmtId="0" fontId="56" fillId="29" borderId="29" xfId="59" applyFont="1" applyFill="1" applyBorder="1" applyAlignment="1" applyProtection="1">
      <alignment horizontal="center"/>
    </xf>
    <xf numFmtId="0" fontId="50" fillId="29" borderId="0" xfId="59" quotePrefix="1" applyFont="1" applyFill="1" applyBorder="1" applyAlignment="1" applyProtection="1">
      <alignment horizontal="left"/>
    </xf>
    <xf numFmtId="0" fontId="56" fillId="29" borderId="0" xfId="59" applyFont="1" applyFill="1" applyBorder="1" applyAlignment="1" applyProtection="1">
      <alignment horizontal="left"/>
    </xf>
    <xf numFmtId="0" fontId="50" fillId="29" borderId="0" xfId="59" applyFont="1" applyFill="1" applyBorder="1" applyProtection="1"/>
    <xf numFmtId="3" fontId="50" fillId="29" borderId="29" xfId="59" applyNumberFormat="1" applyFont="1" applyFill="1" applyBorder="1" applyProtection="1"/>
    <xf numFmtId="0" fontId="56" fillId="29" borderId="0" xfId="59" applyFont="1" applyFill="1" applyBorder="1" applyProtection="1"/>
    <xf numFmtId="3" fontId="50" fillId="29" borderId="0" xfId="59" applyNumberFormat="1" applyFont="1" applyFill="1" applyBorder="1" applyProtection="1"/>
    <xf numFmtId="0" fontId="50" fillId="29" borderId="0" xfId="59" applyFont="1" applyFill="1" applyBorder="1" applyAlignment="1" applyProtection="1">
      <alignment horizontal="left"/>
    </xf>
    <xf numFmtId="15" fontId="58" fillId="29" borderId="29" xfId="59" applyNumberFormat="1" applyFont="1" applyFill="1" applyBorder="1" applyAlignment="1" applyProtection="1">
      <alignment horizontal="left"/>
    </xf>
    <xf numFmtId="0" fontId="50" fillId="29" borderId="15" xfId="59" applyFont="1" applyFill="1" applyBorder="1" applyProtection="1"/>
    <xf numFmtId="0" fontId="50" fillId="29" borderId="14" xfId="59" applyFont="1" applyFill="1" applyBorder="1" applyProtection="1"/>
    <xf numFmtId="1" fontId="56" fillId="29" borderId="30" xfId="59" applyNumberFormat="1" applyFont="1" applyFill="1" applyBorder="1" applyAlignment="1" applyProtection="1">
      <alignment horizontal="center"/>
    </xf>
    <xf numFmtId="1" fontId="56" fillId="29" borderId="31" xfId="59" applyNumberFormat="1" applyFont="1" applyFill="1" applyBorder="1" applyAlignment="1" applyProtection="1">
      <alignment horizontal="center"/>
    </xf>
    <xf numFmtId="1" fontId="56" fillId="29" borderId="16" xfId="59" applyNumberFormat="1" applyFont="1" applyFill="1" applyBorder="1" applyAlignment="1" applyProtection="1">
      <alignment horizontal="center"/>
    </xf>
    <xf numFmtId="1" fontId="56" fillId="29" borderId="29" xfId="59" applyNumberFormat="1" applyFont="1" applyFill="1" applyBorder="1" applyProtection="1"/>
    <xf numFmtId="0" fontId="56" fillId="29" borderId="29" xfId="59" applyFont="1" applyFill="1" applyBorder="1" applyAlignment="1" applyProtection="1">
      <alignment horizontal="centerContinuous"/>
    </xf>
    <xf numFmtId="0" fontId="59" fillId="29" borderId="32" xfId="59" applyFont="1" applyFill="1" applyBorder="1" applyProtection="1"/>
    <xf numFmtId="164" fontId="50" fillId="29" borderId="33" xfId="59" applyNumberFormat="1" applyFont="1" applyFill="1" applyBorder="1" applyAlignment="1" applyProtection="1">
      <alignment horizontal="right"/>
    </xf>
    <xf numFmtId="164" fontId="50" fillId="29" borderId="25" xfId="59" applyNumberFormat="1" applyFont="1" applyFill="1" applyBorder="1" applyAlignment="1" applyProtection="1">
      <alignment horizontal="right"/>
    </xf>
    <xf numFmtId="164" fontId="50" fillId="29" borderId="34" xfId="59" applyNumberFormat="1" applyFont="1" applyFill="1" applyBorder="1" applyAlignment="1" applyProtection="1">
      <alignment horizontal="right"/>
    </xf>
    <xf numFmtId="0" fontId="50" fillId="29" borderId="29" xfId="59" applyFont="1" applyFill="1" applyBorder="1" applyAlignment="1" applyProtection="1">
      <alignment horizontal="right"/>
    </xf>
    <xf numFmtId="0" fontId="0" fillId="29" borderId="35" xfId="59" applyFont="1" applyFill="1" applyBorder="1"/>
    <xf numFmtId="0" fontId="0" fillId="29" borderId="36" xfId="59" applyFont="1" applyFill="1" applyBorder="1"/>
    <xf numFmtId="0" fontId="50" fillId="29" borderId="26" xfId="59" applyFont="1" applyFill="1" applyBorder="1" applyAlignment="1" applyProtection="1"/>
    <xf numFmtId="0" fontId="56" fillId="29" borderId="29" xfId="59" applyFont="1" applyFill="1" applyBorder="1" applyAlignment="1" applyProtection="1">
      <alignment horizontal="right"/>
    </xf>
    <xf numFmtId="0" fontId="59" fillId="29" borderId="26" xfId="59" applyFont="1" applyFill="1" applyBorder="1" applyProtection="1"/>
    <xf numFmtId="164" fontId="44" fillId="29" borderId="35" xfId="59" applyNumberFormat="1" applyFont="1" applyFill="1" applyBorder="1"/>
    <xf numFmtId="164" fontId="44" fillId="29" borderId="36" xfId="59" applyNumberFormat="1" applyFont="1" applyFill="1" applyBorder="1"/>
    <xf numFmtId="164" fontId="50" fillId="29" borderId="35" xfId="59" applyNumberFormat="1" applyFont="1" applyFill="1" applyBorder="1" applyAlignment="1" applyProtection="1">
      <alignment horizontal="right"/>
    </xf>
    <xf numFmtId="164" fontId="50" fillId="29" borderId="0" xfId="59" applyNumberFormat="1" applyFont="1" applyFill="1" applyBorder="1" applyAlignment="1" applyProtection="1">
      <alignment horizontal="right"/>
    </xf>
    <xf numFmtId="164" fontId="50" fillId="29" borderId="36" xfId="59" applyNumberFormat="1" applyFont="1" applyFill="1" applyBorder="1" applyAlignment="1" applyProtection="1">
      <alignment horizontal="right"/>
    </xf>
    <xf numFmtId="0" fontId="50" fillId="29" borderId="37" xfId="59" applyFont="1" applyFill="1" applyBorder="1" applyProtection="1"/>
    <xf numFmtId="0" fontId="50" fillId="29" borderId="38" xfId="59" applyFont="1" applyFill="1" applyBorder="1" applyProtection="1"/>
    <xf numFmtId="164" fontId="50" fillId="29" borderId="39" xfId="59" applyNumberFormat="1" applyFont="1" applyFill="1" applyBorder="1" applyAlignment="1" applyProtection="1">
      <alignment horizontal="right"/>
    </xf>
    <xf numFmtId="164" fontId="50" fillId="29" borderId="38" xfId="59" applyNumberFormat="1" applyFont="1" applyFill="1" applyBorder="1" applyAlignment="1" applyProtection="1">
      <alignment horizontal="right"/>
    </xf>
    <xf numFmtId="164" fontId="50" fillId="29" borderId="40" xfId="59" applyNumberFormat="1" applyFont="1" applyFill="1" applyBorder="1" applyAlignment="1" applyProtection="1">
      <alignment horizontal="right"/>
    </xf>
    <xf numFmtId="0" fontId="50" fillId="29" borderId="32" xfId="59" applyFont="1" applyFill="1" applyBorder="1" applyProtection="1"/>
    <xf numFmtId="0" fontId="47" fillId="29" borderId="26" xfId="59" applyFont="1" applyFill="1" applyBorder="1" applyProtection="1"/>
    <xf numFmtId="0" fontId="130" fillId="29" borderId="0" xfId="59" applyFont="1" applyFill="1" applyBorder="1" applyProtection="1"/>
    <xf numFmtId="164" fontId="47" fillId="29" borderId="35" xfId="59" applyNumberFormat="1" applyFont="1" applyFill="1" applyBorder="1" applyAlignment="1" applyProtection="1">
      <alignment horizontal="right"/>
    </xf>
    <xf numFmtId="164" fontId="47" fillId="29" borderId="0" xfId="59" applyNumberFormat="1" applyFont="1" applyFill="1" applyBorder="1" applyAlignment="1" applyProtection="1">
      <alignment horizontal="right"/>
    </xf>
    <xf numFmtId="164" fontId="47" fillId="29" borderId="36" xfId="59" applyNumberFormat="1" applyFont="1" applyFill="1" applyBorder="1" applyAlignment="1" applyProtection="1">
      <alignment horizontal="right"/>
    </xf>
    <xf numFmtId="0" fontId="59" fillId="29" borderId="29" xfId="59" applyFont="1" applyFill="1" applyBorder="1" applyAlignment="1" applyProtection="1">
      <alignment horizontal="right"/>
    </xf>
    <xf numFmtId="164" fontId="44" fillId="29" borderId="0" xfId="59" applyNumberFormat="1" applyFont="1" applyFill="1" applyBorder="1" applyAlignment="1" applyProtection="1">
      <alignment horizontal="right"/>
    </xf>
    <xf numFmtId="0" fontId="59" fillId="29" borderId="0" xfId="59" applyFont="1" applyFill="1" applyBorder="1" applyProtection="1"/>
    <xf numFmtId="164" fontId="50" fillId="29" borderId="4" xfId="59" applyNumberFormat="1" applyFont="1" applyFill="1" applyBorder="1" applyAlignment="1" applyProtection="1">
      <alignment horizontal="right"/>
    </xf>
    <xf numFmtId="164" fontId="50" fillId="29" borderId="29" xfId="59" applyNumberFormat="1" applyFont="1" applyFill="1" applyBorder="1" applyAlignment="1" applyProtection="1">
      <alignment horizontal="right"/>
    </xf>
    <xf numFmtId="0" fontId="50" fillId="29" borderId="41" xfId="59" applyFont="1" applyFill="1" applyBorder="1" applyProtection="1"/>
    <xf numFmtId="0" fontId="52" fillId="29" borderId="11" xfId="59" applyFont="1" applyFill="1" applyBorder="1" applyProtection="1"/>
    <xf numFmtId="164" fontId="50" fillId="29" borderId="42" xfId="59" applyNumberFormat="1" applyFont="1" applyFill="1" applyBorder="1" applyAlignment="1" applyProtection="1">
      <alignment horizontal="right"/>
    </xf>
    <xf numFmtId="164" fontId="50" fillId="29" borderId="43" xfId="59" applyNumberFormat="1" applyFont="1" applyFill="1" applyBorder="1" applyAlignment="1" applyProtection="1">
      <alignment horizontal="right"/>
    </xf>
    <xf numFmtId="0" fontId="44" fillId="29" borderId="38" xfId="59" applyFont="1" applyFill="1" applyBorder="1"/>
    <xf numFmtId="0" fontId="56" fillId="29" borderId="38" xfId="59" applyFont="1" applyFill="1" applyBorder="1" applyAlignment="1" applyProtection="1">
      <alignment horizontal="right"/>
    </xf>
    <xf numFmtId="0" fontId="50" fillId="29" borderId="29" xfId="59" applyNumberFormat="1" applyFont="1" applyFill="1" applyBorder="1" applyAlignment="1" applyProtection="1">
      <alignment horizontal="centerContinuous"/>
    </xf>
    <xf numFmtId="0" fontId="50" fillId="29" borderId="29" xfId="59" applyNumberFormat="1" applyFont="1" applyFill="1" applyBorder="1" applyProtection="1"/>
    <xf numFmtId="0" fontId="58" fillId="29" borderId="29" xfId="59" applyFont="1" applyFill="1" applyBorder="1" applyProtection="1"/>
    <xf numFmtId="0" fontId="56" fillId="29" borderId="46" xfId="59" applyFont="1" applyFill="1" applyBorder="1" applyAlignment="1" applyProtection="1">
      <alignment horizontal="center"/>
    </xf>
    <xf numFmtId="1" fontId="56" fillId="29" borderId="52" xfId="59" applyNumberFormat="1" applyFont="1" applyFill="1" applyBorder="1" applyAlignment="1" applyProtection="1">
      <alignment horizontal="center"/>
    </xf>
    <xf numFmtId="0" fontId="56" fillId="29" borderId="35" xfId="59" applyFont="1" applyFill="1" applyBorder="1" applyAlignment="1" applyProtection="1">
      <alignment horizontal="center"/>
    </xf>
    <xf numFmtId="0" fontId="47" fillId="29" borderId="32" xfId="59" applyFont="1" applyFill="1" applyBorder="1" applyProtection="1"/>
    <xf numFmtId="0" fontId="47" fillId="29" borderId="25" xfId="59" applyFont="1" applyFill="1" applyBorder="1" applyProtection="1"/>
    <xf numFmtId="0" fontId="131" fillId="29" borderId="33" xfId="59" applyFont="1" applyFill="1" applyBorder="1" applyAlignment="1" applyProtection="1">
      <alignment horizontal="center"/>
    </xf>
    <xf numFmtId="164" fontId="47" fillId="29" borderId="27" xfId="59" applyNumberFormat="1" applyFont="1" applyFill="1" applyBorder="1" applyAlignment="1" applyProtection="1">
      <alignment horizontal="right"/>
    </xf>
    <xf numFmtId="164" fontId="47" fillId="29" borderId="33" xfId="59" applyNumberFormat="1" applyFont="1" applyFill="1" applyBorder="1" applyAlignment="1" applyProtection="1">
      <alignment horizontal="right"/>
    </xf>
    <xf numFmtId="164" fontId="47" fillId="29" borderId="34" xfId="59" applyNumberFormat="1" applyFont="1" applyFill="1" applyBorder="1" applyAlignment="1" applyProtection="1">
      <alignment horizontal="right"/>
    </xf>
    <xf numFmtId="0" fontId="47" fillId="29" borderId="0" xfId="59" applyFont="1" applyFill="1" applyBorder="1" applyProtection="1"/>
    <xf numFmtId="0" fontId="131" fillId="29" borderId="35" xfId="59" applyFont="1" applyFill="1" applyBorder="1" applyAlignment="1" applyProtection="1">
      <alignment horizontal="center"/>
    </xf>
    <xf numFmtId="164" fontId="47" fillId="29" borderId="4" xfId="59" applyNumberFormat="1" applyFont="1" applyFill="1" applyBorder="1" applyAlignment="1" applyProtection="1">
      <alignment horizontal="right"/>
    </xf>
    <xf numFmtId="0" fontId="123" fillId="29" borderId="37" xfId="59" applyFont="1" applyFill="1" applyBorder="1" applyAlignment="1" applyProtection="1"/>
    <xf numFmtId="0" fontId="47" fillId="29" borderId="38" xfId="59" applyFont="1" applyFill="1" applyBorder="1" applyProtection="1"/>
    <xf numFmtId="0" fontId="131" fillId="29" borderId="39" xfId="59" applyFont="1" applyFill="1" applyBorder="1" applyAlignment="1" applyProtection="1">
      <alignment horizontal="center"/>
    </xf>
    <xf numFmtId="164" fontId="123" fillId="29" borderId="38" xfId="59" applyNumberFormat="1" applyFont="1" applyFill="1" applyBorder="1" applyAlignment="1" applyProtection="1">
      <alignment horizontal="right"/>
    </xf>
    <xf numFmtId="0" fontId="58" fillId="29" borderId="35" xfId="59" applyFont="1" applyFill="1" applyBorder="1" applyAlignment="1" applyProtection="1">
      <alignment horizontal="center"/>
    </xf>
    <xf numFmtId="0" fontId="130" fillId="29" borderId="26" xfId="59" applyFont="1" applyFill="1" applyBorder="1" applyProtection="1"/>
    <xf numFmtId="0" fontId="132" fillId="29" borderId="35" xfId="59" applyFont="1" applyFill="1" applyBorder="1" applyAlignment="1" applyProtection="1">
      <alignment horizontal="center"/>
    </xf>
    <xf numFmtId="0" fontId="123" fillId="29" borderId="47" xfId="59" applyFont="1" applyFill="1" applyBorder="1" applyAlignment="1" applyProtection="1">
      <alignment horizontal="left"/>
    </xf>
    <xf numFmtId="0" fontId="123" fillId="29" borderId="48" xfId="59" applyFont="1" applyFill="1" applyBorder="1" applyProtection="1"/>
    <xf numFmtId="0" fontId="133" fillId="29" borderId="49" xfId="59" applyFont="1" applyFill="1" applyBorder="1" applyAlignment="1" applyProtection="1">
      <alignment horizontal="center"/>
    </xf>
    <xf numFmtId="164" fontId="123" fillId="29" borderId="48" xfId="59" applyNumberFormat="1" applyFont="1" applyFill="1" applyBorder="1" applyAlignment="1" applyProtection="1">
      <alignment horizontal="right"/>
    </xf>
    <xf numFmtId="164" fontId="19" fillId="29" borderId="0" xfId="59" applyNumberFormat="1" applyFont="1" applyFill="1" applyBorder="1" applyAlignment="1" applyProtection="1">
      <alignment horizontal="center"/>
    </xf>
    <xf numFmtId="0" fontId="44" fillId="29" borderId="26" xfId="59" quotePrefix="1" applyFont="1" applyFill="1" applyBorder="1" applyAlignment="1" applyProtection="1">
      <alignment horizontal="left"/>
    </xf>
    <xf numFmtId="0" fontId="44" fillId="29" borderId="0" xfId="59" applyFont="1" applyFill="1" applyBorder="1" applyProtection="1"/>
    <xf numFmtId="0" fontId="19" fillId="29" borderId="35" xfId="59" applyFont="1" applyFill="1" applyBorder="1" applyAlignment="1" applyProtection="1">
      <alignment horizontal="center"/>
    </xf>
    <xf numFmtId="164" fontId="44" fillId="29" borderId="4" xfId="59" applyNumberFormat="1" applyFont="1" applyFill="1" applyBorder="1" applyAlignment="1" applyProtection="1">
      <alignment horizontal="right"/>
    </xf>
    <xf numFmtId="0" fontId="44" fillId="29" borderId="41" xfId="59" quotePrefix="1" applyFont="1" applyFill="1" applyBorder="1" applyAlignment="1" applyProtection="1">
      <alignment horizontal="left"/>
    </xf>
    <xf numFmtId="0" fontId="44" fillId="29" borderId="11" xfId="59" applyFont="1" applyFill="1" applyBorder="1" applyProtection="1"/>
    <xf numFmtId="0" fontId="19" fillId="29" borderId="50" xfId="59" applyFont="1" applyFill="1" applyBorder="1" applyAlignment="1" applyProtection="1">
      <alignment horizontal="center"/>
    </xf>
    <xf numFmtId="164" fontId="44" fillId="29" borderId="42" xfId="59" applyNumberFormat="1" applyFont="1" applyFill="1" applyBorder="1" applyAlignment="1" applyProtection="1">
      <alignment horizontal="right"/>
    </xf>
    <xf numFmtId="0" fontId="0" fillId="29" borderId="25" xfId="59" applyFont="1" applyFill="1" applyBorder="1"/>
    <xf numFmtId="0" fontId="0" fillId="29" borderId="28" xfId="59" applyFont="1" applyFill="1" applyBorder="1"/>
    <xf numFmtId="0" fontId="0" fillId="29" borderId="0" xfId="59" applyFont="1" applyFill="1" applyBorder="1"/>
    <xf numFmtId="1" fontId="56" fillId="29" borderId="144" xfId="59" applyNumberFormat="1" applyFont="1" applyFill="1" applyBorder="1" applyAlignment="1" applyProtection="1">
      <alignment horizontal="center"/>
    </xf>
    <xf numFmtId="1" fontId="56" fillId="29" borderId="29" xfId="59" applyNumberFormat="1" applyFont="1" applyFill="1" applyBorder="1" applyAlignment="1" applyProtection="1">
      <alignment horizontal="center"/>
    </xf>
    <xf numFmtId="1" fontId="56" fillId="29" borderId="49" xfId="59" applyNumberFormat="1" applyFont="1" applyFill="1" applyBorder="1" applyAlignment="1" applyProtection="1">
      <alignment horizontal="center"/>
    </xf>
    <xf numFmtId="1" fontId="56" fillId="29" borderId="51" xfId="59" applyNumberFormat="1" applyFont="1" applyFill="1" applyBorder="1" applyAlignment="1" applyProtection="1">
      <alignment horizontal="center"/>
    </xf>
    <xf numFmtId="164" fontId="50" fillId="29" borderId="33" xfId="59" applyNumberFormat="1" applyFont="1" applyFill="1" applyBorder="1" applyProtection="1"/>
    <xf numFmtId="164" fontId="50" fillId="29" borderId="34" xfId="59" applyNumberFormat="1" applyFont="1" applyFill="1" applyBorder="1" applyProtection="1"/>
    <xf numFmtId="0" fontId="50" fillId="29" borderId="29" xfId="59" applyFont="1" applyFill="1" applyBorder="1" applyProtection="1"/>
    <xf numFmtId="164" fontId="50" fillId="29" borderId="35" xfId="59" applyNumberFormat="1" applyFont="1" applyFill="1" applyBorder="1" applyProtection="1"/>
    <xf numFmtId="164" fontId="50" fillId="29" borderId="36" xfId="59" applyNumberFormat="1" applyFont="1" applyFill="1" applyBorder="1" applyProtection="1"/>
    <xf numFmtId="0" fontId="44" fillId="29" borderId="26" xfId="59" applyFont="1" applyFill="1" applyBorder="1" applyProtection="1"/>
    <xf numFmtId="0" fontId="48" fillId="29" borderId="37" xfId="59" applyFont="1" applyFill="1" applyBorder="1" applyAlignment="1" applyProtection="1">
      <alignment horizontal="left"/>
    </xf>
    <xf numFmtId="0" fontId="48" fillId="29" borderId="38" xfId="59" applyFont="1" applyFill="1" applyBorder="1" applyAlignment="1" applyProtection="1">
      <alignment horizontal="left"/>
    </xf>
    <xf numFmtId="164" fontId="56" fillId="29" borderId="39" xfId="59" applyNumberFormat="1" applyFont="1" applyFill="1" applyBorder="1" applyProtection="1"/>
    <xf numFmtId="164" fontId="56" fillId="29" borderId="40" xfId="59" applyNumberFormat="1" applyFont="1" applyFill="1" applyBorder="1" applyProtection="1"/>
    <xf numFmtId="0" fontId="56" fillId="29" borderId="29" xfId="59" applyFont="1" applyFill="1" applyBorder="1" applyProtection="1"/>
    <xf numFmtId="0" fontId="44" fillId="29" borderId="26" xfId="59" applyFont="1" applyFill="1" applyBorder="1" applyAlignment="1" applyProtection="1">
      <alignment horizontal="left"/>
    </xf>
    <xf numFmtId="0" fontId="44" fillId="29" borderId="0" xfId="59" applyFont="1" applyFill="1" applyBorder="1" applyAlignment="1" applyProtection="1">
      <alignment horizontal="left"/>
    </xf>
    <xf numFmtId="0" fontId="56" fillId="29" borderId="37" xfId="59" applyFont="1" applyFill="1" applyBorder="1" applyProtection="1"/>
    <xf numFmtId="0" fontId="56" fillId="29" borderId="38" xfId="59" applyFont="1" applyFill="1" applyBorder="1" applyProtection="1"/>
    <xf numFmtId="0" fontId="48" fillId="29" borderId="29" xfId="59" applyFont="1" applyFill="1" applyBorder="1" applyProtection="1"/>
    <xf numFmtId="0" fontId="56" fillId="29" borderId="37" xfId="59" applyFont="1" applyFill="1" applyBorder="1" applyAlignment="1" applyProtection="1">
      <alignment horizontal="left"/>
    </xf>
    <xf numFmtId="0" fontId="56" fillId="29" borderId="38" xfId="59" quotePrefix="1" applyFont="1" applyFill="1" applyBorder="1" applyAlignment="1" applyProtection="1">
      <alignment horizontal="left"/>
    </xf>
    <xf numFmtId="0" fontId="50" fillId="29" borderId="26" xfId="59" quotePrefix="1" applyFont="1" applyFill="1" applyBorder="1" applyAlignment="1" applyProtection="1">
      <alignment horizontal="left"/>
    </xf>
    <xf numFmtId="0" fontId="56" fillId="29" borderId="41" xfId="59" applyFont="1" applyFill="1" applyBorder="1" applyAlignment="1" applyProtection="1">
      <alignment horizontal="left"/>
    </xf>
    <xf numFmtId="0" fontId="56" fillId="29" borderId="11" xfId="59" quotePrefix="1" applyFont="1" applyFill="1" applyBorder="1" applyAlignment="1" applyProtection="1">
      <alignment horizontal="left"/>
    </xf>
    <xf numFmtId="0" fontId="50" fillId="29" borderId="15" xfId="59" quotePrefix="1" applyFont="1" applyFill="1" applyBorder="1" applyAlignment="1" applyProtection="1">
      <alignment horizontal="left"/>
    </xf>
    <xf numFmtId="0" fontId="50" fillId="29" borderId="31" xfId="59" quotePrefix="1" applyFont="1" applyFill="1" applyBorder="1" applyAlignment="1" applyProtection="1">
      <alignment horizontal="left"/>
    </xf>
    <xf numFmtId="0" fontId="50" fillId="29" borderId="41" xfId="59" applyFont="1" applyFill="1" applyBorder="1" applyAlignment="1" applyProtection="1">
      <alignment horizontal="left"/>
    </xf>
    <xf numFmtId="0" fontId="50" fillId="29" borderId="11" xfId="59" quotePrefix="1" applyFont="1" applyFill="1" applyBorder="1" applyAlignment="1" applyProtection="1">
      <alignment horizontal="left"/>
    </xf>
    <xf numFmtId="0" fontId="0" fillId="29" borderId="38" xfId="59" applyFont="1" applyFill="1" applyBorder="1"/>
    <xf numFmtId="0" fontId="56" fillId="29" borderId="45" xfId="59" applyFont="1" applyFill="1" applyBorder="1" applyAlignment="1" applyProtection="1">
      <alignment horizontal="right"/>
    </xf>
    <xf numFmtId="0" fontId="44" fillId="29" borderId="25" xfId="59" applyFont="1" applyFill="1" applyBorder="1"/>
    <xf numFmtId="0" fontId="56" fillId="29" borderId="0" xfId="59" quotePrefix="1" applyFont="1" applyFill="1" applyBorder="1" applyAlignment="1" applyProtection="1">
      <alignment horizontal="left"/>
    </xf>
    <xf numFmtId="0" fontId="44" fillId="29" borderId="0" xfId="59" applyFont="1" applyFill="1" applyBorder="1"/>
    <xf numFmtId="0" fontId="58" fillId="29" borderId="0" xfId="59" applyFont="1" applyFill="1" applyBorder="1" applyProtection="1"/>
    <xf numFmtId="3" fontId="50" fillId="29" borderId="15" xfId="59" applyNumberFormat="1" applyFont="1" applyFill="1" applyBorder="1" applyProtection="1"/>
    <xf numFmtId="3" fontId="50" fillId="29" borderId="31" xfId="59" applyNumberFormat="1" applyFont="1" applyFill="1" applyBorder="1" applyProtection="1"/>
    <xf numFmtId="3" fontId="56" fillId="29" borderId="46" xfId="59" applyNumberFormat="1" applyFont="1" applyFill="1" applyBorder="1" applyAlignment="1" applyProtection="1">
      <alignment horizontal="center"/>
    </xf>
    <xf numFmtId="3" fontId="50" fillId="29" borderId="26" xfId="59" applyNumberFormat="1" applyFont="1" applyFill="1" applyBorder="1" applyProtection="1"/>
    <xf numFmtId="3" fontId="56" fillId="29" borderId="35" xfId="59" applyNumberFormat="1" applyFont="1" applyFill="1" applyBorder="1" applyAlignment="1" applyProtection="1">
      <alignment horizontal="center"/>
    </xf>
    <xf numFmtId="3" fontId="56" fillId="29" borderId="28" xfId="59" applyNumberFormat="1" applyFont="1" applyFill="1" applyBorder="1" applyAlignment="1" applyProtection="1">
      <alignment horizontal="center"/>
    </xf>
    <xf numFmtId="3" fontId="69" fillId="29" borderId="32" xfId="59" applyNumberFormat="1" applyFont="1" applyFill="1" applyBorder="1" applyProtection="1"/>
    <xf numFmtId="3" fontId="69" fillId="29" borderId="28" xfId="59" applyNumberFormat="1" applyFont="1" applyFill="1" applyBorder="1" applyProtection="1"/>
    <xf numFmtId="3" fontId="69" fillId="29" borderId="33" xfId="59" applyNumberFormat="1" applyFont="1" applyFill="1" applyBorder="1" applyAlignment="1" applyProtection="1">
      <alignment horizontal="center"/>
    </xf>
    <xf numFmtId="171" fontId="50" fillId="29" borderId="28" xfId="59" applyNumberFormat="1" applyFont="1" applyFill="1" applyBorder="1" applyProtection="1"/>
    <xf numFmtId="3" fontId="50" fillId="29" borderId="25" xfId="59" applyNumberFormat="1" applyFont="1" applyFill="1" applyBorder="1" applyProtection="1"/>
    <xf numFmtId="3" fontId="50" fillId="29" borderId="33" xfId="59" applyNumberFormat="1" applyFont="1" applyFill="1" applyBorder="1" applyProtection="1"/>
    <xf numFmtId="0" fontId="50" fillId="29" borderId="28" xfId="59" applyFont="1" applyFill="1" applyBorder="1" applyProtection="1"/>
    <xf numFmtId="0" fontId="50" fillId="29" borderId="53" xfId="59" applyFont="1" applyFill="1" applyBorder="1" applyProtection="1"/>
    <xf numFmtId="3" fontId="47" fillId="29" borderId="26" xfId="59" applyNumberFormat="1" applyFont="1" applyFill="1" applyBorder="1" applyProtection="1"/>
    <xf numFmtId="3" fontId="47" fillId="29" borderId="29" xfId="59" applyNumberFormat="1" applyFont="1" applyFill="1" applyBorder="1" applyProtection="1"/>
    <xf numFmtId="3" fontId="47" fillId="29" borderId="35" xfId="59" applyNumberFormat="1" applyFont="1" applyFill="1" applyBorder="1" applyAlignment="1" applyProtection="1">
      <alignment horizontal="center"/>
    </xf>
    <xf numFmtId="164" fontId="47" fillId="29" borderId="29" xfId="59" applyNumberFormat="1" applyFont="1" applyFill="1" applyBorder="1" applyAlignment="1" applyProtection="1">
      <alignment horizontal="right"/>
    </xf>
    <xf numFmtId="164" fontId="47" fillId="29" borderId="0" xfId="59" applyNumberFormat="1" applyFont="1" applyFill="1" applyBorder="1" applyProtection="1"/>
    <xf numFmtId="164" fontId="47" fillId="29" borderId="35" xfId="59" applyNumberFormat="1" applyFont="1" applyFill="1" applyBorder="1" applyProtection="1"/>
    <xf numFmtId="164" fontId="47" fillId="29" borderId="54" xfId="59" applyNumberFormat="1" applyFont="1" applyFill="1" applyBorder="1" applyAlignment="1" applyProtection="1">
      <alignment horizontal="right"/>
    </xf>
    <xf numFmtId="3" fontId="130" fillId="29" borderId="26" xfId="59" applyNumberFormat="1" applyFont="1" applyFill="1" applyBorder="1" applyProtection="1"/>
    <xf numFmtId="3" fontId="130" fillId="29" borderId="29" xfId="59" applyNumberFormat="1" applyFont="1" applyFill="1" applyBorder="1" applyProtection="1"/>
    <xf numFmtId="3" fontId="132" fillId="29" borderId="35" xfId="59" applyNumberFormat="1" applyFont="1" applyFill="1" applyBorder="1" applyAlignment="1" applyProtection="1">
      <alignment horizontal="center"/>
    </xf>
    <xf numFmtId="3" fontId="69" fillId="29" borderId="26" xfId="59" applyNumberFormat="1" applyFont="1" applyFill="1" applyBorder="1" applyProtection="1"/>
    <xf numFmtId="3" fontId="69" fillId="29" borderId="29" xfId="59" applyNumberFormat="1" applyFont="1" applyFill="1" applyBorder="1" applyProtection="1"/>
    <xf numFmtId="3" fontId="50" fillId="29" borderId="35" xfId="59" applyNumberFormat="1" applyFont="1" applyFill="1" applyBorder="1" applyAlignment="1" applyProtection="1">
      <alignment horizontal="center"/>
    </xf>
    <xf numFmtId="164" fontId="44" fillId="29" borderId="29" xfId="59" applyNumberFormat="1" applyFont="1" applyFill="1" applyBorder="1" applyProtection="1"/>
    <xf numFmtId="164" fontId="44" fillId="29" borderId="0" xfId="59" applyNumberFormat="1" applyFont="1" applyFill="1" applyBorder="1" applyProtection="1"/>
    <xf numFmtId="164" fontId="44" fillId="29" borderId="35" xfId="59" applyNumberFormat="1" applyFont="1" applyFill="1" applyBorder="1" applyProtection="1"/>
    <xf numFmtId="164" fontId="44" fillId="29" borderId="54" xfId="59" applyNumberFormat="1" applyFont="1" applyFill="1" applyBorder="1" applyProtection="1"/>
    <xf numFmtId="3" fontId="47" fillId="29" borderId="37" xfId="59" applyNumberFormat="1" applyFont="1" applyFill="1" applyBorder="1" applyProtection="1"/>
    <xf numFmtId="3" fontId="47" fillId="29" borderId="45" xfId="59" applyNumberFormat="1" applyFont="1" applyFill="1" applyBorder="1" applyProtection="1"/>
    <xf numFmtId="3" fontId="47" fillId="29" borderId="39" xfId="59" applyNumberFormat="1" applyFont="1" applyFill="1" applyBorder="1" applyAlignment="1" applyProtection="1">
      <alignment horizontal="center"/>
    </xf>
    <xf numFmtId="164" fontId="47" fillId="29" borderId="45" xfId="59" applyNumberFormat="1" applyFont="1" applyFill="1" applyBorder="1" applyAlignment="1" applyProtection="1">
      <alignment horizontal="right"/>
    </xf>
    <xf numFmtId="164" fontId="47" fillId="29" borderId="38" xfId="59" applyNumberFormat="1" applyFont="1" applyFill="1" applyBorder="1" applyAlignment="1" applyProtection="1">
      <alignment horizontal="right"/>
    </xf>
    <xf numFmtId="164" fontId="47" fillId="29" borderId="55" xfId="59" applyNumberFormat="1" applyFont="1" applyFill="1" applyBorder="1" applyAlignment="1" applyProtection="1">
      <alignment horizontal="right"/>
    </xf>
    <xf numFmtId="0" fontId="50" fillId="29" borderId="35" xfId="59" applyFont="1" applyFill="1" applyBorder="1" applyAlignment="1" applyProtection="1">
      <alignment horizontal="center"/>
    </xf>
    <xf numFmtId="3" fontId="47" fillId="29" borderId="41" xfId="59" applyNumberFormat="1" applyFont="1" applyFill="1" applyBorder="1" applyProtection="1"/>
    <xf numFmtId="3" fontId="47" fillId="29" borderId="60" xfId="59" applyNumberFormat="1" applyFont="1" applyFill="1" applyBorder="1" applyProtection="1"/>
    <xf numFmtId="3" fontId="47" fillId="29" borderId="50" xfId="59" applyNumberFormat="1" applyFont="1" applyFill="1" applyBorder="1" applyAlignment="1" applyProtection="1">
      <alignment horizontal="center"/>
    </xf>
    <xf numFmtId="164" fontId="47" fillId="29" borderId="60" xfId="59" applyNumberFormat="1" applyFont="1" applyFill="1" applyBorder="1" applyAlignment="1" applyProtection="1">
      <alignment horizontal="right"/>
    </xf>
    <xf numFmtId="164" fontId="47" fillId="29" borderId="11" xfId="59" applyNumberFormat="1" applyFont="1" applyFill="1" applyBorder="1" applyAlignment="1" applyProtection="1">
      <alignment horizontal="right"/>
    </xf>
    <xf numFmtId="164" fontId="47" fillId="29" borderId="50" xfId="59" applyNumberFormat="1" applyFont="1" applyFill="1" applyBorder="1" applyProtection="1"/>
    <xf numFmtId="164" fontId="47" fillId="29" borderId="67" xfId="59" applyNumberFormat="1" applyFont="1" applyFill="1" applyBorder="1" applyAlignment="1" applyProtection="1">
      <alignment horizontal="right"/>
    </xf>
    <xf numFmtId="0" fontId="44" fillId="29" borderId="27" xfId="59" applyFont="1" applyFill="1" applyBorder="1"/>
    <xf numFmtId="0" fontId="50" fillId="29" borderId="29" xfId="59" applyFont="1" applyFill="1" applyBorder="1" applyAlignment="1" applyProtection="1">
      <alignment horizontal="centerContinuous"/>
    </xf>
    <xf numFmtId="0" fontId="50" fillId="29" borderId="46" xfId="59" applyFont="1" applyFill="1" applyBorder="1" applyProtection="1"/>
    <xf numFmtId="0" fontId="0" fillId="29" borderId="14" xfId="59" applyFont="1" applyFill="1" applyBorder="1"/>
    <xf numFmtId="0" fontId="56" fillId="29" borderId="14" xfId="59" applyFont="1" applyFill="1" applyBorder="1" applyAlignment="1" applyProtection="1">
      <alignment horizontal="left"/>
    </xf>
    <xf numFmtId="0" fontId="56" fillId="29" borderId="14" xfId="59" applyFont="1" applyFill="1" applyBorder="1" applyAlignment="1" applyProtection="1">
      <alignment horizontal="centerContinuous"/>
    </xf>
    <xf numFmtId="0" fontId="56" fillId="29" borderId="16" xfId="59" applyFont="1" applyFill="1" applyBorder="1" applyAlignment="1" applyProtection="1">
      <alignment horizontal="centerContinuous"/>
    </xf>
    <xf numFmtId="1" fontId="56" fillId="29" borderId="4" xfId="59" applyNumberFormat="1" applyFont="1" applyFill="1" applyBorder="1" applyAlignment="1" applyProtection="1">
      <alignment horizontal="center"/>
    </xf>
    <xf numFmtId="0" fontId="56" fillId="29" borderId="39" xfId="59" applyFont="1" applyFill="1" applyBorder="1" applyAlignment="1" applyProtection="1">
      <alignment horizontal="center"/>
    </xf>
    <xf numFmtId="0" fontId="64" fillId="29" borderId="49" xfId="59" applyFont="1" applyFill="1" applyBorder="1" applyAlignment="1" applyProtection="1">
      <alignment horizontal="left"/>
    </xf>
    <xf numFmtId="0" fontId="64" fillId="29" borderId="39" xfId="59" applyFont="1" applyFill="1" applyBorder="1" applyAlignment="1" applyProtection="1">
      <alignment horizontal="center"/>
    </xf>
    <xf numFmtId="0" fontId="64" fillId="29" borderId="51" xfId="59" applyFont="1" applyFill="1" applyBorder="1" applyAlignment="1" applyProtection="1">
      <alignment horizontal="center"/>
    </xf>
    <xf numFmtId="0" fontId="64" fillId="29" borderId="29" xfId="59" applyFont="1" applyFill="1" applyBorder="1" applyAlignment="1" applyProtection="1">
      <alignment horizontal="center"/>
    </xf>
    <xf numFmtId="0" fontId="56" fillId="29" borderId="4" xfId="59" applyFont="1" applyFill="1" applyBorder="1" applyAlignment="1" applyProtection="1">
      <alignment horizontal="centerContinuous"/>
    </xf>
    <xf numFmtId="0" fontId="50" fillId="29" borderId="4" xfId="59" applyFont="1" applyFill="1" applyBorder="1" applyAlignment="1" applyProtection="1">
      <alignment horizontal="right"/>
    </xf>
    <xf numFmtId="0" fontId="56" fillId="29" borderId="37" xfId="59" applyFont="1" applyFill="1" applyBorder="1" applyAlignment="1" applyProtection="1"/>
    <xf numFmtId="0" fontId="50" fillId="29" borderId="38" xfId="59" quotePrefix="1" applyFont="1" applyFill="1" applyBorder="1" applyAlignment="1" applyProtection="1">
      <alignment horizontal="left"/>
    </xf>
    <xf numFmtId="0" fontId="58" fillId="29" borderId="39" xfId="59" applyFont="1" applyFill="1" applyBorder="1" applyAlignment="1" applyProtection="1">
      <alignment horizontal="center"/>
    </xf>
    <xf numFmtId="0" fontId="58" fillId="29" borderId="33" xfId="59" applyFont="1" applyFill="1" applyBorder="1" applyAlignment="1" applyProtection="1">
      <alignment horizontal="center"/>
    </xf>
    <xf numFmtId="164" fontId="50" fillId="29" borderId="33" xfId="59" quotePrefix="1" applyNumberFormat="1" applyFont="1" applyFill="1" applyBorder="1" applyAlignment="1" applyProtection="1">
      <alignment horizontal="center"/>
    </xf>
    <xf numFmtId="164" fontId="50" fillId="29" borderId="25" xfId="59" quotePrefix="1" applyNumberFormat="1" applyFont="1" applyFill="1" applyBorder="1" applyAlignment="1" applyProtection="1">
      <alignment horizontal="right"/>
    </xf>
    <xf numFmtId="164" fontId="50" fillId="29" borderId="34" xfId="59" applyNumberFormat="1" applyFont="1" applyFill="1" applyBorder="1" applyAlignment="1" applyProtection="1">
      <alignment horizontal="center"/>
    </xf>
    <xf numFmtId="0" fontId="50" fillId="29" borderId="29" xfId="59" applyFont="1" applyFill="1" applyBorder="1" applyAlignment="1" applyProtection="1">
      <alignment horizontal="center"/>
    </xf>
    <xf numFmtId="164" fontId="56" fillId="29" borderId="39" xfId="59" applyNumberFormat="1" applyFont="1" applyFill="1" applyBorder="1" applyAlignment="1" applyProtection="1">
      <alignment horizontal="right"/>
    </xf>
    <xf numFmtId="164" fontId="56" fillId="29" borderId="45" xfId="59" applyNumberFormat="1" applyFont="1" applyFill="1" applyBorder="1" applyAlignment="1" applyProtection="1">
      <alignment horizontal="right"/>
    </xf>
    <xf numFmtId="164" fontId="56" fillId="29" borderId="40" xfId="59" applyNumberFormat="1" applyFont="1" applyFill="1" applyBorder="1" applyAlignment="1" applyProtection="1">
      <alignment horizontal="right"/>
    </xf>
    <xf numFmtId="0" fontId="56" fillId="29" borderId="26" xfId="59" applyFont="1" applyFill="1" applyBorder="1" applyAlignment="1" applyProtection="1">
      <alignment horizontal="left"/>
    </xf>
    <xf numFmtId="0" fontId="50" fillId="29" borderId="32" xfId="59" quotePrefix="1" applyFont="1" applyFill="1" applyBorder="1" applyAlignment="1" applyProtection="1">
      <alignment horizontal="left"/>
    </xf>
    <xf numFmtId="0" fontId="50" fillId="29" borderId="25" xfId="59" quotePrefix="1" applyFont="1" applyFill="1" applyBorder="1" applyAlignment="1" applyProtection="1">
      <alignment horizontal="left"/>
    </xf>
    <xf numFmtId="0" fontId="59" fillId="29" borderId="26" xfId="59" applyFont="1" applyFill="1" applyBorder="1" applyAlignment="1" applyProtection="1">
      <alignment horizontal="left"/>
    </xf>
    <xf numFmtId="0" fontId="64" fillId="29" borderId="35" xfId="59" applyFont="1" applyFill="1" applyBorder="1" applyAlignment="1" applyProtection="1">
      <alignment horizontal="center"/>
    </xf>
    <xf numFmtId="164" fontId="56" fillId="29" borderId="35" xfId="59" applyNumberFormat="1" applyFont="1" applyFill="1" applyBorder="1" applyAlignment="1" applyProtection="1">
      <alignment horizontal="right"/>
    </xf>
    <xf numFmtId="0" fontId="56" fillId="29" borderId="4" xfId="59" applyFont="1" applyFill="1" applyBorder="1" applyAlignment="1" applyProtection="1">
      <alignment horizontal="right"/>
    </xf>
    <xf numFmtId="164" fontId="50" fillId="29" borderId="53" xfId="59" applyNumberFormat="1" applyFont="1" applyFill="1" applyBorder="1" applyAlignment="1" applyProtection="1">
      <alignment horizontal="center"/>
    </xf>
    <xf numFmtId="164" fontId="0" fillId="29" borderId="35" xfId="59" applyNumberFormat="1" applyFont="1" applyFill="1" applyBorder="1"/>
    <xf numFmtId="164" fontId="0" fillId="29" borderId="35" xfId="59" quotePrefix="1" applyNumberFormat="1" applyFont="1" applyFill="1" applyBorder="1" applyAlignment="1">
      <alignment horizontal="center"/>
    </xf>
    <xf numFmtId="164" fontId="0" fillId="29" borderId="54" xfId="59" applyNumberFormat="1" applyFont="1" applyFill="1" applyBorder="1" applyAlignment="1">
      <alignment horizontal="center"/>
    </xf>
    <xf numFmtId="0" fontId="0" fillId="29" borderId="29" xfId="59" applyFont="1" applyFill="1" applyBorder="1" applyAlignment="1">
      <alignment horizontal="center"/>
    </xf>
    <xf numFmtId="0" fontId="59" fillId="29" borderId="37" xfId="59" applyFont="1" applyFill="1" applyBorder="1" applyAlignment="1" applyProtection="1">
      <alignment horizontal="left"/>
    </xf>
    <xf numFmtId="0" fontId="0" fillId="29" borderId="39" xfId="59" applyFont="1" applyFill="1" applyBorder="1"/>
    <xf numFmtId="164" fontId="0" fillId="29" borderId="39" xfId="59" applyNumberFormat="1" applyFont="1" applyFill="1" applyBorder="1"/>
    <xf numFmtId="164" fontId="0" fillId="29" borderId="39" xfId="59" quotePrefix="1" applyNumberFormat="1" applyFont="1" applyFill="1" applyBorder="1" applyAlignment="1">
      <alignment horizontal="center"/>
    </xf>
    <xf numFmtId="164" fontId="0" fillId="29" borderId="55" xfId="59" applyNumberFormat="1" applyFont="1" applyFill="1" applyBorder="1" applyAlignment="1">
      <alignment horizontal="center"/>
    </xf>
    <xf numFmtId="0" fontId="19" fillId="29" borderId="44" xfId="59" applyFont="1" applyFill="1" applyBorder="1" applyAlignment="1">
      <alignment horizontal="center"/>
    </xf>
    <xf numFmtId="0" fontId="56" fillId="29" borderId="133" xfId="59" applyFont="1" applyFill="1" applyBorder="1" applyAlignment="1" applyProtection="1">
      <alignment horizontal="left"/>
    </xf>
    <xf numFmtId="0" fontId="56" fillId="29" borderId="56" xfId="59" quotePrefix="1" applyFont="1" applyFill="1" applyBorder="1" applyAlignment="1" applyProtection="1">
      <alignment horizontal="left"/>
    </xf>
    <xf numFmtId="0" fontId="64" fillId="29" borderId="57" xfId="59" applyFont="1" applyFill="1" applyBorder="1" applyAlignment="1" applyProtection="1">
      <alignment horizontal="center"/>
    </xf>
    <xf numFmtId="164" fontId="56" fillId="29" borderId="57" xfId="59" applyNumberFormat="1" applyFont="1" applyFill="1" applyBorder="1" applyAlignment="1" applyProtection="1">
      <alignment horizontal="right"/>
    </xf>
    <xf numFmtId="164" fontId="56" fillId="29" borderId="58" xfId="59" applyNumberFormat="1" applyFont="1" applyFill="1" applyBorder="1" applyAlignment="1" applyProtection="1">
      <alignment horizontal="right"/>
    </xf>
    <xf numFmtId="0" fontId="58" fillId="29" borderId="0" xfId="59" applyFont="1" applyFill="1" applyBorder="1" applyAlignment="1" applyProtection="1">
      <alignment horizontal="center"/>
    </xf>
    <xf numFmtId="0" fontId="50" fillId="29" borderId="0" xfId="59" applyFont="1" applyFill="1" applyBorder="1" applyAlignment="1" applyProtection="1">
      <alignment horizontal="right"/>
    </xf>
    <xf numFmtId="0" fontId="50" fillId="29" borderId="15" xfId="59" applyFont="1" applyFill="1" applyBorder="1" applyAlignment="1" applyProtection="1">
      <alignment horizontal="left"/>
    </xf>
    <xf numFmtId="0" fontId="50" fillId="29" borderId="14" xfId="59" quotePrefix="1" applyFont="1" applyFill="1" applyBorder="1" applyAlignment="1" applyProtection="1">
      <alignment horizontal="left"/>
    </xf>
    <xf numFmtId="0" fontId="58" fillId="29" borderId="46" xfId="59" applyFont="1" applyFill="1" applyBorder="1" applyAlignment="1" applyProtection="1">
      <alignment horizontal="center"/>
    </xf>
    <xf numFmtId="164" fontId="50" fillId="29" borderId="46" xfId="59" applyNumberFormat="1" applyFont="1" applyFill="1" applyBorder="1" applyAlignment="1" applyProtection="1">
      <alignment horizontal="right"/>
    </xf>
    <xf numFmtId="164" fontId="50" fillId="29" borderId="14" xfId="59" applyNumberFormat="1" applyFont="1" applyFill="1" applyBorder="1" applyAlignment="1" applyProtection="1">
      <alignment horizontal="right"/>
    </xf>
    <xf numFmtId="164" fontId="50" fillId="29" borderId="59" xfId="59" applyNumberFormat="1" applyFont="1" applyFill="1" applyBorder="1" applyAlignment="1" applyProtection="1">
      <alignment horizontal="right"/>
    </xf>
    <xf numFmtId="0" fontId="50" fillId="29" borderId="26" xfId="59" applyFont="1" applyFill="1" applyBorder="1" applyAlignment="1" applyProtection="1">
      <alignment horizontal="left"/>
    </xf>
    <xf numFmtId="164" fontId="56" fillId="29" borderId="36" xfId="59" applyNumberFormat="1" applyFont="1" applyFill="1" applyBorder="1" applyAlignment="1" applyProtection="1">
      <alignment horizontal="right"/>
    </xf>
    <xf numFmtId="0" fontId="59" fillId="29" borderId="0" xfId="59" quotePrefix="1" applyFont="1" applyFill="1" applyBorder="1" applyAlignment="1" applyProtection="1">
      <alignment horizontal="left"/>
    </xf>
    <xf numFmtId="0" fontId="68" fillId="29" borderId="35" xfId="59" applyFont="1" applyFill="1" applyBorder="1" applyAlignment="1" applyProtection="1">
      <alignment horizontal="center"/>
    </xf>
    <xf numFmtId="0" fontId="64" fillId="29" borderId="50" xfId="59" applyFont="1" applyFill="1" applyBorder="1" applyAlignment="1" applyProtection="1">
      <alignment horizontal="center"/>
    </xf>
    <xf numFmtId="164" fontId="56" fillId="29" borderId="50" xfId="59" applyNumberFormat="1" applyFont="1" applyFill="1" applyBorder="1" applyAlignment="1" applyProtection="1">
      <alignment horizontal="right"/>
    </xf>
    <xf numFmtId="164" fontId="56" fillId="29" borderId="11" xfId="59" applyNumberFormat="1" applyFont="1" applyFill="1" applyBorder="1" applyAlignment="1" applyProtection="1">
      <alignment horizontal="right"/>
    </xf>
    <xf numFmtId="164" fontId="56" fillId="29" borderId="43" xfId="59" applyNumberFormat="1" applyFont="1" applyFill="1" applyBorder="1" applyAlignment="1" applyProtection="1">
      <alignment horizontal="right"/>
    </xf>
    <xf numFmtId="0" fontId="59" fillId="29" borderId="134" xfId="59" applyFont="1" applyFill="1" applyBorder="1" applyAlignment="1" applyProtection="1">
      <alignment horizontal="left"/>
    </xf>
    <xf numFmtId="0" fontId="0" fillId="29" borderId="65" xfId="59" applyFont="1" applyFill="1" applyBorder="1"/>
    <xf numFmtId="0" fontId="0" fillId="29" borderId="135" xfId="59" applyFont="1" applyFill="1" applyBorder="1"/>
    <xf numFmtId="0" fontId="44" fillId="29" borderId="44" xfId="59" applyFont="1" applyFill="1" applyBorder="1"/>
    <xf numFmtId="0" fontId="50" fillId="29" borderId="38" xfId="59" applyFont="1" applyFill="1" applyBorder="1" applyAlignment="1" applyProtection="1">
      <alignment horizontal="left"/>
    </xf>
    <xf numFmtId="0" fontId="56" fillId="29" borderId="38" xfId="59" quotePrefix="1" applyFont="1" applyFill="1" applyBorder="1" applyAlignment="1" applyProtection="1">
      <alignment horizontal="right"/>
    </xf>
    <xf numFmtId="0" fontId="56" fillId="29" borderId="45" xfId="59" quotePrefix="1" applyFont="1" applyFill="1" applyBorder="1" applyAlignment="1" applyProtection="1">
      <alignment horizontal="right"/>
    </xf>
    <xf numFmtId="0" fontId="55" fillId="29" borderId="25" xfId="59" applyFont="1" applyFill="1" applyBorder="1" applyProtection="1"/>
    <xf numFmtId="14" fontId="52" fillId="29" borderId="29" xfId="59" applyNumberFormat="1" applyFont="1" applyFill="1" applyBorder="1" applyAlignment="1" applyProtection="1">
      <alignment horizontal="center"/>
    </xf>
    <xf numFmtId="1" fontId="55" fillId="29" borderId="30" xfId="59" applyNumberFormat="1" applyFont="1" applyFill="1" applyBorder="1" applyAlignment="1" applyProtection="1">
      <alignment horizontal="center"/>
    </xf>
    <xf numFmtId="1" fontId="55" fillId="29" borderId="139" xfId="59" applyNumberFormat="1" applyFont="1" applyFill="1" applyBorder="1" applyAlignment="1" applyProtection="1">
      <alignment horizontal="center"/>
    </xf>
    <xf numFmtId="1" fontId="55" fillId="29" borderId="29" xfId="59" applyNumberFormat="1" applyFont="1" applyFill="1" applyBorder="1" applyAlignment="1" applyProtection="1">
      <alignment horizontal="center"/>
    </xf>
    <xf numFmtId="164" fontId="47" fillId="29" borderId="36" xfId="59" applyNumberFormat="1" applyFont="1" applyFill="1" applyBorder="1" applyProtection="1"/>
    <xf numFmtId="0" fontId="130" fillId="29" borderId="26" xfId="59" applyFont="1" applyFill="1" applyBorder="1" applyAlignment="1" applyProtection="1">
      <alignment horizontal="left"/>
    </xf>
    <xf numFmtId="0" fontId="130" fillId="29" borderId="0" xfId="59" applyFont="1" applyFill="1" applyBorder="1" applyAlignment="1" applyProtection="1">
      <alignment horizontal="left"/>
    </xf>
    <xf numFmtId="0" fontId="59" fillId="29" borderId="29" xfId="59" applyFont="1" applyFill="1" applyBorder="1" applyProtection="1"/>
    <xf numFmtId="0" fontId="59" fillId="29" borderId="4" xfId="59" applyFont="1" applyFill="1" applyBorder="1" applyProtection="1"/>
    <xf numFmtId="0" fontId="123" fillId="29" borderId="37" xfId="59" applyFont="1" applyFill="1" applyBorder="1"/>
    <xf numFmtId="0" fontId="123" fillId="29" borderId="38" xfId="59" applyFont="1" applyFill="1" applyBorder="1"/>
    <xf numFmtId="164" fontId="123" fillId="29" borderId="44" xfId="59" applyNumberFormat="1" applyFont="1" applyFill="1" applyBorder="1" applyProtection="1"/>
    <xf numFmtId="164" fontId="123" fillId="29" borderId="39" xfId="59" applyNumberFormat="1" applyFont="1" applyFill="1" applyBorder="1" applyProtection="1"/>
    <xf numFmtId="164" fontId="123" fillId="29" borderId="55" xfId="59" applyNumberFormat="1" applyFont="1" applyFill="1" applyBorder="1" applyProtection="1"/>
    <xf numFmtId="164" fontId="50" fillId="29" borderId="35" xfId="59" quotePrefix="1" applyNumberFormat="1" applyFont="1" applyFill="1" applyBorder="1" applyAlignment="1" applyProtection="1">
      <alignment horizontal="right"/>
    </xf>
    <xf numFmtId="164" fontId="50" fillId="29" borderId="36" xfId="59" quotePrefix="1" applyNumberFormat="1" applyFont="1" applyFill="1" applyBorder="1" applyAlignment="1" applyProtection="1">
      <alignment horizontal="right"/>
    </xf>
    <xf numFmtId="0" fontId="50" fillId="29" borderId="29" xfId="59" quotePrefix="1" applyFont="1" applyFill="1" applyBorder="1" applyAlignment="1" applyProtection="1">
      <alignment horizontal="center"/>
    </xf>
    <xf numFmtId="0" fontId="59" fillId="29" borderId="4" xfId="59" quotePrefix="1" applyFont="1" applyFill="1" applyBorder="1" applyAlignment="1" applyProtection="1">
      <alignment horizontal="left"/>
    </xf>
    <xf numFmtId="0" fontId="50" fillId="29" borderId="4" xfId="59" applyFont="1" applyFill="1" applyBorder="1" applyAlignment="1" applyProtection="1">
      <alignment horizontal="left"/>
    </xf>
    <xf numFmtId="0" fontId="59" fillId="29" borderId="4" xfId="59" applyFont="1" applyFill="1" applyBorder="1" applyAlignment="1" applyProtection="1">
      <alignment horizontal="left"/>
    </xf>
    <xf numFmtId="0" fontId="130" fillId="29" borderId="41" xfId="59" applyFont="1" applyFill="1" applyBorder="1" applyAlignment="1" applyProtection="1">
      <alignment horizontal="left"/>
    </xf>
    <xf numFmtId="0" fontId="130" fillId="29" borderId="11" xfId="59" applyFont="1" applyFill="1" applyBorder="1" applyAlignment="1" applyProtection="1">
      <alignment horizontal="left"/>
    </xf>
    <xf numFmtId="164" fontId="47" fillId="29" borderId="43" xfId="59" applyNumberFormat="1" applyFont="1" applyFill="1" applyBorder="1" applyProtection="1"/>
    <xf numFmtId="0" fontId="59" fillId="29" borderId="0" xfId="59" applyFont="1" applyFill="1" applyBorder="1" applyAlignment="1" applyProtection="1">
      <alignment horizontal="left"/>
    </xf>
    <xf numFmtId="0" fontId="59" fillId="29" borderId="54" xfId="59" applyFont="1" applyFill="1" applyBorder="1" applyProtection="1"/>
    <xf numFmtId="0" fontId="50" fillId="29" borderId="18" xfId="59" applyFont="1" applyFill="1" applyBorder="1" applyProtection="1"/>
    <xf numFmtId="0" fontId="50" fillId="29" borderId="52" xfId="59" applyFont="1" applyFill="1" applyBorder="1" applyProtection="1"/>
    <xf numFmtId="0" fontId="48" fillId="29" borderId="26" xfId="59" applyFont="1" applyFill="1" applyBorder="1"/>
    <xf numFmtId="0" fontId="48" fillId="29" borderId="0" xfId="59" applyFont="1" applyFill="1" applyBorder="1"/>
    <xf numFmtId="164" fontId="56" fillId="29" borderId="27" xfId="59" applyNumberFormat="1" applyFont="1" applyFill="1" applyBorder="1" applyProtection="1"/>
    <xf numFmtId="164" fontId="56" fillId="29" borderId="33" xfId="59" applyNumberFormat="1" applyFont="1" applyFill="1" applyBorder="1" applyProtection="1"/>
    <xf numFmtId="164" fontId="56" fillId="29" borderId="54" xfId="59" applyNumberFormat="1" applyFont="1" applyFill="1" applyBorder="1" applyProtection="1"/>
    <xf numFmtId="0" fontId="50" fillId="29" borderId="11" xfId="59" applyFont="1" applyFill="1" applyBorder="1" applyAlignment="1" applyProtection="1">
      <alignment horizontal="left"/>
    </xf>
    <xf numFmtId="164" fontId="50" fillId="29" borderId="50" xfId="59" applyNumberFormat="1" applyFont="1" applyFill="1" applyBorder="1" applyProtection="1"/>
    <xf numFmtId="0" fontId="50" fillId="29" borderId="14" xfId="59" applyFont="1" applyFill="1" applyBorder="1" applyAlignment="1" applyProtection="1">
      <alignment horizontal="left"/>
    </xf>
    <xf numFmtId="0" fontId="50" fillId="29" borderId="16" xfId="59" applyFont="1" applyFill="1" applyBorder="1" applyProtection="1"/>
    <xf numFmtId="0" fontId="50" fillId="29" borderId="31" xfId="59" applyFont="1" applyFill="1" applyBorder="1" applyProtection="1"/>
    <xf numFmtId="0" fontId="50" fillId="29" borderId="4" xfId="59" applyFont="1" applyFill="1" applyBorder="1" applyAlignment="1" applyProtection="1">
      <alignment horizontal="center"/>
    </xf>
    <xf numFmtId="0" fontId="0" fillId="29" borderId="26" xfId="59" applyFont="1" applyFill="1" applyBorder="1"/>
    <xf numFmtId="0" fontId="0" fillId="29" borderId="134" xfId="59" applyFont="1" applyFill="1" applyBorder="1"/>
    <xf numFmtId="166" fontId="44" fillId="29" borderId="38" xfId="59" applyNumberFormat="1" applyFont="1" applyFill="1" applyBorder="1"/>
    <xf numFmtId="14" fontId="50" fillId="29" borderId="0" xfId="59" applyNumberFormat="1" applyFont="1" applyFill="1" applyBorder="1" applyProtection="1"/>
    <xf numFmtId="14" fontId="50" fillId="29" borderId="29" xfId="59" applyNumberFormat="1" applyFont="1" applyFill="1" applyBorder="1" applyProtection="1"/>
    <xf numFmtId="0" fontId="44" fillId="29" borderId="35" xfId="59" applyFont="1" applyFill="1" applyBorder="1" applyProtection="1"/>
    <xf numFmtId="0" fontId="54" fillId="29" borderId="49" xfId="59" applyFont="1" applyFill="1" applyBorder="1" applyAlignment="1" applyProtection="1">
      <alignment horizontal="center"/>
    </xf>
    <xf numFmtId="0" fontId="54" fillId="29" borderId="49" xfId="59" quotePrefix="1" applyFont="1" applyFill="1" applyBorder="1" applyAlignment="1" applyProtection="1">
      <alignment horizontal="center"/>
    </xf>
    <xf numFmtId="0" fontId="54" fillId="29" borderId="51" xfId="59" quotePrefix="1" applyFont="1" applyFill="1" applyBorder="1" applyAlignment="1" applyProtection="1">
      <alignment horizontal="center"/>
    </xf>
    <xf numFmtId="0" fontId="56" fillId="29" borderId="29" xfId="59" quotePrefix="1" applyFont="1" applyFill="1" applyBorder="1" applyAlignment="1" applyProtection="1">
      <alignment horizontal="center"/>
    </xf>
    <xf numFmtId="0" fontId="50" fillId="29" borderId="33" xfId="59" applyFont="1" applyFill="1" applyBorder="1" applyAlignment="1" applyProtection="1">
      <alignment horizontal="center"/>
    </xf>
    <xf numFmtId="0" fontId="50" fillId="29" borderId="61" xfId="59" applyFont="1" applyFill="1" applyBorder="1" applyAlignment="1" applyProtection="1">
      <alignment horizontal="center"/>
    </xf>
    <xf numFmtId="0" fontId="56" fillId="29" borderId="62" xfId="59" applyFont="1" applyFill="1" applyBorder="1" applyAlignment="1" applyProtection="1">
      <alignment horizontal="centerContinuous"/>
    </xf>
    <xf numFmtId="0" fontId="47" fillId="29" borderId="26" xfId="59" quotePrefix="1" applyFont="1" applyFill="1" applyBorder="1" applyAlignment="1" applyProtection="1">
      <alignment horizontal="left"/>
    </xf>
    <xf numFmtId="0" fontId="47" fillId="29" borderId="0" xfId="59" quotePrefix="1" applyFont="1" applyFill="1" applyBorder="1" applyAlignment="1" applyProtection="1">
      <alignment horizontal="left"/>
    </xf>
    <xf numFmtId="0" fontId="47" fillId="29" borderId="35" xfId="59" applyFont="1" applyFill="1" applyBorder="1" applyAlignment="1" applyProtection="1">
      <alignment horizontal="center"/>
    </xf>
    <xf numFmtId="0" fontId="59" fillId="29" borderId="35" xfId="59" applyFont="1" applyFill="1" applyBorder="1" applyAlignment="1" applyProtection="1">
      <alignment horizontal="center"/>
    </xf>
    <xf numFmtId="0" fontId="47" fillId="29" borderId="37" xfId="59" quotePrefix="1" applyFont="1" applyFill="1" applyBorder="1" applyAlignment="1" applyProtection="1">
      <alignment horizontal="left"/>
    </xf>
    <xf numFmtId="0" fontId="47" fillId="29" borderId="38" xfId="59" quotePrefix="1" applyFont="1" applyFill="1" applyBorder="1" applyAlignment="1" applyProtection="1">
      <alignment horizontal="left"/>
    </xf>
    <xf numFmtId="0" fontId="47" fillId="29" borderId="39" xfId="59" applyFont="1" applyFill="1" applyBorder="1" applyAlignment="1" applyProtection="1">
      <alignment horizontal="center"/>
    </xf>
    <xf numFmtId="164" fontId="47" fillId="29" borderId="44" xfId="59" applyNumberFormat="1" applyFont="1" applyFill="1" applyBorder="1" applyAlignment="1" applyProtection="1">
      <alignment horizontal="right"/>
    </xf>
    <xf numFmtId="164" fontId="47" fillId="29" borderId="39" xfId="59" applyNumberFormat="1" applyFont="1" applyFill="1" applyBorder="1" applyAlignment="1" applyProtection="1">
      <alignment horizontal="right"/>
    </xf>
    <xf numFmtId="164" fontId="47" fillId="29" borderId="40" xfId="59" applyNumberFormat="1" applyFont="1" applyFill="1" applyBorder="1" applyAlignment="1" applyProtection="1">
      <alignment horizontal="right"/>
    </xf>
    <xf numFmtId="0" fontId="59" fillId="29" borderId="44" xfId="59" applyFont="1" applyFill="1" applyBorder="1" applyProtection="1"/>
    <xf numFmtId="0" fontId="50" fillId="29" borderId="0" xfId="59" quotePrefix="1" applyFont="1" applyFill="1" applyBorder="1" applyProtection="1"/>
    <xf numFmtId="0" fontId="44" fillId="29" borderId="4" xfId="59" applyFont="1" applyFill="1" applyBorder="1" applyAlignment="1" applyProtection="1">
      <alignment horizontal="centerContinuous"/>
    </xf>
    <xf numFmtId="0" fontId="54" fillId="29" borderId="29" xfId="59" quotePrefix="1" applyFont="1" applyFill="1" applyBorder="1" applyAlignment="1" applyProtection="1">
      <alignment horizontal="center"/>
    </xf>
    <xf numFmtId="164" fontId="50" fillId="29" borderId="27" xfId="59" applyNumberFormat="1" applyFont="1" applyFill="1" applyBorder="1" applyAlignment="1" applyProtection="1">
      <alignment horizontal="right"/>
    </xf>
    <xf numFmtId="0" fontId="56" fillId="29" borderId="26" xfId="59" applyFont="1" applyFill="1" applyBorder="1" applyProtection="1"/>
    <xf numFmtId="164" fontId="56" fillId="29" borderId="4" xfId="59" applyNumberFormat="1" applyFont="1" applyFill="1" applyBorder="1" applyAlignment="1" applyProtection="1">
      <alignment horizontal="right"/>
    </xf>
    <xf numFmtId="164" fontId="56" fillId="29" borderId="0" xfId="59" applyNumberFormat="1" applyFont="1" applyFill="1" applyBorder="1" applyAlignment="1" applyProtection="1">
      <alignment horizontal="right"/>
    </xf>
    <xf numFmtId="0" fontId="59" fillId="29" borderId="41" xfId="59" applyFont="1" applyFill="1" applyBorder="1" applyProtection="1"/>
    <xf numFmtId="0" fontId="59" fillId="29" borderId="11" xfId="59" applyFont="1" applyFill="1" applyBorder="1" applyProtection="1"/>
    <xf numFmtId="164" fontId="50" fillId="29" borderId="50" xfId="59" applyNumberFormat="1" applyFont="1" applyFill="1" applyBorder="1" applyAlignment="1" applyProtection="1">
      <alignment horizontal="right"/>
    </xf>
    <xf numFmtId="164" fontId="50" fillId="29" borderId="11" xfId="59" applyNumberFormat="1" applyFont="1" applyFill="1" applyBorder="1" applyAlignment="1" applyProtection="1">
      <alignment horizontal="right"/>
    </xf>
    <xf numFmtId="0" fontId="0" fillId="29" borderId="54" xfId="59" applyFont="1" applyFill="1" applyBorder="1"/>
    <xf numFmtId="0" fontId="48" fillId="29" borderId="15" xfId="59" applyFont="1" applyFill="1" applyBorder="1"/>
    <xf numFmtId="0" fontId="0" fillId="29" borderId="63" xfId="59" applyFont="1" applyFill="1" applyBorder="1"/>
    <xf numFmtId="0" fontId="0" fillId="29" borderId="59" xfId="59" applyFont="1" applyFill="1" applyBorder="1"/>
    <xf numFmtId="0" fontId="56" fillId="29" borderId="4" xfId="59" quotePrefix="1" applyFont="1" applyFill="1" applyBorder="1" applyAlignment="1" applyProtection="1">
      <alignment horizontal="right"/>
    </xf>
    <xf numFmtId="0" fontId="56" fillId="29" borderId="35" xfId="59" applyFont="1" applyFill="1" applyBorder="1" applyAlignment="1" applyProtection="1">
      <alignment horizontal="right"/>
    </xf>
    <xf numFmtId="0" fontId="56" fillId="29" borderId="0" xfId="59" quotePrefix="1" applyFont="1" applyFill="1" applyBorder="1" applyAlignment="1" applyProtection="1">
      <alignment horizontal="right"/>
    </xf>
    <xf numFmtId="0" fontId="56" fillId="29" borderId="36" xfId="59" applyFont="1" applyFill="1" applyBorder="1" applyAlignment="1" applyProtection="1">
      <alignment horizontal="right"/>
    </xf>
    <xf numFmtId="0" fontId="56" fillId="29" borderId="41" xfId="59" applyFont="1" applyFill="1" applyBorder="1" applyProtection="1"/>
    <xf numFmtId="0" fontId="56" fillId="29" borderId="11" xfId="59" applyFont="1" applyFill="1" applyBorder="1" applyProtection="1"/>
    <xf numFmtId="0" fontId="50" fillId="29" borderId="42" xfId="59" applyFont="1" applyFill="1" applyBorder="1" applyAlignment="1" applyProtection="1">
      <alignment horizontal="right"/>
    </xf>
    <xf numFmtId="0" fontId="56" fillId="29" borderId="50" xfId="59" applyFont="1" applyFill="1" applyBorder="1" applyAlignment="1" applyProtection="1">
      <alignment horizontal="right"/>
    </xf>
    <xf numFmtId="0" fontId="56" fillId="29" borderId="43" xfId="59" applyFont="1" applyFill="1" applyBorder="1" applyAlignment="1" applyProtection="1">
      <alignment horizontal="right"/>
    </xf>
    <xf numFmtId="0" fontId="55" fillId="29" borderId="0" xfId="59" quotePrefix="1" applyFont="1" applyFill="1" applyBorder="1" applyAlignment="1" applyProtection="1">
      <alignment horizontal="left"/>
    </xf>
    <xf numFmtId="0" fontId="55" fillId="29" borderId="0" xfId="59" applyFont="1" applyFill="1" applyBorder="1" applyProtection="1"/>
    <xf numFmtId="0" fontId="50" fillId="29" borderId="45" xfId="59" applyFont="1" applyFill="1" applyBorder="1" applyProtection="1"/>
    <xf numFmtId="0" fontId="56" fillId="29" borderId="32" xfId="59" applyFont="1" applyFill="1" applyBorder="1" applyProtection="1"/>
    <xf numFmtId="0" fontId="56" fillId="29" borderId="33" xfId="59" applyFont="1" applyFill="1" applyBorder="1" applyAlignment="1" applyProtection="1">
      <alignment horizontal="center"/>
    </xf>
    <xf numFmtId="164" fontId="56" fillId="29" borderId="28" xfId="59" applyNumberFormat="1" applyFont="1" applyFill="1" applyBorder="1" applyProtection="1"/>
    <xf numFmtId="164" fontId="56" fillId="29" borderId="53" xfId="59" applyNumberFormat="1" applyFont="1" applyFill="1" applyBorder="1" applyProtection="1"/>
    <xf numFmtId="164" fontId="50" fillId="29" borderId="29" xfId="59" applyNumberFormat="1" applyFont="1" applyFill="1" applyBorder="1" applyProtection="1"/>
    <xf numFmtId="164" fontId="50" fillId="29" borderId="0" xfId="59" applyNumberFormat="1" applyFont="1" applyFill="1" applyBorder="1" applyProtection="1"/>
    <xf numFmtId="164" fontId="50" fillId="29" borderId="54" xfId="59" applyNumberFormat="1" applyFont="1" applyFill="1" applyBorder="1" applyProtection="1"/>
    <xf numFmtId="0" fontId="50" fillId="29" borderId="39" xfId="59" applyFont="1" applyFill="1" applyBorder="1" applyAlignment="1" applyProtection="1">
      <alignment horizontal="center"/>
    </xf>
    <xf numFmtId="164" fontId="50" fillId="29" borderId="39" xfId="59" applyNumberFormat="1" applyFont="1" applyFill="1" applyBorder="1" applyProtection="1"/>
    <xf numFmtId="164" fontId="50" fillId="29" borderId="45" xfId="59" applyNumberFormat="1" applyFont="1" applyFill="1" applyBorder="1" applyProtection="1"/>
    <xf numFmtId="164" fontId="50" fillId="29" borderId="38" xfId="59" applyNumberFormat="1" applyFont="1" applyFill="1" applyBorder="1" applyProtection="1"/>
    <xf numFmtId="164" fontId="50" fillId="29" borderId="55" xfId="59" applyNumberFormat="1" applyFont="1" applyFill="1" applyBorder="1" applyProtection="1"/>
    <xf numFmtId="0" fontId="48" fillId="29" borderId="37" xfId="59" applyFont="1" applyFill="1" applyBorder="1" applyProtection="1"/>
    <xf numFmtId="0" fontId="48" fillId="29" borderId="38" xfId="59" applyFont="1" applyFill="1" applyBorder="1" applyProtection="1"/>
    <xf numFmtId="164" fontId="56" fillId="29" borderId="38" xfId="59" quotePrefix="1" applyNumberFormat="1" applyFont="1" applyFill="1" applyBorder="1" applyAlignment="1" applyProtection="1">
      <alignment horizontal="right"/>
    </xf>
    <xf numFmtId="164" fontId="48" fillId="29" borderId="39" xfId="65" applyNumberFormat="1" applyFont="1" applyFill="1" applyBorder="1" applyAlignment="1" applyProtection="1">
      <alignment horizontal="right"/>
    </xf>
    <xf numFmtId="164" fontId="56" fillId="29" borderId="55" xfId="59" applyNumberFormat="1" applyFont="1" applyFill="1" applyBorder="1" applyAlignment="1" applyProtection="1">
      <alignment horizontal="right"/>
    </xf>
    <xf numFmtId="164" fontId="56" fillId="29" borderId="45" xfId="59" applyNumberFormat="1" applyFont="1" applyFill="1" applyBorder="1" applyProtection="1"/>
    <xf numFmtId="164" fontId="44" fillId="29" borderId="29" xfId="59" applyNumberFormat="1" applyFont="1" applyFill="1" applyBorder="1" applyAlignment="1" applyProtection="1">
      <alignment horizontal="right"/>
    </xf>
    <xf numFmtId="0" fontId="66" fillId="29" borderId="50" xfId="59" applyFont="1" applyFill="1" applyBorder="1" applyProtection="1"/>
    <xf numFmtId="164" fontId="56" fillId="29" borderId="60" xfId="59" applyNumberFormat="1" applyFont="1" applyFill="1" applyBorder="1" applyAlignment="1" applyProtection="1">
      <alignment horizontal="right"/>
    </xf>
    <xf numFmtId="0" fontId="0" fillId="29" borderId="0" xfId="59" applyFont="1" applyFill="1"/>
    <xf numFmtId="164" fontId="56" fillId="29" borderId="34" xfId="59" applyNumberFormat="1" applyFont="1" applyFill="1" applyBorder="1" applyProtection="1"/>
    <xf numFmtId="0" fontId="56" fillId="29" borderId="45" xfId="59" applyFont="1" applyFill="1" applyBorder="1" applyProtection="1"/>
    <xf numFmtId="164" fontId="56" fillId="29" borderId="38" xfId="59" applyNumberFormat="1" applyFont="1" applyFill="1" applyBorder="1" applyProtection="1"/>
    <xf numFmtId="0" fontId="66" fillId="29" borderId="37" xfId="59" applyFont="1" applyFill="1" applyBorder="1" applyProtection="1"/>
    <xf numFmtId="0" fontId="66" fillId="29" borderId="45" xfId="59" applyFont="1" applyFill="1" applyBorder="1" applyProtection="1"/>
    <xf numFmtId="0" fontId="66" fillId="29" borderId="39" xfId="59" applyFont="1" applyFill="1" applyBorder="1" applyAlignment="1" applyProtection="1">
      <alignment horizontal="center"/>
    </xf>
    <xf numFmtId="164" fontId="66" fillId="29" borderId="45" xfId="59" applyNumberFormat="1" applyFont="1" applyFill="1" applyBorder="1" applyProtection="1"/>
    <xf numFmtId="164" fontId="66" fillId="29" borderId="55" xfId="59" applyNumberFormat="1" applyFont="1" applyFill="1" applyBorder="1" applyProtection="1"/>
    <xf numFmtId="0" fontId="66" fillId="29" borderId="29" xfId="59" applyFont="1" applyFill="1" applyBorder="1" applyProtection="1"/>
    <xf numFmtId="0" fontId="44" fillId="29" borderId="29" xfId="59" applyFont="1" applyFill="1" applyBorder="1" applyProtection="1"/>
    <xf numFmtId="0" fontId="44" fillId="29" borderId="35" xfId="59" applyFont="1" applyFill="1" applyBorder="1" applyAlignment="1" applyProtection="1">
      <alignment horizontal="center"/>
    </xf>
    <xf numFmtId="0" fontId="66" fillId="29" borderId="41" xfId="59" applyFont="1" applyFill="1" applyBorder="1" applyProtection="1"/>
    <xf numFmtId="0" fontId="66" fillId="29" borderId="60" xfId="59" applyFont="1" applyFill="1" applyBorder="1" applyProtection="1"/>
    <xf numFmtId="164" fontId="56" fillId="29" borderId="60" xfId="59" applyNumberFormat="1" applyFont="1" applyFill="1" applyBorder="1" applyProtection="1"/>
    <xf numFmtId="164" fontId="66" fillId="29" borderId="50" xfId="59" applyNumberFormat="1" applyFont="1" applyFill="1" applyBorder="1" applyProtection="1"/>
    <xf numFmtId="164" fontId="66" fillId="29" borderId="43" xfId="59" applyNumberFormat="1" applyFont="1" applyFill="1" applyBorder="1" applyProtection="1"/>
    <xf numFmtId="0" fontId="0" fillId="29" borderId="25" xfId="59" applyFont="1" applyFill="1" applyBorder="1" applyProtection="1"/>
    <xf numFmtId="0" fontId="0" fillId="29" borderId="28" xfId="59" applyFont="1" applyFill="1" applyBorder="1" applyProtection="1"/>
    <xf numFmtId="166" fontId="50" fillId="29" borderId="0" xfId="59" applyNumberFormat="1" applyFont="1" applyFill="1" applyBorder="1" applyProtection="1"/>
    <xf numFmtId="0" fontId="55" fillId="29" borderId="46" xfId="59" applyFont="1" applyFill="1" applyBorder="1" applyAlignment="1" applyProtection="1">
      <alignment horizontal="center"/>
    </xf>
    <xf numFmtId="0" fontId="46" fillId="29" borderId="39" xfId="59" applyFont="1" applyFill="1" applyBorder="1" applyAlignment="1" applyProtection="1">
      <alignment horizontal="center"/>
    </xf>
    <xf numFmtId="164" fontId="50" fillId="29" borderId="27" xfId="59" applyNumberFormat="1" applyFont="1" applyFill="1" applyBorder="1" applyProtection="1"/>
    <xf numFmtId="164" fontId="50" fillId="29" borderId="25" xfId="59" applyNumberFormat="1" applyFont="1" applyFill="1" applyBorder="1" applyProtection="1"/>
    <xf numFmtId="164" fontId="50" fillId="29" borderId="4" xfId="59" applyNumberFormat="1" applyFont="1" applyFill="1" applyBorder="1" applyProtection="1"/>
    <xf numFmtId="164" fontId="50" fillId="29" borderId="54" xfId="59" applyNumberFormat="1" applyFont="1" applyFill="1" applyBorder="1" applyAlignment="1" applyProtection="1">
      <alignment horizontal="right"/>
    </xf>
    <xf numFmtId="164" fontId="0" fillId="29" borderId="33" xfId="59" applyNumberFormat="1" applyFont="1" applyFill="1" applyBorder="1"/>
    <xf numFmtId="164" fontId="0" fillId="29" borderId="34" xfId="59" applyNumberFormat="1" applyFont="1" applyFill="1" applyBorder="1"/>
    <xf numFmtId="0" fontId="50" fillId="29" borderId="29" xfId="59" quotePrefix="1" applyFont="1" applyFill="1" applyBorder="1" applyAlignment="1" applyProtection="1">
      <alignment horizontal="right"/>
    </xf>
    <xf numFmtId="164" fontId="56" fillId="29" borderId="39" xfId="59" quotePrefix="1" applyNumberFormat="1" applyFont="1" applyFill="1" applyBorder="1" applyAlignment="1" applyProtection="1">
      <alignment horizontal="right"/>
    </xf>
    <xf numFmtId="164" fontId="56" fillId="29" borderId="40" xfId="59" quotePrefix="1" applyNumberFormat="1" applyFont="1" applyFill="1" applyBorder="1" applyAlignment="1" applyProtection="1">
      <alignment horizontal="right"/>
    </xf>
    <xf numFmtId="164" fontId="50" fillId="29" borderId="33" xfId="59" quotePrefix="1" applyNumberFormat="1" applyFont="1" applyFill="1" applyBorder="1" applyAlignment="1" applyProtection="1">
      <alignment horizontal="right"/>
    </xf>
    <xf numFmtId="164" fontId="50" fillId="29" borderId="34" xfId="59" quotePrefix="1" applyNumberFormat="1" applyFont="1" applyFill="1" applyBorder="1" applyAlignment="1" applyProtection="1">
      <alignment horizontal="right"/>
    </xf>
    <xf numFmtId="0" fontId="50" fillId="29" borderId="11" xfId="59" applyFont="1" applyFill="1" applyBorder="1" applyProtection="1"/>
    <xf numFmtId="0" fontId="50" fillId="29" borderId="50" xfId="59" applyFont="1" applyFill="1" applyBorder="1" applyAlignment="1" applyProtection="1">
      <alignment horizontal="center"/>
    </xf>
    <xf numFmtId="164" fontId="50" fillId="29" borderId="11" xfId="59" applyNumberFormat="1" applyFont="1" applyFill="1" applyBorder="1" applyProtection="1"/>
    <xf numFmtId="164" fontId="50" fillId="29" borderId="43" xfId="59" applyNumberFormat="1" applyFont="1" applyFill="1" applyBorder="1" applyProtection="1"/>
    <xf numFmtId="164" fontId="56" fillId="29" borderId="35" xfId="59" applyNumberFormat="1" applyFont="1" applyFill="1" applyBorder="1" applyProtection="1"/>
    <xf numFmtId="164" fontId="56" fillId="29" borderId="64" xfId="59" applyNumberFormat="1" applyFont="1" applyFill="1" applyBorder="1" applyProtection="1"/>
    <xf numFmtId="0" fontId="56" fillId="29" borderId="15" xfId="59" applyFont="1" applyFill="1" applyBorder="1" applyProtection="1"/>
    <xf numFmtId="0" fontId="56" fillId="29" borderId="14" xfId="59" applyFont="1" applyFill="1" applyBorder="1" applyProtection="1"/>
    <xf numFmtId="164" fontId="50" fillId="29" borderId="46" xfId="59" applyNumberFormat="1" applyFont="1" applyFill="1" applyBorder="1" applyProtection="1"/>
    <xf numFmtId="164" fontId="56" fillId="29" borderId="46" xfId="59" applyNumberFormat="1" applyFont="1" applyFill="1" applyBorder="1" applyProtection="1"/>
    <xf numFmtId="0" fontId="59" fillId="29" borderId="37" xfId="59" applyFont="1" applyFill="1" applyBorder="1" applyProtection="1"/>
    <xf numFmtId="0" fontId="59" fillId="29" borderId="39" xfId="59" applyFont="1" applyFill="1" applyBorder="1" applyAlignment="1" applyProtection="1">
      <alignment horizontal="center"/>
    </xf>
    <xf numFmtId="0" fontId="56" fillId="29" borderId="29" xfId="59" quotePrefix="1" applyFont="1" applyFill="1" applyBorder="1" applyAlignment="1" applyProtection="1">
      <alignment horizontal="right"/>
    </xf>
    <xf numFmtId="0" fontId="56" fillId="29" borderId="134" xfId="59" applyFont="1" applyFill="1" applyBorder="1" applyAlignment="1" applyProtection="1">
      <alignment horizontal="left"/>
    </xf>
    <xf numFmtId="0" fontId="56" fillId="29" borderId="65" xfId="59" quotePrefix="1" applyFont="1" applyFill="1" applyBorder="1" applyAlignment="1" applyProtection="1">
      <alignment horizontal="left"/>
    </xf>
    <xf numFmtId="0" fontId="56" fillId="29" borderId="66" xfId="59" applyFont="1" applyFill="1" applyBorder="1" applyAlignment="1" applyProtection="1">
      <alignment horizontal="center"/>
    </xf>
    <xf numFmtId="164" fontId="50" fillId="29" borderId="65" xfId="59" applyNumberFormat="1" applyFont="1" applyFill="1" applyBorder="1" applyProtection="1"/>
    <xf numFmtId="164" fontId="56" fillId="29" borderId="66" xfId="59" applyNumberFormat="1" applyFont="1" applyFill="1" applyBorder="1" applyProtection="1"/>
    <xf numFmtId="166" fontId="50" fillId="29" borderId="65" xfId="59" applyNumberFormat="1" applyFont="1" applyFill="1" applyBorder="1" applyProtection="1"/>
    <xf numFmtId="164" fontId="56" fillId="29" borderId="66" xfId="59" quotePrefix="1" applyNumberFormat="1" applyFont="1" applyFill="1" applyBorder="1" applyAlignment="1" applyProtection="1">
      <alignment horizontal="right"/>
    </xf>
    <xf numFmtId="164" fontId="50" fillId="29" borderId="66" xfId="59" applyNumberFormat="1" applyFont="1" applyFill="1" applyBorder="1" applyProtection="1"/>
    <xf numFmtId="164" fontId="56" fillId="29" borderId="135" xfId="59" quotePrefix="1" applyNumberFormat="1" applyFont="1" applyFill="1" applyBorder="1" applyAlignment="1" applyProtection="1">
      <alignment horizontal="right"/>
    </xf>
    <xf numFmtId="0" fontId="50" fillId="29" borderId="134" xfId="59" applyFont="1" applyFill="1" applyBorder="1" applyAlignment="1" applyProtection="1">
      <alignment horizontal="left"/>
    </xf>
    <xf numFmtId="0" fontId="50" fillId="29" borderId="65" xfId="59" quotePrefix="1" applyFont="1" applyFill="1" applyBorder="1" applyAlignment="1" applyProtection="1">
      <alignment horizontal="left"/>
    </xf>
    <xf numFmtId="0" fontId="50" fillId="29" borderId="66" xfId="59" applyFont="1" applyFill="1" applyBorder="1" applyAlignment="1" applyProtection="1">
      <alignment horizontal="center"/>
    </xf>
    <xf numFmtId="0" fontId="50" fillId="29" borderId="65" xfId="59" quotePrefix="1" applyFont="1" applyFill="1" applyBorder="1" applyAlignment="1" applyProtection="1">
      <alignment horizontal="center"/>
    </xf>
    <xf numFmtId="164" fontId="50" fillId="29" borderId="66" xfId="59" applyNumberFormat="1" applyFont="1" applyFill="1" applyBorder="1" applyAlignment="1" applyProtection="1">
      <alignment horizontal="right"/>
    </xf>
    <xf numFmtId="164" fontId="50" fillId="29" borderId="65" xfId="59" quotePrefix="1" applyNumberFormat="1" applyFont="1" applyFill="1" applyBorder="1" applyAlignment="1" applyProtection="1">
      <alignment horizontal="center"/>
    </xf>
    <xf numFmtId="164" fontId="0" fillId="29" borderId="38" xfId="59" applyNumberFormat="1" applyFont="1" applyFill="1" applyBorder="1"/>
    <xf numFmtId="0" fontId="56" fillId="29" borderId="134" xfId="59" applyFont="1" applyFill="1" applyBorder="1" applyProtection="1"/>
    <xf numFmtId="0" fontId="50" fillId="29" borderId="65" xfId="59" applyFont="1" applyFill="1" applyBorder="1" applyProtection="1"/>
    <xf numFmtId="0" fontId="55" fillId="29" borderId="65" xfId="59" applyFont="1" applyFill="1" applyBorder="1" applyAlignment="1" applyProtection="1">
      <alignment horizontal="center"/>
    </xf>
    <xf numFmtId="1" fontId="56" fillId="29" borderId="65" xfId="59" applyNumberFormat="1" applyFont="1" applyFill="1" applyBorder="1" applyAlignment="1" applyProtection="1">
      <alignment horizontal="center"/>
    </xf>
    <xf numFmtId="0" fontId="46" fillId="29" borderId="0" xfId="59" applyFont="1" applyFill="1" applyBorder="1" applyAlignment="1" applyProtection="1">
      <alignment horizontal="center"/>
    </xf>
    <xf numFmtId="0" fontId="54" fillId="29" borderId="0" xfId="59" applyFont="1" applyFill="1" applyBorder="1" applyAlignment="1" applyProtection="1">
      <alignment horizontal="center"/>
    </xf>
    <xf numFmtId="0" fontId="50" fillId="29" borderId="0" xfId="59" applyFont="1" applyFill="1" applyBorder="1" applyAlignment="1" applyProtection="1">
      <alignment horizontal="center"/>
    </xf>
    <xf numFmtId="0" fontId="59" fillId="29" borderId="0" xfId="59" applyFont="1" applyFill="1" applyBorder="1" applyAlignment="1" applyProtection="1">
      <alignment horizontal="center"/>
    </xf>
    <xf numFmtId="0" fontId="50" fillId="29" borderId="65" xfId="59" applyFont="1" applyFill="1" applyBorder="1" applyAlignment="1" applyProtection="1">
      <alignment horizontal="center"/>
    </xf>
    <xf numFmtId="164" fontId="50" fillId="29" borderId="65" xfId="59" applyNumberFormat="1" applyFont="1" applyFill="1" applyBorder="1" applyAlignment="1" applyProtection="1">
      <alignment horizontal="right"/>
    </xf>
    <xf numFmtId="0" fontId="50" fillId="29" borderId="11" xfId="59" applyFont="1" applyFill="1" applyBorder="1" applyAlignment="1" applyProtection="1">
      <alignment horizontal="center"/>
    </xf>
    <xf numFmtId="0" fontId="44" fillId="29" borderId="25" xfId="59" applyFont="1" applyFill="1" applyBorder="1" applyProtection="1"/>
    <xf numFmtId="0" fontId="44" fillId="29" borderId="28" xfId="59" applyFont="1" applyFill="1" applyBorder="1" applyProtection="1"/>
    <xf numFmtId="0" fontId="48" fillId="29" borderId="39" xfId="59" applyFont="1" applyFill="1" applyBorder="1" applyAlignment="1" applyProtection="1">
      <alignment horizontal="center"/>
    </xf>
    <xf numFmtId="164" fontId="44" fillId="29" borderId="38" xfId="59" applyNumberFormat="1" applyFont="1" applyFill="1" applyBorder="1"/>
    <xf numFmtId="0" fontId="50" fillId="29" borderId="45" xfId="59" applyFont="1" applyFill="1" applyBorder="1" applyAlignment="1" applyProtection="1">
      <alignment horizontal="right"/>
    </xf>
    <xf numFmtId="0" fontId="54" fillId="29" borderId="49" xfId="59" applyFont="1" applyFill="1" applyBorder="1" applyAlignment="1" applyProtection="1">
      <alignment horizontal="center" wrapText="1"/>
    </xf>
    <xf numFmtId="0" fontId="54" fillId="29" borderId="132" xfId="59" applyFont="1" applyFill="1" applyBorder="1" applyAlignment="1" applyProtection="1">
      <alignment horizontal="center" wrapText="1"/>
    </xf>
    <xf numFmtId="0" fontId="54" fillId="29" borderId="51" xfId="59" applyFont="1" applyFill="1" applyBorder="1" applyAlignment="1" applyProtection="1">
      <alignment horizontal="center" wrapText="1"/>
    </xf>
    <xf numFmtId="0" fontId="55" fillId="29" borderId="29" xfId="59" applyFont="1" applyFill="1" applyBorder="1" applyAlignment="1" applyProtection="1">
      <alignment horizontal="center"/>
    </xf>
    <xf numFmtId="164" fontId="50" fillId="29" borderId="28" xfId="59" applyNumberFormat="1" applyFont="1" applyFill="1" applyBorder="1" applyProtection="1"/>
    <xf numFmtId="164" fontId="50" fillId="29" borderId="53" xfId="59" applyNumberFormat="1" applyFont="1" applyFill="1" applyBorder="1" applyProtection="1"/>
    <xf numFmtId="0" fontId="50" fillId="29" borderId="29" xfId="59" quotePrefix="1" applyFont="1" applyFill="1" applyBorder="1" applyAlignment="1" applyProtection="1">
      <alignment horizontal="left"/>
    </xf>
    <xf numFmtId="164" fontId="56" fillId="29" borderId="35" xfId="59" quotePrefix="1" applyNumberFormat="1" applyFont="1" applyFill="1" applyBorder="1" applyAlignment="1" applyProtection="1"/>
    <xf numFmtId="164" fontId="56" fillId="29" borderId="29" xfId="59" applyNumberFormat="1" applyFont="1" applyFill="1" applyBorder="1" applyAlignment="1" applyProtection="1">
      <alignment horizontal="center"/>
    </xf>
    <xf numFmtId="164" fontId="56" fillId="29" borderId="54" xfId="59" applyNumberFormat="1" applyFont="1" applyFill="1" applyBorder="1" applyAlignment="1" applyProtection="1">
      <alignment horizontal="center"/>
    </xf>
    <xf numFmtId="0" fontId="66" fillId="29" borderId="26" xfId="59" applyFont="1" applyFill="1" applyBorder="1" applyProtection="1"/>
    <xf numFmtId="164" fontId="66" fillId="29" borderId="54" xfId="59" applyNumberFormat="1" applyFont="1" applyFill="1" applyBorder="1" applyAlignment="1" applyProtection="1">
      <alignment horizontal="center"/>
    </xf>
    <xf numFmtId="0" fontId="66" fillId="29" borderId="29" xfId="59" applyFont="1" applyFill="1" applyBorder="1" applyAlignment="1" applyProtection="1">
      <alignment horizontal="center"/>
    </xf>
    <xf numFmtId="0" fontId="50" fillId="29" borderId="28" xfId="59" quotePrefix="1" applyFont="1" applyFill="1" applyBorder="1" applyAlignment="1" applyProtection="1">
      <alignment horizontal="left"/>
    </xf>
    <xf numFmtId="164" fontId="56" fillId="29" borderId="29" xfId="59" quotePrefix="1" applyNumberFormat="1" applyFont="1" applyFill="1" applyBorder="1" applyAlignment="1" applyProtection="1">
      <alignment horizontal="center"/>
    </xf>
    <xf numFmtId="164" fontId="56" fillId="29" borderId="54" xfId="59" quotePrefix="1" applyNumberFormat="1" applyFont="1" applyFill="1" applyBorder="1" applyAlignment="1" applyProtection="1">
      <alignment horizontal="center"/>
    </xf>
    <xf numFmtId="164" fontId="56" fillId="29" borderId="39" xfId="59" quotePrefix="1" applyNumberFormat="1" applyFont="1" applyFill="1" applyBorder="1" applyAlignment="1" applyProtection="1"/>
    <xf numFmtId="164" fontId="56" fillId="29" borderId="45" xfId="59" applyNumberFormat="1" applyFont="1" applyFill="1" applyBorder="1" applyAlignment="1" applyProtection="1">
      <alignment horizontal="center"/>
    </xf>
    <xf numFmtId="164" fontId="56" fillId="29" borderId="45" xfId="59" quotePrefix="1" applyNumberFormat="1" applyFont="1" applyFill="1" applyBorder="1" applyAlignment="1" applyProtection="1">
      <alignment horizontal="center"/>
    </xf>
    <xf numFmtId="164" fontId="66" fillId="29" borderId="55" xfId="59" quotePrefix="1" applyNumberFormat="1" applyFont="1" applyFill="1" applyBorder="1" applyAlignment="1" applyProtection="1">
      <alignment horizontal="center"/>
    </xf>
    <xf numFmtId="0" fontId="66" fillId="29" borderId="29" xfId="59" quotePrefix="1" applyFont="1" applyFill="1" applyBorder="1" applyAlignment="1" applyProtection="1">
      <alignment horizontal="center"/>
    </xf>
    <xf numFmtId="164" fontId="56" fillId="29" borderId="33" xfId="59" quotePrefix="1" applyNumberFormat="1" applyFont="1" applyFill="1" applyBorder="1" applyAlignment="1" applyProtection="1"/>
    <xf numFmtId="164" fontId="56" fillId="29" borderId="28" xfId="59" applyNumberFormat="1" applyFont="1" applyFill="1" applyBorder="1" applyAlignment="1" applyProtection="1">
      <alignment horizontal="center"/>
    </xf>
    <xf numFmtId="164" fontId="56" fillId="29" borderId="53" xfId="59" applyNumberFormat="1" applyFont="1" applyFill="1" applyBorder="1" applyAlignment="1" applyProtection="1">
      <alignment horizontal="center"/>
    </xf>
    <xf numFmtId="0" fontId="50" fillId="29" borderId="29" xfId="59" applyFont="1" applyFill="1" applyBorder="1" applyAlignment="1" applyProtection="1">
      <alignment horizontal="left"/>
    </xf>
    <xf numFmtId="164" fontId="50" fillId="29" borderId="35" xfId="59" quotePrefix="1" applyNumberFormat="1" applyFont="1" applyFill="1" applyBorder="1" applyAlignment="1" applyProtection="1"/>
    <xf numFmtId="164" fontId="50" fillId="29" borderId="29" xfId="59" applyNumberFormat="1" applyFont="1" applyFill="1" applyBorder="1" applyAlignment="1" applyProtection="1">
      <alignment horizontal="center"/>
    </xf>
    <xf numFmtId="164" fontId="50" fillId="29" borderId="54" xfId="59" applyNumberFormat="1" applyFont="1" applyFill="1" applyBorder="1" applyAlignment="1" applyProtection="1">
      <alignment horizontal="center"/>
    </xf>
    <xf numFmtId="164" fontId="59" fillId="29" borderId="54" xfId="59" applyNumberFormat="1" applyFont="1" applyFill="1" applyBorder="1" applyAlignment="1" applyProtection="1">
      <alignment horizontal="center"/>
    </xf>
    <xf numFmtId="0" fontId="59" fillId="29" borderId="29" xfId="59" applyFont="1" applyFill="1" applyBorder="1" applyAlignment="1" applyProtection="1">
      <alignment horizontal="center"/>
    </xf>
    <xf numFmtId="0" fontId="59" fillId="29" borderId="29" xfId="59" applyFont="1" applyFill="1" applyBorder="1" applyAlignment="1" applyProtection="1">
      <alignment horizontal="left"/>
    </xf>
    <xf numFmtId="164" fontId="56" fillId="29" borderId="29" xfId="59" applyNumberFormat="1" applyFont="1" applyFill="1" applyBorder="1" applyProtection="1"/>
    <xf numFmtId="164" fontId="66" fillId="29" borderId="54" xfId="59" applyNumberFormat="1" applyFont="1" applyFill="1" applyBorder="1" applyProtection="1"/>
    <xf numFmtId="164" fontId="50" fillId="29" borderId="33" xfId="59" quotePrefix="1" applyNumberFormat="1" applyFont="1" applyFill="1" applyBorder="1" applyAlignment="1" applyProtection="1"/>
    <xf numFmtId="164" fontId="50" fillId="29" borderId="28" xfId="59" applyNumberFormat="1" applyFont="1" applyFill="1" applyBorder="1" applyAlignment="1" applyProtection="1">
      <alignment horizontal="center"/>
    </xf>
    <xf numFmtId="164" fontId="56" fillId="29" borderId="50" xfId="59" quotePrefix="1" applyNumberFormat="1" applyFont="1" applyFill="1" applyBorder="1" applyAlignment="1" applyProtection="1"/>
    <xf numFmtId="164" fontId="66" fillId="29" borderId="67" xfId="59" applyNumberFormat="1" applyFont="1" applyFill="1" applyBorder="1" applyProtection="1"/>
    <xf numFmtId="0" fontId="54" fillId="29" borderId="35" xfId="59" quotePrefix="1" applyFont="1" applyFill="1" applyBorder="1" applyAlignment="1" applyProtection="1">
      <alignment horizontal="center"/>
    </xf>
    <xf numFmtId="0" fontId="54" fillId="29" borderId="0" xfId="59" quotePrefix="1" applyFont="1" applyFill="1" applyBorder="1" applyAlignment="1" applyProtection="1">
      <alignment horizontal="center"/>
    </xf>
    <xf numFmtId="0" fontId="54" fillId="29" borderId="4" xfId="59" applyFont="1" applyFill="1" applyBorder="1" applyAlignment="1" applyProtection="1">
      <alignment horizontal="center"/>
    </xf>
    <xf numFmtId="0" fontId="54" fillId="29" borderId="54" xfId="59" quotePrefix="1" applyFont="1" applyFill="1" applyBorder="1" applyAlignment="1" applyProtection="1">
      <alignment horizontal="center"/>
    </xf>
    <xf numFmtId="0" fontId="64" fillId="29" borderId="29" xfId="59" quotePrefix="1" applyFont="1" applyFill="1" applyBorder="1" applyAlignment="1" applyProtection="1">
      <alignment horizontal="right"/>
    </xf>
    <xf numFmtId="0" fontId="56" fillId="29" borderId="32" xfId="59" applyFont="1" applyFill="1" applyBorder="1" applyAlignment="1" applyProtection="1">
      <alignment horizontal="left"/>
    </xf>
    <xf numFmtId="0" fontId="50" fillId="29" borderId="25" xfId="59" applyFont="1" applyFill="1" applyBorder="1" applyAlignment="1" applyProtection="1">
      <alignment horizontal="right"/>
    </xf>
    <xf numFmtId="0" fontId="59" fillId="29" borderId="28" xfId="59" applyFont="1" applyFill="1" applyBorder="1" applyAlignment="1" applyProtection="1">
      <alignment horizontal="right"/>
    </xf>
    <xf numFmtId="0" fontId="50" fillId="29" borderId="27" xfId="59" applyFont="1" applyFill="1" applyBorder="1" applyAlignment="1" applyProtection="1">
      <alignment horizontal="right"/>
    </xf>
    <xf numFmtId="0" fontId="50" fillId="29" borderId="28" xfId="59" applyFont="1" applyFill="1" applyBorder="1" applyAlignment="1" applyProtection="1">
      <alignment horizontal="right"/>
    </xf>
    <xf numFmtId="0" fontId="59" fillId="29" borderId="53" xfId="59" applyFont="1" applyFill="1" applyBorder="1" applyAlignment="1" applyProtection="1">
      <alignment horizontal="right"/>
    </xf>
    <xf numFmtId="165" fontId="0" fillId="29" borderId="35" xfId="75" applyNumberFormat="1" applyFont="1" applyFill="1" applyBorder="1" applyAlignment="1">
      <alignment horizontal="center"/>
    </xf>
    <xf numFmtId="0" fontId="50" fillId="29" borderId="37" xfId="59" applyFont="1" applyFill="1" applyBorder="1" applyAlignment="1" applyProtection="1">
      <alignment horizontal="left"/>
    </xf>
    <xf numFmtId="0" fontId="50" fillId="29" borderId="38" xfId="59" applyFont="1" applyFill="1" applyBorder="1" applyAlignment="1" applyProtection="1">
      <alignment horizontal="right"/>
    </xf>
    <xf numFmtId="165" fontId="0" fillId="29" borderId="39" xfId="75" applyNumberFormat="1" applyFont="1" applyFill="1" applyBorder="1" applyAlignment="1">
      <alignment horizontal="center"/>
    </xf>
    <xf numFmtId="164" fontId="50" fillId="29" borderId="45" xfId="59" applyNumberFormat="1" applyFont="1" applyFill="1" applyBorder="1" applyAlignment="1" applyProtection="1">
      <alignment horizontal="right"/>
    </xf>
    <xf numFmtId="164" fontId="50" fillId="29" borderId="44" xfId="59" applyNumberFormat="1" applyFont="1" applyFill="1" applyBorder="1" applyAlignment="1" applyProtection="1">
      <alignment horizontal="right"/>
    </xf>
    <xf numFmtId="164" fontId="50" fillId="29" borderId="55" xfId="59" applyNumberFormat="1" applyFont="1" applyFill="1" applyBorder="1" applyAlignment="1" applyProtection="1">
      <alignment horizontal="right"/>
    </xf>
    <xf numFmtId="0" fontId="56" fillId="29" borderId="0" xfId="59" applyFont="1" applyFill="1" applyBorder="1" applyAlignment="1" applyProtection="1">
      <alignment horizontal="right"/>
    </xf>
    <xf numFmtId="164" fontId="56" fillId="29" borderId="29" xfId="59" applyNumberFormat="1" applyFont="1" applyFill="1" applyBorder="1" applyAlignment="1" applyProtection="1">
      <alignment horizontal="right"/>
    </xf>
    <xf numFmtId="164" fontId="56" fillId="29" borderId="54" xfId="59" applyNumberFormat="1" applyFont="1" applyFill="1" applyBorder="1" applyAlignment="1" applyProtection="1">
      <alignment horizontal="right"/>
    </xf>
    <xf numFmtId="0" fontId="0" fillId="29" borderId="33" xfId="59" applyFont="1" applyFill="1" applyBorder="1" applyAlignment="1">
      <alignment horizontal="center"/>
    </xf>
    <xf numFmtId="164" fontId="50" fillId="29" borderId="28" xfId="59" applyNumberFormat="1" applyFont="1" applyFill="1" applyBorder="1" applyAlignment="1" applyProtection="1">
      <alignment horizontal="right"/>
    </xf>
    <xf numFmtId="164" fontId="50" fillId="29" borderId="53" xfId="59" applyNumberFormat="1" applyFont="1" applyFill="1" applyBorder="1" applyAlignment="1" applyProtection="1">
      <alignment horizontal="right"/>
    </xf>
    <xf numFmtId="164" fontId="49" fillId="36" borderId="84" xfId="59" applyNumberFormat="1" applyFont="1" applyFill="1" applyBorder="1" applyAlignment="1">
      <alignment horizontal="right"/>
    </xf>
    <xf numFmtId="164" fontId="49" fillId="36" borderId="109" xfId="59" applyNumberFormat="1" applyFont="1" applyFill="1" applyBorder="1" applyAlignment="1">
      <alignment horizontal="right"/>
    </xf>
    <xf numFmtId="0" fontId="44" fillId="0" borderId="0" xfId="59" applyFont="1" applyFill="1" applyAlignment="1">
      <alignment horizontal="center"/>
    </xf>
    <xf numFmtId="0" fontId="44" fillId="0" borderId="0" xfId="59" applyFont="1" applyFill="1"/>
    <xf numFmtId="0" fontId="44" fillId="0" borderId="0" xfId="59" applyFont="1" applyFill="1" applyBorder="1" applyAlignment="1">
      <alignment horizontal="center"/>
    </xf>
    <xf numFmtId="0" fontId="44" fillId="36" borderId="0" xfId="59" applyFont="1" applyFill="1" applyBorder="1" applyAlignment="1">
      <alignment horizontal="center"/>
    </xf>
    <xf numFmtId="0" fontId="44" fillId="36" borderId="0" xfId="59" applyFont="1" applyFill="1" applyBorder="1" applyAlignment="1">
      <alignment horizontal="right"/>
    </xf>
    <xf numFmtId="2" fontId="44" fillId="36" borderId="0" xfId="59" applyNumberFormat="1" applyFont="1" applyFill="1" applyBorder="1" applyAlignment="1">
      <alignment horizontal="right"/>
    </xf>
    <xf numFmtId="164" fontId="44" fillId="36" borderId="83" xfId="59" applyNumberFormat="1" applyFont="1" applyFill="1" applyBorder="1" applyAlignment="1">
      <alignment horizontal="right"/>
    </xf>
    <xf numFmtId="0" fontId="17" fillId="0" borderId="0" xfId="59" applyFont="1" applyAlignment="1">
      <alignment horizontal="center"/>
    </xf>
    <xf numFmtId="0" fontId="0" fillId="0" borderId="0" xfId="59" applyFont="1" applyAlignment="1">
      <alignment horizontal="left" vertical="center" wrapText="1"/>
    </xf>
    <xf numFmtId="0" fontId="48" fillId="0" borderId="49" xfId="59" applyFont="1" applyBorder="1" applyAlignment="1">
      <alignment horizontal="center" vertical="center" wrapText="1"/>
    </xf>
    <xf numFmtId="0" fontId="44" fillId="0" borderId="0" xfId="59" applyFont="1" applyBorder="1" applyAlignment="1">
      <alignment horizontal="left" vertical="center" wrapText="1"/>
    </xf>
    <xf numFmtId="0" fontId="44" fillId="0" borderId="0" xfId="59" applyFont="1" applyBorder="1" applyAlignment="1">
      <alignment horizontal="center" vertical="center" wrapText="1"/>
    </xf>
    <xf numFmtId="0" fontId="17" fillId="0" borderId="0" xfId="59" applyFont="1" applyAlignment="1">
      <alignment horizontal="left"/>
    </xf>
    <xf numFmtId="0" fontId="20" fillId="0" borderId="0" xfId="59" applyFont="1" applyAlignment="1">
      <alignment horizontal="left"/>
    </xf>
    <xf numFmtId="166" fontId="0" fillId="29" borderId="38" xfId="59" applyNumberFormat="1" applyFont="1" applyFill="1" applyBorder="1"/>
    <xf numFmtId="2" fontId="44" fillId="0" borderId="88" xfId="59" applyNumberFormat="1" applyFont="1" applyBorder="1"/>
    <xf numFmtId="2" fontId="44" fillId="0" borderId="0" xfId="59" applyNumberFormat="1" applyFont="1" applyBorder="1"/>
    <xf numFmtId="2" fontId="44" fillId="38" borderId="0" xfId="59" applyNumberFormat="1" applyFont="1" applyFill="1" applyBorder="1"/>
    <xf numFmtId="2" fontId="44" fillId="0" borderId="90" xfId="59" applyNumberFormat="1" applyFont="1" applyBorder="1"/>
    <xf numFmtId="2" fontId="44" fillId="30" borderId="0" xfId="59" applyNumberFormat="1" applyFont="1" applyFill="1" applyBorder="1"/>
    <xf numFmtId="0" fontId="84" fillId="0" borderId="0" xfId="59" applyFont="1" applyAlignment="1">
      <alignment horizontal="center"/>
    </xf>
    <xf numFmtId="164" fontId="71" fillId="0" borderId="79" xfId="59" applyNumberFormat="1" applyFont="1" applyFill="1" applyBorder="1" applyAlignment="1">
      <alignment horizontal="right"/>
    </xf>
    <xf numFmtId="166" fontId="65" fillId="36" borderId="79" xfId="59" applyNumberFormat="1" applyFont="1" applyFill="1" applyBorder="1" applyAlignment="1">
      <alignment horizontal="right"/>
    </xf>
    <xf numFmtId="2" fontId="44" fillId="0" borderId="0" xfId="59" applyNumberFormat="1" applyFont="1"/>
    <xf numFmtId="0" fontId="44" fillId="0" borderId="0" xfId="59" applyNumberFormat="1" applyFont="1" applyAlignment="1"/>
    <xf numFmtId="2" fontId="44" fillId="0" borderId="0" xfId="75" applyNumberFormat="1" applyFont="1" applyAlignment="1"/>
    <xf numFmtId="0" fontId="75" fillId="0" borderId="0" xfId="59" applyNumberFormat="1" applyFont="1" applyFill="1" applyAlignment="1"/>
    <xf numFmtId="0" fontId="44" fillId="0" borderId="0" xfId="59" applyNumberFormat="1" applyFont="1" applyAlignment="1">
      <alignment vertical="center"/>
    </xf>
    <xf numFmtId="0" fontId="44" fillId="0" borderId="0" xfId="59" applyNumberFormat="1" applyFont="1" applyFill="1" applyAlignment="1"/>
    <xf numFmtId="0" fontId="48" fillId="0" borderId="0" xfId="59" applyNumberFormat="1" applyFont="1" applyBorder="1" applyAlignment="1"/>
    <xf numFmtId="0" fontId="44" fillId="0" borderId="0" xfId="59" applyNumberFormat="1" applyFont="1" applyFill="1" applyBorder="1" applyAlignment="1"/>
    <xf numFmtId="0" fontId="75" fillId="0" borderId="0" xfId="59" applyNumberFormat="1" applyFont="1" applyAlignment="1"/>
    <xf numFmtId="0" fontId="19" fillId="0" borderId="0" xfId="59" applyNumberFormat="1" applyFont="1" applyAlignment="1"/>
    <xf numFmtId="0" fontId="75" fillId="0" borderId="0" xfId="59" applyNumberFormat="1" applyFont="1" applyFill="1" applyBorder="1" applyAlignment="1"/>
    <xf numFmtId="0" fontId="0" fillId="0" borderId="0" xfId="59" applyNumberFormat="1" applyFont="1"/>
    <xf numFmtId="0" fontId="44" fillId="0" borderId="0" xfId="59" applyNumberFormat="1" applyFont="1" applyBorder="1" applyAlignment="1"/>
    <xf numFmtId="0" fontId="0" fillId="0" borderId="0" xfId="59" applyNumberFormat="1" applyFont="1" applyBorder="1"/>
    <xf numFmtId="0" fontId="44" fillId="0" borderId="0" xfId="59" applyNumberFormat="1" applyFont="1"/>
    <xf numFmtId="0" fontId="75" fillId="0" borderId="0" xfId="59" applyNumberFormat="1" applyFont="1"/>
    <xf numFmtId="0" fontId="44" fillId="0" borderId="0" xfId="59" applyNumberFormat="1" applyFont="1" applyBorder="1"/>
    <xf numFmtId="2" fontId="44" fillId="36" borderId="83" xfId="59" applyNumberFormat="1" applyFont="1" applyFill="1" applyBorder="1" applyAlignment="1">
      <alignment horizontal="right"/>
    </xf>
    <xf numFmtId="2" fontId="48" fillId="38" borderId="0" xfId="59" applyNumberFormat="1" applyFont="1" applyFill="1" applyBorder="1"/>
    <xf numFmtId="167" fontId="56" fillId="0" borderId="0" xfId="59" applyNumberFormat="1" applyFont="1" applyAlignment="1"/>
    <xf numFmtId="164" fontId="44" fillId="56" borderId="0" xfId="59" applyNumberFormat="1" applyFont="1" applyFill="1" applyBorder="1" applyAlignment="1"/>
    <xf numFmtId="2" fontId="44" fillId="0" borderId="84" xfId="59" applyNumberFormat="1" applyFont="1" applyBorder="1" applyAlignment="1"/>
    <xf numFmtId="2" fontId="56" fillId="37" borderId="84" xfId="59" applyNumberFormat="1" applyFont="1" applyFill="1" applyBorder="1" applyAlignment="1"/>
    <xf numFmtId="2" fontId="44" fillId="32" borderId="84" xfId="59" applyNumberFormat="1" applyFont="1" applyFill="1" applyBorder="1" applyAlignment="1"/>
    <xf numFmtId="2" fontId="56" fillId="32" borderId="0" xfId="59" applyNumberFormat="1" applyFont="1" applyFill="1" applyBorder="1" applyAlignment="1"/>
    <xf numFmtId="2" fontId="48" fillId="0" borderId="0" xfId="75" applyNumberFormat="1" applyFont="1" applyAlignment="1"/>
    <xf numFmtId="2" fontId="44" fillId="32" borderId="0" xfId="59" applyNumberFormat="1" applyFont="1" applyFill="1" applyBorder="1" applyAlignment="1"/>
    <xf numFmtId="2" fontId="44" fillId="0" borderId="88" xfId="59" applyNumberFormat="1" applyFont="1" applyBorder="1" applyAlignment="1">
      <alignment horizontal="right"/>
    </xf>
    <xf numFmtId="2" fontId="44" fillId="0" borderId="0" xfId="59" applyNumberFormat="1" applyFont="1" applyBorder="1" applyAlignment="1">
      <alignment horizontal="right"/>
    </xf>
    <xf numFmtId="2" fontId="44" fillId="0" borderId="90" xfId="59" applyNumberFormat="1" applyFont="1" applyBorder="1" applyAlignment="1">
      <alignment horizontal="right"/>
    </xf>
    <xf numFmtId="1" fontId="44" fillId="0" borderId="0" xfId="59" applyNumberFormat="1" applyFont="1" applyBorder="1" applyAlignment="1">
      <alignment horizontal="right"/>
    </xf>
    <xf numFmtId="0" fontId="0" fillId="30" borderId="0" xfId="59" applyFont="1" applyFill="1" applyBorder="1" applyAlignment="1">
      <alignment horizontal="right"/>
    </xf>
    <xf numFmtId="166" fontId="75" fillId="36" borderId="0" xfId="59" applyNumberFormat="1" applyFont="1" applyFill="1" applyAlignment="1">
      <alignment horizontal="right"/>
    </xf>
    <xf numFmtId="2" fontId="0" fillId="30" borderId="0" xfId="59" applyNumberFormat="1" applyFont="1" applyFill="1" applyBorder="1" applyAlignment="1">
      <alignment horizontal="right"/>
    </xf>
    <xf numFmtId="1" fontId="44" fillId="0" borderId="100" xfId="59" applyNumberFormat="1" applyFont="1" applyBorder="1" applyAlignment="1">
      <alignment horizontal="right"/>
    </xf>
    <xf numFmtId="2" fontId="44" fillId="0" borderId="100" xfId="59" applyNumberFormat="1" applyFont="1" applyBorder="1" applyAlignment="1">
      <alignment horizontal="right"/>
    </xf>
    <xf numFmtId="0" fontId="44" fillId="0" borderId="12" xfId="59" applyFont="1" applyBorder="1" applyAlignment="1">
      <alignment horizontal="left"/>
    </xf>
    <xf numFmtId="1" fontId="44" fillId="0" borderId="12" xfId="59" applyNumberFormat="1" applyFont="1" applyBorder="1" applyAlignment="1">
      <alignment horizontal="right"/>
    </xf>
    <xf numFmtId="2" fontId="44" fillId="0" borderId="12" xfId="59" applyNumberFormat="1" applyFont="1" applyBorder="1" applyAlignment="1">
      <alignment horizontal="right"/>
    </xf>
    <xf numFmtId="166" fontId="74" fillId="36" borderId="0" xfId="59" applyNumberFormat="1" applyFont="1" applyFill="1" applyAlignment="1">
      <alignment horizontal="right"/>
    </xf>
    <xf numFmtId="2" fontId="48" fillId="0" borderId="88" xfId="59" applyNumberFormat="1" applyFont="1" applyBorder="1" applyAlignment="1">
      <alignment horizontal="right"/>
    </xf>
    <xf numFmtId="2" fontId="48" fillId="0" borderId="90" xfId="59" applyNumberFormat="1" applyFont="1" applyBorder="1" applyAlignment="1">
      <alignment horizontal="right"/>
    </xf>
    <xf numFmtId="2" fontId="48" fillId="0" borderId="100" xfId="59" applyNumberFormat="1" applyFont="1" applyBorder="1" applyAlignment="1">
      <alignment horizontal="right"/>
    </xf>
    <xf numFmtId="2" fontId="48" fillId="0" borderId="12" xfId="59" applyNumberFormat="1" applyFont="1" applyBorder="1" applyAlignment="1">
      <alignment horizontal="right"/>
    </xf>
    <xf numFmtId="0" fontId="29" fillId="36" borderId="0" xfId="51" applyFill="1" applyBorder="1" applyAlignment="1" applyProtection="1"/>
    <xf numFmtId="165" fontId="75" fillId="36" borderId="0" xfId="75" applyNumberFormat="1" applyFont="1" applyFill="1" applyBorder="1" applyAlignment="1">
      <alignment horizontal="right"/>
    </xf>
    <xf numFmtId="165" fontId="44" fillId="0" borderId="0" xfId="59" applyNumberFormat="1" applyFont="1" applyAlignment="1"/>
    <xf numFmtId="0" fontId="75" fillId="38" borderId="0" xfId="59" applyFont="1" applyFill="1" applyBorder="1" applyAlignment="1">
      <alignment horizontal="left"/>
    </xf>
    <xf numFmtId="165" fontId="75" fillId="38" borderId="0" xfId="75" applyNumberFormat="1" applyFont="1" applyFill="1" applyBorder="1" applyAlignment="1">
      <alignment horizontal="right"/>
    </xf>
    <xf numFmtId="0" fontId="75" fillId="38" borderId="90" xfId="59" applyFont="1" applyFill="1" applyBorder="1" applyAlignment="1">
      <alignment horizontal="left"/>
    </xf>
    <xf numFmtId="164" fontId="75" fillId="38" borderId="90" xfId="59" applyNumberFormat="1" applyFont="1" applyFill="1" applyBorder="1" applyAlignment="1"/>
    <xf numFmtId="1" fontId="50" fillId="32" borderId="80" xfId="59" applyNumberFormat="1" applyFont="1" applyFill="1" applyBorder="1" applyAlignment="1"/>
    <xf numFmtId="1" fontId="44" fillId="32" borderId="80" xfId="59" applyNumberFormat="1" applyFont="1" applyFill="1" applyBorder="1" applyAlignment="1"/>
    <xf numFmtId="164" fontId="74" fillId="36" borderId="0" xfId="59" applyNumberFormat="1" applyFont="1" applyFill="1" applyBorder="1" applyAlignment="1">
      <alignment horizontal="right"/>
    </xf>
    <xf numFmtId="165" fontId="74" fillId="36" borderId="0" xfId="75" applyNumberFormat="1" applyFont="1" applyFill="1" applyBorder="1" applyAlignment="1">
      <alignment horizontal="right"/>
    </xf>
    <xf numFmtId="164" fontId="134" fillId="36" borderId="0" xfId="59" applyNumberFormat="1" applyFont="1" applyFill="1" applyBorder="1" applyAlignment="1">
      <alignment horizontal="right"/>
    </xf>
    <xf numFmtId="164" fontId="48" fillId="0" borderId="88" xfId="59" applyNumberFormat="1" applyFont="1" applyBorder="1" applyAlignment="1"/>
    <xf numFmtId="164" fontId="48" fillId="0" borderId="90" xfId="59" applyNumberFormat="1" applyFont="1" applyBorder="1" applyAlignment="1"/>
    <xf numFmtId="165" fontId="48" fillId="0" borderId="25" xfId="75" applyNumberFormat="1" applyFont="1" applyBorder="1" applyAlignment="1"/>
    <xf numFmtId="165" fontId="48" fillId="0" borderId="0" xfId="75" applyNumberFormat="1" applyFont="1" applyBorder="1" applyAlignment="1"/>
    <xf numFmtId="165" fontId="48" fillId="0" borderId="38" xfId="75" applyNumberFormat="1" applyFont="1" applyBorder="1" applyAlignment="1"/>
    <xf numFmtId="165" fontId="48" fillId="30" borderId="0" xfId="75" applyNumberFormat="1" applyFont="1" applyFill="1" applyBorder="1" applyAlignment="1"/>
    <xf numFmtId="165" fontId="74" fillId="38" borderId="0" xfId="75" applyNumberFormat="1" applyFont="1" applyFill="1" applyBorder="1" applyAlignment="1">
      <alignment horizontal="right"/>
    </xf>
    <xf numFmtId="165" fontId="134" fillId="36" borderId="0" xfId="75" applyNumberFormat="1" applyFont="1" applyFill="1" applyBorder="1" applyAlignment="1"/>
    <xf numFmtId="164" fontId="134" fillId="38" borderId="0" xfId="59" applyNumberFormat="1" applyFont="1" applyFill="1" applyBorder="1" applyAlignment="1"/>
    <xf numFmtId="165" fontId="48" fillId="0" borderId="38" xfId="75" applyNumberFormat="1" applyFont="1" applyFill="1" applyBorder="1" applyAlignment="1"/>
    <xf numFmtId="165" fontId="56" fillId="30" borderId="0" xfId="75" applyNumberFormat="1" applyFont="1" applyFill="1" applyAlignment="1">
      <alignment vertical="center"/>
    </xf>
    <xf numFmtId="2" fontId="74" fillId="36" borderId="0" xfId="59" applyNumberFormat="1" applyFont="1" applyFill="1" applyBorder="1" applyAlignment="1">
      <alignment horizontal="right"/>
    </xf>
    <xf numFmtId="2" fontId="134" fillId="36" borderId="0" xfId="59" applyNumberFormat="1" applyFont="1" applyFill="1" applyBorder="1" applyAlignment="1">
      <alignment horizontal="right"/>
    </xf>
    <xf numFmtId="2" fontId="48" fillId="48" borderId="84" xfId="59" applyNumberFormat="1" applyFont="1" applyFill="1" applyBorder="1" applyAlignment="1">
      <alignment horizontal="right"/>
    </xf>
    <xf numFmtId="2" fontId="48" fillId="48" borderId="0" xfId="59" applyNumberFormat="1" applyFont="1" applyFill="1" applyBorder="1" applyAlignment="1">
      <alignment horizontal="right"/>
    </xf>
    <xf numFmtId="2" fontId="56" fillId="48" borderId="79" xfId="59" applyNumberFormat="1" applyFont="1" applyFill="1" applyBorder="1" applyAlignment="1">
      <alignment horizontal="right"/>
    </xf>
    <xf numFmtId="0" fontId="29" fillId="36" borderId="0" xfId="51" applyFill="1" applyBorder="1" applyAlignment="1" applyProtection="1">
      <alignment horizontal="left"/>
    </xf>
    <xf numFmtId="14" fontId="0" fillId="0" borderId="0" xfId="59" applyNumberFormat="1" applyFont="1"/>
    <xf numFmtId="1" fontId="0" fillId="57" borderId="0" xfId="59" applyNumberFormat="1" applyFont="1" applyFill="1" applyBorder="1" applyProtection="1"/>
    <xf numFmtId="2" fontId="48" fillId="0" borderId="88" xfId="59" applyNumberFormat="1" applyFont="1" applyFill="1" applyBorder="1" applyAlignment="1"/>
    <xf numFmtId="2" fontId="48" fillId="0" borderId="0" xfId="59" applyNumberFormat="1" applyFont="1" applyFill="1" applyBorder="1" applyAlignment="1"/>
    <xf numFmtId="1" fontId="44" fillId="0" borderId="25" xfId="59" applyNumberFormat="1" applyFont="1" applyBorder="1" applyAlignment="1"/>
    <xf numFmtId="2" fontId="44" fillId="0" borderId="25" xfId="59" applyNumberFormat="1" applyFont="1" applyBorder="1" applyAlignment="1"/>
    <xf numFmtId="2" fontId="44" fillId="0" borderId="28" xfId="59" applyNumberFormat="1" applyFont="1" applyBorder="1" applyAlignment="1"/>
    <xf numFmtId="2" fontId="44" fillId="1" borderId="29" xfId="59" applyNumberFormat="1" applyFont="1" applyFill="1" applyBorder="1" applyAlignment="1"/>
    <xf numFmtId="2" fontId="44" fillId="0" borderId="45" xfId="59" applyNumberFormat="1" applyFont="1" applyBorder="1" applyAlignment="1"/>
    <xf numFmtId="165" fontId="0" fillId="0" borderId="0" xfId="75" applyNumberFormat="1" applyFont="1" applyBorder="1" applyProtection="1"/>
    <xf numFmtId="2" fontId="0" fillId="0" borderId="0" xfId="59" applyNumberFormat="1" applyFont="1"/>
    <xf numFmtId="164" fontId="48" fillId="0" borderId="0" xfId="59" applyNumberFormat="1" applyFont="1" applyBorder="1" applyAlignment="1">
      <alignment horizontal="right"/>
    </xf>
    <xf numFmtId="0" fontId="17" fillId="0" borderId="84" xfId="59" applyFont="1" applyBorder="1" applyAlignment="1">
      <alignment horizontal="center"/>
    </xf>
    <xf numFmtId="164" fontId="0" fillId="1" borderId="84" xfId="59" applyNumberFormat="1" applyFont="1" applyFill="1" applyBorder="1"/>
    <xf numFmtId="165" fontId="48" fillId="30" borderId="0" xfId="75" applyNumberFormat="1" applyFont="1" applyFill="1" applyAlignment="1"/>
    <xf numFmtId="0" fontId="0" fillId="30" borderId="0" xfId="59" applyNumberFormat="1" applyFont="1" applyFill="1" applyBorder="1" applyAlignment="1" applyProtection="1">
      <alignment horizontal="right"/>
    </xf>
    <xf numFmtId="1" fontId="71" fillId="0" borderId="0" xfId="59" applyNumberFormat="1" applyFont="1" applyBorder="1" applyProtection="1"/>
    <xf numFmtId="164" fontId="47" fillId="29" borderId="29" xfId="59" quotePrefix="1" applyNumberFormat="1" applyFont="1" applyFill="1" applyBorder="1" applyAlignment="1" applyProtection="1">
      <alignment horizontal="right"/>
    </xf>
    <xf numFmtId="164" fontId="47" fillId="29" borderId="45" xfId="59" quotePrefix="1" applyNumberFormat="1" applyFont="1" applyFill="1" applyBorder="1" applyAlignment="1" applyProtection="1">
      <alignment horizontal="right"/>
    </xf>
    <xf numFmtId="0" fontId="50" fillId="0" borderId="60" xfId="59" applyFont="1" applyFill="1" applyBorder="1" applyProtection="1"/>
    <xf numFmtId="164" fontId="50" fillId="0" borderId="60" xfId="59" applyNumberFormat="1" applyFont="1" applyFill="1" applyBorder="1" applyAlignment="1" applyProtection="1">
      <alignment horizontal="right"/>
    </xf>
    <xf numFmtId="164" fontId="56" fillId="0" borderId="4" xfId="59" applyNumberFormat="1" applyFont="1" applyFill="1" applyBorder="1" applyProtection="1"/>
    <xf numFmtId="0" fontId="44" fillId="29" borderId="26" xfId="59" applyFont="1" applyFill="1" applyBorder="1"/>
    <xf numFmtId="0" fontId="48" fillId="29" borderId="47" xfId="59" applyFont="1" applyFill="1" applyBorder="1"/>
    <xf numFmtId="0" fontId="48" fillId="29" borderId="48" xfId="59" applyFont="1" applyFill="1" applyBorder="1"/>
    <xf numFmtId="164" fontId="56" fillId="29" borderId="61" xfId="59" applyNumberFormat="1" applyFont="1" applyFill="1" applyBorder="1" applyProtection="1"/>
    <xf numFmtId="164" fontId="56" fillId="29" borderId="62" xfId="59" applyNumberFormat="1" applyFont="1" applyFill="1" applyBorder="1" applyProtection="1"/>
    <xf numFmtId="164" fontId="56" fillId="29" borderId="42" xfId="59" applyNumberFormat="1" applyFont="1" applyFill="1" applyBorder="1" applyAlignment="1" applyProtection="1">
      <alignment horizontal="right"/>
    </xf>
    <xf numFmtId="164" fontId="56" fillId="29" borderId="67" xfId="59" applyNumberFormat="1" applyFont="1" applyFill="1" applyBorder="1" applyAlignment="1" applyProtection="1">
      <alignment horizontal="right"/>
    </xf>
    <xf numFmtId="10" fontId="56" fillId="0" borderId="0" xfId="75" applyNumberFormat="1" applyFont="1" applyAlignment="1"/>
    <xf numFmtId="9" fontId="44" fillId="0" borderId="0" xfId="75" applyFont="1"/>
    <xf numFmtId="165" fontId="44" fillId="0" borderId="0" xfId="75" applyNumberFormat="1" applyFont="1"/>
    <xf numFmtId="165" fontId="48" fillId="0" borderId="0" xfId="75" applyNumberFormat="1" applyFont="1" applyFill="1"/>
    <xf numFmtId="10" fontId="0" fillId="30" borderId="0" xfId="75" applyNumberFormat="1" applyFont="1" applyFill="1"/>
    <xf numFmtId="10" fontId="56" fillId="0" borderId="0" xfId="75" applyNumberFormat="1" applyFont="1" applyFill="1" applyBorder="1" applyAlignment="1"/>
    <xf numFmtId="2" fontId="48" fillId="37" borderId="74" xfId="59" applyNumberFormat="1" applyFont="1" applyFill="1" applyBorder="1" applyProtection="1"/>
    <xf numFmtId="2" fontId="44" fillId="0" borderId="0" xfId="59" applyNumberFormat="1" applyFont="1" applyFill="1" applyAlignment="1"/>
    <xf numFmtId="164" fontId="83" fillId="38" borderId="131" xfId="59" applyNumberFormat="1" applyFont="1" applyFill="1" applyBorder="1" applyAlignment="1">
      <alignment horizontal="right"/>
    </xf>
    <xf numFmtId="164" fontId="83" fillId="38" borderId="130" xfId="59" applyNumberFormat="1" applyFont="1" applyFill="1" applyBorder="1" applyAlignment="1"/>
    <xf numFmtId="165" fontId="48" fillId="0" borderId="0" xfId="75" applyNumberFormat="1" applyFont="1" applyFill="1" applyBorder="1" applyAlignment="1"/>
    <xf numFmtId="164" fontId="50" fillId="29" borderId="64" xfId="59" applyNumberFormat="1" applyFont="1" applyFill="1" applyBorder="1" applyAlignment="1" applyProtection="1">
      <alignment horizontal="right"/>
    </xf>
    <xf numFmtId="166" fontId="48" fillId="0" borderId="0" xfId="59" applyNumberFormat="1" applyFont="1"/>
    <xf numFmtId="166" fontId="101" fillId="38" borderId="90" xfId="59" applyNumberFormat="1" applyFont="1" applyFill="1" applyBorder="1" applyAlignment="1"/>
    <xf numFmtId="164" fontId="44" fillId="0" borderId="88" xfId="59" applyNumberFormat="1" applyFont="1" applyBorder="1"/>
    <xf numFmtId="165" fontId="0" fillId="30" borderId="0" xfId="75" applyNumberFormat="1" applyFont="1" applyFill="1"/>
    <xf numFmtId="164" fontId="48" fillId="0" borderId="90" xfId="59" applyNumberFormat="1" applyFont="1" applyBorder="1" applyAlignment="1">
      <alignment horizontal="right"/>
    </xf>
    <xf numFmtId="164" fontId="48" fillId="0" borderId="88" xfId="59" applyNumberFormat="1" applyFont="1" applyBorder="1" applyAlignment="1">
      <alignment horizontal="right"/>
    </xf>
    <xf numFmtId="164" fontId="44" fillId="30" borderId="0" xfId="59" applyNumberFormat="1" applyFont="1" applyFill="1" applyBorder="1"/>
    <xf numFmtId="2" fontId="48" fillId="38" borderId="97" xfId="59" applyNumberFormat="1" applyFont="1" applyFill="1" applyBorder="1" applyAlignment="1">
      <alignment horizontal="center"/>
    </xf>
    <xf numFmtId="164" fontId="56" fillId="38" borderId="0" xfId="59" applyNumberFormat="1" applyFont="1" applyFill="1" applyBorder="1"/>
    <xf numFmtId="165" fontId="44" fillId="0" borderId="0" xfId="75" applyNumberFormat="1" applyFont="1" applyAlignment="1"/>
    <xf numFmtId="164" fontId="48" fillId="0" borderId="85" xfId="59" applyNumberFormat="1" applyFont="1" applyFill="1" applyBorder="1" applyAlignment="1">
      <alignment horizontal="right"/>
    </xf>
    <xf numFmtId="2" fontId="107" fillId="32" borderId="0" xfId="59" applyNumberFormat="1" applyFont="1" applyFill="1" applyBorder="1" applyAlignment="1">
      <alignment horizontal="right"/>
    </xf>
    <xf numFmtId="164" fontId="0" fillId="29" borderId="63" xfId="59" applyNumberFormat="1" applyFont="1" applyFill="1" applyBorder="1"/>
    <xf numFmtId="164" fontId="56" fillId="53" borderId="0" xfId="59" applyNumberFormat="1" applyFont="1" applyFill="1" applyBorder="1" applyAlignment="1"/>
    <xf numFmtId="164" fontId="44" fillId="0" borderId="100" xfId="59" applyNumberFormat="1" applyFont="1" applyFill="1" applyBorder="1" applyAlignment="1"/>
    <xf numFmtId="164" fontId="56" fillId="0" borderId="0" xfId="59" applyNumberFormat="1" applyFont="1"/>
    <xf numFmtId="166" fontId="44" fillId="0" borderId="84" xfId="59" applyNumberFormat="1" applyFont="1" applyBorder="1" applyAlignment="1"/>
    <xf numFmtId="0" fontId="56" fillId="0" borderId="0" xfId="59" applyFont="1" applyFill="1" applyAlignment="1"/>
    <xf numFmtId="166" fontId="44" fillId="0" borderId="0" xfId="59" applyNumberFormat="1" applyFont="1" applyFill="1" applyBorder="1" applyAlignment="1"/>
    <xf numFmtId="2" fontId="50" fillId="29" borderId="0" xfId="59" applyNumberFormat="1" applyFont="1" applyFill="1" applyBorder="1" applyProtection="1"/>
    <xf numFmtId="164" fontId="65" fillId="29" borderId="0" xfId="59" applyNumberFormat="1" applyFont="1" applyFill="1" applyBorder="1" applyProtection="1"/>
    <xf numFmtId="166" fontId="65" fillId="29" borderId="0" xfId="59" applyNumberFormat="1" applyFont="1" applyFill="1" applyBorder="1" applyProtection="1"/>
    <xf numFmtId="164" fontId="56" fillId="29" borderId="49" xfId="59" applyNumberFormat="1" applyFont="1" applyFill="1" applyBorder="1" applyProtection="1"/>
    <xf numFmtId="0" fontId="108" fillId="0" borderId="4" xfId="59" applyFont="1" applyFill="1" applyBorder="1"/>
    <xf numFmtId="10" fontId="48" fillId="0" borderId="0" xfId="75" applyNumberFormat="1" applyFont="1"/>
    <xf numFmtId="166" fontId="56" fillId="0" borderId="0" xfId="75" applyNumberFormat="1" applyFont="1" applyAlignment="1"/>
    <xf numFmtId="166" fontId="44" fillId="36" borderId="0" xfId="59" applyNumberFormat="1" applyFont="1" applyFill="1" applyBorder="1" applyAlignment="1">
      <alignment horizontal="right"/>
    </xf>
    <xf numFmtId="2" fontId="50" fillId="32" borderId="80" xfId="59" applyNumberFormat="1" applyFont="1" applyFill="1" applyBorder="1"/>
    <xf numFmtId="0" fontId="48" fillId="0" borderId="0" xfId="59" applyFont="1" applyFill="1" applyAlignment="1"/>
    <xf numFmtId="165" fontId="56" fillId="0" borderId="100" xfId="75" applyNumberFormat="1" applyFont="1" applyBorder="1" applyAlignment="1"/>
    <xf numFmtId="9" fontId="44" fillId="0" borderId="100" xfId="75" applyNumberFormat="1" applyFont="1" applyBorder="1" applyAlignment="1"/>
    <xf numFmtId="165" fontId="56" fillId="0" borderId="12" xfId="75" applyNumberFormat="1" applyFont="1" applyFill="1" applyBorder="1" applyAlignment="1"/>
    <xf numFmtId="165" fontId="56" fillId="0" borderId="0" xfId="59" applyNumberFormat="1" applyFont="1" applyBorder="1" applyAlignment="1"/>
    <xf numFmtId="166" fontId="50" fillId="0" borderId="29" xfId="59" applyNumberFormat="1" applyFont="1" applyFill="1" applyBorder="1" applyProtection="1"/>
    <xf numFmtId="2" fontId="48" fillId="36" borderId="0" xfId="59" applyNumberFormat="1" applyFont="1" applyFill="1" applyBorder="1"/>
    <xf numFmtId="165" fontId="0" fillId="29" borderId="0" xfId="75" applyNumberFormat="1" applyFont="1" applyFill="1" applyBorder="1"/>
    <xf numFmtId="1" fontId="44" fillId="0" borderId="0" xfId="59" applyNumberFormat="1" applyFont="1" applyAlignment="1"/>
    <xf numFmtId="164" fontId="59" fillId="29" borderId="29" xfId="59" applyNumberFormat="1" applyFont="1" applyFill="1" applyBorder="1" applyAlignment="1" applyProtection="1">
      <alignment horizontal="right"/>
    </xf>
    <xf numFmtId="10" fontId="48" fillId="0" borderId="0" xfId="75" applyNumberFormat="1" applyFont="1" applyFill="1" applyBorder="1" applyAlignment="1"/>
    <xf numFmtId="165" fontId="50" fillId="29" borderId="0" xfId="75" applyNumberFormat="1" applyFont="1" applyFill="1" applyBorder="1" applyProtection="1"/>
    <xf numFmtId="10" fontId="50" fillId="29" borderId="0" xfId="75" applyNumberFormat="1" applyFont="1" applyFill="1" applyBorder="1" applyProtection="1"/>
    <xf numFmtId="164" fontId="71" fillId="0" borderId="0" xfId="59" applyNumberFormat="1" applyFont="1"/>
    <xf numFmtId="166" fontId="56" fillId="0" borderId="0" xfId="59" applyNumberFormat="1" applyFont="1" applyFill="1" applyBorder="1" applyAlignment="1"/>
    <xf numFmtId="164" fontId="59" fillId="29" borderId="29" xfId="59" applyNumberFormat="1" applyFont="1" applyFill="1" applyBorder="1" applyProtection="1"/>
    <xf numFmtId="166" fontId="44" fillId="32" borderId="0" xfId="59" applyNumberFormat="1" applyFont="1" applyFill="1" applyBorder="1" applyAlignment="1"/>
    <xf numFmtId="166" fontId="134" fillId="36" borderId="0" xfId="59" applyNumberFormat="1" applyFont="1" applyFill="1" applyBorder="1" applyAlignment="1">
      <alignment horizontal="right"/>
    </xf>
    <xf numFmtId="164" fontId="44" fillId="0" borderId="38" xfId="59" applyNumberFormat="1" applyFont="1" applyBorder="1" applyAlignment="1"/>
    <xf numFmtId="164" fontId="56" fillId="0" borderId="28" xfId="59" applyNumberFormat="1" applyFont="1" applyFill="1" applyBorder="1" applyProtection="1"/>
    <xf numFmtId="164" fontId="56" fillId="0" borderId="25" xfId="59" applyNumberFormat="1" applyFont="1" applyFill="1" applyBorder="1" applyProtection="1"/>
    <xf numFmtId="164" fontId="48" fillId="0" borderId="39" xfId="65" applyNumberFormat="1" applyFont="1" applyFill="1" applyBorder="1" applyAlignment="1" applyProtection="1">
      <alignment horizontal="right"/>
    </xf>
    <xf numFmtId="167" fontId="56" fillId="0" borderId="0" xfId="59" applyNumberFormat="1" applyFont="1" applyFill="1" applyAlignment="1"/>
    <xf numFmtId="166" fontId="56" fillId="29" borderId="40" xfId="59" applyNumberFormat="1" applyFont="1" applyFill="1" applyBorder="1" applyAlignment="1" applyProtection="1">
      <alignment horizontal="right"/>
    </xf>
    <xf numFmtId="164" fontId="56" fillId="0" borderId="0" xfId="59" applyNumberFormat="1" applyFont="1" applyFill="1" applyBorder="1" applyAlignment="1" applyProtection="1">
      <alignment horizontal="right"/>
    </xf>
    <xf numFmtId="164" fontId="56" fillId="0" borderId="49" xfId="59" applyNumberFormat="1" applyFont="1" applyFill="1" applyBorder="1" applyProtection="1"/>
    <xf numFmtId="165" fontId="50" fillId="0" borderId="0" xfId="75" applyNumberFormat="1" applyFont="1" applyFill="1" applyBorder="1" applyAlignment="1" applyProtection="1">
      <alignment horizontal="right"/>
    </xf>
    <xf numFmtId="166" fontId="50" fillId="0" borderId="0" xfId="59" applyNumberFormat="1" applyFont="1" applyAlignment="1"/>
    <xf numFmtId="166" fontId="50" fillId="0" borderId="0" xfId="59" applyNumberFormat="1" applyFont="1" applyAlignment="1">
      <alignment horizontal="right" vertical="top"/>
    </xf>
    <xf numFmtId="164" fontId="44" fillId="0" borderId="27" xfId="59" applyNumberFormat="1" applyFont="1" applyFill="1" applyBorder="1" applyAlignment="1" applyProtection="1">
      <alignment horizontal="right"/>
    </xf>
    <xf numFmtId="164" fontId="44" fillId="0" borderId="34" xfId="59" applyNumberFormat="1" applyFont="1" applyFill="1" applyBorder="1" applyAlignment="1" applyProtection="1">
      <alignment horizontal="right"/>
    </xf>
    <xf numFmtId="164" fontId="44" fillId="0" borderId="4" xfId="59" applyNumberFormat="1" applyFont="1" applyFill="1" applyBorder="1" applyAlignment="1" applyProtection="1">
      <alignment horizontal="right"/>
    </xf>
    <xf numFmtId="164" fontId="44" fillId="0" borderId="42" xfId="59" applyNumberFormat="1" applyFont="1" applyFill="1" applyBorder="1" applyAlignment="1" applyProtection="1">
      <alignment horizontal="right"/>
    </xf>
    <xf numFmtId="164" fontId="44" fillId="0" borderId="43" xfId="59" applyNumberFormat="1" applyFont="1" applyFill="1" applyBorder="1" applyAlignment="1" applyProtection="1">
      <alignment horizontal="right"/>
    </xf>
    <xf numFmtId="164" fontId="56" fillId="0" borderId="43" xfId="59" applyNumberFormat="1" applyFont="1" applyFill="1" applyBorder="1" applyProtection="1"/>
    <xf numFmtId="0" fontId="50" fillId="0" borderId="54" xfId="59" applyFont="1" applyFill="1" applyBorder="1" applyProtection="1"/>
    <xf numFmtId="164" fontId="56" fillId="0" borderId="57" xfId="59" applyNumberFormat="1" applyFont="1" applyFill="1" applyBorder="1" applyProtection="1"/>
    <xf numFmtId="164" fontId="56" fillId="0" borderId="58" xfId="59" applyNumberFormat="1" applyFont="1" applyFill="1" applyBorder="1" applyProtection="1"/>
    <xf numFmtId="9" fontId="56" fillId="0" borderId="0" xfId="75" applyFont="1" applyAlignment="1"/>
    <xf numFmtId="164" fontId="56" fillId="0" borderId="0" xfId="59" applyNumberFormat="1" applyFont="1" applyFill="1" applyAlignment="1"/>
    <xf numFmtId="166" fontId="56" fillId="0" borderId="0" xfId="59" applyNumberFormat="1" applyFont="1" applyFill="1" applyAlignment="1"/>
    <xf numFmtId="164" fontId="56" fillId="0" borderId="0" xfId="75" applyNumberFormat="1" applyFont="1" applyAlignment="1"/>
    <xf numFmtId="164" fontId="74" fillId="36" borderId="0" xfId="75" applyNumberFormat="1" applyFont="1" applyFill="1" applyBorder="1" applyAlignment="1">
      <alignment horizontal="right"/>
    </xf>
    <xf numFmtId="1" fontId="74" fillId="36" borderId="0" xfId="75" applyNumberFormat="1" applyFont="1" applyFill="1" applyBorder="1" applyAlignment="1">
      <alignment horizontal="right"/>
    </xf>
    <xf numFmtId="166" fontId="48" fillId="0" borderId="0" xfId="59" applyNumberFormat="1" applyFont="1" applyBorder="1" applyAlignment="1"/>
    <xf numFmtId="166" fontId="44" fillId="36" borderId="84" xfId="59" applyNumberFormat="1" applyFont="1" applyFill="1" applyBorder="1" applyAlignment="1">
      <alignment horizontal="right"/>
    </xf>
    <xf numFmtId="166" fontId="44" fillId="36" borderId="79" xfId="59" applyNumberFormat="1" applyFont="1" applyFill="1" applyBorder="1" applyAlignment="1">
      <alignment horizontal="right"/>
    </xf>
    <xf numFmtId="2" fontId="56" fillId="0" borderId="0" xfId="75" applyNumberFormat="1" applyFont="1" applyAlignment="1"/>
    <xf numFmtId="167" fontId="44" fillId="0" borderId="0" xfId="59" applyNumberFormat="1" applyFont="1" applyBorder="1" applyAlignment="1"/>
    <xf numFmtId="166" fontId="48" fillId="0" borderId="0" xfId="75" applyNumberFormat="1" applyFont="1" applyAlignment="1"/>
    <xf numFmtId="164" fontId="0" fillId="0" borderId="0" xfId="59" applyNumberFormat="1" applyFont="1" applyFill="1"/>
    <xf numFmtId="166" fontId="0" fillId="32" borderId="0" xfId="59" applyNumberFormat="1" applyFont="1" applyFill="1" applyBorder="1"/>
    <xf numFmtId="2" fontId="44" fillId="0" borderId="79" xfId="59" applyNumberFormat="1" applyFont="1" applyBorder="1"/>
    <xf numFmtId="0" fontId="17" fillId="0" borderId="0" xfId="59" applyFont="1" applyBorder="1" applyAlignment="1">
      <alignment horizontal="center"/>
    </xf>
    <xf numFmtId="164" fontId="0" fillId="1" borderId="0" xfId="59" applyNumberFormat="1" applyFont="1" applyFill="1" applyBorder="1"/>
    <xf numFmtId="0" fontId="71" fillId="0" borderId="79" xfId="59" applyFont="1" applyBorder="1" applyAlignment="1"/>
    <xf numFmtId="166" fontId="48" fillId="0" borderId="0" xfId="59" applyNumberFormat="1" applyFont="1" applyFill="1" applyBorder="1" applyAlignment="1"/>
    <xf numFmtId="164" fontId="48" fillId="38" borderId="130" xfId="59" applyNumberFormat="1" applyFont="1" applyFill="1" applyBorder="1" applyAlignment="1"/>
    <xf numFmtId="164" fontId="48" fillId="38" borderId="131" xfId="59" applyNumberFormat="1" applyFont="1" applyFill="1" applyBorder="1" applyAlignment="1">
      <alignment horizontal="right"/>
    </xf>
    <xf numFmtId="10" fontId="56" fillId="0" borderId="0" xfId="75" applyNumberFormat="1" applyFont="1"/>
    <xf numFmtId="10" fontId="44" fillId="0" borderId="0" xfId="75" applyNumberFormat="1" applyFont="1"/>
    <xf numFmtId="9" fontId="50" fillId="0" borderId="29" xfId="75" applyFont="1" applyFill="1" applyBorder="1" applyProtection="1"/>
    <xf numFmtId="164" fontId="56" fillId="29" borderId="16" xfId="59" applyNumberFormat="1" applyFont="1" applyFill="1" applyBorder="1" applyProtection="1"/>
    <xf numFmtId="2" fontId="48" fillId="38" borderId="88" xfId="59" applyNumberFormat="1" applyFont="1" applyFill="1" applyBorder="1" applyAlignment="1"/>
    <xf numFmtId="166" fontId="56" fillId="37" borderId="0" xfId="59" applyNumberFormat="1" applyFont="1" applyFill="1" applyBorder="1" applyAlignment="1"/>
    <xf numFmtId="2" fontId="44" fillId="0" borderId="0" xfId="59" applyNumberFormat="1" applyFont="1" applyFill="1" applyBorder="1"/>
    <xf numFmtId="166" fontId="71" fillId="33" borderId="84" xfId="59" applyNumberFormat="1" applyFont="1" applyFill="1" applyBorder="1" applyAlignment="1">
      <alignment horizontal="right"/>
    </xf>
    <xf numFmtId="14" fontId="19" fillId="0" borderId="0" xfId="59" applyNumberFormat="1" applyFont="1" applyBorder="1" applyAlignment="1">
      <alignment horizontal="left" indent="1"/>
    </xf>
    <xf numFmtId="164" fontId="19" fillId="0" borderId="0" xfId="59" applyNumberFormat="1" applyFont="1" applyBorder="1" applyAlignment="1"/>
    <xf numFmtId="14" fontId="44" fillId="0" borderId="145" xfId="59" applyNumberFormat="1" applyFont="1" applyFill="1" applyBorder="1" applyAlignment="1" applyProtection="1">
      <alignment horizontal="center" vertical="center"/>
    </xf>
    <xf numFmtId="0" fontId="19" fillId="0" borderId="146" xfId="59" applyFont="1" applyBorder="1" applyAlignment="1">
      <alignment horizontal="center"/>
    </xf>
    <xf numFmtId="14" fontId="44" fillId="0" borderId="146" xfId="59" applyNumberFormat="1" applyFont="1" applyBorder="1" applyAlignment="1"/>
    <xf numFmtId="164" fontId="44" fillId="0" borderId="146" xfId="59" applyNumberFormat="1" applyFont="1" applyBorder="1" applyAlignment="1">
      <alignment horizontal="center"/>
    </xf>
    <xf numFmtId="164" fontId="44" fillId="0" borderId="146" xfId="59" applyNumberFormat="1" applyFont="1" applyBorder="1" applyAlignment="1"/>
    <xf numFmtId="166" fontId="44" fillId="0" borderId="146" xfId="59" applyNumberFormat="1" applyFont="1" applyBorder="1" applyAlignment="1"/>
    <xf numFmtId="166" fontId="56" fillId="37" borderId="146" xfId="59" applyNumberFormat="1" applyFont="1" applyFill="1" applyBorder="1" applyAlignment="1"/>
    <xf numFmtId="165" fontId="19" fillId="0" borderId="0" xfId="59" applyNumberFormat="1" applyFont="1" applyBorder="1" applyAlignment="1"/>
    <xf numFmtId="10" fontId="19" fillId="0" borderId="0" xfId="59" applyNumberFormat="1" applyFont="1" applyBorder="1" applyAlignment="1"/>
    <xf numFmtId="173" fontId="19" fillId="0" borderId="0" xfId="59" applyNumberFormat="1" applyFont="1" applyBorder="1" applyAlignment="1"/>
    <xf numFmtId="14" fontId="156" fillId="0" borderId="0" xfId="59" applyNumberFormat="1" applyFont="1" applyBorder="1" applyAlignment="1">
      <alignment horizontal="left" indent="1"/>
    </xf>
    <xf numFmtId="164" fontId="156" fillId="0" borderId="0" xfId="59" applyNumberFormat="1" applyFont="1" applyBorder="1" applyAlignment="1"/>
    <xf numFmtId="165" fontId="156" fillId="0" borderId="0" xfId="59" applyNumberFormat="1" applyFont="1" applyBorder="1" applyAlignment="1"/>
    <xf numFmtId="10" fontId="156" fillId="0" borderId="0" xfId="59" applyNumberFormat="1" applyFont="1" applyBorder="1" applyAlignment="1"/>
    <xf numFmtId="14" fontId="19" fillId="0" borderId="0" xfId="59" applyNumberFormat="1" applyFont="1" applyBorder="1" applyAlignment="1">
      <alignment horizontal="left" indent="2"/>
    </xf>
    <xf numFmtId="164" fontId="75" fillId="0" borderId="0" xfId="59" applyNumberFormat="1" applyFont="1" applyBorder="1" applyAlignment="1"/>
    <xf numFmtId="14" fontId="75" fillId="0" borderId="0" xfId="59" applyNumberFormat="1" applyFont="1" applyBorder="1" applyAlignment="1">
      <alignment horizontal="left" indent="2"/>
    </xf>
    <xf numFmtId="165" fontId="75" fillId="0" borderId="0" xfId="59" applyNumberFormat="1" applyFont="1" applyBorder="1" applyAlignment="1"/>
    <xf numFmtId="2" fontId="19" fillId="0" borderId="0" xfId="59" applyNumberFormat="1" applyFont="1" applyBorder="1" applyAlignment="1"/>
    <xf numFmtId="10" fontId="75" fillId="0" borderId="0" xfId="59" applyNumberFormat="1" applyFont="1" applyBorder="1" applyAlignment="1"/>
    <xf numFmtId="166" fontId="45" fillId="33" borderId="0" xfId="59" applyNumberFormat="1" applyFont="1" applyFill="1" applyBorder="1" applyAlignment="1">
      <alignment horizontal="right"/>
    </xf>
    <xf numFmtId="0" fontId="94" fillId="33" borderId="72" xfId="59" applyFont="1" applyFill="1" applyBorder="1" applyAlignment="1">
      <alignment horizontal="center"/>
    </xf>
    <xf numFmtId="0" fontId="71" fillId="0" borderId="0" xfId="59" applyFont="1" applyFill="1"/>
    <xf numFmtId="0" fontId="20" fillId="37" borderId="86" xfId="59" applyFont="1" applyFill="1" applyBorder="1" applyAlignment="1">
      <alignment horizontal="center"/>
    </xf>
    <xf numFmtId="0" fontId="48" fillId="37" borderId="80" xfId="59" applyFont="1" applyFill="1" applyBorder="1" applyAlignment="1"/>
    <xf numFmtId="0" fontId="48" fillId="37" borderId="80" xfId="59" applyFont="1" applyFill="1" applyBorder="1" applyAlignment="1">
      <alignment horizontal="center"/>
    </xf>
    <xf numFmtId="1" fontId="48" fillId="37" borderId="80" xfId="59" applyNumberFormat="1" applyFont="1" applyFill="1" applyBorder="1" applyAlignment="1"/>
    <xf numFmtId="164" fontId="0" fillId="0" borderId="80" xfId="59" applyNumberFormat="1" applyFont="1" applyBorder="1"/>
    <xf numFmtId="164" fontId="48" fillId="32" borderId="80" xfId="59" applyNumberFormat="1" applyFont="1" applyFill="1" applyBorder="1"/>
    <xf numFmtId="14" fontId="44" fillId="0" borderId="90" xfId="59" applyNumberFormat="1" applyFont="1" applyFill="1" applyBorder="1" applyAlignment="1" applyProtection="1">
      <alignment horizontal="center" vertical="center"/>
    </xf>
    <xf numFmtId="14" fontId="44" fillId="0" borderId="96" xfId="59" applyNumberFormat="1" applyFont="1" applyFill="1" applyBorder="1" applyAlignment="1" applyProtection="1">
      <alignment horizontal="center" vertical="center"/>
    </xf>
    <xf numFmtId="0" fontId="19" fillId="0" borderId="97" xfId="59" applyFont="1" applyBorder="1" applyAlignment="1">
      <alignment horizontal="center"/>
    </xf>
    <xf numFmtId="14" fontId="44" fillId="0" borderId="97" xfId="59" applyNumberFormat="1" applyFont="1" applyBorder="1" applyAlignment="1"/>
    <xf numFmtId="164" fontId="19" fillId="0" borderId="97" xfId="59" applyNumberFormat="1" applyFont="1" applyBorder="1" applyAlignment="1">
      <alignment horizontal="center"/>
    </xf>
    <xf numFmtId="164" fontId="44" fillId="0" borderId="97" xfId="59" applyNumberFormat="1" applyFont="1" applyFill="1" applyBorder="1" applyAlignment="1"/>
    <xf numFmtId="2" fontId="48" fillId="48" borderId="97" xfId="59" applyNumberFormat="1" applyFont="1" applyFill="1" applyBorder="1" applyAlignment="1"/>
    <xf numFmtId="0" fontId="20" fillId="38" borderId="87" xfId="59" applyFont="1" applyFill="1" applyBorder="1" applyAlignment="1">
      <alignment horizontal="center"/>
    </xf>
    <xf numFmtId="0" fontId="48" fillId="38" borderId="88" xfId="59" applyFont="1" applyFill="1" applyBorder="1" applyAlignment="1"/>
    <xf numFmtId="0" fontId="48" fillId="38" borderId="88" xfId="59" applyFont="1" applyFill="1" applyBorder="1" applyAlignment="1">
      <alignment horizontal="center"/>
    </xf>
    <xf numFmtId="0" fontId="20" fillId="37" borderId="72" xfId="59" applyFont="1" applyFill="1" applyBorder="1" applyAlignment="1">
      <alignment horizontal="center"/>
    </xf>
    <xf numFmtId="0" fontId="48" fillId="37" borderId="84" xfId="59" applyFont="1" applyFill="1" applyBorder="1" applyAlignment="1"/>
    <xf numFmtId="0" fontId="48" fillId="37" borderId="84" xfId="59" applyFont="1" applyFill="1" applyBorder="1" applyAlignment="1">
      <alignment horizontal="center"/>
    </xf>
    <xf numFmtId="1" fontId="48" fillId="37" borderId="84" xfId="59" applyNumberFormat="1" applyFont="1" applyFill="1" applyBorder="1" applyAlignment="1"/>
    <xf numFmtId="164" fontId="48" fillId="1" borderId="84" xfId="59" applyNumberFormat="1" applyFont="1" applyFill="1" applyBorder="1" applyAlignment="1"/>
    <xf numFmtId="164" fontId="48" fillId="1" borderId="0" xfId="59" applyNumberFormat="1" applyFont="1" applyFill="1" applyBorder="1" applyAlignment="1"/>
    <xf numFmtId="164" fontId="0" fillId="37" borderId="0" xfId="59" applyNumberFormat="1" applyFont="1" applyFill="1" applyBorder="1"/>
    <xf numFmtId="164" fontId="0" fillId="0" borderId="0" xfId="59" applyNumberFormat="1" applyFont="1" applyBorder="1"/>
    <xf numFmtId="0" fontId="44" fillId="37" borderId="0" xfId="59" applyFont="1" applyFill="1" applyBorder="1" applyAlignment="1">
      <alignment horizontal="center"/>
    </xf>
    <xf numFmtId="0" fontId="71" fillId="37" borderId="0" xfId="59" applyFont="1" applyFill="1" applyBorder="1"/>
    <xf numFmtId="0" fontId="71" fillId="37" borderId="0" xfId="59" applyFont="1" applyFill="1" applyBorder="1" applyAlignment="1">
      <alignment horizontal="center"/>
    </xf>
    <xf numFmtId="164" fontId="44" fillId="37" borderId="0" xfId="59" applyNumberFormat="1" applyFont="1" applyFill="1" applyBorder="1"/>
    <xf numFmtId="164" fontId="71" fillId="32" borderId="0" xfId="59" applyNumberFormat="1" applyFont="1" applyFill="1" applyBorder="1"/>
    <xf numFmtId="0" fontId="44" fillId="37" borderId="79" xfId="59" applyFont="1" applyFill="1" applyBorder="1" applyAlignment="1">
      <alignment horizontal="center"/>
    </xf>
    <xf numFmtId="0" fontId="44" fillId="37" borderId="79" xfId="59" applyFont="1" applyFill="1" applyBorder="1"/>
    <xf numFmtId="164" fontId="44" fillId="37" borderId="79" xfId="59" applyNumberFormat="1" applyFont="1" applyFill="1" applyBorder="1"/>
    <xf numFmtId="0" fontId="44" fillId="37" borderId="80" xfId="59" applyFont="1" applyFill="1" applyBorder="1" applyAlignment="1">
      <alignment horizontal="center"/>
    </xf>
    <xf numFmtId="0" fontId="44" fillId="37" borderId="80" xfId="59" applyFont="1" applyFill="1" applyBorder="1"/>
    <xf numFmtId="164" fontId="44" fillId="37" borderId="80" xfId="59" applyNumberFormat="1" applyFont="1" applyFill="1" applyBorder="1"/>
    <xf numFmtId="0" fontId="44" fillId="0" borderId="0" xfId="59" quotePrefix="1" applyFont="1" applyAlignment="1">
      <alignment horizontal="center"/>
    </xf>
    <xf numFmtId="0" fontId="44" fillId="37" borderId="84" xfId="59" applyFont="1" applyFill="1" applyBorder="1" applyAlignment="1">
      <alignment horizontal="center"/>
    </xf>
    <xf numFmtId="0" fontId="71" fillId="37" borderId="84" xfId="59" applyFont="1" applyFill="1" applyBorder="1"/>
    <xf numFmtId="0" fontId="71" fillId="37" borderId="84" xfId="59" applyFont="1" applyFill="1" applyBorder="1" applyAlignment="1">
      <alignment horizontal="center"/>
    </xf>
    <xf numFmtId="164" fontId="44" fillId="37" borderId="84" xfId="59" applyNumberFormat="1" applyFont="1" applyFill="1" applyBorder="1"/>
    <xf numFmtId="164" fontId="71" fillId="32" borderId="84" xfId="59" applyNumberFormat="1" applyFont="1" applyFill="1" applyBorder="1"/>
    <xf numFmtId="0" fontId="44" fillId="0" borderId="98" xfId="59" applyFont="1" applyBorder="1" applyAlignment="1">
      <alignment horizontal="center"/>
    </xf>
    <xf numFmtId="0" fontId="0" fillId="38" borderId="0" xfId="59" applyFont="1" applyFill="1" applyBorder="1" applyAlignment="1">
      <alignment horizontal="center"/>
    </xf>
    <xf numFmtId="0" fontId="0" fillId="38" borderId="0" xfId="59" applyFont="1" applyFill="1" applyBorder="1"/>
    <xf numFmtId="164" fontId="0" fillId="38" borderId="0" xfId="59" applyNumberFormat="1" applyFont="1" applyFill="1" applyBorder="1"/>
    <xf numFmtId="0" fontId="0" fillId="38" borderId="90" xfId="59" applyFont="1" applyFill="1" applyBorder="1" applyAlignment="1">
      <alignment horizontal="center"/>
    </xf>
    <xf numFmtId="0" fontId="71" fillId="38" borderId="90" xfId="59" applyFont="1" applyFill="1" applyBorder="1"/>
    <xf numFmtId="164" fontId="0" fillId="38" borderId="90" xfId="59" applyNumberFormat="1" applyFont="1" applyFill="1" applyBorder="1"/>
    <xf numFmtId="2" fontId="71" fillId="48" borderId="90" xfId="59" applyNumberFormat="1" applyFont="1" applyFill="1" applyBorder="1"/>
    <xf numFmtId="0" fontId="44" fillId="0" borderId="87" xfId="59" applyFont="1" applyBorder="1" applyAlignment="1">
      <alignment horizontal="center"/>
    </xf>
    <xf numFmtId="0" fontId="0" fillId="0" borderId="88" xfId="59" applyFont="1" applyBorder="1" applyAlignment="1">
      <alignment horizontal="center"/>
    </xf>
    <xf numFmtId="0" fontId="0" fillId="0" borderId="88" xfId="59" applyFont="1" applyFill="1" applyBorder="1"/>
    <xf numFmtId="164" fontId="44" fillId="1" borderId="88" xfId="59" applyNumberFormat="1" applyFont="1" applyFill="1" applyBorder="1" applyAlignment="1"/>
    <xf numFmtId="164" fontId="48" fillId="1" borderId="88" xfId="59" applyNumberFormat="1" applyFont="1" applyFill="1" applyBorder="1" applyAlignment="1"/>
    <xf numFmtId="0" fontId="0" fillId="38" borderId="90" xfId="59" applyFont="1" applyFill="1" applyBorder="1"/>
    <xf numFmtId="2" fontId="48" fillId="48" borderId="90" xfId="59" applyNumberFormat="1" applyFont="1" applyFill="1" applyBorder="1"/>
    <xf numFmtId="0" fontId="44" fillId="0" borderId="96" xfId="59" applyFont="1" applyBorder="1" applyAlignment="1">
      <alignment horizontal="center"/>
    </xf>
    <xf numFmtId="0" fontId="0" fillId="38" borderId="97" xfId="59" applyFont="1" applyFill="1" applyBorder="1" applyAlignment="1">
      <alignment horizontal="center"/>
    </xf>
    <xf numFmtId="0" fontId="0" fillId="38" borderId="97" xfId="59" applyFont="1" applyFill="1" applyBorder="1"/>
    <xf numFmtId="164" fontId="0" fillId="38" borderId="97" xfId="59" applyNumberFormat="1" applyFont="1" applyFill="1" applyBorder="1"/>
    <xf numFmtId="2" fontId="48" fillId="48" borderId="97" xfId="59" applyNumberFormat="1" applyFont="1" applyFill="1" applyBorder="1"/>
    <xf numFmtId="0" fontId="0" fillId="38" borderId="0" xfId="59" applyFont="1" applyFill="1" applyAlignment="1">
      <alignment horizontal="center"/>
    </xf>
    <xf numFmtId="0" fontId="71" fillId="38" borderId="0" xfId="59" applyFont="1" applyFill="1"/>
    <xf numFmtId="164" fontId="0" fillId="38" borderId="0" xfId="59" applyNumberFormat="1" applyFont="1" applyFill="1"/>
    <xf numFmtId="2" fontId="71" fillId="48" borderId="0" xfId="59" applyNumberFormat="1" applyFont="1" applyFill="1"/>
    <xf numFmtId="0" fontId="44" fillId="37" borderId="72" xfId="59" applyFont="1" applyFill="1" applyBorder="1" applyAlignment="1">
      <alignment horizontal="center"/>
    </xf>
    <xf numFmtId="0" fontId="48" fillId="37" borderId="84" xfId="59" applyFont="1" applyFill="1" applyBorder="1"/>
    <xf numFmtId="164" fontId="0" fillId="0" borderId="84" xfId="59" applyNumberFormat="1" applyFont="1" applyBorder="1"/>
    <xf numFmtId="164" fontId="48" fillId="0" borderId="84" xfId="59" applyNumberFormat="1" applyFont="1" applyBorder="1"/>
    <xf numFmtId="0" fontId="44" fillId="0" borderId="79" xfId="59" applyFont="1" applyFill="1" applyBorder="1"/>
    <xf numFmtId="2" fontId="48" fillId="0" borderId="79" xfId="59" applyNumberFormat="1" applyFont="1" applyBorder="1"/>
    <xf numFmtId="0" fontId="44" fillId="37" borderId="0" xfId="59" applyFont="1" applyFill="1" applyAlignment="1">
      <alignment horizontal="center"/>
    </xf>
    <xf numFmtId="0" fontId="71" fillId="37" borderId="0" xfId="59" applyFont="1" applyFill="1"/>
    <xf numFmtId="0" fontId="71" fillId="37" borderId="0" xfId="59" applyFont="1" applyFill="1" applyAlignment="1">
      <alignment horizontal="center"/>
    </xf>
    <xf numFmtId="164" fontId="48" fillId="0" borderId="88" xfId="59" applyNumberFormat="1" applyFont="1" applyFill="1" applyBorder="1" applyAlignment="1"/>
    <xf numFmtId="164" fontId="44" fillId="0" borderId="90" xfId="59" applyNumberFormat="1" applyFont="1" applyFill="1" applyBorder="1" applyAlignment="1"/>
    <xf numFmtId="164" fontId="48" fillId="0" borderId="90" xfId="59" applyNumberFormat="1" applyFont="1" applyFill="1" applyBorder="1" applyAlignment="1"/>
    <xf numFmtId="14" fontId="71" fillId="38" borderId="0" xfId="59" applyNumberFormat="1" applyFont="1" applyFill="1" applyBorder="1" applyAlignment="1"/>
    <xf numFmtId="2" fontId="71" fillId="48" borderId="0" xfId="59" applyNumberFormat="1" applyFont="1" applyFill="1" applyBorder="1" applyAlignment="1"/>
    <xf numFmtId="0" fontId="17" fillId="37" borderId="86" xfId="59" applyFont="1" applyFill="1" applyBorder="1" applyAlignment="1">
      <alignment horizontal="center"/>
    </xf>
    <xf numFmtId="0" fontId="46" fillId="37" borderId="80" xfId="59" applyFont="1" applyFill="1" applyBorder="1"/>
    <xf numFmtId="0" fontId="17" fillId="37" borderId="80" xfId="59" applyFont="1" applyFill="1" applyBorder="1" applyAlignment="1">
      <alignment horizontal="center"/>
    </xf>
    <xf numFmtId="1" fontId="46" fillId="37" borderId="80" xfId="59" applyNumberFormat="1" applyFont="1" applyFill="1" applyBorder="1" applyAlignment="1"/>
    <xf numFmtId="2" fontId="48" fillId="32" borderId="79" xfId="59" applyNumberFormat="1" applyFont="1" applyFill="1" applyBorder="1"/>
    <xf numFmtId="0" fontId="17" fillId="37" borderId="0" xfId="59" applyFont="1" applyFill="1" applyAlignment="1">
      <alignment horizontal="center"/>
    </xf>
    <xf numFmtId="164" fontId="17" fillId="37" borderId="0" xfId="59" applyNumberFormat="1" applyFont="1" applyFill="1"/>
    <xf numFmtId="164" fontId="71" fillId="32" borderId="0" xfId="59" applyNumberFormat="1" applyFont="1" applyFill="1"/>
    <xf numFmtId="0" fontId="0" fillId="38" borderId="96" xfId="59" applyFont="1" applyFill="1" applyBorder="1" applyAlignment="1">
      <alignment horizontal="center"/>
    </xf>
    <xf numFmtId="2" fontId="48" fillId="48" borderId="88" xfId="59" applyNumberFormat="1" applyFont="1" applyFill="1" applyBorder="1" applyAlignment="1"/>
    <xf numFmtId="0" fontId="0" fillId="0" borderId="90" xfId="59" applyFont="1" applyBorder="1" applyAlignment="1">
      <alignment horizontal="center"/>
    </xf>
    <xf numFmtId="0" fontId="0" fillId="0" borderId="90" xfId="59" applyFont="1" applyBorder="1"/>
    <xf numFmtId="164" fontId="0" fillId="0" borderId="90" xfId="59" applyNumberFormat="1" applyFont="1" applyBorder="1"/>
    <xf numFmtId="0" fontId="71" fillId="38" borderId="0" xfId="59" applyFont="1" applyFill="1" applyAlignment="1">
      <alignment horizontal="center"/>
    </xf>
    <xf numFmtId="0" fontId="0" fillId="0" borderId="79" xfId="59" applyFont="1" applyFill="1" applyBorder="1"/>
    <xf numFmtId="0" fontId="0" fillId="38" borderId="87" xfId="59" applyFont="1" applyFill="1" applyBorder="1" applyAlignment="1">
      <alignment horizontal="center"/>
    </xf>
    <xf numFmtId="0" fontId="0" fillId="38" borderId="88" xfId="59" applyFont="1" applyFill="1" applyBorder="1" applyAlignment="1">
      <alignment horizontal="center"/>
    </xf>
    <xf numFmtId="0" fontId="17" fillId="37" borderId="72" xfId="59" applyFont="1" applyFill="1" applyBorder="1" applyAlignment="1">
      <alignment horizontal="center"/>
    </xf>
    <xf numFmtId="0" fontId="46" fillId="37" borderId="84" xfId="59" applyFont="1" applyFill="1" applyBorder="1"/>
    <xf numFmtId="0" fontId="44" fillId="0" borderId="87" xfId="59" applyFont="1" applyFill="1" applyBorder="1" applyAlignment="1">
      <alignment horizontal="center"/>
    </xf>
    <xf numFmtId="0" fontId="0" fillId="0" borderId="88" xfId="59" applyFont="1" applyFill="1" applyBorder="1" applyAlignment="1">
      <alignment horizontal="center"/>
    </xf>
    <xf numFmtId="164" fontId="0" fillId="0" borderId="90" xfId="59" applyNumberFormat="1" applyFont="1" applyFill="1" applyBorder="1"/>
    <xf numFmtId="164" fontId="48" fillId="0" borderId="90" xfId="59" applyNumberFormat="1" applyFont="1" applyFill="1" applyBorder="1"/>
    <xf numFmtId="164" fontId="0" fillId="0" borderId="80" xfId="59" applyNumberFormat="1" applyFont="1" applyBorder="1" applyAlignment="1">
      <alignment horizontal="right"/>
    </xf>
    <xf numFmtId="164" fontId="48" fillId="0" borderId="0" xfId="59" applyNumberFormat="1" applyFont="1" applyFill="1" applyBorder="1"/>
    <xf numFmtId="164" fontId="48" fillId="0" borderId="90" xfId="59" applyNumberFormat="1" applyFont="1" applyFill="1" applyBorder="1" applyAlignment="1">
      <alignment horizontal="center"/>
    </xf>
    <xf numFmtId="164" fontId="48" fillId="0" borderId="97" xfId="59" applyNumberFormat="1" applyFont="1" applyFill="1" applyBorder="1" applyAlignment="1">
      <alignment horizontal="center"/>
    </xf>
    <xf numFmtId="0" fontId="48" fillId="30" borderId="48" xfId="59" applyFont="1" applyFill="1" applyBorder="1" applyAlignment="1">
      <alignment vertical="center"/>
    </xf>
    <xf numFmtId="0" fontId="48" fillId="30" borderId="48" xfId="59" applyFont="1" applyFill="1" applyBorder="1" applyAlignment="1">
      <alignment horizontal="center" vertical="center"/>
    </xf>
    <xf numFmtId="0" fontId="76" fillId="0" borderId="25" xfId="59" applyFont="1" applyBorder="1" applyAlignment="1">
      <alignment horizontal="center"/>
    </xf>
    <xf numFmtId="0" fontId="76" fillId="0" borderId="38" xfId="59" applyFont="1" applyBorder="1" applyAlignment="1">
      <alignment horizontal="center"/>
    </xf>
    <xf numFmtId="0" fontId="0" fillId="0" borderId="38" xfId="59" applyFont="1" applyBorder="1" applyAlignment="1">
      <alignment horizontal="center"/>
    </xf>
    <xf numFmtId="164" fontId="0" fillId="0" borderId="38" xfId="59" applyNumberFormat="1" applyFont="1" applyBorder="1" applyAlignment="1">
      <alignment horizontal="right"/>
    </xf>
    <xf numFmtId="0" fontId="76" fillId="30" borderId="38" xfId="59" applyFont="1" applyFill="1" applyBorder="1" applyAlignment="1">
      <alignment horizontal="center"/>
    </xf>
    <xf numFmtId="0" fontId="0" fillId="30" borderId="38" xfId="59" applyFont="1" applyFill="1" applyBorder="1"/>
    <xf numFmtId="0" fontId="0" fillId="30" borderId="38" xfId="59" applyFont="1" applyFill="1" applyBorder="1" applyAlignment="1">
      <alignment horizontal="center"/>
    </xf>
    <xf numFmtId="164" fontId="0" fillId="30" borderId="38" xfId="59" applyNumberFormat="1" applyFont="1" applyFill="1" applyBorder="1"/>
    <xf numFmtId="164" fontId="0" fillId="30" borderId="38" xfId="59" applyNumberFormat="1" applyFont="1" applyFill="1" applyBorder="1" applyAlignment="1">
      <alignment horizontal="right"/>
    </xf>
    <xf numFmtId="164" fontId="0" fillId="0" borderId="25" xfId="59" applyNumberFormat="1" applyFont="1" applyBorder="1"/>
    <xf numFmtId="165" fontId="17" fillId="0" borderId="25" xfId="75" applyNumberFormat="1" applyFont="1" applyBorder="1"/>
    <xf numFmtId="165" fontId="48" fillId="0" borderId="25" xfId="75" applyNumberFormat="1" applyFont="1" applyBorder="1"/>
    <xf numFmtId="165" fontId="17" fillId="0" borderId="0" xfId="75" applyNumberFormat="1" applyFont="1" applyBorder="1" applyAlignment="1">
      <alignment horizontal="right"/>
    </xf>
    <xf numFmtId="165" fontId="48" fillId="0" borderId="0" xfId="75" applyNumberFormat="1" applyFont="1" applyBorder="1" applyAlignment="1">
      <alignment horizontal="right"/>
    </xf>
    <xf numFmtId="165" fontId="17" fillId="0" borderId="38" xfId="75" applyNumberFormat="1" applyFont="1" applyBorder="1" applyAlignment="1">
      <alignment horizontal="right"/>
    </xf>
    <xf numFmtId="165" fontId="48" fillId="0" borderId="38" xfId="75" applyNumberFormat="1" applyFont="1" applyBorder="1" applyAlignment="1">
      <alignment horizontal="right"/>
    </xf>
    <xf numFmtId="165" fontId="17" fillId="30" borderId="0" xfId="75" applyNumberFormat="1" applyFont="1" applyFill="1" applyBorder="1" applyAlignment="1">
      <alignment horizontal="right"/>
    </xf>
    <xf numFmtId="165" fontId="48" fillId="30" borderId="0" xfId="75" applyNumberFormat="1" applyFont="1" applyFill="1" applyBorder="1" applyAlignment="1">
      <alignment horizontal="right"/>
    </xf>
    <xf numFmtId="0" fontId="17" fillId="37" borderId="84" xfId="59" applyFont="1" applyFill="1" applyBorder="1" applyAlignment="1">
      <alignment horizontal="center"/>
    </xf>
    <xf numFmtId="164" fontId="44" fillId="0" borderId="97" xfId="59" applyNumberFormat="1" applyFont="1" applyBorder="1" applyAlignment="1">
      <alignment horizontal="center"/>
    </xf>
    <xf numFmtId="1" fontId="20" fillId="0" borderId="0" xfId="59" quotePrefix="1" applyNumberFormat="1" applyFont="1" applyFill="1" applyBorder="1" applyAlignment="1" applyProtection="1">
      <alignment horizontal="center" vertical="center"/>
    </xf>
    <xf numFmtId="2" fontId="0" fillId="0" borderId="80" xfId="59" applyNumberFormat="1" applyFont="1" applyBorder="1"/>
    <xf numFmtId="164" fontId="48" fillId="37" borderId="80" xfId="59" applyNumberFormat="1" applyFont="1" applyFill="1" applyBorder="1"/>
    <xf numFmtId="164" fontId="48" fillId="37" borderId="84" xfId="59" applyNumberFormat="1" applyFont="1" applyFill="1" applyBorder="1" applyAlignment="1"/>
    <xf numFmtId="164" fontId="48" fillId="37" borderId="79" xfId="59" applyNumberFormat="1" applyFont="1" applyFill="1" applyBorder="1" applyAlignment="1"/>
    <xf numFmtId="2" fontId="48" fillId="48" borderId="90" xfId="59" applyNumberFormat="1" applyFont="1" applyFill="1" applyBorder="1" applyAlignment="1"/>
    <xf numFmtId="2" fontId="48" fillId="48" borderId="0" xfId="59" applyNumberFormat="1" applyFont="1" applyFill="1" applyBorder="1" applyAlignment="1"/>
    <xf numFmtId="0" fontId="0" fillId="36" borderId="0" xfId="59" applyFont="1" applyFill="1" applyBorder="1" applyAlignment="1">
      <alignment horizontal="center"/>
    </xf>
    <xf numFmtId="0" fontId="0" fillId="36" borderId="0" xfId="59" applyFont="1" applyFill="1" applyBorder="1"/>
    <xf numFmtId="164" fontId="48" fillId="37" borderId="0" xfId="59" applyNumberFormat="1" applyFont="1" applyFill="1" applyBorder="1"/>
    <xf numFmtId="0" fontId="0" fillId="32" borderId="79" xfId="59" applyFont="1" applyFill="1" applyBorder="1" applyAlignment="1">
      <alignment horizontal="center"/>
    </xf>
    <xf numFmtId="0" fontId="0" fillId="32" borderId="79" xfId="59" applyFont="1" applyFill="1" applyBorder="1"/>
    <xf numFmtId="164" fontId="48" fillId="37" borderId="79" xfId="59" applyNumberFormat="1" applyFont="1" applyFill="1" applyBorder="1"/>
    <xf numFmtId="0" fontId="0" fillId="32" borderId="80" xfId="59" applyFont="1" applyFill="1" applyBorder="1" applyAlignment="1">
      <alignment horizontal="center"/>
    </xf>
    <xf numFmtId="0" fontId="0" fillId="32" borderId="80" xfId="59" applyFont="1" applyFill="1" applyBorder="1"/>
    <xf numFmtId="164" fontId="0" fillId="32" borderId="80" xfId="59" applyNumberFormat="1" applyFont="1" applyFill="1" applyBorder="1"/>
    <xf numFmtId="164" fontId="48" fillId="37" borderId="0" xfId="59" applyNumberFormat="1" applyFont="1" applyFill="1"/>
    <xf numFmtId="0" fontId="0" fillId="38" borderId="0" xfId="59" applyFont="1" applyFill="1"/>
    <xf numFmtId="2" fontId="48" fillId="48" borderId="0" xfId="59" applyNumberFormat="1" applyFont="1" applyFill="1"/>
    <xf numFmtId="164" fontId="48" fillId="37" borderId="84" xfId="59" applyNumberFormat="1" applyFont="1" applyFill="1" applyBorder="1"/>
    <xf numFmtId="0" fontId="157" fillId="0" borderId="0" xfId="59" applyFont="1" applyFill="1" applyAlignment="1">
      <alignment horizontal="center"/>
    </xf>
    <xf numFmtId="2" fontId="48" fillId="37" borderId="0" xfId="59" applyNumberFormat="1" applyFont="1" applyFill="1" applyBorder="1"/>
    <xf numFmtId="1" fontId="20" fillId="40" borderId="0" xfId="59" applyNumberFormat="1" applyFont="1" applyFill="1" applyBorder="1" applyAlignment="1" applyProtection="1">
      <alignment horizontal="center" vertical="center"/>
    </xf>
    <xf numFmtId="2" fontId="48" fillId="28" borderId="0" xfId="59" applyNumberFormat="1" applyFont="1" applyFill="1" applyBorder="1"/>
    <xf numFmtId="164" fontId="48" fillId="0" borderId="0" xfId="75" applyNumberFormat="1" applyFont="1"/>
    <xf numFmtId="14" fontId="48" fillId="0" borderId="0" xfId="59" applyNumberFormat="1" applyFont="1" applyBorder="1" applyAlignment="1"/>
    <xf numFmtId="165" fontId="44" fillId="0" borderId="100" xfId="75" applyNumberFormat="1" applyFont="1" applyFill="1" applyBorder="1" applyAlignment="1"/>
    <xf numFmtId="165" fontId="17" fillId="30" borderId="0" xfId="75" applyNumberFormat="1" applyFont="1" applyFill="1" applyBorder="1"/>
    <xf numFmtId="165" fontId="48" fillId="30" borderId="0" xfId="75" applyNumberFormat="1" applyFont="1" applyFill="1" applyBorder="1"/>
    <xf numFmtId="10" fontId="48" fillId="30" borderId="0" xfId="75" applyNumberFormat="1" applyFont="1" applyFill="1" applyBorder="1"/>
    <xf numFmtId="14" fontId="44" fillId="0" borderId="12" xfId="59" applyNumberFormat="1" applyFont="1" applyBorder="1" applyAlignment="1"/>
    <xf numFmtId="0" fontId="0" fillId="32" borderId="86" xfId="59" applyFont="1" applyFill="1" applyBorder="1" applyAlignment="1">
      <alignment horizontal="center"/>
    </xf>
    <xf numFmtId="0" fontId="44" fillId="46" borderId="87" xfId="59" applyFont="1" applyFill="1" applyBorder="1" applyAlignment="1">
      <alignment horizontal="center"/>
    </xf>
    <xf numFmtId="0" fontId="0" fillId="46" borderId="0" xfId="59" applyFont="1" applyFill="1" applyBorder="1" applyAlignment="1">
      <alignment horizontal="center"/>
    </xf>
    <xf numFmtId="164" fontId="44" fillId="46" borderId="88" xfId="59" applyNumberFormat="1" applyFont="1" applyFill="1" applyBorder="1" applyAlignment="1"/>
    <xf numFmtId="0" fontId="44" fillId="32" borderId="72" xfId="59" applyFont="1" applyFill="1" applyBorder="1" applyAlignment="1">
      <alignment horizontal="center"/>
    </xf>
    <xf numFmtId="0" fontId="44" fillId="32" borderId="84" xfId="59" applyFont="1" applyFill="1" applyBorder="1" applyAlignment="1">
      <alignment horizontal="center"/>
    </xf>
    <xf numFmtId="164" fontId="44" fillId="32" borderId="84" xfId="59" applyNumberFormat="1" applyFont="1" applyFill="1" applyBorder="1"/>
    <xf numFmtId="164" fontId="48" fillId="48" borderId="88" xfId="59" applyNumberFormat="1" applyFont="1" applyFill="1" applyBorder="1" applyAlignment="1"/>
    <xf numFmtId="164" fontId="48" fillId="48" borderId="90" xfId="59" applyNumberFormat="1" applyFont="1" applyFill="1" applyBorder="1" applyAlignment="1"/>
    <xf numFmtId="164" fontId="48" fillId="48" borderId="0" xfId="59" applyNumberFormat="1" applyFont="1" applyFill="1" applyBorder="1" applyAlignment="1"/>
    <xf numFmtId="0" fontId="0" fillId="46" borderId="88" xfId="59" applyFont="1" applyFill="1" applyBorder="1" applyAlignment="1">
      <alignment horizontal="center"/>
    </xf>
    <xf numFmtId="14" fontId="44" fillId="0" borderId="86" xfId="59" applyNumberFormat="1" applyFont="1" applyFill="1" applyBorder="1" applyAlignment="1" applyProtection="1">
      <alignment horizontal="center" vertical="center"/>
    </xf>
    <xf numFmtId="14" fontId="44" fillId="0" borderId="80" xfId="59" applyNumberFormat="1" applyFont="1" applyBorder="1" applyAlignment="1"/>
    <xf numFmtId="164" fontId="44" fillId="0" borderId="80" xfId="59" applyNumberFormat="1" applyFont="1" applyBorder="1" applyAlignment="1">
      <alignment horizontal="center"/>
    </xf>
    <xf numFmtId="164" fontId="44" fillId="0" borderId="97" xfId="59" applyNumberFormat="1" applyFont="1" applyBorder="1" applyAlignment="1"/>
    <xf numFmtId="164" fontId="48" fillId="0" borderId="97" xfId="59" applyNumberFormat="1" applyFont="1" applyBorder="1" applyAlignment="1"/>
    <xf numFmtId="0" fontId="94" fillId="33" borderId="86" xfId="59" applyFont="1" applyFill="1" applyBorder="1" applyAlignment="1">
      <alignment horizontal="center"/>
    </xf>
    <xf numFmtId="0" fontId="45" fillId="33" borderId="80" xfId="59" applyFont="1" applyFill="1" applyBorder="1" applyAlignment="1"/>
    <xf numFmtId="0" fontId="45" fillId="33" borderId="80" xfId="59" applyFont="1" applyFill="1" applyBorder="1" applyAlignment="1">
      <alignment horizontal="center"/>
    </xf>
    <xf numFmtId="1" fontId="45" fillId="33" borderId="80" xfId="59" applyNumberFormat="1" applyFont="1" applyFill="1" applyBorder="1" applyAlignment="1"/>
    <xf numFmtId="164" fontId="44" fillId="0" borderId="84" xfId="59" applyNumberFormat="1" applyFont="1" applyFill="1" applyBorder="1" applyAlignment="1">
      <alignment horizontal="right"/>
    </xf>
    <xf numFmtId="164" fontId="48" fillId="36" borderId="84" xfId="59" applyNumberFormat="1" applyFont="1" applyFill="1" applyBorder="1" applyAlignment="1"/>
    <xf numFmtId="164" fontId="44" fillId="0" borderId="0" xfId="59" applyNumberFormat="1" applyFont="1" applyFill="1" applyBorder="1" applyAlignment="1">
      <alignment horizontal="right"/>
    </xf>
    <xf numFmtId="164" fontId="48" fillId="36" borderId="0" xfId="59" applyNumberFormat="1" applyFont="1" applyFill="1" applyBorder="1" applyAlignment="1"/>
    <xf numFmtId="164" fontId="44" fillId="0" borderId="79" xfId="59" applyNumberFormat="1" applyFont="1" applyFill="1" applyBorder="1" applyAlignment="1">
      <alignment horizontal="right"/>
    </xf>
    <xf numFmtId="164" fontId="48" fillId="36" borderId="79" xfId="59" applyNumberFormat="1" applyFont="1" applyFill="1" applyBorder="1" applyAlignment="1"/>
    <xf numFmtId="164" fontId="44" fillId="0" borderId="90" xfId="59" applyNumberFormat="1" applyFont="1" applyFill="1" applyBorder="1" applyAlignment="1">
      <alignment horizontal="center"/>
    </xf>
    <xf numFmtId="1" fontId="48" fillId="30" borderId="48" xfId="59" applyNumberFormat="1" applyFont="1" applyFill="1" applyBorder="1" applyAlignment="1">
      <alignment horizontal="center" vertical="center"/>
    </xf>
    <xf numFmtId="0" fontId="45" fillId="33" borderId="84" xfId="59" applyFont="1" applyFill="1" applyBorder="1" applyAlignment="1"/>
    <xf numFmtId="1" fontId="45" fillId="33" borderId="84" xfId="59" applyNumberFormat="1" applyFont="1" applyFill="1" applyBorder="1" applyAlignment="1"/>
    <xf numFmtId="164" fontId="48" fillId="36" borderId="0" xfId="59" applyNumberFormat="1" applyFont="1" applyFill="1" applyBorder="1"/>
    <xf numFmtId="0" fontId="18" fillId="33" borderId="79" xfId="59" applyFont="1" applyFill="1" applyBorder="1" applyAlignment="1">
      <alignment horizontal="center"/>
    </xf>
    <xf numFmtId="0" fontId="18" fillId="33" borderId="79" xfId="59" applyFont="1" applyFill="1" applyBorder="1"/>
    <xf numFmtId="164" fontId="18" fillId="33" borderId="79" xfId="59" applyNumberFormat="1" applyFont="1" applyFill="1" applyBorder="1"/>
    <xf numFmtId="164" fontId="45" fillId="33" borderId="79" xfId="59" applyNumberFormat="1" applyFont="1" applyFill="1" applyBorder="1"/>
    <xf numFmtId="0" fontId="18" fillId="33" borderId="147" xfId="59" applyFont="1" applyFill="1" applyBorder="1" applyAlignment="1">
      <alignment horizontal="center"/>
    </xf>
    <xf numFmtId="0" fontId="18" fillId="33" borderId="147" xfId="59" applyFont="1" applyFill="1" applyBorder="1"/>
    <xf numFmtId="164" fontId="18" fillId="33" borderId="147" xfId="59" applyNumberFormat="1" applyFont="1" applyFill="1" applyBorder="1"/>
    <xf numFmtId="164" fontId="45" fillId="33" borderId="147" xfId="59" applyNumberFormat="1" applyFont="1" applyFill="1" applyBorder="1"/>
    <xf numFmtId="0" fontId="18" fillId="33" borderId="148" xfId="59" applyFont="1" applyFill="1" applyBorder="1" applyAlignment="1">
      <alignment horizontal="center"/>
    </xf>
    <xf numFmtId="0" fontId="18" fillId="33" borderId="148" xfId="59" applyFont="1" applyFill="1" applyBorder="1"/>
    <xf numFmtId="164" fontId="18" fillId="33" borderId="148" xfId="59" applyNumberFormat="1" applyFont="1" applyFill="1" applyBorder="1"/>
    <xf numFmtId="164" fontId="45" fillId="33" borderId="148" xfId="59" applyNumberFormat="1" applyFont="1" applyFill="1" applyBorder="1"/>
    <xf numFmtId="0" fontId="18" fillId="33" borderId="149" xfId="59" applyFont="1" applyFill="1" applyBorder="1" applyAlignment="1">
      <alignment horizontal="center"/>
    </xf>
    <xf numFmtId="0" fontId="18" fillId="33" borderId="149" xfId="59" applyFont="1" applyFill="1" applyBorder="1"/>
    <xf numFmtId="164" fontId="18" fillId="33" borderId="149" xfId="59" applyNumberFormat="1" applyFont="1" applyFill="1" applyBorder="1"/>
    <xf numFmtId="164" fontId="45" fillId="33" borderId="149" xfId="59" applyNumberFormat="1" applyFont="1" applyFill="1" applyBorder="1"/>
    <xf numFmtId="164" fontId="48" fillId="38" borderId="90" xfId="59" applyNumberFormat="1" applyFont="1" applyFill="1" applyBorder="1"/>
    <xf numFmtId="164" fontId="48" fillId="38" borderId="97" xfId="59" applyNumberFormat="1" applyFont="1" applyFill="1" applyBorder="1"/>
    <xf numFmtId="164" fontId="48" fillId="38" borderId="0" xfId="59" applyNumberFormat="1" applyFont="1" applyFill="1"/>
    <xf numFmtId="0" fontId="18" fillId="33" borderId="72" xfId="59" applyFont="1" applyFill="1" applyBorder="1" applyAlignment="1">
      <alignment horizontal="center"/>
    </xf>
    <xf numFmtId="0" fontId="18" fillId="33" borderId="84" xfId="59" applyFont="1" applyFill="1" applyBorder="1" applyAlignment="1">
      <alignment horizontal="center"/>
    </xf>
    <xf numFmtId="164" fontId="48" fillId="0" borderId="80" xfId="59" applyNumberFormat="1" applyFont="1" applyBorder="1"/>
    <xf numFmtId="164" fontId="48" fillId="0" borderId="97" xfId="59" applyNumberFormat="1" applyFont="1" applyFill="1" applyBorder="1" applyAlignment="1"/>
    <xf numFmtId="0" fontId="18" fillId="33" borderId="86" xfId="59" applyFont="1" applyFill="1" applyBorder="1" applyAlignment="1">
      <alignment horizontal="center"/>
    </xf>
    <xf numFmtId="0" fontId="45" fillId="33" borderId="80" xfId="59" applyFont="1" applyFill="1" applyBorder="1"/>
    <xf numFmtId="0" fontId="18" fillId="33" borderId="80" xfId="59" applyFont="1" applyFill="1" applyBorder="1" applyAlignment="1">
      <alignment horizontal="center"/>
    </xf>
    <xf numFmtId="0" fontId="18" fillId="33" borderId="0" xfId="59" applyFont="1" applyFill="1" applyAlignment="1">
      <alignment horizontal="center"/>
    </xf>
    <xf numFmtId="0" fontId="18" fillId="33" borderId="0" xfId="59" applyFont="1" applyFill="1"/>
    <xf numFmtId="164" fontId="18" fillId="33" borderId="0" xfId="59" applyNumberFormat="1" applyFont="1" applyFill="1"/>
    <xf numFmtId="164" fontId="45" fillId="33" borderId="0" xfId="59" applyNumberFormat="1" applyFont="1" applyFill="1"/>
    <xf numFmtId="0" fontId="95" fillId="33" borderId="72" xfId="59" applyFont="1" applyFill="1" applyBorder="1" applyAlignment="1">
      <alignment horizontal="center"/>
    </xf>
    <xf numFmtId="0" fontId="79" fillId="33" borderId="84" xfId="59" applyFont="1" applyFill="1" applyBorder="1"/>
    <xf numFmtId="0" fontId="95" fillId="33" borderId="84" xfId="59" applyFont="1" applyFill="1" applyBorder="1" applyAlignment="1">
      <alignment horizontal="center"/>
    </xf>
    <xf numFmtId="1" fontId="79" fillId="33" borderId="80" xfId="59" applyNumberFormat="1" applyFont="1" applyFill="1" applyBorder="1" applyAlignment="1"/>
    <xf numFmtId="1" fontId="20" fillId="0" borderId="0" xfId="59" applyNumberFormat="1" applyFont="1" applyFill="1" applyAlignment="1">
      <alignment horizontal="center"/>
    </xf>
    <xf numFmtId="164" fontId="44" fillId="0" borderId="25" xfId="75" applyNumberFormat="1" applyFont="1" applyBorder="1" applyAlignment="1"/>
    <xf numFmtId="164" fontId="44" fillId="30" borderId="0" xfId="75" applyNumberFormat="1" applyFont="1" applyFill="1" applyAlignment="1"/>
    <xf numFmtId="10" fontId="66" fillId="36" borderId="0" xfId="75" applyNumberFormat="1" applyFont="1" applyFill="1" applyBorder="1"/>
    <xf numFmtId="177" fontId="50" fillId="0" borderId="0" xfId="59" applyNumberFormat="1" applyFont="1" applyAlignment="1"/>
    <xf numFmtId="166" fontId="48" fillId="0" borderId="79" xfId="59" applyNumberFormat="1" applyFont="1" applyFill="1" applyBorder="1" applyAlignment="1">
      <alignment horizontal="right"/>
    </xf>
    <xf numFmtId="166" fontId="45" fillId="33" borderId="84" xfId="59" applyNumberFormat="1" applyFont="1" applyFill="1" applyBorder="1" applyAlignment="1">
      <alignment horizontal="right"/>
    </xf>
    <xf numFmtId="2" fontId="56" fillId="29" borderId="50" xfId="59" applyNumberFormat="1" applyFont="1" applyFill="1" applyBorder="1" applyAlignment="1" applyProtection="1">
      <alignment horizontal="right"/>
    </xf>
    <xf numFmtId="164" fontId="48" fillId="0" borderId="0" xfId="75" applyNumberFormat="1" applyFont="1" applyFill="1"/>
    <xf numFmtId="164" fontId="56" fillId="0" borderId="0" xfId="75" applyNumberFormat="1" applyFont="1" applyFill="1" applyBorder="1"/>
    <xf numFmtId="0" fontId="56" fillId="0" borderId="0" xfId="59" applyNumberFormat="1" applyFont="1"/>
    <xf numFmtId="10" fontId="49" fillId="36" borderId="0" xfId="75" applyNumberFormat="1" applyFont="1" applyFill="1" applyBorder="1"/>
    <xf numFmtId="164" fontId="19" fillId="57" borderId="70" xfId="59" applyNumberFormat="1" applyFont="1" applyFill="1" applyBorder="1" applyAlignment="1">
      <alignment horizontal="right"/>
    </xf>
    <xf numFmtId="10" fontId="56" fillId="51" borderId="143" xfId="75" applyNumberFormat="1" applyFont="1" applyFill="1" applyBorder="1" applyAlignment="1"/>
    <xf numFmtId="164" fontId="56" fillId="0" borderId="45" xfId="59" applyNumberFormat="1" applyFont="1" applyFill="1" applyBorder="1" applyProtection="1"/>
    <xf numFmtId="164" fontId="48" fillId="0" borderId="80" xfId="59" applyNumberFormat="1" applyFont="1" applyFill="1" applyBorder="1" applyAlignment="1" applyProtection="1">
      <protection locked="0"/>
    </xf>
    <xf numFmtId="2" fontId="50" fillId="0" borderId="29" xfId="59" applyNumberFormat="1" applyFont="1" applyFill="1" applyBorder="1" applyProtection="1"/>
    <xf numFmtId="0" fontId="50" fillId="29" borderId="134" xfId="59" applyFont="1" applyFill="1" applyBorder="1" applyProtection="1"/>
    <xf numFmtId="177" fontId="44" fillId="0" borderId="0" xfId="59" applyNumberFormat="1" applyFont="1" applyAlignment="1"/>
    <xf numFmtId="164" fontId="65" fillId="36" borderId="79" xfId="59" applyNumberFormat="1" applyFont="1" applyFill="1" applyBorder="1" applyAlignment="1">
      <alignment horizontal="right"/>
    </xf>
    <xf numFmtId="0" fontId="50" fillId="29" borderId="26" xfId="59" applyFont="1" applyFill="1" applyBorder="1" applyAlignment="1" applyProtection="1">
      <alignment horizontal="left" indent="1"/>
    </xf>
    <xf numFmtId="0" fontId="50" fillId="29" borderId="133" xfId="59" applyFont="1" applyFill="1" applyBorder="1" applyProtection="1"/>
    <xf numFmtId="0" fontId="50" fillId="29" borderId="136" xfId="59" applyFont="1" applyFill="1" applyBorder="1" applyProtection="1"/>
    <xf numFmtId="2" fontId="44" fillId="36" borderId="84" xfId="59" applyNumberFormat="1" applyFont="1" applyFill="1" applyBorder="1" applyAlignment="1">
      <alignment horizontal="right"/>
    </xf>
    <xf numFmtId="164" fontId="50" fillId="29" borderId="40" xfId="59" applyNumberFormat="1" applyFont="1" applyFill="1" applyBorder="1" applyProtection="1"/>
    <xf numFmtId="0" fontId="54" fillId="29" borderId="66" xfId="59" applyFont="1" applyFill="1" applyBorder="1" applyAlignment="1" applyProtection="1">
      <alignment horizontal="center"/>
    </xf>
    <xf numFmtId="10" fontId="44" fillId="0" borderId="38" xfId="75" applyNumberFormat="1" applyFont="1" applyBorder="1" applyAlignment="1"/>
    <xf numFmtId="173" fontId="44" fillId="0" borderId="38" xfId="75" applyNumberFormat="1" applyFont="1" applyBorder="1" applyAlignment="1"/>
    <xf numFmtId="173" fontId="56" fillId="0" borderId="0" xfId="75" applyNumberFormat="1" applyFont="1" applyBorder="1" applyAlignment="1"/>
    <xf numFmtId="2" fontId="71" fillId="32" borderId="86" xfId="59" applyNumberFormat="1" applyFont="1" applyFill="1" applyBorder="1" applyAlignment="1">
      <alignment horizontal="right"/>
    </xf>
    <xf numFmtId="2" fontId="44" fillId="29" borderId="84" xfId="59" applyNumberFormat="1" applyFont="1" applyFill="1" applyBorder="1" applyAlignment="1">
      <alignment horizontal="right"/>
    </xf>
    <xf numFmtId="164" fontId="44" fillId="29" borderId="84" xfId="59" applyNumberFormat="1" applyFont="1" applyFill="1" applyBorder="1"/>
    <xf numFmtId="2" fontId="44" fillId="29" borderId="0" xfId="59" applyNumberFormat="1" applyFont="1" applyFill="1" applyBorder="1" applyAlignment="1">
      <alignment horizontal="right"/>
    </xf>
    <xf numFmtId="164" fontId="44" fillId="29" borderId="0" xfId="59" applyNumberFormat="1" applyFont="1" applyFill="1" applyBorder="1"/>
    <xf numFmtId="2" fontId="50" fillId="29" borderId="79" xfId="59" applyNumberFormat="1" applyFont="1" applyFill="1" applyBorder="1" applyAlignment="1">
      <alignment horizontal="right"/>
    </xf>
    <xf numFmtId="164" fontId="44" fillId="29" borderId="79" xfId="59" applyNumberFormat="1" applyFont="1" applyFill="1" applyBorder="1"/>
    <xf numFmtId="0" fontId="0" fillId="0" borderId="4" xfId="0" applyBorder="1"/>
    <xf numFmtId="2" fontId="50" fillId="29" borderId="38" xfId="59" applyNumberFormat="1" applyFont="1" applyFill="1" applyBorder="1" applyProtection="1"/>
    <xf numFmtId="164" fontId="48" fillId="37" borderId="0" xfId="59" applyNumberFormat="1" applyFont="1" applyFill="1" applyBorder="1" applyAlignment="1"/>
    <xf numFmtId="167" fontId="0" fillId="32" borderId="0" xfId="59" applyNumberFormat="1" applyFont="1" applyFill="1" applyBorder="1"/>
    <xf numFmtId="166" fontId="44" fillId="32" borderId="0" xfId="59" applyNumberFormat="1" applyFont="1" applyFill="1" applyAlignment="1"/>
    <xf numFmtId="2" fontId="44" fillId="30" borderId="0" xfId="59" applyNumberFormat="1" applyFont="1" applyFill="1"/>
    <xf numFmtId="166" fontId="0" fillId="0" borderId="0" xfId="0" applyNumberFormat="1"/>
    <xf numFmtId="0" fontId="46" fillId="38" borderId="88" xfId="59" applyFont="1" applyFill="1" applyBorder="1"/>
    <xf numFmtId="166" fontId="58" fillId="0" borderId="0" xfId="59" applyNumberFormat="1" applyFont="1" applyFill="1" applyBorder="1" applyAlignment="1"/>
    <xf numFmtId="166" fontId="19" fillId="0" borderId="0" xfId="59" applyNumberFormat="1" applyFont="1" applyBorder="1" applyAlignment="1"/>
    <xf numFmtId="2" fontId="55" fillId="57" borderId="84" xfId="59" applyNumberFormat="1" applyFont="1" applyFill="1" applyBorder="1" applyAlignment="1" applyProtection="1">
      <alignment horizontal="right"/>
      <protection locked="0"/>
    </xf>
    <xf numFmtId="2" fontId="56" fillId="57" borderId="75" xfId="59" applyNumberFormat="1" applyFont="1" applyFill="1" applyBorder="1" applyAlignment="1" applyProtection="1">
      <alignment horizontal="right"/>
      <protection locked="0"/>
    </xf>
    <xf numFmtId="176" fontId="44" fillId="0" borderId="0" xfId="59" applyNumberFormat="1" applyFont="1" applyAlignment="1"/>
    <xf numFmtId="164" fontId="56" fillId="37" borderId="0" xfId="59" applyNumberFormat="1" applyFont="1" applyFill="1" applyAlignment="1"/>
    <xf numFmtId="164" fontId="56" fillId="29" borderId="74" xfId="59" applyNumberFormat="1" applyFont="1" applyFill="1" applyBorder="1" applyProtection="1"/>
    <xf numFmtId="164" fontId="56" fillId="29" borderId="36" xfId="59" applyNumberFormat="1" applyFont="1" applyFill="1" applyBorder="1" applyProtection="1"/>
    <xf numFmtId="10" fontId="44" fillId="0" borderId="0" xfId="75" applyNumberFormat="1" applyFont="1" applyBorder="1" applyAlignment="1"/>
    <xf numFmtId="166" fontId="75" fillId="0" borderId="0" xfId="59" applyNumberFormat="1" applyFont="1" applyBorder="1" applyAlignment="1"/>
    <xf numFmtId="166" fontId="55" fillId="0" borderId="0" xfId="59" applyNumberFormat="1" applyFont="1" applyAlignment="1">
      <alignment horizontal="right"/>
    </xf>
    <xf numFmtId="2" fontId="44" fillId="0" borderId="0" xfId="59" applyNumberFormat="1" applyFont="1" applyAlignment="1">
      <alignment horizontal="right"/>
    </xf>
    <xf numFmtId="10" fontId="44" fillId="0" borderId="0" xfId="75" applyNumberFormat="1" applyFont="1" applyAlignment="1"/>
    <xf numFmtId="10" fontId="50" fillId="0" borderId="0" xfId="75" applyNumberFormat="1" applyFont="1" applyBorder="1" applyAlignment="1"/>
    <xf numFmtId="165" fontId="75" fillId="0" borderId="0" xfId="75" applyNumberFormat="1" applyFont="1" applyAlignment="1"/>
    <xf numFmtId="165" fontId="134" fillId="0" borderId="0" xfId="75" applyNumberFormat="1" applyFont="1" applyAlignment="1"/>
    <xf numFmtId="166" fontId="134" fillId="0" borderId="0" xfId="59" applyNumberFormat="1" applyFont="1" applyAlignment="1"/>
    <xf numFmtId="1" fontId="74" fillId="0" borderId="0" xfId="59" applyNumberFormat="1" applyFont="1" applyAlignment="1">
      <alignment horizontal="center"/>
    </xf>
    <xf numFmtId="2" fontId="158" fillId="0" borderId="0" xfId="59" applyNumberFormat="1" applyFont="1" applyAlignment="1"/>
    <xf numFmtId="10" fontId="134" fillId="0" borderId="0" xfId="75" applyNumberFormat="1" applyFont="1" applyAlignment="1"/>
    <xf numFmtId="173" fontId="56" fillId="0" borderId="38" xfId="75" applyNumberFormat="1" applyFont="1" applyBorder="1" applyAlignment="1"/>
    <xf numFmtId="164" fontId="74" fillId="0" borderId="0" xfId="59" applyNumberFormat="1" applyFont="1" applyAlignment="1"/>
    <xf numFmtId="164" fontId="134" fillId="0" borderId="0" xfId="59" applyNumberFormat="1" applyFont="1" applyAlignment="1"/>
    <xf numFmtId="173" fontId="46" fillId="0" borderId="0" xfId="59" applyNumberFormat="1" applyFont="1" applyAlignment="1"/>
    <xf numFmtId="164" fontId="44" fillId="0" borderId="0" xfId="59" applyNumberFormat="1" applyFont="1" applyFill="1" applyAlignment="1"/>
    <xf numFmtId="166" fontId="19" fillId="28" borderId="0" xfId="59" applyNumberFormat="1" applyFont="1" applyFill="1" applyBorder="1" applyAlignment="1"/>
    <xf numFmtId="14" fontId="49" fillId="0" borderId="0" xfId="59" applyNumberFormat="1" applyFont="1" applyFill="1" applyBorder="1" applyAlignment="1" applyProtection="1">
      <alignment horizontal="center" vertical="center"/>
    </xf>
    <xf numFmtId="14" fontId="49" fillId="0" borderId="0" xfId="59" applyNumberFormat="1" applyFont="1" applyBorder="1" applyAlignment="1"/>
    <xf numFmtId="164" fontId="49" fillId="0" borderId="0" xfId="59" applyNumberFormat="1" applyFont="1" applyBorder="1" applyAlignment="1">
      <alignment horizontal="center"/>
    </xf>
    <xf numFmtId="164" fontId="49" fillId="0" borderId="0" xfId="59" applyNumberFormat="1" applyFont="1" applyBorder="1" applyAlignment="1"/>
    <xf numFmtId="0" fontId="49" fillId="0" borderId="0" xfId="59" applyNumberFormat="1" applyFont="1" applyAlignment="1"/>
    <xf numFmtId="1" fontId="75" fillId="0" borderId="0" xfId="59" applyNumberFormat="1" applyFont="1" applyFill="1" applyBorder="1" applyAlignment="1" applyProtection="1">
      <alignment horizontal="center" vertical="center"/>
    </xf>
    <xf numFmtId="10" fontId="44" fillId="0" borderId="0" xfId="59" applyNumberFormat="1" applyFont="1" applyAlignment="1"/>
    <xf numFmtId="2" fontId="44" fillId="30" borderId="0" xfId="75" applyNumberFormat="1" applyFont="1" applyFill="1" applyAlignment="1"/>
    <xf numFmtId="1" fontId="44" fillId="0" borderId="0" xfId="59" applyNumberFormat="1" applyFont="1"/>
    <xf numFmtId="2" fontId="44" fillId="58" borderId="0" xfId="59" applyNumberFormat="1" applyFont="1" applyFill="1" applyAlignment="1"/>
    <xf numFmtId="166" fontId="59" fillId="28" borderId="0" xfId="59" applyNumberFormat="1" applyFont="1" applyFill="1" applyBorder="1" applyAlignment="1"/>
    <xf numFmtId="0" fontId="0" fillId="0" borderId="0" xfId="0" applyFill="1"/>
    <xf numFmtId="166" fontId="56" fillId="37" borderId="84" xfId="59" applyNumberFormat="1" applyFont="1" applyFill="1" applyBorder="1" applyAlignment="1"/>
    <xf numFmtId="10" fontId="48" fillId="30" borderId="0" xfId="75" applyNumberFormat="1" applyFont="1" applyFill="1" applyAlignment="1"/>
    <xf numFmtId="0" fontId="75" fillId="0" borderId="0" xfId="0" applyFont="1"/>
    <xf numFmtId="10" fontId="75" fillId="0" borderId="0" xfId="75" applyNumberFormat="1" applyFont="1"/>
    <xf numFmtId="0" fontId="75" fillId="0" borderId="0" xfId="59" applyFont="1" applyFill="1"/>
    <xf numFmtId="166" fontId="56" fillId="51" borderId="143" xfId="75" applyNumberFormat="1" applyFont="1" applyFill="1" applyBorder="1" applyAlignment="1"/>
    <xf numFmtId="2" fontId="55" fillId="57" borderId="108" xfId="59" applyNumberFormat="1" applyFont="1" applyFill="1" applyBorder="1" applyAlignment="1" applyProtection="1">
      <alignment horizontal="right"/>
      <protection locked="0"/>
    </xf>
    <xf numFmtId="0" fontId="19" fillId="0" borderId="151" xfId="59" applyFont="1" applyBorder="1" applyAlignment="1">
      <alignment horizontal="center"/>
    </xf>
    <xf numFmtId="0" fontId="19" fillId="0" borderId="152" xfId="59" applyFont="1" applyBorder="1" applyAlignment="1">
      <alignment horizontal="center"/>
    </xf>
    <xf numFmtId="0" fontId="19" fillId="0" borderId="153" xfId="59" applyFont="1" applyBorder="1" applyAlignment="1">
      <alignment horizontal="center"/>
    </xf>
    <xf numFmtId="2" fontId="49" fillId="0" borderId="0" xfId="59" applyNumberFormat="1" applyFont="1" applyAlignment="1"/>
    <xf numFmtId="2" fontId="75" fillId="0" borderId="0" xfId="59" applyNumberFormat="1" applyFont="1"/>
    <xf numFmtId="2" fontId="0" fillId="0" borderId="0" xfId="0" applyNumberFormat="1"/>
    <xf numFmtId="166" fontId="44" fillId="0" borderId="0" xfId="59" applyNumberFormat="1" applyFont="1" applyFill="1" applyAlignment="1"/>
    <xf numFmtId="0" fontId="46" fillId="0" borderId="0" xfId="59" applyFont="1" applyAlignment="1"/>
    <xf numFmtId="0" fontId="83" fillId="0" borderId="0" xfId="59" applyFont="1" applyAlignment="1"/>
    <xf numFmtId="2" fontId="55" fillId="57" borderId="0" xfId="59" applyNumberFormat="1" applyFont="1" applyFill="1" applyBorder="1"/>
    <xf numFmtId="165" fontId="56" fillId="0" borderId="0" xfId="59" applyNumberFormat="1" applyFont="1"/>
    <xf numFmtId="14" fontId="49" fillId="0" borderId="0" xfId="59" applyNumberFormat="1" applyFont="1" applyAlignment="1"/>
    <xf numFmtId="14" fontId="49" fillId="0" borderId="0" xfId="59" applyNumberFormat="1" applyFont="1" applyAlignment="1">
      <alignment horizontal="center"/>
    </xf>
    <xf numFmtId="164" fontId="49" fillId="0" borderId="0" xfId="59" applyNumberFormat="1" applyFont="1" applyAlignment="1"/>
    <xf numFmtId="164" fontId="59" fillId="0" borderId="0" xfId="59" applyNumberFormat="1" applyFont="1" applyAlignment="1"/>
    <xf numFmtId="0" fontId="49" fillId="0" borderId="0" xfId="59" applyFont="1" applyBorder="1" applyAlignment="1">
      <alignment horizontal="center"/>
    </xf>
    <xf numFmtId="164" fontId="49" fillId="0" borderId="0" xfId="59" applyNumberFormat="1" applyFont="1"/>
    <xf numFmtId="0" fontId="49" fillId="0" borderId="0" xfId="59" applyNumberFormat="1" applyFont="1"/>
    <xf numFmtId="165" fontId="59" fillId="0" borderId="0" xfId="59" applyNumberFormat="1" applyFont="1" applyAlignment="1"/>
    <xf numFmtId="164" fontId="56" fillId="0" borderId="0" xfId="59" applyNumberFormat="1" applyFont="1" applyBorder="1"/>
    <xf numFmtId="14" fontId="75" fillId="0" borderId="0" xfId="59" applyNumberFormat="1" applyFont="1" applyBorder="1" applyAlignment="1"/>
    <xf numFmtId="2" fontId="0" fillId="32" borderId="0" xfId="59" applyNumberFormat="1" applyFont="1" applyFill="1" applyBorder="1"/>
    <xf numFmtId="10" fontId="44" fillId="30" borderId="0" xfId="75" applyNumberFormat="1" applyFont="1" applyFill="1" applyBorder="1" applyAlignment="1"/>
    <xf numFmtId="2" fontId="46" fillId="38" borderId="0" xfId="59" applyNumberFormat="1" applyFont="1" applyFill="1" applyBorder="1"/>
    <xf numFmtId="0" fontId="0" fillId="43" borderId="0" xfId="0" applyFill="1" applyProtection="1"/>
    <xf numFmtId="0" fontId="47" fillId="43" borderId="0" xfId="0" applyFont="1" applyFill="1" applyProtection="1"/>
    <xf numFmtId="0" fontId="127" fillId="43" borderId="0" xfId="0" applyFont="1" applyFill="1" applyProtection="1"/>
    <xf numFmtId="0" fontId="67" fillId="43" borderId="0" xfId="0" applyFont="1" applyFill="1" applyProtection="1"/>
    <xf numFmtId="0" fontId="77" fillId="43" borderId="0" xfId="0" applyFont="1" applyFill="1" applyProtection="1"/>
    <xf numFmtId="0" fontId="57" fillId="32" borderId="61" xfId="0" applyFont="1" applyFill="1" applyBorder="1" applyAlignment="1" applyProtection="1">
      <alignment horizontal="left"/>
    </xf>
    <xf numFmtId="0" fontId="67" fillId="32" borderId="48" xfId="0" applyFont="1" applyFill="1" applyBorder="1" applyProtection="1"/>
    <xf numFmtId="0" fontId="67" fillId="32" borderId="48" xfId="0" applyFont="1" applyFill="1" applyBorder="1"/>
    <xf numFmtId="0" fontId="67" fillId="32" borderId="132" xfId="0" applyFont="1" applyFill="1" applyBorder="1" applyProtection="1"/>
    <xf numFmtId="0" fontId="102" fillId="43" borderId="0" xfId="0" applyFont="1" applyFill="1" applyProtection="1"/>
    <xf numFmtId="0" fontId="60" fillId="29" borderId="27" xfId="0" applyFont="1" applyFill="1" applyBorder="1" applyAlignment="1" applyProtection="1">
      <alignment horizontal="left"/>
    </xf>
    <xf numFmtId="0" fontId="67" fillId="29" borderId="25" xfId="0" applyFont="1" applyFill="1" applyBorder="1" applyProtection="1"/>
    <xf numFmtId="14" fontId="93" fillId="28" borderId="28" xfId="0" applyNumberFormat="1" applyFont="1" applyFill="1" applyBorder="1" applyAlignment="1" applyProtection="1">
      <alignment horizontal="center"/>
    </xf>
    <xf numFmtId="0" fontId="60" fillId="29" borderId="44" xfId="0" applyFont="1" applyFill="1" applyBorder="1" applyAlignment="1" applyProtection="1">
      <alignment horizontal="left"/>
    </xf>
    <xf numFmtId="0" fontId="67" fillId="29" borderId="38" xfId="0" applyFont="1" applyFill="1" applyBorder="1" applyProtection="1"/>
    <xf numFmtId="0" fontId="93" fillId="28" borderId="45" xfId="0" applyFont="1" applyFill="1" applyBorder="1" applyAlignment="1" applyProtection="1">
      <alignment horizontal="center"/>
    </xf>
    <xf numFmtId="0" fontId="46" fillId="43" borderId="0" xfId="0" applyFont="1" applyFill="1" applyProtection="1"/>
    <xf numFmtId="0" fontId="18" fillId="43" borderId="0" xfId="0" applyFont="1" applyFill="1" applyProtection="1"/>
    <xf numFmtId="14" fontId="45" fillId="43" borderId="0" xfId="0" applyNumberFormat="1" applyFont="1" applyFill="1" applyAlignment="1" applyProtection="1">
      <alignment horizontal="left"/>
    </xf>
    <xf numFmtId="0" fontId="45" fillId="43" borderId="0" xfId="0" applyFont="1" applyFill="1" applyBorder="1" applyProtection="1"/>
    <xf numFmtId="0" fontId="0" fillId="0" borderId="0" xfId="0" applyProtection="1"/>
    <xf numFmtId="0" fontId="0" fillId="0" borderId="0" xfId="0" applyAlignment="1" applyProtection="1">
      <alignment horizontal="center"/>
    </xf>
    <xf numFmtId="0" fontId="44" fillId="0" borderId="0" xfId="0" applyFont="1" applyProtection="1"/>
    <xf numFmtId="0" fontId="47" fillId="0" borderId="0" xfId="0" applyFont="1" applyProtection="1"/>
    <xf numFmtId="0" fontId="0" fillId="0" borderId="0" xfId="0" applyAlignment="1" applyProtection="1">
      <alignment horizontal="right"/>
    </xf>
    <xf numFmtId="166" fontId="56" fillId="32" borderId="0" xfId="59" applyNumberFormat="1" applyFont="1" applyFill="1" applyAlignment="1"/>
    <xf numFmtId="2" fontId="50" fillId="0" borderId="57" xfId="59" applyNumberFormat="1" applyFont="1" applyFill="1" applyBorder="1" applyProtection="1"/>
    <xf numFmtId="10" fontId="55" fillId="0" borderId="0" xfId="75" applyNumberFormat="1" applyFont="1" applyAlignment="1"/>
    <xf numFmtId="1" fontId="49" fillId="0" borderId="0" xfId="59" applyNumberFormat="1" applyFont="1"/>
    <xf numFmtId="0" fontId="161" fillId="0" borderId="0" xfId="59" applyFont="1"/>
    <xf numFmtId="0" fontId="162" fillId="0" borderId="0" xfId="59" applyFont="1"/>
    <xf numFmtId="2" fontId="56" fillId="37" borderId="0" xfId="59" applyNumberFormat="1" applyFont="1" applyFill="1" applyBorder="1"/>
    <xf numFmtId="2" fontId="48" fillId="0" borderId="0" xfId="75" applyNumberFormat="1" applyFont="1" applyFill="1" applyBorder="1" applyAlignment="1"/>
    <xf numFmtId="2" fontId="71" fillId="33" borderId="84" xfId="59" applyNumberFormat="1" applyFont="1" applyFill="1" applyBorder="1" applyAlignment="1">
      <alignment horizontal="right"/>
    </xf>
    <xf numFmtId="9" fontId="0" fillId="0" borderId="0" xfId="75" applyFont="1"/>
    <xf numFmtId="164" fontId="75" fillId="0" borderId="0" xfId="59" applyNumberFormat="1" applyFont="1" applyBorder="1" applyAlignment="1">
      <alignment horizontal="center"/>
    </xf>
    <xf numFmtId="164" fontId="75" fillId="0" borderId="0" xfId="59" applyNumberFormat="1" applyFont="1" applyFill="1" applyBorder="1" applyAlignment="1"/>
    <xf numFmtId="166" fontId="68" fillId="28" borderId="0" xfId="59" applyNumberFormat="1" applyFont="1" applyFill="1" applyBorder="1" applyAlignment="1"/>
    <xf numFmtId="166" fontId="75" fillId="57" borderId="0" xfId="59" applyNumberFormat="1" applyFont="1" applyFill="1" applyBorder="1" applyAlignment="1"/>
    <xf numFmtId="14" fontId="49" fillId="0" borderId="154" xfId="59" applyNumberFormat="1" applyFont="1" applyFill="1" applyBorder="1" applyAlignment="1" applyProtection="1">
      <alignment horizontal="center" vertical="center"/>
    </xf>
    <xf numFmtId="0" fontId="75" fillId="0" borderId="155" xfId="59" applyFont="1" applyBorder="1" applyAlignment="1">
      <alignment horizontal="center"/>
    </xf>
    <xf numFmtId="14" fontId="75" fillId="0" borderId="155" xfId="59" applyNumberFormat="1" applyFont="1" applyBorder="1" applyAlignment="1">
      <alignment horizontal="left" indent="2"/>
    </xf>
    <xf numFmtId="164" fontId="49" fillId="0" borderId="155" xfId="59" applyNumberFormat="1" applyFont="1" applyBorder="1" applyAlignment="1">
      <alignment horizontal="center"/>
    </xf>
    <xf numFmtId="164" fontId="49" fillId="0" borderId="155" xfId="59" applyNumberFormat="1" applyFont="1" applyBorder="1" applyAlignment="1"/>
    <xf numFmtId="166" fontId="75" fillId="0" borderId="155" xfId="59" applyNumberFormat="1" applyFont="1" applyBorder="1" applyAlignment="1"/>
    <xf numFmtId="166" fontId="75" fillId="59" borderId="0" xfId="59" applyNumberFormat="1" applyFont="1" applyFill="1" applyBorder="1" applyAlignment="1"/>
    <xf numFmtId="14" fontId="75" fillId="0" borderId="154" xfId="59" applyNumberFormat="1" applyFont="1" applyFill="1" applyBorder="1" applyAlignment="1" applyProtection="1">
      <alignment horizontal="center" vertical="center"/>
    </xf>
    <xf numFmtId="164" fontId="75" fillId="0" borderId="155" xfId="59" applyNumberFormat="1" applyFont="1" applyBorder="1" applyAlignment="1">
      <alignment horizontal="center"/>
    </xf>
    <xf numFmtId="164" fontId="75" fillId="0" borderId="155" xfId="59" applyNumberFormat="1" applyFont="1" applyBorder="1" applyAlignment="1"/>
    <xf numFmtId="2" fontId="75" fillId="0" borderId="155" xfId="59" applyNumberFormat="1" applyFont="1" applyBorder="1" applyAlignment="1"/>
    <xf numFmtId="166" fontId="75" fillId="0" borderId="155" xfId="59" applyNumberFormat="1" applyFont="1" applyFill="1" applyBorder="1" applyAlignment="1"/>
    <xf numFmtId="0" fontId="75" fillId="0" borderId="0" xfId="59" applyNumberFormat="1" applyFont="1" applyBorder="1" applyAlignment="1"/>
    <xf numFmtId="2" fontId="50" fillId="0" borderId="0" xfId="59" applyNumberFormat="1" applyFont="1" applyBorder="1" applyAlignment="1"/>
    <xf numFmtId="0" fontId="48" fillId="0" borderId="0" xfId="59" applyNumberFormat="1" applyFont="1" applyFill="1" applyAlignment="1"/>
    <xf numFmtId="1" fontId="44" fillId="0" borderId="0" xfId="59" applyNumberFormat="1" applyFont="1" applyFill="1"/>
    <xf numFmtId="1" fontId="19" fillId="0" borderId="0" xfId="59" applyNumberFormat="1" applyFont="1" applyAlignment="1">
      <alignment horizontal="center"/>
    </xf>
    <xf numFmtId="1" fontId="19" fillId="0" borderId="0" xfId="59" applyNumberFormat="1" applyFont="1" applyFill="1" applyBorder="1" applyAlignment="1" applyProtection="1">
      <alignment horizontal="center" vertical="center"/>
    </xf>
    <xf numFmtId="1" fontId="75" fillId="0" borderId="0" xfId="59" applyNumberFormat="1" applyFont="1" applyFill="1" applyBorder="1" applyAlignment="1" applyProtection="1">
      <alignment horizontal="left" vertical="center"/>
    </xf>
    <xf numFmtId="10" fontId="19" fillId="0" borderId="0" xfId="75" applyNumberFormat="1" applyFont="1" applyFill="1" applyBorder="1" applyAlignment="1" applyProtection="1">
      <alignment horizontal="center" vertical="center"/>
    </xf>
    <xf numFmtId="0" fontId="46" fillId="30" borderId="100" xfId="59" applyFont="1" applyFill="1" applyBorder="1" applyAlignment="1"/>
    <xf numFmtId="14" fontId="49" fillId="0" borderId="103" xfId="59" applyNumberFormat="1" applyFont="1" applyFill="1" applyBorder="1" applyAlignment="1" applyProtection="1">
      <alignment horizontal="center" vertical="center"/>
    </xf>
    <xf numFmtId="1" fontId="20" fillId="29" borderId="0" xfId="59" applyNumberFormat="1" applyFont="1" applyFill="1" applyBorder="1" applyAlignment="1" applyProtection="1">
      <alignment horizontal="center" vertical="center"/>
    </xf>
    <xf numFmtId="14" fontId="44" fillId="29" borderId="0" xfId="59" applyNumberFormat="1" applyFont="1" applyFill="1" applyBorder="1" applyAlignment="1" applyProtection="1">
      <alignment horizontal="center" vertical="center"/>
    </xf>
    <xf numFmtId="0" fontId="19" fillId="29" borderId="0" xfId="59" applyFont="1" applyFill="1" applyBorder="1" applyAlignment="1">
      <alignment horizontal="center"/>
    </xf>
    <xf numFmtId="14" fontId="44" fillId="29" borderId="0" xfId="59" applyNumberFormat="1" applyFont="1" applyFill="1" applyBorder="1" applyAlignment="1"/>
    <xf numFmtId="164" fontId="44" fillId="29" borderId="0" xfId="59" applyNumberFormat="1" applyFont="1" applyFill="1" applyBorder="1" applyAlignment="1">
      <alignment horizontal="center"/>
    </xf>
    <xf numFmtId="165" fontId="44" fillId="29" borderId="0" xfId="75" applyNumberFormat="1" applyFont="1" applyFill="1" applyBorder="1" applyAlignment="1"/>
    <xf numFmtId="10" fontId="56" fillId="29" borderId="0" xfId="75" applyNumberFormat="1" applyFont="1" applyFill="1" applyBorder="1" applyAlignment="1"/>
    <xf numFmtId="0" fontId="44" fillId="29" borderId="0" xfId="59" applyNumberFormat="1" applyFont="1" applyFill="1" applyAlignment="1"/>
    <xf numFmtId="0" fontId="44" fillId="29" borderId="0" xfId="59" applyFont="1" applyFill="1" applyAlignment="1"/>
    <xf numFmtId="165" fontId="56" fillId="29" borderId="0" xfId="75" applyNumberFormat="1" applyFont="1" applyFill="1" applyBorder="1" applyAlignment="1"/>
    <xf numFmtId="164" fontId="44" fillId="0" borderId="25" xfId="59" applyNumberFormat="1" applyFont="1" applyBorder="1" applyAlignment="1"/>
    <xf numFmtId="0" fontId="75" fillId="0" borderId="38" xfId="59" applyFont="1" applyBorder="1" applyAlignment="1">
      <alignment horizontal="center"/>
    </xf>
    <xf numFmtId="0" fontId="75" fillId="0" borderId="0" xfId="59" applyFont="1" applyBorder="1" applyAlignment="1"/>
    <xf numFmtId="164" fontId="56" fillId="28" borderId="0" xfId="59" applyNumberFormat="1" applyFont="1" applyFill="1" applyBorder="1" applyAlignment="1"/>
    <xf numFmtId="2" fontId="59" fillId="0" borderId="0" xfId="59" applyNumberFormat="1" applyFont="1" applyBorder="1"/>
    <xf numFmtId="166" fontId="58" fillId="28" borderId="0" xfId="59" applyNumberFormat="1" applyFont="1" applyFill="1" applyBorder="1" applyAlignment="1">
      <alignment horizontal="right"/>
    </xf>
    <xf numFmtId="1" fontId="56" fillId="38" borderId="88" xfId="59" applyNumberFormat="1" applyFont="1" applyFill="1" applyBorder="1" applyAlignment="1"/>
    <xf numFmtId="1" fontId="20" fillId="0" borderId="0" xfId="59" applyNumberFormat="1" applyFont="1" applyFill="1" applyBorder="1" applyAlignment="1" applyProtection="1">
      <alignment horizontal="right" vertical="center"/>
    </xf>
    <xf numFmtId="14" fontId="44" fillId="0" borderId="0" xfId="59" applyNumberFormat="1" applyFont="1" applyFill="1" applyBorder="1" applyAlignment="1" applyProtection="1">
      <alignment horizontal="right" vertical="center"/>
    </xf>
    <xf numFmtId="0" fontId="19" fillId="0" borderId="0" xfId="59" applyFont="1" applyBorder="1" applyAlignment="1">
      <alignment horizontal="right"/>
    </xf>
    <xf numFmtId="14" fontId="49" fillId="0" borderId="0" xfId="59" applyNumberFormat="1" applyFont="1" applyBorder="1" applyAlignment="1">
      <alignment horizontal="right"/>
    </xf>
    <xf numFmtId="166" fontId="50" fillId="57" borderId="0" xfId="59" applyNumberFormat="1" applyFont="1" applyFill="1" applyBorder="1" applyAlignment="1">
      <alignment horizontal="right"/>
    </xf>
    <xf numFmtId="166" fontId="19" fillId="0" borderId="0" xfId="59" applyNumberFormat="1" applyFont="1" applyFill="1" applyBorder="1" applyAlignment="1"/>
    <xf numFmtId="2" fontId="56" fillId="62" borderId="0" xfId="59" applyNumberFormat="1" applyFont="1" applyFill="1" applyBorder="1" applyAlignment="1"/>
    <xf numFmtId="14" fontId="44" fillId="63" borderId="0" xfId="59" applyNumberFormat="1" applyFont="1" applyFill="1" applyBorder="1" applyAlignment="1" applyProtection="1">
      <alignment horizontal="center" vertical="center"/>
    </xf>
    <xf numFmtId="0" fontId="20" fillId="64" borderId="86" xfId="59" applyFont="1" applyFill="1" applyBorder="1" applyAlignment="1">
      <alignment horizontal="center"/>
    </xf>
    <xf numFmtId="0" fontId="48" fillId="64" borderId="80" xfId="59" applyFont="1" applyFill="1" applyBorder="1" applyAlignment="1">
      <alignment horizontal="center"/>
    </xf>
    <xf numFmtId="1" fontId="48" fillId="64" borderId="80" xfId="59" applyNumberFormat="1" applyFont="1" applyFill="1" applyBorder="1" applyAlignment="1"/>
    <xf numFmtId="1" fontId="56" fillId="64" borderId="80" xfId="59" applyNumberFormat="1" applyFont="1" applyFill="1" applyBorder="1" applyAlignment="1"/>
    <xf numFmtId="14" fontId="44" fillId="63" borderId="145" xfId="59" applyNumberFormat="1" applyFont="1" applyFill="1" applyBorder="1" applyAlignment="1" applyProtection="1">
      <alignment horizontal="center" vertical="center"/>
    </xf>
    <xf numFmtId="0" fontId="19" fillId="63" borderId="146" xfId="59" applyFont="1" applyFill="1" applyBorder="1" applyAlignment="1">
      <alignment horizontal="center"/>
    </xf>
    <xf numFmtId="14" fontId="46" fillId="63" borderId="146" xfId="59" applyNumberFormat="1" applyFont="1" applyFill="1" applyBorder="1" applyAlignment="1"/>
    <xf numFmtId="164" fontId="44" fillId="63" borderId="146" xfId="59" applyNumberFormat="1" applyFont="1" applyFill="1" applyBorder="1" applyAlignment="1">
      <alignment horizontal="center"/>
    </xf>
    <xf numFmtId="164" fontId="44" fillId="63" borderId="146" xfId="59" applyNumberFormat="1" applyFont="1" applyFill="1" applyBorder="1" applyAlignment="1"/>
    <xf numFmtId="166" fontId="56" fillId="65" borderId="146" xfId="59" applyNumberFormat="1" applyFont="1" applyFill="1" applyBorder="1" applyAlignment="1"/>
    <xf numFmtId="14" fontId="44" fillId="63" borderId="75" xfId="59" applyNumberFormat="1" applyFont="1" applyFill="1" applyBorder="1" applyAlignment="1" applyProtection="1">
      <alignment horizontal="center" vertical="center"/>
    </xf>
    <xf numFmtId="0" fontId="19" fillId="63" borderId="0" xfId="59" applyFont="1" applyFill="1" applyBorder="1" applyAlignment="1">
      <alignment horizontal="center"/>
    </xf>
    <xf numFmtId="14" fontId="19" fillId="63" borderId="0" xfId="59" applyNumberFormat="1" applyFont="1" applyFill="1" applyBorder="1" applyAlignment="1">
      <alignment horizontal="left" indent="1"/>
    </xf>
    <xf numFmtId="164" fontId="44" fillId="63" borderId="0" xfId="59" applyNumberFormat="1" applyFont="1" applyFill="1" applyBorder="1" applyAlignment="1">
      <alignment horizontal="center"/>
    </xf>
    <xf numFmtId="164" fontId="19" fillId="63" borderId="0" xfId="59" applyNumberFormat="1" applyFont="1" applyFill="1" applyBorder="1" applyAlignment="1"/>
    <xf numFmtId="165" fontId="19" fillId="63" borderId="0" xfId="59" applyNumberFormat="1" applyFont="1" applyFill="1" applyBorder="1" applyAlignment="1"/>
    <xf numFmtId="164" fontId="44" fillId="63" borderId="0" xfId="59" applyNumberFormat="1" applyFont="1" applyFill="1" applyBorder="1" applyAlignment="1"/>
    <xf numFmtId="0" fontId="0" fillId="63" borderId="0" xfId="0" applyFill="1"/>
    <xf numFmtId="166" fontId="19" fillId="66" borderId="0" xfId="59" applyNumberFormat="1" applyFont="1" applyFill="1" applyBorder="1" applyAlignment="1"/>
    <xf numFmtId="2" fontId="56" fillId="66" borderId="0" xfId="59" applyNumberFormat="1" applyFont="1" applyFill="1" applyBorder="1" applyAlignment="1"/>
    <xf numFmtId="14" fontId="75" fillId="63" borderId="0" xfId="59" applyNumberFormat="1" applyFont="1" applyFill="1" applyBorder="1" applyAlignment="1">
      <alignment horizontal="left" indent="1"/>
    </xf>
    <xf numFmtId="14" fontId="44" fillId="63" borderId="84" xfId="59" applyNumberFormat="1" applyFont="1" applyFill="1" applyBorder="1" applyAlignment="1" applyProtection="1">
      <alignment horizontal="center" vertical="center"/>
    </xf>
    <xf numFmtId="0" fontId="19" fillId="64" borderId="84" xfId="59" applyFont="1" applyFill="1" applyBorder="1" applyAlignment="1">
      <alignment horizontal="center"/>
    </xf>
    <xf numFmtId="14" fontId="44" fillId="64" borderId="84" xfId="59" applyNumberFormat="1" applyFont="1" applyFill="1" applyBorder="1" applyAlignment="1"/>
    <xf numFmtId="164" fontId="44" fillId="64" borderId="84" xfId="59" applyNumberFormat="1" applyFont="1" applyFill="1" applyBorder="1" applyAlignment="1">
      <alignment horizontal="center"/>
    </xf>
    <xf numFmtId="164" fontId="44" fillId="64" borderId="84" xfId="59" applyNumberFormat="1" applyFont="1" applyFill="1" applyBorder="1" applyAlignment="1"/>
    <xf numFmtId="166" fontId="56" fillId="65" borderId="84" xfId="59" applyNumberFormat="1" applyFont="1" applyFill="1" applyBorder="1" applyAlignment="1"/>
    <xf numFmtId="0" fontId="48" fillId="67" borderId="97" xfId="59" applyFont="1" applyFill="1" applyBorder="1" applyAlignment="1"/>
    <xf numFmtId="164" fontId="48" fillId="67" borderId="97" xfId="59" applyNumberFormat="1" applyFont="1" applyFill="1" applyBorder="1" applyAlignment="1"/>
    <xf numFmtId="0" fontId="20" fillId="68" borderId="61" xfId="59" applyFont="1" applyFill="1" applyBorder="1" applyAlignment="1">
      <alignment horizontal="center"/>
    </xf>
    <xf numFmtId="0" fontId="46" fillId="68" borderId="48" xfId="59" applyFont="1" applyFill="1" applyBorder="1" applyAlignment="1"/>
    <xf numFmtId="0" fontId="48" fillId="68" borderId="48" xfId="59" applyFont="1" applyFill="1" applyBorder="1" applyAlignment="1">
      <alignment horizontal="center"/>
    </xf>
    <xf numFmtId="1" fontId="48" fillId="68" borderId="25" xfId="59" applyNumberFormat="1" applyFont="1" applyFill="1" applyBorder="1" applyAlignment="1"/>
    <xf numFmtId="1" fontId="48" fillId="68" borderId="48" xfId="59" applyNumberFormat="1" applyFont="1" applyFill="1" applyBorder="1" applyAlignment="1"/>
    <xf numFmtId="1" fontId="56" fillId="68" borderId="48" xfId="59" applyNumberFormat="1" applyFont="1" applyFill="1" applyBorder="1" applyAlignment="1"/>
    <xf numFmtId="14" fontId="44" fillId="63" borderId="61" xfId="59" applyNumberFormat="1" applyFont="1" applyFill="1" applyBorder="1" applyAlignment="1" applyProtection="1">
      <alignment horizontal="center" vertical="center"/>
    </xf>
    <xf numFmtId="0" fontId="19" fillId="63" borderId="48" xfId="59" applyFont="1" applyFill="1" applyBorder="1" applyAlignment="1">
      <alignment horizontal="center"/>
    </xf>
    <xf numFmtId="14" fontId="44" fillId="63" borderId="48" xfId="59" applyNumberFormat="1" applyFont="1" applyFill="1" applyBorder="1" applyAlignment="1"/>
    <xf numFmtId="164" fontId="44" fillId="63" borderId="48" xfId="59" applyNumberFormat="1" applyFont="1" applyFill="1" applyBorder="1" applyAlignment="1">
      <alignment horizontal="center"/>
    </xf>
    <xf numFmtId="165" fontId="44" fillId="63" borderId="48" xfId="75" applyNumberFormat="1" applyFont="1" applyFill="1" applyBorder="1" applyAlignment="1"/>
    <xf numFmtId="10" fontId="56" fillId="68" borderId="48" xfId="75" applyNumberFormat="1" applyFont="1" applyFill="1" applyBorder="1" applyAlignment="1">
      <alignment horizontal="right"/>
    </xf>
    <xf numFmtId="0" fontId="44" fillId="63" borderId="0" xfId="59" applyFont="1" applyFill="1" applyAlignment="1">
      <alignment horizontal="center"/>
    </xf>
    <xf numFmtId="0" fontId="19" fillId="68" borderId="0" xfId="59" applyFont="1" applyFill="1" applyBorder="1" applyAlignment="1">
      <alignment horizontal="center"/>
    </xf>
    <xf numFmtId="14" fontId="44" fillId="68" borderId="0" xfId="59" applyNumberFormat="1" applyFont="1" applyFill="1" applyBorder="1" applyAlignment="1"/>
    <xf numFmtId="164" fontId="44" fillId="68" borderId="0" xfId="59" applyNumberFormat="1" applyFont="1" applyFill="1" applyBorder="1" applyAlignment="1">
      <alignment horizontal="center"/>
    </xf>
    <xf numFmtId="2" fontId="44" fillId="68" borderId="0" xfId="75" applyNumberFormat="1" applyFont="1" applyFill="1" applyBorder="1" applyAlignment="1">
      <alignment horizontal="right"/>
    </xf>
    <xf numFmtId="0" fontId="46" fillId="64" borderId="80" xfId="59" applyFont="1" applyFill="1" applyBorder="1" applyAlignment="1"/>
    <xf numFmtId="164" fontId="17" fillId="63" borderId="146" xfId="59" applyNumberFormat="1" applyFont="1" applyFill="1" applyBorder="1" applyAlignment="1">
      <alignment horizontal="center"/>
    </xf>
    <xf numFmtId="14" fontId="75" fillId="63" borderId="0" xfId="59" applyNumberFormat="1" applyFont="1" applyFill="1" applyBorder="1" applyAlignment="1">
      <alignment horizontal="left" indent="2"/>
    </xf>
    <xf numFmtId="164" fontId="75" fillId="63" borderId="0" xfId="59" applyNumberFormat="1" applyFont="1" applyFill="1" applyBorder="1" applyAlignment="1"/>
    <xf numFmtId="2" fontId="48" fillId="66" borderId="49" xfId="59" applyNumberFormat="1" applyFont="1" applyFill="1" applyBorder="1" applyAlignment="1">
      <alignment horizontal="center"/>
    </xf>
    <xf numFmtId="1" fontId="19" fillId="66" borderId="0" xfId="59" applyNumberFormat="1" applyFont="1" applyFill="1" applyBorder="1" applyAlignment="1">
      <alignment horizontal="right"/>
    </xf>
    <xf numFmtId="164" fontId="17" fillId="63" borderId="0" xfId="59" applyNumberFormat="1" applyFont="1" applyFill="1" applyBorder="1" applyAlignment="1">
      <alignment horizontal="center"/>
    </xf>
    <xf numFmtId="165" fontId="75" fillId="63" borderId="0" xfId="59" applyNumberFormat="1" applyFont="1" applyFill="1" applyBorder="1" applyAlignment="1"/>
    <xf numFmtId="164" fontId="56" fillId="65" borderId="84" xfId="59" applyNumberFormat="1" applyFont="1" applyFill="1" applyBorder="1" applyAlignment="1"/>
    <xf numFmtId="0" fontId="20" fillId="68" borderId="27" xfId="59" applyFont="1" applyFill="1" applyBorder="1" applyAlignment="1">
      <alignment horizontal="center"/>
    </xf>
    <xf numFmtId="0" fontId="48" fillId="68" borderId="48" xfId="59" applyFont="1" applyFill="1" applyBorder="1" applyAlignment="1"/>
    <xf numFmtId="14" fontId="44" fillId="63" borderId="27" xfId="59" applyNumberFormat="1" applyFont="1" applyFill="1" applyBorder="1" applyAlignment="1" applyProtection="1">
      <alignment horizontal="center" vertical="center"/>
    </xf>
    <xf numFmtId="0" fontId="19" fillId="63" borderId="25" xfId="59" applyFont="1" applyFill="1" applyBorder="1" applyAlignment="1">
      <alignment horizontal="center"/>
    </xf>
    <xf numFmtId="14" fontId="17" fillId="63" borderId="25" xfId="59" applyNumberFormat="1" applyFont="1" applyFill="1" applyBorder="1" applyAlignment="1"/>
    <xf numFmtId="164" fontId="44" fillId="63" borderId="25" xfId="59" applyNumberFormat="1" applyFont="1" applyFill="1" applyBorder="1" applyAlignment="1"/>
    <xf numFmtId="14" fontId="44" fillId="63" borderId="4" xfId="59" applyNumberFormat="1" applyFont="1" applyFill="1" applyBorder="1" applyAlignment="1" applyProtection="1">
      <alignment horizontal="center" vertical="center"/>
    </xf>
    <xf numFmtId="14" fontId="17" fillId="68" borderId="0" xfId="59" applyNumberFormat="1" applyFont="1" applyFill="1" applyBorder="1" applyAlignment="1"/>
    <xf numFmtId="164" fontId="44" fillId="68" borderId="0" xfId="59" applyNumberFormat="1" applyFont="1" applyFill="1" applyBorder="1" applyAlignment="1"/>
    <xf numFmtId="14" fontId="44" fillId="63" borderId="25" xfId="59" applyNumberFormat="1" applyFont="1" applyFill="1" applyBorder="1" applyAlignment="1" applyProtection="1">
      <alignment horizontal="center" vertical="center"/>
    </xf>
    <xf numFmtId="164" fontId="17" fillId="63" borderId="25" xfId="59" applyNumberFormat="1" applyFont="1" applyFill="1" applyBorder="1" applyAlignment="1">
      <alignment horizontal="center"/>
    </xf>
    <xf numFmtId="165" fontId="44" fillId="63" borderId="25" xfId="75" applyNumberFormat="1" applyFont="1" applyFill="1" applyBorder="1" applyAlignment="1"/>
    <xf numFmtId="0" fontId="110" fillId="63" borderId="0" xfId="59" applyFont="1" applyFill="1"/>
    <xf numFmtId="0" fontId="110" fillId="63" borderId="0" xfId="59" applyFont="1" applyFill="1" applyAlignment="1"/>
    <xf numFmtId="14" fontId="44" fillId="63" borderId="72" xfId="59" applyNumberFormat="1" applyFont="1" applyFill="1" applyBorder="1" applyAlignment="1" applyProtection="1">
      <alignment horizontal="center" vertical="center"/>
    </xf>
    <xf numFmtId="14" fontId="44" fillId="63" borderId="84" xfId="59" applyNumberFormat="1" applyFont="1" applyFill="1" applyBorder="1" applyAlignment="1"/>
    <xf numFmtId="164" fontId="44" fillId="63" borderId="84" xfId="59" applyNumberFormat="1" applyFont="1" applyFill="1" applyBorder="1" applyAlignment="1">
      <alignment horizontal="center"/>
    </xf>
    <xf numFmtId="164" fontId="44" fillId="63" borderId="84" xfId="59" applyNumberFormat="1" applyFont="1" applyFill="1" applyBorder="1" applyAlignment="1"/>
    <xf numFmtId="2" fontId="56" fillId="65" borderId="84" xfId="59" applyNumberFormat="1" applyFont="1" applyFill="1" applyBorder="1" applyAlignment="1"/>
    <xf numFmtId="14" fontId="44" fillId="63" borderId="0" xfId="59" applyNumberFormat="1" applyFont="1" applyFill="1" applyBorder="1" applyAlignment="1"/>
    <xf numFmtId="2" fontId="56" fillId="65" borderId="0" xfId="59" applyNumberFormat="1" applyFont="1" applyFill="1" applyBorder="1" applyAlignment="1"/>
    <xf numFmtId="0" fontId="75" fillId="63" borderId="0" xfId="59" applyFont="1" applyFill="1" applyBorder="1" applyAlignment="1">
      <alignment horizontal="center"/>
    </xf>
    <xf numFmtId="14" fontId="49" fillId="63" borderId="0" xfId="59" applyNumberFormat="1" applyFont="1" applyFill="1" applyBorder="1" applyAlignment="1"/>
    <xf numFmtId="164" fontId="49" fillId="63" borderId="0" xfId="59" applyNumberFormat="1" applyFont="1" applyFill="1" applyBorder="1" applyAlignment="1">
      <alignment horizontal="center"/>
    </xf>
    <xf numFmtId="164" fontId="49" fillId="63" borderId="0" xfId="59" applyNumberFormat="1" applyFont="1" applyFill="1" applyBorder="1" applyAlignment="1"/>
    <xf numFmtId="0" fontId="44" fillId="63" borderId="25" xfId="59" applyFont="1" applyFill="1" applyBorder="1" applyAlignment="1"/>
    <xf numFmtId="164" fontId="44" fillId="63" borderId="25" xfId="59" applyNumberFormat="1" applyFont="1" applyFill="1" applyBorder="1" applyAlignment="1">
      <alignment horizontal="center"/>
    </xf>
    <xf numFmtId="14" fontId="75" fillId="63" borderId="44" xfId="59" applyNumberFormat="1" applyFont="1" applyFill="1" applyBorder="1" applyAlignment="1" applyProtection="1">
      <alignment horizontal="center" vertical="center"/>
    </xf>
    <xf numFmtId="0" fontId="75" fillId="63" borderId="38" xfId="59" applyFont="1" applyFill="1" applyBorder="1" applyAlignment="1">
      <alignment horizontal="center"/>
    </xf>
    <xf numFmtId="0" fontId="75" fillId="63" borderId="38" xfId="59" applyFont="1" applyFill="1" applyBorder="1" applyAlignment="1"/>
    <xf numFmtId="164" fontId="75" fillId="63" borderId="38" xfId="59" applyNumberFormat="1" applyFont="1" applyFill="1" applyBorder="1" applyAlignment="1">
      <alignment horizontal="center"/>
    </xf>
    <xf numFmtId="164" fontId="75" fillId="63" borderId="38" xfId="59" applyNumberFormat="1" applyFont="1" applyFill="1" applyBorder="1" applyAlignment="1"/>
    <xf numFmtId="166" fontId="75" fillId="69" borderId="38" xfId="59" applyNumberFormat="1" applyFont="1" applyFill="1" applyBorder="1" applyAlignment="1"/>
    <xf numFmtId="14" fontId="75" fillId="63" borderId="0" xfId="59" applyNumberFormat="1" applyFont="1" applyFill="1" applyBorder="1" applyAlignment="1" applyProtection="1">
      <alignment horizontal="center" vertical="center"/>
    </xf>
    <xf numFmtId="0" fontId="75" fillId="70" borderId="0" xfId="59" applyFont="1" applyFill="1" applyAlignment="1"/>
    <xf numFmtId="0" fontId="75" fillId="70" borderId="0" xfId="59" applyFont="1" applyFill="1" applyBorder="1" applyAlignment="1">
      <alignment horizontal="left"/>
    </xf>
    <xf numFmtId="164" fontId="75" fillId="70" borderId="0" xfId="59" applyNumberFormat="1" applyFont="1" applyFill="1" applyBorder="1" applyAlignment="1">
      <alignment horizontal="center"/>
    </xf>
    <xf numFmtId="164" fontId="75" fillId="70" borderId="0" xfId="59" applyNumberFormat="1" applyFont="1" applyFill="1" applyBorder="1" applyAlignment="1">
      <alignment horizontal="right"/>
    </xf>
    <xf numFmtId="0" fontId="19" fillId="63" borderId="0" xfId="59" applyFont="1" applyFill="1" applyAlignment="1">
      <alignment horizontal="center"/>
    </xf>
    <xf numFmtId="0" fontId="44" fillId="63" borderId="0" xfId="59" applyFont="1" applyFill="1" applyAlignment="1"/>
    <xf numFmtId="164" fontId="48" fillId="63" borderId="0" xfId="59" applyNumberFormat="1" applyFont="1" applyFill="1" applyAlignment="1"/>
    <xf numFmtId="0" fontId="56" fillId="63" borderId="0" xfId="59" applyFont="1" applyFill="1" applyAlignment="1"/>
    <xf numFmtId="167" fontId="56" fillId="63" borderId="0" xfId="59" applyNumberFormat="1" applyFont="1" applyFill="1" applyAlignment="1"/>
    <xf numFmtId="0" fontId="20" fillId="67" borderId="96" xfId="59" applyFont="1" applyFill="1" applyBorder="1" applyAlignment="1">
      <alignment horizontal="center"/>
    </xf>
    <xf numFmtId="0" fontId="48" fillId="67" borderId="97" xfId="59" applyFont="1" applyFill="1" applyBorder="1" applyAlignment="1">
      <alignment horizontal="center"/>
    </xf>
    <xf numFmtId="1" fontId="48" fillId="67" borderId="97" xfId="59" applyNumberFormat="1" applyFont="1" applyFill="1" applyBorder="1" applyAlignment="1"/>
    <xf numFmtId="1" fontId="56" fillId="67" borderId="97" xfId="59" applyNumberFormat="1" applyFont="1" applyFill="1" applyBorder="1" applyAlignment="1"/>
    <xf numFmtId="14" fontId="44" fillId="63" borderId="87" xfId="59" applyNumberFormat="1" applyFont="1" applyFill="1" applyBorder="1" applyAlignment="1" applyProtection="1">
      <alignment horizontal="center" vertical="center"/>
    </xf>
    <xf numFmtId="14" fontId="44" fillId="63" borderId="88" xfId="59" applyNumberFormat="1" applyFont="1" applyFill="1" applyBorder="1" applyAlignment="1"/>
    <xf numFmtId="164" fontId="44" fillId="63" borderId="88" xfId="59" applyNumberFormat="1" applyFont="1" applyFill="1" applyBorder="1" applyAlignment="1">
      <alignment horizontal="center"/>
    </xf>
    <xf numFmtId="164" fontId="44" fillId="63" borderId="88" xfId="59" applyNumberFormat="1" applyFont="1" applyFill="1" applyBorder="1" applyAlignment="1"/>
    <xf numFmtId="14" fontId="44" fillId="63" borderId="98" xfId="59" applyNumberFormat="1" applyFont="1" applyFill="1" applyBorder="1" applyAlignment="1" applyProtection="1">
      <alignment horizontal="center" vertical="center"/>
    </xf>
    <xf numFmtId="14" fontId="75" fillId="63" borderId="98" xfId="59" applyNumberFormat="1" applyFont="1" applyFill="1" applyBorder="1" applyAlignment="1" applyProtection="1">
      <alignment horizontal="center" vertical="center"/>
    </xf>
    <xf numFmtId="14" fontId="75" fillId="63" borderId="0" xfId="59" applyNumberFormat="1" applyFont="1" applyFill="1" applyBorder="1" applyAlignment="1"/>
    <xf numFmtId="164" fontId="75" fillId="63" borderId="0" xfId="59" applyNumberFormat="1" applyFont="1" applyFill="1" applyBorder="1" applyAlignment="1">
      <alignment horizontal="center"/>
    </xf>
    <xf numFmtId="0" fontId="48" fillId="67" borderId="27" xfId="59" applyFont="1" applyFill="1" applyBorder="1" applyAlignment="1"/>
    <xf numFmtId="0" fontId="48" fillId="67" borderId="25" xfId="59" applyFont="1" applyFill="1" applyBorder="1" applyAlignment="1"/>
    <xf numFmtId="164" fontId="48" fillId="67" borderId="25" xfId="59" applyNumberFormat="1" applyFont="1" applyFill="1" applyBorder="1" applyAlignment="1"/>
    <xf numFmtId="14" fontId="75" fillId="63" borderId="4" xfId="59" applyNumberFormat="1" applyFont="1" applyFill="1" applyBorder="1" applyAlignment="1" applyProtection="1">
      <alignment horizontal="center" vertical="center"/>
    </xf>
    <xf numFmtId="0" fontId="75" fillId="63" borderId="0" xfId="59" applyFont="1" applyFill="1" applyBorder="1" applyAlignment="1"/>
    <xf numFmtId="2" fontId="75" fillId="63" borderId="0" xfId="59" applyNumberFormat="1" applyFont="1" applyFill="1" applyBorder="1" applyAlignment="1"/>
    <xf numFmtId="0" fontId="75" fillId="63" borderId="44" xfId="59" applyFont="1" applyFill="1" applyBorder="1" applyAlignment="1"/>
    <xf numFmtId="14" fontId="44" fillId="63" borderId="25" xfId="59" applyNumberFormat="1" applyFont="1" applyFill="1" applyBorder="1" applyAlignment="1"/>
    <xf numFmtId="0" fontId="48" fillId="67" borderId="0" xfId="59" applyFont="1" applyFill="1" applyBorder="1" applyAlignment="1"/>
    <xf numFmtId="164" fontId="48" fillId="67" borderId="0" xfId="59" applyNumberFormat="1" applyFont="1" applyFill="1" applyBorder="1" applyAlignment="1"/>
    <xf numFmtId="14" fontId="49" fillId="63" borderId="0" xfId="59" applyNumberFormat="1" applyFont="1" applyFill="1" applyBorder="1" applyAlignment="1" applyProtection="1">
      <alignment horizontal="center" vertical="center"/>
    </xf>
    <xf numFmtId="0" fontId="75" fillId="63" borderId="0" xfId="59" applyFont="1" applyFill="1" applyAlignment="1">
      <alignment horizontal="center"/>
    </xf>
    <xf numFmtId="14" fontId="49" fillId="63" borderId="0" xfId="59" applyNumberFormat="1" applyFont="1" applyFill="1" applyAlignment="1"/>
    <xf numFmtId="14" fontId="49" fillId="63" borderId="0" xfId="59" applyNumberFormat="1" applyFont="1" applyFill="1" applyAlignment="1">
      <alignment horizontal="center"/>
    </xf>
    <xf numFmtId="164" fontId="49" fillId="63" borderId="0" xfId="59" applyNumberFormat="1" applyFont="1" applyFill="1" applyAlignment="1"/>
    <xf numFmtId="2" fontId="49" fillId="63" borderId="0" xfId="59" applyNumberFormat="1" applyFont="1" applyFill="1" applyAlignment="1"/>
    <xf numFmtId="164" fontId="59" fillId="63" borderId="0" xfId="59" applyNumberFormat="1" applyFont="1" applyFill="1" applyAlignment="1"/>
    <xf numFmtId="0" fontId="49" fillId="63" borderId="0" xfId="59" applyNumberFormat="1" applyFont="1" applyFill="1" applyAlignment="1"/>
    <xf numFmtId="0" fontId="48" fillId="68" borderId="25" xfId="59" applyFont="1" applyFill="1" applyBorder="1" applyAlignment="1"/>
    <xf numFmtId="0" fontId="48" fillId="68" borderId="25" xfId="59" applyFont="1" applyFill="1" applyBorder="1" applyAlignment="1">
      <alignment horizontal="center"/>
    </xf>
    <xf numFmtId="1" fontId="56" fillId="68" borderId="25" xfId="59" applyNumberFormat="1" applyFont="1" applyFill="1" applyBorder="1" applyAlignment="1"/>
    <xf numFmtId="165" fontId="46" fillId="63" borderId="25" xfId="75" applyNumberFormat="1" applyFont="1" applyFill="1" applyBorder="1" applyAlignment="1"/>
    <xf numFmtId="165" fontId="44" fillId="63" borderId="0" xfId="75" applyNumberFormat="1" applyFont="1" applyFill="1" applyBorder="1" applyAlignment="1"/>
    <xf numFmtId="165" fontId="46" fillId="63" borderId="0" xfId="75" applyNumberFormat="1" applyFont="1" applyFill="1" applyBorder="1" applyAlignment="1"/>
    <xf numFmtId="165" fontId="46" fillId="63" borderId="48" xfId="75" applyNumberFormat="1" applyFont="1" applyFill="1" applyBorder="1" applyAlignment="1"/>
    <xf numFmtId="14" fontId="44" fillId="63" borderId="44" xfId="59" applyNumberFormat="1" applyFont="1" applyFill="1" applyBorder="1" applyAlignment="1" applyProtection="1">
      <alignment horizontal="center" vertical="center"/>
    </xf>
    <xf numFmtId="14" fontId="44" fillId="63" borderId="38" xfId="59" applyNumberFormat="1" applyFont="1" applyFill="1" applyBorder="1" applyAlignment="1"/>
    <xf numFmtId="164" fontId="44" fillId="63" borderId="38" xfId="59" applyNumberFormat="1" applyFont="1" applyFill="1" applyBorder="1" applyAlignment="1">
      <alignment horizontal="center"/>
    </xf>
    <xf numFmtId="165" fontId="44" fillId="63" borderId="38" xfId="75" applyNumberFormat="1" applyFont="1" applyFill="1" applyBorder="1" applyAlignment="1"/>
    <xf numFmtId="165" fontId="46" fillId="63" borderId="38" xfId="75" applyNumberFormat="1" applyFont="1" applyFill="1" applyBorder="1" applyAlignment="1"/>
    <xf numFmtId="14" fontId="19" fillId="68" borderId="0" xfId="59" applyNumberFormat="1" applyFont="1" applyFill="1" applyBorder="1" applyAlignment="1"/>
    <xf numFmtId="165" fontId="44" fillId="68" borderId="0" xfId="75" applyNumberFormat="1" applyFont="1" applyFill="1" applyBorder="1" applyAlignment="1"/>
    <xf numFmtId="165" fontId="46" fillId="68" borderId="0" xfId="75" applyNumberFormat="1" applyFont="1" applyFill="1" applyBorder="1" applyAlignment="1"/>
    <xf numFmtId="166" fontId="56" fillId="32" borderId="0" xfId="59" applyNumberFormat="1" applyFont="1" applyFill="1" applyBorder="1" applyAlignment="1"/>
    <xf numFmtId="0" fontId="19" fillId="63" borderId="84" xfId="59" applyFont="1" applyFill="1" applyBorder="1" applyAlignment="1">
      <alignment horizontal="center"/>
    </xf>
    <xf numFmtId="14" fontId="167" fillId="63" borderId="84" xfId="59" applyNumberFormat="1" applyFont="1" applyFill="1" applyBorder="1" applyAlignment="1"/>
    <xf numFmtId="166" fontId="167" fillId="63" borderId="84" xfId="59" applyNumberFormat="1" applyFont="1" applyFill="1" applyBorder="1" applyAlignment="1"/>
    <xf numFmtId="14" fontId="17" fillId="63" borderId="0" xfId="59" applyNumberFormat="1" applyFont="1" applyFill="1" applyBorder="1" applyAlignment="1"/>
    <xf numFmtId="166" fontId="56" fillId="65" borderId="0" xfId="59" applyNumberFormat="1" applyFont="1" applyFill="1" applyBorder="1" applyAlignment="1"/>
    <xf numFmtId="14" fontId="75" fillId="63" borderId="75" xfId="59" applyNumberFormat="1" applyFont="1" applyFill="1" applyBorder="1" applyAlignment="1" applyProtection="1">
      <alignment horizontal="center" vertical="center"/>
    </xf>
    <xf numFmtId="2" fontId="75" fillId="70" borderId="0" xfId="75" applyNumberFormat="1" applyFont="1" applyFill="1" applyBorder="1" applyAlignment="1"/>
    <xf numFmtId="14" fontId="17" fillId="63" borderId="75" xfId="59" applyNumberFormat="1" applyFont="1" applyFill="1" applyBorder="1" applyAlignment="1" applyProtection="1">
      <alignment horizontal="center" vertical="center"/>
    </xf>
    <xf numFmtId="164" fontId="50" fillId="64" borderId="0" xfId="59" applyNumberFormat="1" applyFont="1" applyFill="1" applyBorder="1" applyAlignment="1"/>
    <xf numFmtId="166" fontId="56" fillId="64" borderId="0" xfId="59" applyNumberFormat="1" applyFont="1" applyFill="1" applyBorder="1" applyAlignment="1"/>
    <xf numFmtId="164" fontId="17" fillId="63" borderId="0" xfId="59" applyNumberFormat="1" applyFont="1" applyFill="1" applyBorder="1" applyAlignment="1"/>
    <xf numFmtId="164" fontId="17" fillId="64" borderId="84" xfId="59" applyNumberFormat="1" applyFont="1" applyFill="1" applyBorder="1" applyAlignment="1"/>
    <xf numFmtId="164" fontId="46" fillId="64" borderId="84" xfId="59" applyNumberFormat="1" applyFont="1" applyFill="1" applyBorder="1" applyAlignment="1"/>
    <xf numFmtId="164" fontId="134" fillId="70" borderId="0" xfId="59" applyNumberFormat="1" applyFont="1" applyFill="1" applyBorder="1" applyAlignment="1">
      <alignment horizontal="right"/>
    </xf>
    <xf numFmtId="0" fontId="44" fillId="70" borderId="0" xfId="59" applyFont="1" applyFill="1" applyBorder="1"/>
    <xf numFmtId="0" fontId="29" fillId="70" borderId="0" xfId="51" applyFill="1" applyBorder="1" applyAlignment="1" applyProtection="1"/>
    <xf numFmtId="2" fontId="48" fillId="70" borderId="0" xfId="59" applyNumberFormat="1" applyFont="1" applyFill="1" applyBorder="1"/>
    <xf numFmtId="167" fontId="44" fillId="63" borderId="0" xfId="59" applyNumberFormat="1" applyFont="1" applyFill="1" applyAlignment="1"/>
    <xf numFmtId="2" fontId="56" fillId="63" borderId="0" xfId="59" applyNumberFormat="1" applyFont="1" applyFill="1" applyAlignment="1"/>
    <xf numFmtId="166" fontId="56" fillId="63" borderId="0" xfId="59" applyNumberFormat="1" applyFont="1" applyFill="1" applyAlignment="1"/>
    <xf numFmtId="0" fontId="46" fillId="67" borderId="97" xfId="59" applyFont="1" applyFill="1" applyBorder="1" applyAlignment="1"/>
    <xf numFmtId="0" fontId="19" fillId="63" borderId="88" xfId="59" applyFont="1" applyFill="1" applyBorder="1" applyAlignment="1">
      <alignment horizontal="center"/>
    </xf>
    <xf numFmtId="164" fontId="50" fillId="63" borderId="88" xfId="59" applyNumberFormat="1" applyFont="1" applyFill="1" applyBorder="1" applyAlignment="1"/>
    <xf numFmtId="164" fontId="167" fillId="63" borderId="88" xfId="59" applyNumberFormat="1" applyFont="1" applyFill="1" applyBorder="1" applyAlignment="1"/>
    <xf numFmtId="164" fontId="50" fillId="63" borderId="0" xfId="59" applyNumberFormat="1" applyFont="1" applyFill="1" applyBorder="1" applyAlignment="1"/>
    <xf numFmtId="2" fontId="50" fillId="63" borderId="0" xfId="59" applyNumberFormat="1" applyFont="1" applyFill="1" applyBorder="1" applyAlignment="1"/>
    <xf numFmtId="14" fontId="17" fillId="63" borderId="98" xfId="59" applyNumberFormat="1" applyFont="1" applyFill="1" applyBorder="1" applyAlignment="1" applyProtection="1">
      <alignment horizontal="center" vertical="center"/>
    </xf>
    <xf numFmtId="164" fontId="50" fillId="67" borderId="0" xfId="59" applyNumberFormat="1" applyFont="1" applyFill="1" applyBorder="1" applyAlignment="1"/>
    <xf numFmtId="14" fontId="44" fillId="63" borderId="89" xfId="59" applyNumberFormat="1" applyFont="1" applyFill="1" applyBorder="1" applyAlignment="1" applyProtection="1">
      <alignment horizontal="center" vertical="center"/>
    </xf>
    <xf numFmtId="0" fontId="19" fillId="67" borderId="25" xfId="59" applyFont="1" applyFill="1" applyBorder="1" applyAlignment="1">
      <alignment horizontal="center"/>
    </xf>
    <xf numFmtId="14" fontId="44" fillId="67" borderId="25" xfId="59" applyNumberFormat="1" applyFont="1" applyFill="1" applyBorder="1" applyAlignment="1"/>
    <xf numFmtId="164" fontId="44" fillId="67" borderId="25" xfId="59" applyNumberFormat="1" applyFont="1" applyFill="1" applyBorder="1" applyAlignment="1">
      <alignment horizontal="center"/>
    </xf>
    <xf numFmtId="164" fontId="44" fillId="67" borderId="25" xfId="59" applyNumberFormat="1" applyFont="1" applyFill="1" applyBorder="1" applyAlignment="1"/>
    <xf numFmtId="164" fontId="50" fillId="67" borderId="25" xfId="59" applyNumberFormat="1" applyFont="1" applyFill="1" applyBorder="1" applyAlignment="1"/>
    <xf numFmtId="164" fontId="56" fillId="67" borderId="25" xfId="59" applyNumberFormat="1" applyFont="1" applyFill="1" applyBorder="1" applyAlignment="1"/>
    <xf numFmtId="14" fontId="44" fillId="63" borderId="0" xfId="59" applyNumberFormat="1" applyFont="1" applyFill="1" applyAlignment="1"/>
    <xf numFmtId="14" fontId="44" fillId="63" borderId="0" xfId="59" applyNumberFormat="1" applyFont="1" applyFill="1" applyAlignment="1">
      <alignment horizontal="center"/>
    </xf>
    <xf numFmtId="164" fontId="44" fillId="63" borderId="0" xfId="59" applyNumberFormat="1" applyFont="1" applyFill="1" applyAlignment="1"/>
    <xf numFmtId="2" fontId="44" fillId="63" borderId="0" xfId="59" applyNumberFormat="1" applyFont="1" applyFill="1" applyAlignment="1"/>
    <xf numFmtId="164" fontId="56" fillId="63" borderId="0" xfId="59" applyNumberFormat="1" applyFont="1" applyFill="1" applyAlignment="1"/>
    <xf numFmtId="0" fontId="44" fillId="63" borderId="0" xfId="59" applyNumberFormat="1" applyFont="1" applyFill="1" applyAlignment="1"/>
    <xf numFmtId="0" fontId="46" fillId="68" borderId="25" xfId="59" applyFont="1" applyFill="1" applyBorder="1" applyAlignment="1"/>
    <xf numFmtId="165" fontId="50" fillId="63" borderId="25" xfId="75" applyNumberFormat="1" applyFont="1" applyFill="1" applyBorder="1" applyAlignment="1"/>
    <xf numFmtId="165" fontId="50" fillId="63" borderId="0" xfId="75" applyNumberFormat="1" applyFont="1" applyFill="1" applyBorder="1" applyAlignment="1"/>
    <xf numFmtId="165" fontId="75" fillId="63" borderId="0" xfId="75" applyNumberFormat="1" applyFont="1" applyFill="1" applyBorder="1" applyAlignment="1"/>
    <xf numFmtId="10" fontId="68" fillId="63" borderId="0" xfId="75" applyNumberFormat="1" applyFont="1" applyFill="1" applyBorder="1" applyAlignment="1"/>
    <xf numFmtId="0" fontId="19" fillId="71" borderId="0" xfId="59" applyFont="1" applyFill="1" applyBorder="1" applyAlignment="1">
      <alignment horizontal="center"/>
    </xf>
    <xf numFmtId="14" fontId="44" fillId="71" borderId="0" xfId="59" applyNumberFormat="1" applyFont="1" applyFill="1" applyBorder="1" applyAlignment="1"/>
    <xf numFmtId="164" fontId="44" fillId="71" borderId="0" xfId="59" applyNumberFormat="1" applyFont="1" applyFill="1" applyBorder="1" applyAlignment="1">
      <alignment horizontal="center"/>
    </xf>
    <xf numFmtId="165" fontId="44" fillId="71" borderId="0" xfId="75" applyNumberFormat="1" applyFont="1" applyFill="1" applyBorder="1" applyAlignment="1"/>
    <xf numFmtId="10" fontId="56" fillId="63" borderId="0" xfId="75" applyNumberFormat="1" applyFont="1" applyFill="1" applyBorder="1" applyAlignment="1"/>
    <xf numFmtId="0" fontId="19" fillId="71" borderId="38" xfId="59" applyFont="1" applyFill="1" applyBorder="1" applyAlignment="1">
      <alignment horizontal="center"/>
    </xf>
    <xf numFmtId="14" fontId="44" fillId="71" borderId="38" xfId="59" applyNumberFormat="1" applyFont="1" applyFill="1" applyBorder="1" applyAlignment="1"/>
    <xf numFmtId="164" fontId="44" fillId="71" borderId="38" xfId="59" applyNumberFormat="1" applyFont="1" applyFill="1" applyBorder="1" applyAlignment="1">
      <alignment horizontal="center"/>
    </xf>
    <xf numFmtId="165" fontId="44" fillId="71" borderId="38" xfId="75" applyNumberFormat="1" applyFont="1" applyFill="1" applyBorder="1" applyAlignment="1"/>
    <xf numFmtId="10" fontId="50" fillId="68" borderId="0" xfId="75" applyNumberFormat="1" applyFont="1" applyFill="1" applyBorder="1" applyAlignment="1"/>
    <xf numFmtId="10" fontId="56" fillId="68" borderId="0" xfId="75" applyNumberFormat="1" applyFont="1" applyFill="1" applyBorder="1" applyAlignment="1"/>
    <xf numFmtId="166" fontId="56" fillId="73" borderId="0" xfId="59" applyNumberFormat="1" applyFont="1" applyFill="1" applyBorder="1" applyAlignment="1"/>
    <xf numFmtId="14" fontId="17" fillId="63" borderId="0" xfId="59" applyNumberFormat="1" applyFont="1" applyFill="1" applyBorder="1" applyAlignment="1" applyProtection="1">
      <alignment horizontal="center" vertical="center"/>
    </xf>
    <xf numFmtId="166" fontId="50" fillId="64" borderId="0" xfId="59" applyNumberFormat="1" applyFont="1" applyFill="1" applyBorder="1" applyAlignment="1"/>
    <xf numFmtId="14" fontId="17" fillId="63" borderId="44" xfId="59" applyNumberFormat="1" applyFont="1" applyFill="1" applyBorder="1" applyAlignment="1" applyProtection="1">
      <alignment horizontal="center" vertical="center"/>
    </xf>
    <xf numFmtId="10" fontId="55" fillId="63" borderId="0" xfId="75" applyNumberFormat="1" applyFont="1" applyFill="1" applyBorder="1" applyAlignment="1"/>
    <xf numFmtId="10" fontId="55" fillId="68" borderId="0" xfId="75" applyNumberFormat="1" applyFont="1" applyFill="1" applyBorder="1" applyAlignment="1"/>
    <xf numFmtId="10" fontId="55" fillId="63" borderId="25" xfId="75" applyNumberFormat="1" applyFont="1" applyFill="1" applyBorder="1" applyAlignment="1"/>
    <xf numFmtId="10" fontId="46" fillId="71" borderId="0" xfId="75" applyNumberFormat="1" applyFont="1" applyFill="1" applyBorder="1" applyAlignment="1"/>
    <xf numFmtId="10" fontId="46" fillId="63" borderId="0" xfId="75" applyNumberFormat="1" applyFont="1" applyFill="1" applyBorder="1" applyAlignment="1"/>
    <xf numFmtId="10" fontId="46" fillId="71" borderId="38" xfId="75" applyNumberFormat="1" applyFont="1" applyFill="1" applyBorder="1" applyAlignment="1"/>
    <xf numFmtId="0" fontId="46" fillId="68" borderId="100" xfId="59" applyFont="1" applyFill="1" applyBorder="1" applyAlignment="1"/>
    <xf numFmtId="0" fontId="48" fillId="68" borderId="100" xfId="59" applyFont="1" applyFill="1" applyBorder="1" applyAlignment="1">
      <alignment horizontal="center"/>
    </xf>
    <xf numFmtId="1" fontId="48" fillId="68" borderId="100" xfId="59" applyNumberFormat="1" applyFont="1" applyFill="1" applyBorder="1" applyAlignment="1"/>
    <xf numFmtId="1" fontId="56" fillId="68" borderId="100" xfId="59" applyNumberFormat="1" applyFont="1" applyFill="1" applyBorder="1" applyAlignment="1"/>
    <xf numFmtId="164" fontId="44" fillId="63" borderId="100" xfId="59" applyNumberFormat="1" applyFont="1" applyFill="1" applyBorder="1" applyAlignment="1"/>
    <xf numFmtId="164" fontId="44" fillId="63" borderId="100" xfId="59" applyNumberFormat="1" applyFont="1" applyFill="1" applyBorder="1" applyAlignment="1">
      <alignment horizontal="center"/>
    </xf>
    <xf numFmtId="10" fontId="44" fillId="63" borderId="25" xfId="75" applyNumberFormat="1" applyFont="1" applyFill="1" applyBorder="1" applyAlignment="1"/>
    <xf numFmtId="10" fontId="44" fillId="63" borderId="0" xfId="75" applyNumberFormat="1" applyFont="1" applyFill="1" applyBorder="1" applyAlignment="1"/>
    <xf numFmtId="10" fontId="49" fillId="63" borderId="0" xfId="75" applyNumberFormat="1" applyFont="1" applyFill="1" applyBorder="1" applyAlignment="1"/>
    <xf numFmtId="167" fontId="17" fillId="51" borderId="150" xfId="59" applyNumberFormat="1" applyFont="1" applyFill="1" applyBorder="1"/>
    <xf numFmtId="14" fontId="17" fillId="0" borderId="0" xfId="59" applyNumberFormat="1" applyFont="1" applyFill="1" applyBorder="1" applyAlignment="1" applyProtection="1">
      <alignment horizontal="center" vertical="center"/>
    </xf>
    <xf numFmtId="0" fontId="29" fillId="0" borderId="0" xfId="51" applyAlignment="1" applyProtection="1"/>
    <xf numFmtId="2" fontId="56" fillId="0" borderId="25" xfId="59" applyNumberFormat="1" applyFont="1" applyBorder="1" applyAlignment="1"/>
    <xf numFmtId="164" fontId="44" fillId="72" borderId="0" xfId="59" applyNumberFormat="1" applyFont="1" applyFill="1" applyBorder="1" applyAlignment="1"/>
    <xf numFmtId="0" fontId="17" fillId="0" borderId="0" xfId="59" applyNumberFormat="1" applyFont="1" applyAlignment="1"/>
    <xf numFmtId="2" fontId="56" fillId="72" borderId="0" xfId="59" applyNumberFormat="1" applyFont="1" applyFill="1" applyBorder="1" applyAlignment="1"/>
    <xf numFmtId="10" fontId="19" fillId="63" borderId="0" xfId="59" applyNumberFormat="1" applyFont="1" applyFill="1" applyBorder="1" applyAlignment="1"/>
    <xf numFmtId="164" fontId="19" fillId="72" borderId="0" xfId="59" applyNumberFormat="1" applyFont="1" applyFill="1" applyBorder="1" applyAlignment="1"/>
    <xf numFmtId="2" fontId="19" fillId="72" borderId="0" xfId="59" applyNumberFormat="1" applyFont="1" applyFill="1" applyBorder="1" applyAlignment="1"/>
    <xf numFmtId="1" fontId="19" fillId="66" borderId="0" xfId="59" applyNumberFormat="1" applyFont="1" applyFill="1" applyBorder="1" applyAlignment="1"/>
    <xf numFmtId="1" fontId="19" fillId="72" borderId="0" xfId="59" applyNumberFormat="1" applyFont="1" applyFill="1" applyBorder="1" applyAlignment="1"/>
    <xf numFmtId="1" fontId="19" fillId="72" borderId="0" xfId="59" applyNumberFormat="1" applyFont="1" applyFill="1" applyBorder="1" applyAlignment="1">
      <alignment horizontal="right"/>
    </xf>
    <xf numFmtId="166" fontId="44" fillId="63" borderId="146" xfId="59" applyNumberFormat="1" applyFont="1" applyFill="1" applyBorder="1" applyAlignment="1"/>
    <xf numFmtId="2" fontId="19" fillId="63" borderId="0" xfId="0" applyNumberFormat="1" applyFont="1" applyFill="1"/>
    <xf numFmtId="2" fontId="48" fillId="62" borderId="88" xfId="59" applyNumberFormat="1" applyFont="1" applyFill="1" applyBorder="1" applyAlignment="1"/>
    <xf numFmtId="2" fontId="55" fillId="62" borderId="84" xfId="59" applyNumberFormat="1" applyFont="1" applyFill="1" applyBorder="1" applyAlignment="1" applyProtection="1">
      <alignment horizontal="right"/>
      <protection locked="0"/>
    </xf>
    <xf numFmtId="164" fontId="17" fillId="72" borderId="146" xfId="59" applyNumberFormat="1" applyFont="1" applyFill="1" applyBorder="1" applyAlignment="1">
      <alignment horizontal="center"/>
    </xf>
    <xf numFmtId="166" fontId="56" fillId="72" borderId="146" xfId="59" applyNumberFormat="1" applyFont="1" applyFill="1" applyBorder="1" applyAlignment="1"/>
    <xf numFmtId="2" fontId="56" fillId="62" borderId="90" xfId="59" applyNumberFormat="1" applyFont="1" applyFill="1" applyBorder="1" applyAlignment="1"/>
    <xf numFmtId="165" fontId="49" fillId="0" borderId="0" xfId="59" applyNumberFormat="1" applyFont="1"/>
    <xf numFmtId="1" fontId="44" fillId="32" borderId="185" xfId="59" applyNumberFormat="1" applyFont="1" applyFill="1" applyBorder="1" applyAlignment="1"/>
    <xf numFmtId="164" fontId="46" fillId="0" borderId="84" xfId="59" applyNumberFormat="1" applyFont="1" applyFill="1" applyBorder="1" applyAlignment="1"/>
    <xf numFmtId="2" fontId="56" fillId="62" borderId="75" xfId="59" applyNumberFormat="1" applyFont="1" applyFill="1" applyBorder="1" applyAlignment="1" applyProtection="1">
      <alignment horizontal="right"/>
      <protection locked="0"/>
    </xf>
    <xf numFmtId="2" fontId="56" fillId="62" borderId="86" xfId="59" applyNumberFormat="1" applyFont="1" applyFill="1" applyBorder="1" applyAlignment="1" applyProtection="1">
      <alignment horizontal="right"/>
      <protection locked="0"/>
    </xf>
    <xf numFmtId="2" fontId="56" fillId="62" borderId="80" xfId="59" applyNumberFormat="1" applyFont="1" applyFill="1" applyBorder="1" applyAlignment="1" applyProtection="1">
      <alignment horizontal="right"/>
      <protection locked="0"/>
    </xf>
    <xf numFmtId="0" fontId="17" fillId="0" borderId="0" xfId="0" applyFont="1" applyAlignment="1">
      <alignment horizontal="right"/>
    </xf>
    <xf numFmtId="2" fontId="56" fillId="62" borderId="88" xfId="59" applyNumberFormat="1" applyFont="1" applyFill="1" applyBorder="1" applyAlignment="1"/>
    <xf numFmtId="166" fontId="46" fillId="0" borderId="0" xfId="0" applyNumberFormat="1" applyFont="1"/>
    <xf numFmtId="2" fontId="46" fillId="0" borderId="0" xfId="0" applyNumberFormat="1" applyFont="1"/>
    <xf numFmtId="166" fontId="0" fillId="32" borderId="0" xfId="59" applyNumberFormat="1" applyFont="1" applyFill="1"/>
    <xf numFmtId="164" fontId="0" fillId="0" borderId="0" xfId="0" applyNumberFormat="1"/>
    <xf numFmtId="164" fontId="46" fillId="0" borderId="0" xfId="59" applyNumberFormat="1" applyFont="1"/>
    <xf numFmtId="0" fontId="167" fillId="0" borderId="0" xfId="59" applyFont="1"/>
    <xf numFmtId="2" fontId="56" fillId="62" borderId="93" xfId="59" applyNumberFormat="1" applyFont="1" applyFill="1" applyBorder="1" applyAlignment="1"/>
    <xf numFmtId="2" fontId="55" fillId="62" borderId="88" xfId="59" applyNumberFormat="1" applyFont="1" applyFill="1" applyBorder="1" applyAlignment="1"/>
    <xf numFmtId="2" fontId="55" fillId="62" borderId="0" xfId="59" applyNumberFormat="1" applyFont="1" applyFill="1" applyBorder="1" applyAlignment="1"/>
    <xf numFmtId="1" fontId="19" fillId="0" borderId="0" xfId="59" applyNumberFormat="1" applyFont="1"/>
    <xf numFmtId="165" fontId="168" fillId="0" borderId="0" xfId="75" applyNumberFormat="1" applyFont="1"/>
    <xf numFmtId="164" fontId="56" fillId="38" borderId="90" xfId="59" applyNumberFormat="1" applyFont="1" applyFill="1" applyBorder="1" applyAlignment="1"/>
    <xf numFmtId="164" fontId="49" fillId="0" borderId="0" xfId="0" applyNumberFormat="1" applyFont="1"/>
    <xf numFmtId="166" fontId="0" fillId="62" borderId="0" xfId="0" applyNumberFormat="1" applyFill="1"/>
    <xf numFmtId="0" fontId="46" fillId="64" borderId="80" xfId="59" applyFont="1" applyFill="1" applyBorder="1" applyAlignment="1">
      <alignment horizontal="center"/>
    </xf>
    <xf numFmtId="2" fontId="55" fillId="62" borderId="108" xfId="59" applyNumberFormat="1" applyFont="1" applyFill="1" applyBorder="1" applyAlignment="1" applyProtection="1">
      <alignment horizontal="right"/>
      <protection locked="0"/>
    </xf>
    <xf numFmtId="0" fontId="185" fillId="0" borderId="0" xfId="121" applyFont="1" applyAlignment="1">
      <alignment horizontal="right" vertical="top"/>
    </xf>
    <xf numFmtId="178" fontId="49" fillId="63" borderId="0" xfId="75" applyNumberFormat="1" applyFont="1" applyFill="1" applyBorder="1" applyAlignment="1"/>
    <xf numFmtId="2" fontId="55" fillId="62" borderId="0" xfId="59" applyNumberFormat="1" applyFont="1" applyFill="1" applyBorder="1" applyAlignment="1" applyProtection="1">
      <alignment horizontal="right"/>
      <protection locked="0"/>
    </xf>
    <xf numFmtId="2" fontId="56" fillId="104" borderId="0" xfId="59" applyNumberFormat="1" applyFont="1" applyFill="1" applyBorder="1" applyAlignment="1"/>
    <xf numFmtId="2" fontId="56" fillId="104" borderId="0" xfId="59" applyNumberFormat="1" applyFont="1" applyFill="1" applyBorder="1"/>
    <xf numFmtId="0" fontId="48" fillId="0" borderId="0" xfId="59" applyFont="1" applyFill="1"/>
    <xf numFmtId="2" fontId="44" fillId="0" borderId="0" xfId="59" applyNumberFormat="1" applyFont="1" applyFill="1" applyBorder="1" applyAlignment="1"/>
    <xf numFmtId="2" fontId="46" fillId="62" borderId="79" xfId="59" applyNumberFormat="1" applyFont="1" applyFill="1" applyBorder="1" applyAlignment="1"/>
    <xf numFmtId="2" fontId="56" fillId="62" borderId="25" xfId="59" applyNumberFormat="1" applyFont="1" applyFill="1" applyBorder="1" applyAlignment="1"/>
    <xf numFmtId="166" fontId="56" fillId="62" borderId="0" xfId="59" applyNumberFormat="1" applyFont="1" applyFill="1" applyBorder="1" applyAlignment="1"/>
    <xf numFmtId="0" fontId="17" fillId="0" borderId="0" xfId="0" applyFont="1"/>
    <xf numFmtId="164" fontId="66" fillId="105" borderId="0" xfId="59" applyNumberFormat="1" applyFont="1" applyFill="1" applyBorder="1"/>
    <xf numFmtId="0" fontId="17" fillId="105" borderId="0" xfId="59" applyFont="1" applyFill="1"/>
    <xf numFmtId="0" fontId="44" fillId="105" borderId="0" xfId="59" applyFont="1" applyFill="1"/>
    <xf numFmtId="0" fontId="44" fillId="105" borderId="0" xfId="59" applyFont="1" applyFill="1" applyBorder="1"/>
    <xf numFmtId="2" fontId="46" fillId="57" borderId="0" xfId="0" applyNumberFormat="1" applyFont="1" applyFill="1"/>
    <xf numFmtId="0" fontId="20" fillId="38" borderId="0" xfId="59" applyFont="1" applyFill="1" applyBorder="1" applyAlignment="1">
      <alignment horizontal="center"/>
    </xf>
    <xf numFmtId="0" fontId="46" fillId="38" borderId="0" xfId="59" applyFont="1" applyFill="1" applyBorder="1"/>
    <xf numFmtId="0" fontId="46" fillId="38" borderId="0" xfId="59" applyFont="1" applyFill="1" applyBorder="1" applyAlignment="1">
      <alignment horizontal="center"/>
    </xf>
    <xf numFmtId="164" fontId="123" fillId="62" borderId="80" xfId="59" applyNumberFormat="1" applyFont="1" applyFill="1" applyBorder="1" applyAlignment="1" applyProtection="1">
      <alignment horizontal="right"/>
      <protection locked="0"/>
    </xf>
    <xf numFmtId="2" fontId="46" fillId="0" borderId="86" xfId="59" applyNumberFormat="1" applyFont="1" applyBorder="1"/>
    <xf numFmtId="0" fontId="17" fillId="0" borderId="0" xfId="0" applyFont="1" applyFill="1"/>
    <xf numFmtId="1" fontId="49" fillId="0" borderId="0" xfId="59" applyNumberFormat="1" applyFont="1" applyFill="1"/>
    <xf numFmtId="0" fontId="17" fillId="0" borderId="75" xfId="59" applyFont="1" applyBorder="1" applyAlignment="1">
      <alignment horizontal="center"/>
    </xf>
    <xf numFmtId="164" fontId="17" fillId="0" borderId="0" xfId="59" applyNumberFormat="1" applyFont="1" applyFill="1" applyBorder="1" applyAlignment="1"/>
    <xf numFmtId="166" fontId="44" fillId="0" borderId="116" xfId="59" applyNumberFormat="1" applyFont="1" applyBorder="1" applyAlignment="1"/>
    <xf numFmtId="166" fontId="44" fillId="0" borderId="118" xfId="59" applyNumberFormat="1" applyFont="1" applyBorder="1" applyAlignment="1"/>
    <xf numFmtId="10" fontId="44" fillId="0" borderId="25" xfId="75" applyNumberFormat="1" applyFont="1" applyBorder="1" applyAlignment="1"/>
    <xf numFmtId="166" fontId="56" fillId="0" borderId="79" xfId="59" applyNumberFormat="1" applyFont="1" applyBorder="1" applyAlignment="1"/>
    <xf numFmtId="166" fontId="0" fillId="0" borderId="0" xfId="59" applyNumberFormat="1" applyFont="1" applyBorder="1"/>
    <xf numFmtId="166" fontId="56" fillId="0" borderId="116" xfId="59" applyNumberFormat="1" applyFont="1" applyBorder="1" applyAlignment="1"/>
    <xf numFmtId="167" fontId="56" fillId="37" borderId="0" xfId="59" applyNumberFormat="1" applyFont="1" applyFill="1" applyBorder="1" applyAlignment="1"/>
    <xf numFmtId="167" fontId="56" fillId="37" borderId="0" xfId="59" applyNumberFormat="1" applyFont="1" applyFill="1" applyBorder="1"/>
    <xf numFmtId="166" fontId="75" fillId="36" borderId="0" xfId="59" applyNumberFormat="1" applyFont="1" applyFill="1" applyAlignment="1"/>
    <xf numFmtId="166" fontId="44" fillId="0" borderId="0" xfId="59" applyNumberFormat="1" applyFont="1" applyBorder="1" applyAlignment="1">
      <alignment horizontal="right"/>
    </xf>
    <xf numFmtId="166" fontId="44" fillId="0" borderId="79" xfId="59" applyNumberFormat="1" applyFont="1" applyBorder="1" applyAlignment="1">
      <alignment horizontal="right"/>
    </xf>
    <xf numFmtId="166" fontId="56" fillId="104" borderId="0" xfId="59" applyNumberFormat="1" applyFont="1" applyFill="1" applyBorder="1" applyAlignment="1"/>
    <xf numFmtId="164" fontId="46" fillId="104" borderId="0" xfId="59" applyNumberFormat="1" applyFont="1" applyFill="1" applyBorder="1" applyAlignment="1"/>
    <xf numFmtId="164" fontId="48" fillId="48" borderId="0" xfId="59" applyNumberFormat="1" applyFont="1" applyFill="1" applyBorder="1"/>
    <xf numFmtId="165" fontId="46" fillId="0" borderId="0" xfId="75" applyNumberFormat="1" applyFont="1"/>
    <xf numFmtId="2" fontId="55" fillId="62" borderId="90" xfId="59" applyNumberFormat="1" applyFont="1" applyFill="1" applyBorder="1" applyAlignment="1"/>
    <xf numFmtId="164" fontId="46" fillId="38" borderId="0" xfId="59" applyNumberFormat="1" applyFont="1" applyFill="1" applyBorder="1"/>
    <xf numFmtId="164" fontId="44" fillId="106" borderId="0" xfId="59" applyNumberFormat="1" applyFont="1" applyFill="1"/>
    <xf numFmtId="165" fontId="44" fillId="0" borderId="0" xfId="75" applyNumberFormat="1" applyFont="1" applyFill="1"/>
    <xf numFmtId="1" fontId="49" fillId="107" borderId="0" xfId="59" applyNumberFormat="1" applyFont="1" applyFill="1"/>
    <xf numFmtId="165" fontId="49" fillId="0" borderId="0" xfId="75" applyNumberFormat="1" applyFont="1"/>
    <xf numFmtId="0" fontId="49" fillId="0" borderId="0" xfId="59" applyFont="1" applyFill="1"/>
    <xf numFmtId="2" fontId="19" fillId="0" borderId="0" xfId="59" applyNumberFormat="1" applyFont="1"/>
    <xf numFmtId="0" fontId="49" fillId="0" borderId="0" xfId="59" applyFont="1" applyFill="1" applyAlignment="1"/>
    <xf numFmtId="166" fontId="17" fillId="57" borderId="0" xfId="59" applyNumberFormat="1" applyFont="1" applyFill="1" applyBorder="1" applyAlignment="1"/>
    <xf numFmtId="165" fontId="19" fillId="32" borderId="79" xfId="75" applyNumberFormat="1" applyFont="1" applyFill="1" applyBorder="1" applyAlignment="1"/>
    <xf numFmtId="165" fontId="64" fillId="32" borderId="79" xfId="75" applyNumberFormat="1" applyFont="1" applyFill="1" applyBorder="1" applyAlignment="1"/>
    <xf numFmtId="0" fontId="0" fillId="106" borderId="22" xfId="59" applyFont="1" applyFill="1" applyBorder="1" applyAlignment="1">
      <alignment horizontal="center"/>
    </xf>
    <xf numFmtId="0" fontId="0" fillId="106" borderId="23" xfId="59" applyFont="1" applyFill="1" applyBorder="1" applyAlignment="1">
      <alignment horizontal="center"/>
    </xf>
    <xf numFmtId="164" fontId="48" fillId="37" borderId="0" xfId="59" applyNumberFormat="1" applyFont="1" applyFill="1" applyBorder="1" applyAlignment="1">
      <alignment horizontal="right"/>
    </xf>
    <xf numFmtId="165" fontId="44" fillId="0" borderId="0" xfId="75" applyNumberFormat="1" applyFont="1" applyFill="1" applyAlignment="1"/>
    <xf numFmtId="0" fontId="17" fillId="0" borderId="0" xfId="59" quotePrefix="1" applyFont="1" applyAlignment="1">
      <alignment horizontal="center"/>
    </xf>
    <xf numFmtId="2" fontId="0" fillId="62" borderId="0" xfId="0" applyNumberFormat="1" applyFill="1"/>
    <xf numFmtId="166" fontId="56" fillId="62" borderId="38" xfId="59" applyNumberFormat="1" applyFont="1" applyFill="1" applyBorder="1" applyAlignment="1"/>
    <xf numFmtId="166" fontId="55" fillId="62" borderId="0" xfId="59" applyNumberFormat="1" applyFont="1" applyFill="1" applyBorder="1" applyAlignment="1"/>
    <xf numFmtId="164" fontId="17" fillId="0" borderId="0" xfId="59" applyNumberFormat="1" applyFont="1" applyAlignment="1"/>
    <xf numFmtId="164" fontId="44" fillId="58" borderId="0" xfId="59" applyNumberFormat="1" applyFont="1" applyFill="1" applyAlignment="1"/>
    <xf numFmtId="164" fontId="56" fillId="62" borderId="38" xfId="59" applyNumberFormat="1" applyFont="1" applyFill="1" applyBorder="1" applyAlignment="1"/>
    <xf numFmtId="164" fontId="17" fillId="0" borderId="0" xfId="59" applyNumberFormat="1" applyFont="1"/>
    <xf numFmtId="164" fontId="44" fillId="0" borderId="0" xfId="59" applyNumberFormat="1" applyFont="1" applyFill="1"/>
    <xf numFmtId="164" fontId="56" fillId="62" borderId="0" xfId="59" applyNumberFormat="1" applyFont="1" applyFill="1" applyBorder="1" applyAlignment="1"/>
    <xf numFmtId="164" fontId="49" fillId="0" borderId="0" xfId="75" applyNumberFormat="1" applyFont="1" applyAlignment="1"/>
    <xf numFmtId="14" fontId="17" fillId="0" borderId="84" xfId="59" applyNumberFormat="1" applyFont="1" applyBorder="1" applyAlignment="1"/>
    <xf numFmtId="0" fontId="17" fillId="104" borderId="0" xfId="59" applyFont="1" applyFill="1" applyAlignment="1">
      <alignment horizontal="center"/>
    </xf>
    <xf numFmtId="0" fontId="49" fillId="104" borderId="0" xfId="59" applyFont="1" applyFill="1" applyAlignment="1">
      <alignment horizontal="center"/>
    </xf>
    <xf numFmtId="0" fontId="187" fillId="0" borderId="0" xfId="59" applyNumberFormat="1" applyFont="1" applyAlignment="1">
      <alignment horizontal="left"/>
    </xf>
    <xf numFmtId="164" fontId="48" fillId="57" borderId="0" xfId="59" applyNumberFormat="1" applyFont="1" applyFill="1" applyBorder="1" applyAlignment="1">
      <alignment horizontal="right"/>
    </xf>
    <xf numFmtId="164" fontId="56" fillId="57" borderId="90" xfId="59" applyNumberFormat="1" applyFont="1" applyFill="1" applyBorder="1" applyAlignment="1">
      <alignment horizontal="right"/>
    </xf>
    <xf numFmtId="164" fontId="44" fillId="0" borderId="88" xfId="59" applyNumberFormat="1" applyFont="1" applyBorder="1" applyAlignment="1">
      <alignment horizontal="right"/>
    </xf>
    <xf numFmtId="164" fontId="44" fillId="0" borderId="90" xfId="59" applyNumberFormat="1" applyFont="1" applyBorder="1" applyAlignment="1">
      <alignment horizontal="right"/>
    </xf>
    <xf numFmtId="164" fontId="48" fillId="62" borderId="88" xfId="59" applyNumberFormat="1" applyFont="1" applyFill="1" applyBorder="1" applyAlignment="1"/>
    <xf numFmtId="2" fontId="45" fillId="33" borderId="0" xfId="59" applyNumberFormat="1" applyFont="1" applyFill="1" applyBorder="1" applyAlignment="1">
      <alignment horizontal="right"/>
    </xf>
    <xf numFmtId="164" fontId="48" fillId="48" borderId="97" xfId="59" applyNumberFormat="1" applyFont="1" applyFill="1" applyBorder="1" applyAlignment="1"/>
    <xf numFmtId="1" fontId="44" fillId="32" borderId="84" xfId="59" applyNumberFormat="1" applyFont="1" applyFill="1" applyBorder="1" applyAlignment="1">
      <alignment horizontal="right"/>
    </xf>
    <xf numFmtId="1" fontId="56" fillId="37" borderId="84" xfId="59" applyNumberFormat="1" applyFont="1" applyFill="1" applyBorder="1" applyAlignment="1">
      <alignment horizontal="right"/>
    </xf>
    <xf numFmtId="165" fontId="17" fillId="0" borderId="0" xfId="75" applyNumberFormat="1" applyFont="1" applyAlignment="1"/>
    <xf numFmtId="165" fontId="66" fillId="36" borderId="0" xfId="75" applyNumberFormat="1" applyFont="1" applyFill="1" applyBorder="1"/>
    <xf numFmtId="1" fontId="44" fillId="32" borderId="0" xfId="59" applyNumberFormat="1" applyFont="1" applyFill="1" applyBorder="1"/>
    <xf numFmtId="0" fontId="17" fillId="0" borderId="38" xfId="59" applyFont="1" applyBorder="1"/>
    <xf numFmtId="164" fontId="56" fillId="62" borderId="86" xfId="59" applyNumberFormat="1" applyFont="1" applyFill="1" applyBorder="1" applyAlignment="1" applyProtection="1">
      <alignment horizontal="right"/>
      <protection locked="0"/>
    </xf>
    <xf numFmtId="164" fontId="49" fillId="108" borderId="0" xfId="59" applyNumberFormat="1" applyFont="1" applyFill="1" applyBorder="1" applyAlignment="1">
      <alignment horizontal="right"/>
    </xf>
    <xf numFmtId="166" fontId="0" fillId="36" borderId="80" xfId="59" applyNumberFormat="1" applyFont="1" applyFill="1" applyBorder="1"/>
    <xf numFmtId="2" fontId="56" fillId="57" borderId="86" xfId="59" applyNumberFormat="1" applyFont="1" applyFill="1" applyBorder="1" applyAlignment="1" applyProtection="1">
      <alignment horizontal="right"/>
      <protection locked="0"/>
    </xf>
    <xf numFmtId="164" fontId="45" fillId="33" borderId="111" xfId="59" applyNumberFormat="1" applyFont="1" applyFill="1" applyBorder="1" applyAlignment="1" applyProtection="1">
      <alignment horizontal="center"/>
    </xf>
    <xf numFmtId="166" fontId="56" fillId="0" borderId="0" xfId="59" applyNumberFormat="1" applyFont="1"/>
    <xf numFmtId="166" fontId="0" fillId="0" borderId="80" xfId="59" applyNumberFormat="1" applyFont="1" applyBorder="1"/>
    <xf numFmtId="165" fontId="44" fillId="0" borderId="0" xfId="59" applyNumberFormat="1" applyFont="1"/>
    <xf numFmtId="1" fontId="17" fillId="0" borderId="0" xfId="59" applyNumberFormat="1" applyFont="1" applyBorder="1" applyAlignment="1"/>
    <xf numFmtId="167" fontId="50" fillId="29" borderId="29" xfId="59" applyNumberFormat="1" applyFont="1" applyFill="1" applyBorder="1" applyAlignment="1" applyProtection="1">
      <alignment horizontal="right"/>
    </xf>
    <xf numFmtId="167" fontId="0" fillId="0" borderId="0" xfId="0" applyNumberFormat="1"/>
    <xf numFmtId="167" fontId="59" fillId="29" borderId="29" xfId="59" applyNumberFormat="1" applyFont="1" applyFill="1" applyBorder="1" applyAlignment="1" applyProtection="1">
      <alignment horizontal="right"/>
    </xf>
    <xf numFmtId="164" fontId="56" fillId="57" borderId="86" xfId="59" applyNumberFormat="1" applyFont="1" applyFill="1" applyBorder="1" applyAlignment="1" applyProtection="1">
      <alignment horizontal="right"/>
      <protection locked="0"/>
    </xf>
    <xf numFmtId="164" fontId="48" fillId="48" borderId="80" xfId="59" applyNumberFormat="1" applyFont="1" applyFill="1" applyBorder="1" applyAlignment="1" applyProtection="1">
      <protection locked="0"/>
    </xf>
    <xf numFmtId="166" fontId="56" fillId="38" borderId="0" xfId="59" applyNumberFormat="1" applyFont="1" applyFill="1" applyBorder="1" applyAlignment="1"/>
    <xf numFmtId="0" fontId="20" fillId="0" borderId="88" xfId="59" applyFont="1" applyFill="1" applyBorder="1" applyAlignment="1">
      <alignment horizontal="center"/>
    </xf>
    <xf numFmtId="0" fontId="48" fillId="0" borderId="88" xfId="59" applyFont="1" applyFill="1" applyBorder="1" applyAlignment="1">
      <alignment horizontal="center"/>
    </xf>
    <xf numFmtId="1" fontId="48" fillId="0" borderId="88" xfId="59" applyNumberFormat="1" applyFont="1" applyFill="1" applyBorder="1" applyAlignment="1">
      <alignment horizontal="center"/>
    </xf>
    <xf numFmtId="0" fontId="48" fillId="0" borderId="0" xfId="59" applyFont="1" applyFill="1" applyBorder="1" applyAlignment="1">
      <alignment horizontal="center"/>
    </xf>
    <xf numFmtId="1" fontId="48" fillId="0" borderId="0" xfId="59" applyNumberFormat="1" applyFont="1" applyFill="1" applyBorder="1" applyAlignment="1">
      <alignment horizontal="center"/>
    </xf>
    <xf numFmtId="0" fontId="17" fillId="0" borderId="88" xfId="59" applyFont="1" applyFill="1" applyBorder="1" applyAlignment="1"/>
    <xf numFmtId="0" fontId="17" fillId="0" borderId="0" xfId="59" applyFont="1" applyFill="1" applyBorder="1" applyAlignment="1"/>
    <xf numFmtId="164" fontId="17" fillId="0" borderId="88" xfId="59" applyNumberFormat="1" applyFont="1" applyFill="1" applyBorder="1" applyAlignment="1">
      <alignment horizontal="right"/>
    </xf>
    <xf numFmtId="164" fontId="17" fillId="0" borderId="0" xfId="59" applyNumberFormat="1" applyFont="1" applyFill="1" applyBorder="1" applyAlignment="1">
      <alignment horizontal="right"/>
    </xf>
    <xf numFmtId="1" fontId="46" fillId="37" borderId="84" xfId="59" applyNumberFormat="1" applyFont="1" applyFill="1" applyBorder="1" applyAlignment="1"/>
    <xf numFmtId="0" fontId="17" fillId="0" borderId="72" xfId="59" applyFont="1" applyBorder="1" applyAlignment="1">
      <alignment horizontal="center"/>
    </xf>
    <xf numFmtId="164" fontId="46" fillId="0" borderId="84" xfId="59" applyNumberFormat="1" applyFont="1" applyBorder="1"/>
    <xf numFmtId="0" fontId="17" fillId="0" borderId="85" xfId="59" applyFont="1" applyBorder="1" applyAlignment="1">
      <alignment horizontal="center"/>
    </xf>
    <xf numFmtId="0" fontId="17" fillId="0" borderId="79" xfId="59" applyFont="1" applyBorder="1" applyAlignment="1">
      <alignment horizontal="center"/>
    </xf>
    <xf numFmtId="0" fontId="17" fillId="0" borderId="79" xfId="59" applyFont="1" applyFill="1" applyBorder="1"/>
    <xf numFmtId="2" fontId="17" fillId="0" borderId="79" xfId="59" applyNumberFormat="1" applyFont="1" applyBorder="1"/>
    <xf numFmtId="2" fontId="46" fillId="0" borderId="79" xfId="59" applyNumberFormat="1" applyFont="1" applyBorder="1"/>
    <xf numFmtId="164" fontId="17" fillId="37" borderId="84" xfId="59" applyNumberFormat="1" applyFont="1" applyFill="1" applyBorder="1"/>
    <xf numFmtId="0" fontId="46" fillId="38" borderId="88" xfId="59" applyFont="1" applyFill="1" applyBorder="1" applyAlignment="1"/>
    <xf numFmtId="0" fontId="46" fillId="38" borderId="88" xfId="59" applyFont="1" applyFill="1" applyBorder="1" applyAlignment="1">
      <alignment horizontal="center"/>
    </xf>
    <xf numFmtId="1" fontId="46" fillId="38" borderId="88" xfId="59" applyNumberFormat="1" applyFont="1" applyFill="1" applyBorder="1" applyAlignment="1"/>
    <xf numFmtId="14" fontId="17" fillId="0" borderId="87" xfId="59" applyNumberFormat="1" applyFont="1" applyFill="1" applyBorder="1" applyAlignment="1" applyProtection="1">
      <alignment horizontal="center" vertical="center"/>
    </xf>
    <xf numFmtId="14" fontId="17" fillId="0" borderId="88" xfId="59" applyNumberFormat="1" applyFont="1" applyBorder="1" applyAlignment="1"/>
    <xf numFmtId="164" fontId="17" fillId="0" borderId="88" xfId="59" applyNumberFormat="1" applyFont="1" applyBorder="1" applyAlignment="1">
      <alignment horizontal="center"/>
    </xf>
    <xf numFmtId="164" fontId="17" fillId="0" borderId="88" xfId="59" applyNumberFormat="1" applyFont="1" applyFill="1" applyBorder="1" applyAlignment="1"/>
    <xf numFmtId="164" fontId="46" fillId="0" borderId="88" xfId="59" applyNumberFormat="1" applyFont="1" applyFill="1" applyBorder="1" applyAlignment="1"/>
    <xf numFmtId="14" fontId="17" fillId="0" borderId="98" xfId="59" applyNumberFormat="1" applyFont="1" applyFill="1" applyBorder="1" applyAlignment="1" applyProtection="1">
      <alignment horizontal="center" vertical="center"/>
    </xf>
    <xf numFmtId="14" fontId="17" fillId="0" borderId="0" xfId="59" applyNumberFormat="1" applyFont="1" applyBorder="1" applyAlignment="1"/>
    <xf numFmtId="164" fontId="17" fillId="0" borderId="0" xfId="59" applyNumberFormat="1" applyFont="1" applyBorder="1" applyAlignment="1">
      <alignment horizontal="center"/>
    </xf>
    <xf numFmtId="164" fontId="46" fillId="0" borderId="0" xfId="59" applyNumberFormat="1" applyFont="1" applyFill="1" applyBorder="1" applyAlignment="1"/>
    <xf numFmtId="14" fontId="17" fillId="0" borderId="89" xfId="59" applyNumberFormat="1" applyFont="1" applyFill="1" applyBorder="1" applyAlignment="1" applyProtection="1">
      <alignment horizontal="center" vertical="center"/>
    </xf>
    <xf numFmtId="14" fontId="17" fillId="0" borderId="90" xfId="59" applyNumberFormat="1" applyFont="1" applyBorder="1" applyAlignment="1"/>
    <xf numFmtId="164" fontId="17" fillId="0" borderId="90" xfId="59" applyNumberFormat="1" applyFont="1" applyBorder="1" applyAlignment="1">
      <alignment horizontal="center"/>
    </xf>
    <xf numFmtId="164" fontId="17" fillId="0" borderId="90" xfId="59" applyNumberFormat="1" applyFont="1" applyFill="1" applyBorder="1" applyAlignment="1"/>
    <xf numFmtId="164" fontId="46" fillId="0" borderId="90" xfId="59" applyNumberFormat="1" applyFont="1" applyFill="1" applyBorder="1" applyAlignment="1"/>
    <xf numFmtId="164" fontId="17" fillId="38" borderId="0" xfId="59" applyNumberFormat="1" applyFont="1" applyFill="1" applyBorder="1" applyAlignment="1">
      <alignment horizontal="center"/>
    </xf>
    <xf numFmtId="164" fontId="17" fillId="38" borderId="0" xfId="59" applyNumberFormat="1" applyFont="1" applyFill="1" applyBorder="1" applyAlignment="1"/>
    <xf numFmtId="2" fontId="48" fillId="109" borderId="90" xfId="59" applyNumberFormat="1" applyFont="1" applyFill="1" applyBorder="1" applyAlignment="1"/>
    <xf numFmtId="2" fontId="48" fillId="109" borderId="88" xfId="59" applyNumberFormat="1" applyFont="1" applyFill="1" applyBorder="1" applyAlignment="1"/>
    <xf numFmtId="164" fontId="101" fillId="38" borderId="90" xfId="59" applyNumberFormat="1" applyFont="1" applyFill="1" applyBorder="1" applyAlignment="1"/>
    <xf numFmtId="164" fontId="83" fillId="38" borderId="0" xfId="59" applyNumberFormat="1" applyFont="1" applyFill="1" applyBorder="1" applyAlignment="1"/>
    <xf numFmtId="164" fontId="49" fillId="38" borderId="131" xfId="59" applyNumberFormat="1" applyFont="1" applyFill="1" applyBorder="1" applyAlignment="1">
      <alignment horizontal="right"/>
    </xf>
    <xf numFmtId="164" fontId="49" fillId="38" borderId="0" xfId="59" applyNumberFormat="1" applyFont="1" applyFill="1" applyBorder="1" applyAlignment="1"/>
    <xf numFmtId="164" fontId="56" fillId="55" borderId="84" xfId="59" applyNumberFormat="1" applyFont="1" applyFill="1" applyBorder="1"/>
    <xf numFmtId="1" fontId="17" fillId="0" borderId="0" xfId="59" applyNumberFormat="1" applyFont="1"/>
    <xf numFmtId="1" fontId="166" fillId="0" borderId="0" xfId="0" applyNumberFormat="1" applyFont="1" applyAlignment="1">
      <alignment wrapText="1"/>
    </xf>
    <xf numFmtId="1" fontId="17" fillId="0" borderId="0" xfId="59" applyNumberFormat="1" applyFont="1" applyAlignment="1"/>
    <xf numFmtId="1" fontId="188" fillId="0" borderId="0" xfId="161" applyNumberFormat="1" applyFont="1"/>
    <xf numFmtId="1" fontId="163" fillId="0" borderId="0" xfId="147" applyNumberFormat="1" applyFont="1" applyAlignment="1">
      <alignment wrapText="1"/>
    </xf>
    <xf numFmtId="164" fontId="49" fillId="110" borderId="0" xfId="59" applyNumberFormat="1" applyFont="1" applyFill="1"/>
    <xf numFmtId="2" fontId="56" fillId="0" borderId="0" xfId="59" applyNumberFormat="1" applyFont="1"/>
    <xf numFmtId="164" fontId="48" fillId="62" borderId="0" xfId="59" applyNumberFormat="1" applyFont="1" applyFill="1" applyBorder="1" applyAlignment="1"/>
    <xf numFmtId="2" fontId="56" fillId="29" borderId="36" xfId="59" applyNumberFormat="1" applyFont="1" applyFill="1" applyBorder="1" applyProtection="1"/>
    <xf numFmtId="2" fontId="56" fillId="29" borderId="35" xfId="59" applyNumberFormat="1" applyFont="1" applyFill="1" applyBorder="1" applyProtection="1"/>
    <xf numFmtId="2" fontId="56" fillId="29" borderId="74" xfId="59" applyNumberFormat="1" applyFont="1" applyFill="1" applyBorder="1" applyProtection="1"/>
    <xf numFmtId="166" fontId="0" fillId="32" borderId="79" xfId="59" applyNumberFormat="1" applyFont="1" applyFill="1" applyBorder="1"/>
    <xf numFmtId="166" fontId="0" fillId="32" borderId="80" xfId="59" applyNumberFormat="1" applyFont="1" applyFill="1" applyBorder="1"/>
    <xf numFmtId="164" fontId="48" fillId="32" borderId="84" xfId="59" applyNumberFormat="1" applyFont="1" applyFill="1" applyBorder="1" applyAlignment="1">
      <alignment horizontal="center"/>
    </xf>
    <xf numFmtId="2" fontId="44" fillId="0" borderId="0" xfId="75" applyNumberFormat="1" applyFont="1" applyFill="1" applyAlignment="1"/>
    <xf numFmtId="17" fontId="49" fillId="111" borderId="0" xfId="59" applyNumberFormat="1" applyFont="1" applyFill="1"/>
    <xf numFmtId="1" fontId="44" fillId="0" borderId="0" xfId="59" applyNumberFormat="1" applyFont="1" applyFill="1" applyAlignment="1"/>
    <xf numFmtId="2" fontId="56" fillId="112" borderId="0" xfId="59" applyNumberFormat="1" applyFont="1" applyFill="1" applyAlignment="1"/>
    <xf numFmtId="2" fontId="44" fillId="112" borderId="0" xfId="59" applyNumberFormat="1" applyFont="1" applyFill="1" applyAlignment="1"/>
    <xf numFmtId="2" fontId="48" fillId="30" borderId="61" xfId="59" applyNumberFormat="1" applyFont="1" applyFill="1" applyBorder="1" applyAlignment="1">
      <alignment horizontal="center"/>
    </xf>
    <xf numFmtId="2" fontId="48" fillId="30" borderId="48" xfId="59" applyNumberFormat="1" applyFont="1" applyFill="1" applyBorder="1" applyAlignment="1">
      <alignment horizontal="center"/>
    </xf>
    <xf numFmtId="2" fontId="48" fillId="30" borderId="132" xfId="59" applyNumberFormat="1" applyFont="1" applyFill="1" applyBorder="1" applyAlignment="1">
      <alignment horizontal="center"/>
    </xf>
    <xf numFmtId="165" fontId="44" fillId="0" borderId="0" xfId="75" applyNumberFormat="1" applyFont="1" applyBorder="1"/>
    <xf numFmtId="0" fontId="13" fillId="0" borderId="0" xfId="175"/>
    <xf numFmtId="0" fontId="17" fillId="0" borderId="0" xfId="0" applyFont="1" applyAlignment="1">
      <alignment vertical="center" wrapText="1"/>
    </xf>
    <xf numFmtId="0" fontId="44" fillId="105" borderId="0" xfId="59" applyFont="1" applyFill="1" applyAlignment="1"/>
    <xf numFmtId="166" fontId="56" fillId="104" borderId="38" xfId="59" applyNumberFormat="1" applyFont="1" applyFill="1" applyBorder="1" applyAlignment="1"/>
    <xf numFmtId="166" fontId="44" fillId="104" borderId="116" xfId="59" applyNumberFormat="1" applyFont="1" applyFill="1" applyBorder="1" applyAlignment="1"/>
    <xf numFmtId="164" fontId="44" fillId="104" borderId="0" xfId="59" applyNumberFormat="1" applyFont="1" applyFill="1" applyBorder="1" applyAlignment="1"/>
    <xf numFmtId="0" fontId="17" fillId="0" borderId="0" xfId="59" applyFont="1" applyBorder="1" applyAlignment="1">
      <alignment horizontal="right"/>
    </xf>
    <xf numFmtId="0" fontId="189" fillId="0" borderId="0" xfId="0" applyFont="1"/>
    <xf numFmtId="165" fontId="0" fillId="29" borderId="38" xfId="75" applyNumberFormat="1" applyFont="1" applyFill="1" applyBorder="1"/>
    <xf numFmtId="164" fontId="48" fillId="0" borderId="38" xfId="59" applyNumberFormat="1" applyFont="1" applyBorder="1" applyAlignment="1">
      <alignment horizontal="right"/>
    </xf>
    <xf numFmtId="164" fontId="48" fillId="30" borderId="0" xfId="59" applyNumberFormat="1" applyFont="1" applyFill="1" applyBorder="1" applyAlignment="1">
      <alignment horizontal="right"/>
    </xf>
    <xf numFmtId="164" fontId="48" fillId="30" borderId="38" xfId="59" applyNumberFormat="1" applyFont="1" applyFill="1" applyBorder="1" applyAlignment="1">
      <alignment horizontal="right"/>
    </xf>
    <xf numFmtId="2" fontId="17" fillId="0" borderId="0" xfId="59" applyNumberFormat="1" applyFont="1"/>
    <xf numFmtId="164" fontId="44" fillId="0" borderId="0" xfId="75" applyNumberFormat="1" applyFont="1" applyAlignment="1"/>
    <xf numFmtId="165" fontId="49" fillId="0" borderId="0" xfId="75" applyNumberFormat="1" applyFont="1" applyAlignment="1"/>
    <xf numFmtId="166" fontId="56" fillId="0" borderId="0" xfId="59" applyNumberFormat="1" applyFont="1" applyFill="1" applyBorder="1"/>
    <xf numFmtId="164" fontId="48" fillId="0" borderId="100" xfId="59" applyNumberFormat="1" applyFont="1" applyBorder="1" applyAlignment="1">
      <alignment horizontal="right"/>
    </xf>
    <xf numFmtId="164" fontId="48" fillId="0" borderId="12" xfId="59" applyNumberFormat="1" applyFont="1" applyBorder="1" applyAlignment="1">
      <alignment horizontal="right"/>
    </xf>
    <xf numFmtId="0" fontId="17" fillId="0" borderId="0" xfId="0" applyFont="1" applyFill="1" applyProtection="1"/>
    <xf numFmtId="164" fontId="44" fillId="62" borderId="48" xfId="59" applyNumberFormat="1" applyFont="1" applyFill="1" applyBorder="1"/>
    <xf numFmtId="164" fontId="44" fillId="62" borderId="132" xfId="59" applyNumberFormat="1" applyFont="1" applyFill="1" applyBorder="1"/>
    <xf numFmtId="164" fontId="44" fillId="0" borderId="49" xfId="59" applyNumberFormat="1" applyFont="1" applyBorder="1" applyAlignment="1"/>
    <xf numFmtId="164" fontId="44" fillId="0" borderId="49" xfId="59" applyNumberFormat="1" applyFont="1" applyBorder="1"/>
    <xf numFmtId="0" fontId="185" fillId="0" borderId="0" xfId="0" applyFont="1" applyAlignment="1">
      <alignment wrapText="1"/>
    </xf>
    <xf numFmtId="165" fontId="19" fillId="0" borderId="0" xfId="75" applyNumberFormat="1" applyFont="1"/>
    <xf numFmtId="164" fontId="44" fillId="0" borderId="0" xfId="59" applyNumberFormat="1" applyFont="1" applyAlignment="1">
      <alignment vertical="center"/>
    </xf>
    <xf numFmtId="164" fontId="49" fillId="0" borderId="0" xfId="59" applyNumberFormat="1" applyFont="1" applyAlignment="1">
      <alignment vertical="center"/>
    </xf>
    <xf numFmtId="164" fontId="0" fillId="30" borderId="0" xfId="59" applyNumberFormat="1" applyFont="1" applyFill="1" applyBorder="1"/>
    <xf numFmtId="1" fontId="185" fillId="0" borderId="0" xfId="0" applyNumberFormat="1" applyFont="1" applyAlignment="1">
      <alignment wrapText="1"/>
    </xf>
    <xf numFmtId="164" fontId="0" fillId="30" borderId="25" xfId="59" applyNumberFormat="1" applyFont="1" applyFill="1" applyBorder="1"/>
    <xf numFmtId="164" fontId="0" fillId="1" borderId="25" xfId="59" applyNumberFormat="1" applyFont="1" applyFill="1" applyBorder="1"/>
    <xf numFmtId="164" fontId="0" fillId="1" borderId="28" xfId="59" applyNumberFormat="1" applyFont="1" applyFill="1" applyBorder="1"/>
    <xf numFmtId="164" fontId="0" fillId="1" borderId="29" xfId="59" applyNumberFormat="1" applyFont="1" applyFill="1" applyBorder="1"/>
    <xf numFmtId="164" fontId="0" fillId="1" borderId="38" xfId="59" applyNumberFormat="1" applyFont="1" applyFill="1" applyBorder="1"/>
    <xf numFmtId="164" fontId="0" fillId="1" borderId="45" xfId="59" applyNumberFormat="1" applyFont="1" applyFill="1" applyBorder="1"/>
    <xf numFmtId="164" fontId="0" fillId="50" borderId="0" xfId="59" applyNumberFormat="1" applyFont="1" applyFill="1" applyBorder="1"/>
    <xf numFmtId="164" fontId="0" fillId="50" borderId="29" xfId="59" applyNumberFormat="1" applyFont="1" applyFill="1" applyBorder="1"/>
    <xf numFmtId="2" fontId="56" fillId="0" borderId="0" xfId="59" applyNumberFormat="1" applyFont="1" applyFill="1" applyAlignment="1"/>
    <xf numFmtId="167" fontId="17" fillId="0" borderId="0" xfId="59" applyNumberFormat="1" applyFont="1" applyAlignment="1"/>
    <xf numFmtId="2" fontId="107" fillId="38" borderId="76" xfId="59" applyNumberFormat="1" applyFont="1" applyFill="1" applyBorder="1" applyAlignment="1">
      <alignment horizontal="right"/>
    </xf>
    <xf numFmtId="2" fontId="0" fillId="50" borderId="0" xfId="59" applyNumberFormat="1" applyFont="1" applyFill="1" applyBorder="1"/>
    <xf numFmtId="2" fontId="0" fillId="50" borderId="29" xfId="59" applyNumberFormat="1" applyFont="1" applyFill="1" applyBorder="1"/>
    <xf numFmtId="164" fontId="46" fillId="62" borderId="0" xfId="59" applyNumberFormat="1" applyFont="1" applyFill="1" applyAlignment="1">
      <alignment horizontal="left"/>
    </xf>
    <xf numFmtId="164" fontId="19" fillId="62" borderId="0" xfId="59" applyNumberFormat="1" applyFont="1" applyFill="1" applyBorder="1"/>
    <xf numFmtId="164" fontId="19" fillId="0" borderId="0" xfId="59" applyNumberFormat="1" applyFont="1" applyFill="1" applyBorder="1"/>
    <xf numFmtId="0" fontId="17" fillId="104" borderId="0" xfId="59" applyFont="1" applyFill="1" applyAlignment="1">
      <alignment horizontal="center"/>
    </xf>
    <xf numFmtId="164" fontId="49" fillId="104" borderId="48" xfId="59" applyNumberFormat="1" applyFont="1" applyFill="1" applyBorder="1"/>
    <xf numFmtId="0" fontId="0" fillId="43" borderId="0" xfId="0" applyFill="1" applyProtection="1">
      <protection locked="0"/>
    </xf>
    <xf numFmtId="0" fontId="0" fillId="43" borderId="0" xfId="0" applyFill="1" applyAlignment="1" applyProtection="1">
      <alignment horizontal="center"/>
      <protection locked="0"/>
    </xf>
    <xf numFmtId="0" fontId="44" fillId="43" borderId="0" xfId="0" applyFont="1" applyFill="1" applyProtection="1">
      <protection locked="0"/>
    </xf>
    <xf numFmtId="0" fontId="47" fillId="43" borderId="0" xfId="0" applyFont="1" applyFill="1" applyProtection="1">
      <protection locked="0"/>
    </xf>
    <xf numFmtId="0" fontId="127" fillId="43" borderId="0" xfId="0" applyFont="1" applyFill="1" applyProtection="1">
      <protection locked="0"/>
    </xf>
    <xf numFmtId="0" fontId="16" fillId="43" borderId="0" xfId="121" applyFill="1" applyProtection="1">
      <protection locked="0"/>
    </xf>
    <xf numFmtId="0" fontId="67" fillId="43" borderId="0" xfId="121" applyFont="1" applyFill="1" applyProtection="1">
      <protection locked="0"/>
    </xf>
    <xf numFmtId="0" fontId="186" fillId="43" borderId="0" xfId="121" applyFont="1" applyFill="1" applyProtection="1">
      <protection locked="0"/>
    </xf>
    <xf numFmtId="0" fontId="67" fillId="43" borderId="0" xfId="121" applyFont="1" applyFill="1" applyAlignment="1" applyProtection="1">
      <alignment horizontal="center"/>
      <protection locked="0"/>
    </xf>
    <xf numFmtId="0" fontId="77" fillId="43" borderId="0" xfId="0" applyFont="1" applyFill="1" applyProtection="1">
      <protection locked="0"/>
    </xf>
    <xf numFmtId="0" fontId="57" fillId="32" borderId="61" xfId="0" applyFont="1" applyFill="1" applyBorder="1" applyAlignment="1" applyProtection="1">
      <alignment horizontal="left"/>
      <protection locked="0"/>
    </xf>
    <xf numFmtId="0" fontId="67" fillId="32" borderId="48" xfId="0" applyFont="1" applyFill="1" applyBorder="1" applyProtection="1">
      <protection locked="0"/>
    </xf>
    <xf numFmtId="0" fontId="67" fillId="32" borderId="132" xfId="0" applyFont="1" applyFill="1" applyBorder="1" applyProtection="1">
      <protection locked="0"/>
    </xf>
    <xf numFmtId="0" fontId="102" fillId="43" borderId="0" xfId="0" applyFont="1" applyFill="1" applyProtection="1">
      <protection locked="0"/>
    </xf>
    <xf numFmtId="0" fontId="67" fillId="43" borderId="0" xfId="0" applyFont="1" applyFill="1" applyProtection="1">
      <protection locked="0"/>
    </xf>
    <xf numFmtId="0" fontId="60" fillId="29" borderId="27" xfId="0" applyFont="1" applyFill="1" applyBorder="1" applyAlignment="1" applyProtection="1">
      <alignment horizontal="left"/>
      <protection locked="0"/>
    </xf>
    <xf numFmtId="0" fontId="67" fillId="29" borderId="25" xfId="0" applyFont="1" applyFill="1" applyBorder="1" applyProtection="1">
      <protection locked="0"/>
    </xf>
    <xf numFmtId="14" fontId="93" fillId="28" borderId="28" xfId="0" applyNumberFormat="1" applyFont="1" applyFill="1" applyBorder="1" applyAlignment="1" applyProtection="1">
      <alignment horizontal="center"/>
      <protection locked="0"/>
    </xf>
    <xf numFmtId="0" fontId="60" fillId="29" borderId="44" xfId="0" applyFont="1" applyFill="1" applyBorder="1" applyAlignment="1" applyProtection="1">
      <alignment horizontal="left"/>
      <protection locked="0"/>
    </xf>
    <xf numFmtId="0" fontId="67" fillId="29" borderId="38" xfId="0" applyFont="1" applyFill="1" applyBorder="1" applyProtection="1">
      <protection locked="0"/>
    </xf>
    <xf numFmtId="0" fontId="93" fillId="28" borderId="45" xfId="0" applyFont="1" applyFill="1" applyBorder="1" applyAlignment="1" applyProtection="1">
      <alignment horizontal="center"/>
      <protection locked="0"/>
    </xf>
    <xf numFmtId="0" fontId="16" fillId="43" borderId="0" xfId="121" applyFill="1" applyAlignment="1" applyProtection="1">
      <alignment horizontal="center"/>
      <protection locked="0"/>
    </xf>
    <xf numFmtId="0" fontId="93" fillId="28" borderId="45" xfId="121" applyFont="1" applyFill="1" applyBorder="1" applyAlignment="1" applyProtection="1">
      <alignment horizontal="center"/>
      <protection locked="0"/>
    </xf>
    <xf numFmtId="0" fontId="44" fillId="43" borderId="0" xfId="0" applyFont="1" applyFill="1" applyBorder="1" applyProtection="1">
      <protection locked="0"/>
    </xf>
    <xf numFmtId="0" fontId="46" fillId="43" borderId="0" xfId="0" applyFont="1" applyFill="1" applyProtection="1">
      <protection locked="0"/>
    </xf>
    <xf numFmtId="0" fontId="18" fillId="43" borderId="0" xfId="0" applyFont="1" applyFill="1" applyProtection="1">
      <protection locked="0"/>
    </xf>
    <xf numFmtId="0" fontId="18" fillId="43" borderId="0" xfId="0" applyFont="1" applyFill="1" applyAlignment="1" applyProtection="1">
      <alignment horizontal="center"/>
      <protection locked="0"/>
    </xf>
    <xf numFmtId="14" fontId="45" fillId="43" borderId="0" xfId="0" applyNumberFormat="1" applyFont="1" applyFill="1" applyAlignment="1" applyProtection="1">
      <alignment horizontal="left"/>
      <protection locked="0"/>
    </xf>
    <xf numFmtId="0" fontId="45" fillId="43" borderId="0" xfId="0" applyFont="1" applyFill="1" applyBorder="1" applyProtection="1">
      <protection locked="0"/>
    </xf>
    <xf numFmtId="0" fontId="0" fillId="0" borderId="0" xfId="0" applyProtection="1">
      <protection locked="0"/>
    </xf>
    <xf numFmtId="0" fontId="0" fillId="0" borderId="0" xfId="0" applyAlignment="1" applyProtection="1">
      <alignment horizontal="center"/>
      <protection locked="0"/>
    </xf>
    <xf numFmtId="0" fontId="44" fillId="0" borderId="0" xfId="0" applyFont="1" applyAlignment="1" applyProtection="1">
      <alignment horizontal="center"/>
      <protection locked="0"/>
    </xf>
    <xf numFmtId="0" fontId="17" fillId="0" borderId="0" xfId="0" applyFont="1" applyFill="1" applyProtection="1">
      <protection locked="0"/>
    </xf>
    <xf numFmtId="0" fontId="17" fillId="0" borderId="0" xfId="0" applyFont="1" applyProtection="1">
      <protection locked="0"/>
    </xf>
    <xf numFmtId="2" fontId="0" fillId="0" borderId="0" xfId="0" applyNumberFormat="1" applyProtection="1">
      <protection locked="0"/>
    </xf>
    <xf numFmtId="0" fontId="44" fillId="0" borderId="0" xfId="0" applyFont="1" applyProtection="1">
      <protection locked="0"/>
    </xf>
    <xf numFmtId="0" fontId="47" fillId="0" borderId="0" xfId="0" applyFont="1" applyProtection="1">
      <protection locked="0"/>
    </xf>
    <xf numFmtId="0" fontId="17" fillId="0" borderId="0" xfId="121" applyFont="1" applyFill="1"/>
    <xf numFmtId="164" fontId="44" fillId="62" borderId="0" xfId="59" applyNumberFormat="1" applyFont="1" applyFill="1" applyAlignment="1"/>
    <xf numFmtId="1" fontId="44" fillId="113" borderId="0" xfId="59" applyNumberFormat="1" applyFont="1" applyFill="1" applyAlignment="1"/>
    <xf numFmtId="1" fontId="56" fillId="38" borderId="194" xfId="59" applyNumberFormat="1" applyFont="1" applyFill="1" applyBorder="1" applyAlignment="1"/>
    <xf numFmtId="2" fontId="55" fillId="106" borderId="0" xfId="59" applyNumberFormat="1" applyFont="1" applyFill="1" applyBorder="1"/>
    <xf numFmtId="2" fontId="48" fillId="57" borderId="88" xfId="59" applyNumberFormat="1" applyFont="1" applyFill="1" applyBorder="1" applyAlignment="1"/>
    <xf numFmtId="166" fontId="0" fillId="30" borderId="0" xfId="59" applyNumberFormat="1" applyFont="1" applyFill="1" applyBorder="1" applyProtection="1"/>
    <xf numFmtId="164" fontId="44" fillId="0" borderId="49" xfId="59" applyNumberFormat="1" applyFont="1" applyFill="1" applyBorder="1" applyAlignment="1"/>
    <xf numFmtId="164" fontId="44" fillId="0" borderId="49" xfId="59" applyNumberFormat="1" applyFont="1" applyFill="1" applyBorder="1"/>
    <xf numFmtId="0" fontId="44" fillId="112" borderId="0" xfId="59" applyFont="1" applyFill="1" applyAlignment="1"/>
    <xf numFmtId="0" fontId="46" fillId="112" borderId="0" xfId="59" applyFont="1" applyFill="1" applyAlignment="1"/>
    <xf numFmtId="10" fontId="46" fillId="0" borderId="0" xfId="59" applyNumberFormat="1" applyFont="1" applyAlignment="1"/>
    <xf numFmtId="0" fontId="17" fillId="0" borderId="0" xfId="59" applyFont="1" applyBorder="1"/>
    <xf numFmtId="164" fontId="20" fillId="0" borderId="70" xfId="59" applyNumberFormat="1" applyFont="1" applyFill="1" applyBorder="1" applyAlignment="1">
      <alignment horizontal="right"/>
    </xf>
    <xf numFmtId="2" fontId="59" fillId="62" borderId="90" xfId="59" applyNumberFormat="1" applyFont="1" applyFill="1" applyBorder="1" applyAlignment="1"/>
    <xf numFmtId="14" fontId="49" fillId="0" borderId="38" xfId="59" applyNumberFormat="1" applyFont="1" applyBorder="1" applyAlignment="1">
      <alignment horizontal="right"/>
    </xf>
    <xf numFmtId="165" fontId="49" fillId="0" borderId="38" xfId="75" applyNumberFormat="1" applyFont="1" applyBorder="1" applyAlignment="1"/>
    <xf numFmtId="164" fontId="44" fillId="62" borderId="88" xfId="59" applyNumberFormat="1" applyFont="1" applyFill="1" applyBorder="1" applyAlignment="1"/>
    <xf numFmtId="1" fontId="56" fillId="62" borderId="84" xfId="59" applyNumberFormat="1" applyFont="1" applyFill="1" applyBorder="1" applyAlignment="1"/>
    <xf numFmtId="1" fontId="56" fillId="62" borderId="0" xfId="59" applyNumberFormat="1" applyFont="1" applyFill="1" applyBorder="1" applyAlignment="1"/>
    <xf numFmtId="0" fontId="163" fillId="0" borderId="0" xfId="63" applyAlignment="1" applyProtection="1">
      <alignment horizontal="left"/>
    </xf>
    <xf numFmtId="0" fontId="163" fillId="0" borderId="0" xfId="63" applyProtection="1"/>
    <xf numFmtId="0" fontId="17" fillId="0" borderId="0" xfId="63" applyFont="1" applyProtection="1"/>
    <xf numFmtId="17" fontId="17" fillId="0" borderId="0" xfId="59" applyNumberFormat="1" applyFont="1" applyAlignment="1"/>
    <xf numFmtId="1" fontId="17" fillId="0" borderId="0" xfId="59" applyNumberFormat="1" applyFont="1" applyFill="1"/>
    <xf numFmtId="1" fontId="17" fillId="0" borderId="0" xfId="59" applyNumberFormat="1" applyFont="1" applyFill="1" applyAlignment="1"/>
    <xf numFmtId="0" fontId="46" fillId="0" borderId="61" xfId="59" applyFont="1" applyBorder="1"/>
    <xf numFmtId="0" fontId="46" fillId="0" borderId="48" xfId="59" applyFont="1" applyBorder="1"/>
    <xf numFmtId="0" fontId="46" fillId="0" borderId="132" xfId="59" applyFont="1" applyBorder="1"/>
    <xf numFmtId="0" fontId="44" fillId="0" borderId="27" xfId="59" applyFont="1" applyBorder="1"/>
    <xf numFmtId="0" fontId="44" fillId="105" borderId="25" xfId="59" applyFont="1" applyFill="1" applyBorder="1"/>
    <xf numFmtId="0" fontId="44" fillId="0" borderId="44" xfId="59" applyFont="1" applyBorder="1"/>
    <xf numFmtId="2" fontId="44" fillId="60" borderId="38" xfId="59" applyNumberFormat="1" applyFont="1" applyFill="1" applyBorder="1" applyAlignment="1"/>
    <xf numFmtId="2" fontId="44" fillId="60" borderId="45" xfId="59" applyNumberFormat="1" applyFont="1" applyFill="1" applyBorder="1" applyAlignment="1"/>
    <xf numFmtId="0" fontId="46" fillId="0" borderId="25" xfId="59" applyFont="1" applyBorder="1"/>
    <xf numFmtId="0" fontId="46" fillId="0" borderId="28" xfId="59" applyFont="1" applyBorder="1"/>
    <xf numFmtId="1" fontId="17" fillId="0" borderId="0" xfId="121" applyNumberFormat="1" applyFont="1" applyFill="1" applyAlignment="1"/>
    <xf numFmtId="0" fontId="17" fillId="0" borderId="0" xfId="121" applyFont="1" applyFill="1" applyProtection="1"/>
    <xf numFmtId="0" fontId="17" fillId="0" borderId="0" xfId="121" applyFont="1" applyFill="1" applyAlignment="1" applyProtection="1"/>
    <xf numFmtId="1" fontId="190" fillId="0" borderId="0" xfId="121" applyNumberFormat="1" applyFont="1" applyFill="1" applyAlignment="1"/>
    <xf numFmtId="0" fontId="190" fillId="0" borderId="0" xfId="121" applyFont="1" applyFill="1" applyAlignment="1" applyProtection="1"/>
    <xf numFmtId="0" fontId="190" fillId="0" borderId="0" xfId="121" applyFont="1" applyFill="1" applyProtection="1"/>
    <xf numFmtId="166" fontId="50" fillId="62" borderId="0" xfId="59" applyNumberFormat="1" applyFont="1" applyFill="1" applyBorder="1" applyAlignment="1">
      <alignment horizontal="right"/>
    </xf>
    <xf numFmtId="0" fontId="0" fillId="62" borderId="0" xfId="0" applyFill="1" applyAlignment="1">
      <alignment horizontal="right"/>
    </xf>
    <xf numFmtId="2" fontId="44" fillId="62" borderId="48" xfId="59" applyNumberFormat="1" applyFont="1" applyFill="1" applyBorder="1"/>
    <xf numFmtId="2" fontId="44" fillId="62" borderId="132" xfId="59" applyNumberFormat="1" applyFont="1" applyFill="1" applyBorder="1"/>
    <xf numFmtId="2" fontId="0" fillId="62" borderId="0" xfId="59" applyNumberFormat="1" applyFont="1" applyFill="1"/>
    <xf numFmtId="164" fontId="56" fillId="62" borderId="88" xfId="59" applyNumberFormat="1" applyFont="1" applyFill="1" applyBorder="1" applyAlignment="1"/>
    <xf numFmtId="166" fontId="17" fillId="0" borderId="0" xfId="121" applyNumberFormat="1" applyFont="1" applyFill="1" applyAlignment="1">
      <alignment horizontal="center"/>
    </xf>
    <xf numFmtId="2" fontId="46" fillId="62" borderId="0" xfId="59" applyNumberFormat="1" applyFont="1" applyFill="1" applyBorder="1" applyAlignment="1"/>
    <xf numFmtId="0" fontId="191" fillId="43" borderId="0" xfId="59" applyFont="1" applyFill="1" applyProtection="1"/>
    <xf numFmtId="164" fontId="71" fillId="0" borderId="0" xfId="59" applyNumberFormat="1" applyFont="1" applyAlignment="1"/>
    <xf numFmtId="2" fontId="44" fillId="0" borderId="84" xfId="59" applyNumberFormat="1" applyFont="1" applyFill="1" applyBorder="1"/>
    <xf numFmtId="2" fontId="44" fillId="32" borderId="0" xfId="59" applyNumberFormat="1" applyFont="1" applyFill="1" applyBorder="1" applyAlignment="1">
      <alignment vertical="center"/>
    </xf>
    <xf numFmtId="0" fontId="46" fillId="0" borderId="0" xfId="0" applyFont="1" applyAlignment="1">
      <alignment horizontal="center" vertical="center" wrapText="1"/>
    </xf>
    <xf numFmtId="2" fontId="55" fillId="72" borderId="0" xfId="204" applyNumberFormat="1" applyFont="1" applyFill="1" applyBorder="1" applyAlignment="1"/>
    <xf numFmtId="2" fontId="55" fillId="72" borderId="38" xfId="204" applyNumberFormat="1" applyFont="1" applyFill="1" applyBorder="1" applyAlignment="1"/>
    <xf numFmtId="2" fontId="55" fillId="72" borderId="90" xfId="204" applyNumberFormat="1" applyFont="1" applyFill="1" applyBorder="1" applyAlignment="1"/>
    <xf numFmtId="2" fontId="55" fillId="72" borderId="90" xfId="204" applyNumberFormat="1" applyFont="1" applyFill="1" applyBorder="1" applyAlignment="1"/>
    <xf numFmtId="165" fontId="134" fillId="36" borderId="0" xfId="75" applyNumberFormat="1" applyFont="1" applyFill="1" applyBorder="1" applyAlignment="1"/>
    <xf numFmtId="0" fontId="17" fillId="0" borderId="0" xfId="291"/>
    <xf numFmtId="0" fontId="17" fillId="62" borderId="0" xfId="291" applyFill="1"/>
    <xf numFmtId="2" fontId="55" fillId="72" borderId="0" xfId="204" applyNumberFormat="1" applyFont="1" applyFill="1" applyBorder="1" applyAlignment="1"/>
    <xf numFmtId="2" fontId="55" fillId="72" borderId="90" xfId="204" applyNumberFormat="1" applyFont="1" applyFill="1" applyBorder="1" applyAlignment="1"/>
    <xf numFmtId="2" fontId="56" fillId="114" borderId="0" xfId="59" applyNumberFormat="1" applyFont="1" applyFill="1" applyBorder="1" applyAlignment="1"/>
    <xf numFmtId="2" fontId="56" fillId="114" borderId="0" xfId="59" applyNumberFormat="1" applyFont="1" applyFill="1" applyBorder="1"/>
    <xf numFmtId="2" fontId="55" fillId="72" borderId="38" xfId="204" applyNumberFormat="1" applyFont="1" applyFill="1" applyBorder="1" applyAlignment="1"/>
    <xf numFmtId="2" fontId="55" fillId="72" borderId="0" xfId="204" applyNumberFormat="1" applyFont="1" applyFill="1" applyBorder="1" applyAlignment="1"/>
    <xf numFmtId="2" fontId="55" fillId="72" borderId="90" xfId="204" applyNumberFormat="1" applyFont="1" applyFill="1" applyBorder="1" applyAlignment="1"/>
    <xf numFmtId="2" fontId="55" fillId="72" borderId="0" xfId="204" applyNumberFormat="1" applyFont="1" applyFill="1" applyBorder="1" applyAlignment="1"/>
    <xf numFmtId="2" fontId="55" fillId="72" borderId="88" xfId="204" applyNumberFormat="1" applyFont="1" applyFill="1" applyBorder="1" applyAlignment="1"/>
    <xf numFmtId="2" fontId="55" fillId="72" borderId="0" xfId="204" applyNumberFormat="1" applyFont="1" applyFill="1" applyBorder="1" applyAlignment="1"/>
    <xf numFmtId="2" fontId="55" fillId="72" borderId="0" xfId="204" applyNumberFormat="1" applyFont="1" applyFill="1" applyBorder="1" applyAlignment="1"/>
    <xf numFmtId="0" fontId="48" fillId="0" borderId="49" xfId="59" applyFont="1" applyBorder="1" applyAlignment="1">
      <alignment horizontal="left" vertical="center" wrapText="1"/>
    </xf>
    <xf numFmtId="0" fontId="110" fillId="28" borderId="61" xfId="59" applyFont="1" applyFill="1" applyBorder="1" applyAlignment="1">
      <alignment horizontal="center"/>
    </xf>
    <xf numFmtId="0" fontId="110" fillId="28" borderId="48" xfId="59" applyFont="1" applyFill="1" applyBorder="1" applyAlignment="1">
      <alignment horizontal="center"/>
    </xf>
    <xf numFmtId="0" fontId="110" fillId="28" borderId="132" xfId="59" applyFont="1" applyFill="1" applyBorder="1" applyAlignment="1">
      <alignment horizontal="center"/>
    </xf>
    <xf numFmtId="0" fontId="110" fillId="48" borderId="61" xfId="59" applyFont="1" applyFill="1" applyBorder="1" applyAlignment="1">
      <alignment horizontal="center"/>
    </xf>
    <xf numFmtId="0" fontId="110" fillId="48" borderId="48" xfId="59" applyFont="1" applyFill="1" applyBorder="1" applyAlignment="1">
      <alignment horizontal="center"/>
    </xf>
    <xf numFmtId="0" fontId="110" fillId="48" borderId="132" xfId="59" applyFont="1" applyFill="1" applyBorder="1" applyAlignment="1">
      <alignment horizontal="center"/>
    </xf>
    <xf numFmtId="0" fontId="110" fillId="48" borderId="27" xfId="59" applyFont="1" applyFill="1" applyBorder="1" applyAlignment="1">
      <alignment horizontal="center" vertical="center" wrapText="1"/>
    </xf>
    <xf numFmtId="0" fontId="110" fillId="48" borderId="25" xfId="59" applyFont="1" applyFill="1" applyBorder="1" applyAlignment="1">
      <alignment horizontal="center" vertical="center" wrapText="1"/>
    </xf>
    <xf numFmtId="0" fontId="110" fillId="48" borderId="28" xfId="59" applyFont="1" applyFill="1" applyBorder="1" applyAlignment="1">
      <alignment horizontal="center" vertical="center" wrapText="1"/>
    </xf>
    <xf numFmtId="0" fontId="110" fillId="48" borderId="4" xfId="59" applyFont="1" applyFill="1" applyBorder="1" applyAlignment="1">
      <alignment horizontal="center" vertical="center" wrapText="1"/>
    </xf>
    <xf numFmtId="0" fontId="110" fillId="48" borderId="0" xfId="59" applyFont="1" applyFill="1" applyBorder="1" applyAlignment="1">
      <alignment horizontal="center" vertical="center" wrapText="1"/>
    </xf>
    <xf numFmtId="0" fontId="110" fillId="48" borderId="29" xfId="59" applyFont="1" applyFill="1" applyBorder="1" applyAlignment="1">
      <alignment horizontal="center" vertical="center" wrapText="1"/>
    </xf>
    <xf numFmtId="0" fontId="110" fillId="48" borderId="44" xfId="59" applyFont="1" applyFill="1" applyBorder="1" applyAlignment="1">
      <alignment horizontal="center" vertical="center" wrapText="1"/>
    </xf>
    <xf numFmtId="0" fontId="110" fillId="48" borderId="38" xfId="59" applyFont="1" applyFill="1" applyBorder="1" applyAlignment="1">
      <alignment horizontal="center" vertical="center" wrapText="1"/>
    </xf>
    <xf numFmtId="0" fontId="110" fillId="48" borderId="45" xfId="59" applyFont="1" applyFill="1" applyBorder="1" applyAlignment="1">
      <alignment horizontal="center" vertical="center" wrapText="1"/>
    </xf>
    <xf numFmtId="0" fontId="110" fillId="0" borderId="0" xfId="59" applyFont="1" applyBorder="1" applyAlignment="1">
      <alignment horizontal="center" vertical="center"/>
    </xf>
    <xf numFmtId="0" fontId="71" fillId="0" borderId="11" xfId="59" applyFont="1" applyBorder="1" applyAlignment="1">
      <alignment wrapText="1"/>
    </xf>
    <xf numFmtId="0" fontId="0" fillId="0" borderId="11" xfId="59" applyFont="1" applyBorder="1" applyAlignment="1"/>
    <xf numFmtId="0" fontId="46" fillId="0" borderId="0" xfId="0" applyFont="1" applyAlignment="1">
      <alignment horizontal="left" vertical="center" wrapText="1"/>
    </xf>
    <xf numFmtId="1" fontId="45" fillId="33" borderId="159" xfId="59" applyNumberFormat="1" applyFont="1" applyFill="1" applyBorder="1" applyAlignment="1" applyProtection="1">
      <alignment horizontal="center" vertical="center"/>
    </xf>
    <xf numFmtId="1" fontId="45" fillId="33" borderId="160" xfId="59" applyNumberFormat="1" applyFont="1" applyFill="1" applyBorder="1" applyAlignment="1" applyProtection="1">
      <alignment horizontal="center" vertical="center"/>
    </xf>
    <xf numFmtId="1" fontId="45" fillId="33" borderId="161" xfId="59" applyNumberFormat="1" applyFont="1" applyFill="1" applyBorder="1" applyAlignment="1" applyProtection="1">
      <alignment horizontal="center" vertical="center"/>
    </xf>
    <xf numFmtId="1" fontId="45" fillId="33" borderId="156" xfId="59" applyNumberFormat="1" applyFont="1" applyFill="1" applyBorder="1" applyAlignment="1" applyProtection="1">
      <alignment horizontal="center" vertical="center"/>
    </xf>
    <xf numFmtId="1" fontId="45" fillId="33" borderId="157" xfId="59" applyNumberFormat="1" applyFont="1" applyFill="1" applyBorder="1" applyAlignment="1" applyProtection="1">
      <alignment horizontal="center" vertical="center"/>
    </xf>
    <xf numFmtId="1" fontId="45" fillId="33" borderId="158" xfId="59" applyNumberFormat="1" applyFont="1" applyFill="1" applyBorder="1" applyAlignment="1" applyProtection="1">
      <alignment horizontal="center" vertical="center"/>
    </xf>
    <xf numFmtId="0" fontId="45" fillId="33" borderId="162" xfId="59" applyFont="1" applyFill="1" applyBorder="1" applyAlignment="1">
      <alignment horizontal="center" vertical="center"/>
    </xf>
    <xf numFmtId="0" fontId="45" fillId="33" borderId="163" xfId="59" applyFont="1" applyFill="1" applyBorder="1" applyAlignment="1">
      <alignment horizontal="center" vertical="center"/>
    </xf>
    <xf numFmtId="1" fontId="45" fillId="33" borderId="164" xfId="59" applyNumberFormat="1" applyFont="1" applyFill="1" applyBorder="1" applyAlignment="1" applyProtection="1">
      <alignment horizontal="center" vertical="center"/>
    </xf>
    <xf numFmtId="1" fontId="45" fillId="33" borderId="165" xfId="59" applyNumberFormat="1" applyFont="1" applyFill="1" applyBorder="1" applyAlignment="1" applyProtection="1">
      <alignment horizontal="center" vertical="center"/>
    </xf>
    <xf numFmtId="1" fontId="45" fillId="33" borderId="166" xfId="59" applyNumberFormat="1" applyFont="1" applyFill="1" applyBorder="1" applyAlignment="1" applyProtection="1">
      <alignment horizontal="center" vertical="center"/>
    </xf>
    <xf numFmtId="1" fontId="48" fillId="30" borderId="61" xfId="59" applyNumberFormat="1" applyFont="1" applyFill="1" applyBorder="1" applyAlignment="1" applyProtection="1">
      <alignment horizontal="center" vertical="center"/>
    </xf>
    <xf numFmtId="1" fontId="48" fillId="30" borderId="48" xfId="59" applyNumberFormat="1" applyFont="1" applyFill="1" applyBorder="1" applyAlignment="1" applyProtection="1">
      <alignment horizontal="center" vertical="center"/>
    </xf>
    <xf numFmtId="1" fontId="48" fillId="30" borderId="132" xfId="59" applyNumberFormat="1" applyFont="1" applyFill="1" applyBorder="1" applyAlignment="1" applyProtection="1">
      <alignment horizontal="center" vertical="center"/>
    </xf>
    <xf numFmtId="1" fontId="45" fillId="33" borderId="167" xfId="59" applyNumberFormat="1" applyFont="1" applyFill="1" applyBorder="1" applyAlignment="1" applyProtection="1">
      <alignment horizontal="center" vertical="center"/>
    </xf>
    <xf numFmtId="1" fontId="48" fillId="30" borderId="49" xfId="59" applyNumberFormat="1" applyFont="1" applyFill="1" applyBorder="1" applyAlignment="1" applyProtection="1">
      <alignment horizontal="center" vertical="center"/>
    </xf>
    <xf numFmtId="0" fontId="0" fillId="33" borderId="0" xfId="59" applyFont="1" applyFill="1" applyBorder="1" applyAlignment="1">
      <alignment horizontal="center"/>
    </xf>
    <xf numFmtId="0" fontId="0" fillId="33" borderId="79" xfId="59" applyFont="1" applyFill="1" applyBorder="1" applyAlignment="1">
      <alignment horizontal="center"/>
    </xf>
    <xf numFmtId="0" fontId="45" fillId="33" borderId="0" xfId="59" applyFont="1" applyFill="1" applyBorder="1" applyAlignment="1">
      <alignment horizontal="left" vertical="center"/>
    </xf>
    <xf numFmtId="0" fontId="45" fillId="33" borderId="76" xfId="59" applyFont="1" applyFill="1" applyBorder="1" applyAlignment="1">
      <alignment horizontal="left" vertical="center"/>
    </xf>
    <xf numFmtId="0" fontId="45" fillId="33" borderId="79" xfId="59" applyFont="1" applyFill="1" applyBorder="1" applyAlignment="1">
      <alignment horizontal="left" vertical="center"/>
    </xf>
    <xf numFmtId="0" fontId="45" fillId="33" borderId="108" xfId="59" applyFont="1" applyFill="1" applyBorder="1" applyAlignment="1">
      <alignment horizontal="left" vertical="center"/>
    </xf>
    <xf numFmtId="1" fontId="45" fillId="33" borderId="168" xfId="59" applyNumberFormat="1" applyFont="1" applyFill="1" applyBorder="1" applyAlignment="1" applyProtection="1">
      <alignment horizontal="center" vertical="center"/>
    </xf>
    <xf numFmtId="0" fontId="94" fillId="33" borderId="72" xfId="59" applyFont="1" applyFill="1" applyBorder="1" applyAlignment="1">
      <alignment horizontal="center"/>
    </xf>
    <xf numFmtId="0" fontId="94" fillId="33" borderId="75" xfId="59" applyFont="1" applyFill="1" applyBorder="1" applyAlignment="1">
      <alignment horizontal="center"/>
    </xf>
    <xf numFmtId="0" fontId="45" fillId="33" borderId="169" xfId="59" applyFont="1" applyFill="1" applyBorder="1" applyAlignment="1">
      <alignment horizontal="left" vertical="center"/>
    </xf>
    <xf numFmtId="0" fontId="45" fillId="33" borderId="170" xfId="59" applyFont="1" applyFill="1" applyBorder="1" applyAlignment="1">
      <alignment horizontal="left" vertical="center"/>
    </xf>
    <xf numFmtId="1" fontId="45" fillId="33" borderId="171" xfId="59" applyNumberFormat="1" applyFont="1" applyFill="1" applyBorder="1" applyAlignment="1" applyProtection="1">
      <alignment horizontal="center" vertical="center"/>
    </xf>
    <xf numFmtId="0" fontId="45" fillId="33" borderId="172" xfId="59" applyFont="1" applyFill="1" applyBorder="1" applyAlignment="1" applyProtection="1">
      <alignment horizontal="center" vertical="center"/>
    </xf>
    <xf numFmtId="0" fontId="45" fillId="33" borderId="173" xfId="59" applyFont="1" applyFill="1" applyBorder="1" applyAlignment="1" applyProtection="1">
      <alignment horizontal="center" vertical="center"/>
    </xf>
    <xf numFmtId="1" fontId="45" fillId="33" borderId="172" xfId="59" applyNumberFormat="1" applyFont="1" applyFill="1" applyBorder="1" applyAlignment="1" applyProtection="1">
      <alignment horizontal="center" vertical="center"/>
    </xf>
    <xf numFmtId="1" fontId="45" fillId="33" borderId="173" xfId="59" applyNumberFormat="1" applyFont="1" applyFill="1" applyBorder="1" applyAlignment="1" applyProtection="1">
      <alignment horizontal="center" vertical="center"/>
    </xf>
    <xf numFmtId="1" fontId="45" fillId="33" borderId="174" xfId="59" applyNumberFormat="1" applyFont="1" applyFill="1" applyBorder="1" applyAlignment="1" applyProtection="1">
      <alignment horizontal="center" vertical="center"/>
    </xf>
    <xf numFmtId="0" fontId="45" fillId="33" borderId="175" xfId="59" applyFont="1" applyFill="1" applyBorder="1" applyAlignment="1" applyProtection="1">
      <alignment horizontal="center" vertical="center"/>
    </xf>
    <xf numFmtId="1" fontId="82" fillId="33" borderId="0" xfId="59" applyNumberFormat="1" applyFont="1" applyFill="1" applyBorder="1" applyAlignment="1" applyProtection="1">
      <alignment horizontal="center" vertical="center"/>
    </xf>
    <xf numFmtId="1" fontId="124" fillId="33" borderId="0" xfId="59" applyNumberFormat="1" applyFont="1" applyFill="1" applyBorder="1" applyAlignment="1" applyProtection="1">
      <alignment horizontal="center" vertical="center"/>
    </xf>
    <xf numFmtId="0" fontId="46" fillId="0" borderId="61" xfId="59" applyFont="1" applyBorder="1" applyAlignment="1">
      <alignment horizontal="center"/>
    </xf>
    <xf numFmtId="0" fontId="46" fillId="0" borderId="48" xfId="59" applyFont="1" applyBorder="1" applyAlignment="1">
      <alignment horizontal="center"/>
    </xf>
    <xf numFmtId="0" fontId="46" fillId="0" borderId="132" xfId="59" applyFont="1" applyBorder="1" applyAlignment="1">
      <alignment horizontal="center"/>
    </xf>
    <xf numFmtId="1" fontId="85" fillId="33" borderId="0" xfId="59" applyNumberFormat="1" applyFont="1" applyFill="1" applyBorder="1" applyAlignment="1" applyProtection="1">
      <alignment horizontal="center" vertical="center"/>
    </xf>
    <xf numFmtId="0" fontId="45" fillId="33" borderId="176" xfId="59" applyFont="1" applyFill="1" applyBorder="1" applyAlignment="1" applyProtection="1">
      <alignment horizontal="center" vertical="center"/>
    </xf>
    <xf numFmtId="0" fontId="45" fillId="33" borderId="177" xfId="59" applyFont="1" applyFill="1" applyBorder="1" applyAlignment="1" applyProtection="1">
      <alignment horizontal="center" vertical="center"/>
    </xf>
    <xf numFmtId="0" fontId="45" fillId="33" borderId="178" xfId="59" applyFont="1" applyFill="1" applyBorder="1" applyAlignment="1" applyProtection="1">
      <alignment horizontal="center" vertical="center"/>
    </xf>
    <xf numFmtId="0" fontId="45" fillId="33" borderId="179" xfId="59" applyFont="1" applyFill="1" applyBorder="1" applyAlignment="1" applyProtection="1">
      <alignment horizontal="center" vertical="center"/>
    </xf>
    <xf numFmtId="0" fontId="45" fillId="33" borderId="174" xfId="59" applyFont="1" applyFill="1" applyBorder="1" applyAlignment="1" applyProtection="1">
      <alignment horizontal="center" vertical="center"/>
    </xf>
    <xf numFmtId="14" fontId="17" fillId="0" borderId="76" xfId="59" applyNumberFormat="1" applyFont="1" applyFill="1" applyBorder="1" applyAlignment="1" applyProtection="1">
      <alignment horizontal="left" vertical="center" wrapText="1"/>
    </xf>
    <xf numFmtId="14" fontId="17" fillId="0" borderId="0" xfId="59" applyNumberFormat="1" applyFont="1" applyFill="1" applyBorder="1" applyAlignment="1" applyProtection="1">
      <alignment horizontal="left" vertical="center" wrapText="1"/>
    </xf>
    <xf numFmtId="14" fontId="46" fillId="37" borderId="0" xfId="59" applyNumberFormat="1" applyFont="1" applyFill="1" applyBorder="1" applyAlignment="1" applyProtection="1">
      <alignment horizontal="left" vertical="center" wrapText="1"/>
    </xf>
    <xf numFmtId="14" fontId="46" fillId="37" borderId="76" xfId="59" applyNumberFormat="1" applyFont="1" applyFill="1" applyBorder="1" applyAlignment="1" applyProtection="1">
      <alignment horizontal="left" vertical="center" wrapText="1"/>
    </xf>
    <xf numFmtId="0" fontId="45" fillId="33" borderId="180" xfId="59" applyFont="1" applyFill="1" applyBorder="1" applyAlignment="1" applyProtection="1">
      <alignment horizontal="center" vertical="center"/>
    </xf>
    <xf numFmtId="0" fontId="45" fillId="33" borderId="0" xfId="59" applyFont="1" applyFill="1" applyBorder="1" applyAlignment="1" applyProtection="1">
      <alignment horizontal="center" vertical="center"/>
    </xf>
    <xf numFmtId="14" fontId="17" fillId="0" borderId="84" xfId="59" applyNumberFormat="1" applyFont="1" applyFill="1" applyBorder="1" applyAlignment="1" applyProtection="1">
      <alignment horizontal="left" vertical="center" wrapText="1"/>
    </xf>
    <xf numFmtId="14" fontId="17" fillId="0" borderId="109" xfId="59" applyNumberFormat="1" applyFont="1" applyFill="1" applyBorder="1" applyAlignment="1" applyProtection="1">
      <alignment horizontal="left" vertical="center" wrapText="1"/>
    </xf>
    <xf numFmtId="14" fontId="79" fillId="33" borderId="84" xfId="59" applyNumberFormat="1" applyFont="1" applyFill="1" applyBorder="1" applyAlignment="1" applyProtection="1">
      <alignment horizontal="left" vertical="center" wrapText="1"/>
    </xf>
    <xf numFmtId="9" fontId="46" fillId="0" borderId="85" xfId="75" applyFont="1" applyFill="1" applyBorder="1" applyAlignment="1" applyProtection="1">
      <alignment horizontal="left" vertical="center" wrapText="1"/>
    </xf>
    <xf numFmtId="9" fontId="46" fillId="0" borderId="79" xfId="75" applyFont="1" applyFill="1" applyBorder="1" applyAlignment="1" applyProtection="1">
      <alignment horizontal="left" vertical="center" wrapText="1"/>
    </xf>
    <xf numFmtId="172" fontId="48" fillId="0" borderId="0" xfId="59" applyNumberFormat="1" applyFont="1" applyAlignment="1">
      <alignment horizontal="center" vertical="center" wrapText="1"/>
    </xf>
    <xf numFmtId="172" fontId="48" fillId="0" borderId="79" xfId="59" applyNumberFormat="1" applyFont="1" applyBorder="1" applyAlignment="1">
      <alignment horizontal="center" vertical="center" wrapText="1"/>
    </xf>
    <xf numFmtId="14" fontId="17" fillId="0" borderId="79" xfId="59" applyNumberFormat="1" applyFont="1" applyFill="1" applyBorder="1" applyAlignment="1" applyProtection="1">
      <alignment horizontal="left" vertical="center" wrapText="1"/>
    </xf>
    <xf numFmtId="14" fontId="17" fillId="0" borderId="108" xfId="59" applyNumberFormat="1" applyFont="1" applyFill="1" applyBorder="1" applyAlignment="1" applyProtection="1">
      <alignment horizontal="left" vertical="center" wrapText="1"/>
    </xf>
    <xf numFmtId="14" fontId="45" fillId="33" borderId="84" xfId="59" applyNumberFormat="1" applyFont="1" applyFill="1" applyBorder="1" applyAlignment="1" applyProtection="1">
      <alignment horizontal="left" vertical="center" wrapText="1"/>
    </xf>
    <xf numFmtId="14" fontId="48" fillId="37" borderId="0" xfId="59" applyNumberFormat="1" applyFont="1" applyFill="1" applyBorder="1" applyAlignment="1" applyProtection="1">
      <alignment horizontal="left" vertical="center" wrapText="1"/>
    </xf>
    <xf numFmtId="14" fontId="48" fillId="37" borderId="76" xfId="59" applyNumberFormat="1" applyFont="1" applyFill="1" applyBorder="1" applyAlignment="1" applyProtection="1">
      <alignment horizontal="left" vertical="center" wrapText="1"/>
    </xf>
    <xf numFmtId="14" fontId="44" fillId="0" borderId="0" xfId="59" applyNumberFormat="1" applyFont="1" applyFill="1" applyBorder="1" applyAlignment="1" applyProtection="1">
      <alignment horizontal="left" vertical="center" wrapText="1"/>
    </xf>
    <xf numFmtId="14" fontId="44" fillId="0" borderId="76" xfId="59" applyNumberFormat="1" applyFont="1" applyFill="1" applyBorder="1" applyAlignment="1" applyProtection="1">
      <alignment horizontal="left" vertical="center" wrapText="1"/>
    </xf>
    <xf numFmtId="0" fontId="57" fillId="29" borderId="0" xfId="59" applyFont="1" applyFill="1" applyBorder="1" applyAlignment="1" applyProtection="1">
      <alignment horizontal="center"/>
    </xf>
    <xf numFmtId="0" fontId="57" fillId="0" borderId="0" xfId="59" applyFont="1" applyBorder="1" applyAlignment="1" applyProtection="1">
      <alignment horizontal="center"/>
    </xf>
    <xf numFmtId="0" fontId="56" fillId="29" borderId="0" xfId="59" applyFont="1" applyFill="1" applyBorder="1" applyAlignment="1" applyProtection="1">
      <alignment horizontal="center"/>
    </xf>
    <xf numFmtId="0" fontId="56" fillId="0" borderId="0" xfId="59" applyFont="1" applyBorder="1" applyAlignment="1" applyProtection="1">
      <alignment horizontal="center"/>
    </xf>
    <xf numFmtId="174" fontId="58" fillId="29" borderId="11" xfId="59" applyNumberFormat="1" applyFont="1" applyFill="1" applyBorder="1" applyAlignment="1" applyProtection="1">
      <alignment horizontal="center"/>
    </xf>
    <xf numFmtId="174" fontId="58" fillId="0" borderId="11" xfId="59" applyNumberFormat="1" applyFont="1" applyBorder="1" applyAlignment="1" applyProtection="1">
      <alignment horizontal="center"/>
    </xf>
    <xf numFmtId="0" fontId="56" fillId="29" borderId="61" xfId="59" applyFont="1" applyFill="1" applyBorder="1" applyAlignment="1" applyProtection="1">
      <alignment horizontal="center"/>
    </xf>
    <xf numFmtId="0" fontId="56" fillId="29" borderId="48" xfId="59" applyFont="1" applyFill="1" applyBorder="1" applyAlignment="1" applyProtection="1">
      <alignment horizontal="center"/>
    </xf>
    <xf numFmtId="0" fontId="56" fillId="29" borderId="62" xfId="59" applyFont="1" applyFill="1" applyBorder="1" applyAlignment="1" applyProtection="1">
      <alignment horizontal="center"/>
    </xf>
    <xf numFmtId="0" fontId="56" fillId="0" borderId="61" xfId="59" applyFont="1" applyBorder="1" applyAlignment="1" applyProtection="1">
      <alignment horizontal="center"/>
    </xf>
    <xf numFmtId="0" fontId="56" fillId="0" borderId="48" xfId="59" applyFont="1" applyBorder="1" applyAlignment="1" applyProtection="1">
      <alignment horizontal="center"/>
    </xf>
    <xf numFmtId="0" fontId="56" fillId="0" borderId="62" xfId="59" applyFont="1" applyBorder="1" applyAlignment="1" applyProtection="1">
      <alignment horizontal="center"/>
    </xf>
    <xf numFmtId="164" fontId="56" fillId="29" borderId="61" xfId="59" applyNumberFormat="1" applyFont="1" applyFill="1" applyBorder="1" applyAlignment="1" applyProtection="1">
      <alignment horizontal="center"/>
    </xf>
    <xf numFmtId="0" fontId="0" fillId="29" borderId="48" xfId="59" applyFont="1" applyFill="1" applyBorder="1" applyAlignment="1">
      <alignment horizontal="center"/>
    </xf>
    <xf numFmtId="0" fontId="0" fillId="29" borderId="62" xfId="59" applyFont="1" applyFill="1" applyBorder="1" applyAlignment="1">
      <alignment horizontal="center"/>
    </xf>
    <xf numFmtId="164" fontId="56" fillId="0" borderId="61" xfId="59" applyNumberFormat="1" applyFont="1" applyFill="1" applyBorder="1" applyAlignment="1" applyProtection="1">
      <alignment horizontal="center"/>
    </xf>
    <xf numFmtId="0" fontId="0" fillId="0" borderId="48" xfId="59" applyFont="1" applyBorder="1" applyAlignment="1">
      <alignment horizontal="center"/>
    </xf>
    <xf numFmtId="0" fontId="0" fillId="0" borderId="62" xfId="59" applyFont="1" applyBorder="1" applyAlignment="1">
      <alignment horizontal="center"/>
    </xf>
    <xf numFmtId="1" fontId="56" fillId="29" borderId="181" xfId="59" applyNumberFormat="1" applyFont="1" applyFill="1" applyBorder="1" applyAlignment="1" applyProtection="1">
      <alignment horizontal="center"/>
    </xf>
    <xf numFmtId="1" fontId="56" fillId="29" borderId="52" xfId="59" applyNumberFormat="1" applyFont="1" applyFill="1" applyBorder="1" applyAlignment="1" applyProtection="1">
      <alignment horizontal="center"/>
    </xf>
    <xf numFmtId="1" fontId="56" fillId="0" borderId="181" xfId="59" applyNumberFormat="1" applyFont="1" applyBorder="1" applyAlignment="1" applyProtection="1">
      <alignment horizontal="center"/>
    </xf>
    <xf numFmtId="1" fontId="56" fillId="0" borderId="52" xfId="59" applyNumberFormat="1" applyFont="1" applyBorder="1" applyAlignment="1" applyProtection="1">
      <alignment horizontal="center"/>
    </xf>
    <xf numFmtId="164" fontId="48" fillId="0" borderId="61" xfId="59" applyNumberFormat="1" applyFont="1" applyFill="1" applyBorder="1" applyAlignment="1" applyProtection="1">
      <alignment horizontal="center"/>
    </xf>
    <xf numFmtId="164" fontId="48" fillId="0" borderId="48" xfId="59" applyNumberFormat="1" applyFont="1" applyFill="1" applyBorder="1" applyAlignment="1" applyProtection="1">
      <alignment horizontal="center"/>
    </xf>
    <xf numFmtId="164" fontId="48" fillId="0" borderId="62" xfId="59" applyNumberFormat="1" applyFont="1" applyFill="1" applyBorder="1" applyAlignment="1" applyProtection="1">
      <alignment horizontal="center"/>
    </xf>
    <xf numFmtId="164" fontId="56" fillId="0" borderId="48" xfId="59" applyNumberFormat="1" applyFont="1" applyFill="1" applyBorder="1" applyAlignment="1" applyProtection="1">
      <alignment horizontal="center"/>
    </xf>
    <xf numFmtId="164" fontId="56" fillId="0" borderId="62" xfId="59" applyNumberFormat="1" applyFont="1" applyFill="1" applyBorder="1" applyAlignment="1" applyProtection="1">
      <alignment horizontal="center"/>
    </xf>
    <xf numFmtId="0" fontId="48" fillId="29" borderId="0" xfId="59" applyFont="1" applyFill="1" applyBorder="1" applyAlignment="1">
      <alignment horizontal="center"/>
    </xf>
    <xf numFmtId="0" fontId="48" fillId="0" borderId="0" xfId="59" applyFont="1" applyBorder="1" applyAlignment="1">
      <alignment horizontal="center"/>
    </xf>
    <xf numFmtId="1" fontId="56" fillId="29" borderId="182" xfId="59" applyNumberFormat="1" applyFont="1" applyFill="1" applyBorder="1" applyAlignment="1" applyProtection="1">
      <alignment horizontal="center"/>
    </xf>
    <xf numFmtId="1" fontId="56" fillId="29" borderId="144" xfId="59" applyNumberFormat="1" applyFont="1" applyFill="1" applyBorder="1" applyAlignment="1" applyProtection="1">
      <alignment horizontal="center"/>
    </xf>
    <xf numFmtId="1" fontId="56" fillId="0" borderId="182" xfId="59" applyNumberFormat="1" applyFont="1" applyBorder="1" applyAlignment="1" applyProtection="1">
      <alignment horizontal="center"/>
    </xf>
    <xf numFmtId="1" fontId="56" fillId="0" borderId="144" xfId="59" applyNumberFormat="1" applyFont="1" applyBorder="1" applyAlignment="1" applyProtection="1">
      <alignment horizontal="center"/>
    </xf>
    <xf numFmtId="1" fontId="56" fillId="29" borderId="61" xfId="59" applyNumberFormat="1" applyFont="1" applyFill="1" applyBorder="1" applyAlignment="1" applyProtection="1">
      <alignment horizontal="center"/>
    </xf>
    <xf numFmtId="1" fontId="56" fillId="29" borderId="48" xfId="59" applyNumberFormat="1" applyFont="1" applyFill="1" applyBorder="1" applyAlignment="1" applyProtection="1">
      <alignment horizontal="center"/>
    </xf>
    <xf numFmtId="1" fontId="56" fillId="29" borderId="62" xfId="59" applyNumberFormat="1" applyFont="1" applyFill="1" applyBorder="1" applyAlignment="1" applyProtection="1">
      <alignment horizontal="center"/>
    </xf>
    <xf numFmtId="1" fontId="56" fillId="0" borderId="61" xfId="59" applyNumberFormat="1" applyFont="1" applyBorder="1" applyAlignment="1" applyProtection="1">
      <alignment horizontal="center"/>
    </xf>
    <xf numFmtId="1" fontId="56" fillId="0" borderId="48" xfId="59" applyNumberFormat="1" applyFont="1" applyBorder="1" applyAlignment="1" applyProtection="1">
      <alignment horizontal="center"/>
    </xf>
    <xf numFmtId="1" fontId="56" fillId="0" borderId="62" xfId="59" applyNumberFormat="1" applyFont="1" applyBorder="1" applyAlignment="1" applyProtection="1">
      <alignment horizontal="center"/>
    </xf>
    <xf numFmtId="0" fontId="56" fillId="0" borderId="14" xfId="59" applyFont="1" applyFill="1" applyBorder="1" applyAlignment="1" applyProtection="1">
      <alignment horizontal="center"/>
    </xf>
    <xf numFmtId="0" fontId="56" fillId="0" borderId="16" xfId="59" applyFont="1" applyFill="1" applyBorder="1" applyAlignment="1" applyProtection="1">
      <alignment horizontal="center"/>
    </xf>
    <xf numFmtId="0" fontId="56" fillId="0" borderId="14" xfId="59" applyFont="1" applyBorder="1" applyAlignment="1" applyProtection="1">
      <alignment horizontal="center"/>
    </xf>
    <xf numFmtId="0" fontId="56" fillId="0" borderId="16" xfId="59" applyFont="1" applyBorder="1" applyAlignment="1" applyProtection="1">
      <alignment horizontal="center"/>
    </xf>
    <xf numFmtId="0" fontId="56" fillId="0" borderId="61" xfId="59" applyFont="1" applyFill="1" applyBorder="1" applyAlignment="1" applyProtection="1">
      <alignment horizontal="center"/>
    </xf>
    <xf numFmtId="0" fontId="56" fillId="0" borderId="48" xfId="59" applyFont="1" applyFill="1" applyBorder="1" applyAlignment="1" applyProtection="1">
      <alignment horizontal="center"/>
    </xf>
    <xf numFmtId="0" fontId="56" fillId="0" borderId="62" xfId="59" applyFont="1" applyFill="1" applyBorder="1" applyAlignment="1" applyProtection="1">
      <alignment horizontal="center"/>
    </xf>
    <xf numFmtId="1" fontId="56" fillId="0" borderId="181" xfId="59" applyNumberFormat="1" applyFont="1" applyFill="1" applyBorder="1" applyAlignment="1" applyProtection="1">
      <alignment horizontal="center"/>
    </xf>
    <xf numFmtId="1" fontId="56" fillId="0" borderId="52" xfId="59" applyNumberFormat="1" applyFont="1" applyFill="1" applyBorder="1" applyAlignment="1" applyProtection="1">
      <alignment horizontal="center"/>
    </xf>
    <xf numFmtId="3" fontId="56" fillId="29" borderId="61" xfId="59" applyNumberFormat="1" applyFont="1" applyFill="1" applyBorder="1" applyAlignment="1" applyProtection="1">
      <alignment horizontal="center"/>
    </xf>
    <xf numFmtId="3" fontId="56" fillId="0" borderId="61" xfId="59" applyNumberFormat="1" applyFont="1" applyFill="1" applyBorder="1" applyAlignment="1" applyProtection="1">
      <alignment horizontal="center"/>
    </xf>
    <xf numFmtId="1" fontId="56" fillId="29" borderId="132" xfId="59" applyNumberFormat="1" applyFont="1" applyFill="1" applyBorder="1" applyAlignment="1" applyProtection="1">
      <alignment horizontal="center"/>
    </xf>
    <xf numFmtId="1" fontId="56" fillId="0" borderId="132" xfId="59" applyNumberFormat="1" applyFont="1" applyBorder="1" applyAlignment="1" applyProtection="1">
      <alignment horizontal="center"/>
    </xf>
    <xf numFmtId="0" fontId="55" fillId="29" borderId="0" xfId="59" applyFont="1" applyFill="1" applyBorder="1" applyAlignment="1" applyProtection="1">
      <alignment horizontal="center"/>
    </xf>
    <xf numFmtId="0" fontId="55" fillId="0" borderId="0" xfId="59" applyFont="1" applyBorder="1" applyAlignment="1" applyProtection="1">
      <alignment horizontal="center"/>
    </xf>
    <xf numFmtId="0" fontId="64" fillId="29" borderId="44" xfId="59" applyFont="1" applyFill="1" applyBorder="1" applyAlignment="1" applyProtection="1">
      <alignment horizontal="center"/>
    </xf>
    <xf numFmtId="0" fontId="64" fillId="29" borderId="38" xfId="59" applyFont="1" applyFill="1" applyBorder="1" applyAlignment="1" applyProtection="1">
      <alignment horizontal="center"/>
    </xf>
    <xf numFmtId="0" fontId="64" fillId="29" borderId="55" xfId="59" applyFont="1" applyFill="1" applyBorder="1" applyAlignment="1" applyProtection="1">
      <alignment horizontal="center"/>
    </xf>
    <xf numFmtId="0" fontId="64" fillId="0" borderId="44" xfId="59" applyFont="1" applyBorder="1" applyAlignment="1" applyProtection="1">
      <alignment horizontal="center"/>
    </xf>
    <xf numFmtId="0" fontId="64" fillId="0" borderId="38" xfId="59" applyFont="1" applyBorder="1" applyAlignment="1" applyProtection="1">
      <alignment horizontal="center"/>
    </xf>
    <xf numFmtId="0" fontId="64" fillId="0" borderId="55" xfId="59" applyFont="1" applyBorder="1" applyAlignment="1" applyProtection="1">
      <alignment horizontal="center"/>
    </xf>
    <xf numFmtId="0" fontId="64" fillId="0" borderId="44" xfId="59" applyFont="1" applyFill="1" applyBorder="1" applyAlignment="1" applyProtection="1">
      <alignment horizontal="center"/>
    </xf>
    <xf numFmtId="0" fontId="64" fillId="0" borderId="38" xfId="59" applyFont="1" applyFill="1" applyBorder="1" applyAlignment="1" applyProtection="1">
      <alignment horizontal="center"/>
    </xf>
    <xf numFmtId="0" fontId="64" fillId="0" borderId="55" xfId="59" applyFont="1" applyFill="1" applyBorder="1" applyAlignment="1" applyProtection="1">
      <alignment horizontal="center"/>
    </xf>
    <xf numFmtId="0" fontId="64" fillId="29" borderId="39" xfId="59" applyFont="1" applyFill="1" applyBorder="1" applyAlignment="1" applyProtection="1">
      <alignment horizontal="center"/>
    </xf>
    <xf numFmtId="0" fontId="64" fillId="29" borderId="40" xfId="59" applyFont="1" applyFill="1" applyBorder="1" applyAlignment="1" applyProtection="1">
      <alignment horizontal="center"/>
    </xf>
    <xf numFmtId="0" fontId="64" fillId="0" borderId="39" xfId="59" applyFont="1" applyBorder="1" applyAlignment="1" applyProtection="1">
      <alignment horizontal="center"/>
    </xf>
    <xf numFmtId="0" fontId="64" fillId="0" borderId="40" xfId="59" applyFont="1" applyBorder="1" applyAlignment="1" applyProtection="1">
      <alignment horizontal="center"/>
    </xf>
    <xf numFmtId="0" fontId="64" fillId="29" borderId="181" xfId="59" applyFont="1" applyFill="1" applyBorder="1" applyAlignment="1" applyProtection="1">
      <alignment horizontal="center"/>
    </xf>
    <xf numFmtId="0" fontId="64" fillId="29" borderId="182" xfId="59" applyFont="1" applyFill="1" applyBorder="1" applyAlignment="1" applyProtection="1">
      <alignment horizontal="center"/>
    </xf>
    <xf numFmtId="0" fontId="64" fillId="29" borderId="144" xfId="59" applyFont="1" applyFill="1" applyBorder="1" applyAlignment="1" applyProtection="1">
      <alignment horizontal="center"/>
    </xf>
    <xf numFmtId="0" fontId="64" fillId="0" borderId="181" xfId="59" applyFont="1" applyBorder="1" applyAlignment="1" applyProtection="1">
      <alignment horizontal="center"/>
    </xf>
    <xf numFmtId="0" fontId="64" fillId="0" borderId="182" xfId="59" applyFont="1" applyBorder="1" applyAlignment="1" applyProtection="1">
      <alignment horizontal="center"/>
    </xf>
    <xf numFmtId="0" fontId="64" fillId="0" borderId="144" xfId="59" applyFont="1" applyBorder="1" applyAlignment="1" applyProtection="1">
      <alignment horizontal="center"/>
    </xf>
    <xf numFmtId="0" fontId="64" fillId="0" borderId="181" xfId="59" applyFont="1" applyFill="1" applyBorder="1" applyAlignment="1" applyProtection="1">
      <alignment horizontal="center"/>
    </xf>
    <xf numFmtId="0" fontId="64" fillId="0" borderId="182" xfId="59" applyFont="1" applyFill="1" applyBorder="1" applyAlignment="1" applyProtection="1">
      <alignment horizontal="center"/>
    </xf>
    <xf numFmtId="0" fontId="64" fillId="0" borderId="144" xfId="59" applyFont="1" applyFill="1" applyBorder="1" applyAlignment="1" applyProtection="1">
      <alignment horizontal="center"/>
    </xf>
    <xf numFmtId="0" fontId="64" fillId="29" borderId="27" xfId="59" applyFont="1" applyFill="1" applyBorder="1" applyAlignment="1" applyProtection="1">
      <alignment horizontal="center"/>
    </xf>
    <xf numFmtId="0" fontId="64" fillId="29" borderId="25" xfId="59" applyFont="1" applyFill="1" applyBorder="1" applyAlignment="1" applyProtection="1">
      <alignment horizontal="center"/>
    </xf>
    <xf numFmtId="0" fontId="64" fillId="29" borderId="53" xfId="59" applyFont="1" applyFill="1" applyBorder="1" applyAlignment="1" applyProtection="1">
      <alignment horizontal="center"/>
    </xf>
    <xf numFmtId="0" fontId="64" fillId="0" borderId="14" xfId="59" applyFont="1" applyBorder="1" applyAlignment="1" applyProtection="1">
      <alignment horizontal="center"/>
    </xf>
    <xf numFmtId="0" fontId="64" fillId="0" borderId="16" xfId="59" applyFont="1" applyBorder="1" applyAlignment="1" applyProtection="1">
      <alignment horizontal="center"/>
    </xf>
    <xf numFmtId="0" fontId="64" fillId="0" borderId="27" xfId="59" applyFont="1" applyFill="1" applyBorder="1" applyAlignment="1" applyProtection="1">
      <alignment horizontal="center"/>
    </xf>
    <xf numFmtId="0" fontId="64" fillId="0" borderId="25" xfId="59" applyFont="1" applyFill="1" applyBorder="1" applyAlignment="1" applyProtection="1">
      <alignment horizontal="center"/>
    </xf>
    <xf numFmtId="0" fontId="64" fillId="0" borderId="53" xfId="59" applyFont="1" applyFill="1" applyBorder="1" applyAlignment="1" applyProtection="1">
      <alignment horizontal="center"/>
    </xf>
    <xf numFmtId="1" fontId="55" fillId="0" borderId="181" xfId="59" applyNumberFormat="1" applyFont="1" applyBorder="1" applyAlignment="1" applyProtection="1">
      <alignment horizontal="center"/>
    </xf>
    <xf numFmtId="1" fontId="55" fillId="0" borderId="52" xfId="59" applyNumberFormat="1" applyFont="1" applyBorder="1" applyAlignment="1" applyProtection="1">
      <alignment horizontal="center"/>
    </xf>
    <xf numFmtId="1" fontId="55" fillId="29" borderId="63" xfId="59" applyNumberFormat="1" applyFont="1" applyFill="1" applyBorder="1" applyAlignment="1" applyProtection="1">
      <alignment horizontal="center"/>
    </xf>
    <xf numFmtId="1" fontId="55" fillId="29" borderId="31" xfId="59" applyNumberFormat="1" applyFont="1" applyFill="1" applyBorder="1" applyAlignment="1" applyProtection="1">
      <alignment horizontal="center"/>
    </xf>
    <xf numFmtId="174" fontId="58" fillId="29" borderId="0" xfId="59" applyNumberFormat="1" applyFont="1" applyFill="1" applyBorder="1" applyAlignment="1" applyProtection="1">
      <alignment horizontal="center"/>
    </xf>
    <xf numFmtId="1" fontId="55" fillId="29" borderId="181" xfId="59" applyNumberFormat="1" applyFont="1" applyFill="1" applyBorder="1" applyAlignment="1" applyProtection="1">
      <alignment horizontal="center"/>
    </xf>
    <xf numFmtId="1" fontId="55" fillId="29" borderId="52" xfId="59" applyNumberFormat="1" applyFont="1" applyFill="1" applyBorder="1" applyAlignment="1" applyProtection="1">
      <alignment horizontal="center"/>
    </xf>
    <xf numFmtId="174" fontId="58" fillId="0" borderId="0" xfId="59" applyNumberFormat="1" applyFont="1" applyBorder="1" applyAlignment="1" applyProtection="1">
      <alignment horizontal="center"/>
    </xf>
    <xf numFmtId="1" fontId="55" fillId="0" borderId="144" xfId="59" applyNumberFormat="1" applyFont="1" applyBorder="1" applyAlignment="1" applyProtection="1">
      <alignment horizontal="center"/>
    </xf>
    <xf numFmtId="1" fontId="55" fillId="0" borderId="63" xfId="59" applyNumberFormat="1" applyFont="1" applyBorder="1" applyAlignment="1" applyProtection="1">
      <alignment horizontal="center"/>
    </xf>
    <xf numFmtId="1" fontId="55" fillId="0" borderId="31" xfId="59" applyNumberFormat="1" applyFont="1" applyBorder="1" applyAlignment="1" applyProtection="1">
      <alignment horizontal="center"/>
    </xf>
    <xf numFmtId="0" fontId="55" fillId="0" borderId="0" xfId="59" applyFont="1" applyFill="1" applyBorder="1" applyAlignment="1" applyProtection="1">
      <alignment horizontal="center"/>
    </xf>
    <xf numFmtId="1" fontId="55" fillId="29" borderId="144" xfId="59" applyNumberFormat="1" applyFont="1" applyFill="1" applyBorder="1" applyAlignment="1" applyProtection="1">
      <alignment horizontal="center"/>
    </xf>
    <xf numFmtId="1" fontId="55" fillId="0" borderId="181" xfId="59" applyNumberFormat="1" applyFont="1" applyFill="1" applyBorder="1" applyAlignment="1" applyProtection="1">
      <alignment horizontal="center"/>
    </xf>
    <xf numFmtId="1" fontId="55" fillId="0" borderId="52" xfId="59" applyNumberFormat="1" applyFont="1" applyFill="1" applyBorder="1" applyAlignment="1" applyProtection="1">
      <alignment horizontal="center"/>
    </xf>
    <xf numFmtId="1" fontId="55" fillId="0" borderId="182" xfId="59" applyNumberFormat="1" applyFont="1" applyFill="1" applyBorder="1" applyAlignment="1" applyProtection="1">
      <alignment horizontal="center"/>
    </xf>
    <xf numFmtId="1" fontId="55" fillId="29" borderId="182" xfId="59" applyNumberFormat="1" applyFont="1" applyFill="1" applyBorder="1" applyAlignment="1" applyProtection="1">
      <alignment horizontal="center"/>
    </xf>
    <xf numFmtId="1" fontId="55" fillId="0" borderId="144" xfId="59" applyNumberFormat="1" applyFont="1" applyFill="1" applyBorder="1" applyAlignment="1" applyProtection="1">
      <alignment horizontal="center"/>
    </xf>
    <xf numFmtId="164" fontId="54" fillId="0" borderId="61" xfId="59" applyNumberFormat="1" applyFont="1" applyFill="1" applyBorder="1" applyAlignment="1" applyProtection="1">
      <alignment horizontal="center"/>
    </xf>
    <xf numFmtId="164" fontId="54" fillId="0" borderId="48" xfId="59" applyNumberFormat="1" applyFont="1" applyFill="1" applyBorder="1" applyAlignment="1" applyProtection="1">
      <alignment horizontal="center"/>
    </xf>
    <xf numFmtId="164" fontId="54" fillId="0" borderId="62" xfId="59" applyNumberFormat="1" applyFont="1" applyFill="1" applyBorder="1" applyAlignment="1" applyProtection="1">
      <alignment horizontal="center"/>
    </xf>
    <xf numFmtId="164" fontId="109" fillId="0" borderId="61" xfId="59" applyNumberFormat="1" applyFont="1" applyFill="1" applyBorder="1" applyAlignment="1" applyProtection="1">
      <alignment horizontal="center"/>
    </xf>
    <xf numFmtId="164" fontId="109" fillId="0" borderId="132" xfId="59" applyNumberFormat="1" applyFont="1" applyFill="1" applyBorder="1" applyAlignment="1" applyProtection="1">
      <alignment horizontal="center"/>
    </xf>
    <xf numFmtId="164" fontId="109" fillId="0" borderId="62" xfId="59" applyNumberFormat="1" applyFont="1" applyFill="1" applyBorder="1" applyAlignment="1" applyProtection="1">
      <alignment horizontal="center"/>
    </xf>
    <xf numFmtId="164" fontId="52" fillId="0" borderId="4" xfId="59" applyNumberFormat="1" applyFont="1" applyFill="1" applyBorder="1" applyAlignment="1" applyProtection="1">
      <alignment horizontal="center"/>
    </xf>
    <xf numFmtId="164" fontId="52" fillId="0" borderId="29" xfId="59" applyNumberFormat="1" applyFont="1" applyFill="1" applyBorder="1" applyAlignment="1" applyProtection="1">
      <alignment horizontal="center"/>
    </xf>
    <xf numFmtId="164" fontId="52" fillId="0" borderId="54" xfId="59" applyNumberFormat="1" applyFont="1" applyFill="1" applyBorder="1" applyAlignment="1" applyProtection="1">
      <alignment horizontal="center"/>
    </xf>
    <xf numFmtId="1" fontId="55" fillId="0" borderId="66" xfId="59" applyNumberFormat="1" applyFont="1" applyFill="1" applyBorder="1" applyAlignment="1" applyProtection="1">
      <alignment horizontal="center"/>
    </xf>
    <xf numFmtId="1" fontId="55" fillId="0" borderId="64" xfId="59" applyNumberFormat="1" applyFont="1" applyFill="1" applyBorder="1" applyAlignment="1" applyProtection="1">
      <alignment horizontal="center"/>
    </xf>
    <xf numFmtId="164" fontId="54" fillId="29" borderId="44" xfId="59" applyNumberFormat="1" applyFont="1" applyFill="1" applyBorder="1" applyAlignment="1" applyProtection="1">
      <alignment horizontal="center"/>
    </xf>
    <xf numFmtId="164" fontId="54" fillId="29" borderId="38" xfId="59" applyNumberFormat="1" applyFont="1" applyFill="1" applyBorder="1" applyAlignment="1" applyProtection="1">
      <alignment horizontal="center"/>
    </xf>
    <xf numFmtId="164" fontId="54" fillId="29" borderId="55" xfId="59" applyNumberFormat="1" applyFont="1" applyFill="1" applyBorder="1" applyAlignment="1" applyProtection="1">
      <alignment horizontal="center"/>
    </xf>
    <xf numFmtId="164" fontId="128" fillId="0" borderId="181" xfId="59" applyNumberFormat="1" applyFont="1" applyFill="1" applyBorder="1" applyAlignment="1" applyProtection="1">
      <alignment horizontal="center"/>
    </xf>
    <xf numFmtId="164" fontId="128" fillId="0" borderId="182" xfId="59" applyNumberFormat="1" applyFont="1" applyFill="1" applyBorder="1" applyAlignment="1" applyProtection="1">
      <alignment horizontal="center"/>
    </xf>
    <xf numFmtId="164" fontId="128" fillId="0" borderId="144" xfId="59" applyNumberFormat="1" applyFont="1" applyFill="1" applyBorder="1" applyAlignment="1" applyProtection="1">
      <alignment horizontal="center"/>
    </xf>
    <xf numFmtId="164" fontId="54" fillId="0" borderId="44" xfId="59" applyNumberFormat="1" applyFont="1" applyFill="1" applyBorder="1" applyAlignment="1" applyProtection="1">
      <alignment horizontal="center"/>
    </xf>
    <xf numFmtId="164" fontId="54" fillId="0" borderId="38" xfId="59" applyNumberFormat="1" applyFont="1" applyFill="1" applyBorder="1" applyAlignment="1" applyProtection="1">
      <alignment horizontal="center"/>
    </xf>
    <xf numFmtId="164" fontId="54" fillId="0" borderId="55" xfId="59" applyNumberFormat="1" applyFont="1" applyFill="1" applyBorder="1" applyAlignment="1" applyProtection="1">
      <alignment horizontal="center"/>
    </xf>
    <xf numFmtId="1" fontId="55" fillId="29" borderId="66" xfId="59" applyNumberFormat="1" applyFont="1" applyFill="1" applyBorder="1" applyAlignment="1" applyProtection="1">
      <alignment horizontal="center"/>
    </xf>
    <xf numFmtId="1" fontId="55" fillId="29" borderId="64" xfId="59" applyNumberFormat="1" applyFont="1" applyFill="1" applyBorder="1" applyAlignment="1" applyProtection="1">
      <alignment horizontal="center"/>
    </xf>
    <xf numFmtId="164" fontId="52" fillId="29" borderId="4" xfId="59" applyNumberFormat="1" applyFont="1" applyFill="1" applyBorder="1" applyAlignment="1" applyProtection="1">
      <alignment horizontal="center"/>
    </xf>
    <xf numFmtId="164" fontId="52" fillId="29" borderId="29" xfId="59" applyNumberFormat="1" applyFont="1" applyFill="1" applyBorder="1" applyAlignment="1" applyProtection="1">
      <alignment horizontal="center"/>
    </xf>
    <xf numFmtId="164" fontId="52" fillId="29" borderId="54" xfId="59" applyNumberFormat="1" applyFont="1" applyFill="1" applyBorder="1" applyAlignment="1" applyProtection="1">
      <alignment horizontal="center"/>
    </xf>
    <xf numFmtId="164" fontId="109" fillId="0" borderId="27" xfId="59" applyNumberFormat="1" applyFont="1" applyFill="1" applyBorder="1" applyAlignment="1" applyProtection="1">
      <alignment horizontal="center"/>
    </xf>
    <xf numFmtId="164" fontId="109" fillId="0" borderId="28" xfId="59" applyNumberFormat="1" applyFont="1" applyFill="1" applyBorder="1" applyAlignment="1" applyProtection="1">
      <alignment horizontal="center"/>
    </xf>
    <xf numFmtId="164" fontId="109" fillId="0" borderId="53" xfId="59" applyNumberFormat="1" applyFont="1" applyFill="1" applyBorder="1" applyAlignment="1" applyProtection="1">
      <alignment horizontal="center"/>
    </xf>
    <xf numFmtId="164" fontId="54" fillId="29" borderId="61" xfId="59" applyNumberFormat="1" applyFont="1" applyFill="1" applyBorder="1" applyAlignment="1" applyProtection="1">
      <alignment horizontal="center"/>
    </xf>
    <xf numFmtId="164" fontId="54" fillId="29" borderId="48" xfId="59" applyNumberFormat="1" applyFont="1" applyFill="1" applyBorder="1" applyAlignment="1" applyProtection="1">
      <alignment horizontal="center"/>
    </xf>
    <xf numFmtId="164" fontId="54" fillId="29" borderId="62" xfId="59" applyNumberFormat="1" applyFont="1" applyFill="1" applyBorder="1" applyAlignment="1" applyProtection="1">
      <alignment horizontal="center"/>
    </xf>
    <xf numFmtId="164" fontId="128" fillId="0" borderId="44" xfId="59" applyNumberFormat="1" applyFont="1" applyFill="1" applyBorder="1" applyAlignment="1" applyProtection="1">
      <alignment horizontal="center"/>
    </xf>
    <xf numFmtId="164" fontId="128" fillId="0" borderId="38" xfId="59" applyNumberFormat="1" applyFont="1" applyFill="1" applyBorder="1" applyAlignment="1" applyProtection="1">
      <alignment horizontal="center"/>
    </xf>
    <xf numFmtId="164" fontId="128" fillId="0" borderId="55" xfId="59" applyNumberFormat="1" applyFont="1" applyFill="1" applyBorder="1" applyAlignment="1" applyProtection="1">
      <alignment horizontal="center"/>
    </xf>
    <xf numFmtId="1" fontId="54" fillId="29" borderId="183" xfId="59" applyNumberFormat="1" applyFont="1" applyFill="1" applyBorder="1" applyAlignment="1" applyProtection="1">
      <alignment horizontal="center"/>
    </xf>
    <xf numFmtId="0" fontId="54" fillId="29" borderId="140" xfId="59" applyFont="1" applyFill="1" applyBorder="1" applyAlignment="1" applyProtection="1">
      <alignment horizontal="center"/>
    </xf>
    <xf numFmtId="0" fontId="54" fillId="29" borderId="135" xfId="59" applyFont="1" applyFill="1" applyBorder="1" applyAlignment="1" applyProtection="1">
      <alignment horizontal="center"/>
    </xf>
    <xf numFmtId="1" fontId="128" fillId="0" borderId="183" xfId="59" applyNumberFormat="1" applyFont="1" applyFill="1" applyBorder="1" applyAlignment="1" applyProtection="1">
      <alignment horizontal="center"/>
    </xf>
    <xf numFmtId="0" fontId="128" fillId="0" borderId="140" xfId="59" applyFont="1" applyFill="1" applyBorder="1" applyAlignment="1" applyProtection="1">
      <alignment horizontal="center"/>
    </xf>
    <xf numFmtId="1" fontId="54" fillId="0" borderId="183" xfId="59" applyNumberFormat="1" applyFont="1" applyFill="1" applyBorder="1" applyAlignment="1" applyProtection="1">
      <alignment horizontal="center"/>
    </xf>
    <xf numFmtId="0" fontId="54" fillId="0" borderId="135" xfId="59" applyFont="1" applyFill="1" applyBorder="1" applyAlignment="1" applyProtection="1">
      <alignment horizontal="center"/>
    </xf>
    <xf numFmtId="0" fontId="128" fillId="0" borderId="135" xfId="59" applyFont="1" applyFill="1" applyBorder="1" applyAlignment="1" applyProtection="1">
      <alignment horizontal="center"/>
    </xf>
    <xf numFmtId="0" fontId="54" fillId="0" borderId="140" xfId="59" applyFont="1" applyFill="1" applyBorder="1" applyAlignment="1" applyProtection="1">
      <alignment horizontal="center"/>
    </xf>
    <xf numFmtId="164" fontId="109" fillId="29" borderId="4" xfId="59" applyNumberFormat="1" applyFont="1" applyFill="1" applyBorder="1" applyAlignment="1" applyProtection="1">
      <alignment horizontal="center"/>
    </xf>
    <xf numFmtId="164" fontId="109" fillId="29" borderId="29" xfId="59" applyNumberFormat="1" applyFont="1" applyFill="1" applyBorder="1" applyAlignment="1" applyProtection="1">
      <alignment horizontal="center"/>
    </xf>
    <xf numFmtId="164" fontId="109" fillId="0" borderId="4" xfId="59" applyNumberFormat="1" applyFont="1" applyFill="1" applyBorder="1" applyAlignment="1" applyProtection="1">
      <alignment horizontal="center"/>
    </xf>
    <xf numFmtId="164" fontId="109" fillId="0" borderId="29" xfId="59" applyNumberFormat="1" applyFont="1" applyFill="1" applyBorder="1" applyAlignment="1" applyProtection="1">
      <alignment horizontal="center"/>
    </xf>
    <xf numFmtId="164" fontId="52" fillId="0" borderId="61" xfId="59" applyNumberFormat="1" applyFont="1" applyFill="1" applyBorder="1" applyAlignment="1" applyProtection="1">
      <alignment horizontal="center"/>
    </xf>
    <xf numFmtId="164" fontId="52" fillId="0" borderId="132" xfId="59" applyNumberFormat="1" applyFont="1" applyFill="1" applyBorder="1" applyAlignment="1" applyProtection="1">
      <alignment horizontal="center"/>
    </xf>
    <xf numFmtId="164" fontId="52" fillId="0" borderId="62" xfId="59" applyNumberFormat="1" applyFont="1" applyFill="1" applyBorder="1" applyAlignment="1" applyProtection="1">
      <alignment horizontal="center"/>
    </xf>
    <xf numFmtId="164" fontId="52" fillId="0" borderId="27" xfId="59" applyNumberFormat="1" applyFont="1" applyFill="1" applyBorder="1" applyAlignment="1" applyProtection="1">
      <alignment horizontal="center"/>
    </xf>
    <xf numFmtId="164" fontId="52" fillId="0" borderId="28" xfId="59" applyNumberFormat="1" applyFont="1" applyFill="1" applyBorder="1" applyAlignment="1" applyProtection="1">
      <alignment horizontal="center"/>
    </xf>
    <xf numFmtId="1" fontId="56" fillId="0" borderId="144" xfId="59" applyNumberFormat="1" applyFont="1" applyFill="1" applyBorder="1" applyAlignment="1" applyProtection="1">
      <alignment horizontal="center"/>
    </xf>
    <xf numFmtId="174" fontId="58" fillId="0" borderId="11" xfId="59" applyNumberFormat="1" applyFont="1" applyFill="1" applyBorder="1" applyAlignment="1" applyProtection="1">
      <alignment horizontal="center"/>
    </xf>
    <xf numFmtId="164" fontId="52" fillId="29" borderId="42" xfId="59" applyNumberFormat="1" applyFont="1" applyFill="1" applyBorder="1" applyAlignment="1" applyProtection="1">
      <alignment horizontal="center"/>
    </xf>
    <xf numFmtId="164" fontId="52" fillId="29" borderId="67" xfId="59" applyNumberFormat="1" applyFont="1" applyFill="1" applyBorder="1" applyAlignment="1" applyProtection="1">
      <alignment horizontal="center"/>
    </xf>
    <xf numFmtId="164" fontId="52" fillId="0" borderId="137" xfId="59" applyNumberFormat="1" applyFont="1" applyFill="1" applyBorder="1" applyAlignment="1" applyProtection="1">
      <alignment horizontal="center"/>
    </xf>
    <xf numFmtId="164" fontId="52" fillId="0" borderId="136" xfId="59" applyNumberFormat="1" applyFont="1" applyFill="1" applyBorder="1" applyAlignment="1" applyProtection="1">
      <alignment horizontal="center"/>
    </xf>
    <xf numFmtId="164" fontId="52" fillId="0" borderId="138" xfId="59" applyNumberFormat="1" applyFont="1" applyFill="1" applyBorder="1" applyAlignment="1" applyProtection="1">
      <alignment horizontal="center"/>
    </xf>
    <xf numFmtId="164" fontId="52" fillId="0" borderId="42" xfId="59" applyNumberFormat="1" applyFont="1" applyFill="1" applyBorder="1" applyAlignment="1" applyProtection="1">
      <alignment horizontal="center"/>
    </xf>
    <xf numFmtId="164" fontId="52" fillId="0" borderId="67" xfId="59" applyNumberFormat="1" applyFont="1" applyFill="1" applyBorder="1" applyAlignment="1" applyProtection="1">
      <alignment horizontal="center"/>
    </xf>
    <xf numFmtId="0" fontId="56" fillId="0" borderId="0" xfId="59" applyFont="1" applyFill="1" applyBorder="1" applyAlignment="1" applyProtection="1">
      <alignment horizontal="center"/>
    </xf>
    <xf numFmtId="164" fontId="109" fillId="29" borderId="42" xfId="59" applyNumberFormat="1" applyFont="1" applyFill="1" applyBorder="1" applyAlignment="1" applyProtection="1">
      <alignment horizontal="center"/>
    </xf>
    <xf numFmtId="164" fontId="109" fillId="29" borderId="60" xfId="59" applyNumberFormat="1" applyFont="1" applyFill="1" applyBorder="1" applyAlignment="1" applyProtection="1">
      <alignment horizontal="center"/>
    </xf>
    <xf numFmtId="164" fontId="52" fillId="29" borderId="60" xfId="59" applyNumberFormat="1" applyFont="1" applyFill="1" applyBorder="1" applyAlignment="1" applyProtection="1">
      <alignment horizontal="center"/>
    </xf>
    <xf numFmtId="164" fontId="109" fillId="0" borderId="42" xfId="59" applyNumberFormat="1" applyFont="1" applyFill="1" applyBorder="1" applyAlignment="1" applyProtection="1">
      <alignment horizontal="center"/>
    </xf>
    <xf numFmtId="164" fontId="109" fillId="0" borderId="60" xfId="59" applyNumberFormat="1" applyFont="1" applyFill="1" applyBorder="1" applyAlignment="1" applyProtection="1">
      <alignment horizontal="center"/>
    </xf>
    <xf numFmtId="164" fontId="52" fillId="0" borderId="53" xfId="59" applyNumberFormat="1" applyFont="1" applyFill="1" applyBorder="1" applyAlignment="1" applyProtection="1">
      <alignment horizontal="center"/>
    </xf>
    <xf numFmtId="1" fontId="56" fillId="0" borderId="182" xfId="59" applyNumberFormat="1" applyFont="1" applyFill="1" applyBorder="1" applyAlignment="1" applyProtection="1">
      <alignment horizontal="center"/>
    </xf>
    <xf numFmtId="164" fontId="52" fillId="0" borderId="60" xfId="59" applyNumberFormat="1" applyFont="1" applyFill="1" applyBorder="1" applyAlignment="1" applyProtection="1">
      <alignment horizontal="center"/>
    </xf>
    <xf numFmtId="1" fontId="55" fillId="29" borderId="16" xfId="59" applyNumberFormat="1" applyFont="1" applyFill="1" applyBorder="1" applyAlignment="1" applyProtection="1">
      <alignment horizontal="center"/>
    </xf>
    <xf numFmtId="1" fontId="55" fillId="0" borderId="16" xfId="59" applyNumberFormat="1" applyFont="1" applyBorder="1" applyAlignment="1" applyProtection="1">
      <alignment horizontal="center"/>
    </xf>
    <xf numFmtId="1" fontId="55" fillId="0" borderId="182" xfId="59" applyNumberFormat="1" applyFont="1" applyBorder="1" applyAlignment="1" applyProtection="1">
      <alignment horizontal="center"/>
    </xf>
    <xf numFmtId="2" fontId="17" fillId="0" borderId="0" xfId="0" applyNumberFormat="1" applyFont="1" applyAlignment="1">
      <alignment vertical="center" wrapText="1"/>
    </xf>
  </cellXfs>
  <cellStyles count="2028">
    <cellStyle name="_D 52-54" xfId="1"/>
    <cellStyle name="_D 52-54_Transfermatrix" xfId="2"/>
    <cellStyle name="_D 52-54_Transfermatrix_1" xfId="3"/>
    <cellStyle name="_Transfermatrix" xfId="4"/>
    <cellStyle name="_Transfermatrix_1" xfId="5"/>
    <cellStyle name="20% - Accent1" xfId="6" builtinId="30" customBuiltin="1"/>
    <cellStyle name="20% - Accent1 10" xfId="506"/>
    <cellStyle name="20% - Accent1 11" xfId="615"/>
    <cellStyle name="20% - Accent1 12" xfId="724"/>
    <cellStyle name="20% - Accent1 13" xfId="833"/>
    <cellStyle name="20% - Accent1 14" xfId="942"/>
    <cellStyle name="20% - Accent1 15" xfId="1171"/>
    <cellStyle name="20% - Accent1 16" xfId="1389"/>
    <cellStyle name="20% - Accent1 17" xfId="1607"/>
    <cellStyle name="20% - Accent1 18" xfId="1825"/>
    <cellStyle name="20% - Accent1 2" xfId="122"/>
    <cellStyle name="20% - Accent1 2 10" xfId="1157"/>
    <cellStyle name="20% - Accent1 2 11" xfId="1375"/>
    <cellStyle name="20% - Accent1 2 12" xfId="1593"/>
    <cellStyle name="20% - Accent1 2 13" xfId="1811"/>
    <cellStyle name="20% - Accent1 2 2" xfId="212"/>
    <cellStyle name="20% - Accent1 2 2 2" xfId="1041"/>
    <cellStyle name="20% - Accent1 2 2 3" xfId="1266"/>
    <cellStyle name="20% - Accent1 2 2 4" xfId="1484"/>
    <cellStyle name="20% - Accent1 2 2 5" xfId="1702"/>
    <cellStyle name="20% - Accent1 2 2 6" xfId="1920"/>
    <cellStyle name="20% - Accent1 2 3" xfId="263"/>
    <cellStyle name="20% - Accent1 2 4" xfId="383"/>
    <cellStyle name="20% - Accent1 2 5" xfId="492"/>
    <cellStyle name="20% - Accent1 2 6" xfId="601"/>
    <cellStyle name="20% - Accent1 2 7" xfId="710"/>
    <cellStyle name="20% - Accent1 2 8" xfId="819"/>
    <cellStyle name="20% - Accent1 2 9" xfId="928"/>
    <cellStyle name="20% - Accent1 3" xfId="148"/>
    <cellStyle name="20% - Accent1 3 10" xfId="1187"/>
    <cellStyle name="20% - Accent1 3 11" xfId="1405"/>
    <cellStyle name="20% - Accent1 3 12" xfId="1623"/>
    <cellStyle name="20% - Accent1 3 13" xfId="1841"/>
    <cellStyle name="20% - Accent1 3 2" xfId="226"/>
    <cellStyle name="20% - Accent1 3 2 2" xfId="1072"/>
    <cellStyle name="20% - Accent1 3 2 3" xfId="1296"/>
    <cellStyle name="20% - Accent1 3 2 4" xfId="1514"/>
    <cellStyle name="20% - Accent1 3 2 5" xfId="1732"/>
    <cellStyle name="20% - Accent1 3 2 6" xfId="1950"/>
    <cellStyle name="20% - Accent1 3 3" xfId="295"/>
    <cellStyle name="20% - Accent1 3 4" xfId="413"/>
    <cellStyle name="20% - Accent1 3 5" xfId="522"/>
    <cellStyle name="20% - Accent1 3 6" xfId="631"/>
    <cellStyle name="20% - Accent1 3 7" xfId="740"/>
    <cellStyle name="20% - Accent1 3 8" xfId="849"/>
    <cellStyle name="20% - Accent1 3 9" xfId="958"/>
    <cellStyle name="20% - Accent1 4" xfId="163"/>
    <cellStyle name="20% - Accent1 4 10" xfId="1207"/>
    <cellStyle name="20% - Accent1 4 11" xfId="1425"/>
    <cellStyle name="20% - Accent1 4 12" xfId="1643"/>
    <cellStyle name="20% - Accent1 4 13" xfId="1861"/>
    <cellStyle name="20% - Accent1 4 2" xfId="241"/>
    <cellStyle name="20% - Accent1 4 2 2" xfId="1095"/>
    <cellStyle name="20% - Accent1 4 2 3" xfId="1316"/>
    <cellStyle name="20% - Accent1 4 2 4" xfId="1534"/>
    <cellStyle name="20% - Accent1 4 2 5" xfId="1752"/>
    <cellStyle name="20% - Accent1 4 2 6" xfId="1970"/>
    <cellStyle name="20% - Accent1 4 3" xfId="318"/>
    <cellStyle name="20% - Accent1 4 4" xfId="433"/>
    <cellStyle name="20% - Accent1 4 5" xfId="542"/>
    <cellStyle name="20% - Accent1 4 6" xfId="651"/>
    <cellStyle name="20% - Accent1 4 7" xfId="760"/>
    <cellStyle name="20% - Accent1 4 8" xfId="869"/>
    <cellStyle name="20% - Accent1 4 9" xfId="978"/>
    <cellStyle name="20% - Accent1 5" xfId="180"/>
    <cellStyle name="20% - Accent1 5 10" xfId="1438"/>
    <cellStyle name="20% - Accent1 5 11" xfId="1656"/>
    <cellStyle name="20% - Accent1 5 12" xfId="1874"/>
    <cellStyle name="20% - Accent1 5 2" xfId="332"/>
    <cellStyle name="20% - Accent1 5 2 2" xfId="1109"/>
    <cellStyle name="20% - Accent1 5 2 3" xfId="1329"/>
    <cellStyle name="20% - Accent1 5 2 4" xfId="1547"/>
    <cellStyle name="20% - Accent1 5 2 5" xfId="1765"/>
    <cellStyle name="20% - Accent1 5 2 6" xfId="1983"/>
    <cellStyle name="20% - Accent1 5 3" xfId="446"/>
    <cellStyle name="20% - Accent1 5 4" xfId="555"/>
    <cellStyle name="20% - Accent1 5 5" xfId="664"/>
    <cellStyle name="20% - Accent1 5 6" xfId="773"/>
    <cellStyle name="20% - Accent1 5 7" xfId="882"/>
    <cellStyle name="20% - Accent1 5 8" xfId="991"/>
    <cellStyle name="20% - Accent1 5 9" xfId="1220"/>
    <cellStyle name="20% - Accent1 6" xfId="349"/>
    <cellStyle name="20% - Accent1 6 10" xfId="1671"/>
    <cellStyle name="20% - Accent1 6 11" xfId="1889"/>
    <cellStyle name="20% - Accent1 6 2" xfId="461"/>
    <cellStyle name="20% - Accent1 6 2 2" xfId="1125"/>
    <cellStyle name="20% - Accent1 6 2 3" xfId="1344"/>
    <cellStyle name="20% - Accent1 6 2 4" xfId="1562"/>
    <cellStyle name="20% - Accent1 6 2 5" xfId="1780"/>
    <cellStyle name="20% - Accent1 6 2 6" xfId="1998"/>
    <cellStyle name="20% - Accent1 6 3" xfId="570"/>
    <cellStyle name="20% - Accent1 6 4" xfId="679"/>
    <cellStyle name="20% - Accent1 6 5" xfId="788"/>
    <cellStyle name="20% - Accent1 6 6" xfId="897"/>
    <cellStyle name="20% - Accent1 6 7" xfId="1006"/>
    <cellStyle name="20% - Accent1 6 8" xfId="1235"/>
    <cellStyle name="20% - Accent1 6 9" xfId="1453"/>
    <cellStyle name="20% - Accent1 7" xfId="362"/>
    <cellStyle name="20% - Accent1 7 10" xfId="1684"/>
    <cellStyle name="20% - Accent1 7 11" xfId="1902"/>
    <cellStyle name="20% - Accent1 7 2" xfId="474"/>
    <cellStyle name="20% - Accent1 7 2 2" xfId="1138"/>
    <cellStyle name="20% - Accent1 7 2 3" xfId="1357"/>
    <cellStyle name="20% - Accent1 7 2 4" xfId="1575"/>
    <cellStyle name="20% - Accent1 7 2 5" xfId="1793"/>
    <cellStyle name="20% - Accent1 7 2 6" xfId="2011"/>
    <cellStyle name="20% - Accent1 7 3" xfId="583"/>
    <cellStyle name="20% - Accent1 7 4" xfId="692"/>
    <cellStyle name="20% - Accent1 7 5" xfId="801"/>
    <cellStyle name="20% - Accent1 7 6" xfId="910"/>
    <cellStyle name="20% - Accent1 7 7" xfId="1019"/>
    <cellStyle name="20% - Accent1 7 8" xfId="1248"/>
    <cellStyle name="20% - Accent1 7 9" xfId="1466"/>
    <cellStyle name="20% - Accent1 8" xfId="277"/>
    <cellStyle name="20% - Accent1 8 2" xfId="1055"/>
    <cellStyle name="20% - Accent1 8 3" xfId="1280"/>
    <cellStyle name="20% - Accent1 8 4" xfId="1498"/>
    <cellStyle name="20% - Accent1 8 5" xfId="1716"/>
    <cellStyle name="20% - Accent1 8 6" xfId="1934"/>
    <cellStyle name="20% - Accent1 9" xfId="397"/>
    <cellStyle name="20% - Accent2" xfId="7" builtinId="34" customBuiltin="1"/>
    <cellStyle name="20% - Accent2 10" xfId="508"/>
    <cellStyle name="20% - Accent2 11" xfId="617"/>
    <cellStyle name="20% - Accent2 12" xfId="726"/>
    <cellStyle name="20% - Accent2 13" xfId="835"/>
    <cellStyle name="20% - Accent2 14" xfId="944"/>
    <cellStyle name="20% - Accent2 15" xfId="1173"/>
    <cellStyle name="20% - Accent2 16" xfId="1391"/>
    <cellStyle name="20% - Accent2 17" xfId="1609"/>
    <cellStyle name="20% - Accent2 18" xfId="1827"/>
    <cellStyle name="20% - Accent2 2" xfId="123"/>
    <cellStyle name="20% - Accent2 2 10" xfId="1158"/>
    <cellStyle name="20% - Accent2 2 11" xfId="1376"/>
    <cellStyle name="20% - Accent2 2 12" xfId="1594"/>
    <cellStyle name="20% - Accent2 2 13" xfId="1812"/>
    <cellStyle name="20% - Accent2 2 2" xfId="213"/>
    <cellStyle name="20% - Accent2 2 2 2" xfId="1042"/>
    <cellStyle name="20% - Accent2 2 2 3" xfId="1267"/>
    <cellStyle name="20% - Accent2 2 2 4" xfId="1485"/>
    <cellStyle name="20% - Accent2 2 2 5" xfId="1703"/>
    <cellStyle name="20% - Accent2 2 2 6" xfId="1921"/>
    <cellStyle name="20% - Accent2 2 3" xfId="264"/>
    <cellStyle name="20% - Accent2 2 4" xfId="384"/>
    <cellStyle name="20% - Accent2 2 5" xfId="493"/>
    <cellStyle name="20% - Accent2 2 6" xfId="602"/>
    <cellStyle name="20% - Accent2 2 7" xfId="711"/>
    <cellStyle name="20% - Accent2 2 8" xfId="820"/>
    <cellStyle name="20% - Accent2 2 9" xfId="929"/>
    <cellStyle name="20% - Accent2 3" xfId="149"/>
    <cellStyle name="20% - Accent2 3 10" xfId="1188"/>
    <cellStyle name="20% - Accent2 3 11" xfId="1406"/>
    <cellStyle name="20% - Accent2 3 12" xfId="1624"/>
    <cellStyle name="20% - Accent2 3 13" xfId="1842"/>
    <cellStyle name="20% - Accent2 3 2" xfId="227"/>
    <cellStyle name="20% - Accent2 3 2 2" xfId="1073"/>
    <cellStyle name="20% - Accent2 3 2 3" xfId="1297"/>
    <cellStyle name="20% - Accent2 3 2 4" xfId="1515"/>
    <cellStyle name="20% - Accent2 3 2 5" xfId="1733"/>
    <cellStyle name="20% - Accent2 3 2 6" xfId="1951"/>
    <cellStyle name="20% - Accent2 3 3" xfId="296"/>
    <cellStyle name="20% - Accent2 3 4" xfId="414"/>
    <cellStyle name="20% - Accent2 3 5" xfId="523"/>
    <cellStyle name="20% - Accent2 3 6" xfId="632"/>
    <cellStyle name="20% - Accent2 3 7" xfId="741"/>
    <cellStyle name="20% - Accent2 3 8" xfId="850"/>
    <cellStyle name="20% - Accent2 3 9" xfId="959"/>
    <cellStyle name="20% - Accent2 4" xfId="165"/>
    <cellStyle name="20% - Accent2 4 10" xfId="1209"/>
    <cellStyle name="20% - Accent2 4 11" xfId="1427"/>
    <cellStyle name="20% - Accent2 4 12" xfId="1645"/>
    <cellStyle name="20% - Accent2 4 13" xfId="1863"/>
    <cellStyle name="20% - Accent2 4 2" xfId="243"/>
    <cellStyle name="20% - Accent2 4 2 2" xfId="1097"/>
    <cellStyle name="20% - Accent2 4 2 3" xfId="1318"/>
    <cellStyle name="20% - Accent2 4 2 4" xfId="1536"/>
    <cellStyle name="20% - Accent2 4 2 5" xfId="1754"/>
    <cellStyle name="20% - Accent2 4 2 6" xfId="1972"/>
    <cellStyle name="20% - Accent2 4 3" xfId="320"/>
    <cellStyle name="20% - Accent2 4 4" xfId="435"/>
    <cellStyle name="20% - Accent2 4 5" xfId="544"/>
    <cellStyle name="20% - Accent2 4 6" xfId="653"/>
    <cellStyle name="20% - Accent2 4 7" xfId="762"/>
    <cellStyle name="20% - Accent2 4 8" xfId="871"/>
    <cellStyle name="20% - Accent2 4 9" xfId="980"/>
    <cellStyle name="20% - Accent2 5" xfId="181"/>
    <cellStyle name="20% - Accent2 5 10" xfId="1440"/>
    <cellStyle name="20% - Accent2 5 11" xfId="1658"/>
    <cellStyle name="20% - Accent2 5 12" xfId="1876"/>
    <cellStyle name="20% - Accent2 5 2" xfId="334"/>
    <cellStyle name="20% - Accent2 5 2 2" xfId="1111"/>
    <cellStyle name="20% - Accent2 5 2 3" xfId="1331"/>
    <cellStyle name="20% - Accent2 5 2 4" xfId="1549"/>
    <cellStyle name="20% - Accent2 5 2 5" xfId="1767"/>
    <cellStyle name="20% - Accent2 5 2 6" xfId="1985"/>
    <cellStyle name="20% - Accent2 5 3" xfId="448"/>
    <cellStyle name="20% - Accent2 5 4" xfId="557"/>
    <cellStyle name="20% - Accent2 5 5" xfId="666"/>
    <cellStyle name="20% - Accent2 5 6" xfId="775"/>
    <cellStyle name="20% - Accent2 5 7" xfId="884"/>
    <cellStyle name="20% - Accent2 5 8" xfId="993"/>
    <cellStyle name="20% - Accent2 5 9" xfId="1222"/>
    <cellStyle name="20% - Accent2 6" xfId="351"/>
    <cellStyle name="20% - Accent2 6 10" xfId="1673"/>
    <cellStyle name="20% - Accent2 6 11" xfId="1891"/>
    <cellStyle name="20% - Accent2 6 2" xfId="463"/>
    <cellStyle name="20% - Accent2 6 2 2" xfId="1127"/>
    <cellStyle name="20% - Accent2 6 2 3" xfId="1346"/>
    <cellStyle name="20% - Accent2 6 2 4" xfId="1564"/>
    <cellStyle name="20% - Accent2 6 2 5" xfId="1782"/>
    <cellStyle name="20% - Accent2 6 2 6" xfId="2000"/>
    <cellStyle name="20% - Accent2 6 3" xfId="572"/>
    <cellStyle name="20% - Accent2 6 4" xfId="681"/>
    <cellStyle name="20% - Accent2 6 5" xfId="790"/>
    <cellStyle name="20% - Accent2 6 6" xfId="899"/>
    <cellStyle name="20% - Accent2 6 7" xfId="1008"/>
    <cellStyle name="20% - Accent2 6 8" xfId="1237"/>
    <cellStyle name="20% - Accent2 6 9" xfId="1455"/>
    <cellStyle name="20% - Accent2 7" xfId="363"/>
    <cellStyle name="20% - Accent2 7 10" xfId="1685"/>
    <cellStyle name="20% - Accent2 7 11" xfId="1903"/>
    <cellStyle name="20% - Accent2 7 2" xfId="475"/>
    <cellStyle name="20% - Accent2 7 2 2" xfId="1139"/>
    <cellStyle name="20% - Accent2 7 2 3" xfId="1358"/>
    <cellStyle name="20% - Accent2 7 2 4" xfId="1576"/>
    <cellStyle name="20% - Accent2 7 2 5" xfId="1794"/>
    <cellStyle name="20% - Accent2 7 2 6" xfId="2012"/>
    <cellStyle name="20% - Accent2 7 3" xfId="584"/>
    <cellStyle name="20% - Accent2 7 4" xfId="693"/>
    <cellStyle name="20% - Accent2 7 5" xfId="802"/>
    <cellStyle name="20% - Accent2 7 6" xfId="911"/>
    <cellStyle name="20% - Accent2 7 7" xfId="1020"/>
    <cellStyle name="20% - Accent2 7 8" xfId="1249"/>
    <cellStyle name="20% - Accent2 7 9" xfId="1467"/>
    <cellStyle name="20% - Accent2 8" xfId="279"/>
    <cellStyle name="20% - Accent2 8 2" xfId="1057"/>
    <cellStyle name="20% - Accent2 8 3" xfId="1282"/>
    <cellStyle name="20% - Accent2 8 4" xfId="1500"/>
    <cellStyle name="20% - Accent2 8 5" xfId="1718"/>
    <cellStyle name="20% - Accent2 8 6" xfId="1936"/>
    <cellStyle name="20% - Accent2 9" xfId="399"/>
    <cellStyle name="20% - Accent3" xfId="8" builtinId="38" customBuiltin="1"/>
    <cellStyle name="20% - Accent3 10" xfId="510"/>
    <cellStyle name="20% - Accent3 11" xfId="619"/>
    <cellStyle name="20% - Accent3 12" xfId="728"/>
    <cellStyle name="20% - Accent3 13" xfId="837"/>
    <cellStyle name="20% - Accent3 14" xfId="946"/>
    <cellStyle name="20% - Accent3 15" xfId="1175"/>
    <cellStyle name="20% - Accent3 16" xfId="1393"/>
    <cellStyle name="20% - Accent3 17" xfId="1611"/>
    <cellStyle name="20% - Accent3 18" xfId="1829"/>
    <cellStyle name="20% - Accent3 2" xfId="124"/>
    <cellStyle name="20% - Accent3 2 10" xfId="1159"/>
    <cellStyle name="20% - Accent3 2 11" xfId="1377"/>
    <cellStyle name="20% - Accent3 2 12" xfId="1595"/>
    <cellStyle name="20% - Accent3 2 13" xfId="1813"/>
    <cellStyle name="20% - Accent3 2 2" xfId="214"/>
    <cellStyle name="20% - Accent3 2 2 2" xfId="1043"/>
    <cellStyle name="20% - Accent3 2 2 3" xfId="1268"/>
    <cellStyle name="20% - Accent3 2 2 4" xfId="1486"/>
    <cellStyle name="20% - Accent3 2 2 5" xfId="1704"/>
    <cellStyle name="20% - Accent3 2 2 6" xfId="1922"/>
    <cellStyle name="20% - Accent3 2 3" xfId="265"/>
    <cellStyle name="20% - Accent3 2 4" xfId="385"/>
    <cellStyle name="20% - Accent3 2 5" xfId="494"/>
    <cellStyle name="20% - Accent3 2 6" xfId="603"/>
    <cellStyle name="20% - Accent3 2 7" xfId="712"/>
    <cellStyle name="20% - Accent3 2 8" xfId="821"/>
    <cellStyle name="20% - Accent3 2 9" xfId="930"/>
    <cellStyle name="20% - Accent3 3" xfId="150"/>
    <cellStyle name="20% - Accent3 3 10" xfId="1189"/>
    <cellStyle name="20% - Accent3 3 11" xfId="1407"/>
    <cellStyle name="20% - Accent3 3 12" xfId="1625"/>
    <cellStyle name="20% - Accent3 3 13" xfId="1843"/>
    <cellStyle name="20% - Accent3 3 2" xfId="228"/>
    <cellStyle name="20% - Accent3 3 2 2" xfId="1074"/>
    <cellStyle name="20% - Accent3 3 2 3" xfId="1298"/>
    <cellStyle name="20% - Accent3 3 2 4" xfId="1516"/>
    <cellStyle name="20% - Accent3 3 2 5" xfId="1734"/>
    <cellStyle name="20% - Accent3 3 2 6" xfId="1952"/>
    <cellStyle name="20% - Accent3 3 3" xfId="297"/>
    <cellStyle name="20% - Accent3 3 4" xfId="415"/>
    <cellStyle name="20% - Accent3 3 5" xfId="524"/>
    <cellStyle name="20% - Accent3 3 6" xfId="633"/>
    <cellStyle name="20% - Accent3 3 7" xfId="742"/>
    <cellStyle name="20% - Accent3 3 8" xfId="851"/>
    <cellStyle name="20% - Accent3 3 9" xfId="960"/>
    <cellStyle name="20% - Accent3 4" xfId="167"/>
    <cellStyle name="20% - Accent3 4 10" xfId="1211"/>
    <cellStyle name="20% - Accent3 4 11" xfId="1429"/>
    <cellStyle name="20% - Accent3 4 12" xfId="1647"/>
    <cellStyle name="20% - Accent3 4 13" xfId="1865"/>
    <cellStyle name="20% - Accent3 4 2" xfId="245"/>
    <cellStyle name="20% - Accent3 4 2 2" xfId="1099"/>
    <cellStyle name="20% - Accent3 4 2 3" xfId="1320"/>
    <cellStyle name="20% - Accent3 4 2 4" xfId="1538"/>
    <cellStyle name="20% - Accent3 4 2 5" xfId="1756"/>
    <cellStyle name="20% - Accent3 4 2 6" xfId="1974"/>
    <cellStyle name="20% - Accent3 4 3" xfId="322"/>
    <cellStyle name="20% - Accent3 4 4" xfId="437"/>
    <cellStyle name="20% - Accent3 4 5" xfId="546"/>
    <cellStyle name="20% - Accent3 4 6" xfId="655"/>
    <cellStyle name="20% - Accent3 4 7" xfId="764"/>
    <cellStyle name="20% - Accent3 4 8" xfId="873"/>
    <cellStyle name="20% - Accent3 4 9" xfId="982"/>
    <cellStyle name="20% - Accent3 5" xfId="182"/>
    <cellStyle name="20% - Accent3 5 10" xfId="1442"/>
    <cellStyle name="20% - Accent3 5 11" xfId="1660"/>
    <cellStyle name="20% - Accent3 5 12" xfId="1878"/>
    <cellStyle name="20% - Accent3 5 2" xfId="336"/>
    <cellStyle name="20% - Accent3 5 2 2" xfId="1113"/>
    <cellStyle name="20% - Accent3 5 2 3" xfId="1333"/>
    <cellStyle name="20% - Accent3 5 2 4" xfId="1551"/>
    <cellStyle name="20% - Accent3 5 2 5" xfId="1769"/>
    <cellStyle name="20% - Accent3 5 2 6" xfId="1987"/>
    <cellStyle name="20% - Accent3 5 3" xfId="450"/>
    <cellStyle name="20% - Accent3 5 4" xfId="559"/>
    <cellStyle name="20% - Accent3 5 5" xfId="668"/>
    <cellStyle name="20% - Accent3 5 6" xfId="777"/>
    <cellStyle name="20% - Accent3 5 7" xfId="886"/>
    <cellStyle name="20% - Accent3 5 8" xfId="995"/>
    <cellStyle name="20% - Accent3 5 9" xfId="1224"/>
    <cellStyle name="20% - Accent3 6" xfId="353"/>
    <cellStyle name="20% - Accent3 6 10" xfId="1675"/>
    <cellStyle name="20% - Accent3 6 11" xfId="1893"/>
    <cellStyle name="20% - Accent3 6 2" xfId="465"/>
    <cellStyle name="20% - Accent3 6 2 2" xfId="1129"/>
    <cellStyle name="20% - Accent3 6 2 3" xfId="1348"/>
    <cellStyle name="20% - Accent3 6 2 4" xfId="1566"/>
    <cellStyle name="20% - Accent3 6 2 5" xfId="1784"/>
    <cellStyle name="20% - Accent3 6 2 6" xfId="2002"/>
    <cellStyle name="20% - Accent3 6 3" xfId="574"/>
    <cellStyle name="20% - Accent3 6 4" xfId="683"/>
    <cellStyle name="20% - Accent3 6 5" xfId="792"/>
    <cellStyle name="20% - Accent3 6 6" xfId="901"/>
    <cellStyle name="20% - Accent3 6 7" xfId="1010"/>
    <cellStyle name="20% - Accent3 6 8" xfId="1239"/>
    <cellStyle name="20% - Accent3 6 9" xfId="1457"/>
    <cellStyle name="20% - Accent3 7" xfId="364"/>
    <cellStyle name="20% - Accent3 7 10" xfId="1686"/>
    <cellStyle name="20% - Accent3 7 11" xfId="1904"/>
    <cellStyle name="20% - Accent3 7 2" xfId="476"/>
    <cellStyle name="20% - Accent3 7 2 2" xfId="1140"/>
    <cellStyle name="20% - Accent3 7 2 3" xfId="1359"/>
    <cellStyle name="20% - Accent3 7 2 4" xfId="1577"/>
    <cellStyle name="20% - Accent3 7 2 5" xfId="1795"/>
    <cellStyle name="20% - Accent3 7 2 6" xfId="2013"/>
    <cellStyle name="20% - Accent3 7 3" xfId="585"/>
    <cellStyle name="20% - Accent3 7 4" xfId="694"/>
    <cellStyle name="20% - Accent3 7 5" xfId="803"/>
    <cellStyle name="20% - Accent3 7 6" xfId="912"/>
    <cellStyle name="20% - Accent3 7 7" xfId="1021"/>
    <cellStyle name="20% - Accent3 7 8" xfId="1250"/>
    <cellStyle name="20% - Accent3 7 9" xfId="1468"/>
    <cellStyle name="20% - Accent3 8" xfId="281"/>
    <cellStyle name="20% - Accent3 8 2" xfId="1059"/>
    <cellStyle name="20% - Accent3 8 3" xfId="1284"/>
    <cellStyle name="20% - Accent3 8 4" xfId="1502"/>
    <cellStyle name="20% - Accent3 8 5" xfId="1720"/>
    <cellStyle name="20% - Accent3 8 6" xfId="1938"/>
    <cellStyle name="20% - Accent3 9" xfId="401"/>
    <cellStyle name="20% - Accent4" xfId="9" builtinId="42" customBuiltin="1"/>
    <cellStyle name="20% - Accent4 10" xfId="512"/>
    <cellStyle name="20% - Accent4 11" xfId="621"/>
    <cellStyle name="20% - Accent4 12" xfId="730"/>
    <cellStyle name="20% - Accent4 13" xfId="839"/>
    <cellStyle name="20% - Accent4 14" xfId="948"/>
    <cellStyle name="20% - Accent4 15" xfId="1177"/>
    <cellStyle name="20% - Accent4 16" xfId="1395"/>
    <cellStyle name="20% - Accent4 17" xfId="1613"/>
    <cellStyle name="20% - Accent4 18" xfId="1831"/>
    <cellStyle name="20% - Accent4 2" xfId="125"/>
    <cellStyle name="20% - Accent4 2 10" xfId="1160"/>
    <cellStyle name="20% - Accent4 2 11" xfId="1378"/>
    <cellStyle name="20% - Accent4 2 12" xfId="1596"/>
    <cellStyle name="20% - Accent4 2 13" xfId="1814"/>
    <cellStyle name="20% - Accent4 2 2" xfId="215"/>
    <cellStyle name="20% - Accent4 2 2 2" xfId="1044"/>
    <cellStyle name="20% - Accent4 2 2 3" xfId="1269"/>
    <cellStyle name="20% - Accent4 2 2 4" xfId="1487"/>
    <cellStyle name="20% - Accent4 2 2 5" xfId="1705"/>
    <cellStyle name="20% - Accent4 2 2 6" xfId="1923"/>
    <cellStyle name="20% - Accent4 2 3" xfId="266"/>
    <cellStyle name="20% - Accent4 2 4" xfId="386"/>
    <cellStyle name="20% - Accent4 2 5" xfId="495"/>
    <cellStyle name="20% - Accent4 2 6" xfId="604"/>
    <cellStyle name="20% - Accent4 2 7" xfId="713"/>
    <cellStyle name="20% - Accent4 2 8" xfId="822"/>
    <cellStyle name="20% - Accent4 2 9" xfId="931"/>
    <cellStyle name="20% - Accent4 3" xfId="151"/>
    <cellStyle name="20% - Accent4 3 10" xfId="1190"/>
    <cellStyle name="20% - Accent4 3 11" xfId="1408"/>
    <cellStyle name="20% - Accent4 3 12" xfId="1626"/>
    <cellStyle name="20% - Accent4 3 13" xfId="1844"/>
    <cellStyle name="20% - Accent4 3 2" xfId="229"/>
    <cellStyle name="20% - Accent4 3 2 2" xfId="1075"/>
    <cellStyle name="20% - Accent4 3 2 3" xfId="1299"/>
    <cellStyle name="20% - Accent4 3 2 4" xfId="1517"/>
    <cellStyle name="20% - Accent4 3 2 5" xfId="1735"/>
    <cellStyle name="20% - Accent4 3 2 6" xfId="1953"/>
    <cellStyle name="20% - Accent4 3 3" xfId="298"/>
    <cellStyle name="20% - Accent4 3 4" xfId="416"/>
    <cellStyle name="20% - Accent4 3 5" xfId="525"/>
    <cellStyle name="20% - Accent4 3 6" xfId="634"/>
    <cellStyle name="20% - Accent4 3 7" xfId="743"/>
    <cellStyle name="20% - Accent4 3 8" xfId="852"/>
    <cellStyle name="20% - Accent4 3 9" xfId="961"/>
    <cellStyle name="20% - Accent4 4" xfId="169"/>
    <cellStyle name="20% - Accent4 4 10" xfId="1213"/>
    <cellStyle name="20% - Accent4 4 11" xfId="1431"/>
    <cellStyle name="20% - Accent4 4 12" xfId="1649"/>
    <cellStyle name="20% - Accent4 4 13" xfId="1867"/>
    <cellStyle name="20% - Accent4 4 2" xfId="247"/>
    <cellStyle name="20% - Accent4 4 2 2" xfId="1101"/>
    <cellStyle name="20% - Accent4 4 2 3" xfId="1322"/>
    <cellStyle name="20% - Accent4 4 2 4" xfId="1540"/>
    <cellStyle name="20% - Accent4 4 2 5" xfId="1758"/>
    <cellStyle name="20% - Accent4 4 2 6" xfId="1976"/>
    <cellStyle name="20% - Accent4 4 3" xfId="324"/>
    <cellStyle name="20% - Accent4 4 4" xfId="439"/>
    <cellStyle name="20% - Accent4 4 5" xfId="548"/>
    <cellStyle name="20% - Accent4 4 6" xfId="657"/>
    <cellStyle name="20% - Accent4 4 7" xfId="766"/>
    <cellStyle name="20% - Accent4 4 8" xfId="875"/>
    <cellStyle name="20% - Accent4 4 9" xfId="984"/>
    <cellStyle name="20% - Accent4 5" xfId="183"/>
    <cellStyle name="20% - Accent4 5 10" xfId="1444"/>
    <cellStyle name="20% - Accent4 5 11" xfId="1662"/>
    <cellStyle name="20% - Accent4 5 12" xfId="1880"/>
    <cellStyle name="20% - Accent4 5 2" xfId="338"/>
    <cellStyle name="20% - Accent4 5 2 2" xfId="1115"/>
    <cellStyle name="20% - Accent4 5 2 3" xfId="1335"/>
    <cellStyle name="20% - Accent4 5 2 4" xfId="1553"/>
    <cellStyle name="20% - Accent4 5 2 5" xfId="1771"/>
    <cellStyle name="20% - Accent4 5 2 6" xfId="1989"/>
    <cellStyle name="20% - Accent4 5 3" xfId="452"/>
    <cellStyle name="20% - Accent4 5 4" xfId="561"/>
    <cellStyle name="20% - Accent4 5 5" xfId="670"/>
    <cellStyle name="20% - Accent4 5 6" xfId="779"/>
    <cellStyle name="20% - Accent4 5 7" xfId="888"/>
    <cellStyle name="20% - Accent4 5 8" xfId="997"/>
    <cellStyle name="20% - Accent4 5 9" xfId="1226"/>
    <cellStyle name="20% - Accent4 6" xfId="355"/>
    <cellStyle name="20% - Accent4 6 10" xfId="1677"/>
    <cellStyle name="20% - Accent4 6 11" xfId="1895"/>
    <cellStyle name="20% - Accent4 6 2" xfId="467"/>
    <cellStyle name="20% - Accent4 6 2 2" xfId="1131"/>
    <cellStyle name="20% - Accent4 6 2 3" xfId="1350"/>
    <cellStyle name="20% - Accent4 6 2 4" xfId="1568"/>
    <cellStyle name="20% - Accent4 6 2 5" xfId="1786"/>
    <cellStyle name="20% - Accent4 6 2 6" xfId="2004"/>
    <cellStyle name="20% - Accent4 6 3" xfId="576"/>
    <cellStyle name="20% - Accent4 6 4" xfId="685"/>
    <cellStyle name="20% - Accent4 6 5" xfId="794"/>
    <cellStyle name="20% - Accent4 6 6" xfId="903"/>
    <cellStyle name="20% - Accent4 6 7" xfId="1012"/>
    <cellStyle name="20% - Accent4 6 8" xfId="1241"/>
    <cellStyle name="20% - Accent4 6 9" xfId="1459"/>
    <cellStyle name="20% - Accent4 7" xfId="365"/>
    <cellStyle name="20% - Accent4 7 10" xfId="1687"/>
    <cellStyle name="20% - Accent4 7 11" xfId="1905"/>
    <cellStyle name="20% - Accent4 7 2" xfId="477"/>
    <cellStyle name="20% - Accent4 7 2 2" xfId="1141"/>
    <cellStyle name="20% - Accent4 7 2 3" xfId="1360"/>
    <cellStyle name="20% - Accent4 7 2 4" xfId="1578"/>
    <cellStyle name="20% - Accent4 7 2 5" xfId="1796"/>
    <cellStyle name="20% - Accent4 7 2 6" xfId="2014"/>
    <cellStyle name="20% - Accent4 7 3" xfId="586"/>
    <cellStyle name="20% - Accent4 7 4" xfId="695"/>
    <cellStyle name="20% - Accent4 7 5" xfId="804"/>
    <cellStyle name="20% - Accent4 7 6" xfId="913"/>
    <cellStyle name="20% - Accent4 7 7" xfId="1022"/>
    <cellStyle name="20% - Accent4 7 8" xfId="1251"/>
    <cellStyle name="20% - Accent4 7 9" xfId="1469"/>
    <cellStyle name="20% - Accent4 8" xfId="283"/>
    <cellStyle name="20% - Accent4 8 2" xfId="1061"/>
    <cellStyle name="20% - Accent4 8 3" xfId="1286"/>
    <cellStyle name="20% - Accent4 8 4" xfId="1504"/>
    <cellStyle name="20% - Accent4 8 5" xfId="1722"/>
    <cellStyle name="20% - Accent4 8 6" xfId="1940"/>
    <cellStyle name="20% - Accent4 9" xfId="403"/>
    <cellStyle name="20% - Accent5" xfId="10" builtinId="46" customBuiltin="1"/>
    <cellStyle name="20% - Accent5 10" xfId="514"/>
    <cellStyle name="20% - Accent5 11" xfId="623"/>
    <cellStyle name="20% - Accent5 12" xfId="732"/>
    <cellStyle name="20% - Accent5 13" xfId="841"/>
    <cellStyle name="20% - Accent5 14" xfId="950"/>
    <cellStyle name="20% - Accent5 15" xfId="1179"/>
    <cellStyle name="20% - Accent5 16" xfId="1397"/>
    <cellStyle name="20% - Accent5 17" xfId="1615"/>
    <cellStyle name="20% - Accent5 18" xfId="1833"/>
    <cellStyle name="20% - Accent5 2" xfId="126"/>
    <cellStyle name="20% - Accent5 2 10" xfId="1161"/>
    <cellStyle name="20% - Accent5 2 11" xfId="1379"/>
    <cellStyle name="20% - Accent5 2 12" xfId="1597"/>
    <cellStyle name="20% - Accent5 2 13" xfId="1815"/>
    <cellStyle name="20% - Accent5 2 2" xfId="216"/>
    <cellStyle name="20% - Accent5 2 2 2" xfId="1045"/>
    <cellStyle name="20% - Accent5 2 2 3" xfId="1270"/>
    <cellStyle name="20% - Accent5 2 2 4" xfId="1488"/>
    <cellStyle name="20% - Accent5 2 2 5" xfId="1706"/>
    <cellStyle name="20% - Accent5 2 2 6" xfId="1924"/>
    <cellStyle name="20% - Accent5 2 3" xfId="267"/>
    <cellStyle name="20% - Accent5 2 4" xfId="387"/>
    <cellStyle name="20% - Accent5 2 5" xfId="496"/>
    <cellStyle name="20% - Accent5 2 6" xfId="605"/>
    <cellStyle name="20% - Accent5 2 7" xfId="714"/>
    <cellStyle name="20% - Accent5 2 8" xfId="823"/>
    <cellStyle name="20% - Accent5 2 9" xfId="932"/>
    <cellStyle name="20% - Accent5 3" xfId="152"/>
    <cellStyle name="20% - Accent5 3 10" xfId="1191"/>
    <cellStyle name="20% - Accent5 3 11" xfId="1409"/>
    <cellStyle name="20% - Accent5 3 12" xfId="1627"/>
    <cellStyle name="20% - Accent5 3 13" xfId="1845"/>
    <cellStyle name="20% - Accent5 3 2" xfId="230"/>
    <cellStyle name="20% - Accent5 3 2 2" xfId="1076"/>
    <cellStyle name="20% - Accent5 3 2 3" xfId="1300"/>
    <cellStyle name="20% - Accent5 3 2 4" xfId="1518"/>
    <cellStyle name="20% - Accent5 3 2 5" xfId="1736"/>
    <cellStyle name="20% - Accent5 3 2 6" xfId="1954"/>
    <cellStyle name="20% - Accent5 3 3" xfId="299"/>
    <cellStyle name="20% - Accent5 3 4" xfId="417"/>
    <cellStyle name="20% - Accent5 3 5" xfId="526"/>
    <cellStyle name="20% - Accent5 3 6" xfId="635"/>
    <cellStyle name="20% - Accent5 3 7" xfId="744"/>
    <cellStyle name="20% - Accent5 3 8" xfId="853"/>
    <cellStyle name="20% - Accent5 3 9" xfId="962"/>
    <cellStyle name="20% - Accent5 4" xfId="171"/>
    <cellStyle name="20% - Accent5 4 10" xfId="1215"/>
    <cellStyle name="20% - Accent5 4 11" xfId="1433"/>
    <cellStyle name="20% - Accent5 4 12" xfId="1651"/>
    <cellStyle name="20% - Accent5 4 13" xfId="1869"/>
    <cellStyle name="20% - Accent5 4 2" xfId="249"/>
    <cellStyle name="20% - Accent5 4 2 2" xfId="1103"/>
    <cellStyle name="20% - Accent5 4 2 3" xfId="1324"/>
    <cellStyle name="20% - Accent5 4 2 4" xfId="1542"/>
    <cellStyle name="20% - Accent5 4 2 5" xfId="1760"/>
    <cellStyle name="20% - Accent5 4 2 6" xfId="1978"/>
    <cellStyle name="20% - Accent5 4 3" xfId="326"/>
    <cellStyle name="20% - Accent5 4 4" xfId="441"/>
    <cellStyle name="20% - Accent5 4 5" xfId="550"/>
    <cellStyle name="20% - Accent5 4 6" xfId="659"/>
    <cellStyle name="20% - Accent5 4 7" xfId="768"/>
    <cellStyle name="20% - Accent5 4 8" xfId="877"/>
    <cellStyle name="20% - Accent5 4 9" xfId="986"/>
    <cellStyle name="20% - Accent5 5" xfId="184"/>
    <cellStyle name="20% - Accent5 5 10" xfId="1446"/>
    <cellStyle name="20% - Accent5 5 11" xfId="1664"/>
    <cellStyle name="20% - Accent5 5 12" xfId="1882"/>
    <cellStyle name="20% - Accent5 5 2" xfId="340"/>
    <cellStyle name="20% - Accent5 5 2 2" xfId="1117"/>
    <cellStyle name="20% - Accent5 5 2 3" xfId="1337"/>
    <cellStyle name="20% - Accent5 5 2 4" xfId="1555"/>
    <cellStyle name="20% - Accent5 5 2 5" xfId="1773"/>
    <cellStyle name="20% - Accent5 5 2 6" xfId="1991"/>
    <cellStyle name="20% - Accent5 5 3" xfId="454"/>
    <cellStyle name="20% - Accent5 5 4" xfId="563"/>
    <cellStyle name="20% - Accent5 5 5" xfId="672"/>
    <cellStyle name="20% - Accent5 5 6" xfId="781"/>
    <cellStyle name="20% - Accent5 5 7" xfId="890"/>
    <cellStyle name="20% - Accent5 5 8" xfId="999"/>
    <cellStyle name="20% - Accent5 5 9" xfId="1228"/>
    <cellStyle name="20% - Accent5 6" xfId="357"/>
    <cellStyle name="20% - Accent5 6 10" xfId="1679"/>
    <cellStyle name="20% - Accent5 6 11" xfId="1897"/>
    <cellStyle name="20% - Accent5 6 2" xfId="469"/>
    <cellStyle name="20% - Accent5 6 2 2" xfId="1133"/>
    <cellStyle name="20% - Accent5 6 2 3" xfId="1352"/>
    <cellStyle name="20% - Accent5 6 2 4" xfId="1570"/>
    <cellStyle name="20% - Accent5 6 2 5" xfId="1788"/>
    <cellStyle name="20% - Accent5 6 2 6" xfId="2006"/>
    <cellStyle name="20% - Accent5 6 3" xfId="578"/>
    <cellStyle name="20% - Accent5 6 4" xfId="687"/>
    <cellStyle name="20% - Accent5 6 5" xfId="796"/>
    <cellStyle name="20% - Accent5 6 6" xfId="905"/>
    <cellStyle name="20% - Accent5 6 7" xfId="1014"/>
    <cellStyle name="20% - Accent5 6 8" xfId="1243"/>
    <cellStyle name="20% - Accent5 6 9" xfId="1461"/>
    <cellStyle name="20% - Accent5 7" xfId="366"/>
    <cellStyle name="20% - Accent5 7 10" xfId="1688"/>
    <cellStyle name="20% - Accent5 7 11" xfId="1906"/>
    <cellStyle name="20% - Accent5 7 2" xfId="478"/>
    <cellStyle name="20% - Accent5 7 2 2" xfId="1142"/>
    <cellStyle name="20% - Accent5 7 2 3" xfId="1361"/>
    <cellStyle name="20% - Accent5 7 2 4" xfId="1579"/>
    <cellStyle name="20% - Accent5 7 2 5" xfId="1797"/>
    <cellStyle name="20% - Accent5 7 2 6" xfId="2015"/>
    <cellStyle name="20% - Accent5 7 3" xfId="587"/>
    <cellStyle name="20% - Accent5 7 4" xfId="696"/>
    <cellStyle name="20% - Accent5 7 5" xfId="805"/>
    <cellStyle name="20% - Accent5 7 6" xfId="914"/>
    <cellStyle name="20% - Accent5 7 7" xfId="1023"/>
    <cellStyle name="20% - Accent5 7 8" xfId="1252"/>
    <cellStyle name="20% - Accent5 7 9" xfId="1470"/>
    <cellStyle name="20% - Accent5 8" xfId="285"/>
    <cellStyle name="20% - Accent5 8 2" xfId="1063"/>
    <cellStyle name="20% - Accent5 8 3" xfId="1288"/>
    <cellStyle name="20% - Accent5 8 4" xfId="1506"/>
    <cellStyle name="20% - Accent5 8 5" xfId="1724"/>
    <cellStyle name="20% - Accent5 8 6" xfId="1942"/>
    <cellStyle name="20% - Accent5 9" xfId="405"/>
    <cellStyle name="20% - Accent6" xfId="11" builtinId="50" customBuiltin="1"/>
    <cellStyle name="20% - Accent6 10" xfId="516"/>
    <cellStyle name="20% - Accent6 11" xfId="625"/>
    <cellStyle name="20% - Accent6 12" xfId="734"/>
    <cellStyle name="20% - Accent6 13" xfId="843"/>
    <cellStyle name="20% - Accent6 14" xfId="952"/>
    <cellStyle name="20% - Accent6 15" xfId="1181"/>
    <cellStyle name="20% - Accent6 16" xfId="1399"/>
    <cellStyle name="20% - Accent6 17" xfId="1617"/>
    <cellStyle name="20% - Accent6 18" xfId="1835"/>
    <cellStyle name="20% - Accent6 2" xfId="127"/>
    <cellStyle name="20% - Accent6 2 10" xfId="1162"/>
    <cellStyle name="20% - Accent6 2 11" xfId="1380"/>
    <cellStyle name="20% - Accent6 2 12" xfId="1598"/>
    <cellStyle name="20% - Accent6 2 13" xfId="1816"/>
    <cellStyle name="20% - Accent6 2 2" xfId="217"/>
    <cellStyle name="20% - Accent6 2 2 2" xfId="1046"/>
    <cellStyle name="20% - Accent6 2 2 3" xfId="1271"/>
    <cellStyle name="20% - Accent6 2 2 4" xfId="1489"/>
    <cellStyle name="20% - Accent6 2 2 5" xfId="1707"/>
    <cellStyle name="20% - Accent6 2 2 6" xfId="1925"/>
    <cellStyle name="20% - Accent6 2 3" xfId="268"/>
    <cellStyle name="20% - Accent6 2 4" xfId="388"/>
    <cellStyle name="20% - Accent6 2 5" xfId="497"/>
    <cellStyle name="20% - Accent6 2 6" xfId="606"/>
    <cellStyle name="20% - Accent6 2 7" xfId="715"/>
    <cellStyle name="20% - Accent6 2 8" xfId="824"/>
    <cellStyle name="20% - Accent6 2 9" xfId="933"/>
    <cellStyle name="20% - Accent6 3" xfId="153"/>
    <cellStyle name="20% - Accent6 3 10" xfId="1192"/>
    <cellStyle name="20% - Accent6 3 11" xfId="1410"/>
    <cellStyle name="20% - Accent6 3 12" xfId="1628"/>
    <cellStyle name="20% - Accent6 3 13" xfId="1846"/>
    <cellStyle name="20% - Accent6 3 2" xfId="231"/>
    <cellStyle name="20% - Accent6 3 2 2" xfId="1077"/>
    <cellStyle name="20% - Accent6 3 2 3" xfId="1301"/>
    <cellStyle name="20% - Accent6 3 2 4" xfId="1519"/>
    <cellStyle name="20% - Accent6 3 2 5" xfId="1737"/>
    <cellStyle name="20% - Accent6 3 2 6" xfId="1955"/>
    <cellStyle name="20% - Accent6 3 3" xfId="300"/>
    <cellStyle name="20% - Accent6 3 4" xfId="418"/>
    <cellStyle name="20% - Accent6 3 5" xfId="527"/>
    <cellStyle name="20% - Accent6 3 6" xfId="636"/>
    <cellStyle name="20% - Accent6 3 7" xfId="745"/>
    <cellStyle name="20% - Accent6 3 8" xfId="854"/>
    <cellStyle name="20% - Accent6 3 9" xfId="963"/>
    <cellStyle name="20% - Accent6 4" xfId="173"/>
    <cellStyle name="20% - Accent6 4 10" xfId="1217"/>
    <cellStyle name="20% - Accent6 4 11" xfId="1435"/>
    <cellStyle name="20% - Accent6 4 12" xfId="1653"/>
    <cellStyle name="20% - Accent6 4 13" xfId="1871"/>
    <cellStyle name="20% - Accent6 4 2" xfId="251"/>
    <cellStyle name="20% - Accent6 4 2 2" xfId="1105"/>
    <cellStyle name="20% - Accent6 4 2 3" xfId="1326"/>
    <cellStyle name="20% - Accent6 4 2 4" xfId="1544"/>
    <cellStyle name="20% - Accent6 4 2 5" xfId="1762"/>
    <cellStyle name="20% - Accent6 4 2 6" xfId="1980"/>
    <cellStyle name="20% - Accent6 4 3" xfId="328"/>
    <cellStyle name="20% - Accent6 4 4" xfId="443"/>
    <cellStyle name="20% - Accent6 4 5" xfId="552"/>
    <cellStyle name="20% - Accent6 4 6" xfId="661"/>
    <cellStyle name="20% - Accent6 4 7" xfId="770"/>
    <cellStyle name="20% - Accent6 4 8" xfId="879"/>
    <cellStyle name="20% - Accent6 4 9" xfId="988"/>
    <cellStyle name="20% - Accent6 5" xfId="185"/>
    <cellStyle name="20% - Accent6 5 10" xfId="1448"/>
    <cellStyle name="20% - Accent6 5 11" xfId="1666"/>
    <cellStyle name="20% - Accent6 5 12" xfId="1884"/>
    <cellStyle name="20% - Accent6 5 2" xfId="342"/>
    <cellStyle name="20% - Accent6 5 2 2" xfId="1119"/>
    <cellStyle name="20% - Accent6 5 2 3" xfId="1339"/>
    <cellStyle name="20% - Accent6 5 2 4" xfId="1557"/>
    <cellStyle name="20% - Accent6 5 2 5" xfId="1775"/>
    <cellStyle name="20% - Accent6 5 2 6" xfId="1993"/>
    <cellStyle name="20% - Accent6 5 3" xfId="456"/>
    <cellStyle name="20% - Accent6 5 4" xfId="565"/>
    <cellStyle name="20% - Accent6 5 5" xfId="674"/>
    <cellStyle name="20% - Accent6 5 6" xfId="783"/>
    <cellStyle name="20% - Accent6 5 7" xfId="892"/>
    <cellStyle name="20% - Accent6 5 8" xfId="1001"/>
    <cellStyle name="20% - Accent6 5 9" xfId="1230"/>
    <cellStyle name="20% - Accent6 6" xfId="359"/>
    <cellStyle name="20% - Accent6 6 10" xfId="1681"/>
    <cellStyle name="20% - Accent6 6 11" xfId="1899"/>
    <cellStyle name="20% - Accent6 6 2" xfId="471"/>
    <cellStyle name="20% - Accent6 6 2 2" xfId="1135"/>
    <cellStyle name="20% - Accent6 6 2 3" xfId="1354"/>
    <cellStyle name="20% - Accent6 6 2 4" xfId="1572"/>
    <cellStyle name="20% - Accent6 6 2 5" xfId="1790"/>
    <cellStyle name="20% - Accent6 6 2 6" xfId="2008"/>
    <cellStyle name="20% - Accent6 6 3" xfId="580"/>
    <cellStyle name="20% - Accent6 6 4" xfId="689"/>
    <cellStyle name="20% - Accent6 6 5" xfId="798"/>
    <cellStyle name="20% - Accent6 6 6" xfId="907"/>
    <cellStyle name="20% - Accent6 6 7" xfId="1016"/>
    <cellStyle name="20% - Accent6 6 8" xfId="1245"/>
    <cellStyle name="20% - Accent6 6 9" xfId="1463"/>
    <cellStyle name="20% - Accent6 7" xfId="367"/>
    <cellStyle name="20% - Accent6 7 10" xfId="1689"/>
    <cellStyle name="20% - Accent6 7 11" xfId="1907"/>
    <cellStyle name="20% - Accent6 7 2" xfId="479"/>
    <cellStyle name="20% - Accent6 7 2 2" xfId="1143"/>
    <cellStyle name="20% - Accent6 7 2 3" xfId="1362"/>
    <cellStyle name="20% - Accent6 7 2 4" xfId="1580"/>
    <cellStyle name="20% - Accent6 7 2 5" xfId="1798"/>
    <cellStyle name="20% - Accent6 7 2 6" xfId="2016"/>
    <cellStyle name="20% - Accent6 7 3" xfId="588"/>
    <cellStyle name="20% - Accent6 7 4" xfId="697"/>
    <cellStyle name="20% - Accent6 7 5" xfId="806"/>
    <cellStyle name="20% - Accent6 7 6" xfId="915"/>
    <cellStyle name="20% - Accent6 7 7" xfId="1024"/>
    <cellStyle name="20% - Accent6 7 8" xfId="1253"/>
    <cellStyle name="20% - Accent6 7 9" xfId="1471"/>
    <cellStyle name="20% - Accent6 8" xfId="287"/>
    <cellStyle name="20% - Accent6 8 2" xfId="1065"/>
    <cellStyle name="20% - Accent6 8 3" xfId="1290"/>
    <cellStyle name="20% - Accent6 8 4" xfId="1508"/>
    <cellStyle name="20% - Accent6 8 5" xfId="1726"/>
    <cellStyle name="20% - Accent6 8 6" xfId="1944"/>
    <cellStyle name="20% - Accent6 9" xfId="407"/>
    <cellStyle name="40% - Accent1" xfId="12" builtinId="31" customBuiltin="1"/>
    <cellStyle name="40% - Accent1 10" xfId="507"/>
    <cellStyle name="40% - Accent1 11" xfId="616"/>
    <cellStyle name="40% - Accent1 12" xfId="725"/>
    <cellStyle name="40% - Accent1 13" xfId="834"/>
    <cellStyle name="40% - Accent1 14" xfId="943"/>
    <cellStyle name="40% - Accent1 15" xfId="1172"/>
    <cellStyle name="40% - Accent1 16" xfId="1390"/>
    <cellStyle name="40% - Accent1 17" xfId="1608"/>
    <cellStyle name="40% - Accent1 18" xfId="1826"/>
    <cellStyle name="40% - Accent1 2" xfId="128"/>
    <cellStyle name="40% - Accent1 2 10" xfId="1163"/>
    <cellStyle name="40% - Accent1 2 11" xfId="1381"/>
    <cellStyle name="40% - Accent1 2 12" xfId="1599"/>
    <cellStyle name="40% - Accent1 2 13" xfId="1817"/>
    <cellStyle name="40% - Accent1 2 2" xfId="218"/>
    <cellStyle name="40% - Accent1 2 2 2" xfId="1047"/>
    <cellStyle name="40% - Accent1 2 2 3" xfId="1272"/>
    <cellStyle name="40% - Accent1 2 2 4" xfId="1490"/>
    <cellStyle name="40% - Accent1 2 2 5" xfId="1708"/>
    <cellStyle name="40% - Accent1 2 2 6" xfId="1926"/>
    <cellStyle name="40% - Accent1 2 3" xfId="269"/>
    <cellStyle name="40% - Accent1 2 4" xfId="389"/>
    <cellStyle name="40% - Accent1 2 5" xfId="498"/>
    <cellStyle name="40% - Accent1 2 6" xfId="607"/>
    <cellStyle name="40% - Accent1 2 7" xfId="716"/>
    <cellStyle name="40% - Accent1 2 8" xfId="825"/>
    <cellStyle name="40% - Accent1 2 9" xfId="934"/>
    <cellStyle name="40% - Accent1 3" xfId="154"/>
    <cellStyle name="40% - Accent1 3 10" xfId="1193"/>
    <cellStyle name="40% - Accent1 3 11" xfId="1411"/>
    <cellStyle name="40% - Accent1 3 12" xfId="1629"/>
    <cellStyle name="40% - Accent1 3 13" xfId="1847"/>
    <cellStyle name="40% - Accent1 3 2" xfId="232"/>
    <cellStyle name="40% - Accent1 3 2 2" xfId="1078"/>
    <cellStyle name="40% - Accent1 3 2 3" xfId="1302"/>
    <cellStyle name="40% - Accent1 3 2 4" xfId="1520"/>
    <cellStyle name="40% - Accent1 3 2 5" xfId="1738"/>
    <cellStyle name="40% - Accent1 3 2 6" xfId="1956"/>
    <cellStyle name="40% - Accent1 3 3" xfId="301"/>
    <cellStyle name="40% - Accent1 3 4" xfId="419"/>
    <cellStyle name="40% - Accent1 3 5" xfId="528"/>
    <cellStyle name="40% - Accent1 3 6" xfId="637"/>
    <cellStyle name="40% - Accent1 3 7" xfId="746"/>
    <cellStyle name="40% - Accent1 3 8" xfId="855"/>
    <cellStyle name="40% - Accent1 3 9" xfId="964"/>
    <cellStyle name="40% - Accent1 4" xfId="164"/>
    <cellStyle name="40% - Accent1 4 10" xfId="1208"/>
    <cellStyle name="40% - Accent1 4 11" xfId="1426"/>
    <cellStyle name="40% - Accent1 4 12" xfId="1644"/>
    <cellStyle name="40% - Accent1 4 13" xfId="1862"/>
    <cellStyle name="40% - Accent1 4 2" xfId="242"/>
    <cellStyle name="40% - Accent1 4 2 2" xfId="1096"/>
    <cellStyle name="40% - Accent1 4 2 3" xfId="1317"/>
    <cellStyle name="40% - Accent1 4 2 4" xfId="1535"/>
    <cellStyle name="40% - Accent1 4 2 5" xfId="1753"/>
    <cellStyle name="40% - Accent1 4 2 6" xfId="1971"/>
    <cellStyle name="40% - Accent1 4 3" xfId="319"/>
    <cellStyle name="40% - Accent1 4 4" xfId="434"/>
    <cellStyle name="40% - Accent1 4 5" xfId="543"/>
    <cellStyle name="40% - Accent1 4 6" xfId="652"/>
    <cellStyle name="40% - Accent1 4 7" xfId="761"/>
    <cellStyle name="40% - Accent1 4 8" xfId="870"/>
    <cellStyle name="40% - Accent1 4 9" xfId="979"/>
    <cellStyle name="40% - Accent1 5" xfId="186"/>
    <cellStyle name="40% - Accent1 5 10" xfId="1439"/>
    <cellStyle name="40% - Accent1 5 11" xfId="1657"/>
    <cellStyle name="40% - Accent1 5 12" xfId="1875"/>
    <cellStyle name="40% - Accent1 5 2" xfId="333"/>
    <cellStyle name="40% - Accent1 5 2 2" xfId="1110"/>
    <cellStyle name="40% - Accent1 5 2 3" xfId="1330"/>
    <cellStyle name="40% - Accent1 5 2 4" xfId="1548"/>
    <cellStyle name="40% - Accent1 5 2 5" xfId="1766"/>
    <cellStyle name="40% - Accent1 5 2 6" xfId="1984"/>
    <cellStyle name="40% - Accent1 5 3" xfId="447"/>
    <cellStyle name="40% - Accent1 5 4" xfId="556"/>
    <cellStyle name="40% - Accent1 5 5" xfId="665"/>
    <cellStyle name="40% - Accent1 5 6" xfId="774"/>
    <cellStyle name="40% - Accent1 5 7" xfId="883"/>
    <cellStyle name="40% - Accent1 5 8" xfId="992"/>
    <cellStyle name="40% - Accent1 5 9" xfId="1221"/>
    <cellStyle name="40% - Accent1 6" xfId="350"/>
    <cellStyle name="40% - Accent1 6 10" xfId="1672"/>
    <cellStyle name="40% - Accent1 6 11" xfId="1890"/>
    <cellStyle name="40% - Accent1 6 2" xfId="462"/>
    <cellStyle name="40% - Accent1 6 2 2" xfId="1126"/>
    <cellStyle name="40% - Accent1 6 2 3" xfId="1345"/>
    <cellStyle name="40% - Accent1 6 2 4" xfId="1563"/>
    <cellStyle name="40% - Accent1 6 2 5" xfId="1781"/>
    <cellStyle name="40% - Accent1 6 2 6" xfId="1999"/>
    <cellStyle name="40% - Accent1 6 3" xfId="571"/>
    <cellStyle name="40% - Accent1 6 4" xfId="680"/>
    <cellStyle name="40% - Accent1 6 5" xfId="789"/>
    <cellStyle name="40% - Accent1 6 6" xfId="898"/>
    <cellStyle name="40% - Accent1 6 7" xfId="1007"/>
    <cellStyle name="40% - Accent1 6 8" xfId="1236"/>
    <cellStyle name="40% - Accent1 6 9" xfId="1454"/>
    <cellStyle name="40% - Accent1 7" xfId="368"/>
    <cellStyle name="40% - Accent1 7 10" xfId="1690"/>
    <cellStyle name="40% - Accent1 7 11" xfId="1908"/>
    <cellStyle name="40% - Accent1 7 2" xfId="480"/>
    <cellStyle name="40% - Accent1 7 2 2" xfId="1144"/>
    <cellStyle name="40% - Accent1 7 2 3" xfId="1363"/>
    <cellStyle name="40% - Accent1 7 2 4" xfId="1581"/>
    <cellStyle name="40% - Accent1 7 2 5" xfId="1799"/>
    <cellStyle name="40% - Accent1 7 2 6" xfId="2017"/>
    <cellStyle name="40% - Accent1 7 3" xfId="589"/>
    <cellStyle name="40% - Accent1 7 4" xfId="698"/>
    <cellStyle name="40% - Accent1 7 5" xfId="807"/>
    <cellStyle name="40% - Accent1 7 6" xfId="916"/>
    <cellStyle name="40% - Accent1 7 7" xfId="1025"/>
    <cellStyle name="40% - Accent1 7 8" xfId="1254"/>
    <cellStyle name="40% - Accent1 7 9" xfId="1472"/>
    <cellStyle name="40% - Accent1 8" xfId="278"/>
    <cellStyle name="40% - Accent1 8 2" xfId="1056"/>
    <cellStyle name="40% - Accent1 8 3" xfId="1281"/>
    <cellStyle name="40% - Accent1 8 4" xfId="1499"/>
    <cellStyle name="40% - Accent1 8 5" xfId="1717"/>
    <cellStyle name="40% - Accent1 8 6" xfId="1935"/>
    <cellStyle name="40% - Accent1 9" xfId="398"/>
    <cellStyle name="40% - Accent2" xfId="13" builtinId="35" customBuiltin="1"/>
    <cellStyle name="40% - Accent2 10" xfId="509"/>
    <cellStyle name="40% - Accent2 11" xfId="618"/>
    <cellStyle name="40% - Accent2 12" xfId="727"/>
    <cellStyle name="40% - Accent2 13" xfId="836"/>
    <cellStyle name="40% - Accent2 14" xfId="945"/>
    <cellStyle name="40% - Accent2 15" xfId="1174"/>
    <cellStyle name="40% - Accent2 16" xfId="1392"/>
    <cellStyle name="40% - Accent2 17" xfId="1610"/>
    <cellStyle name="40% - Accent2 18" xfId="1828"/>
    <cellStyle name="40% - Accent2 2" xfId="129"/>
    <cellStyle name="40% - Accent2 2 10" xfId="1164"/>
    <cellStyle name="40% - Accent2 2 11" xfId="1382"/>
    <cellStyle name="40% - Accent2 2 12" xfId="1600"/>
    <cellStyle name="40% - Accent2 2 13" xfId="1818"/>
    <cellStyle name="40% - Accent2 2 2" xfId="219"/>
    <cellStyle name="40% - Accent2 2 2 2" xfId="1048"/>
    <cellStyle name="40% - Accent2 2 2 3" xfId="1273"/>
    <cellStyle name="40% - Accent2 2 2 4" xfId="1491"/>
    <cellStyle name="40% - Accent2 2 2 5" xfId="1709"/>
    <cellStyle name="40% - Accent2 2 2 6" xfId="1927"/>
    <cellStyle name="40% - Accent2 2 3" xfId="270"/>
    <cellStyle name="40% - Accent2 2 4" xfId="390"/>
    <cellStyle name="40% - Accent2 2 5" xfId="499"/>
    <cellStyle name="40% - Accent2 2 6" xfId="608"/>
    <cellStyle name="40% - Accent2 2 7" xfId="717"/>
    <cellStyle name="40% - Accent2 2 8" xfId="826"/>
    <cellStyle name="40% - Accent2 2 9" xfId="935"/>
    <cellStyle name="40% - Accent2 3" xfId="155"/>
    <cellStyle name="40% - Accent2 3 10" xfId="1194"/>
    <cellStyle name="40% - Accent2 3 11" xfId="1412"/>
    <cellStyle name="40% - Accent2 3 12" xfId="1630"/>
    <cellStyle name="40% - Accent2 3 13" xfId="1848"/>
    <cellStyle name="40% - Accent2 3 2" xfId="233"/>
    <cellStyle name="40% - Accent2 3 2 2" xfId="1079"/>
    <cellStyle name="40% - Accent2 3 2 3" xfId="1303"/>
    <cellStyle name="40% - Accent2 3 2 4" xfId="1521"/>
    <cellStyle name="40% - Accent2 3 2 5" xfId="1739"/>
    <cellStyle name="40% - Accent2 3 2 6" xfId="1957"/>
    <cellStyle name="40% - Accent2 3 3" xfId="302"/>
    <cellStyle name="40% - Accent2 3 4" xfId="420"/>
    <cellStyle name="40% - Accent2 3 5" xfId="529"/>
    <cellStyle name="40% - Accent2 3 6" xfId="638"/>
    <cellStyle name="40% - Accent2 3 7" xfId="747"/>
    <cellStyle name="40% - Accent2 3 8" xfId="856"/>
    <cellStyle name="40% - Accent2 3 9" xfId="965"/>
    <cellStyle name="40% - Accent2 4" xfId="166"/>
    <cellStyle name="40% - Accent2 4 10" xfId="1210"/>
    <cellStyle name="40% - Accent2 4 11" xfId="1428"/>
    <cellStyle name="40% - Accent2 4 12" xfId="1646"/>
    <cellStyle name="40% - Accent2 4 13" xfId="1864"/>
    <cellStyle name="40% - Accent2 4 2" xfId="244"/>
    <cellStyle name="40% - Accent2 4 2 2" xfId="1098"/>
    <cellStyle name="40% - Accent2 4 2 3" xfId="1319"/>
    <cellStyle name="40% - Accent2 4 2 4" xfId="1537"/>
    <cellStyle name="40% - Accent2 4 2 5" xfId="1755"/>
    <cellStyle name="40% - Accent2 4 2 6" xfId="1973"/>
    <cellStyle name="40% - Accent2 4 3" xfId="321"/>
    <cellStyle name="40% - Accent2 4 4" xfId="436"/>
    <cellStyle name="40% - Accent2 4 5" xfId="545"/>
    <cellStyle name="40% - Accent2 4 6" xfId="654"/>
    <cellStyle name="40% - Accent2 4 7" xfId="763"/>
    <cellStyle name="40% - Accent2 4 8" xfId="872"/>
    <cellStyle name="40% - Accent2 4 9" xfId="981"/>
    <cellStyle name="40% - Accent2 5" xfId="187"/>
    <cellStyle name="40% - Accent2 5 10" xfId="1441"/>
    <cellStyle name="40% - Accent2 5 11" xfId="1659"/>
    <cellStyle name="40% - Accent2 5 12" xfId="1877"/>
    <cellStyle name="40% - Accent2 5 2" xfId="335"/>
    <cellStyle name="40% - Accent2 5 2 2" xfId="1112"/>
    <cellStyle name="40% - Accent2 5 2 3" xfId="1332"/>
    <cellStyle name="40% - Accent2 5 2 4" xfId="1550"/>
    <cellStyle name="40% - Accent2 5 2 5" xfId="1768"/>
    <cellStyle name="40% - Accent2 5 2 6" xfId="1986"/>
    <cellStyle name="40% - Accent2 5 3" xfId="449"/>
    <cellStyle name="40% - Accent2 5 4" xfId="558"/>
    <cellStyle name="40% - Accent2 5 5" xfId="667"/>
    <cellStyle name="40% - Accent2 5 6" xfId="776"/>
    <cellStyle name="40% - Accent2 5 7" xfId="885"/>
    <cellStyle name="40% - Accent2 5 8" xfId="994"/>
    <cellStyle name="40% - Accent2 5 9" xfId="1223"/>
    <cellStyle name="40% - Accent2 6" xfId="352"/>
    <cellStyle name="40% - Accent2 6 10" xfId="1674"/>
    <cellStyle name="40% - Accent2 6 11" xfId="1892"/>
    <cellStyle name="40% - Accent2 6 2" xfId="464"/>
    <cellStyle name="40% - Accent2 6 2 2" xfId="1128"/>
    <cellStyle name="40% - Accent2 6 2 3" xfId="1347"/>
    <cellStyle name="40% - Accent2 6 2 4" xfId="1565"/>
    <cellStyle name="40% - Accent2 6 2 5" xfId="1783"/>
    <cellStyle name="40% - Accent2 6 2 6" xfId="2001"/>
    <cellStyle name="40% - Accent2 6 3" xfId="573"/>
    <cellStyle name="40% - Accent2 6 4" xfId="682"/>
    <cellStyle name="40% - Accent2 6 5" xfId="791"/>
    <cellStyle name="40% - Accent2 6 6" xfId="900"/>
    <cellStyle name="40% - Accent2 6 7" xfId="1009"/>
    <cellStyle name="40% - Accent2 6 8" xfId="1238"/>
    <cellStyle name="40% - Accent2 6 9" xfId="1456"/>
    <cellStyle name="40% - Accent2 7" xfId="369"/>
    <cellStyle name="40% - Accent2 7 10" xfId="1691"/>
    <cellStyle name="40% - Accent2 7 11" xfId="1909"/>
    <cellStyle name="40% - Accent2 7 2" xfId="481"/>
    <cellStyle name="40% - Accent2 7 2 2" xfId="1145"/>
    <cellStyle name="40% - Accent2 7 2 3" xfId="1364"/>
    <cellStyle name="40% - Accent2 7 2 4" xfId="1582"/>
    <cellStyle name="40% - Accent2 7 2 5" xfId="1800"/>
    <cellStyle name="40% - Accent2 7 2 6" xfId="2018"/>
    <cellStyle name="40% - Accent2 7 3" xfId="590"/>
    <cellStyle name="40% - Accent2 7 4" xfId="699"/>
    <cellStyle name="40% - Accent2 7 5" xfId="808"/>
    <cellStyle name="40% - Accent2 7 6" xfId="917"/>
    <cellStyle name="40% - Accent2 7 7" xfId="1026"/>
    <cellStyle name="40% - Accent2 7 8" xfId="1255"/>
    <cellStyle name="40% - Accent2 7 9" xfId="1473"/>
    <cellStyle name="40% - Accent2 8" xfId="280"/>
    <cellStyle name="40% - Accent2 8 2" xfId="1058"/>
    <cellStyle name="40% - Accent2 8 3" xfId="1283"/>
    <cellStyle name="40% - Accent2 8 4" xfId="1501"/>
    <cellStyle name="40% - Accent2 8 5" xfId="1719"/>
    <cellStyle name="40% - Accent2 8 6" xfId="1937"/>
    <cellStyle name="40% - Accent2 9" xfId="400"/>
    <cellStyle name="40% - Accent3" xfId="14" builtinId="39" customBuiltin="1"/>
    <cellStyle name="40% - Accent3 10" xfId="511"/>
    <cellStyle name="40% - Accent3 11" xfId="620"/>
    <cellStyle name="40% - Accent3 12" xfId="729"/>
    <cellStyle name="40% - Accent3 13" xfId="838"/>
    <cellStyle name="40% - Accent3 14" xfId="947"/>
    <cellStyle name="40% - Accent3 15" xfId="1176"/>
    <cellStyle name="40% - Accent3 16" xfId="1394"/>
    <cellStyle name="40% - Accent3 17" xfId="1612"/>
    <cellStyle name="40% - Accent3 18" xfId="1830"/>
    <cellStyle name="40% - Accent3 2" xfId="130"/>
    <cellStyle name="40% - Accent3 2 10" xfId="1165"/>
    <cellStyle name="40% - Accent3 2 11" xfId="1383"/>
    <cellStyle name="40% - Accent3 2 12" xfId="1601"/>
    <cellStyle name="40% - Accent3 2 13" xfId="1819"/>
    <cellStyle name="40% - Accent3 2 2" xfId="220"/>
    <cellStyle name="40% - Accent3 2 2 2" xfId="1049"/>
    <cellStyle name="40% - Accent3 2 2 3" xfId="1274"/>
    <cellStyle name="40% - Accent3 2 2 4" xfId="1492"/>
    <cellStyle name="40% - Accent3 2 2 5" xfId="1710"/>
    <cellStyle name="40% - Accent3 2 2 6" xfId="1928"/>
    <cellStyle name="40% - Accent3 2 3" xfId="271"/>
    <cellStyle name="40% - Accent3 2 4" xfId="391"/>
    <cellStyle name="40% - Accent3 2 5" xfId="500"/>
    <cellStyle name="40% - Accent3 2 6" xfId="609"/>
    <cellStyle name="40% - Accent3 2 7" xfId="718"/>
    <cellStyle name="40% - Accent3 2 8" xfId="827"/>
    <cellStyle name="40% - Accent3 2 9" xfId="936"/>
    <cellStyle name="40% - Accent3 3" xfId="156"/>
    <cellStyle name="40% - Accent3 3 10" xfId="1195"/>
    <cellStyle name="40% - Accent3 3 11" xfId="1413"/>
    <cellStyle name="40% - Accent3 3 12" xfId="1631"/>
    <cellStyle name="40% - Accent3 3 13" xfId="1849"/>
    <cellStyle name="40% - Accent3 3 2" xfId="234"/>
    <cellStyle name="40% - Accent3 3 2 2" xfId="1080"/>
    <cellStyle name="40% - Accent3 3 2 3" xfId="1304"/>
    <cellStyle name="40% - Accent3 3 2 4" xfId="1522"/>
    <cellStyle name="40% - Accent3 3 2 5" xfId="1740"/>
    <cellStyle name="40% - Accent3 3 2 6" xfId="1958"/>
    <cellStyle name="40% - Accent3 3 3" xfId="303"/>
    <cellStyle name="40% - Accent3 3 4" xfId="421"/>
    <cellStyle name="40% - Accent3 3 5" xfId="530"/>
    <cellStyle name="40% - Accent3 3 6" xfId="639"/>
    <cellStyle name="40% - Accent3 3 7" xfId="748"/>
    <cellStyle name="40% - Accent3 3 8" xfId="857"/>
    <cellStyle name="40% - Accent3 3 9" xfId="966"/>
    <cellStyle name="40% - Accent3 4" xfId="168"/>
    <cellStyle name="40% - Accent3 4 10" xfId="1212"/>
    <cellStyle name="40% - Accent3 4 11" xfId="1430"/>
    <cellStyle name="40% - Accent3 4 12" xfId="1648"/>
    <cellStyle name="40% - Accent3 4 13" xfId="1866"/>
    <cellStyle name="40% - Accent3 4 2" xfId="246"/>
    <cellStyle name="40% - Accent3 4 2 2" xfId="1100"/>
    <cellStyle name="40% - Accent3 4 2 3" xfId="1321"/>
    <cellStyle name="40% - Accent3 4 2 4" xfId="1539"/>
    <cellStyle name="40% - Accent3 4 2 5" xfId="1757"/>
    <cellStyle name="40% - Accent3 4 2 6" xfId="1975"/>
    <cellStyle name="40% - Accent3 4 3" xfId="323"/>
    <cellStyle name="40% - Accent3 4 4" xfId="438"/>
    <cellStyle name="40% - Accent3 4 5" xfId="547"/>
    <cellStyle name="40% - Accent3 4 6" xfId="656"/>
    <cellStyle name="40% - Accent3 4 7" xfId="765"/>
    <cellStyle name="40% - Accent3 4 8" xfId="874"/>
    <cellStyle name="40% - Accent3 4 9" xfId="983"/>
    <cellStyle name="40% - Accent3 5" xfId="188"/>
    <cellStyle name="40% - Accent3 5 10" xfId="1443"/>
    <cellStyle name="40% - Accent3 5 11" xfId="1661"/>
    <cellStyle name="40% - Accent3 5 12" xfId="1879"/>
    <cellStyle name="40% - Accent3 5 2" xfId="337"/>
    <cellStyle name="40% - Accent3 5 2 2" xfId="1114"/>
    <cellStyle name="40% - Accent3 5 2 3" xfId="1334"/>
    <cellStyle name="40% - Accent3 5 2 4" xfId="1552"/>
    <cellStyle name="40% - Accent3 5 2 5" xfId="1770"/>
    <cellStyle name="40% - Accent3 5 2 6" xfId="1988"/>
    <cellStyle name="40% - Accent3 5 3" xfId="451"/>
    <cellStyle name="40% - Accent3 5 4" xfId="560"/>
    <cellStyle name="40% - Accent3 5 5" xfId="669"/>
    <cellStyle name="40% - Accent3 5 6" xfId="778"/>
    <cellStyle name="40% - Accent3 5 7" xfId="887"/>
    <cellStyle name="40% - Accent3 5 8" xfId="996"/>
    <cellStyle name="40% - Accent3 5 9" xfId="1225"/>
    <cellStyle name="40% - Accent3 6" xfId="354"/>
    <cellStyle name="40% - Accent3 6 10" xfId="1676"/>
    <cellStyle name="40% - Accent3 6 11" xfId="1894"/>
    <cellStyle name="40% - Accent3 6 2" xfId="466"/>
    <cellStyle name="40% - Accent3 6 2 2" xfId="1130"/>
    <cellStyle name="40% - Accent3 6 2 3" xfId="1349"/>
    <cellStyle name="40% - Accent3 6 2 4" xfId="1567"/>
    <cellStyle name="40% - Accent3 6 2 5" xfId="1785"/>
    <cellStyle name="40% - Accent3 6 2 6" xfId="2003"/>
    <cellStyle name="40% - Accent3 6 3" xfId="575"/>
    <cellStyle name="40% - Accent3 6 4" xfId="684"/>
    <cellStyle name="40% - Accent3 6 5" xfId="793"/>
    <cellStyle name="40% - Accent3 6 6" xfId="902"/>
    <cellStyle name="40% - Accent3 6 7" xfId="1011"/>
    <cellStyle name="40% - Accent3 6 8" xfId="1240"/>
    <cellStyle name="40% - Accent3 6 9" xfId="1458"/>
    <cellStyle name="40% - Accent3 7" xfId="370"/>
    <cellStyle name="40% - Accent3 7 10" xfId="1692"/>
    <cellStyle name="40% - Accent3 7 11" xfId="1910"/>
    <cellStyle name="40% - Accent3 7 2" xfId="482"/>
    <cellStyle name="40% - Accent3 7 2 2" xfId="1146"/>
    <cellStyle name="40% - Accent3 7 2 3" xfId="1365"/>
    <cellStyle name="40% - Accent3 7 2 4" xfId="1583"/>
    <cellStyle name="40% - Accent3 7 2 5" xfId="1801"/>
    <cellStyle name="40% - Accent3 7 2 6" xfId="2019"/>
    <cellStyle name="40% - Accent3 7 3" xfId="591"/>
    <cellStyle name="40% - Accent3 7 4" xfId="700"/>
    <cellStyle name="40% - Accent3 7 5" xfId="809"/>
    <cellStyle name="40% - Accent3 7 6" xfId="918"/>
    <cellStyle name="40% - Accent3 7 7" xfId="1027"/>
    <cellStyle name="40% - Accent3 7 8" xfId="1256"/>
    <cellStyle name="40% - Accent3 7 9" xfId="1474"/>
    <cellStyle name="40% - Accent3 8" xfId="282"/>
    <cellStyle name="40% - Accent3 8 2" xfId="1060"/>
    <cellStyle name="40% - Accent3 8 3" xfId="1285"/>
    <cellStyle name="40% - Accent3 8 4" xfId="1503"/>
    <cellStyle name="40% - Accent3 8 5" xfId="1721"/>
    <cellStyle name="40% - Accent3 8 6" xfId="1939"/>
    <cellStyle name="40% - Accent3 9" xfId="402"/>
    <cellStyle name="40% - Accent4" xfId="15" builtinId="43" customBuiltin="1"/>
    <cellStyle name="40% - Accent4 10" xfId="513"/>
    <cellStyle name="40% - Accent4 11" xfId="622"/>
    <cellStyle name="40% - Accent4 12" xfId="731"/>
    <cellStyle name="40% - Accent4 13" xfId="840"/>
    <cellStyle name="40% - Accent4 14" xfId="949"/>
    <cellStyle name="40% - Accent4 15" xfId="1178"/>
    <cellStyle name="40% - Accent4 16" xfId="1396"/>
    <cellStyle name="40% - Accent4 17" xfId="1614"/>
    <cellStyle name="40% - Accent4 18" xfId="1832"/>
    <cellStyle name="40% - Accent4 2" xfId="131"/>
    <cellStyle name="40% - Accent4 2 10" xfId="1166"/>
    <cellStyle name="40% - Accent4 2 11" xfId="1384"/>
    <cellStyle name="40% - Accent4 2 12" xfId="1602"/>
    <cellStyle name="40% - Accent4 2 13" xfId="1820"/>
    <cellStyle name="40% - Accent4 2 2" xfId="221"/>
    <cellStyle name="40% - Accent4 2 2 2" xfId="1050"/>
    <cellStyle name="40% - Accent4 2 2 3" xfId="1275"/>
    <cellStyle name="40% - Accent4 2 2 4" xfId="1493"/>
    <cellStyle name="40% - Accent4 2 2 5" xfId="1711"/>
    <cellStyle name="40% - Accent4 2 2 6" xfId="1929"/>
    <cellStyle name="40% - Accent4 2 3" xfId="272"/>
    <cellStyle name="40% - Accent4 2 4" xfId="392"/>
    <cellStyle name="40% - Accent4 2 5" xfId="501"/>
    <cellStyle name="40% - Accent4 2 6" xfId="610"/>
    <cellStyle name="40% - Accent4 2 7" xfId="719"/>
    <cellStyle name="40% - Accent4 2 8" xfId="828"/>
    <cellStyle name="40% - Accent4 2 9" xfId="937"/>
    <cellStyle name="40% - Accent4 3" xfId="157"/>
    <cellStyle name="40% - Accent4 3 10" xfId="1196"/>
    <cellStyle name="40% - Accent4 3 11" xfId="1414"/>
    <cellStyle name="40% - Accent4 3 12" xfId="1632"/>
    <cellStyle name="40% - Accent4 3 13" xfId="1850"/>
    <cellStyle name="40% - Accent4 3 2" xfId="235"/>
    <cellStyle name="40% - Accent4 3 2 2" xfId="1081"/>
    <cellStyle name="40% - Accent4 3 2 3" xfId="1305"/>
    <cellStyle name="40% - Accent4 3 2 4" xfId="1523"/>
    <cellStyle name="40% - Accent4 3 2 5" xfId="1741"/>
    <cellStyle name="40% - Accent4 3 2 6" xfId="1959"/>
    <cellStyle name="40% - Accent4 3 3" xfId="304"/>
    <cellStyle name="40% - Accent4 3 4" xfId="422"/>
    <cellStyle name="40% - Accent4 3 5" xfId="531"/>
    <cellStyle name="40% - Accent4 3 6" xfId="640"/>
    <cellStyle name="40% - Accent4 3 7" xfId="749"/>
    <cellStyle name="40% - Accent4 3 8" xfId="858"/>
    <cellStyle name="40% - Accent4 3 9" xfId="967"/>
    <cellStyle name="40% - Accent4 4" xfId="170"/>
    <cellStyle name="40% - Accent4 4 10" xfId="1214"/>
    <cellStyle name="40% - Accent4 4 11" xfId="1432"/>
    <cellStyle name="40% - Accent4 4 12" xfId="1650"/>
    <cellStyle name="40% - Accent4 4 13" xfId="1868"/>
    <cellStyle name="40% - Accent4 4 2" xfId="248"/>
    <cellStyle name="40% - Accent4 4 2 2" xfId="1102"/>
    <cellStyle name="40% - Accent4 4 2 3" xfId="1323"/>
    <cellStyle name="40% - Accent4 4 2 4" xfId="1541"/>
    <cellStyle name="40% - Accent4 4 2 5" xfId="1759"/>
    <cellStyle name="40% - Accent4 4 2 6" xfId="1977"/>
    <cellStyle name="40% - Accent4 4 3" xfId="325"/>
    <cellStyle name="40% - Accent4 4 4" xfId="440"/>
    <cellStyle name="40% - Accent4 4 5" xfId="549"/>
    <cellStyle name="40% - Accent4 4 6" xfId="658"/>
    <cellStyle name="40% - Accent4 4 7" xfId="767"/>
    <cellStyle name="40% - Accent4 4 8" xfId="876"/>
    <cellStyle name="40% - Accent4 4 9" xfId="985"/>
    <cellStyle name="40% - Accent4 5" xfId="189"/>
    <cellStyle name="40% - Accent4 5 10" xfId="1445"/>
    <cellStyle name="40% - Accent4 5 11" xfId="1663"/>
    <cellStyle name="40% - Accent4 5 12" xfId="1881"/>
    <cellStyle name="40% - Accent4 5 2" xfId="339"/>
    <cellStyle name="40% - Accent4 5 2 2" xfId="1116"/>
    <cellStyle name="40% - Accent4 5 2 3" xfId="1336"/>
    <cellStyle name="40% - Accent4 5 2 4" xfId="1554"/>
    <cellStyle name="40% - Accent4 5 2 5" xfId="1772"/>
    <cellStyle name="40% - Accent4 5 2 6" xfId="1990"/>
    <cellStyle name="40% - Accent4 5 3" xfId="453"/>
    <cellStyle name="40% - Accent4 5 4" xfId="562"/>
    <cellStyle name="40% - Accent4 5 5" xfId="671"/>
    <cellStyle name="40% - Accent4 5 6" xfId="780"/>
    <cellStyle name="40% - Accent4 5 7" xfId="889"/>
    <cellStyle name="40% - Accent4 5 8" xfId="998"/>
    <cellStyle name="40% - Accent4 5 9" xfId="1227"/>
    <cellStyle name="40% - Accent4 6" xfId="356"/>
    <cellStyle name="40% - Accent4 6 10" xfId="1678"/>
    <cellStyle name="40% - Accent4 6 11" xfId="1896"/>
    <cellStyle name="40% - Accent4 6 2" xfId="468"/>
    <cellStyle name="40% - Accent4 6 2 2" xfId="1132"/>
    <cellStyle name="40% - Accent4 6 2 3" xfId="1351"/>
    <cellStyle name="40% - Accent4 6 2 4" xfId="1569"/>
    <cellStyle name="40% - Accent4 6 2 5" xfId="1787"/>
    <cellStyle name="40% - Accent4 6 2 6" xfId="2005"/>
    <cellStyle name="40% - Accent4 6 3" xfId="577"/>
    <cellStyle name="40% - Accent4 6 4" xfId="686"/>
    <cellStyle name="40% - Accent4 6 5" xfId="795"/>
    <cellStyle name="40% - Accent4 6 6" xfId="904"/>
    <cellStyle name="40% - Accent4 6 7" xfId="1013"/>
    <cellStyle name="40% - Accent4 6 8" xfId="1242"/>
    <cellStyle name="40% - Accent4 6 9" xfId="1460"/>
    <cellStyle name="40% - Accent4 7" xfId="371"/>
    <cellStyle name="40% - Accent4 7 10" xfId="1693"/>
    <cellStyle name="40% - Accent4 7 11" xfId="1911"/>
    <cellStyle name="40% - Accent4 7 2" xfId="483"/>
    <cellStyle name="40% - Accent4 7 2 2" xfId="1147"/>
    <cellStyle name="40% - Accent4 7 2 3" xfId="1366"/>
    <cellStyle name="40% - Accent4 7 2 4" xfId="1584"/>
    <cellStyle name="40% - Accent4 7 2 5" xfId="1802"/>
    <cellStyle name="40% - Accent4 7 2 6" xfId="2020"/>
    <cellStyle name="40% - Accent4 7 3" xfId="592"/>
    <cellStyle name="40% - Accent4 7 4" xfId="701"/>
    <cellStyle name="40% - Accent4 7 5" xfId="810"/>
    <cellStyle name="40% - Accent4 7 6" xfId="919"/>
    <cellStyle name="40% - Accent4 7 7" xfId="1028"/>
    <cellStyle name="40% - Accent4 7 8" xfId="1257"/>
    <cellStyle name="40% - Accent4 7 9" xfId="1475"/>
    <cellStyle name="40% - Accent4 8" xfId="284"/>
    <cellStyle name="40% - Accent4 8 2" xfId="1062"/>
    <cellStyle name="40% - Accent4 8 3" xfId="1287"/>
    <cellStyle name="40% - Accent4 8 4" xfId="1505"/>
    <cellStyle name="40% - Accent4 8 5" xfId="1723"/>
    <cellStyle name="40% - Accent4 8 6" xfId="1941"/>
    <cellStyle name="40% - Accent4 9" xfId="404"/>
    <cellStyle name="40% - Accent5" xfId="16" builtinId="47" customBuiltin="1"/>
    <cellStyle name="40% - Accent5 10" xfId="515"/>
    <cellStyle name="40% - Accent5 11" xfId="624"/>
    <cellStyle name="40% - Accent5 12" xfId="733"/>
    <cellStyle name="40% - Accent5 13" xfId="842"/>
    <cellStyle name="40% - Accent5 14" xfId="951"/>
    <cellStyle name="40% - Accent5 15" xfId="1180"/>
    <cellStyle name="40% - Accent5 16" xfId="1398"/>
    <cellStyle name="40% - Accent5 17" xfId="1616"/>
    <cellStyle name="40% - Accent5 18" xfId="1834"/>
    <cellStyle name="40% - Accent5 2" xfId="132"/>
    <cellStyle name="40% - Accent5 2 10" xfId="1167"/>
    <cellStyle name="40% - Accent5 2 11" xfId="1385"/>
    <cellStyle name="40% - Accent5 2 12" xfId="1603"/>
    <cellStyle name="40% - Accent5 2 13" xfId="1821"/>
    <cellStyle name="40% - Accent5 2 2" xfId="222"/>
    <cellStyle name="40% - Accent5 2 2 2" xfId="1051"/>
    <cellStyle name="40% - Accent5 2 2 3" xfId="1276"/>
    <cellStyle name="40% - Accent5 2 2 4" xfId="1494"/>
    <cellStyle name="40% - Accent5 2 2 5" xfId="1712"/>
    <cellStyle name="40% - Accent5 2 2 6" xfId="1930"/>
    <cellStyle name="40% - Accent5 2 3" xfId="273"/>
    <cellStyle name="40% - Accent5 2 4" xfId="393"/>
    <cellStyle name="40% - Accent5 2 5" xfId="502"/>
    <cellStyle name="40% - Accent5 2 6" xfId="611"/>
    <cellStyle name="40% - Accent5 2 7" xfId="720"/>
    <cellStyle name="40% - Accent5 2 8" xfId="829"/>
    <cellStyle name="40% - Accent5 2 9" xfId="938"/>
    <cellStyle name="40% - Accent5 3" xfId="158"/>
    <cellStyle name="40% - Accent5 3 10" xfId="1197"/>
    <cellStyle name="40% - Accent5 3 11" xfId="1415"/>
    <cellStyle name="40% - Accent5 3 12" xfId="1633"/>
    <cellStyle name="40% - Accent5 3 13" xfId="1851"/>
    <cellStyle name="40% - Accent5 3 2" xfId="236"/>
    <cellStyle name="40% - Accent5 3 2 2" xfId="1082"/>
    <cellStyle name="40% - Accent5 3 2 3" xfId="1306"/>
    <cellStyle name="40% - Accent5 3 2 4" xfId="1524"/>
    <cellStyle name="40% - Accent5 3 2 5" xfId="1742"/>
    <cellStyle name="40% - Accent5 3 2 6" xfId="1960"/>
    <cellStyle name="40% - Accent5 3 3" xfId="305"/>
    <cellStyle name="40% - Accent5 3 4" xfId="423"/>
    <cellStyle name="40% - Accent5 3 5" xfId="532"/>
    <cellStyle name="40% - Accent5 3 6" xfId="641"/>
    <cellStyle name="40% - Accent5 3 7" xfId="750"/>
    <cellStyle name="40% - Accent5 3 8" xfId="859"/>
    <cellStyle name="40% - Accent5 3 9" xfId="968"/>
    <cellStyle name="40% - Accent5 4" xfId="172"/>
    <cellStyle name="40% - Accent5 4 10" xfId="1216"/>
    <cellStyle name="40% - Accent5 4 11" xfId="1434"/>
    <cellStyle name="40% - Accent5 4 12" xfId="1652"/>
    <cellStyle name="40% - Accent5 4 13" xfId="1870"/>
    <cellStyle name="40% - Accent5 4 2" xfId="250"/>
    <cellStyle name="40% - Accent5 4 2 2" xfId="1104"/>
    <cellStyle name="40% - Accent5 4 2 3" xfId="1325"/>
    <cellStyle name="40% - Accent5 4 2 4" xfId="1543"/>
    <cellStyle name="40% - Accent5 4 2 5" xfId="1761"/>
    <cellStyle name="40% - Accent5 4 2 6" xfId="1979"/>
    <cellStyle name="40% - Accent5 4 3" xfId="327"/>
    <cellStyle name="40% - Accent5 4 4" xfId="442"/>
    <cellStyle name="40% - Accent5 4 5" xfId="551"/>
    <cellStyle name="40% - Accent5 4 6" xfId="660"/>
    <cellStyle name="40% - Accent5 4 7" xfId="769"/>
    <cellStyle name="40% - Accent5 4 8" xfId="878"/>
    <cellStyle name="40% - Accent5 4 9" xfId="987"/>
    <cellStyle name="40% - Accent5 5" xfId="190"/>
    <cellStyle name="40% - Accent5 5 10" xfId="1447"/>
    <cellStyle name="40% - Accent5 5 11" xfId="1665"/>
    <cellStyle name="40% - Accent5 5 12" xfId="1883"/>
    <cellStyle name="40% - Accent5 5 2" xfId="341"/>
    <cellStyle name="40% - Accent5 5 2 2" xfId="1118"/>
    <cellStyle name="40% - Accent5 5 2 3" xfId="1338"/>
    <cellStyle name="40% - Accent5 5 2 4" xfId="1556"/>
    <cellStyle name="40% - Accent5 5 2 5" xfId="1774"/>
    <cellStyle name="40% - Accent5 5 2 6" xfId="1992"/>
    <cellStyle name="40% - Accent5 5 3" xfId="455"/>
    <cellStyle name="40% - Accent5 5 4" xfId="564"/>
    <cellStyle name="40% - Accent5 5 5" xfId="673"/>
    <cellStyle name="40% - Accent5 5 6" xfId="782"/>
    <cellStyle name="40% - Accent5 5 7" xfId="891"/>
    <cellStyle name="40% - Accent5 5 8" xfId="1000"/>
    <cellStyle name="40% - Accent5 5 9" xfId="1229"/>
    <cellStyle name="40% - Accent5 6" xfId="358"/>
    <cellStyle name="40% - Accent5 6 10" xfId="1680"/>
    <cellStyle name="40% - Accent5 6 11" xfId="1898"/>
    <cellStyle name="40% - Accent5 6 2" xfId="470"/>
    <cellStyle name="40% - Accent5 6 2 2" xfId="1134"/>
    <cellStyle name="40% - Accent5 6 2 3" xfId="1353"/>
    <cellStyle name="40% - Accent5 6 2 4" xfId="1571"/>
    <cellStyle name="40% - Accent5 6 2 5" xfId="1789"/>
    <cellStyle name="40% - Accent5 6 2 6" xfId="2007"/>
    <cellStyle name="40% - Accent5 6 3" xfId="579"/>
    <cellStyle name="40% - Accent5 6 4" xfId="688"/>
    <cellStyle name="40% - Accent5 6 5" xfId="797"/>
    <cellStyle name="40% - Accent5 6 6" xfId="906"/>
    <cellStyle name="40% - Accent5 6 7" xfId="1015"/>
    <cellStyle name="40% - Accent5 6 8" xfId="1244"/>
    <cellStyle name="40% - Accent5 6 9" xfId="1462"/>
    <cellStyle name="40% - Accent5 7" xfId="372"/>
    <cellStyle name="40% - Accent5 7 10" xfId="1694"/>
    <cellStyle name="40% - Accent5 7 11" xfId="1912"/>
    <cellStyle name="40% - Accent5 7 2" xfId="484"/>
    <cellStyle name="40% - Accent5 7 2 2" xfId="1148"/>
    <cellStyle name="40% - Accent5 7 2 3" xfId="1367"/>
    <cellStyle name="40% - Accent5 7 2 4" xfId="1585"/>
    <cellStyle name="40% - Accent5 7 2 5" xfId="1803"/>
    <cellStyle name="40% - Accent5 7 2 6" xfId="2021"/>
    <cellStyle name="40% - Accent5 7 3" xfId="593"/>
    <cellStyle name="40% - Accent5 7 4" xfId="702"/>
    <cellStyle name="40% - Accent5 7 5" xfId="811"/>
    <cellStyle name="40% - Accent5 7 6" xfId="920"/>
    <cellStyle name="40% - Accent5 7 7" xfId="1029"/>
    <cellStyle name="40% - Accent5 7 8" xfId="1258"/>
    <cellStyle name="40% - Accent5 7 9" xfId="1476"/>
    <cellStyle name="40% - Accent5 8" xfId="286"/>
    <cellStyle name="40% - Accent5 8 2" xfId="1064"/>
    <cellStyle name="40% - Accent5 8 3" xfId="1289"/>
    <cellStyle name="40% - Accent5 8 4" xfId="1507"/>
    <cellStyle name="40% - Accent5 8 5" xfId="1725"/>
    <cellStyle name="40% - Accent5 8 6" xfId="1943"/>
    <cellStyle name="40% - Accent5 9" xfId="406"/>
    <cellStyle name="40% - Accent6" xfId="17" builtinId="51" customBuiltin="1"/>
    <cellStyle name="40% - Accent6 10" xfId="517"/>
    <cellStyle name="40% - Accent6 11" xfId="626"/>
    <cellStyle name="40% - Accent6 12" xfId="735"/>
    <cellStyle name="40% - Accent6 13" xfId="844"/>
    <cellStyle name="40% - Accent6 14" xfId="953"/>
    <cellStyle name="40% - Accent6 15" xfId="1182"/>
    <cellStyle name="40% - Accent6 16" xfId="1400"/>
    <cellStyle name="40% - Accent6 17" xfId="1618"/>
    <cellStyle name="40% - Accent6 18" xfId="1836"/>
    <cellStyle name="40% - Accent6 2" xfId="133"/>
    <cellStyle name="40% - Accent6 2 10" xfId="1168"/>
    <cellStyle name="40% - Accent6 2 11" xfId="1386"/>
    <cellStyle name="40% - Accent6 2 12" xfId="1604"/>
    <cellStyle name="40% - Accent6 2 13" xfId="1822"/>
    <cellStyle name="40% - Accent6 2 2" xfId="223"/>
    <cellStyle name="40% - Accent6 2 2 2" xfId="1052"/>
    <cellStyle name="40% - Accent6 2 2 3" xfId="1277"/>
    <cellStyle name="40% - Accent6 2 2 4" xfId="1495"/>
    <cellStyle name="40% - Accent6 2 2 5" xfId="1713"/>
    <cellStyle name="40% - Accent6 2 2 6" xfId="1931"/>
    <cellStyle name="40% - Accent6 2 3" xfId="274"/>
    <cellStyle name="40% - Accent6 2 4" xfId="394"/>
    <cellStyle name="40% - Accent6 2 5" xfId="503"/>
    <cellStyle name="40% - Accent6 2 6" xfId="612"/>
    <cellStyle name="40% - Accent6 2 7" xfId="721"/>
    <cellStyle name="40% - Accent6 2 8" xfId="830"/>
    <cellStyle name="40% - Accent6 2 9" xfId="939"/>
    <cellStyle name="40% - Accent6 3" xfId="159"/>
    <cellStyle name="40% - Accent6 3 10" xfId="1198"/>
    <cellStyle name="40% - Accent6 3 11" xfId="1416"/>
    <cellStyle name="40% - Accent6 3 12" xfId="1634"/>
    <cellStyle name="40% - Accent6 3 13" xfId="1852"/>
    <cellStyle name="40% - Accent6 3 2" xfId="237"/>
    <cellStyle name="40% - Accent6 3 2 2" xfId="1083"/>
    <cellStyle name="40% - Accent6 3 2 3" xfId="1307"/>
    <cellStyle name="40% - Accent6 3 2 4" xfId="1525"/>
    <cellStyle name="40% - Accent6 3 2 5" xfId="1743"/>
    <cellStyle name="40% - Accent6 3 2 6" xfId="1961"/>
    <cellStyle name="40% - Accent6 3 3" xfId="306"/>
    <cellStyle name="40% - Accent6 3 4" xfId="424"/>
    <cellStyle name="40% - Accent6 3 5" xfId="533"/>
    <cellStyle name="40% - Accent6 3 6" xfId="642"/>
    <cellStyle name="40% - Accent6 3 7" xfId="751"/>
    <cellStyle name="40% - Accent6 3 8" xfId="860"/>
    <cellStyle name="40% - Accent6 3 9" xfId="969"/>
    <cellStyle name="40% - Accent6 4" xfId="174"/>
    <cellStyle name="40% - Accent6 4 10" xfId="1218"/>
    <cellStyle name="40% - Accent6 4 11" xfId="1436"/>
    <cellStyle name="40% - Accent6 4 12" xfId="1654"/>
    <cellStyle name="40% - Accent6 4 13" xfId="1872"/>
    <cellStyle name="40% - Accent6 4 2" xfId="252"/>
    <cellStyle name="40% - Accent6 4 2 2" xfId="1106"/>
    <cellStyle name="40% - Accent6 4 2 3" xfId="1327"/>
    <cellStyle name="40% - Accent6 4 2 4" xfId="1545"/>
    <cellStyle name="40% - Accent6 4 2 5" xfId="1763"/>
    <cellStyle name="40% - Accent6 4 2 6" xfId="1981"/>
    <cellStyle name="40% - Accent6 4 3" xfId="329"/>
    <cellStyle name="40% - Accent6 4 4" xfId="444"/>
    <cellStyle name="40% - Accent6 4 5" xfId="553"/>
    <cellStyle name="40% - Accent6 4 6" xfId="662"/>
    <cellStyle name="40% - Accent6 4 7" xfId="771"/>
    <cellStyle name="40% - Accent6 4 8" xfId="880"/>
    <cellStyle name="40% - Accent6 4 9" xfId="989"/>
    <cellStyle name="40% - Accent6 5" xfId="191"/>
    <cellStyle name="40% - Accent6 5 10" xfId="1449"/>
    <cellStyle name="40% - Accent6 5 11" xfId="1667"/>
    <cellStyle name="40% - Accent6 5 12" xfId="1885"/>
    <cellStyle name="40% - Accent6 5 2" xfId="343"/>
    <cellStyle name="40% - Accent6 5 2 2" xfId="1120"/>
    <cellStyle name="40% - Accent6 5 2 3" xfId="1340"/>
    <cellStyle name="40% - Accent6 5 2 4" xfId="1558"/>
    <cellStyle name="40% - Accent6 5 2 5" xfId="1776"/>
    <cellStyle name="40% - Accent6 5 2 6" xfId="1994"/>
    <cellStyle name="40% - Accent6 5 3" xfId="457"/>
    <cellStyle name="40% - Accent6 5 4" xfId="566"/>
    <cellStyle name="40% - Accent6 5 5" xfId="675"/>
    <cellStyle name="40% - Accent6 5 6" xfId="784"/>
    <cellStyle name="40% - Accent6 5 7" xfId="893"/>
    <cellStyle name="40% - Accent6 5 8" xfId="1002"/>
    <cellStyle name="40% - Accent6 5 9" xfId="1231"/>
    <cellStyle name="40% - Accent6 6" xfId="360"/>
    <cellStyle name="40% - Accent6 6 10" xfId="1682"/>
    <cellStyle name="40% - Accent6 6 11" xfId="1900"/>
    <cellStyle name="40% - Accent6 6 2" xfId="472"/>
    <cellStyle name="40% - Accent6 6 2 2" xfId="1136"/>
    <cellStyle name="40% - Accent6 6 2 3" xfId="1355"/>
    <cellStyle name="40% - Accent6 6 2 4" xfId="1573"/>
    <cellStyle name="40% - Accent6 6 2 5" xfId="1791"/>
    <cellStyle name="40% - Accent6 6 2 6" xfId="2009"/>
    <cellStyle name="40% - Accent6 6 3" xfId="581"/>
    <cellStyle name="40% - Accent6 6 4" xfId="690"/>
    <cellStyle name="40% - Accent6 6 5" xfId="799"/>
    <cellStyle name="40% - Accent6 6 6" xfId="908"/>
    <cellStyle name="40% - Accent6 6 7" xfId="1017"/>
    <cellStyle name="40% - Accent6 6 8" xfId="1246"/>
    <cellStyle name="40% - Accent6 6 9" xfId="1464"/>
    <cellStyle name="40% - Accent6 7" xfId="373"/>
    <cellStyle name="40% - Accent6 7 10" xfId="1695"/>
    <cellStyle name="40% - Accent6 7 11" xfId="1913"/>
    <cellStyle name="40% - Accent6 7 2" xfId="485"/>
    <cellStyle name="40% - Accent6 7 2 2" xfId="1149"/>
    <cellStyle name="40% - Accent6 7 2 3" xfId="1368"/>
    <cellStyle name="40% - Accent6 7 2 4" xfId="1586"/>
    <cellStyle name="40% - Accent6 7 2 5" xfId="1804"/>
    <cellStyle name="40% - Accent6 7 2 6" xfId="2022"/>
    <cellStyle name="40% - Accent6 7 3" xfId="594"/>
    <cellStyle name="40% - Accent6 7 4" xfId="703"/>
    <cellStyle name="40% - Accent6 7 5" xfId="812"/>
    <cellStyle name="40% - Accent6 7 6" xfId="921"/>
    <cellStyle name="40% - Accent6 7 7" xfId="1030"/>
    <cellStyle name="40% - Accent6 7 8" xfId="1259"/>
    <cellStyle name="40% - Accent6 7 9" xfId="1477"/>
    <cellStyle name="40% - Accent6 8" xfId="288"/>
    <cellStyle name="40% - Accent6 8 2" xfId="1066"/>
    <cellStyle name="40% - Accent6 8 3" xfId="1291"/>
    <cellStyle name="40% - Accent6 8 4" xfId="1509"/>
    <cellStyle name="40% - Accent6 8 5" xfId="1727"/>
    <cellStyle name="40% - Accent6 8 6" xfId="1945"/>
    <cellStyle name="40% - Accent6 9" xfId="408"/>
    <cellStyle name="60% - Accent1" xfId="18" builtinId="32" customBuiltin="1"/>
    <cellStyle name="60% - Accent1 2" xfId="134"/>
    <cellStyle name="60% - Accent1 3" xfId="192"/>
    <cellStyle name="60% - Accent2" xfId="19" builtinId="36" customBuiltin="1"/>
    <cellStyle name="60% - Accent2 2" xfId="135"/>
    <cellStyle name="60% - Accent2 3" xfId="193"/>
    <cellStyle name="60% - Accent3" xfId="20" builtinId="40" customBuiltin="1"/>
    <cellStyle name="60% - Accent3 2" xfId="136"/>
    <cellStyle name="60% - Accent3 3" xfId="194"/>
    <cellStyle name="60% - Accent4" xfId="21" builtinId="44" customBuiltin="1"/>
    <cellStyle name="60% - Accent4 2" xfId="137"/>
    <cellStyle name="60% - Accent4 3" xfId="195"/>
    <cellStyle name="60% - Accent5" xfId="22" builtinId="48" customBuiltin="1"/>
    <cellStyle name="60% - Accent5 2" xfId="138"/>
    <cellStyle name="60% - Accent5 3" xfId="196"/>
    <cellStyle name="60% - Accent6" xfId="23" builtinId="52" customBuiltin="1"/>
    <cellStyle name="60% - Accent6 2" xfId="139"/>
    <cellStyle name="60% - Accent6 3" xfId="197"/>
    <cellStyle name="Accent1" xfId="24" builtinId="29" customBuiltin="1"/>
    <cellStyle name="Accent1 2" xfId="140"/>
    <cellStyle name="Accent1 3" xfId="198"/>
    <cellStyle name="Accent2" xfId="25" builtinId="33" customBuiltin="1"/>
    <cellStyle name="Accent2 2" xfId="141"/>
    <cellStyle name="Accent2 3" xfId="199"/>
    <cellStyle name="Accent3" xfId="26" builtinId="37" customBuiltin="1"/>
    <cellStyle name="Accent3 2" xfId="142"/>
    <cellStyle name="Accent3 3" xfId="200"/>
    <cellStyle name="Accent4" xfId="27" builtinId="41" customBuiltin="1"/>
    <cellStyle name="Accent4 2" xfId="143"/>
    <cellStyle name="Accent4 3" xfId="201"/>
    <cellStyle name="Accent5" xfId="28" builtinId="45" customBuiltin="1"/>
    <cellStyle name="Accent5 2" xfId="144"/>
    <cellStyle name="Accent5 3" xfId="202"/>
    <cellStyle name="Accent6" xfId="29" builtinId="49" customBuiltin="1"/>
    <cellStyle name="Accent6 2" xfId="145"/>
    <cellStyle name="Accent6 3" xfId="203"/>
    <cellStyle name="annee semestre" xfId="30"/>
    <cellStyle name="Årtal" xfId="31"/>
    <cellStyle name="Bad" xfId="111" builtinId="27" customBuiltin="1"/>
    <cellStyle name="Berekening" xfId="32"/>
    <cellStyle name="Calculation" xfId="115" builtinId="22" customBuiltin="1"/>
    <cellStyle name="Celkem" xfId="33"/>
    <cellStyle name="Check Cell" xfId="117" builtinId="23" customBuiltin="1"/>
    <cellStyle name="Comma 2" xfId="256"/>
    <cellStyle name="Comma 3" xfId="257"/>
    <cellStyle name="Comma 4" xfId="254"/>
    <cellStyle name="controle variabele" xfId="34"/>
    <cellStyle name="Controlecel" xfId="35"/>
    <cellStyle name="database" xfId="36"/>
    <cellStyle name="Datum" xfId="37"/>
    <cellStyle name="Dezimal [2]" xfId="38"/>
    <cellStyle name="données" xfId="39"/>
    <cellStyle name="données­border" xfId="40"/>
    <cellStyle name="exogeen percentage" xfId="41"/>
    <cellStyle name="exogene waarde" xfId="42"/>
    <cellStyle name="Explanatory Text" xfId="119" builtinId="53" customBuiltin="1"/>
    <cellStyle name="Fetrubrik" xfId="43"/>
    <cellStyle name="Finanční0" xfId="44"/>
    <cellStyle name="Följde hyperlänken_FinPolDia" xfId="45"/>
    <cellStyle name="Gekoppelde cel" xfId="46"/>
    <cellStyle name="Goed" xfId="47"/>
    <cellStyle name="Good" xfId="110" builtinId="26" customBuiltin="1"/>
    <cellStyle name="Gul" xfId="48"/>
    <cellStyle name="Heading 1" xfId="106" builtinId="16" customBuiltin="1"/>
    <cellStyle name="Heading 2" xfId="107" builtinId="17" customBuiltin="1"/>
    <cellStyle name="Heading 3" xfId="108" builtinId="18" customBuiltin="1"/>
    <cellStyle name="Heading 4" xfId="109" builtinId="19" customBuiltin="1"/>
    <cellStyle name="High" xfId="49"/>
    <cellStyle name="Hyperlänk_Alla textsiffror OH U" xfId="50"/>
    <cellStyle name="Hyperlink" xfId="51" builtinId="8"/>
    <cellStyle name="Hyperlink 2" xfId="346"/>
    <cellStyle name="Input" xfId="113" builtinId="20" customBuiltin="1"/>
    <cellStyle name="Input 2" xfId="258"/>
    <cellStyle name="Invoer" xfId="52"/>
    <cellStyle name="Kop 1" xfId="53"/>
    <cellStyle name="Kop 2" xfId="54"/>
    <cellStyle name="Kop 3" xfId="55"/>
    <cellStyle name="Kop 3 2" xfId="1035"/>
    <cellStyle name="Kop 4" xfId="56"/>
    <cellStyle name="Linked Cell" xfId="116" builtinId="24" customBuiltin="1"/>
    <cellStyle name="Low" xfId="57"/>
    <cellStyle name="Měna0" xfId="58"/>
    <cellStyle name="Motif" xfId="59"/>
    <cellStyle name="Motif 2" xfId="204"/>
    <cellStyle name="naam van variabele" xfId="60"/>
    <cellStyle name="Neutraal" xfId="61"/>
    <cellStyle name="Neutral" xfId="112" builtinId="28" customBuiltin="1"/>
    <cellStyle name="Normal" xfId="0" builtinId="0"/>
    <cellStyle name="Normal 10" xfId="176"/>
    <cellStyle name="Normal 10 10" xfId="1401"/>
    <cellStyle name="Normal 10 11" xfId="1619"/>
    <cellStyle name="Normal 10 12" xfId="1837"/>
    <cellStyle name="Normal 10 2" xfId="289"/>
    <cellStyle name="Normal 10 2 2" xfId="1067"/>
    <cellStyle name="Normal 10 2 3" xfId="1292"/>
    <cellStyle name="Normal 10 2 4" xfId="1510"/>
    <cellStyle name="Normal 10 2 5" xfId="1728"/>
    <cellStyle name="Normal 10 2 6" xfId="1946"/>
    <cellStyle name="Normal 10 3" xfId="409"/>
    <cellStyle name="Normal 10 4" xfId="518"/>
    <cellStyle name="Normal 10 5" xfId="627"/>
    <cellStyle name="Normal 10 6" xfId="736"/>
    <cellStyle name="Normal 10 7" xfId="845"/>
    <cellStyle name="Normal 10 8" xfId="954"/>
    <cellStyle name="Normal 10 9" xfId="1183"/>
    <cellStyle name="Normal 11" xfId="291"/>
    <cellStyle name="Normal 11 2" xfId="1069"/>
    <cellStyle name="Normal 12" xfId="292"/>
    <cellStyle name="Normal 12 10" xfId="1621"/>
    <cellStyle name="Normal 12 11" xfId="1839"/>
    <cellStyle name="Normal 12 2" xfId="411"/>
    <cellStyle name="Normal 12 2 2" xfId="1070"/>
    <cellStyle name="Normal 12 2 3" xfId="1294"/>
    <cellStyle name="Normal 12 2 4" xfId="1512"/>
    <cellStyle name="Normal 12 2 5" xfId="1730"/>
    <cellStyle name="Normal 12 2 6" xfId="1948"/>
    <cellStyle name="Normal 12 3" xfId="520"/>
    <cellStyle name="Normal 12 4" xfId="629"/>
    <cellStyle name="Normal 12 5" xfId="738"/>
    <cellStyle name="Normal 12 6" xfId="847"/>
    <cellStyle name="Normal 12 7" xfId="956"/>
    <cellStyle name="Normal 12 8" xfId="1185"/>
    <cellStyle name="Normal 12 9" xfId="1403"/>
    <cellStyle name="Normal 13" xfId="293"/>
    <cellStyle name="Normal 14" xfId="294"/>
    <cellStyle name="Normal 14 10" xfId="1622"/>
    <cellStyle name="Normal 14 11" xfId="1840"/>
    <cellStyle name="Normal 14 2" xfId="412"/>
    <cellStyle name="Normal 14 2 2" xfId="1071"/>
    <cellStyle name="Normal 14 2 3" xfId="1295"/>
    <cellStyle name="Normal 14 2 4" xfId="1513"/>
    <cellStyle name="Normal 14 2 5" xfId="1731"/>
    <cellStyle name="Normal 14 2 6" xfId="1949"/>
    <cellStyle name="Normal 14 3" xfId="521"/>
    <cellStyle name="Normal 14 4" xfId="630"/>
    <cellStyle name="Normal 14 5" xfId="739"/>
    <cellStyle name="Normal 14 6" xfId="848"/>
    <cellStyle name="Normal 14 7" xfId="957"/>
    <cellStyle name="Normal 14 8" xfId="1186"/>
    <cellStyle name="Normal 14 9" xfId="1404"/>
    <cellStyle name="Normal 15" xfId="308"/>
    <cellStyle name="Normal 15 10" xfId="1636"/>
    <cellStyle name="Normal 15 11" xfId="1854"/>
    <cellStyle name="Normal 15 2" xfId="426"/>
    <cellStyle name="Normal 15 2 2" xfId="1085"/>
    <cellStyle name="Normal 15 2 3" xfId="1309"/>
    <cellStyle name="Normal 15 2 4" xfId="1527"/>
    <cellStyle name="Normal 15 2 5" xfId="1745"/>
    <cellStyle name="Normal 15 2 6" xfId="1963"/>
    <cellStyle name="Normal 15 3" xfId="535"/>
    <cellStyle name="Normal 15 4" xfId="644"/>
    <cellStyle name="Normal 15 5" xfId="753"/>
    <cellStyle name="Normal 15 6" xfId="862"/>
    <cellStyle name="Normal 15 7" xfId="971"/>
    <cellStyle name="Normal 15 8" xfId="1200"/>
    <cellStyle name="Normal 15 9" xfId="1418"/>
    <cellStyle name="Normal 16" xfId="309"/>
    <cellStyle name="Normal 16 10" xfId="1637"/>
    <cellStyle name="Normal 16 11" xfId="1855"/>
    <cellStyle name="Normal 16 2" xfId="427"/>
    <cellStyle name="Normal 16 2 2" xfId="1086"/>
    <cellStyle name="Normal 16 2 3" xfId="1310"/>
    <cellStyle name="Normal 16 2 4" xfId="1528"/>
    <cellStyle name="Normal 16 2 5" xfId="1746"/>
    <cellStyle name="Normal 16 2 6" xfId="1964"/>
    <cellStyle name="Normal 16 3" xfId="536"/>
    <cellStyle name="Normal 16 4" xfId="645"/>
    <cellStyle name="Normal 16 5" xfId="754"/>
    <cellStyle name="Normal 16 6" xfId="863"/>
    <cellStyle name="Normal 16 7" xfId="972"/>
    <cellStyle name="Normal 16 8" xfId="1201"/>
    <cellStyle name="Normal 16 9" xfId="1419"/>
    <cellStyle name="Normal 17" xfId="310"/>
    <cellStyle name="Normal 17 10" xfId="1638"/>
    <cellStyle name="Normal 17 11" xfId="1856"/>
    <cellStyle name="Normal 17 2" xfId="428"/>
    <cellStyle name="Normal 17 2 2" xfId="1087"/>
    <cellStyle name="Normal 17 2 3" xfId="1311"/>
    <cellStyle name="Normal 17 2 4" xfId="1529"/>
    <cellStyle name="Normal 17 2 5" xfId="1747"/>
    <cellStyle name="Normal 17 2 6" xfId="1965"/>
    <cellStyle name="Normal 17 3" xfId="537"/>
    <cellStyle name="Normal 17 4" xfId="646"/>
    <cellStyle name="Normal 17 5" xfId="755"/>
    <cellStyle name="Normal 17 6" xfId="864"/>
    <cellStyle name="Normal 17 7" xfId="973"/>
    <cellStyle name="Normal 17 8" xfId="1202"/>
    <cellStyle name="Normal 17 9" xfId="1420"/>
    <cellStyle name="Normal 18" xfId="311"/>
    <cellStyle name="Normal 18 2" xfId="1088"/>
    <cellStyle name="Normal 19" xfId="312"/>
    <cellStyle name="Normal 19 10" xfId="1639"/>
    <cellStyle name="Normal 19 11" xfId="1857"/>
    <cellStyle name="Normal 19 2" xfId="429"/>
    <cellStyle name="Normal 19 2 2" xfId="1089"/>
    <cellStyle name="Normal 19 2 3" xfId="1312"/>
    <cellStyle name="Normal 19 2 4" xfId="1530"/>
    <cellStyle name="Normal 19 2 5" xfId="1748"/>
    <cellStyle name="Normal 19 2 6" xfId="1966"/>
    <cellStyle name="Normal 19 3" xfId="538"/>
    <cellStyle name="Normal 19 4" xfId="647"/>
    <cellStyle name="Normal 19 5" xfId="756"/>
    <cellStyle name="Normal 19 6" xfId="865"/>
    <cellStyle name="Normal 19 7" xfId="974"/>
    <cellStyle name="Normal 19 8" xfId="1203"/>
    <cellStyle name="Normal 19 9" xfId="1421"/>
    <cellStyle name="Normal 2" xfId="62"/>
    <cellStyle name="Normal 2 2" xfId="205"/>
    <cellStyle name="Normal 2 3" xfId="177"/>
    <cellStyle name="Normal 20" xfId="313"/>
    <cellStyle name="Normal 20 10" xfId="1640"/>
    <cellStyle name="Normal 20 11" xfId="1858"/>
    <cellStyle name="Normal 20 2" xfId="430"/>
    <cellStyle name="Normal 20 2 2" xfId="1090"/>
    <cellStyle name="Normal 20 2 3" xfId="1313"/>
    <cellStyle name="Normal 20 2 4" xfId="1531"/>
    <cellStyle name="Normal 20 2 5" xfId="1749"/>
    <cellStyle name="Normal 20 2 6" xfId="1967"/>
    <cellStyle name="Normal 20 3" xfId="539"/>
    <cellStyle name="Normal 20 4" xfId="648"/>
    <cellStyle name="Normal 20 5" xfId="757"/>
    <cellStyle name="Normal 20 6" xfId="866"/>
    <cellStyle name="Normal 20 7" xfId="975"/>
    <cellStyle name="Normal 20 8" xfId="1204"/>
    <cellStyle name="Normal 20 9" xfId="1422"/>
    <cellStyle name="Normal 21" xfId="314"/>
    <cellStyle name="Normal 21 10" xfId="1641"/>
    <cellStyle name="Normal 21 11" xfId="1859"/>
    <cellStyle name="Normal 21 2" xfId="431"/>
    <cellStyle name="Normal 21 2 2" xfId="1091"/>
    <cellStyle name="Normal 21 2 3" xfId="1314"/>
    <cellStyle name="Normal 21 2 4" xfId="1532"/>
    <cellStyle name="Normal 21 2 5" xfId="1750"/>
    <cellStyle name="Normal 21 2 6" xfId="1968"/>
    <cellStyle name="Normal 21 3" xfId="540"/>
    <cellStyle name="Normal 21 4" xfId="649"/>
    <cellStyle name="Normal 21 5" xfId="758"/>
    <cellStyle name="Normal 21 6" xfId="867"/>
    <cellStyle name="Normal 21 7" xfId="976"/>
    <cellStyle name="Normal 21 8" xfId="1205"/>
    <cellStyle name="Normal 21 9" xfId="1423"/>
    <cellStyle name="Normal 22" xfId="315"/>
    <cellStyle name="Normal 22 2" xfId="1092"/>
    <cellStyle name="Normal 23" xfId="316"/>
    <cellStyle name="Normal 23 2" xfId="1093"/>
    <cellStyle name="Normal 24" xfId="330"/>
    <cellStyle name="Normal 24 2" xfId="1107"/>
    <cellStyle name="Normal 25" xfId="344"/>
    <cellStyle name="Normal 25 10" xfId="1668"/>
    <cellStyle name="Normal 25 11" xfId="1886"/>
    <cellStyle name="Normal 25 2" xfId="458"/>
    <cellStyle name="Normal 25 2 2" xfId="1121"/>
    <cellStyle name="Normal 25 2 3" xfId="1341"/>
    <cellStyle name="Normal 25 2 4" xfId="1559"/>
    <cellStyle name="Normal 25 2 5" xfId="1777"/>
    <cellStyle name="Normal 25 2 6" xfId="1995"/>
    <cellStyle name="Normal 25 3" xfId="567"/>
    <cellStyle name="Normal 25 4" xfId="676"/>
    <cellStyle name="Normal 25 5" xfId="785"/>
    <cellStyle name="Normal 25 6" xfId="894"/>
    <cellStyle name="Normal 25 7" xfId="1003"/>
    <cellStyle name="Normal 25 8" xfId="1232"/>
    <cellStyle name="Normal 25 9" xfId="1450"/>
    <cellStyle name="Normal 26" xfId="347"/>
    <cellStyle name="Normal 26 2" xfId="1123"/>
    <cellStyle name="Normal 27" xfId="361"/>
    <cellStyle name="Normal 27 10" xfId="1683"/>
    <cellStyle name="Normal 27 11" xfId="1901"/>
    <cellStyle name="Normal 27 2" xfId="473"/>
    <cellStyle name="Normal 27 2 2" xfId="1137"/>
    <cellStyle name="Normal 27 2 3" xfId="1356"/>
    <cellStyle name="Normal 27 2 4" xfId="1574"/>
    <cellStyle name="Normal 27 2 5" xfId="1792"/>
    <cellStyle name="Normal 27 2 6" xfId="2010"/>
    <cellStyle name="Normal 27 3" xfId="582"/>
    <cellStyle name="Normal 27 4" xfId="691"/>
    <cellStyle name="Normal 27 5" xfId="800"/>
    <cellStyle name="Normal 27 6" xfId="909"/>
    <cellStyle name="Normal 27 7" xfId="1018"/>
    <cellStyle name="Normal 27 8" xfId="1247"/>
    <cellStyle name="Normal 27 9" xfId="1465"/>
    <cellStyle name="Normal 28" xfId="376"/>
    <cellStyle name="Normal 28 2" xfId="1151"/>
    <cellStyle name="Normal 29" xfId="377"/>
    <cellStyle name="Normal 29 10" xfId="1697"/>
    <cellStyle name="Normal 29 11" xfId="1915"/>
    <cellStyle name="Normal 29 2" xfId="487"/>
    <cellStyle name="Normal 29 2 2" xfId="1152"/>
    <cellStyle name="Normal 29 2 3" xfId="1370"/>
    <cellStyle name="Normal 29 2 4" xfId="1588"/>
    <cellStyle name="Normal 29 2 5" xfId="1806"/>
    <cellStyle name="Normal 29 2 6" xfId="2024"/>
    <cellStyle name="Normal 29 3" xfId="596"/>
    <cellStyle name="Normal 29 4" xfId="705"/>
    <cellStyle name="Normal 29 5" xfId="814"/>
    <cellStyle name="Normal 29 6" xfId="923"/>
    <cellStyle name="Normal 29 7" xfId="1032"/>
    <cellStyle name="Normal 29 8" xfId="1261"/>
    <cellStyle name="Normal 29 9" xfId="1479"/>
    <cellStyle name="Normal 3" xfId="63"/>
    <cellStyle name="Normal 30" xfId="378"/>
    <cellStyle name="Normal 30 2" xfId="1153"/>
    <cellStyle name="Normal 31" xfId="379"/>
    <cellStyle name="Normal 31 10" xfId="1698"/>
    <cellStyle name="Normal 31 11" xfId="1916"/>
    <cellStyle name="Normal 31 2" xfId="488"/>
    <cellStyle name="Normal 31 2 2" xfId="1154"/>
    <cellStyle name="Normal 31 2 3" xfId="1371"/>
    <cellStyle name="Normal 31 2 4" xfId="1589"/>
    <cellStyle name="Normal 31 2 5" xfId="1807"/>
    <cellStyle name="Normal 31 2 6" xfId="2025"/>
    <cellStyle name="Normal 31 3" xfId="597"/>
    <cellStyle name="Normal 31 4" xfId="706"/>
    <cellStyle name="Normal 31 5" xfId="815"/>
    <cellStyle name="Normal 31 6" xfId="924"/>
    <cellStyle name="Normal 31 7" xfId="1033"/>
    <cellStyle name="Normal 31 8" xfId="1262"/>
    <cellStyle name="Normal 31 9" xfId="1480"/>
    <cellStyle name="Normal 32" xfId="380"/>
    <cellStyle name="Normal 32 10" xfId="1699"/>
    <cellStyle name="Normal 32 11" xfId="1917"/>
    <cellStyle name="Normal 32 2" xfId="489"/>
    <cellStyle name="Normal 32 3" xfId="598"/>
    <cellStyle name="Normal 32 4" xfId="707"/>
    <cellStyle name="Normal 32 5" xfId="816"/>
    <cellStyle name="Normal 32 6" xfId="925"/>
    <cellStyle name="Normal 32 7" xfId="1034"/>
    <cellStyle name="Normal 32 8" xfId="1263"/>
    <cellStyle name="Normal 32 9" xfId="1481"/>
    <cellStyle name="Normal 33" xfId="1372"/>
    <cellStyle name="Normal 33 2" xfId="1590"/>
    <cellStyle name="Normal 33 3" xfId="1808"/>
    <cellStyle name="Normal 33 4" xfId="2026"/>
    <cellStyle name="Normal 34" xfId="2027"/>
    <cellStyle name="Normal 4" xfId="64"/>
    <cellStyle name="Normal 4 10" xfId="1155"/>
    <cellStyle name="Normal 4 11" xfId="1373"/>
    <cellStyle name="Normal 4 12" xfId="1591"/>
    <cellStyle name="Normal 4 13" xfId="1809"/>
    <cellStyle name="Normal 4 2" xfId="206"/>
    <cellStyle name="Normal 4 2 2" xfId="1036"/>
    <cellStyle name="Normal 4 2 3" xfId="1264"/>
    <cellStyle name="Normal 4 2 4" xfId="1482"/>
    <cellStyle name="Normal 4 2 5" xfId="1700"/>
    <cellStyle name="Normal 4 2 6" xfId="1918"/>
    <cellStyle name="Normal 4 3" xfId="255"/>
    <cellStyle name="Normal 4 4" xfId="381"/>
    <cellStyle name="Normal 4 5" xfId="490"/>
    <cellStyle name="Normal 4 6" xfId="599"/>
    <cellStyle name="Normal 4 7" xfId="708"/>
    <cellStyle name="Normal 4 8" xfId="817"/>
    <cellStyle name="Normal 4 9" xfId="926"/>
    <cellStyle name="Normal 5" xfId="121"/>
    <cellStyle name="Normal 5 10" xfId="1156"/>
    <cellStyle name="Normal 5 11" xfId="1374"/>
    <cellStyle name="Normal 5 12" xfId="1592"/>
    <cellStyle name="Normal 5 13" xfId="1810"/>
    <cellStyle name="Normal 5 2" xfId="211"/>
    <cellStyle name="Normal 5 2 2" xfId="1038"/>
    <cellStyle name="Normal 5 2 3" xfId="1265"/>
    <cellStyle name="Normal 5 2 4" xfId="1483"/>
    <cellStyle name="Normal 5 2 5" xfId="1701"/>
    <cellStyle name="Normal 5 2 6" xfId="1919"/>
    <cellStyle name="Normal 5 3" xfId="260"/>
    <cellStyle name="Normal 5 4" xfId="382"/>
    <cellStyle name="Normal 5 5" xfId="491"/>
    <cellStyle name="Normal 5 6" xfId="600"/>
    <cellStyle name="Normal 5 7" xfId="709"/>
    <cellStyle name="Normal 5 8" xfId="818"/>
    <cellStyle name="Normal 5 9" xfId="927"/>
    <cellStyle name="Normal 6" xfId="147"/>
    <cellStyle name="Normal 6 2" xfId="225"/>
    <cellStyle name="Normal 6 2 2" xfId="1039"/>
    <cellStyle name="Normal 6 3" xfId="261"/>
    <cellStyle name="Normal 7" xfId="161"/>
    <cellStyle name="Normal 7 2" xfId="239"/>
    <cellStyle name="Normal 7 3" xfId="259"/>
    <cellStyle name="Normal 8" xfId="175"/>
    <cellStyle name="Normal 8 2" xfId="253"/>
    <cellStyle name="Normal 8 2 2" xfId="1040"/>
    <cellStyle name="Normal 8 3" xfId="262"/>
    <cellStyle name="Normal 9" xfId="179"/>
    <cellStyle name="Normal 9 10" xfId="1388"/>
    <cellStyle name="Normal 9 11" xfId="1606"/>
    <cellStyle name="Normal 9 12" xfId="1824"/>
    <cellStyle name="Normal 9 2" xfId="276"/>
    <cellStyle name="Normal 9 2 2" xfId="1054"/>
    <cellStyle name="Normal 9 2 3" xfId="1279"/>
    <cellStyle name="Normal 9 2 4" xfId="1497"/>
    <cellStyle name="Normal 9 2 5" xfId="1715"/>
    <cellStyle name="Normal 9 2 6" xfId="1933"/>
    <cellStyle name="Normal 9 3" xfId="396"/>
    <cellStyle name="Normal 9 4" xfId="505"/>
    <cellStyle name="Normal 9 5" xfId="614"/>
    <cellStyle name="Normal 9 6" xfId="723"/>
    <cellStyle name="Normal 9 7" xfId="832"/>
    <cellStyle name="Normal 9 8" xfId="941"/>
    <cellStyle name="Normal 9 9" xfId="1170"/>
    <cellStyle name="Normal_Output tables_CDTforecastDG2" xfId="65"/>
    <cellStyle name="Normál_uzlidnk" xfId="66"/>
    <cellStyle name="Normale" xfId="67"/>
    <cellStyle name="normální_GFSod93podleVR new1" xfId="68"/>
    <cellStyle name="normleftborder" xfId="69"/>
    <cellStyle name="Note 2" xfId="70"/>
    <cellStyle name="Note 2 2" xfId="207"/>
    <cellStyle name="Note 3" xfId="146"/>
    <cellStyle name="Note 3 10" xfId="1169"/>
    <cellStyle name="Note 3 11" xfId="1387"/>
    <cellStyle name="Note 3 12" xfId="1605"/>
    <cellStyle name="Note 3 13" xfId="1823"/>
    <cellStyle name="Note 3 2" xfId="224"/>
    <cellStyle name="Note 3 2 2" xfId="1053"/>
    <cellStyle name="Note 3 2 3" xfId="1278"/>
    <cellStyle name="Note 3 2 4" xfId="1496"/>
    <cellStyle name="Note 3 2 5" xfId="1714"/>
    <cellStyle name="Note 3 2 6" xfId="1932"/>
    <cellStyle name="Note 3 3" xfId="275"/>
    <cellStyle name="Note 3 4" xfId="395"/>
    <cellStyle name="Note 3 5" xfId="504"/>
    <cellStyle name="Note 3 6" xfId="613"/>
    <cellStyle name="Note 3 7" xfId="722"/>
    <cellStyle name="Note 3 8" xfId="831"/>
    <cellStyle name="Note 3 9" xfId="940"/>
    <cellStyle name="Note 4" xfId="160"/>
    <cellStyle name="Note 4 10" xfId="1184"/>
    <cellStyle name="Note 4 11" xfId="1402"/>
    <cellStyle name="Note 4 12" xfId="1620"/>
    <cellStyle name="Note 4 13" xfId="1838"/>
    <cellStyle name="Note 4 2" xfId="238"/>
    <cellStyle name="Note 4 2 2" xfId="1068"/>
    <cellStyle name="Note 4 2 3" xfId="1293"/>
    <cellStyle name="Note 4 2 4" xfId="1511"/>
    <cellStyle name="Note 4 2 5" xfId="1729"/>
    <cellStyle name="Note 4 2 6" xfId="1947"/>
    <cellStyle name="Note 4 3" xfId="290"/>
    <cellStyle name="Note 4 4" xfId="410"/>
    <cellStyle name="Note 4 5" xfId="519"/>
    <cellStyle name="Note 4 6" xfId="628"/>
    <cellStyle name="Note 4 7" xfId="737"/>
    <cellStyle name="Note 4 8" xfId="846"/>
    <cellStyle name="Note 4 9" xfId="955"/>
    <cellStyle name="Note 5" xfId="162"/>
    <cellStyle name="Note 5 10" xfId="1199"/>
    <cellStyle name="Note 5 11" xfId="1417"/>
    <cellStyle name="Note 5 12" xfId="1635"/>
    <cellStyle name="Note 5 13" xfId="1853"/>
    <cellStyle name="Note 5 2" xfId="240"/>
    <cellStyle name="Note 5 2 2" xfId="1084"/>
    <cellStyle name="Note 5 2 3" xfId="1308"/>
    <cellStyle name="Note 5 2 4" xfId="1526"/>
    <cellStyle name="Note 5 2 5" xfId="1744"/>
    <cellStyle name="Note 5 2 6" xfId="1962"/>
    <cellStyle name="Note 5 3" xfId="307"/>
    <cellStyle name="Note 5 4" xfId="425"/>
    <cellStyle name="Note 5 5" xfId="534"/>
    <cellStyle name="Note 5 6" xfId="643"/>
    <cellStyle name="Note 5 7" xfId="752"/>
    <cellStyle name="Note 5 8" xfId="861"/>
    <cellStyle name="Note 5 9" xfId="970"/>
    <cellStyle name="Note 6" xfId="317"/>
    <cellStyle name="Note 6 10" xfId="1642"/>
    <cellStyle name="Note 6 11" xfId="1860"/>
    <cellStyle name="Note 6 2" xfId="432"/>
    <cellStyle name="Note 6 2 2" xfId="1094"/>
    <cellStyle name="Note 6 2 3" xfId="1315"/>
    <cellStyle name="Note 6 2 4" xfId="1533"/>
    <cellStyle name="Note 6 2 5" xfId="1751"/>
    <cellStyle name="Note 6 2 6" xfId="1969"/>
    <cellStyle name="Note 6 3" xfId="541"/>
    <cellStyle name="Note 6 4" xfId="650"/>
    <cellStyle name="Note 6 5" xfId="759"/>
    <cellStyle name="Note 6 6" xfId="868"/>
    <cellStyle name="Note 6 7" xfId="977"/>
    <cellStyle name="Note 6 8" xfId="1206"/>
    <cellStyle name="Note 6 9" xfId="1424"/>
    <cellStyle name="Note 7" xfId="331"/>
    <cellStyle name="Note 7 10" xfId="1655"/>
    <cellStyle name="Note 7 11" xfId="1873"/>
    <cellStyle name="Note 7 2" xfId="445"/>
    <cellStyle name="Note 7 2 2" xfId="1108"/>
    <cellStyle name="Note 7 2 3" xfId="1328"/>
    <cellStyle name="Note 7 2 4" xfId="1546"/>
    <cellStyle name="Note 7 2 5" xfId="1764"/>
    <cellStyle name="Note 7 2 6" xfId="1982"/>
    <cellStyle name="Note 7 3" xfId="554"/>
    <cellStyle name="Note 7 4" xfId="663"/>
    <cellStyle name="Note 7 5" xfId="772"/>
    <cellStyle name="Note 7 6" xfId="881"/>
    <cellStyle name="Note 7 7" xfId="990"/>
    <cellStyle name="Note 7 8" xfId="1219"/>
    <cellStyle name="Note 7 9" xfId="1437"/>
    <cellStyle name="Note 8" xfId="348"/>
    <cellStyle name="Note 8 10" xfId="1670"/>
    <cellStyle name="Note 8 11" xfId="1888"/>
    <cellStyle name="Note 8 2" xfId="460"/>
    <cellStyle name="Note 8 2 2" xfId="1124"/>
    <cellStyle name="Note 8 2 3" xfId="1343"/>
    <cellStyle name="Note 8 2 4" xfId="1561"/>
    <cellStyle name="Note 8 2 5" xfId="1779"/>
    <cellStyle name="Note 8 2 6" xfId="1997"/>
    <cellStyle name="Note 8 3" xfId="569"/>
    <cellStyle name="Note 8 4" xfId="678"/>
    <cellStyle name="Note 8 5" xfId="787"/>
    <cellStyle name="Note 8 6" xfId="896"/>
    <cellStyle name="Note 8 7" xfId="1005"/>
    <cellStyle name="Note 8 8" xfId="1234"/>
    <cellStyle name="Note 8 9" xfId="1452"/>
    <cellStyle name="Note 9" xfId="374"/>
    <cellStyle name="Note 9 10" xfId="1696"/>
    <cellStyle name="Note 9 11" xfId="1914"/>
    <cellStyle name="Note 9 2" xfId="486"/>
    <cellStyle name="Note 9 2 2" xfId="1150"/>
    <cellStyle name="Note 9 2 3" xfId="1369"/>
    <cellStyle name="Note 9 2 4" xfId="1587"/>
    <cellStyle name="Note 9 2 5" xfId="1805"/>
    <cellStyle name="Note 9 2 6" xfId="2023"/>
    <cellStyle name="Note 9 3" xfId="595"/>
    <cellStyle name="Note 9 4" xfId="704"/>
    <cellStyle name="Note 9 5" xfId="813"/>
    <cellStyle name="Note 9 6" xfId="922"/>
    <cellStyle name="Note 9 7" xfId="1031"/>
    <cellStyle name="Note 9 8" xfId="1260"/>
    <cellStyle name="Note 9 9" xfId="1478"/>
    <cellStyle name="Notes" xfId="71"/>
    <cellStyle name="Notitie" xfId="72"/>
    <cellStyle name="Notitie 2" xfId="208"/>
    <cellStyle name="Ongeldig" xfId="73"/>
    <cellStyle name="Output" xfId="114" builtinId="21" customBuiltin="1"/>
    <cellStyle name="pays" xfId="74"/>
    <cellStyle name="Percent" xfId="75" builtinId="5"/>
    <cellStyle name="Percent 2" xfId="209"/>
    <cellStyle name="Percent 3" xfId="178"/>
    <cellStyle name="Percent 3 10" xfId="1451"/>
    <cellStyle name="Percent 3 11" xfId="1669"/>
    <cellStyle name="Percent 3 12" xfId="1887"/>
    <cellStyle name="Percent 3 2" xfId="345"/>
    <cellStyle name="Percent 3 2 2" xfId="1122"/>
    <cellStyle name="Percent 3 2 3" xfId="1342"/>
    <cellStyle name="Percent 3 2 4" xfId="1560"/>
    <cellStyle name="Percent 3 2 5" xfId="1778"/>
    <cellStyle name="Percent 3 2 6" xfId="1996"/>
    <cellStyle name="Percent 3 3" xfId="459"/>
    <cellStyle name="Percent 3 4" xfId="568"/>
    <cellStyle name="Percent 3 5" xfId="677"/>
    <cellStyle name="Percent 3 6" xfId="786"/>
    <cellStyle name="Percent 3 7" xfId="895"/>
    <cellStyle name="Percent 3 8" xfId="1004"/>
    <cellStyle name="Percent 3 9" xfId="1233"/>
    <cellStyle name="Pevný" xfId="76"/>
    <cellStyle name="Procent_WDI" xfId="77"/>
    <cellStyle name="Rubrik 1" xfId="78"/>
    <cellStyle name="Rubrik2" xfId="79"/>
    <cellStyle name="Rubrik3" xfId="80"/>
    <cellStyle name="semestre" xfId="81"/>
    <cellStyle name="semestre 2" xfId="1037"/>
    <cellStyle name="standaard" xfId="82"/>
    <cellStyle name="standaard 2" xfId="83"/>
    <cellStyle name="Standard_9.01" xfId="84"/>
    <cellStyle name="Stijl 1" xfId="85"/>
    <cellStyle name="Style 1" xfId="86"/>
    <cellStyle name="Style 1 2" xfId="210"/>
    <cellStyle name="Tabellrubrik" xfId="87"/>
    <cellStyle name="Tal1" xfId="88"/>
    <cellStyle name="Tal2" xfId="89"/>
    <cellStyle name="Tal3" xfId="90"/>
    <cellStyle name="tête chapitre" xfId="91"/>
    <cellStyle name="Titel" xfId="92"/>
    <cellStyle name="titel van tabel" xfId="93"/>
    <cellStyle name="Title" xfId="105" builtinId="15" customBuiltin="1"/>
    <cellStyle name="Title 2" xfId="375"/>
    <cellStyle name="titre" xfId="94"/>
    <cellStyle name="Totaal" xfId="95"/>
    <cellStyle name="Total" xfId="120" builtinId="25" customBuiltin="1"/>
    <cellStyle name="transfer variabele" xfId="96"/>
    <cellStyle name="Tusental (0)_ADMIN" xfId="97"/>
    <cellStyle name="Tusental_ADMIN" xfId="98"/>
    <cellStyle name="Uitvoer" xfId="99"/>
    <cellStyle name="Valuta (0)_ADMIN" xfId="100"/>
    <cellStyle name="Verklarende tekst" xfId="101"/>
    <cellStyle name="Waarschuwingstekst" xfId="102"/>
    <cellStyle name="Warning Text" xfId="118" builtinId="11" customBuiltin="1"/>
    <cellStyle name="Záhlaví 1" xfId="103"/>
    <cellStyle name="Záhlaví 2" xfId="104"/>
  </cellStyles>
  <dxfs count="117">
    <dxf>
      <font>
        <b/>
        <i val="0"/>
        <strike val="0"/>
        <condense val="0"/>
        <extend val="0"/>
        <color indexed="10"/>
      </font>
      <fill>
        <patternFill patternType="none">
          <bgColor indexed="65"/>
        </patternFill>
      </fill>
    </dxf>
    <dxf>
      <font>
        <b/>
        <i val="0"/>
        <condense val="0"/>
        <extend val="0"/>
        <color indexed="10"/>
      </font>
      <fill>
        <patternFill patternType="none">
          <bgColor indexed="65"/>
        </patternFill>
      </fill>
    </dxf>
    <dxf>
      <fill>
        <patternFill>
          <bgColor indexed="52"/>
        </patternFill>
      </fill>
    </dxf>
    <dxf>
      <fill>
        <patternFill>
          <bgColor indexed="52"/>
        </patternFill>
      </fill>
    </dxf>
    <dxf>
      <fill>
        <patternFill>
          <bgColor indexed="52"/>
        </patternFill>
      </fill>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3"/>
      </font>
      <fill>
        <patternFill>
          <bgColor indexed="10"/>
        </patternFill>
      </fill>
      <border>
        <left style="thin">
          <color indexed="34"/>
        </left>
        <right style="thin">
          <color indexed="34"/>
        </right>
        <top style="thin">
          <color indexed="34"/>
        </top>
        <bottom style="thin">
          <color indexed="34"/>
        </bottom>
      </border>
    </dxf>
    <dxf>
      <font>
        <b/>
        <i val="0"/>
        <condense val="0"/>
        <extend val="0"/>
        <color indexed="10"/>
      </font>
    </dxf>
    <dxf>
      <font>
        <b/>
        <i val="0"/>
        <condense val="0"/>
        <extend val="0"/>
        <color indexed="10"/>
      </font>
    </dxf>
    <dxf>
      <font>
        <color rgb="FFFF0000"/>
      </font>
    </dxf>
    <dxf>
      <font>
        <color rgb="FFFF000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0"/>
      </font>
    </dxf>
    <dxf>
      <font>
        <color rgb="FFFF0000"/>
      </font>
    </dxf>
    <dxf>
      <font>
        <color rgb="FFFF000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0"/>
      </font>
    </dxf>
    <dxf>
      <font>
        <color rgb="FFFF0000"/>
      </font>
    </dxf>
    <dxf>
      <font>
        <color rgb="FFFF000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0"/>
      </font>
    </dxf>
    <dxf>
      <font>
        <color rgb="FFFF0000"/>
      </font>
    </dxf>
    <dxf>
      <font>
        <color rgb="FFFF000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0"/>
      </font>
    </dxf>
    <dxf>
      <font>
        <color rgb="FFFF0000"/>
      </font>
    </dxf>
    <dxf>
      <font>
        <color rgb="FFFF000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0"/>
      </font>
    </dxf>
    <dxf>
      <font>
        <color rgb="FFFF000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0"/>
      </font>
    </dxf>
    <dxf>
      <font>
        <color rgb="FFFF0000"/>
      </font>
    </dxf>
    <dxf>
      <font>
        <color rgb="FFFF000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0"/>
      </font>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strike val="0"/>
        <condense val="0"/>
        <extend val="0"/>
        <color indexed="13"/>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13"/>
      </font>
      <fill>
        <patternFill>
          <bgColor indexed="10"/>
        </patternFill>
      </fill>
    </dxf>
  </dxfs>
  <tableStyles count="0" defaultTableStyle="TableStyleMedium2" defaultPivotStyle="PivotStyleLight16"/>
  <colors>
    <mruColors>
      <color rgb="FF99FF99"/>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'Q1'!$O$284:$DB$284</c:f>
              <c:numCache>
                <c:formatCode>0.0</c:formatCode>
                <c:ptCount val="92"/>
                <c:pt idx="0">
                  <c:v>2.1419009370816582</c:v>
                </c:pt>
                <c:pt idx="1">
                  <c:v>1.8452908178328897</c:v>
                </c:pt>
                <c:pt idx="2">
                  <c:v>1.6403074964500775</c:v>
                </c:pt>
                <c:pt idx="3">
                  <c:v>1.0811337294243515</c:v>
                </c:pt>
                <c:pt idx="4">
                  <c:v>1.6406970535410892</c:v>
                </c:pt>
                <c:pt idx="5">
                  <c:v>1.463980286998094</c:v>
                </c:pt>
                <c:pt idx="6">
                  <c:v>1.8787937180846086</c:v>
                </c:pt>
                <c:pt idx="7">
                  <c:v>1.6188090190788245</c:v>
                </c:pt>
                <c:pt idx="8">
                  <c:v>1.4231816228090963</c:v>
                </c:pt>
                <c:pt idx="9">
                  <c:v>1.5333333333333456</c:v>
                </c:pt>
                <c:pt idx="10">
                  <c:v>1.3192736901834508</c:v>
                </c:pt>
                <c:pt idx="11">
                  <c:v>1.8111132182818039</c:v>
                </c:pt>
                <c:pt idx="12">
                  <c:v>2.0624381974855339</c:v>
                </c:pt>
                <c:pt idx="13">
                  <c:v>2.3590657536816479</c:v>
                </c:pt>
                <c:pt idx="14">
                  <c:v>2.7908713305642578</c:v>
                </c:pt>
                <c:pt idx="15">
                  <c:v>1.8534041166061002</c:v>
                </c:pt>
                <c:pt idx="16">
                  <c:v>1.4994232987312444</c:v>
                </c:pt>
                <c:pt idx="17">
                  <c:v>1.6907216494845159</c:v>
                </c:pt>
                <c:pt idx="18">
                  <c:v>2.0022701475595852</c:v>
                </c:pt>
                <c:pt idx="19">
                  <c:v>2.999268471104628</c:v>
                </c:pt>
                <c:pt idx="20">
                  <c:v>3.4909090909090992</c:v>
                </c:pt>
                <c:pt idx="21">
                  <c:v>2.6899161935658498</c:v>
                </c:pt>
                <c:pt idx="22">
                  <c:v>2.590581322887914</c:v>
                </c:pt>
                <c:pt idx="23">
                  <c:v>1.611328125</c:v>
                </c:pt>
                <c:pt idx="24">
                  <c:v>1.181482782853152</c:v>
                </c:pt>
                <c:pt idx="25">
                  <c:v>2.1982361458470194</c:v>
                </c:pt>
                <c:pt idx="26">
                  <c:v>1.7875737591114245</c:v>
                </c:pt>
                <c:pt idx="27">
                  <c:v>2.4026910139356232</c:v>
                </c:pt>
                <c:pt idx="28">
                  <c:v>2.2789425706472173</c:v>
                </c:pt>
                <c:pt idx="29">
                  <c:v>2.0092735703245808</c:v>
                </c:pt>
                <c:pt idx="30">
                  <c:v>2.1994884910485837</c:v>
                </c:pt>
                <c:pt idx="31">
                  <c:v>1.9879697965103702</c:v>
                </c:pt>
                <c:pt idx="32">
                  <c:v>2.3300229182582086</c:v>
                </c:pt>
                <c:pt idx="33">
                  <c:v>1.8434343434343532</c:v>
                </c:pt>
                <c:pt idx="34">
                  <c:v>2.0562228895562242</c:v>
                </c:pt>
                <c:pt idx="35">
                  <c:v>2.2462040406575596</c:v>
                </c:pt>
                <c:pt idx="36">
                  <c:v>1.9990875533988657</c:v>
                </c:pt>
                <c:pt idx="37">
                  <c:v>2.2357219604925831</c:v>
                </c:pt>
                <c:pt idx="38">
                  <c:v>2.2763496669254977</c:v>
                </c:pt>
                <c:pt idx="39">
                  <c:v>1.7713958435608106</c:v>
                </c:pt>
                <c:pt idx="40">
                  <c:v>2.0127678607733799</c:v>
                </c:pt>
                <c:pt idx="41">
                  <c:v>2.1383241036420486</c:v>
                </c:pt>
                <c:pt idx="42">
                  <c:v>1.7941341005354445</c:v>
                </c:pt>
                <c:pt idx="43">
                  <c:v>1.6802669132129893</c:v>
                </c:pt>
                <c:pt idx="44">
                  <c:v>1.6621492346938709</c:v>
                </c:pt>
                <c:pt idx="45">
                  <c:v>1.5830299192654707</c:v>
                </c:pt>
                <c:pt idx="46">
                  <c:v>2.5947006869479878</c:v>
                </c:pt>
                <c:pt idx="47">
                  <c:v>3.206167226724645</c:v>
                </c:pt>
                <c:pt idx="48">
                  <c:v>3.0150950793961897</c:v>
                </c:pt>
                <c:pt idx="49">
                  <c:v>3.1439925198691014</c:v>
                </c:pt>
                <c:pt idx="50">
                  <c:v>2.4984695439240738</c:v>
                </c:pt>
                <c:pt idx="51">
                  <c:v>1.8999463724814376</c:v>
                </c:pt>
                <c:pt idx="52">
                  <c:v>1.3739818832305843</c:v>
                </c:pt>
                <c:pt idx="53">
                  <c:v>1.3371104815864072</c:v>
                </c:pt>
                <c:pt idx="54">
                  <c:v>1.1982530142969239</c:v>
                </c:pt>
                <c:pt idx="55">
                  <c:v>1.6803247876099476</c:v>
                </c:pt>
                <c:pt idx="56">
                  <c:v>2.2038670921719472</c:v>
                </c:pt>
                <c:pt idx="57">
                  <c:v>1.8226545901822675</c:v>
                </c:pt>
                <c:pt idx="58">
                  <c:v>1.8959793434157035</c:v>
                </c:pt>
                <c:pt idx="59">
                  <c:v>1.7745572849273401</c:v>
                </c:pt>
                <c:pt idx="60">
                  <c:v>2.5090000734699629</c:v>
                </c:pt>
                <c:pt idx="61">
                  <c:v>2.5624130609854348</c:v>
                </c:pt>
                <c:pt idx="62">
                  <c:v>2.5557486243845915</c:v>
                </c:pt>
                <c:pt idx="63">
                  <c:v>2.5246104108394718</c:v>
                </c:pt>
                <c:pt idx="64">
                  <c:v>1.8025443468912385</c:v>
                </c:pt>
                <c:pt idx="65">
                  <c:v>1.6667856378042671</c:v>
                </c:pt>
                <c:pt idx="66">
                  <c:v>1.9237557359689248</c:v>
                </c:pt>
                <c:pt idx="67">
                  <c:v>2.1258503401360542</c:v>
                </c:pt>
                <c:pt idx="68">
                  <c:v>2.1648831315122692</c:v>
                </c:pt>
                <c:pt idx="69">
                  <c:v>2.4784974548007739</c:v>
                </c:pt>
                <c:pt idx="70">
                  <c:v>2.2441558441558414</c:v>
                </c:pt>
                <c:pt idx="71">
                  <c:v>2.1128226477935073</c:v>
                </c:pt>
                <c:pt idx="72">
                  <c:v>2.3912069737794184</c:v>
                </c:pt>
                <c:pt idx="73">
                  <c:v>2.3705936761330406</c:v>
                </c:pt>
                <c:pt idx="74">
                  <c:v>2.3100633404464048</c:v>
                </c:pt>
                <c:pt idx="75">
                  <c:v>2.5889307919681812</c:v>
                </c:pt>
                <c:pt idx="76">
                  <c:v>2.3488239055086382</c:v>
                </c:pt>
                <c:pt idx="77">
                  <c:v>2.4227821838503445</c:v>
                </c:pt>
                <c:pt idx="78">
                  <c:v>2.3539149147492111</c:v>
                </c:pt>
                <c:pt idx="79">
                  <c:v>1.8049345918198298</c:v>
                </c:pt>
                <c:pt idx="80">
                  <c:v>1.8346210751274015</c:v>
                </c:pt>
                <c:pt idx="81">
                  <c:v>1.9341980592674872</c:v>
                </c:pt>
                <c:pt idx="82">
                  <c:v>1.9601500840988706</c:v>
                </c:pt>
                <c:pt idx="83">
                  <c:v>1.8998048145738551</c:v>
                </c:pt>
                <c:pt idx="84">
                  <c:v>1.5400510121718725</c:v>
                </c:pt>
                <c:pt idx="85">
                  <c:v>1.8747309115925814</c:v>
                </c:pt>
                <c:pt idx="86">
                  <c:v>2.1264844220681312</c:v>
                </c:pt>
                <c:pt idx="87">
                  <c:v>2.2877748067220427</c:v>
                </c:pt>
                <c:pt idx="88">
                  <c:v>2.3224132077018345</c:v>
                </c:pt>
                <c:pt idx="89">
                  <c:v>2.0317586021648237</c:v>
                </c:pt>
                <c:pt idx="90">
                  <c:v>2.5058534559383672</c:v>
                </c:pt>
                <c:pt idx="91">
                  <c:v>1.9240915291590444</c:v>
                </c:pt>
              </c:numCache>
            </c:numRef>
          </c:val>
          <c:smooth val="0"/>
        </c:ser>
        <c:dLbls>
          <c:showLegendKey val="0"/>
          <c:showVal val="0"/>
          <c:showCatName val="0"/>
          <c:showSerName val="0"/>
          <c:showPercent val="0"/>
          <c:showBubbleSize val="0"/>
        </c:dLbls>
        <c:marker val="1"/>
        <c:smooth val="0"/>
        <c:axId val="456742784"/>
        <c:axId val="456744320"/>
      </c:lineChart>
      <c:catAx>
        <c:axId val="456742784"/>
        <c:scaling>
          <c:orientation val="minMax"/>
        </c:scaling>
        <c:delete val="0"/>
        <c:axPos val="b"/>
        <c:majorTickMark val="out"/>
        <c:minorTickMark val="none"/>
        <c:tickLblPos val="nextTo"/>
        <c:crossAx val="456744320"/>
        <c:crosses val="autoZero"/>
        <c:auto val="1"/>
        <c:lblAlgn val="ctr"/>
        <c:lblOffset val="100"/>
        <c:noMultiLvlLbl val="0"/>
      </c:catAx>
      <c:valAx>
        <c:axId val="456744320"/>
        <c:scaling>
          <c:orientation val="minMax"/>
        </c:scaling>
        <c:delete val="0"/>
        <c:axPos val="l"/>
        <c:majorGridlines/>
        <c:numFmt formatCode="0.0" sourceLinked="1"/>
        <c:majorTickMark val="out"/>
        <c:minorTickMark val="none"/>
        <c:tickLblPos val="nextTo"/>
        <c:crossAx val="4567427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Private consumption (QoQ)</a:t>
            </a:r>
          </a:p>
        </c:rich>
      </c:tx>
      <c:layout>
        <c:manualLayout>
          <c:xMode val="edge"/>
          <c:yMode val="edge"/>
          <c:x val="0.4151785714285714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'Q1'!$F$43</c:f>
              <c:strCache>
                <c:ptCount val="1"/>
                <c:pt idx="0">
                  <c:v>QPrvC</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'Q1'!$G$43:$CO$43</c:f>
              <c:numCache>
                <c:formatCode>0.0</c:formatCode>
                <c:ptCount val="87"/>
                <c:pt idx="1">
                  <c:v>0.8503315280659951</c:v>
                </c:pt>
                <c:pt idx="2">
                  <c:v>0.81304893350062635</c:v>
                </c:pt>
                <c:pt idx="3">
                  <c:v>0.66709812316423367</c:v>
                </c:pt>
                <c:pt idx="4">
                  <c:v>0.30413926116412693</c:v>
                </c:pt>
                <c:pt idx="5">
                  <c:v>0.65573770491804684</c:v>
                </c:pt>
                <c:pt idx="6">
                  <c:v>0.46288359334818452</c:v>
                </c:pt>
                <c:pt idx="7">
                  <c:v>0.11214041930764918</c:v>
                </c:pt>
                <c:pt idx="8">
                  <c:v>0.32386889397553187</c:v>
                </c:pt>
                <c:pt idx="9">
                  <c:v>0.781572368261374</c:v>
                </c:pt>
                <c:pt idx="10">
                  <c:v>0.61173863827941322</c:v>
                </c:pt>
                <c:pt idx="11">
                  <c:v>0.33273488928786676</c:v>
                </c:pt>
                <c:pt idx="12">
                  <c:v>0.75869637829841796</c:v>
                </c:pt>
                <c:pt idx="13">
                  <c:v>1.0371282439856078</c:v>
                </c:pt>
                <c:pt idx="14">
                  <c:v>0.73353644246543226</c:v>
                </c:pt>
                <c:pt idx="15">
                  <c:v>0.16052858106694323</c:v>
                </c:pt>
                <c:pt idx="16">
                  <c:v>5.1100994146602297E-2</c:v>
                </c:pt>
                <c:pt idx="17">
                  <c:v>0.50842735757068436</c:v>
                </c:pt>
                <c:pt idx="18">
                  <c:v>0.73452983161248486</c:v>
                </c:pt>
                <c:pt idx="19">
                  <c:v>0.48382288872075296</c:v>
                </c:pt>
                <c:pt idx="20">
                  <c:v>0.87627219204966522</c:v>
                </c:pt>
                <c:pt idx="21">
                  <c:v>0.67637877211237374</c:v>
                </c:pt>
                <c:pt idx="22">
                  <c:v>0.86057746320638007</c:v>
                </c:pt>
                <c:pt idx="23">
                  <c:v>0.90447335590804201</c:v>
                </c:pt>
                <c:pt idx="24">
                  <c:v>0.17662383538659121</c:v>
                </c:pt>
                <c:pt idx="25">
                  <c:v>-0.14986556177547516</c:v>
                </c:pt>
                <c:pt idx="26">
                  <c:v>-0.48779411115524862</c:v>
                </c:pt>
                <c:pt idx="27">
                  <c:v>-0.41920816235998526</c:v>
                </c:pt>
                <c:pt idx="28">
                  <c:v>0.4009265858873734</c:v>
                </c:pt>
                <c:pt idx="29">
                  <c:v>0.35939302511314164</c:v>
                </c:pt>
                <c:pt idx="30">
                  <c:v>0.46863256554225963</c:v>
                </c:pt>
                <c:pt idx="31">
                  <c:v>0.36083608360835129</c:v>
                </c:pt>
                <c:pt idx="32">
                  <c:v>-0.27842329109483144</c:v>
                </c:pt>
                <c:pt idx="33">
                  <c:v>-0.17587442566009415</c:v>
                </c:pt>
                <c:pt idx="34">
                  <c:v>0.22023036095757398</c:v>
                </c:pt>
                <c:pt idx="35">
                  <c:v>0.89656536357043404</c:v>
                </c:pt>
                <c:pt idx="36">
                  <c:v>0.54448437329848165</c:v>
                </c:pt>
                <c:pt idx="37">
                  <c:v>0.1386331636521243</c:v>
                </c:pt>
                <c:pt idx="38">
                  <c:v>8.4362629518275334E-2</c:v>
                </c:pt>
                <c:pt idx="39">
                  <c:v>0.4841359038644244</c:v>
                </c:pt>
                <c:pt idx="40">
                  <c:v>8.6036307321690764E-2</c:v>
                </c:pt>
                <c:pt idx="41">
                  <c:v>0.26218516289866489</c:v>
                </c:pt>
                <c:pt idx="42">
                  <c:v>0.67303982509538951</c:v>
                </c:pt>
                <c:pt idx="43">
                  <c:v>0.72815533980581382</c:v>
                </c:pt>
                <c:pt idx="44">
                  <c:v>0.24941872754173922</c:v>
                </c:pt>
                <c:pt idx="45">
                  <c:v>0.12650754828371635</c:v>
                </c:pt>
                <c:pt idx="46">
                  <c:v>0.10950134770888464</c:v>
                </c:pt>
                <c:pt idx="47">
                  <c:v>0.47749263777872031</c:v>
                </c:pt>
                <c:pt idx="48">
                  <c:v>0.64479661691125845</c:v>
                </c:pt>
                <c:pt idx="49">
                  <c:v>0.48049921996877742</c:v>
                </c:pt>
                <c:pt idx="50">
                  <c:v>0.5009729640210514</c:v>
                </c:pt>
                <c:pt idx="51">
                  <c:v>0.50877482079592085</c:v>
                </c:pt>
                <c:pt idx="52">
                  <c:v>1.0042012501280784</c:v>
                </c:pt>
                <c:pt idx="53">
                  <c:v>0.32667140103479486</c:v>
                </c:pt>
                <c:pt idx="54">
                  <c:v>-0.15774784613517001</c:v>
                </c:pt>
                <c:pt idx="55">
                  <c:v>-0.9520337060443973</c:v>
                </c:pt>
                <c:pt idx="56">
                  <c:v>-0.25563417726696125</c:v>
                </c:pt>
                <c:pt idx="57">
                  <c:v>0.787320853751039</c:v>
                </c:pt>
                <c:pt idx="58">
                  <c:v>1.2653335232011953</c:v>
                </c:pt>
                <c:pt idx="59">
                  <c:v>0.99640410614916242</c:v>
                </c:pt>
                <c:pt idx="60">
                  <c:v>0.76578816509198511</c:v>
                </c:pt>
                <c:pt idx="61">
                  <c:v>0.29609159099883708</c:v>
                </c:pt>
                <c:pt idx="62">
                  <c:v>-3.9362330249959054E-2</c:v>
                </c:pt>
                <c:pt idx="63">
                  <c:v>0.57097853908250062</c:v>
                </c:pt>
                <c:pt idx="64">
                  <c:v>-0.36413469068128368</c:v>
                </c:pt>
                <c:pt idx="65">
                  <c:v>-9.8243407867237842E-3</c:v>
                </c:pt>
                <c:pt idx="66">
                  <c:v>0.32030497750004105</c:v>
                </c:pt>
                <c:pt idx="67">
                  <c:v>0</c:v>
                </c:pt>
                <c:pt idx="68">
                  <c:v>0.3192823003995926</c:v>
                </c:pt>
                <c:pt idx="69">
                  <c:v>-3.5145953333981517E-2</c:v>
                </c:pt>
                <c:pt idx="70">
                  <c:v>0.26173408598160197</c:v>
                </c:pt>
                <c:pt idx="71">
                  <c:v>0.30780619898305162</c:v>
                </c:pt>
                <c:pt idx="72">
                  <c:v>6.4091359319462526E-2</c:v>
                </c:pt>
                <c:pt idx="73">
                  <c:v>0.23873296844068026</c:v>
                </c:pt>
                <c:pt idx="74">
                  <c:v>0.35627843934553649</c:v>
                </c:pt>
                <c:pt idx="75">
                  <c:v>-0.11769472689034943</c:v>
                </c:pt>
                <c:pt idx="76">
                  <c:v>0.20669139236593193</c:v>
                </c:pt>
                <c:pt idx="77">
                  <c:v>2.8915662650597085E-2</c:v>
                </c:pt>
                <c:pt idx="78" formatCode="0.00">
                  <c:v>0.22547697051453763</c:v>
                </c:pt>
                <c:pt idx="79" formatCode="0.00">
                  <c:v>0.47685888438095958</c:v>
                </c:pt>
                <c:pt idx="80" formatCode="0.00">
                  <c:v>5.1669696679734756E-2</c:v>
                </c:pt>
                <c:pt idx="81" formatCode="0.00">
                  <c:v>0.22187368501589422</c:v>
                </c:pt>
                <c:pt idx="82" formatCode="0.00">
                  <c:v>0.19084697889231172</c:v>
                </c:pt>
                <c:pt idx="83" formatCode="0.00">
                  <c:v>0.40382490761552425</c:v>
                </c:pt>
                <c:pt idx="84" formatCode="0.00">
                  <c:v>0.55018023145512185</c:v>
                </c:pt>
                <c:pt idx="85" formatCode="0.00">
                  <c:v>0.65660377358489619</c:v>
                </c:pt>
                <c:pt idx="86" formatCode="0.00">
                  <c:v>0.30179200719802068</c:v>
                </c:pt>
              </c:numCache>
            </c:numRef>
          </c:val>
        </c:ser>
        <c:dLbls>
          <c:showLegendKey val="0"/>
          <c:showVal val="0"/>
          <c:showCatName val="0"/>
          <c:showSerName val="0"/>
          <c:showPercent val="0"/>
          <c:showBubbleSize val="0"/>
        </c:dLbls>
        <c:gapWidth val="10"/>
        <c:overlap val="100"/>
        <c:axId val="458425856"/>
        <c:axId val="458427392"/>
      </c:barChart>
      <c:catAx>
        <c:axId val="45842585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8427392"/>
        <c:crosses val="autoZero"/>
        <c:auto val="1"/>
        <c:lblAlgn val="ctr"/>
        <c:lblOffset val="100"/>
        <c:tickLblSkip val="4"/>
        <c:tickMarkSkip val="4"/>
        <c:noMultiLvlLbl val="0"/>
      </c:catAx>
      <c:valAx>
        <c:axId val="45842739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8425856"/>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Private consumption (YoY)</a:t>
            </a:r>
          </a:p>
        </c:rich>
      </c:tx>
      <c:layout>
        <c:manualLayout>
          <c:xMode val="edge"/>
          <c:yMode val="edge"/>
          <c:x val="0.4162946428571428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'Q1'!$F$43</c:f>
              <c:strCache>
                <c:ptCount val="1"/>
                <c:pt idx="0">
                  <c:v>QPrvC</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'Q1'!$G$48:$CO$48</c:f>
              <c:numCache>
                <c:formatCode>0</c:formatCode>
                <c:ptCount val="87"/>
                <c:pt idx="4" formatCode="0.00">
                  <c:v>2.6598167738016709</c:v>
                </c:pt>
                <c:pt idx="5" formatCode="0.00">
                  <c:v>2.4617314930991174</c:v>
                </c:pt>
                <c:pt idx="6" formatCode="0.00">
                  <c:v>2.1058395977497923</c:v>
                </c:pt>
                <c:pt idx="7" formatCode="0.00">
                  <c:v>1.5429503981009951</c:v>
                </c:pt>
                <c:pt idx="8" formatCode="0.00">
                  <c:v>1.5629237026993703</c:v>
                </c:pt>
                <c:pt idx="9" formatCode="0.00">
                  <c:v>1.6898924836521223</c:v>
                </c:pt>
                <c:pt idx="10" formatCode="0.00">
                  <c:v>1.8405655777669283</c:v>
                </c:pt>
                <c:pt idx="11" formatCode="0.00">
                  <c:v>2.0649685871523937</c:v>
                </c:pt>
                <c:pt idx="12" formatCode="0.00">
                  <c:v>2.5073424112235676</c:v>
                </c:pt>
                <c:pt idx="13" formatCode="0.00">
                  <c:v>2.76727439127189</c:v>
                </c:pt>
                <c:pt idx="14" formatCode="0.00">
                  <c:v>2.8916816277678059</c:v>
                </c:pt>
                <c:pt idx="15" formatCode="0.00">
                  <c:v>2.7150832657345969</c:v>
                </c:pt>
                <c:pt idx="16" formatCode="0.00">
                  <c:v>1.9937488160636452</c:v>
                </c:pt>
                <c:pt idx="17" formatCode="0.00">
                  <c:v>1.4600421842043465</c:v>
                </c:pt>
                <c:pt idx="18" formatCode="0.00">
                  <c:v>1.46104273782659</c:v>
                </c:pt>
                <c:pt idx="19" formatCode="0.00">
                  <c:v>1.7885347951314801</c:v>
                </c:pt>
                <c:pt idx="20" formatCode="0.00">
                  <c:v>2.6280354738357437</c:v>
                </c:pt>
                <c:pt idx="21" formatCode="0.00">
                  <c:v>2.7995287921835033</c:v>
                </c:pt>
                <c:pt idx="22" formatCode="0.00">
                  <c:v>2.9281603265231215</c:v>
                </c:pt>
                <c:pt idx="23" formatCode="0.00">
                  <c:v>3.3590434028569982</c:v>
                </c:pt>
                <c:pt idx="24" formatCode="0.00">
                  <c:v>2.6421752703252865</c:v>
                </c:pt>
                <c:pt idx="25" formatCode="0.00">
                  <c:v>1.7997977755308314</c:v>
                </c:pt>
                <c:pt idx="26" formatCode="0.00">
                  <c:v>0.4388700766351894</c:v>
                </c:pt>
                <c:pt idx="27" formatCode="0.00">
                  <c:v>-0.87870358104825685</c:v>
                </c:pt>
                <c:pt idx="28" formatCode="0.00">
                  <c:v>-0.65676378542778302</c:v>
                </c:pt>
                <c:pt idx="29" formatCode="0.00">
                  <c:v>-0.15009049574007394</c:v>
                </c:pt>
                <c:pt idx="30" formatCode="0.00">
                  <c:v>0.80958190085393955</c:v>
                </c:pt>
                <c:pt idx="31" formatCode="0.00">
                  <c:v>1.5992516037063309</c:v>
                </c:pt>
                <c:pt idx="32" formatCode="0.00">
                  <c:v>0.91179341556482107</c:v>
                </c:pt>
                <c:pt idx="33" formatCode="0.00">
                  <c:v>0.37357973385205856</c:v>
                </c:pt>
                <c:pt idx="34" formatCode="0.00">
                  <c:v>0.12541254125411072</c:v>
                </c:pt>
                <c:pt idx="35" formatCode="0.00">
                  <c:v>0.65988512298855717</c:v>
                </c:pt>
                <c:pt idx="36" formatCode="0.00">
                  <c:v>1.490535757469158</c:v>
                </c:pt>
                <c:pt idx="37" formatCode="0.00">
                  <c:v>1.810293567071164</c:v>
                </c:pt>
                <c:pt idx="38" formatCode="0.00">
                  <c:v>1.6722702001889855</c:v>
                </c:pt>
                <c:pt idx="39" formatCode="0.00">
                  <c:v>1.2566699335728959</c:v>
                </c:pt>
                <c:pt idx="40" formatCode="0.00">
                  <c:v>0.79497454781760624</c:v>
                </c:pt>
                <c:pt idx="41" formatCode="0.00">
                  <c:v>0.91933634731447</c:v>
                </c:pt>
                <c:pt idx="42" formatCode="0.00">
                  <c:v>1.512924699576379</c:v>
                </c:pt>
                <c:pt idx="43" formatCode="0.00">
                  <c:v>1.7594424847285683</c:v>
                </c:pt>
                <c:pt idx="44" formatCode="0.00">
                  <c:v>1.9255566062064799</c:v>
                </c:pt>
                <c:pt idx="45" formatCode="0.00">
                  <c:v>1.7876280704762548</c:v>
                </c:pt>
                <c:pt idx="46" formatCode="0.00">
                  <c:v>1.2178504513711275</c:v>
                </c:pt>
                <c:pt idx="47" formatCode="0.00">
                  <c:v>0.96596913971676024</c:v>
                </c:pt>
                <c:pt idx="48" formatCode="0.00">
                  <c:v>1.3641730623260573</c:v>
                </c:pt>
                <c:pt idx="49" formatCode="0.00">
                  <c:v>1.7225404312668502</c:v>
                </c:pt>
                <c:pt idx="50" formatCode="0.00">
                  <c:v>2.1203197307530619</c:v>
                </c:pt>
                <c:pt idx="51" formatCode="0.00">
                  <c:v>2.1521133837167916</c:v>
                </c:pt>
                <c:pt idx="52" formatCode="0.00">
                  <c:v>2.516900676027034</c:v>
                </c:pt>
                <c:pt idx="53" formatCode="0.00">
                  <c:v>2.3599552850577687</c:v>
                </c:pt>
                <c:pt idx="54" formatCode="0.00">
                  <c:v>1.6890500123589058</c:v>
                </c:pt>
                <c:pt idx="55" formatCode="0.00">
                  <c:v>0.21108720155753602</c:v>
                </c:pt>
                <c:pt idx="56" formatCode="0.00">
                  <c:v>-1.0388556355889089</c:v>
                </c:pt>
                <c:pt idx="57" formatCode="0.00">
                  <c:v>-0.58447599401367789</c:v>
                </c:pt>
                <c:pt idx="58" formatCode="0.00">
                  <c:v>0.83252309188137641</c:v>
                </c:pt>
                <c:pt idx="59" formatCode="0.00">
                  <c:v>2.8160660967728735</c:v>
                </c:pt>
                <c:pt idx="60" formatCode="0.00">
                  <c:v>3.8689438828860112</c:v>
                </c:pt>
                <c:pt idx="61" formatCode="0.00">
                  <c:v>3.3626950383465415</c:v>
                </c:pt>
                <c:pt idx="62" formatCode="0.00">
                  <c:v>2.0309769179774451</c:v>
                </c:pt>
                <c:pt idx="63" formatCode="0.00">
                  <c:v>1.6011934361014335</c:v>
                </c:pt>
                <c:pt idx="64" formatCode="0.00">
                  <c:v>0.46190288195815388</c:v>
                </c:pt>
                <c:pt idx="65" formatCode="0.00">
                  <c:v>0.15548120448731773</c:v>
                </c:pt>
                <c:pt idx="66" formatCode="0.00">
                  <c:v>0.51584957668833198</c:v>
                </c:pt>
                <c:pt idx="67" formatCode="0.00">
                  <c:v>-5.4815974941269108E-2</c:v>
                </c:pt>
                <c:pt idx="68" formatCode="0.00">
                  <c:v>0.63072267850827757</c:v>
                </c:pt>
                <c:pt idx="69" formatCode="0.00">
                  <c:v>0.60523885319028192</c:v>
                </c:pt>
                <c:pt idx="70" formatCode="0.00">
                  <c:v>0.54650160620544064</c:v>
                </c:pt>
                <c:pt idx="71" formatCode="0.00">
                  <c:v>0.85598997100995167</c:v>
                </c:pt>
                <c:pt idx="72" formatCode="0.00">
                  <c:v>0.59943375964071066</c:v>
                </c:pt>
                <c:pt idx="73" formatCode="0.00">
                  <c:v>0.87505127253550974</c:v>
                </c:pt>
                <c:pt idx="74" formatCode="0.00">
                  <c:v>0.97017396894663044</c:v>
                </c:pt>
                <c:pt idx="75" formatCode="0.00">
                  <c:v>0.54186331061003568</c:v>
                </c:pt>
                <c:pt idx="76" formatCode="0.00">
                  <c:v>0.68514421024028493</c:v>
                </c:pt>
                <c:pt idx="77" formatCode="0.00">
                  <c:v>0.4743924871720262</c:v>
                </c:pt>
                <c:pt idx="78" formatCode="0.00">
                  <c:v>0.34343707190953587</c:v>
                </c:pt>
                <c:pt idx="79" formatCode="0.00">
                  <c:v>0.94073558955338754</c:v>
                </c:pt>
                <c:pt idx="80" formatCode="0.00">
                  <c:v>0.78457831325300376</c:v>
                </c:pt>
                <c:pt idx="81" formatCode="0.00">
                  <c:v>0.97899402582386497</c:v>
                </c:pt>
                <c:pt idx="82" formatCode="0.00">
                  <c:v>0.94410367835098263</c:v>
                </c:pt>
                <c:pt idx="83" formatCode="0.00">
                  <c:v>0.87073007367715061</c:v>
                </c:pt>
                <c:pt idx="84" formatCode="0.00">
                  <c:v>1.3733216020810346</c:v>
                </c:pt>
                <c:pt idx="85" formatCode="0.00">
                  <c:v>1.8130462994770724</c:v>
                </c:pt>
                <c:pt idx="86" formatCode="0.00">
                  <c:v>1.9257876490533121</c:v>
                </c:pt>
              </c:numCache>
            </c:numRef>
          </c:val>
        </c:ser>
        <c:dLbls>
          <c:showLegendKey val="0"/>
          <c:showVal val="0"/>
          <c:showCatName val="0"/>
          <c:showSerName val="0"/>
          <c:showPercent val="0"/>
          <c:showBubbleSize val="0"/>
        </c:dLbls>
        <c:gapWidth val="10"/>
        <c:overlap val="100"/>
        <c:axId val="458451968"/>
        <c:axId val="458457856"/>
      </c:barChart>
      <c:catAx>
        <c:axId val="45845196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8457856"/>
        <c:crosses val="autoZero"/>
        <c:auto val="1"/>
        <c:lblAlgn val="ctr"/>
        <c:lblOffset val="100"/>
        <c:tickLblSkip val="4"/>
        <c:tickMarkSkip val="4"/>
        <c:noMultiLvlLbl val="0"/>
      </c:catAx>
      <c:valAx>
        <c:axId val="45845785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845196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Government consumption (QoQ)</a:t>
            </a:r>
          </a:p>
        </c:rich>
      </c:tx>
      <c:layout>
        <c:manualLayout>
          <c:xMode val="edge"/>
          <c:yMode val="edge"/>
          <c:x val="0.398437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'Q1'!$F$62</c:f>
              <c:strCache>
                <c:ptCount val="1"/>
                <c:pt idx="0">
                  <c:v>QAC</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'Q1'!$G$62:$CO$62</c:f>
              <c:numCache>
                <c:formatCode>0.0</c:formatCode>
                <c:ptCount val="87"/>
                <c:pt idx="1">
                  <c:v>0.44689083873781232</c:v>
                </c:pt>
                <c:pt idx="2">
                  <c:v>0.41777440182300118</c:v>
                </c:pt>
                <c:pt idx="3">
                  <c:v>0.44845472228227656</c:v>
                </c:pt>
                <c:pt idx="4">
                  <c:v>0.28508418051744755</c:v>
                </c:pt>
                <c:pt idx="5">
                  <c:v>0.34863763140957627</c:v>
                </c:pt>
                <c:pt idx="6">
                  <c:v>0.20845582340049962</c:v>
                </c:pt>
                <c:pt idx="7">
                  <c:v>0.22402389588220828</c:v>
                </c:pt>
                <c:pt idx="8">
                  <c:v>-6.9185737094190625E-2</c:v>
                </c:pt>
                <c:pt idx="9">
                  <c:v>0.17042126005220037</c:v>
                </c:pt>
                <c:pt idx="10">
                  <c:v>0.26583018767611932</c:v>
                </c:pt>
                <c:pt idx="11">
                  <c:v>0.36587305795641178</c:v>
                </c:pt>
                <c:pt idx="12">
                  <c:v>0.56001690617073496</c:v>
                </c:pt>
                <c:pt idx="13">
                  <c:v>0.54639066932857805</c:v>
                </c:pt>
                <c:pt idx="14">
                  <c:v>0.53297105235654563</c:v>
                </c:pt>
                <c:pt idx="15">
                  <c:v>0.58731808731811164</c:v>
                </c:pt>
                <c:pt idx="16">
                  <c:v>0.66139616596909701</c:v>
                </c:pt>
                <c:pt idx="17">
                  <c:v>0.70324931985008554</c:v>
                </c:pt>
                <c:pt idx="18">
                  <c:v>0.78499337343256315</c:v>
                </c:pt>
                <c:pt idx="19">
                  <c:v>0.90532065547239693</c:v>
                </c:pt>
                <c:pt idx="20">
                  <c:v>0.92225953586286824</c:v>
                </c:pt>
                <c:pt idx="21">
                  <c:v>0.63570896448970071</c:v>
                </c:pt>
                <c:pt idx="22">
                  <c:v>0.45402951191826357</c:v>
                </c:pt>
                <c:pt idx="23">
                  <c:v>0.32915745517072548</c:v>
                </c:pt>
                <c:pt idx="24">
                  <c:v>-0.12241700127314514</c:v>
                </c:pt>
                <c:pt idx="25">
                  <c:v>0.17649654360936129</c:v>
                </c:pt>
                <c:pt idx="26">
                  <c:v>0.41109969167523186</c:v>
                </c:pt>
                <c:pt idx="27">
                  <c:v>0.60437685821512765</c:v>
                </c:pt>
                <c:pt idx="28">
                  <c:v>0.94956639697689749</c:v>
                </c:pt>
                <c:pt idx="29">
                  <c:v>0.79186063252867367</c:v>
                </c:pt>
                <c:pt idx="30">
                  <c:v>0.63327302161699794</c:v>
                </c:pt>
                <c:pt idx="31">
                  <c:v>0.31227821149750756</c:v>
                </c:pt>
                <c:pt idx="32">
                  <c:v>-5.6601103721520829E-2</c:v>
                </c:pt>
                <c:pt idx="33">
                  <c:v>0.37283496153663886</c:v>
                </c:pt>
                <c:pt idx="34">
                  <c:v>0.55482414895617893</c:v>
                </c:pt>
                <c:pt idx="35">
                  <c:v>0.56579070419902067</c:v>
                </c:pt>
                <c:pt idx="36">
                  <c:v>0.40916910773234338</c:v>
                </c:pt>
                <c:pt idx="37">
                  <c:v>0.25468858532067262</c:v>
                </c:pt>
                <c:pt idx="38">
                  <c:v>0.25866050808314167</c:v>
                </c:pt>
                <c:pt idx="39">
                  <c:v>0.24877913940846152</c:v>
                </c:pt>
                <c:pt idx="40">
                  <c:v>0.16084558823530326</c:v>
                </c:pt>
                <c:pt idx="41">
                  <c:v>8.2587749483820083E-2</c:v>
                </c:pt>
                <c:pt idx="42">
                  <c:v>6.4181909870275611E-2</c:v>
                </c:pt>
                <c:pt idx="43">
                  <c:v>4.1233334860479864E-2</c:v>
                </c:pt>
                <c:pt idx="44">
                  <c:v>0.25645722659828341</c:v>
                </c:pt>
                <c:pt idx="45">
                  <c:v>0.42481271697423217</c:v>
                </c:pt>
                <c:pt idx="46">
                  <c:v>0.35933591084831296</c:v>
                </c:pt>
                <c:pt idx="47">
                  <c:v>0.4305656272661329</c:v>
                </c:pt>
                <c:pt idx="48">
                  <c:v>0.38359131729772677</c:v>
                </c:pt>
                <c:pt idx="49">
                  <c:v>0.49001978061500306</c:v>
                </c:pt>
                <c:pt idx="50">
                  <c:v>0.71131391759495788</c:v>
                </c:pt>
                <c:pt idx="51">
                  <c:v>0.76403695806681604</c:v>
                </c:pt>
                <c:pt idx="52">
                  <c:v>0.72738494092752237</c:v>
                </c:pt>
                <c:pt idx="53">
                  <c:v>0.75714473281105477</c:v>
                </c:pt>
                <c:pt idx="54">
                  <c:v>0.660238033185645</c:v>
                </c:pt>
                <c:pt idx="55">
                  <c:v>0.62138603607491127</c:v>
                </c:pt>
                <c:pt idx="56">
                  <c:v>-0.19298396088859304</c:v>
                </c:pt>
                <c:pt idx="57">
                  <c:v>0.15898251192367763</c:v>
                </c:pt>
                <c:pt idx="58">
                  <c:v>0.24453024453026106</c:v>
                </c:pt>
                <c:pt idx="59">
                  <c:v>0.33808362220224542</c:v>
                </c:pt>
                <c:pt idx="60">
                  <c:v>0.37106542693849942</c:v>
                </c:pt>
                <c:pt idx="61">
                  <c:v>8.9236391450286945E-2</c:v>
                </c:pt>
                <c:pt idx="62">
                  <c:v>5.5192324021402506E-2</c:v>
                </c:pt>
                <c:pt idx="63">
                  <c:v>0.29278228030720221</c:v>
                </c:pt>
                <c:pt idx="64">
                  <c:v>0.32577424268065425</c:v>
                </c:pt>
                <c:pt idx="65">
                  <c:v>0.2445915742419702</c:v>
                </c:pt>
                <c:pt idx="66">
                  <c:v>0.76143199697109587</c:v>
                </c:pt>
                <c:pt idx="67">
                  <c:v>0.27555110220440771</c:v>
                </c:pt>
                <c:pt idx="68">
                  <c:v>0.29144808060621585</c:v>
                </c:pt>
                <c:pt idx="69">
                  <c:v>0.54383925606111827</c:v>
                </c:pt>
                <c:pt idx="70">
                  <c:v>-8.2579792724857271E-3</c:v>
                </c:pt>
                <c:pt idx="71">
                  <c:v>0.24363050749474091</c:v>
                </c:pt>
                <c:pt idx="72">
                  <c:v>0.32954358213874713</c:v>
                </c:pt>
                <c:pt idx="73">
                  <c:v>-0.41468221382822135</c:v>
                </c:pt>
                <c:pt idx="74">
                  <c:v>8.658008658009031E-2</c:v>
                </c:pt>
                <c:pt idx="75">
                  <c:v>-0.23891909705058278</c:v>
                </c:pt>
                <c:pt idx="76">
                  <c:v>0.2725245685027522</c:v>
                </c:pt>
                <c:pt idx="77">
                  <c:v>0.2841377038379278</c:v>
                </c:pt>
                <c:pt idx="78">
                  <c:v>0.68985340615119739</c:v>
                </c:pt>
                <c:pt idx="79">
                  <c:v>0.27731332327392</c:v>
                </c:pt>
                <c:pt idx="80">
                  <c:v>-0.15860750742201501</c:v>
                </c:pt>
                <c:pt idx="81">
                  <c:v>0.13849287169043212</c:v>
                </c:pt>
                <c:pt idx="82">
                  <c:v>-0.35388870810283413</c:v>
                </c:pt>
                <c:pt idx="83">
                  <c:v>0.33473486549373543</c:v>
                </c:pt>
                <c:pt idx="84">
                  <c:v>0.26852190894666172</c:v>
                </c:pt>
                <c:pt idx="85">
                  <c:v>-0.27591803611278776</c:v>
                </c:pt>
                <c:pt idx="86">
                  <c:v>0.32957643325060015</c:v>
                </c:pt>
              </c:numCache>
            </c:numRef>
          </c:val>
        </c:ser>
        <c:dLbls>
          <c:showLegendKey val="0"/>
          <c:showVal val="0"/>
          <c:showCatName val="0"/>
          <c:showSerName val="0"/>
          <c:showPercent val="0"/>
          <c:showBubbleSize val="0"/>
        </c:dLbls>
        <c:gapWidth val="10"/>
        <c:overlap val="100"/>
        <c:axId val="458490624"/>
        <c:axId val="458492160"/>
      </c:barChart>
      <c:catAx>
        <c:axId val="45849062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58492160"/>
        <c:crosses val="autoZero"/>
        <c:auto val="1"/>
        <c:lblAlgn val="ctr"/>
        <c:lblOffset val="100"/>
        <c:tickLblSkip val="4"/>
        <c:tickMarkSkip val="4"/>
        <c:noMultiLvlLbl val="0"/>
      </c:catAx>
      <c:valAx>
        <c:axId val="45849216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58490624"/>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Government consumption (YoY)</a:t>
            </a:r>
          </a:p>
        </c:rich>
      </c:tx>
      <c:layout>
        <c:manualLayout>
          <c:xMode val="edge"/>
          <c:yMode val="edge"/>
          <c:x val="0.39955357142857145"/>
          <c:y val="3.6065573770491806E-2"/>
        </c:manualLayout>
      </c:layout>
      <c:overlay val="0"/>
      <c:spPr>
        <a:noFill/>
        <a:ln w="25400">
          <a:noFill/>
        </a:ln>
      </c:spPr>
    </c:title>
    <c:autoTitleDeleted val="0"/>
    <c:plotArea>
      <c:layout>
        <c:manualLayout>
          <c:layoutTarget val="inner"/>
          <c:xMode val="edge"/>
          <c:yMode val="edge"/>
          <c:x val="5.3571428571428568E-2"/>
          <c:y val="0.19672131147540983"/>
          <c:w val="0.9308035714285714"/>
          <c:h val="0.69180327868852454"/>
        </c:manualLayout>
      </c:layout>
      <c:barChart>
        <c:barDir val="col"/>
        <c:grouping val="stacked"/>
        <c:varyColors val="0"/>
        <c:ser>
          <c:idx val="0"/>
          <c:order val="0"/>
          <c:tx>
            <c:strRef>
              <c:f>'Q1'!$F$62</c:f>
              <c:strCache>
                <c:ptCount val="1"/>
                <c:pt idx="0">
                  <c:v>QAC</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'Q1'!$G$67:$CO$67</c:f>
              <c:numCache>
                <c:formatCode>0</c:formatCode>
                <c:ptCount val="87"/>
                <c:pt idx="4" formatCode="0.00">
                  <c:v>1.607717041800627</c:v>
                </c:pt>
                <c:pt idx="5" formatCode="0.00">
                  <c:v>1.508328359828548</c:v>
                </c:pt>
                <c:pt idx="6" formatCode="0.00">
                  <c:v>1.2967365463583347</c:v>
                </c:pt>
                <c:pt idx="7" formatCode="0.00">
                  <c:v>1.0704104136409986</c:v>
                </c:pt>
                <c:pt idx="8" formatCode="0.00">
                  <c:v>0.71336623042266289</c:v>
                </c:pt>
                <c:pt idx="9" formatCode="0.00">
                  <c:v>0.53450211128334146</c:v>
                </c:pt>
                <c:pt idx="10" formatCode="0.00">
                  <c:v>0.59206315340303295</c:v>
                </c:pt>
                <c:pt idx="11" formatCode="0.00">
                  <c:v>0.73443320915380639</c:v>
                </c:pt>
                <c:pt idx="12" formatCode="0.00">
                  <c:v>1.3686957447941461</c:v>
                </c:pt>
                <c:pt idx="13" formatCode="0.00">
                  <c:v>1.7491626349088296</c:v>
                </c:pt>
                <c:pt idx="14" formatCode="0.00">
                  <c:v>2.0202555808897404</c:v>
                </c:pt>
                <c:pt idx="15" formatCode="0.00">
                  <c:v>2.2453508030431113</c:v>
                </c:pt>
                <c:pt idx="16" formatCode="0.00">
                  <c:v>2.3484291268256907</c:v>
                </c:pt>
                <c:pt idx="17" formatCode="0.00">
                  <c:v>2.5080990699132499</c:v>
                </c:pt>
                <c:pt idx="18" formatCode="0.00">
                  <c:v>2.7650727650727625</c:v>
                </c:pt>
                <c:pt idx="19" formatCode="0.00">
                  <c:v>3.0899602128868775</c:v>
                </c:pt>
                <c:pt idx="20" formatCode="0.00">
                  <c:v>3.3571171911092934</c:v>
                </c:pt>
                <c:pt idx="21" formatCode="0.00">
                  <c:v>3.2877969211948299</c:v>
                </c:pt>
                <c:pt idx="22" formatCode="0.00">
                  <c:v>2.9486142019016892</c:v>
                </c:pt>
                <c:pt idx="23" formatCode="0.00">
                  <c:v>2.3607839206054804</c:v>
                </c:pt>
                <c:pt idx="24" formatCode="0.00">
                  <c:v>1.3012167866898183</c:v>
                </c:pt>
                <c:pt idx="25" formatCode="0.00">
                  <c:v>0.83896757637071939</c:v>
                </c:pt>
                <c:pt idx="26" formatCode="0.00">
                  <c:v>0.79587324981575946</c:v>
                </c:pt>
                <c:pt idx="27" formatCode="0.00">
                  <c:v>1.0723729311526764</c:v>
                </c:pt>
                <c:pt idx="28" formatCode="0.00">
                  <c:v>2.1571799774476652</c:v>
                </c:pt>
                <c:pt idx="29" formatCode="0.00">
                  <c:v>2.784711006704832</c:v>
                </c:pt>
                <c:pt idx="30" formatCode="0.00">
                  <c:v>3.0121362772335347</c:v>
                </c:pt>
                <c:pt idx="31" formatCode="0.00">
                  <c:v>2.7130468485054182</c:v>
                </c:pt>
                <c:pt idx="32" formatCode="0.00">
                  <c:v>1.6893026827278446</c:v>
                </c:pt>
                <c:pt idx="33" formatCode="0.00">
                  <c:v>1.2665460432339959</c:v>
                </c:pt>
                <c:pt idx="34" formatCode="0.00">
                  <c:v>1.1876035013011377</c:v>
                </c:pt>
                <c:pt idx="35" formatCode="0.00">
                  <c:v>1.4433281448988255</c:v>
                </c:pt>
                <c:pt idx="36" formatCode="0.00">
                  <c:v>1.9160885365047786</c:v>
                </c:pt>
                <c:pt idx="37" formatCode="0.00">
                  <c:v>1.7961256347564403</c:v>
                </c:pt>
                <c:pt idx="38" formatCode="0.00">
                  <c:v>1.4963059945758861</c:v>
                </c:pt>
                <c:pt idx="39" formatCode="0.00">
                  <c:v>1.1763611847305455</c:v>
                </c:pt>
                <c:pt idx="40" formatCode="0.00">
                  <c:v>0.9261403102570176</c:v>
                </c:pt>
                <c:pt idx="41" formatCode="0.00">
                  <c:v>0.75288683602772188</c:v>
                </c:pt>
                <c:pt idx="42" formatCode="0.00">
                  <c:v>0.55744955311896049</c:v>
                </c:pt>
                <c:pt idx="43" formatCode="0.00">
                  <c:v>0.34926470588234615</c:v>
                </c:pt>
                <c:pt idx="44" formatCode="0.00">
                  <c:v>0.44505620555173042</c:v>
                </c:pt>
                <c:pt idx="45" formatCode="0.00">
                  <c:v>0.78852060697749415</c:v>
                </c:pt>
                <c:pt idx="46" formatCode="0.00">
                  <c:v>1.0858111513263324</c:v>
                </c:pt>
                <c:pt idx="47" formatCode="0.00">
                  <c:v>1.4792086462722231</c:v>
                </c:pt>
                <c:pt idx="48" formatCode="0.00">
                  <c:v>1.6078932943541124</c:v>
                </c:pt>
                <c:pt idx="49" formatCode="0.00">
                  <c:v>1.6738685467364123</c:v>
                </c:pt>
                <c:pt idx="50" formatCode="0.00">
                  <c:v>2.0304568527918843</c:v>
                </c:pt>
                <c:pt idx="51" formatCode="0.00">
                  <c:v>2.3692404891917596</c:v>
                </c:pt>
                <c:pt idx="52" formatCode="0.00">
                  <c:v>2.7198345621291198</c:v>
                </c:pt>
                <c:pt idx="53" formatCode="0.00">
                  <c:v>2.99288686082404</c:v>
                </c:pt>
                <c:pt idx="54" formatCode="0.00">
                  <c:v>2.9406538734896959</c:v>
                </c:pt>
                <c:pt idx="55" formatCode="0.00">
                  <c:v>2.7949215305942632</c:v>
                </c:pt>
                <c:pt idx="56" formatCode="0.00">
                  <c:v>1.8556610792594741</c:v>
                </c:pt>
                <c:pt idx="57" formatCode="0.00">
                  <c:v>1.2509773260359625</c:v>
                </c:pt>
                <c:pt idx="58" formatCode="0.00">
                  <c:v>0.83282989557262876</c:v>
                </c:pt>
                <c:pt idx="59" formatCode="0.00">
                  <c:v>0.54893215541642615</c:v>
                </c:pt>
                <c:pt idx="60" formatCode="0.00">
                  <c:v>1.1171744081124091</c:v>
                </c:pt>
                <c:pt idx="61" formatCode="0.00">
                  <c:v>1.0467610467610466</c:v>
                </c:pt>
                <c:pt idx="62" formatCode="0.00">
                  <c:v>0.85590790430949415</c:v>
                </c:pt>
                <c:pt idx="63" formatCode="0.00">
                  <c:v>0.81037277147486542</c:v>
                </c:pt>
                <c:pt idx="64" formatCode="0.00">
                  <c:v>0.76488335528832607</c:v>
                </c:pt>
                <c:pt idx="65" formatCode="0.00">
                  <c:v>0.92128725481872564</c:v>
                </c:pt>
                <c:pt idx="66" formatCode="0.00">
                  <c:v>1.633640259685154</c:v>
                </c:pt>
                <c:pt idx="67" formatCode="0.00">
                  <c:v>1.6161787104417069</c:v>
                </c:pt>
                <c:pt idx="68" formatCode="0.00">
                  <c:v>1.5814110403576054</c:v>
                </c:pt>
                <c:pt idx="69" formatCode="0.00">
                  <c:v>1.8846493626687888</c:v>
                </c:pt>
                <c:pt idx="70" formatCode="0.00">
                  <c:v>1.1063794255176784</c:v>
                </c:pt>
                <c:pt idx="71" formatCode="0.00">
                  <c:v>1.0741943542343257</c:v>
                </c:pt>
                <c:pt idx="72" formatCode="0.00">
                  <c:v>1.1125871803387533</c:v>
                </c:pt>
                <c:pt idx="73" formatCode="0.00">
                  <c:v>0.14864362690447663</c:v>
                </c:pt>
                <c:pt idx="74" formatCode="0.00">
                  <c:v>0.24363050749474091</c:v>
                </c:pt>
                <c:pt idx="75" formatCode="0.00">
                  <c:v>-0.23891909705058278</c:v>
                </c:pt>
                <c:pt idx="76" formatCode="0.00">
                  <c:v>-0.29561504352111356</c:v>
                </c:pt>
                <c:pt idx="77" formatCode="0.00">
                  <c:v>0.40404040404040664</c:v>
                </c:pt>
                <c:pt idx="78" formatCode="0.00">
                  <c:v>1.0092272202998798</c:v>
                </c:pt>
                <c:pt idx="79" formatCode="0.00">
                  <c:v>1.5319184077958514</c:v>
                </c:pt>
                <c:pt idx="80" formatCode="0.00">
                  <c:v>1.0953714379838608</c:v>
                </c:pt>
                <c:pt idx="81" formatCode="0.00">
                  <c:v>0.94854843345788531</c:v>
                </c:pt>
                <c:pt idx="82" formatCode="0.00">
                  <c:v>-9.7875290567273066E-2</c:v>
                </c:pt>
                <c:pt idx="83" formatCode="0.00">
                  <c:v>-4.0668591646664254E-2</c:v>
                </c:pt>
                <c:pt idx="84" formatCode="0.00">
                  <c:v>0.38696537678206688</c:v>
                </c:pt>
                <c:pt idx="85" formatCode="0.00">
                  <c:v>-2.8473804100215272E-2</c:v>
                </c:pt>
                <c:pt idx="86" formatCode="0.00">
                  <c:v>0.65722333346940331</c:v>
                </c:pt>
              </c:numCache>
            </c:numRef>
          </c:val>
        </c:ser>
        <c:dLbls>
          <c:showLegendKey val="0"/>
          <c:showVal val="0"/>
          <c:showCatName val="0"/>
          <c:showSerName val="0"/>
          <c:showPercent val="0"/>
          <c:showBubbleSize val="0"/>
        </c:dLbls>
        <c:gapWidth val="10"/>
        <c:overlap val="100"/>
        <c:axId val="458520832"/>
        <c:axId val="458547200"/>
      </c:barChart>
      <c:catAx>
        <c:axId val="45852083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58547200"/>
        <c:crosses val="autoZero"/>
        <c:auto val="1"/>
        <c:lblAlgn val="ctr"/>
        <c:lblOffset val="100"/>
        <c:tickLblSkip val="4"/>
        <c:tickMarkSkip val="4"/>
        <c:noMultiLvlLbl val="0"/>
      </c:catAx>
      <c:valAx>
        <c:axId val="45854720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5852083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Gross fixed capital formation (QoQ)</a:t>
            </a:r>
          </a:p>
        </c:rich>
      </c:tx>
      <c:layout>
        <c:manualLayout>
          <c:xMode val="edge"/>
          <c:yMode val="edge"/>
          <c:x val="0.390625"/>
          <c:y val="3.5947712418300651E-2"/>
        </c:manualLayout>
      </c:layout>
      <c:overlay val="0"/>
      <c:spPr>
        <a:noFill/>
        <a:ln w="25400">
          <a:noFill/>
        </a:ln>
      </c:spPr>
    </c:title>
    <c:autoTitleDeleted val="0"/>
    <c:plotArea>
      <c:layout>
        <c:manualLayout>
          <c:layoutTarget val="inner"/>
          <c:xMode val="edge"/>
          <c:yMode val="edge"/>
          <c:x val="5.6919642857142856E-2"/>
          <c:y val="0.19281107284988017"/>
          <c:w val="0.9274553571428571"/>
          <c:h val="0.69608065283092335"/>
        </c:manualLayout>
      </c:layout>
      <c:barChart>
        <c:barDir val="col"/>
        <c:grouping val="stacked"/>
        <c:varyColors val="0"/>
        <c:ser>
          <c:idx val="0"/>
          <c:order val="0"/>
          <c:tx>
            <c:strRef>
              <c:f>'Q1'!$F$88</c:f>
              <c:strCache>
                <c:ptCount val="1"/>
                <c:pt idx="0">
                  <c:v>QI</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'Q1'!$G$88:$CO$88</c:f>
              <c:numCache>
                <c:formatCode>0.0</c:formatCode>
                <c:ptCount val="87"/>
                <c:pt idx="1">
                  <c:v>1.7213060902700139</c:v>
                </c:pt>
                <c:pt idx="2">
                  <c:v>1.181941484208493</c:v>
                </c:pt>
                <c:pt idx="3">
                  <c:v>5.744925315971372E-2</c:v>
                </c:pt>
                <c:pt idx="4">
                  <c:v>-1.5821371610845403</c:v>
                </c:pt>
                <c:pt idx="5">
                  <c:v>0.26576780968432523</c:v>
                </c:pt>
                <c:pt idx="6">
                  <c:v>1.2994569433669501</c:v>
                </c:pt>
                <c:pt idx="7">
                  <c:v>2.1379794498691762</c:v>
                </c:pt>
                <c:pt idx="8">
                  <c:v>2.0244938765308529</c:v>
                </c:pt>
                <c:pt idx="9">
                  <c:v>2.3640372366486861</c:v>
                </c:pt>
                <c:pt idx="10">
                  <c:v>-0.38889553667582621</c:v>
                </c:pt>
                <c:pt idx="11">
                  <c:v>2.312451198270149</c:v>
                </c:pt>
                <c:pt idx="12">
                  <c:v>-1.2386990724433389</c:v>
                </c:pt>
                <c:pt idx="13">
                  <c:v>0.26154669202878011</c:v>
                </c:pt>
                <c:pt idx="14">
                  <c:v>1.9624118100432852</c:v>
                </c:pt>
                <c:pt idx="15">
                  <c:v>1.6106524014420254</c:v>
                </c:pt>
                <c:pt idx="16">
                  <c:v>0.3147353361945715</c:v>
                </c:pt>
                <c:pt idx="17">
                  <c:v>1.5059897318881799</c:v>
                </c:pt>
                <c:pt idx="18">
                  <c:v>0.46082949308756671</c:v>
                </c:pt>
                <c:pt idx="19">
                  <c:v>-0.74960841351533469</c:v>
                </c:pt>
                <c:pt idx="20">
                  <c:v>2.8745350016908811</c:v>
                </c:pt>
                <c:pt idx="21">
                  <c:v>0.88209511286434505</c:v>
                </c:pt>
                <c:pt idx="22">
                  <c:v>1.1513604518546661</c:v>
                </c:pt>
                <c:pt idx="23">
                  <c:v>0.66040268456375451</c:v>
                </c:pt>
                <c:pt idx="24">
                  <c:v>1.7441860465116088</c:v>
                </c:pt>
                <c:pt idx="25">
                  <c:v>-1.1533420707732556</c:v>
                </c:pt>
                <c:pt idx="26">
                  <c:v>1.0978520286396121</c:v>
                </c:pt>
                <c:pt idx="27">
                  <c:v>-4.2440457454621772</c:v>
                </c:pt>
                <c:pt idx="28">
                  <c:v>-1.643565441297179E-2</c:v>
                </c:pt>
                <c:pt idx="29">
                  <c:v>-1.452054794520552</c:v>
                </c:pt>
                <c:pt idx="30">
                  <c:v>-1.523491798721166</c:v>
                </c:pt>
                <c:pt idx="31">
                  <c:v>1.9310033312630592</c:v>
                </c:pt>
                <c:pt idx="32">
                  <c:v>-0.47637511770898255</c:v>
                </c:pt>
                <c:pt idx="33">
                  <c:v>0.21149885901932119</c:v>
                </c:pt>
                <c:pt idx="34">
                  <c:v>-5.5540127742281786E-2</c:v>
                </c:pt>
                <c:pt idx="35">
                  <c:v>-1.4059460961378112</c:v>
                </c:pt>
                <c:pt idx="36">
                  <c:v>6.5043399842182437</c:v>
                </c:pt>
                <c:pt idx="37">
                  <c:v>3.0429720575783303</c:v>
                </c:pt>
                <c:pt idx="38">
                  <c:v>3.0352832417441356</c:v>
                </c:pt>
                <c:pt idx="39">
                  <c:v>-2.0586182833217004</c:v>
                </c:pt>
                <c:pt idx="40">
                  <c:v>3.8933279047279834</c:v>
                </c:pt>
                <c:pt idx="41">
                  <c:v>3.9286763985500128</c:v>
                </c:pt>
                <c:pt idx="42">
                  <c:v>-2.1540346907994001</c:v>
                </c:pt>
                <c:pt idx="43">
                  <c:v>-1.5896719495158806</c:v>
                </c:pt>
                <c:pt idx="44">
                  <c:v>2.7412012335405578</c:v>
                </c:pt>
                <c:pt idx="45">
                  <c:v>-0.41926723521845677</c:v>
                </c:pt>
                <c:pt idx="46">
                  <c:v>1.7128367063776961</c:v>
                </c:pt>
                <c:pt idx="47">
                  <c:v>0.14582059363092981</c:v>
                </c:pt>
                <c:pt idx="48">
                  <c:v>3.2785345232503538</c:v>
                </c:pt>
                <c:pt idx="49">
                  <c:v>1.4371475350190899</c:v>
                </c:pt>
                <c:pt idx="50">
                  <c:v>1.9323888091822061</c:v>
                </c:pt>
                <c:pt idx="51">
                  <c:v>1.675830217725971</c:v>
                </c:pt>
                <c:pt idx="52">
                  <c:v>0.71811732133586492</c:v>
                </c:pt>
                <c:pt idx="53">
                  <c:v>9.8788763851898054E-2</c:v>
                </c:pt>
                <c:pt idx="54">
                  <c:v>-2.1025531001930831</c:v>
                </c:pt>
                <c:pt idx="55">
                  <c:v>-1.6129739206662386</c:v>
                </c:pt>
                <c:pt idx="56">
                  <c:v>-3.0605426114848178</c:v>
                </c:pt>
                <c:pt idx="57">
                  <c:v>-1.0018382352941169</c:v>
                </c:pt>
                <c:pt idx="58">
                  <c:v>-2.0285953022003533</c:v>
                </c:pt>
                <c:pt idx="59">
                  <c:v>1.1750769959725238</c:v>
                </c:pt>
                <c:pt idx="60">
                  <c:v>-1.6437971245258365</c:v>
                </c:pt>
                <c:pt idx="61">
                  <c:v>0.18093514903343433</c:v>
                </c:pt>
                <c:pt idx="62">
                  <c:v>1.7870722433460218</c:v>
                </c:pt>
                <c:pt idx="63">
                  <c:v>0.80780724691817962</c:v>
                </c:pt>
                <c:pt idx="64">
                  <c:v>0.93566167955905222</c:v>
                </c:pt>
                <c:pt idx="65">
                  <c:v>1.9182231196365418</c:v>
                </c:pt>
                <c:pt idx="66">
                  <c:v>-0.2026205592327357</c:v>
                </c:pt>
                <c:pt idx="67">
                  <c:v>1.3896408590507114</c:v>
                </c:pt>
                <c:pt idx="68">
                  <c:v>-0.80989676041296477</c:v>
                </c:pt>
                <c:pt idx="69">
                  <c:v>0.24226110363392284</c:v>
                </c:pt>
                <c:pt idx="70">
                  <c:v>-0.29090583601862896</c:v>
                </c:pt>
                <c:pt idx="71">
                  <c:v>-1.7101306162754182</c:v>
                </c:pt>
                <c:pt idx="72">
                  <c:v>-0.73066033427710009</c:v>
                </c:pt>
                <c:pt idx="73">
                  <c:v>0.62563253289171783</c:v>
                </c:pt>
                <c:pt idx="74">
                  <c:v>0.25601170339215606</c:v>
                </c:pt>
                <c:pt idx="75">
                  <c:v>7.2959416324680504E-2</c:v>
                </c:pt>
                <c:pt idx="76">
                  <c:v>1.8135423311765209</c:v>
                </c:pt>
                <c:pt idx="77">
                  <c:v>1.6872538489079769</c:v>
                </c:pt>
                <c:pt idx="78">
                  <c:v>7.4732626204832453</c:v>
                </c:pt>
                <c:pt idx="79">
                  <c:v>-4.9060158073631177</c:v>
                </c:pt>
                <c:pt idx="80">
                  <c:v>9.6335213815081033</c:v>
                </c:pt>
                <c:pt idx="81">
                  <c:v>-10.574279204965043</c:v>
                </c:pt>
                <c:pt idx="82">
                  <c:v>2.6706492137397841</c:v>
                </c:pt>
                <c:pt idx="83">
                  <c:v>0.91554718918458455</c:v>
                </c:pt>
                <c:pt idx="84">
                  <c:v>1.5389180939460623</c:v>
                </c:pt>
                <c:pt idx="85">
                  <c:v>0.709782472548115</c:v>
                </c:pt>
                <c:pt idx="86">
                  <c:v>7.7857468595829316</c:v>
                </c:pt>
              </c:numCache>
            </c:numRef>
          </c:val>
        </c:ser>
        <c:dLbls>
          <c:showLegendKey val="0"/>
          <c:showVal val="0"/>
          <c:showCatName val="0"/>
          <c:showSerName val="0"/>
          <c:showPercent val="0"/>
          <c:showBubbleSize val="0"/>
        </c:dLbls>
        <c:gapWidth val="10"/>
        <c:overlap val="100"/>
        <c:axId val="458637312"/>
        <c:axId val="458638848"/>
      </c:barChart>
      <c:catAx>
        <c:axId val="45863731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58638848"/>
        <c:crosses val="autoZero"/>
        <c:auto val="1"/>
        <c:lblAlgn val="ctr"/>
        <c:lblOffset val="100"/>
        <c:tickLblSkip val="4"/>
        <c:tickMarkSkip val="4"/>
        <c:noMultiLvlLbl val="0"/>
      </c:catAx>
      <c:valAx>
        <c:axId val="45863884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5863731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Gross fixed capital formation (YoY)</a:t>
            </a:r>
          </a:p>
        </c:rich>
      </c:tx>
      <c:layout>
        <c:manualLayout>
          <c:xMode val="edge"/>
          <c:yMode val="edge"/>
          <c:x val="0.39174107142857145"/>
          <c:y val="3.6065573770491806E-2"/>
        </c:manualLayout>
      </c:layout>
      <c:overlay val="0"/>
      <c:spPr>
        <a:noFill/>
        <a:ln w="25400">
          <a:noFill/>
        </a:ln>
      </c:spPr>
    </c:title>
    <c:autoTitleDeleted val="0"/>
    <c:plotArea>
      <c:layout>
        <c:manualLayout>
          <c:layoutTarget val="inner"/>
          <c:xMode val="edge"/>
          <c:yMode val="edge"/>
          <c:x val="5.6919642857142856E-2"/>
          <c:y val="0.19672131147540983"/>
          <c:w val="0.9274553571428571"/>
          <c:h val="0.69180327868852454"/>
        </c:manualLayout>
      </c:layout>
      <c:barChart>
        <c:barDir val="col"/>
        <c:grouping val="stacked"/>
        <c:varyColors val="0"/>
        <c:ser>
          <c:idx val="0"/>
          <c:order val="0"/>
          <c:tx>
            <c:strRef>
              <c:f>'Q1'!$F$88</c:f>
              <c:strCache>
                <c:ptCount val="1"/>
                <c:pt idx="0">
                  <c:v>QI</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'Q1'!$G$93:$CO$93</c:f>
              <c:numCache>
                <c:formatCode>0</c:formatCode>
                <c:ptCount val="87"/>
                <c:pt idx="4" formatCode="0.00">
                  <c:v>1.353393338151232</c:v>
                </c:pt>
                <c:pt idx="5" formatCode="0.00">
                  <c:v>-9.6880449525293955E-2</c:v>
                </c:pt>
                <c:pt idx="6" formatCode="0.00">
                  <c:v>1.9149751053237907E-2</c:v>
                </c:pt>
                <c:pt idx="7" formatCode="0.00">
                  <c:v>2.0988835725677779</c:v>
                </c:pt>
                <c:pt idx="8" formatCode="0.00">
                  <c:v>5.8404096713554177</c:v>
                </c:pt>
                <c:pt idx="9" formatCode="0.00">
                  <c:v>8.0553400568916356</c:v>
                </c:pt>
                <c:pt idx="10" formatCode="0.00">
                  <c:v>6.2543876443933888</c:v>
                </c:pt>
                <c:pt idx="11" formatCode="0.00">
                  <c:v>6.4358910272431791</c:v>
                </c:pt>
                <c:pt idx="12" formatCode="0.00">
                  <c:v>3.0316021558059791</c:v>
                </c:pt>
                <c:pt idx="13" formatCode="0.00">
                  <c:v>0.9154002632523861</c:v>
                </c:pt>
                <c:pt idx="14" formatCode="0.00">
                  <c:v>3.2974953450657596</c:v>
                </c:pt>
                <c:pt idx="15" formatCode="0.00">
                  <c:v>2.5889397675237902</c:v>
                </c:pt>
                <c:pt idx="16" formatCode="0.00">
                  <c:v>4.2025798014622806</c:v>
                </c:pt>
                <c:pt idx="17" formatCode="0.00">
                  <c:v>5.495938815438417</c:v>
                </c:pt>
                <c:pt idx="18" formatCode="0.00">
                  <c:v>3.9423188742877091</c:v>
                </c:pt>
                <c:pt idx="19" formatCode="0.00">
                  <c:v>1.5278969957081445</c:v>
                </c:pt>
                <c:pt idx="20" formatCode="0.00">
                  <c:v>4.1186537364517939</c:v>
                </c:pt>
                <c:pt idx="21" formatCode="0.00">
                  <c:v>3.4787006856243696</c:v>
                </c:pt>
                <c:pt idx="22" formatCode="0.00">
                  <c:v>4.1899753859923949</c:v>
                </c:pt>
                <c:pt idx="23" formatCode="0.00">
                  <c:v>5.6701611994138146</c:v>
                </c:pt>
                <c:pt idx="24" formatCode="0.00">
                  <c:v>4.5090948937102748</c:v>
                </c:pt>
                <c:pt idx="25" formatCode="0.00">
                  <c:v>2.4004779232064344</c:v>
                </c:pt>
                <c:pt idx="26" formatCode="0.00">
                  <c:v>2.3463087248322134</c:v>
                </c:pt>
                <c:pt idx="27" formatCode="0.00">
                  <c:v>-2.6402816300405418</c:v>
                </c:pt>
                <c:pt idx="28" formatCode="0.00">
                  <c:v>-4.3250327653997385</c:v>
                </c:pt>
                <c:pt idx="29" formatCode="0.00">
                  <c:v>-4.6141607000795615</c:v>
                </c:pt>
                <c:pt idx="30" formatCode="0.00">
                  <c:v>-7.0873990137446334</c:v>
                </c:pt>
                <c:pt idx="31" formatCode="0.00">
                  <c:v>-1.0957102941982155</c:v>
                </c:pt>
                <c:pt idx="32" formatCode="0.00">
                  <c:v>-1.5506849315068516</c:v>
                </c:pt>
                <c:pt idx="33" formatCode="0.00">
                  <c:v>0.11120378092854821</c:v>
                </c:pt>
                <c:pt idx="34" formatCode="0.00">
                  <c:v>1.6035232341482741</c:v>
                </c:pt>
                <c:pt idx="35" formatCode="0.00">
                  <c:v>-1.7227053675289428</c:v>
                </c:pt>
                <c:pt idx="36" formatCode="0.00">
                  <c:v>5.1705905270774233</c:v>
                </c:pt>
                <c:pt idx="37" formatCode="0.00">
                  <c:v>8.1421827270202751</c:v>
                </c:pt>
                <c:pt idx="38" formatCode="0.00">
                  <c:v>11.486524034454003</c:v>
                </c:pt>
                <c:pt idx="39" formatCode="0.00">
                  <c:v>10.748506369067744</c:v>
                </c:pt>
                <c:pt idx="40" formatCode="0.00">
                  <c:v>8.033446232006769</c:v>
                </c:pt>
                <c:pt idx="41" formatCode="0.00">
                  <c:v>8.9620461198705925</c:v>
                </c:pt>
                <c:pt idx="42" formatCode="0.00">
                  <c:v>3.4742298873492228</c:v>
                </c:pt>
                <c:pt idx="43" formatCode="0.00">
                  <c:v>3.9696676675657683</c:v>
                </c:pt>
                <c:pt idx="44" formatCode="0.00">
                  <c:v>2.8166944253943393</c:v>
                </c:pt>
                <c:pt idx="45" formatCode="0.00">
                  <c:v>-1.4847285067873361</c:v>
                </c:pt>
                <c:pt idx="46" formatCode="0.00">
                  <c:v>2.4085938629028414</c:v>
                </c:pt>
                <c:pt idx="47" formatCode="0.00">
                  <c:v>4.2145968965686009</c:v>
                </c:pt>
                <c:pt idx="48" formatCode="0.00">
                  <c:v>4.7596359998094195</c:v>
                </c:pt>
                <c:pt idx="49" formatCode="0.00">
                  <c:v>6.7125974833740054</c:v>
                </c:pt>
                <c:pt idx="50" formatCode="0.00">
                  <c:v>6.9429418128792442</c:v>
                </c:pt>
                <c:pt idx="51" formatCode="0.00">
                  <c:v>8.5767966181305777</c:v>
                </c:pt>
                <c:pt idx="52" formatCode="0.00">
                  <c:v>5.8850281971984719</c:v>
                </c:pt>
                <c:pt idx="53" formatCode="0.00">
                  <c:v>4.4879842180774787</c:v>
                </c:pt>
                <c:pt idx="54" formatCode="0.00">
                  <c:v>0.35188036067737016</c:v>
                </c:pt>
                <c:pt idx="55" formatCode="0.00">
                  <c:v>-2.8940993251427627</c:v>
                </c:pt>
                <c:pt idx="56" formatCode="0.00">
                  <c:v>-6.5372390688085202</c:v>
                </c:pt>
                <c:pt idx="57" formatCode="0.00">
                  <c:v>-7.5649002360008488</c:v>
                </c:pt>
                <c:pt idx="58" formatCode="0.00">
                  <c:v>-7.4950690335305765</c:v>
                </c:pt>
                <c:pt idx="59" formatCode="0.00">
                  <c:v>-4.8737024992203786</c:v>
                </c:pt>
                <c:pt idx="60" formatCode="0.00">
                  <c:v>-3.4834558823529482</c:v>
                </c:pt>
                <c:pt idx="61" formatCode="0.00">
                  <c:v>-2.3303314455482393</c:v>
                </c:pt>
                <c:pt idx="62" formatCode="0.00">
                  <c:v>1.4735844586590829</c:v>
                </c:pt>
                <c:pt idx="63" formatCode="0.00">
                  <c:v>1.1052311150657745</c:v>
                </c:pt>
                <c:pt idx="64" formatCode="0.00">
                  <c:v>3.7567850680887638</c:v>
                </c:pt>
                <c:pt idx="65" formatCode="0.00">
                  <c:v>5.5560836501901134</c:v>
                </c:pt>
                <c:pt idx="66" formatCode="0.00">
                  <c:v>3.492715726559581</c:v>
                </c:pt>
                <c:pt idx="67" formatCode="0.00">
                  <c:v>4.0900458566862863</c:v>
                </c:pt>
                <c:pt idx="68" formatCode="0.00">
                  <c:v>2.2899362121976852</c:v>
                </c:pt>
                <c:pt idx="69" formatCode="0.00">
                  <c:v>0.6078616776982404</c:v>
                </c:pt>
                <c:pt idx="70" formatCode="0.00">
                  <c:v>0.51885941165854543</c:v>
                </c:pt>
                <c:pt idx="71" formatCode="0.00">
                  <c:v>-2.5542897828408795</c:v>
                </c:pt>
                <c:pt idx="72" formatCode="0.00">
                  <c:v>-2.4764468371467063</c:v>
                </c:pt>
                <c:pt idx="73" formatCode="0.00">
                  <c:v>-2.1034729681346342</c:v>
                </c:pt>
                <c:pt idx="74" formatCode="0.00">
                  <c:v>-1.5664975986354857</c:v>
                </c:pt>
                <c:pt idx="75" formatCode="0.00">
                  <c:v>0.21919810028314668</c:v>
                </c:pt>
                <c:pt idx="76" formatCode="0.00">
                  <c:v>2.7877449627380591</c:v>
                </c:pt>
                <c:pt idx="77" formatCode="0.00">
                  <c:v>3.8721770138063549</c:v>
                </c:pt>
                <c:pt idx="78" formatCode="0.00">
                  <c:v>11.349749202006398</c:v>
                </c:pt>
                <c:pt idx="79" formatCode="0.00">
                  <c:v>5.809714754397155</c:v>
                </c:pt>
                <c:pt idx="80" formatCode="0.00">
                  <c:v>13.936627282491919</c:v>
                </c:pt>
                <c:pt idx="81" formatCode="0.00">
                  <c:v>0.19805466308699948</c:v>
                </c:pt>
                <c:pt idx="82" formatCode="0.00">
                  <c:v>-4.2794545231172538</c:v>
                </c:pt>
                <c:pt idx="83" formatCode="0.00">
                  <c:v>1.5804659575384461</c:v>
                </c:pt>
                <c:pt idx="84" formatCode="0.00">
                  <c:v>-5.9195537748448324</c:v>
                </c:pt>
                <c:pt idx="85" formatCode="0.00">
                  <c:v>5.9518580339102289</c:v>
                </c:pt>
                <c:pt idx="86" formatCode="0.00">
                  <c:v>11.230426970137763</c:v>
                </c:pt>
              </c:numCache>
            </c:numRef>
          </c:val>
        </c:ser>
        <c:dLbls>
          <c:showLegendKey val="0"/>
          <c:showVal val="0"/>
          <c:showCatName val="0"/>
          <c:showSerName val="0"/>
          <c:showPercent val="0"/>
          <c:showBubbleSize val="0"/>
        </c:dLbls>
        <c:gapWidth val="10"/>
        <c:overlap val="100"/>
        <c:axId val="458671616"/>
        <c:axId val="458673152"/>
      </c:barChart>
      <c:catAx>
        <c:axId val="45867161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58673152"/>
        <c:crosses val="autoZero"/>
        <c:auto val="1"/>
        <c:lblAlgn val="ctr"/>
        <c:lblOffset val="100"/>
        <c:tickLblSkip val="4"/>
        <c:tickMarkSkip val="4"/>
        <c:noMultiLvlLbl val="0"/>
      </c:catAx>
      <c:valAx>
        <c:axId val="45867315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58671616"/>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Domestic demand (Excl. Inventories, QoQ)</a:t>
            </a:r>
          </a:p>
        </c:rich>
      </c:tx>
      <c:layout>
        <c:manualLayout>
          <c:xMode val="edge"/>
          <c:yMode val="edge"/>
          <c:x val="0.3694196428571428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clustered"/>
        <c:varyColors val="0"/>
        <c:ser>
          <c:idx val="1"/>
          <c:order val="0"/>
          <c:tx>
            <c:strRef>
              <c:f>'Q1'!$F$111</c:f>
              <c:strCache>
                <c:ptCount val="1"/>
                <c:pt idx="0">
                  <c:v>QDDE</c:v>
                </c:pt>
              </c:strCache>
            </c:strRef>
          </c:tx>
          <c:spPr>
            <a:solidFill>
              <a:srgbClr val="CCFFCC"/>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'Q1'!$G$111:$CO$111</c:f>
              <c:numCache>
                <c:formatCode>0.00</c:formatCode>
                <c:ptCount val="87"/>
                <c:pt idx="1">
                  <c:v>0.93043621038804147</c:v>
                </c:pt>
                <c:pt idx="2">
                  <c:v>0.79171411528660141</c:v>
                </c:pt>
                <c:pt idx="3">
                  <c:v>0.48420939366222715</c:v>
                </c:pt>
                <c:pt idx="4">
                  <c:v>-9.6375220859890032E-2</c:v>
                </c:pt>
                <c:pt idx="5">
                  <c:v>0.49841899351519281</c:v>
                </c:pt>
                <c:pt idx="6">
                  <c:v>0.57193899317407038</c:v>
                </c:pt>
                <c:pt idx="7">
                  <c:v>0.56073279690338484</c:v>
                </c:pt>
                <c:pt idx="8">
                  <c:v>0.58528868969154324</c:v>
                </c:pt>
                <c:pt idx="9">
                  <c:v>0.96980499056404934</c:v>
                </c:pt>
                <c:pt idx="10">
                  <c:v>0.31021234619179605</c:v>
                </c:pt>
                <c:pt idx="11">
                  <c:v>0.76730975764398579</c:v>
                </c:pt>
                <c:pt idx="12">
                  <c:v>0.27351173660690176</c:v>
                </c:pt>
                <c:pt idx="13">
                  <c:v>0.75042579620689942</c:v>
                </c:pt>
                <c:pt idx="14">
                  <c:v>0.94820463933906751</c:v>
                </c:pt>
                <c:pt idx="15">
                  <c:v>0.57793278855717833</c:v>
                </c:pt>
                <c:pt idx="16">
                  <c:v>0.25663495242864709</c:v>
                </c:pt>
                <c:pt idx="17">
                  <c:v>0.77417743647374415</c:v>
                </c:pt>
                <c:pt idx="18">
                  <c:v>0.68645065361501167</c:v>
                </c:pt>
                <c:pt idx="19">
                  <c:v>0.31504202611403187</c:v>
                </c:pt>
                <c:pt idx="20">
                  <c:v>1.3224559896951593</c:v>
                </c:pt>
                <c:pt idx="21">
                  <c:v>0.71192473938468392</c:v>
                </c:pt>
                <c:pt idx="22">
                  <c:v>0.82590976304683927</c:v>
                </c:pt>
                <c:pt idx="23">
                  <c:v>0.71064053035723163</c:v>
                </c:pt>
                <c:pt idx="24">
                  <c:v>0.45226368630422176</c:v>
                </c:pt>
                <c:pt idx="25">
                  <c:v>-0.29700869811188912</c:v>
                </c:pt>
                <c:pt idx="26">
                  <c:v>8.2748185450509659E-2</c:v>
                </c:pt>
                <c:pt idx="27">
                  <c:v>-1.032315978456011</c:v>
                </c:pt>
                <c:pt idx="28">
                  <c:v>0.44516052034848652</c:v>
                </c:pt>
                <c:pt idx="29">
                  <c:v>7.3666575573594351E-2</c:v>
                </c:pt>
                <c:pt idx="30">
                  <c:v>8.4298011279315688E-2</c:v>
                </c:pt>
                <c:pt idx="31">
                  <c:v>0.67856126032075359</c:v>
                </c:pt>
                <c:pt idx="32">
                  <c:v>-0.26511759438185845</c:v>
                </c:pt>
                <c:pt idx="33">
                  <c:v>4.3713006391565834E-2</c:v>
                </c:pt>
                <c:pt idx="34">
                  <c:v>0.24563060935285375</c:v>
                </c:pt>
                <c:pt idx="35">
                  <c:v>0.32513429459994914</c:v>
                </c:pt>
                <c:pt idx="36">
                  <c:v>1.7519139542529816</c:v>
                </c:pt>
                <c:pt idx="37">
                  <c:v>0.80086779911372474</c:v>
                </c:pt>
                <c:pt idx="38">
                  <c:v>0.78534630795650262</c:v>
                </c:pt>
                <c:pt idx="39">
                  <c:v>-0.15334635830797083</c:v>
                </c:pt>
                <c:pt idx="40">
                  <c:v>0.95562052763904504</c:v>
                </c:pt>
                <c:pt idx="41">
                  <c:v>1.0615160974070781</c:v>
                </c:pt>
                <c:pt idx="42">
                  <c:v>-0.1438399696709558</c:v>
                </c:pt>
                <c:pt idx="43">
                  <c:v>2.3449538825737193E-2</c:v>
                </c:pt>
                <c:pt idx="44">
                  <c:v>0.81942506279653049</c:v>
                </c:pt>
                <c:pt idx="45">
                  <c:v>7.1975107685839923E-2</c:v>
                </c:pt>
                <c:pt idx="46">
                  <c:v>0.5410848252816125</c:v>
                </c:pt>
                <c:pt idx="47">
                  <c:v>0.38849696796274813</c:v>
                </c:pt>
                <c:pt idx="48">
                  <c:v>1.1960620943694211</c:v>
                </c:pt>
                <c:pt idx="49">
                  <c:v>0.7106719967066244</c:v>
                </c:pt>
                <c:pt idx="50">
                  <c:v>0.89497972311565199</c:v>
                </c:pt>
                <c:pt idx="51">
                  <c:v>0.85292392984699372</c:v>
                </c:pt>
                <c:pt idx="52">
                  <c:v>0.86791056609756279</c:v>
                </c:pt>
                <c:pt idx="53">
                  <c:v>0.37415108577176781</c:v>
                </c:pt>
                <c:pt idx="54" formatCode="0.0">
                  <c:v>-0.43436041473066123</c:v>
                </c:pt>
                <c:pt idx="55" formatCode="0.0">
                  <c:v>-0.72779135249640969</c:v>
                </c:pt>
                <c:pt idx="56" formatCode="0.0">
                  <c:v>-0.90531675522641519</c:v>
                </c:pt>
                <c:pt idx="57" formatCode="0.0">
                  <c:v>0.21640406797005518</c:v>
                </c:pt>
                <c:pt idx="58" formatCode="0.0">
                  <c:v>0.25742216170792087</c:v>
                </c:pt>
                <c:pt idx="59" formatCode="0.0">
                  <c:v>0.87320028434711983</c:v>
                </c:pt>
                <c:pt idx="60" formatCode="0.0">
                  <c:v>0.12726928497799328</c:v>
                </c:pt>
                <c:pt idx="61" formatCode="0.0">
                  <c:v>0.21954934607910648</c:v>
                </c:pt>
                <c:pt idx="62" formatCode="0.0">
                  <c:v>0.38677623579723708</c:v>
                </c:pt>
                <c:pt idx="63" formatCode="0.0">
                  <c:v>0.55548014576132232</c:v>
                </c:pt>
                <c:pt idx="64" formatCode="0.0">
                  <c:v>9.6568194797774787E-2</c:v>
                </c:pt>
                <c:pt idx="65" formatCode="0.0">
                  <c:v>0.48859934853420217</c:v>
                </c:pt>
                <c:pt idx="66" formatCode="0.0">
                  <c:v>0.30866427856177658</c:v>
                </c:pt>
                <c:pt idx="67" formatCode="0.0">
                  <c:v>0.38490037872549454</c:v>
                </c:pt>
                <c:pt idx="68" formatCode="0.0">
                  <c:v>5.2285169465449144E-2</c:v>
                </c:pt>
                <c:pt idx="69" formatCode="0.0">
                  <c:v>0.1711188302439659</c:v>
                </c:pt>
                <c:pt idx="70" formatCode="0.0">
                  <c:v>6.8535188216056753E-2</c:v>
                </c:pt>
                <c:pt idx="71" formatCode="0.0">
                  <c:v>-0.16764287977756309</c:v>
                </c:pt>
                <c:pt idx="72" formatCode="0.0">
                  <c:v>-4.8124673622551573E-2</c:v>
                </c:pt>
                <c:pt idx="73" formatCode="0.0">
                  <c:v>0.16185871168661325</c:v>
                </c:pt>
                <c:pt idx="74" formatCode="0.0">
                  <c:v>0.26694213185509685</c:v>
                </c:pt>
                <c:pt idx="75" formatCode="0.0">
                  <c:v>-0.10506451777425596</c:v>
                </c:pt>
                <c:pt idx="76" formatCode="0.0">
                  <c:v>0.583057631826156</c:v>
                </c:pt>
                <c:pt idx="77" formatCode="0.0">
                  <c:v>0.46800605057715217</c:v>
                </c:pt>
                <c:pt idx="78" formatCode="0.0">
                  <c:v>2.0037589426457947</c:v>
                </c:pt>
                <c:pt idx="79" formatCode="0.0">
                  <c:v>-0.87372581651756764</c:v>
                </c:pt>
                <c:pt idx="80" formatCode="0.0">
                  <c:v>2.2235546894518565</c:v>
                </c:pt>
                <c:pt idx="81" formatCode="0.0">
                  <c:v>-2.4850914067846341</c:v>
                </c:pt>
                <c:pt idx="82" formatCode="0.0">
                  <c:v>0.62256887356137991</c:v>
                </c:pt>
                <c:pt idx="83" formatCode="0.0">
                  <c:v>0.50613237154899515</c:v>
                </c:pt>
                <c:pt idx="84" formatCode="0.0">
                  <c:v>0.71274918960713141</c:v>
                </c:pt>
                <c:pt idx="85" formatCode="0.0">
                  <c:v>0.44293082404818218</c:v>
                </c:pt>
                <c:pt idx="86" formatCode="0.0">
                  <c:v>2.0774944632812709</c:v>
                </c:pt>
              </c:numCache>
            </c:numRef>
          </c:val>
        </c:ser>
        <c:dLbls>
          <c:showLegendKey val="0"/>
          <c:showVal val="0"/>
          <c:showCatName val="0"/>
          <c:showSerName val="0"/>
          <c:showPercent val="0"/>
          <c:showBubbleSize val="0"/>
        </c:dLbls>
        <c:gapWidth val="10"/>
        <c:overlap val="50"/>
        <c:axId val="458681344"/>
        <c:axId val="458892032"/>
      </c:barChart>
      <c:catAx>
        <c:axId val="45868134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58892032"/>
        <c:crosses val="autoZero"/>
        <c:auto val="1"/>
        <c:lblAlgn val="ctr"/>
        <c:lblOffset val="100"/>
        <c:tickLblSkip val="4"/>
        <c:tickMarkSkip val="4"/>
        <c:noMultiLvlLbl val="0"/>
      </c:catAx>
      <c:valAx>
        <c:axId val="45889203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58681344"/>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GB"/>
              <a:t>Domestic demand (Excl. inventories, YoY)</a:t>
            </a:r>
          </a:p>
        </c:rich>
      </c:tx>
      <c:layout>
        <c:manualLayout>
          <c:xMode val="edge"/>
          <c:yMode val="edge"/>
          <c:x val="0.3705357142857143"/>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'Q1'!$F$88</c:f>
              <c:strCache>
                <c:ptCount val="1"/>
                <c:pt idx="0">
                  <c:v>QI</c:v>
                </c:pt>
              </c:strCache>
            </c:strRef>
          </c:tx>
          <c:spPr>
            <a:solidFill>
              <a:srgbClr val="FF8080"/>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'Q1'!$G$116:$CO$116</c:f>
              <c:numCache>
                <c:formatCode>0</c:formatCode>
                <c:ptCount val="87"/>
                <c:pt idx="4" formatCode="0.00">
                  <c:v>2.1235838213562452</c:v>
                </c:pt>
                <c:pt idx="5" formatCode="0.00">
                  <c:v>1.6864595195488219</c:v>
                </c:pt>
                <c:pt idx="6" formatCode="0.00">
                  <c:v>1.4647334158282677</c:v>
                </c:pt>
                <c:pt idx="7" formatCode="0.00">
                  <c:v>1.5420035337581073</c:v>
                </c:pt>
                <c:pt idx="8" formatCode="0.00">
                  <c:v>2.2348464547939484</c:v>
                </c:pt>
                <c:pt idx="9" formatCode="0.00">
                  <c:v>2.7143771331058053</c:v>
                </c:pt>
                <c:pt idx="10" formatCode="0.00">
                  <c:v>2.4470750427509014</c:v>
                </c:pt>
                <c:pt idx="11" formatCode="0.00">
                  <c:v>2.65752702346429</c:v>
                </c:pt>
                <c:pt idx="12" formatCode="0.00">
                  <c:v>2.3393269029146513</c:v>
                </c:pt>
                <c:pt idx="13" formatCode="0.00">
                  <c:v>2.1169721198276203</c:v>
                </c:pt>
                <c:pt idx="14" formatCode="0.00">
                  <c:v>2.7664557535292511</c:v>
                </c:pt>
                <c:pt idx="15" formatCode="0.00">
                  <c:v>2.5733216908931933</c:v>
                </c:pt>
                <c:pt idx="16" formatCode="0.00">
                  <c:v>2.5560578314487215</c:v>
                </c:pt>
                <c:pt idx="17" formatCode="0.00">
                  <c:v>2.5802351445821436</c:v>
                </c:pt>
                <c:pt idx="18" formatCode="0.00">
                  <c:v>2.3142493798869346</c:v>
                </c:pt>
                <c:pt idx="19" formatCode="0.00">
                  <c:v>2.0468202303455252</c:v>
                </c:pt>
                <c:pt idx="20" formatCode="0.00">
                  <c:v>3.1316725978647764</c:v>
                </c:pt>
                <c:pt idx="21" formatCode="0.00">
                  <c:v>3.0679635710302966</c:v>
                </c:pt>
                <c:pt idx="22" formatCode="0.00">
                  <c:v>3.2107212739511892</c:v>
                </c:pt>
                <c:pt idx="23" formatCode="0.00">
                  <c:v>3.6177390664294817</c:v>
                </c:pt>
                <c:pt idx="24" formatCode="0.00">
                  <c:v>2.7278340779484989</c:v>
                </c:pt>
                <c:pt idx="25" formatCode="0.00">
                  <c:v>1.69870523316622</c:v>
                </c:pt>
                <c:pt idx="26" formatCode="0.00">
                  <c:v>0.94911050698718302</c:v>
                </c:pt>
                <c:pt idx="27" formatCode="0.00">
                  <c:v>-0.79797310096608731</c:v>
                </c:pt>
                <c:pt idx="28" formatCode="0.00">
                  <c:v>-0.80498786035877457</c:v>
                </c:pt>
                <c:pt idx="29" formatCode="0.00">
                  <c:v>-0.4362011490176565</c:v>
                </c:pt>
                <c:pt idx="30" formatCode="0.00">
                  <c:v>-0.43465935934989819</c:v>
                </c:pt>
                <c:pt idx="31" formatCode="0.00">
                  <c:v>1.2865497076023358</c:v>
                </c:pt>
                <c:pt idx="32" formatCode="0.00">
                  <c:v>0.57032187540844159</c:v>
                </c:pt>
                <c:pt idx="33" formatCode="0.00">
                  <c:v>0.54021964974770853</c:v>
                </c:pt>
                <c:pt idx="34" formatCode="0.00">
                  <c:v>0.70228717851381628</c:v>
                </c:pt>
                <c:pt idx="35" formatCode="0.00">
                  <c:v>0.34877692416459549</c:v>
                </c:pt>
                <c:pt idx="36" formatCode="0.00">
                  <c:v>2.3782238342213935</c:v>
                </c:pt>
                <c:pt idx="37" formatCode="0.00">
                  <c:v>3.1530467642890692</c:v>
                </c:pt>
                <c:pt idx="38" formatCode="0.00">
                  <c:v>3.7084157949297758</c:v>
                </c:pt>
                <c:pt idx="39" formatCode="0.00">
                  <c:v>3.2137992579023944</c:v>
                </c:pt>
                <c:pt idx="40" formatCode="0.00">
                  <c:v>2.4060653618906969</c:v>
                </c:pt>
                <c:pt idx="41" formatCode="0.00">
                  <c:v>2.670864338866652</c:v>
                </c:pt>
                <c:pt idx="42" formatCode="0.00">
                  <c:v>1.7242946067517861</c:v>
                </c:pt>
                <c:pt idx="43" formatCode="0.00">
                  <c:v>1.9044151943663934</c:v>
                </c:pt>
                <c:pt idx="44" formatCode="0.00">
                  <c:v>1.7669397460024161</c:v>
                </c:pt>
                <c:pt idx="45" formatCode="0.00">
                  <c:v>0.77049162048548059</c:v>
                </c:pt>
                <c:pt idx="46" formatCode="0.00">
                  <c:v>1.4616879201375665</c:v>
                </c:pt>
                <c:pt idx="47" formatCode="0.00">
                  <c:v>1.831984370639117</c:v>
                </c:pt>
                <c:pt idx="48" formatCode="0.00">
                  <c:v>2.2124040793276567</c:v>
                </c:pt>
                <c:pt idx="49" formatCode="0.00">
                  <c:v>2.8647619890676435</c:v>
                </c:pt>
                <c:pt idx="50" formatCode="0.00">
                  <c:v>3.2268360058549606</c:v>
                </c:pt>
                <c:pt idx="51" formatCode="0.00">
                  <c:v>3.7043939659708869</c:v>
                </c:pt>
                <c:pt idx="52" formatCode="0.00">
                  <c:v>3.3681085941477784</c:v>
                </c:pt>
                <c:pt idx="53" formatCode="0.00">
                  <c:v>3.0227079590805062</c:v>
                </c:pt>
                <c:pt idx="54" formatCode="0.00">
                  <c:v>1.6653339730262839</c:v>
                </c:pt>
                <c:pt idx="55" formatCode="0.00">
                  <c:v>7.1885406205396407E-2</c:v>
                </c:pt>
                <c:pt idx="56" formatCode="0.00">
                  <c:v>-1.6873480338727154</c:v>
                </c:pt>
                <c:pt idx="57" formatCode="0.00">
                  <c:v>-1.8418552201559857</c:v>
                </c:pt>
                <c:pt idx="58" formatCode="0.00">
                  <c:v>-1.1598519248717909</c:v>
                </c:pt>
                <c:pt idx="59" formatCode="0.00">
                  <c:v>0.43417174608877396</c:v>
                </c:pt>
                <c:pt idx="60" formatCode="0.00">
                  <c:v>1.4807155192631427</c:v>
                </c:pt>
                <c:pt idx="61" formatCode="0.00">
                  <c:v>1.483900477613842</c:v>
                </c:pt>
                <c:pt idx="62" formatCode="0.00">
                  <c:v>1.6148369778569815</c:v>
                </c:pt>
                <c:pt idx="63" formatCode="0.00">
                  <c:v>1.2947809075036121</c:v>
                </c:pt>
                <c:pt idx="64" formatCode="0.00">
                  <c:v>1.2637218341299494</c:v>
                </c:pt>
                <c:pt idx="65" formatCode="0.00">
                  <c:v>1.5355750283007064</c:v>
                </c:pt>
                <c:pt idx="66" formatCode="0.00">
                  <c:v>1.4565691792050028</c:v>
                </c:pt>
                <c:pt idx="67" formatCode="0.00">
                  <c:v>1.2844608275790481</c:v>
                </c:pt>
                <c:pt idx="68" formatCode="0.00">
                  <c:v>1.239652274943448</c:v>
                </c:pt>
                <c:pt idx="69" formatCode="0.00">
                  <c:v>0.9197989036740184</c:v>
                </c:pt>
                <c:pt idx="70" formatCode="0.00">
                  <c:v>0.67820681705910157</c:v>
                </c:pt>
                <c:pt idx="71" formatCode="0.00">
                  <c:v>0.12404912755530351</c:v>
                </c:pt>
                <c:pt idx="72" formatCode="0.00">
                  <c:v>2.3567264045598613E-2</c:v>
                </c:pt>
                <c:pt idx="73" formatCode="0.00">
                  <c:v>1.4320785597399244E-2</c:v>
                </c:pt>
                <c:pt idx="74" formatCode="0.00">
                  <c:v>0.21262023776666972</c:v>
                </c:pt>
                <c:pt idx="75" formatCode="0.00">
                  <c:v>0.27543696179721522</c:v>
                </c:pt>
                <c:pt idx="76" formatCode="0.00">
                  <c:v>0.90866251434189582</c:v>
                </c:pt>
                <c:pt idx="77" formatCode="0.00">
                  <c:v>1.2170924785730231</c:v>
                </c:pt>
                <c:pt idx="78" formatCode="0.00">
                  <c:v>2.9703677258122063</c:v>
                </c:pt>
                <c:pt idx="79" formatCode="0.00">
                  <c:v>2.1780419066290913</c:v>
                </c:pt>
                <c:pt idx="80" formatCode="0.00">
                  <c:v>3.8445529577779469</c:v>
                </c:pt>
                <c:pt idx="81" formatCode="0.00">
                  <c:v>0.79220726728910229</c:v>
                </c:pt>
                <c:pt idx="82" formatCode="0.00">
                  <c:v>-0.57257768928248298</c:v>
                </c:pt>
                <c:pt idx="83" formatCode="0.00">
                  <c:v>0.81147254284716919</c:v>
                </c:pt>
                <c:pt idx="84" formatCode="0.00">
                  <c:v>-0.67846319288297208</c:v>
                </c:pt>
                <c:pt idx="85" formatCode="0.00">
                  <c:v>2.3038055900870269</c:v>
                </c:pt>
                <c:pt idx="86" formatCode="0.00">
                  <c:v>3.7830405802588452</c:v>
                </c:pt>
              </c:numCache>
            </c:numRef>
          </c:val>
        </c:ser>
        <c:dLbls>
          <c:showLegendKey val="0"/>
          <c:showVal val="0"/>
          <c:showCatName val="0"/>
          <c:showSerName val="0"/>
          <c:showPercent val="0"/>
          <c:showBubbleSize val="0"/>
        </c:dLbls>
        <c:gapWidth val="10"/>
        <c:overlap val="100"/>
        <c:axId val="458932992"/>
        <c:axId val="458934528"/>
      </c:barChart>
      <c:catAx>
        <c:axId val="45893299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58934528"/>
        <c:crosses val="autoZero"/>
        <c:auto val="1"/>
        <c:lblAlgn val="ctr"/>
        <c:lblOffset val="100"/>
        <c:tickLblSkip val="4"/>
        <c:tickMarkSkip val="4"/>
        <c:noMultiLvlLbl val="0"/>
      </c:catAx>
      <c:valAx>
        <c:axId val="458934528"/>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5893299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Domestic demand (Incl. Inventories, QoQ)</a:t>
            </a:r>
          </a:p>
        </c:rich>
      </c:tx>
      <c:layout>
        <c:manualLayout>
          <c:xMode val="edge"/>
          <c:yMode val="edge"/>
          <c:x val="0.3705357142857143"/>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clustered"/>
        <c:varyColors val="0"/>
        <c:ser>
          <c:idx val="0"/>
          <c:order val="0"/>
          <c:tx>
            <c:strRef>
              <c:f>'Q1'!$F$150</c:f>
              <c:strCache>
                <c:ptCount val="1"/>
                <c:pt idx="0">
                  <c:v>QDDI</c:v>
                </c:pt>
              </c:strCache>
            </c:strRef>
          </c:tx>
          <c:spPr>
            <a:solidFill>
              <a:srgbClr val="CCFFCC"/>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'Q1'!$G$150:$CO$150</c:f>
              <c:numCache>
                <c:formatCode>0.00</c:formatCode>
                <c:ptCount val="87"/>
                <c:pt idx="1">
                  <c:v>0.93043621038804147</c:v>
                </c:pt>
                <c:pt idx="2">
                  <c:v>0.79171411528660141</c:v>
                </c:pt>
                <c:pt idx="3">
                  <c:v>0.48420939366222715</c:v>
                </c:pt>
                <c:pt idx="4">
                  <c:v>-9.6375220859890032E-2</c:v>
                </c:pt>
                <c:pt idx="5">
                  <c:v>0.49841899351519281</c:v>
                </c:pt>
                <c:pt idx="6">
                  <c:v>0.57193899317407038</c:v>
                </c:pt>
                <c:pt idx="7">
                  <c:v>0.56073279690338484</c:v>
                </c:pt>
                <c:pt idx="8">
                  <c:v>0.58528868969154324</c:v>
                </c:pt>
                <c:pt idx="9">
                  <c:v>0.96980499056404934</c:v>
                </c:pt>
                <c:pt idx="10">
                  <c:v>0.31021234619179605</c:v>
                </c:pt>
                <c:pt idx="11">
                  <c:v>0.76730975764398579</c:v>
                </c:pt>
                <c:pt idx="12">
                  <c:v>0.27351173660690176</c:v>
                </c:pt>
                <c:pt idx="13">
                  <c:v>0.75042579620689942</c:v>
                </c:pt>
                <c:pt idx="14">
                  <c:v>0.94820463933906751</c:v>
                </c:pt>
                <c:pt idx="15">
                  <c:v>0.57793278855717833</c:v>
                </c:pt>
                <c:pt idx="16">
                  <c:v>0.25663495242864709</c:v>
                </c:pt>
                <c:pt idx="17">
                  <c:v>0.77417743647374415</c:v>
                </c:pt>
                <c:pt idx="18">
                  <c:v>0.68645065361501167</c:v>
                </c:pt>
                <c:pt idx="19">
                  <c:v>0.31504202611403187</c:v>
                </c:pt>
                <c:pt idx="20">
                  <c:v>1.3224559896951593</c:v>
                </c:pt>
                <c:pt idx="21">
                  <c:v>0.71192473938468392</c:v>
                </c:pt>
                <c:pt idx="22">
                  <c:v>0.82590976304683927</c:v>
                </c:pt>
                <c:pt idx="23">
                  <c:v>0.71064053035723163</c:v>
                </c:pt>
                <c:pt idx="24">
                  <c:v>0.45226368630422176</c:v>
                </c:pt>
                <c:pt idx="25">
                  <c:v>-0.29700869811188912</c:v>
                </c:pt>
                <c:pt idx="26">
                  <c:v>8.2748185450509659E-2</c:v>
                </c:pt>
                <c:pt idx="27">
                  <c:v>-1.032315978456011</c:v>
                </c:pt>
                <c:pt idx="28">
                  <c:v>0.44516052034848652</c:v>
                </c:pt>
                <c:pt idx="29">
                  <c:v>7.3666575573594351E-2</c:v>
                </c:pt>
                <c:pt idx="30">
                  <c:v>8.4298011279315688E-2</c:v>
                </c:pt>
                <c:pt idx="31">
                  <c:v>0.67856126032075359</c:v>
                </c:pt>
                <c:pt idx="32">
                  <c:v>-0.26511759438185845</c:v>
                </c:pt>
                <c:pt idx="33">
                  <c:v>4.3713006391565834E-2</c:v>
                </c:pt>
                <c:pt idx="34">
                  <c:v>0.24563060935285375</c:v>
                </c:pt>
                <c:pt idx="35">
                  <c:v>0.32513429459994914</c:v>
                </c:pt>
                <c:pt idx="36">
                  <c:v>1.7519139542529816</c:v>
                </c:pt>
                <c:pt idx="37">
                  <c:v>0.80086779911372474</c:v>
                </c:pt>
                <c:pt idx="38">
                  <c:v>0.78534630795650262</c:v>
                </c:pt>
                <c:pt idx="39">
                  <c:v>-0.15334635830797083</c:v>
                </c:pt>
                <c:pt idx="40">
                  <c:v>0.95562052763904504</c:v>
                </c:pt>
                <c:pt idx="41">
                  <c:v>1.0615160974070781</c:v>
                </c:pt>
                <c:pt idx="42">
                  <c:v>-0.1438399696709558</c:v>
                </c:pt>
                <c:pt idx="43">
                  <c:v>2.3449538825737193E-2</c:v>
                </c:pt>
                <c:pt idx="44">
                  <c:v>0.81942506279653049</c:v>
                </c:pt>
                <c:pt idx="45">
                  <c:v>7.1975107685839923E-2</c:v>
                </c:pt>
                <c:pt idx="46">
                  <c:v>0.5410848252816125</c:v>
                </c:pt>
                <c:pt idx="47">
                  <c:v>0.38849696796274813</c:v>
                </c:pt>
                <c:pt idx="48">
                  <c:v>1.1960620943694211</c:v>
                </c:pt>
                <c:pt idx="49">
                  <c:v>0.7106719967066244</c:v>
                </c:pt>
                <c:pt idx="50">
                  <c:v>0.89497972311565199</c:v>
                </c:pt>
                <c:pt idx="51">
                  <c:v>0.85292392984699372</c:v>
                </c:pt>
                <c:pt idx="52" formatCode="0.0">
                  <c:v>0.86791056609756279</c:v>
                </c:pt>
                <c:pt idx="53" formatCode="0.0">
                  <c:v>0.37415108577176781</c:v>
                </c:pt>
                <c:pt idx="54" formatCode="0.0">
                  <c:v>-0.43436041473066123</c:v>
                </c:pt>
                <c:pt idx="55" formatCode="0.0">
                  <c:v>-0.72779135249640969</c:v>
                </c:pt>
                <c:pt idx="56" formatCode="0.0">
                  <c:v>-0.90531675522641519</c:v>
                </c:pt>
                <c:pt idx="57" formatCode="0.0">
                  <c:v>0.21640406797005518</c:v>
                </c:pt>
                <c:pt idx="58" formatCode="0.0">
                  <c:v>0.25742216170792087</c:v>
                </c:pt>
                <c:pt idx="59" formatCode="0.0">
                  <c:v>0.87320028434711983</c:v>
                </c:pt>
                <c:pt idx="60" formatCode="0.0">
                  <c:v>0.12726928497799328</c:v>
                </c:pt>
                <c:pt idx="61" formatCode="0.0">
                  <c:v>0.21954934607910648</c:v>
                </c:pt>
                <c:pt idx="62" formatCode="0.0">
                  <c:v>0.38677623579723708</c:v>
                </c:pt>
                <c:pt idx="63" formatCode="0.0">
                  <c:v>0.55548014576132232</c:v>
                </c:pt>
                <c:pt idx="64" formatCode="0.0">
                  <c:v>9.6568194797774787E-2</c:v>
                </c:pt>
                <c:pt idx="65" formatCode="0.0">
                  <c:v>0.48859934853420217</c:v>
                </c:pt>
                <c:pt idx="66" formatCode="0.0">
                  <c:v>0.30866427856177658</c:v>
                </c:pt>
                <c:pt idx="67" formatCode="0.0">
                  <c:v>0.38490037872549454</c:v>
                </c:pt>
                <c:pt idx="68" formatCode="0.0">
                  <c:v>5.2285169465449144E-2</c:v>
                </c:pt>
                <c:pt idx="69" formatCode="0.0">
                  <c:v>0.1711188302439659</c:v>
                </c:pt>
                <c:pt idx="70" formatCode="0.0">
                  <c:v>6.8535188216056753E-2</c:v>
                </c:pt>
                <c:pt idx="71" formatCode="0.0">
                  <c:v>-0.16764287977756309</c:v>
                </c:pt>
                <c:pt idx="72" formatCode="0.0">
                  <c:v>-4.8124673622551573E-2</c:v>
                </c:pt>
                <c:pt idx="73" formatCode="0.0">
                  <c:v>0.16185871168661325</c:v>
                </c:pt>
                <c:pt idx="74" formatCode="0.0">
                  <c:v>0.26694213185509685</c:v>
                </c:pt>
                <c:pt idx="75" formatCode="0.0">
                  <c:v>-0.10506451777425596</c:v>
                </c:pt>
                <c:pt idx="76" formatCode="0.0">
                  <c:v>0.583057631826156</c:v>
                </c:pt>
                <c:pt idx="77" formatCode="0.0">
                  <c:v>0.46800605057715217</c:v>
                </c:pt>
                <c:pt idx="78" formatCode="0.0">
                  <c:v>2.0037589426457947</c:v>
                </c:pt>
                <c:pt idx="79" formatCode="0.0">
                  <c:v>-0.87372581651756764</c:v>
                </c:pt>
                <c:pt idx="80" formatCode="0.0">
                  <c:v>2.2235546894518565</c:v>
                </c:pt>
                <c:pt idx="81" formatCode="0.0">
                  <c:v>-2.4850914067846341</c:v>
                </c:pt>
                <c:pt idx="82" formatCode="0.0">
                  <c:v>0.62256887356137991</c:v>
                </c:pt>
                <c:pt idx="83" formatCode="0.0">
                  <c:v>0.50613237154899515</c:v>
                </c:pt>
                <c:pt idx="84" formatCode="0.0">
                  <c:v>0.71274918960713141</c:v>
                </c:pt>
                <c:pt idx="85" formatCode="0.0">
                  <c:v>0.44293082404818218</c:v>
                </c:pt>
                <c:pt idx="86" formatCode="0.0">
                  <c:v>2.0774944632812709</c:v>
                </c:pt>
              </c:numCache>
            </c:numRef>
          </c:val>
        </c:ser>
        <c:dLbls>
          <c:showLegendKey val="0"/>
          <c:showVal val="0"/>
          <c:showCatName val="0"/>
          <c:showSerName val="0"/>
          <c:showPercent val="0"/>
          <c:showBubbleSize val="0"/>
        </c:dLbls>
        <c:gapWidth val="10"/>
        <c:overlap val="50"/>
        <c:axId val="459094272"/>
        <c:axId val="459116544"/>
      </c:barChart>
      <c:catAx>
        <c:axId val="45909427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9116544"/>
        <c:crosses val="autoZero"/>
        <c:auto val="1"/>
        <c:lblAlgn val="ctr"/>
        <c:lblOffset val="100"/>
        <c:tickLblSkip val="4"/>
        <c:tickMarkSkip val="4"/>
        <c:noMultiLvlLbl val="0"/>
      </c:catAx>
      <c:valAx>
        <c:axId val="459116544"/>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909427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Domestic demand (Incl. inventories, YoY)</a:t>
            </a:r>
          </a:p>
        </c:rich>
      </c:tx>
      <c:layout>
        <c:manualLayout>
          <c:xMode val="edge"/>
          <c:yMode val="edge"/>
          <c:x val="0.3716517857142857"/>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'Q1'!$F$150</c:f>
              <c:strCache>
                <c:ptCount val="1"/>
                <c:pt idx="0">
                  <c:v>QDDI</c:v>
                </c:pt>
              </c:strCache>
            </c:strRef>
          </c:tx>
          <c:spPr>
            <a:solidFill>
              <a:srgbClr val="FF8080"/>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'Q1'!$G$155:$CO$155</c:f>
              <c:numCache>
                <c:formatCode>0</c:formatCode>
                <c:ptCount val="87"/>
                <c:pt idx="4" formatCode="0.00">
                  <c:v>2.1235838213562452</c:v>
                </c:pt>
                <c:pt idx="5" formatCode="0.00">
                  <c:v>1.6864595195488219</c:v>
                </c:pt>
                <c:pt idx="6" formatCode="0.00">
                  <c:v>1.4647334158282677</c:v>
                </c:pt>
                <c:pt idx="7" formatCode="0.00">
                  <c:v>1.5420035337581073</c:v>
                </c:pt>
                <c:pt idx="8" formatCode="0.00">
                  <c:v>2.2348464547939484</c:v>
                </c:pt>
                <c:pt idx="9" formatCode="0.00">
                  <c:v>2.7143771331058053</c:v>
                </c:pt>
                <c:pt idx="10" formatCode="0.00">
                  <c:v>2.4470750427509014</c:v>
                </c:pt>
                <c:pt idx="11" formatCode="0.00">
                  <c:v>2.65752702346429</c:v>
                </c:pt>
                <c:pt idx="12" formatCode="0.00">
                  <c:v>2.3393269029146513</c:v>
                </c:pt>
                <c:pt idx="13" formatCode="0.00">
                  <c:v>2.1169721198276203</c:v>
                </c:pt>
                <c:pt idx="14" formatCode="0.00">
                  <c:v>2.7664557535292511</c:v>
                </c:pt>
                <c:pt idx="15" formatCode="0.00">
                  <c:v>2.5733216908931933</c:v>
                </c:pt>
                <c:pt idx="16" formatCode="0.00">
                  <c:v>2.5560578314487215</c:v>
                </c:pt>
                <c:pt idx="17" formatCode="0.00">
                  <c:v>2.5802351445821436</c:v>
                </c:pt>
                <c:pt idx="18" formatCode="0.00">
                  <c:v>2.3142493798869346</c:v>
                </c:pt>
                <c:pt idx="19" formatCode="0.00">
                  <c:v>2.0468202303455252</c:v>
                </c:pt>
                <c:pt idx="20" formatCode="0.00">
                  <c:v>3.1316725978647764</c:v>
                </c:pt>
                <c:pt idx="21" formatCode="0.00">
                  <c:v>3.0679635710302966</c:v>
                </c:pt>
                <c:pt idx="22" formatCode="0.00">
                  <c:v>3.2107212739511892</c:v>
                </c:pt>
                <c:pt idx="23" formatCode="0.00">
                  <c:v>3.6177390664294817</c:v>
                </c:pt>
                <c:pt idx="24" formatCode="0.00">
                  <c:v>2.7278340779484989</c:v>
                </c:pt>
                <c:pt idx="25" formatCode="0.00">
                  <c:v>1.69870523316622</c:v>
                </c:pt>
                <c:pt idx="26" formatCode="0.00">
                  <c:v>0.94911050698718302</c:v>
                </c:pt>
                <c:pt idx="27" formatCode="0.00">
                  <c:v>-0.79797310096608731</c:v>
                </c:pt>
                <c:pt idx="28" formatCode="0.00">
                  <c:v>-0.80498786035877457</c:v>
                </c:pt>
                <c:pt idx="29" formatCode="0.00">
                  <c:v>-0.4362011490176565</c:v>
                </c:pt>
                <c:pt idx="30" formatCode="0.00">
                  <c:v>-0.43465935934989819</c:v>
                </c:pt>
                <c:pt idx="31" formatCode="0.00">
                  <c:v>1.2865497076023358</c:v>
                </c:pt>
                <c:pt idx="32" formatCode="0.00">
                  <c:v>0.57032187540844159</c:v>
                </c:pt>
                <c:pt idx="33" formatCode="0.00">
                  <c:v>0.54021964974770853</c:v>
                </c:pt>
                <c:pt idx="34" formatCode="0.00">
                  <c:v>0.70228717851381628</c:v>
                </c:pt>
                <c:pt idx="35" formatCode="0.00">
                  <c:v>0.34877692416459549</c:v>
                </c:pt>
                <c:pt idx="36" formatCode="0.00">
                  <c:v>2.3782238342213935</c:v>
                </c:pt>
                <c:pt idx="37" formatCode="0.00">
                  <c:v>3.1530467642890692</c:v>
                </c:pt>
                <c:pt idx="38" formatCode="0.00">
                  <c:v>3.7084157949297758</c:v>
                </c:pt>
                <c:pt idx="39" formatCode="0.00">
                  <c:v>3.2137992579023944</c:v>
                </c:pt>
                <c:pt idx="40" formatCode="0.00">
                  <c:v>2.4060653618906969</c:v>
                </c:pt>
                <c:pt idx="41" formatCode="0.00">
                  <c:v>2.670864338866652</c:v>
                </c:pt>
                <c:pt idx="42" formatCode="0.00">
                  <c:v>1.7242946067517861</c:v>
                </c:pt>
                <c:pt idx="43" formatCode="0.00">
                  <c:v>1.9044151943663934</c:v>
                </c:pt>
                <c:pt idx="44" formatCode="0.00">
                  <c:v>1.7669397460024161</c:v>
                </c:pt>
                <c:pt idx="45" formatCode="0.00">
                  <c:v>0.77049162048548059</c:v>
                </c:pt>
                <c:pt idx="46" formatCode="0.00">
                  <c:v>1.4616879201375665</c:v>
                </c:pt>
                <c:pt idx="47" formatCode="0.00">
                  <c:v>1.831984370639117</c:v>
                </c:pt>
                <c:pt idx="48" formatCode="0.00">
                  <c:v>2.2124040793276567</c:v>
                </c:pt>
                <c:pt idx="49" formatCode="0.00">
                  <c:v>2.8647619890676435</c:v>
                </c:pt>
                <c:pt idx="50" formatCode="0.00">
                  <c:v>3.2268360058549606</c:v>
                </c:pt>
                <c:pt idx="51" formatCode="0.00">
                  <c:v>3.7043939659708869</c:v>
                </c:pt>
                <c:pt idx="52" formatCode="0.00">
                  <c:v>3.3681085941477784</c:v>
                </c:pt>
                <c:pt idx="53" formatCode="0.00">
                  <c:v>3.0227079590805062</c:v>
                </c:pt>
                <c:pt idx="54" formatCode="0.00">
                  <c:v>1.6653339730262839</c:v>
                </c:pt>
                <c:pt idx="55" formatCode="0.00">
                  <c:v>7.1885406205396407E-2</c:v>
                </c:pt>
                <c:pt idx="56" formatCode="0.00">
                  <c:v>-1.6873480338727154</c:v>
                </c:pt>
                <c:pt idx="57" formatCode="0.00">
                  <c:v>-1.8418552201559857</c:v>
                </c:pt>
                <c:pt idx="58" formatCode="0.00">
                  <c:v>-1.1598519248717909</c:v>
                </c:pt>
                <c:pt idx="59" formatCode="0.00">
                  <c:v>0.43417174608877396</c:v>
                </c:pt>
                <c:pt idx="60" formatCode="0.00">
                  <c:v>1.4807155192631427</c:v>
                </c:pt>
                <c:pt idx="61" formatCode="0.00">
                  <c:v>1.483900477613842</c:v>
                </c:pt>
                <c:pt idx="62" formatCode="0.00">
                  <c:v>1.6148369778569815</c:v>
                </c:pt>
                <c:pt idx="63" formatCode="0.00">
                  <c:v>1.2947809075036121</c:v>
                </c:pt>
                <c:pt idx="64" formatCode="0.00">
                  <c:v>1.2637218341299494</c:v>
                </c:pt>
                <c:pt idx="65" formatCode="0.00">
                  <c:v>1.5355750283007064</c:v>
                </c:pt>
                <c:pt idx="66" formatCode="0.00">
                  <c:v>1.4565691792050028</c:v>
                </c:pt>
                <c:pt idx="67" formatCode="0.00">
                  <c:v>1.2844608275790481</c:v>
                </c:pt>
                <c:pt idx="68" formatCode="0.00">
                  <c:v>1.239652274943448</c:v>
                </c:pt>
                <c:pt idx="69" formatCode="0.00">
                  <c:v>0.9197989036740184</c:v>
                </c:pt>
                <c:pt idx="70" formatCode="0.00">
                  <c:v>0.67820681705910157</c:v>
                </c:pt>
                <c:pt idx="71" formatCode="0.00">
                  <c:v>0.12404912755530351</c:v>
                </c:pt>
                <c:pt idx="72" formatCode="0.00">
                  <c:v>2.3567264045598613E-2</c:v>
                </c:pt>
                <c:pt idx="73" formatCode="0.00">
                  <c:v>1.4320785597399244E-2</c:v>
                </c:pt>
                <c:pt idx="74" formatCode="0.00">
                  <c:v>0.21262023776666972</c:v>
                </c:pt>
                <c:pt idx="75" formatCode="0.00">
                  <c:v>0.27543696179721522</c:v>
                </c:pt>
                <c:pt idx="76" formatCode="0.00">
                  <c:v>0.90866251434189582</c:v>
                </c:pt>
                <c:pt idx="77" formatCode="0.00">
                  <c:v>1.2170924785730231</c:v>
                </c:pt>
                <c:pt idx="78" formatCode="0.00">
                  <c:v>2.9703677258122063</c:v>
                </c:pt>
                <c:pt idx="79" formatCode="0.00">
                  <c:v>2.1780419066290913</c:v>
                </c:pt>
                <c:pt idx="80" formatCode="0.00">
                  <c:v>3.8445529577779469</c:v>
                </c:pt>
                <c:pt idx="81" formatCode="0.00">
                  <c:v>0.79220726728910229</c:v>
                </c:pt>
                <c:pt idx="82" formatCode="0.00">
                  <c:v>-0.57257768928248298</c:v>
                </c:pt>
                <c:pt idx="83" formatCode="0.00">
                  <c:v>0.81147254284716919</c:v>
                </c:pt>
                <c:pt idx="84" formatCode="0.00">
                  <c:v>-0.67846319288297208</c:v>
                </c:pt>
                <c:pt idx="85" formatCode="0.00">
                  <c:v>2.3038055900870269</c:v>
                </c:pt>
                <c:pt idx="86" formatCode="0.00">
                  <c:v>3.7830405802588452</c:v>
                </c:pt>
              </c:numCache>
            </c:numRef>
          </c:val>
        </c:ser>
        <c:dLbls>
          <c:showLegendKey val="0"/>
          <c:showVal val="0"/>
          <c:showCatName val="0"/>
          <c:showSerName val="0"/>
          <c:showPercent val="0"/>
          <c:showBubbleSize val="0"/>
        </c:dLbls>
        <c:gapWidth val="10"/>
        <c:overlap val="100"/>
        <c:axId val="459141120"/>
        <c:axId val="459142656"/>
      </c:barChart>
      <c:catAx>
        <c:axId val="45914112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9142656"/>
        <c:crosses val="autoZero"/>
        <c:auto val="1"/>
        <c:lblAlgn val="ctr"/>
        <c:lblOffset val="100"/>
        <c:tickLblSkip val="4"/>
        <c:tickMarkSkip val="4"/>
        <c:noMultiLvlLbl val="0"/>
      </c:catAx>
      <c:valAx>
        <c:axId val="45914265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914112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Exports (QoQ)</a:t>
            </a:r>
          </a:p>
        </c:rich>
      </c:tx>
      <c:layout>
        <c:manualLayout>
          <c:xMode val="edge"/>
          <c:yMode val="edge"/>
          <c:x val="0.4553571428571428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'Q1'!$F$169</c:f>
              <c:strCache>
                <c:ptCount val="1"/>
                <c:pt idx="0">
                  <c:v>QXFob</c:v>
                </c:pt>
              </c:strCache>
            </c:strRef>
          </c:tx>
          <c:spPr>
            <a:solidFill>
              <a:srgbClr val="9999FF"/>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'Q1'!$G$169:$CO$169</c:f>
              <c:numCache>
                <c:formatCode>0.0</c:formatCode>
                <c:ptCount val="87"/>
                <c:pt idx="1">
                  <c:v>-2.2142539325254673</c:v>
                </c:pt>
                <c:pt idx="2">
                  <c:v>-1.5550975616284268</c:v>
                </c:pt>
                <c:pt idx="3">
                  <c:v>1.9195214790646897</c:v>
                </c:pt>
                <c:pt idx="4">
                  <c:v>2.2995251560582686</c:v>
                </c:pt>
                <c:pt idx="5">
                  <c:v>2.1409199958276837</c:v>
                </c:pt>
                <c:pt idx="6">
                  <c:v>0.83739692103450558</c:v>
                </c:pt>
                <c:pt idx="7">
                  <c:v>2.2381446692153917</c:v>
                </c:pt>
                <c:pt idx="8">
                  <c:v>3.4744062801812747</c:v>
                </c:pt>
                <c:pt idx="9">
                  <c:v>2.4339460080413655</c:v>
                </c:pt>
                <c:pt idx="10">
                  <c:v>1.689212868858192</c:v>
                </c:pt>
                <c:pt idx="11">
                  <c:v>1.34178843856263</c:v>
                </c:pt>
                <c:pt idx="12">
                  <c:v>0.85698739457695794</c:v>
                </c:pt>
                <c:pt idx="13">
                  <c:v>0.99581890931979</c:v>
                </c:pt>
                <c:pt idx="14">
                  <c:v>1.0527721516169875</c:v>
                </c:pt>
                <c:pt idx="15">
                  <c:v>-1.4008193471653274</c:v>
                </c:pt>
                <c:pt idx="16">
                  <c:v>-2.6806058169148717E-2</c:v>
                </c:pt>
                <c:pt idx="17">
                  <c:v>3.3047325378737114</c:v>
                </c:pt>
                <c:pt idx="18">
                  <c:v>3.8976488655289465</c:v>
                </c:pt>
                <c:pt idx="19">
                  <c:v>3.1331320911835103</c:v>
                </c:pt>
                <c:pt idx="20">
                  <c:v>4.2006459426725984</c:v>
                </c:pt>
                <c:pt idx="21">
                  <c:v>2.0514906724007576</c:v>
                </c:pt>
                <c:pt idx="22">
                  <c:v>1.5850417615793422</c:v>
                </c:pt>
                <c:pt idx="23">
                  <c:v>1.096888722787992</c:v>
                </c:pt>
                <c:pt idx="24">
                  <c:v>-0.15156556134707788</c:v>
                </c:pt>
                <c:pt idx="25">
                  <c:v>-1.7863754165124091</c:v>
                </c:pt>
                <c:pt idx="26">
                  <c:v>-0.42597304683819059</c:v>
                </c:pt>
                <c:pt idx="27">
                  <c:v>-0.11357398398607055</c:v>
                </c:pt>
                <c:pt idx="28">
                  <c:v>2.7667759479997667</c:v>
                </c:pt>
                <c:pt idx="29">
                  <c:v>1.6577845802061564</c:v>
                </c:pt>
                <c:pt idx="30">
                  <c:v>0.73828181686257377</c:v>
                </c:pt>
                <c:pt idx="31">
                  <c:v>1.9807328711629602E-2</c:v>
                </c:pt>
                <c:pt idx="32">
                  <c:v>-0.72012386130414496</c:v>
                </c:pt>
                <c:pt idx="33">
                  <c:v>0.78700177710078201</c:v>
                </c:pt>
                <c:pt idx="34">
                  <c:v>0.75746671464556048</c:v>
                </c:pt>
                <c:pt idx="35">
                  <c:v>2.0481777111123201</c:v>
                </c:pt>
                <c:pt idx="36">
                  <c:v>1.5923566878980777</c:v>
                </c:pt>
                <c:pt idx="37">
                  <c:v>1.7034689448482521</c:v>
                </c:pt>
                <c:pt idx="38">
                  <c:v>1.4090470303317781</c:v>
                </c:pt>
                <c:pt idx="39">
                  <c:v>1.5130513201623286</c:v>
                </c:pt>
                <c:pt idx="40">
                  <c:v>1.0018919141235427</c:v>
                </c:pt>
                <c:pt idx="41">
                  <c:v>1.389386585008312</c:v>
                </c:pt>
                <c:pt idx="42">
                  <c:v>0.76951499670667722</c:v>
                </c:pt>
                <c:pt idx="43">
                  <c:v>1.0187163217804551</c:v>
                </c:pt>
                <c:pt idx="44">
                  <c:v>2.0342460348772962</c:v>
                </c:pt>
                <c:pt idx="45">
                  <c:v>1.1569276456213196</c:v>
                </c:pt>
                <c:pt idx="46">
                  <c:v>0.98926638329104311</c:v>
                </c:pt>
                <c:pt idx="47">
                  <c:v>1.1355205983436534</c:v>
                </c:pt>
                <c:pt idx="48">
                  <c:v>2.8263896166110136</c:v>
                </c:pt>
                <c:pt idx="49">
                  <c:v>1.0991890750797095</c:v>
                </c:pt>
                <c:pt idx="50">
                  <c:v>0.5673799717750061</c:v>
                </c:pt>
                <c:pt idx="51">
                  <c:v>0.14748840139755526</c:v>
                </c:pt>
                <c:pt idx="52">
                  <c:v>1.7901314002201962</c:v>
                </c:pt>
                <c:pt idx="53">
                  <c:v>2.8894101782528825</c:v>
                </c:pt>
                <c:pt idx="54">
                  <c:v>-0.63756006989952319</c:v>
                </c:pt>
                <c:pt idx="55">
                  <c:v>-10.074057789807789</c:v>
                </c:pt>
                <c:pt idx="56">
                  <c:v>-5.5203288056349216</c:v>
                </c:pt>
                <c:pt idx="57">
                  <c:v>1.0220583478879774</c:v>
                </c:pt>
                <c:pt idx="58">
                  <c:v>4.2373695332009742</c:v>
                </c:pt>
                <c:pt idx="59">
                  <c:v>2.2590800890731844</c:v>
                </c:pt>
                <c:pt idx="60">
                  <c:v>1.1413810710960259</c:v>
                </c:pt>
                <c:pt idx="61">
                  <c:v>5.2356487393460549</c:v>
                </c:pt>
                <c:pt idx="62">
                  <c:v>1.4970651315046934</c:v>
                </c:pt>
                <c:pt idx="63">
                  <c:v>0.5185380840504239</c:v>
                </c:pt>
                <c:pt idx="64">
                  <c:v>3.6304041158410127</c:v>
                </c:pt>
                <c:pt idx="65">
                  <c:v>1.0649797813989004</c:v>
                </c:pt>
                <c:pt idx="66">
                  <c:v>1.1963712712435237</c:v>
                </c:pt>
                <c:pt idx="67">
                  <c:v>-3.2583023422718127</c:v>
                </c:pt>
                <c:pt idx="68">
                  <c:v>2.8851601068277999</c:v>
                </c:pt>
                <c:pt idx="69">
                  <c:v>-0.6922139045846154</c:v>
                </c:pt>
                <c:pt idx="70">
                  <c:v>-0.70760010033136256</c:v>
                </c:pt>
                <c:pt idx="71">
                  <c:v>0</c:v>
                </c:pt>
                <c:pt idx="72">
                  <c:v>-0.30845731455998449</c:v>
                </c:pt>
                <c:pt idx="73">
                  <c:v>0.60948773689335489</c:v>
                </c:pt>
                <c:pt idx="74">
                  <c:v>1.7762931148757932</c:v>
                </c:pt>
                <c:pt idx="75">
                  <c:v>1.5186642006824735</c:v>
                </c:pt>
                <c:pt idx="76">
                  <c:v>1.0058503541003683</c:v>
                </c:pt>
                <c:pt idx="77">
                  <c:v>1.3133827863022196</c:v>
                </c:pt>
                <c:pt idx="78">
                  <c:v>1.5019683558586738</c:v>
                </c:pt>
                <c:pt idx="79">
                  <c:v>0.67934782608696231</c:v>
                </c:pt>
                <c:pt idx="80">
                  <c:v>-0.30180345969821332</c:v>
                </c:pt>
                <c:pt idx="81">
                  <c:v>2.0648749753888529</c:v>
                </c:pt>
                <c:pt idx="82">
                  <c:v>-0.91509729690625319</c:v>
                </c:pt>
                <c:pt idx="83">
                  <c:v>3.5518294537799644</c:v>
                </c:pt>
                <c:pt idx="84">
                  <c:v>-0.83076778454090894</c:v>
                </c:pt>
                <c:pt idx="85">
                  <c:v>5.7835179809230475</c:v>
                </c:pt>
                <c:pt idx="86">
                  <c:v>0.90617859223083297</c:v>
                </c:pt>
              </c:numCache>
            </c:numRef>
          </c:val>
        </c:ser>
        <c:dLbls>
          <c:showLegendKey val="0"/>
          <c:showVal val="0"/>
          <c:showCatName val="0"/>
          <c:showSerName val="0"/>
          <c:showPercent val="0"/>
          <c:showBubbleSize val="0"/>
        </c:dLbls>
        <c:gapWidth val="10"/>
        <c:overlap val="100"/>
        <c:axId val="460613120"/>
        <c:axId val="460614656"/>
      </c:barChart>
      <c:catAx>
        <c:axId val="46061312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0614656"/>
        <c:crosses val="autoZero"/>
        <c:auto val="1"/>
        <c:lblAlgn val="ctr"/>
        <c:lblOffset val="100"/>
        <c:tickLblSkip val="4"/>
        <c:tickMarkSkip val="4"/>
        <c:noMultiLvlLbl val="0"/>
      </c:catAx>
      <c:valAx>
        <c:axId val="46061465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061312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Exports (YoY)</a:t>
            </a:r>
          </a:p>
        </c:rich>
      </c:tx>
      <c:layout>
        <c:manualLayout>
          <c:xMode val="edge"/>
          <c:yMode val="edge"/>
          <c:x val="0.4564732142857143"/>
          <c:y val="3.6065573770491806E-2"/>
        </c:manualLayout>
      </c:layout>
      <c:overlay val="0"/>
      <c:spPr>
        <a:noFill/>
        <a:ln w="25400">
          <a:noFill/>
        </a:ln>
      </c:spPr>
    </c:title>
    <c:autoTitleDeleted val="0"/>
    <c:plotArea>
      <c:layout>
        <c:manualLayout>
          <c:layoutTarget val="inner"/>
          <c:xMode val="edge"/>
          <c:yMode val="edge"/>
          <c:x val="5.6919642857142856E-2"/>
          <c:y val="0.19672131147540983"/>
          <c:w val="0.9274553571428571"/>
          <c:h val="0.69180327868852454"/>
        </c:manualLayout>
      </c:layout>
      <c:barChart>
        <c:barDir val="col"/>
        <c:grouping val="stacked"/>
        <c:varyColors val="0"/>
        <c:ser>
          <c:idx val="0"/>
          <c:order val="0"/>
          <c:tx>
            <c:strRef>
              <c:f>'Q1'!$F$169</c:f>
              <c:strCache>
                <c:ptCount val="1"/>
                <c:pt idx="0">
                  <c:v>QXFob</c:v>
                </c:pt>
              </c:strCache>
            </c:strRef>
          </c:tx>
          <c:spPr>
            <a:solidFill>
              <a:srgbClr val="FFCC99"/>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'Q1'!$G$174:$CO$174</c:f>
              <c:numCache>
                <c:formatCode>0</c:formatCode>
                <c:ptCount val="87"/>
                <c:pt idx="4" formatCode="0.00">
                  <c:v>0.36904232208756493</c:v>
                </c:pt>
                <c:pt idx="5" formatCode="0.00">
                  <c:v>4.8392708974599241</c:v>
                </c:pt>
                <c:pt idx="6" formatCode="0.00">
                  <c:v>7.3871669385535688</c:v>
                </c:pt>
                <c:pt idx="7" formatCode="0.00">
                  <c:v>7.7228832097316458</c:v>
                </c:pt>
                <c:pt idx="8" formatCode="0.00">
                  <c:v>8.9600500678001396</c:v>
                </c:pt>
                <c:pt idx="9" formatCode="0.00">
                  <c:v>9.2726390768209654</c:v>
                </c:pt>
                <c:pt idx="10" formatCode="0.00">
                  <c:v>10.195711066663304</c:v>
                </c:pt>
                <c:pt idx="11" formatCode="0.00">
                  <c:v>9.2295881726554452</c:v>
                </c:pt>
                <c:pt idx="12" formatCode="0.00">
                  <c:v>6.4665900823281497</c:v>
                </c:pt>
                <c:pt idx="13" formatCode="0.00">
                  <c:v>4.9718464521856909</c:v>
                </c:pt>
                <c:pt idx="14" formatCode="0.00">
                  <c:v>4.3148607664736716</c:v>
                </c:pt>
                <c:pt idx="15" formatCode="0.00">
                  <c:v>1.4917928720413531</c:v>
                </c:pt>
                <c:pt idx="16" formatCode="0.00">
                  <c:v>0.60243672166524487</c:v>
                </c:pt>
                <c:pt idx="17" formatCode="0.00">
                  <c:v>2.9023570522379583</c:v>
                </c:pt>
                <c:pt idx="18" formatCode="0.00">
                  <c:v>5.7993039954187031</c:v>
                </c:pt>
                <c:pt idx="19" formatCode="0.00">
                  <c:v>10.664343474958681</c:v>
                </c:pt>
                <c:pt idx="20" formatCode="0.00">
                  <c:v>15.343879876659084</c:v>
                </c:pt>
                <c:pt idx="21" formatCode="0.00">
                  <c:v>13.944585036662138</c:v>
                </c:pt>
                <c:pt idx="22" formatCode="0.00">
                  <c:v>11.408348079525354</c:v>
                </c:pt>
                <c:pt idx="23" formatCode="0.00">
                  <c:v>9.2087202260799259</c:v>
                </c:pt>
                <c:pt idx="24" formatCode="0.00">
                  <c:v>4.6473334495650942</c:v>
                </c:pt>
                <c:pt idx="25" formatCode="0.00">
                  <c:v>0.71184510250570376</c:v>
                </c:pt>
                <c:pt idx="26" formatCode="0.00">
                  <c:v>-1.2818835840418541</c:v>
                </c:pt>
                <c:pt idx="27" formatCode="0.00">
                  <c:v>-2.4638645521422475</c:v>
                </c:pt>
                <c:pt idx="28" formatCode="0.00">
                  <c:v>0.3868937430581143</c:v>
                </c:pt>
                <c:pt idx="29" formatCode="0.00">
                  <c:v>3.9072660446706209</c:v>
                </c:pt>
                <c:pt idx="30" formatCode="0.00">
                  <c:v>5.1221866777716674</c:v>
                </c:pt>
                <c:pt idx="31" formatCode="0.00">
                  <c:v>5.2625594572571099</c:v>
                </c:pt>
                <c:pt idx="32" formatCode="0.00">
                  <c:v>1.6909771524461048</c:v>
                </c:pt>
                <c:pt idx="33" formatCode="0.00">
                  <c:v>0.81991002757220155</c:v>
                </c:pt>
                <c:pt idx="34" formatCode="0.00">
                  <c:v>0.83911047087421586</c:v>
                </c:pt>
                <c:pt idx="35" formatCode="0.00">
                  <c:v>2.8840960645231117</c:v>
                </c:pt>
                <c:pt idx="36" formatCode="0.00">
                  <c:v>5.2805280528052778</c:v>
                </c:pt>
                <c:pt idx="37" formatCode="0.00">
                  <c:v>6.2378553436488016</c:v>
                </c:pt>
                <c:pt idx="38" formatCode="0.00">
                  <c:v>6.9248763414939019</c:v>
                </c:pt>
                <c:pt idx="39" formatCode="0.00">
                  <c:v>6.3641772240498273</c:v>
                </c:pt>
                <c:pt idx="40" formatCode="0.00">
                  <c:v>5.74597815977127</c:v>
                </c:pt>
                <c:pt idx="41" formatCode="0.00">
                  <c:v>5.419411655122186</c:v>
                </c:pt>
                <c:pt idx="42" formatCode="0.00">
                  <c:v>4.7545884199802879</c:v>
                </c:pt>
                <c:pt idx="43" formatCode="0.00">
                  <c:v>4.2444682076170137</c:v>
                </c:pt>
                <c:pt idx="44" formatCode="0.00">
                  <c:v>5.3099651431735895</c:v>
                </c:pt>
                <c:pt idx="45" formatCode="0.00">
                  <c:v>5.0685173582662557</c:v>
                </c:pt>
                <c:pt idx="46" formatCode="0.00">
                  <c:v>5.2976437203073878</c:v>
                </c:pt>
                <c:pt idx="47" formatCode="0.00">
                  <c:v>5.4193955653752068</c:v>
                </c:pt>
                <c:pt idx="48" formatCode="0.00">
                  <c:v>6.2378197791320034</c:v>
                </c:pt>
                <c:pt idx="49" formatCode="0.00">
                  <c:v>6.1771811259594411</c:v>
                </c:pt>
                <c:pt idx="50" formatCode="0.00">
                  <c:v>5.7336220079032163</c:v>
                </c:pt>
                <c:pt idx="51" formatCode="0.00">
                  <c:v>4.7006691716941607</c:v>
                </c:pt>
                <c:pt idx="52" formatCode="0.00">
                  <c:v>3.6455224423835642</c:v>
                </c:pt>
                <c:pt idx="53" formatCode="0.00">
                  <c:v>5.4808329253189791</c:v>
                </c:pt>
                <c:pt idx="54" formatCode="0.00">
                  <c:v>4.2170227389884962</c:v>
                </c:pt>
                <c:pt idx="55" formatCode="0.00">
                  <c:v>-6.419880181300841</c:v>
                </c:pt>
                <c:pt idx="56" formatCode="0.00">
                  <c:v>-13.140705988116485</c:v>
                </c:pt>
                <c:pt idx="57" formatCode="0.00">
                  <c:v>-14.717125382262996</c:v>
                </c:pt>
                <c:pt idx="58" formatCode="0.00">
                  <c:v>-10.532968769321682</c:v>
                </c:pt>
                <c:pt idx="59" formatCode="0.00">
                  <c:v>1.7372305153630974</c:v>
                </c:pt>
                <c:pt idx="60" formatCode="0.00">
                  <c:v>8.9106669254156223</c:v>
                </c:pt>
                <c:pt idx="61" formatCode="0.00">
                  <c:v>13.453288083498748</c:v>
                </c:pt>
                <c:pt idx="62" formatCode="0.00">
                  <c:v>10.470705674575775</c:v>
                </c:pt>
                <c:pt idx="63" formatCode="0.00">
                  <c:v>8.5903943771963966</c:v>
                </c:pt>
                <c:pt idx="64" formatCode="0.00">
                  <c:v>11.262732753244432</c:v>
                </c:pt>
                <c:pt idx="65" formatCode="0.00">
                  <c:v>6.8532001354554728</c:v>
                </c:pt>
                <c:pt idx="66" formatCode="0.00">
                  <c:v>6.5366382606036222</c:v>
                </c:pt>
                <c:pt idx="67" formatCode="0.00">
                  <c:v>2.5336763200840995</c:v>
                </c:pt>
                <c:pt idx="68" formatCode="0.00">
                  <c:v>1.7963192804046457</c:v>
                </c:pt>
                <c:pt idx="69" formatCode="0.00">
                  <c:v>2.6409961837603468E-2</c:v>
                </c:pt>
                <c:pt idx="70" formatCode="0.00">
                  <c:v>-1.8555490311215617</c:v>
                </c:pt>
                <c:pt idx="71" formatCode="0.00">
                  <c:v>1.4499986511640195</c:v>
                </c:pt>
                <c:pt idx="72" formatCode="0.00">
                  <c:v>-1.6990704930713196</c:v>
                </c:pt>
                <c:pt idx="73" formatCode="0.00">
                  <c:v>-0.4105664761250849</c:v>
                </c:pt>
                <c:pt idx="74" formatCode="0.00">
                  <c:v>2.0807573158895476</c:v>
                </c:pt>
                <c:pt idx="75" formatCode="0.00">
                  <c:v>3.6310212330315395</c:v>
                </c:pt>
                <c:pt idx="76" formatCode="0.00">
                  <c:v>4.9972659740467495</c:v>
                </c:pt>
                <c:pt idx="77" formatCode="0.00">
                  <c:v>5.7318592751663511</c:v>
                </c:pt>
                <c:pt idx="78" formatCode="0.00">
                  <c:v>5.446872802104763</c:v>
                </c:pt>
                <c:pt idx="79" formatCode="0.00">
                  <c:v>4.5750795442882186</c:v>
                </c:pt>
                <c:pt idx="80" formatCode="0.00">
                  <c:v>3.2212173559597712</c:v>
                </c:pt>
                <c:pt idx="81" formatCode="0.00">
                  <c:v>3.9868609112108322</c:v>
                </c:pt>
                <c:pt idx="82" formatCode="0.00">
                  <c:v>1.5106225296442899</c:v>
                </c:pt>
                <c:pt idx="83" formatCode="0.00">
                  <c:v>4.4068212489265068</c:v>
                </c:pt>
                <c:pt idx="84" formatCode="0.00">
                  <c:v>3.8528745816105436</c:v>
                </c:pt>
                <c:pt idx="85" formatCode="0.00">
                  <c:v>7.6366617636420608</c:v>
                </c:pt>
                <c:pt idx="86" formatCode="0.00">
                  <c:v>9.6151272160909009</c:v>
                </c:pt>
              </c:numCache>
            </c:numRef>
          </c:val>
        </c:ser>
        <c:dLbls>
          <c:showLegendKey val="0"/>
          <c:showVal val="0"/>
          <c:showCatName val="0"/>
          <c:showSerName val="0"/>
          <c:showPercent val="0"/>
          <c:showBubbleSize val="0"/>
        </c:dLbls>
        <c:gapWidth val="10"/>
        <c:overlap val="100"/>
        <c:axId val="460631040"/>
        <c:axId val="460653312"/>
      </c:barChart>
      <c:catAx>
        <c:axId val="46063104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0653312"/>
        <c:crosses val="autoZero"/>
        <c:auto val="1"/>
        <c:lblAlgn val="ctr"/>
        <c:lblOffset val="100"/>
        <c:tickLblSkip val="4"/>
        <c:tickMarkSkip val="4"/>
        <c:noMultiLvlLbl val="0"/>
      </c:catAx>
      <c:valAx>
        <c:axId val="46065331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063104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Final demand (QoQ)</a:t>
            </a:r>
          </a:p>
        </c:rich>
      </c:tx>
      <c:layout>
        <c:manualLayout>
          <c:xMode val="edge"/>
          <c:yMode val="edge"/>
          <c:x val="0.4386160714285714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'Q1'!$F$191</c:f>
              <c:strCache>
                <c:ptCount val="1"/>
                <c:pt idx="0">
                  <c:v>QFD</c:v>
                </c:pt>
              </c:strCache>
            </c:strRef>
          </c:tx>
          <c:spPr>
            <a:solidFill>
              <a:srgbClr val="CCFFCC"/>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'Q1'!$G$191:$CO$191</c:f>
              <c:numCache>
                <c:formatCode>0.00</c:formatCode>
                <c:ptCount val="87"/>
                <c:pt idx="1">
                  <c:v>-0.14915851236847466</c:v>
                </c:pt>
                <c:pt idx="2">
                  <c:v>2.6996625421826792E-3</c:v>
                </c:pt>
                <c:pt idx="3">
                  <c:v>0.95925419336260198</c:v>
                </c:pt>
                <c:pt idx="4">
                  <c:v>0.70413747615736266</c:v>
                </c:pt>
                <c:pt idx="5">
                  <c:v>1.0559017205976184</c:v>
                </c:pt>
                <c:pt idx="6">
                  <c:v>0.66300568415704753</c:v>
                </c:pt>
                <c:pt idx="7">
                  <c:v>1.1371743783388677</c:v>
                </c:pt>
                <c:pt idx="8">
                  <c:v>1.5889402190277124</c:v>
                </c:pt>
                <c:pt idx="9">
                  <c:v>1.4878734503082525</c:v>
                </c:pt>
                <c:pt idx="10">
                  <c:v>0.80270349201052582</c:v>
                </c:pt>
                <c:pt idx="11">
                  <c:v>0.97428129164700561</c:v>
                </c:pt>
                <c:pt idx="12">
                  <c:v>0.48448976915005382</c:v>
                </c:pt>
                <c:pt idx="13">
                  <c:v>0.83948602896186664</c:v>
                </c:pt>
                <c:pt idx="14">
                  <c:v>0.98621403838063948</c:v>
                </c:pt>
                <c:pt idx="15">
                  <c:v>-0.14180078991852252</c:v>
                </c:pt>
                <c:pt idx="16">
                  <c:v>0.15483850263946497</c:v>
                </c:pt>
                <c:pt idx="17">
                  <c:v>1.6813655988913823</c:v>
                </c:pt>
                <c:pt idx="18">
                  <c:v>1.85602420079094</c:v>
                </c:pt>
                <c:pt idx="19">
                  <c:v>1.3620121583368006</c:v>
                </c:pt>
                <c:pt idx="20">
                  <c:v>2.4104383655717099</c:v>
                </c:pt>
                <c:pt idx="21">
                  <c:v>1.2271447091957599</c:v>
                </c:pt>
                <c:pt idx="22">
                  <c:v>1.1202626213556721</c:v>
                </c:pt>
                <c:pt idx="23">
                  <c:v>0.86109635107691762</c:v>
                </c:pt>
                <c:pt idx="24">
                  <c:v>0.21650332693445851</c:v>
                </c:pt>
                <c:pt idx="25">
                  <c:v>-0.87638442815376472</c:v>
                </c:pt>
                <c:pt idx="26">
                  <c:v>-0.11333173506528071</c:v>
                </c:pt>
                <c:pt idx="27">
                  <c:v>-0.67930731019033574</c:v>
                </c:pt>
                <c:pt idx="28">
                  <c:v>1.3422769645354826</c:v>
                </c:pt>
                <c:pt idx="29">
                  <c:v>0.6944043008266565</c:v>
                </c:pt>
                <c:pt idx="30">
                  <c:v>0.34301378513557079</c:v>
                </c:pt>
                <c:pt idx="31">
                  <c:v>0.41693186775464408</c:v>
                </c:pt>
                <c:pt idx="32">
                  <c:v>-0.44511231073824931</c:v>
                </c:pt>
                <c:pt idx="33">
                  <c:v>0.33693638269105541</c:v>
                </c:pt>
                <c:pt idx="34">
                  <c:v>0.4484528732354276</c:v>
                </c:pt>
                <c:pt idx="35">
                  <c:v>1.0100149763288879</c:v>
                </c:pt>
                <c:pt idx="36">
                  <c:v>1.6878408004946888</c:v>
                </c:pt>
                <c:pt idx="37">
                  <c:v>1.1629835399477484</c:v>
                </c:pt>
                <c:pt idx="38">
                  <c:v>1.0369064939855344</c:v>
                </c:pt>
                <c:pt idx="39">
                  <c:v>0.52124530980632855</c:v>
                </c:pt>
                <c:pt idx="40">
                  <c:v>0.97453694362614751</c:v>
                </c:pt>
                <c:pt idx="41">
                  <c:v>1.1955906350950896</c:v>
                </c:pt>
                <c:pt idx="42">
                  <c:v>0.23036924899624278</c:v>
                </c:pt>
                <c:pt idx="43">
                  <c:v>0.43341213553980129</c:v>
                </c:pt>
                <c:pt idx="44">
                  <c:v>1.322740944161116</c:v>
                </c:pt>
                <c:pt idx="45">
                  <c:v>0.52464136600349764</c:v>
                </c:pt>
                <c:pt idx="46">
                  <c:v>0.72925225965487783</c:v>
                </c:pt>
                <c:pt idx="47">
                  <c:v>0.70294177628222876</c:v>
                </c:pt>
                <c:pt idx="48">
                  <c:v>1.8852640572097679</c:v>
                </c:pt>
                <c:pt idx="49">
                  <c:v>0.87643017752214725</c:v>
                </c:pt>
                <c:pt idx="50">
                  <c:v>0.75490286629105174</c:v>
                </c:pt>
                <c:pt idx="51">
                  <c:v>0.55185142179658975</c:v>
                </c:pt>
                <c:pt idx="52">
                  <c:v>1.2599219614183088</c:v>
                </c:pt>
                <c:pt idx="53">
                  <c:v>1.4489187128992054</c:v>
                </c:pt>
                <c:pt idx="54" formatCode="0.0">
                  <c:v>-0.52242029096974951</c:v>
                </c:pt>
                <c:pt idx="55" formatCode="0.0">
                  <c:v>-4.7734598960377799</c:v>
                </c:pt>
                <c:pt idx="56" formatCode="0.0">
                  <c:v>-2.7917957429799189</c:v>
                </c:pt>
                <c:pt idx="57" formatCode="0.0">
                  <c:v>0.53648758047313283</c:v>
                </c:pt>
                <c:pt idx="58" formatCode="0.0">
                  <c:v>1.8462777277171716</c:v>
                </c:pt>
                <c:pt idx="59" formatCode="0.0">
                  <c:v>1.4394538358244446</c:v>
                </c:pt>
                <c:pt idx="60" formatCode="0.0">
                  <c:v>0.54497092663614577</c:v>
                </c:pt>
                <c:pt idx="61" formatCode="0.0">
                  <c:v>2.2978817652161698</c:v>
                </c:pt>
                <c:pt idx="62" formatCode="0.0">
                  <c:v>0.86001587721618034</c:v>
                </c:pt>
                <c:pt idx="63" formatCode="0.0">
                  <c:v>0.53963483715548932</c:v>
                </c:pt>
                <c:pt idx="64" formatCode="0.0">
                  <c:v>1.611994472484013</c:v>
                </c:pt>
                <c:pt idx="65" formatCode="0.0">
                  <c:v>0.74068021175632826</c:v>
                </c:pt>
                <c:pt idx="66" formatCode="0.0">
                  <c:v>0.69815409216791302</c:v>
                </c:pt>
                <c:pt idx="67" formatCode="0.0">
                  <c:v>-1.2214979027979855</c:v>
                </c:pt>
                <c:pt idx="68" formatCode="0.0">
                  <c:v>1.2756290773532131</c:v>
                </c:pt>
                <c:pt idx="69" formatCode="0.0">
                  <c:v>-0.20762638753092366</c:v>
                </c:pt>
                <c:pt idx="70" formatCode="0.0">
                  <c:v>-0.27030298140153786</c:v>
                </c:pt>
                <c:pt idx="71" formatCode="0.0">
                  <c:v>-9.4775774387434453E-2</c:v>
                </c:pt>
                <c:pt idx="72" formatCode="0.0">
                  <c:v>-0.16138735278464766</c:v>
                </c:pt>
                <c:pt idx="73" formatCode="0.0">
                  <c:v>0.35632137290915189</c:v>
                </c:pt>
                <c:pt idx="74" formatCode="0.0">
                  <c:v>0.92430085675356821</c:v>
                </c:pt>
                <c:pt idx="75" formatCode="0.0">
                  <c:v>0.60807834657605753</c:v>
                </c:pt>
                <c:pt idx="76" formatCode="0.0">
                  <c:v>0.7704291660033169</c:v>
                </c:pt>
                <c:pt idx="77" formatCode="0.0">
                  <c:v>0.84353188776229437</c:v>
                </c:pt>
                <c:pt idx="78" formatCode="0.0">
                  <c:v>1.7798193883374447</c:v>
                </c:pt>
                <c:pt idx="79" formatCode="0.0">
                  <c:v>-0.18251084345296542</c:v>
                </c:pt>
                <c:pt idx="80" formatCode="0.0">
                  <c:v>1.0899077516177913</c:v>
                </c:pt>
                <c:pt idx="81" formatCode="0.0">
                  <c:v>-0.47070616821206501</c:v>
                </c:pt>
                <c:pt idx="82" formatCode="0.0">
                  <c:v>-7.5537796266889057E-2</c:v>
                </c:pt>
                <c:pt idx="83" formatCode="0.0">
                  <c:v>1.8772733248608509</c:v>
                </c:pt>
                <c:pt idx="84" formatCode="0.0">
                  <c:v>6.4523413933592622E-3</c:v>
                </c:pt>
                <c:pt idx="85" formatCode="0.0">
                  <c:v>2.8662677226317435</c:v>
                </c:pt>
                <c:pt idx="86" formatCode="0.0">
                  <c:v>1.5309269190160846</c:v>
                </c:pt>
              </c:numCache>
            </c:numRef>
          </c:val>
        </c:ser>
        <c:dLbls>
          <c:showLegendKey val="0"/>
          <c:showVal val="0"/>
          <c:showCatName val="0"/>
          <c:showSerName val="0"/>
          <c:showPercent val="0"/>
          <c:showBubbleSize val="0"/>
        </c:dLbls>
        <c:gapWidth val="10"/>
        <c:overlap val="100"/>
        <c:axId val="465515264"/>
        <c:axId val="465516800"/>
      </c:barChart>
      <c:catAx>
        <c:axId val="46551526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5516800"/>
        <c:crosses val="autoZero"/>
        <c:auto val="1"/>
        <c:lblAlgn val="ctr"/>
        <c:lblOffset val="100"/>
        <c:tickLblSkip val="4"/>
        <c:tickMarkSkip val="4"/>
        <c:noMultiLvlLbl val="0"/>
      </c:catAx>
      <c:valAx>
        <c:axId val="46551680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5515264"/>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Final demand (YoY)</a:t>
            </a:r>
          </a:p>
        </c:rich>
      </c:tx>
      <c:layout>
        <c:manualLayout>
          <c:xMode val="edge"/>
          <c:yMode val="edge"/>
          <c:x val="0.43973214285714285"/>
          <c:y val="3.5947712418300651E-2"/>
        </c:manualLayout>
      </c:layout>
      <c:overlay val="0"/>
      <c:spPr>
        <a:noFill/>
        <a:ln w="25400">
          <a:noFill/>
        </a:ln>
      </c:spPr>
    </c:title>
    <c:autoTitleDeleted val="0"/>
    <c:plotArea>
      <c:layout>
        <c:manualLayout>
          <c:layoutTarget val="inner"/>
          <c:xMode val="edge"/>
          <c:yMode val="edge"/>
          <c:x val="5.6919642857142856E-2"/>
          <c:y val="0.19281107284988017"/>
          <c:w val="0.9274553571428571"/>
          <c:h val="0.69608065283092335"/>
        </c:manualLayout>
      </c:layout>
      <c:barChart>
        <c:barDir val="col"/>
        <c:grouping val="stacked"/>
        <c:varyColors val="0"/>
        <c:ser>
          <c:idx val="0"/>
          <c:order val="0"/>
          <c:tx>
            <c:strRef>
              <c:f>'Q1'!$F$191</c:f>
              <c:strCache>
                <c:ptCount val="1"/>
                <c:pt idx="0">
                  <c:v>QFD</c:v>
                </c:pt>
              </c:strCache>
            </c:strRef>
          </c:tx>
          <c:spPr>
            <a:solidFill>
              <a:srgbClr val="FF8080"/>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'Q1'!$G$174:$CO$174</c:f>
              <c:numCache>
                <c:formatCode>0</c:formatCode>
                <c:ptCount val="87"/>
                <c:pt idx="4" formatCode="0.00">
                  <c:v>0.36904232208756493</c:v>
                </c:pt>
                <c:pt idx="5" formatCode="0.00">
                  <c:v>4.8392708974599241</c:v>
                </c:pt>
                <c:pt idx="6" formatCode="0.00">
                  <c:v>7.3871669385535688</c:v>
                </c:pt>
                <c:pt idx="7" formatCode="0.00">
                  <c:v>7.7228832097316458</c:v>
                </c:pt>
                <c:pt idx="8" formatCode="0.00">
                  <c:v>8.9600500678001396</c:v>
                </c:pt>
                <c:pt idx="9" formatCode="0.00">
                  <c:v>9.2726390768209654</c:v>
                </c:pt>
                <c:pt idx="10" formatCode="0.00">
                  <c:v>10.195711066663304</c:v>
                </c:pt>
                <c:pt idx="11" formatCode="0.00">
                  <c:v>9.2295881726554452</c:v>
                </c:pt>
                <c:pt idx="12" formatCode="0.00">
                  <c:v>6.4665900823281497</c:v>
                </c:pt>
                <c:pt idx="13" formatCode="0.00">
                  <c:v>4.9718464521856909</c:v>
                </c:pt>
                <c:pt idx="14" formatCode="0.00">
                  <c:v>4.3148607664736716</c:v>
                </c:pt>
                <c:pt idx="15" formatCode="0.00">
                  <c:v>1.4917928720413531</c:v>
                </c:pt>
                <c:pt idx="16" formatCode="0.00">
                  <c:v>0.60243672166524487</c:v>
                </c:pt>
                <c:pt idx="17" formatCode="0.00">
                  <c:v>2.9023570522379583</c:v>
                </c:pt>
                <c:pt idx="18" formatCode="0.00">
                  <c:v>5.7993039954187031</c:v>
                </c:pt>
                <c:pt idx="19" formatCode="0.00">
                  <c:v>10.664343474958681</c:v>
                </c:pt>
                <c:pt idx="20" formatCode="0.00">
                  <c:v>15.343879876659084</c:v>
                </c:pt>
                <c:pt idx="21" formatCode="0.00">
                  <c:v>13.944585036662138</c:v>
                </c:pt>
                <c:pt idx="22" formatCode="0.00">
                  <c:v>11.408348079525354</c:v>
                </c:pt>
                <c:pt idx="23" formatCode="0.00">
                  <c:v>9.2087202260799259</c:v>
                </c:pt>
                <c:pt idx="24" formatCode="0.00">
                  <c:v>4.6473334495650942</c:v>
                </c:pt>
                <c:pt idx="25" formatCode="0.00">
                  <c:v>0.71184510250570376</c:v>
                </c:pt>
                <c:pt idx="26" formatCode="0.00">
                  <c:v>-1.2818835840418541</c:v>
                </c:pt>
                <c:pt idx="27" formatCode="0.00">
                  <c:v>-2.4638645521422475</c:v>
                </c:pt>
                <c:pt idx="28" formatCode="0.00">
                  <c:v>0.3868937430581143</c:v>
                </c:pt>
                <c:pt idx="29" formatCode="0.00">
                  <c:v>3.9072660446706209</c:v>
                </c:pt>
                <c:pt idx="30" formatCode="0.00">
                  <c:v>5.1221866777716674</c:v>
                </c:pt>
                <c:pt idx="31" formatCode="0.00">
                  <c:v>5.2625594572571099</c:v>
                </c:pt>
                <c:pt idx="32" formatCode="0.00">
                  <c:v>1.6909771524461048</c:v>
                </c:pt>
                <c:pt idx="33" formatCode="0.00">
                  <c:v>0.81991002757220155</c:v>
                </c:pt>
                <c:pt idx="34" formatCode="0.00">
                  <c:v>0.83911047087421586</c:v>
                </c:pt>
                <c:pt idx="35" formatCode="0.00">
                  <c:v>2.8840960645231117</c:v>
                </c:pt>
                <c:pt idx="36" formatCode="0.00">
                  <c:v>5.2805280528052778</c:v>
                </c:pt>
                <c:pt idx="37" formatCode="0.00">
                  <c:v>6.2378553436488016</c:v>
                </c:pt>
                <c:pt idx="38" formatCode="0.00">
                  <c:v>6.9248763414939019</c:v>
                </c:pt>
                <c:pt idx="39" formatCode="0.00">
                  <c:v>6.3641772240498273</c:v>
                </c:pt>
                <c:pt idx="40" formatCode="0.00">
                  <c:v>5.74597815977127</c:v>
                </c:pt>
                <c:pt idx="41" formatCode="0.00">
                  <c:v>5.419411655122186</c:v>
                </c:pt>
                <c:pt idx="42" formatCode="0.00">
                  <c:v>4.7545884199802879</c:v>
                </c:pt>
                <c:pt idx="43" formatCode="0.00">
                  <c:v>4.2444682076170137</c:v>
                </c:pt>
                <c:pt idx="44" formatCode="0.00">
                  <c:v>5.3099651431735895</c:v>
                </c:pt>
                <c:pt idx="45" formatCode="0.00">
                  <c:v>5.0685173582662557</c:v>
                </c:pt>
                <c:pt idx="46" formatCode="0.00">
                  <c:v>5.2976437203073878</c:v>
                </c:pt>
                <c:pt idx="47" formatCode="0.00">
                  <c:v>5.4193955653752068</c:v>
                </c:pt>
                <c:pt idx="48" formatCode="0.00">
                  <c:v>6.2378197791320034</c:v>
                </c:pt>
                <c:pt idx="49" formatCode="0.00">
                  <c:v>6.1771811259594411</c:v>
                </c:pt>
                <c:pt idx="50" formatCode="0.00">
                  <c:v>5.7336220079032163</c:v>
                </c:pt>
                <c:pt idx="51" formatCode="0.00">
                  <c:v>4.7006691716941607</c:v>
                </c:pt>
                <c:pt idx="52" formatCode="0.00">
                  <c:v>3.6455224423835642</c:v>
                </c:pt>
                <c:pt idx="53" formatCode="0.00">
                  <c:v>5.4808329253189791</c:v>
                </c:pt>
                <c:pt idx="54" formatCode="0.00">
                  <c:v>4.2170227389884962</c:v>
                </c:pt>
                <c:pt idx="55" formatCode="0.00">
                  <c:v>-6.419880181300841</c:v>
                </c:pt>
                <c:pt idx="56" formatCode="0.00">
                  <c:v>-13.140705988116485</c:v>
                </c:pt>
                <c:pt idx="57" formatCode="0.00">
                  <c:v>-14.717125382262996</c:v>
                </c:pt>
                <c:pt idx="58" formatCode="0.00">
                  <c:v>-10.532968769321682</c:v>
                </c:pt>
                <c:pt idx="59" formatCode="0.00">
                  <c:v>1.7372305153630974</c:v>
                </c:pt>
                <c:pt idx="60" formatCode="0.00">
                  <c:v>8.9106669254156223</c:v>
                </c:pt>
                <c:pt idx="61" formatCode="0.00">
                  <c:v>13.453288083498748</c:v>
                </c:pt>
                <c:pt idx="62" formatCode="0.00">
                  <c:v>10.470705674575775</c:v>
                </c:pt>
                <c:pt idx="63" formatCode="0.00">
                  <c:v>8.5903943771963966</c:v>
                </c:pt>
                <c:pt idx="64" formatCode="0.00">
                  <c:v>11.262732753244432</c:v>
                </c:pt>
                <c:pt idx="65" formatCode="0.00">
                  <c:v>6.8532001354554728</c:v>
                </c:pt>
                <c:pt idx="66" formatCode="0.00">
                  <c:v>6.5366382606036222</c:v>
                </c:pt>
                <c:pt idx="67" formatCode="0.00">
                  <c:v>2.5336763200840995</c:v>
                </c:pt>
                <c:pt idx="68" formatCode="0.00">
                  <c:v>1.7963192804046457</c:v>
                </c:pt>
                <c:pt idx="69" formatCode="0.00">
                  <c:v>2.6409961837603468E-2</c:v>
                </c:pt>
                <c:pt idx="70" formatCode="0.00">
                  <c:v>-1.8555490311215617</c:v>
                </c:pt>
                <c:pt idx="71" formatCode="0.00">
                  <c:v>1.4499986511640195</c:v>
                </c:pt>
                <c:pt idx="72" formatCode="0.00">
                  <c:v>-1.6990704930713196</c:v>
                </c:pt>
                <c:pt idx="73" formatCode="0.00">
                  <c:v>-0.4105664761250849</c:v>
                </c:pt>
                <c:pt idx="74" formatCode="0.00">
                  <c:v>2.0807573158895476</c:v>
                </c:pt>
                <c:pt idx="75" formatCode="0.00">
                  <c:v>3.6310212330315395</c:v>
                </c:pt>
                <c:pt idx="76" formatCode="0.00">
                  <c:v>4.9972659740467495</c:v>
                </c:pt>
                <c:pt idx="77" formatCode="0.00">
                  <c:v>5.7318592751663511</c:v>
                </c:pt>
                <c:pt idx="78" formatCode="0.00">
                  <c:v>5.446872802104763</c:v>
                </c:pt>
                <c:pt idx="79" formatCode="0.00">
                  <c:v>4.5750795442882186</c:v>
                </c:pt>
                <c:pt idx="80" formatCode="0.00">
                  <c:v>3.2212173559597712</c:v>
                </c:pt>
                <c:pt idx="81" formatCode="0.00">
                  <c:v>3.9868609112108322</c:v>
                </c:pt>
                <c:pt idx="82" formatCode="0.00">
                  <c:v>1.5106225296442899</c:v>
                </c:pt>
                <c:pt idx="83" formatCode="0.00">
                  <c:v>4.4068212489265068</c:v>
                </c:pt>
                <c:pt idx="84" formatCode="0.00">
                  <c:v>3.8528745816105436</c:v>
                </c:pt>
                <c:pt idx="85" formatCode="0.00">
                  <c:v>7.6366617636420608</c:v>
                </c:pt>
                <c:pt idx="86" formatCode="0.00">
                  <c:v>9.6151272160909009</c:v>
                </c:pt>
              </c:numCache>
            </c:numRef>
          </c:val>
        </c:ser>
        <c:dLbls>
          <c:showLegendKey val="0"/>
          <c:showVal val="0"/>
          <c:showCatName val="0"/>
          <c:showSerName val="0"/>
          <c:showPercent val="0"/>
          <c:showBubbleSize val="0"/>
        </c:dLbls>
        <c:gapWidth val="10"/>
        <c:overlap val="100"/>
        <c:axId val="465533568"/>
        <c:axId val="465564032"/>
      </c:barChart>
      <c:catAx>
        <c:axId val="465533568"/>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5564032"/>
        <c:crosses val="autoZero"/>
        <c:auto val="1"/>
        <c:lblAlgn val="ctr"/>
        <c:lblOffset val="100"/>
        <c:tickLblSkip val="4"/>
        <c:tickMarkSkip val="4"/>
        <c:noMultiLvlLbl val="0"/>
      </c:catAx>
      <c:valAx>
        <c:axId val="465564032"/>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5533568"/>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Gross domestic product (QoQ)</a:t>
            </a:r>
          </a:p>
        </c:rich>
      </c:tx>
      <c:layout>
        <c:manualLayout>
          <c:xMode val="edge"/>
          <c:yMode val="edge"/>
          <c:x val="0.40401785714285715"/>
          <c:y val="3.6065573770491806E-2"/>
        </c:manualLayout>
      </c:layout>
      <c:overlay val="0"/>
      <c:spPr>
        <a:noFill/>
        <a:ln w="25400">
          <a:noFill/>
        </a:ln>
      </c:spPr>
    </c:title>
    <c:autoTitleDeleted val="0"/>
    <c:plotArea>
      <c:layout>
        <c:manualLayout>
          <c:layoutTarget val="inner"/>
          <c:xMode val="edge"/>
          <c:yMode val="edge"/>
          <c:x val="5.3571428571428568E-2"/>
          <c:y val="0.19672131147540983"/>
          <c:w val="0.9308035714285714"/>
          <c:h val="0.69180327868852454"/>
        </c:manualLayout>
      </c:layout>
      <c:barChart>
        <c:barDir val="col"/>
        <c:grouping val="stacked"/>
        <c:varyColors val="0"/>
        <c:ser>
          <c:idx val="0"/>
          <c:order val="0"/>
          <c:tx>
            <c:strRef>
              <c:f>'Q1'!$F$232</c:f>
              <c:strCache>
                <c:ptCount val="1"/>
                <c:pt idx="0">
                  <c:v>QGDP</c:v>
                </c:pt>
              </c:strCache>
            </c:strRef>
          </c:tx>
          <c:spPr>
            <a:solidFill>
              <a:srgbClr val="CCFFCC"/>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'Q1'!$G$232:$CO$232</c:f>
              <c:numCache>
                <c:formatCode>0.00</c:formatCode>
                <c:ptCount val="87"/>
                <c:pt idx="1">
                  <c:v>0.47953919498930908</c:v>
                </c:pt>
                <c:pt idx="2">
                  <c:v>0.73883400584386916</c:v>
                </c:pt>
                <c:pt idx="3">
                  <c:v>0.36601704396348467</c:v>
                </c:pt>
                <c:pt idx="4">
                  <c:v>-0.20091927448875335</c:v>
                </c:pt>
                <c:pt idx="5">
                  <c:v>0.76254826254826824</c:v>
                </c:pt>
                <c:pt idx="6">
                  <c:v>0.50086899401968754</c:v>
                </c:pt>
                <c:pt idx="7">
                  <c:v>0.78840942823297233</c:v>
                </c:pt>
                <c:pt idx="8">
                  <c:v>0.93490772514792653</c:v>
                </c:pt>
                <c:pt idx="9">
                  <c:v>1.4844063713023825</c:v>
                </c:pt>
                <c:pt idx="10">
                  <c:v>0.86917527268888239</c:v>
                </c:pt>
                <c:pt idx="11">
                  <c:v>0.57271372159313216</c:v>
                </c:pt>
                <c:pt idx="12">
                  <c:v>0.26522440064487007</c:v>
                </c:pt>
                <c:pt idx="13">
                  <c:v>0.33324688796678714</c:v>
                </c:pt>
                <c:pt idx="14">
                  <c:v>0.31404680977553667</c:v>
                </c:pt>
                <c:pt idx="15">
                  <c:v>0.24735892811129645</c:v>
                </c:pt>
                <c:pt idx="16">
                  <c:v>1.0589626278723063</c:v>
                </c:pt>
                <c:pt idx="17">
                  <c:v>1.3467114298794325</c:v>
                </c:pt>
                <c:pt idx="18">
                  <c:v>1.4404918752745077</c:v>
                </c:pt>
                <c:pt idx="19">
                  <c:v>1.1800650643840394</c:v>
                </c:pt>
                <c:pt idx="20">
                  <c:v>0.74697116031150479</c:v>
                </c:pt>
                <c:pt idx="21">
                  <c:v>0.65770313561790417</c:v>
                </c:pt>
                <c:pt idx="22">
                  <c:v>0.39783001808317842</c:v>
                </c:pt>
                <c:pt idx="23">
                  <c:v>0.88616714697407062</c:v>
                </c:pt>
                <c:pt idx="24">
                  <c:v>-5.8320836011338528E-2</c:v>
                </c:pt>
                <c:pt idx="25">
                  <c:v>-5.8354869058807601E-2</c:v>
                </c:pt>
                <c:pt idx="26">
                  <c:v>-0.20495710200190143</c:v>
                </c:pt>
                <c:pt idx="27">
                  <c:v>-5.8508859913075639E-2</c:v>
                </c:pt>
                <c:pt idx="28">
                  <c:v>0.93071601811252069</c:v>
                </c:pt>
                <c:pt idx="29">
                  <c:v>0.878335187859558</c:v>
                </c:pt>
                <c:pt idx="30">
                  <c:v>0.52804505984511696</c:v>
                </c:pt>
                <c:pt idx="31">
                  <c:v>0.31049375510681099</c:v>
                </c:pt>
                <c:pt idx="32">
                  <c:v>-0.39447961273507692</c:v>
                </c:pt>
                <c:pt idx="33">
                  <c:v>0.10047081089292753</c:v>
                </c:pt>
                <c:pt idx="34">
                  <c:v>0.38514057631036103</c:v>
                </c:pt>
                <c:pt idx="35">
                  <c:v>0.74523618522779334</c:v>
                </c:pt>
                <c:pt idx="36">
                  <c:v>1.5579200036928587</c:v>
                </c:pt>
                <c:pt idx="37">
                  <c:v>0.98063724376165062</c:v>
                </c:pt>
                <c:pt idx="38">
                  <c:v>0.87434030630042514</c:v>
                </c:pt>
                <c:pt idx="39">
                  <c:v>0.31903975726206291</c:v>
                </c:pt>
                <c:pt idx="40">
                  <c:v>0.39586344934949835</c:v>
                </c:pt>
                <c:pt idx="41">
                  <c:v>0.4995237356843818</c:v>
                </c:pt>
                <c:pt idx="42">
                  <c:v>0.38683227349372018</c:v>
                </c:pt>
                <c:pt idx="43">
                  <c:v>0.8003249604777718</c:v>
                </c:pt>
                <c:pt idx="44">
                  <c:v>0.62842393020901</c:v>
                </c:pt>
                <c:pt idx="45">
                  <c:v>0.32686105158343803</c:v>
                </c:pt>
                <c:pt idx="46">
                  <c:v>0.84253905238629301</c:v>
                </c:pt>
                <c:pt idx="47">
                  <c:v>1.0772703445767418</c:v>
                </c:pt>
                <c:pt idx="48">
                  <c:v>1.2869903899072943</c:v>
                </c:pt>
                <c:pt idx="49">
                  <c:v>0.39289446185997168</c:v>
                </c:pt>
                <c:pt idx="50">
                  <c:v>0.77230525833715813</c:v>
                </c:pt>
                <c:pt idx="51">
                  <c:v>0.5050713710260446</c:v>
                </c:pt>
                <c:pt idx="52" formatCode="0.0">
                  <c:v>0.57755351619102058</c:v>
                </c:pt>
                <c:pt idx="53" formatCode="0.0">
                  <c:v>0.15939674462803755</c:v>
                </c:pt>
                <c:pt idx="54" formatCode="0.0">
                  <c:v>-0.50293292527416877</c:v>
                </c:pt>
                <c:pt idx="55" formatCode="0.0">
                  <c:v>-2.0936718205306959</c:v>
                </c:pt>
                <c:pt idx="56" formatCode="0.0">
                  <c:v>-1.1498586239396813</c:v>
                </c:pt>
                <c:pt idx="57" formatCode="0.0">
                  <c:v>-0.10911941689972782</c:v>
                </c:pt>
                <c:pt idx="58" formatCode="0.0">
                  <c:v>1.1135975564487977</c:v>
                </c:pt>
                <c:pt idx="59" formatCode="0.0">
                  <c:v>0.84435540544793852</c:v>
                </c:pt>
                <c:pt idx="60" formatCode="0.0">
                  <c:v>0.47532867365618348</c:v>
                </c:pt>
                <c:pt idx="61" formatCode="0.0">
                  <c:v>1.0093063218807208</c:v>
                </c:pt>
                <c:pt idx="62" formatCode="0.0">
                  <c:v>0.44170697712553331</c:v>
                </c:pt>
                <c:pt idx="63" formatCode="0.0">
                  <c:v>0.41323578928036397</c:v>
                </c:pt>
                <c:pt idx="64">
                  <c:v>0.66150469454944183</c:v>
                </c:pt>
                <c:pt idx="65">
                  <c:v>0.28870516741872354</c:v>
                </c:pt>
                <c:pt idx="66">
                  <c:v>0.22345469003210994</c:v>
                </c:pt>
                <c:pt idx="67">
                  <c:v>6.7288668387388562E-2</c:v>
                </c:pt>
                <c:pt idx="68">
                  <c:v>0.19470483148997797</c:v>
                </c:pt>
                <c:pt idx="69">
                  <c:v>-0.1933247856398701</c:v>
                </c:pt>
                <c:pt idx="70">
                  <c:v>-3.8137677014016269E-2</c:v>
                </c:pt>
                <c:pt idx="71">
                  <c:v>-0.12048071806508576</c:v>
                </c:pt>
                <c:pt idx="72">
                  <c:v>-0.31965903036760279</c:v>
                </c:pt>
                <c:pt idx="73">
                  <c:v>0.48102618920364826</c:v>
                </c:pt>
                <c:pt idx="74">
                  <c:v>0.48875953432356845</c:v>
                </c:pt>
                <c:pt idx="75">
                  <c:v>0.29562455681284572</c:v>
                </c:pt>
                <c:pt idx="76">
                  <c:v>0.30271949652969088</c:v>
                </c:pt>
                <c:pt idx="77">
                  <c:v>0.24819561785816013</c:v>
                </c:pt>
                <c:pt idx="78">
                  <c:v>0.38721689097516165</c:v>
                </c:pt>
                <c:pt idx="79">
                  <c:v>0.30680293583775775</c:v>
                </c:pt>
                <c:pt idx="80">
                  <c:v>0.41306464461687842</c:v>
                </c:pt>
                <c:pt idx="81">
                  <c:v>0.46621416468328736</c:v>
                </c:pt>
                <c:pt idx="82">
                  <c:v>5.8493785035351742E-2</c:v>
                </c:pt>
                <c:pt idx="83">
                  <c:v>0.47839430993326104</c:v>
                </c:pt>
                <c:pt idx="84">
                  <c:v>0.27830033163314116</c:v>
                </c:pt>
                <c:pt idx="85">
                  <c:v>0.74071925193157639</c:v>
                </c:pt>
                <c:pt idx="86">
                  <c:v>0.11038693018745604</c:v>
                </c:pt>
              </c:numCache>
            </c:numRef>
          </c:val>
        </c:ser>
        <c:dLbls>
          <c:showLegendKey val="0"/>
          <c:showVal val="0"/>
          <c:showCatName val="0"/>
          <c:showSerName val="0"/>
          <c:showPercent val="0"/>
          <c:showBubbleSize val="0"/>
        </c:dLbls>
        <c:gapWidth val="10"/>
        <c:overlap val="100"/>
        <c:axId val="465576320"/>
        <c:axId val="465577856"/>
      </c:barChart>
      <c:catAx>
        <c:axId val="46557632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5577856"/>
        <c:crosses val="autoZero"/>
        <c:auto val="1"/>
        <c:lblAlgn val="ctr"/>
        <c:lblOffset val="100"/>
        <c:tickLblSkip val="4"/>
        <c:tickMarkSkip val="4"/>
        <c:noMultiLvlLbl val="0"/>
      </c:catAx>
      <c:valAx>
        <c:axId val="46557785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557632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Gross domestic product (YoY)</a:t>
            </a:r>
          </a:p>
        </c:rich>
      </c:tx>
      <c:layout>
        <c:manualLayout>
          <c:xMode val="edge"/>
          <c:yMode val="edge"/>
          <c:x val="0.40513392857142855"/>
          <c:y val="3.5947712418300651E-2"/>
        </c:manualLayout>
      </c:layout>
      <c:overlay val="0"/>
      <c:spPr>
        <a:noFill/>
        <a:ln w="25400">
          <a:noFill/>
        </a:ln>
      </c:spPr>
    </c:title>
    <c:autoTitleDeleted val="0"/>
    <c:plotArea>
      <c:layout>
        <c:manualLayout>
          <c:layoutTarget val="inner"/>
          <c:xMode val="edge"/>
          <c:yMode val="edge"/>
          <c:x val="5.3571428571428568E-2"/>
          <c:y val="0.19281107284988017"/>
          <c:w val="0.9308035714285714"/>
          <c:h val="0.69608065283092335"/>
        </c:manualLayout>
      </c:layout>
      <c:barChart>
        <c:barDir val="col"/>
        <c:grouping val="stacked"/>
        <c:varyColors val="0"/>
        <c:ser>
          <c:idx val="0"/>
          <c:order val="0"/>
          <c:tx>
            <c:strRef>
              <c:f>'Q1'!$F$232</c:f>
              <c:strCache>
                <c:ptCount val="1"/>
                <c:pt idx="0">
                  <c:v>QGDP</c:v>
                </c:pt>
              </c:strCache>
            </c:strRef>
          </c:tx>
          <c:spPr>
            <a:solidFill>
              <a:srgbClr val="FF8080"/>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'Q1'!$G$237:$CO$237</c:f>
              <c:numCache>
                <c:formatCode>0</c:formatCode>
                <c:ptCount val="87"/>
                <c:pt idx="4" formatCode="0.0">
                  <c:v>1.3882869405958509</c:v>
                </c:pt>
                <c:pt idx="5" formatCode="0.0">
                  <c:v>1.6738555725615445</c:v>
                </c:pt>
                <c:pt idx="6" formatCode="0.0">
                  <c:v>1.4336818552229902</c:v>
                </c:pt>
                <c:pt idx="7" formatCode="0.0">
                  <c:v>1.8605675281424761</c:v>
                </c:pt>
                <c:pt idx="8" formatCode="0.0">
                  <c:v>3.0198565912851638</c:v>
                </c:pt>
                <c:pt idx="9" formatCode="0.0">
                  <c:v>3.7578859496667949</c:v>
                </c:pt>
                <c:pt idx="10" formatCode="0.0">
                  <c:v>4.1381282424869603</c:v>
                </c:pt>
                <c:pt idx="11" formatCode="0.0">
                  <c:v>3.9152638547380381</c:v>
                </c:pt>
                <c:pt idx="12" formatCode="0.0">
                  <c:v>3.2258064516129226</c:v>
                </c:pt>
                <c:pt idx="13" formatCode="0.0">
                  <c:v>2.0548938920323279</c:v>
                </c:pt>
                <c:pt idx="14" formatCode="0.0">
                  <c:v>1.4932398859802909</c:v>
                </c:pt>
                <c:pt idx="15" formatCode="0.0">
                  <c:v>1.1649071714597836</c:v>
                </c:pt>
                <c:pt idx="16" formatCode="0.0">
                  <c:v>1.9657676348547648</c:v>
                </c:pt>
                <c:pt idx="17" formatCode="0.0">
                  <c:v>2.9957222430437858</c:v>
                </c:pt>
                <c:pt idx="18" formatCode="0.0">
                  <c:v>4.1522803401185193</c:v>
                </c:pt>
                <c:pt idx="19" formatCode="0.0">
                  <c:v>5.1213180486300303</c:v>
                </c:pt>
                <c:pt idx="20" formatCode="0.0">
                  <c:v>4.7967851874459511</c:v>
                </c:pt>
                <c:pt idx="21" formatCode="0.0">
                  <c:v>4.0843214756258295</c:v>
                </c:pt>
                <c:pt idx="22" formatCode="0.0">
                  <c:v>3.0144848657273959</c:v>
                </c:pt>
                <c:pt idx="23" formatCode="0.0">
                  <c:v>2.7152585058131784</c:v>
                </c:pt>
                <c:pt idx="24" formatCode="0.0">
                  <c:v>1.8942335695563361</c:v>
                </c:pt>
                <c:pt idx="25" formatCode="0.0">
                  <c:v>1.1693791440626766</c:v>
                </c:pt>
                <c:pt idx="26" formatCode="0.0">
                  <c:v>0.56195965417866756</c:v>
                </c:pt>
                <c:pt idx="27" formatCode="0.0">
                  <c:v>-0.37968054464520007</c:v>
                </c:pt>
                <c:pt idx="28" formatCode="0.0">
                  <c:v>0.60617608879467433</c:v>
                </c:pt>
                <c:pt idx="29" formatCode="0.0">
                  <c:v>1.5490943755958053</c:v>
                </c:pt>
                <c:pt idx="30" formatCode="0.0">
                  <c:v>2.294980178631123</c:v>
                </c:pt>
                <c:pt idx="31" formatCode="0.0">
                  <c:v>2.6726723138866815</c:v>
                </c:pt>
                <c:pt idx="32" formatCode="0.0">
                  <c:v>1.3246052226615124</c:v>
                </c:pt>
                <c:pt idx="33" formatCode="0.0">
                  <c:v>0.54329969490731767</c:v>
                </c:pt>
                <c:pt idx="34" formatCode="0.0">
                  <c:v>0.4003735263219399</c:v>
                </c:pt>
                <c:pt idx="35" formatCode="0.0">
                  <c:v>0.83550549245949846</c:v>
                </c:pt>
                <c:pt idx="36" formatCode="0.0">
                  <c:v>2.8120144397584257</c:v>
                </c:pt>
                <c:pt idx="37" formatCode="0.0">
                  <c:v>3.7160230150671714</c:v>
                </c:pt>
                <c:pt idx="38" formatCode="0.0">
                  <c:v>4.2214548963528831</c:v>
                </c:pt>
                <c:pt idx="39" formatCode="0.0">
                  <c:v>3.7805525422946573</c:v>
                </c:pt>
                <c:pt idx="40" formatCode="0.0">
                  <c:v>2.5930639516385634</c:v>
                </c:pt>
                <c:pt idx="41" formatCode="0.0">
                  <c:v>2.1042681760383486</c:v>
                </c:pt>
                <c:pt idx="42" formatCode="0.0">
                  <c:v>1.6108161170853563</c:v>
                </c:pt>
                <c:pt idx="43" formatCode="0.0">
                  <c:v>2.0982986767485778</c:v>
                </c:pt>
                <c:pt idx="44" formatCode="0.0">
                  <c:v>2.3348027379660241</c:v>
                </c:pt>
                <c:pt idx="45" formatCode="0.0">
                  <c:v>2.1589869623196645</c:v>
                </c:pt>
                <c:pt idx="46" formatCode="0.0">
                  <c:v>2.6227384507289786</c:v>
                </c:pt>
                <c:pt idx="47" formatCode="0.0">
                  <c:v>2.9046908524565263</c:v>
                </c:pt>
                <c:pt idx="48" formatCode="0.0">
                  <c:v>3.5781544256120457</c:v>
                </c:pt>
                <c:pt idx="49" formatCode="0.0">
                  <c:v>3.6463277811340289</c:v>
                </c:pt>
                <c:pt idx="50" formatCode="0.0">
                  <c:v>3.5741412326026678</c:v>
                </c:pt>
                <c:pt idx="51" formatCode="0.0">
                  <c:v>2.9878074594640536</c:v>
                </c:pt>
                <c:pt idx="52" formatCode="0.0">
                  <c:v>2.2664576802507774</c:v>
                </c:pt>
                <c:pt idx="53" formatCode="0.0">
                  <c:v>2.0286023564678013</c:v>
                </c:pt>
                <c:pt idx="54" formatCode="0.0">
                  <c:v>0.73746617364538469</c:v>
                </c:pt>
                <c:pt idx="55" formatCode="0.0">
                  <c:v>-1.8672860123115531</c:v>
                </c:pt>
                <c:pt idx="56" formatCode="0.0">
                  <c:v>-3.5527082119976794</c:v>
                </c:pt>
                <c:pt idx="57" formatCode="0.0">
                  <c:v>-3.8112726345320147</c:v>
                </c:pt>
                <c:pt idx="58" formatCode="0.0">
                  <c:v>-2.2484928023623008</c:v>
                </c:pt>
                <c:pt idx="59" formatCode="0.0">
                  <c:v>0.68488846999688047</c:v>
                </c:pt>
                <c:pt idx="60" formatCode="0.0">
                  <c:v>2.340240698364271</c:v>
                </c:pt>
                <c:pt idx="61" formatCode="0.0">
                  <c:v>3.4860906362353949</c:v>
                </c:pt>
                <c:pt idx="62" formatCode="0.0">
                  <c:v>2.7984350580559925</c:v>
                </c:pt>
                <c:pt idx="63" formatCode="0.0">
                  <c:v>2.3589615576635081</c:v>
                </c:pt>
                <c:pt idx="64" formatCode="0.0">
                  <c:v>2.548627860995234</c:v>
                </c:pt>
                <c:pt idx="65" formatCode="0.0">
                  <c:v>1.8170451750430638</c:v>
                </c:pt>
                <c:pt idx="66" formatCode="0.0">
                  <c:v>1.5958043813196987</c:v>
                </c:pt>
                <c:pt idx="67" formatCode="0.0">
                  <c:v>1.2457830345892873</c:v>
                </c:pt>
                <c:pt idx="68" formatCode="0.0">
                  <c:v>0.77627368442303446</c:v>
                </c:pt>
                <c:pt idx="69" formatCode="0.0">
                  <c:v>0.29190027076264613</c:v>
                </c:pt>
                <c:pt idx="70" formatCode="0.0">
                  <c:v>3.0129254501809477E-2</c:v>
                </c:pt>
                <c:pt idx="71" formatCode="0.0">
                  <c:v>-0.15757040486562568</c:v>
                </c:pt>
                <c:pt idx="72" formatCode="0.0">
                  <c:v>-0.67012581136308702</c:v>
                </c:pt>
                <c:pt idx="73" formatCode="0.0">
                  <c:v>1.0036230793319945E-3</c:v>
                </c:pt>
                <c:pt idx="74" formatCode="0.0">
                  <c:v>0.52810714751858612</c:v>
                </c:pt>
                <c:pt idx="75" formatCode="0.0">
                  <c:v>0.94691448618329233</c:v>
                </c:pt>
                <c:pt idx="76" formatCode="0.0">
                  <c:v>1.5772011738249159</c:v>
                </c:pt>
                <c:pt idx="77" formatCode="0.0">
                  <c:v>1.3418305901244487</c:v>
                </c:pt>
                <c:pt idx="78" formatCode="0.0">
                  <c:v>1.2394259290700704</c:v>
                </c:pt>
                <c:pt idx="79" formatCode="0.0">
                  <c:v>1.2507094988200018</c:v>
                </c:pt>
                <c:pt idx="80" formatCode="0.0">
                  <c:v>1.3620975508056521</c:v>
                </c:pt>
                <c:pt idx="81" formatCode="0.0">
                  <c:v>1.5825385978985196</c:v>
                </c:pt>
                <c:pt idx="82" formatCode="0.0">
                  <c:v>1.2499013495383293</c:v>
                </c:pt>
                <c:pt idx="83" formatCode="0.0">
                  <c:v>1.4231060494300785</c:v>
                </c:pt>
                <c:pt idx="84" formatCode="0.0">
                  <c:v>1.2869861604912769</c:v>
                </c:pt>
                <c:pt idx="85" formatCode="0.0">
                  <c:v>1.563733853278082</c:v>
                </c:pt>
                <c:pt idx="86" formatCode="0.0">
                  <c:v>1.6164076582062537</c:v>
                </c:pt>
              </c:numCache>
            </c:numRef>
          </c:val>
        </c:ser>
        <c:dLbls>
          <c:showLegendKey val="0"/>
          <c:showVal val="0"/>
          <c:showCatName val="0"/>
          <c:showSerName val="0"/>
          <c:showPercent val="0"/>
          <c:showBubbleSize val="0"/>
        </c:dLbls>
        <c:gapWidth val="10"/>
        <c:overlap val="100"/>
        <c:axId val="465594240"/>
        <c:axId val="465595776"/>
      </c:barChart>
      <c:catAx>
        <c:axId val="46559424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5595776"/>
        <c:crosses val="autoZero"/>
        <c:auto val="1"/>
        <c:lblAlgn val="ctr"/>
        <c:lblOffset val="100"/>
        <c:tickLblSkip val="4"/>
        <c:tickMarkSkip val="4"/>
        <c:noMultiLvlLbl val="0"/>
      </c:catAx>
      <c:valAx>
        <c:axId val="46559577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559424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HICP (YoY)</a:t>
            </a:r>
          </a:p>
        </c:rich>
      </c:tx>
      <c:layout>
        <c:manualLayout>
          <c:xMode val="edge"/>
          <c:yMode val="edge"/>
          <c:x val="0.46651785714285715"/>
          <c:y val="3.5947712418300651E-2"/>
        </c:manualLayout>
      </c:layout>
      <c:overlay val="0"/>
      <c:spPr>
        <a:noFill/>
        <a:ln w="25400">
          <a:noFill/>
        </a:ln>
      </c:spPr>
    </c:title>
    <c:autoTitleDeleted val="0"/>
    <c:plotArea>
      <c:layout>
        <c:manualLayout>
          <c:layoutTarget val="inner"/>
          <c:xMode val="edge"/>
          <c:yMode val="edge"/>
          <c:x val="4.9107142857142856E-2"/>
          <c:y val="0.19281107284988017"/>
          <c:w val="0.9352678571428571"/>
          <c:h val="0.69608065283092335"/>
        </c:manualLayout>
      </c:layout>
      <c:barChart>
        <c:barDir val="col"/>
        <c:grouping val="stacked"/>
        <c:varyColors val="0"/>
        <c:ser>
          <c:idx val="0"/>
          <c:order val="0"/>
          <c:tx>
            <c:strRef>
              <c:f>'Q1'!$F$285</c:f>
              <c:strCache>
                <c:ptCount val="1"/>
              </c:strCache>
            </c:strRef>
          </c:tx>
          <c:spPr>
            <a:solidFill>
              <a:srgbClr val="0066CC"/>
            </a:solidFill>
            <a:ln w="12700">
              <a:solidFill>
                <a:srgbClr val="000000"/>
              </a:solidFill>
              <a:prstDash val="solid"/>
            </a:ln>
          </c:spPr>
          <c:invertIfNegative val="0"/>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'Q1'!$G$285:$CO$285</c:f>
              <c:numCache>
                <c:formatCode>0.00</c:formatCode>
                <c:ptCount val="87"/>
                <c:pt idx="11">
                  <c:v>-0.79595534588396788</c:v>
                </c:pt>
                <c:pt idx="12">
                  <c:v>-1.0997172983962287</c:v>
                </c:pt>
                <c:pt idx="13">
                  <c:v>-0.87924028509510777</c:v>
                </c:pt>
                <c:pt idx="14">
                  <c:v>-1.131264603212216</c:v>
                </c:pt>
                <c:pt idx="15">
                  <c:v>-1.4186298989968265</c:v>
                </c:pt>
                <c:pt idx="16">
                  <c:v>0.77792629369079691</c:v>
                </c:pt>
                <c:pt idx="17">
                  <c:v>0.83202755106168524</c:v>
                </c:pt>
                <c:pt idx="18">
                  <c:v>0.89357903325056043</c:v>
                </c:pt>
                <c:pt idx="19">
                  <c:v>1.6254392680408642</c:v>
                </c:pt>
                <c:pt idx="20">
                  <c:v>1.7148209760495092</c:v>
                </c:pt>
                <c:pt idx="21">
                  <c:v>2.5509657045716665</c:v>
                </c:pt>
                <c:pt idx="22">
                  <c:v>3.0959698139033662</c:v>
                </c:pt>
                <c:pt idx="23">
                  <c:v>3.4454781088108604</c:v>
                </c:pt>
                <c:pt idx="24">
                  <c:v>2.5208458286664523</c:v>
                </c:pt>
                <c:pt idx="25">
                  <c:v>3.0860589227049928</c:v>
                </c:pt>
                <c:pt idx="26">
                  <c:v>2.4448982571037448</c:v>
                </c:pt>
                <c:pt idx="27">
                  <c:v>1.990094342391771</c:v>
                </c:pt>
                <c:pt idx="28">
                  <c:v>2.5608459007842868</c:v>
                </c:pt>
                <c:pt idx="29">
                  <c:v>1.2865604940332673</c:v>
                </c:pt>
                <c:pt idx="30">
                  <c:v>1.2143198811191098</c:v>
                </c:pt>
                <c:pt idx="31">
                  <c:v>1.2008212562827083</c:v>
                </c:pt>
                <c:pt idx="32">
                  <c:v>1.5206401051051728</c:v>
                </c:pt>
                <c:pt idx="33">
                  <c:v>1.3171531927774964</c:v>
                </c:pt>
                <c:pt idx="34">
                  <c:v>1.5862249310374636</c:v>
                </c:pt>
                <c:pt idx="35">
                  <c:v>1.6503449874274594</c:v>
                </c:pt>
                <c:pt idx="36">
                  <c:v>1.1497454919635004</c:v>
                </c:pt>
                <c:pt idx="37">
                  <c:v>2.020594086412757</c:v>
                </c:pt>
                <c:pt idx="38">
                  <c:v>1.968337611019038</c:v>
                </c:pt>
                <c:pt idx="39">
                  <c:v>2.2963235348713482</c:v>
                </c:pt>
                <c:pt idx="40">
                  <c:v>6.4681532120743412</c:v>
                </c:pt>
                <c:pt idx="41">
                  <c:v>6.5645381928422779</c:v>
                </c:pt>
                <c:pt idx="42">
                  <c:v>6.9193676394867794</c:v>
                </c:pt>
                <c:pt idx="43">
                  <c:v>6.5557787903274232</c:v>
                </c:pt>
                <c:pt idx="44">
                  <c:v>2.5911609360395715</c:v>
                </c:pt>
                <c:pt idx="45">
                  <c:v>2.6107328014632856</c:v>
                </c:pt>
                <c:pt idx="46">
                  <c:v>2.2442141488917713</c:v>
                </c:pt>
                <c:pt idx="47">
                  <c:v>1.9657789384395699</c:v>
                </c:pt>
                <c:pt idx="48">
                  <c:v>1.7606242676932311</c:v>
                </c:pt>
                <c:pt idx="49">
                  <c:v>1.4567985244481747</c:v>
                </c:pt>
                <c:pt idx="50">
                  <c:v>1.295223401260472</c:v>
                </c:pt>
                <c:pt idx="51">
                  <c:v>2.7224137901504406</c:v>
                </c:pt>
                <c:pt idx="52">
                  <c:v>3.8640081892853999</c:v>
                </c:pt>
                <c:pt idx="53">
                  <c:v>4.9997970683699862</c:v>
                </c:pt>
                <c:pt idx="54">
                  <c:v>5.6013984798336907</c:v>
                </c:pt>
                <c:pt idx="55">
                  <c:v>3.5810050699457605</c:v>
                </c:pt>
                <c:pt idx="56">
                  <c:v>1.5734517538495965</c:v>
                </c:pt>
                <c:pt idx="57">
                  <c:v>-0.15741479237877343</c:v>
                </c:pt>
                <c:pt idx="58">
                  <c:v>-1.121261630574935</c:v>
                </c:pt>
                <c:pt idx="59">
                  <c:v>-0.15017496951111298</c:v>
                </c:pt>
                <c:pt idx="60">
                  <c:v>1.1469483068960358</c:v>
                </c:pt>
                <c:pt idx="61">
                  <c:v>2.3695570498486944</c:v>
                </c:pt>
                <c:pt idx="62">
                  <c:v>2.5424660479067995</c:v>
                </c:pt>
                <c:pt idx="63" formatCode="0.0">
                  <c:v>3.1817662054042017</c:v>
                </c:pt>
                <c:pt idx="64" formatCode="0.0">
                  <c:v>3.4810833087036315</c:v>
                </c:pt>
                <c:pt idx="65" formatCode="0.0">
                  <c:v>3.167044467544855</c:v>
                </c:pt>
                <c:pt idx="66" formatCode="0.0">
                  <c:v>3.6064791529764051</c:v>
                </c:pt>
                <c:pt idx="67" formatCode="0.0">
                  <c:v>3.2979032862249937</c:v>
                </c:pt>
                <c:pt idx="68" formatCode="0.0">
                  <c:v>3.267775387892911</c:v>
                </c:pt>
                <c:pt idx="69" formatCode="0.0">
                  <c:v>2.5673368168364732</c:v>
                </c:pt>
                <c:pt idx="70" formatCode="0.0">
                  <c:v>2.4046495566193187</c:v>
                </c:pt>
                <c:pt idx="71" formatCode="0.0">
                  <c:v>2.3014672415075665</c:v>
                </c:pt>
                <c:pt idx="72" formatCode="0.0">
                  <c:v>1.4808809069420334</c:v>
                </c:pt>
                <c:pt idx="73" formatCode="0.0">
                  <c:v>1.3625009366243575</c:v>
                </c:pt>
                <c:pt idx="74" formatCode="0.0">
                  <c:v>1.2528471031776576</c:v>
                </c:pt>
                <c:pt idx="75" formatCode="0.0">
                  <c:v>0.93999156842406251</c:v>
                </c:pt>
                <c:pt idx="76" formatCode="0.0">
                  <c:v>0.92159643193419072</c:v>
                </c:pt>
                <c:pt idx="77" formatCode="0.0">
                  <c:v>0.67687366446105557</c:v>
                </c:pt>
                <c:pt idx="78" formatCode="0.0">
                  <c:v>0.38463577157999396</c:v>
                </c:pt>
                <c:pt idx="79" formatCode="0.0">
                  <c:v>-3.955504369088203E-3</c:v>
                </c:pt>
                <c:pt idx="80" formatCode="0.0">
                  <c:v>-0.40585998622486841</c:v>
                </c:pt>
                <c:pt idx="81" formatCode="0.0">
                  <c:v>0.66708790911307858</c:v>
                </c:pt>
                <c:pt idx="82" formatCode="0.0">
                  <c:v>0.81195210219418357</c:v>
                </c:pt>
                <c:pt idx="83" formatCode="0.0">
                  <c:v>1.3174303632817157</c:v>
                </c:pt>
                <c:pt idx="84" formatCode="0.0">
                  <c:v>1.5697500525035508</c:v>
                </c:pt>
                <c:pt idx="85" formatCode="0.0">
                  <c:v>1.6807425161342593</c:v>
                </c:pt>
                <c:pt idx="86" formatCode="0.0">
                  <c:v>1.9714441160531919</c:v>
                </c:pt>
              </c:numCache>
            </c:numRef>
          </c:val>
        </c:ser>
        <c:dLbls>
          <c:showLegendKey val="0"/>
          <c:showVal val="0"/>
          <c:showCatName val="0"/>
          <c:showSerName val="0"/>
          <c:showPercent val="0"/>
          <c:showBubbleSize val="0"/>
        </c:dLbls>
        <c:gapWidth val="10"/>
        <c:overlap val="100"/>
        <c:axId val="465612160"/>
        <c:axId val="465626240"/>
      </c:barChart>
      <c:catAx>
        <c:axId val="46561216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5626240"/>
        <c:crosses val="autoZero"/>
        <c:auto val="1"/>
        <c:lblAlgn val="ctr"/>
        <c:lblOffset val="100"/>
        <c:tickLblSkip val="4"/>
        <c:tickMarkSkip val="4"/>
        <c:noMultiLvlLbl val="0"/>
      </c:catAx>
      <c:valAx>
        <c:axId val="46562624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5612160"/>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HICP (Index)</a:t>
            </a:r>
          </a:p>
        </c:rich>
      </c:tx>
      <c:layout>
        <c:manualLayout>
          <c:xMode val="edge"/>
          <c:yMode val="edge"/>
          <c:x val="0.46651793525809271"/>
          <c:y val="3.5947583757912613E-2"/>
        </c:manualLayout>
      </c:layout>
      <c:overlay val="0"/>
      <c:spPr>
        <a:noFill/>
        <a:ln w="25400">
          <a:noFill/>
        </a:ln>
      </c:spPr>
    </c:title>
    <c:autoTitleDeleted val="0"/>
    <c:plotArea>
      <c:layout>
        <c:manualLayout>
          <c:layoutTarget val="inner"/>
          <c:xMode val="edge"/>
          <c:yMode val="edge"/>
          <c:x val="0.15104205078646543"/>
          <c:y val="0.20955882352941177"/>
          <c:w val="0.81250206629960708"/>
          <c:h val="0.6654411764705882"/>
        </c:manualLayout>
      </c:layout>
      <c:lineChart>
        <c:grouping val="standard"/>
        <c:varyColors val="0"/>
        <c:ser>
          <c:idx val="0"/>
          <c:order val="0"/>
          <c:tx>
            <c:strRef>
              <c:f>'Q1'!$F$252</c:f>
              <c:strCache>
                <c:ptCount val="1"/>
              </c:strCache>
            </c:strRef>
          </c:tx>
          <c:spPr>
            <a:ln w="25400">
              <a:solidFill>
                <a:srgbClr val="FF0000"/>
              </a:solidFill>
              <a:prstDash val="solid"/>
            </a:ln>
          </c:spPr>
          <c:marker>
            <c:symbol val="none"/>
          </c:marker>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'Q1'!$G$252:$CO$252</c:f>
              <c:numCache>
                <c:formatCode>0.0</c:formatCode>
                <c:ptCount val="87"/>
                <c:pt idx="0">
                  <c:v>83.429999999999993</c:v>
                </c:pt>
                <c:pt idx="1">
                  <c:v>83.600000000000009</c:v>
                </c:pt>
                <c:pt idx="2">
                  <c:v>84.023333333333326</c:v>
                </c:pt>
                <c:pt idx="3">
                  <c:v>83.99666666666667</c:v>
                </c:pt>
                <c:pt idx="4">
                  <c:v>70.00333333333333</c:v>
                </c:pt>
                <c:pt idx="5">
                  <c:v>70.516666666666666</c:v>
                </c:pt>
                <c:pt idx="6">
                  <c:v>70.446666666666673</c:v>
                </c:pt>
                <c:pt idx="7">
                  <c:v>70.936666666666667</c:v>
                </c:pt>
                <c:pt idx="8">
                  <c:v>71.246666666666655</c:v>
                </c:pt>
                <c:pt idx="9">
                  <c:v>71.483333333333334</c:v>
                </c:pt>
                <c:pt idx="10">
                  <c:v>71.67</c:v>
                </c:pt>
                <c:pt idx="11">
                  <c:v>71.740000000000009</c:v>
                </c:pt>
                <c:pt idx="12">
                  <c:v>71.786666666666676</c:v>
                </c:pt>
                <c:pt idx="13">
                  <c:v>72.37</c:v>
                </c:pt>
                <c:pt idx="14">
                  <c:v>72.373333333333335</c:v>
                </c:pt>
                <c:pt idx="15">
                  <c:v>72.206666666666663</c:v>
                </c:pt>
                <c:pt idx="16">
                  <c:v>72.563333333333333</c:v>
                </c:pt>
                <c:pt idx="17">
                  <c:v>72.986666666666665</c:v>
                </c:pt>
                <c:pt idx="18">
                  <c:v>73.056666666666658</c:v>
                </c:pt>
                <c:pt idx="19">
                  <c:v>73.406666666666652</c:v>
                </c:pt>
                <c:pt idx="20">
                  <c:v>73.763333333333335</c:v>
                </c:pt>
                <c:pt idx="21">
                  <c:v>74.86333333333333</c:v>
                </c:pt>
                <c:pt idx="22">
                  <c:v>75.286666666666676</c:v>
                </c:pt>
                <c:pt idx="23">
                  <c:v>75.923333333333332</c:v>
                </c:pt>
                <c:pt idx="24">
                  <c:v>75.58</c:v>
                </c:pt>
                <c:pt idx="25">
                  <c:v>77.11333333333333</c:v>
                </c:pt>
                <c:pt idx="26">
                  <c:v>77.08</c:v>
                </c:pt>
                <c:pt idx="27">
                  <c:v>77.363333333333344</c:v>
                </c:pt>
                <c:pt idx="28">
                  <c:v>77.50333333333333</c:v>
                </c:pt>
                <c:pt idx="29">
                  <c:v>78.093333333333348</c:v>
                </c:pt>
                <c:pt idx="30">
                  <c:v>77.996666666666655</c:v>
                </c:pt>
                <c:pt idx="31">
                  <c:v>78.296666666666667</c:v>
                </c:pt>
                <c:pt idx="32">
                  <c:v>78.683333333333337</c:v>
                </c:pt>
                <c:pt idx="33">
                  <c:v>79.116666666666674</c:v>
                </c:pt>
                <c:pt idx="34">
                  <c:v>79.236666666666665</c:v>
                </c:pt>
                <c:pt idx="35">
                  <c:v>79.583333333333329</c:v>
                </c:pt>
                <c:pt idx="36">
                  <c:v>79.583333333333329</c:v>
                </c:pt>
                <c:pt idx="37">
                  <c:v>80.713333333333324</c:v>
                </c:pt>
                <c:pt idx="38">
                  <c:v>80.793333333333337</c:v>
                </c:pt>
                <c:pt idx="39">
                  <c:v>81.410000000000011</c:v>
                </c:pt>
                <c:pt idx="40">
                  <c:v>81.463333333333324</c:v>
                </c:pt>
                <c:pt idx="41">
                  <c:v>82.71</c:v>
                </c:pt>
                <c:pt idx="42">
                  <c:v>83.083333333333329</c:v>
                </c:pt>
                <c:pt idx="43">
                  <c:v>83.426666666666662</c:v>
                </c:pt>
                <c:pt idx="44">
                  <c:v>83.570000000000007</c:v>
                </c:pt>
                <c:pt idx="45">
                  <c:v>84.853333333333339</c:v>
                </c:pt>
                <c:pt idx="46">
                  <c:v>84.92</c:v>
                </c:pt>
                <c:pt idx="47">
                  <c:v>85.036666666666676</c:v>
                </c:pt>
                <c:pt idx="48">
                  <c:v>85.05</c:v>
                </c:pt>
                <c:pt idx="49">
                  <c:v>86.09333333333332</c:v>
                </c:pt>
                <c:pt idx="50">
                  <c:v>86.023333333333326</c:v>
                </c:pt>
                <c:pt idx="51">
                  <c:v>87.36</c:v>
                </c:pt>
                <c:pt idx="52">
                  <c:v>88.323333333333338</c:v>
                </c:pt>
                <c:pt idx="53">
                  <c:v>90.38</c:v>
                </c:pt>
                <c:pt idx="54">
                  <c:v>90.813333333333333</c:v>
                </c:pt>
                <c:pt idx="55">
                  <c:v>90.476666666666674</c:v>
                </c:pt>
                <c:pt idx="56">
                  <c:v>89.693333333333342</c:v>
                </c:pt>
                <c:pt idx="57">
                  <c:v>90.206666666666663</c:v>
                </c:pt>
                <c:pt idx="58">
                  <c:v>89.766666666666666</c:v>
                </c:pt>
                <c:pt idx="59">
                  <c:v>90.303333333333342</c:v>
                </c:pt>
                <c:pt idx="60">
                  <c:v>90.743333333333339</c:v>
                </c:pt>
                <c:pt idx="61">
                  <c:v>92.38</c:v>
                </c:pt>
                <c:pt idx="62">
                  <c:v>92.086666666666659</c:v>
                </c:pt>
                <c:pt idx="63">
                  <c:v>93.176574275686846</c:v>
                </c:pt>
                <c:pt idx="64">
                  <c:v>93.902184363761293</c:v>
                </c:pt>
                <c:pt idx="65">
                  <c:v>95.305715679117938</c:v>
                </c:pt>
                <c:pt idx="66">
                  <c:v>95.407753102670867</c:v>
                </c:pt>
                <c:pt idx="67">
                  <c:v>96.249447580716591</c:v>
                </c:pt>
                <c:pt idx="68">
                  <c:v>96.970696833094109</c:v>
                </c:pt>
                <c:pt idx="69">
                  <c:v>97.752534406297428</c:v>
                </c:pt>
                <c:pt idx="70">
                  <c:v>97.7019752146347</c:v>
                </c:pt>
                <c:pt idx="71">
                  <c:v>98.464597086918786</c:v>
                </c:pt>
                <c:pt idx="72">
                  <c:v>98.406717367824044</c:v>
                </c:pt>
                <c:pt idx="73">
                  <c:v>99.084413603157273</c:v>
                </c:pt>
                <c:pt idx="74">
                  <c:v>98.926031580858606</c:v>
                </c:pt>
                <c:pt idx="75">
                  <c:v>99.390155997418546</c:v>
                </c:pt>
                <c:pt idx="76">
                  <c:v>99.313630163869476</c:v>
                </c:pt>
                <c:pt idx="77">
                  <c:v>99.755089904422704</c:v>
                </c:pt>
                <c:pt idx="78">
                  <c:v>99.3065364857231</c:v>
                </c:pt>
                <c:pt idx="79">
                  <c:v>99.386224615455617</c:v>
                </c:pt>
                <c:pt idx="80">
                  <c:v>98.910555878166974</c:v>
                </c:pt>
                <c:pt idx="81">
                  <c:v>100.42054404789998</c:v>
                </c:pt>
                <c:pt idx="82">
                  <c:v>100.11285799633517</c:v>
                </c:pt>
                <c:pt idx="83">
                  <c:v>100.69556891545899</c:v>
                </c:pt>
                <c:pt idx="84">
                  <c:v>100.46320438099605</c:v>
                </c:pt>
                <c:pt idx="85">
                  <c:v>102.10835482664636</c:v>
                </c:pt>
                <c:pt idx="86">
                  <c:v>102.0865270447166</c:v>
                </c:pt>
              </c:numCache>
            </c:numRef>
          </c:val>
          <c:smooth val="0"/>
        </c:ser>
        <c:dLbls>
          <c:showLegendKey val="0"/>
          <c:showVal val="0"/>
          <c:showCatName val="0"/>
          <c:showSerName val="0"/>
          <c:showPercent val="0"/>
          <c:showBubbleSize val="0"/>
        </c:dLbls>
        <c:marker val="1"/>
        <c:smooth val="0"/>
        <c:axId val="465675392"/>
        <c:axId val="465676928"/>
      </c:lineChart>
      <c:catAx>
        <c:axId val="46567539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5676928"/>
        <c:crosses val="autoZero"/>
        <c:auto val="1"/>
        <c:lblAlgn val="ctr"/>
        <c:lblOffset val="100"/>
        <c:tickLblSkip val="12"/>
        <c:tickMarkSkip val="12"/>
        <c:noMultiLvlLbl val="0"/>
      </c:catAx>
      <c:valAx>
        <c:axId val="465676928"/>
        <c:scaling>
          <c:orientation val="minMax"/>
          <c:min val="80"/>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5675392"/>
        <c:crosses val="autoZero"/>
        <c:crossBetween val="between"/>
        <c:minorUnit val="1"/>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Non Energy Industrial Goods (Index)</a:t>
            </a:r>
          </a:p>
        </c:rich>
      </c:tx>
      <c:layout>
        <c:manualLayout>
          <c:xMode val="edge"/>
          <c:yMode val="edge"/>
          <c:x val="0.46651786636906606"/>
          <c:y val="3.5947739004949103E-2"/>
        </c:manualLayout>
      </c:layout>
      <c:overlay val="0"/>
      <c:spPr>
        <a:noFill/>
        <a:ln w="25400">
          <a:noFill/>
        </a:ln>
      </c:spPr>
    </c:title>
    <c:autoTitleDeleted val="0"/>
    <c:plotArea>
      <c:layout>
        <c:manualLayout>
          <c:layoutTarget val="inner"/>
          <c:xMode val="edge"/>
          <c:yMode val="edge"/>
          <c:x val="0.15223136132136164"/>
          <c:y val="0.21033248229301613"/>
          <c:w val="0.81102570083277159"/>
          <c:h val="0.66420783882005097"/>
        </c:manualLayout>
      </c:layout>
      <c:lineChart>
        <c:grouping val="standard"/>
        <c:varyColors val="0"/>
        <c:ser>
          <c:idx val="0"/>
          <c:order val="0"/>
          <c:tx>
            <c:strRef>
              <c:f>'Q1'!$F$246</c:f>
              <c:strCache>
                <c:ptCount val="1"/>
              </c:strCache>
            </c:strRef>
          </c:tx>
          <c:spPr>
            <a:ln w="25400">
              <a:solidFill>
                <a:srgbClr val="FF0000"/>
              </a:solidFill>
              <a:prstDash val="solid"/>
            </a:ln>
          </c:spPr>
          <c:marker>
            <c:symbol val="none"/>
          </c:marker>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'Q1'!$G$246:$CO$246</c:f>
              <c:numCache>
                <c:formatCode>0.0</c:formatCode>
                <c:ptCount val="87"/>
                <c:pt idx="0">
                  <c:v>0</c:v>
                </c:pt>
                <c:pt idx="1">
                  <c:v>0</c:v>
                </c:pt>
                <c:pt idx="2">
                  <c:v>0</c:v>
                </c:pt>
                <c:pt idx="3">
                  <c:v>0</c:v>
                </c:pt>
                <c:pt idx="4">
                  <c:v>85.356666666666669</c:v>
                </c:pt>
                <c:pt idx="5">
                  <c:v>85.40666666666668</c:v>
                </c:pt>
                <c:pt idx="6">
                  <c:v>85.48</c:v>
                </c:pt>
                <c:pt idx="7">
                  <c:v>85.596666666666678</c:v>
                </c:pt>
                <c:pt idx="8">
                  <c:v>85.67</c:v>
                </c:pt>
                <c:pt idx="9">
                  <c:v>85.57</c:v>
                </c:pt>
                <c:pt idx="10">
                  <c:v>85.410000000000011</c:v>
                </c:pt>
                <c:pt idx="11">
                  <c:v>85.603333333333339</c:v>
                </c:pt>
                <c:pt idx="12">
                  <c:v>85.74</c:v>
                </c:pt>
                <c:pt idx="13">
                  <c:v>86.06</c:v>
                </c:pt>
                <c:pt idx="14">
                  <c:v>86.259999999999991</c:v>
                </c:pt>
                <c:pt idx="15">
                  <c:v>86.49666666666667</c:v>
                </c:pt>
                <c:pt idx="16">
                  <c:v>86.720000000000013</c:v>
                </c:pt>
                <c:pt idx="17">
                  <c:v>86.813333333333333</c:v>
                </c:pt>
                <c:pt idx="18">
                  <c:v>86.8</c:v>
                </c:pt>
                <c:pt idx="19">
                  <c:v>87.043333333333337</c:v>
                </c:pt>
                <c:pt idx="20">
                  <c:v>86.009999999999991</c:v>
                </c:pt>
                <c:pt idx="21">
                  <c:v>87.27</c:v>
                </c:pt>
                <c:pt idx="22">
                  <c:v>86.223333333333343</c:v>
                </c:pt>
                <c:pt idx="23">
                  <c:v>87.966666666666654</c:v>
                </c:pt>
                <c:pt idx="24">
                  <c:v>87.293333333333337</c:v>
                </c:pt>
                <c:pt idx="25">
                  <c:v>88.990000000000009</c:v>
                </c:pt>
                <c:pt idx="26">
                  <c:v>88.076666666666668</c:v>
                </c:pt>
                <c:pt idx="27">
                  <c:v>89.99666666666667</c:v>
                </c:pt>
                <c:pt idx="28">
                  <c:v>89.196666666666673</c:v>
                </c:pt>
                <c:pt idx="29">
                  <c:v>90.646666666666661</c:v>
                </c:pt>
                <c:pt idx="30">
                  <c:v>89.33</c:v>
                </c:pt>
                <c:pt idx="31">
                  <c:v>91.066666666666677</c:v>
                </c:pt>
                <c:pt idx="32">
                  <c:v>90.166666666666671</c:v>
                </c:pt>
                <c:pt idx="33">
                  <c:v>91.493333333333325</c:v>
                </c:pt>
                <c:pt idx="34">
                  <c:v>90.24666666666667</c:v>
                </c:pt>
                <c:pt idx="35">
                  <c:v>91.906666666666652</c:v>
                </c:pt>
                <c:pt idx="36">
                  <c:v>90.803333333333327</c:v>
                </c:pt>
                <c:pt idx="37">
                  <c:v>91.866666666666674</c:v>
                </c:pt>
                <c:pt idx="38">
                  <c:v>90.356666666666669</c:v>
                </c:pt>
                <c:pt idx="39">
                  <c:v>91.90333333333335</c:v>
                </c:pt>
                <c:pt idx="40">
                  <c:v>90.68</c:v>
                </c:pt>
                <c:pt idx="41">
                  <c:v>92.143333333333331</c:v>
                </c:pt>
                <c:pt idx="42">
                  <c:v>90.5</c:v>
                </c:pt>
                <c:pt idx="43">
                  <c:v>92.586666666666659</c:v>
                </c:pt>
                <c:pt idx="44">
                  <c:v>91.306666666666658</c:v>
                </c:pt>
                <c:pt idx="45">
                  <c:v>93.100000000000009</c:v>
                </c:pt>
                <c:pt idx="46">
                  <c:v>91.52</c:v>
                </c:pt>
                <c:pt idx="47">
                  <c:v>93.336666666666659</c:v>
                </c:pt>
                <c:pt idx="48">
                  <c:v>92.076666666666668</c:v>
                </c:pt>
                <c:pt idx="49">
                  <c:v>93.74666666666667</c:v>
                </c:pt>
                <c:pt idx="50">
                  <c:v>92.296666666666667</c:v>
                </c:pt>
                <c:pt idx="51">
                  <c:v>94.34666666666665</c:v>
                </c:pt>
                <c:pt idx="52">
                  <c:v>93.23</c:v>
                </c:pt>
                <c:pt idx="53">
                  <c:v>94.99666666666667</c:v>
                </c:pt>
                <c:pt idx="54">
                  <c:v>93.346666666666678</c:v>
                </c:pt>
                <c:pt idx="55">
                  <c:v>95.74666666666667</c:v>
                </c:pt>
                <c:pt idx="56">
                  <c:v>94.333333333333329</c:v>
                </c:pt>
                <c:pt idx="57">
                  <c:v>96.589999999999989</c:v>
                </c:pt>
                <c:pt idx="58">
                  <c:v>94.733333333333334</c:v>
                </c:pt>
                <c:pt idx="59">
                  <c:v>97.09999999999998</c:v>
                </c:pt>
                <c:pt idx="60">
                  <c:v>95.336666666666659</c:v>
                </c:pt>
                <c:pt idx="61">
                  <c:v>97.40333333333335</c:v>
                </c:pt>
                <c:pt idx="62">
                  <c:v>95.236666666666665</c:v>
                </c:pt>
                <c:pt idx="63">
                  <c:v>97.823333333333338</c:v>
                </c:pt>
                <c:pt idx="64">
                  <c:v>96.146666666666661</c:v>
                </c:pt>
                <c:pt idx="65">
                  <c:v>98.076666666666668</c:v>
                </c:pt>
                <c:pt idx="66">
                  <c:v>96.42</c:v>
                </c:pt>
                <c:pt idx="67">
                  <c:v>98.853333333333339</c:v>
                </c:pt>
                <c:pt idx="68">
                  <c:v>97.089999999999989</c:v>
                </c:pt>
                <c:pt idx="69">
                  <c:v>99.15666666666668</c:v>
                </c:pt>
                <c:pt idx="70">
                  <c:v>97.076666666666668</c:v>
                </c:pt>
                <c:pt idx="71">
                  <c:v>99.649999999999991</c:v>
                </c:pt>
                <c:pt idx="72">
                  <c:v>98.046666666666667</c:v>
                </c:pt>
                <c:pt idx="73">
                  <c:v>100.31666666666666</c:v>
                </c:pt>
                <c:pt idx="74">
                  <c:v>98.04</c:v>
                </c:pt>
                <c:pt idx="75">
                  <c:v>100.42666666666668</c:v>
                </c:pt>
                <c:pt idx="76">
                  <c:v>98.5</c:v>
                </c:pt>
                <c:pt idx="77">
                  <c:v>100.60333333333334</c:v>
                </c:pt>
                <c:pt idx="78">
                  <c:v>98.393333333333331</c:v>
                </c:pt>
                <c:pt idx="79">
                  <c:v>100.66333333333334</c:v>
                </c:pt>
                <c:pt idx="80">
                  <c:v>98.98</c:v>
                </c:pt>
                <c:pt idx="81">
                  <c:v>100.84666666666668</c:v>
                </c:pt>
                <c:pt idx="82">
                  <c:v>98.893333333333331</c:v>
                </c:pt>
                <c:pt idx="83">
                  <c:v>101.27666666666666</c:v>
                </c:pt>
                <c:pt idx="84">
                  <c:v>100.04</c:v>
                </c:pt>
                <c:pt idx="85">
                  <c:v>101.83333333333333</c:v>
                </c:pt>
                <c:pt idx="86">
                  <c:v>100.04</c:v>
                </c:pt>
              </c:numCache>
            </c:numRef>
          </c:val>
          <c:smooth val="0"/>
        </c:ser>
        <c:dLbls>
          <c:showLegendKey val="0"/>
          <c:showVal val="0"/>
          <c:showCatName val="0"/>
          <c:showSerName val="0"/>
          <c:showPercent val="0"/>
          <c:showBubbleSize val="0"/>
        </c:dLbls>
        <c:marker val="1"/>
        <c:smooth val="0"/>
        <c:axId val="465693312"/>
        <c:axId val="469766528"/>
      </c:lineChart>
      <c:catAx>
        <c:axId val="465693312"/>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9766528"/>
        <c:crosses val="autoZero"/>
        <c:auto val="1"/>
        <c:lblAlgn val="ctr"/>
        <c:lblOffset val="100"/>
        <c:tickLblSkip val="12"/>
        <c:tickMarkSkip val="12"/>
        <c:noMultiLvlLbl val="0"/>
      </c:catAx>
      <c:valAx>
        <c:axId val="469766528"/>
        <c:scaling>
          <c:orientation val="minMax"/>
          <c:max val="120"/>
          <c:min val="90"/>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65693312"/>
        <c:crosses val="autoZero"/>
        <c:crossBetween val="between"/>
        <c:minorUnit val="1"/>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Energy (Index)</a:t>
            </a:r>
          </a:p>
        </c:rich>
      </c:tx>
      <c:layout>
        <c:manualLayout>
          <c:xMode val="edge"/>
          <c:yMode val="edge"/>
          <c:x val="0.46651793525809271"/>
          <c:y val="3.5947583757912613E-2"/>
        </c:manualLayout>
      </c:layout>
      <c:overlay val="0"/>
      <c:spPr>
        <a:noFill/>
        <a:ln w="25400">
          <a:noFill/>
        </a:ln>
      </c:spPr>
    </c:title>
    <c:autoTitleDeleted val="0"/>
    <c:plotArea>
      <c:layout>
        <c:manualLayout>
          <c:layoutTarget val="inner"/>
          <c:xMode val="edge"/>
          <c:yMode val="edge"/>
          <c:x val="0.15104205078646543"/>
          <c:y val="0.20955882352941177"/>
          <c:w val="0.81250206629960708"/>
          <c:h val="0.6654411764705882"/>
        </c:manualLayout>
      </c:layout>
      <c:lineChart>
        <c:grouping val="standard"/>
        <c:varyColors val="0"/>
        <c:ser>
          <c:idx val="0"/>
          <c:order val="0"/>
          <c:tx>
            <c:strRef>
              <c:f>'Q1'!$F$247</c:f>
              <c:strCache>
                <c:ptCount val="1"/>
              </c:strCache>
            </c:strRef>
          </c:tx>
          <c:spPr>
            <a:ln w="25400">
              <a:solidFill>
                <a:srgbClr val="FF0000"/>
              </a:solidFill>
              <a:prstDash val="solid"/>
            </a:ln>
          </c:spPr>
          <c:marker>
            <c:symbol val="none"/>
          </c:marker>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'Q1'!$G$247:$CO$247</c:f>
              <c:numCache>
                <c:formatCode>0.0</c:formatCode>
                <c:ptCount val="87"/>
                <c:pt idx="0">
                  <c:v>0</c:v>
                </c:pt>
                <c:pt idx="1">
                  <c:v>0</c:v>
                </c:pt>
                <c:pt idx="2">
                  <c:v>0</c:v>
                </c:pt>
                <c:pt idx="3">
                  <c:v>0</c:v>
                </c:pt>
                <c:pt idx="4">
                  <c:v>56.69</c:v>
                </c:pt>
                <c:pt idx="5">
                  <c:v>57.316666666666663</c:v>
                </c:pt>
                <c:pt idx="6">
                  <c:v>57.54</c:v>
                </c:pt>
                <c:pt idx="7">
                  <c:v>59.716666666666669</c:v>
                </c:pt>
                <c:pt idx="8">
                  <c:v>60.033333333333331</c:v>
                </c:pt>
                <c:pt idx="9">
                  <c:v>59.126666666666665</c:v>
                </c:pt>
                <c:pt idx="10">
                  <c:v>59.636666666666663</c:v>
                </c:pt>
                <c:pt idx="11">
                  <c:v>59.766666666666673</c:v>
                </c:pt>
                <c:pt idx="12">
                  <c:v>58.343333333333334</c:v>
                </c:pt>
                <c:pt idx="13">
                  <c:v>57.910000000000004</c:v>
                </c:pt>
                <c:pt idx="14">
                  <c:v>57.196666666666665</c:v>
                </c:pt>
                <c:pt idx="15">
                  <c:v>56.606666666666662</c:v>
                </c:pt>
                <c:pt idx="16">
                  <c:v>55.949999999999996</c:v>
                </c:pt>
                <c:pt idx="17">
                  <c:v>57.639999999999993</c:v>
                </c:pt>
                <c:pt idx="18">
                  <c:v>59.580000000000005</c:v>
                </c:pt>
                <c:pt idx="19">
                  <c:v>61.46</c:v>
                </c:pt>
                <c:pt idx="20">
                  <c:v>64.306666666666672</c:v>
                </c:pt>
                <c:pt idx="21">
                  <c:v>66.453333333333333</c:v>
                </c:pt>
                <c:pt idx="22">
                  <c:v>70.040000000000006</c:v>
                </c:pt>
                <c:pt idx="23">
                  <c:v>72.123333333333335</c:v>
                </c:pt>
                <c:pt idx="24">
                  <c:v>68.526666666666657</c:v>
                </c:pt>
                <c:pt idx="25">
                  <c:v>71.23</c:v>
                </c:pt>
                <c:pt idx="26">
                  <c:v>70.029999999999987</c:v>
                </c:pt>
                <c:pt idx="27">
                  <c:v>66.893333333333331</c:v>
                </c:pt>
                <c:pt idx="28">
                  <c:v>65.793333333333337</c:v>
                </c:pt>
                <c:pt idx="29">
                  <c:v>66.956666666666663</c:v>
                </c:pt>
                <c:pt idx="30">
                  <c:v>66.926666666666662</c:v>
                </c:pt>
                <c:pt idx="31">
                  <c:v>66.949999999999989</c:v>
                </c:pt>
                <c:pt idx="32">
                  <c:v>69.08</c:v>
                </c:pt>
                <c:pt idx="33">
                  <c:v>65.19</c:v>
                </c:pt>
                <c:pt idx="34">
                  <c:v>66.263333333333335</c:v>
                </c:pt>
                <c:pt idx="35">
                  <c:v>66.563333333333333</c:v>
                </c:pt>
                <c:pt idx="36">
                  <c:v>66.719999999999985</c:v>
                </c:pt>
                <c:pt idx="37">
                  <c:v>69.966666666666669</c:v>
                </c:pt>
                <c:pt idx="38">
                  <c:v>72.84</c:v>
                </c:pt>
                <c:pt idx="39">
                  <c:v>75.193333333333328</c:v>
                </c:pt>
                <c:pt idx="40">
                  <c:v>74.536666666666676</c:v>
                </c:pt>
                <c:pt idx="41">
                  <c:v>78.793333333333337</c:v>
                </c:pt>
                <c:pt idx="42">
                  <c:v>84.77</c:v>
                </c:pt>
                <c:pt idx="43">
                  <c:v>82.78</c:v>
                </c:pt>
                <c:pt idx="44">
                  <c:v>84.360000000000014</c:v>
                </c:pt>
                <c:pt idx="45">
                  <c:v>87.563333333333333</c:v>
                </c:pt>
                <c:pt idx="46">
                  <c:v>87.850000000000009</c:v>
                </c:pt>
                <c:pt idx="47">
                  <c:v>84.443333333333328</c:v>
                </c:pt>
                <c:pt idx="48">
                  <c:v>83.866666666666674</c:v>
                </c:pt>
                <c:pt idx="49">
                  <c:v>84.826666666666668</c:v>
                </c:pt>
                <c:pt idx="50">
                  <c:v>85.306666666666672</c:v>
                </c:pt>
                <c:pt idx="51">
                  <c:v>90.969999999999985</c:v>
                </c:pt>
                <c:pt idx="52">
                  <c:v>97.546666666666667</c:v>
                </c:pt>
                <c:pt idx="53">
                  <c:v>106.94666666666667</c:v>
                </c:pt>
                <c:pt idx="54">
                  <c:v>109.37333333333333</c:v>
                </c:pt>
                <c:pt idx="55">
                  <c:v>99.55</c:v>
                </c:pt>
                <c:pt idx="56">
                  <c:v>91.94</c:v>
                </c:pt>
                <c:pt idx="57">
                  <c:v>88.203333333333333</c:v>
                </c:pt>
                <c:pt idx="58">
                  <c:v>87.526666666666657</c:v>
                </c:pt>
                <c:pt idx="59">
                  <c:v>87.953333333333333</c:v>
                </c:pt>
                <c:pt idx="60">
                  <c:v>92.50333333333333</c:v>
                </c:pt>
                <c:pt idx="61">
                  <c:v>98.766666666666666</c:v>
                </c:pt>
                <c:pt idx="62">
                  <c:v>98.429999999999993</c:v>
                </c:pt>
                <c:pt idx="63">
                  <c:v>101.39333333333333</c:v>
                </c:pt>
                <c:pt idx="64">
                  <c:v>108.57</c:v>
                </c:pt>
                <c:pt idx="65">
                  <c:v>115.03666666666668</c:v>
                </c:pt>
                <c:pt idx="66">
                  <c:v>116.17</c:v>
                </c:pt>
                <c:pt idx="67">
                  <c:v>117.87333333333333</c:v>
                </c:pt>
                <c:pt idx="68">
                  <c:v>121.78333333333335</c:v>
                </c:pt>
                <c:pt idx="69">
                  <c:v>121.27333333333333</c:v>
                </c:pt>
                <c:pt idx="70">
                  <c:v>121.29333333333334</c:v>
                </c:pt>
                <c:pt idx="71">
                  <c:v>120.73333333333335</c:v>
                </c:pt>
                <c:pt idx="72">
                  <c:v>118.37</c:v>
                </c:pt>
                <c:pt idx="73">
                  <c:v>114.77</c:v>
                </c:pt>
                <c:pt idx="74">
                  <c:v>115.57000000000001</c:v>
                </c:pt>
                <c:pt idx="75">
                  <c:v>114.05666666666667</c:v>
                </c:pt>
                <c:pt idx="76">
                  <c:v>114.08999999999999</c:v>
                </c:pt>
                <c:pt idx="77">
                  <c:v>108.45</c:v>
                </c:pt>
                <c:pt idx="78">
                  <c:v>107.58999999999999</c:v>
                </c:pt>
                <c:pt idx="79">
                  <c:v>104.65666666666665</c:v>
                </c:pt>
                <c:pt idx="80">
                  <c:v>98.14</c:v>
                </c:pt>
                <c:pt idx="81">
                  <c:v>101.64333333333333</c:v>
                </c:pt>
                <c:pt idx="82">
                  <c:v>100.79666666666667</c:v>
                </c:pt>
                <c:pt idx="83">
                  <c:v>99.416666666666671</c:v>
                </c:pt>
                <c:pt idx="84">
                  <c:v>93.24666666666667</c:v>
                </c:pt>
                <c:pt idx="85">
                  <c:v>98.696666666666658</c:v>
                </c:pt>
                <c:pt idx="86">
                  <c:v>101.10666666666667</c:v>
                </c:pt>
              </c:numCache>
            </c:numRef>
          </c:val>
          <c:smooth val="0"/>
        </c:ser>
        <c:dLbls>
          <c:showLegendKey val="0"/>
          <c:showVal val="0"/>
          <c:showCatName val="0"/>
          <c:showSerName val="0"/>
          <c:showPercent val="0"/>
          <c:showBubbleSize val="0"/>
        </c:dLbls>
        <c:marker val="1"/>
        <c:smooth val="0"/>
        <c:axId val="471544576"/>
        <c:axId val="471546112"/>
      </c:lineChart>
      <c:catAx>
        <c:axId val="471544576"/>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71546112"/>
        <c:crosses val="autoZero"/>
        <c:auto val="1"/>
        <c:lblAlgn val="ctr"/>
        <c:lblOffset val="100"/>
        <c:tickLblSkip val="12"/>
        <c:tickMarkSkip val="12"/>
        <c:noMultiLvlLbl val="0"/>
      </c:catAx>
      <c:valAx>
        <c:axId val="471546112"/>
        <c:scaling>
          <c:orientation val="minMax"/>
          <c:max val="160"/>
          <c:min val="80"/>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71544576"/>
        <c:crosses val="autoZero"/>
        <c:crossBetween val="between"/>
        <c:minorUnit val="1"/>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Unprocessed food (Index)</a:t>
            </a:r>
          </a:p>
        </c:rich>
      </c:tx>
      <c:layout>
        <c:manualLayout>
          <c:xMode val="edge"/>
          <c:yMode val="edge"/>
          <c:x val="0.46651793525809271"/>
          <c:y val="3.5947583757912613E-2"/>
        </c:manualLayout>
      </c:layout>
      <c:overlay val="0"/>
      <c:spPr>
        <a:noFill/>
        <a:ln w="25400">
          <a:noFill/>
        </a:ln>
      </c:spPr>
    </c:title>
    <c:autoTitleDeleted val="0"/>
    <c:plotArea>
      <c:layout>
        <c:manualLayout>
          <c:layoutTarget val="inner"/>
          <c:xMode val="edge"/>
          <c:yMode val="edge"/>
          <c:x val="0.15104205078646543"/>
          <c:y val="0.20955882352941177"/>
          <c:w val="0.81250206629960708"/>
          <c:h val="0.6654411764705882"/>
        </c:manualLayout>
      </c:layout>
      <c:lineChart>
        <c:grouping val="standard"/>
        <c:varyColors val="0"/>
        <c:ser>
          <c:idx val="0"/>
          <c:order val="0"/>
          <c:tx>
            <c:strRef>
              <c:f>'Q1'!$F$248</c:f>
              <c:strCache>
                <c:ptCount val="1"/>
              </c:strCache>
            </c:strRef>
          </c:tx>
          <c:spPr>
            <a:ln w="25400">
              <a:solidFill>
                <a:srgbClr val="FF0000"/>
              </a:solidFill>
              <a:prstDash val="solid"/>
            </a:ln>
          </c:spPr>
          <c:marker>
            <c:symbol val="none"/>
          </c:marker>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'Q1'!$G$248:$CO$248</c:f>
              <c:numCache>
                <c:formatCode>0.0</c:formatCode>
                <c:ptCount val="87"/>
                <c:pt idx="0">
                  <c:v>0</c:v>
                </c:pt>
                <c:pt idx="1">
                  <c:v>0</c:v>
                </c:pt>
                <c:pt idx="2">
                  <c:v>0</c:v>
                </c:pt>
                <c:pt idx="3">
                  <c:v>0</c:v>
                </c:pt>
                <c:pt idx="4">
                  <c:v>66.286666666666676</c:v>
                </c:pt>
                <c:pt idx="5">
                  <c:v>68.286666666666676</c:v>
                </c:pt>
                <c:pt idx="6">
                  <c:v>66.209999999999994</c:v>
                </c:pt>
                <c:pt idx="7">
                  <c:v>65.953333333333333</c:v>
                </c:pt>
                <c:pt idx="8">
                  <c:v>67.066666666666663</c:v>
                </c:pt>
                <c:pt idx="9">
                  <c:v>69.24666666666667</c:v>
                </c:pt>
                <c:pt idx="10">
                  <c:v>69.149999999999991</c:v>
                </c:pt>
                <c:pt idx="11">
                  <c:v>68.443333333333328</c:v>
                </c:pt>
                <c:pt idx="12">
                  <c:v>68.606666666666669</c:v>
                </c:pt>
                <c:pt idx="13">
                  <c:v>71.646666666666661</c:v>
                </c:pt>
                <c:pt idx="14">
                  <c:v>70.223333333333343</c:v>
                </c:pt>
                <c:pt idx="15">
                  <c:v>69.413333333333341</c:v>
                </c:pt>
                <c:pt idx="16">
                  <c:v>70.793333333333337</c:v>
                </c:pt>
                <c:pt idx="17">
                  <c:v>71.733333333333334</c:v>
                </c:pt>
                <c:pt idx="18">
                  <c:v>68.709999999999994</c:v>
                </c:pt>
                <c:pt idx="19">
                  <c:v>68.726666666666674</c:v>
                </c:pt>
                <c:pt idx="20">
                  <c:v>68.663333333333341</c:v>
                </c:pt>
                <c:pt idx="21">
                  <c:v>70.756666666666661</c:v>
                </c:pt>
                <c:pt idx="22">
                  <c:v>70.723333333333343</c:v>
                </c:pt>
                <c:pt idx="23">
                  <c:v>70.483333333333334</c:v>
                </c:pt>
                <c:pt idx="24">
                  <c:v>71.64</c:v>
                </c:pt>
                <c:pt idx="25">
                  <c:v>76.733333333333334</c:v>
                </c:pt>
                <c:pt idx="26">
                  <c:v>75.783333333333346</c:v>
                </c:pt>
                <c:pt idx="27">
                  <c:v>75.913333333333341</c:v>
                </c:pt>
                <c:pt idx="28">
                  <c:v>78.089999999999989</c:v>
                </c:pt>
                <c:pt idx="29">
                  <c:v>78.206666666666663</c:v>
                </c:pt>
                <c:pt idx="30">
                  <c:v>76.986666666666679</c:v>
                </c:pt>
                <c:pt idx="31">
                  <c:v>76.416666666666671</c:v>
                </c:pt>
                <c:pt idx="32">
                  <c:v>77.5</c:v>
                </c:pt>
                <c:pt idx="33">
                  <c:v>78.903333333333336</c:v>
                </c:pt>
                <c:pt idx="34">
                  <c:v>80.06</c:v>
                </c:pt>
                <c:pt idx="35">
                  <c:v>78.536666666666676</c:v>
                </c:pt>
                <c:pt idx="36">
                  <c:v>78.893333333333331</c:v>
                </c:pt>
                <c:pt idx="37">
                  <c:v>80.52</c:v>
                </c:pt>
                <c:pt idx="38">
                  <c:v>79.166666666666671</c:v>
                </c:pt>
                <c:pt idx="39">
                  <c:v>79.303333333333342</c:v>
                </c:pt>
                <c:pt idx="40">
                  <c:v>80.213333333333324</c:v>
                </c:pt>
                <c:pt idx="41">
                  <c:v>82.193333333333328</c:v>
                </c:pt>
                <c:pt idx="42">
                  <c:v>80.393333333333331</c:v>
                </c:pt>
                <c:pt idx="43">
                  <c:v>80.446666666666673</c:v>
                </c:pt>
                <c:pt idx="44">
                  <c:v>81.64</c:v>
                </c:pt>
                <c:pt idx="45">
                  <c:v>83.373333333333335</c:v>
                </c:pt>
                <c:pt idx="46">
                  <c:v>83.876666666666665</c:v>
                </c:pt>
                <c:pt idx="47">
                  <c:v>84.836666666666659</c:v>
                </c:pt>
                <c:pt idx="48">
                  <c:v>85.406666666666652</c:v>
                </c:pt>
                <c:pt idx="49">
                  <c:v>86.27</c:v>
                </c:pt>
                <c:pt idx="50">
                  <c:v>85.483333333333348</c:v>
                </c:pt>
                <c:pt idx="51">
                  <c:v>86.61666666666666</c:v>
                </c:pt>
                <c:pt idx="52">
                  <c:v>86.81</c:v>
                </c:pt>
                <c:pt idx="53">
                  <c:v>89.089999999999989</c:v>
                </c:pt>
                <c:pt idx="54">
                  <c:v>88.816666666666663</c:v>
                </c:pt>
                <c:pt idx="55">
                  <c:v>88.586666666666659</c:v>
                </c:pt>
                <c:pt idx="56">
                  <c:v>90.256666666666661</c:v>
                </c:pt>
                <c:pt idx="57">
                  <c:v>89.706666666666663</c:v>
                </c:pt>
                <c:pt idx="58">
                  <c:v>87.029999999999987</c:v>
                </c:pt>
                <c:pt idx="59">
                  <c:v>87.573333333333338</c:v>
                </c:pt>
                <c:pt idx="60">
                  <c:v>91.719999999999985</c:v>
                </c:pt>
                <c:pt idx="61">
                  <c:v>92.213333333333324</c:v>
                </c:pt>
                <c:pt idx="62">
                  <c:v>91.339999999999989</c:v>
                </c:pt>
                <c:pt idx="63">
                  <c:v>91.796666666666667</c:v>
                </c:pt>
                <c:pt idx="64">
                  <c:v>92.663333333333341</c:v>
                </c:pt>
                <c:pt idx="65">
                  <c:v>92.083333333333329</c:v>
                </c:pt>
                <c:pt idx="66">
                  <c:v>91.00333333333333</c:v>
                </c:pt>
                <c:pt idx="67">
                  <c:v>92.15333333333335</c:v>
                </c:pt>
                <c:pt idx="68">
                  <c:v>94.24666666666667</c:v>
                </c:pt>
                <c:pt idx="69">
                  <c:v>94.846666666666678</c:v>
                </c:pt>
                <c:pt idx="70">
                  <c:v>94.7</c:v>
                </c:pt>
                <c:pt idx="71">
                  <c:v>96.603333333333339</c:v>
                </c:pt>
                <c:pt idx="72">
                  <c:v>98.696666666666673</c:v>
                </c:pt>
                <c:pt idx="73">
                  <c:v>101.25</c:v>
                </c:pt>
                <c:pt idx="74">
                  <c:v>98.836666666666659</c:v>
                </c:pt>
                <c:pt idx="75">
                  <c:v>98.203333333333333</c:v>
                </c:pt>
                <c:pt idx="76">
                  <c:v>99.160000000000011</c:v>
                </c:pt>
                <c:pt idx="77">
                  <c:v>99.466666666666683</c:v>
                </c:pt>
                <c:pt idx="78">
                  <c:v>96.96</c:v>
                </c:pt>
                <c:pt idx="79">
                  <c:v>96.143333333333331</c:v>
                </c:pt>
                <c:pt idx="80">
                  <c:v>98.25</c:v>
                </c:pt>
                <c:pt idx="81">
                  <c:v>101.77666666666666</c:v>
                </c:pt>
                <c:pt idx="82">
                  <c:v>99.79</c:v>
                </c:pt>
                <c:pt idx="83">
                  <c:v>100.18666666666667</c:v>
                </c:pt>
                <c:pt idx="84">
                  <c:v>101.40333333333332</c:v>
                </c:pt>
                <c:pt idx="85">
                  <c:v>104.41333333333334</c:v>
                </c:pt>
                <c:pt idx="86">
                  <c:v>102.21333333333332</c:v>
                </c:pt>
              </c:numCache>
            </c:numRef>
          </c:val>
          <c:smooth val="0"/>
        </c:ser>
        <c:dLbls>
          <c:showLegendKey val="0"/>
          <c:showVal val="0"/>
          <c:showCatName val="0"/>
          <c:showSerName val="0"/>
          <c:showPercent val="0"/>
          <c:showBubbleSize val="0"/>
        </c:dLbls>
        <c:marker val="1"/>
        <c:smooth val="0"/>
        <c:axId val="471558784"/>
        <c:axId val="471560576"/>
      </c:lineChart>
      <c:catAx>
        <c:axId val="47155878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71560576"/>
        <c:crosses val="autoZero"/>
        <c:auto val="1"/>
        <c:lblAlgn val="ctr"/>
        <c:lblOffset val="100"/>
        <c:tickLblSkip val="12"/>
        <c:tickMarkSkip val="12"/>
        <c:noMultiLvlLbl val="0"/>
      </c:catAx>
      <c:valAx>
        <c:axId val="471560576"/>
        <c:scaling>
          <c:orientation val="minMax"/>
          <c:max val="125"/>
          <c:min val="80"/>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71558784"/>
        <c:crosses val="autoZero"/>
        <c:crossBetween val="between"/>
        <c:majorUnit val="5"/>
        <c:minorUnit val="1"/>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Processed food (Index)</a:t>
            </a:r>
          </a:p>
        </c:rich>
      </c:tx>
      <c:layout>
        <c:manualLayout>
          <c:xMode val="edge"/>
          <c:yMode val="edge"/>
          <c:x val="0.46651793525809271"/>
          <c:y val="3.5947583757912613E-2"/>
        </c:manualLayout>
      </c:layout>
      <c:overlay val="0"/>
      <c:spPr>
        <a:noFill/>
        <a:ln w="25400">
          <a:noFill/>
        </a:ln>
      </c:spPr>
    </c:title>
    <c:autoTitleDeleted val="0"/>
    <c:plotArea>
      <c:layout>
        <c:manualLayout>
          <c:layoutTarget val="inner"/>
          <c:xMode val="edge"/>
          <c:yMode val="edge"/>
          <c:x val="0.15104205078646543"/>
          <c:y val="0.20955882352941177"/>
          <c:w val="0.81250206629960708"/>
          <c:h val="0.6654411764705882"/>
        </c:manualLayout>
      </c:layout>
      <c:lineChart>
        <c:grouping val="standard"/>
        <c:varyColors val="0"/>
        <c:ser>
          <c:idx val="0"/>
          <c:order val="0"/>
          <c:tx>
            <c:strRef>
              <c:f>'Q1'!$F$247</c:f>
              <c:strCache>
                <c:ptCount val="1"/>
              </c:strCache>
            </c:strRef>
          </c:tx>
          <c:spPr>
            <a:ln w="25400">
              <a:solidFill>
                <a:srgbClr val="FF0000"/>
              </a:solidFill>
              <a:prstDash val="solid"/>
            </a:ln>
          </c:spPr>
          <c:marker>
            <c:symbol val="none"/>
          </c:marker>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'Q1'!$G$249:$CO$249</c:f>
              <c:numCache>
                <c:formatCode>0.0</c:formatCode>
                <c:ptCount val="87"/>
                <c:pt idx="0">
                  <c:v>0</c:v>
                </c:pt>
                <c:pt idx="1">
                  <c:v>0</c:v>
                </c:pt>
                <c:pt idx="2">
                  <c:v>0</c:v>
                </c:pt>
                <c:pt idx="3">
                  <c:v>0</c:v>
                </c:pt>
                <c:pt idx="4">
                  <c:v>63.083333333333336</c:v>
                </c:pt>
                <c:pt idx="5">
                  <c:v>63.196666666666665</c:v>
                </c:pt>
                <c:pt idx="6">
                  <c:v>63.226666666666667</c:v>
                </c:pt>
                <c:pt idx="7">
                  <c:v>63.616666666666667</c:v>
                </c:pt>
                <c:pt idx="8">
                  <c:v>64.02</c:v>
                </c:pt>
                <c:pt idx="9">
                  <c:v>64.413333333333341</c:v>
                </c:pt>
                <c:pt idx="10">
                  <c:v>65.02</c:v>
                </c:pt>
                <c:pt idx="11">
                  <c:v>65.36666666666666</c:v>
                </c:pt>
                <c:pt idx="12">
                  <c:v>65.569999999999993</c:v>
                </c:pt>
                <c:pt idx="13">
                  <c:v>65.513333333333335</c:v>
                </c:pt>
                <c:pt idx="14">
                  <c:v>65.693333333333342</c:v>
                </c:pt>
                <c:pt idx="15">
                  <c:v>65.676666666666677</c:v>
                </c:pt>
                <c:pt idx="16">
                  <c:v>65.86333333333333</c:v>
                </c:pt>
                <c:pt idx="17">
                  <c:v>66.040000000000006</c:v>
                </c:pt>
                <c:pt idx="18">
                  <c:v>66.096666666666664</c:v>
                </c:pt>
                <c:pt idx="19">
                  <c:v>66.100000000000009</c:v>
                </c:pt>
                <c:pt idx="20">
                  <c:v>66.510000000000005</c:v>
                </c:pt>
                <c:pt idx="21">
                  <c:v>66.876666666666665</c:v>
                </c:pt>
                <c:pt idx="22">
                  <c:v>66.963333333333324</c:v>
                </c:pt>
                <c:pt idx="23">
                  <c:v>67.173333333333332</c:v>
                </c:pt>
                <c:pt idx="24">
                  <c:v>67.566666666666663</c:v>
                </c:pt>
                <c:pt idx="25">
                  <c:v>68.030000000000015</c:v>
                </c:pt>
                <c:pt idx="26">
                  <c:v>68.720000000000013</c:v>
                </c:pt>
                <c:pt idx="27">
                  <c:v>69.010000000000005</c:v>
                </c:pt>
                <c:pt idx="28">
                  <c:v>68.993333333333325</c:v>
                </c:pt>
                <c:pt idx="29">
                  <c:v>69.053333333333327</c:v>
                </c:pt>
                <c:pt idx="30">
                  <c:v>69.456666666666663</c:v>
                </c:pt>
                <c:pt idx="31">
                  <c:v>69.88333333333334</c:v>
                </c:pt>
                <c:pt idx="32">
                  <c:v>70.706666666666663</c:v>
                </c:pt>
                <c:pt idx="33">
                  <c:v>71.286666666666662</c:v>
                </c:pt>
                <c:pt idx="34">
                  <c:v>71.49666666666667</c:v>
                </c:pt>
                <c:pt idx="35">
                  <c:v>71.53</c:v>
                </c:pt>
                <c:pt idx="36">
                  <c:v>72.36</c:v>
                </c:pt>
                <c:pt idx="37">
                  <c:v>72.92</c:v>
                </c:pt>
                <c:pt idx="38">
                  <c:v>73.073333333333338</c:v>
                </c:pt>
                <c:pt idx="39">
                  <c:v>72.993333333333339</c:v>
                </c:pt>
                <c:pt idx="40">
                  <c:v>74.036666666666676</c:v>
                </c:pt>
                <c:pt idx="41">
                  <c:v>74.550000000000011</c:v>
                </c:pt>
                <c:pt idx="42">
                  <c:v>74.323333333333338</c:v>
                </c:pt>
                <c:pt idx="43">
                  <c:v>74.350000000000009</c:v>
                </c:pt>
                <c:pt idx="44">
                  <c:v>74.87</c:v>
                </c:pt>
                <c:pt idx="45">
                  <c:v>75.61</c:v>
                </c:pt>
                <c:pt idx="46">
                  <c:v>76.216666666666669</c:v>
                </c:pt>
                <c:pt idx="47">
                  <c:v>76.663333333333341</c:v>
                </c:pt>
                <c:pt idx="48">
                  <c:v>77.556666666666672</c:v>
                </c:pt>
                <c:pt idx="49">
                  <c:v>78.75</c:v>
                </c:pt>
                <c:pt idx="50">
                  <c:v>79.476666666666674</c:v>
                </c:pt>
                <c:pt idx="51">
                  <c:v>81.713333333333324</c:v>
                </c:pt>
                <c:pt idx="52">
                  <c:v>84.17</c:v>
                </c:pt>
                <c:pt idx="53">
                  <c:v>85.46</c:v>
                </c:pt>
                <c:pt idx="54">
                  <c:v>86.113333333333344</c:v>
                </c:pt>
                <c:pt idx="55">
                  <c:v>86.40666666666668</c:v>
                </c:pt>
                <c:pt idx="56">
                  <c:v>86.843333333333348</c:v>
                </c:pt>
                <c:pt idx="57">
                  <c:v>87.053333333333342</c:v>
                </c:pt>
                <c:pt idx="58">
                  <c:v>86.993333333333339</c:v>
                </c:pt>
                <c:pt idx="59">
                  <c:v>86.963333333333324</c:v>
                </c:pt>
                <c:pt idx="60">
                  <c:v>87.263333333333321</c:v>
                </c:pt>
                <c:pt idx="61">
                  <c:v>87.646666666666661</c:v>
                </c:pt>
                <c:pt idx="62">
                  <c:v>88.096666666666678</c:v>
                </c:pt>
                <c:pt idx="63">
                  <c:v>88.476666666666674</c:v>
                </c:pt>
                <c:pt idx="64">
                  <c:v>89.24666666666667</c:v>
                </c:pt>
                <c:pt idx="65">
                  <c:v>90.286666666666676</c:v>
                </c:pt>
                <c:pt idx="66">
                  <c:v>91.15666666666668</c:v>
                </c:pt>
                <c:pt idx="67">
                  <c:v>91.666666666666671</c:v>
                </c:pt>
                <c:pt idx="68">
                  <c:v>92.39</c:v>
                </c:pt>
                <c:pt idx="69">
                  <c:v>92.863333333333344</c:v>
                </c:pt>
                <c:pt idx="70">
                  <c:v>93.606666666666669</c:v>
                </c:pt>
                <c:pt idx="71">
                  <c:v>94.606666666666669</c:v>
                </c:pt>
                <c:pt idx="72">
                  <c:v>95.576666666666668</c:v>
                </c:pt>
                <c:pt idx="73">
                  <c:v>96.093333333333348</c:v>
                </c:pt>
                <c:pt idx="74">
                  <c:v>96.52</c:v>
                </c:pt>
                <c:pt idx="75">
                  <c:v>97.280000000000015</c:v>
                </c:pt>
                <c:pt idx="76">
                  <c:v>97.7</c:v>
                </c:pt>
                <c:pt idx="77">
                  <c:v>98.766666666666666</c:v>
                </c:pt>
                <c:pt idx="78">
                  <c:v>98.776666666666657</c:v>
                </c:pt>
                <c:pt idx="79">
                  <c:v>98.483333333333334</c:v>
                </c:pt>
                <c:pt idx="80">
                  <c:v>98.95</c:v>
                </c:pt>
                <c:pt idx="81">
                  <c:v>99.963333333333324</c:v>
                </c:pt>
                <c:pt idx="82">
                  <c:v>100.15666666666668</c:v>
                </c:pt>
                <c:pt idx="83">
                  <c:v>100.92666666666666</c:v>
                </c:pt>
                <c:pt idx="84">
                  <c:v>102.71</c:v>
                </c:pt>
                <c:pt idx="85">
                  <c:v>103.81</c:v>
                </c:pt>
                <c:pt idx="86">
                  <c:v>103.66000000000001</c:v>
                </c:pt>
              </c:numCache>
            </c:numRef>
          </c:val>
          <c:smooth val="0"/>
        </c:ser>
        <c:dLbls>
          <c:showLegendKey val="0"/>
          <c:showVal val="0"/>
          <c:showCatName val="0"/>
          <c:showSerName val="0"/>
          <c:showPercent val="0"/>
          <c:showBubbleSize val="0"/>
        </c:dLbls>
        <c:marker val="1"/>
        <c:smooth val="0"/>
        <c:axId val="471572480"/>
        <c:axId val="471574016"/>
      </c:lineChart>
      <c:catAx>
        <c:axId val="47157248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71574016"/>
        <c:crosses val="autoZero"/>
        <c:auto val="1"/>
        <c:lblAlgn val="ctr"/>
        <c:lblOffset val="100"/>
        <c:tickLblSkip val="12"/>
        <c:tickMarkSkip val="12"/>
        <c:noMultiLvlLbl val="0"/>
      </c:catAx>
      <c:valAx>
        <c:axId val="471574016"/>
        <c:scaling>
          <c:orientation val="minMax"/>
          <c:min val="85"/>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71572480"/>
        <c:crosses val="autoZero"/>
        <c:crossBetween val="between"/>
        <c:majorUnit val="5"/>
        <c:minorUnit val="1"/>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Services (Index)</a:t>
            </a:r>
          </a:p>
        </c:rich>
      </c:tx>
      <c:layout>
        <c:manualLayout>
          <c:xMode val="edge"/>
          <c:yMode val="edge"/>
          <c:x val="0.46651793525809271"/>
          <c:y val="3.5947583757912613E-2"/>
        </c:manualLayout>
      </c:layout>
      <c:overlay val="0"/>
      <c:spPr>
        <a:noFill/>
        <a:ln w="25400">
          <a:noFill/>
        </a:ln>
      </c:spPr>
    </c:title>
    <c:autoTitleDeleted val="0"/>
    <c:plotArea>
      <c:layout>
        <c:manualLayout>
          <c:layoutTarget val="inner"/>
          <c:xMode val="edge"/>
          <c:yMode val="edge"/>
          <c:x val="0.15104205078646543"/>
          <c:y val="0.20955882352941177"/>
          <c:w val="0.81250206629960708"/>
          <c:h val="0.6654411764705882"/>
        </c:manualLayout>
      </c:layout>
      <c:lineChart>
        <c:grouping val="standard"/>
        <c:varyColors val="0"/>
        <c:ser>
          <c:idx val="0"/>
          <c:order val="0"/>
          <c:tx>
            <c:strRef>
              <c:f>'Q1'!$F$250</c:f>
              <c:strCache>
                <c:ptCount val="1"/>
              </c:strCache>
            </c:strRef>
          </c:tx>
          <c:spPr>
            <a:ln w="25400">
              <a:solidFill>
                <a:srgbClr val="FF0000"/>
              </a:solidFill>
              <a:prstDash val="solid"/>
            </a:ln>
          </c:spPr>
          <c:marker>
            <c:symbol val="none"/>
          </c:marker>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'Q1'!$G$250:$CO$250</c:f>
              <c:numCache>
                <c:formatCode>0.0</c:formatCode>
                <c:ptCount val="87"/>
                <c:pt idx="0">
                  <c:v>0</c:v>
                </c:pt>
                <c:pt idx="1">
                  <c:v>0</c:v>
                </c:pt>
                <c:pt idx="2">
                  <c:v>0</c:v>
                </c:pt>
                <c:pt idx="3">
                  <c:v>0</c:v>
                </c:pt>
                <c:pt idx="4">
                  <c:v>67.23</c:v>
                </c:pt>
                <c:pt idx="5">
                  <c:v>67.740000000000009</c:v>
                </c:pt>
                <c:pt idx="6">
                  <c:v>68.076666666666668</c:v>
                </c:pt>
                <c:pt idx="7">
                  <c:v>68.446666666666673</c:v>
                </c:pt>
                <c:pt idx="8">
                  <c:v>68.67</c:v>
                </c:pt>
                <c:pt idx="9">
                  <c:v>68.990000000000009</c:v>
                </c:pt>
                <c:pt idx="10">
                  <c:v>69.193333333333328</c:v>
                </c:pt>
                <c:pt idx="11">
                  <c:v>69.186666666666667</c:v>
                </c:pt>
                <c:pt idx="12">
                  <c:v>69.796666666666667</c:v>
                </c:pt>
                <c:pt idx="13">
                  <c:v>70</c:v>
                </c:pt>
                <c:pt idx="14">
                  <c:v>70.493333333333339</c:v>
                </c:pt>
                <c:pt idx="15">
                  <c:v>70.306666666666672</c:v>
                </c:pt>
                <c:pt idx="16">
                  <c:v>70.789999999999992</c:v>
                </c:pt>
                <c:pt idx="17">
                  <c:v>71.073333333333338</c:v>
                </c:pt>
                <c:pt idx="18">
                  <c:v>71.423333333333332</c:v>
                </c:pt>
                <c:pt idx="19">
                  <c:v>71.58</c:v>
                </c:pt>
                <c:pt idx="20">
                  <c:v>72.25</c:v>
                </c:pt>
                <c:pt idx="21">
                  <c:v>72.750000000000014</c:v>
                </c:pt>
                <c:pt idx="22">
                  <c:v>73.416666666666671</c:v>
                </c:pt>
                <c:pt idx="23">
                  <c:v>72.906666666666652</c:v>
                </c:pt>
                <c:pt idx="24">
                  <c:v>73.333333333333329</c:v>
                </c:pt>
                <c:pt idx="25">
                  <c:v>73.98</c:v>
                </c:pt>
                <c:pt idx="26">
                  <c:v>74.88666666666667</c:v>
                </c:pt>
                <c:pt idx="27">
                  <c:v>75.093333333333334</c:v>
                </c:pt>
                <c:pt idx="28">
                  <c:v>75.893333333333331</c:v>
                </c:pt>
                <c:pt idx="29">
                  <c:v>75.970000000000013</c:v>
                </c:pt>
                <c:pt idx="30">
                  <c:v>76.826666666666668</c:v>
                </c:pt>
                <c:pt idx="31">
                  <c:v>76.303333333333327</c:v>
                </c:pt>
                <c:pt idx="32">
                  <c:v>76.790000000000006</c:v>
                </c:pt>
                <c:pt idx="33">
                  <c:v>77.64</c:v>
                </c:pt>
                <c:pt idx="34">
                  <c:v>78.2</c:v>
                </c:pt>
                <c:pt idx="35">
                  <c:v>78.13666666666667</c:v>
                </c:pt>
                <c:pt idx="36">
                  <c:v>78.540000000000006</c:v>
                </c:pt>
                <c:pt idx="37">
                  <c:v>79.2</c:v>
                </c:pt>
                <c:pt idx="38">
                  <c:v>79.92</c:v>
                </c:pt>
                <c:pt idx="39">
                  <c:v>79.69</c:v>
                </c:pt>
                <c:pt idx="40">
                  <c:v>80.37</c:v>
                </c:pt>
                <c:pt idx="41">
                  <c:v>80.660000000000011</c:v>
                </c:pt>
                <c:pt idx="42">
                  <c:v>81.563333333333333</c:v>
                </c:pt>
                <c:pt idx="43">
                  <c:v>81.48</c:v>
                </c:pt>
                <c:pt idx="44">
                  <c:v>81.976666666666674</c:v>
                </c:pt>
                <c:pt idx="45">
                  <c:v>82.463333333333324</c:v>
                </c:pt>
                <c:pt idx="46">
                  <c:v>83.42</c:v>
                </c:pt>
                <c:pt idx="47">
                  <c:v>82.923333333333346</c:v>
                </c:pt>
                <c:pt idx="48">
                  <c:v>83.626666666666665</c:v>
                </c:pt>
                <c:pt idx="49">
                  <c:v>84.226666666666674</c:v>
                </c:pt>
                <c:pt idx="50">
                  <c:v>84.916666666666671</c:v>
                </c:pt>
                <c:pt idx="51">
                  <c:v>84.316666666666663</c:v>
                </c:pt>
                <c:pt idx="52">
                  <c:v>85.016666666666666</c:v>
                </c:pt>
                <c:pt idx="53">
                  <c:v>85.56</c:v>
                </c:pt>
                <c:pt idx="54">
                  <c:v>87.12</c:v>
                </c:pt>
                <c:pt idx="55">
                  <c:v>87.02</c:v>
                </c:pt>
                <c:pt idx="56">
                  <c:v>87.58</c:v>
                </c:pt>
                <c:pt idx="57">
                  <c:v>88.25</c:v>
                </c:pt>
                <c:pt idx="58">
                  <c:v>89.296666666666667</c:v>
                </c:pt>
                <c:pt idx="59">
                  <c:v>88.673333333333332</c:v>
                </c:pt>
                <c:pt idx="60">
                  <c:v>88.783333333333346</c:v>
                </c:pt>
                <c:pt idx="61">
                  <c:v>89.429999999999993</c:v>
                </c:pt>
                <c:pt idx="62">
                  <c:v>90.366666666666674</c:v>
                </c:pt>
                <c:pt idx="63">
                  <c:v>90.163333333333341</c:v>
                </c:pt>
                <c:pt idx="64">
                  <c:v>90.740000000000009</c:v>
                </c:pt>
                <c:pt idx="65">
                  <c:v>91.06</c:v>
                </c:pt>
                <c:pt idx="66">
                  <c:v>92.08</c:v>
                </c:pt>
                <c:pt idx="67">
                  <c:v>91.763333333333335</c:v>
                </c:pt>
                <c:pt idx="68">
                  <c:v>93.016666666666652</c:v>
                </c:pt>
                <c:pt idx="69">
                  <c:v>93.393333333333331</c:v>
                </c:pt>
                <c:pt idx="70">
                  <c:v>94.433333333333337</c:v>
                </c:pt>
                <c:pt idx="71">
                  <c:v>94.08</c:v>
                </c:pt>
                <c:pt idx="72">
                  <c:v>94.693333333333328</c:v>
                </c:pt>
                <c:pt idx="73">
                  <c:v>94.95</c:v>
                </c:pt>
                <c:pt idx="74">
                  <c:v>96.25</c:v>
                </c:pt>
                <c:pt idx="75">
                  <c:v>96.08</c:v>
                </c:pt>
                <c:pt idx="76">
                  <c:v>96.743333333333339</c:v>
                </c:pt>
                <c:pt idx="77">
                  <c:v>97.303333333333342</c:v>
                </c:pt>
                <c:pt idx="78">
                  <c:v>98.410000000000011</c:v>
                </c:pt>
                <c:pt idx="79">
                  <c:v>98.11</c:v>
                </c:pt>
                <c:pt idx="80">
                  <c:v>99.056666666666672</c:v>
                </c:pt>
                <c:pt idx="81">
                  <c:v>99.61</c:v>
                </c:pt>
                <c:pt idx="82">
                  <c:v>100.68333333333332</c:v>
                </c:pt>
                <c:pt idx="83">
                  <c:v>100.64999999999999</c:v>
                </c:pt>
                <c:pt idx="84">
                  <c:v>101.38333333333334</c:v>
                </c:pt>
                <c:pt idx="85">
                  <c:v>102.02333333333333</c:v>
                </c:pt>
                <c:pt idx="86">
                  <c:v>103.05333333333333</c:v>
                </c:pt>
              </c:numCache>
            </c:numRef>
          </c:val>
          <c:smooth val="0"/>
        </c:ser>
        <c:dLbls>
          <c:showLegendKey val="0"/>
          <c:showVal val="0"/>
          <c:showCatName val="0"/>
          <c:showSerName val="0"/>
          <c:showPercent val="0"/>
          <c:showBubbleSize val="0"/>
        </c:dLbls>
        <c:marker val="1"/>
        <c:smooth val="0"/>
        <c:axId val="471836160"/>
        <c:axId val="471837696"/>
      </c:lineChart>
      <c:catAx>
        <c:axId val="471836160"/>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71837696"/>
        <c:crosses val="autoZero"/>
        <c:auto val="1"/>
        <c:lblAlgn val="ctr"/>
        <c:lblOffset val="100"/>
        <c:tickLblSkip val="12"/>
        <c:tickMarkSkip val="12"/>
        <c:noMultiLvlLbl val="0"/>
      </c:catAx>
      <c:valAx>
        <c:axId val="471837696"/>
        <c:scaling>
          <c:orientation val="minMax"/>
          <c:min val="80"/>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71836160"/>
        <c:crosses val="autoZero"/>
        <c:crossBetween val="between"/>
        <c:majorUnit val="5"/>
        <c:minorUnit val="1"/>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GB"/>
              <a:t>Core Inflation (Index)</a:t>
            </a:r>
          </a:p>
        </c:rich>
      </c:tx>
      <c:layout>
        <c:manualLayout>
          <c:xMode val="edge"/>
          <c:yMode val="edge"/>
          <c:x val="0.46651793525809271"/>
          <c:y val="3.5947583757912613E-2"/>
        </c:manualLayout>
      </c:layout>
      <c:overlay val="0"/>
      <c:spPr>
        <a:noFill/>
        <a:ln w="25400">
          <a:noFill/>
        </a:ln>
      </c:spPr>
    </c:title>
    <c:autoTitleDeleted val="0"/>
    <c:plotArea>
      <c:layout>
        <c:manualLayout>
          <c:layoutTarget val="inner"/>
          <c:xMode val="edge"/>
          <c:yMode val="edge"/>
          <c:x val="0.15104205078646543"/>
          <c:y val="0.20955882352941177"/>
          <c:w val="0.81250206629960708"/>
          <c:h val="0.6654411764705882"/>
        </c:manualLayout>
      </c:layout>
      <c:lineChart>
        <c:grouping val="standard"/>
        <c:varyColors val="0"/>
        <c:ser>
          <c:idx val="0"/>
          <c:order val="0"/>
          <c:tx>
            <c:strRef>
              <c:f>'Q1'!$F$255</c:f>
              <c:strCache>
                <c:ptCount val="1"/>
              </c:strCache>
            </c:strRef>
          </c:tx>
          <c:spPr>
            <a:ln w="25400">
              <a:solidFill>
                <a:srgbClr val="FF0000"/>
              </a:solidFill>
              <a:prstDash val="solid"/>
            </a:ln>
          </c:spPr>
          <c:marker>
            <c:symbol val="none"/>
          </c:marker>
          <c:cat>
            <c:numRef>
              <c:f>InputQ!$G$2:$DC$2</c:f>
              <c:numCache>
                <c:formatCode>0</c:formatCode>
                <c:ptCount val="101"/>
                <c:pt idx="0">
                  <c:v>1995</c:v>
                </c:pt>
                <c:pt idx="4">
                  <c:v>1996</c:v>
                </c:pt>
                <c:pt idx="8">
                  <c:v>1997</c:v>
                </c:pt>
                <c:pt idx="12">
                  <c:v>1998</c:v>
                </c:pt>
                <c:pt idx="16">
                  <c:v>1999</c:v>
                </c:pt>
                <c:pt idx="20">
                  <c:v>2000</c:v>
                </c:pt>
                <c:pt idx="24">
                  <c:v>2001</c:v>
                </c:pt>
                <c:pt idx="28">
                  <c:v>2002</c:v>
                </c:pt>
                <c:pt idx="32">
                  <c:v>2003</c:v>
                </c:pt>
                <c:pt idx="36">
                  <c:v>2004</c:v>
                </c:pt>
                <c:pt idx="40">
                  <c:v>2005</c:v>
                </c:pt>
                <c:pt idx="44">
                  <c:v>2006</c:v>
                </c:pt>
                <c:pt idx="48">
                  <c:v>2007</c:v>
                </c:pt>
                <c:pt idx="52">
                  <c:v>2008</c:v>
                </c:pt>
                <c:pt idx="56">
                  <c:v>2009</c:v>
                </c:pt>
                <c:pt idx="60">
                  <c:v>2010</c:v>
                </c:pt>
                <c:pt idx="64">
                  <c:v>2011</c:v>
                </c:pt>
                <c:pt idx="68">
                  <c:v>2012</c:v>
                </c:pt>
                <c:pt idx="72">
                  <c:v>2013</c:v>
                </c:pt>
                <c:pt idx="76">
                  <c:v>2014</c:v>
                </c:pt>
                <c:pt idx="80">
                  <c:v>2015</c:v>
                </c:pt>
                <c:pt idx="84">
                  <c:v>2016</c:v>
                </c:pt>
                <c:pt idx="88">
                  <c:v>2017</c:v>
                </c:pt>
                <c:pt idx="92">
                  <c:v>2018</c:v>
                </c:pt>
                <c:pt idx="96">
                  <c:v>2019</c:v>
                </c:pt>
                <c:pt idx="100">
                  <c:v>2020</c:v>
                </c:pt>
              </c:numCache>
            </c:numRef>
          </c:cat>
          <c:val>
            <c:numRef>
              <c:f>'Q1'!$G$255:$CO$255</c:f>
              <c:numCache>
                <c:formatCode>0.0</c:formatCode>
                <c:ptCount val="87"/>
                <c:pt idx="0">
                  <c:v>0</c:v>
                </c:pt>
                <c:pt idx="1">
                  <c:v>0</c:v>
                </c:pt>
                <c:pt idx="2">
                  <c:v>0</c:v>
                </c:pt>
                <c:pt idx="3">
                  <c:v>0</c:v>
                </c:pt>
                <c:pt idx="4">
                  <c:v>72.963333333333324</c:v>
                </c:pt>
                <c:pt idx="5">
                  <c:v>73.223333333333343</c:v>
                </c:pt>
                <c:pt idx="6">
                  <c:v>73.399999999999991</c:v>
                </c:pt>
                <c:pt idx="7">
                  <c:v>73.680000000000007</c:v>
                </c:pt>
                <c:pt idx="8">
                  <c:v>73.89</c:v>
                </c:pt>
                <c:pt idx="9">
                  <c:v>74.066666666666677</c:v>
                </c:pt>
                <c:pt idx="10">
                  <c:v>74.226666666666674</c:v>
                </c:pt>
                <c:pt idx="11">
                  <c:v>74.37</c:v>
                </c:pt>
                <c:pt idx="12">
                  <c:v>74.713333333333352</c:v>
                </c:pt>
                <c:pt idx="13">
                  <c:v>74.903333333333336</c:v>
                </c:pt>
                <c:pt idx="14">
                  <c:v>75.23</c:v>
                </c:pt>
                <c:pt idx="15">
                  <c:v>75.23</c:v>
                </c:pt>
                <c:pt idx="16">
                  <c:v>75.55</c:v>
                </c:pt>
                <c:pt idx="17">
                  <c:v>75.739999999999995</c:v>
                </c:pt>
                <c:pt idx="18">
                  <c:v>75.89</c:v>
                </c:pt>
                <c:pt idx="19">
                  <c:v>76.05</c:v>
                </c:pt>
                <c:pt idx="20">
                  <c:v>76.026666666666671</c:v>
                </c:pt>
                <c:pt idx="21">
                  <c:v>76.783333333333331</c:v>
                </c:pt>
                <c:pt idx="22">
                  <c:v>76.696666666666673</c:v>
                </c:pt>
                <c:pt idx="23">
                  <c:v>77.173333333333332</c:v>
                </c:pt>
                <c:pt idx="24">
                  <c:v>77.203333333333333</c:v>
                </c:pt>
                <c:pt idx="25">
                  <c:v>78.183333333333337</c:v>
                </c:pt>
                <c:pt idx="26">
                  <c:v>78.416666666666671</c:v>
                </c:pt>
                <c:pt idx="27">
                  <c:v>79.236666666666665</c:v>
                </c:pt>
                <c:pt idx="28">
                  <c:v>79.34</c:v>
                </c:pt>
                <c:pt idx="29">
                  <c:v>79.893333333333331</c:v>
                </c:pt>
                <c:pt idx="30">
                  <c:v>79.913333333333341</c:v>
                </c:pt>
                <c:pt idx="31">
                  <c:v>80.343333333333348</c:v>
                </c:pt>
                <c:pt idx="32">
                  <c:v>80.399999999999991</c:v>
                </c:pt>
                <c:pt idx="33">
                  <c:v>81.366666666666674</c:v>
                </c:pt>
                <c:pt idx="34">
                  <c:v>81.239999999999995</c:v>
                </c:pt>
                <c:pt idx="35">
                  <c:v>81.793333333333337</c:v>
                </c:pt>
                <c:pt idx="36">
                  <c:v>81.736666666666665</c:v>
                </c:pt>
                <c:pt idx="37">
                  <c:v>82.52</c:v>
                </c:pt>
                <c:pt idx="38">
                  <c:v>82.353333333333339</c:v>
                </c:pt>
                <c:pt idx="39">
                  <c:v>82.78</c:v>
                </c:pt>
                <c:pt idx="40">
                  <c:v>82.84333333333332</c:v>
                </c:pt>
                <c:pt idx="41">
                  <c:v>83.583333333333329</c:v>
                </c:pt>
                <c:pt idx="42">
                  <c:v>83.396666666666661</c:v>
                </c:pt>
                <c:pt idx="43">
                  <c:v>84.100000000000009</c:v>
                </c:pt>
                <c:pt idx="44">
                  <c:v>83.966666666666669</c:v>
                </c:pt>
                <c:pt idx="45">
                  <c:v>84.956666666666663</c:v>
                </c:pt>
                <c:pt idx="46">
                  <c:v>84.95</c:v>
                </c:pt>
                <c:pt idx="47">
                  <c:v>85.436666666666667</c:v>
                </c:pt>
                <c:pt idx="48">
                  <c:v>85.466666666666654</c:v>
                </c:pt>
                <c:pt idx="49">
                  <c:v>86.54</c:v>
                </c:pt>
                <c:pt idx="50">
                  <c:v>86.473333333333343</c:v>
                </c:pt>
                <c:pt idx="51">
                  <c:v>87.283333333333346</c:v>
                </c:pt>
                <c:pt idx="52">
                  <c:v>87.61333333333333</c:v>
                </c:pt>
                <c:pt idx="53">
                  <c:v>88.720000000000013</c:v>
                </c:pt>
                <c:pt idx="54">
                  <c:v>88.98</c:v>
                </c:pt>
                <c:pt idx="55">
                  <c:v>89.836666666666659</c:v>
                </c:pt>
                <c:pt idx="56">
                  <c:v>89.666666666666671</c:v>
                </c:pt>
                <c:pt idx="57">
                  <c:v>90.83</c:v>
                </c:pt>
                <c:pt idx="58">
                  <c:v>90.649999999999991</c:v>
                </c:pt>
                <c:pt idx="59">
                  <c:v>91.2</c:v>
                </c:pt>
                <c:pt idx="60">
                  <c:v>90.693333333333328</c:v>
                </c:pt>
                <c:pt idx="61">
                  <c:v>91.786666666666676</c:v>
                </c:pt>
                <c:pt idx="62">
                  <c:v>91.56</c:v>
                </c:pt>
                <c:pt idx="63">
                  <c:v>92.42517866202428</c:v>
                </c:pt>
                <c:pt idx="64">
                  <c:v>92.278927448125174</c:v>
                </c:pt>
                <c:pt idx="65">
                  <c:v>93.239580794337272</c:v>
                </c:pt>
                <c:pt idx="66">
                  <c:v>93.393659100519429</c:v>
                </c:pt>
                <c:pt idx="67">
                  <c:v>94.120052284125677</c:v>
                </c:pt>
                <c:pt idx="68">
                  <c:v>94.278436684569726</c:v>
                </c:pt>
                <c:pt idx="69">
                  <c:v>95.208527032928799</c:v>
                </c:pt>
                <c:pt idx="70">
                  <c:v>95.208745701734003</c:v>
                </c:pt>
                <c:pt idx="71">
                  <c:v>96.036337014309424</c:v>
                </c:pt>
                <c:pt idx="72">
                  <c:v>95.965405585721186</c:v>
                </c:pt>
                <c:pt idx="73">
                  <c:v>96.9122017071915</c:v>
                </c:pt>
                <c:pt idx="74">
                  <c:v>96.923825513059825</c:v>
                </c:pt>
                <c:pt idx="75">
                  <c:v>97.739292285457381</c:v>
                </c:pt>
                <c:pt idx="76">
                  <c:v>97.48861040936437</c:v>
                </c:pt>
                <c:pt idx="77">
                  <c:v>98.626078342689027</c:v>
                </c:pt>
                <c:pt idx="78">
                  <c:v>98.484745174469296</c:v>
                </c:pt>
                <c:pt idx="79">
                  <c:v>99.028469643766087</c:v>
                </c:pt>
                <c:pt idx="80">
                  <c:v>99.021105180419795</c:v>
                </c:pt>
                <c:pt idx="81">
                  <c:v>100.05905547203444</c:v>
                </c:pt>
                <c:pt idx="82">
                  <c:v>100.03571775461764</c:v>
                </c:pt>
                <c:pt idx="83">
                  <c:v>100.91245222101509</c:v>
                </c:pt>
                <c:pt idx="84">
                  <c:v>101.15596296473639</c:v>
                </c:pt>
                <c:pt idx="85">
                  <c:v>102.22386235176943</c:v>
                </c:pt>
                <c:pt idx="86">
                  <c:v>102.18812841021399</c:v>
                </c:pt>
              </c:numCache>
            </c:numRef>
          </c:val>
          <c:smooth val="0"/>
        </c:ser>
        <c:dLbls>
          <c:showLegendKey val="0"/>
          <c:showVal val="0"/>
          <c:showCatName val="0"/>
          <c:showSerName val="0"/>
          <c:showPercent val="0"/>
          <c:showBubbleSize val="0"/>
        </c:dLbls>
        <c:marker val="1"/>
        <c:smooth val="0"/>
        <c:axId val="471906944"/>
        <c:axId val="473842048"/>
      </c:lineChart>
      <c:catAx>
        <c:axId val="471906944"/>
        <c:scaling>
          <c:orientation val="minMax"/>
        </c:scaling>
        <c:delete val="0"/>
        <c:axPos val="b"/>
        <c:majorGridlines>
          <c:spPr>
            <a:ln w="3175">
              <a:solidFill>
                <a:srgbClr val="000000"/>
              </a:solidFill>
              <a:prstDash val="solid"/>
            </a:ln>
          </c:spPr>
        </c:majorGridlines>
        <c:numFmt formatCode="0" sourceLinked="1"/>
        <c:majorTickMark val="out"/>
        <c:minorTickMark val="none"/>
        <c:tickLblPos val="low"/>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73842048"/>
        <c:crosses val="autoZero"/>
        <c:auto val="1"/>
        <c:lblAlgn val="ctr"/>
        <c:lblOffset val="100"/>
        <c:tickLblSkip val="12"/>
        <c:tickMarkSkip val="12"/>
        <c:noMultiLvlLbl val="0"/>
      </c:catAx>
      <c:valAx>
        <c:axId val="473842048"/>
        <c:scaling>
          <c:orientation val="minMax"/>
          <c:min val="85"/>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71906944"/>
        <c:crosses val="autoZero"/>
        <c:crossBetween val="between"/>
        <c:majorUnit val="5"/>
        <c:minorUnit val="1"/>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Labour1!$G$255</c:f>
              <c:strCache>
                <c:ptCount val="1"/>
                <c:pt idx="0">
                  <c:v>LC</c:v>
                </c:pt>
              </c:strCache>
            </c:strRef>
          </c:tx>
          <c:invertIfNegative val="0"/>
          <c:cat>
            <c:numRef>
              <c:f>Labour1!$H$252:$AE$252</c:f>
              <c:numCache>
                <c:formatCode>0</c:formatCode>
                <c:ptCount val="24"/>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numCache>
            </c:numRef>
          </c:cat>
          <c:val>
            <c:numRef>
              <c:f>Labour1!$H$255:$AE$255</c:f>
              <c:numCache>
                <c:formatCode>0.0%</c:formatCode>
                <c:ptCount val="24"/>
                <c:pt idx="0">
                  <c:v>2.1028294623700594E-2</c:v>
                </c:pt>
                <c:pt idx="1">
                  <c:v>3.0729284541266999E-2</c:v>
                </c:pt>
                <c:pt idx="2">
                  <c:v>1.3597428596102246E-2</c:v>
                </c:pt>
                <c:pt idx="3">
                  <c:v>3.4768194216060921E-2</c:v>
                </c:pt>
                <c:pt idx="4">
                  <c:v>1.9336306613748855E-2</c:v>
                </c:pt>
                <c:pt idx="5">
                  <c:v>3.662174998427159E-2</c:v>
                </c:pt>
                <c:pt idx="6">
                  <c:v>3.904534754757405E-2</c:v>
                </c:pt>
                <c:pt idx="7">
                  <c:v>1.9752260670512278E-2</c:v>
                </c:pt>
                <c:pt idx="8">
                  <c:v>1.788861445544887E-2</c:v>
                </c:pt>
                <c:pt idx="9">
                  <c:v>1.7917190585819753E-2</c:v>
                </c:pt>
                <c:pt idx="10">
                  <c:v>3.575606980045376E-2</c:v>
                </c:pt>
                <c:pt idx="11">
                  <c:v>3.5481170469577217E-2</c:v>
                </c:pt>
                <c:pt idx="12">
                  <c:v>3.6549882921135257E-2</c:v>
                </c:pt>
                <c:pt idx="13">
                  <c:v>1.0699364374473497E-2</c:v>
                </c:pt>
                <c:pt idx="14">
                  <c:v>1.3757936426929573E-2</c:v>
                </c:pt>
                <c:pt idx="15">
                  <c:v>3.1160868122918073E-2</c:v>
                </c:pt>
                <c:pt idx="16">
                  <c:v>3.1626142236274912E-2</c:v>
                </c:pt>
                <c:pt idx="17">
                  <c:v>2.5594609753529118E-2</c:v>
                </c:pt>
                <c:pt idx="18">
                  <c:v>9.1005064101528088E-3</c:v>
                </c:pt>
                <c:pt idx="19">
                  <c:v>3.4722772077899755E-4</c:v>
                </c:pt>
                <c:pt idx="20">
                  <c:v>9.8952004584407227E-4</c:v>
                </c:pt>
                <c:pt idx="21">
                  <c:v>1.7200583191249397E-2</c:v>
                </c:pt>
                <c:pt idx="22">
                  <c:v>2.0409570930344012E-2</c:v>
                </c:pt>
                <c:pt idx="23">
                  <c:v>2.1853054733222965E-2</c:v>
                </c:pt>
              </c:numCache>
            </c:numRef>
          </c:val>
        </c:ser>
        <c:ser>
          <c:idx val="1"/>
          <c:order val="1"/>
          <c:tx>
            <c:strRef>
              <c:f>Labour1!$G$256</c:f>
              <c:strCache>
                <c:ptCount val="1"/>
                <c:pt idx="0">
                  <c:v>prod.</c:v>
                </c:pt>
              </c:strCache>
            </c:strRef>
          </c:tx>
          <c:invertIfNegative val="0"/>
          <c:cat>
            <c:numRef>
              <c:f>Labour1!$H$252:$AE$252</c:f>
              <c:numCache>
                <c:formatCode>0</c:formatCode>
                <c:ptCount val="24"/>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numCache>
            </c:numRef>
          </c:cat>
          <c:val>
            <c:numRef>
              <c:f>Labour1!$H$256:$AE$256</c:f>
              <c:numCache>
                <c:formatCode>0.0%</c:formatCode>
                <c:ptCount val="24"/>
                <c:pt idx="0">
                  <c:v>4.2903963679134405E-2</c:v>
                </c:pt>
                <c:pt idx="1">
                  <c:v>-2.7894432487680865E-2</c:v>
                </c:pt>
                <c:pt idx="2">
                  <c:v>-1.817285911781541E-3</c:v>
                </c:pt>
                <c:pt idx="3">
                  <c:v>-1.8910362205189823E-2</c:v>
                </c:pt>
                <c:pt idx="4">
                  <c:v>-1.437745929405243E-2</c:v>
                </c:pt>
                <c:pt idx="5">
                  <c:v>3.7730089292886682E-4</c:v>
                </c:pt>
                <c:pt idx="6">
                  <c:v>-1.8541477991590005E-2</c:v>
                </c:pt>
                <c:pt idx="7">
                  <c:v>-1.014996151250136E-2</c:v>
                </c:pt>
                <c:pt idx="8">
                  <c:v>-2.1531499126762776E-2</c:v>
                </c:pt>
                <c:pt idx="9">
                  <c:v>-7.0155142945416138E-3</c:v>
                </c:pt>
                <c:pt idx="10">
                  <c:v>-1.2844308597495857E-2</c:v>
                </c:pt>
                <c:pt idx="11">
                  <c:v>-1.7835710530248683E-2</c:v>
                </c:pt>
                <c:pt idx="12">
                  <c:v>5.0877985635211509E-3</c:v>
                </c:pt>
                <c:pt idx="13">
                  <c:v>2.090079698354419E-2</c:v>
                </c:pt>
                <c:pt idx="14">
                  <c:v>-1.9120730516102746E-2</c:v>
                </c:pt>
                <c:pt idx="15">
                  <c:v>-7.6457921625507907E-3</c:v>
                </c:pt>
                <c:pt idx="16">
                  <c:v>2.3851424826414336E-3</c:v>
                </c:pt>
                <c:pt idx="17">
                  <c:v>-4.9232591098999912E-3</c:v>
                </c:pt>
                <c:pt idx="18">
                  <c:v>-9.1037522443171426E-3</c:v>
                </c:pt>
                <c:pt idx="19">
                  <c:v>-6.8519259724304504E-3</c:v>
                </c:pt>
                <c:pt idx="20">
                  <c:v>4.0520518135489514E-4</c:v>
                </c:pt>
                <c:pt idx="21">
                  <c:v>-2.3989501500056853E-3</c:v>
                </c:pt>
                <c:pt idx="22">
                  <c:v>-6.0975117343400331E-3</c:v>
                </c:pt>
                <c:pt idx="23">
                  <c:v>-6.6229933929899953E-3</c:v>
                </c:pt>
              </c:numCache>
            </c:numRef>
          </c:val>
        </c:ser>
        <c:dLbls>
          <c:showLegendKey val="0"/>
          <c:showVal val="0"/>
          <c:showCatName val="0"/>
          <c:showSerName val="0"/>
          <c:showPercent val="0"/>
          <c:showBubbleSize val="0"/>
        </c:dLbls>
        <c:gapWidth val="150"/>
        <c:overlap val="100"/>
        <c:axId val="474039424"/>
        <c:axId val="474040960"/>
      </c:barChart>
      <c:lineChart>
        <c:grouping val="standard"/>
        <c:varyColors val="0"/>
        <c:ser>
          <c:idx val="2"/>
          <c:order val="2"/>
          <c:tx>
            <c:strRef>
              <c:f>Labour1!$G$257</c:f>
              <c:strCache>
                <c:ptCount val="1"/>
                <c:pt idx="0">
                  <c:v>ULC</c:v>
                </c:pt>
              </c:strCache>
            </c:strRef>
          </c:tx>
          <c:marker>
            <c:symbol val="none"/>
          </c:marker>
          <c:cat>
            <c:numRef>
              <c:f>Labour1!$H$252:$AE$252</c:f>
              <c:numCache>
                <c:formatCode>0</c:formatCode>
                <c:ptCount val="24"/>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numCache>
            </c:numRef>
          </c:cat>
          <c:val>
            <c:numRef>
              <c:f>Labour1!$H$258:$AE$258</c:f>
              <c:numCache>
                <c:formatCode>0.0%</c:formatCode>
                <c:ptCount val="24"/>
                <c:pt idx="0">
                  <c:v>6.4834455491604492E-2</c:v>
                </c:pt>
                <c:pt idx="1">
                  <c:v>1.9776761005549925E-3</c:v>
                </c:pt>
                <c:pt idx="2">
                  <c:v>1.1755432268896637E-2</c:v>
                </c:pt>
                <c:pt idx="3">
                  <c:v>1.520035286502508E-2</c:v>
                </c:pt>
                <c:pt idx="4">
                  <c:v>4.6808403584599478E-3</c:v>
                </c:pt>
                <c:pt idx="5">
                  <c:v>3.7012868296170121E-2</c:v>
                </c:pt>
                <c:pt idx="6">
                  <c:v>1.9779911103756653E-2</c:v>
                </c:pt>
                <c:pt idx="7">
                  <c:v>9.4018144724203889E-3</c:v>
                </c:pt>
                <c:pt idx="8">
                  <c:v>-4.0280533578403999E-3</c:v>
                </c:pt>
                <c:pt idx="9">
                  <c:v>1.0775977984605278E-2</c:v>
                </c:pt>
                <c:pt idx="10">
                  <c:v>2.2452499208207355E-2</c:v>
                </c:pt>
                <c:pt idx="11">
                  <c:v>1.7012628053558743E-2</c:v>
                </c:pt>
                <c:pt idx="12">
                  <c:v>4.1823639926479528E-2</c:v>
                </c:pt>
                <c:pt idx="13">
                  <c:v>3.182378660066143E-2</c:v>
                </c:pt>
                <c:pt idx="14">
                  <c:v>-5.6258558840501793E-3</c:v>
                </c:pt>
                <c:pt idx="15">
                  <c:v>2.3276826439094789E-2</c:v>
                </c:pt>
                <c:pt idx="16">
                  <c:v>3.4086717574326242E-2</c:v>
                </c:pt>
                <c:pt idx="17">
                  <c:v>2.0545341747995716E-2</c:v>
                </c:pt>
                <c:pt idx="18">
                  <c:v>-8.6094589820229217E-5</c:v>
                </c:pt>
                <c:pt idx="19">
                  <c:v>-6.507077430289776E-3</c:v>
                </c:pt>
                <c:pt idx="20">
                  <c:v>1.395126185848472E-3</c:v>
                </c:pt>
                <c:pt idx="21">
                  <c:v>1.4760369699616804E-2</c:v>
                </c:pt>
                <c:pt idx="22">
                  <c:v>1.4187611597763272E-2</c:v>
                </c:pt>
                <c:pt idx="23">
                  <c:v>1.5085328703118295E-2</c:v>
                </c:pt>
              </c:numCache>
            </c:numRef>
          </c:val>
          <c:smooth val="0"/>
        </c:ser>
        <c:dLbls>
          <c:showLegendKey val="0"/>
          <c:showVal val="0"/>
          <c:showCatName val="0"/>
          <c:showSerName val="0"/>
          <c:showPercent val="0"/>
          <c:showBubbleSize val="0"/>
        </c:dLbls>
        <c:marker val="1"/>
        <c:smooth val="0"/>
        <c:axId val="474039424"/>
        <c:axId val="474040960"/>
      </c:lineChart>
      <c:catAx>
        <c:axId val="474039424"/>
        <c:scaling>
          <c:orientation val="minMax"/>
        </c:scaling>
        <c:delete val="0"/>
        <c:axPos val="b"/>
        <c:numFmt formatCode="0" sourceLinked="1"/>
        <c:majorTickMark val="out"/>
        <c:minorTickMark val="none"/>
        <c:tickLblPos val="low"/>
        <c:crossAx val="474040960"/>
        <c:crosses val="autoZero"/>
        <c:auto val="1"/>
        <c:lblAlgn val="ctr"/>
        <c:lblOffset val="100"/>
        <c:noMultiLvlLbl val="0"/>
      </c:catAx>
      <c:valAx>
        <c:axId val="474040960"/>
        <c:scaling>
          <c:orientation val="minMax"/>
        </c:scaling>
        <c:delete val="0"/>
        <c:axPos val="l"/>
        <c:majorGridlines/>
        <c:numFmt formatCode="0.0%" sourceLinked="1"/>
        <c:majorTickMark val="out"/>
        <c:minorTickMark val="none"/>
        <c:tickLblPos val="nextTo"/>
        <c:crossAx val="474039424"/>
        <c:crosses val="autoZero"/>
        <c:crossBetween val="between"/>
      </c:valAx>
      <c:spPr>
        <a:noFill/>
        <a:ln w="25400">
          <a:noFill/>
        </a:ln>
      </c:spPr>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t>Household income tax related to HH compensation of employees (domestic)</a:t>
            </a:r>
          </a:p>
        </c:rich>
      </c:tx>
      <c:layout>
        <c:manualLayout>
          <c:xMode val="edge"/>
          <c:yMode val="edge"/>
          <c:x val="0.12276809148856392"/>
          <c:y val="3.3613445378151259E-2"/>
        </c:manualLayout>
      </c:layout>
      <c:overlay val="0"/>
      <c:spPr>
        <a:noFill/>
        <a:ln w="25400">
          <a:noFill/>
        </a:ln>
      </c:spPr>
    </c:title>
    <c:autoTitleDeleted val="0"/>
    <c:plotArea>
      <c:layout>
        <c:manualLayout>
          <c:layoutTarget val="inner"/>
          <c:xMode val="edge"/>
          <c:yMode val="edge"/>
          <c:x val="8.4821521019549803E-2"/>
          <c:y val="0.22128912073573381"/>
          <c:w val="0.88392953483530845"/>
          <c:h val="0.51540757234651924"/>
        </c:manualLayout>
      </c:layout>
      <c:lineChart>
        <c:grouping val="standard"/>
        <c:varyColors val="0"/>
        <c:ser>
          <c:idx val="0"/>
          <c:order val="0"/>
          <c:tx>
            <c:strRef>
              <c:f>Sector1!$D$323:$E$323</c:f>
              <c:strCache>
                <c:ptCount val="1"/>
                <c:pt idx="0">
                  <c:v>HH Current taxes on income and wealth (D.5p)  </c:v>
                </c:pt>
              </c:strCache>
            </c:strRef>
          </c:tx>
          <c:spPr>
            <a:ln w="25400">
              <a:solidFill>
                <a:srgbClr val="0000FF"/>
              </a:solidFill>
              <a:prstDash val="solid"/>
            </a:ln>
          </c:spPr>
          <c:marker>
            <c:symbol val="none"/>
          </c:marker>
          <c:cat>
            <c:numRef>
              <c:f>InputY!$G$3:$Z$3</c:f>
              <c:numCache>
                <c:formatCode>0</c:formatCode>
                <c:ptCount val="20"/>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numCache>
            </c:numRef>
          </c:cat>
          <c:val>
            <c:numRef>
              <c:f>Sector1!$G$323:$AB$323</c:f>
              <c:numCache>
                <c:formatCode>0.0</c:formatCode>
                <c:ptCount val="22"/>
                <c:pt idx="1">
                  <c:v>-9.5949389333105373E-2</c:v>
                </c:pt>
                <c:pt idx="2">
                  <c:v>6.4101571844701111</c:v>
                </c:pt>
                <c:pt idx="3">
                  <c:v>3.7031404455935002</c:v>
                </c:pt>
                <c:pt idx="4">
                  <c:v>1.717706918648032</c:v>
                </c:pt>
                <c:pt idx="5">
                  <c:v>6.8908237270499217</c:v>
                </c:pt>
                <c:pt idx="6">
                  <c:v>5.1664281860617889</c:v>
                </c:pt>
                <c:pt idx="7">
                  <c:v>3.2824227419228746</c:v>
                </c:pt>
                <c:pt idx="8">
                  <c:v>-0.11472812134727395</c:v>
                </c:pt>
                <c:pt idx="9">
                  <c:v>4.2779231168381893</c:v>
                </c:pt>
                <c:pt idx="10">
                  <c:v>4.068213920097441</c:v>
                </c:pt>
                <c:pt idx="11">
                  <c:v>0.88508798581470316</c:v>
                </c:pt>
                <c:pt idx="12">
                  <c:v>4.0037423228074465</c:v>
                </c:pt>
                <c:pt idx="13">
                  <c:v>6.2824727341775244</c:v>
                </c:pt>
                <c:pt idx="14">
                  <c:v>-3.4020867203830463</c:v>
                </c:pt>
                <c:pt idx="15">
                  <c:v>5.5452548838284432</c:v>
                </c:pt>
                <c:pt idx="16">
                  <c:v>5.7945047049958953</c:v>
                </c:pt>
                <c:pt idx="17">
                  <c:v>3.6841342470858685</c:v>
                </c:pt>
                <c:pt idx="18">
                  <c:v>5.0616633119269006</c:v>
                </c:pt>
                <c:pt idx="19">
                  <c:v>1.9141584241217036</c:v>
                </c:pt>
                <c:pt idx="20">
                  <c:v>-9.4180748708971862E-2</c:v>
                </c:pt>
                <c:pt idx="21">
                  <c:v>-0.84693241341203818</c:v>
                </c:pt>
              </c:numCache>
            </c:numRef>
          </c:val>
          <c:smooth val="0"/>
        </c:ser>
        <c:ser>
          <c:idx val="1"/>
          <c:order val="1"/>
          <c:tx>
            <c:strRef>
              <c:f>Labour1!$D$224:$E$224</c:f>
              <c:strCache>
                <c:ptCount val="1"/>
                <c:pt idx="0">
                  <c:v>GVT Compensation of employees (D.1p) (Domestic)</c:v>
                </c:pt>
              </c:strCache>
            </c:strRef>
          </c:tx>
          <c:spPr>
            <a:ln w="25400">
              <a:solidFill>
                <a:srgbClr val="FF0000"/>
              </a:solidFill>
              <a:prstDash val="solid"/>
            </a:ln>
          </c:spPr>
          <c:marker>
            <c:symbol val="none"/>
          </c:marker>
          <c:cat>
            <c:numRef>
              <c:f>InputY!$G$3:$Z$3</c:f>
              <c:numCache>
                <c:formatCode>0</c:formatCode>
                <c:ptCount val="20"/>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numCache>
            </c:numRef>
          </c:cat>
          <c:val>
            <c:numRef>
              <c:f>Labour1!$G$224:$Z$224</c:f>
              <c:numCache>
                <c:formatCode>0.0</c:formatCode>
                <c:ptCount val="20"/>
                <c:pt idx="1">
                  <c:v>2.2349034151703195</c:v>
                </c:pt>
                <c:pt idx="2">
                  <c:v>3.8881064810979415</c:v>
                </c:pt>
                <c:pt idx="3">
                  <c:v>3.5556382516856777</c:v>
                </c:pt>
                <c:pt idx="4">
                  <c:v>5.2087682672233848</c:v>
                </c:pt>
                <c:pt idx="5">
                  <c:v>4.5197041730980825</c:v>
                </c:pt>
                <c:pt idx="6">
                  <c:v>5.5576736636856028</c:v>
                </c:pt>
                <c:pt idx="7">
                  <c:v>3.8685961366373478</c:v>
                </c:pt>
                <c:pt idx="8">
                  <c:v>1.8840769981371297</c:v>
                </c:pt>
                <c:pt idx="9">
                  <c:v>2.902190887346312</c:v>
                </c:pt>
                <c:pt idx="10">
                  <c:v>3.4654852640556566</c:v>
                </c:pt>
                <c:pt idx="11">
                  <c:v>4.8322677174317707</c:v>
                </c:pt>
                <c:pt idx="12">
                  <c:v>5.4013979031452886</c:v>
                </c:pt>
                <c:pt idx="13">
                  <c:v>5.6047181921096589</c:v>
                </c:pt>
                <c:pt idx="14">
                  <c:v>0.70755259128520986</c:v>
                </c:pt>
                <c:pt idx="15">
                  <c:v>2.0073676410577113</c:v>
                </c:pt>
                <c:pt idx="16">
                  <c:v>4.5828444187328454</c:v>
                </c:pt>
                <c:pt idx="17">
                  <c:v>3.4856420915522435</c:v>
                </c:pt>
                <c:pt idx="18">
                  <c:v>1.9998941027858486</c:v>
                </c:pt>
                <c:pt idx="19">
                  <c:v>1.2746735326892633</c:v>
                </c:pt>
              </c:numCache>
            </c:numRef>
          </c:val>
          <c:smooth val="0"/>
        </c:ser>
        <c:dLbls>
          <c:showLegendKey val="0"/>
          <c:showVal val="0"/>
          <c:showCatName val="0"/>
          <c:showSerName val="0"/>
          <c:showPercent val="0"/>
          <c:showBubbleSize val="0"/>
        </c:dLbls>
        <c:marker val="1"/>
        <c:smooth val="0"/>
        <c:axId val="476288896"/>
        <c:axId val="476290432"/>
      </c:lineChart>
      <c:catAx>
        <c:axId val="476288896"/>
        <c:scaling>
          <c:orientation val="minMax"/>
        </c:scaling>
        <c:delete val="0"/>
        <c:axPos val="b"/>
        <c:majorGridlines>
          <c:spPr>
            <a:ln w="3175">
              <a:solidFill>
                <a:srgbClr val="000000"/>
              </a:solidFill>
              <a:prstDash val="solid"/>
            </a:ln>
          </c:spPr>
        </c:majorGridlines>
        <c:numFmt formatCode="0" sourceLinked="0"/>
        <c:majorTickMark val="out"/>
        <c:minorTickMark val="none"/>
        <c:tickLblPos val="low"/>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76290432"/>
        <c:crosses val="autoZero"/>
        <c:auto val="1"/>
        <c:lblAlgn val="ctr"/>
        <c:lblOffset val="100"/>
        <c:tickLblSkip val="2"/>
        <c:tickMarkSkip val="1"/>
        <c:noMultiLvlLbl val="0"/>
      </c:catAx>
      <c:valAx>
        <c:axId val="47629043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76288896"/>
        <c:crosses val="autoZero"/>
        <c:crossBetween val="between"/>
      </c:valAx>
      <c:spPr>
        <a:noFill/>
        <a:ln w="12700">
          <a:solidFill>
            <a:srgbClr val="808080"/>
          </a:solidFill>
          <a:prstDash val="solid"/>
        </a:ln>
      </c:spPr>
    </c:plotArea>
    <c:legend>
      <c:legendPos val="r"/>
      <c:layout>
        <c:manualLayout>
          <c:xMode val="edge"/>
          <c:yMode val="edge"/>
          <c:wMode val="edge"/>
          <c:hMode val="edge"/>
          <c:x val="0.14732166291713536"/>
          <c:y val="0.85434408934177342"/>
          <c:w val="0.90401902887139107"/>
          <c:h val="0.98039480359072761"/>
        </c:manualLayout>
      </c:layout>
      <c:overlay val="0"/>
      <c:spPr>
        <a:solidFill>
          <a:srgbClr val="FFFFFF"/>
        </a:solidFill>
        <a:ln w="3175">
          <a:solidFill>
            <a:srgbClr val="000000"/>
          </a:solidFill>
          <a:prstDash val="solid"/>
        </a:ln>
      </c:spPr>
      <c:txPr>
        <a:bodyPr/>
        <a:lstStyle/>
        <a:p>
          <a:pPr>
            <a:defRPr sz="1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GVT total resources and expenditure as % of GDP</a:t>
            </a:r>
          </a:p>
        </c:rich>
      </c:tx>
      <c:layout>
        <c:manualLayout>
          <c:xMode val="edge"/>
          <c:yMode val="edge"/>
          <c:x val="0.14732166291713536"/>
          <c:y val="3.3613445378151259E-2"/>
        </c:manualLayout>
      </c:layout>
      <c:overlay val="0"/>
      <c:spPr>
        <a:noFill/>
        <a:ln w="25400">
          <a:noFill/>
        </a:ln>
      </c:spPr>
    </c:title>
    <c:autoTitleDeleted val="0"/>
    <c:plotArea>
      <c:layout>
        <c:manualLayout>
          <c:layoutTarget val="inner"/>
          <c:xMode val="edge"/>
          <c:yMode val="edge"/>
          <c:x val="0.14285729855924176"/>
          <c:y val="0.17086881474531346"/>
          <c:w val="0.79017943265580604"/>
          <c:h val="0.58263464700041301"/>
        </c:manualLayout>
      </c:layout>
      <c:lineChart>
        <c:grouping val="standard"/>
        <c:varyColors val="0"/>
        <c:ser>
          <c:idx val="0"/>
          <c:order val="0"/>
          <c:tx>
            <c:strRef>
              <c:f>Sector1!$E$970</c:f>
              <c:strCache>
                <c:ptCount val="1"/>
                <c:pt idx="0">
                  <c:v>Total government revenue (harmonised)</c:v>
                </c:pt>
              </c:strCache>
            </c:strRef>
          </c:tx>
          <c:spPr>
            <a:ln w="25400">
              <a:solidFill>
                <a:srgbClr val="FF0000"/>
              </a:solidFill>
              <a:prstDash val="solid"/>
            </a:ln>
          </c:spPr>
          <c:marker>
            <c:symbol val="circle"/>
            <c:size val="7"/>
            <c:spPr>
              <a:solidFill>
                <a:srgbClr val="FFFFFF"/>
              </a:solidFill>
              <a:ln>
                <a:solidFill>
                  <a:srgbClr val="FF0000"/>
                </a:solidFill>
                <a:prstDash val="solid"/>
              </a:ln>
            </c:spPr>
          </c:marker>
          <c:cat>
            <c:numRef>
              <c:f>InputY!$G$3:$AF$3</c:f>
              <c:numCache>
                <c:formatCode>0</c:formatCode>
                <c:ptCount val="2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numCache>
            </c:numRef>
          </c:cat>
          <c:val>
            <c:numRef>
              <c:f>Sector1!$G$981:$AB$981</c:f>
              <c:numCache>
                <c:formatCode>0.0%</c:formatCode>
                <c:ptCount val="22"/>
                <c:pt idx="0">
                  <c:v>0.47530938403375822</c:v>
                </c:pt>
                <c:pt idx="1">
                  <c:v>0.48734801502622926</c:v>
                </c:pt>
                <c:pt idx="2">
                  <c:v>0.49111536243736403</c:v>
                </c:pt>
                <c:pt idx="3">
                  <c:v>0.49612136316493355</c:v>
                </c:pt>
                <c:pt idx="4">
                  <c:v>0.49517618926731799</c:v>
                </c:pt>
                <c:pt idx="5">
                  <c:v>0.48980373477085615</c:v>
                </c:pt>
                <c:pt idx="6">
                  <c:v>0.49359829097131397</c:v>
                </c:pt>
                <c:pt idx="7">
                  <c:v>0.49551906076052549</c:v>
                </c:pt>
                <c:pt idx="8">
                  <c:v>0.48953549877669728</c:v>
                </c:pt>
                <c:pt idx="9">
                  <c:v>0.48776006759715423</c:v>
                </c:pt>
                <c:pt idx="10">
                  <c:v>0.48866639613099755</c:v>
                </c:pt>
                <c:pt idx="11">
                  <c:v>0.48670292635723589</c:v>
                </c:pt>
                <c:pt idx="12">
                  <c:v>0.48314464952677955</c:v>
                </c:pt>
                <c:pt idx="13">
                  <c:v>0.49177483626635604</c:v>
                </c:pt>
                <c:pt idx="14">
                  <c:v>0.48767092024195119</c:v>
                </c:pt>
                <c:pt idx="15">
                  <c:v>0.49340085811988749</c:v>
                </c:pt>
                <c:pt idx="16">
                  <c:v>0.50323985647297342</c:v>
                </c:pt>
                <c:pt idx="17">
                  <c:v>0.51630851192038407</c:v>
                </c:pt>
                <c:pt idx="18">
                  <c:v>0.52697228269984342</c:v>
                </c:pt>
                <c:pt idx="19">
                  <c:v>0.5214935139232183</c:v>
                </c:pt>
                <c:pt idx="20">
                  <c:v>0.51346278291920378</c:v>
                </c:pt>
                <c:pt idx="21">
                  <c:v>0.50763860589001164</c:v>
                </c:pt>
              </c:numCache>
            </c:numRef>
          </c:val>
          <c:smooth val="0"/>
        </c:ser>
        <c:ser>
          <c:idx val="1"/>
          <c:order val="1"/>
          <c:tx>
            <c:strRef>
              <c:f>Sector1!$E$1003</c:f>
              <c:strCache>
                <c:ptCount val="1"/>
                <c:pt idx="0">
                  <c:v>Total government expenditure (harmonised)</c:v>
                </c:pt>
              </c:strCache>
            </c:strRef>
          </c:tx>
          <c:spPr>
            <a:ln w="25400">
              <a:solidFill>
                <a:srgbClr val="0000FF"/>
              </a:solidFill>
              <a:prstDash val="solid"/>
            </a:ln>
          </c:spPr>
          <c:marker>
            <c:symbol val="circle"/>
            <c:size val="7"/>
            <c:spPr>
              <a:solidFill>
                <a:srgbClr val="FFFFFF"/>
              </a:solidFill>
              <a:ln>
                <a:solidFill>
                  <a:srgbClr val="0000FF"/>
                </a:solidFill>
                <a:prstDash val="solid"/>
              </a:ln>
            </c:spPr>
          </c:marker>
          <c:val>
            <c:numRef>
              <c:f>Sector1!$G$1017:$AB$1017</c:f>
              <c:numCache>
                <c:formatCode>0.0%</c:formatCode>
                <c:ptCount val="22"/>
                <c:pt idx="0">
                  <c:v>0.51976423015105244</c:v>
                </c:pt>
                <c:pt idx="1">
                  <c:v>0.52666127634035742</c:v>
                </c:pt>
                <c:pt idx="2">
                  <c:v>0.51236520810182995</c:v>
                </c:pt>
                <c:pt idx="3">
                  <c:v>0.50560110128551539</c:v>
                </c:pt>
                <c:pt idx="4">
                  <c:v>0.50068502125080872</c:v>
                </c:pt>
                <c:pt idx="5">
                  <c:v>0.49052249614672644</c:v>
                </c:pt>
                <c:pt idx="6">
                  <c:v>0.49187963056326001</c:v>
                </c:pt>
                <c:pt idx="7">
                  <c:v>0.49506607708502465</c:v>
                </c:pt>
                <c:pt idx="8">
                  <c:v>0.50714575081420832</c:v>
                </c:pt>
                <c:pt idx="9">
                  <c:v>0.48932880900188408</c:v>
                </c:pt>
                <c:pt idx="10">
                  <c:v>0.51627837093008622</c:v>
                </c:pt>
                <c:pt idx="11">
                  <c:v>0.48450952834748812</c:v>
                </c:pt>
                <c:pt idx="12">
                  <c:v>0.48248990100446021</c:v>
                </c:pt>
                <c:pt idx="13">
                  <c:v>0.50280724576978464</c:v>
                </c:pt>
                <c:pt idx="14">
                  <c:v>0.54150153204975848</c:v>
                </c:pt>
                <c:pt idx="15">
                  <c:v>0.53341449819981068</c:v>
                </c:pt>
                <c:pt idx="16">
                  <c:v>0.54452590210186436</c:v>
                </c:pt>
                <c:pt idx="17">
                  <c:v>0.55865559776629747</c:v>
                </c:pt>
                <c:pt idx="18">
                  <c:v>0.55834865593549265</c:v>
                </c:pt>
                <c:pt idx="19">
                  <c:v>0.55228332986083517</c:v>
                </c:pt>
                <c:pt idx="20">
                  <c:v>0.53826426193464894</c:v>
                </c:pt>
                <c:pt idx="21">
                  <c:v>0.5324402597906055</c:v>
                </c:pt>
              </c:numCache>
            </c:numRef>
          </c:val>
          <c:smooth val="0"/>
        </c:ser>
        <c:dLbls>
          <c:showLegendKey val="0"/>
          <c:showVal val="0"/>
          <c:showCatName val="0"/>
          <c:showSerName val="0"/>
          <c:showPercent val="0"/>
          <c:showBubbleSize val="0"/>
        </c:dLbls>
        <c:marker val="1"/>
        <c:smooth val="0"/>
        <c:axId val="476451200"/>
        <c:axId val="476453120"/>
      </c:lineChart>
      <c:catAx>
        <c:axId val="476451200"/>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476453120"/>
        <c:crosses val="autoZero"/>
        <c:auto val="1"/>
        <c:lblAlgn val="ctr"/>
        <c:lblOffset val="100"/>
        <c:tickLblSkip val="2"/>
        <c:tickMarkSkip val="1"/>
        <c:noMultiLvlLbl val="0"/>
      </c:catAx>
      <c:valAx>
        <c:axId val="476453120"/>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25400">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476451200"/>
        <c:crosses val="autoZero"/>
        <c:crossBetween val="midCat"/>
      </c:valAx>
      <c:spPr>
        <a:noFill/>
        <a:ln w="12700">
          <a:solidFill>
            <a:srgbClr val="808080"/>
          </a:solidFill>
          <a:prstDash val="solid"/>
        </a:ln>
      </c:spPr>
    </c:plotArea>
    <c:legend>
      <c:legendPos val="r"/>
      <c:layout>
        <c:manualLayout>
          <c:xMode val="edge"/>
          <c:yMode val="edge"/>
          <c:wMode val="edge"/>
          <c:hMode val="edge"/>
          <c:x val="8.4821428571428575E-2"/>
          <c:y val="0.86274745068631131"/>
          <c:w val="0.92187593738282714"/>
          <c:h val="0.98599704448708625"/>
        </c:manualLayout>
      </c:layout>
      <c:overlay val="0"/>
      <c:spPr>
        <a:solidFill>
          <a:srgbClr val="FFFFFF"/>
        </a:solidFill>
        <a:ln w="3175">
          <a:solidFill>
            <a:srgbClr val="000000"/>
          </a:solidFill>
          <a:prstDash val="solid"/>
        </a:ln>
      </c:spPr>
      <c:txPr>
        <a:bodyPr/>
        <a:lstStyle/>
        <a:p>
          <a:pPr>
            <a:defRPr sz="1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GDP and its main components</a:t>
            </a:r>
          </a:p>
        </c:rich>
      </c:tx>
      <c:overlay val="1"/>
    </c:title>
    <c:autoTitleDeleted val="0"/>
    <c:plotArea>
      <c:layout>
        <c:manualLayout>
          <c:layoutTarget val="inner"/>
          <c:xMode val="edge"/>
          <c:yMode val="edge"/>
          <c:x val="8.5107634077929095E-2"/>
          <c:y val="0.11906336817039291"/>
          <c:w val="0.88341883230261453"/>
          <c:h val="0.61747382895275948"/>
        </c:manualLayout>
      </c:layout>
      <c:barChart>
        <c:barDir val="col"/>
        <c:grouping val="clustered"/>
        <c:varyColors val="0"/>
        <c:ser>
          <c:idx val="1"/>
          <c:order val="1"/>
          <c:tx>
            <c:strRef>
              <c:f>Graphs!$A$6</c:f>
              <c:strCache>
                <c:ptCount val="1"/>
                <c:pt idx="0">
                  <c:v>Consumption</c:v>
                </c:pt>
              </c:strCache>
            </c:strRef>
          </c:tx>
          <c:spPr>
            <a:solidFill>
              <a:srgbClr val="FF0000"/>
            </a:solidFill>
          </c:spPr>
          <c:invertIfNegative val="0"/>
          <c:cat>
            <c:multiLvlStrRef>
              <c:f>Graphs!$B$3:$M$4</c:f>
              <c:multiLvlStrCache>
                <c:ptCount val="12"/>
                <c:lvl>
                  <c:pt idx="0">
                    <c:v>Q1</c:v>
                  </c:pt>
                  <c:pt idx="1">
                    <c:v>Q2</c:v>
                  </c:pt>
                  <c:pt idx="2">
                    <c:v>Q3</c:v>
                  </c:pt>
                  <c:pt idx="3">
                    <c:v>Q4</c:v>
                  </c:pt>
                  <c:pt idx="4">
                    <c:v>Q1</c:v>
                  </c:pt>
                  <c:pt idx="5">
                    <c:v>Q2</c:v>
                  </c:pt>
                  <c:pt idx="6">
                    <c:v>Q3</c:v>
                  </c:pt>
                  <c:pt idx="7">
                    <c:v>Q4</c:v>
                  </c:pt>
                  <c:pt idx="8">
                    <c:v>Q1</c:v>
                  </c:pt>
                  <c:pt idx="9">
                    <c:v>Q2</c:v>
                  </c:pt>
                  <c:pt idx="10">
                    <c:v>Q3</c:v>
                  </c:pt>
                  <c:pt idx="11">
                    <c:v>Q4</c:v>
                  </c:pt>
                </c:lvl>
                <c:lvl>
                  <c:pt idx="0">
                    <c:v>2015</c:v>
                  </c:pt>
                  <c:pt idx="4">
                    <c:v>2016</c:v>
                  </c:pt>
                  <c:pt idx="8">
                    <c:v>2017</c:v>
                  </c:pt>
                </c:lvl>
              </c:multiLvlStrCache>
            </c:multiLvlStrRef>
          </c:cat>
          <c:val>
            <c:numRef>
              <c:f>Graphs!$B$6:$M$6</c:f>
              <c:numCache>
                <c:formatCode>0.0</c:formatCode>
                <c:ptCount val="12"/>
                <c:pt idx="0">
                  <c:v>-1.1801846989057566E-2</c:v>
                </c:pt>
                <c:pt idx="1">
                  <c:v>0.14691622836658799</c:v>
                </c:pt>
                <c:pt idx="2">
                  <c:v>1.2673653424320433E-2</c:v>
                </c:pt>
                <c:pt idx="3">
                  <c:v>0.28645199006187533</c:v>
                </c:pt>
                <c:pt idx="4">
                  <c:v>0.34520877373310282</c:v>
                </c:pt>
                <c:pt idx="5">
                  <c:v>0.27075899548412641</c:v>
                </c:pt>
                <c:pt idx="6">
                  <c:v>0.23229249656839696</c:v>
                </c:pt>
                <c:pt idx="7">
                  <c:v>0.17834199474562693</c:v>
                </c:pt>
                <c:pt idx="8">
                  <c:v>0.12241072623988519</c:v>
                </c:pt>
                <c:pt idx="9">
                  <c:v>0.29354207436398116</c:v>
                </c:pt>
                <c:pt idx="10">
                  <c:v>0.20047281323878022</c:v>
                </c:pt>
                <c:pt idx="11">
                  <c:v>0.24916708351816638</c:v>
                </c:pt>
              </c:numCache>
            </c:numRef>
          </c:val>
        </c:ser>
        <c:ser>
          <c:idx val="2"/>
          <c:order val="2"/>
          <c:tx>
            <c:strRef>
              <c:f>Graphs!$A$7</c:f>
              <c:strCache>
                <c:ptCount val="1"/>
                <c:pt idx="0">
                  <c:v>GFCF</c:v>
                </c:pt>
              </c:strCache>
            </c:strRef>
          </c:tx>
          <c:spPr>
            <a:solidFill>
              <a:schemeClr val="tx1"/>
            </a:solidFill>
          </c:spPr>
          <c:invertIfNegative val="0"/>
          <c:cat>
            <c:multiLvlStrRef>
              <c:f>Graphs!$B$3:$M$4</c:f>
              <c:multiLvlStrCache>
                <c:ptCount val="12"/>
                <c:lvl>
                  <c:pt idx="0">
                    <c:v>Q1</c:v>
                  </c:pt>
                  <c:pt idx="1">
                    <c:v>Q2</c:v>
                  </c:pt>
                  <c:pt idx="2">
                    <c:v>Q3</c:v>
                  </c:pt>
                  <c:pt idx="3">
                    <c:v>Q4</c:v>
                  </c:pt>
                  <c:pt idx="4">
                    <c:v>Q1</c:v>
                  </c:pt>
                  <c:pt idx="5">
                    <c:v>Q2</c:v>
                  </c:pt>
                  <c:pt idx="6">
                    <c:v>Q3</c:v>
                  </c:pt>
                  <c:pt idx="7">
                    <c:v>Q4</c:v>
                  </c:pt>
                  <c:pt idx="8">
                    <c:v>Q1</c:v>
                  </c:pt>
                  <c:pt idx="9">
                    <c:v>Q2</c:v>
                  </c:pt>
                  <c:pt idx="10">
                    <c:v>Q3</c:v>
                  </c:pt>
                  <c:pt idx="11">
                    <c:v>Q4</c:v>
                  </c:pt>
                </c:lvl>
                <c:lvl>
                  <c:pt idx="0">
                    <c:v>2015</c:v>
                  </c:pt>
                  <c:pt idx="4">
                    <c:v>2016</c:v>
                  </c:pt>
                  <c:pt idx="8">
                    <c:v>2017</c:v>
                  </c:pt>
                </c:lvl>
              </c:multiLvlStrCache>
            </c:multiLvlStrRef>
          </c:cat>
          <c:val>
            <c:numRef>
              <c:f>Graphs!$B$7:$M$7</c:f>
              <c:numCache>
                <c:formatCode>0.0</c:formatCode>
                <c:ptCount val="12"/>
                <c:pt idx="0">
                  <c:v>2.2000609762094108</c:v>
                </c:pt>
                <c:pt idx="1">
                  <c:v>-2.6366565784189326</c:v>
                </c:pt>
                <c:pt idx="2">
                  <c:v>0.59273702169154241</c:v>
                </c:pt>
                <c:pt idx="3">
                  <c:v>0.2085058703171466</c:v>
                </c:pt>
                <c:pt idx="4">
                  <c:v>0.35199658669976641</c:v>
                </c:pt>
                <c:pt idx="5">
                  <c:v>0.16438939011535997</c:v>
                </c:pt>
                <c:pt idx="6">
                  <c:v>1.8026665642787103</c:v>
                </c:pt>
                <c:pt idx="7">
                  <c:v>-1.3950946363165966</c:v>
                </c:pt>
                <c:pt idx="8">
                  <c:v>4.6860356138705525E-2</c:v>
                </c:pt>
                <c:pt idx="9">
                  <c:v>0.20424448539889045</c:v>
                </c:pt>
                <c:pt idx="10">
                  <c:v>0.27044917257684209</c:v>
                </c:pt>
                <c:pt idx="11">
                  <c:v>1.8876294205911028E-3</c:v>
                </c:pt>
              </c:numCache>
            </c:numRef>
          </c:val>
        </c:ser>
        <c:ser>
          <c:idx val="3"/>
          <c:order val="3"/>
          <c:tx>
            <c:strRef>
              <c:f>Graphs!$A$8</c:f>
              <c:strCache>
                <c:ptCount val="1"/>
                <c:pt idx="0">
                  <c:v>Change in inventories</c:v>
                </c:pt>
              </c:strCache>
            </c:strRef>
          </c:tx>
          <c:invertIfNegative val="0"/>
          <c:cat>
            <c:multiLvlStrRef>
              <c:f>Graphs!$B$3:$M$4</c:f>
              <c:multiLvlStrCache>
                <c:ptCount val="12"/>
                <c:lvl>
                  <c:pt idx="0">
                    <c:v>Q1</c:v>
                  </c:pt>
                  <c:pt idx="1">
                    <c:v>Q2</c:v>
                  </c:pt>
                  <c:pt idx="2">
                    <c:v>Q3</c:v>
                  </c:pt>
                  <c:pt idx="3">
                    <c:v>Q4</c:v>
                  </c:pt>
                  <c:pt idx="4">
                    <c:v>Q1</c:v>
                  </c:pt>
                  <c:pt idx="5">
                    <c:v>Q2</c:v>
                  </c:pt>
                  <c:pt idx="6">
                    <c:v>Q3</c:v>
                  </c:pt>
                  <c:pt idx="7">
                    <c:v>Q4</c:v>
                  </c:pt>
                  <c:pt idx="8">
                    <c:v>Q1</c:v>
                  </c:pt>
                  <c:pt idx="9">
                    <c:v>Q2</c:v>
                  </c:pt>
                  <c:pt idx="10">
                    <c:v>Q3</c:v>
                  </c:pt>
                  <c:pt idx="11">
                    <c:v>Q4</c:v>
                  </c:pt>
                </c:lvl>
                <c:lvl>
                  <c:pt idx="0">
                    <c:v>2015</c:v>
                  </c:pt>
                  <c:pt idx="4">
                    <c:v>2016</c:v>
                  </c:pt>
                  <c:pt idx="8">
                    <c:v>2017</c:v>
                  </c:pt>
                </c:lvl>
              </c:multiLvlStrCache>
            </c:multiLvlStrRef>
          </c:cat>
          <c:val>
            <c:numRef>
              <c:f>Graphs!$B$8:$M$8</c:f>
              <c:numCache>
                <c:formatCode>0.0</c:formatCode>
                <c:ptCount val="12"/>
                <c:pt idx="0">
                  <c:v>7.7695492677958278E-2</c:v>
                </c:pt>
                <c:pt idx="1">
                  <c:v>0.30362687195760607</c:v>
                </c:pt>
                <c:pt idx="2">
                  <c:v>-6.6292956373421696E-2</c:v>
                </c:pt>
                <c:pt idx="3">
                  <c:v>5.8459589808533441E-2</c:v>
                </c:pt>
                <c:pt idx="4">
                  <c:v>-0.21721001493317926</c:v>
                </c:pt>
                <c:pt idx="5">
                  <c:v>0.49413516675855162</c:v>
                </c:pt>
                <c:pt idx="6">
                  <c:v>-0.1219055663809443</c:v>
                </c:pt>
                <c:pt idx="7">
                  <c:v>0.19272441367671989</c:v>
                </c:pt>
                <c:pt idx="8">
                  <c:v>0.24290878488227052</c:v>
                </c:pt>
                <c:pt idx="9">
                  <c:v>2.9444170054317653E-2</c:v>
                </c:pt>
                <c:pt idx="10">
                  <c:v>-0.12479083354601817</c:v>
                </c:pt>
                <c:pt idx="11">
                  <c:v>0</c:v>
                </c:pt>
              </c:numCache>
            </c:numRef>
          </c:val>
        </c:ser>
        <c:ser>
          <c:idx val="4"/>
          <c:order val="4"/>
          <c:tx>
            <c:strRef>
              <c:f>Graphs!$A$9</c:f>
              <c:strCache>
                <c:ptCount val="1"/>
                <c:pt idx="0">
                  <c:v>Net exports</c:v>
                </c:pt>
              </c:strCache>
            </c:strRef>
          </c:tx>
          <c:spPr>
            <a:pattFill prst="wdDnDiag">
              <a:fgClr>
                <a:srgbClr val="FF0000"/>
              </a:fgClr>
              <a:bgClr>
                <a:schemeClr val="bg1"/>
              </a:bgClr>
            </a:pattFill>
            <a:ln>
              <a:solidFill>
                <a:schemeClr val="tx1">
                  <a:tint val="75000"/>
                  <a:shade val="95000"/>
                  <a:satMod val="105000"/>
                </a:schemeClr>
              </a:solidFill>
            </a:ln>
          </c:spPr>
          <c:invertIfNegative val="0"/>
          <c:cat>
            <c:multiLvlStrRef>
              <c:f>Graphs!$B$3:$M$4</c:f>
              <c:multiLvlStrCache>
                <c:ptCount val="12"/>
                <c:lvl>
                  <c:pt idx="0">
                    <c:v>Q1</c:v>
                  </c:pt>
                  <c:pt idx="1">
                    <c:v>Q2</c:v>
                  </c:pt>
                  <c:pt idx="2">
                    <c:v>Q3</c:v>
                  </c:pt>
                  <c:pt idx="3">
                    <c:v>Q4</c:v>
                  </c:pt>
                  <c:pt idx="4">
                    <c:v>Q1</c:v>
                  </c:pt>
                  <c:pt idx="5">
                    <c:v>Q2</c:v>
                  </c:pt>
                  <c:pt idx="6">
                    <c:v>Q3</c:v>
                  </c:pt>
                  <c:pt idx="7">
                    <c:v>Q4</c:v>
                  </c:pt>
                  <c:pt idx="8">
                    <c:v>Q1</c:v>
                  </c:pt>
                  <c:pt idx="9">
                    <c:v>Q2</c:v>
                  </c:pt>
                  <c:pt idx="10">
                    <c:v>Q3</c:v>
                  </c:pt>
                  <c:pt idx="11">
                    <c:v>Q4</c:v>
                  </c:pt>
                </c:lvl>
                <c:lvl>
                  <c:pt idx="0">
                    <c:v>2015</c:v>
                  </c:pt>
                  <c:pt idx="4">
                    <c:v>2016</c:v>
                  </c:pt>
                  <c:pt idx="8">
                    <c:v>2017</c:v>
                  </c:pt>
                </c:lvl>
              </c:multiLvlStrCache>
            </c:multiLvlStrRef>
          </c:cat>
          <c:val>
            <c:numRef>
              <c:f>Graphs!$B$9:$M$9</c:f>
              <c:numCache>
                <c:formatCode>0.0</c:formatCode>
                <c:ptCount val="12"/>
                <c:pt idx="0">
                  <c:v>-1.8528899772814329</c:v>
                </c:pt>
                <c:pt idx="1">
                  <c:v>2.6523276427780331</c:v>
                </c:pt>
                <c:pt idx="2">
                  <c:v>-0.48062393370710321</c:v>
                </c:pt>
                <c:pt idx="3">
                  <c:v>-7.5023140254297793E-2</c:v>
                </c:pt>
                <c:pt idx="4">
                  <c:v>-0.20169501386654531</c:v>
                </c:pt>
                <c:pt idx="5">
                  <c:v>-0.18856430042645123</c:v>
                </c:pt>
                <c:pt idx="6">
                  <c:v>-1.8026665642787103</c:v>
                </c:pt>
                <c:pt idx="7">
                  <c:v>1.2848294245115093</c:v>
                </c:pt>
                <c:pt idx="8">
                  <c:v>0.26107912705851483</c:v>
                </c:pt>
                <c:pt idx="9">
                  <c:v>-6.174833279501124E-2</c:v>
                </c:pt>
                <c:pt idx="10">
                  <c:v>0.13806146572103195</c:v>
                </c:pt>
                <c:pt idx="11">
                  <c:v>0.35015525751985233</c:v>
                </c:pt>
              </c:numCache>
            </c:numRef>
          </c:val>
        </c:ser>
        <c:dLbls>
          <c:showLegendKey val="0"/>
          <c:showVal val="0"/>
          <c:showCatName val="0"/>
          <c:showSerName val="0"/>
          <c:showPercent val="0"/>
          <c:showBubbleSize val="0"/>
        </c:dLbls>
        <c:gapWidth val="0"/>
        <c:overlap val="-4"/>
        <c:axId val="503541120"/>
        <c:axId val="503547008"/>
      </c:barChart>
      <c:lineChart>
        <c:grouping val="standard"/>
        <c:varyColors val="0"/>
        <c:ser>
          <c:idx val="0"/>
          <c:order val="0"/>
          <c:tx>
            <c:strRef>
              <c:f>Graphs!$A$5</c:f>
              <c:strCache>
                <c:ptCount val="1"/>
                <c:pt idx="0">
                  <c:v>GDP</c:v>
                </c:pt>
              </c:strCache>
            </c:strRef>
          </c:tx>
          <c:spPr>
            <a:ln w="25400">
              <a:solidFill>
                <a:schemeClr val="tx1"/>
              </a:solidFill>
            </a:ln>
          </c:spPr>
          <c:marker>
            <c:symbol val="none"/>
          </c:marker>
          <c:cat>
            <c:multiLvlStrRef>
              <c:f>Graphs!$B$3:$M$4</c:f>
              <c:multiLvlStrCache>
                <c:ptCount val="12"/>
                <c:lvl>
                  <c:pt idx="0">
                    <c:v>Q1</c:v>
                  </c:pt>
                  <c:pt idx="1">
                    <c:v>Q2</c:v>
                  </c:pt>
                  <c:pt idx="2">
                    <c:v>Q3</c:v>
                  </c:pt>
                  <c:pt idx="3">
                    <c:v>Q4</c:v>
                  </c:pt>
                  <c:pt idx="4">
                    <c:v>Q1</c:v>
                  </c:pt>
                  <c:pt idx="5">
                    <c:v>Q2</c:v>
                  </c:pt>
                  <c:pt idx="6">
                    <c:v>Q3</c:v>
                  </c:pt>
                  <c:pt idx="7">
                    <c:v>Q4</c:v>
                  </c:pt>
                  <c:pt idx="8">
                    <c:v>Q1</c:v>
                  </c:pt>
                  <c:pt idx="9">
                    <c:v>Q2</c:v>
                  </c:pt>
                  <c:pt idx="10">
                    <c:v>Q3</c:v>
                  </c:pt>
                  <c:pt idx="11">
                    <c:v>Q4</c:v>
                  </c:pt>
                </c:lvl>
                <c:lvl>
                  <c:pt idx="0">
                    <c:v>2015</c:v>
                  </c:pt>
                  <c:pt idx="4">
                    <c:v>2016</c:v>
                  </c:pt>
                  <c:pt idx="8">
                    <c:v>2017</c:v>
                  </c:pt>
                </c:lvl>
              </c:multiLvlStrCache>
            </c:multiLvlStrRef>
          </c:cat>
          <c:val>
            <c:numRef>
              <c:f>Graphs!$B$5:$M$5</c:f>
              <c:numCache>
                <c:formatCode>0.0</c:formatCode>
                <c:ptCount val="12"/>
                <c:pt idx="0">
                  <c:v>0.41306464461687842</c:v>
                </c:pt>
                <c:pt idx="1">
                  <c:v>0.46621416468329446</c:v>
                </c:pt>
                <c:pt idx="2">
                  <c:v>5.8493785035337975E-2</c:v>
                </c:pt>
                <c:pt idx="3">
                  <c:v>0.47839430993325749</c:v>
                </c:pt>
                <c:pt idx="4">
                  <c:v>0.2783003316331446</c:v>
                </c:pt>
                <c:pt idx="5">
                  <c:v>0.74071925193158683</c:v>
                </c:pt>
                <c:pt idx="6">
                  <c:v>0.11038693018745249</c:v>
                </c:pt>
                <c:pt idx="7">
                  <c:v>0.26080119661725942</c:v>
                </c:pt>
                <c:pt idx="8">
                  <c:v>0.67325899431937608</c:v>
                </c:pt>
                <c:pt idx="9">
                  <c:v>0.46548239702217797</c:v>
                </c:pt>
                <c:pt idx="10">
                  <c:v>0.48419261799063606</c:v>
                </c:pt>
                <c:pt idx="11">
                  <c:v>0.6012099704586098</c:v>
                </c:pt>
              </c:numCache>
            </c:numRef>
          </c:val>
          <c:smooth val="0"/>
        </c:ser>
        <c:dLbls>
          <c:showLegendKey val="0"/>
          <c:showVal val="0"/>
          <c:showCatName val="0"/>
          <c:showSerName val="0"/>
          <c:showPercent val="0"/>
          <c:showBubbleSize val="0"/>
        </c:dLbls>
        <c:marker val="1"/>
        <c:smooth val="0"/>
        <c:axId val="503541120"/>
        <c:axId val="503547008"/>
      </c:lineChart>
      <c:catAx>
        <c:axId val="503541120"/>
        <c:scaling>
          <c:orientation val="minMax"/>
        </c:scaling>
        <c:delete val="0"/>
        <c:axPos val="b"/>
        <c:majorTickMark val="in"/>
        <c:minorTickMark val="none"/>
        <c:tickLblPos val="low"/>
        <c:spPr>
          <a:ln w="6350" cmpd="sng">
            <a:solidFill>
              <a:srgbClr val="000000"/>
            </a:solidFill>
            <a:prstDash val="solid"/>
          </a:ln>
        </c:spPr>
        <c:txPr>
          <a:bodyPr/>
          <a:lstStyle/>
          <a:p>
            <a:pPr>
              <a:defRPr sz="800" b="0" i="0">
                <a:latin typeface="Times New Roman"/>
                <a:ea typeface="Times New Roman"/>
                <a:cs typeface="Times New Roman"/>
              </a:defRPr>
            </a:pPr>
            <a:endParaRPr lang="en-US"/>
          </a:p>
        </c:txPr>
        <c:crossAx val="503547008"/>
        <c:crosses val="autoZero"/>
        <c:auto val="1"/>
        <c:lblAlgn val="ctr"/>
        <c:lblOffset val="100"/>
        <c:noMultiLvlLbl val="0"/>
      </c:catAx>
      <c:valAx>
        <c:axId val="503547008"/>
        <c:scaling>
          <c:orientation val="minMax"/>
        </c:scaling>
        <c:delete val="0"/>
        <c:axPos val="l"/>
        <c:numFmt formatCode="#,##0.0" sourceLinked="0"/>
        <c:majorTickMark val="in"/>
        <c:minorTickMark val="none"/>
        <c:tickLblPos val="nextTo"/>
        <c:spPr>
          <a:ln w="6350" cmpd="sng">
            <a:solidFill>
              <a:srgbClr val="000000"/>
            </a:solidFill>
            <a:prstDash val="solid"/>
          </a:ln>
        </c:spPr>
        <c:txPr>
          <a:bodyPr/>
          <a:lstStyle/>
          <a:p>
            <a:pPr>
              <a:defRPr sz="800" b="0" i="0">
                <a:latin typeface="Times New Roman"/>
                <a:ea typeface="Times New Roman"/>
                <a:cs typeface="Times New Roman"/>
              </a:defRPr>
            </a:pPr>
            <a:endParaRPr lang="en-US"/>
          </a:p>
        </c:txPr>
        <c:crossAx val="503541120"/>
        <c:crosses val="autoZero"/>
        <c:crossBetween val="between"/>
        <c:majorUnit val="0.5"/>
      </c:valAx>
      <c:spPr>
        <a:noFill/>
        <a:ln>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round/>
            </a14:hiddenLine>
          </a:ext>
        </a:extLst>
      </c:spPr>
    </c:plotArea>
    <c:legend>
      <c:legendPos val="b"/>
      <c:legendEntry>
        <c:idx val="4"/>
        <c:delete val="1"/>
      </c:legendEntry>
      <c:overlay val="1"/>
    </c:legend>
    <c:plotVisOnly val="1"/>
    <c:dispBlanksAs val="gap"/>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solidFill>
          <a:prstDash val="solid"/>
          <a:round/>
        </a14:hiddenLine>
      </a:ext>
    </a:extLst>
  </c:spPr>
  <c:txPr>
    <a:bodyPr/>
    <a:lstStyle/>
    <a:p>
      <a:pPr>
        <a:defRPr sz="800">
          <a:latin typeface="Times New Roman"/>
          <a:ea typeface="Times New Roman"/>
          <a:cs typeface="Times New Roman"/>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Belgium: GDP and business climate</a:t>
            </a:r>
          </a:p>
        </c:rich>
      </c:tx>
      <c:overlay val="1"/>
    </c:title>
    <c:autoTitleDeleted val="0"/>
    <c:plotArea>
      <c:layout>
        <c:manualLayout>
          <c:layoutTarget val="inner"/>
          <c:xMode val="edge"/>
          <c:yMode val="edge"/>
          <c:x val="8.0488407699037617E-2"/>
          <c:y val="8.7451754318179739E-2"/>
          <c:w val="0.82155063272523821"/>
          <c:h val="0.71585789078095474"/>
        </c:manualLayout>
      </c:layout>
      <c:lineChart>
        <c:grouping val="standard"/>
        <c:varyColors val="0"/>
        <c:ser>
          <c:idx val="0"/>
          <c:order val="1"/>
          <c:tx>
            <c:strRef>
              <c:f>Graphs!$Y$14</c:f>
              <c:strCache>
                <c:ptCount val="1"/>
                <c:pt idx="0">
                  <c:v>ESI NBB</c:v>
                </c:pt>
              </c:strCache>
            </c:strRef>
          </c:tx>
          <c:spPr>
            <a:ln w="25400">
              <a:solidFill>
                <a:schemeClr val="accent5">
                  <a:lumMod val="75000"/>
                </a:schemeClr>
              </a:solidFill>
            </a:ln>
          </c:spPr>
          <c:marker>
            <c:symbol val="none"/>
          </c:marker>
          <c:cat>
            <c:strRef>
              <c:f>Graphs!$W$15:$W$78</c:f>
              <c:strCache>
                <c:ptCount val="61"/>
                <c:pt idx="0">
                  <c:v>02</c:v>
                </c:pt>
                <c:pt idx="4">
                  <c:v>03</c:v>
                </c:pt>
                <c:pt idx="8">
                  <c:v>04</c:v>
                </c:pt>
                <c:pt idx="12">
                  <c:v>05</c:v>
                </c:pt>
                <c:pt idx="16">
                  <c:v>06</c:v>
                </c:pt>
                <c:pt idx="20">
                  <c:v>07</c:v>
                </c:pt>
                <c:pt idx="24">
                  <c:v>08</c:v>
                </c:pt>
                <c:pt idx="28">
                  <c:v>09</c:v>
                </c:pt>
                <c:pt idx="32">
                  <c:v>10</c:v>
                </c:pt>
                <c:pt idx="36">
                  <c:v>11</c:v>
                </c:pt>
                <c:pt idx="40">
                  <c:v>12</c:v>
                </c:pt>
                <c:pt idx="44">
                  <c:v>13</c:v>
                </c:pt>
                <c:pt idx="48">
                  <c:v>14</c:v>
                </c:pt>
                <c:pt idx="52">
                  <c:v>15</c:v>
                </c:pt>
                <c:pt idx="56">
                  <c:v>16</c:v>
                </c:pt>
                <c:pt idx="60">
                  <c:v>17</c:v>
                </c:pt>
              </c:strCache>
            </c:strRef>
          </c:cat>
          <c:val>
            <c:numRef>
              <c:f>Graphs!$Y$15:$Y$78</c:f>
              <c:numCache>
                <c:formatCode>0.0</c:formatCode>
                <c:ptCount val="64"/>
                <c:pt idx="0">
                  <c:v>96.133333332999996</c:v>
                </c:pt>
                <c:pt idx="1">
                  <c:v>100.166666667</c:v>
                </c:pt>
                <c:pt idx="2">
                  <c:v>97.933333332999993</c:v>
                </c:pt>
                <c:pt idx="3">
                  <c:v>96.433333332999993</c:v>
                </c:pt>
                <c:pt idx="4">
                  <c:v>93.333333330000002</c:v>
                </c:pt>
                <c:pt idx="5">
                  <c:v>89.833333330000002</c:v>
                </c:pt>
                <c:pt idx="6">
                  <c:v>93.233333329999994</c:v>
                </c:pt>
                <c:pt idx="7">
                  <c:v>99.766666666999996</c:v>
                </c:pt>
                <c:pt idx="8">
                  <c:v>101.8</c:v>
                </c:pt>
                <c:pt idx="9">
                  <c:v>105.23333333299999</c:v>
                </c:pt>
                <c:pt idx="10">
                  <c:v>107.333333333</c:v>
                </c:pt>
                <c:pt idx="11">
                  <c:v>104.5</c:v>
                </c:pt>
                <c:pt idx="12">
                  <c:v>102.6</c:v>
                </c:pt>
                <c:pt idx="13">
                  <c:v>98.333333332999999</c:v>
                </c:pt>
                <c:pt idx="14">
                  <c:v>99.3</c:v>
                </c:pt>
                <c:pt idx="15">
                  <c:v>105.06666666699999</c:v>
                </c:pt>
                <c:pt idx="16">
                  <c:v>107.833333333</c:v>
                </c:pt>
                <c:pt idx="17">
                  <c:v>111.5</c:v>
                </c:pt>
                <c:pt idx="18">
                  <c:v>112.36666666699999</c:v>
                </c:pt>
                <c:pt idx="19">
                  <c:v>112.3</c:v>
                </c:pt>
                <c:pt idx="20">
                  <c:v>110.666666667</c:v>
                </c:pt>
                <c:pt idx="21">
                  <c:v>112.833333333</c:v>
                </c:pt>
                <c:pt idx="22">
                  <c:v>111.43333333299999</c:v>
                </c:pt>
                <c:pt idx="23">
                  <c:v>107.39999999999999</c:v>
                </c:pt>
                <c:pt idx="24">
                  <c:v>107.666666667</c:v>
                </c:pt>
                <c:pt idx="25">
                  <c:v>104.89999999999999</c:v>
                </c:pt>
                <c:pt idx="26">
                  <c:v>101.1</c:v>
                </c:pt>
                <c:pt idx="27">
                  <c:v>84.266666669999992</c:v>
                </c:pt>
                <c:pt idx="28">
                  <c:v>75.533333329999991</c:v>
                </c:pt>
                <c:pt idx="29">
                  <c:v>78.933333329999996</c:v>
                </c:pt>
                <c:pt idx="30">
                  <c:v>86.2</c:v>
                </c:pt>
                <c:pt idx="31">
                  <c:v>95.5</c:v>
                </c:pt>
                <c:pt idx="32">
                  <c:v>99.933333332999993</c:v>
                </c:pt>
                <c:pt idx="33">
                  <c:v>100.8</c:v>
                </c:pt>
                <c:pt idx="34">
                  <c:v>100.8</c:v>
                </c:pt>
                <c:pt idx="35">
                  <c:v>106.166666667</c:v>
                </c:pt>
                <c:pt idx="36">
                  <c:v>111.3</c:v>
                </c:pt>
                <c:pt idx="37">
                  <c:v>106.2</c:v>
                </c:pt>
                <c:pt idx="38">
                  <c:v>99.233333333000004</c:v>
                </c:pt>
                <c:pt idx="39">
                  <c:v>94.733333329999994</c:v>
                </c:pt>
                <c:pt idx="40">
                  <c:v>96.86666666699999</c:v>
                </c:pt>
                <c:pt idx="41">
                  <c:v>94.1</c:v>
                </c:pt>
                <c:pt idx="42">
                  <c:v>94.233333329999994</c:v>
                </c:pt>
                <c:pt idx="43">
                  <c:v>92.899999999999991</c:v>
                </c:pt>
                <c:pt idx="44">
                  <c:v>92.733333329999994</c:v>
                </c:pt>
                <c:pt idx="45">
                  <c:v>92.5</c:v>
                </c:pt>
                <c:pt idx="46">
                  <c:v>96.7</c:v>
                </c:pt>
                <c:pt idx="47">
                  <c:v>99.666666667000001</c:v>
                </c:pt>
                <c:pt idx="48">
                  <c:v>101.133333333</c:v>
                </c:pt>
                <c:pt idx="49">
                  <c:v>99.933333332999993</c:v>
                </c:pt>
                <c:pt idx="50">
                  <c:v>98.466666666999998</c:v>
                </c:pt>
                <c:pt idx="51">
                  <c:v>99.2</c:v>
                </c:pt>
                <c:pt idx="52">
                  <c:v>98</c:v>
                </c:pt>
                <c:pt idx="53">
                  <c:v>100.8</c:v>
                </c:pt>
                <c:pt idx="54">
                  <c:v>100.466666667</c:v>
                </c:pt>
                <c:pt idx="55">
                  <c:v>102.7</c:v>
                </c:pt>
                <c:pt idx="56">
                  <c:v>101.2</c:v>
                </c:pt>
                <c:pt idx="57">
                  <c:v>104.3</c:v>
                </c:pt>
                <c:pt idx="58">
                  <c:v>104.366666667</c:v>
                </c:pt>
                <c:pt idx="59">
                  <c:v>104.533333333</c:v>
                </c:pt>
                <c:pt idx="60">
                  <c:v>105.06666666699999</c:v>
                </c:pt>
                <c:pt idx="61">
                  <c:v>104.5</c:v>
                </c:pt>
                <c:pt idx="62">
                  <c:v>103.43333333299999</c:v>
                </c:pt>
                <c:pt idx="63">
                  <c:v>106.533333333</c:v>
                </c:pt>
              </c:numCache>
            </c:numRef>
          </c:val>
          <c:smooth val="0"/>
        </c:ser>
        <c:ser>
          <c:idx val="1"/>
          <c:order val="2"/>
          <c:tx>
            <c:strRef>
              <c:f>Graphs!$Z$14</c:f>
              <c:strCache>
                <c:ptCount val="1"/>
                <c:pt idx="0">
                  <c:v>ESI ECFIN</c:v>
                </c:pt>
              </c:strCache>
            </c:strRef>
          </c:tx>
          <c:spPr>
            <a:ln w="25400">
              <a:solidFill>
                <a:srgbClr val="FFC000"/>
              </a:solidFill>
            </a:ln>
          </c:spPr>
          <c:marker>
            <c:symbol val="none"/>
          </c:marker>
          <c:cat>
            <c:strRef>
              <c:f>Graphs!$W$15:$W$78</c:f>
              <c:strCache>
                <c:ptCount val="61"/>
                <c:pt idx="0">
                  <c:v>02</c:v>
                </c:pt>
                <c:pt idx="4">
                  <c:v>03</c:v>
                </c:pt>
                <c:pt idx="8">
                  <c:v>04</c:v>
                </c:pt>
                <c:pt idx="12">
                  <c:v>05</c:v>
                </c:pt>
                <c:pt idx="16">
                  <c:v>06</c:v>
                </c:pt>
                <c:pt idx="20">
                  <c:v>07</c:v>
                </c:pt>
                <c:pt idx="24">
                  <c:v>08</c:v>
                </c:pt>
                <c:pt idx="28">
                  <c:v>09</c:v>
                </c:pt>
                <c:pt idx="32">
                  <c:v>10</c:v>
                </c:pt>
                <c:pt idx="36">
                  <c:v>11</c:v>
                </c:pt>
                <c:pt idx="40">
                  <c:v>12</c:v>
                </c:pt>
                <c:pt idx="44">
                  <c:v>13</c:v>
                </c:pt>
                <c:pt idx="48">
                  <c:v>14</c:v>
                </c:pt>
                <c:pt idx="52">
                  <c:v>15</c:v>
                </c:pt>
                <c:pt idx="56">
                  <c:v>16</c:v>
                </c:pt>
                <c:pt idx="60">
                  <c:v>17</c:v>
                </c:pt>
              </c:strCache>
            </c:strRef>
          </c:cat>
          <c:val>
            <c:numRef>
              <c:f>Graphs!$Z$15:$Z$78</c:f>
              <c:numCache>
                <c:formatCode>0.0</c:formatCode>
                <c:ptCount val="64"/>
                <c:pt idx="0">
                  <c:v>94.833333330000002</c:v>
                </c:pt>
                <c:pt idx="1">
                  <c:v>99.8</c:v>
                </c:pt>
                <c:pt idx="2">
                  <c:v>97.933333329999996</c:v>
                </c:pt>
                <c:pt idx="3">
                  <c:v>96.633333329999999</c:v>
                </c:pt>
                <c:pt idx="4">
                  <c:v>92.066666670000004</c:v>
                </c:pt>
                <c:pt idx="5">
                  <c:v>89.466666669999995</c:v>
                </c:pt>
                <c:pt idx="6">
                  <c:v>92.7</c:v>
                </c:pt>
                <c:pt idx="7">
                  <c:v>98.9</c:v>
                </c:pt>
                <c:pt idx="8">
                  <c:v>101.6333333</c:v>
                </c:pt>
                <c:pt idx="9">
                  <c:v>105.5</c:v>
                </c:pt>
                <c:pt idx="10">
                  <c:v>108.2333333</c:v>
                </c:pt>
                <c:pt idx="11">
                  <c:v>106.4</c:v>
                </c:pt>
                <c:pt idx="12">
                  <c:v>105.4666667</c:v>
                </c:pt>
                <c:pt idx="13">
                  <c:v>98.4</c:v>
                </c:pt>
                <c:pt idx="14">
                  <c:v>97.533333330000005</c:v>
                </c:pt>
                <c:pt idx="15">
                  <c:v>104.0666667</c:v>
                </c:pt>
                <c:pt idx="16">
                  <c:v>105.8</c:v>
                </c:pt>
                <c:pt idx="17">
                  <c:v>110.1333333</c:v>
                </c:pt>
                <c:pt idx="18">
                  <c:v>112.3</c:v>
                </c:pt>
                <c:pt idx="19">
                  <c:v>113.3</c:v>
                </c:pt>
                <c:pt idx="20">
                  <c:v>112.2333333</c:v>
                </c:pt>
                <c:pt idx="21">
                  <c:v>116.2666667</c:v>
                </c:pt>
                <c:pt idx="22">
                  <c:v>114.2333333</c:v>
                </c:pt>
                <c:pt idx="23">
                  <c:v>108.3666667</c:v>
                </c:pt>
                <c:pt idx="24">
                  <c:v>106.16666669999999</c:v>
                </c:pt>
                <c:pt idx="25">
                  <c:v>104.6333333</c:v>
                </c:pt>
                <c:pt idx="26">
                  <c:v>99.566666670000004</c:v>
                </c:pt>
                <c:pt idx="27">
                  <c:v>81.533333330000005</c:v>
                </c:pt>
                <c:pt idx="28">
                  <c:v>71.5</c:v>
                </c:pt>
                <c:pt idx="29">
                  <c:v>74.099999999999994</c:v>
                </c:pt>
                <c:pt idx="30">
                  <c:v>82.7</c:v>
                </c:pt>
                <c:pt idx="31">
                  <c:v>92.466666669999995</c:v>
                </c:pt>
                <c:pt idx="32">
                  <c:v>99.066666670000004</c:v>
                </c:pt>
                <c:pt idx="33">
                  <c:v>102.5666667</c:v>
                </c:pt>
                <c:pt idx="34">
                  <c:v>105.83333330000001</c:v>
                </c:pt>
                <c:pt idx="35">
                  <c:v>111.9333333</c:v>
                </c:pt>
                <c:pt idx="36">
                  <c:v>115.3</c:v>
                </c:pt>
                <c:pt idx="37">
                  <c:v>111.7333333</c:v>
                </c:pt>
                <c:pt idx="38">
                  <c:v>101.8</c:v>
                </c:pt>
                <c:pt idx="39">
                  <c:v>95.333333330000002</c:v>
                </c:pt>
                <c:pt idx="40">
                  <c:v>95.1</c:v>
                </c:pt>
                <c:pt idx="41">
                  <c:v>92.066666670000004</c:v>
                </c:pt>
                <c:pt idx="42">
                  <c:v>91.366666670000001</c:v>
                </c:pt>
                <c:pt idx="43">
                  <c:v>88.3</c:v>
                </c:pt>
                <c:pt idx="44">
                  <c:v>91.1</c:v>
                </c:pt>
                <c:pt idx="45">
                  <c:v>89</c:v>
                </c:pt>
                <c:pt idx="46">
                  <c:v>95.733333329999994</c:v>
                </c:pt>
                <c:pt idx="47">
                  <c:v>101.66666669999999</c:v>
                </c:pt>
                <c:pt idx="48">
                  <c:v>105.0666667</c:v>
                </c:pt>
                <c:pt idx="49">
                  <c:v>103.1</c:v>
                </c:pt>
                <c:pt idx="50">
                  <c:v>100.8</c:v>
                </c:pt>
                <c:pt idx="51">
                  <c:v>98.766666670000006</c:v>
                </c:pt>
                <c:pt idx="52">
                  <c:v>98.866666670000001</c:v>
                </c:pt>
                <c:pt idx="53">
                  <c:v>102.7</c:v>
                </c:pt>
                <c:pt idx="54">
                  <c:v>101.4333333</c:v>
                </c:pt>
                <c:pt idx="55">
                  <c:v>103.16666669999999</c:v>
                </c:pt>
                <c:pt idx="56">
                  <c:v>100.8</c:v>
                </c:pt>
                <c:pt idx="57">
                  <c:v>104.9</c:v>
                </c:pt>
                <c:pt idx="58">
                  <c:v>104.4</c:v>
                </c:pt>
                <c:pt idx="59">
                  <c:v>103.9333333</c:v>
                </c:pt>
                <c:pt idx="60">
                  <c:v>104.9333333</c:v>
                </c:pt>
                <c:pt idx="61">
                  <c:v>106.5666667</c:v>
                </c:pt>
                <c:pt idx="62">
                  <c:v>105.1333333</c:v>
                </c:pt>
                <c:pt idx="63">
                  <c:v>106.4</c:v>
                </c:pt>
              </c:numCache>
            </c:numRef>
          </c:val>
          <c:smooth val="0"/>
        </c:ser>
        <c:dLbls>
          <c:showLegendKey val="0"/>
          <c:showVal val="0"/>
          <c:showCatName val="0"/>
          <c:showSerName val="0"/>
          <c:showPercent val="0"/>
          <c:showBubbleSize val="0"/>
        </c:dLbls>
        <c:marker val="1"/>
        <c:smooth val="0"/>
        <c:axId val="503629696"/>
        <c:axId val="503628160"/>
      </c:lineChart>
      <c:lineChart>
        <c:grouping val="standard"/>
        <c:varyColors val="0"/>
        <c:ser>
          <c:idx val="2"/>
          <c:order val="0"/>
          <c:tx>
            <c:strRef>
              <c:f>Graphs!$X$14</c:f>
              <c:strCache>
                <c:ptCount val="1"/>
                <c:pt idx="0">
                  <c:v>Real GDP growth (lhs)</c:v>
                </c:pt>
              </c:strCache>
            </c:strRef>
          </c:tx>
          <c:spPr>
            <a:ln w="25400">
              <a:solidFill>
                <a:srgbClr val="002060"/>
              </a:solidFill>
            </a:ln>
          </c:spPr>
          <c:marker>
            <c:symbol val="none"/>
          </c:marker>
          <c:val>
            <c:numRef>
              <c:f>Graphs!$X$15:$X$78</c:f>
              <c:numCache>
                <c:formatCode>0.0</c:formatCode>
                <c:ptCount val="64"/>
                <c:pt idx="0">
                  <c:v>0.60617608879467433</c:v>
                </c:pt>
                <c:pt idx="1">
                  <c:v>1.5490943755958053</c:v>
                </c:pt>
                <c:pt idx="2">
                  <c:v>2.294980178631123</c:v>
                </c:pt>
                <c:pt idx="3">
                  <c:v>2.6726723138866815</c:v>
                </c:pt>
                <c:pt idx="4">
                  <c:v>1.3246052226615124</c:v>
                </c:pt>
                <c:pt idx="5">
                  <c:v>0.54329969490731767</c:v>
                </c:pt>
                <c:pt idx="6">
                  <c:v>0.4003735263219399</c:v>
                </c:pt>
                <c:pt idx="7">
                  <c:v>0.83550549245949846</c:v>
                </c:pt>
                <c:pt idx="8">
                  <c:v>2.8120144397584257</c:v>
                </c:pt>
                <c:pt idx="9">
                  <c:v>3.7160230150671714</c:v>
                </c:pt>
                <c:pt idx="10">
                  <c:v>4.2214548963528831</c:v>
                </c:pt>
                <c:pt idx="11">
                  <c:v>3.7805525422946573</c:v>
                </c:pt>
                <c:pt idx="12">
                  <c:v>2.5930639516385634</c:v>
                </c:pt>
                <c:pt idx="13">
                  <c:v>2.1042681760383486</c:v>
                </c:pt>
                <c:pt idx="14">
                  <c:v>1.6108161170853563</c:v>
                </c:pt>
                <c:pt idx="15">
                  <c:v>2.0982986767485778</c:v>
                </c:pt>
                <c:pt idx="16">
                  <c:v>2.3348027379660241</c:v>
                </c:pt>
                <c:pt idx="17">
                  <c:v>2.1589869623196645</c:v>
                </c:pt>
                <c:pt idx="18">
                  <c:v>2.6227384507289786</c:v>
                </c:pt>
                <c:pt idx="19">
                  <c:v>2.9046908524565263</c:v>
                </c:pt>
                <c:pt idx="20">
                  <c:v>3.5781544256120457</c:v>
                </c:pt>
                <c:pt idx="21">
                  <c:v>3.6463277811340289</c:v>
                </c:pt>
                <c:pt idx="22">
                  <c:v>3.5741412326026678</c:v>
                </c:pt>
                <c:pt idx="23">
                  <c:v>2.9878074594640536</c:v>
                </c:pt>
                <c:pt idx="24">
                  <c:v>2.2664576802507774</c:v>
                </c:pt>
                <c:pt idx="25">
                  <c:v>2.0286023564678013</c:v>
                </c:pt>
                <c:pt idx="26">
                  <c:v>0.73746617364538469</c:v>
                </c:pt>
                <c:pt idx="27">
                  <c:v>-1.8672860123115531</c:v>
                </c:pt>
                <c:pt idx="28">
                  <c:v>-3.5527082119976794</c:v>
                </c:pt>
                <c:pt idx="29">
                  <c:v>-3.8112726345320147</c:v>
                </c:pt>
                <c:pt idx="30">
                  <c:v>-2.2484928023623008</c:v>
                </c:pt>
                <c:pt idx="31">
                  <c:v>0.68488846999688047</c:v>
                </c:pt>
                <c:pt idx="32">
                  <c:v>2.340240698364271</c:v>
                </c:pt>
                <c:pt idx="33">
                  <c:v>3.4860906362353949</c:v>
                </c:pt>
                <c:pt idx="34">
                  <c:v>2.7984350580559925</c:v>
                </c:pt>
                <c:pt idx="35">
                  <c:v>2.3589615576635081</c:v>
                </c:pt>
                <c:pt idx="36">
                  <c:v>2.548627860995234</c:v>
                </c:pt>
                <c:pt idx="37">
                  <c:v>1.8170451750430638</c:v>
                </c:pt>
                <c:pt idx="38">
                  <c:v>1.5958043813196987</c:v>
                </c:pt>
                <c:pt idx="39">
                  <c:v>1.2457830345892873</c:v>
                </c:pt>
                <c:pt idx="40">
                  <c:v>0.77627368442303446</c:v>
                </c:pt>
                <c:pt idx="41">
                  <c:v>0.29190027076264613</c:v>
                </c:pt>
                <c:pt idx="42">
                  <c:v>3.0129254501809477E-2</c:v>
                </c:pt>
                <c:pt idx="43">
                  <c:v>-0.15757040486562568</c:v>
                </c:pt>
                <c:pt idx="44">
                  <c:v>-0.67012581136308702</c:v>
                </c:pt>
                <c:pt idx="45">
                  <c:v>1.0036230793319945E-3</c:v>
                </c:pt>
                <c:pt idx="46">
                  <c:v>0.52810714751858612</c:v>
                </c:pt>
                <c:pt idx="47">
                  <c:v>0.94691448618329233</c:v>
                </c:pt>
                <c:pt idx="48">
                  <c:v>1.5772011738249159</c:v>
                </c:pt>
                <c:pt idx="49">
                  <c:v>1.3418305901244487</c:v>
                </c:pt>
                <c:pt idx="50">
                  <c:v>1.2394259290700704</c:v>
                </c:pt>
                <c:pt idx="51">
                  <c:v>1.2507094988200018</c:v>
                </c:pt>
                <c:pt idx="52">
                  <c:v>1.3620975508056521</c:v>
                </c:pt>
                <c:pt idx="53">
                  <c:v>1.5825385978985196</c:v>
                </c:pt>
                <c:pt idx="54">
                  <c:v>1.2499013495383293</c:v>
                </c:pt>
                <c:pt idx="55">
                  <c:v>1.4231060494300785</c:v>
                </c:pt>
                <c:pt idx="56">
                  <c:v>1.2869861604912769</c:v>
                </c:pt>
                <c:pt idx="57">
                  <c:v>1.563733853278082</c:v>
                </c:pt>
                <c:pt idx="58">
                  <c:v>1.6164076582062537</c:v>
                </c:pt>
                <c:pt idx="59">
                  <c:v>1.3963500959990771</c:v>
                </c:pt>
                <c:pt idx="60">
                  <c:v>1.8092502876814409</c:v>
                </c:pt>
                <c:pt idx="61">
                  <c:v>1.533898386431054</c:v>
                </c:pt>
                <c:pt idx="62">
                  <c:v>1.6769900473661004</c:v>
                </c:pt>
                <c:pt idx="63">
                  <c:v>1.9</c:v>
                </c:pt>
              </c:numCache>
            </c:numRef>
          </c:val>
          <c:smooth val="0"/>
        </c:ser>
        <c:dLbls>
          <c:showLegendKey val="0"/>
          <c:showVal val="0"/>
          <c:showCatName val="0"/>
          <c:showSerName val="0"/>
          <c:showPercent val="0"/>
          <c:showBubbleSize val="0"/>
        </c:dLbls>
        <c:marker val="1"/>
        <c:smooth val="0"/>
        <c:axId val="503637120"/>
        <c:axId val="503631232"/>
      </c:lineChart>
      <c:valAx>
        <c:axId val="503628160"/>
        <c:scaling>
          <c:orientation val="minMax"/>
          <c:max val="120"/>
          <c:min val="70"/>
        </c:scaling>
        <c:delete val="0"/>
        <c:axPos val="r"/>
        <c:numFmt formatCode="0.0" sourceLinked="1"/>
        <c:majorTickMark val="in"/>
        <c:minorTickMark val="none"/>
        <c:tickLblPos val="nextTo"/>
        <c:spPr>
          <a:ln w="6350" cmpd="sng">
            <a:solidFill>
              <a:srgbClr val="000000"/>
            </a:solidFill>
            <a:prstDash val="solid"/>
          </a:ln>
        </c:spPr>
        <c:txPr>
          <a:bodyPr/>
          <a:lstStyle/>
          <a:p>
            <a:pPr>
              <a:defRPr sz="800" b="0" i="0">
                <a:latin typeface="Times New Roman"/>
                <a:ea typeface="Times New Roman"/>
                <a:cs typeface="Times New Roman"/>
              </a:defRPr>
            </a:pPr>
            <a:endParaRPr lang="en-US"/>
          </a:p>
        </c:txPr>
        <c:crossAx val="503629696"/>
        <c:crosses val="max"/>
        <c:crossBetween val="between"/>
        <c:majorUnit val="5"/>
      </c:valAx>
      <c:catAx>
        <c:axId val="503629696"/>
        <c:scaling>
          <c:orientation val="minMax"/>
        </c:scaling>
        <c:delete val="0"/>
        <c:axPos val="b"/>
        <c:numFmt formatCode="0" sourceLinked="1"/>
        <c:majorTickMark val="in"/>
        <c:minorTickMark val="none"/>
        <c:tickLblPos val="low"/>
        <c:spPr>
          <a:ln w="6350" cmpd="sng">
            <a:solidFill>
              <a:srgbClr val="000000"/>
            </a:solidFill>
            <a:prstDash val="solid"/>
          </a:ln>
        </c:spPr>
        <c:txPr>
          <a:bodyPr/>
          <a:lstStyle/>
          <a:p>
            <a:pPr>
              <a:defRPr sz="800" b="0" i="0">
                <a:latin typeface="Times New Roman"/>
                <a:ea typeface="Times New Roman"/>
                <a:cs typeface="Times New Roman"/>
              </a:defRPr>
            </a:pPr>
            <a:endParaRPr lang="en-US"/>
          </a:p>
        </c:txPr>
        <c:crossAx val="503628160"/>
        <c:crossesAt val="95"/>
        <c:auto val="1"/>
        <c:lblAlgn val="ctr"/>
        <c:lblOffset val="100"/>
        <c:tickLblSkip val="4"/>
        <c:tickMarkSkip val="4"/>
        <c:noMultiLvlLbl val="0"/>
      </c:catAx>
      <c:valAx>
        <c:axId val="503631232"/>
        <c:scaling>
          <c:orientation val="minMax"/>
        </c:scaling>
        <c:delete val="0"/>
        <c:axPos val="l"/>
        <c:numFmt formatCode="#,##0" sourceLinked="0"/>
        <c:majorTickMark val="in"/>
        <c:minorTickMark val="none"/>
        <c:tickLblPos val="nextTo"/>
        <c:spPr>
          <a:ln w="6350" cmpd="sng">
            <a:solidFill>
              <a:srgbClr val="000000"/>
            </a:solidFill>
            <a:prstDash val="solid"/>
          </a:ln>
        </c:spPr>
        <c:txPr>
          <a:bodyPr/>
          <a:lstStyle/>
          <a:p>
            <a:pPr>
              <a:defRPr sz="800" b="0" i="0">
                <a:latin typeface="Times New Roman"/>
                <a:ea typeface="Times New Roman"/>
                <a:cs typeface="Times New Roman"/>
              </a:defRPr>
            </a:pPr>
            <a:endParaRPr lang="en-US"/>
          </a:p>
        </c:txPr>
        <c:crossAx val="503637120"/>
        <c:crosses val="autoZero"/>
        <c:crossBetween val="between"/>
      </c:valAx>
      <c:catAx>
        <c:axId val="503637120"/>
        <c:scaling>
          <c:orientation val="minMax"/>
        </c:scaling>
        <c:delete val="1"/>
        <c:axPos val="b"/>
        <c:majorTickMark val="out"/>
        <c:minorTickMark val="none"/>
        <c:tickLblPos val="nextTo"/>
        <c:crossAx val="503631232"/>
        <c:crossesAt val="0"/>
        <c:auto val="1"/>
        <c:lblAlgn val="ctr"/>
        <c:lblOffset val="100"/>
        <c:noMultiLvlLbl val="0"/>
      </c:catAx>
      <c:spPr>
        <a:noFill/>
        <a:ln>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round/>
            </a14:hiddenLine>
          </a:ext>
        </a:extLst>
      </c:spPr>
    </c:plotArea>
    <c:legend>
      <c:legendPos val="b"/>
      <c:overlay val="0"/>
    </c:legend>
    <c:plotVisOnly val="1"/>
    <c:dispBlanksAs val="gap"/>
    <c:showDLblsOverMax val="0"/>
  </c:chart>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solidFill>
          <a:prstDash val="solid"/>
          <a:round/>
        </a14:hiddenLine>
      </a:ext>
    </a:extLst>
  </c:spPr>
  <c:txPr>
    <a:bodyPr/>
    <a:lstStyle/>
    <a:p>
      <a:pPr>
        <a:defRPr sz="800">
          <a:latin typeface="Times New Roman"/>
          <a:ea typeface="Times New Roman"/>
          <a:cs typeface="Times New Roman"/>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Belgium: headline and core inflation </a:t>
            </a:r>
          </a:p>
        </c:rich>
      </c:tx>
      <c:layout>
        <c:manualLayout>
          <c:xMode val="edge"/>
          <c:yMode val="edge"/>
          <c:x val="0.21636811023622046"/>
          <c:y val="0"/>
        </c:manualLayout>
      </c:layout>
      <c:overlay val="1"/>
    </c:title>
    <c:autoTitleDeleted val="0"/>
    <c:plotArea>
      <c:layout>
        <c:manualLayout>
          <c:layoutTarget val="inner"/>
          <c:xMode val="edge"/>
          <c:yMode val="edge"/>
          <c:x val="7.1254811898512682E-2"/>
          <c:y val="0.1051622193059201"/>
          <c:w val="0.88945494313210849"/>
          <c:h val="0.69942548848060659"/>
        </c:manualLayout>
      </c:layout>
      <c:lineChart>
        <c:grouping val="standard"/>
        <c:varyColors val="0"/>
        <c:ser>
          <c:idx val="0"/>
          <c:order val="0"/>
          <c:tx>
            <c:strRef>
              <c:f>Graphs!$AC$6</c:f>
              <c:strCache>
                <c:ptCount val="1"/>
                <c:pt idx="0">
                  <c:v>HICP</c:v>
                </c:pt>
              </c:strCache>
            </c:strRef>
          </c:tx>
          <c:marker>
            <c:symbol val="none"/>
          </c:marker>
          <c:cat>
            <c:strRef>
              <c:f>Graphs!$W$7:$W$78</c:f>
              <c:strCache>
                <c:ptCount val="69"/>
                <c:pt idx="0">
                  <c:v>00</c:v>
                </c:pt>
                <c:pt idx="4">
                  <c:v>01</c:v>
                </c:pt>
                <c:pt idx="8">
                  <c:v>02</c:v>
                </c:pt>
                <c:pt idx="12">
                  <c:v>03</c:v>
                </c:pt>
                <c:pt idx="16">
                  <c:v>04</c:v>
                </c:pt>
                <c:pt idx="20">
                  <c:v>05</c:v>
                </c:pt>
                <c:pt idx="24">
                  <c:v>06</c:v>
                </c:pt>
                <c:pt idx="28">
                  <c:v>07</c:v>
                </c:pt>
                <c:pt idx="32">
                  <c:v>08</c:v>
                </c:pt>
                <c:pt idx="36">
                  <c:v>09</c:v>
                </c:pt>
                <c:pt idx="40">
                  <c:v>10</c:v>
                </c:pt>
                <c:pt idx="44">
                  <c:v>11</c:v>
                </c:pt>
                <c:pt idx="48">
                  <c:v>12</c:v>
                </c:pt>
                <c:pt idx="52">
                  <c:v>13</c:v>
                </c:pt>
                <c:pt idx="56">
                  <c:v>14</c:v>
                </c:pt>
                <c:pt idx="60">
                  <c:v>15</c:v>
                </c:pt>
                <c:pt idx="64">
                  <c:v>16</c:v>
                </c:pt>
                <c:pt idx="68">
                  <c:v>17</c:v>
                </c:pt>
              </c:strCache>
            </c:strRef>
          </c:cat>
          <c:val>
            <c:numRef>
              <c:f>Graphs!$AC$7:$AC$78</c:f>
              <c:numCache>
                <c:formatCode>0.0</c:formatCode>
                <c:ptCount val="72"/>
                <c:pt idx="0">
                  <c:v>1.6537277780329873</c:v>
                </c:pt>
                <c:pt idx="1">
                  <c:v>2.5712458896602044</c:v>
                </c:pt>
                <c:pt idx="2">
                  <c:v>3.0524250581740517</c:v>
                </c:pt>
                <c:pt idx="3">
                  <c:v>3.4283897920261808</c:v>
                </c:pt>
                <c:pt idx="4">
                  <c:v>2.4628315784716932</c:v>
                </c:pt>
                <c:pt idx="5">
                  <c:v>3.0054766463333209</c:v>
                </c:pt>
                <c:pt idx="6">
                  <c:v>2.3820065527317809</c:v>
                </c:pt>
                <c:pt idx="7">
                  <c:v>1.8966501295166296</c:v>
                </c:pt>
                <c:pt idx="8">
                  <c:v>2.5447649289935583</c:v>
                </c:pt>
                <c:pt idx="9">
                  <c:v>1.2708567476441743</c:v>
                </c:pt>
                <c:pt idx="10">
                  <c:v>1.1892406158104052</c:v>
                </c:pt>
                <c:pt idx="11">
                  <c:v>1.2064285406523112</c:v>
                </c:pt>
                <c:pt idx="12">
                  <c:v>1.5225151606382639</c:v>
                </c:pt>
                <c:pt idx="13">
                  <c:v>1.3103978145808384</c:v>
                </c:pt>
                <c:pt idx="14">
                  <c:v>1.5898115304072888</c:v>
                </c:pt>
                <c:pt idx="15">
                  <c:v>1.6433224062326985</c:v>
                </c:pt>
                <c:pt idx="16">
                  <c:v>1.1438254607074612</c:v>
                </c:pt>
                <c:pt idx="17">
                  <c:v>2.0181167052875253</c:v>
                </c:pt>
                <c:pt idx="18">
                  <c:v>1.964578688317701</c:v>
                </c:pt>
                <c:pt idx="19">
                  <c:v>2.2952879581151961</c:v>
                </c:pt>
                <c:pt idx="20">
                  <c:v>2.3623036649214555</c:v>
                </c:pt>
                <c:pt idx="21">
                  <c:v>2.4737755017758332</c:v>
                </c:pt>
                <c:pt idx="22">
                  <c:v>2.8343922765904637</c:v>
                </c:pt>
                <c:pt idx="23">
                  <c:v>2.4771731564508599</c:v>
                </c:pt>
                <c:pt idx="24">
                  <c:v>2.5860305249805862</c:v>
                </c:pt>
                <c:pt idx="25">
                  <c:v>2.5913835489461263</c:v>
                </c:pt>
                <c:pt idx="26">
                  <c:v>2.2106318956870723</c:v>
                </c:pt>
                <c:pt idx="27">
                  <c:v>1.9298385807895215</c:v>
                </c:pt>
                <c:pt idx="28">
                  <c:v>1.7709704439391913</c:v>
                </c:pt>
                <c:pt idx="29">
                  <c:v>1.4613450659961984</c:v>
                </c:pt>
                <c:pt idx="30">
                  <c:v>1.299262050557374</c:v>
                </c:pt>
                <c:pt idx="31">
                  <c:v>2.7321547567715783</c:v>
                </c:pt>
                <c:pt idx="32">
                  <c:v>3.8487164413090369</c:v>
                </c:pt>
                <c:pt idx="33">
                  <c:v>4.9790924577977478</c:v>
                </c:pt>
                <c:pt idx="34">
                  <c:v>5.5682566745456796</c:v>
                </c:pt>
                <c:pt idx="35">
                  <c:v>3.5676129426129393</c:v>
                </c:pt>
                <c:pt idx="36">
                  <c:v>1.5511189946031578</c:v>
                </c:pt>
                <c:pt idx="37">
                  <c:v>-0.19178284281183267</c:v>
                </c:pt>
                <c:pt idx="38">
                  <c:v>-1.1525473498751921</c:v>
                </c:pt>
                <c:pt idx="39">
                  <c:v>-0.1915779390634782</c:v>
                </c:pt>
                <c:pt idx="40">
                  <c:v>1.1706555671175778</c:v>
                </c:pt>
                <c:pt idx="41">
                  <c:v>2.4092823885891761</c:v>
                </c:pt>
                <c:pt idx="42">
                  <c:v>2.584478277014469</c:v>
                </c:pt>
                <c:pt idx="43">
                  <c:v>3.1817662054042017</c:v>
                </c:pt>
                <c:pt idx="44">
                  <c:v>3.4810833087036315</c:v>
                </c:pt>
                <c:pt idx="45">
                  <c:v>3.167044467544855</c:v>
                </c:pt>
                <c:pt idx="46">
                  <c:v>3.6064791529764051</c:v>
                </c:pt>
                <c:pt idx="47">
                  <c:v>3.2979032862249937</c:v>
                </c:pt>
                <c:pt idx="48">
                  <c:v>3.267775387892911</c:v>
                </c:pt>
                <c:pt idx="49">
                  <c:v>2.5673368168364732</c:v>
                </c:pt>
                <c:pt idx="50">
                  <c:v>2.4046495566193187</c:v>
                </c:pt>
                <c:pt idx="51">
                  <c:v>2.3014672415075665</c:v>
                </c:pt>
                <c:pt idx="52">
                  <c:v>1.4808809069420334</c:v>
                </c:pt>
                <c:pt idx="53">
                  <c:v>1.3625009366243575</c:v>
                </c:pt>
                <c:pt idx="54">
                  <c:v>1.2528471031776576</c:v>
                </c:pt>
                <c:pt idx="55">
                  <c:v>0.93999156842406251</c:v>
                </c:pt>
                <c:pt idx="56">
                  <c:v>0.92159643193419072</c:v>
                </c:pt>
                <c:pt idx="57">
                  <c:v>0.67687366446105557</c:v>
                </c:pt>
                <c:pt idx="58">
                  <c:v>0.38463577157999396</c:v>
                </c:pt>
                <c:pt idx="59">
                  <c:v>-3.955504369088203E-3</c:v>
                </c:pt>
                <c:pt idx="60">
                  <c:v>-0.40585998622488262</c:v>
                </c:pt>
                <c:pt idx="61">
                  <c:v>0.66708790911307858</c:v>
                </c:pt>
                <c:pt idx="62">
                  <c:v>0.81195210219418357</c:v>
                </c:pt>
                <c:pt idx="63">
                  <c:v>1.3174303632817157</c:v>
                </c:pt>
                <c:pt idx="64">
                  <c:v>1.5697500525035508</c:v>
                </c:pt>
                <c:pt idx="65">
                  <c:v>1.6807425161342593</c:v>
                </c:pt>
                <c:pt idx="66">
                  <c:v>1.9714441160531919</c:v>
                </c:pt>
                <c:pt idx="67">
                  <c:v>1.9784739959676614</c:v>
                </c:pt>
                <c:pt idx="68">
                  <c:v>2.932023429607284</c:v>
                </c:pt>
                <c:pt idx="69">
                  <c:v>2.0144240531024877</c:v>
                </c:pt>
                <c:pt idx="70">
                  <c:v>1.9046469536035318</c:v>
                </c:pt>
              </c:numCache>
            </c:numRef>
          </c:val>
          <c:smooth val="0"/>
        </c:ser>
        <c:ser>
          <c:idx val="1"/>
          <c:order val="1"/>
          <c:tx>
            <c:strRef>
              <c:f>Graphs!$AD$6</c:f>
              <c:strCache>
                <c:ptCount val="1"/>
                <c:pt idx="0">
                  <c:v>Core HICP</c:v>
                </c:pt>
              </c:strCache>
            </c:strRef>
          </c:tx>
          <c:spPr>
            <a:ln>
              <a:solidFill>
                <a:srgbClr val="FF0000"/>
              </a:solidFill>
            </a:ln>
          </c:spPr>
          <c:marker>
            <c:symbol val="none"/>
          </c:marker>
          <c:cat>
            <c:strRef>
              <c:f>Graphs!$W$7:$W$78</c:f>
              <c:strCache>
                <c:ptCount val="69"/>
                <c:pt idx="0">
                  <c:v>00</c:v>
                </c:pt>
                <c:pt idx="4">
                  <c:v>01</c:v>
                </c:pt>
                <c:pt idx="8">
                  <c:v>02</c:v>
                </c:pt>
                <c:pt idx="12">
                  <c:v>03</c:v>
                </c:pt>
                <c:pt idx="16">
                  <c:v>04</c:v>
                </c:pt>
                <c:pt idx="20">
                  <c:v>05</c:v>
                </c:pt>
                <c:pt idx="24">
                  <c:v>06</c:v>
                </c:pt>
                <c:pt idx="28">
                  <c:v>07</c:v>
                </c:pt>
                <c:pt idx="32">
                  <c:v>08</c:v>
                </c:pt>
                <c:pt idx="36">
                  <c:v>09</c:v>
                </c:pt>
                <c:pt idx="40">
                  <c:v>10</c:v>
                </c:pt>
                <c:pt idx="44">
                  <c:v>11</c:v>
                </c:pt>
                <c:pt idx="48">
                  <c:v>12</c:v>
                </c:pt>
                <c:pt idx="52">
                  <c:v>13</c:v>
                </c:pt>
                <c:pt idx="56">
                  <c:v>14</c:v>
                </c:pt>
                <c:pt idx="60">
                  <c:v>15</c:v>
                </c:pt>
                <c:pt idx="64">
                  <c:v>16</c:v>
                </c:pt>
                <c:pt idx="68">
                  <c:v>17</c:v>
                </c:pt>
              </c:strCache>
            </c:strRef>
          </c:cat>
          <c:val>
            <c:numRef>
              <c:f>Graphs!$AD$7:$AD$78</c:f>
              <c:numCache>
                <c:formatCode>0.0</c:formatCode>
                <c:ptCount val="72"/>
                <c:pt idx="0">
                  <c:v>0.63092874476065219</c:v>
                </c:pt>
                <c:pt idx="1">
                  <c:v>1.3775195845436201</c:v>
                </c:pt>
                <c:pt idx="2">
                  <c:v>1.0629419774234634</c:v>
                </c:pt>
                <c:pt idx="3">
                  <c:v>1.4770984001753362</c:v>
                </c:pt>
                <c:pt idx="4">
                  <c:v>1.5477025605050727</c:v>
                </c:pt>
                <c:pt idx="5">
                  <c:v>1.8233123507705784</c:v>
                </c:pt>
                <c:pt idx="6">
                  <c:v>2.2426007214568102</c:v>
                </c:pt>
                <c:pt idx="7">
                  <c:v>2.673635107118173</c:v>
                </c:pt>
                <c:pt idx="8">
                  <c:v>2.7675834376753983</c:v>
                </c:pt>
                <c:pt idx="9">
                  <c:v>2.1871669153698434</c:v>
                </c:pt>
                <c:pt idx="10">
                  <c:v>1.9086078639745097</c:v>
                </c:pt>
                <c:pt idx="11">
                  <c:v>1.3966597955492119</c:v>
                </c:pt>
                <c:pt idx="12">
                  <c:v>1.3360221830098169</c:v>
                </c:pt>
                <c:pt idx="13">
                  <c:v>1.8441255006675732</c:v>
                </c:pt>
                <c:pt idx="14">
                  <c:v>1.6601318094602249</c:v>
                </c:pt>
                <c:pt idx="15">
                  <c:v>1.8047545948636952</c:v>
                </c:pt>
                <c:pt idx="16">
                  <c:v>1.662520729684914</c:v>
                </c:pt>
                <c:pt idx="17">
                  <c:v>1.4174518639901663</c:v>
                </c:pt>
                <c:pt idx="18">
                  <c:v>1.3704250779583305</c:v>
                </c:pt>
                <c:pt idx="19">
                  <c:v>1.2062922813595094</c:v>
                </c:pt>
                <c:pt idx="20">
                  <c:v>1.3539415195138673</c:v>
                </c:pt>
                <c:pt idx="21">
                  <c:v>1.2885765067054393</c:v>
                </c:pt>
                <c:pt idx="22">
                  <c:v>1.2668987290536506</c:v>
                </c:pt>
                <c:pt idx="23">
                  <c:v>1.5945880647499422</c:v>
                </c:pt>
                <c:pt idx="24">
                  <c:v>1.3559731219571205</c:v>
                </c:pt>
                <c:pt idx="25">
                  <c:v>1.643070787637086</c:v>
                </c:pt>
                <c:pt idx="26">
                  <c:v>1.8625844358287793</c:v>
                </c:pt>
                <c:pt idx="27">
                  <c:v>1.589377724930614</c:v>
                </c:pt>
                <c:pt idx="28">
                  <c:v>1.7864231838030946</c:v>
                </c:pt>
                <c:pt idx="29">
                  <c:v>1.863695217169564</c:v>
                </c:pt>
                <c:pt idx="30">
                  <c:v>1.7932116931528554</c:v>
                </c:pt>
                <c:pt idx="31">
                  <c:v>2.1614451250438975</c:v>
                </c:pt>
                <c:pt idx="32">
                  <c:v>2.5117004680187449</c:v>
                </c:pt>
                <c:pt idx="33">
                  <c:v>2.5190663277097229</c:v>
                </c:pt>
                <c:pt idx="34">
                  <c:v>2.8987741885745208</c:v>
                </c:pt>
                <c:pt idx="35">
                  <c:v>2.9253389345044667</c:v>
                </c:pt>
                <c:pt idx="36">
                  <c:v>2.3436311063765203</c:v>
                </c:pt>
                <c:pt idx="37">
                  <c:v>2.3782687105500315</c:v>
                </c:pt>
                <c:pt idx="38">
                  <c:v>1.876826253090556</c:v>
                </c:pt>
                <c:pt idx="39">
                  <c:v>1.5175689213758403</c:v>
                </c:pt>
                <c:pt idx="40">
                  <c:v>1.144981412639396</c:v>
                </c:pt>
                <c:pt idx="41">
                  <c:v>1.0532496605380146</c:v>
                </c:pt>
                <c:pt idx="42">
                  <c:v>1.0038610038610045</c:v>
                </c:pt>
                <c:pt idx="43">
                  <c:v>1.3433976557283671</c:v>
                </c:pt>
                <c:pt idx="44">
                  <c:v>1.7483028316581652</c:v>
                </c:pt>
                <c:pt idx="45">
                  <c:v>1.5829250374098649</c:v>
                </c:pt>
                <c:pt idx="46">
                  <c:v>2.0026857803838283</c:v>
                </c:pt>
                <c:pt idx="47">
                  <c:v>1.8337791136970623</c:v>
                </c:pt>
                <c:pt idx="48">
                  <c:v>2.1668102260600932</c:v>
                </c:pt>
                <c:pt idx="49">
                  <c:v>2.1117064467873519</c:v>
                </c:pt>
                <c:pt idx="50">
                  <c:v>1.9434794810437808</c:v>
                </c:pt>
                <c:pt idx="51">
                  <c:v>2.036000494771244</c:v>
                </c:pt>
                <c:pt idx="52">
                  <c:v>1.789347554410142</c:v>
                </c:pt>
                <c:pt idx="53">
                  <c:v>1.7894139604464954</c:v>
                </c:pt>
                <c:pt idx="54">
                  <c:v>1.8013889361579771</c:v>
                </c:pt>
                <c:pt idx="55">
                  <c:v>1.7732405504951885</c:v>
                </c:pt>
                <c:pt idx="56">
                  <c:v>1.5872436680138549</c:v>
                </c:pt>
                <c:pt idx="57">
                  <c:v>1.7684838496145261</c:v>
                </c:pt>
                <c:pt idx="58">
                  <c:v>1.610460228067609</c:v>
                </c:pt>
                <c:pt idx="59">
                  <c:v>1.3189960026961671</c:v>
                </c:pt>
                <c:pt idx="60">
                  <c:v>1.5719731408831592</c:v>
                </c:pt>
                <c:pt idx="61">
                  <c:v>1.4529393781291304</c:v>
                </c:pt>
                <c:pt idx="62">
                  <c:v>1.5748353487646511</c:v>
                </c:pt>
                <c:pt idx="63">
                  <c:v>1.9024656081490861</c:v>
                </c:pt>
                <c:pt idx="64">
                  <c:v>2.1559623884492112</c:v>
                </c:pt>
                <c:pt idx="65">
                  <c:v>2.163529197354876</c:v>
                </c:pt>
                <c:pt idx="66">
                  <c:v>2.1516421373374897</c:v>
                </c:pt>
                <c:pt idx="67">
                  <c:v>1.6208115820181916</c:v>
                </c:pt>
                <c:pt idx="68">
                  <c:v>1.4395052352356998</c:v>
                </c:pt>
                <c:pt idx="69">
                  <c:v>1.5615705973159919</c:v>
                </c:pt>
                <c:pt idx="70">
                  <c:v>1.7084574371841939</c:v>
                </c:pt>
              </c:numCache>
            </c:numRef>
          </c:val>
          <c:smooth val="0"/>
        </c:ser>
        <c:dLbls>
          <c:showLegendKey val="0"/>
          <c:showVal val="0"/>
          <c:showCatName val="0"/>
          <c:showSerName val="0"/>
          <c:showPercent val="0"/>
          <c:showBubbleSize val="0"/>
        </c:dLbls>
        <c:marker val="1"/>
        <c:smooth val="0"/>
        <c:axId val="503748480"/>
        <c:axId val="503750016"/>
      </c:lineChart>
      <c:catAx>
        <c:axId val="503748480"/>
        <c:scaling>
          <c:orientation val="minMax"/>
        </c:scaling>
        <c:delete val="0"/>
        <c:axPos val="b"/>
        <c:majorGridlines>
          <c:spPr>
            <a:ln w="3175">
              <a:solidFill>
                <a:schemeClr val="bg1">
                  <a:lumMod val="65000"/>
                </a:schemeClr>
              </a:solidFill>
            </a:ln>
          </c:spPr>
        </c:majorGridlines>
        <c:majorTickMark val="none"/>
        <c:minorTickMark val="none"/>
        <c:tickLblPos val="low"/>
        <c:crossAx val="503750016"/>
        <c:crosses val="autoZero"/>
        <c:auto val="1"/>
        <c:lblAlgn val="ctr"/>
        <c:lblOffset val="100"/>
        <c:tickLblSkip val="1"/>
        <c:tickMarkSkip val="4"/>
        <c:noMultiLvlLbl val="0"/>
      </c:catAx>
      <c:valAx>
        <c:axId val="503750016"/>
        <c:scaling>
          <c:orientation val="minMax"/>
        </c:scaling>
        <c:delete val="0"/>
        <c:axPos val="l"/>
        <c:majorGridlines/>
        <c:numFmt formatCode="#,##0" sourceLinked="0"/>
        <c:majorTickMark val="out"/>
        <c:minorTickMark val="none"/>
        <c:tickLblPos val="nextTo"/>
        <c:crossAx val="503748480"/>
        <c:crosses val="autoZero"/>
        <c:crossBetween val="between"/>
      </c:valAx>
    </c:plotArea>
    <c:legend>
      <c:legendPos val="b"/>
      <c:overlay val="0"/>
    </c:legend>
    <c:plotVisOnly val="1"/>
    <c:dispBlanksAs val="gap"/>
    <c:showDLblsOverMax val="0"/>
  </c:chart>
  <c:txPr>
    <a:bodyPr/>
    <a:lstStyle/>
    <a:p>
      <a:pPr>
        <a:defRPr sz="1100"/>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BE: investment in equipment and capacity utilisation rate</a:t>
            </a:r>
          </a:p>
        </c:rich>
      </c:tx>
      <c:layout>
        <c:manualLayout>
          <c:xMode val="edge"/>
          <c:yMode val="edge"/>
          <c:x val="0.1217095189833944"/>
          <c:y val="2.2038571317510913E-2"/>
        </c:manualLayout>
      </c:layout>
      <c:overlay val="0"/>
    </c:title>
    <c:autoTitleDeleted val="0"/>
    <c:plotArea>
      <c:layout>
        <c:manualLayout>
          <c:layoutTarget val="inner"/>
          <c:xMode val="edge"/>
          <c:yMode val="edge"/>
          <c:x val="8.0488407699037617E-2"/>
          <c:y val="0.14177395575349008"/>
          <c:w val="0.84752318460192477"/>
          <c:h val="0.66778814651103391"/>
        </c:manualLayout>
      </c:layout>
      <c:lineChart>
        <c:grouping val="standard"/>
        <c:varyColors val="0"/>
        <c:ser>
          <c:idx val="0"/>
          <c:order val="0"/>
          <c:tx>
            <c:strRef>
              <c:f>Graphs!$AK$6</c:f>
              <c:strCache>
                <c:ptCount val="1"/>
                <c:pt idx="0">
                  <c:v>GFCF equipment (yoy%)(lhs)</c:v>
                </c:pt>
              </c:strCache>
            </c:strRef>
          </c:tx>
          <c:marker>
            <c:symbol val="none"/>
          </c:marker>
          <c:cat>
            <c:strRef>
              <c:f>Graphs!$AJ$7:$AJ$24</c:f>
              <c:strCache>
                <c:ptCount val="18"/>
                <c:pt idx="0">
                  <c:v>00</c:v>
                </c:pt>
                <c:pt idx="1">
                  <c:v>01</c:v>
                </c:pt>
                <c:pt idx="2">
                  <c:v>02</c:v>
                </c:pt>
                <c:pt idx="3">
                  <c:v>03</c:v>
                </c:pt>
                <c:pt idx="4">
                  <c:v>04</c:v>
                </c:pt>
                <c:pt idx="5">
                  <c:v>05</c:v>
                </c:pt>
                <c:pt idx="6">
                  <c:v>06</c:v>
                </c:pt>
                <c:pt idx="7">
                  <c:v>07</c:v>
                </c:pt>
                <c:pt idx="8">
                  <c:v>08</c:v>
                </c:pt>
                <c:pt idx="9">
                  <c:v>09</c:v>
                </c:pt>
                <c:pt idx="10">
                  <c:v>10</c:v>
                </c:pt>
                <c:pt idx="11">
                  <c:v>11</c:v>
                </c:pt>
                <c:pt idx="12">
                  <c:v>12</c:v>
                </c:pt>
                <c:pt idx="13">
                  <c:v>13</c:v>
                </c:pt>
                <c:pt idx="14">
                  <c:v>14</c:v>
                </c:pt>
                <c:pt idx="15">
                  <c:v>15</c:v>
                </c:pt>
                <c:pt idx="16">
                  <c:v>16</c:v>
                </c:pt>
                <c:pt idx="17">
                  <c:v>17</c:v>
                </c:pt>
              </c:strCache>
            </c:strRef>
          </c:cat>
          <c:val>
            <c:numRef>
              <c:f>Graphs!$AK$7:$AK$24</c:f>
              <c:numCache>
                <c:formatCode>0.0</c:formatCode>
                <c:ptCount val="18"/>
                <c:pt idx="0">
                  <c:v>11.965471577332231</c:v>
                </c:pt>
                <c:pt idx="1">
                  <c:v>1.9422422691098173</c:v>
                </c:pt>
                <c:pt idx="2">
                  <c:v>-5.5375804908887272</c:v>
                </c:pt>
                <c:pt idx="3">
                  <c:v>-4.4187856742785581</c:v>
                </c:pt>
                <c:pt idx="4">
                  <c:v>9.1883687912996272</c:v>
                </c:pt>
                <c:pt idx="5">
                  <c:v>7.4003438670824373</c:v>
                </c:pt>
                <c:pt idx="6">
                  <c:v>0.69095674225319037</c:v>
                </c:pt>
                <c:pt idx="7">
                  <c:v>9.9430942600664096</c:v>
                </c:pt>
                <c:pt idx="8">
                  <c:v>1.4286836131468972</c:v>
                </c:pt>
                <c:pt idx="9">
                  <c:v>-16.698416128006144</c:v>
                </c:pt>
                <c:pt idx="10">
                  <c:v>-1.6197316033909059</c:v>
                </c:pt>
                <c:pt idx="11">
                  <c:v>3.5357186013555753</c:v>
                </c:pt>
                <c:pt idx="12">
                  <c:v>-4.7975800427800248</c:v>
                </c:pt>
                <c:pt idx="13">
                  <c:v>-1.6097557170066445</c:v>
                </c:pt>
                <c:pt idx="14">
                  <c:v>7.9387805573333026</c:v>
                </c:pt>
                <c:pt idx="15">
                  <c:v>1.6194061489510858</c:v>
                </c:pt>
                <c:pt idx="16">
                  <c:v>13.084760068556278</c:v>
                </c:pt>
              </c:numCache>
            </c:numRef>
          </c:val>
          <c:smooth val="0"/>
        </c:ser>
        <c:dLbls>
          <c:showLegendKey val="0"/>
          <c:showVal val="0"/>
          <c:showCatName val="0"/>
          <c:showSerName val="0"/>
          <c:showPercent val="0"/>
          <c:showBubbleSize val="0"/>
        </c:dLbls>
        <c:marker val="1"/>
        <c:smooth val="0"/>
        <c:axId val="503912320"/>
        <c:axId val="503913856"/>
      </c:lineChart>
      <c:lineChart>
        <c:grouping val="standard"/>
        <c:varyColors val="0"/>
        <c:ser>
          <c:idx val="1"/>
          <c:order val="1"/>
          <c:tx>
            <c:strRef>
              <c:f>Graphs!$AL$6</c:f>
              <c:strCache>
                <c:ptCount val="1"/>
                <c:pt idx="0">
                  <c:v>CUR (rhs)</c:v>
                </c:pt>
              </c:strCache>
            </c:strRef>
          </c:tx>
          <c:spPr>
            <a:ln>
              <a:solidFill>
                <a:srgbClr val="FF0000"/>
              </a:solidFill>
            </a:ln>
          </c:spPr>
          <c:marker>
            <c:symbol val="none"/>
          </c:marker>
          <c:cat>
            <c:strRef>
              <c:f>Graphs!$AJ$7:$AJ$24</c:f>
              <c:strCache>
                <c:ptCount val="18"/>
                <c:pt idx="0">
                  <c:v>00</c:v>
                </c:pt>
                <c:pt idx="1">
                  <c:v>01</c:v>
                </c:pt>
                <c:pt idx="2">
                  <c:v>02</c:v>
                </c:pt>
                <c:pt idx="3">
                  <c:v>03</c:v>
                </c:pt>
                <c:pt idx="4">
                  <c:v>04</c:v>
                </c:pt>
                <c:pt idx="5">
                  <c:v>05</c:v>
                </c:pt>
                <c:pt idx="6">
                  <c:v>06</c:v>
                </c:pt>
                <c:pt idx="7">
                  <c:v>07</c:v>
                </c:pt>
                <c:pt idx="8">
                  <c:v>08</c:v>
                </c:pt>
                <c:pt idx="9">
                  <c:v>09</c:v>
                </c:pt>
                <c:pt idx="10">
                  <c:v>10</c:v>
                </c:pt>
                <c:pt idx="11">
                  <c:v>11</c:v>
                </c:pt>
                <c:pt idx="12">
                  <c:v>12</c:v>
                </c:pt>
                <c:pt idx="13">
                  <c:v>13</c:v>
                </c:pt>
                <c:pt idx="14">
                  <c:v>14</c:v>
                </c:pt>
                <c:pt idx="15">
                  <c:v>15</c:v>
                </c:pt>
                <c:pt idx="16">
                  <c:v>16</c:v>
                </c:pt>
                <c:pt idx="17">
                  <c:v>17</c:v>
                </c:pt>
              </c:strCache>
            </c:strRef>
          </c:cat>
          <c:val>
            <c:numRef>
              <c:f>Graphs!$AL$7:$AL$24</c:f>
              <c:numCache>
                <c:formatCode>General</c:formatCode>
                <c:ptCount val="18"/>
                <c:pt idx="0">
                  <c:v>84.1</c:v>
                </c:pt>
                <c:pt idx="1">
                  <c:v>82.025000000000006</c:v>
                </c:pt>
                <c:pt idx="2">
                  <c:v>79.825000000000003</c:v>
                </c:pt>
                <c:pt idx="3">
                  <c:v>78.7</c:v>
                </c:pt>
                <c:pt idx="4">
                  <c:v>80.375</c:v>
                </c:pt>
                <c:pt idx="5">
                  <c:v>79.275000000000006</c:v>
                </c:pt>
                <c:pt idx="6">
                  <c:v>82.775000000000006</c:v>
                </c:pt>
                <c:pt idx="7">
                  <c:v>83.025000000000006</c:v>
                </c:pt>
                <c:pt idx="8">
                  <c:v>82.95</c:v>
                </c:pt>
                <c:pt idx="9">
                  <c:v>72.575000000000003</c:v>
                </c:pt>
                <c:pt idx="10">
                  <c:v>77.724999999999994</c:v>
                </c:pt>
                <c:pt idx="11">
                  <c:v>79.775000000000006</c:v>
                </c:pt>
                <c:pt idx="12">
                  <c:v>77.349999999999994</c:v>
                </c:pt>
                <c:pt idx="13">
                  <c:v>76.075000000000003</c:v>
                </c:pt>
                <c:pt idx="14">
                  <c:v>78.924999999999997</c:v>
                </c:pt>
                <c:pt idx="15">
                  <c:v>79.525000000000006</c:v>
                </c:pt>
                <c:pt idx="16">
                  <c:v>79.75</c:v>
                </c:pt>
                <c:pt idx="17">
                  <c:v>81.325000000000003</c:v>
                </c:pt>
              </c:numCache>
            </c:numRef>
          </c:val>
          <c:smooth val="0"/>
        </c:ser>
        <c:dLbls>
          <c:showLegendKey val="0"/>
          <c:showVal val="0"/>
          <c:showCatName val="0"/>
          <c:showSerName val="0"/>
          <c:showPercent val="0"/>
          <c:showBubbleSize val="0"/>
        </c:dLbls>
        <c:marker val="1"/>
        <c:smooth val="0"/>
        <c:axId val="503917184"/>
        <c:axId val="503915648"/>
      </c:lineChart>
      <c:catAx>
        <c:axId val="503912320"/>
        <c:scaling>
          <c:orientation val="minMax"/>
        </c:scaling>
        <c:delete val="0"/>
        <c:axPos val="b"/>
        <c:majorGridlines/>
        <c:numFmt formatCode="General" sourceLinked="1"/>
        <c:majorTickMark val="none"/>
        <c:minorTickMark val="none"/>
        <c:tickLblPos val="low"/>
        <c:spPr>
          <a:ln w="19050">
            <a:solidFill>
              <a:schemeClr val="tx1"/>
            </a:solidFill>
          </a:ln>
        </c:spPr>
        <c:crossAx val="503913856"/>
        <c:crossesAt val="0"/>
        <c:auto val="1"/>
        <c:lblAlgn val="ctr"/>
        <c:lblOffset val="100"/>
        <c:noMultiLvlLbl val="0"/>
      </c:catAx>
      <c:valAx>
        <c:axId val="503913856"/>
        <c:scaling>
          <c:orientation val="minMax"/>
        </c:scaling>
        <c:delete val="0"/>
        <c:axPos val="l"/>
        <c:majorGridlines/>
        <c:numFmt formatCode="#,##0" sourceLinked="0"/>
        <c:majorTickMark val="out"/>
        <c:minorTickMark val="none"/>
        <c:tickLblPos val="nextTo"/>
        <c:spPr>
          <a:ln w="9525">
            <a:solidFill>
              <a:schemeClr val="tx1"/>
            </a:solidFill>
          </a:ln>
        </c:spPr>
        <c:crossAx val="503912320"/>
        <c:crossesAt val="1"/>
        <c:crossBetween val="between"/>
      </c:valAx>
      <c:valAx>
        <c:axId val="503915648"/>
        <c:scaling>
          <c:orientation val="minMax"/>
          <c:max val="86"/>
          <c:min val="70"/>
        </c:scaling>
        <c:delete val="0"/>
        <c:axPos val="r"/>
        <c:numFmt formatCode="General" sourceLinked="1"/>
        <c:majorTickMark val="out"/>
        <c:minorTickMark val="none"/>
        <c:tickLblPos val="nextTo"/>
        <c:crossAx val="503917184"/>
        <c:crosses val="max"/>
        <c:crossBetween val="between"/>
      </c:valAx>
      <c:catAx>
        <c:axId val="503917184"/>
        <c:scaling>
          <c:orientation val="minMax"/>
        </c:scaling>
        <c:delete val="1"/>
        <c:axPos val="b"/>
        <c:numFmt formatCode="General" sourceLinked="1"/>
        <c:majorTickMark val="out"/>
        <c:minorTickMark val="none"/>
        <c:tickLblPos val="nextTo"/>
        <c:crossAx val="503915648"/>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18" Type="http://schemas.openxmlformats.org/officeDocument/2006/relationships/chart" Target="../charts/chart19.xml"/><Relationship Id="rId3" Type="http://schemas.openxmlformats.org/officeDocument/2006/relationships/chart" Target="../charts/chart4.xml"/><Relationship Id="rId21" Type="http://schemas.openxmlformats.org/officeDocument/2006/relationships/chart" Target="../charts/chart22.xml"/><Relationship Id="rId7" Type="http://schemas.openxmlformats.org/officeDocument/2006/relationships/chart" Target="../charts/chart8.xml"/><Relationship Id="rId12" Type="http://schemas.openxmlformats.org/officeDocument/2006/relationships/chart" Target="../charts/chart13.xml"/><Relationship Id="rId17" Type="http://schemas.openxmlformats.org/officeDocument/2006/relationships/chart" Target="../charts/chart18.xml"/><Relationship Id="rId2" Type="http://schemas.openxmlformats.org/officeDocument/2006/relationships/chart" Target="../charts/chart3.xml"/><Relationship Id="rId16" Type="http://schemas.openxmlformats.org/officeDocument/2006/relationships/chart" Target="../charts/chart17.xml"/><Relationship Id="rId20" Type="http://schemas.openxmlformats.org/officeDocument/2006/relationships/chart" Target="../charts/chart21.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24" Type="http://schemas.openxmlformats.org/officeDocument/2006/relationships/chart" Target="../charts/chart25.xml"/><Relationship Id="rId5" Type="http://schemas.openxmlformats.org/officeDocument/2006/relationships/chart" Target="../charts/chart6.xml"/><Relationship Id="rId15" Type="http://schemas.openxmlformats.org/officeDocument/2006/relationships/chart" Target="../charts/chart16.xml"/><Relationship Id="rId23" Type="http://schemas.openxmlformats.org/officeDocument/2006/relationships/chart" Target="../charts/chart24.xml"/><Relationship Id="rId10" Type="http://schemas.openxmlformats.org/officeDocument/2006/relationships/chart" Target="../charts/chart11.xml"/><Relationship Id="rId19" Type="http://schemas.openxmlformats.org/officeDocument/2006/relationships/chart" Target="../charts/chart20.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chart" Target="../charts/chart15.xml"/><Relationship Id="rId22" Type="http://schemas.openxmlformats.org/officeDocument/2006/relationships/chart" Target="../charts/chart2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5.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3</xdr:col>
      <xdr:colOff>342900</xdr:colOff>
      <xdr:row>9</xdr:row>
      <xdr:rowOff>114300</xdr:rowOff>
    </xdr:to>
    <xdr:pic>
      <xdr:nvPicPr>
        <xdr:cNvPr id="36630544" name="Picture 1" descr="EuropeFlag20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3850" y="485775"/>
          <a:ext cx="19050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19050</xdr:colOff>
      <xdr:row>11</xdr:row>
      <xdr:rowOff>95250</xdr:rowOff>
    </xdr:from>
    <xdr:to>
      <xdr:col>3</xdr:col>
      <xdr:colOff>333375</xdr:colOff>
      <xdr:row>18</xdr:row>
      <xdr:rowOff>0</xdr:rowOff>
    </xdr:to>
    <xdr:pic>
      <xdr:nvPicPr>
        <xdr:cNvPr id="36630545" name="Picture 2" descr="Belgium"/>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2900" y="2057400"/>
          <a:ext cx="1876425"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107</xdr:col>
      <xdr:colOff>19050</xdr:colOff>
      <xdr:row>284</xdr:row>
      <xdr:rowOff>61912</xdr:rowOff>
    </xdr:from>
    <xdr:to>
      <xdr:col>115</xdr:col>
      <xdr:colOff>476250</xdr:colOff>
      <xdr:row>301</xdr:row>
      <xdr:rowOff>90487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xdr:row>
      <xdr:rowOff>0</xdr:rowOff>
    </xdr:from>
    <xdr:to>
      <xdr:col>14</xdr:col>
      <xdr:colOff>0</xdr:colOff>
      <xdr:row>21</xdr:row>
      <xdr:rowOff>0</xdr:rowOff>
    </xdr:to>
    <xdr:graphicFrame macro="">
      <xdr:nvGraphicFramePr>
        <xdr:cNvPr id="3663174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0</xdr:rowOff>
    </xdr:from>
    <xdr:to>
      <xdr:col>14</xdr:col>
      <xdr:colOff>0</xdr:colOff>
      <xdr:row>39</xdr:row>
      <xdr:rowOff>0</xdr:rowOff>
    </xdr:to>
    <xdr:graphicFrame macro="">
      <xdr:nvGraphicFramePr>
        <xdr:cNvPr id="36631745"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0</xdr:rowOff>
    </xdr:from>
    <xdr:to>
      <xdr:col>14</xdr:col>
      <xdr:colOff>0</xdr:colOff>
      <xdr:row>60</xdr:row>
      <xdr:rowOff>0</xdr:rowOff>
    </xdr:to>
    <xdr:graphicFrame macro="">
      <xdr:nvGraphicFramePr>
        <xdr:cNvPr id="3663174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60</xdr:row>
      <xdr:rowOff>0</xdr:rowOff>
    </xdr:from>
    <xdr:to>
      <xdr:col>14</xdr:col>
      <xdr:colOff>0</xdr:colOff>
      <xdr:row>77</xdr:row>
      <xdr:rowOff>152400</xdr:rowOff>
    </xdr:to>
    <xdr:graphicFrame macro="">
      <xdr:nvGraphicFramePr>
        <xdr:cNvPr id="36631747"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81</xdr:row>
      <xdr:rowOff>0</xdr:rowOff>
    </xdr:from>
    <xdr:to>
      <xdr:col>14</xdr:col>
      <xdr:colOff>0</xdr:colOff>
      <xdr:row>99</xdr:row>
      <xdr:rowOff>0</xdr:rowOff>
    </xdr:to>
    <xdr:graphicFrame macro="">
      <xdr:nvGraphicFramePr>
        <xdr:cNvPr id="36631748"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0</xdr:rowOff>
    </xdr:from>
    <xdr:to>
      <xdr:col>14</xdr:col>
      <xdr:colOff>0</xdr:colOff>
      <xdr:row>116</xdr:row>
      <xdr:rowOff>152400</xdr:rowOff>
    </xdr:to>
    <xdr:graphicFrame macro="">
      <xdr:nvGraphicFramePr>
        <xdr:cNvPr id="36631749"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120</xdr:row>
      <xdr:rowOff>0</xdr:rowOff>
    </xdr:from>
    <xdr:to>
      <xdr:col>14</xdr:col>
      <xdr:colOff>0</xdr:colOff>
      <xdr:row>138</xdr:row>
      <xdr:rowOff>0</xdr:rowOff>
    </xdr:to>
    <xdr:graphicFrame macro="">
      <xdr:nvGraphicFramePr>
        <xdr:cNvPr id="36631750"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138</xdr:row>
      <xdr:rowOff>0</xdr:rowOff>
    </xdr:from>
    <xdr:to>
      <xdr:col>14</xdr:col>
      <xdr:colOff>0</xdr:colOff>
      <xdr:row>156</xdr:row>
      <xdr:rowOff>0</xdr:rowOff>
    </xdr:to>
    <xdr:graphicFrame macro="">
      <xdr:nvGraphicFramePr>
        <xdr:cNvPr id="36631751"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159</xdr:row>
      <xdr:rowOff>0</xdr:rowOff>
    </xdr:from>
    <xdr:to>
      <xdr:col>14</xdr:col>
      <xdr:colOff>0</xdr:colOff>
      <xdr:row>177</xdr:row>
      <xdr:rowOff>0</xdr:rowOff>
    </xdr:to>
    <xdr:graphicFrame macro="">
      <xdr:nvGraphicFramePr>
        <xdr:cNvPr id="36631752"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177</xdr:row>
      <xdr:rowOff>0</xdr:rowOff>
    </xdr:from>
    <xdr:to>
      <xdr:col>14</xdr:col>
      <xdr:colOff>0</xdr:colOff>
      <xdr:row>195</xdr:row>
      <xdr:rowOff>0</xdr:rowOff>
    </xdr:to>
    <xdr:graphicFrame macro="">
      <xdr:nvGraphicFramePr>
        <xdr:cNvPr id="36631753"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198</xdr:row>
      <xdr:rowOff>0</xdr:rowOff>
    </xdr:from>
    <xdr:to>
      <xdr:col>14</xdr:col>
      <xdr:colOff>0</xdr:colOff>
      <xdr:row>216</xdr:row>
      <xdr:rowOff>0</xdr:rowOff>
    </xdr:to>
    <xdr:graphicFrame macro="">
      <xdr:nvGraphicFramePr>
        <xdr:cNvPr id="36631754"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216</xdr:row>
      <xdr:rowOff>0</xdr:rowOff>
    </xdr:from>
    <xdr:to>
      <xdr:col>14</xdr:col>
      <xdr:colOff>0</xdr:colOff>
      <xdr:row>233</xdr:row>
      <xdr:rowOff>152400</xdr:rowOff>
    </xdr:to>
    <xdr:graphicFrame macro="">
      <xdr:nvGraphicFramePr>
        <xdr:cNvPr id="36631755"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237</xdr:row>
      <xdr:rowOff>0</xdr:rowOff>
    </xdr:from>
    <xdr:to>
      <xdr:col>14</xdr:col>
      <xdr:colOff>0</xdr:colOff>
      <xdr:row>255</xdr:row>
      <xdr:rowOff>0</xdr:rowOff>
    </xdr:to>
    <xdr:graphicFrame macro="">
      <xdr:nvGraphicFramePr>
        <xdr:cNvPr id="36631756"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255</xdr:row>
      <xdr:rowOff>0</xdr:rowOff>
    </xdr:from>
    <xdr:to>
      <xdr:col>14</xdr:col>
      <xdr:colOff>0</xdr:colOff>
      <xdr:row>273</xdr:row>
      <xdr:rowOff>0</xdr:rowOff>
    </xdr:to>
    <xdr:graphicFrame macro="">
      <xdr:nvGraphicFramePr>
        <xdr:cNvPr id="36631757"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315</xdr:row>
      <xdr:rowOff>9525</xdr:rowOff>
    </xdr:from>
    <xdr:to>
      <xdr:col>14</xdr:col>
      <xdr:colOff>0</xdr:colOff>
      <xdr:row>333</xdr:row>
      <xdr:rowOff>0</xdr:rowOff>
    </xdr:to>
    <xdr:graphicFrame macro="">
      <xdr:nvGraphicFramePr>
        <xdr:cNvPr id="36631758"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0</xdr:colOff>
      <xdr:row>333</xdr:row>
      <xdr:rowOff>0</xdr:rowOff>
    </xdr:from>
    <xdr:to>
      <xdr:col>14</xdr:col>
      <xdr:colOff>0</xdr:colOff>
      <xdr:row>351</xdr:row>
      <xdr:rowOff>0</xdr:rowOff>
    </xdr:to>
    <xdr:graphicFrame macro="">
      <xdr:nvGraphicFramePr>
        <xdr:cNvPr id="36631759"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372</xdr:row>
      <xdr:rowOff>9525</xdr:rowOff>
    </xdr:from>
    <xdr:to>
      <xdr:col>14</xdr:col>
      <xdr:colOff>0</xdr:colOff>
      <xdr:row>390</xdr:row>
      <xdr:rowOff>9525</xdr:rowOff>
    </xdr:to>
    <xdr:graphicFrame macro="">
      <xdr:nvGraphicFramePr>
        <xdr:cNvPr id="36631760"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390</xdr:row>
      <xdr:rowOff>0</xdr:rowOff>
    </xdr:from>
    <xdr:to>
      <xdr:col>6</xdr:col>
      <xdr:colOff>0</xdr:colOff>
      <xdr:row>406</xdr:row>
      <xdr:rowOff>0</xdr:rowOff>
    </xdr:to>
    <xdr:graphicFrame macro="">
      <xdr:nvGraphicFramePr>
        <xdr:cNvPr id="36631761"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8</xdr:col>
      <xdr:colOff>0</xdr:colOff>
      <xdr:row>390</xdr:row>
      <xdr:rowOff>9525</xdr:rowOff>
    </xdr:from>
    <xdr:to>
      <xdr:col>13</xdr:col>
      <xdr:colOff>581025</xdr:colOff>
      <xdr:row>406</xdr:row>
      <xdr:rowOff>0</xdr:rowOff>
    </xdr:to>
    <xdr:graphicFrame macro="">
      <xdr:nvGraphicFramePr>
        <xdr:cNvPr id="36631762"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406</xdr:row>
      <xdr:rowOff>0</xdr:rowOff>
    </xdr:from>
    <xdr:to>
      <xdr:col>6</xdr:col>
      <xdr:colOff>0</xdr:colOff>
      <xdr:row>422</xdr:row>
      <xdr:rowOff>0</xdr:rowOff>
    </xdr:to>
    <xdr:graphicFrame macro="">
      <xdr:nvGraphicFramePr>
        <xdr:cNvPr id="36631763"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8</xdr:col>
      <xdr:colOff>0</xdr:colOff>
      <xdr:row>406</xdr:row>
      <xdr:rowOff>0</xdr:rowOff>
    </xdr:from>
    <xdr:to>
      <xdr:col>14</xdr:col>
      <xdr:colOff>0</xdr:colOff>
      <xdr:row>422</xdr:row>
      <xdr:rowOff>0</xdr:rowOff>
    </xdr:to>
    <xdr:graphicFrame macro="">
      <xdr:nvGraphicFramePr>
        <xdr:cNvPr id="36631764"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0</xdr:colOff>
      <xdr:row>422</xdr:row>
      <xdr:rowOff>0</xdr:rowOff>
    </xdr:from>
    <xdr:to>
      <xdr:col>6</xdr:col>
      <xdr:colOff>0</xdr:colOff>
      <xdr:row>438</xdr:row>
      <xdr:rowOff>0</xdr:rowOff>
    </xdr:to>
    <xdr:graphicFrame macro="">
      <xdr:nvGraphicFramePr>
        <xdr:cNvPr id="36631765"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8</xdr:col>
      <xdr:colOff>0</xdr:colOff>
      <xdr:row>422</xdr:row>
      <xdr:rowOff>0</xdr:rowOff>
    </xdr:from>
    <xdr:to>
      <xdr:col>14</xdr:col>
      <xdr:colOff>0</xdr:colOff>
      <xdr:row>438</xdr:row>
      <xdr:rowOff>0</xdr:rowOff>
    </xdr:to>
    <xdr:graphicFrame macro="">
      <xdr:nvGraphicFramePr>
        <xdr:cNvPr id="36631766"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8</xdr:col>
      <xdr:colOff>0</xdr:colOff>
      <xdr:row>438</xdr:row>
      <xdr:rowOff>0</xdr:rowOff>
    </xdr:from>
    <xdr:to>
      <xdr:col>14</xdr:col>
      <xdr:colOff>0</xdr:colOff>
      <xdr:row>454</xdr:row>
      <xdr:rowOff>0</xdr:rowOff>
    </xdr:to>
    <xdr:graphicFrame macro="">
      <xdr:nvGraphicFramePr>
        <xdr:cNvPr id="36631767"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22</xdr:col>
      <xdr:colOff>341779</xdr:colOff>
      <xdr:row>260</xdr:row>
      <xdr:rowOff>1122</xdr:rowOff>
    </xdr:from>
    <xdr:to>
      <xdr:col>31</xdr:col>
      <xdr:colOff>543485</xdr:colOff>
      <xdr:row>277</xdr:row>
      <xdr:rowOff>77322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201</xdr:row>
      <xdr:rowOff>0</xdr:rowOff>
    </xdr:from>
    <xdr:to>
      <xdr:col>7</xdr:col>
      <xdr:colOff>0</xdr:colOff>
      <xdr:row>222</xdr:row>
      <xdr:rowOff>0</xdr:rowOff>
    </xdr:to>
    <xdr:graphicFrame macro="">
      <xdr:nvGraphicFramePr>
        <xdr:cNvPr id="36657168" name="Chart 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444</xdr:row>
      <xdr:rowOff>0</xdr:rowOff>
    </xdr:from>
    <xdr:to>
      <xdr:col>7</xdr:col>
      <xdr:colOff>0</xdr:colOff>
      <xdr:row>465</xdr:row>
      <xdr:rowOff>0</xdr:rowOff>
    </xdr:to>
    <xdr:graphicFrame macro="">
      <xdr:nvGraphicFramePr>
        <xdr:cNvPr id="36657169" name="Chart 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552450</xdr:colOff>
      <xdr:row>0</xdr:row>
      <xdr:rowOff>9525</xdr:rowOff>
    </xdr:from>
    <xdr:to>
      <xdr:col>13</xdr:col>
      <xdr:colOff>161925</xdr:colOff>
      <xdr:row>1</xdr:row>
      <xdr:rowOff>38100</xdr:rowOff>
    </xdr:to>
    <xdr:sp macro="" textlink="">
      <xdr:nvSpPr>
        <xdr:cNvPr id="23570" name="Text Box 18"/>
        <xdr:cNvSpPr txBox="1">
          <a:spLocks noChangeArrowheads="1"/>
        </xdr:cNvSpPr>
      </xdr:nvSpPr>
      <xdr:spPr bwMode="auto">
        <a:xfrm>
          <a:off x="5638800" y="9525"/>
          <a:ext cx="3676650" cy="1905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nl-BE" sz="1000" b="0" i="0" strike="noStrike">
              <a:solidFill>
                <a:srgbClr val="000000"/>
              </a:solidFill>
              <a:latin typeface="Arial"/>
              <a:cs typeface="Arial"/>
            </a:rPr>
            <a:t>Go to Table No. (</a:t>
          </a:r>
          <a:r>
            <a:rPr lang="nl-BE" sz="1000" b="0" i="1" strike="noStrike">
              <a:solidFill>
                <a:srgbClr val="000000"/>
              </a:solidFill>
              <a:latin typeface="Arial"/>
              <a:cs typeface="Arial"/>
            </a:rPr>
            <a:t>push button</a:t>
          </a:r>
          <a:r>
            <a:rPr lang="nl-BE" sz="1000" b="0" i="0" strike="noStrike">
              <a:solidFill>
                <a:srgbClr val="000000"/>
              </a:solidFill>
              <a:latin typeface="Arial"/>
              <a:cs typeface="Arial"/>
            </a:rPr>
            <a:t>)</a:t>
          </a:r>
        </a:p>
      </xdr:txBody>
    </xdr:sp>
    <xdr:clientData/>
  </xdr:twoCellAnchor>
  <mc:AlternateContent xmlns:mc="http://schemas.openxmlformats.org/markup-compatibility/2006">
    <mc:Choice xmlns:a14="http://schemas.microsoft.com/office/drawing/2010/main" Requires="a14">
      <xdr:twoCellAnchor>
        <xdr:from>
          <xdr:col>7</xdr:col>
          <xdr:colOff>381000</xdr:colOff>
          <xdr:row>8</xdr:row>
          <xdr:rowOff>68580</xdr:rowOff>
        </xdr:from>
        <xdr:to>
          <xdr:col>8</xdr:col>
          <xdr:colOff>525780</xdr:colOff>
          <xdr:row>10</xdr:row>
          <xdr:rowOff>68580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381000</xdr:colOff>
          <xdr:row>50</xdr:row>
          <xdr:rowOff>68580</xdr:rowOff>
        </xdr:from>
        <xdr:to>
          <xdr:col>10</xdr:col>
          <xdr:colOff>525780</xdr:colOff>
          <xdr:row>52</xdr:row>
          <xdr:rowOff>106680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274320</xdr:colOff>
          <xdr:row>91</xdr:row>
          <xdr:rowOff>60960</xdr:rowOff>
        </xdr:from>
        <xdr:to>
          <xdr:col>17</xdr:col>
          <xdr:colOff>0</xdr:colOff>
          <xdr:row>93</xdr:row>
          <xdr:rowOff>99060</xdr:rowOff>
        </xdr:to>
        <xdr:sp macro="" textlink="">
          <xdr:nvSpPr>
            <xdr:cNvPr id="23555" name="Button 3" hidden="1">
              <a:extLst>
                <a:ext uri="{63B3BB69-23CF-44E3-9099-C40C66FF867C}">
                  <a14:compatExt spid="_x0000_s235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388620</xdr:colOff>
          <xdr:row>135</xdr:row>
          <xdr:rowOff>60960</xdr:rowOff>
        </xdr:from>
        <xdr:to>
          <xdr:col>10</xdr:col>
          <xdr:colOff>533400</xdr:colOff>
          <xdr:row>137</xdr:row>
          <xdr:rowOff>99060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165</xdr:row>
          <xdr:rowOff>60960</xdr:rowOff>
        </xdr:from>
        <xdr:to>
          <xdr:col>13</xdr:col>
          <xdr:colOff>251460</xdr:colOff>
          <xdr:row>167</xdr:row>
          <xdr:rowOff>99060</xdr:rowOff>
        </xdr:to>
        <xdr:sp macro="" textlink="">
          <xdr:nvSpPr>
            <xdr:cNvPr id="23557" name="Button 5" hidden="1">
              <a:extLst>
                <a:ext uri="{63B3BB69-23CF-44E3-9099-C40C66FF867C}">
                  <a14:compatExt spid="_x0000_s2355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388620</xdr:colOff>
          <xdr:row>213</xdr:row>
          <xdr:rowOff>45720</xdr:rowOff>
        </xdr:from>
        <xdr:to>
          <xdr:col>8</xdr:col>
          <xdr:colOff>533400</xdr:colOff>
          <xdr:row>215</xdr:row>
          <xdr:rowOff>83820</xdr:rowOff>
        </xdr:to>
        <xdr:sp macro="" textlink="">
          <xdr:nvSpPr>
            <xdr:cNvPr id="23558" name="Button 6" hidden="1">
              <a:extLst>
                <a:ext uri="{63B3BB69-23CF-44E3-9099-C40C66FF867C}">
                  <a14:compatExt spid="_x0000_s235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268</xdr:row>
          <xdr:rowOff>76200</xdr:rowOff>
        </xdr:from>
        <xdr:to>
          <xdr:col>13</xdr:col>
          <xdr:colOff>251460</xdr:colOff>
          <xdr:row>270</xdr:row>
          <xdr:rowOff>114300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373380</xdr:colOff>
          <xdr:row>295</xdr:row>
          <xdr:rowOff>60960</xdr:rowOff>
        </xdr:from>
        <xdr:to>
          <xdr:col>13</xdr:col>
          <xdr:colOff>0</xdr:colOff>
          <xdr:row>297</xdr:row>
          <xdr:rowOff>99060</xdr:rowOff>
        </xdr:to>
        <xdr:sp macro="" textlink="">
          <xdr:nvSpPr>
            <xdr:cNvPr id="23560" name="Button 8" hidden="1">
              <a:extLst>
                <a:ext uri="{63B3BB69-23CF-44E3-9099-C40C66FF867C}">
                  <a14:compatExt spid="_x0000_s2356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328</xdr:row>
          <xdr:rowOff>60960</xdr:rowOff>
        </xdr:from>
        <xdr:to>
          <xdr:col>13</xdr:col>
          <xdr:colOff>251460</xdr:colOff>
          <xdr:row>330</xdr:row>
          <xdr:rowOff>99060</xdr:rowOff>
        </xdr:to>
        <xdr:sp macro="" textlink="">
          <xdr:nvSpPr>
            <xdr:cNvPr id="23561" name="Button 9" hidden="1">
              <a:extLst>
                <a:ext uri="{63B3BB69-23CF-44E3-9099-C40C66FF867C}">
                  <a14:compatExt spid="_x0000_s2356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365</xdr:row>
          <xdr:rowOff>60960</xdr:rowOff>
        </xdr:from>
        <xdr:to>
          <xdr:col>13</xdr:col>
          <xdr:colOff>251460</xdr:colOff>
          <xdr:row>367</xdr:row>
          <xdr:rowOff>99060</xdr:rowOff>
        </xdr:to>
        <xdr:sp macro="" textlink="">
          <xdr:nvSpPr>
            <xdr:cNvPr id="23562" name="Button 10" hidden="1">
              <a:extLst>
                <a:ext uri="{63B3BB69-23CF-44E3-9099-C40C66FF867C}">
                  <a14:compatExt spid="_x0000_s2356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399</xdr:row>
          <xdr:rowOff>60960</xdr:rowOff>
        </xdr:from>
        <xdr:to>
          <xdr:col>13</xdr:col>
          <xdr:colOff>251460</xdr:colOff>
          <xdr:row>401</xdr:row>
          <xdr:rowOff>99060</xdr:rowOff>
        </xdr:to>
        <xdr:sp macro="" textlink="">
          <xdr:nvSpPr>
            <xdr:cNvPr id="23563" name="Button 11" hidden="1">
              <a:extLst>
                <a:ext uri="{63B3BB69-23CF-44E3-9099-C40C66FF867C}">
                  <a14:compatExt spid="_x0000_s2356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381000</xdr:colOff>
          <xdr:row>448</xdr:row>
          <xdr:rowOff>68580</xdr:rowOff>
        </xdr:from>
        <xdr:to>
          <xdr:col>13</xdr:col>
          <xdr:colOff>0</xdr:colOff>
          <xdr:row>450</xdr:row>
          <xdr:rowOff>106680</xdr:rowOff>
        </xdr:to>
        <xdr:sp macro="" textlink="">
          <xdr:nvSpPr>
            <xdr:cNvPr id="23564" name="Button 12" hidden="1">
              <a:extLst>
                <a:ext uri="{63B3BB69-23CF-44E3-9099-C40C66FF867C}">
                  <a14:compatExt spid="_x0000_s2356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475</xdr:row>
          <xdr:rowOff>76200</xdr:rowOff>
        </xdr:from>
        <xdr:to>
          <xdr:col>13</xdr:col>
          <xdr:colOff>251460</xdr:colOff>
          <xdr:row>477</xdr:row>
          <xdr:rowOff>114300</xdr:rowOff>
        </xdr:to>
        <xdr:sp macro="" textlink="">
          <xdr:nvSpPr>
            <xdr:cNvPr id="23565" name="Button 13" hidden="1">
              <a:extLst>
                <a:ext uri="{63B3BB69-23CF-44E3-9099-C40C66FF867C}">
                  <a14:compatExt spid="_x0000_s235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381000</xdr:colOff>
          <xdr:row>495</xdr:row>
          <xdr:rowOff>68580</xdr:rowOff>
        </xdr:from>
        <xdr:to>
          <xdr:col>13</xdr:col>
          <xdr:colOff>0</xdr:colOff>
          <xdr:row>497</xdr:row>
          <xdr:rowOff>106680</xdr:rowOff>
        </xdr:to>
        <xdr:sp macro="" textlink="">
          <xdr:nvSpPr>
            <xdr:cNvPr id="23566" name="Button 14" hidden="1">
              <a:extLst>
                <a:ext uri="{63B3BB69-23CF-44E3-9099-C40C66FF867C}">
                  <a14:compatExt spid="_x0000_s2356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531</xdr:row>
          <xdr:rowOff>68580</xdr:rowOff>
        </xdr:from>
        <xdr:to>
          <xdr:col>13</xdr:col>
          <xdr:colOff>251460</xdr:colOff>
          <xdr:row>533</xdr:row>
          <xdr:rowOff>106680</xdr:rowOff>
        </xdr:to>
        <xdr:sp macro="" textlink="">
          <xdr:nvSpPr>
            <xdr:cNvPr id="23567" name="Button 15" hidden="1">
              <a:extLst>
                <a:ext uri="{63B3BB69-23CF-44E3-9099-C40C66FF867C}">
                  <a14:compatExt spid="_x0000_s2356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this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1</xdr:row>
          <xdr:rowOff>38100</xdr:rowOff>
        </xdr:from>
        <xdr:to>
          <xdr:col>6</xdr:col>
          <xdr:colOff>563880</xdr:colOff>
          <xdr:row>5</xdr:row>
          <xdr:rowOff>7620</xdr:rowOff>
        </xdr:to>
        <xdr:sp macro="" textlink="">
          <xdr:nvSpPr>
            <xdr:cNvPr id="23568" name="Button 16" hidden="1">
              <a:extLst>
                <a:ext uri="{63B3BB69-23CF-44E3-9099-C40C66FF867C}">
                  <a14:compatExt spid="_x0000_s235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Print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563880</xdr:colOff>
          <xdr:row>1</xdr:row>
          <xdr:rowOff>38100</xdr:rowOff>
        </xdr:from>
        <xdr:to>
          <xdr:col>8</xdr:col>
          <xdr:colOff>137160</xdr:colOff>
          <xdr:row>2</xdr:row>
          <xdr:rowOff>83820</xdr:rowOff>
        </xdr:to>
        <xdr:sp macro="" textlink="">
          <xdr:nvSpPr>
            <xdr:cNvPr id="23569" name="Button 17" hidden="1">
              <a:extLst>
                <a:ext uri="{63B3BB69-23CF-44E3-9099-C40C66FF867C}">
                  <a14:compatExt spid="_x0000_s235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137160</xdr:colOff>
          <xdr:row>1</xdr:row>
          <xdr:rowOff>38100</xdr:rowOff>
        </xdr:from>
        <xdr:to>
          <xdr:col>9</xdr:col>
          <xdr:colOff>289560</xdr:colOff>
          <xdr:row>2</xdr:row>
          <xdr:rowOff>83820</xdr:rowOff>
        </xdr:to>
        <xdr:sp macro="" textlink="">
          <xdr:nvSpPr>
            <xdr:cNvPr id="23571" name="Button 19" hidden="1">
              <a:extLst>
                <a:ext uri="{63B3BB69-23CF-44E3-9099-C40C66FF867C}">
                  <a14:compatExt spid="_x0000_s2357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289560</xdr:colOff>
          <xdr:row>1</xdr:row>
          <xdr:rowOff>38100</xdr:rowOff>
        </xdr:from>
        <xdr:to>
          <xdr:col>10</xdr:col>
          <xdr:colOff>441960</xdr:colOff>
          <xdr:row>2</xdr:row>
          <xdr:rowOff>83820</xdr:rowOff>
        </xdr:to>
        <xdr:sp macro="" textlink="">
          <xdr:nvSpPr>
            <xdr:cNvPr id="23572" name="Button 20" hidden="1">
              <a:extLst>
                <a:ext uri="{63B3BB69-23CF-44E3-9099-C40C66FF867C}">
                  <a14:compatExt spid="_x0000_s2357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441960</xdr:colOff>
          <xdr:row>1</xdr:row>
          <xdr:rowOff>38100</xdr:rowOff>
        </xdr:from>
        <xdr:to>
          <xdr:col>12</xdr:col>
          <xdr:colOff>7620</xdr:colOff>
          <xdr:row>2</xdr:row>
          <xdr:rowOff>83820</xdr:rowOff>
        </xdr:to>
        <xdr:sp macro="" textlink="">
          <xdr:nvSpPr>
            <xdr:cNvPr id="23573" name="Button 21" hidden="1">
              <a:extLst>
                <a:ext uri="{63B3BB69-23CF-44E3-9099-C40C66FF867C}">
                  <a14:compatExt spid="_x0000_s235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1</xdr:row>
          <xdr:rowOff>38100</xdr:rowOff>
        </xdr:from>
        <xdr:to>
          <xdr:col>13</xdr:col>
          <xdr:colOff>160020</xdr:colOff>
          <xdr:row>2</xdr:row>
          <xdr:rowOff>83820</xdr:rowOff>
        </xdr:to>
        <xdr:sp macro="" textlink="">
          <xdr:nvSpPr>
            <xdr:cNvPr id="23574" name="Button 22" hidden="1">
              <a:extLst>
                <a:ext uri="{63B3BB69-23CF-44E3-9099-C40C66FF867C}">
                  <a14:compatExt spid="_x0000_s2357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563880</xdr:colOff>
          <xdr:row>2</xdr:row>
          <xdr:rowOff>83820</xdr:rowOff>
        </xdr:from>
        <xdr:to>
          <xdr:col>8</xdr:col>
          <xdr:colOff>137160</xdr:colOff>
          <xdr:row>3</xdr:row>
          <xdr:rowOff>137160</xdr:rowOff>
        </xdr:to>
        <xdr:sp macro="" textlink="">
          <xdr:nvSpPr>
            <xdr:cNvPr id="23575" name="Button 23" hidden="1">
              <a:extLst>
                <a:ext uri="{63B3BB69-23CF-44E3-9099-C40C66FF867C}">
                  <a14:compatExt spid="_x0000_s2357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137160</xdr:colOff>
          <xdr:row>2</xdr:row>
          <xdr:rowOff>83820</xdr:rowOff>
        </xdr:from>
        <xdr:to>
          <xdr:col>9</xdr:col>
          <xdr:colOff>289560</xdr:colOff>
          <xdr:row>3</xdr:row>
          <xdr:rowOff>137160</xdr:rowOff>
        </xdr:to>
        <xdr:sp macro="" textlink="">
          <xdr:nvSpPr>
            <xdr:cNvPr id="23576" name="Button 24" hidden="1">
              <a:extLst>
                <a:ext uri="{63B3BB69-23CF-44E3-9099-C40C66FF867C}">
                  <a14:compatExt spid="_x0000_s2357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289560</xdr:colOff>
          <xdr:row>2</xdr:row>
          <xdr:rowOff>83820</xdr:rowOff>
        </xdr:from>
        <xdr:to>
          <xdr:col>10</xdr:col>
          <xdr:colOff>441960</xdr:colOff>
          <xdr:row>3</xdr:row>
          <xdr:rowOff>137160</xdr:rowOff>
        </xdr:to>
        <xdr:sp macro="" textlink="">
          <xdr:nvSpPr>
            <xdr:cNvPr id="23577" name="Button 25" hidden="1">
              <a:extLst>
                <a:ext uri="{63B3BB69-23CF-44E3-9099-C40C66FF867C}">
                  <a14:compatExt spid="_x0000_s2357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441960</xdr:colOff>
          <xdr:row>2</xdr:row>
          <xdr:rowOff>83820</xdr:rowOff>
        </xdr:from>
        <xdr:to>
          <xdr:col>12</xdr:col>
          <xdr:colOff>7620</xdr:colOff>
          <xdr:row>3</xdr:row>
          <xdr:rowOff>137160</xdr:rowOff>
        </xdr:to>
        <xdr:sp macro="" textlink="">
          <xdr:nvSpPr>
            <xdr:cNvPr id="23578" name="Button 26" hidden="1">
              <a:extLst>
                <a:ext uri="{63B3BB69-23CF-44E3-9099-C40C66FF867C}">
                  <a14:compatExt spid="_x0000_s2357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2</xdr:row>
          <xdr:rowOff>83820</xdr:rowOff>
        </xdr:from>
        <xdr:to>
          <xdr:col>13</xdr:col>
          <xdr:colOff>160020</xdr:colOff>
          <xdr:row>3</xdr:row>
          <xdr:rowOff>137160</xdr:rowOff>
        </xdr:to>
        <xdr:sp macro="" textlink="">
          <xdr:nvSpPr>
            <xdr:cNvPr id="23579" name="Button 27" hidden="1">
              <a:extLst>
                <a:ext uri="{63B3BB69-23CF-44E3-9099-C40C66FF867C}">
                  <a14:compatExt spid="_x0000_s2357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563880</xdr:colOff>
          <xdr:row>3</xdr:row>
          <xdr:rowOff>137160</xdr:rowOff>
        </xdr:from>
        <xdr:to>
          <xdr:col>8</xdr:col>
          <xdr:colOff>137160</xdr:colOff>
          <xdr:row>5</xdr:row>
          <xdr:rowOff>7620</xdr:rowOff>
        </xdr:to>
        <xdr:sp macro="" textlink="">
          <xdr:nvSpPr>
            <xdr:cNvPr id="23580" name="Button 28" hidden="1">
              <a:extLst>
                <a:ext uri="{63B3BB69-23CF-44E3-9099-C40C66FF867C}">
                  <a14:compatExt spid="_x0000_s2358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137160</xdr:colOff>
          <xdr:row>3</xdr:row>
          <xdr:rowOff>137160</xdr:rowOff>
        </xdr:from>
        <xdr:to>
          <xdr:col>9</xdr:col>
          <xdr:colOff>289560</xdr:colOff>
          <xdr:row>5</xdr:row>
          <xdr:rowOff>7620</xdr:rowOff>
        </xdr:to>
        <xdr:sp macro="" textlink="">
          <xdr:nvSpPr>
            <xdr:cNvPr id="23581" name="Button 29" hidden="1">
              <a:extLst>
                <a:ext uri="{63B3BB69-23CF-44E3-9099-C40C66FF867C}">
                  <a14:compatExt spid="_x0000_s2358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10a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289560</xdr:colOff>
          <xdr:row>3</xdr:row>
          <xdr:rowOff>137160</xdr:rowOff>
        </xdr:from>
        <xdr:to>
          <xdr:col>10</xdr:col>
          <xdr:colOff>441960</xdr:colOff>
          <xdr:row>5</xdr:row>
          <xdr:rowOff>7620</xdr:rowOff>
        </xdr:to>
        <xdr:sp macro="" textlink="">
          <xdr:nvSpPr>
            <xdr:cNvPr id="23582" name="Button 30" hidden="1">
              <a:extLst>
                <a:ext uri="{63B3BB69-23CF-44E3-9099-C40C66FF867C}">
                  <a14:compatExt spid="_x0000_s2358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10b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441960</xdr:colOff>
          <xdr:row>3</xdr:row>
          <xdr:rowOff>137160</xdr:rowOff>
        </xdr:from>
        <xdr:to>
          <xdr:col>12</xdr:col>
          <xdr:colOff>7620</xdr:colOff>
          <xdr:row>5</xdr:row>
          <xdr:rowOff>7620</xdr:rowOff>
        </xdr:to>
        <xdr:sp macro="" textlink="">
          <xdr:nvSpPr>
            <xdr:cNvPr id="23583" name="Button 31" hidden="1">
              <a:extLst>
                <a:ext uri="{63B3BB69-23CF-44E3-9099-C40C66FF867C}">
                  <a14:compatExt spid="_x0000_s2358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3</xdr:row>
          <xdr:rowOff>137160</xdr:rowOff>
        </xdr:from>
        <xdr:to>
          <xdr:col>13</xdr:col>
          <xdr:colOff>160020</xdr:colOff>
          <xdr:row>5</xdr:row>
          <xdr:rowOff>7620</xdr:rowOff>
        </xdr:to>
        <xdr:sp macro="" textlink="">
          <xdr:nvSpPr>
            <xdr:cNvPr id="23584" name="Button 32" hidden="1">
              <a:extLst>
                <a:ext uri="{63B3BB69-23CF-44E3-9099-C40C66FF867C}">
                  <a14:compatExt spid="_x0000_s2358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Table 12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99060</xdr:colOff>
          <xdr:row>92</xdr:row>
          <xdr:rowOff>0</xdr:rowOff>
        </xdr:from>
        <xdr:to>
          <xdr:col>9</xdr:col>
          <xdr:colOff>289560</xdr:colOff>
          <xdr:row>95</xdr:row>
          <xdr:rowOff>7620</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Transfer forecast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350520</xdr:colOff>
          <xdr:row>92</xdr:row>
          <xdr:rowOff>0</xdr:rowOff>
        </xdr:from>
        <xdr:to>
          <xdr:col>10</xdr:col>
          <xdr:colOff>541020</xdr:colOff>
          <xdr:row>95</xdr:row>
          <xdr:rowOff>7620</xdr:rowOff>
        </xdr:to>
        <xdr:sp macro="" textlink="">
          <xdr:nvSpPr>
            <xdr:cNvPr id="17416" name="Button 8" hidden="1">
              <a:extLst>
                <a:ext uri="{63B3BB69-23CF-44E3-9099-C40C66FF867C}">
                  <a14:compatExt spid="_x0000_s174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Save </a:t>
              </a:r>
            </a:p>
            <a:p>
              <a:pPr algn="ctr" rtl="0">
                <a:defRPr sz="1000"/>
              </a:pPr>
              <a:r>
                <a:rPr lang="en-GB" sz="1200" b="1" i="0" u="none" strike="noStrike" baseline="0">
                  <a:solidFill>
                    <a:srgbClr val="000000"/>
                  </a:solidFill>
                  <a:latin typeface="Arial"/>
                  <a:cs typeface="Arial"/>
                </a:rPr>
                <a:t>values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923925</xdr:colOff>
      <xdr:row>12</xdr:row>
      <xdr:rowOff>28575</xdr:rowOff>
    </xdr:from>
    <xdr:to>
      <xdr:col>6</xdr:col>
      <xdr:colOff>4445</xdr:colOff>
      <xdr:row>28</xdr:row>
      <xdr:rowOff>635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885825</xdr:colOff>
      <xdr:row>28</xdr:row>
      <xdr:rowOff>133350</xdr:rowOff>
    </xdr:from>
    <xdr:to>
      <xdr:col>5</xdr:col>
      <xdr:colOff>575945</xdr:colOff>
      <xdr:row>44</xdr:row>
      <xdr:rowOff>105410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809625</xdr:colOff>
      <xdr:row>51</xdr:row>
      <xdr:rowOff>14287</xdr:rowOff>
    </xdr:from>
    <xdr:to>
      <xdr:col>8</xdr:col>
      <xdr:colOff>161925</xdr:colOff>
      <xdr:row>68</xdr:row>
      <xdr:rowOff>4762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790574</xdr:colOff>
      <xdr:row>68</xdr:row>
      <xdr:rowOff>66675</xdr:rowOff>
    </xdr:from>
    <xdr:to>
      <xdr:col>8</xdr:col>
      <xdr:colOff>380999</xdr:colOff>
      <xdr:row>86</xdr:row>
      <xdr:rowOff>33337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_p.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E%20Forecast%20dat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nancing_side_B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
      <sheetName val="Manual"/>
      <sheetName val="NP"/>
      <sheetName val="NN"/>
      <sheetName val="NF"/>
      <sheetName val="ON"/>
      <sheetName val="UN"/>
      <sheetName val="OA"/>
      <sheetName val="UA"/>
      <sheetName val="UC"/>
      <sheetName val="UG"/>
      <sheetName val="UH"/>
      <sheetName val="QUART"/>
      <sheetName val="DATA_A11"/>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
      <sheetName val="Manual"/>
      <sheetName val="Menu"/>
      <sheetName val="Hicp1"/>
      <sheetName val="TREU"/>
      <sheetName val="Lab1"/>
      <sheetName val="Lab1new"/>
      <sheetName val="Lab3"/>
      <sheetName val="Lab3new"/>
      <sheetName val="Lab5"/>
      <sheetName val="Lab5new"/>
      <sheetName val="dir&amp;indir taxes"/>
      <sheetName val="TaxesEU"/>
      <sheetName val="Social benefits"/>
      <sheetName val="Pop_PB"/>
      <sheetName val="Labour_Force"/>
      <sheetName val="Pop"/>
      <sheetName val="CAC"/>
      <sheetName val="CAD"/>
      <sheetName val="S1"/>
      <sheetName val="S1new"/>
      <sheetName val="S11"/>
      <sheetName val="S12"/>
      <sheetName val="S13"/>
      <sheetName val="S13new"/>
      <sheetName val="S14"/>
      <sheetName val="S14new"/>
      <sheetName val="S15"/>
      <sheetName val="S15new"/>
      <sheetName val="S2"/>
      <sheetName val="S2old"/>
      <sheetName val="S2new"/>
      <sheetName val="RevExp"/>
      <sheetName val="Debt"/>
      <sheetName val="Quar"/>
      <sheetName val="FAME Persistence2"/>
      <sheetName val="Quarnew"/>
      <sheetName val="Lab2"/>
      <sheetName val="Lab4"/>
      <sheetName val="Hicp2"/>
      <sheetName val="IncomeR"/>
      <sheetName val="IncomRnew"/>
      <sheetName val="IncomeN"/>
      <sheetName val="HHR"/>
      <sheetName val="HHN"/>
      <sheetName val="ExR1"/>
      <sheetName val="ExR2"/>
      <sheetName val="ExN2"/>
      <sheetName val="ExR3"/>
      <sheetName val="ExR3new"/>
      <sheetName val="ExR4"/>
      <sheetName val="OutR"/>
      <sheetName val="OutN"/>
      <sheetName val="ExN1"/>
      <sheetName val="ExN3"/>
      <sheetName val="ExN3new"/>
      <sheetName val="ExN4"/>
      <sheetName val="Comp"/>
      <sheetName val="Ssum"/>
      <sheetName val="Sheet1"/>
      <sheetName val="Quar2000"/>
      <sheetName val="TR"/>
      <sheetName val="fM"/>
      <sheetName val="fQ"/>
      <sheetName val="fA"/>
      <sheetName val="Sheet2"/>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blio"/>
      <sheetName val="FDMS+ Table preview"/>
      <sheetName val="Info"/>
      <sheetName val="SDC"/>
      <sheetName val="MA"/>
      <sheetName val="Mon1"/>
      <sheetName val="Gvt1"/>
      <sheetName val="Prv1"/>
      <sheetName val="DemandEquation"/>
      <sheetName val="ECB_S"/>
      <sheetName val="ECB_F"/>
      <sheetName val="IFS"/>
      <sheetName val="ESA_Stocks"/>
      <sheetName val="IIP"/>
      <sheetName val="RealForecast"/>
      <sheetName val="ECB PSPP"/>
      <sheetName val="TransferFinA"/>
      <sheetName val="IND_Baseline"/>
      <sheetName val="bilan_MFI_données_sur_base_terr"/>
    </sheetNames>
  </externalBook>
</externalLink>
</file>

<file path=xl/queryTables/queryTable1.xml><?xml version="1.0" encoding="utf-8"?>
<queryTable xmlns="http://schemas.openxmlformats.org/spreadsheetml/2006/main" name="qy_transfer_matrix.cfm?cty=BE_1"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y_transfer_matrix.cfm?cty=BE" preserveFormatting="0" connectionId="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fdms_web_query.cfm?cty=BE" preserveFormatting="0" connectionId="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y_transfer_matrix.cfm?cty=BE_2" preserveFormatting="0" connectionId="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y_additional_impact.cfm?cty=BE_1" preserveFormatting="0" connectionId="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y_additional_impact.cfm?cty=BE" preserveFormatting="0" connectionId="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_EPKit Theme">
      <a:dk1>
        <a:sysClr val="windowText" lastClr="000000"/>
      </a:dk1>
      <a:lt1>
        <a:sysClr val="window" lastClr="FFFFFF"/>
      </a:lt1>
      <a:dk2>
        <a:srgbClr val="4C70A7"/>
      </a:dk2>
      <a:lt2>
        <a:srgbClr val="F2F2F2"/>
      </a:lt2>
      <a:accent1>
        <a:srgbClr val="353B73"/>
      </a:accent1>
      <a:accent2>
        <a:srgbClr val="FFD724"/>
      </a:accent2>
      <a:accent3>
        <a:srgbClr val="2F9AFB"/>
      </a:accent3>
      <a:accent4>
        <a:srgbClr val="B8AAA2"/>
      </a:accent4>
      <a:accent5>
        <a:srgbClr val="E75118"/>
      </a:accent5>
      <a:accent6>
        <a:srgbClr val="6DC7A9"/>
      </a:accent6>
      <a:hlink>
        <a:srgbClr val="F29522"/>
      </a:hlink>
      <a:folHlink>
        <a:srgbClr val="2F9AD6"/>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gerrit.bethuyne@cec.eu.in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5" Type="http://schemas.openxmlformats.org/officeDocument/2006/relationships/queryTable" Target="../queryTables/queryTable5.xml"/><Relationship Id="rId4"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www.nbb.be/belgostat/PublicatieSelectieLinker?LinkID=592000081|910000082&amp;Lang=E" TargetMode="External"/><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8.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6.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3.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enableFormatConditionsCalculation="0">
    <tabColor indexed="44"/>
  </sheetPr>
  <dimension ref="B4:R70"/>
  <sheetViews>
    <sheetView showGridLines="0" workbookViewId="0">
      <selection activeCell="E32" sqref="E32"/>
    </sheetView>
  </sheetViews>
  <sheetFormatPr defaultColWidth="11.6640625" defaultRowHeight="13.2"/>
  <cols>
    <col min="1" max="1" width="4.88671875" customWidth="1"/>
  </cols>
  <sheetData>
    <row r="4" spans="2:5" ht="17.399999999999999">
      <c r="E4" s="890" t="s">
        <v>929</v>
      </c>
    </row>
    <row r="5" spans="2:5" ht="15.6">
      <c r="E5" s="891" t="s">
        <v>2070</v>
      </c>
    </row>
    <row r="7" spans="2:5" ht="15">
      <c r="E7" s="892"/>
    </row>
    <row r="8" spans="2:5" ht="15">
      <c r="E8" s="892" t="s">
        <v>2071</v>
      </c>
    </row>
    <row r="9" spans="2:5" ht="15.6">
      <c r="E9" s="891" t="s">
        <v>2072</v>
      </c>
    </row>
    <row r="13" spans="2:5" ht="30">
      <c r="E13" s="893" t="s">
        <v>2078</v>
      </c>
    </row>
    <row r="14" spans="2:5">
      <c r="B14" s="558"/>
    </row>
    <row r="15" spans="2:5">
      <c r="B15" s="558"/>
    </row>
    <row r="17" spans="2:6">
      <c r="E17" t="s">
        <v>2073</v>
      </c>
    </row>
    <row r="18" spans="2:6">
      <c r="E18" t="s">
        <v>2074</v>
      </c>
      <c r="F18" s="894">
        <v>39499</v>
      </c>
    </row>
    <row r="25" spans="2:6">
      <c r="B25" s="895" t="s">
        <v>356</v>
      </c>
    </row>
    <row r="26" spans="2:6">
      <c r="B26" s="895" t="s">
        <v>2075</v>
      </c>
    </row>
    <row r="27" spans="2:6">
      <c r="B27" s="895" t="s">
        <v>2076</v>
      </c>
    </row>
    <row r="28" spans="2:6">
      <c r="B28" s="895" t="s">
        <v>2077</v>
      </c>
      <c r="C28" s="896" t="s">
        <v>1037</v>
      </c>
      <c r="D28" s="896"/>
    </row>
    <row r="51" spans="2:18" s="2811" customFormat="1" ht="25.5" customHeight="1">
      <c r="B51" s="2812" t="s">
        <v>1083</v>
      </c>
      <c r="C51" s="2812" t="s">
        <v>1796</v>
      </c>
      <c r="D51" s="4070" t="s">
        <v>1725</v>
      </c>
      <c r="E51" s="4070"/>
      <c r="F51" s="4070"/>
      <c r="G51" s="4070"/>
      <c r="H51" s="4070"/>
      <c r="I51" s="4070" t="s">
        <v>1726</v>
      </c>
      <c r="J51" s="4070"/>
      <c r="K51" s="4070"/>
      <c r="L51" s="4070"/>
      <c r="M51" s="4070"/>
      <c r="N51" s="4070" t="s">
        <v>1795</v>
      </c>
      <c r="O51" s="4070"/>
      <c r="P51" s="4070"/>
      <c r="Q51" s="4070"/>
      <c r="R51" s="4070"/>
    </row>
    <row r="52" spans="2:18" s="2813" customFormat="1" ht="12.75" customHeight="1">
      <c r="B52" s="2814" t="s">
        <v>731</v>
      </c>
      <c r="C52" s="2814">
        <v>39272</v>
      </c>
      <c r="I52" s="2813" t="s">
        <v>378</v>
      </c>
    </row>
    <row r="53" spans="2:18">
      <c r="B53" s="558" t="s">
        <v>284</v>
      </c>
      <c r="C53" s="2810">
        <v>39335</v>
      </c>
      <c r="D53" s="2" t="s">
        <v>1964</v>
      </c>
      <c r="E53" s="2"/>
      <c r="F53" s="2"/>
      <c r="G53" s="2"/>
      <c r="H53" s="2"/>
      <c r="I53" t="s">
        <v>1082</v>
      </c>
      <c r="N53" t="s">
        <v>1797</v>
      </c>
    </row>
    <row r="54" spans="2:18">
      <c r="B54" s="558"/>
      <c r="C54" s="2810"/>
      <c r="D54" t="s">
        <v>1779</v>
      </c>
      <c r="I54" t="s">
        <v>821</v>
      </c>
      <c r="N54" t="s">
        <v>1797</v>
      </c>
    </row>
    <row r="55" spans="2:18">
      <c r="B55" s="558"/>
      <c r="C55" s="2810"/>
      <c r="D55" s="2815" t="s">
        <v>1777</v>
      </c>
      <c r="I55" t="s">
        <v>1778</v>
      </c>
      <c r="N55" t="s">
        <v>1797</v>
      </c>
    </row>
    <row r="56" spans="2:18">
      <c r="B56" s="558"/>
      <c r="C56" s="2810"/>
      <c r="D56" s="2815" t="s">
        <v>1152</v>
      </c>
      <c r="I56" t="s">
        <v>468</v>
      </c>
    </row>
    <row r="57" spans="2:18">
      <c r="D57" s="2815" t="s">
        <v>1220</v>
      </c>
      <c r="I57" t="s">
        <v>31</v>
      </c>
    </row>
    <row r="58" spans="2:18">
      <c r="D58" s="2815" t="s">
        <v>1671</v>
      </c>
      <c r="I58" t="s">
        <v>471</v>
      </c>
    </row>
    <row r="59" spans="2:18">
      <c r="D59" s="2815" t="s">
        <v>997</v>
      </c>
    </row>
    <row r="60" spans="2:18">
      <c r="D60" s="2815" t="s">
        <v>504</v>
      </c>
    </row>
    <row r="61" spans="2:18">
      <c r="D61" t="s">
        <v>1531</v>
      </c>
      <c r="I61" t="s">
        <v>1530</v>
      </c>
    </row>
    <row r="62" spans="2:18">
      <c r="D62" s="2815" t="s">
        <v>1532</v>
      </c>
      <c r="I62" t="s">
        <v>1533</v>
      </c>
    </row>
    <row r="63" spans="2:18">
      <c r="D63" s="2815" t="s">
        <v>286</v>
      </c>
      <c r="I63" t="s">
        <v>285</v>
      </c>
    </row>
    <row r="64" spans="2:18">
      <c r="D64" s="2815" t="s">
        <v>23</v>
      </c>
      <c r="I64" t="s">
        <v>24</v>
      </c>
    </row>
    <row r="65" spans="2:14">
      <c r="D65" t="s">
        <v>20</v>
      </c>
      <c r="I65" t="s">
        <v>21</v>
      </c>
    </row>
    <row r="66" spans="2:14">
      <c r="D66" t="s">
        <v>22</v>
      </c>
      <c r="I66" t="s">
        <v>21</v>
      </c>
    </row>
    <row r="67" spans="2:14">
      <c r="D67" t="s">
        <v>245</v>
      </c>
      <c r="I67" t="s">
        <v>600</v>
      </c>
      <c r="N67" t="s">
        <v>246</v>
      </c>
    </row>
    <row r="68" spans="2:14">
      <c r="D68" t="s">
        <v>472</v>
      </c>
      <c r="I68" t="s">
        <v>473</v>
      </c>
      <c r="N68" t="s">
        <v>145</v>
      </c>
    </row>
    <row r="69" spans="2:14">
      <c r="D69" t="s">
        <v>146</v>
      </c>
      <c r="I69" t="s">
        <v>147</v>
      </c>
      <c r="N69" t="s">
        <v>1797</v>
      </c>
    </row>
    <row r="70" spans="2:14">
      <c r="B70" t="s">
        <v>148</v>
      </c>
      <c r="C70" s="2899">
        <v>39503</v>
      </c>
      <c r="D70" t="s">
        <v>1815</v>
      </c>
      <c r="I70" t="s">
        <v>1814</v>
      </c>
      <c r="N70" t="s">
        <v>1797</v>
      </c>
    </row>
  </sheetData>
  <mergeCells count="3">
    <mergeCell ref="I51:M51"/>
    <mergeCell ref="N51:R51"/>
    <mergeCell ref="D51:H51"/>
  </mergeCells>
  <phoneticPr fontId="76" type="noConversion"/>
  <hyperlinks>
    <hyperlink ref="C28" r:id="rId1" display="gerrit.bethuyne@cec.eu.int"/>
  </hyperlinks>
  <pageMargins left="0.75" right="0.75" top="1" bottom="1" header="0.5" footer="0.5"/>
  <pageSetup paperSize="9"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tabColor indexed="44"/>
  </sheetPr>
  <dimension ref="A1:Q268"/>
  <sheetViews>
    <sheetView showGridLines="0" topLeftCell="A209" workbookViewId="0">
      <selection activeCell="F242" sqref="F242"/>
    </sheetView>
  </sheetViews>
  <sheetFormatPr defaultColWidth="9.109375" defaultRowHeight="13.8"/>
  <cols>
    <col min="1" max="3" width="4.109375" style="1702" customWidth="1"/>
    <col min="4" max="4" width="4.109375" style="1703" customWidth="1"/>
    <col min="5" max="5" width="10.33203125" style="1703" customWidth="1"/>
    <col min="6" max="16" width="10.33203125" style="1702" customWidth="1"/>
    <col min="17" max="16384" width="9.109375" style="1702"/>
  </cols>
  <sheetData>
    <row r="1" spans="1:17">
      <c r="A1" s="1744"/>
      <c r="B1" s="1744"/>
      <c r="C1" s="1744"/>
      <c r="D1" s="1745"/>
      <c r="E1" s="1745"/>
      <c r="F1" s="1744"/>
      <c r="G1" s="1744"/>
      <c r="H1" s="1744"/>
      <c r="I1" s="1744"/>
      <c r="J1" s="1744"/>
      <c r="K1" s="1744"/>
      <c r="L1" s="1744"/>
      <c r="M1" s="1744"/>
      <c r="N1" s="1744"/>
      <c r="O1" s="1744"/>
      <c r="P1" s="1744"/>
      <c r="Q1" s="1744"/>
    </row>
    <row r="2" spans="1:17" ht="17.399999999999999">
      <c r="A2" s="1744"/>
      <c r="B2" s="1746" t="s">
        <v>1547</v>
      </c>
      <c r="C2" s="1744"/>
      <c r="D2" s="1745"/>
      <c r="E2" s="1745"/>
      <c r="F2" s="1744"/>
      <c r="G2" s="1744"/>
      <c r="H2" s="1744"/>
      <c r="I2" s="1744"/>
      <c r="J2" s="1744"/>
      <c r="K2" s="1744"/>
      <c r="L2" s="1744"/>
      <c r="M2" s="1744"/>
      <c r="N2" s="1744"/>
      <c r="O2" s="1744"/>
      <c r="P2" s="1744"/>
      <c r="Q2" s="1744"/>
    </row>
    <row r="3" spans="1:17" s="1743" customFormat="1" ht="13.2">
      <c r="A3" s="1412"/>
      <c r="B3" s="1747"/>
      <c r="C3" s="1412"/>
      <c r="D3" s="1748"/>
      <c r="E3" s="1748"/>
      <c r="F3" s="1412"/>
      <c r="G3" s="1412"/>
      <c r="H3" s="1412"/>
      <c r="I3" s="1412"/>
      <c r="J3" s="1412"/>
      <c r="K3" s="1412"/>
      <c r="L3" s="1412"/>
      <c r="M3" s="1412"/>
      <c r="N3" s="1412"/>
      <c r="O3" s="1412"/>
      <c r="P3" s="1412"/>
      <c r="Q3" s="1412"/>
    </row>
    <row r="4" spans="1:17" ht="14.4" thickBot="1"/>
    <row r="5" spans="1:17">
      <c r="B5" s="1715"/>
      <c r="C5" s="1716" t="s">
        <v>1092</v>
      </c>
      <c r="D5" s="1717"/>
      <c r="E5" s="1717"/>
      <c r="F5" s="1716"/>
      <c r="G5" s="1716"/>
      <c r="H5" s="1716"/>
      <c r="I5" s="1716"/>
      <c r="J5" s="1716"/>
      <c r="K5" s="1716"/>
      <c r="L5" s="1716"/>
      <c r="M5" s="1716"/>
      <c r="N5" s="1716"/>
      <c r="O5" s="1716"/>
      <c r="P5" s="1718"/>
    </row>
    <row r="6" spans="1:17">
      <c r="B6" s="1719"/>
      <c r="C6" s="1720" t="s">
        <v>919</v>
      </c>
      <c r="D6" s="1721"/>
      <c r="E6" s="1720"/>
      <c r="F6" s="1722"/>
      <c r="G6" s="1722"/>
      <c r="H6" s="1722"/>
      <c r="I6" s="1722"/>
      <c r="J6" s="1722"/>
      <c r="K6" s="1722"/>
      <c r="L6" s="1722"/>
      <c r="M6" s="1722"/>
      <c r="N6" s="1722"/>
      <c r="O6" s="1722"/>
      <c r="P6" s="1723"/>
    </row>
    <row r="7" spans="1:17">
      <c r="B7" s="1719"/>
      <c r="C7" s="1724" t="s">
        <v>545</v>
      </c>
      <c r="D7" s="1725"/>
      <c r="E7" s="1725"/>
      <c r="F7" s="1724"/>
      <c r="G7" s="1724"/>
      <c r="H7" s="1724"/>
      <c r="I7" s="1724"/>
      <c r="J7" s="1724"/>
      <c r="K7" s="1724"/>
      <c r="L7" s="1724"/>
      <c r="M7" s="1724"/>
      <c r="N7" s="1724"/>
      <c r="O7" s="1724"/>
      <c r="P7" s="1723"/>
    </row>
    <row r="8" spans="1:17">
      <c r="B8" s="1719"/>
      <c r="C8" s="1724" t="s">
        <v>831</v>
      </c>
      <c r="D8" s="1725"/>
      <c r="E8" s="1725"/>
      <c r="F8" s="1724"/>
      <c r="G8" s="1724"/>
      <c r="H8" s="1724"/>
      <c r="I8" s="1724"/>
      <c r="J8" s="1724"/>
      <c r="K8" s="1724"/>
      <c r="L8" s="1724"/>
      <c r="M8" s="1724"/>
      <c r="N8" s="1724"/>
      <c r="O8" s="1724"/>
      <c r="P8" s="1723"/>
    </row>
    <row r="9" spans="1:17">
      <c r="B9" s="1719"/>
      <c r="C9" s="1726"/>
      <c r="D9" s="1725" t="s">
        <v>1699</v>
      </c>
      <c r="E9" s="1725"/>
      <c r="F9" s="1724"/>
      <c r="G9" s="1724"/>
      <c r="H9" s="1724"/>
      <c r="I9" s="1724"/>
      <c r="J9" s="1724"/>
      <c r="K9" s="1724"/>
      <c r="L9" s="1724"/>
      <c r="M9" s="1724"/>
      <c r="N9" s="1724"/>
      <c r="O9" s="1724"/>
      <c r="P9" s="1723"/>
    </row>
    <row r="10" spans="1:17">
      <c r="B10" s="1719"/>
      <c r="C10" s="1724"/>
      <c r="D10" s="1727" t="s">
        <v>1876</v>
      </c>
      <c r="E10" s="1725"/>
      <c r="F10" s="1724"/>
      <c r="G10" s="1724"/>
      <c r="H10" s="1724"/>
      <c r="I10" s="1724"/>
      <c r="J10" s="1724"/>
      <c r="K10" s="1724"/>
      <c r="L10" s="1724"/>
      <c r="M10" s="1724"/>
      <c r="N10" s="1724"/>
      <c r="O10" s="1724"/>
      <c r="P10" s="1723"/>
    </row>
    <row r="11" spans="1:17" ht="14.4" thickBot="1">
      <c r="B11" s="1728"/>
      <c r="C11" s="1729" t="s">
        <v>1137</v>
      </c>
      <c r="D11" s="1730"/>
      <c r="E11" s="1730"/>
      <c r="F11" s="1731"/>
      <c r="G11" s="1731"/>
      <c r="H11" s="1731"/>
      <c r="I11" s="1731"/>
      <c r="J11" s="1731"/>
      <c r="K11" s="1731"/>
      <c r="L11" s="1731"/>
      <c r="M11" s="1731"/>
      <c r="N11" s="1731"/>
      <c r="O11" s="1731"/>
      <c r="P11" s="1732"/>
    </row>
    <row r="13" spans="1:17">
      <c r="A13" s="1744"/>
      <c r="B13" s="1744"/>
      <c r="C13" s="1744"/>
      <c r="D13" s="1745"/>
      <c r="E13" s="1745"/>
      <c r="F13" s="1744"/>
      <c r="G13" s="1744"/>
      <c r="H13" s="1744"/>
      <c r="I13" s="1744"/>
      <c r="J13" s="1744"/>
      <c r="K13" s="1744"/>
      <c r="L13" s="1744"/>
      <c r="M13" s="1744"/>
      <c r="N13" s="1744"/>
      <c r="O13" s="1744"/>
      <c r="P13" s="1744"/>
      <c r="Q13" s="1744"/>
    </row>
    <row r="14" spans="1:17" ht="17.399999999999999">
      <c r="A14" s="1744"/>
      <c r="B14" s="1746" t="s">
        <v>1877</v>
      </c>
      <c r="C14" s="1744"/>
      <c r="D14" s="1745"/>
      <c r="E14" s="1745"/>
      <c r="F14" s="1744"/>
      <c r="G14" s="1744"/>
      <c r="H14" s="1744"/>
      <c r="I14" s="1744"/>
      <c r="J14" s="1744"/>
      <c r="K14" s="1744"/>
      <c r="L14" s="1744"/>
      <c r="M14" s="1744"/>
      <c r="N14" s="1744"/>
      <c r="O14" s="1744"/>
      <c r="P14" s="1744"/>
      <c r="Q14" s="1744"/>
    </row>
    <row r="15" spans="1:17">
      <c r="A15" s="1744"/>
      <c r="B15" s="1744"/>
      <c r="C15" s="1744"/>
      <c r="D15" s="1745"/>
      <c r="E15" s="1745"/>
      <c r="F15" s="1744"/>
      <c r="G15" s="1744"/>
      <c r="H15" s="1744"/>
      <c r="I15" s="1744"/>
      <c r="J15" s="1744"/>
      <c r="K15" s="1744"/>
      <c r="L15" s="1744"/>
      <c r="M15" s="1744"/>
      <c r="N15" s="1744"/>
      <c r="O15" s="1744"/>
      <c r="P15" s="1744"/>
      <c r="Q15" s="1744"/>
    </row>
    <row r="17" spans="1:17" s="1750" customFormat="1" ht="24" customHeight="1">
      <c r="A17" s="1749"/>
      <c r="B17" s="1755" t="s">
        <v>869</v>
      </c>
      <c r="C17" s="1749"/>
      <c r="D17" s="1749"/>
      <c r="E17" s="1749"/>
      <c r="F17" s="1749"/>
      <c r="G17" s="1749"/>
      <c r="H17" s="1749"/>
      <c r="I17" s="1749"/>
      <c r="J17" s="1749"/>
      <c r="K17" s="1749"/>
      <c r="L17" s="1749"/>
      <c r="M17" s="1749"/>
      <c r="N17" s="1749"/>
      <c r="O17" s="1749"/>
      <c r="P17" s="1749"/>
      <c r="Q17" s="1749"/>
    </row>
    <row r="19" spans="1:17">
      <c r="B19" s="1704">
        <v>11</v>
      </c>
      <c r="C19" s="1704">
        <v>23</v>
      </c>
      <c r="D19" s="1703" t="s">
        <v>533</v>
      </c>
    </row>
    <row r="21" spans="1:17">
      <c r="B21" s="1702" t="s">
        <v>253</v>
      </c>
    </row>
    <row r="22" spans="1:17">
      <c r="B22" s="1702" t="s">
        <v>1089</v>
      </c>
    </row>
    <row r="24" spans="1:17">
      <c r="C24" s="1705"/>
      <c r="D24" s="1721"/>
      <c r="E24" s="1703" t="s">
        <v>1878</v>
      </c>
    </row>
    <row r="26" spans="1:17">
      <c r="C26" s="1706"/>
      <c r="D26" s="1706"/>
      <c r="E26" s="1703" t="s">
        <v>916</v>
      </c>
    </row>
    <row r="28" spans="1:17">
      <c r="B28" s="1702" t="s">
        <v>1025</v>
      </c>
    </row>
    <row r="30" spans="1:17">
      <c r="C30" s="1707"/>
      <c r="D30" s="1733"/>
      <c r="E30" s="1703" t="s">
        <v>1879</v>
      </c>
      <c r="J30" s="1708"/>
      <c r="K30" s="1703" t="s">
        <v>1026</v>
      </c>
      <c r="M30" s="1703"/>
    </row>
    <row r="31" spans="1:17">
      <c r="D31" s="1734"/>
    </row>
    <row r="32" spans="1:17">
      <c r="C32" s="1709"/>
      <c r="D32" s="1735"/>
      <c r="E32" s="1703" t="s">
        <v>263</v>
      </c>
    </row>
    <row r="33" spans="1:17">
      <c r="D33" s="1734"/>
    </row>
    <row r="34" spans="1:17">
      <c r="C34" s="1710"/>
      <c r="D34" s="1736"/>
      <c r="E34" s="1703" t="s">
        <v>1027</v>
      </c>
    </row>
    <row r="36" spans="1:17">
      <c r="C36" s="3550"/>
      <c r="D36" s="3551"/>
      <c r="E36" s="1703" t="s">
        <v>2446</v>
      </c>
    </row>
    <row r="38" spans="1:17" s="1750" customFormat="1" ht="24" customHeight="1">
      <c r="A38" s="1749"/>
      <c r="B38" s="1755" t="s">
        <v>264</v>
      </c>
      <c r="C38" s="1749"/>
      <c r="D38" s="1749"/>
      <c r="E38" s="1749"/>
      <c r="F38" s="1749"/>
      <c r="G38" s="1749"/>
      <c r="H38" s="1749"/>
      <c r="I38" s="1749"/>
      <c r="J38" s="1749"/>
      <c r="K38" s="1749"/>
      <c r="L38" s="1749"/>
      <c r="M38" s="1749"/>
      <c r="N38" s="1749"/>
      <c r="O38" s="1749"/>
      <c r="P38" s="1749"/>
      <c r="Q38" s="1749"/>
    </row>
    <row r="40" spans="1:17">
      <c r="B40" s="1760" t="s">
        <v>938</v>
      </c>
      <c r="C40" s="1761"/>
      <c r="D40" s="1762"/>
      <c r="E40" s="1762"/>
      <c r="F40" s="1761"/>
      <c r="G40" s="1763"/>
    </row>
    <row r="41" spans="1:17">
      <c r="B41" s="1711"/>
    </row>
    <row r="42" spans="1:17">
      <c r="B42" s="1711"/>
      <c r="C42" s="1702" t="s">
        <v>1882</v>
      </c>
    </row>
    <row r="43" spans="1:17">
      <c r="B43" s="1711"/>
    </row>
    <row r="44" spans="1:17">
      <c r="B44" s="1711"/>
      <c r="C44" s="1702" t="s">
        <v>1092</v>
      </c>
    </row>
    <row r="45" spans="1:17">
      <c r="B45" s="1711"/>
    </row>
    <row r="46" spans="1:17">
      <c r="C46" s="1702" t="s">
        <v>1875</v>
      </c>
    </row>
    <row r="47" spans="1:17">
      <c r="D47" s="1702"/>
    </row>
    <row r="48" spans="1:17">
      <c r="D48" s="1703" t="s">
        <v>2052</v>
      </c>
    </row>
    <row r="49" spans="2:7">
      <c r="D49" s="1702" t="s">
        <v>1643</v>
      </c>
    </row>
    <row r="50" spans="2:7">
      <c r="D50" s="1703" t="s">
        <v>1644</v>
      </c>
    </row>
    <row r="52" spans="2:7">
      <c r="D52" s="1703" t="s">
        <v>848</v>
      </c>
    </row>
    <row r="53" spans="2:7">
      <c r="D53" s="1703" t="s">
        <v>2053</v>
      </c>
    </row>
    <row r="55" spans="2:7">
      <c r="C55" s="1702" t="s">
        <v>1432</v>
      </c>
    </row>
    <row r="56" spans="2:7">
      <c r="D56" s="1702" t="s">
        <v>2037</v>
      </c>
    </row>
    <row r="57" spans="2:7">
      <c r="D57" s="1703" t="s">
        <v>727</v>
      </c>
    </row>
    <row r="58" spans="2:7">
      <c r="D58" s="1703" t="s">
        <v>728</v>
      </c>
    </row>
    <row r="60" spans="2:7">
      <c r="B60" s="1760" t="s">
        <v>2134</v>
      </c>
      <c r="C60" s="1761"/>
      <c r="D60" s="1762"/>
      <c r="E60" s="1762"/>
      <c r="F60" s="1761"/>
      <c r="G60" s="1763"/>
    </row>
    <row r="62" spans="2:7">
      <c r="C62" s="1702" t="s">
        <v>1794</v>
      </c>
    </row>
    <row r="63" spans="2:7">
      <c r="D63" s="1737" t="s">
        <v>103</v>
      </c>
    </row>
    <row r="64" spans="2:7">
      <c r="D64" s="1737" t="s">
        <v>85</v>
      </c>
    </row>
    <row r="65" spans="3:7">
      <c r="D65" s="1737" t="s">
        <v>1913</v>
      </c>
    </row>
    <row r="66" spans="3:7">
      <c r="D66" s="1737" t="s">
        <v>1914</v>
      </c>
    </row>
    <row r="68" spans="3:7">
      <c r="C68" s="1702" t="s">
        <v>2069</v>
      </c>
    </row>
    <row r="69" spans="3:7">
      <c r="D69" s="1703" t="s">
        <v>54</v>
      </c>
    </row>
    <row r="70" spans="3:7">
      <c r="D70" s="1703" t="s">
        <v>55</v>
      </c>
    </row>
    <row r="71" spans="3:7">
      <c r="D71" s="1738" t="s">
        <v>2050</v>
      </c>
    </row>
    <row r="73" spans="3:7">
      <c r="C73" s="1702" t="s">
        <v>1154</v>
      </c>
    </row>
    <row r="74" spans="3:7">
      <c r="C74" s="1739" t="s">
        <v>955</v>
      </c>
    </row>
    <row r="76" spans="3:7">
      <c r="C76" s="1756" t="s">
        <v>2135</v>
      </c>
      <c r="D76" s="1757"/>
      <c r="E76" s="1757"/>
      <c r="F76" s="1758"/>
      <c r="G76" s="1759"/>
    </row>
    <row r="78" spans="3:7">
      <c r="D78" s="1737" t="s">
        <v>103</v>
      </c>
    </row>
    <row r="80" spans="3:7">
      <c r="D80" s="1740" t="s">
        <v>221</v>
      </c>
      <c r="E80" s="1702"/>
    </row>
    <row r="81" spans="4:5">
      <c r="D81" s="1702"/>
      <c r="E81" s="1741" t="s">
        <v>1670</v>
      </c>
    </row>
    <row r="82" spans="4:5">
      <c r="D82" s="1702"/>
      <c r="E82" s="1741" t="s">
        <v>72</v>
      </c>
    </row>
    <row r="83" spans="4:5">
      <c r="D83" s="1702"/>
      <c r="E83" s="1741" t="s">
        <v>93</v>
      </c>
    </row>
    <row r="84" spans="4:5">
      <c r="D84" s="1702"/>
      <c r="E84" s="1741" t="s">
        <v>1185</v>
      </c>
    </row>
    <row r="85" spans="4:5">
      <c r="D85" s="1702"/>
      <c r="E85" s="1741" t="s">
        <v>173</v>
      </c>
    </row>
    <row r="86" spans="4:5">
      <c r="D86" s="1702"/>
      <c r="E86" s="1702"/>
    </row>
    <row r="87" spans="4:5">
      <c r="D87" s="1740" t="s">
        <v>1636</v>
      </c>
      <c r="E87" s="1702"/>
    </row>
    <row r="88" spans="4:5">
      <c r="D88" s="1702"/>
      <c r="E88" s="1702" t="s">
        <v>896</v>
      </c>
    </row>
    <row r="89" spans="4:5">
      <c r="D89" s="1702"/>
      <c r="E89" s="1702" t="s">
        <v>1144</v>
      </c>
    </row>
    <row r="90" spans="4:5">
      <c r="D90" s="1702"/>
      <c r="E90" s="1702"/>
    </row>
    <row r="91" spans="4:5">
      <c r="D91" s="1703" t="s">
        <v>937</v>
      </c>
    </row>
    <row r="92" spans="4:5">
      <c r="D92" s="1702"/>
      <c r="E92" s="1702"/>
    </row>
    <row r="93" spans="4:5">
      <c r="D93" s="1740" t="s">
        <v>655</v>
      </c>
      <c r="E93" s="1702"/>
    </row>
    <row r="94" spans="4:5">
      <c r="D94" s="1702"/>
      <c r="E94" s="1702"/>
    </row>
    <row r="95" spans="4:5">
      <c r="E95" s="1703" t="s">
        <v>861</v>
      </c>
    </row>
    <row r="96" spans="4:5">
      <c r="E96" s="1703" t="s">
        <v>850</v>
      </c>
    </row>
    <row r="98" spans="3:7">
      <c r="E98" s="1703" t="s">
        <v>1280</v>
      </c>
    </row>
    <row r="99" spans="3:7">
      <c r="E99" s="1703" t="s">
        <v>1348</v>
      </c>
    </row>
    <row r="101" spans="3:7">
      <c r="E101" s="1703" t="s">
        <v>1619</v>
      </c>
    </row>
    <row r="103" spans="3:7">
      <c r="D103" s="1740" t="s">
        <v>1035</v>
      </c>
    </row>
    <row r="104" spans="3:7">
      <c r="D104" s="1982"/>
    </row>
    <row r="105" spans="3:7">
      <c r="D105" s="1982"/>
      <c r="E105" s="1703" t="s">
        <v>1036</v>
      </c>
    </row>
    <row r="106" spans="3:7">
      <c r="D106" s="1737"/>
      <c r="E106" s="1702" t="s">
        <v>476</v>
      </c>
    </row>
    <row r="107" spans="3:7">
      <c r="D107" s="1737"/>
      <c r="E107" s="1702"/>
    </row>
    <row r="108" spans="3:7">
      <c r="E108" s="1702" t="s">
        <v>2103</v>
      </c>
    </row>
    <row r="109" spans="3:7">
      <c r="E109" s="1703" t="s">
        <v>1700</v>
      </c>
    </row>
    <row r="110" spans="3:7">
      <c r="E110" s="1702" t="s">
        <v>2104</v>
      </c>
    </row>
    <row r="112" spans="3:7">
      <c r="C112" s="1756" t="s">
        <v>2136</v>
      </c>
      <c r="D112" s="1757"/>
      <c r="E112" s="1757"/>
      <c r="F112" s="1758"/>
      <c r="G112" s="1759"/>
    </row>
    <row r="114" spans="3:7">
      <c r="D114" s="1737" t="s">
        <v>1620</v>
      </c>
    </row>
    <row r="116" spans="3:7">
      <c r="D116" s="1703" t="s">
        <v>1621</v>
      </c>
    </row>
    <row r="117" spans="3:7">
      <c r="D117" s="1703" t="s">
        <v>1999</v>
      </c>
      <c r="E117" s="1703" t="s">
        <v>1773</v>
      </c>
    </row>
    <row r="118" spans="3:7">
      <c r="E118" s="1703" t="s">
        <v>930</v>
      </c>
    </row>
    <row r="120" spans="3:7">
      <c r="C120" s="1756" t="s">
        <v>1637</v>
      </c>
      <c r="D120" s="1757"/>
      <c r="E120" s="1757"/>
      <c r="F120" s="1758"/>
      <c r="G120" s="1759"/>
    </row>
    <row r="122" spans="3:7">
      <c r="D122" s="1703" t="s">
        <v>888</v>
      </c>
    </row>
    <row r="124" spans="3:7">
      <c r="D124" s="1703" t="s">
        <v>1626</v>
      </c>
    </row>
    <row r="126" spans="3:7">
      <c r="D126" s="1703" t="s">
        <v>80</v>
      </c>
    </row>
    <row r="128" spans="3:7">
      <c r="C128" s="1756" t="s">
        <v>274</v>
      </c>
      <c r="D128" s="1757"/>
      <c r="E128" s="1757"/>
      <c r="F128" s="1758"/>
      <c r="G128" s="1759"/>
    </row>
    <row r="130" spans="4:6">
      <c r="D130" s="1712" t="s">
        <v>1798</v>
      </c>
      <c r="F130" s="1714"/>
    </row>
    <row r="132" spans="4:6">
      <c r="D132" s="1703" t="s">
        <v>1899</v>
      </c>
    </row>
    <row r="133" spans="4:6">
      <c r="E133" s="1703" t="s">
        <v>25</v>
      </c>
    </row>
    <row r="134" spans="4:6">
      <c r="E134" s="1703" t="s">
        <v>1739</v>
      </c>
    </row>
    <row r="136" spans="4:6">
      <c r="D136" s="1703" t="s">
        <v>1400</v>
      </c>
    </row>
    <row r="137" spans="4:6">
      <c r="E137" s="1702" t="s">
        <v>1375</v>
      </c>
    </row>
    <row r="139" spans="4:6">
      <c r="E139" s="1703" t="s">
        <v>2100</v>
      </c>
    </row>
    <row r="140" spans="4:6">
      <c r="E140" s="1703" t="s">
        <v>1376</v>
      </c>
    </row>
    <row r="141" spans="4:6">
      <c r="E141" s="1703" t="s">
        <v>838</v>
      </c>
    </row>
    <row r="143" spans="4:6">
      <c r="E143" s="1703" t="s">
        <v>840</v>
      </c>
    </row>
    <row r="145" spans="5:15">
      <c r="E145" s="1703" t="s">
        <v>839</v>
      </c>
    </row>
    <row r="146" spans="5:15">
      <c r="E146" s="1703" t="s">
        <v>1087</v>
      </c>
    </row>
    <row r="147" spans="5:15">
      <c r="E147" s="1703" t="s">
        <v>1601</v>
      </c>
    </row>
    <row r="148" spans="5:15">
      <c r="E148" s="1703" t="s">
        <v>1347</v>
      </c>
    </row>
    <row r="149" spans="5:15">
      <c r="E149" s="1702"/>
    </row>
    <row r="150" spans="5:15">
      <c r="E150" s="1703" t="s">
        <v>841</v>
      </c>
    </row>
    <row r="151" spans="5:15">
      <c r="E151" s="1702" t="s">
        <v>445</v>
      </c>
    </row>
    <row r="152" spans="5:15">
      <c r="E152" s="1702" t="s">
        <v>446</v>
      </c>
    </row>
    <row r="153" spans="5:15">
      <c r="E153" s="1702" t="s">
        <v>2099</v>
      </c>
    </row>
    <row r="155" spans="5:15">
      <c r="E155" s="4071" t="s">
        <v>1062</v>
      </c>
      <c r="F155" s="4072"/>
      <c r="G155" s="4072"/>
      <c r="H155" s="4072"/>
      <c r="I155" s="4072"/>
      <c r="J155" s="4072"/>
      <c r="K155" s="4072"/>
      <c r="L155" s="4072"/>
      <c r="M155" s="4072"/>
      <c r="N155" s="4072"/>
      <c r="O155" s="4073"/>
    </row>
    <row r="156" spans="5:15">
      <c r="E156" s="1702"/>
    </row>
    <row r="157" spans="5:15">
      <c r="E157" s="4071" t="s">
        <v>2101</v>
      </c>
      <c r="F157" s="4072"/>
      <c r="G157" s="4072"/>
      <c r="H157" s="4072"/>
      <c r="I157" s="4072"/>
      <c r="J157" s="4072"/>
      <c r="K157" s="4072"/>
      <c r="L157" s="4072"/>
      <c r="M157" s="4072"/>
      <c r="N157" s="4072"/>
      <c r="O157" s="4073"/>
    </row>
    <row r="158" spans="5:15">
      <c r="E158" s="1702"/>
    </row>
    <row r="159" spans="5:15">
      <c r="E159" s="4074" t="s">
        <v>2102</v>
      </c>
      <c r="F159" s="4075"/>
      <c r="G159" s="4075"/>
      <c r="H159" s="4075"/>
      <c r="I159" s="4075"/>
      <c r="J159" s="4075"/>
      <c r="K159" s="4075"/>
      <c r="L159" s="4075"/>
      <c r="M159" s="4075"/>
      <c r="N159" s="4075"/>
      <c r="O159" s="4076"/>
    </row>
    <row r="160" spans="5:15">
      <c r="E160" s="1702"/>
    </row>
    <row r="161" spans="4:15" ht="14.25" customHeight="1">
      <c r="E161" s="4077" t="s">
        <v>451</v>
      </c>
      <c r="F161" s="4078"/>
      <c r="G161" s="4079"/>
      <c r="H161" s="4086" t="s">
        <v>622</v>
      </c>
      <c r="I161" s="4077" t="s">
        <v>736</v>
      </c>
      <c r="J161" s="4078"/>
      <c r="K161" s="4079"/>
      <c r="L161" s="4086" t="s">
        <v>622</v>
      </c>
      <c r="M161" s="4077" t="s">
        <v>2098</v>
      </c>
      <c r="N161" s="4078"/>
      <c r="O161" s="4079"/>
    </row>
    <row r="162" spans="4:15" ht="14.25" customHeight="1">
      <c r="E162" s="4080"/>
      <c r="F162" s="4081"/>
      <c r="G162" s="4082"/>
      <c r="H162" s="4086"/>
      <c r="I162" s="4080"/>
      <c r="J162" s="4081"/>
      <c r="K162" s="4082"/>
      <c r="L162" s="4086"/>
      <c r="M162" s="4080"/>
      <c r="N162" s="4081"/>
      <c r="O162" s="4082"/>
    </row>
    <row r="163" spans="4:15">
      <c r="E163" s="4083"/>
      <c r="F163" s="4084"/>
      <c r="G163" s="4085"/>
      <c r="H163" s="4086"/>
      <c r="I163" s="4083"/>
      <c r="J163" s="4084"/>
      <c r="K163" s="4085"/>
      <c r="L163" s="4086"/>
      <c r="M163" s="4083"/>
      <c r="N163" s="4084"/>
      <c r="O163" s="4085"/>
    </row>
    <row r="164" spans="4:15">
      <c r="E164" s="1702"/>
    </row>
    <row r="165" spans="4:15">
      <c r="E165" s="4071" t="s">
        <v>1975</v>
      </c>
      <c r="F165" s="4072"/>
      <c r="G165" s="4073"/>
      <c r="I165" s="4071" t="s">
        <v>180</v>
      </c>
      <c r="J165" s="4072"/>
      <c r="K165" s="4073"/>
      <c r="M165" s="4071" t="s">
        <v>177</v>
      </c>
      <c r="N165" s="4072"/>
      <c r="O165" s="4073"/>
    </row>
    <row r="166" spans="4:15">
      <c r="E166" s="1702"/>
    </row>
    <row r="167" spans="4:15">
      <c r="E167" s="4071" t="s">
        <v>1976</v>
      </c>
      <c r="F167" s="4072"/>
      <c r="G167" s="4073"/>
      <c r="I167" s="4071" t="s">
        <v>181</v>
      </c>
      <c r="J167" s="4072"/>
      <c r="K167" s="4073"/>
      <c r="M167" s="4071" t="s">
        <v>178</v>
      </c>
      <c r="N167" s="4072"/>
      <c r="O167" s="4073"/>
    </row>
    <row r="168" spans="4:15">
      <c r="E168" s="1702"/>
    </row>
    <row r="169" spans="4:15" ht="14.25" customHeight="1">
      <c r="E169" s="4071" t="s">
        <v>1977</v>
      </c>
      <c r="F169" s="4072"/>
      <c r="G169" s="4073"/>
      <c r="I169" s="4077" t="s">
        <v>1974</v>
      </c>
      <c r="J169" s="4078"/>
      <c r="K169" s="4079"/>
      <c r="M169" s="4071" t="s">
        <v>179</v>
      </c>
      <c r="N169" s="4072"/>
      <c r="O169" s="4073"/>
    </row>
    <row r="170" spans="4:15">
      <c r="I170" s="4083"/>
      <c r="J170" s="4084"/>
      <c r="K170" s="4085"/>
    </row>
    <row r="174" spans="4:15">
      <c r="D174" s="1737" t="s">
        <v>1724</v>
      </c>
    </row>
    <row r="175" spans="4:15">
      <c r="E175" s="1713" t="s">
        <v>464</v>
      </c>
    </row>
    <row r="176" spans="4:15">
      <c r="E176" s="1713" t="s">
        <v>1911</v>
      </c>
    </row>
    <row r="177" spans="2:7">
      <c r="E177" s="1713" t="s">
        <v>1912</v>
      </c>
    </row>
    <row r="178" spans="2:7">
      <c r="E178" s="1713" t="s">
        <v>273</v>
      </c>
    </row>
    <row r="180" spans="2:7">
      <c r="D180" s="1703" t="s">
        <v>1560</v>
      </c>
    </row>
    <row r="182" spans="2:7">
      <c r="D182" s="1703" t="s">
        <v>2086</v>
      </c>
    </row>
    <row r="183" spans="2:7">
      <c r="D183" s="1703" t="s">
        <v>877</v>
      </c>
    </row>
    <row r="184" spans="2:7">
      <c r="E184" s="1713" t="s">
        <v>1302</v>
      </c>
    </row>
    <row r="185" spans="2:7">
      <c r="E185" s="1713" t="s">
        <v>1910</v>
      </c>
    </row>
    <row r="187" spans="2:7">
      <c r="B187" s="1760" t="s">
        <v>2087</v>
      </c>
      <c r="C187" s="1761"/>
      <c r="D187" s="1762"/>
      <c r="E187" s="1762"/>
      <c r="F187" s="1761"/>
      <c r="G187" s="1763"/>
    </row>
    <row r="189" spans="2:7">
      <c r="D189" s="1703" t="s">
        <v>608</v>
      </c>
    </row>
    <row r="191" spans="2:7">
      <c r="D191" s="1703" t="s">
        <v>277</v>
      </c>
    </row>
    <row r="193" spans="4:5">
      <c r="D193" s="1703" t="s">
        <v>1561</v>
      </c>
    </row>
    <row r="194" spans="4:5">
      <c r="E194" s="1703" t="s">
        <v>707</v>
      </c>
    </row>
    <row r="195" spans="4:5">
      <c r="E195" s="1703" t="s">
        <v>1599</v>
      </c>
    </row>
    <row r="196" spans="4:5">
      <c r="E196" s="1702" t="s">
        <v>1168</v>
      </c>
    </row>
    <row r="197" spans="4:5">
      <c r="E197" s="1703" t="s">
        <v>1589</v>
      </c>
    </row>
    <row r="199" spans="4:5">
      <c r="D199" s="1703" t="s">
        <v>118</v>
      </c>
    </row>
    <row r="200" spans="4:5">
      <c r="E200" s="1703" t="s">
        <v>119</v>
      </c>
    </row>
    <row r="201" spans="4:5">
      <c r="E201" s="1703" t="s">
        <v>734</v>
      </c>
    </row>
    <row r="202" spans="4:5">
      <c r="E202" s="1703" t="s">
        <v>1404</v>
      </c>
    </row>
    <row r="204" spans="4:5">
      <c r="D204" s="1703" t="s">
        <v>1392</v>
      </c>
    </row>
    <row r="205" spans="4:5">
      <c r="E205" s="1703" t="s">
        <v>1658</v>
      </c>
    </row>
    <row r="206" spans="4:5">
      <c r="E206" s="1703" t="s">
        <v>1291</v>
      </c>
    </row>
    <row r="207" spans="4:5">
      <c r="E207" s="1703" t="s">
        <v>1296</v>
      </c>
    </row>
    <row r="209" spans="1:17" s="1750" customFormat="1" ht="24" customHeight="1">
      <c r="A209" s="1749"/>
      <c r="B209" s="1755" t="s">
        <v>1393</v>
      </c>
      <c r="C209" s="1749"/>
      <c r="D209" s="1749"/>
      <c r="E209" s="1749"/>
      <c r="F209" s="1749"/>
      <c r="G209" s="1749"/>
      <c r="H209" s="1749"/>
      <c r="I209" s="1749"/>
      <c r="J209" s="1749"/>
      <c r="K209" s="1749"/>
      <c r="L209" s="1749"/>
      <c r="M209" s="1749"/>
      <c r="N209" s="1749"/>
      <c r="O209" s="1749"/>
      <c r="P209" s="1749"/>
      <c r="Q209" s="1749"/>
    </row>
    <row r="211" spans="1:17">
      <c r="B211" s="1702" t="s">
        <v>86</v>
      </c>
    </row>
    <row r="212" spans="1:17">
      <c r="B212" s="1702" t="s">
        <v>1686</v>
      </c>
    </row>
    <row r="214" spans="1:17">
      <c r="B214" s="1702" t="s">
        <v>973</v>
      </c>
    </row>
    <row r="216" spans="1:17">
      <c r="B216" s="1702" t="s">
        <v>974</v>
      </c>
    </row>
    <row r="218" spans="1:17">
      <c r="C218" s="1702" t="s">
        <v>1611</v>
      </c>
    </row>
    <row r="219" spans="1:17">
      <c r="C219" s="1702" t="s">
        <v>425</v>
      </c>
    </row>
    <row r="220" spans="1:17">
      <c r="C220" s="1702" t="s">
        <v>1627</v>
      </c>
    </row>
    <row r="222" spans="1:17">
      <c r="C222" s="1740" t="s">
        <v>976</v>
      </c>
    </row>
    <row r="223" spans="1:17">
      <c r="D223" s="1702" t="s">
        <v>1587</v>
      </c>
    </row>
    <row r="224" spans="1:17">
      <c r="D224" s="1702" t="s">
        <v>1588</v>
      </c>
    </row>
    <row r="225" spans="2:4">
      <c r="D225" s="1702" t="s">
        <v>1863</v>
      </c>
    </row>
    <row r="226" spans="2:4">
      <c r="D226" s="1702" t="s">
        <v>1844</v>
      </c>
    </row>
    <row r="227" spans="2:4">
      <c r="D227" s="1702" t="s">
        <v>1845</v>
      </c>
    </row>
    <row r="228" spans="2:4">
      <c r="D228" s="1702"/>
    </row>
    <row r="229" spans="2:4">
      <c r="C229" s="1702" t="s">
        <v>1846</v>
      </c>
      <c r="D229" s="1702"/>
    </row>
    <row r="230" spans="2:4">
      <c r="D230" s="1702"/>
    </row>
    <row r="231" spans="2:4">
      <c r="B231" s="1702" t="s">
        <v>153</v>
      </c>
    </row>
    <row r="233" spans="2:4">
      <c r="C233" s="1702" t="s">
        <v>769</v>
      </c>
    </row>
    <row r="234" spans="2:4">
      <c r="C234" s="1702" t="s">
        <v>772</v>
      </c>
    </row>
    <row r="236" spans="2:4">
      <c r="C236" s="1740" t="s">
        <v>542</v>
      </c>
    </row>
    <row r="237" spans="2:4">
      <c r="D237" s="1702" t="s">
        <v>704</v>
      </c>
    </row>
    <row r="238" spans="2:4">
      <c r="D238" s="1702" t="s">
        <v>1819</v>
      </c>
    </row>
    <row r="239" spans="2:4">
      <c r="D239" s="1702" t="s">
        <v>14</v>
      </c>
    </row>
    <row r="240" spans="2:4">
      <c r="D240" s="1702" t="s">
        <v>15</v>
      </c>
    </row>
    <row r="241" spans="2:4">
      <c r="D241" s="1702"/>
    </row>
    <row r="242" spans="2:4">
      <c r="C242" s="1702" t="s">
        <v>1548</v>
      </c>
    </row>
    <row r="243" spans="2:4">
      <c r="D243" s="1702" t="s">
        <v>698</v>
      </c>
    </row>
    <row r="244" spans="2:4">
      <c r="D244" s="1702" t="s">
        <v>1676</v>
      </c>
    </row>
    <row r="246" spans="2:4">
      <c r="C246" s="1702" t="s">
        <v>1846</v>
      </c>
      <c r="D246" s="1702"/>
    </row>
    <row r="248" spans="2:4">
      <c r="B248" s="1702" t="s">
        <v>1443</v>
      </c>
    </row>
    <row r="250" spans="2:4">
      <c r="C250" s="1702" t="s">
        <v>1590</v>
      </c>
    </row>
    <row r="251" spans="2:4">
      <c r="C251" s="1702" t="s">
        <v>16</v>
      </c>
    </row>
    <row r="253" spans="2:4">
      <c r="C253" s="1702" t="s">
        <v>1717</v>
      </c>
    </row>
    <row r="254" spans="2:4">
      <c r="C254" s="1702" t="s">
        <v>252</v>
      </c>
    </row>
    <row r="255" spans="2:4">
      <c r="C255" s="1703"/>
    </row>
    <row r="256" spans="2:4">
      <c r="C256" s="1702" t="s">
        <v>254</v>
      </c>
    </row>
    <row r="257" spans="2:5">
      <c r="C257" s="1702" t="s">
        <v>1687</v>
      </c>
    </row>
    <row r="259" spans="2:5">
      <c r="B259" s="1702" t="s">
        <v>1688</v>
      </c>
      <c r="D259" s="1742"/>
    </row>
    <row r="260" spans="2:5">
      <c r="E260" s="1702"/>
    </row>
    <row r="261" spans="2:5">
      <c r="C261" s="1702" t="s">
        <v>1447</v>
      </c>
      <c r="D261" s="1742"/>
    </row>
    <row r="262" spans="2:5">
      <c r="C262" s="1702" t="s">
        <v>1448</v>
      </c>
    </row>
    <row r="263" spans="2:5">
      <c r="C263" s="1702" t="s">
        <v>2054</v>
      </c>
    </row>
    <row r="265" spans="2:5">
      <c r="D265" s="1702"/>
    </row>
    <row r="268" spans="2:5">
      <c r="D268" s="1742"/>
    </row>
  </sheetData>
  <mergeCells count="17">
    <mergeCell ref="M165:O165"/>
    <mergeCell ref="M167:O167"/>
    <mergeCell ref="M169:O169"/>
    <mergeCell ref="I169:K170"/>
    <mergeCell ref="E165:G165"/>
    <mergeCell ref="E167:G167"/>
    <mergeCell ref="E169:G169"/>
    <mergeCell ref="I165:K165"/>
    <mergeCell ref="I167:K167"/>
    <mergeCell ref="E155:O155"/>
    <mergeCell ref="E157:O157"/>
    <mergeCell ref="E159:O159"/>
    <mergeCell ref="E161:G163"/>
    <mergeCell ref="H161:H163"/>
    <mergeCell ref="L161:L163"/>
    <mergeCell ref="I161:K163"/>
    <mergeCell ref="M161:O163"/>
  </mergeCells>
  <phoneticPr fontId="76" type="noConversion"/>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4" enableFormatConditionsCalculation="0">
    <tabColor indexed="44"/>
  </sheetPr>
  <dimension ref="A1:DF88"/>
  <sheetViews>
    <sheetView showGridLines="0" workbookViewId="0">
      <pane xSplit="6" ySplit="3" topLeftCell="CO4" activePane="bottomRight" state="frozen"/>
      <selection pane="topRight" activeCell="G1" sqref="G1"/>
      <selection pane="bottomLeft" activeCell="A4" sqref="A4"/>
      <selection pane="bottomRight" activeCell="CT17" sqref="CT17"/>
    </sheetView>
  </sheetViews>
  <sheetFormatPr defaultColWidth="9.109375" defaultRowHeight="13.2"/>
  <cols>
    <col min="1" max="1" width="4.5546875" style="3" customWidth="1"/>
    <col min="2" max="2" width="14" style="2" customWidth="1"/>
    <col min="3" max="3" width="17" style="1" customWidth="1"/>
    <col min="4" max="4" width="10.6640625" style="1" customWidth="1"/>
    <col min="5" max="5" width="6.5546875" style="1" customWidth="1"/>
    <col min="6" max="6" width="49.5546875" style="1" customWidth="1"/>
    <col min="7" max="107" width="9" style="554" customWidth="1"/>
    <col min="108" max="16384" width="9.109375" style="1"/>
  </cols>
  <sheetData>
    <row r="1" spans="1:110" ht="42" customHeight="1" thickBot="1">
      <c r="A1" s="4087" t="s">
        <v>1836</v>
      </c>
      <c r="B1" s="4088"/>
      <c r="C1" s="4088"/>
      <c r="D1" s="4088"/>
      <c r="E1" s="4088"/>
      <c r="F1" s="4088"/>
    </row>
    <row r="2" spans="1:110" s="1561" customFormat="1" ht="12" customHeight="1">
      <c r="A2" s="1556" t="s">
        <v>2082</v>
      </c>
      <c r="B2" s="1557"/>
      <c r="C2" s="1557"/>
      <c r="D2" s="1558"/>
      <c r="E2" s="1559"/>
      <c r="F2" s="1560"/>
      <c r="G2" s="1555">
        <f>+InputY!G3</f>
        <v>1995</v>
      </c>
      <c r="H2" s="1555"/>
      <c r="I2" s="1555"/>
      <c r="J2" s="1555"/>
      <c r="K2" s="1555">
        <f>+G2+1</f>
        <v>1996</v>
      </c>
      <c r="L2" s="1555"/>
      <c r="M2" s="1555"/>
      <c r="N2" s="1555"/>
      <c r="O2" s="1555">
        <f>+K2+1</f>
        <v>1997</v>
      </c>
      <c r="P2" s="1555"/>
      <c r="Q2" s="1555"/>
      <c r="R2" s="1555"/>
      <c r="S2" s="1555">
        <f>+O2+1</f>
        <v>1998</v>
      </c>
      <c r="T2" s="1555"/>
      <c r="U2" s="1555"/>
      <c r="V2" s="1555"/>
      <c r="W2" s="1555">
        <f>+S2+1</f>
        <v>1999</v>
      </c>
      <c r="X2" s="1555"/>
      <c r="Y2" s="1555"/>
      <c r="Z2" s="1555"/>
      <c r="AA2" s="1555">
        <f>+W2+1</f>
        <v>2000</v>
      </c>
      <c r="AB2" s="1555"/>
      <c r="AC2" s="1555"/>
      <c r="AD2" s="1555"/>
      <c r="AE2" s="1555">
        <f>+AA2+1</f>
        <v>2001</v>
      </c>
      <c r="AF2" s="1555"/>
      <c r="AG2" s="1555"/>
      <c r="AH2" s="1555"/>
      <c r="AI2" s="1555">
        <f>+AE2+1</f>
        <v>2002</v>
      </c>
      <c r="AJ2" s="1555"/>
      <c r="AK2" s="1555"/>
      <c r="AL2" s="1555"/>
      <c r="AM2" s="1555">
        <f>+AI2+1</f>
        <v>2003</v>
      </c>
      <c r="AN2" s="1555"/>
      <c r="AO2" s="1555"/>
      <c r="AP2" s="1555"/>
      <c r="AQ2" s="1555">
        <f>+AM2+1</f>
        <v>2004</v>
      </c>
      <c r="AR2" s="1555"/>
      <c r="AS2" s="1555"/>
      <c r="AT2" s="1555"/>
      <c r="AU2" s="1555">
        <f>+AQ2+1</f>
        <v>2005</v>
      </c>
      <c r="AV2" s="1555"/>
      <c r="AW2" s="1555"/>
      <c r="AX2" s="1555"/>
      <c r="AY2" s="1555">
        <f>+AU2+1</f>
        <v>2006</v>
      </c>
      <c r="AZ2" s="1555"/>
      <c r="BA2" s="1555"/>
      <c r="BB2" s="1555"/>
      <c r="BC2" s="1555">
        <f>+AY2+1</f>
        <v>2007</v>
      </c>
      <c r="BD2" s="1555"/>
      <c r="BE2" s="1555"/>
      <c r="BF2" s="1555"/>
      <c r="BG2" s="1555">
        <f>+BC2+1</f>
        <v>2008</v>
      </c>
      <c r="BH2" s="1555"/>
      <c r="BI2" s="1555"/>
      <c r="BJ2" s="1555"/>
      <c r="BK2" s="1555">
        <f>+BG2+1</f>
        <v>2009</v>
      </c>
      <c r="BL2" s="1555"/>
      <c r="BM2" s="1555"/>
      <c r="BN2" s="1555"/>
      <c r="BO2" s="1555">
        <f>+BK2+1</f>
        <v>2010</v>
      </c>
      <c r="BP2" s="1555"/>
      <c r="BQ2" s="1555"/>
      <c r="BR2" s="1555"/>
      <c r="BS2" s="1555">
        <f>+BO2+1</f>
        <v>2011</v>
      </c>
      <c r="BT2" s="1555"/>
      <c r="BU2" s="1555"/>
      <c r="BV2" s="1555"/>
      <c r="BW2" s="1555">
        <f>+BS2+1</f>
        <v>2012</v>
      </c>
      <c r="BX2" s="1555"/>
      <c r="BY2" s="1555"/>
      <c r="BZ2" s="1555"/>
      <c r="CA2" s="1555">
        <f>+BW2+1</f>
        <v>2013</v>
      </c>
      <c r="CB2" s="1555"/>
      <c r="CC2" s="1555"/>
      <c r="CD2" s="1555"/>
      <c r="CE2" s="1555">
        <f>+CA2+1</f>
        <v>2014</v>
      </c>
      <c r="CF2" s="1555"/>
      <c r="CG2" s="1555"/>
      <c r="CH2" s="1555"/>
      <c r="CI2" s="1555">
        <f>+CE2+1</f>
        <v>2015</v>
      </c>
      <c r="CJ2" s="1555"/>
      <c r="CK2" s="1555"/>
      <c r="CL2" s="1555"/>
      <c r="CM2" s="1555">
        <f>+CI2+1</f>
        <v>2016</v>
      </c>
      <c r="CN2" s="1555"/>
      <c r="CO2" s="1555"/>
      <c r="CP2" s="1555"/>
      <c r="CQ2" s="1555">
        <f>+CM2+1</f>
        <v>2017</v>
      </c>
      <c r="CR2" s="1555"/>
      <c r="CS2" s="1555"/>
      <c r="CT2" s="1555"/>
      <c r="CU2" s="1555">
        <f>+CQ2+1</f>
        <v>2018</v>
      </c>
      <c r="CV2" s="1555"/>
      <c r="CW2" s="1555"/>
      <c r="CX2" s="1555"/>
      <c r="CY2" s="1555">
        <f>+CU2+1</f>
        <v>2019</v>
      </c>
      <c r="CZ2" s="1555"/>
      <c r="DA2" s="1555"/>
      <c r="DB2" s="1555"/>
      <c r="DC2" s="1555">
        <f>+CY2+1</f>
        <v>2020</v>
      </c>
      <c r="DD2" s="1"/>
      <c r="DE2" s="1"/>
      <c r="DF2" s="1"/>
    </row>
    <row r="3" spans="1:110" s="539" customFormat="1" ht="24.75" customHeight="1">
      <c r="A3" s="533" t="s">
        <v>2083</v>
      </c>
      <c r="B3" s="534" t="s">
        <v>1162</v>
      </c>
      <c r="C3" s="534" t="s">
        <v>114</v>
      </c>
      <c r="D3" s="535" t="s">
        <v>1774</v>
      </c>
      <c r="E3" s="536" t="s">
        <v>1775</v>
      </c>
      <c r="F3" s="537" t="s">
        <v>1776</v>
      </c>
      <c r="G3" s="538" t="str">
        <f>G2&amp;"Q1"</f>
        <v>1995Q1</v>
      </c>
      <c r="H3" s="538" t="str">
        <f>G2&amp;"Q2"</f>
        <v>1995Q2</v>
      </c>
      <c r="I3" s="538" t="str">
        <f>G2&amp;"Q3"</f>
        <v>1995Q3</v>
      </c>
      <c r="J3" s="538" t="str">
        <f>G2&amp;"Q4"</f>
        <v>1995Q4</v>
      </c>
      <c r="K3" s="538" t="str">
        <f>K2&amp;"Q1"</f>
        <v>1996Q1</v>
      </c>
      <c r="L3" s="538" t="str">
        <f>K2&amp;"Q2"</f>
        <v>1996Q2</v>
      </c>
      <c r="M3" s="538" t="str">
        <f>K2&amp;"Q3"</f>
        <v>1996Q3</v>
      </c>
      <c r="N3" s="538" t="str">
        <f>K2&amp;"Q4"</f>
        <v>1996Q4</v>
      </c>
      <c r="O3" s="538" t="str">
        <f>O2&amp;"Q1"</f>
        <v>1997Q1</v>
      </c>
      <c r="P3" s="538" t="str">
        <f>O2&amp;"Q2"</f>
        <v>1997Q2</v>
      </c>
      <c r="Q3" s="538" t="str">
        <f>O2&amp;"Q3"</f>
        <v>1997Q3</v>
      </c>
      <c r="R3" s="538" t="str">
        <f>O2&amp;"Q4"</f>
        <v>1997Q4</v>
      </c>
      <c r="S3" s="538" t="str">
        <f>S2&amp;"Q1"</f>
        <v>1998Q1</v>
      </c>
      <c r="T3" s="538" t="str">
        <f>S2&amp;"Q2"</f>
        <v>1998Q2</v>
      </c>
      <c r="U3" s="538" t="str">
        <f>S2&amp;"Q3"</f>
        <v>1998Q3</v>
      </c>
      <c r="V3" s="538" t="str">
        <f>S2&amp;"Q4"</f>
        <v>1998Q4</v>
      </c>
      <c r="W3" s="538" t="str">
        <f>W2&amp;"Q1"</f>
        <v>1999Q1</v>
      </c>
      <c r="X3" s="538" t="str">
        <f>W2&amp;"Q2"</f>
        <v>1999Q2</v>
      </c>
      <c r="Y3" s="538" t="str">
        <f>W2&amp;"Q3"</f>
        <v>1999Q3</v>
      </c>
      <c r="Z3" s="538" t="str">
        <f>W2&amp;"Q4"</f>
        <v>1999Q4</v>
      </c>
      <c r="AA3" s="538" t="str">
        <f>AA2&amp;"Q1"</f>
        <v>2000Q1</v>
      </c>
      <c r="AB3" s="538" t="str">
        <f>AA2&amp;"Q2"</f>
        <v>2000Q2</v>
      </c>
      <c r="AC3" s="538" t="str">
        <f>AA2&amp;"Q3"</f>
        <v>2000Q3</v>
      </c>
      <c r="AD3" s="538" t="str">
        <f>AA2&amp;"Q4"</f>
        <v>2000Q4</v>
      </c>
      <c r="AE3" s="538" t="str">
        <f>AE2&amp;"Q1"</f>
        <v>2001Q1</v>
      </c>
      <c r="AF3" s="538" t="str">
        <f>AE2&amp;"Q2"</f>
        <v>2001Q2</v>
      </c>
      <c r="AG3" s="538" t="str">
        <f>AE2&amp;"Q3"</f>
        <v>2001Q3</v>
      </c>
      <c r="AH3" s="538" t="str">
        <f>AE2&amp;"Q4"</f>
        <v>2001Q4</v>
      </c>
      <c r="AI3" s="538" t="str">
        <f>AI2&amp;"Q1"</f>
        <v>2002Q1</v>
      </c>
      <c r="AJ3" s="538" t="str">
        <f>AI2&amp;"Q2"</f>
        <v>2002Q2</v>
      </c>
      <c r="AK3" s="538" t="str">
        <f>AI2&amp;"Q3"</f>
        <v>2002Q3</v>
      </c>
      <c r="AL3" s="538" t="str">
        <f>AI2&amp;"Q4"</f>
        <v>2002Q4</v>
      </c>
      <c r="AM3" s="538" t="str">
        <f>AM2&amp;"Q1"</f>
        <v>2003Q1</v>
      </c>
      <c r="AN3" s="538" t="str">
        <f>AM2&amp;"Q2"</f>
        <v>2003Q2</v>
      </c>
      <c r="AO3" s="538" t="str">
        <f>AM2&amp;"Q3"</f>
        <v>2003Q3</v>
      </c>
      <c r="AP3" s="538" t="str">
        <f>AM2&amp;"Q4"</f>
        <v>2003Q4</v>
      </c>
      <c r="AQ3" s="538" t="str">
        <f>AQ2&amp;"Q1"</f>
        <v>2004Q1</v>
      </c>
      <c r="AR3" s="538" t="str">
        <f>AQ2&amp;"Q2"</f>
        <v>2004Q2</v>
      </c>
      <c r="AS3" s="538" t="str">
        <f>AQ2&amp;"Q3"</f>
        <v>2004Q3</v>
      </c>
      <c r="AT3" s="538" t="str">
        <f>AQ2&amp;"Q4"</f>
        <v>2004Q4</v>
      </c>
      <c r="AU3" s="538" t="str">
        <f>AU2&amp;"Q1"</f>
        <v>2005Q1</v>
      </c>
      <c r="AV3" s="538" t="str">
        <f>AU2&amp;"Q2"</f>
        <v>2005Q2</v>
      </c>
      <c r="AW3" s="538" t="str">
        <f>AU2&amp;"Q3"</f>
        <v>2005Q3</v>
      </c>
      <c r="AX3" s="538" t="str">
        <f>AU2&amp;"Q4"</f>
        <v>2005Q4</v>
      </c>
      <c r="AY3" s="538" t="str">
        <f>AY2&amp;"Q1"</f>
        <v>2006Q1</v>
      </c>
      <c r="AZ3" s="538" t="str">
        <f>AY2&amp;"Q2"</f>
        <v>2006Q2</v>
      </c>
      <c r="BA3" s="538" t="str">
        <f>AY2&amp;"Q3"</f>
        <v>2006Q3</v>
      </c>
      <c r="BB3" s="538" t="str">
        <f>AY2&amp;"Q4"</f>
        <v>2006Q4</v>
      </c>
      <c r="BC3" s="538" t="str">
        <f>BC2&amp;"Q1"</f>
        <v>2007Q1</v>
      </c>
      <c r="BD3" s="538" t="str">
        <f>BC2&amp;"Q2"</f>
        <v>2007Q2</v>
      </c>
      <c r="BE3" s="538" t="str">
        <f>BC2&amp;"Q3"</f>
        <v>2007Q3</v>
      </c>
      <c r="BF3" s="538" t="str">
        <f>BC2&amp;"Q4"</f>
        <v>2007Q4</v>
      </c>
      <c r="BG3" s="538" t="str">
        <f>BG2&amp;"Q1"</f>
        <v>2008Q1</v>
      </c>
      <c r="BH3" s="538" t="str">
        <f>BG2&amp;"Q2"</f>
        <v>2008Q2</v>
      </c>
      <c r="BI3" s="538" t="str">
        <f>BG2&amp;"Q3"</f>
        <v>2008Q3</v>
      </c>
      <c r="BJ3" s="538" t="str">
        <f>BG2&amp;"Q4"</f>
        <v>2008Q4</v>
      </c>
      <c r="BK3" s="538" t="str">
        <f>BK2&amp;"Q1"</f>
        <v>2009Q1</v>
      </c>
      <c r="BL3" s="538" t="str">
        <f>BK2&amp;"Q2"</f>
        <v>2009Q2</v>
      </c>
      <c r="BM3" s="538" t="str">
        <f>BK2&amp;"Q3"</f>
        <v>2009Q3</v>
      </c>
      <c r="BN3" s="538" t="str">
        <f>BK2&amp;"Q4"</f>
        <v>2009Q4</v>
      </c>
      <c r="BO3" s="538" t="str">
        <f>BO2&amp;"Q1"</f>
        <v>2010Q1</v>
      </c>
      <c r="BP3" s="538" t="str">
        <f>BO2&amp;"Q2"</f>
        <v>2010Q2</v>
      </c>
      <c r="BQ3" s="538" t="str">
        <f>BO2&amp;"Q3"</f>
        <v>2010Q3</v>
      </c>
      <c r="BR3" s="538" t="str">
        <f>BO2&amp;"Q4"</f>
        <v>2010Q4</v>
      </c>
      <c r="BS3" s="538" t="str">
        <f>BS2&amp;"Q1"</f>
        <v>2011Q1</v>
      </c>
      <c r="BT3" s="538" t="str">
        <f>BS2&amp;"Q2"</f>
        <v>2011Q2</v>
      </c>
      <c r="BU3" s="538" t="str">
        <f>BS2&amp;"Q3"</f>
        <v>2011Q3</v>
      </c>
      <c r="BV3" s="538" t="str">
        <f>BS2&amp;"Q4"</f>
        <v>2011Q4</v>
      </c>
      <c r="BW3" s="538" t="str">
        <f>BW2&amp;"Q1"</f>
        <v>2012Q1</v>
      </c>
      <c r="BX3" s="538" t="str">
        <f>BW2&amp;"Q2"</f>
        <v>2012Q2</v>
      </c>
      <c r="BY3" s="538" t="str">
        <f>BW2&amp;"Q3"</f>
        <v>2012Q3</v>
      </c>
      <c r="BZ3" s="538" t="str">
        <f>BW2&amp;"Q4"</f>
        <v>2012Q4</v>
      </c>
      <c r="CA3" s="538" t="str">
        <f>CA2&amp;"Q1"</f>
        <v>2013Q1</v>
      </c>
      <c r="CB3" s="538" t="str">
        <f>CA2&amp;"Q2"</f>
        <v>2013Q2</v>
      </c>
      <c r="CC3" s="538" t="str">
        <f>CA2&amp;"Q3"</f>
        <v>2013Q3</v>
      </c>
      <c r="CD3" s="538" t="str">
        <f>CA2&amp;"Q4"</f>
        <v>2013Q4</v>
      </c>
      <c r="CE3" s="538" t="str">
        <f>CE2&amp;"Q1"</f>
        <v>2014Q1</v>
      </c>
      <c r="CF3" s="538" t="str">
        <f>CE2&amp;"Q2"</f>
        <v>2014Q2</v>
      </c>
      <c r="CG3" s="538" t="str">
        <f>CE2&amp;"Q3"</f>
        <v>2014Q3</v>
      </c>
      <c r="CH3" s="538" t="str">
        <f>CE2&amp;"Q4"</f>
        <v>2014Q4</v>
      </c>
      <c r="CI3" s="538" t="str">
        <f>CI2&amp;"Q1"</f>
        <v>2015Q1</v>
      </c>
      <c r="CJ3" s="538" t="str">
        <f>CI2&amp;"Q2"</f>
        <v>2015Q2</v>
      </c>
      <c r="CK3" s="538" t="str">
        <f>CI2&amp;"Q3"</f>
        <v>2015Q3</v>
      </c>
      <c r="CL3" s="538" t="str">
        <f>CI2&amp;"Q4"</f>
        <v>2015Q4</v>
      </c>
      <c r="CM3" s="538" t="str">
        <f>CM2&amp;"Q1"</f>
        <v>2016Q1</v>
      </c>
      <c r="CN3" s="538" t="str">
        <f>CM2&amp;"Q2"</f>
        <v>2016Q2</v>
      </c>
      <c r="CO3" s="538" t="str">
        <f>CM2&amp;"Q3"</f>
        <v>2016Q3</v>
      </c>
      <c r="CP3" s="538" t="str">
        <f>CM2&amp;"Q4"</f>
        <v>2016Q4</v>
      </c>
      <c r="CQ3" s="538" t="str">
        <f>CQ2&amp;"Q1"</f>
        <v>2017Q1</v>
      </c>
      <c r="CR3" s="538" t="str">
        <f>CQ2&amp;"Q2"</f>
        <v>2017Q2</v>
      </c>
      <c r="CS3" s="538" t="str">
        <f>CQ2&amp;"Q3"</f>
        <v>2017Q3</v>
      </c>
      <c r="CT3" s="538" t="str">
        <f>CQ2&amp;"Q4"</f>
        <v>2017Q4</v>
      </c>
      <c r="CU3" s="538" t="str">
        <f>CU2&amp;"Q1"</f>
        <v>2018Q1</v>
      </c>
      <c r="CV3" s="538" t="str">
        <f>CU2&amp;"Q2"</f>
        <v>2018Q2</v>
      </c>
      <c r="CW3" s="538" t="str">
        <f>CU2&amp;"Q3"</f>
        <v>2018Q3</v>
      </c>
      <c r="CX3" s="538" t="str">
        <f>CU2&amp;"Q4"</f>
        <v>2018Q4</v>
      </c>
      <c r="CY3" s="538" t="str">
        <f>CY2&amp;"Q1"</f>
        <v>2019Q1</v>
      </c>
      <c r="CZ3" s="538" t="str">
        <f>CY2&amp;"Q2"</f>
        <v>2019Q2</v>
      </c>
      <c r="DA3" s="538" t="str">
        <f>CY2&amp;"Q3"</f>
        <v>2019Q3</v>
      </c>
      <c r="DB3" s="538" t="str">
        <f>CY2&amp;"Q4"</f>
        <v>2019Q4</v>
      </c>
      <c r="DC3" s="538" t="str">
        <f>DC2&amp;"Q1"</f>
        <v>2020Q1</v>
      </c>
      <c r="DD3" s="1"/>
      <c r="DE3" s="1"/>
      <c r="DF3" s="1"/>
    </row>
    <row r="4" spans="1:110">
      <c r="A4" s="542"/>
      <c r="B4" s="543"/>
      <c r="C4" s="544"/>
      <c r="D4" s="9"/>
      <c r="E4" s="10"/>
      <c r="F4" s="11"/>
      <c r="G4" s="555"/>
      <c r="H4" s="555"/>
      <c r="I4" s="555"/>
      <c r="J4" s="555"/>
      <c r="K4" s="555"/>
      <c r="L4" s="555"/>
      <c r="M4" s="555"/>
      <c r="N4" s="555"/>
      <c r="O4" s="555"/>
      <c r="P4" s="555"/>
      <c r="Q4" s="555"/>
      <c r="R4" s="555"/>
      <c r="S4" s="555"/>
      <c r="T4" s="555"/>
      <c r="U4" s="555"/>
      <c r="V4" s="555"/>
      <c r="W4" s="555"/>
      <c r="X4" s="555"/>
      <c r="Y4" s="555"/>
      <c r="Z4" s="555"/>
      <c r="AA4" s="555"/>
      <c r="AB4" s="555"/>
      <c r="AC4" s="555"/>
      <c r="AD4" s="555"/>
      <c r="AE4" s="555"/>
      <c r="AF4" s="555"/>
      <c r="AG4" s="555"/>
      <c r="AH4" s="555"/>
      <c r="AI4" s="555"/>
      <c r="AJ4" s="555"/>
      <c r="AK4" s="555"/>
      <c r="AL4" s="555"/>
      <c r="AM4" s="555"/>
      <c r="AN4" s="555"/>
      <c r="AO4" s="555"/>
      <c r="AP4" s="555"/>
      <c r="AQ4" s="555"/>
      <c r="AR4" s="555"/>
      <c r="AS4" s="555"/>
      <c r="AT4" s="555"/>
      <c r="AU4" s="555"/>
      <c r="AV4" s="555"/>
      <c r="AW4" s="555"/>
      <c r="AX4" s="555"/>
      <c r="AY4" s="555"/>
      <c r="AZ4" s="555"/>
      <c r="BA4" s="555"/>
      <c r="BB4" s="555"/>
      <c r="BC4" s="555"/>
      <c r="BD4" s="555"/>
      <c r="BE4" s="555"/>
      <c r="BF4" s="555"/>
      <c r="BG4" s="555"/>
      <c r="BH4" s="555"/>
      <c r="BI4" s="555"/>
      <c r="BJ4" s="555"/>
      <c r="BK4" s="555"/>
      <c r="BL4" s="555"/>
      <c r="BM4" s="555"/>
      <c r="BN4" s="555"/>
      <c r="BO4" s="555"/>
      <c r="BP4" s="555"/>
      <c r="BQ4" s="555"/>
      <c r="BR4" s="555"/>
      <c r="BS4" s="555"/>
      <c r="BT4" s="555"/>
      <c r="BU4" s="555"/>
      <c r="BV4" s="555"/>
      <c r="BW4" s="555"/>
      <c r="BX4" s="555"/>
      <c r="BY4" s="555"/>
      <c r="BZ4" s="555"/>
      <c r="CA4" s="555"/>
      <c r="CB4" s="555"/>
      <c r="CC4" s="555"/>
      <c r="CD4" s="555"/>
      <c r="CE4" s="555"/>
      <c r="CF4" s="555"/>
      <c r="CG4" s="555"/>
      <c r="CH4" s="555"/>
      <c r="CI4" s="555"/>
      <c r="CJ4" s="555"/>
      <c r="CK4" s="555"/>
      <c r="CL4" s="555"/>
      <c r="CM4" s="555"/>
      <c r="CN4" s="555"/>
      <c r="CO4" s="555"/>
      <c r="CP4" s="555"/>
      <c r="CQ4" s="555"/>
      <c r="CR4" s="555"/>
      <c r="CS4" s="555"/>
      <c r="CT4" s="555"/>
      <c r="CU4" s="555"/>
      <c r="CV4" s="555"/>
      <c r="CW4" s="555"/>
      <c r="CX4" s="555"/>
      <c r="CY4" s="555"/>
      <c r="CZ4" s="555"/>
      <c r="DA4" s="555"/>
      <c r="DB4" s="555"/>
      <c r="DC4" s="555"/>
    </row>
    <row r="5" spans="1:110">
      <c r="A5" s="1449">
        <v>15</v>
      </c>
      <c r="B5" s="546" t="s">
        <v>511</v>
      </c>
      <c r="C5" s="547" t="s">
        <v>338</v>
      </c>
      <c r="D5" s="1450" t="s">
        <v>363</v>
      </c>
      <c r="E5" s="1451">
        <v>65</v>
      </c>
      <c r="F5" s="1452" t="str">
        <f>VLOOKUP($E$5,[1]QUART!$A$2:$FA$300, 3, FALSE)</f>
        <v xml:space="preserve">65  Household final consumption expenditure (domestic)                              </v>
      </c>
      <c r="G5" s="1453">
        <f>IF(VLOOKUP($E$5,[1]QUART!$A$2:$FA$300, 6, FALSE)="",":",VLOOKUP($E$5,[1]QUART!$A$2:$FA$300, 6, FALSE))</f>
        <v>39514</v>
      </c>
      <c r="H5" s="1453">
        <f>IF(VLOOKUP($E$5,[1]QUART!$A$2:$FA$300, 7, FALSE)="",":",VLOOKUP($E$5,[1]QUART!$A$2:$FA$300, 7, FALSE))</f>
        <v>39850</v>
      </c>
      <c r="I5" s="1453">
        <f>IF(VLOOKUP($E$5,[1]QUART!$A$2:$FA$300, 8, FALSE)="",":",VLOOKUP($E$5,[1]QUART!$A$2:$FA$300, 8, FALSE))</f>
        <v>40174</v>
      </c>
      <c r="J5" s="1453">
        <f>IF(VLOOKUP($E$5,[1]QUART!$A$2:$FA$300, 9, FALSE)="",":",VLOOKUP($E$5,[1]QUART!$A$2:$FA$300, 9, FALSE))</f>
        <v>40442</v>
      </c>
      <c r="K5" s="1453">
        <f>IF(VLOOKUP($E$5,[1]QUART!$A$2:$FA$300, 10, FALSE)="",":",VLOOKUP($E$5,[1]QUART!$A$2:$FA$300, 10, FALSE))</f>
        <v>40565</v>
      </c>
      <c r="L5" s="1453">
        <f>IF(VLOOKUP($E$5,[1]QUART!$A$2:$FA$300, 11, FALSE)="",":",VLOOKUP($E$5,[1]QUART!$A$2:$FA$300, 11, FALSE))</f>
        <v>40831</v>
      </c>
      <c r="M5" s="1453">
        <f>IF(VLOOKUP($E$5,[1]QUART!$A$2:$FA$300, 12, FALSE)="",":",VLOOKUP($E$5,[1]QUART!$A$2:$FA$300, 12, FALSE))</f>
        <v>41020</v>
      </c>
      <c r="N5" s="1453">
        <f>IF(VLOOKUP($E$5,[1]QUART!$A$2:$FA$300, 13, FALSE)="",":",VLOOKUP($E$5,[1]QUART!$A$2:$FA$300, 13, FALSE))</f>
        <v>41066</v>
      </c>
      <c r="O5" s="1453">
        <f>IF(VLOOKUP($E$5,[1]QUART!$A$2:$FA$300, 14, FALSE)="",":",VLOOKUP($E$5,[1]QUART!$A$2:$FA$300, 14, FALSE))</f>
        <v>41199</v>
      </c>
      <c r="P5" s="1453">
        <f>IF(VLOOKUP($E$5,[1]QUART!$A$2:$FA$300, 15, FALSE)="",":",VLOOKUP($E$5,[1]QUART!$A$2:$FA$300, 15, FALSE))</f>
        <v>41521</v>
      </c>
      <c r="Q5" s="1453">
        <f>IF(VLOOKUP($E$5,[1]QUART!$A$2:$FA$300, 16, FALSE)="",":",VLOOKUP($E$5,[1]QUART!$A$2:$FA$300, 16, FALSE))</f>
        <v>41775</v>
      </c>
      <c r="R5" s="1453">
        <f>IF(VLOOKUP($E$5,[1]QUART!$A$2:$FA$300, 17, FALSE)="",":",VLOOKUP($E$5,[1]QUART!$A$2:$FA$300, 17, FALSE))</f>
        <v>41914</v>
      </c>
      <c r="S5" s="1453">
        <f>IF(VLOOKUP($E$5,[1]QUART!$A$2:$FA$300, 18, FALSE)="",":",VLOOKUP($E$5,[1]QUART!$A$2:$FA$300, 18, FALSE))</f>
        <v>42232</v>
      </c>
      <c r="T5" s="1453">
        <f>IF(VLOOKUP($E$5,[1]QUART!$A$2:$FA$300, 19, FALSE)="",":",VLOOKUP($E$5,[1]QUART!$A$2:$FA$300, 19, FALSE))</f>
        <v>42670</v>
      </c>
      <c r="U5" s="1453">
        <f>IF(VLOOKUP($E$5,[1]QUART!$A$2:$FA$300, 20, FALSE)="",":",VLOOKUP($E$5,[1]QUART!$A$2:$FA$300, 20, FALSE))</f>
        <v>42983</v>
      </c>
      <c r="V5" s="1453">
        <f>IF(VLOOKUP($E$5,[1]QUART!$A$2:$FA$300, 21, FALSE)="",":",VLOOKUP($E$5,[1]QUART!$A$2:$FA$300, 21, FALSE))</f>
        <v>43052</v>
      </c>
      <c r="W5" s="1453">
        <f>IF(VLOOKUP($E$5,[1]QUART!$A$2:$FA$300, 22, FALSE)="",":",VLOOKUP($E$5,[1]QUART!$A$2:$FA$300, 22, FALSE))</f>
        <v>43074</v>
      </c>
      <c r="X5" s="1453">
        <f>IF(VLOOKUP($E$5,[1]QUART!$A$2:$FA$300, 23, FALSE)="",":",VLOOKUP($E$5,[1]QUART!$A$2:$FA$300, 23, FALSE))</f>
        <v>43293</v>
      </c>
      <c r="Y5" s="1453">
        <f>IF(VLOOKUP($E$5,[1]QUART!$A$2:$FA$300, 24, FALSE)="",":",VLOOKUP($E$5,[1]QUART!$A$2:$FA$300, 24, FALSE))</f>
        <v>43611</v>
      </c>
      <c r="Z5" s="1453">
        <f>IF(VLOOKUP($E$5,[1]QUART!$A$2:$FA$300, 25, FALSE)="",":",VLOOKUP($E$5,[1]QUART!$A$2:$FA$300, 25, FALSE))</f>
        <v>43822</v>
      </c>
      <c r="AA5" s="1453">
        <f>IF(VLOOKUP($E$5,[1]QUART!$A$2:$FA$300, 26, FALSE)="",":",VLOOKUP($E$5,[1]QUART!$A$2:$FA$300, 26, FALSE))</f>
        <v>44206</v>
      </c>
      <c r="AB5" s="1453">
        <f>IF(VLOOKUP($E$5,[1]QUART!$A$2:$FA$300, 27, FALSE)="",":",VLOOKUP($E$5,[1]QUART!$A$2:$FA$300, 27, FALSE))</f>
        <v>44505</v>
      </c>
      <c r="AC5" s="1453">
        <f>IF(VLOOKUP($E$5,[1]QUART!$A$2:$FA$300, 28, FALSE)="",":",VLOOKUP($E$5,[1]QUART!$A$2:$FA$300, 28, FALSE))</f>
        <v>44888</v>
      </c>
      <c r="AD5" s="1453">
        <f>IF(VLOOKUP($E$5,[1]QUART!$A$2:$FA$300, 29, FALSE)="",":",VLOOKUP($E$5,[1]QUART!$A$2:$FA$300, 29, FALSE))</f>
        <v>45294</v>
      </c>
      <c r="AE5" s="1453">
        <f>IF(VLOOKUP($E$5,[1]QUART!$A$2:$FA$300, 30, FALSE)="",":",VLOOKUP($E$5,[1]QUART!$A$2:$FA$300, 30, FALSE))</f>
        <v>45374</v>
      </c>
      <c r="AF5" s="1453">
        <f>IF(VLOOKUP($E$5,[1]QUART!$A$2:$FA$300, 31, FALSE)="",":",VLOOKUP($E$5,[1]QUART!$A$2:$FA$300, 31, FALSE))</f>
        <v>45306</v>
      </c>
      <c r="AG5" s="1453">
        <f>IF(VLOOKUP($E$5,[1]QUART!$A$2:$FA$300, 32, FALSE)="",":",VLOOKUP($E$5,[1]QUART!$A$2:$FA$300, 32, FALSE))</f>
        <v>45085</v>
      </c>
      <c r="AH5" s="1453">
        <f>IF(VLOOKUP($E$5,[1]QUART!$A$2:$FA$300, 33, FALSE)="",":",VLOOKUP($E$5,[1]QUART!$A$2:$FA$300, 33, FALSE))</f>
        <v>44896</v>
      </c>
      <c r="AI5" s="1453">
        <f>IF(VLOOKUP($E$5,[1]QUART!$A$2:$FA$300, 34, FALSE)="",":",VLOOKUP($E$5,[1]QUART!$A$2:$FA$300, 34, FALSE))</f>
        <v>45076</v>
      </c>
      <c r="AJ5" s="1453">
        <f>IF(VLOOKUP($E$5,[1]QUART!$A$2:$FA$300, 35, FALSE)="",":",VLOOKUP($E$5,[1]QUART!$A$2:$FA$300, 35, FALSE))</f>
        <v>45238</v>
      </c>
      <c r="AK5" s="1453">
        <f>IF(VLOOKUP($E$5,[1]QUART!$A$2:$FA$300, 36, FALSE)="",":",VLOOKUP($E$5,[1]QUART!$A$2:$FA$300, 36, FALSE))</f>
        <v>45450</v>
      </c>
      <c r="AL5" s="1453">
        <f>IF(VLOOKUP($E$5,[1]QUART!$A$2:$FA$300, 37, FALSE)="",":",VLOOKUP($E$5,[1]QUART!$A$2:$FA$300, 37, FALSE))</f>
        <v>45614</v>
      </c>
      <c r="AM5" s="1453">
        <f>IF(VLOOKUP($E$5,[1]QUART!$A$2:$FA$300, 38, FALSE)="",":",VLOOKUP($E$5,[1]QUART!$A$2:$FA$300, 38, FALSE))</f>
        <v>45487</v>
      </c>
      <c r="AN5" s="1453">
        <f>IF(VLOOKUP($E$5,[1]QUART!$A$2:$FA$300, 39, FALSE)="",":",VLOOKUP($E$5,[1]QUART!$A$2:$FA$300, 39, FALSE))</f>
        <v>45407</v>
      </c>
      <c r="AO5" s="1453">
        <f>IF(VLOOKUP($E$5,[1]QUART!$A$2:$FA$300, 40, FALSE)="",":",VLOOKUP($E$5,[1]QUART!$A$2:$FA$300, 40, FALSE))</f>
        <v>45507</v>
      </c>
      <c r="AP5" s="1453">
        <f>IF(VLOOKUP($E$5,[1]QUART!$A$2:$FA$300, 41, FALSE)="",":",VLOOKUP($E$5,[1]QUART!$A$2:$FA$300, 41, FALSE))</f>
        <v>45915</v>
      </c>
      <c r="AQ5" s="1453">
        <f>IF(VLOOKUP($E$5,[1]QUART!$A$2:$FA$300, 42, FALSE)="",":",VLOOKUP($E$5,[1]QUART!$A$2:$FA$300, 42, FALSE))</f>
        <v>46165</v>
      </c>
      <c r="AR5" s="1453">
        <f>IF(VLOOKUP($E$5,[1]QUART!$A$2:$FA$300, 43, FALSE)="",":",VLOOKUP($E$5,[1]QUART!$A$2:$FA$300, 43, FALSE))</f>
        <v>46229</v>
      </c>
      <c r="AS5" s="1453">
        <f>IF(VLOOKUP($E$5,[1]QUART!$A$2:$FA$300, 44, FALSE)="",":",VLOOKUP($E$5,[1]QUART!$A$2:$FA$300, 44, FALSE))</f>
        <v>46268</v>
      </c>
      <c r="AT5" s="1453">
        <f>IF(VLOOKUP($E$5,[1]QUART!$A$2:$FA$300, 45, FALSE)="",":",VLOOKUP($E$5,[1]QUART!$A$2:$FA$300, 45, FALSE))</f>
        <v>46492</v>
      </c>
      <c r="AU5" s="1453">
        <f>IF(VLOOKUP($E$5,[1]QUART!$A$2:$FA$300, 46, FALSE)="",":",VLOOKUP($E$5,[1]QUART!$A$2:$FA$300, 46, FALSE))</f>
        <v>46532</v>
      </c>
      <c r="AV5" s="1453">
        <f>IF(VLOOKUP($E$5,[1]QUART!$A$2:$FA$300, 47, FALSE)="",":",VLOOKUP($E$5,[1]QUART!$A$2:$FA$300, 47, FALSE))</f>
        <v>46654</v>
      </c>
      <c r="AW5" s="1453">
        <f>IF(VLOOKUP($E$5,[1]QUART!$A$2:$FA$300, 48, FALSE)="",":",VLOOKUP($E$5,[1]QUART!$A$2:$FA$300, 48, FALSE))</f>
        <v>46968</v>
      </c>
      <c r="AX5" s="1453">
        <f>IF(VLOOKUP($E$5,[1]QUART!$A$2:$FA$300, 49, FALSE)="",":",VLOOKUP($E$5,[1]QUART!$A$2:$FA$300, 49, FALSE))</f>
        <v>47310</v>
      </c>
      <c r="AY5" s="1453">
        <f>IF(VLOOKUP($E$5,[1]QUART!$A$2:$FA$300, 50, FALSE)="",":",VLOOKUP($E$5,[1]QUART!$A$2:$FA$300, 50, FALSE))</f>
        <v>47428</v>
      </c>
      <c r="AZ5" s="1453">
        <f>IF(VLOOKUP($E$5,[1]QUART!$A$2:$FA$300, 51, FALSE)="",":",VLOOKUP($E$5,[1]QUART!$A$2:$FA$300, 51, FALSE))</f>
        <v>47488</v>
      </c>
      <c r="BA5" s="1453">
        <f>IF(VLOOKUP($E$5,[1]QUART!$A$2:$FA$300, 52, FALSE)="",":",VLOOKUP($E$5,[1]QUART!$A$2:$FA$300, 52, FALSE))</f>
        <v>47540</v>
      </c>
      <c r="BB5" s="1453">
        <f>IF(VLOOKUP($E$5,[1]QUART!$A$2:$FA$300, 53, FALSE)="",":",VLOOKUP($E$5,[1]QUART!$A$2:$FA$300, 53, FALSE))</f>
        <v>47767</v>
      </c>
      <c r="BC5" s="1453">
        <f>IF(VLOOKUP($E$5,[1]QUART!$A$2:$FA$300, 54, FALSE)="",":",VLOOKUP($E$5,[1]QUART!$A$2:$FA$300, 54, FALSE))</f>
        <v>48075</v>
      </c>
      <c r="BD5" s="1453">
        <f>IF(VLOOKUP($E$5,[1]QUART!$A$2:$FA$300, 55, FALSE)="",":",VLOOKUP($E$5,[1]QUART!$A$2:$FA$300, 55, FALSE))</f>
        <v>48306</v>
      </c>
      <c r="BE5" s="1453">
        <f>IF(VLOOKUP($E$5,[1]QUART!$A$2:$FA$300, 56, FALSE)="",":",VLOOKUP($E$5,[1]QUART!$A$2:$FA$300, 56, FALSE))</f>
        <v>48548</v>
      </c>
      <c r="BF5" s="1453">
        <f>IF(VLOOKUP($E$5,[1]QUART!$A$2:$FA$300, 57, FALSE)="",":",VLOOKUP($E$5,[1]QUART!$A$2:$FA$300, 57, FALSE))</f>
        <v>48795</v>
      </c>
      <c r="BG5" s="1453">
        <f>IF(VLOOKUP($E$5,[1]QUART!$A$2:$FA$300, 58, FALSE)="",":",VLOOKUP($E$5,[1]QUART!$A$2:$FA$300, 58, FALSE))</f>
        <v>49285</v>
      </c>
      <c r="BH5" s="1453">
        <f>IF(VLOOKUP($E$5,[1]QUART!$A$2:$FA$300, 59, FALSE)="",":",VLOOKUP($E$5,[1]QUART!$A$2:$FA$300, 59, FALSE))</f>
        <v>49446</v>
      </c>
      <c r="BI5" s="1453">
        <f>IF(VLOOKUP($E$5,[1]QUART!$A$2:$FA$300, 60, FALSE)="",":",VLOOKUP($E$5,[1]QUART!$A$2:$FA$300, 60, FALSE))</f>
        <v>49368</v>
      </c>
      <c r="BJ5" s="1453">
        <f>IF(VLOOKUP($E$5,[1]QUART!$A$2:$FA$300, 61, FALSE)="",":",VLOOKUP($E$5,[1]QUART!$A$2:$FA$300, 61, FALSE))</f>
        <v>48898</v>
      </c>
      <c r="BK5" s="1453">
        <f>IF(VLOOKUP($E$5,[1]QUART!$A$2:$FA$300, 62, FALSE)="",":",VLOOKUP($E$5,[1]QUART!$A$2:$FA$300, 62, FALSE))</f>
        <v>48773</v>
      </c>
      <c r="BL5" s="1453">
        <f>IF(VLOOKUP($E$5,[1]QUART!$A$2:$FA$300, 63, FALSE)="",":",VLOOKUP($E$5,[1]QUART!$A$2:$FA$300, 63, FALSE))</f>
        <v>49157</v>
      </c>
      <c r="BM5" s="1453">
        <f>IF(VLOOKUP($E$5,[1]QUART!$A$2:$FA$300, 64, FALSE)="",":",VLOOKUP($E$5,[1]QUART!$A$2:$FA$300, 64, FALSE))</f>
        <v>49779</v>
      </c>
      <c r="BN5" s="1453">
        <f>IF(VLOOKUP($E$5,[1]QUART!$A$2:$FA$300, 65, FALSE)="",":",VLOOKUP($E$5,[1]QUART!$A$2:$FA$300, 65, FALSE))</f>
        <v>50275</v>
      </c>
      <c r="BO5" s="1453">
        <f>IF(VLOOKUP($E$5,[1]QUART!$A$2:$FA$300, 66, FALSE)="",":",VLOOKUP($E$5,[1]QUART!$A$2:$FA$300, 66, FALSE))</f>
        <v>50660</v>
      </c>
      <c r="BP5" s="1453">
        <f>IF(VLOOKUP($E$5,[1]QUART!$A$2:$FA$300, 67, FALSE)="",":",VLOOKUP($E$5,[1]QUART!$A$2:$FA$300, 67, FALSE))</f>
        <v>50810</v>
      </c>
      <c r="BQ5" s="1453">
        <f>IF(VLOOKUP($E$5,[1]QUART!$A$2:$FA$300, 68, FALSE)="",":",VLOOKUP($E$5,[1]QUART!$A$2:$FA$300, 68, FALSE))</f>
        <v>50790</v>
      </c>
      <c r="BR5" s="1453">
        <f>IF(VLOOKUP($E$5,[1]QUART!$A$2:$FA$300, 69, FALSE)="",":",VLOOKUP($E$5,[1]QUART!$A$2:$FA$300, 69, FALSE))</f>
        <v>51080</v>
      </c>
      <c r="BS5" s="1453">
        <f>IF(VLOOKUP($E$5,[1]QUART!$A$2:$FA$300, 70, FALSE)="",":",VLOOKUP($E$5,[1]QUART!$A$2:$FA$300, 70, FALSE))</f>
        <v>50894</v>
      </c>
      <c r="BT5" s="1453">
        <f>IF(VLOOKUP($E$5,[1]QUART!$A$2:$FA$300, 71, FALSE)="",":",VLOOKUP($E$5,[1]QUART!$A$2:$FA$300, 71, FALSE))</f>
        <v>50889</v>
      </c>
      <c r="BU5" s="1453">
        <f>IF(VLOOKUP($E$5,[1]QUART!$A$2:$FA$300, 72, FALSE)="",":",VLOOKUP($E$5,[1]QUART!$A$2:$FA$300, 72, FALSE))</f>
        <v>51052</v>
      </c>
      <c r="BV5" s="1453">
        <f>IF(VLOOKUP($E$5,[1]QUART!$A$2:$FA$300, 73, FALSE)="",":",VLOOKUP($E$5,[1]QUART!$A$2:$FA$300, 72, FALSE))</f>
        <v>51052</v>
      </c>
      <c r="BW5" s="1453">
        <f>IF(VLOOKUP($E$5,[1]QUART!$A$2:$FA$300, 74, FALSE)="",":",VLOOKUP($E$5,[1]QUART!$A$2:$FA$300, 74, FALSE))</f>
        <v>51215</v>
      </c>
      <c r="BX5" s="1453">
        <f>IF(VLOOKUP($E$5,[1]QUART!$A$2:$FA$300, 75, FALSE)="",":",VLOOKUP($E$5,[1]QUART!$A$2:$FA$300, 75, FALSE))</f>
        <v>51197</v>
      </c>
      <c r="BY5" s="1453">
        <f>IF(VLOOKUP($E$5,[1]QUART!$A$2:$FA$300, 76, FALSE)="",":",VLOOKUP($E$5,[1]QUART!$A$2:$FA$300, 76, FALSE))</f>
        <v>51331</v>
      </c>
      <c r="BZ5" s="1453">
        <f>IF(VLOOKUP($E$5,[1]QUART!$A$2:$FA$300, 77, FALSE)="",":",VLOOKUP($E$5,[1]QUART!$A$2:$FA$300, 77, FALSE))</f>
        <v>51489</v>
      </c>
      <c r="CA5" s="1453">
        <f>IF(VLOOKUP($E$5,[1]QUART!$A$2:$FA$300, 78, FALSE)="",":",VLOOKUP($E$5,[1]QUART!$A$2:$FA$300, 78, FALSE))</f>
        <v>51522</v>
      </c>
      <c r="CB5" s="1453">
        <f>IF(VLOOKUP($E$5,[1]QUART!$A$2:$FA$300, 79, FALSE)="",":",VLOOKUP($E$5,[1]QUART!$A$2:$FA$300, 79, FALSE))</f>
        <v>51645</v>
      </c>
      <c r="CC5" s="1453">
        <f>IF(VLOOKUP($E$5,[1]QUART!$A$2:$FA$300, 80, FALSE)="",":",VLOOKUP($E$5,[1]QUART!$A$2:$FA$300, 80, FALSE))</f>
        <v>51829</v>
      </c>
      <c r="CD5" s="1453">
        <f>IF(VLOOKUP($E$5,[1]QUART!$A$2:$FA$300, 81, FALSE)="",":",VLOOKUP($E$5,[1]QUART!$A$2:$FA$300, 81, FALSE))</f>
        <v>51768</v>
      </c>
      <c r="CE5" s="1453">
        <f>IF(VLOOKUP($E$5,[1]QUART!$A$2:$FA$300, 82, FALSE)="",":",VLOOKUP($E$5,[1]QUART!$A$2:$FA$300, 82, FALSE))</f>
        <v>51875</v>
      </c>
      <c r="CF5" s="1453">
        <f>IF(VLOOKUP($E$5,[1]QUART!$A$2:$FA$300, 83, FALSE)="",":",VLOOKUP($E$5,[1]QUART!$A$2:$FA$300, 83, FALSE))</f>
        <v>51890</v>
      </c>
      <c r="CG5" s="1453">
        <f>IF(VLOOKUP($E$5,[1]QUART!$A$2:$FA$300, 84, FALSE)="",":",VLOOKUP($E$5,[1]QUART!$A$2:$FA$300, 84, FALSE))</f>
        <v>52007</v>
      </c>
      <c r="CH5" s="1453">
        <f>IF(VLOOKUP($E$5,[1]QUART!$A$2:$FA$300, 85, FALSE)="",":",VLOOKUP($E$5,[1]QUART!$A$2:$FA$300, 85, FALSE))</f>
        <v>52255</v>
      </c>
      <c r="CI5" s="1453">
        <f>IF(VLOOKUP($E$5,[1]QUART!$A$2:$FA$300, 86, FALSE)="",":",VLOOKUP($E$5,[1]QUART!$A$2:$FA$300, 86, FALSE))</f>
        <v>52282</v>
      </c>
      <c r="CJ5" s="1453">
        <f>IF(VLOOKUP($E$5,[1]QUART!$A$2:$FA$300, 87, FALSE)="",":",VLOOKUP($E$5,[1]QUART!$A$2:$FA$300, 87, FALSE))</f>
        <v>52398</v>
      </c>
      <c r="CK5" s="1453">
        <f>IF(VLOOKUP($E$5,[1]QUART!$A$2:$FA$300, 88, FALSE)="",":",VLOOKUP($E$5,[1]QUART!$A$2:$FA$300, 88, FALSE))</f>
        <v>52498</v>
      </c>
      <c r="CL5" s="1453">
        <f>IF(VLOOKUP($E$5,[1]QUART!$A$2:$FA$300, 89, FALSE)="",":",VLOOKUP($E$5,[1]QUART!$A$2:$FA$300, 89, FALSE))</f>
        <v>52710</v>
      </c>
      <c r="CM5" s="1453">
        <f>IF(VLOOKUP($E$5,[1]QUART!$A$2:$FA$300, 90, FALSE)="",":",VLOOKUP($E$5,[1]QUART!$A$2:$FA$300, 90, FALSE))</f>
        <v>53000</v>
      </c>
      <c r="CN5" s="1453">
        <f>IF(VLOOKUP($E$5,[1]QUART!$A$2:$FA$300, 91, FALSE)="",":",VLOOKUP($E$5,[1]QUART!$A$2:$FA$300, 91, FALSE))</f>
        <v>53348</v>
      </c>
      <c r="CO5" s="1453">
        <f>IF(VLOOKUP($E$5,[1]QUART!$A$2:$FA$300, 92, FALSE)="",":",VLOOKUP($E$5,[1]QUART!$A$2:$FA$300, 92, FALSE))</f>
        <v>53509</v>
      </c>
      <c r="CP5" s="1453">
        <f>IF(VLOOKUP($E$5,[1]QUART!$A$2:$FA$300, 93, FALSE)="",":",VLOOKUP($E$5,[1]QUART!$A$2:$FA$300, 93, FALSE))</f>
        <v>53508</v>
      </c>
      <c r="CQ5" s="1453">
        <f>IF(VLOOKUP($E$5,[1]QUART!$A$2:$FA$300, 94, FALSE)="",":",VLOOKUP($E$5,[1]QUART!$A$2:$FA$300, 94, FALSE))</f>
        <v>53697</v>
      </c>
      <c r="CR5" s="1453">
        <f>IF(VLOOKUP($E$5,[1]QUART!$A$2:$FA$300, 95, FALSE)="",":",VLOOKUP($E$5,[1]QUART!$A$2:$FA$300, 95, FALSE))</f>
        <v>53925</v>
      </c>
      <c r="CS5" s="1453">
        <f>IF(VLOOKUP($E$5,[1]QUART!$A$2:$FA$300, 96, FALSE)="",":",VLOOKUP($E$5,[1]QUART!$A$2:$FA$300, 96, FALSE))</f>
        <v>54034</v>
      </c>
      <c r="CT5" s="1453">
        <f>IF(VLOOKUP($E$5,[1]QUART!$A$2:$FA$300, 97, FALSE)="",":",VLOOKUP($E$5,[1]QUART!$A$2:$FA$300, 97, FALSE))</f>
        <v>54112</v>
      </c>
      <c r="CU5" s="1453" t="str">
        <f>IF(VLOOKUP($E$5,[1]QUART!$A$2:$FA$300, 98, FALSE)="",":",VLOOKUP($E$5,[1]QUART!$A$2:$FA$300, 98, FALSE))</f>
        <v>:</v>
      </c>
      <c r="CV5" s="1453" t="str">
        <f>IF(VLOOKUP($E$5,[1]QUART!$A$2:$FA$300, 99, FALSE)="",":",VLOOKUP($E$5,[1]QUART!$A$2:$FA$300, 99, FALSE))</f>
        <v>:</v>
      </c>
      <c r="CW5" s="1453" t="str">
        <f>IF(VLOOKUP($E$5,[1]QUART!$A$2:$FA$300, 100, FALSE)="",":",VLOOKUP($E$5,[1]QUART!$A$2:$FA$300, 100, FALSE))</f>
        <v>:</v>
      </c>
      <c r="CX5" s="1453" t="str">
        <f>IF(VLOOKUP($E$5,[1]QUART!$A$2:$FA$300, 101, FALSE)="",":",VLOOKUP($E$5,[1]QUART!$A$2:$FA$300, 101, FALSE))</f>
        <v>:</v>
      </c>
      <c r="CY5" s="1453" t="str">
        <f>IF(VLOOKUP($E$5,[1]QUART!$A$2:$FA$300, 102, FALSE)="",":",VLOOKUP($E$5,[1]QUART!$A$2:$FA$300, 102, FALSE))</f>
        <v>:</v>
      </c>
      <c r="CZ5" s="1453" t="str">
        <f>IF(VLOOKUP($E$5,[1]QUART!$A$2:$FA$300, 103, FALSE)="",":",VLOOKUP($E$5,[1]QUART!$A$2:$FA$300, 103, FALSE))</f>
        <v>:</v>
      </c>
      <c r="DA5" s="1453" t="str">
        <f>IF(VLOOKUP($E$5,[1]QUART!$A$2:$FA$300, 104, FALSE)="",":",VLOOKUP($E$5,[1]QUART!$A$2:$FA$300, 104, FALSE))</f>
        <v>:</v>
      </c>
      <c r="DB5" s="1453" t="str">
        <f>IF(VLOOKUP($E$5,[1]QUART!$A$2:$FA$300, 105, FALSE)="",":",VLOOKUP($E$5,[1]QUART!$A$2:$FA$300, 105, FALSE))</f>
        <v>:</v>
      </c>
      <c r="DC5" s="1453" t="str">
        <f>IF(VLOOKUP($E$5,[1]QUART!$A$2:$FA$300, 106, FALSE)="",":",VLOOKUP($E$5,[1]QUART!$A$2:$FA$300, 106, FALSE))</f>
        <v>:</v>
      </c>
    </row>
    <row r="6" spans="1:110">
      <c r="A6" s="1449">
        <v>16</v>
      </c>
      <c r="B6" s="546" t="s">
        <v>39</v>
      </c>
      <c r="C6" s="547" t="s">
        <v>341</v>
      </c>
      <c r="D6" s="1450" t="s">
        <v>363</v>
      </c>
      <c r="E6" s="1451">
        <v>66</v>
      </c>
      <c r="F6" s="1452" t="str">
        <f>VLOOKUP($E$6,[1]QUART!$A$2:$FA$300, 3, FALSE)</f>
        <v xml:space="preserve">66  Government final consumption expenditure                                        </v>
      </c>
      <c r="G6" s="1453">
        <f>IF(VLOOKUP($E$6,[1]QUART!$A$2:$FA$300, 6, FALSE)="",":",VLOOKUP($E$6,[1]QUART!$A$2:$FA$300, 6, FALSE))</f>
        <v>18349</v>
      </c>
      <c r="H6" s="1453">
        <f>IF(VLOOKUP($E$6,[1]QUART!$A$2:$FA$300, 7, FALSE)="",":",VLOOKUP($E$6,[1]QUART!$A$2:$FA$300, 7, FALSE))</f>
        <v>18431</v>
      </c>
      <c r="I6" s="1453">
        <f>IF(VLOOKUP($E$6,[1]QUART!$A$2:$FA$300, 8, FALSE)="",":",VLOOKUP($E$6,[1]QUART!$A$2:$FA$300, 8, FALSE))</f>
        <v>18508</v>
      </c>
      <c r="J6" s="1453">
        <f>IF(VLOOKUP($E$6,[1]QUART!$A$2:$FA$300, 9, FALSE)="",":",VLOOKUP($E$6,[1]QUART!$A$2:$FA$300, 9, FALSE))</f>
        <v>18591</v>
      </c>
      <c r="K6" s="1453">
        <f>IF(VLOOKUP($E$6,[1]QUART!$A$2:$FA$300, 10, FALSE)="",":",VLOOKUP($E$6,[1]QUART!$A$2:$FA$300, 10, FALSE))</f>
        <v>18644</v>
      </c>
      <c r="L6" s="1453">
        <f>IF(VLOOKUP($E$6,[1]QUART!$A$2:$FA$300, 11, FALSE)="",":",VLOOKUP($E$6,[1]QUART!$A$2:$FA$300, 11, FALSE))</f>
        <v>18709</v>
      </c>
      <c r="M6" s="1453">
        <f>IF(VLOOKUP($E$6,[1]QUART!$A$2:$FA$300, 12, FALSE)="",":",VLOOKUP($E$6,[1]QUART!$A$2:$FA$300, 12, FALSE))</f>
        <v>18748</v>
      </c>
      <c r="N6" s="1453">
        <f>IF(VLOOKUP($E$6,[1]QUART!$A$2:$FA$300, 13, FALSE)="",":",VLOOKUP($E$6,[1]QUART!$A$2:$FA$300, 13, FALSE))</f>
        <v>18790</v>
      </c>
      <c r="O6" s="1453">
        <f>IF(VLOOKUP($E$6,[1]QUART!$A$2:$FA$300, 14, FALSE)="",":",VLOOKUP($E$6,[1]QUART!$A$2:$FA$300, 14, FALSE))</f>
        <v>18777</v>
      </c>
      <c r="P6" s="1453">
        <f>IF(VLOOKUP($E$6,[1]QUART!$A$2:$FA$300, 15, FALSE)="",":",VLOOKUP($E$6,[1]QUART!$A$2:$FA$300, 15, FALSE))</f>
        <v>18809</v>
      </c>
      <c r="Q6" s="1453">
        <f>IF(VLOOKUP($E$6,[1]QUART!$A$2:$FA$300, 16, FALSE)="",":",VLOOKUP($E$6,[1]QUART!$A$2:$FA$300, 16, FALSE))</f>
        <v>18859</v>
      </c>
      <c r="R6" s="1453">
        <f>IF(VLOOKUP($E$6,[1]QUART!$A$2:$FA$300, 17, FALSE)="",":",VLOOKUP($E$6,[1]QUART!$A$2:$FA$300, 17, FALSE))</f>
        <v>18928</v>
      </c>
      <c r="S6" s="1453">
        <f>IF(VLOOKUP($E$6,[1]QUART!$A$2:$FA$300, 18, FALSE)="",":",VLOOKUP($E$6,[1]QUART!$A$2:$FA$300, 18, FALSE))</f>
        <v>19034</v>
      </c>
      <c r="T6" s="1453">
        <f>IF(VLOOKUP($E$6,[1]QUART!$A$2:$FA$300, 19, FALSE)="",":",VLOOKUP($E$6,[1]QUART!$A$2:$FA$300, 19, FALSE))</f>
        <v>19138</v>
      </c>
      <c r="U6" s="1453">
        <f>IF(VLOOKUP($E$6,[1]QUART!$A$2:$FA$300, 20, FALSE)="",":",VLOOKUP($E$6,[1]QUART!$A$2:$FA$300, 20, FALSE))</f>
        <v>19240</v>
      </c>
      <c r="V6" s="1453">
        <f>IF(VLOOKUP($E$6,[1]QUART!$A$2:$FA$300, 21, FALSE)="",":",VLOOKUP($E$6,[1]QUART!$A$2:$FA$300, 21, FALSE))</f>
        <v>19353</v>
      </c>
      <c r="W6" s="1453">
        <f>IF(VLOOKUP($E$6,[1]QUART!$A$2:$FA$300, 22, FALSE)="",":",VLOOKUP($E$6,[1]QUART!$A$2:$FA$300, 22, FALSE))</f>
        <v>19481</v>
      </c>
      <c r="X6" s="1453">
        <f>IF(VLOOKUP($E$6,[1]QUART!$A$2:$FA$300, 23, FALSE)="",":",VLOOKUP($E$6,[1]QUART!$A$2:$FA$300, 23, FALSE))</f>
        <v>19618</v>
      </c>
      <c r="Y6" s="1453">
        <f>IF(VLOOKUP($E$6,[1]QUART!$A$2:$FA$300, 24, FALSE)="",":",VLOOKUP($E$6,[1]QUART!$A$2:$FA$300, 24, FALSE))</f>
        <v>19772</v>
      </c>
      <c r="Z6" s="1453">
        <f>IF(VLOOKUP($E$6,[1]QUART!$A$2:$FA$300, 25, FALSE)="",":",VLOOKUP($E$6,[1]QUART!$A$2:$FA$300, 25, FALSE))</f>
        <v>19951</v>
      </c>
      <c r="AA6" s="1453">
        <f>IF(VLOOKUP($E$6,[1]QUART!$A$2:$FA$300, 26, FALSE)="",":",VLOOKUP($E$6,[1]QUART!$A$2:$FA$300, 26, FALSE))</f>
        <v>20135</v>
      </c>
      <c r="AB6" s="1453">
        <f>IF(VLOOKUP($E$6,[1]QUART!$A$2:$FA$300, 27, FALSE)="",":",VLOOKUP($E$6,[1]QUART!$A$2:$FA$300, 27, FALSE))</f>
        <v>20263</v>
      </c>
      <c r="AC6" s="1453">
        <f>IF(VLOOKUP($E$6,[1]QUART!$A$2:$FA$300, 28, FALSE)="",":",VLOOKUP($E$6,[1]QUART!$A$2:$FA$300, 28, FALSE))</f>
        <v>20355</v>
      </c>
      <c r="AD6" s="1453">
        <f>IF(VLOOKUP($E$6,[1]QUART!$A$2:$FA$300, 29, FALSE)="",":",VLOOKUP($E$6,[1]QUART!$A$2:$FA$300, 29, FALSE))</f>
        <v>20422</v>
      </c>
      <c r="AE6" s="1453">
        <f>IF(VLOOKUP($E$6,[1]QUART!$A$2:$FA$300, 30, FALSE)="",":",VLOOKUP($E$6,[1]QUART!$A$2:$FA$300, 30, FALSE))</f>
        <v>20397</v>
      </c>
      <c r="AF6" s="1453">
        <f>IF(VLOOKUP($E$6,[1]QUART!$A$2:$FA$300, 31, FALSE)="",":",VLOOKUP($E$6,[1]QUART!$A$2:$FA$300, 31, FALSE))</f>
        <v>20433</v>
      </c>
      <c r="AG6" s="1453">
        <f>IF(VLOOKUP($E$6,[1]QUART!$A$2:$FA$300, 32, FALSE)="",":",VLOOKUP($E$6,[1]QUART!$A$2:$FA$300, 32, FALSE))</f>
        <v>20517</v>
      </c>
      <c r="AH6" s="1453">
        <f>IF(VLOOKUP($E$6,[1]QUART!$A$2:$FA$300, 33, FALSE)="",":",VLOOKUP($E$6,[1]QUART!$A$2:$FA$300, 33, FALSE))</f>
        <v>20641</v>
      </c>
      <c r="AI6" s="1453">
        <f>IF(VLOOKUP($E$6,[1]QUART!$A$2:$FA$300, 34, FALSE)="",":",VLOOKUP($E$6,[1]QUART!$A$2:$FA$300, 34, FALSE))</f>
        <v>20837</v>
      </c>
      <c r="AJ6" s="1453">
        <f>IF(VLOOKUP($E$6,[1]QUART!$A$2:$FA$300, 35, FALSE)="",":",VLOOKUP($E$6,[1]QUART!$A$2:$FA$300, 35, FALSE))</f>
        <v>21002</v>
      </c>
      <c r="AK6" s="1453">
        <f>IF(VLOOKUP($E$6,[1]QUART!$A$2:$FA$300, 36, FALSE)="",":",VLOOKUP($E$6,[1]QUART!$A$2:$FA$300, 36, FALSE))</f>
        <v>21135</v>
      </c>
      <c r="AL6" s="1453">
        <f>IF(VLOOKUP($E$6,[1]QUART!$A$2:$FA$300, 37, FALSE)="",":",VLOOKUP($E$6,[1]QUART!$A$2:$FA$300, 37, FALSE))</f>
        <v>21201</v>
      </c>
      <c r="AM6" s="1453">
        <f>IF(VLOOKUP($E$6,[1]QUART!$A$2:$FA$300, 38, FALSE)="",":",VLOOKUP($E$6,[1]QUART!$A$2:$FA$300, 38, FALSE))</f>
        <v>21189</v>
      </c>
      <c r="AN6" s="1453">
        <f>IF(VLOOKUP($E$6,[1]QUART!$A$2:$FA$300, 39, FALSE)="",":",VLOOKUP($E$6,[1]QUART!$A$2:$FA$300, 39, FALSE))</f>
        <v>21268</v>
      </c>
      <c r="AO6" s="1453">
        <f>IF(VLOOKUP($E$6,[1]QUART!$A$2:$FA$300, 40, FALSE)="",":",VLOOKUP($E$6,[1]QUART!$A$2:$FA$300, 40, FALSE))</f>
        <v>21386</v>
      </c>
      <c r="AP6" s="1453">
        <f>IF(VLOOKUP($E$6,[1]QUART!$A$2:$FA$300, 41, FALSE)="",":",VLOOKUP($E$6,[1]QUART!$A$2:$FA$300, 41, FALSE))</f>
        <v>21507</v>
      </c>
      <c r="AQ6" s="1453">
        <f>IF(VLOOKUP($E$6,[1]QUART!$A$2:$FA$300, 42, FALSE)="",":",VLOOKUP($E$6,[1]QUART!$A$2:$FA$300, 42, FALSE))</f>
        <v>21595</v>
      </c>
      <c r="AR6" s="1453">
        <f>IF(VLOOKUP($E$6,[1]QUART!$A$2:$FA$300, 43, FALSE)="",":",VLOOKUP($E$6,[1]QUART!$A$2:$FA$300, 43, FALSE))</f>
        <v>21650</v>
      </c>
      <c r="AS6" s="1453">
        <f>IF(VLOOKUP($E$6,[1]QUART!$A$2:$FA$300, 44, FALSE)="",":",VLOOKUP($E$6,[1]QUART!$A$2:$FA$300, 44, FALSE))</f>
        <v>21706</v>
      </c>
      <c r="AT6" s="1453">
        <f>IF(VLOOKUP($E$6,[1]QUART!$A$2:$FA$300, 45, FALSE)="",":",VLOOKUP($E$6,[1]QUART!$A$2:$FA$300, 45, FALSE))</f>
        <v>21760</v>
      </c>
      <c r="AU6" s="1453">
        <f>IF(VLOOKUP($E$6,[1]QUART!$A$2:$FA$300, 46, FALSE)="",":",VLOOKUP($E$6,[1]QUART!$A$2:$FA$300, 46, FALSE))</f>
        <v>21795</v>
      </c>
      <c r="AV6" s="1453">
        <f>IF(VLOOKUP($E$6,[1]QUART!$A$2:$FA$300, 47, FALSE)="",":",VLOOKUP($E$6,[1]QUART!$A$2:$FA$300, 47, FALSE))</f>
        <v>21813</v>
      </c>
      <c r="AW6" s="1453">
        <f>IF(VLOOKUP($E$6,[1]QUART!$A$2:$FA$300, 48, FALSE)="",":",VLOOKUP($E$6,[1]QUART!$A$2:$FA$300, 48, FALSE))</f>
        <v>21827</v>
      </c>
      <c r="AX6" s="1453">
        <f>IF(VLOOKUP($E$6,[1]QUART!$A$2:$FA$300, 49, FALSE)="",":",VLOOKUP($E$6,[1]QUART!$A$2:$FA$300, 49, FALSE))</f>
        <v>21836</v>
      </c>
      <c r="AY6" s="1453">
        <f>IF(VLOOKUP($E$6,[1]QUART!$A$2:$FA$300, 50, FALSE)="",":",VLOOKUP($E$6,[1]QUART!$A$2:$FA$300, 50, FALSE))</f>
        <v>21892</v>
      </c>
      <c r="AZ6" s="1453">
        <f>IF(VLOOKUP($E$6,[1]QUART!$A$2:$FA$300, 51, FALSE)="",":",VLOOKUP($E$6,[1]QUART!$A$2:$FA$300, 51, FALSE))</f>
        <v>21985</v>
      </c>
      <c r="BA6" s="1453">
        <f>IF(VLOOKUP($E$6,[1]QUART!$A$2:$FA$300, 52, FALSE)="",":",VLOOKUP($E$6,[1]QUART!$A$2:$FA$300, 52, FALSE))</f>
        <v>22064</v>
      </c>
      <c r="BB6" s="1453">
        <f>IF(VLOOKUP($E$6,[1]QUART!$A$2:$FA$300, 53, FALSE)="",":",VLOOKUP($E$6,[1]QUART!$A$2:$FA$300, 53, FALSE))</f>
        <v>22159</v>
      </c>
      <c r="BC6" s="1453">
        <f>IF(VLOOKUP($E$6,[1]QUART!$A$2:$FA$300, 54, FALSE)="",":",VLOOKUP($E$6,[1]QUART!$A$2:$FA$300, 54, FALSE))</f>
        <v>22244</v>
      </c>
      <c r="BD6" s="1453">
        <f>IF(VLOOKUP($E$6,[1]QUART!$A$2:$FA$300, 55, FALSE)="",":",VLOOKUP($E$6,[1]QUART!$A$2:$FA$300, 55, FALSE))</f>
        <v>22353</v>
      </c>
      <c r="BE6" s="1453">
        <f>IF(VLOOKUP($E$6,[1]QUART!$A$2:$FA$300, 56, FALSE)="",":",VLOOKUP($E$6,[1]QUART!$A$2:$FA$300, 56, FALSE))</f>
        <v>22512</v>
      </c>
      <c r="BF6" s="1453">
        <f>IF(VLOOKUP($E$6,[1]QUART!$A$2:$FA$300, 57, FALSE)="",":",VLOOKUP($E$6,[1]QUART!$A$2:$FA$300, 57, FALSE))</f>
        <v>22684</v>
      </c>
      <c r="BG6" s="1453">
        <f>IF(VLOOKUP($E$6,[1]QUART!$A$2:$FA$300, 58, FALSE)="",":",VLOOKUP($E$6,[1]QUART!$A$2:$FA$300, 58, FALSE))</f>
        <v>22849</v>
      </c>
      <c r="BH6" s="1453">
        <f>IF(VLOOKUP($E$6,[1]QUART!$A$2:$FA$300, 59, FALSE)="",":",VLOOKUP($E$6,[1]QUART!$A$2:$FA$300, 59, FALSE))</f>
        <v>23022</v>
      </c>
      <c r="BI6" s="1453">
        <f>IF(VLOOKUP($E$6,[1]QUART!$A$2:$FA$300, 60, FALSE)="",":",VLOOKUP($E$6,[1]QUART!$A$2:$FA$300, 60, FALSE))</f>
        <v>23174</v>
      </c>
      <c r="BJ6" s="1453">
        <f>IF(VLOOKUP($E$6,[1]QUART!$A$2:$FA$300, 61, FALSE)="",":",VLOOKUP($E$6,[1]QUART!$A$2:$FA$300, 61, FALSE))</f>
        <v>23318</v>
      </c>
      <c r="BK6" s="1453">
        <f>IF(VLOOKUP($E$6,[1]QUART!$A$2:$FA$300, 62, FALSE)="",":",VLOOKUP($E$6,[1]QUART!$A$2:$FA$300, 62, FALSE))</f>
        <v>23273</v>
      </c>
      <c r="BL6" s="1453">
        <f>IF(VLOOKUP($E$6,[1]QUART!$A$2:$FA$300, 63, FALSE)="",":",VLOOKUP($E$6,[1]QUART!$A$2:$FA$300, 63, FALSE))</f>
        <v>23310</v>
      </c>
      <c r="BM6" s="1453">
        <f>IF(VLOOKUP($E$6,[1]QUART!$A$2:$FA$300, 64, FALSE)="",":",VLOOKUP($E$6,[1]QUART!$A$2:$FA$300, 64, FALSE))</f>
        <v>23367</v>
      </c>
      <c r="BN6" s="1453">
        <f>IF(VLOOKUP($E$6,[1]QUART!$A$2:$FA$300, 65, FALSE)="",":",VLOOKUP($E$6,[1]QUART!$A$2:$FA$300, 65, FALSE))</f>
        <v>23446</v>
      </c>
      <c r="BO6" s="1453">
        <f>IF(VLOOKUP($E$6,[1]QUART!$A$2:$FA$300, 66, FALSE)="",":",VLOOKUP($E$6,[1]QUART!$A$2:$FA$300, 66, FALSE))</f>
        <v>23533</v>
      </c>
      <c r="BP6" s="1453">
        <f>IF(VLOOKUP($E$6,[1]QUART!$A$2:$FA$300, 67, FALSE)="",":",VLOOKUP($E$6,[1]QUART!$A$2:$FA$300, 67, FALSE))</f>
        <v>23554</v>
      </c>
      <c r="BQ6" s="1453">
        <f>IF(VLOOKUP($E$6,[1]QUART!$A$2:$FA$300, 68, FALSE)="",":",VLOOKUP($E$6,[1]QUART!$A$2:$FA$300, 68, FALSE))</f>
        <v>23567</v>
      </c>
      <c r="BR6" s="1453">
        <f>IF(VLOOKUP($E$6,[1]QUART!$A$2:$FA$300, 69, FALSE)="",":",VLOOKUP($E$6,[1]QUART!$A$2:$FA$300, 69, FALSE))</f>
        <v>23636</v>
      </c>
      <c r="BS6" s="1453">
        <f>IF(VLOOKUP($E$6,[1]QUART!$A$2:$FA$300, 70, FALSE)="",":",VLOOKUP($E$6,[1]QUART!$A$2:$FA$300, 70, FALSE))</f>
        <v>23713</v>
      </c>
      <c r="BT6" s="1453">
        <f>IF(VLOOKUP($E$6,[1]QUART!$A$2:$FA$300, 71, FALSE)="",":",VLOOKUP($E$6,[1]QUART!$A$2:$FA$300, 71, FALSE))</f>
        <v>23771</v>
      </c>
      <c r="BU6" s="1453">
        <f>IF(VLOOKUP($E$6,[1]QUART!$A$2:$FA$300, 72, FALSE)="",":",VLOOKUP($E$6,[1]QUART!$A$2:$FA$300, 72, FALSE))</f>
        <v>23952</v>
      </c>
      <c r="BV6" s="1453">
        <f>IF(VLOOKUP($E$6,[1]QUART!$A$2:$FA$300, 73, FALSE)="",":",VLOOKUP($E$6,[1]QUART!$A$2:$FA$300, 73, FALSE))</f>
        <v>24018</v>
      </c>
      <c r="BW6" s="1453">
        <f>IF(VLOOKUP($E$6,[1]QUART!$A$2:$FA$300, 74, FALSE)="",":",VLOOKUP($E$6,[1]QUART!$A$2:$FA$300, 74, FALSE))</f>
        <v>24088</v>
      </c>
      <c r="BX6" s="1453">
        <f>IF(VLOOKUP($E$6,[1]QUART!$A$2:$FA$300, 75, FALSE)="",":",VLOOKUP($E$6,[1]QUART!$A$2:$FA$300, 75, FALSE))</f>
        <v>24219</v>
      </c>
      <c r="BY6" s="1453">
        <f>IF(VLOOKUP($E$6,[1]QUART!$A$2:$FA$300, 76, FALSE)="",":",VLOOKUP($E$6,[1]QUART!$A$2:$FA$300, 76, FALSE))</f>
        <v>24217</v>
      </c>
      <c r="BZ6" s="1453">
        <f>IF(VLOOKUP($E$6,[1]QUART!$A$2:$FA$300, 77, FALSE)="",":",VLOOKUP($E$6,[1]QUART!$A$2:$FA$300, 77, FALSE))</f>
        <v>24276</v>
      </c>
      <c r="CA6" s="1453">
        <f>IF(VLOOKUP($E$6,[1]QUART!$A$2:$FA$300, 78, FALSE)="",":",VLOOKUP($E$6,[1]QUART!$A$2:$FA$300, 78, FALSE))</f>
        <v>24356</v>
      </c>
      <c r="CB6" s="1453">
        <f>IF(VLOOKUP($E$6,[1]QUART!$A$2:$FA$300, 79, FALSE)="",":",VLOOKUP($E$6,[1]QUART!$A$2:$FA$300, 79, FALSE))</f>
        <v>24255</v>
      </c>
      <c r="CC6" s="1453">
        <f>IF(VLOOKUP($E$6,[1]QUART!$A$2:$FA$300, 80, FALSE)="",":",VLOOKUP($E$6,[1]QUART!$A$2:$FA$300, 80, FALSE))</f>
        <v>24276</v>
      </c>
      <c r="CD6" s="1453">
        <f>IF(VLOOKUP($E$6,[1]QUART!$A$2:$FA$300, 81, FALSE)="",":",VLOOKUP($E$6,[1]QUART!$A$2:$FA$300, 81, FALSE))</f>
        <v>24218</v>
      </c>
      <c r="CE6" s="1453">
        <f>IF(VLOOKUP($E$6,[1]QUART!$A$2:$FA$300, 82, FALSE)="",":",VLOOKUP($E$6,[1]QUART!$A$2:$FA$300, 82, FALSE))</f>
        <v>24284</v>
      </c>
      <c r="CF6" s="1453">
        <f>IF(VLOOKUP($E$6,[1]QUART!$A$2:$FA$300, 83, FALSE)="",":",VLOOKUP($E$6,[1]QUART!$A$2:$FA$300, 83, FALSE))</f>
        <v>24353</v>
      </c>
      <c r="CG6" s="1453">
        <f>IF(VLOOKUP($E$6,[1]QUART!$A$2:$FA$300, 84, FALSE)="",":",VLOOKUP($E$6,[1]QUART!$A$2:$FA$300, 84, FALSE))</f>
        <v>24521</v>
      </c>
      <c r="CH6" s="1453">
        <f>IF(VLOOKUP($E$6,[1]QUART!$A$2:$FA$300, 85, FALSE)="",":",VLOOKUP($E$6,[1]QUART!$A$2:$FA$300, 85, FALSE))</f>
        <v>24589</v>
      </c>
      <c r="CI6" s="1453">
        <f>IF(VLOOKUP($E$6,[1]QUART!$A$2:$FA$300, 86, FALSE)="",":",VLOOKUP($E$6,[1]QUART!$A$2:$FA$300, 86, FALSE))</f>
        <v>24550</v>
      </c>
      <c r="CJ6" s="1453">
        <f>IF(VLOOKUP($E$6,[1]QUART!$A$2:$FA$300, 87, FALSE)="",":",VLOOKUP($E$6,[1]QUART!$A$2:$FA$300, 87, FALSE))</f>
        <v>24584</v>
      </c>
      <c r="CK6" s="1453">
        <f>IF(VLOOKUP($E$6,[1]QUART!$A$2:$FA$300, 88, FALSE)="",":",VLOOKUP($E$6,[1]QUART!$A$2:$FA$300, 88, FALSE))</f>
        <v>24497</v>
      </c>
      <c r="CL6" s="1453">
        <f>IF(VLOOKUP($E$6,[1]QUART!$A$2:$FA$300, 89, FALSE)="",":",VLOOKUP($E$6,[1]QUART!$A$2:$FA$300, 89, FALSE))</f>
        <v>24579</v>
      </c>
      <c r="CM6" s="1453">
        <f>IF(VLOOKUP($E$6,[1]QUART!$A$2:$FA$300, 90, FALSE)="",":",VLOOKUP($E$6,[1]QUART!$A$2:$FA$300, 90, FALSE))</f>
        <v>24645</v>
      </c>
      <c r="CN6" s="1453">
        <f>IF(VLOOKUP($E$6,[1]QUART!$A$2:$FA$300, 91, FALSE)="",":",VLOOKUP($E$6,[1]QUART!$A$2:$FA$300, 91, FALSE))</f>
        <v>24577</v>
      </c>
      <c r="CO6" s="1453">
        <f>IF(VLOOKUP($E$6,[1]QUART!$A$2:$FA$300, 92, FALSE)="",":",VLOOKUP($E$6,[1]QUART!$A$2:$FA$300, 92, FALSE))</f>
        <v>24658</v>
      </c>
      <c r="CP6" s="1453">
        <f>IF(VLOOKUP($E$6,[1]QUART!$A$2:$FA$300, 93, FALSE)="",":",VLOOKUP($E$6,[1]QUART!$A$2:$FA$300, 93, FALSE))</f>
        <v>24845</v>
      </c>
      <c r="CQ6" s="1453">
        <f>IF(VLOOKUP($E$6,[1]QUART!$A$2:$FA$300, 94, FALSE)="",":",VLOOKUP($E$6,[1]QUART!$A$2:$FA$300, 94, FALSE))</f>
        <v>24784</v>
      </c>
      <c r="CR6" s="1453">
        <f>IF(VLOOKUP($E$6,[1]QUART!$A$2:$FA$300, 95, FALSE)="",":",VLOOKUP($E$6,[1]QUART!$A$2:$FA$300, 95, FALSE))</f>
        <v>24865</v>
      </c>
      <c r="CS6" s="1453">
        <f>IF(VLOOKUP($E$6,[1]QUART!$A$2:$FA$300, 96, FALSE)="",":",VLOOKUP($E$6,[1]QUART!$A$2:$FA$300, 96, FALSE))</f>
        <v>24968</v>
      </c>
      <c r="CT6" s="1453">
        <f>IF(VLOOKUP($E$6,[1]QUART!$A$2:$FA$300, 97, FALSE)="",":",VLOOKUP($E$6,[1]QUART!$A$2:$FA$300, 97, FALSE))</f>
        <v>25154</v>
      </c>
      <c r="CU6" s="1453" t="str">
        <f>IF(VLOOKUP($E$6,[1]QUART!$A$2:$FA$300, 98, FALSE)="",":",VLOOKUP($E$6,[1]QUART!$A$2:$FA$300, 98, FALSE))</f>
        <v>:</v>
      </c>
      <c r="CV6" s="1453" t="str">
        <f>IF(VLOOKUP($E$6,[1]QUART!$A$2:$FA$300, 99, FALSE)="",":",VLOOKUP($E$6,[1]QUART!$A$2:$FA$300, 99, FALSE))</f>
        <v>:</v>
      </c>
      <c r="CW6" s="1453" t="str">
        <f>IF(VLOOKUP($E$6,[1]QUART!$A$2:$FA$300, 100, FALSE)="",":",VLOOKUP($E$6,[1]QUART!$A$2:$FA$300, 100, FALSE))</f>
        <v>:</v>
      </c>
      <c r="CX6" s="1453" t="str">
        <f>IF(VLOOKUP($E$6,[1]QUART!$A$2:$FA$300, 101, FALSE)="",":",VLOOKUP($E$6,[1]QUART!$A$2:$FA$300, 101, FALSE))</f>
        <v>:</v>
      </c>
      <c r="CY6" s="1453" t="str">
        <f>IF(VLOOKUP($E$6,[1]QUART!$A$2:$FA$300, 102, FALSE)="",":",VLOOKUP($E$6,[1]QUART!$A$2:$FA$300, 102, FALSE))</f>
        <v>:</v>
      </c>
      <c r="CZ6" s="1453" t="str">
        <f>IF(VLOOKUP($E$6,[1]QUART!$A$2:$FA$300, 103, FALSE)="",":",VLOOKUP($E$6,[1]QUART!$A$2:$FA$300, 103, FALSE))</f>
        <v>:</v>
      </c>
      <c r="DA6" s="1453" t="str">
        <f>IF(VLOOKUP($E$6,[1]QUART!$A$2:$FA$300, 104, FALSE)="",":",VLOOKUP($E$6,[1]QUART!$A$2:$FA$300, 104, FALSE))</f>
        <v>:</v>
      </c>
      <c r="DB6" s="1453" t="str">
        <f>IF(VLOOKUP($E$6,[1]QUART!$A$2:$FA$300, 105, FALSE)="",":",VLOOKUP($E$6,[1]QUART!$A$2:$FA$300, 105, FALSE))</f>
        <v>:</v>
      </c>
      <c r="DC6" s="1453" t="str">
        <f>IF(VLOOKUP($E$6,[1]QUART!$A$2:$FA$300, 106, FALSE)="",":",VLOOKUP($E$6,[1]QUART!$A$2:$FA$300, 106, FALSE))</f>
        <v>:</v>
      </c>
    </row>
    <row r="7" spans="1:110">
      <c r="A7" s="1449">
        <v>17</v>
      </c>
      <c r="B7" s="546" t="s">
        <v>2048</v>
      </c>
      <c r="C7" s="1288" t="s">
        <v>1896</v>
      </c>
      <c r="D7" s="1450" t="s">
        <v>363</v>
      </c>
      <c r="E7" s="1451">
        <v>67</v>
      </c>
      <c r="F7" s="1452" t="str">
        <f>VLOOKUP($E$7,[1]QUART!$A$2:$FA$300, 3, FALSE)</f>
        <v xml:space="preserve">67  Gross fixed capital formation                                                   </v>
      </c>
      <c r="G7" s="1453">
        <f>IF(VLOOKUP($E$7,[1]QUART!$A$2:$FA$300, 6, FALSE)="",":",VLOOKUP($E$7,[1]QUART!$A$2:$FA$300, 6, FALSE))</f>
        <v>15221</v>
      </c>
      <c r="H7" s="1453">
        <f>IF(VLOOKUP($E$7,[1]QUART!$A$2:$FA$300, 7, FALSE)="",":",VLOOKUP($E$7,[1]QUART!$A$2:$FA$300, 7, FALSE))</f>
        <v>15483</v>
      </c>
      <c r="I7" s="1453">
        <f>IF(VLOOKUP($E$7,[1]QUART!$A$2:$FA$300, 8, FALSE)="",":",VLOOKUP($E$7,[1]QUART!$A$2:$FA$300, 8, FALSE))</f>
        <v>15666</v>
      </c>
      <c r="J7" s="1453">
        <f>IF(VLOOKUP($E$7,[1]QUART!$A$2:$FA$300, 9, FALSE)="",":",VLOOKUP($E$7,[1]QUART!$A$2:$FA$300, 9, FALSE))</f>
        <v>15675</v>
      </c>
      <c r="K7" s="1453">
        <f>IF(VLOOKUP($E$7,[1]QUART!$A$2:$FA$300, 10, FALSE)="",":",VLOOKUP($E$7,[1]QUART!$A$2:$FA$300, 10, FALSE))</f>
        <v>15427</v>
      </c>
      <c r="L7" s="1453">
        <f>IF(VLOOKUP($E$7,[1]QUART!$A$2:$FA$300, 11, FALSE)="",":",VLOOKUP($E$7,[1]QUART!$A$2:$FA$300, 11, FALSE))</f>
        <v>15468</v>
      </c>
      <c r="M7" s="1453">
        <f>IF(VLOOKUP($E$7,[1]QUART!$A$2:$FA$300, 12, FALSE)="",":",VLOOKUP($E$7,[1]QUART!$A$2:$FA$300, 12, FALSE))</f>
        <v>15669</v>
      </c>
      <c r="N7" s="1453">
        <f>IF(VLOOKUP($E$7,[1]QUART!$A$2:$FA$300, 13, FALSE)="",":",VLOOKUP($E$7,[1]QUART!$A$2:$FA$300, 13, FALSE))</f>
        <v>16004</v>
      </c>
      <c r="O7" s="1453">
        <f>IF(VLOOKUP($E$7,[1]QUART!$A$2:$FA$300, 14, FALSE)="",":",VLOOKUP($E$7,[1]QUART!$A$2:$FA$300, 14, FALSE))</f>
        <v>16328</v>
      </c>
      <c r="P7" s="1453">
        <f>IF(VLOOKUP($E$7,[1]QUART!$A$2:$FA$300, 15, FALSE)="",":",VLOOKUP($E$7,[1]QUART!$A$2:$FA$300, 15, FALSE))</f>
        <v>16714</v>
      </c>
      <c r="Q7" s="1453">
        <f>IF(VLOOKUP($E$7,[1]QUART!$A$2:$FA$300, 16, FALSE)="",":",VLOOKUP($E$7,[1]QUART!$A$2:$FA$300, 16, FALSE))</f>
        <v>16649</v>
      </c>
      <c r="R7" s="1453">
        <f>IF(VLOOKUP($E$7,[1]QUART!$A$2:$FA$300, 17, FALSE)="",":",VLOOKUP($E$7,[1]QUART!$A$2:$FA$300, 17, FALSE))</f>
        <v>17034</v>
      </c>
      <c r="S7" s="1453">
        <f>IF(VLOOKUP($E$7,[1]QUART!$A$2:$FA$300, 18, FALSE)="",":",VLOOKUP($E$7,[1]QUART!$A$2:$FA$300, 18, FALSE))</f>
        <v>16823</v>
      </c>
      <c r="T7" s="1453">
        <f>IF(VLOOKUP($E$7,[1]QUART!$A$2:$FA$300, 19, FALSE)="",":",VLOOKUP($E$7,[1]QUART!$A$2:$FA$300, 19, FALSE))</f>
        <v>16867</v>
      </c>
      <c r="U7" s="1453">
        <f>IF(VLOOKUP($E$7,[1]QUART!$A$2:$FA$300, 20, FALSE)="",":",VLOOKUP($E$7,[1]QUART!$A$2:$FA$300, 20, FALSE))</f>
        <v>17198</v>
      </c>
      <c r="V7" s="1453">
        <f>IF(VLOOKUP($E$7,[1]QUART!$A$2:$FA$300, 21, FALSE)="",":",VLOOKUP($E$7,[1]QUART!$A$2:$FA$300, 21, FALSE))</f>
        <v>17475</v>
      </c>
      <c r="W7" s="1453">
        <f>IF(VLOOKUP($E$7,[1]QUART!$A$2:$FA$300, 22, FALSE)="",":",VLOOKUP($E$7,[1]QUART!$A$2:$FA$300, 22, FALSE))</f>
        <v>17530</v>
      </c>
      <c r="X7" s="1453">
        <f>IF(VLOOKUP($E$7,[1]QUART!$A$2:$FA$300, 23, FALSE)="",":",VLOOKUP($E$7,[1]QUART!$A$2:$FA$300, 23, FALSE))</f>
        <v>17794</v>
      </c>
      <c r="Y7" s="1453">
        <f>IF(VLOOKUP($E$7,[1]QUART!$A$2:$FA$300, 24, FALSE)="",":",VLOOKUP($E$7,[1]QUART!$A$2:$FA$300, 24, FALSE))</f>
        <v>17876</v>
      </c>
      <c r="Z7" s="1453">
        <f>IF(VLOOKUP($E$7,[1]QUART!$A$2:$FA$300, 25, FALSE)="",":",VLOOKUP($E$7,[1]QUART!$A$2:$FA$300, 25, FALSE))</f>
        <v>17742</v>
      </c>
      <c r="AA7" s="1453">
        <f>IF(VLOOKUP($E$7,[1]QUART!$A$2:$FA$300, 26, FALSE)="",":",VLOOKUP($E$7,[1]QUART!$A$2:$FA$300, 26, FALSE))</f>
        <v>18252</v>
      </c>
      <c r="AB7" s="1453">
        <f>IF(VLOOKUP($E$7,[1]QUART!$A$2:$FA$300, 27, FALSE)="",":",VLOOKUP($E$7,[1]QUART!$A$2:$FA$300, 27, FALSE))</f>
        <v>18413</v>
      </c>
      <c r="AC7" s="1453">
        <f>IF(VLOOKUP($E$7,[1]QUART!$A$2:$FA$300, 28, FALSE)="",":",VLOOKUP($E$7,[1]QUART!$A$2:$FA$300, 28, FALSE))</f>
        <v>18625</v>
      </c>
      <c r="AD7" s="1453">
        <f>IF(VLOOKUP($E$7,[1]QUART!$A$2:$FA$300, 29, FALSE)="",":",VLOOKUP($E$7,[1]QUART!$A$2:$FA$300, 29, FALSE))</f>
        <v>18748</v>
      </c>
      <c r="AE7" s="1453">
        <f>IF(VLOOKUP($E$7,[1]QUART!$A$2:$FA$300, 30, FALSE)="",":",VLOOKUP($E$7,[1]QUART!$A$2:$FA$300, 30, FALSE))</f>
        <v>19075</v>
      </c>
      <c r="AF7" s="1453">
        <f>IF(VLOOKUP($E$7,[1]QUART!$A$2:$FA$300, 31, FALSE)="",":",VLOOKUP($E$7,[1]QUART!$A$2:$FA$300, 31, FALSE))</f>
        <v>18855</v>
      </c>
      <c r="AG7" s="1453">
        <f>IF(VLOOKUP($E$7,[1]QUART!$A$2:$FA$300, 32, FALSE)="",":",VLOOKUP($E$7,[1]QUART!$A$2:$FA$300, 32, FALSE))</f>
        <v>19062</v>
      </c>
      <c r="AH7" s="1453">
        <f>IF(VLOOKUP($E$7,[1]QUART!$A$2:$FA$300, 33, FALSE)="",":",VLOOKUP($E$7,[1]QUART!$A$2:$FA$300, 33, FALSE))</f>
        <v>18253</v>
      </c>
      <c r="AI7" s="1453">
        <f>IF(VLOOKUP($E$7,[1]QUART!$A$2:$FA$300, 34, FALSE)="",":",VLOOKUP($E$7,[1]QUART!$A$2:$FA$300, 34, FALSE))</f>
        <v>18250</v>
      </c>
      <c r="AJ7" s="1453">
        <f>IF(VLOOKUP($E$7,[1]QUART!$A$2:$FA$300, 35, FALSE)="",":",VLOOKUP($E$7,[1]QUART!$A$2:$FA$300, 35, FALSE))</f>
        <v>17985</v>
      </c>
      <c r="AK7" s="1453">
        <f>IF(VLOOKUP($E$7,[1]QUART!$A$2:$FA$300, 36, FALSE)="",":",VLOOKUP($E$7,[1]QUART!$A$2:$FA$300, 36, FALSE))</f>
        <v>17711</v>
      </c>
      <c r="AL7" s="1453">
        <f>IF(VLOOKUP($E$7,[1]QUART!$A$2:$FA$300, 37, FALSE)="",":",VLOOKUP($E$7,[1]QUART!$A$2:$FA$300, 37, FALSE))</f>
        <v>18053</v>
      </c>
      <c r="AM7" s="1453">
        <f>IF(VLOOKUP($E$7,[1]QUART!$A$2:$FA$300, 38, FALSE)="",":",VLOOKUP($E$7,[1]QUART!$A$2:$FA$300, 38, FALSE))</f>
        <v>17967</v>
      </c>
      <c r="AN7" s="1453">
        <f>IF(VLOOKUP($E$7,[1]QUART!$A$2:$FA$300, 39, FALSE)="",":",VLOOKUP($E$7,[1]QUART!$A$2:$FA$300, 39, FALSE))</f>
        <v>18005</v>
      </c>
      <c r="AO7" s="1453">
        <f>IF(VLOOKUP($E$7,[1]QUART!$A$2:$FA$300, 40, FALSE)="",":",VLOOKUP($E$7,[1]QUART!$A$2:$FA$300, 40, FALSE))</f>
        <v>17995</v>
      </c>
      <c r="AP7" s="1453">
        <f>IF(VLOOKUP($E$7,[1]QUART!$A$2:$FA$300, 41, FALSE)="",":",VLOOKUP($E$7,[1]QUART!$A$2:$FA$300, 41, FALSE))</f>
        <v>17742</v>
      </c>
      <c r="AQ7" s="1453">
        <f>IF(VLOOKUP($E$7,[1]QUART!$A$2:$FA$300, 42, FALSE)="",":",VLOOKUP($E$7,[1]QUART!$A$2:$FA$300, 42, FALSE))</f>
        <v>18896</v>
      </c>
      <c r="AR7" s="1453">
        <f>IF(VLOOKUP($E$7,[1]QUART!$A$2:$FA$300, 43, FALSE)="",":",VLOOKUP($E$7,[1]QUART!$A$2:$FA$300, 43, FALSE))</f>
        <v>19471</v>
      </c>
      <c r="AS7" s="1453">
        <f>IF(VLOOKUP($E$7,[1]QUART!$A$2:$FA$300, 44, FALSE)="",":",VLOOKUP($E$7,[1]QUART!$A$2:$FA$300, 44, FALSE))</f>
        <v>20062</v>
      </c>
      <c r="AT7" s="1453">
        <f>IF(VLOOKUP($E$7,[1]QUART!$A$2:$FA$300, 45, FALSE)="",":",VLOOKUP($E$7,[1]QUART!$A$2:$FA$300, 45, FALSE))</f>
        <v>19649</v>
      </c>
      <c r="AU7" s="1453">
        <f>IF(VLOOKUP($E$7,[1]QUART!$A$2:$FA$300, 46, FALSE)="",":",VLOOKUP($E$7,[1]QUART!$A$2:$FA$300, 46, FALSE))</f>
        <v>20414</v>
      </c>
      <c r="AV7" s="1453">
        <f>IF(VLOOKUP($E$7,[1]QUART!$A$2:$FA$300, 47, FALSE)="",":",VLOOKUP($E$7,[1]QUART!$A$2:$FA$300, 47, FALSE))</f>
        <v>21216</v>
      </c>
      <c r="AW7" s="1453">
        <f>IF(VLOOKUP($E$7,[1]QUART!$A$2:$FA$300, 48, FALSE)="",":",VLOOKUP($E$7,[1]QUART!$A$2:$FA$300, 48, FALSE))</f>
        <v>20759</v>
      </c>
      <c r="AX7" s="1453">
        <f>IF(VLOOKUP($E$7,[1]QUART!$A$2:$FA$300, 49, FALSE)="",":",VLOOKUP($E$7,[1]QUART!$A$2:$FA$300, 49, FALSE))</f>
        <v>20429</v>
      </c>
      <c r="AY7" s="1453">
        <f>IF(VLOOKUP($E$7,[1]QUART!$A$2:$FA$300, 50, FALSE)="",":",VLOOKUP($E$7,[1]QUART!$A$2:$FA$300, 50, FALSE))</f>
        <v>20989</v>
      </c>
      <c r="AZ7" s="1453">
        <f>IF(VLOOKUP($E$7,[1]QUART!$A$2:$FA$300, 51, FALSE)="",":",VLOOKUP($E$7,[1]QUART!$A$2:$FA$300, 51, FALSE))</f>
        <v>20901</v>
      </c>
      <c r="BA7" s="1453">
        <f>IF(VLOOKUP($E$7,[1]QUART!$A$2:$FA$300, 52, FALSE)="",":",VLOOKUP($E$7,[1]QUART!$A$2:$FA$300, 52, FALSE))</f>
        <v>21259</v>
      </c>
      <c r="BB7" s="1453">
        <f>IF(VLOOKUP($E$7,[1]QUART!$A$2:$FA$300, 53, FALSE)="",":",VLOOKUP($E$7,[1]QUART!$A$2:$FA$300, 53, FALSE))</f>
        <v>21290</v>
      </c>
      <c r="BC7" s="1453">
        <f>IF(VLOOKUP($E$7,[1]QUART!$A$2:$FA$300, 54, FALSE)="",":",VLOOKUP($E$7,[1]QUART!$A$2:$FA$300, 54, FALSE))</f>
        <v>21988</v>
      </c>
      <c r="BD7" s="1453">
        <f>IF(VLOOKUP($E$7,[1]QUART!$A$2:$FA$300, 55, FALSE)="",":",VLOOKUP($E$7,[1]QUART!$A$2:$FA$300, 55, FALSE))</f>
        <v>22304</v>
      </c>
      <c r="BE7" s="1453">
        <f>IF(VLOOKUP($E$7,[1]QUART!$A$2:$FA$300, 56, FALSE)="",":",VLOOKUP($E$7,[1]QUART!$A$2:$FA$300, 56, FALSE))</f>
        <v>22735</v>
      </c>
      <c r="BF7" s="1453">
        <f>IF(VLOOKUP($E$7,[1]QUART!$A$2:$FA$300, 57, FALSE)="",":",VLOOKUP($E$7,[1]QUART!$A$2:$FA$300, 57, FALSE))</f>
        <v>23116</v>
      </c>
      <c r="BG7" s="1453">
        <f>IF(VLOOKUP($E$7,[1]QUART!$A$2:$FA$300, 58, FALSE)="",":",VLOOKUP($E$7,[1]QUART!$A$2:$FA$300, 58, FALSE))</f>
        <v>23282</v>
      </c>
      <c r="BH7" s="1453">
        <f>IF(VLOOKUP($E$7,[1]QUART!$A$2:$FA$300, 59, FALSE)="",":",VLOOKUP($E$7,[1]QUART!$A$2:$FA$300, 59, FALSE))</f>
        <v>23305</v>
      </c>
      <c r="BI7" s="1453">
        <f>IF(VLOOKUP($E$7,[1]QUART!$A$2:$FA$300, 60, FALSE)="",":",VLOOKUP($E$7,[1]QUART!$A$2:$FA$300, 60, FALSE))</f>
        <v>22815</v>
      </c>
      <c r="BJ7" s="1453">
        <f>IF(VLOOKUP($E$7,[1]QUART!$A$2:$FA$300, 61, FALSE)="",":",VLOOKUP($E$7,[1]QUART!$A$2:$FA$300, 61, FALSE))</f>
        <v>22447</v>
      </c>
      <c r="BK7" s="1453">
        <f>IF(VLOOKUP($E$7,[1]QUART!$A$2:$FA$300, 62, FALSE)="",":",VLOOKUP($E$7,[1]QUART!$A$2:$FA$300, 62, FALSE))</f>
        <v>21760</v>
      </c>
      <c r="BL7" s="1453">
        <f>IF(VLOOKUP($E$7,[1]QUART!$A$2:$FA$300, 63, FALSE)="",":",VLOOKUP($E$7,[1]QUART!$A$2:$FA$300, 63, FALSE))</f>
        <v>21542</v>
      </c>
      <c r="BM7" s="1453">
        <f>IF(VLOOKUP($E$7,[1]QUART!$A$2:$FA$300, 64, FALSE)="",":",VLOOKUP($E$7,[1]QUART!$A$2:$FA$300, 64, FALSE))</f>
        <v>21105</v>
      </c>
      <c r="BN7" s="1453">
        <f>IF(VLOOKUP($E$7,[1]QUART!$A$2:$FA$300, 65, FALSE)="",":",VLOOKUP($E$7,[1]QUART!$A$2:$FA$300, 65, FALSE))</f>
        <v>21353</v>
      </c>
      <c r="BO7" s="1453">
        <f>IF(VLOOKUP($E$7,[1]QUART!$A$2:$FA$300, 66, FALSE)="",":",VLOOKUP($E$7,[1]QUART!$A$2:$FA$300, 66, FALSE))</f>
        <v>21002</v>
      </c>
      <c r="BP7" s="1453">
        <f>IF(VLOOKUP($E$7,[1]QUART!$A$2:$FA$300, 67, FALSE)="",":",VLOOKUP($E$7,[1]QUART!$A$2:$FA$300, 67, FALSE))</f>
        <v>21040</v>
      </c>
      <c r="BQ7" s="1453">
        <f>IF(VLOOKUP($E$7,[1]QUART!$A$2:$FA$300, 68, FALSE)="",":",VLOOKUP($E$7,[1]QUART!$A$2:$FA$300, 68, FALSE))</f>
        <v>21416</v>
      </c>
      <c r="BR7" s="1453">
        <f>IF(VLOOKUP($E$7,[1]QUART!$A$2:$FA$300, 69, FALSE)="",":",VLOOKUP($E$7,[1]QUART!$A$2:$FA$300, 69, FALSE))</f>
        <v>21589</v>
      </c>
      <c r="BS7" s="1453">
        <f>IF(VLOOKUP($E$7,[1]QUART!$A$2:$FA$300, 70, FALSE)="",":",VLOOKUP($E$7,[1]QUART!$A$2:$FA$300, 70, FALSE))</f>
        <v>21791</v>
      </c>
      <c r="BT7" s="1453">
        <f>IF(VLOOKUP($E$7,[1]QUART!$A$2:$FA$300, 71, FALSE)="",":",VLOOKUP($E$7,[1]QUART!$A$2:$FA$300, 71, FALSE))</f>
        <v>22209</v>
      </c>
      <c r="BU7" s="1453">
        <f>IF(VLOOKUP($E$7,[1]QUART!$A$2:$FA$300, 72, FALSE)="",":",VLOOKUP($E$7,[1]QUART!$A$2:$FA$300, 72, FALSE))</f>
        <v>22164</v>
      </c>
      <c r="BV7" s="1453">
        <f>IF(VLOOKUP($E$7,[1]QUART!$A$2:$FA$300, 73, FALSE)="",":",VLOOKUP($E$7,[1]QUART!$A$2:$FA$300, 73, FALSE))</f>
        <v>22472</v>
      </c>
      <c r="BW7" s="1453">
        <f>IF(VLOOKUP($E$7,[1]QUART!$A$2:$FA$300, 74, FALSE)="",":",VLOOKUP($E$7,[1]QUART!$A$2:$FA$300, 74, FALSE))</f>
        <v>22290</v>
      </c>
      <c r="BX7" s="1453">
        <f>IF(VLOOKUP($E$7,[1]QUART!$A$2:$FA$300, 75, FALSE)="",":",VLOOKUP($E$7,[1]QUART!$A$2:$FA$300, 75, FALSE))</f>
        <v>22344</v>
      </c>
      <c r="BY7" s="1453">
        <f>IF(VLOOKUP($E$7,[1]QUART!$A$2:$FA$300, 76, FALSE)="",":",VLOOKUP($E$7,[1]QUART!$A$2:$FA$300, 76, FALSE))</f>
        <v>22279</v>
      </c>
      <c r="BZ7" s="1453">
        <f>IF(VLOOKUP($E$7,[1]QUART!$A$2:$FA$300, 77, FALSE)="",":",VLOOKUP($E$7,[1]QUART!$A$2:$FA$300, 77, FALSE))</f>
        <v>21898</v>
      </c>
      <c r="CA7" s="1453">
        <f>IF(VLOOKUP($E$7,[1]QUART!$A$2:$FA$300, 78, FALSE)="",":",VLOOKUP($E$7,[1]QUART!$A$2:$FA$300, 78, FALSE))</f>
        <v>21738</v>
      </c>
      <c r="CB7" s="1453">
        <f>IF(VLOOKUP($E$7,[1]QUART!$A$2:$FA$300, 79, FALSE)="",":",VLOOKUP($E$7,[1]QUART!$A$2:$FA$300, 79, FALSE))</f>
        <v>21874</v>
      </c>
      <c r="CC7" s="1453">
        <f>IF(VLOOKUP($E$7,[1]QUART!$A$2:$FA$300, 80, FALSE)="",":",VLOOKUP($E$7,[1]QUART!$A$2:$FA$300, 80, FALSE))</f>
        <v>21930</v>
      </c>
      <c r="CD7" s="1453">
        <f>IF(VLOOKUP($E$7,[1]QUART!$A$2:$FA$300, 81, FALSE)="",":",VLOOKUP($E$7,[1]QUART!$A$2:$FA$300, 81, FALSE))</f>
        <v>21946</v>
      </c>
      <c r="CE7" s="1453">
        <f>IF(VLOOKUP($E$7,[1]QUART!$A$2:$FA$300, 82, FALSE)="",":",VLOOKUP($E$7,[1]QUART!$A$2:$FA$300, 82, FALSE))</f>
        <v>22344</v>
      </c>
      <c r="CF7" s="1453">
        <f>IF(VLOOKUP($E$7,[1]QUART!$A$2:$FA$300, 83, FALSE)="",":",VLOOKUP($E$7,[1]QUART!$A$2:$FA$300, 83, FALSE))</f>
        <v>22721</v>
      </c>
      <c r="CG7" s="1453">
        <f>IF(VLOOKUP($E$7,[1]QUART!$A$2:$FA$300, 84, FALSE)="",":",VLOOKUP($E$7,[1]QUART!$A$2:$FA$300, 84, FALSE))</f>
        <v>24419</v>
      </c>
      <c r="CH7" s="1453">
        <f>IF(VLOOKUP($E$7,[1]QUART!$A$2:$FA$300, 85, FALSE)="",":",VLOOKUP($E$7,[1]QUART!$A$2:$FA$300, 85, FALSE))</f>
        <v>23221</v>
      </c>
      <c r="CI7" s="1453">
        <f>IF(VLOOKUP($E$7,[1]QUART!$A$2:$FA$300, 86, FALSE)="",":",VLOOKUP($E$7,[1]QUART!$A$2:$FA$300, 86, FALSE))</f>
        <v>25458</v>
      </c>
      <c r="CJ7" s="1453">
        <f>IF(VLOOKUP($E$7,[1]QUART!$A$2:$FA$300, 87, FALSE)="",":",VLOOKUP($E$7,[1]QUART!$A$2:$FA$300, 87, FALSE))</f>
        <v>22766</v>
      </c>
      <c r="CK7" s="1453">
        <f>IF(VLOOKUP($E$7,[1]QUART!$A$2:$FA$300, 88, FALSE)="",":",VLOOKUP($E$7,[1]QUART!$A$2:$FA$300, 88, FALSE))</f>
        <v>23374</v>
      </c>
      <c r="CL7" s="1453">
        <f>IF(VLOOKUP($E$7,[1]QUART!$A$2:$FA$300, 89, FALSE)="",":",VLOOKUP($E$7,[1]QUART!$A$2:$FA$300, 89, FALSE))</f>
        <v>23588</v>
      </c>
      <c r="CM7" s="1453">
        <f>IF(VLOOKUP($E$7,[1]QUART!$A$2:$FA$300, 90, FALSE)="",":",VLOOKUP($E$7,[1]QUART!$A$2:$FA$300, 90, FALSE))</f>
        <v>23951</v>
      </c>
      <c r="CN7" s="1453">
        <f>IF(VLOOKUP($E$7,[1]QUART!$A$2:$FA$300, 91, FALSE)="",":",VLOOKUP($E$7,[1]QUART!$A$2:$FA$300, 91, FALSE))</f>
        <v>24121</v>
      </c>
      <c r="CO7" s="1453">
        <f>IF(VLOOKUP($E$7,[1]QUART!$A$2:$FA$300, 92, FALSE)="",":",VLOOKUP($E$7,[1]QUART!$A$2:$FA$300, 92, FALSE))</f>
        <v>25999</v>
      </c>
      <c r="CP7" s="1453">
        <f>IF(VLOOKUP($E$7,[1]QUART!$A$2:$FA$300, 93, FALSE)="",":",VLOOKUP($E$7,[1]QUART!$A$2:$FA$300, 93, FALSE))</f>
        <v>24544</v>
      </c>
      <c r="CQ7" s="1453">
        <f>IF(VLOOKUP($E$7,[1]QUART!$A$2:$FA$300, 94, FALSE)="",":",VLOOKUP($E$7,[1]QUART!$A$2:$FA$300, 94, FALSE))</f>
        <v>24593</v>
      </c>
      <c r="CR7" s="1453">
        <f>IF(VLOOKUP($E$7,[1]QUART!$A$2:$FA$300, 95, FALSE)="",":",VLOOKUP($E$7,[1]QUART!$A$2:$FA$300, 95, FALSE))</f>
        <v>24808</v>
      </c>
      <c r="CS7" s="1453">
        <f>IF(VLOOKUP($E$7,[1]QUART!$A$2:$FA$300, 96, FALSE)="",":",VLOOKUP($E$7,[1]QUART!$A$2:$FA$300, 96, FALSE))</f>
        <v>25094</v>
      </c>
      <c r="CT7" s="1453">
        <f>IF(VLOOKUP($E$7,[1]QUART!$A$2:$FA$300, 97, FALSE)="",":",VLOOKUP($E$7,[1]QUART!$A$2:$FA$300, 97, FALSE))</f>
        <v>25096</v>
      </c>
      <c r="CU7" s="1453" t="str">
        <f>IF(VLOOKUP($E$7,[1]QUART!$A$2:$FA$300, 98, FALSE)="",":",VLOOKUP($E$7,[1]QUART!$A$2:$FA$300, 98, FALSE))</f>
        <v>:</v>
      </c>
      <c r="CV7" s="1453" t="str">
        <f>IF(VLOOKUP($E$7,[1]QUART!$A$2:$FA$300, 99, FALSE)="",":",VLOOKUP($E$7,[1]QUART!$A$2:$FA$300, 99, FALSE))</f>
        <v>:</v>
      </c>
      <c r="CW7" s="1453" t="str">
        <f>IF(VLOOKUP($E$7,[1]QUART!$A$2:$FA$300, 100, FALSE)="",":",VLOOKUP($E$7,[1]QUART!$A$2:$FA$300, 100, FALSE))</f>
        <v>:</v>
      </c>
      <c r="CX7" s="1453" t="str">
        <f>IF(VLOOKUP($E$7,[1]QUART!$A$2:$FA$300, 101, FALSE)="",":",VLOOKUP($E$7,[1]QUART!$A$2:$FA$300, 101, FALSE))</f>
        <v>:</v>
      </c>
      <c r="CY7" s="1453" t="str">
        <f>IF(VLOOKUP($E$7,[1]QUART!$A$2:$FA$300, 102, FALSE)="",":",VLOOKUP($E$7,[1]QUART!$A$2:$FA$300, 102, FALSE))</f>
        <v>:</v>
      </c>
      <c r="CZ7" s="1453" t="str">
        <f>IF(VLOOKUP($E$7,[1]QUART!$A$2:$FA$300, 103, FALSE)="",":",VLOOKUP($E$7,[1]QUART!$A$2:$FA$300, 103, FALSE))</f>
        <v>:</v>
      </c>
      <c r="DA7" s="1453" t="str">
        <f>IF(VLOOKUP($E$7,[1]QUART!$A$2:$FA$300, 104, FALSE)="",":",VLOOKUP($E$7,[1]QUART!$A$2:$FA$300, 104, FALSE))</f>
        <v>:</v>
      </c>
      <c r="DB7" s="1453" t="str">
        <f>IF(VLOOKUP($E$7,[1]QUART!$A$2:$FA$300, 105, FALSE)="",":",VLOOKUP($E$7,[1]QUART!$A$2:$FA$300, 105, FALSE))</f>
        <v>:</v>
      </c>
      <c r="DC7" s="1453" t="str">
        <f>IF(VLOOKUP($E$7,[1]QUART!$A$2:$FA$300, 106, FALSE)="",":",VLOOKUP($E$7,[1]QUART!$A$2:$FA$300, 106, FALSE))</f>
        <v>:</v>
      </c>
    </row>
    <row r="8" spans="1:110">
      <c r="A8" s="1449">
        <v>18</v>
      </c>
      <c r="B8" s="546" t="s">
        <v>1749</v>
      </c>
      <c r="C8" s="547" t="s">
        <v>1085</v>
      </c>
      <c r="D8" s="1450" t="s">
        <v>363</v>
      </c>
      <c r="E8" s="1451">
        <v>68</v>
      </c>
      <c r="F8" s="1452" t="str">
        <f>VLOOKUP($E$8,[1]QUART!$A$2:$FA$300, 3, FALSE)</f>
        <v xml:space="preserve">68  Changes in inventories and net acquisition of valuables                         </v>
      </c>
      <c r="G8" s="1453">
        <f>IF(VLOOKUP($E$8,[1]QUART!$A$2:$FA$300, 6, FALSE)="",":",VLOOKUP($E$8,[1]QUART!$A$2:$FA$300, 6, FALSE))</f>
        <v>0</v>
      </c>
      <c r="H8" s="1453">
        <f>IF(VLOOKUP($E$8,[1]QUART!$A$2:$FA$300, 7, FALSE)="",":",VLOOKUP($E$8,[1]QUART!$A$2:$FA$300, 7, FALSE))</f>
        <v>0</v>
      </c>
      <c r="I8" s="1453">
        <f>IF(VLOOKUP($E$8,[1]QUART!$A$2:$FA$300, 8, FALSE)="",":",VLOOKUP($E$8,[1]QUART!$A$2:$FA$300, 8, FALSE))</f>
        <v>0</v>
      </c>
      <c r="J8" s="1453">
        <f>IF(VLOOKUP($E$8,[1]QUART!$A$2:$FA$300, 9, FALSE)="",":",VLOOKUP($E$8,[1]QUART!$A$2:$FA$300, 9, FALSE))</f>
        <v>0</v>
      </c>
      <c r="K8" s="1453">
        <f>IF(VLOOKUP($E$8,[1]QUART!$A$2:$FA$300, 10, FALSE)="",":",VLOOKUP($E$8,[1]QUART!$A$2:$FA$300, 10, FALSE))</f>
        <v>0</v>
      </c>
      <c r="L8" s="1453">
        <f>IF(VLOOKUP($E$8,[1]QUART!$A$2:$FA$300, 11, FALSE)="",":",VLOOKUP($E$8,[1]QUART!$A$2:$FA$300, 11, FALSE))</f>
        <v>0</v>
      </c>
      <c r="M8" s="1453">
        <f>IF(VLOOKUP($E$8,[1]QUART!$A$2:$FA$300, 12, FALSE)="",":",VLOOKUP($E$8,[1]QUART!$A$2:$FA$300, 12, FALSE))</f>
        <v>0</v>
      </c>
      <c r="N8" s="1453">
        <f>IF(VLOOKUP($E$8,[1]QUART!$A$2:$FA$300, 13, FALSE)="",":",VLOOKUP($E$8,[1]QUART!$A$2:$FA$300, 13, FALSE))</f>
        <v>0</v>
      </c>
      <c r="O8" s="1453">
        <f>IF(VLOOKUP($E$8,[1]QUART!$A$2:$FA$300, 14, FALSE)="",":",VLOOKUP($E$8,[1]QUART!$A$2:$FA$300, 14, FALSE))</f>
        <v>0</v>
      </c>
      <c r="P8" s="1453">
        <f>IF(VLOOKUP($E$8,[1]QUART!$A$2:$FA$300, 15, FALSE)="",":",VLOOKUP($E$8,[1]QUART!$A$2:$FA$300, 15, FALSE))</f>
        <v>0</v>
      </c>
      <c r="Q8" s="1453">
        <f>IF(VLOOKUP($E$8,[1]QUART!$A$2:$FA$300, 16, FALSE)="",":",VLOOKUP($E$8,[1]QUART!$A$2:$FA$300, 16, FALSE))</f>
        <v>0</v>
      </c>
      <c r="R8" s="1453">
        <f>IF(VLOOKUP($E$8,[1]QUART!$A$2:$FA$300, 17, FALSE)="",":",VLOOKUP($E$8,[1]QUART!$A$2:$FA$300, 17, FALSE))</f>
        <v>0</v>
      </c>
      <c r="S8" s="1453">
        <f>IF(VLOOKUP($E$8,[1]QUART!$A$2:$FA$300, 18, FALSE)="",":",VLOOKUP($E$8,[1]QUART!$A$2:$FA$300, 18, FALSE))</f>
        <v>0</v>
      </c>
      <c r="T8" s="1453">
        <f>IF(VLOOKUP($E$8,[1]QUART!$A$2:$FA$300, 19, FALSE)="",":",VLOOKUP($E$8,[1]QUART!$A$2:$FA$300, 19, FALSE))</f>
        <v>0</v>
      </c>
      <c r="U8" s="1453">
        <f>IF(VLOOKUP($E$8,[1]QUART!$A$2:$FA$300, 20, FALSE)="",":",VLOOKUP($E$8,[1]QUART!$A$2:$FA$300, 20, FALSE))</f>
        <v>0</v>
      </c>
      <c r="V8" s="1453">
        <f>IF(VLOOKUP($E$8,[1]QUART!$A$2:$FA$300, 21, FALSE)="",":",VLOOKUP($E$8,[1]QUART!$A$2:$FA$300, 21, FALSE))</f>
        <v>0</v>
      </c>
      <c r="W8" s="1453">
        <f>IF(VLOOKUP($E$8,[1]QUART!$A$2:$FA$300, 22, FALSE)="",":",VLOOKUP($E$8,[1]QUART!$A$2:$FA$300, 22, FALSE))</f>
        <v>0</v>
      </c>
      <c r="X8" s="1453">
        <f>IF(VLOOKUP($E$8,[1]QUART!$A$2:$FA$300, 23, FALSE)="",":",VLOOKUP($E$8,[1]QUART!$A$2:$FA$300, 23, FALSE))</f>
        <v>0</v>
      </c>
      <c r="Y8" s="1453">
        <f>IF(VLOOKUP($E$8,[1]QUART!$A$2:$FA$300, 24, FALSE)="",":",VLOOKUP($E$8,[1]QUART!$A$2:$FA$300, 24, FALSE))</f>
        <v>0</v>
      </c>
      <c r="Z8" s="1453">
        <f>IF(VLOOKUP($E$8,[1]QUART!$A$2:$FA$300, 25, FALSE)="",":",VLOOKUP($E$8,[1]QUART!$A$2:$FA$300, 25, FALSE))</f>
        <v>0</v>
      </c>
      <c r="AA8" s="1453">
        <f>IF(VLOOKUP($E$8,[1]QUART!$A$2:$FA$300, 26, FALSE)="",":",VLOOKUP($E$8,[1]QUART!$A$2:$FA$300, 26, FALSE))</f>
        <v>0</v>
      </c>
      <c r="AB8" s="1453">
        <f>IF(VLOOKUP($E$8,[1]QUART!$A$2:$FA$300, 27, FALSE)="",":",VLOOKUP($E$8,[1]QUART!$A$2:$FA$300, 27, FALSE))</f>
        <v>0</v>
      </c>
      <c r="AC8" s="1453">
        <f>IF(VLOOKUP($E$8,[1]QUART!$A$2:$FA$300, 28, FALSE)="",":",VLOOKUP($E$8,[1]QUART!$A$2:$FA$300, 28, FALSE))</f>
        <v>0</v>
      </c>
      <c r="AD8" s="1453">
        <f>IF(VLOOKUP($E$8,[1]QUART!$A$2:$FA$300, 29, FALSE)="",":",VLOOKUP($E$8,[1]QUART!$A$2:$FA$300, 29, FALSE))</f>
        <v>0</v>
      </c>
      <c r="AE8" s="1453">
        <f>IF(VLOOKUP($E$8,[1]QUART!$A$2:$FA$300, 30, FALSE)="",":",VLOOKUP($E$8,[1]QUART!$A$2:$FA$300, 30, FALSE))</f>
        <v>0</v>
      </c>
      <c r="AF8" s="1453">
        <f>IF(VLOOKUP($E$8,[1]QUART!$A$2:$FA$300, 31, FALSE)="",":",VLOOKUP($E$8,[1]QUART!$A$2:$FA$300, 31, FALSE))</f>
        <v>0</v>
      </c>
      <c r="AG8" s="1453">
        <f>IF(VLOOKUP($E$8,[1]QUART!$A$2:$FA$300, 32, FALSE)="",":",VLOOKUP($E$8,[1]QUART!$A$2:$FA$300, 32, FALSE))</f>
        <v>0</v>
      </c>
      <c r="AH8" s="1453">
        <f>IF(VLOOKUP($E$8,[1]QUART!$A$2:$FA$300, 33, FALSE)="",":",VLOOKUP($E$8,[1]QUART!$A$2:$FA$300, 33, FALSE))</f>
        <v>0</v>
      </c>
      <c r="AI8" s="1453">
        <f>IF(VLOOKUP($E$8,[1]QUART!$A$2:$FA$300, 34, FALSE)="",":",VLOOKUP($E$8,[1]QUART!$A$2:$FA$300, 34, FALSE))</f>
        <v>0</v>
      </c>
      <c r="AJ8" s="1453">
        <f>IF(VLOOKUP($E$8,[1]QUART!$A$2:$FA$300, 35, FALSE)="",":",VLOOKUP($E$8,[1]QUART!$A$2:$FA$300, 35, FALSE))</f>
        <v>0</v>
      </c>
      <c r="AK8" s="1453">
        <f>IF(VLOOKUP($E$8,[1]QUART!$A$2:$FA$300, 36, FALSE)="",":",VLOOKUP($E$8,[1]QUART!$A$2:$FA$300, 36, FALSE))</f>
        <v>0</v>
      </c>
      <c r="AL8" s="1453">
        <f>IF(VLOOKUP($E$8,[1]QUART!$A$2:$FA$300, 37, FALSE)="",":",VLOOKUP($E$8,[1]QUART!$A$2:$FA$300, 37, FALSE))</f>
        <v>0</v>
      </c>
      <c r="AM8" s="1453">
        <f>IF(VLOOKUP($E$8,[1]QUART!$A$2:$FA$300, 38, FALSE)="",":",VLOOKUP($E$8,[1]QUART!$A$2:$FA$300, 38, FALSE))</f>
        <v>0</v>
      </c>
      <c r="AN8" s="1453">
        <f>IF(VLOOKUP($E$8,[1]QUART!$A$2:$FA$300, 39, FALSE)="",":",VLOOKUP($E$8,[1]QUART!$A$2:$FA$300, 39, FALSE))</f>
        <v>0</v>
      </c>
      <c r="AO8" s="1453">
        <f>IF(VLOOKUP($E$8,[1]QUART!$A$2:$FA$300, 40, FALSE)="",":",VLOOKUP($E$8,[1]QUART!$A$2:$FA$300, 40, FALSE))</f>
        <v>0</v>
      </c>
      <c r="AP8" s="1453">
        <f>IF(VLOOKUP($E$8,[1]QUART!$A$2:$FA$300, 41, FALSE)="",":",VLOOKUP($E$8,[1]QUART!$A$2:$FA$300, 41, FALSE))</f>
        <v>0</v>
      </c>
      <c r="AQ8" s="1453">
        <f>IF(VLOOKUP($E$8,[1]QUART!$A$2:$FA$300, 42, FALSE)="",":",VLOOKUP($E$8,[1]QUART!$A$2:$FA$300, 42, FALSE))</f>
        <v>0</v>
      </c>
      <c r="AR8" s="1453">
        <f>IF(VLOOKUP($E$8,[1]QUART!$A$2:$FA$300, 43, FALSE)="",":",VLOOKUP($E$8,[1]QUART!$A$2:$FA$300, 43, FALSE))</f>
        <v>0</v>
      </c>
      <c r="AS8" s="1453">
        <f>IF(VLOOKUP($E$8,[1]QUART!$A$2:$FA$300, 44, FALSE)="",":",VLOOKUP($E$8,[1]QUART!$A$2:$FA$300, 44, FALSE))</f>
        <v>0</v>
      </c>
      <c r="AT8" s="1453">
        <f>IF(VLOOKUP($E$8,[1]QUART!$A$2:$FA$300, 45, FALSE)="",":",VLOOKUP($E$8,[1]QUART!$A$2:$FA$300, 45, FALSE))</f>
        <v>0</v>
      </c>
      <c r="AU8" s="1453">
        <f>IF(VLOOKUP($E$8,[1]QUART!$A$2:$FA$300, 46, FALSE)="",":",VLOOKUP($E$8,[1]QUART!$A$2:$FA$300, 46, FALSE))</f>
        <v>0</v>
      </c>
      <c r="AV8" s="1453">
        <f>IF(VLOOKUP($E$8,[1]QUART!$A$2:$FA$300, 47, FALSE)="",":",VLOOKUP($E$8,[1]QUART!$A$2:$FA$300, 47, FALSE))</f>
        <v>0</v>
      </c>
      <c r="AW8" s="1453">
        <f>IF(VLOOKUP($E$8,[1]QUART!$A$2:$FA$300, 48, FALSE)="",":",VLOOKUP($E$8,[1]QUART!$A$2:$FA$300, 48, FALSE))</f>
        <v>0</v>
      </c>
      <c r="AX8" s="1453">
        <f>IF(VLOOKUP($E$8,[1]QUART!$A$2:$FA$300, 49, FALSE)="",":",VLOOKUP($E$8,[1]QUART!$A$2:$FA$300, 49, FALSE))</f>
        <v>0</v>
      </c>
      <c r="AY8" s="1453">
        <f>IF(VLOOKUP($E$8,[1]QUART!$A$2:$FA$300, 50, FALSE)="",":",VLOOKUP($E$8,[1]QUART!$A$2:$FA$300, 50, FALSE))</f>
        <v>0</v>
      </c>
      <c r="AZ8" s="1453">
        <f>IF(VLOOKUP($E$8,[1]QUART!$A$2:$FA$300, 51, FALSE)="",":",VLOOKUP($E$8,[1]QUART!$A$2:$FA$300, 51, FALSE))</f>
        <v>0</v>
      </c>
      <c r="BA8" s="1453">
        <f>IF(VLOOKUP($E$8,[1]QUART!$A$2:$FA$300, 52, FALSE)="",":",VLOOKUP($E$8,[1]QUART!$A$2:$FA$300, 52, FALSE))</f>
        <v>0</v>
      </c>
      <c r="BB8" s="1453">
        <f>IF(VLOOKUP($E$8,[1]QUART!$A$2:$FA$300, 53, FALSE)="",":",VLOOKUP($E$8,[1]QUART!$A$2:$FA$300, 53, FALSE))</f>
        <v>0</v>
      </c>
      <c r="BC8" s="1453">
        <f>IF(VLOOKUP($E$8,[1]QUART!$A$2:$FA$300, 54, FALSE)="",":",VLOOKUP($E$8,[1]QUART!$A$2:$FA$300, 54, FALSE))</f>
        <v>0</v>
      </c>
      <c r="BD8" s="1453">
        <f>IF(VLOOKUP($E$8,[1]QUART!$A$2:$FA$300, 55, FALSE)="",":",VLOOKUP($E$8,[1]QUART!$A$2:$FA$300, 55, FALSE))</f>
        <v>0</v>
      </c>
      <c r="BE8" s="1453">
        <f>IF(VLOOKUP($E$8,[1]QUART!$A$2:$FA$300, 56, FALSE)="",":",VLOOKUP($E$8,[1]QUART!$A$2:$FA$300, 56, FALSE))</f>
        <v>0</v>
      </c>
      <c r="BF8" s="1453">
        <f>IF(VLOOKUP($E$8,[1]QUART!$A$2:$FA$300, 57, FALSE)="",":",VLOOKUP($E$8,[1]QUART!$A$2:$FA$300, 57, FALSE))</f>
        <v>0</v>
      </c>
      <c r="BG8" s="1453">
        <f>IF(VLOOKUP($E$8,[1]QUART!$A$2:$FA$300, 58, FALSE)="",":",VLOOKUP($E$8,[1]QUART!$A$2:$FA$300, 58, FALSE))</f>
        <v>0</v>
      </c>
      <c r="BH8" s="1453">
        <f>IF(VLOOKUP($E$8,[1]QUART!$A$2:$FA$300, 59, FALSE)="",":",VLOOKUP($E$8,[1]QUART!$A$2:$FA$300, 59, FALSE))</f>
        <v>0</v>
      </c>
      <c r="BI8" s="1453">
        <f>IF(VLOOKUP($E$8,[1]QUART!$A$2:$FA$300, 60, FALSE)="",":",VLOOKUP($E$8,[1]QUART!$A$2:$FA$300, 60, FALSE))</f>
        <v>0</v>
      </c>
      <c r="BJ8" s="1453">
        <f>IF(VLOOKUP($E$8,[1]QUART!$A$2:$FA$300, 61, FALSE)="",":",VLOOKUP($E$8,[1]QUART!$A$2:$FA$300, 61, FALSE))</f>
        <v>0</v>
      </c>
      <c r="BK8" s="1453">
        <f>IF(VLOOKUP($E$8,[1]QUART!$A$2:$FA$300, 62, FALSE)="",":",VLOOKUP($E$8,[1]QUART!$A$2:$FA$300, 62, FALSE))</f>
        <v>0</v>
      </c>
      <c r="BL8" s="1453">
        <f>IF(VLOOKUP($E$8,[1]QUART!$A$2:$FA$300, 63, FALSE)="",":",VLOOKUP($E$8,[1]QUART!$A$2:$FA$300, 63, FALSE))</f>
        <v>0</v>
      </c>
      <c r="BM8" s="1453">
        <f>IF(VLOOKUP($E$8,[1]QUART!$A$2:$FA$300, 64, FALSE)="",":",VLOOKUP($E$8,[1]QUART!$A$2:$FA$300, 64, FALSE))</f>
        <v>0</v>
      </c>
      <c r="BN8" s="1453">
        <f>IF(VLOOKUP($E$8,[1]QUART!$A$2:$FA$300, 65, FALSE)="",":",VLOOKUP($E$8,[1]QUART!$A$2:$FA$300, 65, FALSE))</f>
        <v>0</v>
      </c>
      <c r="BO8" s="1453">
        <f>IF(VLOOKUP($E$8,[1]QUART!$A$2:$FA$300, 66, FALSE)="",":",VLOOKUP($E$8,[1]QUART!$A$2:$FA$300, 66, FALSE))</f>
        <v>0</v>
      </c>
      <c r="BP8" s="1453">
        <f>IF(VLOOKUP($E$8,[1]QUART!$A$2:$FA$300, 67, FALSE)="",":",VLOOKUP($E$8,[1]QUART!$A$2:$FA$300, 67, FALSE))</f>
        <v>0</v>
      </c>
      <c r="BQ8" s="1453">
        <f>IF(VLOOKUP($E$8,[1]QUART!$A$2:$FA$300, 68, FALSE)="",":",VLOOKUP($E$8,[1]QUART!$A$2:$FA$300, 68, FALSE))</f>
        <v>0</v>
      </c>
      <c r="BR8" s="1453">
        <f>IF(VLOOKUP($E$8,[1]QUART!$A$2:$FA$300, 69, FALSE)="",":",VLOOKUP($E$8,[1]QUART!$A$2:$FA$300, 69, FALSE))</f>
        <v>0</v>
      </c>
      <c r="BS8" s="1453">
        <f>IF(VLOOKUP($E$8,[1]QUART!$A$2:$FA$300, 70, FALSE)="",":",VLOOKUP($E$8,[1]QUART!$A$2:$FA$300, 70, FALSE))</f>
        <v>0</v>
      </c>
      <c r="BT8" s="1453">
        <f>IF(VLOOKUP($E$8,[1]QUART!$A$2:$FA$300, 71, FALSE)="",":",VLOOKUP($E$8,[1]QUART!$A$2:$FA$300, 71, FALSE))</f>
        <v>0</v>
      </c>
      <c r="BU8" s="1453">
        <f>IF(VLOOKUP($E$8,[1]QUART!$A$2:$FA$300, 72, FALSE)="",":",VLOOKUP($E$8,[1]QUART!$A$2:$FA$300, 72, FALSE))</f>
        <v>0</v>
      </c>
      <c r="BV8" s="1453">
        <f>IF(VLOOKUP($E$8,[1]QUART!$A$2:$FA$300, 73, FALSE)="",":",VLOOKUP($E$8,[1]QUART!$A$2:$FA$300, 73, FALSE))</f>
        <v>0</v>
      </c>
      <c r="BW8" s="1453">
        <f>IF(VLOOKUP($E$8,[1]QUART!$A$2:$FA$300, 74, FALSE)="",":",VLOOKUP($E$8,[1]QUART!$A$2:$FA$300, 74, FALSE))</f>
        <v>0</v>
      </c>
      <c r="BX8" s="1453">
        <f>IF(VLOOKUP($E$8,[1]QUART!$A$2:$FA$300, 75, FALSE)="",":",VLOOKUP($E$8,[1]QUART!$A$2:$FA$300, 75, FALSE))</f>
        <v>0</v>
      </c>
      <c r="BY8" s="1453">
        <f>IF(VLOOKUP($E$8,[1]QUART!$A$2:$FA$300, 76, FALSE)="",":",VLOOKUP($E$8,[1]QUART!$A$2:$FA$300, 76, FALSE))</f>
        <v>0</v>
      </c>
      <c r="BZ8" s="1453">
        <f>IF(VLOOKUP($E$8,[1]QUART!$A$2:$FA$300, 77, FALSE)="",":",VLOOKUP($E$8,[1]QUART!$A$2:$FA$300, 77, FALSE))</f>
        <v>0</v>
      </c>
      <c r="CA8" s="1453">
        <f>IF(VLOOKUP($E$8,[1]QUART!$A$2:$FA$300, 78, FALSE)="",":",VLOOKUP($E$8,[1]QUART!$A$2:$FA$300, 78, FALSE))</f>
        <v>0</v>
      </c>
      <c r="CB8" s="1453">
        <f>IF(VLOOKUP($E$8,[1]QUART!$A$2:$FA$300, 79, FALSE)="",":",VLOOKUP($E$8,[1]QUART!$A$2:$FA$300, 79, FALSE))</f>
        <v>0</v>
      </c>
      <c r="CC8" s="1453">
        <f>IF(VLOOKUP($E$8,[1]QUART!$A$2:$FA$300, 80, FALSE)="",":",VLOOKUP($E$8,[1]QUART!$A$2:$FA$300, 80, FALSE))</f>
        <v>0</v>
      </c>
      <c r="CD8" s="1453">
        <f>IF(VLOOKUP($E$8,[1]QUART!$A$2:$FA$300, 81, FALSE)="",":",VLOOKUP($E$8,[1]QUART!$A$2:$FA$300, 81, FALSE))</f>
        <v>0</v>
      </c>
      <c r="CE8" s="1453">
        <f>IF(VLOOKUP($E$8,[1]QUART!$A$2:$FA$300, 82, FALSE)="",":",VLOOKUP($E$8,[1]QUART!$A$2:$FA$300, 82, FALSE))</f>
        <v>0</v>
      </c>
      <c r="CF8" s="1453">
        <f>IF(VLOOKUP($E$8,[1]QUART!$A$2:$FA$300, 83, FALSE)="",":",VLOOKUP($E$8,[1]QUART!$A$2:$FA$300, 83, FALSE))</f>
        <v>0</v>
      </c>
      <c r="CG8" s="1453">
        <f>IF(VLOOKUP($E$8,[1]QUART!$A$2:$FA$300, 84, FALSE)="",":",VLOOKUP($E$8,[1]QUART!$A$2:$FA$300, 84, FALSE))</f>
        <v>0</v>
      </c>
      <c r="CH8" s="1453">
        <f>IF(VLOOKUP($E$8,[1]QUART!$A$2:$FA$300, 85, FALSE)="",":",VLOOKUP($E$8,[1]QUART!$A$2:$FA$300, 85, FALSE))</f>
        <v>0</v>
      </c>
      <c r="CI8" s="1453">
        <f>IF(VLOOKUP($E$8,[1]QUART!$A$2:$FA$300, 86, FALSE)="",":",VLOOKUP($E$8,[1]QUART!$A$2:$FA$300, 86, FALSE))</f>
        <v>0</v>
      </c>
      <c r="CJ8" s="1453">
        <f>IF(VLOOKUP($E$8,[1]QUART!$A$2:$FA$300, 87, FALSE)="",":",VLOOKUP($E$8,[1]QUART!$A$2:$FA$300, 87, FALSE))</f>
        <v>0</v>
      </c>
      <c r="CK8" s="1453">
        <f>IF(VLOOKUP($E$8,[1]QUART!$A$2:$FA$300, 88, FALSE)="",":",VLOOKUP($E$8,[1]QUART!$A$2:$FA$300, 88, FALSE))</f>
        <v>0</v>
      </c>
      <c r="CL8" s="1453">
        <f>IF(VLOOKUP($E$8,[1]QUART!$A$2:$FA$300, 89, FALSE)="",":",VLOOKUP($E$8,[1]QUART!$A$2:$FA$300, 89, FALSE))</f>
        <v>0</v>
      </c>
      <c r="CM8" s="1453">
        <f>IF(VLOOKUP($E$8,[1]QUART!$A$2:$FA$300, 90, FALSE)="",":",VLOOKUP($E$8,[1]QUART!$A$2:$FA$300, 90, FALSE))</f>
        <v>0</v>
      </c>
      <c r="CN8" s="1453">
        <f>IF(VLOOKUP($E$8,[1]QUART!$A$2:$FA$300, 91, FALSE)="",":",VLOOKUP($E$8,[1]QUART!$A$2:$FA$300, 91, FALSE))</f>
        <v>0</v>
      </c>
      <c r="CO8" s="1453">
        <f>IF(VLOOKUP($E$8,[1]QUART!$A$2:$FA$300, 92, FALSE)="",":",VLOOKUP($E$8,[1]QUART!$A$2:$FA$300, 92, FALSE))</f>
        <v>0</v>
      </c>
      <c r="CP8" s="1453">
        <f>IF(VLOOKUP($E$8,[1]QUART!$A$2:$FA$300, 93, FALSE)="",":",VLOOKUP($E$8,[1]QUART!$A$2:$FA$300, 93, FALSE))</f>
        <v>0</v>
      </c>
      <c r="CQ8" s="1453">
        <f>IF(VLOOKUP($E$8,[1]QUART!$A$2:$FA$300, 94, FALSE)="",":",VLOOKUP($E$8,[1]QUART!$A$2:$FA$300, 94, FALSE))</f>
        <v>0</v>
      </c>
      <c r="CR8" s="1453">
        <f>IF(VLOOKUP($E$8,[1]QUART!$A$2:$FA$300, 95, FALSE)="",":",VLOOKUP($E$8,[1]QUART!$A$2:$FA$300, 95, FALSE))</f>
        <v>0</v>
      </c>
      <c r="CS8" s="1453">
        <f>IF(VLOOKUP($E$8,[1]QUART!$A$2:$FA$300, 96, FALSE)="",":",VLOOKUP($E$8,[1]QUART!$A$2:$FA$300, 96, FALSE))</f>
        <v>0</v>
      </c>
      <c r="CT8" s="1453">
        <f>IF(VLOOKUP($E$8,[1]QUART!$A$2:$FA$300, 97, FALSE)="",":",VLOOKUP($E$8,[1]QUART!$A$2:$FA$300, 97, FALSE))</f>
        <v>0</v>
      </c>
      <c r="CU8" s="1453" t="str">
        <f>IF(VLOOKUP($E$8,[1]QUART!$A$2:$FA$300, 98, FALSE)="",":",VLOOKUP($E$8,[1]QUART!$A$2:$FA$300, 98, FALSE))</f>
        <v>:</v>
      </c>
      <c r="CV8" s="1453" t="str">
        <f>IF(VLOOKUP($E$8,[1]QUART!$A$2:$FA$300, 99, FALSE)="",":",VLOOKUP($E$8,[1]QUART!$A$2:$FA$300, 99, FALSE))</f>
        <v>:</v>
      </c>
      <c r="CW8" s="1453" t="str">
        <f>IF(VLOOKUP($E$8,[1]QUART!$A$2:$FA$300, 100, FALSE)="",":",VLOOKUP($E$8,[1]QUART!$A$2:$FA$300, 100, FALSE))</f>
        <v>:</v>
      </c>
      <c r="CX8" s="1453" t="str">
        <f>IF(VLOOKUP($E$8,[1]QUART!$A$2:$FA$300, 101, FALSE)="",":",VLOOKUP($E$8,[1]QUART!$A$2:$FA$300, 101, FALSE))</f>
        <v>:</v>
      </c>
      <c r="CY8" s="1453" t="str">
        <f>IF(VLOOKUP($E$8,[1]QUART!$A$2:$FA$300, 102, FALSE)="",":",VLOOKUP($E$8,[1]QUART!$A$2:$FA$300, 102, FALSE))</f>
        <v>:</v>
      </c>
      <c r="CZ8" s="1453" t="str">
        <f>IF(VLOOKUP($E$8,[1]QUART!$A$2:$FA$300, 103, FALSE)="",":",VLOOKUP($E$8,[1]QUART!$A$2:$FA$300, 103, FALSE))</f>
        <v>:</v>
      </c>
      <c r="DA8" s="1453" t="str">
        <f>IF(VLOOKUP($E$8,[1]QUART!$A$2:$FA$300, 104, FALSE)="",":",VLOOKUP($E$8,[1]QUART!$A$2:$FA$300, 104, FALSE))</f>
        <v>:</v>
      </c>
      <c r="DB8" s="1453" t="str">
        <f>IF(VLOOKUP($E$8,[1]QUART!$A$2:$FA$300, 105, FALSE)="",":",VLOOKUP($E$8,[1]QUART!$A$2:$FA$300, 105, FALSE))</f>
        <v>:</v>
      </c>
      <c r="DC8" s="1453" t="str">
        <f>IF(VLOOKUP($E$8,[1]QUART!$A$2:$FA$300, 106, FALSE)="",":",VLOOKUP($E$8,[1]QUART!$A$2:$FA$300, 106, FALSE))</f>
        <v>:</v>
      </c>
    </row>
    <row r="9" spans="1:110">
      <c r="A9" s="1449">
        <v>19</v>
      </c>
      <c r="B9" s="546" t="s">
        <v>1750</v>
      </c>
      <c r="C9" s="547" t="s">
        <v>1453</v>
      </c>
      <c r="D9" s="1450" t="s">
        <v>363</v>
      </c>
      <c r="E9" s="1451">
        <v>69</v>
      </c>
      <c r="F9" s="1452" t="str">
        <f>VLOOKUP($E$9,[1]QUART!$A$2:$FA$300, 3, FALSE)</f>
        <v xml:space="preserve">69  Exports of goods and services                                                   </v>
      </c>
      <c r="G9" s="1453">
        <f>IF(VLOOKUP($E$9,[1]QUART!$A$2:$FA$300, 6, FALSE)="",":",VLOOKUP($E$9,[1]QUART!$A$2:$FA$300, 6, FALSE))</f>
        <v>38207</v>
      </c>
      <c r="H9" s="1453">
        <f>IF(VLOOKUP($E$9,[1]QUART!$A$2:$FA$300, 7, FALSE)="",":",VLOOKUP($E$9,[1]QUART!$A$2:$FA$300, 7, FALSE))</f>
        <v>37361</v>
      </c>
      <c r="I9" s="1453">
        <f>IF(VLOOKUP($E$9,[1]QUART!$A$2:$FA$300, 8, FALSE)="",":",VLOOKUP($E$9,[1]QUART!$A$2:$FA$300, 8, FALSE))</f>
        <v>36780</v>
      </c>
      <c r="J9" s="1453">
        <f>IF(VLOOKUP($E$9,[1]QUART!$A$2:$FA$300, 9, FALSE)="",":",VLOOKUP($E$9,[1]QUART!$A$2:$FA$300, 9, FALSE))</f>
        <v>37486</v>
      </c>
      <c r="K9" s="1453">
        <f>IF(VLOOKUP($E$9,[1]QUART!$A$2:$FA$300, 10, FALSE)="",":",VLOOKUP($E$9,[1]QUART!$A$2:$FA$300, 10, FALSE))</f>
        <v>38348</v>
      </c>
      <c r="L9" s="1453">
        <f>IF(VLOOKUP($E$9,[1]QUART!$A$2:$FA$300, 11, FALSE)="",":",VLOOKUP($E$9,[1]QUART!$A$2:$FA$300, 11, FALSE))</f>
        <v>39169</v>
      </c>
      <c r="M9" s="1453">
        <f>IF(VLOOKUP($E$9,[1]QUART!$A$2:$FA$300, 12, FALSE)="",":",VLOOKUP($E$9,[1]QUART!$A$2:$FA$300, 12, FALSE))</f>
        <v>39497</v>
      </c>
      <c r="N9" s="1453">
        <f>IF(VLOOKUP($E$9,[1]QUART!$A$2:$FA$300, 13, FALSE)="",":",VLOOKUP($E$9,[1]QUART!$A$2:$FA$300, 13, FALSE))</f>
        <v>40381</v>
      </c>
      <c r="O9" s="1453">
        <f>IF(VLOOKUP($E$9,[1]QUART!$A$2:$FA$300, 14, FALSE)="",":",VLOOKUP($E$9,[1]QUART!$A$2:$FA$300, 14, FALSE))</f>
        <v>41784</v>
      </c>
      <c r="P9" s="1453">
        <f>IF(VLOOKUP($E$9,[1]QUART!$A$2:$FA$300, 15, FALSE)="",":",VLOOKUP($E$9,[1]QUART!$A$2:$FA$300, 15, FALSE))</f>
        <v>42801</v>
      </c>
      <c r="Q9" s="1453">
        <f>IF(VLOOKUP($E$9,[1]QUART!$A$2:$FA$300, 16, FALSE)="",":",VLOOKUP($E$9,[1]QUART!$A$2:$FA$300, 16, FALSE))</f>
        <v>43524</v>
      </c>
      <c r="R9" s="1453">
        <f>IF(VLOOKUP($E$9,[1]QUART!$A$2:$FA$300, 17, FALSE)="",":",VLOOKUP($E$9,[1]QUART!$A$2:$FA$300, 17, FALSE))</f>
        <v>44108</v>
      </c>
      <c r="S9" s="1453">
        <f>IF(VLOOKUP($E$9,[1]QUART!$A$2:$FA$300, 18, FALSE)="",":",VLOOKUP($E$9,[1]QUART!$A$2:$FA$300, 18, FALSE))</f>
        <v>44486</v>
      </c>
      <c r="T9" s="1453">
        <f>IF(VLOOKUP($E$9,[1]QUART!$A$2:$FA$300, 19, FALSE)="",":",VLOOKUP($E$9,[1]QUART!$A$2:$FA$300, 19, FALSE))</f>
        <v>44929</v>
      </c>
      <c r="U9" s="1453">
        <f>IF(VLOOKUP($E$9,[1]QUART!$A$2:$FA$300, 20, FALSE)="",":",VLOOKUP($E$9,[1]QUART!$A$2:$FA$300, 20, FALSE))</f>
        <v>45402</v>
      </c>
      <c r="V9" s="1453">
        <f>IF(VLOOKUP($E$9,[1]QUART!$A$2:$FA$300, 21, FALSE)="",":",VLOOKUP($E$9,[1]QUART!$A$2:$FA$300, 21, FALSE))</f>
        <v>44766</v>
      </c>
      <c r="W9" s="1453">
        <f>IF(VLOOKUP($E$9,[1]QUART!$A$2:$FA$300, 22, FALSE)="",":",VLOOKUP($E$9,[1]QUART!$A$2:$FA$300, 22, FALSE))</f>
        <v>44754</v>
      </c>
      <c r="X9" s="1453">
        <f>IF(VLOOKUP($E$9,[1]QUART!$A$2:$FA$300, 23, FALSE)="",":",VLOOKUP($E$9,[1]QUART!$A$2:$FA$300, 23, FALSE))</f>
        <v>46233</v>
      </c>
      <c r="Y9" s="1453">
        <f>IF(VLOOKUP($E$9,[1]QUART!$A$2:$FA$300, 24, FALSE)="",":",VLOOKUP($E$9,[1]QUART!$A$2:$FA$300, 24, FALSE))</f>
        <v>48035</v>
      </c>
      <c r="Z9" s="1453">
        <f>IF(VLOOKUP($E$9,[1]QUART!$A$2:$FA$300, 25, FALSE)="",":",VLOOKUP($E$9,[1]QUART!$A$2:$FA$300, 25, FALSE))</f>
        <v>49540</v>
      </c>
      <c r="AA9" s="1453">
        <f>IF(VLOOKUP($E$9,[1]QUART!$A$2:$FA$300, 26, FALSE)="",":",VLOOKUP($E$9,[1]QUART!$A$2:$FA$300, 26, FALSE))</f>
        <v>51621</v>
      </c>
      <c r="AB9" s="1453">
        <f>IF(VLOOKUP($E$9,[1]QUART!$A$2:$FA$300, 27, FALSE)="",":",VLOOKUP($E$9,[1]QUART!$A$2:$FA$300, 27, FALSE))</f>
        <v>52680</v>
      </c>
      <c r="AC9" s="1453">
        <f>IF(VLOOKUP($E$9,[1]QUART!$A$2:$FA$300, 28, FALSE)="",":",VLOOKUP($E$9,[1]QUART!$A$2:$FA$300, 28, FALSE))</f>
        <v>53515</v>
      </c>
      <c r="AD9" s="1453">
        <f>IF(VLOOKUP($E$9,[1]QUART!$A$2:$FA$300, 29, FALSE)="",":",VLOOKUP($E$9,[1]QUART!$A$2:$FA$300, 29, FALSE))</f>
        <v>54102</v>
      </c>
      <c r="AE9" s="1453">
        <f>IF(VLOOKUP($E$9,[1]QUART!$A$2:$FA$300, 30, FALSE)="",":",VLOOKUP($E$9,[1]QUART!$A$2:$FA$300, 30, FALSE))</f>
        <v>54020</v>
      </c>
      <c r="AF9" s="1453">
        <f>IF(VLOOKUP($E$9,[1]QUART!$A$2:$FA$300, 31, FALSE)="",":",VLOOKUP($E$9,[1]QUART!$A$2:$FA$300, 31, FALSE))</f>
        <v>53055</v>
      </c>
      <c r="AG9" s="1453">
        <f>IF(VLOOKUP($E$9,[1]QUART!$A$2:$FA$300, 32, FALSE)="",":",VLOOKUP($E$9,[1]QUART!$A$2:$FA$300, 32, FALSE))</f>
        <v>52829</v>
      </c>
      <c r="AH9" s="1453">
        <f>IF(VLOOKUP($E$9,[1]QUART!$A$2:$FA$300, 33, FALSE)="",":",VLOOKUP($E$9,[1]QUART!$A$2:$FA$300, 33, FALSE))</f>
        <v>52769</v>
      </c>
      <c r="AI9" s="1453">
        <f>IF(VLOOKUP($E$9,[1]QUART!$A$2:$FA$300, 34, FALSE)="",":",VLOOKUP($E$9,[1]QUART!$A$2:$FA$300, 34, FALSE))</f>
        <v>54229</v>
      </c>
      <c r="AJ9" s="1453">
        <f>IF(VLOOKUP($E$9,[1]QUART!$A$2:$FA$300, 35, FALSE)="",":",VLOOKUP($E$9,[1]QUART!$A$2:$FA$300, 35, FALSE))</f>
        <v>55128</v>
      </c>
      <c r="AK9" s="1453">
        <f>IF(VLOOKUP($E$9,[1]QUART!$A$2:$FA$300, 36, FALSE)="",":",VLOOKUP($E$9,[1]QUART!$A$2:$FA$300, 36, FALSE))</f>
        <v>55535</v>
      </c>
      <c r="AL9" s="1453">
        <f>IF(VLOOKUP($E$9,[1]QUART!$A$2:$FA$300, 37, FALSE)="",":",VLOOKUP($E$9,[1]QUART!$A$2:$FA$300, 37, FALSE))</f>
        <v>55546</v>
      </c>
      <c r="AM9" s="1453">
        <f>IF(VLOOKUP($E$9,[1]QUART!$A$2:$FA$300, 38, FALSE)="",":",VLOOKUP($E$9,[1]QUART!$A$2:$FA$300, 38, FALSE))</f>
        <v>55146</v>
      </c>
      <c r="AN9" s="1453">
        <f>IF(VLOOKUP($E$9,[1]QUART!$A$2:$FA$300, 39, FALSE)="",":",VLOOKUP($E$9,[1]QUART!$A$2:$FA$300, 39, FALSE))</f>
        <v>55580</v>
      </c>
      <c r="AO9" s="1453">
        <f>IF(VLOOKUP($E$9,[1]QUART!$A$2:$FA$300, 40, FALSE)="",":",VLOOKUP($E$9,[1]QUART!$A$2:$FA$300, 40, FALSE))</f>
        <v>56001</v>
      </c>
      <c r="AP9" s="1453">
        <f>IF(VLOOKUP($E$9,[1]QUART!$A$2:$FA$300, 41, FALSE)="",":",VLOOKUP($E$9,[1]QUART!$A$2:$FA$300, 41, FALSE))</f>
        <v>57148</v>
      </c>
      <c r="AQ9" s="1453">
        <f>IF(VLOOKUP($E$9,[1]QUART!$A$2:$FA$300, 42, FALSE)="",":",VLOOKUP($E$9,[1]QUART!$A$2:$FA$300, 42, FALSE))</f>
        <v>58058</v>
      </c>
      <c r="AR9" s="1453">
        <f>IF(VLOOKUP($E$9,[1]QUART!$A$2:$FA$300, 43, FALSE)="",":",VLOOKUP($E$9,[1]QUART!$A$2:$FA$300, 43, FALSE))</f>
        <v>59047</v>
      </c>
      <c r="AS9" s="1453">
        <f>IF(VLOOKUP($E$9,[1]QUART!$A$2:$FA$300, 44, FALSE)="",":",VLOOKUP($E$9,[1]QUART!$A$2:$FA$300, 44, FALSE))</f>
        <v>59879</v>
      </c>
      <c r="AT9" s="1453">
        <f>IF(VLOOKUP($E$9,[1]QUART!$A$2:$FA$300, 45, FALSE)="",":",VLOOKUP($E$9,[1]QUART!$A$2:$FA$300, 45, FALSE))</f>
        <v>60785</v>
      </c>
      <c r="AU9" s="1453">
        <f>IF(VLOOKUP($E$9,[1]QUART!$A$2:$FA$300, 46, FALSE)="",":",VLOOKUP($E$9,[1]QUART!$A$2:$FA$300, 46, FALSE))</f>
        <v>61394</v>
      </c>
      <c r="AV9" s="1453">
        <f>IF(VLOOKUP($E$9,[1]QUART!$A$2:$FA$300, 47, FALSE)="",":",VLOOKUP($E$9,[1]QUART!$A$2:$FA$300, 47, FALSE))</f>
        <v>62247</v>
      </c>
      <c r="AW9" s="1453">
        <f>IF(VLOOKUP($E$9,[1]QUART!$A$2:$FA$300, 48, FALSE)="",":",VLOOKUP($E$9,[1]QUART!$A$2:$FA$300, 48, FALSE))</f>
        <v>62726</v>
      </c>
      <c r="AX9" s="1453">
        <f>IF(VLOOKUP($E$9,[1]QUART!$A$2:$FA$300, 49, FALSE)="",":",VLOOKUP($E$9,[1]QUART!$A$2:$FA$300, 49, FALSE))</f>
        <v>63365</v>
      </c>
      <c r="AY9" s="1453">
        <f>IF(VLOOKUP($E$9,[1]QUART!$A$2:$FA$300, 50, FALSE)="",":",VLOOKUP($E$9,[1]QUART!$A$2:$FA$300, 50, FALSE))</f>
        <v>64654</v>
      </c>
      <c r="AZ9" s="1453">
        <f>IF(VLOOKUP($E$9,[1]QUART!$A$2:$FA$300, 51, FALSE)="",":",VLOOKUP($E$9,[1]QUART!$A$2:$FA$300, 51, FALSE))</f>
        <v>65402</v>
      </c>
      <c r="BA9" s="1453">
        <f>IF(VLOOKUP($E$9,[1]QUART!$A$2:$FA$300, 52, FALSE)="",":",VLOOKUP($E$9,[1]QUART!$A$2:$FA$300, 52, FALSE))</f>
        <v>66049</v>
      </c>
      <c r="BB9" s="1453">
        <f>IF(VLOOKUP($E$9,[1]QUART!$A$2:$FA$300, 53, FALSE)="",":",VLOOKUP($E$9,[1]QUART!$A$2:$FA$300, 53, FALSE))</f>
        <v>66799</v>
      </c>
      <c r="BC9" s="1453">
        <f>IF(VLOOKUP($E$9,[1]QUART!$A$2:$FA$300, 54, FALSE)="",":",VLOOKUP($E$9,[1]QUART!$A$2:$FA$300, 54, FALSE))</f>
        <v>68687</v>
      </c>
      <c r="BD9" s="1453">
        <f>IF(VLOOKUP($E$9,[1]QUART!$A$2:$FA$300, 55, FALSE)="",":",VLOOKUP($E$9,[1]QUART!$A$2:$FA$300, 55, FALSE))</f>
        <v>69442</v>
      </c>
      <c r="BE9" s="1453">
        <f>IF(VLOOKUP($E$9,[1]QUART!$A$2:$FA$300, 56, FALSE)="",":",VLOOKUP($E$9,[1]QUART!$A$2:$FA$300, 56, FALSE))</f>
        <v>69836</v>
      </c>
      <c r="BF9" s="1453">
        <f>IF(VLOOKUP($E$9,[1]QUART!$A$2:$FA$300, 57, FALSE)="",":",VLOOKUP($E$9,[1]QUART!$A$2:$FA$300, 57, FALSE))</f>
        <v>69939</v>
      </c>
      <c r="BG9" s="1453">
        <f>IF(VLOOKUP($E$9,[1]QUART!$A$2:$FA$300, 58, FALSE)="",":",VLOOKUP($E$9,[1]QUART!$A$2:$FA$300, 58, FALSE))</f>
        <v>71191</v>
      </c>
      <c r="BH9" s="1453">
        <f>IF(VLOOKUP($E$9,[1]QUART!$A$2:$FA$300, 59, FALSE)="",":",VLOOKUP($E$9,[1]QUART!$A$2:$FA$300, 59, FALSE))</f>
        <v>73248</v>
      </c>
      <c r="BI9" s="1453">
        <f>IF(VLOOKUP($E$9,[1]QUART!$A$2:$FA$300, 60, FALSE)="",":",VLOOKUP($E$9,[1]QUART!$A$2:$FA$300, 60, FALSE))</f>
        <v>72781</v>
      </c>
      <c r="BJ9" s="1453">
        <f>IF(VLOOKUP($E$9,[1]QUART!$A$2:$FA$300, 61, FALSE)="",":",VLOOKUP($E$9,[1]QUART!$A$2:$FA$300, 61, FALSE))</f>
        <v>65449</v>
      </c>
      <c r="BK9" s="1453">
        <f>IF(VLOOKUP($E$9,[1]QUART!$A$2:$FA$300, 62, FALSE)="",":",VLOOKUP($E$9,[1]QUART!$A$2:$FA$300, 62, FALSE))</f>
        <v>61836</v>
      </c>
      <c r="BL9" s="1453">
        <f>IF(VLOOKUP($E$9,[1]QUART!$A$2:$FA$300, 63, FALSE)="",":",VLOOKUP($E$9,[1]QUART!$A$2:$FA$300, 63, FALSE))</f>
        <v>62468</v>
      </c>
      <c r="BM9" s="1453">
        <f>IF(VLOOKUP($E$9,[1]QUART!$A$2:$FA$300, 64, FALSE)="",":",VLOOKUP($E$9,[1]QUART!$A$2:$FA$300, 64, FALSE))</f>
        <v>65115</v>
      </c>
      <c r="BN9" s="1453">
        <f>IF(VLOOKUP($E$9,[1]QUART!$A$2:$FA$300, 65, FALSE)="",":",VLOOKUP($E$9,[1]QUART!$A$2:$FA$300, 65, FALSE))</f>
        <v>66586</v>
      </c>
      <c r="BO9" s="1453">
        <f>IF(VLOOKUP($E$9,[1]QUART!$A$2:$FA$300, 66, FALSE)="",":",VLOOKUP($E$9,[1]QUART!$A$2:$FA$300, 66, FALSE))</f>
        <v>67346</v>
      </c>
      <c r="BP9" s="1453">
        <f>IF(VLOOKUP($E$9,[1]QUART!$A$2:$FA$300, 67, FALSE)="",":",VLOOKUP($E$9,[1]QUART!$A$2:$FA$300, 67, FALSE))</f>
        <v>70872</v>
      </c>
      <c r="BQ9" s="1453">
        <f>IF(VLOOKUP($E$9,[1]QUART!$A$2:$FA$300, 68, FALSE)="",":",VLOOKUP($E$9,[1]QUART!$A$2:$FA$300, 68, FALSE))</f>
        <v>71933</v>
      </c>
      <c r="BR9" s="1453">
        <f>IF(VLOOKUP($E$9,[1]QUART!$A$2:$FA$300, 69, FALSE)="",":",VLOOKUP($E$9,[1]QUART!$A$2:$FA$300, 69, FALSE))</f>
        <v>72306</v>
      </c>
      <c r="BS9" s="1453">
        <f>IF(VLOOKUP($E$9,[1]QUART!$A$2:$FA$300, 70, FALSE)="",":",VLOOKUP($E$9,[1]QUART!$A$2:$FA$300, 70, FALSE))</f>
        <v>74931</v>
      </c>
      <c r="BT9" s="1453">
        <f>IF(VLOOKUP($E$9,[1]QUART!$A$2:$FA$300, 71, FALSE)="",":",VLOOKUP($E$9,[1]QUART!$A$2:$FA$300, 71, FALSE))</f>
        <v>75729</v>
      </c>
      <c r="BU9" s="1453">
        <f>IF(VLOOKUP($E$9,[1]QUART!$A$2:$FA$300, 72, FALSE)="",":",VLOOKUP($E$9,[1]QUART!$A$2:$FA$300, 72, FALSE))</f>
        <v>76635</v>
      </c>
      <c r="BV9" s="1453">
        <f>IF(VLOOKUP($E$9,[1]QUART!$A$2:$FA$300, 73, FALSE)="",":",VLOOKUP($E$9,[1]QUART!$A$2:$FA$300, 73, FALSE))</f>
        <v>74138</v>
      </c>
      <c r="BW9" s="1453">
        <f>IF(VLOOKUP($E$9,[1]QUART!$A$2:$FA$300, 74, FALSE)="",":",VLOOKUP($E$9,[1]QUART!$A$2:$FA$300, 74, FALSE))</f>
        <v>76277</v>
      </c>
      <c r="BX9" s="1453">
        <f>IF(VLOOKUP($E$9,[1]QUART!$A$2:$FA$300, 75, FALSE)="",":",VLOOKUP($E$9,[1]QUART!$A$2:$FA$300, 75, FALSE))</f>
        <v>75749</v>
      </c>
      <c r="BY9" s="1453">
        <f>IF(VLOOKUP($E$9,[1]QUART!$A$2:$FA$300, 76, FALSE)="",":",VLOOKUP($E$9,[1]QUART!$A$2:$FA$300, 76, FALSE))</f>
        <v>75213</v>
      </c>
      <c r="BZ9" s="1453">
        <f>IF(VLOOKUP($E$9,[1]QUART!$A$2:$FA$300, 77, FALSE)="",":",VLOOKUP($E$9,[1]QUART!$A$2:$FA$300, 77, FALSE))</f>
        <v>75213</v>
      </c>
      <c r="CA9" s="1453">
        <f>IF(VLOOKUP($E$9,[1]QUART!$A$2:$FA$300, 78, FALSE)="",":",VLOOKUP($E$9,[1]QUART!$A$2:$FA$300, 78, FALSE))</f>
        <v>74981</v>
      </c>
      <c r="CB9" s="1453">
        <f>IF(VLOOKUP($E$9,[1]QUART!$A$2:$FA$300, 79, FALSE)="",":",VLOOKUP($E$9,[1]QUART!$A$2:$FA$300, 79, FALSE))</f>
        <v>75438</v>
      </c>
      <c r="CC9" s="1453">
        <f>IF(VLOOKUP($E$9,[1]QUART!$A$2:$FA$300, 80, FALSE)="",":",VLOOKUP($E$9,[1]QUART!$A$2:$FA$300, 80, FALSE))</f>
        <v>76778</v>
      </c>
      <c r="CD9" s="1453">
        <f>IF(VLOOKUP($E$9,[1]QUART!$A$2:$FA$300, 81, FALSE)="",":",VLOOKUP($E$9,[1]QUART!$A$2:$FA$300, 81, FALSE))</f>
        <v>77944</v>
      </c>
      <c r="CE9" s="1453">
        <f>IF(VLOOKUP($E$9,[1]QUART!$A$2:$FA$300, 82, FALSE)="",":",VLOOKUP($E$9,[1]QUART!$A$2:$FA$300, 82, FALSE))</f>
        <v>78728</v>
      </c>
      <c r="CF9" s="1453">
        <f>IF(VLOOKUP($E$9,[1]QUART!$A$2:$FA$300, 83, FALSE)="",":",VLOOKUP($E$9,[1]QUART!$A$2:$FA$300, 83, FALSE))</f>
        <v>79762</v>
      </c>
      <c r="CG9" s="1453">
        <f>IF(VLOOKUP($E$9,[1]QUART!$A$2:$FA$300, 84, FALSE)="",":",VLOOKUP($E$9,[1]QUART!$A$2:$FA$300, 84, FALSE))</f>
        <v>80960</v>
      </c>
      <c r="CH9" s="1453">
        <f>IF(VLOOKUP($E$9,[1]QUART!$A$2:$FA$300, 85, FALSE)="",":",VLOOKUP($E$9,[1]QUART!$A$2:$FA$300, 85, FALSE))</f>
        <v>81510</v>
      </c>
      <c r="CI9" s="1453">
        <f>IF(VLOOKUP($E$9,[1]QUART!$A$2:$FA$300, 86, FALSE)="",":",VLOOKUP($E$9,[1]QUART!$A$2:$FA$300, 86, FALSE))</f>
        <v>81264</v>
      </c>
      <c r="CJ9" s="1453">
        <f>IF(VLOOKUP($E$9,[1]QUART!$A$2:$FA$300, 87, FALSE)="",":",VLOOKUP($E$9,[1]QUART!$A$2:$FA$300, 87, FALSE))</f>
        <v>82942</v>
      </c>
      <c r="CK9" s="1453">
        <f>IF(VLOOKUP($E$9,[1]QUART!$A$2:$FA$300, 88, FALSE)="",":",VLOOKUP($E$9,[1]QUART!$A$2:$FA$300, 88, FALSE))</f>
        <v>82183</v>
      </c>
      <c r="CL9" s="1453">
        <f>IF(VLOOKUP($E$9,[1]QUART!$A$2:$FA$300, 89, FALSE)="",":",VLOOKUP($E$9,[1]QUART!$A$2:$FA$300, 89, FALSE))</f>
        <v>85102</v>
      </c>
      <c r="CM9" s="1453">
        <f>IF(VLOOKUP($E$9,[1]QUART!$A$2:$FA$300, 90, FALSE)="",":",VLOOKUP($E$9,[1]QUART!$A$2:$FA$300, 90, FALSE))</f>
        <v>84395</v>
      </c>
      <c r="CN9" s="1453">
        <f>IF(VLOOKUP($E$9,[1]QUART!$A$2:$FA$300, 91, FALSE)="",":",VLOOKUP($E$9,[1]QUART!$A$2:$FA$300, 91, FALSE))</f>
        <v>89276</v>
      </c>
      <c r="CO9" s="1453">
        <f>IF(VLOOKUP($E$9,[1]QUART!$A$2:$FA$300, 92, FALSE)="",":",VLOOKUP($E$9,[1]QUART!$A$2:$FA$300, 92, FALSE))</f>
        <v>90085</v>
      </c>
      <c r="CP9" s="1453">
        <f>IF(VLOOKUP($E$9,[1]QUART!$A$2:$FA$300, 93, FALSE)="",":",VLOOKUP($E$9,[1]QUART!$A$2:$FA$300, 93, FALSE))</f>
        <v>92654</v>
      </c>
      <c r="CQ9" s="1453">
        <f>IF(VLOOKUP($E$9,[1]QUART!$A$2:$FA$300, 94, FALSE)="",":",VLOOKUP($E$9,[1]QUART!$A$2:$FA$300, 94, FALSE))</f>
        <v>92453</v>
      </c>
      <c r="CR9" s="1453">
        <f>IF(VLOOKUP($E$9,[1]QUART!$A$2:$FA$300, 95, FALSE)="",":",VLOOKUP($E$9,[1]QUART!$A$2:$FA$300, 95, FALSE))</f>
        <v>93098</v>
      </c>
      <c r="CS9" s="1453">
        <f>IF(VLOOKUP($E$9,[1]QUART!$A$2:$FA$300, 96, FALSE)="",":",VLOOKUP($E$9,[1]QUART!$A$2:$FA$300, 96, FALSE))</f>
        <v>92564</v>
      </c>
      <c r="CT9" s="1453">
        <f>IF(VLOOKUP($E$9,[1]QUART!$A$2:$FA$300, 97, FALSE)="",":",VLOOKUP($E$9,[1]QUART!$A$2:$FA$300, 97, FALSE))</f>
        <v>94370</v>
      </c>
      <c r="CU9" s="1453" t="str">
        <f>IF(VLOOKUP($E$9,[1]QUART!$A$2:$FA$300, 98, FALSE)="",":",VLOOKUP($E$9,[1]QUART!$A$2:$FA$300, 98, FALSE))</f>
        <v>:</v>
      </c>
      <c r="CV9" s="1453" t="str">
        <f>IF(VLOOKUP($E$9,[1]QUART!$A$2:$FA$300, 99, FALSE)="",":",VLOOKUP($E$9,[1]QUART!$A$2:$FA$300, 99, FALSE))</f>
        <v>:</v>
      </c>
      <c r="CW9" s="1453" t="str">
        <f>IF(VLOOKUP($E$9,[1]QUART!$A$2:$FA$300, 100, FALSE)="",":",VLOOKUP($E$9,[1]QUART!$A$2:$FA$300, 100, FALSE))</f>
        <v>:</v>
      </c>
      <c r="CX9" s="1453" t="str">
        <f>IF(VLOOKUP($E$9,[1]QUART!$A$2:$FA$300, 101, FALSE)="",":",VLOOKUP($E$9,[1]QUART!$A$2:$FA$300, 101, FALSE))</f>
        <v>:</v>
      </c>
      <c r="CY9" s="1453" t="str">
        <f>IF(VLOOKUP($E$9,[1]QUART!$A$2:$FA$300, 102, FALSE)="",":",VLOOKUP($E$9,[1]QUART!$A$2:$FA$300, 102, FALSE))</f>
        <v>:</v>
      </c>
      <c r="CZ9" s="1453" t="str">
        <f>IF(VLOOKUP($E$9,[1]QUART!$A$2:$FA$300, 103, FALSE)="",":",VLOOKUP($E$9,[1]QUART!$A$2:$FA$300, 103, FALSE))</f>
        <v>:</v>
      </c>
      <c r="DA9" s="1453" t="str">
        <f>IF(VLOOKUP($E$9,[1]QUART!$A$2:$FA$300, 104, FALSE)="",":",VLOOKUP($E$9,[1]QUART!$A$2:$FA$300, 104, FALSE))</f>
        <v>:</v>
      </c>
      <c r="DB9" s="1453" t="str">
        <f>IF(VLOOKUP($E$9,[1]QUART!$A$2:$FA$300, 105, FALSE)="",":",VLOOKUP($E$9,[1]QUART!$A$2:$FA$300, 105, FALSE))</f>
        <v>:</v>
      </c>
      <c r="DC9" s="1453" t="str">
        <f>IF(VLOOKUP($E$9,[1]QUART!$A$2:$FA$300, 106, FALSE)="",":",VLOOKUP($E$9,[1]QUART!$A$2:$FA$300, 106, FALSE))</f>
        <v>:</v>
      </c>
    </row>
    <row r="10" spans="1:110">
      <c r="A10" s="1449">
        <v>20</v>
      </c>
      <c r="B10" s="546" t="s">
        <v>336</v>
      </c>
      <c r="C10" s="547" t="s">
        <v>1456</v>
      </c>
      <c r="D10" s="1450" t="s">
        <v>363</v>
      </c>
      <c r="E10" s="1451">
        <v>70</v>
      </c>
      <c r="F10" s="1452" t="str">
        <f>VLOOKUP($E$10,[1]QUART!$A$2:$FA$300, 3, FALSE)</f>
        <v xml:space="preserve">70  Imports of goods and services                                                   </v>
      </c>
      <c r="G10" s="1453">
        <f>IF(VLOOKUP($E$10,[1]QUART!$A$2:$FA$300, 6, FALSE)="",":",VLOOKUP($E$10,[1]QUART!$A$2:$FA$300, 6, FALSE))</f>
        <v>37624</v>
      </c>
      <c r="H10" s="1453">
        <f>IF(VLOOKUP($E$10,[1]QUART!$A$2:$FA$300, 7, FALSE)="",":",VLOOKUP($E$10,[1]QUART!$A$2:$FA$300, 7, FALSE))</f>
        <v>37327</v>
      </c>
      <c r="I10" s="1453">
        <f>IF(VLOOKUP($E$10,[1]QUART!$A$2:$FA$300, 8, FALSE)="",":",VLOOKUP($E$10,[1]QUART!$A$2:$FA$300, 8, FALSE))</f>
        <v>37229</v>
      </c>
      <c r="J10" s="1453">
        <f>IF(VLOOKUP($E$10,[1]QUART!$A$2:$FA$300, 9, FALSE)="",":",VLOOKUP($E$10,[1]QUART!$A$2:$FA$300, 9, FALSE))</f>
        <v>38134</v>
      </c>
      <c r="K10" s="1453">
        <f>IF(VLOOKUP($E$10,[1]QUART!$A$2:$FA$300, 10, FALSE)="",":",VLOOKUP($E$10,[1]QUART!$A$2:$FA$300, 10, FALSE))</f>
        <v>38940</v>
      </c>
      <c r="L10" s="1453">
        <f>IF(VLOOKUP($E$10,[1]QUART!$A$2:$FA$300, 11, FALSE)="",":",VLOOKUP($E$10,[1]QUART!$A$2:$FA$300, 11, FALSE))</f>
        <v>39411</v>
      </c>
      <c r="M10" s="1453">
        <f>IF(VLOOKUP($E$10,[1]QUART!$A$2:$FA$300, 12, FALSE)="",":",VLOOKUP($E$10,[1]QUART!$A$2:$FA$300, 12, FALSE))</f>
        <v>39579</v>
      </c>
      <c r="N10" s="1453">
        <f>IF(VLOOKUP($E$10,[1]QUART!$A$2:$FA$300, 13, FALSE)="",":",VLOOKUP($E$10,[1]QUART!$A$2:$FA$300, 13, FALSE))</f>
        <v>40289</v>
      </c>
      <c r="O10" s="1453">
        <f>IF(VLOOKUP($E$10,[1]QUART!$A$2:$FA$300, 14, FALSE)="",":",VLOOKUP($E$10,[1]QUART!$A$2:$FA$300, 14, FALSE))</f>
        <v>41571</v>
      </c>
      <c r="P10" s="1453">
        <f>IF(VLOOKUP($E$10,[1]QUART!$A$2:$FA$300, 15, FALSE)="",":",VLOOKUP($E$10,[1]QUART!$A$2:$FA$300, 15, FALSE))</f>
        <v>42762</v>
      </c>
      <c r="Q10" s="1453">
        <f>IF(VLOOKUP($E$10,[1]QUART!$A$2:$FA$300, 16, FALSE)="",":",VLOOKUP($E$10,[1]QUART!$A$2:$FA$300, 16, FALSE))</f>
        <v>43294</v>
      </c>
      <c r="R10" s="1453">
        <f>IF(VLOOKUP($E$10,[1]QUART!$A$2:$FA$300, 17, FALSE)="",":",VLOOKUP($E$10,[1]QUART!$A$2:$FA$300, 17, FALSE))</f>
        <v>43657</v>
      </c>
      <c r="S10" s="1453">
        <f>IF(VLOOKUP($E$10,[1]QUART!$A$2:$FA$300, 18, FALSE)="",":",VLOOKUP($E$10,[1]QUART!$A$2:$FA$300, 18, FALSE))</f>
        <v>43981</v>
      </c>
      <c r="T10" s="1453">
        <f>IF(VLOOKUP($E$10,[1]QUART!$A$2:$FA$300, 19, FALSE)="",":",VLOOKUP($E$10,[1]QUART!$A$2:$FA$300, 19, FALSE))</f>
        <v>44788</v>
      </c>
      <c r="U10" s="1453">
        <f>IF(VLOOKUP($E$10,[1]QUART!$A$2:$FA$300, 20, FALSE)="",":",VLOOKUP($E$10,[1]QUART!$A$2:$FA$300, 20, FALSE))</f>
        <v>45670</v>
      </c>
      <c r="V10" s="1453">
        <f>IF(VLOOKUP($E$10,[1]QUART!$A$2:$FA$300, 21, FALSE)="",":",VLOOKUP($E$10,[1]QUART!$A$2:$FA$300, 21, FALSE))</f>
        <v>45390</v>
      </c>
      <c r="W10" s="1453">
        <f>IF(VLOOKUP($E$10,[1]QUART!$A$2:$FA$300, 22, FALSE)="",":",VLOOKUP($E$10,[1]QUART!$A$2:$FA$300, 22, FALSE))</f>
        <v>44780</v>
      </c>
      <c r="X10" s="1453">
        <f>IF(VLOOKUP($E$10,[1]QUART!$A$2:$FA$300, 23, FALSE)="",":",VLOOKUP($E$10,[1]QUART!$A$2:$FA$300, 23, FALSE))</f>
        <v>45597</v>
      </c>
      <c r="Y10" s="1453">
        <f>IF(VLOOKUP($E$10,[1]QUART!$A$2:$FA$300, 24, FALSE)="",":",VLOOKUP($E$10,[1]QUART!$A$2:$FA$300, 24, FALSE))</f>
        <v>46967</v>
      </c>
      <c r="Z10" s="1453">
        <f>IF(VLOOKUP($E$10,[1]QUART!$A$2:$FA$300, 25, FALSE)="",":",VLOOKUP($E$10,[1]QUART!$A$2:$FA$300, 25, FALSE))</f>
        <v>48340</v>
      </c>
      <c r="AA10" s="1453">
        <f>IF(VLOOKUP($E$10,[1]QUART!$A$2:$FA$300, 26, FALSE)="",":",VLOOKUP($E$10,[1]QUART!$A$2:$FA$300, 26, FALSE))</f>
        <v>50853</v>
      </c>
      <c r="AB10" s="1453">
        <f>IF(VLOOKUP($E$10,[1]QUART!$A$2:$FA$300, 27, FALSE)="",":",VLOOKUP($E$10,[1]QUART!$A$2:$FA$300, 27, FALSE))</f>
        <v>52190</v>
      </c>
      <c r="AC10" s="1453">
        <f>IF(VLOOKUP($E$10,[1]QUART!$A$2:$FA$300, 28, FALSE)="",":",VLOOKUP($E$10,[1]QUART!$A$2:$FA$300, 28, FALSE))</f>
        <v>53643</v>
      </c>
      <c r="AD10" s="1453">
        <f>IF(VLOOKUP($E$10,[1]QUART!$A$2:$FA$300, 29, FALSE)="",":",VLOOKUP($E$10,[1]QUART!$A$2:$FA$300, 29, FALSE))</f>
        <v>54095</v>
      </c>
      <c r="AE10" s="1453">
        <f>IF(VLOOKUP($E$10,[1]QUART!$A$2:$FA$300, 30, FALSE)="",":",VLOOKUP($E$10,[1]QUART!$A$2:$FA$300, 30, FALSE))</f>
        <v>53627</v>
      </c>
      <c r="AF10" s="1453">
        <f>IF(VLOOKUP($E$10,[1]QUART!$A$2:$FA$300, 31, FALSE)="",":",VLOOKUP($E$10,[1]QUART!$A$2:$FA$300, 31, FALSE))</f>
        <v>52304</v>
      </c>
      <c r="AG10" s="1453">
        <f>IF(VLOOKUP($E$10,[1]QUART!$A$2:$FA$300, 32, FALSE)="",":",VLOOKUP($E$10,[1]QUART!$A$2:$FA$300, 32, FALSE))</f>
        <v>51552</v>
      </c>
      <c r="AH10" s="1453">
        <f>IF(VLOOKUP($E$10,[1]QUART!$A$2:$FA$300, 33, FALSE)="",":",VLOOKUP($E$10,[1]QUART!$A$2:$FA$300, 33, FALSE))</f>
        <v>51139</v>
      </c>
      <c r="AI10" s="1453">
        <f>IF(VLOOKUP($E$10,[1]QUART!$A$2:$FA$300, 34, FALSE)="",":",VLOOKUP($E$10,[1]QUART!$A$2:$FA$300, 34, FALSE))</f>
        <v>51769</v>
      </c>
      <c r="AJ10" s="1453">
        <f>IF(VLOOKUP($E$10,[1]QUART!$A$2:$FA$300, 35, FALSE)="",":",VLOOKUP($E$10,[1]QUART!$A$2:$FA$300, 35, FALSE))</f>
        <v>52383</v>
      </c>
      <c r="AK10" s="1453">
        <f>IF(VLOOKUP($E$10,[1]QUART!$A$2:$FA$300, 36, FALSE)="",":",VLOOKUP($E$10,[1]QUART!$A$2:$FA$300, 36, FALSE))</f>
        <v>52962</v>
      </c>
      <c r="AL10" s="1453">
        <f>IF(VLOOKUP($E$10,[1]QUART!$A$2:$FA$300, 37, FALSE)="",":",VLOOKUP($E$10,[1]QUART!$A$2:$FA$300, 37, FALSE))</f>
        <v>53426</v>
      </c>
      <c r="AM10" s="1453">
        <f>IF(VLOOKUP($E$10,[1]QUART!$A$2:$FA$300, 38, FALSE)="",":",VLOOKUP($E$10,[1]QUART!$A$2:$FA$300, 38, FALSE))</f>
        <v>53198</v>
      </c>
      <c r="AN10" s="1453">
        <f>IF(VLOOKUP($E$10,[1]QUART!$A$2:$FA$300, 39, FALSE)="",":",VLOOKUP($E$10,[1]QUART!$A$2:$FA$300, 39, FALSE))</f>
        <v>52903</v>
      </c>
      <c r="AO10" s="1453">
        <f>IF(VLOOKUP($E$10,[1]QUART!$A$2:$FA$300, 40, FALSE)="",":",VLOOKUP($E$10,[1]QUART!$A$2:$FA$300, 40, FALSE))</f>
        <v>53173</v>
      </c>
      <c r="AP10" s="1453">
        <f>IF(VLOOKUP($E$10,[1]QUART!$A$2:$FA$300, 41, FALSE)="",":",VLOOKUP($E$10,[1]QUART!$A$2:$FA$300, 41, FALSE))</f>
        <v>54391</v>
      </c>
      <c r="AQ10" s="1453">
        <f>IF(VLOOKUP($E$10,[1]QUART!$A$2:$FA$300, 42, FALSE)="",":",VLOOKUP($E$10,[1]QUART!$A$2:$FA$300, 42, FALSE))</f>
        <v>55204</v>
      </c>
      <c r="AR10" s="1453">
        <f>IF(VLOOKUP($E$10,[1]QUART!$A$2:$FA$300, 43, FALSE)="",":",VLOOKUP($E$10,[1]QUART!$A$2:$FA$300, 43, FALSE))</f>
        <v>56170</v>
      </c>
      <c r="AS10" s="1453">
        <f>IF(VLOOKUP($E$10,[1]QUART!$A$2:$FA$300, 44, FALSE)="",":",VLOOKUP($E$10,[1]QUART!$A$2:$FA$300, 44, FALSE))</f>
        <v>57152</v>
      </c>
      <c r="AT10" s="1453">
        <f>IF(VLOOKUP($E$10,[1]QUART!$A$2:$FA$300, 45, FALSE)="",":",VLOOKUP($E$10,[1]QUART!$A$2:$FA$300, 45, FALSE))</f>
        <v>58448</v>
      </c>
      <c r="AU10" s="1453">
        <f>IF(VLOOKUP($E$10,[1]QUART!$A$2:$FA$300, 46, FALSE)="",":",VLOOKUP($E$10,[1]QUART!$A$2:$FA$300, 46, FALSE))</f>
        <v>59153</v>
      </c>
      <c r="AV10" s="1453">
        <f>IF(VLOOKUP($E$10,[1]QUART!$A$2:$FA$300, 47, FALSE)="",":",VLOOKUP($E$10,[1]QUART!$A$2:$FA$300, 47, FALSE))</f>
        <v>60378</v>
      </c>
      <c r="AW10" s="1453">
        <f>IF(VLOOKUP($E$10,[1]QUART!$A$2:$FA$300, 48, FALSE)="",":",VLOOKUP($E$10,[1]QUART!$A$2:$FA$300, 48, FALSE))</f>
        <v>60828</v>
      </c>
      <c r="AX10" s="1453">
        <f>IF(VLOOKUP($E$10,[1]QUART!$A$2:$FA$300, 49, FALSE)="",":",VLOOKUP($E$10,[1]QUART!$A$2:$FA$300, 49, FALSE))</f>
        <v>61261</v>
      </c>
      <c r="AY10" s="1453">
        <f>IF(VLOOKUP($E$10,[1]QUART!$A$2:$FA$300, 50, FALSE)="",":",VLOOKUP($E$10,[1]QUART!$A$2:$FA$300, 50, FALSE))</f>
        <v>62621</v>
      </c>
      <c r="AZ10" s="1453">
        <f>IF(VLOOKUP($E$10,[1]QUART!$A$2:$FA$300, 51, FALSE)="",":",VLOOKUP($E$10,[1]QUART!$A$2:$FA$300, 51, FALSE))</f>
        <v>63142</v>
      </c>
      <c r="BA10" s="1453">
        <f>IF(VLOOKUP($E$10,[1]QUART!$A$2:$FA$300, 52, FALSE)="",":",VLOOKUP($E$10,[1]QUART!$A$2:$FA$300, 52, FALSE))</f>
        <v>63232</v>
      </c>
      <c r="BB10" s="1453">
        <f>IF(VLOOKUP($E$10,[1]QUART!$A$2:$FA$300, 53, FALSE)="",":",VLOOKUP($E$10,[1]QUART!$A$2:$FA$300, 53, FALSE))</f>
        <v>63739</v>
      </c>
      <c r="BC10" s="1453">
        <f>IF(VLOOKUP($E$10,[1]QUART!$A$2:$FA$300, 54, FALSE)="",":",VLOOKUP($E$10,[1]QUART!$A$2:$FA$300, 54, FALSE))</f>
        <v>65595</v>
      </c>
      <c r="BD10" s="1453">
        <f>IF(VLOOKUP($E$10,[1]QUART!$A$2:$FA$300, 55, FALSE)="",":",VLOOKUP($E$10,[1]QUART!$A$2:$FA$300, 55, FALSE))</f>
        <v>66389</v>
      </c>
      <c r="BE10" s="1453">
        <f>IF(VLOOKUP($E$10,[1]QUART!$A$2:$FA$300, 56, FALSE)="",":",VLOOKUP($E$10,[1]QUART!$A$2:$FA$300, 56, FALSE))</f>
        <v>67202</v>
      </c>
      <c r="BF10" s="1453">
        <f>IF(VLOOKUP($E$10,[1]QUART!$A$2:$FA$300, 57, FALSE)="",":",VLOOKUP($E$10,[1]QUART!$A$2:$FA$300, 57, FALSE))</f>
        <v>67892</v>
      </c>
      <c r="BG10" s="1453">
        <f>IF(VLOOKUP($E$10,[1]QUART!$A$2:$FA$300, 58, FALSE)="",":",VLOOKUP($E$10,[1]QUART!$A$2:$FA$300, 58, FALSE))</f>
        <v>69301</v>
      </c>
      <c r="BH10" s="1453">
        <f>IF(VLOOKUP($E$10,[1]QUART!$A$2:$FA$300, 59, FALSE)="",":",VLOOKUP($E$10,[1]QUART!$A$2:$FA$300, 59, FALSE))</f>
        <v>71222</v>
      </c>
      <c r="BI10" s="1453">
        <f>IF(VLOOKUP($E$10,[1]QUART!$A$2:$FA$300, 60, FALSE)="",":",VLOOKUP($E$10,[1]QUART!$A$2:$FA$300, 60, FALSE))</f>
        <v>71010</v>
      </c>
      <c r="BJ10" s="1453">
        <f>IF(VLOOKUP($E$10,[1]QUART!$A$2:$FA$300, 61, FALSE)="",":",VLOOKUP($E$10,[1]QUART!$A$2:$FA$300, 61, FALSE))</f>
        <v>64846</v>
      </c>
      <c r="BK10" s="1453">
        <f>IF(VLOOKUP($E$10,[1]QUART!$A$2:$FA$300, 62, FALSE)="",":",VLOOKUP($E$10,[1]QUART!$A$2:$FA$300, 62, FALSE))</f>
        <v>61275</v>
      </c>
      <c r="BL10" s="1453">
        <f>IF(VLOOKUP($E$10,[1]QUART!$A$2:$FA$300, 63, FALSE)="",":",VLOOKUP($E$10,[1]QUART!$A$2:$FA$300, 63, FALSE))</f>
        <v>61588</v>
      </c>
      <c r="BM10" s="1453">
        <f>IF(VLOOKUP($E$10,[1]QUART!$A$2:$FA$300, 64, FALSE)="",":",VLOOKUP($E$10,[1]QUART!$A$2:$FA$300, 64, FALSE))</f>
        <v>63774</v>
      </c>
      <c r="BN10" s="1453">
        <f>IF(VLOOKUP($E$10,[1]QUART!$A$2:$FA$300, 65, FALSE)="",":",VLOOKUP($E$10,[1]QUART!$A$2:$FA$300, 65, FALSE))</f>
        <v>64839</v>
      </c>
      <c r="BO10" s="1453">
        <f>IF(VLOOKUP($E$10,[1]QUART!$A$2:$FA$300, 66, FALSE)="",":",VLOOKUP($E$10,[1]QUART!$A$2:$FA$300, 66, FALSE))</f>
        <v>66111</v>
      </c>
      <c r="BP10" s="1453">
        <f>IF(VLOOKUP($E$10,[1]QUART!$A$2:$FA$300, 67, FALSE)="",":",VLOOKUP($E$10,[1]QUART!$A$2:$FA$300, 67, FALSE))</f>
        <v>69226</v>
      </c>
      <c r="BQ10" s="1453">
        <f>IF(VLOOKUP($E$10,[1]QUART!$A$2:$FA$300, 68, FALSE)="",":",VLOOKUP($E$10,[1]QUART!$A$2:$FA$300, 68, FALSE))</f>
        <v>69619</v>
      </c>
      <c r="BR10" s="1453">
        <f>IF(VLOOKUP($E$10,[1]QUART!$A$2:$FA$300, 69, FALSE)="",":",VLOOKUP($E$10,[1]QUART!$A$2:$FA$300, 69, FALSE))</f>
        <v>70725</v>
      </c>
      <c r="BS10" s="1453">
        <f>IF(VLOOKUP($E$10,[1]QUART!$A$2:$FA$300, 70, FALSE)="",":",VLOOKUP($E$10,[1]QUART!$A$2:$FA$300, 70, FALSE))</f>
        <v>73054</v>
      </c>
      <c r="BT10" s="1453">
        <f>IF(VLOOKUP($E$10,[1]QUART!$A$2:$FA$300, 71, FALSE)="",":",VLOOKUP($E$10,[1]QUART!$A$2:$FA$300, 71, FALSE))</f>
        <v>74055</v>
      </c>
      <c r="BU10" s="1453">
        <f>IF(VLOOKUP($E$10,[1]QUART!$A$2:$FA$300, 72, FALSE)="",":",VLOOKUP($E$10,[1]QUART!$A$2:$FA$300, 72, FALSE))</f>
        <v>75579</v>
      </c>
      <c r="BV10" s="1453">
        <f>IF(VLOOKUP($E$10,[1]QUART!$A$2:$FA$300, 73, FALSE)="",":",VLOOKUP($E$10,[1]QUART!$A$2:$FA$300, 73, FALSE))</f>
        <v>73146</v>
      </c>
      <c r="BW10" s="1453">
        <f>IF(VLOOKUP($E$10,[1]QUART!$A$2:$FA$300, 74, FALSE)="",":",VLOOKUP($E$10,[1]QUART!$A$2:$FA$300, 74, FALSE))</f>
        <v>74845</v>
      </c>
      <c r="BX10" s="1453">
        <f>IF(VLOOKUP($E$10,[1]QUART!$A$2:$FA$300, 75, FALSE)="",":",VLOOKUP($E$10,[1]QUART!$A$2:$FA$300, 75, FALSE))</f>
        <v>74118</v>
      </c>
      <c r="BY10" s="1453">
        <f>IF(VLOOKUP($E$10,[1]QUART!$A$2:$FA$300, 76, FALSE)="",":",VLOOKUP($E$10,[1]QUART!$A$2:$FA$300, 76, FALSE))</f>
        <v>73557</v>
      </c>
      <c r="BZ10" s="1453">
        <f>IF(VLOOKUP($E$10,[1]QUART!$A$2:$FA$300, 77, FALSE)="",":",VLOOKUP($E$10,[1]QUART!$A$2:$FA$300, 77, FALSE))</f>
        <v>73598</v>
      </c>
      <c r="CA10" s="1453">
        <f>IF(VLOOKUP($E$10,[1]QUART!$A$2:$FA$300, 78, FALSE)="",":",VLOOKUP($E$10,[1]QUART!$A$2:$FA$300, 78, FALSE))</f>
        <v>73330</v>
      </c>
      <c r="CB10" s="1453">
        <f>IF(VLOOKUP($E$10,[1]QUART!$A$2:$FA$300, 79, FALSE)="",":",VLOOKUP($E$10,[1]QUART!$A$2:$FA$300, 79, FALSE))</f>
        <v>73553</v>
      </c>
      <c r="CC10" s="1453">
        <f>IF(VLOOKUP($E$10,[1]QUART!$A$2:$FA$300, 80, FALSE)="",":",VLOOKUP($E$10,[1]QUART!$A$2:$FA$300, 80, FALSE))</f>
        <v>74368</v>
      </c>
      <c r="CD10" s="1453">
        <f>IF(VLOOKUP($E$10,[1]QUART!$A$2:$FA$300, 81, FALSE)="",":",VLOOKUP($E$10,[1]QUART!$A$2:$FA$300, 81, FALSE))</f>
        <v>75880</v>
      </c>
      <c r="CE10" s="1453">
        <f>IF(VLOOKUP($E$10,[1]QUART!$A$2:$FA$300, 82, FALSE)="",":",VLOOKUP($E$10,[1]QUART!$A$2:$FA$300, 82, FALSE))</f>
        <v>76728</v>
      </c>
      <c r="CF10" s="1453">
        <f>IF(VLOOKUP($E$10,[1]QUART!$A$2:$FA$300, 83, FALSE)="",":",VLOOKUP($E$10,[1]QUART!$A$2:$FA$300, 83, FALSE))</f>
        <v>77943</v>
      </c>
      <c r="CG10" s="1453">
        <f>IF(VLOOKUP($E$10,[1]QUART!$A$2:$FA$300, 84, FALSE)="",":",VLOOKUP($E$10,[1]QUART!$A$2:$FA$300, 84, FALSE))</f>
        <v>80901</v>
      </c>
      <c r="CH10" s="1453">
        <f>IF(VLOOKUP($E$10,[1]QUART!$A$2:$FA$300, 85, FALSE)="",":",VLOOKUP($E$10,[1]QUART!$A$2:$FA$300, 85, FALSE))</f>
        <v>79997</v>
      </c>
      <c r="CI10" s="1453">
        <f>IF(VLOOKUP($E$10,[1]QUART!$A$2:$FA$300, 86, FALSE)="",":",VLOOKUP($E$10,[1]QUART!$A$2:$FA$300, 86, FALSE))</f>
        <v>81635</v>
      </c>
      <c r="CJ10" s="1453">
        <f>IF(VLOOKUP($E$10,[1]QUART!$A$2:$FA$300, 87, FALSE)="",":",VLOOKUP($E$10,[1]QUART!$A$2:$FA$300, 87, FALSE))</f>
        <v>80605</v>
      </c>
      <c r="CK10" s="1453">
        <f>IF(VLOOKUP($E$10,[1]QUART!$A$2:$FA$300, 88, FALSE)="",":",VLOOKUP($E$10,[1]QUART!$A$2:$FA$300, 88, FALSE))</f>
        <v>80339</v>
      </c>
      <c r="CL10" s="1453">
        <f>IF(VLOOKUP($E$10,[1]QUART!$A$2:$FA$300, 89, FALSE)="",":",VLOOKUP($E$10,[1]QUART!$A$2:$FA$300, 89, FALSE))</f>
        <v>83335</v>
      </c>
      <c r="CM10" s="1453">
        <f>IF(VLOOKUP($E$10,[1]QUART!$A$2:$FA$300, 90, FALSE)="",":",VLOOKUP($E$10,[1]QUART!$A$2:$FA$300, 90, FALSE))</f>
        <v>82836</v>
      </c>
      <c r="CN10" s="1453">
        <f>IF(VLOOKUP($E$10,[1]QUART!$A$2:$FA$300, 91, FALSE)="",":",VLOOKUP($E$10,[1]QUART!$A$2:$FA$300, 91, FALSE))</f>
        <v>87912</v>
      </c>
      <c r="CO10" s="1453">
        <f>IF(VLOOKUP($E$10,[1]QUART!$A$2:$FA$300, 92, FALSE)="",":",VLOOKUP($E$10,[1]QUART!$A$2:$FA$300, 92, FALSE))</f>
        <v>90599</v>
      </c>
      <c r="CP10" s="1453">
        <f>IF(VLOOKUP($E$10,[1]QUART!$A$2:$FA$300, 93, FALSE)="",":",VLOOKUP($E$10,[1]QUART!$A$2:$FA$300, 93, FALSE))</f>
        <v>91828</v>
      </c>
      <c r="CQ10" s="1453">
        <f>IF(VLOOKUP($E$10,[1]QUART!$A$2:$FA$300, 94, FALSE)="",":",VLOOKUP($E$10,[1]QUART!$A$2:$FA$300, 94, FALSE))</f>
        <v>91354</v>
      </c>
      <c r="CR10" s="1453">
        <f>IF(VLOOKUP($E$10,[1]QUART!$A$2:$FA$300, 95, FALSE)="",":",VLOOKUP($E$10,[1]QUART!$A$2:$FA$300, 95, FALSE))</f>
        <v>92064</v>
      </c>
      <c r="CS10" s="1453">
        <f>IF(VLOOKUP($E$10,[1]QUART!$A$2:$FA$300, 96, FALSE)="",":",VLOOKUP($E$10,[1]QUART!$A$2:$FA$300, 96, FALSE))</f>
        <v>91384</v>
      </c>
      <c r="CT10" s="1453">
        <f>IF(VLOOKUP($E$10,[1]QUART!$A$2:$FA$300, 97, FALSE)="",":",VLOOKUP($E$10,[1]QUART!$A$2:$FA$300, 97, FALSE))</f>
        <v>92819</v>
      </c>
      <c r="CU10" s="1453" t="str">
        <f>IF(VLOOKUP($E$10,[1]QUART!$A$2:$FA$300, 98, FALSE)="",":",VLOOKUP($E$10,[1]QUART!$A$2:$FA$300, 98, FALSE))</f>
        <v>:</v>
      </c>
      <c r="CV10" s="1453" t="str">
        <f>IF(VLOOKUP($E$10,[1]QUART!$A$2:$FA$300, 99, FALSE)="",":",VLOOKUP($E$10,[1]QUART!$A$2:$FA$300, 99, FALSE))</f>
        <v>:</v>
      </c>
      <c r="CW10" s="1453" t="str">
        <f>IF(VLOOKUP($E$10,[1]QUART!$A$2:$FA$300, 100, FALSE)="",":",VLOOKUP($E$10,[1]QUART!$A$2:$FA$300, 100, FALSE))</f>
        <v>:</v>
      </c>
      <c r="CX10" s="1453" t="str">
        <f>IF(VLOOKUP($E$10,[1]QUART!$A$2:$FA$300, 101, FALSE)="",":",VLOOKUP($E$10,[1]QUART!$A$2:$FA$300, 101, FALSE))</f>
        <v>:</v>
      </c>
      <c r="CY10" s="1453" t="str">
        <f>IF(VLOOKUP($E$10,[1]QUART!$A$2:$FA$300, 102, FALSE)="",":",VLOOKUP($E$10,[1]QUART!$A$2:$FA$300, 102, FALSE))</f>
        <v>:</v>
      </c>
      <c r="CZ10" s="1453" t="str">
        <f>IF(VLOOKUP($E$10,[1]QUART!$A$2:$FA$300, 103, FALSE)="",":",VLOOKUP($E$10,[1]QUART!$A$2:$FA$300, 103, FALSE))</f>
        <v>:</v>
      </c>
      <c r="DA10" s="1453" t="str">
        <f>IF(VLOOKUP($E$10,[1]QUART!$A$2:$FA$300, 104, FALSE)="",":",VLOOKUP($E$10,[1]QUART!$A$2:$FA$300, 104, FALSE))</f>
        <v>:</v>
      </c>
      <c r="DB10" s="1453" t="str">
        <f>IF(VLOOKUP($E$10,[1]QUART!$A$2:$FA$300, 105, FALSE)="",":",VLOOKUP($E$10,[1]QUART!$A$2:$FA$300, 105, FALSE))</f>
        <v>:</v>
      </c>
      <c r="DC10" s="1453" t="str">
        <f>IF(VLOOKUP($E$10,[1]QUART!$A$2:$FA$300, 106, FALSE)="",":",VLOOKUP($E$10,[1]QUART!$A$2:$FA$300, 106, FALSE))</f>
        <v>:</v>
      </c>
    </row>
    <row r="11" spans="1:110">
      <c r="A11" s="1449">
        <v>21</v>
      </c>
      <c r="B11" s="1454"/>
      <c r="C11" s="1455"/>
      <c r="D11" s="1450" t="s">
        <v>363</v>
      </c>
      <c r="E11" s="1451">
        <v>71</v>
      </c>
      <c r="F11" s="1452" t="str">
        <f>VLOOKUP($E$11,[1]QUART!$A$2:$FA$300, 3, FALSE)</f>
        <v>71  Domestic demand excluding change in inventories and net acquisition of valuables</v>
      </c>
      <c r="G11" s="1453">
        <f>IF(VLOOKUP($E$11,[1]QUART!$A$2:$FA$300, 6, FALSE)="",":",VLOOKUP($E$11,[1]QUART!$A$2:$FA$300, 6, FALSE))</f>
        <v>73084</v>
      </c>
      <c r="H11" s="1453">
        <f>IF(VLOOKUP($E$11,[1]QUART!$A$2:$FA$300, 7, FALSE)="",":",VLOOKUP($E$11,[1]QUART!$A$2:$FA$300, 7, FALSE))</f>
        <v>73764</v>
      </c>
      <c r="I11" s="1453">
        <f>IF(VLOOKUP($E$11,[1]QUART!$A$2:$FA$300, 8, FALSE)="",":",VLOOKUP($E$11,[1]QUART!$A$2:$FA$300, 8, FALSE))</f>
        <v>74348</v>
      </c>
      <c r="J11" s="1453">
        <f>IF(VLOOKUP($E$11,[1]QUART!$A$2:$FA$300, 9, FALSE)="",":",VLOOKUP($E$11,[1]QUART!$A$2:$FA$300, 9, FALSE))</f>
        <v>74708</v>
      </c>
      <c r="K11" s="1453">
        <f>IF(VLOOKUP($E$11,[1]QUART!$A$2:$FA$300, 10, FALSE)="",":",VLOOKUP($E$11,[1]QUART!$A$2:$FA$300, 10, FALSE))</f>
        <v>74636</v>
      </c>
      <c r="L11" s="1453">
        <f>IF(VLOOKUP($E$11,[1]QUART!$A$2:$FA$300, 11, FALSE)="",":",VLOOKUP($E$11,[1]QUART!$A$2:$FA$300, 11, FALSE))</f>
        <v>75008</v>
      </c>
      <c r="M11" s="1453">
        <f>IF(VLOOKUP($E$11,[1]QUART!$A$2:$FA$300, 12, FALSE)="",":",VLOOKUP($E$11,[1]QUART!$A$2:$FA$300, 12, FALSE))</f>
        <v>75437</v>
      </c>
      <c r="N11" s="1453">
        <f>IF(VLOOKUP($E$11,[1]QUART!$A$2:$FA$300, 13, FALSE)="",":",VLOOKUP($E$11,[1]QUART!$A$2:$FA$300, 13, FALSE))</f>
        <v>75860</v>
      </c>
      <c r="O11" s="1453">
        <f>IF(VLOOKUP($E$11,[1]QUART!$A$2:$FA$300, 14, FALSE)="",":",VLOOKUP($E$11,[1]QUART!$A$2:$FA$300, 14, FALSE))</f>
        <v>76304</v>
      </c>
      <c r="P11" s="1453">
        <f>IF(VLOOKUP($E$11,[1]QUART!$A$2:$FA$300, 15, FALSE)="",":",VLOOKUP($E$11,[1]QUART!$A$2:$FA$300, 15, FALSE))</f>
        <v>77044</v>
      </c>
      <c r="Q11" s="1453">
        <f>IF(VLOOKUP($E$11,[1]QUART!$A$2:$FA$300, 16, FALSE)="",":",VLOOKUP($E$11,[1]QUART!$A$2:$FA$300, 16, FALSE))</f>
        <v>77283</v>
      </c>
      <c r="R11" s="1453">
        <f>IF(VLOOKUP($E$11,[1]QUART!$A$2:$FA$300, 17, FALSE)="",":",VLOOKUP($E$11,[1]QUART!$A$2:$FA$300, 17, FALSE))</f>
        <v>77876</v>
      </c>
      <c r="S11" s="1453">
        <f>IF(VLOOKUP($E$11,[1]QUART!$A$2:$FA$300, 18, FALSE)="",":",VLOOKUP($E$11,[1]QUART!$A$2:$FA$300, 18, FALSE))</f>
        <v>78089</v>
      </c>
      <c r="T11" s="1453">
        <f>IF(VLOOKUP($E$11,[1]QUART!$A$2:$FA$300, 19, FALSE)="",":",VLOOKUP($E$11,[1]QUART!$A$2:$FA$300, 19, FALSE))</f>
        <v>78675</v>
      </c>
      <c r="U11" s="1453">
        <f>IF(VLOOKUP($E$11,[1]QUART!$A$2:$FA$300, 20, FALSE)="",":",VLOOKUP($E$11,[1]QUART!$A$2:$FA$300, 20, FALSE))</f>
        <v>79421</v>
      </c>
      <c r="V11" s="1453">
        <f>IF(VLOOKUP($E$11,[1]QUART!$A$2:$FA$300, 21, FALSE)="",":",VLOOKUP($E$11,[1]QUART!$A$2:$FA$300, 21, FALSE))</f>
        <v>79880</v>
      </c>
      <c r="W11" s="1453">
        <f>IF(VLOOKUP($E$11,[1]QUART!$A$2:$FA$300, 22, FALSE)="",":",VLOOKUP($E$11,[1]QUART!$A$2:$FA$300, 22, FALSE))</f>
        <v>80085</v>
      </c>
      <c r="X11" s="1453">
        <f>IF(VLOOKUP($E$11,[1]QUART!$A$2:$FA$300, 23, FALSE)="",":",VLOOKUP($E$11,[1]QUART!$A$2:$FA$300, 23, FALSE))</f>
        <v>80705</v>
      </c>
      <c r="Y11" s="1453">
        <f>IF(VLOOKUP($E$11,[1]QUART!$A$2:$FA$300, 24, FALSE)="",":",VLOOKUP($E$11,[1]QUART!$A$2:$FA$300, 24, FALSE))</f>
        <v>81259</v>
      </c>
      <c r="Z11" s="1453">
        <f>IF(VLOOKUP($E$11,[1]QUART!$A$2:$FA$300, 25, FALSE)="",":",VLOOKUP($E$11,[1]QUART!$A$2:$FA$300, 25, FALSE))</f>
        <v>81515</v>
      </c>
      <c r="AA11" s="1453">
        <f>IF(VLOOKUP($E$11,[1]QUART!$A$2:$FA$300, 26, FALSE)="",":",VLOOKUP($E$11,[1]QUART!$A$2:$FA$300, 26, FALSE))</f>
        <v>82593</v>
      </c>
      <c r="AB11" s="1453">
        <f>IF(VLOOKUP($E$11,[1]QUART!$A$2:$FA$300, 27, FALSE)="",":",VLOOKUP($E$11,[1]QUART!$A$2:$FA$300, 27, FALSE))</f>
        <v>83181</v>
      </c>
      <c r="AC11" s="1453">
        <f>IF(VLOOKUP($E$11,[1]QUART!$A$2:$FA$300, 28, FALSE)="",":",VLOOKUP($E$11,[1]QUART!$A$2:$FA$300, 28, FALSE))</f>
        <v>83868</v>
      </c>
      <c r="AD11" s="1453">
        <f>IF(VLOOKUP($E$11,[1]QUART!$A$2:$FA$300, 29, FALSE)="",":",VLOOKUP($E$11,[1]QUART!$A$2:$FA$300, 29, FALSE))</f>
        <v>84464</v>
      </c>
      <c r="AE11" s="1453">
        <f>IF(VLOOKUP($E$11,[1]QUART!$A$2:$FA$300, 30, FALSE)="",":",VLOOKUP($E$11,[1]QUART!$A$2:$FA$300, 30, FALSE))</f>
        <v>84846</v>
      </c>
      <c r="AF11" s="1453">
        <f>IF(VLOOKUP($E$11,[1]QUART!$A$2:$FA$300, 31, FALSE)="",":",VLOOKUP($E$11,[1]QUART!$A$2:$FA$300, 31, FALSE))</f>
        <v>84594</v>
      </c>
      <c r="AG11" s="1453">
        <f>IF(VLOOKUP($E$11,[1]QUART!$A$2:$FA$300, 32, FALSE)="",":",VLOOKUP($E$11,[1]QUART!$A$2:$FA$300, 32, FALSE))</f>
        <v>84664</v>
      </c>
      <c r="AH11" s="1453">
        <f>IF(VLOOKUP($E$11,[1]QUART!$A$2:$FA$300, 33, FALSE)="",":",VLOOKUP($E$11,[1]QUART!$A$2:$FA$300, 33, FALSE))</f>
        <v>83790</v>
      </c>
      <c r="AI11" s="1453">
        <f>IF(VLOOKUP($E$11,[1]QUART!$A$2:$FA$300, 34, FALSE)="",":",VLOOKUP($E$11,[1]QUART!$A$2:$FA$300, 34, FALSE))</f>
        <v>84163</v>
      </c>
      <c r="AJ11" s="1453">
        <f>IF(VLOOKUP($E$11,[1]QUART!$A$2:$FA$300, 35, FALSE)="",":",VLOOKUP($E$11,[1]QUART!$A$2:$FA$300, 35, FALSE))</f>
        <v>84225</v>
      </c>
      <c r="AK11" s="1453">
        <f>IF(VLOOKUP($E$11,[1]QUART!$A$2:$FA$300, 36, FALSE)="",":",VLOOKUP($E$11,[1]QUART!$A$2:$FA$300, 36, FALSE))</f>
        <v>84296</v>
      </c>
      <c r="AL11" s="1453">
        <f>IF(VLOOKUP($E$11,[1]QUART!$A$2:$FA$300, 37, FALSE)="",":",VLOOKUP($E$11,[1]QUART!$A$2:$FA$300, 37, FALSE))</f>
        <v>84868</v>
      </c>
      <c r="AM11" s="1453">
        <f>IF(VLOOKUP($E$11,[1]QUART!$A$2:$FA$300, 38, FALSE)="",":",VLOOKUP($E$11,[1]QUART!$A$2:$FA$300, 38, FALSE))</f>
        <v>84643</v>
      </c>
      <c r="AN11" s="1453">
        <f>IF(VLOOKUP($E$11,[1]QUART!$A$2:$FA$300, 39, FALSE)="",":",VLOOKUP($E$11,[1]QUART!$A$2:$FA$300, 39, FALSE))</f>
        <v>84680</v>
      </c>
      <c r="AO11" s="1453">
        <f>IF(VLOOKUP($E$11,[1]QUART!$A$2:$FA$300, 40, FALSE)="",":",VLOOKUP($E$11,[1]QUART!$A$2:$FA$300, 40, FALSE))</f>
        <v>84888</v>
      </c>
      <c r="AP11" s="1453">
        <f>IF(VLOOKUP($E$11,[1]QUART!$A$2:$FA$300, 41, FALSE)="",":",VLOOKUP($E$11,[1]QUART!$A$2:$FA$300, 41, FALSE))</f>
        <v>85164</v>
      </c>
      <c r="AQ11" s="1453">
        <f>IF(VLOOKUP($E$11,[1]QUART!$A$2:$FA$300, 42, FALSE)="",":",VLOOKUP($E$11,[1]QUART!$A$2:$FA$300, 42, FALSE))</f>
        <v>86656</v>
      </c>
      <c r="AR11" s="1453">
        <f>IF(VLOOKUP($E$11,[1]QUART!$A$2:$FA$300, 43, FALSE)="",":",VLOOKUP($E$11,[1]QUART!$A$2:$FA$300, 43, FALSE))</f>
        <v>87350</v>
      </c>
      <c r="AS11" s="1453">
        <f>IF(VLOOKUP($E$11,[1]QUART!$A$2:$FA$300, 44, FALSE)="",":",VLOOKUP($E$11,[1]QUART!$A$2:$FA$300, 44, FALSE))</f>
        <v>88036</v>
      </c>
      <c r="AT11" s="1453">
        <f>IF(VLOOKUP($E$11,[1]QUART!$A$2:$FA$300, 45, FALSE)="",":",VLOOKUP($E$11,[1]QUART!$A$2:$FA$300, 45, FALSE))</f>
        <v>87901</v>
      </c>
      <c r="AU11" s="1453">
        <f>IF(VLOOKUP($E$11,[1]QUART!$A$2:$FA$300, 46, FALSE)="",":",VLOOKUP($E$11,[1]QUART!$A$2:$FA$300, 46, FALSE))</f>
        <v>88741</v>
      </c>
      <c r="AV11" s="1453">
        <f>IF(VLOOKUP($E$11,[1]QUART!$A$2:$FA$300, 47, FALSE)="",":",VLOOKUP($E$11,[1]QUART!$A$2:$FA$300, 47, FALSE))</f>
        <v>89683</v>
      </c>
      <c r="AW11" s="1453">
        <f>IF(VLOOKUP($E$11,[1]QUART!$A$2:$FA$300, 48, FALSE)="",":",VLOOKUP($E$11,[1]QUART!$A$2:$FA$300, 48, FALSE))</f>
        <v>89554</v>
      </c>
      <c r="AX11" s="1453">
        <f>IF(VLOOKUP($E$11,[1]QUART!$A$2:$FA$300, 49, FALSE)="",":",VLOOKUP($E$11,[1]QUART!$A$2:$FA$300, 49, FALSE))</f>
        <v>89575</v>
      </c>
      <c r="AY11" s="1453">
        <f>IF(VLOOKUP($E$11,[1]QUART!$A$2:$FA$300, 50, FALSE)="",":",VLOOKUP($E$11,[1]QUART!$A$2:$FA$300, 50, FALSE))</f>
        <v>90309</v>
      </c>
      <c r="AZ11" s="1453">
        <f>IF(VLOOKUP($E$11,[1]QUART!$A$2:$FA$300, 51, FALSE)="",":",VLOOKUP($E$11,[1]QUART!$A$2:$FA$300, 51, FALSE))</f>
        <v>90374</v>
      </c>
      <c r="BA11" s="1453">
        <f>IF(VLOOKUP($E$11,[1]QUART!$A$2:$FA$300, 52, FALSE)="",":",VLOOKUP($E$11,[1]QUART!$A$2:$FA$300, 52, FALSE))</f>
        <v>90863</v>
      </c>
      <c r="BB11" s="1453">
        <f>IF(VLOOKUP($E$11,[1]QUART!$A$2:$FA$300, 53, FALSE)="",":",VLOOKUP($E$11,[1]QUART!$A$2:$FA$300, 53, FALSE))</f>
        <v>91216</v>
      </c>
      <c r="BC11" s="1453">
        <f>IF(VLOOKUP($E$11,[1]QUART!$A$2:$FA$300, 54, FALSE)="",":",VLOOKUP($E$11,[1]QUART!$A$2:$FA$300, 54, FALSE))</f>
        <v>92307</v>
      </c>
      <c r="BD11" s="1453">
        <f>IF(VLOOKUP($E$11,[1]QUART!$A$2:$FA$300, 55, FALSE)="",":",VLOOKUP($E$11,[1]QUART!$A$2:$FA$300, 55, FALSE))</f>
        <v>92963</v>
      </c>
      <c r="BE11" s="1453">
        <f>IF(VLOOKUP($E$11,[1]QUART!$A$2:$FA$300, 56, FALSE)="",":",VLOOKUP($E$11,[1]QUART!$A$2:$FA$300, 56, FALSE))</f>
        <v>93795</v>
      </c>
      <c r="BF11" s="1453">
        <f>IF(VLOOKUP($E$11,[1]QUART!$A$2:$FA$300, 57, FALSE)="",":",VLOOKUP($E$11,[1]QUART!$A$2:$FA$300, 57, FALSE))</f>
        <v>94595</v>
      </c>
      <c r="BG11" s="1453">
        <f>IF(VLOOKUP($E$11,[1]QUART!$A$2:$FA$300, 58, FALSE)="",":",VLOOKUP($E$11,[1]QUART!$A$2:$FA$300, 58, FALSE))</f>
        <v>95416</v>
      </c>
      <c r="BH11" s="1453">
        <f>IF(VLOOKUP($E$11,[1]QUART!$A$2:$FA$300, 59, FALSE)="",":",VLOOKUP($E$11,[1]QUART!$A$2:$FA$300, 59, FALSE))</f>
        <v>95773</v>
      </c>
      <c r="BI11" s="1453">
        <f>IF(VLOOKUP($E$11,[1]QUART!$A$2:$FA$300, 60, FALSE)="",":",VLOOKUP($E$11,[1]QUART!$A$2:$FA$300, 60, FALSE))</f>
        <v>95357</v>
      </c>
      <c r="BJ11" s="1453">
        <f>IF(VLOOKUP($E$11,[1]QUART!$A$2:$FA$300, 61, FALSE)="",":",VLOOKUP($E$11,[1]QUART!$A$2:$FA$300, 61, FALSE))</f>
        <v>94663</v>
      </c>
      <c r="BK11" s="1453">
        <f>IF(VLOOKUP($E$11,[1]QUART!$A$2:$FA$300, 62, FALSE)="",":",VLOOKUP($E$11,[1]QUART!$A$2:$FA$300, 62, FALSE))</f>
        <v>93806</v>
      </c>
      <c r="BL11" s="1453">
        <f>IF(VLOOKUP($E$11,[1]QUART!$A$2:$FA$300, 63, FALSE)="",":",VLOOKUP($E$11,[1]QUART!$A$2:$FA$300, 63, FALSE))</f>
        <v>94009</v>
      </c>
      <c r="BM11" s="1453">
        <f>IF(VLOOKUP($E$11,[1]QUART!$A$2:$FA$300, 64, FALSE)="",":",VLOOKUP($E$11,[1]QUART!$A$2:$FA$300, 64, FALSE))</f>
        <v>94251</v>
      </c>
      <c r="BN11" s="1453">
        <f>IF(VLOOKUP($E$11,[1]QUART!$A$2:$FA$300, 65, FALSE)="",":",VLOOKUP($E$11,[1]QUART!$A$2:$FA$300, 65, FALSE))</f>
        <v>95074</v>
      </c>
      <c r="BO11" s="1453">
        <f>IF(VLOOKUP($E$11,[1]QUART!$A$2:$FA$300, 66, FALSE)="",":",VLOOKUP($E$11,[1]QUART!$A$2:$FA$300, 66, FALSE))</f>
        <v>95195</v>
      </c>
      <c r="BP11" s="1453">
        <f>IF(VLOOKUP($E$11,[1]QUART!$A$2:$FA$300, 67, FALSE)="",":",VLOOKUP($E$11,[1]QUART!$A$2:$FA$300, 67, FALSE))</f>
        <v>95404</v>
      </c>
      <c r="BQ11" s="1453">
        <f>IF(VLOOKUP($E$11,[1]QUART!$A$2:$FA$300, 68, FALSE)="",":",VLOOKUP($E$11,[1]QUART!$A$2:$FA$300, 68, FALSE))</f>
        <v>95773</v>
      </c>
      <c r="BR11" s="1453">
        <f>IF(VLOOKUP($E$11,[1]QUART!$A$2:$FA$300, 69, FALSE)="",":",VLOOKUP($E$11,[1]QUART!$A$2:$FA$300, 69, FALSE))</f>
        <v>96305</v>
      </c>
      <c r="BS11" s="1453">
        <f>IF(VLOOKUP($E$11,[1]QUART!$A$2:$FA$300, 70, FALSE)="",":",VLOOKUP($E$11,[1]QUART!$A$2:$FA$300, 70, FALSE))</f>
        <v>96398</v>
      </c>
      <c r="BT11" s="1453">
        <f>IF(VLOOKUP($E$11,[1]QUART!$A$2:$FA$300, 71, FALSE)="",":",VLOOKUP($E$11,[1]QUART!$A$2:$FA$300, 71, FALSE))</f>
        <v>96869</v>
      </c>
      <c r="BU11" s="1453">
        <f>IF(VLOOKUP($E$11,[1]QUART!$A$2:$FA$300, 72, FALSE)="",":",VLOOKUP($E$11,[1]QUART!$A$2:$FA$300, 72, FALSE))</f>
        <v>97168</v>
      </c>
      <c r="BV11" s="1453">
        <f>IF(VLOOKUP($E$11,[1]QUART!$A$2:$FA$300, 73, FALSE)="",":",VLOOKUP($E$11,[1]QUART!$A$2:$FA$300, 73, FALSE))</f>
        <v>97696</v>
      </c>
      <c r="BW11" s="1453">
        <f>IF(VLOOKUP($E$11,[1]QUART!$A$2:$FA$300, 74, FALSE)="",":",VLOOKUP($E$11,[1]QUART!$A$2:$FA$300, 74, FALSE))</f>
        <v>97593</v>
      </c>
      <c r="BX11" s="1453">
        <f>IF(VLOOKUP($E$11,[1]QUART!$A$2:$FA$300, 75, FALSE)="",":",VLOOKUP($E$11,[1]QUART!$A$2:$FA$300, 75, FALSE))</f>
        <v>97760</v>
      </c>
      <c r="BY11" s="1453">
        <f>IF(VLOOKUP($E$11,[1]QUART!$A$2:$FA$300, 76, FALSE)="",":",VLOOKUP($E$11,[1]QUART!$A$2:$FA$300, 76, FALSE))</f>
        <v>97827</v>
      </c>
      <c r="BZ11" s="1453">
        <f>IF(VLOOKUP($E$11,[1]QUART!$A$2:$FA$300, 77, FALSE)="",":",VLOOKUP($E$11,[1]QUART!$A$2:$FA$300, 77, FALSE))</f>
        <v>97663</v>
      </c>
      <c r="CA11" s="1453">
        <f>IF(VLOOKUP($E$11,[1]QUART!$A$2:$FA$300, 78, FALSE)="",":",VLOOKUP($E$11,[1]QUART!$A$2:$FA$300, 78, FALSE))</f>
        <v>97616</v>
      </c>
      <c r="CB11" s="1453">
        <f>IF(VLOOKUP($E$11,[1]QUART!$A$2:$FA$300, 79, FALSE)="",":",VLOOKUP($E$11,[1]QUART!$A$2:$FA$300, 79, FALSE))</f>
        <v>97774</v>
      </c>
      <c r="CC11" s="1453">
        <f>IF(VLOOKUP($E$11,[1]QUART!$A$2:$FA$300, 80, FALSE)="",":",VLOOKUP($E$11,[1]QUART!$A$2:$FA$300, 80, FALSE))</f>
        <v>98035</v>
      </c>
      <c r="CD11" s="1453">
        <f>IF(VLOOKUP($E$11,[1]QUART!$A$2:$FA$300, 81, FALSE)="",":",VLOOKUP($E$11,[1]QUART!$A$2:$FA$300, 81, FALSE))</f>
        <v>97932</v>
      </c>
      <c r="CE11" s="1453">
        <f>IF(VLOOKUP($E$11,[1]QUART!$A$2:$FA$300, 82, FALSE)="",":",VLOOKUP($E$11,[1]QUART!$A$2:$FA$300, 82, FALSE))</f>
        <v>98503</v>
      </c>
      <c r="CF11" s="1453">
        <f>IF(VLOOKUP($E$11,[1]QUART!$A$2:$FA$300, 83, FALSE)="",":",VLOOKUP($E$11,[1]QUART!$A$2:$FA$300, 83, FALSE))</f>
        <v>98964</v>
      </c>
      <c r="CG11" s="1453">
        <f>IF(VLOOKUP($E$11,[1]QUART!$A$2:$FA$300, 84, FALSE)="",":",VLOOKUP($E$11,[1]QUART!$A$2:$FA$300, 84, FALSE))</f>
        <v>100947</v>
      </c>
      <c r="CH11" s="1453">
        <f>IF(VLOOKUP($E$11,[1]QUART!$A$2:$FA$300, 85, FALSE)="",":",VLOOKUP($E$11,[1]QUART!$A$2:$FA$300, 85, FALSE))</f>
        <v>100065</v>
      </c>
      <c r="CI11" s="1453">
        <f>IF(VLOOKUP($E$11,[1]QUART!$A$2:$FA$300, 86, FALSE)="",":",VLOOKUP($E$11,[1]QUART!$A$2:$FA$300, 86, FALSE))</f>
        <v>102290</v>
      </c>
      <c r="CJ11" s="1453">
        <f>IF(VLOOKUP($E$11,[1]QUART!$A$2:$FA$300, 87, FALSE)="",":",VLOOKUP($E$11,[1]QUART!$A$2:$FA$300, 87, FALSE))</f>
        <v>99748</v>
      </c>
      <c r="CK11" s="1453">
        <f>IF(VLOOKUP($E$11,[1]QUART!$A$2:$FA$300, 88, FALSE)="",":",VLOOKUP($E$11,[1]QUART!$A$2:$FA$300, 88, FALSE))</f>
        <v>100369</v>
      </c>
      <c r="CL11" s="1453">
        <f>IF(VLOOKUP($E$11,[1]QUART!$A$2:$FA$300, 89, FALSE)="",":",VLOOKUP($E$11,[1]QUART!$A$2:$FA$300, 89, FALSE))</f>
        <v>100877</v>
      </c>
      <c r="CM11" s="1453">
        <f>IF(VLOOKUP($E$11,[1]QUART!$A$2:$FA$300, 90, FALSE)="",":",VLOOKUP($E$11,[1]QUART!$A$2:$FA$300, 90, FALSE))</f>
        <v>101596</v>
      </c>
      <c r="CN11" s="1453">
        <f>IF(VLOOKUP($E$11,[1]QUART!$A$2:$FA$300, 91, FALSE)="",":",VLOOKUP($E$11,[1]QUART!$A$2:$FA$300, 91, FALSE))</f>
        <v>102046</v>
      </c>
      <c r="CO11" s="1453">
        <f>IF(VLOOKUP($E$11,[1]QUART!$A$2:$FA$300, 92, FALSE)="",":",VLOOKUP($E$11,[1]QUART!$A$2:$FA$300, 92, FALSE))</f>
        <v>104166</v>
      </c>
      <c r="CP11" s="1453">
        <f>IF(VLOOKUP($E$11,[1]QUART!$A$2:$FA$300, 93, FALSE)="",":",VLOOKUP($E$11,[1]QUART!$A$2:$FA$300, 93, FALSE))</f>
        <v>102897</v>
      </c>
      <c r="CQ11" s="1453">
        <f>IF(VLOOKUP($E$11,[1]QUART!$A$2:$FA$300, 94, FALSE)="",":",VLOOKUP($E$11,[1]QUART!$A$2:$FA$300, 94, FALSE))</f>
        <v>103074</v>
      </c>
      <c r="CR11" s="1453">
        <f>IF(VLOOKUP($E$11,[1]QUART!$A$2:$FA$300, 95, FALSE)="",":",VLOOKUP($E$11,[1]QUART!$A$2:$FA$300, 95, FALSE))</f>
        <v>103598</v>
      </c>
      <c r="CS11" s="1453">
        <f>IF(VLOOKUP($E$11,[1]QUART!$A$2:$FA$300, 96, FALSE)="",":",VLOOKUP($E$11,[1]QUART!$A$2:$FA$300, 96, FALSE))</f>
        <v>104096</v>
      </c>
      <c r="CT11" s="1453">
        <f>IF(VLOOKUP($E$11,[1]QUART!$A$2:$FA$300, 97, FALSE)="",":",VLOOKUP($E$11,[1]QUART!$A$2:$FA$300, 97, FALSE))</f>
        <v>104362</v>
      </c>
      <c r="CU11" s="1453" t="str">
        <f>IF(VLOOKUP($E$11,[1]QUART!$A$2:$FA$300, 98, FALSE)="",":",VLOOKUP($E$11,[1]QUART!$A$2:$FA$300, 98, FALSE))</f>
        <v>:</v>
      </c>
      <c r="CV11" s="1453" t="str">
        <f>IF(VLOOKUP($E$11,[1]QUART!$A$2:$FA$300, 99, FALSE)="",":",VLOOKUP($E$11,[1]QUART!$A$2:$FA$300, 99, FALSE))</f>
        <v>:</v>
      </c>
      <c r="CW11" s="1453" t="str">
        <f>IF(VLOOKUP($E$11,[1]QUART!$A$2:$FA$300, 100, FALSE)="",":",VLOOKUP($E$11,[1]QUART!$A$2:$FA$300, 100, FALSE))</f>
        <v>:</v>
      </c>
      <c r="CX11" s="1453" t="str">
        <f>IF(VLOOKUP($E$11,[1]QUART!$A$2:$FA$300, 101, FALSE)="",":",VLOOKUP($E$11,[1]QUART!$A$2:$FA$300, 101, FALSE))</f>
        <v>:</v>
      </c>
      <c r="CY11" s="1453" t="str">
        <f>IF(VLOOKUP($E$11,[1]QUART!$A$2:$FA$300, 102, FALSE)="",":",VLOOKUP($E$11,[1]QUART!$A$2:$FA$300, 102, FALSE))</f>
        <v>:</v>
      </c>
      <c r="CZ11" s="1453" t="str">
        <f>IF(VLOOKUP($E$11,[1]QUART!$A$2:$FA$300, 103, FALSE)="",":",VLOOKUP($E$11,[1]QUART!$A$2:$FA$300, 103, FALSE))</f>
        <v>:</v>
      </c>
      <c r="DA11" s="1453" t="str">
        <f>IF(VLOOKUP($E$11,[1]QUART!$A$2:$FA$300, 104, FALSE)="",":",VLOOKUP($E$11,[1]QUART!$A$2:$FA$300, 104, FALSE))</f>
        <v>:</v>
      </c>
      <c r="DB11" s="1453" t="str">
        <f>IF(VLOOKUP($E$11,[1]QUART!$A$2:$FA$300, 105, FALSE)="",":",VLOOKUP($E$11,[1]QUART!$A$2:$FA$300, 105, FALSE))</f>
        <v>:</v>
      </c>
      <c r="DC11" s="1453" t="str">
        <f>IF(VLOOKUP($E$11,[1]QUART!$A$2:$FA$300, 106, FALSE)="",":",VLOOKUP($E$11,[1]QUART!$A$2:$FA$300, 106, FALSE))</f>
        <v>:</v>
      </c>
    </row>
    <row r="12" spans="1:110">
      <c r="A12" s="1449">
        <v>22</v>
      </c>
      <c r="B12" s="1454"/>
      <c r="C12" s="1455"/>
      <c r="D12" s="1450" t="s">
        <v>363</v>
      </c>
      <c r="E12" s="1451">
        <v>72</v>
      </c>
      <c r="F12" s="1452" t="str">
        <f>VLOOKUP($E$12,[1]QUART!$A$2:$FA$300, 3, FALSE)</f>
        <v>72  Domestic demand including change in inventories and net acquisition of valuables</v>
      </c>
      <c r="G12" s="1453">
        <f>IF(VLOOKUP($E$12,[1]QUART!$A$2:$FA$300, 6, FALSE)="",":",VLOOKUP($E$12,[1]QUART!$A$2:$FA$300, 6, FALSE))</f>
        <v>73084</v>
      </c>
      <c r="H12" s="1453">
        <f>IF(VLOOKUP($E$12,[1]QUART!$A$2:$FA$300, 7, FALSE)="",":",VLOOKUP($E$12,[1]QUART!$A$2:$FA$300, 7, FALSE))</f>
        <v>73764</v>
      </c>
      <c r="I12" s="1453">
        <f>IF(VLOOKUP($E$12,[1]QUART!$A$2:$FA$300, 8, FALSE)="",":",VLOOKUP($E$12,[1]QUART!$A$2:$FA$300, 8, FALSE))</f>
        <v>74348</v>
      </c>
      <c r="J12" s="1453">
        <f>IF(VLOOKUP($E$12,[1]QUART!$A$2:$FA$300, 9, FALSE)="",":",VLOOKUP($E$12,[1]QUART!$A$2:$FA$300, 9, FALSE))</f>
        <v>74708</v>
      </c>
      <c r="K12" s="1453">
        <f>IF(VLOOKUP($E$12,[1]QUART!$A$2:$FA$300, 10, FALSE)="",":",VLOOKUP($E$12,[1]QUART!$A$2:$FA$300, 10, FALSE))</f>
        <v>74636</v>
      </c>
      <c r="L12" s="1453">
        <f>IF(VLOOKUP($E$12,[1]QUART!$A$2:$FA$300, 11, FALSE)="",":",VLOOKUP($E$12,[1]QUART!$A$2:$FA$300, 11, FALSE))</f>
        <v>75008</v>
      </c>
      <c r="M12" s="1453">
        <f>IF(VLOOKUP($E$12,[1]QUART!$A$2:$FA$300, 12, FALSE)="",":",VLOOKUP($E$12,[1]QUART!$A$2:$FA$300, 12, FALSE))</f>
        <v>75437</v>
      </c>
      <c r="N12" s="1453">
        <f>IF(VLOOKUP($E$12,[1]QUART!$A$2:$FA$300, 13, FALSE)="",":",VLOOKUP($E$12,[1]QUART!$A$2:$FA$300, 13, FALSE))</f>
        <v>75860</v>
      </c>
      <c r="O12" s="1453">
        <f>IF(VLOOKUP($E$12,[1]QUART!$A$2:$FA$300, 14, FALSE)="",":",VLOOKUP($E$12,[1]QUART!$A$2:$FA$300, 14, FALSE))</f>
        <v>76304</v>
      </c>
      <c r="P12" s="1453">
        <f>IF(VLOOKUP($E$12,[1]QUART!$A$2:$FA$300, 15, FALSE)="",":",VLOOKUP($E$12,[1]QUART!$A$2:$FA$300, 15, FALSE))</f>
        <v>77044</v>
      </c>
      <c r="Q12" s="1453">
        <f>IF(VLOOKUP($E$12,[1]QUART!$A$2:$FA$300, 16, FALSE)="",":",VLOOKUP($E$12,[1]QUART!$A$2:$FA$300, 16, FALSE))</f>
        <v>77283</v>
      </c>
      <c r="R12" s="1453">
        <f>IF(VLOOKUP($E$12,[1]QUART!$A$2:$FA$300, 17, FALSE)="",":",VLOOKUP($E$12,[1]QUART!$A$2:$FA$300, 17, FALSE))</f>
        <v>77876</v>
      </c>
      <c r="S12" s="1453">
        <f>IF(VLOOKUP($E$12,[1]QUART!$A$2:$FA$300, 18, FALSE)="",":",VLOOKUP($E$12,[1]QUART!$A$2:$FA$300, 18, FALSE))</f>
        <v>78089</v>
      </c>
      <c r="T12" s="1453">
        <f>IF(VLOOKUP($E$12,[1]QUART!$A$2:$FA$300, 19, FALSE)="",":",VLOOKUP($E$12,[1]QUART!$A$2:$FA$300, 19, FALSE))</f>
        <v>78675</v>
      </c>
      <c r="U12" s="1453">
        <f>IF(VLOOKUP($E$12,[1]QUART!$A$2:$FA$300, 20, FALSE)="",":",VLOOKUP($E$12,[1]QUART!$A$2:$FA$300, 20, FALSE))</f>
        <v>79421</v>
      </c>
      <c r="V12" s="1453">
        <f>IF(VLOOKUP($E$12,[1]QUART!$A$2:$FA$300, 21, FALSE)="",":",VLOOKUP($E$12,[1]QUART!$A$2:$FA$300, 21, FALSE))</f>
        <v>79880</v>
      </c>
      <c r="W12" s="1453">
        <f>IF(VLOOKUP($E$12,[1]QUART!$A$2:$FA$300, 22, FALSE)="",":",VLOOKUP($E$12,[1]QUART!$A$2:$FA$300, 22, FALSE))</f>
        <v>80085</v>
      </c>
      <c r="X12" s="1453">
        <f>IF(VLOOKUP($E$12,[1]QUART!$A$2:$FA$300, 23, FALSE)="",":",VLOOKUP($E$12,[1]QUART!$A$2:$FA$300, 23, FALSE))</f>
        <v>80705</v>
      </c>
      <c r="Y12" s="1453">
        <f>IF(VLOOKUP($E$12,[1]QUART!$A$2:$FA$300, 24, FALSE)="",":",VLOOKUP($E$12,[1]QUART!$A$2:$FA$300, 24, FALSE))</f>
        <v>81259</v>
      </c>
      <c r="Z12" s="1453">
        <f>IF(VLOOKUP($E$12,[1]QUART!$A$2:$FA$300, 25, FALSE)="",":",VLOOKUP($E$12,[1]QUART!$A$2:$FA$300, 25, FALSE))</f>
        <v>81515</v>
      </c>
      <c r="AA12" s="1453">
        <f>IF(VLOOKUP($E$12,[1]QUART!$A$2:$FA$300, 26, FALSE)="",":",VLOOKUP($E$12,[1]QUART!$A$2:$FA$300, 26, FALSE))</f>
        <v>82593</v>
      </c>
      <c r="AB12" s="1453">
        <f>IF(VLOOKUP($E$12,[1]QUART!$A$2:$FA$300, 27, FALSE)="",":",VLOOKUP($E$12,[1]QUART!$A$2:$FA$300, 27, FALSE))</f>
        <v>83181</v>
      </c>
      <c r="AC12" s="1453">
        <f>IF(VLOOKUP($E$12,[1]QUART!$A$2:$FA$300, 28, FALSE)="",":",VLOOKUP($E$12,[1]QUART!$A$2:$FA$300, 28, FALSE))</f>
        <v>83868</v>
      </c>
      <c r="AD12" s="1453">
        <f>IF(VLOOKUP($E$12,[1]QUART!$A$2:$FA$300, 29, FALSE)="",":",VLOOKUP($E$12,[1]QUART!$A$2:$FA$300, 29, FALSE))</f>
        <v>84464</v>
      </c>
      <c r="AE12" s="1453">
        <f>IF(VLOOKUP($E$12,[1]QUART!$A$2:$FA$300, 30, FALSE)="",":",VLOOKUP($E$12,[1]QUART!$A$2:$FA$300, 30, FALSE))</f>
        <v>84846</v>
      </c>
      <c r="AF12" s="1453">
        <f>IF(VLOOKUP($E$12,[1]QUART!$A$2:$FA$300, 31, FALSE)="",":",VLOOKUP($E$12,[1]QUART!$A$2:$FA$300, 31, FALSE))</f>
        <v>84594</v>
      </c>
      <c r="AG12" s="1453">
        <f>IF(VLOOKUP($E$12,[1]QUART!$A$2:$FA$300, 32, FALSE)="",":",VLOOKUP($E$12,[1]QUART!$A$2:$FA$300, 32, FALSE))</f>
        <v>84664</v>
      </c>
      <c r="AH12" s="1453">
        <f>IF(VLOOKUP($E$12,[1]QUART!$A$2:$FA$300, 33, FALSE)="",":",VLOOKUP($E$12,[1]QUART!$A$2:$FA$300, 33, FALSE))</f>
        <v>83790</v>
      </c>
      <c r="AI12" s="1453">
        <f>IF(VLOOKUP($E$12,[1]QUART!$A$2:$FA$300, 34, FALSE)="",":",VLOOKUP($E$12,[1]QUART!$A$2:$FA$300, 34, FALSE))</f>
        <v>84163</v>
      </c>
      <c r="AJ12" s="1453">
        <f>IF(VLOOKUP($E$12,[1]QUART!$A$2:$FA$300, 35, FALSE)="",":",VLOOKUP($E$12,[1]QUART!$A$2:$FA$300, 35, FALSE))</f>
        <v>84225</v>
      </c>
      <c r="AK12" s="1453">
        <f>IF(VLOOKUP($E$12,[1]QUART!$A$2:$FA$300, 36, FALSE)="",":",VLOOKUP($E$12,[1]QUART!$A$2:$FA$300, 36, FALSE))</f>
        <v>84296</v>
      </c>
      <c r="AL12" s="1453">
        <f>IF(VLOOKUP($E$12,[1]QUART!$A$2:$FA$300, 37, FALSE)="",":",VLOOKUP($E$12,[1]QUART!$A$2:$FA$300, 37, FALSE))</f>
        <v>84868</v>
      </c>
      <c r="AM12" s="1453">
        <f>IF(VLOOKUP($E$12,[1]QUART!$A$2:$FA$300, 38, FALSE)="",":",VLOOKUP($E$12,[1]QUART!$A$2:$FA$300, 38, FALSE))</f>
        <v>84643</v>
      </c>
      <c r="AN12" s="1453">
        <f>IF(VLOOKUP($E$12,[1]QUART!$A$2:$FA$300, 39, FALSE)="",":",VLOOKUP($E$12,[1]QUART!$A$2:$FA$300, 39, FALSE))</f>
        <v>84680</v>
      </c>
      <c r="AO12" s="1453">
        <f>IF(VLOOKUP($E$12,[1]QUART!$A$2:$FA$300, 40, FALSE)="",":",VLOOKUP($E$12,[1]QUART!$A$2:$FA$300, 40, FALSE))</f>
        <v>84888</v>
      </c>
      <c r="AP12" s="1453">
        <f>IF(VLOOKUP($E$12,[1]QUART!$A$2:$FA$300, 41, FALSE)="",":",VLOOKUP($E$12,[1]QUART!$A$2:$FA$300, 41, FALSE))</f>
        <v>85164</v>
      </c>
      <c r="AQ12" s="1453">
        <f>IF(VLOOKUP($E$12,[1]QUART!$A$2:$FA$300, 42, FALSE)="",":",VLOOKUP($E$12,[1]QUART!$A$2:$FA$300, 42, FALSE))</f>
        <v>86656</v>
      </c>
      <c r="AR12" s="1453">
        <f>IF(VLOOKUP($E$12,[1]QUART!$A$2:$FA$300, 43, FALSE)="",":",VLOOKUP($E$12,[1]QUART!$A$2:$FA$300, 43, FALSE))</f>
        <v>87350</v>
      </c>
      <c r="AS12" s="1453">
        <f>IF(VLOOKUP($E$12,[1]QUART!$A$2:$FA$300, 44, FALSE)="",":",VLOOKUP($E$12,[1]QUART!$A$2:$FA$300, 44, FALSE))</f>
        <v>88036</v>
      </c>
      <c r="AT12" s="1453">
        <f>IF(VLOOKUP($E$12,[1]QUART!$A$2:$FA$300, 45, FALSE)="",":",VLOOKUP($E$12,[1]QUART!$A$2:$FA$300, 45, FALSE))</f>
        <v>87901</v>
      </c>
      <c r="AU12" s="1453">
        <f>IF(VLOOKUP($E$12,[1]QUART!$A$2:$FA$300, 46, FALSE)="",":",VLOOKUP($E$12,[1]QUART!$A$2:$FA$300, 46, FALSE))</f>
        <v>88741</v>
      </c>
      <c r="AV12" s="1453">
        <f>IF(VLOOKUP($E$12,[1]QUART!$A$2:$FA$300, 47, FALSE)="",":",VLOOKUP($E$12,[1]QUART!$A$2:$FA$300, 47, FALSE))</f>
        <v>89683</v>
      </c>
      <c r="AW12" s="1453">
        <f>IF(VLOOKUP($E$12,[1]QUART!$A$2:$FA$300, 48, FALSE)="",":",VLOOKUP($E$12,[1]QUART!$A$2:$FA$300, 48, FALSE))</f>
        <v>89554</v>
      </c>
      <c r="AX12" s="1453">
        <f>IF(VLOOKUP($E$12,[1]QUART!$A$2:$FA$300, 49, FALSE)="",":",VLOOKUP($E$12,[1]QUART!$A$2:$FA$300, 49, FALSE))</f>
        <v>89575</v>
      </c>
      <c r="AY12" s="1453">
        <f>IF(VLOOKUP($E$12,[1]QUART!$A$2:$FA$300, 50, FALSE)="",":",VLOOKUP($E$12,[1]QUART!$A$2:$FA$300, 50, FALSE))</f>
        <v>90309</v>
      </c>
      <c r="AZ12" s="1453">
        <f>IF(VLOOKUP($E$12,[1]QUART!$A$2:$FA$300, 51, FALSE)="",":",VLOOKUP($E$12,[1]QUART!$A$2:$FA$300, 51, FALSE))</f>
        <v>90374</v>
      </c>
      <c r="BA12" s="1453">
        <f>IF(VLOOKUP($E$12,[1]QUART!$A$2:$FA$300, 52, FALSE)="",":",VLOOKUP($E$12,[1]QUART!$A$2:$FA$300, 52, FALSE))</f>
        <v>90863</v>
      </c>
      <c r="BB12" s="1453">
        <f>IF(VLOOKUP($E$12,[1]QUART!$A$2:$FA$300, 53, FALSE)="",":",VLOOKUP($E$12,[1]QUART!$A$2:$FA$300, 53, FALSE))</f>
        <v>91216</v>
      </c>
      <c r="BC12" s="1453">
        <f>IF(VLOOKUP($E$12,[1]QUART!$A$2:$FA$300, 54, FALSE)="",":",VLOOKUP($E$12,[1]QUART!$A$2:$FA$300, 54, FALSE))</f>
        <v>92307</v>
      </c>
      <c r="BD12" s="1453">
        <f>IF(VLOOKUP($E$12,[1]QUART!$A$2:$FA$300, 55, FALSE)="",":",VLOOKUP($E$12,[1]QUART!$A$2:$FA$300, 55, FALSE))</f>
        <v>92963</v>
      </c>
      <c r="BE12" s="1453">
        <f>IF(VLOOKUP($E$12,[1]QUART!$A$2:$FA$300, 56, FALSE)="",":",VLOOKUP($E$12,[1]QUART!$A$2:$FA$300, 56, FALSE))</f>
        <v>93795</v>
      </c>
      <c r="BF12" s="1453">
        <f>IF(VLOOKUP($E$12,[1]QUART!$A$2:$FA$300, 57, FALSE)="",":",VLOOKUP($E$12,[1]QUART!$A$2:$FA$300, 57, FALSE))</f>
        <v>94595</v>
      </c>
      <c r="BG12" s="1453">
        <f>IF(VLOOKUP($E$12,[1]QUART!$A$2:$FA$300, 58, FALSE)="",":",VLOOKUP($E$12,[1]QUART!$A$2:$FA$300, 58, FALSE))</f>
        <v>95416</v>
      </c>
      <c r="BH12" s="1453">
        <f>IF(VLOOKUP($E$12,[1]QUART!$A$2:$FA$300, 59, FALSE)="",":",VLOOKUP($E$12,[1]QUART!$A$2:$FA$300, 59, FALSE))</f>
        <v>95773</v>
      </c>
      <c r="BI12" s="1453">
        <f>IF(VLOOKUP($E$12,[1]QUART!$A$2:$FA$300, 60, FALSE)="",":",VLOOKUP($E$12,[1]QUART!$A$2:$FA$300, 60, FALSE))</f>
        <v>95357</v>
      </c>
      <c r="BJ12" s="1453">
        <f>IF(VLOOKUP($E$12,[1]QUART!$A$2:$FA$300, 61, FALSE)="",":",VLOOKUP($E$12,[1]QUART!$A$2:$FA$300, 61, FALSE))</f>
        <v>94663</v>
      </c>
      <c r="BK12" s="1453">
        <f>IF(VLOOKUP($E$12,[1]QUART!$A$2:$FA$300, 62, FALSE)="",":",VLOOKUP($E$12,[1]QUART!$A$2:$FA$300, 62, FALSE))</f>
        <v>93806</v>
      </c>
      <c r="BL12" s="1453">
        <f>IF(VLOOKUP($E$12,[1]QUART!$A$2:$FA$300, 63, FALSE)="",":",VLOOKUP($E$12,[1]QUART!$A$2:$FA$300, 63, FALSE))</f>
        <v>94009</v>
      </c>
      <c r="BM12" s="1453">
        <f>IF(VLOOKUP($E$12,[1]QUART!$A$2:$FA$300, 64, FALSE)="",":",VLOOKUP($E$12,[1]QUART!$A$2:$FA$300, 64, FALSE))</f>
        <v>94251</v>
      </c>
      <c r="BN12" s="1453">
        <f>IF(VLOOKUP($E$12,[1]QUART!$A$2:$FA$300, 65, FALSE)="",":",VLOOKUP($E$12,[1]QUART!$A$2:$FA$300, 65, FALSE))</f>
        <v>95074</v>
      </c>
      <c r="BO12" s="1453">
        <f>IF(VLOOKUP($E$12,[1]QUART!$A$2:$FA$300, 66, FALSE)="",":",VLOOKUP($E$12,[1]QUART!$A$2:$FA$300, 66, FALSE))</f>
        <v>95195</v>
      </c>
      <c r="BP12" s="1453">
        <f>IF(VLOOKUP($E$12,[1]QUART!$A$2:$FA$300, 67, FALSE)="",":",VLOOKUP($E$12,[1]QUART!$A$2:$FA$300, 67, FALSE))</f>
        <v>95404</v>
      </c>
      <c r="BQ12" s="1453">
        <f>IF(VLOOKUP($E$12,[1]QUART!$A$2:$FA$300, 68, FALSE)="",":",VLOOKUP($E$12,[1]QUART!$A$2:$FA$300, 68, FALSE))</f>
        <v>95773</v>
      </c>
      <c r="BR12" s="1453">
        <f>IF(VLOOKUP($E$12,[1]QUART!$A$2:$FA$300, 69, FALSE)="",":",VLOOKUP($E$12,[1]QUART!$A$2:$FA$300, 69, FALSE))</f>
        <v>96305</v>
      </c>
      <c r="BS12" s="1453">
        <f>IF(VLOOKUP($E$12,[1]QUART!$A$2:$FA$300, 70, FALSE)="",":",VLOOKUP($E$12,[1]QUART!$A$2:$FA$300, 70, FALSE))</f>
        <v>96398</v>
      </c>
      <c r="BT12" s="1453">
        <f>IF(VLOOKUP($E$12,[1]QUART!$A$2:$FA$300, 71, FALSE)="",":",VLOOKUP($E$12,[1]QUART!$A$2:$FA$300, 71, FALSE))</f>
        <v>96869</v>
      </c>
      <c r="BU12" s="1453">
        <f>IF(VLOOKUP($E$12,[1]QUART!$A$2:$FA$300, 72, FALSE)="",":",VLOOKUP($E$12,[1]QUART!$A$2:$FA$300, 72, FALSE))</f>
        <v>97168</v>
      </c>
      <c r="BV12" s="1453">
        <f>IF(VLOOKUP($E$12,[1]QUART!$A$2:$FA$300, 73, FALSE)="",":",VLOOKUP($E$12,[1]QUART!$A$2:$FA$300, 73, FALSE))</f>
        <v>97696</v>
      </c>
      <c r="BW12" s="1453">
        <f>IF(VLOOKUP($E$12,[1]QUART!$A$2:$FA$300, 74, FALSE)="",":",VLOOKUP($E$12,[1]QUART!$A$2:$FA$300, 74, FALSE))</f>
        <v>97593</v>
      </c>
      <c r="BX12" s="1453">
        <f>IF(VLOOKUP($E$12,[1]QUART!$A$2:$FA$300, 75, FALSE)="",":",VLOOKUP($E$12,[1]QUART!$A$2:$FA$300, 75, FALSE))</f>
        <v>97760</v>
      </c>
      <c r="BY12" s="1453">
        <f>IF(VLOOKUP($E$12,[1]QUART!$A$2:$FA$300, 76, FALSE)="",":",VLOOKUP($E$12,[1]QUART!$A$2:$FA$300, 76, FALSE))</f>
        <v>97827</v>
      </c>
      <c r="BZ12" s="1453">
        <f>IF(VLOOKUP($E$12,[1]QUART!$A$2:$FA$300, 77, FALSE)="",":",VLOOKUP($E$12,[1]QUART!$A$2:$FA$300, 77, FALSE))</f>
        <v>97663</v>
      </c>
      <c r="CA12" s="1453">
        <f>IF(VLOOKUP($E$12,[1]QUART!$A$2:$FA$300, 78, FALSE)="",":",VLOOKUP($E$12,[1]QUART!$A$2:$FA$300, 78, FALSE))</f>
        <v>97616</v>
      </c>
      <c r="CB12" s="1453">
        <f>IF(VLOOKUP($E$12,[1]QUART!$A$2:$FA$300, 79, FALSE)="",":",VLOOKUP($E$12,[1]QUART!$A$2:$FA$300, 79, FALSE))</f>
        <v>97774</v>
      </c>
      <c r="CC12" s="1453">
        <f>IF(VLOOKUP($E$12,[1]QUART!$A$2:$FA$300, 80, FALSE)="",":",VLOOKUP($E$12,[1]QUART!$A$2:$FA$300, 80, FALSE))</f>
        <v>98035</v>
      </c>
      <c r="CD12" s="1453">
        <f>IF(VLOOKUP($E$12,[1]QUART!$A$2:$FA$300, 81, FALSE)="",":",VLOOKUP($E$12,[1]QUART!$A$2:$FA$300, 81, FALSE))</f>
        <v>97932</v>
      </c>
      <c r="CE12" s="1453">
        <f>IF(VLOOKUP($E$12,[1]QUART!$A$2:$FA$300, 82, FALSE)="",":",VLOOKUP($E$12,[1]QUART!$A$2:$FA$300, 82, FALSE))</f>
        <v>98503</v>
      </c>
      <c r="CF12" s="1453">
        <f>IF(VLOOKUP($E$12,[1]QUART!$A$2:$FA$300, 83, FALSE)="",":",VLOOKUP($E$12,[1]QUART!$A$2:$FA$300, 83, FALSE))</f>
        <v>98964</v>
      </c>
      <c r="CG12" s="1453">
        <f>IF(VLOOKUP($E$12,[1]QUART!$A$2:$FA$300, 84, FALSE)="",":",VLOOKUP($E$12,[1]QUART!$A$2:$FA$300, 84, FALSE))</f>
        <v>100947</v>
      </c>
      <c r="CH12" s="1453">
        <f>IF(VLOOKUP($E$12,[1]QUART!$A$2:$FA$300, 85, FALSE)="",":",VLOOKUP($E$12,[1]QUART!$A$2:$FA$300, 85, FALSE))</f>
        <v>100065</v>
      </c>
      <c r="CI12" s="1453">
        <f>IF(VLOOKUP($E$12,[1]QUART!$A$2:$FA$300, 86, FALSE)="",":",VLOOKUP($E$12,[1]QUART!$A$2:$FA$300, 86, FALSE))</f>
        <v>102290</v>
      </c>
      <c r="CJ12" s="1453">
        <f>IF(VLOOKUP($E$12,[1]QUART!$A$2:$FA$300, 87, FALSE)="",":",VLOOKUP($E$12,[1]QUART!$A$2:$FA$300, 87, FALSE))</f>
        <v>99748</v>
      </c>
      <c r="CK12" s="1453">
        <f>IF(VLOOKUP($E$12,[1]QUART!$A$2:$FA$300, 88, FALSE)="",":",VLOOKUP($E$12,[1]QUART!$A$2:$FA$300, 88, FALSE))</f>
        <v>100369</v>
      </c>
      <c r="CL12" s="1453">
        <f>IF(VLOOKUP($E$12,[1]QUART!$A$2:$FA$300, 89, FALSE)="",":",VLOOKUP($E$12,[1]QUART!$A$2:$FA$300, 89, FALSE))</f>
        <v>100877</v>
      </c>
      <c r="CM12" s="1453">
        <f>IF(VLOOKUP($E$12,[1]QUART!$A$2:$FA$300, 90, FALSE)="",":",VLOOKUP($E$12,[1]QUART!$A$2:$FA$300, 90, FALSE))</f>
        <v>101596</v>
      </c>
      <c r="CN12" s="1453">
        <f>IF(VLOOKUP($E$12,[1]QUART!$A$2:$FA$300, 91, FALSE)="",":",VLOOKUP($E$12,[1]QUART!$A$2:$FA$300, 91, FALSE))</f>
        <v>102046</v>
      </c>
      <c r="CO12" s="1453">
        <f>IF(VLOOKUP($E$12,[1]QUART!$A$2:$FA$300, 92, FALSE)="",":",VLOOKUP($E$12,[1]QUART!$A$2:$FA$300, 92, FALSE))</f>
        <v>104166</v>
      </c>
      <c r="CP12" s="1453">
        <f>IF(VLOOKUP($E$12,[1]QUART!$A$2:$FA$300, 93, FALSE)="",":",VLOOKUP($E$12,[1]QUART!$A$2:$FA$300, 93, FALSE))</f>
        <v>102897</v>
      </c>
      <c r="CQ12" s="1453">
        <f>IF(VLOOKUP($E$12,[1]QUART!$A$2:$FA$300, 94, FALSE)="",":",VLOOKUP($E$12,[1]QUART!$A$2:$FA$300, 94, FALSE))</f>
        <v>103074</v>
      </c>
      <c r="CR12" s="1453">
        <f>IF(VLOOKUP($E$12,[1]QUART!$A$2:$FA$300, 95, FALSE)="",":",VLOOKUP($E$12,[1]QUART!$A$2:$FA$300, 95, FALSE))</f>
        <v>103598</v>
      </c>
      <c r="CS12" s="1453">
        <f>IF(VLOOKUP($E$12,[1]QUART!$A$2:$FA$300, 96, FALSE)="",":",VLOOKUP($E$12,[1]QUART!$A$2:$FA$300, 96, FALSE))</f>
        <v>104096</v>
      </c>
      <c r="CT12" s="1453">
        <f>IF(VLOOKUP($E$12,[1]QUART!$A$2:$FA$300, 97, FALSE)="",":",VLOOKUP($E$12,[1]QUART!$A$2:$FA$300, 97, FALSE))</f>
        <v>104362</v>
      </c>
      <c r="CU12" s="1453" t="str">
        <f>IF(VLOOKUP($E$12,[1]QUART!$A$2:$FA$300, 98, FALSE)="",":",VLOOKUP($E$12,[1]QUART!$A$2:$FA$300, 98, FALSE))</f>
        <v>:</v>
      </c>
      <c r="CV12" s="1453" t="str">
        <f>IF(VLOOKUP($E$12,[1]QUART!$A$2:$FA$300, 99, FALSE)="",":",VLOOKUP($E$12,[1]QUART!$A$2:$FA$300, 99, FALSE))</f>
        <v>:</v>
      </c>
      <c r="CW12" s="1453" t="str">
        <f>IF(VLOOKUP($E$12,[1]QUART!$A$2:$FA$300, 100, FALSE)="",":",VLOOKUP($E$12,[1]QUART!$A$2:$FA$300, 100, FALSE))</f>
        <v>:</v>
      </c>
      <c r="CX12" s="1453" t="str">
        <f>IF(VLOOKUP($E$12,[1]QUART!$A$2:$FA$300, 101, FALSE)="",":",VLOOKUP($E$12,[1]QUART!$A$2:$FA$300, 101, FALSE))</f>
        <v>:</v>
      </c>
      <c r="CY12" s="1453" t="str">
        <f>IF(VLOOKUP($E$12,[1]QUART!$A$2:$FA$300, 102, FALSE)="",":",VLOOKUP($E$12,[1]QUART!$A$2:$FA$300, 102, FALSE))</f>
        <v>:</v>
      </c>
      <c r="CZ12" s="1453" t="str">
        <f>IF(VLOOKUP($E$12,[1]QUART!$A$2:$FA$300, 103, FALSE)="",":",VLOOKUP($E$12,[1]QUART!$A$2:$FA$300, 103, FALSE))</f>
        <v>:</v>
      </c>
      <c r="DA12" s="1453" t="str">
        <f>IF(VLOOKUP($E$12,[1]QUART!$A$2:$FA$300, 104, FALSE)="",":",VLOOKUP($E$12,[1]QUART!$A$2:$FA$300, 104, FALSE))</f>
        <v>:</v>
      </c>
      <c r="DB12" s="1453" t="str">
        <f>IF(VLOOKUP($E$12,[1]QUART!$A$2:$FA$300, 105, FALSE)="",":",VLOOKUP($E$12,[1]QUART!$A$2:$FA$300, 105, FALSE))</f>
        <v>:</v>
      </c>
      <c r="DC12" s="1453" t="str">
        <f>IF(VLOOKUP($E$12,[1]QUART!$A$2:$FA$300, 106, FALSE)="",":",VLOOKUP($E$12,[1]QUART!$A$2:$FA$300, 106, FALSE))</f>
        <v>:</v>
      </c>
    </row>
    <row r="13" spans="1:110">
      <c r="A13" s="1449">
        <v>23</v>
      </c>
      <c r="B13" s="1454"/>
      <c r="C13" s="1455"/>
      <c r="D13" s="1450" t="s">
        <v>363</v>
      </c>
      <c r="E13" s="1451">
        <v>73</v>
      </c>
      <c r="F13" s="1452" t="str">
        <f>VLOOKUP($E$13,[1]QUART!$A$2:$FA$300, 3, FALSE)</f>
        <v xml:space="preserve">73  Final demand                                                                    </v>
      </c>
      <c r="G13" s="1453">
        <f>IF(VLOOKUP($E$13,[1]QUART!$A$2:$FA$300, 6, FALSE)="",":",VLOOKUP($E$13,[1]QUART!$A$2:$FA$300, 6, FALSE))</f>
        <v>111291</v>
      </c>
      <c r="H13" s="1453">
        <f>IF(VLOOKUP($E$13,[1]QUART!$A$2:$FA$300, 7, FALSE)="",":",VLOOKUP($E$13,[1]QUART!$A$2:$FA$300, 7, FALSE))</f>
        <v>111125</v>
      </c>
      <c r="I13" s="1453">
        <f>IF(VLOOKUP($E$13,[1]QUART!$A$2:$FA$300, 8, FALSE)="",":",VLOOKUP($E$13,[1]QUART!$A$2:$FA$300, 8, FALSE))</f>
        <v>111128</v>
      </c>
      <c r="J13" s="1453">
        <f>IF(VLOOKUP($E$13,[1]QUART!$A$2:$FA$300, 9, FALSE)="",":",VLOOKUP($E$13,[1]QUART!$A$2:$FA$300, 9, FALSE))</f>
        <v>112194</v>
      </c>
      <c r="K13" s="1453">
        <f>IF(VLOOKUP($E$13,[1]QUART!$A$2:$FA$300, 10, FALSE)="",":",VLOOKUP($E$13,[1]QUART!$A$2:$FA$300, 10, FALSE))</f>
        <v>112984</v>
      </c>
      <c r="L13" s="1453">
        <f>IF(VLOOKUP($E$13,[1]QUART!$A$2:$FA$300, 11, FALSE)="",":",VLOOKUP($E$13,[1]QUART!$A$2:$FA$300, 11, FALSE))</f>
        <v>114177</v>
      </c>
      <c r="M13" s="1453">
        <f>IF(VLOOKUP($E$13,[1]QUART!$A$2:$FA$300, 12, FALSE)="",":",VLOOKUP($E$13,[1]QUART!$A$2:$FA$300, 12, FALSE))</f>
        <v>114934</v>
      </c>
      <c r="N13" s="1453">
        <f>IF(VLOOKUP($E$13,[1]QUART!$A$2:$FA$300, 13, FALSE)="",":",VLOOKUP($E$13,[1]QUART!$A$2:$FA$300, 13, FALSE))</f>
        <v>116241</v>
      </c>
      <c r="O13" s="1453">
        <f>IF(VLOOKUP($E$13,[1]QUART!$A$2:$FA$300, 14, FALSE)="",":",VLOOKUP($E$13,[1]QUART!$A$2:$FA$300, 14, FALSE))</f>
        <v>118088</v>
      </c>
      <c r="P13" s="1453">
        <f>IF(VLOOKUP($E$13,[1]QUART!$A$2:$FA$300, 15, FALSE)="",":",VLOOKUP($E$13,[1]QUART!$A$2:$FA$300, 15, FALSE))</f>
        <v>119845</v>
      </c>
      <c r="Q13" s="1453">
        <f>IF(VLOOKUP($E$13,[1]QUART!$A$2:$FA$300, 16, FALSE)="",":",VLOOKUP($E$13,[1]QUART!$A$2:$FA$300, 16, FALSE))</f>
        <v>120807</v>
      </c>
      <c r="R13" s="1453">
        <f>IF(VLOOKUP($E$13,[1]QUART!$A$2:$FA$300, 17, FALSE)="",":",VLOOKUP($E$13,[1]QUART!$A$2:$FA$300, 17, FALSE))</f>
        <v>121984</v>
      </c>
      <c r="S13" s="1453">
        <f>IF(VLOOKUP($E$13,[1]QUART!$A$2:$FA$300, 18, FALSE)="",":",VLOOKUP($E$13,[1]QUART!$A$2:$FA$300, 18, FALSE))</f>
        <v>122575</v>
      </c>
      <c r="T13" s="1453">
        <f>IF(VLOOKUP($E$13,[1]QUART!$A$2:$FA$300, 19, FALSE)="",":",VLOOKUP($E$13,[1]QUART!$A$2:$FA$300, 19, FALSE))</f>
        <v>123604</v>
      </c>
      <c r="U13" s="1453">
        <f>IF(VLOOKUP($E$13,[1]QUART!$A$2:$FA$300, 20, FALSE)="",":",VLOOKUP($E$13,[1]QUART!$A$2:$FA$300, 20, FALSE))</f>
        <v>124823</v>
      </c>
      <c r="V13" s="1453">
        <f>IF(VLOOKUP($E$13,[1]QUART!$A$2:$FA$300, 21, FALSE)="",":",VLOOKUP($E$13,[1]QUART!$A$2:$FA$300, 21, FALSE))</f>
        <v>124646</v>
      </c>
      <c r="W13" s="1453">
        <f>IF(VLOOKUP($E$13,[1]QUART!$A$2:$FA$300, 22, FALSE)="",":",VLOOKUP($E$13,[1]QUART!$A$2:$FA$300, 22, FALSE))</f>
        <v>124839</v>
      </c>
      <c r="X13" s="1453">
        <f>IF(VLOOKUP($E$13,[1]QUART!$A$2:$FA$300, 23, FALSE)="",":",VLOOKUP($E$13,[1]QUART!$A$2:$FA$300, 23, FALSE))</f>
        <v>126938</v>
      </c>
      <c r="Y13" s="1453">
        <f>IF(VLOOKUP($E$13,[1]QUART!$A$2:$FA$300, 24, FALSE)="",":",VLOOKUP($E$13,[1]QUART!$A$2:$FA$300, 24, FALSE))</f>
        <v>129294</v>
      </c>
      <c r="Z13" s="1453">
        <f>IF(VLOOKUP($E$13,[1]QUART!$A$2:$FA$300, 25, FALSE)="",":",VLOOKUP($E$13,[1]QUART!$A$2:$FA$300, 25, FALSE))</f>
        <v>131055</v>
      </c>
      <c r="AA13" s="1453">
        <f>IF(VLOOKUP($E$13,[1]QUART!$A$2:$FA$300, 26, FALSE)="",":",VLOOKUP($E$13,[1]QUART!$A$2:$FA$300, 26, FALSE))</f>
        <v>134214</v>
      </c>
      <c r="AB13" s="1453">
        <f>IF(VLOOKUP($E$13,[1]QUART!$A$2:$FA$300, 27, FALSE)="",":",VLOOKUP($E$13,[1]QUART!$A$2:$FA$300, 27, FALSE))</f>
        <v>135861</v>
      </c>
      <c r="AC13" s="1453">
        <f>IF(VLOOKUP($E$13,[1]QUART!$A$2:$FA$300, 28, FALSE)="",":",VLOOKUP($E$13,[1]QUART!$A$2:$FA$300, 28, FALSE))</f>
        <v>137383</v>
      </c>
      <c r="AD13" s="1453">
        <f>IF(VLOOKUP($E$13,[1]QUART!$A$2:$FA$300, 29, FALSE)="",":",VLOOKUP($E$13,[1]QUART!$A$2:$FA$300, 29, FALSE))</f>
        <v>138566</v>
      </c>
      <c r="AE13" s="1453">
        <f>IF(VLOOKUP($E$13,[1]QUART!$A$2:$FA$300, 30, FALSE)="",":",VLOOKUP($E$13,[1]QUART!$A$2:$FA$300, 30, FALSE))</f>
        <v>138866</v>
      </c>
      <c r="AF13" s="1453">
        <f>IF(VLOOKUP($E$13,[1]QUART!$A$2:$FA$300, 31, FALSE)="",":",VLOOKUP($E$13,[1]QUART!$A$2:$FA$300, 31, FALSE))</f>
        <v>137649</v>
      </c>
      <c r="AG13" s="1453">
        <f>IF(VLOOKUP($E$13,[1]QUART!$A$2:$FA$300, 32, FALSE)="",":",VLOOKUP($E$13,[1]QUART!$A$2:$FA$300, 32, FALSE))</f>
        <v>137493</v>
      </c>
      <c r="AH13" s="1453">
        <f>IF(VLOOKUP($E$13,[1]QUART!$A$2:$FA$300, 33, FALSE)="",":",VLOOKUP($E$13,[1]QUART!$A$2:$FA$300, 33, FALSE))</f>
        <v>136559</v>
      </c>
      <c r="AI13" s="1453">
        <f>IF(VLOOKUP($E$13,[1]QUART!$A$2:$FA$300, 34, FALSE)="",":",VLOOKUP($E$13,[1]QUART!$A$2:$FA$300, 34, FALSE))</f>
        <v>138392</v>
      </c>
      <c r="AJ13" s="1453">
        <f>IF(VLOOKUP($E$13,[1]QUART!$A$2:$FA$300, 35, FALSE)="",":",VLOOKUP($E$13,[1]QUART!$A$2:$FA$300, 35, FALSE))</f>
        <v>139353</v>
      </c>
      <c r="AK13" s="1453">
        <f>IF(VLOOKUP($E$13,[1]QUART!$A$2:$FA$300, 36, FALSE)="",":",VLOOKUP($E$13,[1]QUART!$A$2:$FA$300, 36, FALSE))</f>
        <v>139831</v>
      </c>
      <c r="AL13" s="1453">
        <f>IF(VLOOKUP($E$13,[1]QUART!$A$2:$FA$300, 37, FALSE)="",":",VLOOKUP($E$13,[1]QUART!$A$2:$FA$300, 37, FALSE))</f>
        <v>140414</v>
      </c>
      <c r="AM13" s="1453">
        <f>IF(VLOOKUP($E$13,[1]QUART!$A$2:$FA$300, 38, FALSE)="",":",VLOOKUP($E$13,[1]QUART!$A$2:$FA$300, 38, FALSE))</f>
        <v>139789</v>
      </c>
      <c r="AN13" s="1453">
        <f>IF(VLOOKUP($E$13,[1]QUART!$A$2:$FA$300, 39, FALSE)="",":",VLOOKUP($E$13,[1]QUART!$A$2:$FA$300, 39, FALSE))</f>
        <v>140260</v>
      </c>
      <c r="AO13" s="1453">
        <f>IF(VLOOKUP($E$13,[1]QUART!$A$2:$FA$300, 40, FALSE)="",":",VLOOKUP($E$13,[1]QUART!$A$2:$FA$300, 40, FALSE))</f>
        <v>140889</v>
      </c>
      <c r="AP13" s="1453">
        <f>IF(VLOOKUP($E$13,[1]QUART!$A$2:$FA$300, 41, FALSE)="",":",VLOOKUP($E$13,[1]QUART!$A$2:$FA$300, 41, FALSE))</f>
        <v>142312</v>
      </c>
      <c r="AQ13" s="1453">
        <f>IF(VLOOKUP($E$13,[1]QUART!$A$2:$FA$300, 42, FALSE)="",":",VLOOKUP($E$13,[1]QUART!$A$2:$FA$300, 42, FALSE))</f>
        <v>144714</v>
      </c>
      <c r="AR13" s="1453">
        <f>IF(VLOOKUP($E$13,[1]QUART!$A$2:$FA$300, 43, FALSE)="",":",VLOOKUP($E$13,[1]QUART!$A$2:$FA$300, 43, FALSE))</f>
        <v>146397</v>
      </c>
      <c r="AS13" s="1453">
        <f>IF(VLOOKUP($E$13,[1]QUART!$A$2:$FA$300, 44, FALSE)="",":",VLOOKUP($E$13,[1]QUART!$A$2:$FA$300, 44, FALSE))</f>
        <v>147915</v>
      </c>
      <c r="AT13" s="1453">
        <f>IF(VLOOKUP($E$13,[1]QUART!$A$2:$FA$300, 45, FALSE)="",":",VLOOKUP($E$13,[1]QUART!$A$2:$FA$300, 45, FALSE))</f>
        <v>148686</v>
      </c>
      <c r="AU13" s="1453">
        <f>IF(VLOOKUP($E$13,[1]QUART!$A$2:$FA$300, 46, FALSE)="",":",VLOOKUP($E$13,[1]QUART!$A$2:$FA$300, 46, FALSE))</f>
        <v>150135</v>
      </c>
      <c r="AV13" s="1453">
        <f>IF(VLOOKUP($E$13,[1]QUART!$A$2:$FA$300, 47, FALSE)="",":",VLOOKUP($E$13,[1]QUART!$A$2:$FA$300, 47, FALSE))</f>
        <v>151930</v>
      </c>
      <c r="AW13" s="1453">
        <f>IF(VLOOKUP($E$13,[1]QUART!$A$2:$FA$300, 48, FALSE)="",":",VLOOKUP($E$13,[1]QUART!$A$2:$FA$300, 48, FALSE))</f>
        <v>152280</v>
      </c>
      <c r="AX13" s="1453">
        <f>IF(VLOOKUP($E$13,[1]QUART!$A$2:$FA$300, 49, FALSE)="",":",VLOOKUP($E$13,[1]QUART!$A$2:$FA$300, 49, FALSE))</f>
        <v>152940</v>
      </c>
      <c r="AY13" s="1453">
        <f>IF(VLOOKUP($E$13,[1]QUART!$A$2:$FA$300, 50, FALSE)="",":",VLOOKUP($E$13,[1]QUART!$A$2:$FA$300, 50, FALSE))</f>
        <v>154963</v>
      </c>
      <c r="AZ13" s="1453">
        <f>IF(VLOOKUP($E$13,[1]QUART!$A$2:$FA$300, 51, FALSE)="",":",VLOOKUP($E$13,[1]QUART!$A$2:$FA$300, 51, FALSE))</f>
        <v>155776</v>
      </c>
      <c r="BA13" s="1453">
        <f>IF(VLOOKUP($E$13,[1]QUART!$A$2:$FA$300, 52, FALSE)="",":",VLOOKUP($E$13,[1]QUART!$A$2:$FA$300, 52, FALSE))</f>
        <v>156912</v>
      </c>
      <c r="BB13" s="1453">
        <f>IF(VLOOKUP($E$13,[1]QUART!$A$2:$FA$300, 53, FALSE)="",":",VLOOKUP($E$13,[1]QUART!$A$2:$FA$300, 53, FALSE))</f>
        <v>158015</v>
      </c>
      <c r="BC13" s="1453">
        <f>IF(VLOOKUP($E$13,[1]QUART!$A$2:$FA$300, 54, FALSE)="",":",VLOOKUP($E$13,[1]QUART!$A$2:$FA$300, 54, FALSE))</f>
        <v>160994</v>
      </c>
      <c r="BD13" s="1453">
        <f>IF(VLOOKUP($E$13,[1]QUART!$A$2:$FA$300, 55, FALSE)="",":",VLOOKUP($E$13,[1]QUART!$A$2:$FA$300, 55, FALSE))</f>
        <v>162405</v>
      </c>
      <c r="BE13" s="1453">
        <f>IF(VLOOKUP($E$13,[1]QUART!$A$2:$FA$300, 56, FALSE)="",":",VLOOKUP($E$13,[1]QUART!$A$2:$FA$300, 56, FALSE))</f>
        <v>163631</v>
      </c>
      <c r="BF13" s="1453">
        <f>IF(VLOOKUP($E$13,[1]QUART!$A$2:$FA$300, 57, FALSE)="",":",VLOOKUP($E$13,[1]QUART!$A$2:$FA$300, 57, FALSE))</f>
        <v>164534</v>
      </c>
      <c r="BG13" s="1453">
        <f>IF(VLOOKUP($E$13,[1]QUART!$A$2:$FA$300, 58, FALSE)="",":",VLOOKUP($E$13,[1]QUART!$A$2:$FA$300, 58, FALSE))</f>
        <v>166607</v>
      </c>
      <c r="BH13" s="1453">
        <f>IF(VLOOKUP($E$13,[1]QUART!$A$2:$FA$300, 59, FALSE)="",":",VLOOKUP($E$13,[1]QUART!$A$2:$FA$300, 59, FALSE))</f>
        <v>169021</v>
      </c>
      <c r="BI13" s="1453">
        <f>IF(VLOOKUP($E$13,[1]QUART!$A$2:$FA$300, 60, FALSE)="",":",VLOOKUP($E$13,[1]QUART!$A$2:$FA$300, 60, FALSE))</f>
        <v>168138</v>
      </c>
      <c r="BJ13" s="1453">
        <f>IF(VLOOKUP($E$13,[1]QUART!$A$2:$FA$300, 61, FALSE)="",":",VLOOKUP($E$13,[1]QUART!$A$2:$FA$300, 61, FALSE))</f>
        <v>160112</v>
      </c>
      <c r="BK13" s="1453">
        <f>IF(VLOOKUP($E$13,[1]QUART!$A$2:$FA$300, 62, FALSE)="",":",VLOOKUP($E$13,[1]QUART!$A$2:$FA$300, 62, FALSE))</f>
        <v>155642</v>
      </c>
      <c r="BL13" s="1453">
        <f>IF(VLOOKUP($E$13,[1]QUART!$A$2:$FA$300, 63, FALSE)="",":",VLOOKUP($E$13,[1]QUART!$A$2:$FA$300, 63, FALSE))</f>
        <v>156477</v>
      </c>
      <c r="BM13" s="1453">
        <f>IF(VLOOKUP($E$13,[1]QUART!$A$2:$FA$300, 64, FALSE)="",":",VLOOKUP($E$13,[1]QUART!$A$2:$FA$300, 64, FALSE))</f>
        <v>159366</v>
      </c>
      <c r="BN13" s="1453">
        <f>IF(VLOOKUP($E$13,[1]QUART!$A$2:$FA$300, 65, FALSE)="",":",VLOOKUP($E$13,[1]QUART!$A$2:$FA$300, 65, FALSE))</f>
        <v>161660</v>
      </c>
      <c r="BO13" s="1453">
        <f>IF(VLOOKUP($E$13,[1]QUART!$A$2:$FA$300, 66, FALSE)="",":",VLOOKUP($E$13,[1]QUART!$A$2:$FA$300, 66, FALSE))</f>
        <v>162541</v>
      </c>
      <c r="BP13" s="1453">
        <f>IF(VLOOKUP($E$13,[1]QUART!$A$2:$FA$300, 67, FALSE)="",":",VLOOKUP($E$13,[1]QUART!$A$2:$FA$300, 67, FALSE))</f>
        <v>166276</v>
      </c>
      <c r="BQ13" s="1453">
        <f>IF(VLOOKUP($E$13,[1]QUART!$A$2:$FA$300, 68, FALSE)="",":",VLOOKUP($E$13,[1]QUART!$A$2:$FA$300, 68, FALSE))</f>
        <v>167706</v>
      </c>
      <c r="BR13" s="1453">
        <f>IF(VLOOKUP($E$13,[1]QUART!$A$2:$FA$300, 69, FALSE)="",":",VLOOKUP($E$13,[1]QUART!$A$2:$FA$300, 69, FALSE))</f>
        <v>168611</v>
      </c>
      <c r="BS13" s="1453">
        <f>IF(VLOOKUP($E$13,[1]QUART!$A$2:$FA$300, 70, FALSE)="",":",VLOOKUP($E$13,[1]QUART!$A$2:$FA$300, 70, FALSE))</f>
        <v>171329</v>
      </c>
      <c r="BT13" s="1453">
        <f>IF(VLOOKUP($E$13,[1]QUART!$A$2:$FA$300, 71, FALSE)="",":",VLOOKUP($E$13,[1]QUART!$A$2:$FA$300, 71, FALSE))</f>
        <v>172598</v>
      </c>
      <c r="BU13" s="1453">
        <f>IF(VLOOKUP($E$13,[1]QUART!$A$2:$FA$300, 72, FALSE)="",":",VLOOKUP($E$13,[1]QUART!$A$2:$FA$300, 72, FALSE))</f>
        <v>173803</v>
      </c>
      <c r="BV13" s="1453">
        <f>IF(VLOOKUP($E$13,[1]QUART!$A$2:$FA$300, 73, FALSE)="",":",VLOOKUP($E$13,[1]QUART!$A$2:$FA$300, 73, FALSE))</f>
        <v>171834</v>
      </c>
      <c r="BW13" s="1453">
        <f>IF(VLOOKUP($E$13,[1]QUART!$A$2:$FA$300, 74, FALSE)="",":",VLOOKUP($E$13,[1]QUART!$A$2:$FA$300, 74, FALSE))</f>
        <v>173870</v>
      </c>
      <c r="BX13" s="1453">
        <f>IF(VLOOKUP($E$13,[1]QUART!$A$2:$FA$300, 75, FALSE)="",":",VLOOKUP($E$13,[1]QUART!$A$2:$FA$300, 75, FALSE))</f>
        <v>173509</v>
      </c>
      <c r="BY13" s="1453">
        <f>IF(VLOOKUP($E$13,[1]QUART!$A$2:$FA$300, 76, FALSE)="",":",VLOOKUP($E$13,[1]QUART!$A$2:$FA$300, 76, FALSE))</f>
        <v>173040</v>
      </c>
      <c r="BZ13" s="1453">
        <f>IF(VLOOKUP($E$13,[1]QUART!$A$2:$FA$300, 77, FALSE)="",":",VLOOKUP($E$13,[1]QUART!$A$2:$FA$300, 77, FALSE))</f>
        <v>172876</v>
      </c>
      <c r="CA13" s="1453">
        <f>IF(VLOOKUP($E$13,[1]QUART!$A$2:$FA$300, 78, FALSE)="",":",VLOOKUP($E$13,[1]QUART!$A$2:$FA$300, 78, FALSE))</f>
        <v>172597</v>
      </c>
      <c r="CB13" s="1453">
        <f>IF(VLOOKUP($E$13,[1]QUART!$A$2:$FA$300, 79, FALSE)="",":",VLOOKUP($E$13,[1]QUART!$A$2:$FA$300, 79, FALSE))</f>
        <v>173212</v>
      </c>
      <c r="CC13" s="1453">
        <f>IF(VLOOKUP($E$13,[1]QUART!$A$2:$FA$300, 80, FALSE)="",":",VLOOKUP($E$13,[1]QUART!$A$2:$FA$300, 80, FALSE))</f>
        <v>174813</v>
      </c>
      <c r="CD13" s="1453">
        <f>IF(VLOOKUP($E$13,[1]QUART!$A$2:$FA$300, 81, FALSE)="",":",VLOOKUP($E$13,[1]QUART!$A$2:$FA$300, 81, FALSE))</f>
        <v>175876</v>
      </c>
      <c r="CE13" s="1453">
        <f>IF(VLOOKUP($E$13,[1]QUART!$A$2:$FA$300, 82, FALSE)="",":",VLOOKUP($E$13,[1]QUART!$A$2:$FA$300, 82, FALSE))</f>
        <v>177231</v>
      </c>
      <c r="CF13" s="1453">
        <f>IF(VLOOKUP($E$13,[1]QUART!$A$2:$FA$300, 83, FALSE)="",":",VLOOKUP($E$13,[1]QUART!$A$2:$FA$300, 83, FALSE))</f>
        <v>178726</v>
      </c>
      <c r="CG13" s="1453">
        <f>IF(VLOOKUP($E$13,[1]QUART!$A$2:$FA$300, 84, FALSE)="",":",VLOOKUP($E$13,[1]QUART!$A$2:$FA$300, 84, FALSE))</f>
        <v>181907</v>
      </c>
      <c r="CH13" s="1453">
        <f>IF(VLOOKUP($E$13,[1]QUART!$A$2:$FA$300, 85, FALSE)="",":",VLOOKUP($E$13,[1]QUART!$A$2:$FA$300, 85, FALSE))</f>
        <v>181575</v>
      </c>
      <c r="CI13" s="1453">
        <f>IF(VLOOKUP($E$13,[1]QUART!$A$2:$FA$300, 86, FALSE)="",":",VLOOKUP($E$13,[1]QUART!$A$2:$FA$300, 86, FALSE))</f>
        <v>183554</v>
      </c>
      <c r="CJ13" s="1453">
        <f>IF(VLOOKUP($E$13,[1]QUART!$A$2:$FA$300, 87, FALSE)="",":",VLOOKUP($E$13,[1]QUART!$A$2:$FA$300, 87, FALSE))</f>
        <v>182690</v>
      </c>
      <c r="CK13" s="1453">
        <f>IF(VLOOKUP($E$13,[1]QUART!$A$2:$FA$300, 88, FALSE)="",":",VLOOKUP($E$13,[1]QUART!$A$2:$FA$300, 88, FALSE))</f>
        <v>182552</v>
      </c>
      <c r="CL13" s="1453">
        <f>IF(VLOOKUP($E$13,[1]QUART!$A$2:$FA$300, 89, FALSE)="",":",VLOOKUP($E$13,[1]QUART!$A$2:$FA$300, 89, FALSE))</f>
        <v>185979</v>
      </c>
      <c r="CM13" s="1453">
        <f>IF(VLOOKUP($E$13,[1]QUART!$A$2:$FA$300, 90, FALSE)="",":",VLOOKUP($E$13,[1]QUART!$A$2:$FA$300, 90, FALSE))</f>
        <v>185991</v>
      </c>
      <c r="CN13" s="1453">
        <f>IF(VLOOKUP($E$13,[1]QUART!$A$2:$FA$300, 91, FALSE)="",":",VLOOKUP($E$13,[1]QUART!$A$2:$FA$300, 91, FALSE))</f>
        <v>191322</v>
      </c>
      <c r="CO13" s="1453">
        <f>IF(VLOOKUP($E$13,[1]QUART!$A$2:$FA$300, 92, FALSE)="",":",VLOOKUP($E$13,[1]QUART!$A$2:$FA$300, 92, FALSE))</f>
        <v>194251</v>
      </c>
      <c r="CP13" s="1453">
        <f>IF(VLOOKUP($E$13,[1]QUART!$A$2:$FA$300, 93, FALSE)="",":",VLOOKUP($E$13,[1]QUART!$A$2:$FA$300, 93, FALSE))</f>
        <v>195551</v>
      </c>
      <c r="CQ13" s="1453">
        <f>IF(VLOOKUP($E$13,[1]QUART!$A$2:$FA$300, 94, FALSE)="",":",VLOOKUP($E$13,[1]QUART!$A$2:$FA$300, 94, FALSE))</f>
        <v>195527</v>
      </c>
      <c r="CR13" s="1453">
        <f>IF(VLOOKUP($E$13,[1]QUART!$A$2:$FA$300, 95, FALSE)="",":",VLOOKUP($E$13,[1]QUART!$A$2:$FA$300, 95, FALSE))</f>
        <v>196696</v>
      </c>
      <c r="CS13" s="1453">
        <f>IF(VLOOKUP($E$13,[1]QUART!$A$2:$FA$300, 96, FALSE)="",":",VLOOKUP($E$13,[1]QUART!$A$2:$FA$300, 96, FALSE))</f>
        <v>196660</v>
      </c>
      <c r="CT13" s="1453">
        <f>IF(VLOOKUP($E$13,[1]QUART!$A$2:$FA$300, 97, FALSE)="",":",VLOOKUP($E$13,[1]QUART!$A$2:$FA$300, 97, FALSE))</f>
        <v>198732</v>
      </c>
      <c r="CU13" s="1453" t="str">
        <f>IF(VLOOKUP($E$13,[1]QUART!$A$2:$FA$300, 98, FALSE)="",":",VLOOKUP($E$13,[1]QUART!$A$2:$FA$300, 98, FALSE))</f>
        <v>:</v>
      </c>
      <c r="CV13" s="1453" t="str">
        <f>IF(VLOOKUP($E$13,[1]QUART!$A$2:$FA$300, 99, FALSE)="",":",VLOOKUP($E$13,[1]QUART!$A$2:$FA$300, 99, FALSE))</f>
        <v>:</v>
      </c>
      <c r="CW13" s="1453" t="str">
        <f>IF(VLOOKUP($E$13,[1]QUART!$A$2:$FA$300, 100, FALSE)="",":",VLOOKUP($E$13,[1]QUART!$A$2:$FA$300, 100, FALSE))</f>
        <v>:</v>
      </c>
      <c r="CX13" s="1453" t="str">
        <f>IF(VLOOKUP($E$13,[1]QUART!$A$2:$FA$300, 101, FALSE)="",":",VLOOKUP($E$13,[1]QUART!$A$2:$FA$300, 101, FALSE))</f>
        <v>:</v>
      </c>
      <c r="CY13" s="1453" t="str">
        <f>IF(VLOOKUP($E$13,[1]QUART!$A$2:$FA$300, 102, FALSE)="",":",VLOOKUP($E$13,[1]QUART!$A$2:$FA$300, 102, FALSE))</f>
        <v>:</v>
      </c>
      <c r="CZ13" s="1453" t="str">
        <f>IF(VLOOKUP($E$13,[1]QUART!$A$2:$FA$300, 103, FALSE)="",":",VLOOKUP($E$13,[1]QUART!$A$2:$FA$300, 103, FALSE))</f>
        <v>:</v>
      </c>
      <c r="DA13" s="1453" t="str">
        <f>IF(VLOOKUP($E$13,[1]QUART!$A$2:$FA$300, 104, FALSE)="",":",VLOOKUP($E$13,[1]QUART!$A$2:$FA$300, 104, FALSE))</f>
        <v>:</v>
      </c>
      <c r="DB13" s="1453" t="str">
        <f>IF(VLOOKUP($E$13,[1]QUART!$A$2:$FA$300, 105, FALSE)="",":",VLOOKUP($E$13,[1]QUART!$A$2:$FA$300, 105, FALSE))</f>
        <v>:</v>
      </c>
      <c r="DC13" s="1453" t="str">
        <f>IF(VLOOKUP($E$13,[1]QUART!$A$2:$FA$300, 106, FALSE)="",":",VLOOKUP($E$13,[1]QUART!$A$2:$FA$300, 106, FALSE))</f>
        <v>:</v>
      </c>
    </row>
    <row r="14" spans="1:110">
      <c r="A14" s="1454"/>
      <c r="B14" s="1454"/>
      <c r="C14" s="1455"/>
      <c r="D14" s="1450"/>
      <c r="E14" s="1451"/>
      <c r="F14" s="1452"/>
      <c r="G14" s="1453"/>
      <c r="H14" s="1453"/>
      <c r="I14" s="1453"/>
      <c r="J14" s="1453"/>
      <c r="K14" s="1453"/>
      <c r="L14" s="1453"/>
      <c r="M14" s="1453"/>
      <c r="N14" s="1453"/>
      <c r="O14" s="1453"/>
      <c r="P14" s="1453"/>
      <c r="Q14" s="1453"/>
      <c r="R14" s="1453"/>
      <c r="S14" s="1453"/>
      <c r="T14" s="1453"/>
      <c r="U14" s="1453"/>
      <c r="V14" s="1453"/>
      <c r="W14" s="1453"/>
      <c r="X14" s="1453"/>
      <c r="Y14" s="1453"/>
      <c r="Z14" s="1453"/>
      <c r="AA14" s="1453"/>
      <c r="AB14" s="1453"/>
      <c r="AC14" s="1453"/>
      <c r="AD14" s="1453"/>
      <c r="AE14" s="1453"/>
      <c r="AF14" s="1453"/>
      <c r="AG14" s="1453"/>
      <c r="AH14" s="1453"/>
      <c r="AI14" s="1453"/>
      <c r="AJ14" s="1453"/>
      <c r="AK14" s="1453"/>
      <c r="AL14" s="1453"/>
      <c r="AM14" s="1453"/>
      <c r="AN14" s="1453"/>
      <c r="AO14" s="1453"/>
      <c r="AP14" s="1453"/>
      <c r="AQ14" s="1453"/>
      <c r="AR14" s="1453"/>
      <c r="AS14" s="1453"/>
      <c r="AT14" s="1453"/>
      <c r="AU14" s="1453"/>
      <c r="AV14" s="1453"/>
      <c r="AW14" s="1453"/>
      <c r="AX14" s="1453"/>
      <c r="AY14" s="1453"/>
      <c r="AZ14" s="1453"/>
      <c r="BA14" s="1453"/>
      <c r="BB14" s="1453"/>
      <c r="BC14" s="1453"/>
      <c r="BD14" s="1453"/>
      <c r="BE14" s="1453"/>
      <c r="BF14" s="1453"/>
      <c r="BG14" s="1453"/>
      <c r="BH14" s="1453"/>
      <c r="BI14" s="1453"/>
      <c r="BJ14" s="1453"/>
      <c r="BK14" s="1453"/>
      <c r="BL14" s="1453"/>
      <c r="BM14" s="1453"/>
      <c r="BN14" s="1453"/>
      <c r="BO14" s="1453"/>
      <c r="BP14" s="1453"/>
      <c r="BQ14" s="1453"/>
      <c r="BR14" s="1453"/>
      <c r="BS14" s="1453"/>
      <c r="BT14" s="1453"/>
      <c r="BU14" s="1453"/>
      <c r="BV14" s="1453"/>
      <c r="BW14" s="1453"/>
      <c r="BX14" s="1453"/>
      <c r="BY14" s="1453"/>
      <c r="BZ14" s="1453"/>
      <c r="CA14" s="1453"/>
      <c r="CB14" s="1453"/>
      <c r="CC14" s="1453"/>
      <c r="CD14" s="1453"/>
      <c r="CE14" s="1453"/>
      <c r="CF14" s="1453"/>
      <c r="CG14" s="1453"/>
      <c r="CH14" s="1453"/>
      <c r="CI14" s="1453"/>
      <c r="CJ14" s="1453"/>
      <c r="CK14" s="1453"/>
      <c r="CL14" s="1453"/>
      <c r="CM14" s="1453"/>
      <c r="CN14" s="1453"/>
      <c r="CO14" s="1453"/>
      <c r="CP14" s="1453"/>
      <c r="CQ14" s="1453"/>
      <c r="CR14" s="1453"/>
      <c r="CS14" s="1453"/>
      <c r="CT14" s="1453"/>
      <c r="CU14" s="1453"/>
      <c r="CV14" s="1453"/>
      <c r="CW14" s="1453"/>
      <c r="CX14" s="1453"/>
      <c r="CY14" s="1453"/>
      <c r="CZ14" s="1453"/>
      <c r="DA14" s="1453"/>
      <c r="DB14" s="1453"/>
      <c r="DC14" s="1453"/>
    </row>
    <row r="15" spans="1:110">
      <c r="A15" s="1449">
        <v>24</v>
      </c>
      <c r="B15" s="546" t="s">
        <v>467</v>
      </c>
      <c r="C15" s="547" t="s">
        <v>1062</v>
      </c>
      <c r="D15" s="1450" t="s">
        <v>363</v>
      </c>
      <c r="E15" s="1451">
        <v>64</v>
      </c>
      <c r="F15" s="1452" t="str">
        <f>VLOOKUP($E$15,[1]QUART!$A$2:$FA$300, 3, FALSE)</f>
        <v xml:space="preserve">64  Gross domestic product at market prices                                         </v>
      </c>
      <c r="G15" s="1453">
        <f>IF(VLOOKUP($E$15,[1]QUART!$A$2:$FA$300, 6, FALSE)="",":",VLOOKUP($E$15,[1]QUART!$A$2:$FA$300, 6, FALSE))</f>
        <v>71527</v>
      </c>
      <c r="H15" s="1453">
        <f>IF(VLOOKUP($E$15,[1]QUART!$A$2:$FA$300, 7, FALSE)="",":",VLOOKUP($E$15,[1]QUART!$A$2:$FA$300, 7, FALSE))</f>
        <v>71870</v>
      </c>
      <c r="I15" s="1453">
        <f>IF(VLOOKUP($E$15,[1]QUART!$A$2:$FA$300, 8, FALSE)="",":",VLOOKUP($E$15,[1]QUART!$A$2:$FA$300, 8, FALSE))</f>
        <v>72401</v>
      </c>
      <c r="J15" s="1453">
        <f>IF(VLOOKUP($E$15,[1]QUART!$A$2:$FA$300, 9, FALSE)="",":",VLOOKUP($E$15,[1]QUART!$A$2:$FA$300, 9, FALSE))</f>
        <v>72666</v>
      </c>
      <c r="K15" s="1453">
        <f>IF(VLOOKUP($E$15,[1]QUART!$A$2:$FA$300, 10, FALSE)="",":",VLOOKUP($E$15,[1]QUART!$A$2:$FA$300, 10, FALSE))</f>
        <v>72520</v>
      </c>
      <c r="L15" s="1453">
        <f>IF(VLOOKUP($E$15,[1]QUART!$A$2:$FA$300, 11, FALSE)="",":",VLOOKUP($E$15,[1]QUART!$A$2:$FA$300, 11, FALSE))</f>
        <v>73073</v>
      </c>
      <c r="M15" s="1453">
        <f>IF(VLOOKUP($E$15,[1]QUART!$A$2:$FA$300, 12, FALSE)="",":",VLOOKUP($E$15,[1]QUART!$A$2:$FA$300, 12, FALSE))</f>
        <v>73439</v>
      </c>
      <c r="N15" s="1453">
        <f>IF(VLOOKUP($E$15,[1]QUART!$A$2:$FA$300, 13, FALSE)="",":",VLOOKUP($E$15,[1]QUART!$A$2:$FA$300, 13, FALSE))</f>
        <v>74018</v>
      </c>
      <c r="O15" s="1453">
        <f>IF(VLOOKUP($E$15,[1]QUART!$A$2:$FA$300, 14, FALSE)="",":",VLOOKUP($E$15,[1]QUART!$A$2:$FA$300, 14, FALSE))</f>
        <v>74710</v>
      </c>
      <c r="P15" s="1453">
        <f>IF(VLOOKUP($E$15,[1]QUART!$A$2:$FA$300, 15, FALSE)="",":",VLOOKUP($E$15,[1]QUART!$A$2:$FA$300, 15, FALSE))</f>
        <v>75819</v>
      </c>
      <c r="Q15" s="1453">
        <f>IF(VLOOKUP($E$15,[1]QUART!$A$2:$FA$300, 16, FALSE)="",":",VLOOKUP($E$15,[1]QUART!$A$2:$FA$300, 16, FALSE))</f>
        <v>76478</v>
      </c>
      <c r="R15" s="1453">
        <f>IF(VLOOKUP($E$15,[1]QUART!$A$2:$FA$300, 17, FALSE)="",":",VLOOKUP($E$15,[1]QUART!$A$2:$FA$300, 17, FALSE))</f>
        <v>76916</v>
      </c>
      <c r="S15" s="1453">
        <f>IF(VLOOKUP($E$15,[1]QUART!$A$2:$FA$300, 18, FALSE)="",":",VLOOKUP($E$15,[1]QUART!$A$2:$FA$300, 18, FALSE))</f>
        <v>77120</v>
      </c>
      <c r="T15" s="1453">
        <f>IF(VLOOKUP($E$15,[1]QUART!$A$2:$FA$300, 19, FALSE)="",":",VLOOKUP($E$15,[1]QUART!$A$2:$FA$300, 19, FALSE))</f>
        <v>77377</v>
      </c>
      <c r="U15" s="1453">
        <f>IF(VLOOKUP($E$15,[1]QUART!$A$2:$FA$300, 20, FALSE)="",":",VLOOKUP($E$15,[1]QUART!$A$2:$FA$300, 20, FALSE))</f>
        <v>77620</v>
      </c>
      <c r="V15" s="1453">
        <f>IF(VLOOKUP($E$15,[1]QUART!$A$2:$FA$300, 21, FALSE)="",":",VLOOKUP($E$15,[1]QUART!$A$2:$FA$300, 21, FALSE))</f>
        <v>77812</v>
      </c>
      <c r="W15" s="1453">
        <f>IF(VLOOKUP($E$15,[1]QUART!$A$2:$FA$300, 22, FALSE)="",":",VLOOKUP($E$15,[1]QUART!$A$2:$FA$300, 22, FALSE))</f>
        <v>78636</v>
      </c>
      <c r="X15" s="1453">
        <f>IF(VLOOKUP($E$15,[1]QUART!$A$2:$FA$300, 23, FALSE)="",":",VLOOKUP($E$15,[1]QUART!$A$2:$FA$300, 23, FALSE))</f>
        <v>79695</v>
      </c>
      <c r="Y15" s="1453">
        <f>IF(VLOOKUP($E$15,[1]QUART!$A$2:$FA$300, 24, FALSE)="",":",VLOOKUP($E$15,[1]QUART!$A$2:$FA$300, 24, FALSE))</f>
        <v>80843</v>
      </c>
      <c r="Z15" s="1453">
        <f>IF(VLOOKUP($E$15,[1]QUART!$A$2:$FA$300, 25, FALSE)="",":",VLOOKUP($E$15,[1]QUART!$A$2:$FA$300, 25, FALSE))</f>
        <v>81797</v>
      </c>
      <c r="AA15" s="1453">
        <f>IF(VLOOKUP($E$15,[1]QUART!$A$2:$FA$300, 26, FALSE)="",":",VLOOKUP($E$15,[1]QUART!$A$2:$FA$300, 26, FALSE))</f>
        <v>82408</v>
      </c>
      <c r="AB15" s="1453">
        <f>IF(VLOOKUP($E$15,[1]QUART!$A$2:$FA$300, 27, FALSE)="",":",VLOOKUP($E$15,[1]QUART!$A$2:$FA$300, 27, FALSE))</f>
        <v>82950</v>
      </c>
      <c r="AC15" s="1453">
        <f>IF(VLOOKUP($E$15,[1]QUART!$A$2:$FA$300, 28, FALSE)="",":",VLOOKUP($E$15,[1]QUART!$A$2:$FA$300, 28, FALSE))</f>
        <v>83280</v>
      </c>
      <c r="AD15" s="1453">
        <f>IF(VLOOKUP($E$15,[1]QUART!$A$2:$FA$300, 29, FALSE)="",":",VLOOKUP($E$15,[1]QUART!$A$2:$FA$300, 29, FALSE))</f>
        <v>84018</v>
      </c>
      <c r="AE15" s="1453">
        <f>IF(VLOOKUP($E$15,[1]QUART!$A$2:$FA$300, 30, FALSE)="",":",VLOOKUP($E$15,[1]QUART!$A$2:$FA$300, 30, FALSE))</f>
        <v>83969</v>
      </c>
      <c r="AF15" s="1453">
        <f>IF(VLOOKUP($E$15,[1]QUART!$A$2:$FA$300, 31, FALSE)="",":",VLOOKUP($E$15,[1]QUART!$A$2:$FA$300, 31, FALSE))</f>
        <v>83920</v>
      </c>
      <c r="AG15" s="1453">
        <f>IF(VLOOKUP($E$15,[1]QUART!$A$2:$FA$300, 32, FALSE)="",":",VLOOKUP($E$15,[1]QUART!$A$2:$FA$300, 32, FALSE))</f>
        <v>83748</v>
      </c>
      <c r="AH15" s="1453">
        <f>IF(VLOOKUP($E$15,[1]QUART!$A$2:$FA$300, 33, FALSE)="",":",VLOOKUP($E$15,[1]QUART!$A$2:$FA$300, 33, FALSE))</f>
        <v>83699</v>
      </c>
      <c r="AI15" s="1453">
        <f>IF(VLOOKUP($E$15,[1]QUART!$A$2:$FA$300, 34, FALSE)="",":",VLOOKUP($E$15,[1]QUART!$A$2:$FA$300, 34, FALSE))</f>
        <v>84478</v>
      </c>
      <c r="AJ15" s="1453">
        <f>IF(VLOOKUP($E$15,[1]QUART!$A$2:$FA$300, 35, FALSE)="",":",VLOOKUP($E$15,[1]QUART!$A$2:$FA$300, 35, FALSE))</f>
        <v>85220</v>
      </c>
      <c r="AK15" s="1453">
        <f>IF(VLOOKUP($E$15,[1]QUART!$A$2:$FA$300, 36, FALSE)="",":",VLOOKUP($E$15,[1]QUART!$A$2:$FA$300, 36, FALSE))</f>
        <v>85670</v>
      </c>
      <c r="AL15" s="1453">
        <f>IF(VLOOKUP($E$15,[1]QUART!$A$2:$FA$300, 37, FALSE)="",":",VLOOKUP($E$15,[1]QUART!$A$2:$FA$300, 37, FALSE))</f>
        <v>85936</v>
      </c>
      <c r="AM15" s="1453">
        <f>IF(VLOOKUP($E$15,[1]QUART!$A$2:$FA$300, 38, FALSE)="",":",VLOOKUP($E$15,[1]QUART!$A$2:$FA$300, 38, FALSE))</f>
        <v>85597</v>
      </c>
      <c r="AN15" s="1453">
        <f>IF(VLOOKUP($E$15,[1]QUART!$A$2:$FA$300, 39, FALSE)="",":",VLOOKUP($E$15,[1]QUART!$A$2:$FA$300, 39, FALSE))</f>
        <v>85683</v>
      </c>
      <c r="AO15" s="1453">
        <f>IF(VLOOKUP($E$15,[1]QUART!$A$2:$FA$300, 40, FALSE)="",":",VLOOKUP($E$15,[1]QUART!$A$2:$FA$300, 40, FALSE))</f>
        <v>86013</v>
      </c>
      <c r="AP15" s="1453">
        <f>IF(VLOOKUP($E$15,[1]QUART!$A$2:$FA$300, 41, FALSE)="",":",VLOOKUP($E$15,[1]QUART!$A$2:$FA$300, 41, FALSE))</f>
        <v>86654</v>
      </c>
      <c r="AQ15" s="1453">
        <f>IF(VLOOKUP($E$15,[1]QUART!$A$2:$FA$300, 42, FALSE)="",":",VLOOKUP($E$15,[1]QUART!$A$2:$FA$300, 42, FALSE))</f>
        <v>88004</v>
      </c>
      <c r="AR15" s="1453">
        <f>IF(VLOOKUP($E$15,[1]QUART!$A$2:$FA$300, 43, FALSE)="",":",VLOOKUP($E$15,[1]QUART!$A$2:$FA$300, 43, FALSE))</f>
        <v>88867</v>
      </c>
      <c r="AS15" s="1453">
        <f>IF(VLOOKUP($E$15,[1]QUART!$A$2:$FA$300, 44, FALSE)="",":",VLOOKUP($E$15,[1]QUART!$A$2:$FA$300, 44, FALSE))</f>
        <v>89644</v>
      </c>
      <c r="AT15" s="1453">
        <f>IF(VLOOKUP($E$15,[1]QUART!$A$2:$FA$300, 45, FALSE)="",":",VLOOKUP($E$15,[1]QUART!$A$2:$FA$300, 45, FALSE))</f>
        <v>89930</v>
      </c>
      <c r="AU15" s="1453">
        <f>IF(VLOOKUP($E$15,[1]QUART!$A$2:$FA$300, 46, FALSE)="",":",VLOOKUP($E$15,[1]QUART!$A$2:$FA$300, 46, FALSE))</f>
        <v>90286</v>
      </c>
      <c r="AV15" s="1453">
        <f>IF(VLOOKUP($E$15,[1]QUART!$A$2:$FA$300, 47, FALSE)="",":",VLOOKUP($E$15,[1]QUART!$A$2:$FA$300, 47, FALSE))</f>
        <v>90737</v>
      </c>
      <c r="AW15" s="1453">
        <f>IF(VLOOKUP($E$15,[1]QUART!$A$2:$FA$300, 48, FALSE)="",":",VLOOKUP($E$15,[1]QUART!$A$2:$FA$300, 48, FALSE))</f>
        <v>91088</v>
      </c>
      <c r="AX15" s="1453">
        <f>IF(VLOOKUP($E$15,[1]QUART!$A$2:$FA$300, 49, FALSE)="",":",VLOOKUP($E$15,[1]QUART!$A$2:$FA$300, 49, FALSE))</f>
        <v>91817</v>
      </c>
      <c r="AY15" s="1453">
        <f>IF(VLOOKUP($E$15,[1]QUART!$A$2:$FA$300, 50, FALSE)="",":",VLOOKUP($E$15,[1]QUART!$A$2:$FA$300, 50, FALSE))</f>
        <v>92394</v>
      </c>
      <c r="AZ15" s="1453">
        <f>IF(VLOOKUP($E$15,[1]QUART!$A$2:$FA$300, 51, FALSE)="",":",VLOOKUP($E$15,[1]QUART!$A$2:$FA$300, 51, FALSE))</f>
        <v>92696</v>
      </c>
      <c r="BA15" s="1453">
        <f>IF(VLOOKUP($E$15,[1]QUART!$A$2:$FA$300, 52, FALSE)="",":",VLOOKUP($E$15,[1]QUART!$A$2:$FA$300, 52, FALSE))</f>
        <v>93477</v>
      </c>
      <c r="BB15" s="1453">
        <f>IF(VLOOKUP($E$15,[1]QUART!$A$2:$FA$300, 53, FALSE)="",":",VLOOKUP($E$15,[1]QUART!$A$2:$FA$300, 53, FALSE))</f>
        <v>94484</v>
      </c>
      <c r="BC15" s="1453">
        <f>IF(VLOOKUP($E$15,[1]QUART!$A$2:$FA$300, 54, FALSE)="",":",VLOOKUP($E$15,[1]QUART!$A$2:$FA$300, 54, FALSE))</f>
        <v>95700</v>
      </c>
      <c r="BD15" s="1453">
        <f>IF(VLOOKUP($E$15,[1]QUART!$A$2:$FA$300, 55, FALSE)="",":",VLOOKUP($E$15,[1]QUART!$A$2:$FA$300, 55, FALSE))</f>
        <v>96076</v>
      </c>
      <c r="BE15" s="1453">
        <f>IF(VLOOKUP($E$15,[1]QUART!$A$2:$FA$300, 56, FALSE)="",":",VLOOKUP($E$15,[1]QUART!$A$2:$FA$300, 56, FALSE))</f>
        <v>96818</v>
      </c>
      <c r="BF15" s="1453">
        <f>IF(VLOOKUP($E$15,[1]QUART!$A$2:$FA$300, 57, FALSE)="",":",VLOOKUP($E$15,[1]QUART!$A$2:$FA$300, 57, FALSE))</f>
        <v>97307</v>
      </c>
      <c r="BG15" s="1453">
        <f>IF(VLOOKUP($E$15,[1]QUART!$A$2:$FA$300, 58, FALSE)="",":",VLOOKUP($E$15,[1]QUART!$A$2:$FA$300, 58, FALSE))</f>
        <v>97869</v>
      </c>
      <c r="BH15" s="1453">
        <f>IF(VLOOKUP($E$15,[1]QUART!$A$2:$FA$300, 59, FALSE)="",":",VLOOKUP($E$15,[1]QUART!$A$2:$FA$300, 59, FALSE))</f>
        <v>98025</v>
      </c>
      <c r="BI15" s="1453">
        <f>IF(VLOOKUP($E$15,[1]QUART!$A$2:$FA$300, 60, FALSE)="",":",VLOOKUP($E$15,[1]QUART!$A$2:$FA$300, 60, FALSE))</f>
        <v>97532</v>
      </c>
      <c r="BJ15" s="1453">
        <f>IF(VLOOKUP($E$15,[1]QUART!$A$2:$FA$300, 61, FALSE)="",":",VLOOKUP($E$15,[1]QUART!$A$2:$FA$300, 61, FALSE))</f>
        <v>95490</v>
      </c>
      <c r="BK15" s="1453">
        <f>IF(VLOOKUP($E$15,[1]QUART!$A$2:$FA$300, 62, FALSE)="",":",VLOOKUP($E$15,[1]QUART!$A$2:$FA$300, 62, FALSE))</f>
        <v>94392</v>
      </c>
      <c r="BL15" s="1453">
        <f>IF(VLOOKUP($E$15,[1]QUART!$A$2:$FA$300, 63, FALSE)="",":",VLOOKUP($E$15,[1]QUART!$A$2:$FA$300, 63, FALSE))</f>
        <v>94289</v>
      </c>
      <c r="BM15" s="1453">
        <f>IF(VLOOKUP($E$15,[1]QUART!$A$2:$FA$300, 64, FALSE)="",":",VLOOKUP($E$15,[1]QUART!$A$2:$FA$300, 64, FALSE))</f>
        <v>95339</v>
      </c>
      <c r="BN15" s="1453">
        <f>IF(VLOOKUP($E$15,[1]QUART!$A$2:$FA$300, 65, FALSE)="",":",VLOOKUP($E$15,[1]QUART!$A$2:$FA$300, 65, FALSE))</f>
        <v>96144</v>
      </c>
      <c r="BO15" s="1453">
        <f>IF(VLOOKUP($E$15,[1]QUART!$A$2:$FA$300, 66, FALSE)="",":",VLOOKUP($E$15,[1]QUART!$A$2:$FA$300, 66, FALSE))</f>
        <v>96601</v>
      </c>
      <c r="BP15" s="1453">
        <f>IF(VLOOKUP($E$15,[1]QUART!$A$2:$FA$300, 67, FALSE)="",":",VLOOKUP($E$15,[1]QUART!$A$2:$FA$300, 67, FALSE))</f>
        <v>97576</v>
      </c>
      <c r="BQ15" s="1453">
        <f>IF(VLOOKUP($E$15,[1]QUART!$A$2:$FA$300, 68, FALSE)="",":",VLOOKUP($E$15,[1]QUART!$A$2:$FA$300, 68, FALSE))</f>
        <v>98007</v>
      </c>
      <c r="BR15" s="1453">
        <f>IF(VLOOKUP($E$15,[1]QUART!$A$2:$FA$300, 69, FALSE)="",":",VLOOKUP($E$15,[1]QUART!$A$2:$FA$300, 69, FALSE))</f>
        <v>98412</v>
      </c>
      <c r="BS15" s="1453">
        <f>IF(VLOOKUP($E$15,[1]QUART!$A$2:$FA$300, 70, FALSE)="",":",VLOOKUP($E$15,[1]QUART!$A$2:$FA$300, 70, FALSE))</f>
        <v>99063</v>
      </c>
      <c r="BT15" s="1453">
        <f>IF(VLOOKUP($E$15,[1]QUART!$A$2:$FA$300, 71, FALSE)="",":",VLOOKUP($E$15,[1]QUART!$A$2:$FA$300, 71, FALSE))</f>
        <v>99349</v>
      </c>
      <c r="BU15" s="1453">
        <f>IF(VLOOKUP($E$15,[1]QUART!$A$2:$FA$300, 72, FALSE)="",":",VLOOKUP($E$15,[1]QUART!$A$2:$FA$300, 72, FALSE))</f>
        <v>99571</v>
      </c>
      <c r="BV15" s="1453">
        <f>IF(VLOOKUP($E$15,[1]QUART!$A$2:$FA$300, 73, FALSE)="",":",VLOOKUP($E$15,[1]QUART!$A$2:$FA$300, 73, FALSE))</f>
        <v>99638</v>
      </c>
      <c r="BW15" s="1453">
        <f>IF(VLOOKUP($E$15,[1]QUART!$A$2:$FA$300, 74, FALSE)="",":",VLOOKUP($E$15,[1]QUART!$A$2:$FA$300, 74, FALSE))</f>
        <v>99832</v>
      </c>
      <c r="BX15" s="1453">
        <f>IF(VLOOKUP($E$15,[1]QUART!$A$2:$FA$300, 75, FALSE)="",":",VLOOKUP($E$15,[1]QUART!$A$2:$FA$300, 75, FALSE))</f>
        <v>99639</v>
      </c>
      <c r="BY15" s="1453">
        <f>IF(VLOOKUP($E$15,[1]QUART!$A$2:$FA$300, 76, FALSE)="",":",VLOOKUP($E$15,[1]QUART!$A$2:$FA$300, 76, FALSE))</f>
        <v>99601</v>
      </c>
      <c r="BZ15" s="1453">
        <f>IF(VLOOKUP($E$15,[1]QUART!$A$2:$FA$300, 77, FALSE)="",":",VLOOKUP($E$15,[1]QUART!$A$2:$FA$300, 77, FALSE))</f>
        <v>99481</v>
      </c>
      <c r="CA15" s="1453">
        <f>IF(VLOOKUP($E$15,[1]QUART!$A$2:$FA$300, 78, FALSE)="",":",VLOOKUP($E$15,[1]QUART!$A$2:$FA$300, 78, FALSE))</f>
        <v>99163</v>
      </c>
      <c r="CB15" s="1453">
        <f>IF(VLOOKUP($E$15,[1]QUART!$A$2:$FA$300, 79, FALSE)="",":",VLOOKUP($E$15,[1]QUART!$A$2:$FA$300, 79, FALSE))</f>
        <v>99640</v>
      </c>
      <c r="CC15" s="1453">
        <f>IF(VLOOKUP($E$15,[1]QUART!$A$2:$FA$300, 80, FALSE)="",":",VLOOKUP($E$15,[1]QUART!$A$2:$FA$300, 80, FALSE))</f>
        <v>100127</v>
      </c>
      <c r="CD15" s="1453">
        <f>IF(VLOOKUP($E$15,[1]QUART!$A$2:$FA$300, 81, FALSE)="",":",VLOOKUP($E$15,[1]QUART!$A$2:$FA$300, 81, FALSE))</f>
        <v>100423</v>
      </c>
      <c r="CE15" s="1453">
        <f>IF(VLOOKUP($E$15,[1]QUART!$A$2:$FA$300, 82, FALSE)="",":",VLOOKUP($E$15,[1]QUART!$A$2:$FA$300, 82, FALSE))</f>
        <v>100727</v>
      </c>
      <c r="CF15" s="1453">
        <f>IF(VLOOKUP($E$15,[1]QUART!$A$2:$FA$300, 83, FALSE)="",":",VLOOKUP($E$15,[1]QUART!$A$2:$FA$300, 83, FALSE))</f>
        <v>100977</v>
      </c>
      <c r="CG15" s="1453">
        <f>IF(VLOOKUP($E$15,[1]QUART!$A$2:$FA$300, 84, FALSE)="",":",VLOOKUP($E$15,[1]QUART!$A$2:$FA$300, 84, FALSE))</f>
        <v>101368</v>
      </c>
      <c r="CH15" s="1453">
        <f>IF(VLOOKUP($E$15,[1]QUART!$A$2:$FA$300, 85, FALSE)="",":",VLOOKUP($E$15,[1]QUART!$A$2:$FA$300, 85, FALSE))</f>
        <v>101679</v>
      </c>
      <c r="CI15" s="1453">
        <f>IF(VLOOKUP($E$15,[1]QUART!$A$2:$FA$300, 86, FALSE)="",":",VLOOKUP($E$15,[1]QUART!$A$2:$FA$300, 86, FALSE))</f>
        <v>102099</v>
      </c>
      <c r="CJ15" s="1453">
        <f>IF(VLOOKUP($E$15,[1]QUART!$A$2:$FA$300, 87, FALSE)="",":",VLOOKUP($E$15,[1]QUART!$A$2:$FA$300, 87, FALSE))</f>
        <v>102575</v>
      </c>
      <c r="CK15" s="1453">
        <f>IF(VLOOKUP($E$15,[1]QUART!$A$2:$FA$300, 88, FALSE)="",":",VLOOKUP($E$15,[1]QUART!$A$2:$FA$300, 88, FALSE))</f>
        <v>102635</v>
      </c>
      <c r="CL15" s="1453">
        <f>IF(VLOOKUP($E$15,[1]QUART!$A$2:$FA$300, 89, FALSE)="",":",VLOOKUP($E$15,[1]QUART!$A$2:$FA$300, 89, FALSE))</f>
        <v>103126</v>
      </c>
      <c r="CM15" s="1453">
        <f>IF(VLOOKUP($E$15,[1]QUART!$A$2:$FA$300, 90, FALSE)="",":",VLOOKUP($E$15,[1]QUART!$A$2:$FA$300, 90, FALSE))</f>
        <v>103413</v>
      </c>
      <c r="CN15" s="1453">
        <f>IF(VLOOKUP($E$15,[1]QUART!$A$2:$FA$300, 91, FALSE)="",":",VLOOKUP($E$15,[1]QUART!$A$2:$FA$300, 91, FALSE))</f>
        <v>104179</v>
      </c>
      <c r="CO15" s="1453">
        <f>IF(VLOOKUP($E$15,[1]QUART!$A$2:$FA$300, 92, FALSE)="",":",VLOOKUP($E$15,[1]QUART!$A$2:$FA$300, 92, FALSE))</f>
        <v>104294</v>
      </c>
      <c r="CP15" s="1453">
        <f>IF(VLOOKUP($E$15,[1]QUART!$A$2:$FA$300, 93, FALSE)="",":",VLOOKUP($E$15,[1]QUART!$A$2:$FA$300, 93, FALSE))</f>
        <v>104566</v>
      </c>
      <c r="CQ15" s="1453">
        <f>IF(VLOOKUP($E$15,[1]QUART!$A$2:$FA$300, 94, FALSE)="",":",VLOOKUP($E$15,[1]QUART!$A$2:$FA$300, 94, FALSE))</f>
        <v>105266</v>
      </c>
      <c r="CR15" s="1453">
        <f>IF(VLOOKUP($E$15,[1]QUART!$A$2:$FA$300, 95, FALSE)="",":",VLOOKUP($E$15,[1]QUART!$A$2:$FA$300, 95, FALSE))</f>
        <v>105750</v>
      </c>
      <c r="CS15" s="1453">
        <f>IF(VLOOKUP($E$15,[1]QUART!$A$2:$FA$300, 96, FALSE)="",":",VLOOKUP($E$15,[1]QUART!$A$2:$FA$300, 96, FALSE))</f>
        <v>105953</v>
      </c>
      <c r="CT15" s="1453">
        <f>IF(VLOOKUP($E$15,[1]QUART!$A$2:$FA$300, 97, FALSE)="",":",VLOOKUP($E$15,[1]QUART!$A$2:$FA$300, 97, FALSE))</f>
        <v>106507</v>
      </c>
      <c r="CU15" s="1453" t="str">
        <f>IF(VLOOKUP($E$15,[1]QUART!$A$2:$FA$300, 98, FALSE)="",":",VLOOKUP($E$15,[1]QUART!$A$2:$FA$300, 98, FALSE))</f>
        <v>:</v>
      </c>
      <c r="CV15" s="1453" t="str">
        <f>IF(VLOOKUP($E$15,[1]QUART!$A$2:$FA$300, 99, FALSE)="",":",VLOOKUP($E$15,[1]QUART!$A$2:$FA$300, 99, FALSE))</f>
        <v>:</v>
      </c>
      <c r="CW15" s="1453" t="str">
        <f>IF(VLOOKUP($E$15,[1]QUART!$A$2:$FA$300, 100, FALSE)="",":",VLOOKUP($E$15,[1]QUART!$A$2:$FA$300, 100, FALSE))</f>
        <v>:</v>
      </c>
      <c r="CX15" s="1453" t="str">
        <f>IF(VLOOKUP($E$15,[1]QUART!$A$2:$FA$300, 101, FALSE)="",":",VLOOKUP($E$15,[1]QUART!$A$2:$FA$300, 101, FALSE))</f>
        <v>:</v>
      </c>
      <c r="CY15" s="1453" t="str">
        <f>IF(VLOOKUP($E$15,[1]QUART!$A$2:$FA$300, 102, FALSE)="",":",VLOOKUP($E$15,[1]QUART!$A$2:$FA$300, 102, FALSE))</f>
        <v>:</v>
      </c>
      <c r="CZ15" s="1453" t="str">
        <f>IF(VLOOKUP($E$15,[1]QUART!$A$2:$FA$300, 103, FALSE)="",":",VLOOKUP($E$15,[1]QUART!$A$2:$FA$300, 103, FALSE))</f>
        <v>:</v>
      </c>
      <c r="DA15" s="1453" t="str">
        <f>IF(VLOOKUP($E$15,[1]QUART!$A$2:$FA$300, 104, FALSE)="",":",VLOOKUP($E$15,[1]QUART!$A$2:$FA$300, 104, FALSE))</f>
        <v>:</v>
      </c>
      <c r="DB15" s="1453" t="str">
        <f>IF(VLOOKUP($E$15,[1]QUART!$A$2:$FA$300, 105, FALSE)="",":",VLOOKUP($E$15,[1]QUART!$A$2:$FA$300, 105, FALSE))</f>
        <v>:</v>
      </c>
      <c r="DC15" s="1453" t="str">
        <f>IF(VLOOKUP($E$15,[1]QUART!$A$2:$FA$300, 106, FALSE)="",":",VLOOKUP($E$15,[1]QUART!$A$2:$FA$300, 106, FALSE))</f>
        <v>:</v>
      </c>
    </row>
    <row r="16" spans="1:110">
      <c r="A16" s="1449"/>
      <c r="B16" s="1454"/>
      <c r="C16" s="1455"/>
      <c r="D16" s="1450"/>
      <c r="E16" s="1451"/>
      <c r="F16" s="1452"/>
      <c r="G16" s="1453"/>
      <c r="H16" s="1453"/>
      <c r="I16" s="1453"/>
      <c r="J16" s="1453"/>
      <c r="K16" s="1453"/>
      <c r="L16" s="1453"/>
      <c r="M16" s="1453"/>
      <c r="N16" s="1453"/>
      <c r="O16" s="1453"/>
      <c r="P16" s="1453"/>
      <c r="Q16" s="1453"/>
      <c r="R16" s="1453"/>
      <c r="S16" s="1453"/>
      <c r="T16" s="1453"/>
      <c r="U16" s="1453"/>
      <c r="V16" s="1453"/>
      <c r="W16" s="1453"/>
      <c r="X16" s="1453"/>
      <c r="Y16" s="1453"/>
      <c r="Z16" s="1453"/>
      <c r="AA16" s="1453"/>
      <c r="AB16" s="1453"/>
      <c r="AC16" s="1453"/>
      <c r="AD16" s="1453"/>
      <c r="AE16" s="1453"/>
      <c r="AF16" s="1453"/>
      <c r="AG16" s="1453"/>
      <c r="AH16" s="1453"/>
      <c r="AI16" s="1453"/>
      <c r="AJ16" s="1453"/>
      <c r="AK16" s="1453"/>
      <c r="AL16" s="1453"/>
      <c r="AM16" s="1453"/>
      <c r="AN16" s="1453"/>
      <c r="AO16" s="1453"/>
      <c r="AP16" s="1453"/>
      <c r="AQ16" s="1453"/>
      <c r="AR16" s="1453"/>
      <c r="AS16" s="1453"/>
      <c r="AT16" s="1453"/>
      <c r="AU16" s="1453"/>
      <c r="AV16" s="1453"/>
      <c r="AW16" s="1453"/>
      <c r="AX16" s="1453"/>
      <c r="AY16" s="1453"/>
      <c r="AZ16" s="1453"/>
      <c r="BA16" s="1453"/>
      <c r="BB16" s="1453"/>
      <c r="BC16" s="1453"/>
      <c r="BD16" s="1453"/>
      <c r="BE16" s="1453"/>
      <c r="BF16" s="1453"/>
      <c r="BG16" s="1453"/>
      <c r="BH16" s="1453"/>
      <c r="BI16" s="1453"/>
      <c r="BJ16" s="1453"/>
      <c r="BK16" s="1453"/>
      <c r="BL16" s="1453"/>
      <c r="BM16" s="1453"/>
      <c r="BN16" s="1453"/>
      <c r="BO16" s="1453"/>
      <c r="BP16" s="1453"/>
      <c r="BQ16" s="1453"/>
      <c r="BR16" s="1453"/>
      <c r="BS16" s="1453"/>
      <c r="BT16" s="1453"/>
      <c r="BU16" s="1453"/>
      <c r="BV16" s="1453"/>
      <c r="BW16" s="1453"/>
      <c r="BX16" s="1453"/>
      <c r="BY16" s="1453"/>
      <c r="BZ16" s="1453"/>
      <c r="CA16" s="1453"/>
      <c r="CB16" s="1453"/>
      <c r="CC16" s="1453"/>
      <c r="CD16" s="1453"/>
      <c r="CE16" s="1453"/>
      <c r="CF16" s="1453"/>
      <c r="CG16" s="1453"/>
      <c r="CH16" s="1453"/>
      <c r="CI16" s="1453"/>
      <c r="CJ16" s="1453"/>
      <c r="CK16" s="1453"/>
      <c r="CL16" s="1453"/>
      <c r="CM16" s="1453"/>
      <c r="CN16" s="1453"/>
      <c r="CO16" s="1453"/>
      <c r="CP16" s="1453"/>
      <c r="CQ16" s="1453"/>
      <c r="CR16" s="1453"/>
      <c r="CS16" s="1453"/>
      <c r="CT16" s="1453"/>
      <c r="CU16" s="1453"/>
      <c r="CV16" s="1453"/>
      <c r="CW16" s="1453"/>
      <c r="CX16" s="1453"/>
      <c r="CY16" s="1453"/>
      <c r="CZ16" s="1453"/>
      <c r="DA16" s="1453"/>
      <c r="DB16" s="1453"/>
      <c r="DC16" s="1453"/>
    </row>
    <row r="17" spans="1:107">
      <c r="A17" s="1449">
        <v>25</v>
      </c>
      <c r="B17" s="1454" t="s">
        <v>1747</v>
      </c>
      <c r="C17" s="1455"/>
      <c r="D17" s="1450" t="s">
        <v>363</v>
      </c>
      <c r="E17" s="1451">
        <v>90</v>
      </c>
      <c r="F17" s="1452" t="str">
        <f>VLOOKUP($E$17,[1]QUART!$A$2:$FA$300, 3, FALSE)</f>
        <v>90 Consumer price harmonized index</v>
      </c>
      <c r="G17" s="1453">
        <f ca="1">IF(VLOOKUP($E$17,[1]QUART!$A$2:$FA$300, 6, FALSE)="",":",VLOOKUP($E$17,[1]QUART!$A$2:$FA$300, 6, FALSE))</f>
        <v>83.429999999999993</v>
      </c>
      <c r="H17" s="1453">
        <f ca="1">IF(VLOOKUP($E$17,[1]QUART!$A$2:$FA$300, 7, FALSE)="",":",VLOOKUP($E$17,[1]QUART!$A$2:$FA$300, 7, FALSE))</f>
        <v>83.600000000000009</v>
      </c>
      <c r="I17" s="1453">
        <f ca="1">IF(VLOOKUP($E$17,[1]QUART!$A$2:$FA$300, 8, FALSE)="",":",VLOOKUP($E$17,[1]QUART!$A$2:$FA$300, 8, FALSE))</f>
        <v>84.023333333333326</v>
      </c>
      <c r="J17" s="1453">
        <f ca="1">IF(VLOOKUP($E$17,[1]QUART!$A$2:$FA$300, 9, FALSE)="",":",VLOOKUP($E$17,[1]QUART!$A$2:$FA$300, 9, FALSE))</f>
        <v>83.99666666666667</v>
      </c>
      <c r="K17" s="1453">
        <f ca="1">IF(VLOOKUP($E$17,[1]QUART!$A$2:$FA$300, 10, FALSE)="",":",VLOOKUP($E$17,[1]QUART!$A$2:$FA$300, 10, FALSE))</f>
        <v>70.00333333333333</v>
      </c>
      <c r="L17" s="1453">
        <f ca="1">IF(VLOOKUP($E$17,[1]QUART!$A$2:$FA$300, 11, FALSE)="",":",VLOOKUP($E$17,[1]QUART!$A$2:$FA$300, 11, FALSE))</f>
        <v>70.516666666666666</v>
      </c>
      <c r="M17" s="1453">
        <f ca="1">IF(VLOOKUP($E$17,[1]QUART!$A$2:$FA$300, 12, FALSE)="",":",VLOOKUP($E$17,[1]QUART!$A$2:$FA$300, 12, FALSE))</f>
        <v>70.446666666666673</v>
      </c>
      <c r="N17" s="1453">
        <f ca="1">IF(VLOOKUP($E$17,[1]QUART!$A$2:$FA$300, 13, FALSE)="",":",VLOOKUP($E$17,[1]QUART!$A$2:$FA$300, 13, FALSE))</f>
        <v>70.936666666666667</v>
      </c>
      <c r="O17" s="1453">
        <f ca="1">IF(VLOOKUP($E$17,[1]QUART!$A$2:$FA$300, 14, FALSE)="",":",VLOOKUP($E$17,[1]QUART!$A$2:$FA$300, 14, FALSE))</f>
        <v>71.246666666666655</v>
      </c>
      <c r="P17" s="1453">
        <f ca="1">IF(VLOOKUP($E$17,[1]QUART!$A$2:$FA$300, 15, FALSE)="",":",VLOOKUP($E$17,[1]QUART!$A$2:$FA$300, 15, FALSE))</f>
        <v>71.483333333333334</v>
      </c>
      <c r="Q17" s="1453">
        <f ca="1">IF(VLOOKUP($E$17,[1]QUART!$A$2:$FA$300, 16, FALSE)="",":",VLOOKUP($E$17,[1]QUART!$A$2:$FA$300, 16, FALSE))</f>
        <v>71.67</v>
      </c>
      <c r="R17" s="1453">
        <f ca="1">IF(VLOOKUP($E$17,[1]QUART!$A$2:$FA$300, 17, FALSE)="",":",VLOOKUP($E$17,[1]QUART!$A$2:$FA$300, 17, FALSE))</f>
        <v>71.740000000000009</v>
      </c>
      <c r="S17" s="1453">
        <f ca="1">IF(VLOOKUP($E$17,[1]QUART!$A$2:$FA$300, 18, FALSE)="",":",VLOOKUP($E$17,[1]QUART!$A$2:$FA$300, 18, FALSE))</f>
        <v>71.786666666666676</v>
      </c>
      <c r="T17" s="1453">
        <f ca="1">IF(VLOOKUP($E$17,[1]QUART!$A$2:$FA$300, 19, FALSE)="",":",VLOOKUP($E$17,[1]QUART!$A$2:$FA$300, 19, FALSE))</f>
        <v>72.37</v>
      </c>
      <c r="U17" s="1453">
        <f ca="1">IF(VLOOKUP($E$17,[1]QUART!$A$2:$FA$300, 20, FALSE)="",":",VLOOKUP($E$17,[1]QUART!$A$2:$FA$300, 20, FALSE))</f>
        <v>72.373333333333335</v>
      </c>
      <c r="V17" s="1453">
        <f ca="1">IF(VLOOKUP($E$17,[1]QUART!$A$2:$FA$300, 21, FALSE)="",":",VLOOKUP($E$17,[1]QUART!$A$2:$FA$300, 21, FALSE))</f>
        <v>72.206666666666663</v>
      </c>
      <c r="W17" s="1453">
        <f ca="1">IF(VLOOKUP($E$17,[1]QUART!$A$2:$FA$300, 22, FALSE)="",":",VLOOKUP($E$17,[1]QUART!$A$2:$FA$300, 22, FALSE))</f>
        <v>72.563333333333333</v>
      </c>
      <c r="X17" s="1453">
        <f ca="1">IF(VLOOKUP($E$17,[1]QUART!$A$2:$FA$300, 23, FALSE)="",":",VLOOKUP($E$17,[1]QUART!$A$2:$FA$300, 23, FALSE))</f>
        <v>72.986666666666665</v>
      </c>
      <c r="Y17" s="1453">
        <f ca="1">IF(VLOOKUP($E$17,[1]QUART!$A$2:$FA$300, 24, FALSE)="",":",VLOOKUP($E$17,[1]QUART!$A$2:$FA$300, 24, FALSE))</f>
        <v>73.056666666666658</v>
      </c>
      <c r="Z17" s="1453">
        <f ca="1">IF(VLOOKUP($E$17,[1]QUART!$A$2:$FA$300, 25, FALSE)="",":",VLOOKUP($E$17,[1]QUART!$A$2:$FA$300, 25, FALSE))</f>
        <v>73.406666666666652</v>
      </c>
      <c r="AA17" s="1453">
        <f ca="1">IF(VLOOKUP($E$17,[1]QUART!$A$2:$FA$300, 26, FALSE)="",":",VLOOKUP($E$17,[1]QUART!$A$2:$FA$300, 26, FALSE))</f>
        <v>73.763333333333335</v>
      </c>
      <c r="AB17" s="1453">
        <f ca="1">IF(VLOOKUP($E$17,[1]QUART!$A$2:$FA$300, 27, FALSE)="",":",VLOOKUP($E$17,[1]QUART!$A$2:$FA$300, 27, FALSE))</f>
        <v>74.86333333333333</v>
      </c>
      <c r="AC17" s="1453">
        <f ca="1">IF(VLOOKUP($E$17,[1]QUART!$A$2:$FA$300, 28, FALSE)="",":",VLOOKUP($E$17,[1]QUART!$A$2:$FA$300, 28, FALSE))</f>
        <v>75.286666666666676</v>
      </c>
      <c r="AD17" s="1453">
        <f ca="1">IF(VLOOKUP($E$17,[1]QUART!$A$2:$FA$300, 29, FALSE)="",":",VLOOKUP($E$17,[1]QUART!$A$2:$FA$300, 29, FALSE))</f>
        <v>75.923333333333332</v>
      </c>
      <c r="AE17" s="1453">
        <f ca="1">IF(VLOOKUP($E$17,[1]QUART!$A$2:$FA$300, 30, FALSE)="",":",VLOOKUP($E$17,[1]QUART!$A$2:$FA$300, 30, FALSE))</f>
        <v>75.58</v>
      </c>
      <c r="AF17" s="1453">
        <f ca="1">IF(VLOOKUP($E$17,[1]QUART!$A$2:$FA$300, 31, FALSE)="",":",VLOOKUP($E$17,[1]QUART!$A$2:$FA$300, 31, FALSE))</f>
        <v>77.11333333333333</v>
      </c>
      <c r="AG17" s="1453">
        <f ca="1">IF(VLOOKUP($E$17,[1]QUART!$A$2:$FA$300, 32, FALSE)="",":",VLOOKUP($E$17,[1]QUART!$A$2:$FA$300, 32, FALSE))</f>
        <v>77.08</v>
      </c>
      <c r="AH17" s="1453">
        <f ca="1">IF(VLOOKUP($E$17,[1]QUART!$A$2:$FA$300, 33, FALSE)="",":",VLOOKUP($E$17,[1]QUART!$A$2:$FA$300, 33, FALSE))</f>
        <v>77.363333333333344</v>
      </c>
      <c r="AI17" s="1453">
        <f ca="1">IF(VLOOKUP($E$17,[1]QUART!$A$2:$FA$300, 34, FALSE)="",":",VLOOKUP($E$17,[1]QUART!$A$2:$FA$300, 34, FALSE))</f>
        <v>77.50333333333333</v>
      </c>
      <c r="AJ17" s="1453">
        <f ca="1">IF(VLOOKUP($E$17,[1]QUART!$A$2:$FA$300, 35, FALSE)="",":",VLOOKUP($E$17,[1]QUART!$A$2:$FA$300, 35, FALSE))</f>
        <v>78.093333333333348</v>
      </c>
      <c r="AK17" s="1453">
        <f ca="1">IF(VLOOKUP($E$17,[1]QUART!$A$2:$FA$300, 36, FALSE)="",":",VLOOKUP($E$17,[1]QUART!$A$2:$FA$300, 36, FALSE))</f>
        <v>77.996666666666655</v>
      </c>
      <c r="AL17" s="1453">
        <f ca="1">IF(VLOOKUP($E$17,[1]QUART!$A$2:$FA$300, 37, FALSE)="",":",VLOOKUP($E$17,[1]QUART!$A$2:$FA$300, 37, FALSE))</f>
        <v>78.296666666666667</v>
      </c>
      <c r="AM17" s="1453">
        <f ca="1">IF(VLOOKUP($E$17,[1]QUART!$A$2:$FA$300, 38, FALSE)="",":",VLOOKUP($E$17,[1]QUART!$A$2:$FA$300, 38, FALSE))</f>
        <v>78.683333333333337</v>
      </c>
      <c r="AN17" s="1453">
        <f ca="1">IF(VLOOKUP($E$17,[1]QUART!$A$2:$FA$300, 39, FALSE)="",":",VLOOKUP($E$17,[1]QUART!$A$2:$FA$300, 39, FALSE))</f>
        <v>79.116666666666674</v>
      </c>
      <c r="AO17" s="1453">
        <f ca="1">IF(VLOOKUP($E$17,[1]QUART!$A$2:$FA$300, 40, FALSE)="",":",VLOOKUP($E$17,[1]QUART!$A$2:$FA$300, 40, FALSE))</f>
        <v>79.236666666666665</v>
      </c>
      <c r="AP17" s="1453">
        <f ca="1">IF(VLOOKUP($E$17,[1]QUART!$A$2:$FA$300, 41, FALSE)="",":",VLOOKUP($E$17,[1]QUART!$A$2:$FA$300, 41, FALSE))</f>
        <v>79.583333333333329</v>
      </c>
      <c r="AQ17" s="1453">
        <f ca="1">IF(VLOOKUP($E$17,[1]QUART!$A$2:$FA$300, 42, FALSE)="",":",VLOOKUP($E$17,[1]QUART!$A$2:$FA$300, 42, FALSE))</f>
        <v>79.583333333333329</v>
      </c>
      <c r="AR17" s="1453">
        <f ca="1">IF(VLOOKUP($E$17,[1]QUART!$A$2:$FA$300, 43, FALSE)="",":",VLOOKUP($E$17,[1]QUART!$A$2:$FA$300, 43, FALSE))</f>
        <v>80.713333333333324</v>
      </c>
      <c r="AS17" s="1453">
        <f ca="1">IF(VLOOKUP($E$17,[1]QUART!$A$2:$FA$300, 44, FALSE)="",":",VLOOKUP($E$17,[1]QUART!$A$2:$FA$300, 44, FALSE))</f>
        <v>80.793333333333337</v>
      </c>
      <c r="AT17" s="1453">
        <f ca="1">IF(VLOOKUP($E$17,[1]QUART!$A$2:$FA$300, 45, FALSE)="",":",VLOOKUP($E$17,[1]QUART!$A$2:$FA$300, 45, FALSE))</f>
        <v>81.410000000000011</v>
      </c>
      <c r="AU17" s="1453">
        <f ca="1">IF(VLOOKUP($E$17,[1]QUART!$A$2:$FA$300, 46, FALSE)="",":",VLOOKUP($E$17,[1]QUART!$A$2:$FA$300, 46, FALSE))</f>
        <v>81.463333333333324</v>
      </c>
      <c r="AV17" s="1453">
        <f ca="1">IF(VLOOKUP($E$17,[1]QUART!$A$2:$FA$300, 47, FALSE)="",":",VLOOKUP($E$17,[1]QUART!$A$2:$FA$300, 47, FALSE))</f>
        <v>82.71</v>
      </c>
      <c r="AW17" s="1453">
        <f ca="1">IF(VLOOKUP($E$17,[1]QUART!$A$2:$FA$300, 48, FALSE)="",":",VLOOKUP($E$17,[1]QUART!$A$2:$FA$300, 48, FALSE))</f>
        <v>83.083333333333329</v>
      </c>
      <c r="AX17" s="1453">
        <f ca="1">IF(VLOOKUP($E$17,[1]QUART!$A$2:$FA$300, 49, FALSE)="",":",VLOOKUP($E$17,[1]QUART!$A$2:$FA$300, 49, FALSE))</f>
        <v>83.426666666666662</v>
      </c>
      <c r="AY17" s="1453">
        <f ca="1">IF(VLOOKUP($E$17,[1]QUART!$A$2:$FA$300, 50, FALSE)="",":",VLOOKUP($E$17,[1]QUART!$A$2:$FA$300, 50, FALSE))</f>
        <v>83.570000000000007</v>
      </c>
      <c r="AZ17" s="1453">
        <f ca="1">IF(VLOOKUP($E$17,[1]QUART!$A$2:$FA$300, 51, FALSE)="",":",VLOOKUP($E$17,[1]QUART!$A$2:$FA$300, 51, FALSE))</f>
        <v>84.853333333333339</v>
      </c>
      <c r="BA17" s="1453">
        <f ca="1">IF(VLOOKUP($E$17,[1]QUART!$A$2:$FA$300, 52, FALSE)="",":",VLOOKUP($E$17,[1]QUART!$A$2:$FA$300, 52, FALSE))</f>
        <v>84.92</v>
      </c>
      <c r="BB17" s="1453">
        <f ca="1">IF(VLOOKUP($E$17,[1]QUART!$A$2:$FA$300, 53, FALSE)="",":",VLOOKUP($E$17,[1]QUART!$A$2:$FA$300, 53, FALSE))</f>
        <v>85.036666666666676</v>
      </c>
      <c r="BC17" s="1453">
        <f ca="1">IF(VLOOKUP($E$17,[1]QUART!$A$2:$FA$300, 54, FALSE)="",":",VLOOKUP($E$17,[1]QUART!$A$2:$FA$300, 54, FALSE))</f>
        <v>85.05</v>
      </c>
      <c r="BD17" s="1453">
        <f ca="1">IF(VLOOKUP($E$17,[1]QUART!$A$2:$FA$300, 55, FALSE)="",":",VLOOKUP($E$17,[1]QUART!$A$2:$FA$300, 55, FALSE))</f>
        <v>86.09333333333332</v>
      </c>
      <c r="BE17" s="1453">
        <f ca="1">IF(VLOOKUP($E$17,[1]QUART!$A$2:$FA$300, 56, FALSE)="",":",VLOOKUP($E$17,[1]QUART!$A$2:$FA$300, 56, FALSE))</f>
        <v>86.023333333333326</v>
      </c>
      <c r="BF17" s="1453">
        <f ca="1">IF(VLOOKUP($E$17,[1]QUART!$A$2:$FA$300, 57, FALSE)="",":",VLOOKUP($E$17,[1]QUART!$A$2:$FA$300, 57, FALSE))</f>
        <v>87.36</v>
      </c>
      <c r="BG17" s="1453">
        <f ca="1">IF(VLOOKUP($E$17,[1]QUART!$A$2:$FA$300, 58, FALSE)="",":",VLOOKUP($E$17,[1]QUART!$A$2:$FA$300, 58, FALSE))</f>
        <v>88.323333333333338</v>
      </c>
      <c r="BH17" s="1453">
        <f ca="1">IF(VLOOKUP($E$17,[1]QUART!$A$2:$FA$300, 59, FALSE)="",":",VLOOKUP($E$17,[1]QUART!$A$2:$FA$300, 59, FALSE))</f>
        <v>90.38</v>
      </c>
      <c r="BI17" s="1453">
        <f ca="1">IF(VLOOKUP($E$17,[1]QUART!$A$2:$FA$300, 60, FALSE)="",":",VLOOKUP($E$17,[1]QUART!$A$2:$FA$300, 60, FALSE))</f>
        <v>90.813333333333333</v>
      </c>
      <c r="BJ17" s="1453">
        <f ca="1">IF(VLOOKUP($E$17,[1]QUART!$A$2:$FA$300, 61, FALSE)="",":",VLOOKUP($E$17,[1]QUART!$A$2:$FA$300, 61, FALSE))</f>
        <v>90.476666666666674</v>
      </c>
      <c r="BK17" s="1453">
        <f ca="1">IF(VLOOKUP($E$17,[1]QUART!$A$2:$FA$300, 62, FALSE)="",":",VLOOKUP($E$17,[1]QUART!$A$2:$FA$300, 62, FALSE))</f>
        <v>89.693333333333342</v>
      </c>
      <c r="BL17" s="1453">
        <f ca="1">IF(VLOOKUP($E$17,[1]QUART!$A$2:$FA$300, 63, FALSE)="",":",VLOOKUP($E$17,[1]QUART!$A$2:$FA$300, 63, FALSE))</f>
        <v>90.206666666666663</v>
      </c>
      <c r="BM17" s="1453">
        <f ca="1">IF(VLOOKUP($E$17,[1]QUART!$A$2:$FA$300, 64, FALSE)="",":",VLOOKUP($E$17,[1]QUART!$A$2:$FA$300, 64, FALSE))</f>
        <v>89.766666666666666</v>
      </c>
      <c r="BN17" s="1453">
        <f ca="1">IF(VLOOKUP($E$17,[1]QUART!$A$2:$FA$300, 65, FALSE)="",":",VLOOKUP($E$17,[1]QUART!$A$2:$FA$300, 65, FALSE))</f>
        <v>90.303333333333342</v>
      </c>
      <c r="BO17" s="1453">
        <f ca="1">IF(VLOOKUP($E$17,[1]QUART!$A$2:$FA$300, 66, FALSE)="",":",VLOOKUP($E$17,[1]QUART!$A$2:$FA$300, 66, FALSE))</f>
        <v>90.743333333333339</v>
      </c>
      <c r="BP17" s="1453">
        <f ca="1">IF(VLOOKUP($E$17,[1]QUART!$A$2:$FA$300, 67, FALSE)="",":",VLOOKUP($E$17,[1]QUART!$A$2:$FA$300, 67, FALSE))</f>
        <v>92.38</v>
      </c>
      <c r="BQ17" s="1453">
        <f ca="1">IF(VLOOKUP($E$17,[1]QUART!$A$2:$FA$300, 68, FALSE)="",":",VLOOKUP($E$17,[1]QUART!$A$2:$FA$300, 68, FALSE))</f>
        <v>92.086666666666659</v>
      </c>
      <c r="BR17" s="1453">
        <f ca="1">IF(VLOOKUP($E$17,[1]QUART!$A$2:$FA$300, 69, FALSE)="",":",VLOOKUP($E$17,[1]QUART!$A$2:$FA$300, 69, FALSE))</f>
        <v>93.160000000000011</v>
      </c>
      <c r="BS17" s="1453">
        <f ca="1">IF(VLOOKUP($E$17,[1]QUART!$A$2:$FA$300, 70, FALSE)="",":",VLOOKUP($E$17,[1]QUART!$A$2:$FA$300, 70, FALSE))</f>
        <v>93.863333333333344</v>
      </c>
      <c r="BT17" s="1453">
        <f ca="1">IF(VLOOKUP($E$17,[1]QUART!$A$2:$FA$300, 71, FALSE)="",":",VLOOKUP($E$17,[1]QUART!$A$2:$FA$300, 71, FALSE))</f>
        <v>95.256666666666661</v>
      </c>
      <c r="BU17" s="1453">
        <f ca="1">IF(VLOOKUP($E$17,[1]QUART!$A$2:$FA$300, 72, FALSE)="",":",VLOOKUP($E$17,[1]QUART!$A$2:$FA$300, 72, FALSE))</f>
        <v>95.36333333333333</v>
      </c>
      <c r="BV17" s="1453">
        <f ca="1">IF(VLOOKUP($E$17,[1]QUART!$A$2:$FA$300, 73, FALSE)="",":",VLOOKUP($E$17,[1]QUART!$A$2:$FA$300, 73, FALSE))</f>
        <v>96.236666666666679</v>
      </c>
      <c r="BW17" s="1453">
        <f ca="1">IF(VLOOKUP($E$17,[1]QUART!$A$2:$FA$300, 74, FALSE)="",":",VLOOKUP($E$17,[1]QUART!$A$2:$FA$300, 74, FALSE))</f>
        <v>96.913333333333341</v>
      </c>
      <c r="BX17" s="1453">
        <f ca="1">IF(VLOOKUP($E$17,[1]QUART!$A$2:$FA$300, 75, FALSE)="",":",VLOOKUP($E$17,[1]QUART!$A$2:$FA$300, 75, FALSE))</f>
        <v>97.7</v>
      </c>
      <c r="BY17" s="1453">
        <f ca="1">IF(VLOOKUP($E$17,[1]QUART!$A$2:$FA$300, 76, FALSE)="",":",VLOOKUP($E$17,[1]QUART!$A$2:$FA$300, 76, FALSE))</f>
        <v>97.649999999999991</v>
      </c>
      <c r="BZ17" s="1453">
        <f ca="1">IF(VLOOKUP($E$17,[1]QUART!$A$2:$FA$300, 77, FALSE)="",":",VLOOKUP($E$17,[1]QUART!$A$2:$FA$300, 77, FALSE))</f>
        <v>98.453333333333333</v>
      </c>
      <c r="CA17" s="1453">
        <f ca="1">IF(VLOOKUP($E$17,[1]QUART!$A$2:$FA$300, 78, FALSE)="",":",VLOOKUP($E$17,[1]QUART!$A$2:$FA$300, 78, FALSE))</f>
        <v>98.339999999999989</v>
      </c>
      <c r="CB17" s="1453">
        <f ca="1">IF(VLOOKUP($E$17,[1]QUART!$A$2:$FA$300, 79, FALSE)="",":",VLOOKUP($E$17,[1]QUART!$A$2:$FA$300, 79, FALSE))</f>
        <v>99.023333333333326</v>
      </c>
      <c r="CC17" s="1453">
        <f ca="1">IF(VLOOKUP($E$17,[1]QUART!$A$2:$FA$300, 80, FALSE)="",":",VLOOKUP($E$17,[1]QUART!$A$2:$FA$300, 80, FALSE))</f>
        <v>98.866666666666674</v>
      </c>
      <c r="CD17" s="1453">
        <f ca="1">IF(VLOOKUP($E$17,[1]QUART!$A$2:$FA$300, 81, FALSE)="",":",VLOOKUP($E$17,[1]QUART!$A$2:$FA$300, 81, FALSE))</f>
        <v>99.363333333333344</v>
      </c>
      <c r="CE17" s="1453">
        <f ca="1">IF(VLOOKUP($E$17,[1]QUART!$A$2:$FA$300, 82, FALSE)="",":",VLOOKUP($E$17,[1]QUART!$A$2:$FA$300, 82, FALSE))</f>
        <v>99.243333333333339</v>
      </c>
      <c r="CF17" s="1453">
        <f ca="1">IF(VLOOKUP($E$17,[1]QUART!$A$2:$FA$300, 83, FALSE)="",":",VLOOKUP($E$17,[1]QUART!$A$2:$FA$300, 83, FALSE))</f>
        <v>99.69</v>
      </c>
      <c r="CG17" s="1453">
        <f ca="1">IF(VLOOKUP($E$17,[1]QUART!$A$2:$FA$300, 84, FALSE)="",":",VLOOKUP($E$17,[1]QUART!$A$2:$FA$300, 84, FALSE))</f>
        <v>99.24</v>
      </c>
      <c r="CH17" s="1453">
        <f ca="1">IF(VLOOKUP($E$17,[1]QUART!$A$2:$FA$300, 85, FALSE)="",":",VLOOKUP($E$17,[1]QUART!$A$2:$FA$300, 85, FALSE))</f>
        <v>99.36</v>
      </c>
      <c r="CI17" s="1453">
        <f ca="1">IF(VLOOKUP($E$17,[1]QUART!$A$2:$FA$300, 86, FALSE)="",":",VLOOKUP($E$17,[1]QUART!$A$2:$FA$300, 86, FALSE))</f>
        <v>98.86</v>
      </c>
      <c r="CJ17" s="1453">
        <f ca="1">IF(VLOOKUP($E$17,[1]QUART!$A$2:$FA$300, 87, FALSE)="",":",VLOOKUP($E$17,[1]QUART!$A$2:$FA$300, 87, FALSE))</f>
        <v>100.38</v>
      </c>
      <c r="CK17" s="1453">
        <f ca="1">IF(VLOOKUP($E$17,[1]QUART!$A$2:$FA$300, 88, FALSE)="",":",VLOOKUP($E$17,[1]QUART!$A$2:$FA$300, 88, FALSE))</f>
        <v>100.07</v>
      </c>
      <c r="CL17" s="1453">
        <f ca="1">IF(VLOOKUP($E$17,[1]QUART!$A$2:$FA$300, 89, FALSE)="",":",VLOOKUP($E$17,[1]QUART!$A$2:$FA$300, 89, FALSE))</f>
        <v>100.68666666666667</v>
      </c>
      <c r="CM17" s="1453">
        <f ca="1">IF(VLOOKUP($E$17,[1]QUART!$A$2:$FA$300, 90, FALSE)="",":",VLOOKUP($E$17,[1]QUART!$A$2:$FA$300, 90, FALSE))</f>
        <v>100.37333333333333</v>
      </c>
      <c r="CN17" s="1453">
        <f ca="1">IF(VLOOKUP($E$17,[1]QUART!$A$2:$FA$300, 91, FALSE)="",":",VLOOKUP($E$17,[1]QUART!$A$2:$FA$300, 91, FALSE))</f>
        <v>102.03000000000002</v>
      </c>
      <c r="CO17" s="1453">
        <f ca="1">IF(VLOOKUP($E$17,[1]QUART!$A$2:$FA$300, 92, FALSE)="",":",VLOOKUP($E$17,[1]QUART!$A$2:$FA$300, 92, FALSE))</f>
        <v>102.01333333333332</v>
      </c>
      <c r="CP17" s="1453">
        <f ca="1">IF(VLOOKUP($E$17,[1]QUART!$A$2:$FA$300, 93, FALSE)="",":",VLOOKUP($E$17,[1]QUART!$A$2:$FA$300, 93, FALSE))</f>
        <v>102.65999999999998</v>
      </c>
      <c r="CQ17" s="1453">
        <f ca="1">IF(VLOOKUP($E$17,[1]QUART!$A$2:$FA$300, 94, FALSE)="",":",VLOOKUP($E$17,[1]QUART!$A$2:$FA$300, 94, FALSE))</f>
        <v>103.33999999999999</v>
      </c>
      <c r="CR17" s="1453">
        <f ca="1">IF(VLOOKUP($E$17,[1]QUART!$A$2:$FA$300, 95, FALSE)="",":",VLOOKUP($E$17,[1]QUART!$A$2:$FA$300, 95, FALSE))</f>
        <v>104.10666666666667</v>
      </c>
      <c r="CS17" s="1453">
        <f ca="1">IF(VLOOKUP($E$17,[1]QUART!$A$2:$FA$300, 96, FALSE)="",":",VLOOKUP($E$17,[1]QUART!$A$2:$FA$300, 96, FALSE))</f>
        <v>103.97333333333331</v>
      </c>
      <c r="CT17" s="1453">
        <f ca="1">IF(VLOOKUP($E$17,[1]QUART!$A$2:$FA$300, 97, FALSE)="",":",VLOOKUP($E$17,[1]QUART!$A$2:$FA$300, 97, FALSE))</f>
        <v>104.71</v>
      </c>
      <c r="CU17" s="1453">
        <f ca="1">IF(VLOOKUP($E$17,[1]QUART!$A$2:$FA$300, 98, FALSE)="",":",VLOOKUP($E$17,[1]QUART!$A$2:$FA$300, 98, FALSE))</f>
        <v>104.96999999999998</v>
      </c>
      <c r="CV17" s="1453" t="str">
        <f>IF(VLOOKUP($E$17,[1]QUART!$A$2:$FA$300, 99, FALSE)="",":",VLOOKUP($E$17,[1]QUART!$A$2:$FA$300, 99, FALSE))</f>
        <v>:</v>
      </c>
      <c r="CW17" s="1453" t="str">
        <f>IF(VLOOKUP($E$17,[1]QUART!$A$2:$FA$300, 100, FALSE)="",":",VLOOKUP($E$17,[1]QUART!$A$2:$FA$300, 100, FALSE))</f>
        <v>:</v>
      </c>
      <c r="CX17" s="1453" t="str">
        <f>IF(VLOOKUP($E$17,[1]QUART!$A$2:$FA$300, 101, FALSE)="",":",VLOOKUP($E$17,[1]QUART!$A$2:$FA$300, 101, FALSE))</f>
        <v>:</v>
      </c>
      <c r="CY17" s="1453" t="str">
        <f>IF(VLOOKUP($E$17,[1]QUART!$A$2:$FA$300, 102, FALSE)="",":",VLOOKUP($E$17,[1]QUART!$A$2:$FA$300, 102, FALSE))</f>
        <v>:</v>
      </c>
      <c r="CZ17" s="1453" t="str">
        <f>IF(VLOOKUP($E$17,[1]QUART!$A$2:$FA$300, 103, FALSE)="",":",VLOOKUP($E$17,[1]QUART!$A$2:$FA$300, 103, FALSE))</f>
        <v>:</v>
      </c>
      <c r="DA17" s="1453" t="str">
        <f>IF(VLOOKUP($E$17,[1]QUART!$A$2:$FA$300, 104, FALSE)="",":",VLOOKUP($E$17,[1]QUART!$A$2:$FA$300, 104, FALSE))</f>
        <v>:</v>
      </c>
      <c r="DB17" s="1453" t="str">
        <f>IF(VLOOKUP($E$17,[1]QUART!$A$2:$FA$300, 105, FALSE)="",":",VLOOKUP($E$17,[1]QUART!$A$2:$FA$300, 105, FALSE))</f>
        <v>:</v>
      </c>
      <c r="DC17" s="1453" t="str">
        <f>IF(VLOOKUP($E$17,[1]QUART!$A$2:$FA$300, 106, FALSE)="",":",VLOOKUP($E$17,[1]QUART!$A$2:$FA$300, 106, FALSE))</f>
        <v>:</v>
      </c>
    </row>
    <row r="18" spans="1:107">
      <c r="A18" s="1449">
        <v>167</v>
      </c>
      <c r="B18" s="1454" t="s">
        <v>414</v>
      </c>
      <c r="C18" s="1455"/>
      <c r="D18" s="1450" t="s">
        <v>363</v>
      </c>
      <c r="E18" s="1451">
        <v>91</v>
      </c>
      <c r="F18" s="1452" t="str">
        <f>VLOOKUP($E$18,[1]QUART!$A$2:$FA$300, 3, FALSE)</f>
        <v>91 HICP Non-energy industrial goods</v>
      </c>
      <c r="G18" s="1453" t="str">
        <f>IF(VLOOKUP($E$18,[1]QUART!$A$2:$FA$300, 6, FALSE)="",":",VLOOKUP($E$18,[1]QUART!$A$2:$FA$300, 6, FALSE))</f>
        <v>:</v>
      </c>
      <c r="H18" s="1453" t="str">
        <f>IF(VLOOKUP($E$18,[1]QUART!$A$2:$FA$300, 7, FALSE)="",":",VLOOKUP($E$18,[1]QUART!$A$2:$FA$300, 7, FALSE))</f>
        <v>:</v>
      </c>
      <c r="I18" s="1453" t="str">
        <f>IF(VLOOKUP($E$18,[1]QUART!$A$2:$FA$300, 8, FALSE)="",":",VLOOKUP($E$18,[1]QUART!$A$2:$FA$300, 8, FALSE))</f>
        <v>:</v>
      </c>
      <c r="J18" s="1453" t="str">
        <f>IF(VLOOKUP($E$18,[1]QUART!$A$2:$FA$300, 9, FALSE)="",":",VLOOKUP($E$18,[1]QUART!$A$2:$FA$300, 9, FALSE))</f>
        <v>:</v>
      </c>
      <c r="K18" s="1453" t="e">
        <f ca="1">IF(VLOOKUP($E$18,[1]QUART!$A$2:$FA$300, 10, FALSE)="",":",VLOOKUP($E$18,[1]QUART!$A$2:$FA$300, 10, FALSE))</f>
        <v>#N/A</v>
      </c>
      <c r="L18" s="1453" t="e">
        <f ca="1">IF(VLOOKUP($E$18,[1]QUART!$A$2:$FA$300, 11, FALSE)="",":",VLOOKUP($E$18,[1]QUART!$A$2:$FA$300, 11, FALSE))</f>
        <v>#N/A</v>
      </c>
      <c r="M18" s="1453" t="e">
        <f ca="1">IF(VLOOKUP($E$18,[1]QUART!$A$2:$FA$300, 12, FALSE)="",":",VLOOKUP($E$18,[1]QUART!$A$2:$FA$300, 12, FALSE))</f>
        <v>#N/A</v>
      </c>
      <c r="N18" s="1453" t="e">
        <f ca="1">IF(VLOOKUP($E$18,[1]QUART!$A$2:$FA$300, 13, FALSE)="",":",VLOOKUP($E$18,[1]QUART!$A$2:$FA$300, 13, FALSE))</f>
        <v>#N/A</v>
      </c>
      <c r="O18" s="1453" t="e">
        <f ca="1">IF(VLOOKUP($E$18,[1]QUART!$A$2:$FA$300, 14, FALSE)="",":",VLOOKUP($E$18,[1]QUART!$A$2:$FA$300, 14, FALSE))</f>
        <v>#N/A</v>
      </c>
      <c r="P18" s="1453" t="e">
        <f ca="1">IF(VLOOKUP($E$18,[1]QUART!$A$2:$FA$300, 15, FALSE)="",":",VLOOKUP($E$18,[1]QUART!$A$2:$FA$300, 15, FALSE))</f>
        <v>#N/A</v>
      </c>
      <c r="Q18" s="1453" t="e">
        <f ca="1">IF(VLOOKUP($E$18,[1]QUART!$A$2:$FA$300, 16, FALSE)="",":",VLOOKUP($E$18,[1]QUART!$A$2:$FA$300, 16, FALSE))</f>
        <v>#N/A</v>
      </c>
      <c r="R18" s="1453" t="e">
        <f ca="1">IF(VLOOKUP($E$18,[1]QUART!$A$2:$FA$300, 17, FALSE)="",":",VLOOKUP($E$18,[1]QUART!$A$2:$FA$300, 17, FALSE))</f>
        <v>#N/A</v>
      </c>
      <c r="S18" s="1453" t="e">
        <f ca="1">IF(VLOOKUP($E$18,[1]QUART!$A$2:$FA$300, 18, FALSE)="",":",VLOOKUP($E$18,[1]QUART!$A$2:$FA$300, 18, FALSE))</f>
        <v>#N/A</v>
      </c>
      <c r="T18" s="1453" t="e">
        <f ca="1">IF(VLOOKUP($E$18,[1]QUART!$A$2:$FA$300, 19, FALSE)="",":",VLOOKUP($E$18,[1]QUART!$A$2:$FA$300, 19, FALSE))</f>
        <v>#N/A</v>
      </c>
      <c r="U18" s="1453" t="e">
        <f ca="1">IF(VLOOKUP($E$18,[1]QUART!$A$2:$FA$300, 20, FALSE)="",":",VLOOKUP($E$18,[1]QUART!$A$2:$FA$300, 20, FALSE))</f>
        <v>#N/A</v>
      </c>
      <c r="V18" s="1453" t="e">
        <f ca="1">IF(VLOOKUP($E$18,[1]QUART!$A$2:$FA$300, 21, FALSE)="",":",VLOOKUP($E$18,[1]QUART!$A$2:$FA$300, 21, FALSE))</f>
        <v>#N/A</v>
      </c>
      <c r="W18" s="1453">
        <f ca="1">IF(VLOOKUP($E$18,[1]QUART!$A$2:$FA$300, 22, FALSE)="",":",VLOOKUP($E$18,[1]QUART!$A$2:$FA$300, 22, FALSE))</f>
        <v>86.720000000000013</v>
      </c>
      <c r="X18" s="1453">
        <f ca="1">IF(VLOOKUP($E$18,[1]QUART!$A$2:$FA$300, 23, FALSE)="",":",VLOOKUP($E$18,[1]QUART!$A$2:$FA$300, 23, FALSE))</f>
        <v>86.813333333333333</v>
      </c>
      <c r="Y18" s="1453">
        <f ca="1">IF(VLOOKUP($E$18,[1]QUART!$A$2:$FA$300, 24, FALSE)="",":",VLOOKUP($E$18,[1]QUART!$A$2:$FA$300, 24, FALSE))</f>
        <v>86.8</v>
      </c>
      <c r="Z18" s="1453">
        <f ca="1">IF(VLOOKUP($E$18,[1]QUART!$A$2:$FA$300, 25, FALSE)="",":",VLOOKUP($E$18,[1]QUART!$A$2:$FA$300, 25, FALSE))</f>
        <v>87.043333333333337</v>
      </c>
      <c r="AA18" s="1453">
        <f ca="1">IF(VLOOKUP($E$18,[1]QUART!$A$2:$FA$300, 26, FALSE)="",":",VLOOKUP($E$18,[1]QUART!$A$2:$FA$300, 26, FALSE))</f>
        <v>86.009999999999991</v>
      </c>
      <c r="AB18" s="1453">
        <f ca="1">IF(VLOOKUP($E$18,[1]QUART!$A$2:$FA$300, 27, FALSE)="",":",VLOOKUP($E$18,[1]QUART!$A$2:$FA$300, 27, FALSE))</f>
        <v>87.27</v>
      </c>
      <c r="AC18" s="1453">
        <f ca="1">IF(VLOOKUP($E$18,[1]QUART!$A$2:$FA$300, 28, FALSE)="",":",VLOOKUP($E$18,[1]QUART!$A$2:$FA$300, 28, FALSE))</f>
        <v>86.223333333333343</v>
      </c>
      <c r="AD18" s="1453">
        <f ca="1">IF(VLOOKUP($E$18,[1]QUART!$A$2:$FA$300, 29, FALSE)="",":",VLOOKUP($E$18,[1]QUART!$A$2:$FA$300, 29, FALSE))</f>
        <v>87.966666666666654</v>
      </c>
      <c r="AE18" s="1453">
        <f ca="1">IF(VLOOKUP($E$18,[1]QUART!$A$2:$FA$300, 30, FALSE)="",":",VLOOKUP($E$18,[1]QUART!$A$2:$FA$300, 30, FALSE))</f>
        <v>87.293333333333337</v>
      </c>
      <c r="AF18" s="1453">
        <f ca="1">IF(VLOOKUP($E$18,[1]QUART!$A$2:$FA$300, 31, FALSE)="",":",VLOOKUP($E$18,[1]QUART!$A$2:$FA$300, 31, FALSE))</f>
        <v>88.990000000000009</v>
      </c>
      <c r="AG18" s="1453">
        <f ca="1">IF(VLOOKUP($E$18,[1]QUART!$A$2:$FA$300, 32, FALSE)="",":",VLOOKUP($E$18,[1]QUART!$A$2:$FA$300, 32, FALSE))</f>
        <v>88.076666666666668</v>
      </c>
      <c r="AH18" s="1453">
        <f ca="1">IF(VLOOKUP($E$18,[1]QUART!$A$2:$FA$300, 33, FALSE)="",":",VLOOKUP($E$18,[1]QUART!$A$2:$FA$300, 33, FALSE))</f>
        <v>89.99666666666667</v>
      </c>
      <c r="AI18" s="1453">
        <f ca="1">IF(VLOOKUP($E$18,[1]QUART!$A$2:$FA$300, 34, FALSE)="",":",VLOOKUP($E$18,[1]QUART!$A$2:$FA$300, 34, FALSE))</f>
        <v>89.196666666666673</v>
      </c>
      <c r="AJ18" s="1453">
        <f ca="1">IF(VLOOKUP($E$18,[1]QUART!$A$2:$FA$300, 35, FALSE)="",":",VLOOKUP($E$18,[1]QUART!$A$2:$FA$300, 35, FALSE))</f>
        <v>90.646666666666661</v>
      </c>
      <c r="AK18" s="1453">
        <f ca="1">IF(VLOOKUP($E$18,[1]QUART!$A$2:$FA$300, 36, FALSE)="",":",VLOOKUP($E$18,[1]QUART!$A$2:$FA$300, 36, FALSE))</f>
        <v>89.33</v>
      </c>
      <c r="AL18" s="1453">
        <f ca="1">IF(VLOOKUP($E$18,[1]QUART!$A$2:$FA$300, 37, FALSE)="",":",VLOOKUP($E$18,[1]QUART!$A$2:$FA$300, 37, FALSE))</f>
        <v>91.066666666666677</v>
      </c>
      <c r="AM18" s="1453">
        <f ca="1">IF(VLOOKUP($E$18,[1]QUART!$A$2:$FA$300, 38, FALSE)="",":",VLOOKUP($E$18,[1]QUART!$A$2:$FA$300, 38, FALSE))</f>
        <v>90.166666666666671</v>
      </c>
      <c r="AN18" s="1453">
        <f ca="1">IF(VLOOKUP($E$18,[1]QUART!$A$2:$FA$300, 39, FALSE)="",":",VLOOKUP($E$18,[1]QUART!$A$2:$FA$300, 39, FALSE))</f>
        <v>91.493333333333325</v>
      </c>
      <c r="AO18" s="1453">
        <f ca="1">IF(VLOOKUP($E$18,[1]QUART!$A$2:$FA$300, 40, FALSE)="",":",VLOOKUP($E$18,[1]QUART!$A$2:$FA$300, 40, FALSE))</f>
        <v>90.24666666666667</v>
      </c>
      <c r="AP18" s="1453">
        <f ca="1">IF(VLOOKUP($E$18,[1]QUART!$A$2:$FA$300, 41, FALSE)="",":",VLOOKUP($E$18,[1]QUART!$A$2:$FA$300, 41, FALSE))</f>
        <v>91.906666666666652</v>
      </c>
      <c r="AQ18" s="1453">
        <f ca="1">IF(VLOOKUP($E$18,[1]QUART!$A$2:$FA$300, 42, FALSE)="",":",VLOOKUP($E$18,[1]QUART!$A$2:$FA$300, 42, FALSE))</f>
        <v>90.803333333333327</v>
      </c>
      <c r="AR18" s="1453">
        <f ca="1">IF(VLOOKUP($E$18,[1]QUART!$A$2:$FA$300, 43, FALSE)="",":",VLOOKUP($E$18,[1]QUART!$A$2:$FA$300, 43, FALSE))</f>
        <v>91.866666666666674</v>
      </c>
      <c r="AS18" s="1453">
        <f ca="1">IF(VLOOKUP($E$18,[1]QUART!$A$2:$FA$300, 44, FALSE)="",":",VLOOKUP($E$18,[1]QUART!$A$2:$FA$300, 44, FALSE))</f>
        <v>90.356666666666669</v>
      </c>
      <c r="AT18" s="1453">
        <f ca="1">IF(VLOOKUP($E$18,[1]QUART!$A$2:$FA$300, 45, FALSE)="",":",VLOOKUP($E$18,[1]QUART!$A$2:$FA$300, 45, FALSE))</f>
        <v>91.90333333333335</v>
      </c>
      <c r="AU18" s="1453">
        <f ca="1">IF(VLOOKUP($E$18,[1]QUART!$A$2:$FA$300, 46, FALSE)="",":",VLOOKUP($E$18,[1]QUART!$A$2:$FA$300, 46, FALSE))</f>
        <v>90.68</v>
      </c>
      <c r="AV18" s="1453">
        <f ca="1">IF(VLOOKUP($E$18,[1]QUART!$A$2:$FA$300, 47, FALSE)="",":",VLOOKUP($E$18,[1]QUART!$A$2:$FA$300, 47, FALSE))</f>
        <v>92.143333333333331</v>
      </c>
      <c r="AW18" s="1453">
        <f ca="1">IF(VLOOKUP($E$18,[1]QUART!$A$2:$FA$300, 48, FALSE)="",":",VLOOKUP($E$18,[1]QUART!$A$2:$FA$300, 48, FALSE))</f>
        <v>90.5</v>
      </c>
      <c r="AX18" s="1453">
        <f ca="1">IF(VLOOKUP($E$18,[1]QUART!$A$2:$FA$300, 49, FALSE)="",":",VLOOKUP($E$18,[1]QUART!$A$2:$FA$300, 49, FALSE))</f>
        <v>92.586666666666659</v>
      </c>
      <c r="AY18" s="1453">
        <f ca="1">IF(VLOOKUP($E$18,[1]QUART!$A$2:$FA$300, 50, FALSE)="",":",VLOOKUP($E$18,[1]QUART!$A$2:$FA$300, 50, FALSE))</f>
        <v>91.306666666666658</v>
      </c>
      <c r="AZ18" s="1453">
        <f ca="1">IF(VLOOKUP($E$18,[1]QUART!$A$2:$FA$300, 51, FALSE)="",":",VLOOKUP($E$18,[1]QUART!$A$2:$FA$300, 51, FALSE))</f>
        <v>93.100000000000009</v>
      </c>
      <c r="BA18" s="1453">
        <f ca="1">IF(VLOOKUP($E$18,[1]QUART!$A$2:$FA$300, 52, FALSE)="",":",VLOOKUP($E$18,[1]QUART!$A$2:$FA$300, 52, FALSE))</f>
        <v>91.52</v>
      </c>
      <c r="BB18" s="1453">
        <f ca="1">IF(VLOOKUP($E$18,[1]QUART!$A$2:$FA$300, 53, FALSE)="",":",VLOOKUP($E$18,[1]QUART!$A$2:$FA$300, 53, FALSE))</f>
        <v>93.336666666666659</v>
      </c>
      <c r="BC18" s="1453">
        <f ca="1">IF(VLOOKUP($E$18,[1]QUART!$A$2:$FA$300, 54, FALSE)="",":",VLOOKUP($E$18,[1]QUART!$A$2:$FA$300, 54, FALSE))</f>
        <v>92.076666666666668</v>
      </c>
      <c r="BD18" s="1453">
        <f ca="1">IF(VLOOKUP($E$18,[1]QUART!$A$2:$FA$300, 55, FALSE)="",":",VLOOKUP($E$18,[1]QUART!$A$2:$FA$300, 55, FALSE))</f>
        <v>93.74666666666667</v>
      </c>
      <c r="BE18" s="1453">
        <f ca="1">IF(VLOOKUP($E$18,[1]QUART!$A$2:$FA$300, 56, FALSE)="",":",VLOOKUP($E$18,[1]QUART!$A$2:$FA$300, 56, FALSE))</f>
        <v>92.296666666666667</v>
      </c>
      <c r="BF18" s="1453">
        <f ca="1">IF(VLOOKUP($E$18,[1]QUART!$A$2:$FA$300, 57, FALSE)="",":",VLOOKUP($E$18,[1]QUART!$A$2:$FA$300, 57, FALSE))</f>
        <v>94.34666666666665</v>
      </c>
      <c r="BG18" s="1453">
        <f ca="1">IF(VLOOKUP($E$18,[1]QUART!$A$2:$FA$300, 58, FALSE)="",":",VLOOKUP($E$18,[1]QUART!$A$2:$FA$300, 58, FALSE))</f>
        <v>93.23</v>
      </c>
      <c r="BH18" s="1453">
        <f ca="1">IF(VLOOKUP($E$18,[1]QUART!$A$2:$FA$300, 59, FALSE)="",":",VLOOKUP($E$18,[1]QUART!$A$2:$FA$300, 59, FALSE))</f>
        <v>94.99666666666667</v>
      </c>
      <c r="BI18" s="1453">
        <f ca="1">IF(VLOOKUP($E$18,[1]QUART!$A$2:$FA$300, 60, FALSE)="",":",VLOOKUP($E$18,[1]QUART!$A$2:$FA$300, 60, FALSE))</f>
        <v>93.346666666666678</v>
      </c>
      <c r="BJ18" s="1453">
        <f ca="1">IF(VLOOKUP($E$18,[1]QUART!$A$2:$FA$300, 61, FALSE)="",":",VLOOKUP($E$18,[1]QUART!$A$2:$FA$300, 61, FALSE))</f>
        <v>95.74666666666667</v>
      </c>
      <c r="BK18" s="1453">
        <f ca="1">IF(VLOOKUP($E$18,[1]QUART!$A$2:$FA$300, 62, FALSE)="",":",VLOOKUP($E$18,[1]QUART!$A$2:$FA$300, 62, FALSE))</f>
        <v>94.333333333333329</v>
      </c>
      <c r="BL18" s="1453">
        <f ca="1">IF(VLOOKUP($E$18,[1]QUART!$A$2:$FA$300, 63, FALSE)="",":",VLOOKUP($E$18,[1]QUART!$A$2:$FA$300, 63, FALSE))</f>
        <v>96.589999999999989</v>
      </c>
      <c r="BM18" s="1453">
        <f ca="1">IF(VLOOKUP($E$18,[1]QUART!$A$2:$FA$300, 64, FALSE)="",":",VLOOKUP($E$18,[1]QUART!$A$2:$FA$300, 64, FALSE))</f>
        <v>94.733333333333334</v>
      </c>
      <c r="BN18" s="1453">
        <f ca="1">IF(VLOOKUP($E$18,[1]QUART!$A$2:$FA$300, 65, FALSE)="",":",VLOOKUP($E$18,[1]QUART!$A$2:$FA$300, 65, FALSE))</f>
        <v>97.09999999999998</v>
      </c>
      <c r="BO18" s="1453">
        <f ca="1">IF(VLOOKUP($E$18,[1]QUART!$A$2:$FA$300, 66, FALSE)="",":",VLOOKUP($E$18,[1]QUART!$A$2:$FA$300, 66, FALSE))</f>
        <v>95.336666666666659</v>
      </c>
      <c r="BP18" s="1453">
        <f ca="1">IF(VLOOKUP($E$18,[1]QUART!$A$2:$FA$300, 67, FALSE)="",":",VLOOKUP($E$18,[1]QUART!$A$2:$FA$300, 67, FALSE))</f>
        <v>97.40333333333335</v>
      </c>
      <c r="BQ18" s="1453">
        <f ca="1">IF(VLOOKUP($E$18,[1]QUART!$A$2:$FA$300, 68, FALSE)="",":",VLOOKUP($E$18,[1]QUART!$A$2:$FA$300, 68, FALSE))</f>
        <v>95.236666666666665</v>
      </c>
      <c r="BR18" s="1453">
        <f ca="1">IF(VLOOKUP($E$18,[1]QUART!$A$2:$FA$300, 69, FALSE)="",":",VLOOKUP($E$18,[1]QUART!$A$2:$FA$300, 69, FALSE))</f>
        <v>97.823333333333338</v>
      </c>
      <c r="BS18" s="1453">
        <f ca="1">IF(VLOOKUP($E$18,[1]QUART!$A$2:$FA$300, 70, FALSE)="",":",VLOOKUP($E$18,[1]QUART!$A$2:$FA$300, 70, FALSE))</f>
        <v>96.146666666666661</v>
      </c>
      <c r="BT18" s="1453">
        <f ca="1">IF(VLOOKUP($E$18,[1]QUART!$A$2:$FA$300, 71, FALSE)="",":",VLOOKUP($E$18,[1]QUART!$A$2:$FA$300, 71, FALSE))</f>
        <v>98.076666666666668</v>
      </c>
      <c r="BU18" s="1453">
        <f ca="1">IF(VLOOKUP($E$18,[1]QUART!$A$2:$FA$300, 72, FALSE)="",":",VLOOKUP($E$18,[1]QUART!$A$2:$FA$300, 72, FALSE))</f>
        <v>96.42</v>
      </c>
      <c r="BV18" s="1453">
        <f ca="1">IF(VLOOKUP($E$18,[1]QUART!$A$2:$FA$300, 73, FALSE)="",":",VLOOKUP($E$18,[1]QUART!$A$2:$FA$300, 73, FALSE))</f>
        <v>98.853333333333339</v>
      </c>
      <c r="BW18" s="1453">
        <f ca="1">IF(VLOOKUP($E$18,[1]QUART!$A$2:$FA$300, 74, FALSE)="",":",VLOOKUP($E$18,[1]QUART!$A$2:$FA$300, 74, FALSE))</f>
        <v>97.089999999999989</v>
      </c>
      <c r="BX18" s="1453">
        <f ca="1">IF(VLOOKUP($E$18,[1]QUART!$A$2:$FA$300, 75, FALSE)="",":",VLOOKUP($E$18,[1]QUART!$A$2:$FA$300, 75, FALSE))</f>
        <v>99.15666666666668</v>
      </c>
      <c r="BY18" s="1453">
        <f ca="1">IF(VLOOKUP($E$18,[1]QUART!$A$2:$FA$300, 76, FALSE)="",":",VLOOKUP($E$18,[1]QUART!$A$2:$FA$300, 76, FALSE))</f>
        <v>97.076666666666668</v>
      </c>
      <c r="BZ18" s="1453">
        <f ca="1">IF(VLOOKUP($E$18,[1]QUART!$A$2:$FA$300, 77, FALSE)="",":",VLOOKUP($E$18,[1]QUART!$A$2:$FA$300, 77, FALSE))</f>
        <v>99.649999999999991</v>
      </c>
      <c r="CA18" s="1453">
        <f ca="1">IF(VLOOKUP($E$18,[1]QUART!$A$2:$FA$300, 78, FALSE)="",":",VLOOKUP($E$18,[1]QUART!$A$2:$FA$300, 78, FALSE))</f>
        <v>98.046666666666667</v>
      </c>
      <c r="CB18" s="1453">
        <f ca="1">IF(VLOOKUP($E$18,[1]QUART!$A$2:$FA$300, 79, FALSE)="",":",VLOOKUP($E$18,[1]QUART!$A$2:$FA$300, 79, FALSE))</f>
        <v>100.31666666666666</v>
      </c>
      <c r="CC18" s="1453">
        <f ca="1">IF(VLOOKUP($E$18,[1]QUART!$A$2:$FA$300, 80, FALSE)="",":",VLOOKUP($E$18,[1]QUART!$A$2:$FA$300, 80, FALSE))</f>
        <v>98.04</v>
      </c>
      <c r="CD18" s="1453">
        <f ca="1">IF(VLOOKUP($E$18,[1]QUART!$A$2:$FA$300, 81, FALSE)="",":",VLOOKUP($E$18,[1]QUART!$A$2:$FA$300, 81, FALSE))</f>
        <v>100.42666666666668</v>
      </c>
      <c r="CE18" s="1453">
        <f ca="1">IF(VLOOKUP($E$18,[1]QUART!$A$2:$FA$300, 82, FALSE)="",":",VLOOKUP($E$18,[1]QUART!$A$2:$FA$300, 82, FALSE))</f>
        <v>98.5</v>
      </c>
      <c r="CF18" s="1453">
        <f ca="1">IF(VLOOKUP($E$18,[1]QUART!$A$2:$FA$300, 83, FALSE)="",":",VLOOKUP($E$18,[1]QUART!$A$2:$FA$300, 83, FALSE))</f>
        <v>100.60333333333334</v>
      </c>
      <c r="CG18" s="1453">
        <f ca="1">IF(VLOOKUP($E$18,[1]QUART!$A$2:$FA$300, 84, FALSE)="",":",VLOOKUP($E$18,[1]QUART!$A$2:$FA$300, 84, FALSE))</f>
        <v>98.393333333333331</v>
      </c>
      <c r="CH18" s="1453">
        <f ca="1">IF(VLOOKUP($E$18,[1]QUART!$A$2:$FA$300, 85, FALSE)="",":",VLOOKUP($E$18,[1]QUART!$A$2:$FA$300, 85, FALSE))</f>
        <v>100.66333333333334</v>
      </c>
      <c r="CI18" s="1453">
        <f ca="1">IF(VLOOKUP($E$18,[1]QUART!$A$2:$FA$300, 86, FALSE)="",":",VLOOKUP($E$18,[1]QUART!$A$2:$FA$300, 86, FALSE))</f>
        <v>98.98</v>
      </c>
      <c r="CJ18" s="1453">
        <f ca="1">IF(VLOOKUP($E$18,[1]QUART!$A$2:$FA$300, 87, FALSE)="",":",VLOOKUP($E$18,[1]QUART!$A$2:$FA$300, 87, FALSE))</f>
        <v>100.84666666666668</v>
      </c>
      <c r="CK18" s="1453">
        <f ca="1">IF(VLOOKUP($E$18,[1]QUART!$A$2:$FA$300, 88, FALSE)="",":",VLOOKUP($E$18,[1]QUART!$A$2:$FA$300, 88, FALSE))</f>
        <v>98.893333333333331</v>
      </c>
      <c r="CL18" s="1453">
        <f ca="1">IF(VLOOKUP($E$18,[1]QUART!$A$2:$FA$300, 89, FALSE)="",":",VLOOKUP($E$18,[1]QUART!$A$2:$FA$300, 89, FALSE))</f>
        <v>101.27666666666666</v>
      </c>
      <c r="CM18" s="1453">
        <f ca="1">IF(VLOOKUP($E$18,[1]QUART!$A$2:$FA$300, 90, FALSE)="",":",VLOOKUP($E$18,[1]QUART!$A$2:$FA$300, 90, FALSE))</f>
        <v>100.04</v>
      </c>
      <c r="CN18" s="1453">
        <f ca="1">IF(VLOOKUP($E$18,[1]QUART!$A$2:$FA$300, 91, FALSE)="",":",VLOOKUP($E$18,[1]QUART!$A$2:$FA$300, 91, FALSE))</f>
        <v>101.83333333333333</v>
      </c>
      <c r="CO18" s="1453">
        <f ca="1">IF(VLOOKUP($E$18,[1]QUART!$A$2:$FA$300, 92, FALSE)="",":",VLOOKUP($E$18,[1]QUART!$A$2:$FA$300, 92, FALSE))</f>
        <v>100.04</v>
      </c>
      <c r="CP18" s="1453">
        <f ca="1">IF(VLOOKUP($E$18,[1]QUART!$A$2:$FA$300, 93, FALSE)="",":",VLOOKUP($E$18,[1]QUART!$A$2:$FA$300, 93, FALSE))</f>
        <v>102.12</v>
      </c>
      <c r="CQ18" s="1453">
        <f ca="1">IF(VLOOKUP($E$18,[1]QUART!$A$2:$FA$300, 94, FALSE)="",":",VLOOKUP($E$18,[1]QUART!$A$2:$FA$300, 94, FALSE))</f>
        <v>100.79666666666667</v>
      </c>
      <c r="CR18" s="1453">
        <f ca="1">IF(VLOOKUP($E$18,[1]QUART!$A$2:$FA$300, 95, FALSE)="",":",VLOOKUP($E$18,[1]QUART!$A$2:$FA$300, 95, FALSE))</f>
        <v>102.67</v>
      </c>
      <c r="CS18" s="1453">
        <f ca="1">IF(VLOOKUP($E$18,[1]QUART!$A$2:$FA$300, 96, FALSE)="",":",VLOOKUP($E$18,[1]QUART!$A$2:$FA$300, 96, FALSE))</f>
        <v>100.95</v>
      </c>
      <c r="CT18" s="1453">
        <f ca="1">IF(VLOOKUP($E$18,[1]QUART!$A$2:$FA$300, 97, FALSE)="",":",VLOOKUP($E$18,[1]QUART!$A$2:$FA$300, 97, FALSE))</f>
        <v>102.88666666666666</v>
      </c>
      <c r="CU18" s="1453">
        <f ca="1">IF(VLOOKUP($E$18,[1]QUART!$A$2:$FA$300, 98, FALSE)="",":",VLOOKUP($E$18,[1]QUART!$A$2:$FA$300, 98, FALSE))</f>
        <v>101.77</v>
      </c>
      <c r="CV18" s="1453" t="str">
        <f>IF(VLOOKUP($E$18,[1]QUART!$A$2:$FA$300, 99, FALSE)="",":",VLOOKUP($E$18,[1]QUART!$A$2:$FA$300, 99, FALSE))</f>
        <v>:</v>
      </c>
      <c r="CW18" s="1453" t="str">
        <f>IF(VLOOKUP($E$18,[1]QUART!$A$2:$FA$300, 100, FALSE)="",":",VLOOKUP($E$18,[1]QUART!$A$2:$FA$300, 100, FALSE))</f>
        <v>:</v>
      </c>
      <c r="CX18" s="1453" t="str">
        <f>IF(VLOOKUP($E$18,[1]QUART!$A$2:$FA$300, 101, FALSE)="",":",VLOOKUP($E$18,[1]QUART!$A$2:$FA$300, 101, FALSE))</f>
        <v>:</v>
      </c>
      <c r="CY18" s="1453" t="str">
        <f>IF(VLOOKUP($E$18,[1]QUART!$A$2:$FA$300, 102, FALSE)="",":",VLOOKUP($E$18,[1]QUART!$A$2:$FA$300, 102, FALSE))</f>
        <v>:</v>
      </c>
      <c r="CZ18" s="1453" t="str">
        <f>IF(VLOOKUP($E$18,[1]QUART!$A$2:$FA$300, 103, FALSE)="",":",VLOOKUP($E$18,[1]QUART!$A$2:$FA$300, 103, FALSE))</f>
        <v>:</v>
      </c>
      <c r="DA18" s="1453" t="str">
        <f>IF(VLOOKUP($E$18,[1]QUART!$A$2:$FA$300, 104, FALSE)="",":",VLOOKUP($E$18,[1]QUART!$A$2:$FA$300, 104, FALSE))</f>
        <v>:</v>
      </c>
      <c r="DB18" s="1453" t="str">
        <f>IF(VLOOKUP($E$18,[1]QUART!$A$2:$FA$300, 105, FALSE)="",":",VLOOKUP($E$18,[1]QUART!$A$2:$FA$300, 105, FALSE))</f>
        <v>:</v>
      </c>
      <c r="DC18" s="1453" t="str">
        <f>IF(VLOOKUP($E$18,[1]QUART!$A$2:$FA$300, 106, FALSE)="",":",VLOOKUP($E$18,[1]QUART!$A$2:$FA$300, 106, FALSE))</f>
        <v>:</v>
      </c>
    </row>
    <row r="19" spans="1:107">
      <c r="A19" s="1449">
        <v>168</v>
      </c>
      <c r="B19" s="1454" t="s">
        <v>413</v>
      </c>
      <c r="C19" s="1455"/>
      <c r="D19" s="1450" t="s">
        <v>363</v>
      </c>
      <c r="E19" s="1451">
        <v>92</v>
      </c>
      <c r="F19" s="1452" t="str">
        <f>VLOOKUP($E$19,[1]QUART!$A$2:$FA$300, 3, FALSE)</f>
        <v>92 HICP Energy</v>
      </c>
      <c r="G19" s="1453" t="str">
        <f>IF(VLOOKUP($E$19,[1]QUART!$A$2:$FA$300, 6, FALSE)="",":",VLOOKUP($E$19,[1]QUART!$A$2:$FA$300, 6, FALSE))</f>
        <v>:</v>
      </c>
      <c r="H19" s="1453" t="str">
        <f>IF(VLOOKUP($E$19,[1]QUART!$A$2:$FA$300, 7, FALSE)="",":",VLOOKUP($E$19,[1]QUART!$A$2:$FA$300, 7, FALSE))</f>
        <v>:</v>
      </c>
      <c r="I19" s="1453" t="str">
        <f>IF(VLOOKUP($E$19,[1]QUART!$A$2:$FA$300, 8, FALSE)="",":",VLOOKUP($E$19,[1]QUART!$A$2:$FA$300, 8, FALSE))</f>
        <v>:</v>
      </c>
      <c r="J19" s="1453" t="str">
        <f>IF(VLOOKUP($E$19,[1]QUART!$A$2:$FA$300, 9, FALSE)="",":",VLOOKUP($E$19,[1]QUART!$A$2:$FA$300, 9, FALSE))</f>
        <v>:</v>
      </c>
      <c r="K19" s="1453">
        <f ca="1">IF(VLOOKUP($E$19,[1]QUART!$A$2:$FA$300, 10, FALSE)="",":",VLOOKUP($E$19,[1]QUART!$A$2:$FA$300, 10, FALSE))</f>
        <v>56.69</v>
      </c>
      <c r="L19" s="1453">
        <f ca="1">IF(VLOOKUP($E$19,[1]QUART!$A$2:$FA$300, 11, FALSE)="",":",VLOOKUP($E$19,[1]QUART!$A$2:$FA$300, 11, FALSE))</f>
        <v>57.316666666666663</v>
      </c>
      <c r="M19" s="1453">
        <f ca="1">IF(VLOOKUP($E$19,[1]QUART!$A$2:$FA$300, 12, FALSE)="",":",VLOOKUP($E$19,[1]QUART!$A$2:$FA$300, 12, FALSE))</f>
        <v>57.54</v>
      </c>
      <c r="N19" s="1453">
        <f ca="1">IF(VLOOKUP($E$19,[1]QUART!$A$2:$FA$300, 13, FALSE)="",":",VLOOKUP($E$19,[1]QUART!$A$2:$FA$300, 13, FALSE))</f>
        <v>59.716666666666669</v>
      </c>
      <c r="O19" s="1453">
        <f ca="1">IF(VLOOKUP($E$19,[1]QUART!$A$2:$FA$300, 14, FALSE)="",":",VLOOKUP($E$19,[1]QUART!$A$2:$FA$300, 14, FALSE))</f>
        <v>60.033333333333331</v>
      </c>
      <c r="P19" s="1453">
        <f ca="1">IF(VLOOKUP($E$19,[1]QUART!$A$2:$FA$300, 15, FALSE)="",":",VLOOKUP($E$19,[1]QUART!$A$2:$FA$300, 15, FALSE))</f>
        <v>59.126666666666665</v>
      </c>
      <c r="Q19" s="1453">
        <f ca="1">IF(VLOOKUP($E$19,[1]QUART!$A$2:$FA$300, 16, FALSE)="",":",VLOOKUP($E$19,[1]QUART!$A$2:$FA$300, 16, FALSE))</f>
        <v>59.636666666666663</v>
      </c>
      <c r="R19" s="1453">
        <f ca="1">IF(VLOOKUP($E$19,[1]QUART!$A$2:$FA$300, 17, FALSE)="",":",VLOOKUP($E$19,[1]QUART!$A$2:$FA$300, 17, FALSE))</f>
        <v>59.766666666666673</v>
      </c>
      <c r="S19" s="1453">
        <f ca="1">IF(VLOOKUP($E$19,[1]QUART!$A$2:$FA$300, 18, FALSE)="",":",VLOOKUP($E$19,[1]QUART!$A$2:$FA$300, 18, FALSE))</f>
        <v>58.343333333333334</v>
      </c>
      <c r="T19" s="1453">
        <f ca="1">IF(VLOOKUP($E$19,[1]QUART!$A$2:$FA$300, 19, FALSE)="",":",VLOOKUP($E$19,[1]QUART!$A$2:$FA$300, 19, FALSE))</f>
        <v>57.910000000000004</v>
      </c>
      <c r="U19" s="1453">
        <f ca="1">IF(VLOOKUP($E$19,[1]QUART!$A$2:$FA$300, 20, FALSE)="",":",VLOOKUP($E$19,[1]QUART!$A$2:$FA$300, 20, FALSE))</f>
        <v>57.196666666666665</v>
      </c>
      <c r="V19" s="1453">
        <f ca="1">IF(VLOOKUP($E$19,[1]QUART!$A$2:$FA$300, 21, FALSE)="",":",VLOOKUP($E$19,[1]QUART!$A$2:$FA$300, 21, FALSE))</f>
        <v>56.606666666666662</v>
      </c>
      <c r="W19" s="1453">
        <f ca="1">IF(VLOOKUP($E$19,[1]QUART!$A$2:$FA$300, 22, FALSE)="",":",VLOOKUP($E$19,[1]QUART!$A$2:$FA$300, 22, FALSE))</f>
        <v>55.949999999999996</v>
      </c>
      <c r="X19" s="1453">
        <f ca="1">IF(VLOOKUP($E$19,[1]QUART!$A$2:$FA$300, 23, FALSE)="",":",VLOOKUP($E$19,[1]QUART!$A$2:$FA$300, 23, FALSE))</f>
        <v>57.639999999999993</v>
      </c>
      <c r="Y19" s="1453">
        <f ca="1">IF(VLOOKUP($E$19,[1]QUART!$A$2:$FA$300, 24, FALSE)="",":",VLOOKUP($E$19,[1]QUART!$A$2:$FA$300, 24, FALSE))</f>
        <v>59.580000000000005</v>
      </c>
      <c r="Z19" s="1453">
        <f ca="1">IF(VLOOKUP($E$19,[1]QUART!$A$2:$FA$300, 25, FALSE)="",":",VLOOKUP($E$19,[1]QUART!$A$2:$FA$300, 25, FALSE))</f>
        <v>61.46</v>
      </c>
      <c r="AA19" s="1453">
        <f ca="1">IF(VLOOKUP($E$19,[1]QUART!$A$2:$FA$300, 26, FALSE)="",":",VLOOKUP($E$19,[1]QUART!$A$2:$FA$300, 26, FALSE))</f>
        <v>64.306666666666672</v>
      </c>
      <c r="AB19" s="1453">
        <f ca="1">IF(VLOOKUP($E$19,[1]QUART!$A$2:$FA$300, 27, FALSE)="",":",VLOOKUP($E$19,[1]QUART!$A$2:$FA$300, 27, FALSE))</f>
        <v>66.453333333333333</v>
      </c>
      <c r="AC19" s="1453">
        <f ca="1">IF(VLOOKUP($E$19,[1]QUART!$A$2:$FA$300, 28, FALSE)="",":",VLOOKUP($E$19,[1]QUART!$A$2:$FA$300, 28, FALSE))</f>
        <v>70.040000000000006</v>
      </c>
      <c r="AD19" s="1453">
        <f ca="1">IF(VLOOKUP($E$19,[1]QUART!$A$2:$FA$300, 29, FALSE)="",":",VLOOKUP($E$19,[1]QUART!$A$2:$FA$300, 29, FALSE))</f>
        <v>72.123333333333335</v>
      </c>
      <c r="AE19" s="1453">
        <f ca="1">IF(VLOOKUP($E$19,[1]QUART!$A$2:$FA$300, 30, FALSE)="",":",VLOOKUP($E$19,[1]QUART!$A$2:$FA$300, 30, FALSE))</f>
        <v>68.526666666666657</v>
      </c>
      <c r="AF19" s="1453">
        <f ca="1">IF(VLOOKUP($E$19,[1]QUART!$A$2:$FA$300, 31, FALSE)="",":",VLOOKUP($E$19,[1]QUART!$A$2:$FA$300, 31, FALSE))</f>
        <v>71.23</v>
      </c>
      <c r="AG19" s="1453">
        <f ca="1">IF(VLOOKUP($E$19,[1]QUART!$A$2:$FA$300, 32, FALSE)="",":",VLOOKUP($E$19,[1]QUART!$A$2:$FA$300, 32, FALSE))</f>
        <v>70.029999999999987</v>
      </c>
      <c r="AH19" s="1453">
        <f ca="1">IF(VLOOKUP($E$19,[1]QUART!$A$2:$FA$300, 33, FALSE)="",":",VLOOKUP($E$19,[1]QUART!$A$2:$FA$300, 33, FALSE))</f>
        <v>66.893333333333331</v>
      </c>
      <c r="AI19" s="1453">
        <f ca="1">IF(VLOOKUP($E$19,[1]QUART!$A$2:$FA$300, 34, FALSE)="",":",VLOOKUP($E$19,[1]QUART!$A$2:$FA$300, 34, FALSE))</f>
        <v>65.793333333333337</v>
      </c>
      <c r="AJ19" s="1453">
        <f ca="1">IF(VLOOKUP($E$19,[1]QUART!$A$2:$FA$300, 35, FALSE)="",":",VLOOKUP($E$19,[1]QUART!$A$2:$FA$300, 35, FALSE))</f>
        <v>66.956666666666663</v>
      </c>
      <c r="AK19" s="1453">
        <f ca="1">IF(VLOOKUP($E$19,[1]QUART!$A$2:$FA$300, 36, FALSE)="",":",VLOOKUP($E$19,[1]QUART!$A$2:$FA$300, 36, FALSE))</f>
        <v>66.926666666666662</v>
      </c>
      <c r="AL19" s="1453">
        <f ca="1">IF(VLOOKUP($E$19,[1]QUART!$A$2:$FA$300, 37, FALSE)="",":",VLOOKUP($E$19,[1]QUART!$A$2:$FA$300, 37, FALSE))</f>
        <v>66.949999999999989</v>
      </c>
      <c r="AM19" s="1453">
        <f ca="1">IF(VLOOKUP($E$19,[1]QUART!$A$2:$FA$300, 38, FALSE)="",":",VLOOKUP($E$19,[1]QUART!$A$2:$FA$300, 38, FALSE))</f>
        <v>69.08</v>
      </c>
      <c r="AN19" s="1453">
        <f ca="1">IF(VLOOKUP($E$19,[1]QUART!$A$2:$FA$300, 39, FALSE)="",":",VLOOKUP($E$19,[1]QUART!$A$2:$FA$300, 39, FALSE))</f>
        <v>65.19</v>
      </c>
      <c r="AO19" s="1453">
        <f ca="1">IF(VLOOKUP($E$19,[1]QUART!$A$2:$FA$300, 40, FALSE)="",":",VLOOKUP($E$19,[1]QUART!$A$2:$FA$300, 40, FALSE))</f>
        <v>66.263333333333335</v>
      </c>
      <c r="AP19" s="1453">
        <f ca="1">IF(VLOOKUP($E$19,[1]QUART!$A$2:$FA$300, 41, FALSE)="",":",VLOOKUP($E$19,[1]QUART!$A$2:$FA$300, 41, FALSE))</f>
        <v>66.563333333333333</v>
      </c>
      <c r="AQ19" s="1453">
        <f ca="1">IF(VLOOKUP($E$19,[1]QUART!$A$2:$FA$300, 42, FALSE)="",":",VLOOKUP($E$19,[1]QUART!$A$2:$FA$300, 42, FALSE))</f>
        <v>66.719999999999985</v>
      </c>
      <c r="AR19" s="1453">
        <f ca="1">IF(VLOOKUP($E$19,[1]QUART!$A$2:$FA$300, 43, FALSE)="",":",VLOOKUP($E$19,[1]QUART!$A$2:$FA$300, 43, FALSE))</f>
        <v>69.966666666666669</v>
      </c>
      <c r="AS19" s="1453">
        <f ca="1">IF(VLOOKUP($E$19,[1]QUART!$A$2:$FA$300, 44, FALSE)="",":",VLOOKUP($E$19,[1]QUART!$A$2:$FA$300, 44, FALSE))</f>
        <v>72.84</v>
      </c>
      <c r="AT19" s="1453">
        <f ca="1">IF(VLOOKUP($E$19,[1]QUART!$A$2:$FA$300, 45, FALSE)="",":",VLOOKUP($E$19,[1]QUART!$A$2:$FA$300, 45, FALSE))</f>
        <v>75.193333333333328</v>
      </c>
      <c r="AU19" s="1453">
        <f ca="1">IF(VLOOKUP($E$19,[1]QUART!$A$2:$FA$300, 46, FALSE)="",":",VLOOKUP($E$19,[1]QUART!$A$2:$FA$300, 46, FALSE))</f>
        <v>74.536666666666676</v>
      </c>
      <c r="AV19" s="1453">
        <f ca="1">IF(VLOOKUP($E$19,[1]QUART!$A$2:$FA$300, 47, FALSE)="",":",VLOOKUP($E$19,[1]QUART!$A$2:$FA$300, 47, FALSE))</f>
        <v>78.793333333333337</v>
      </c>
      <c r="AW19" s="1453">
        <f ca="1">IF(VLOOKUP($E$19,[1]QUART!$A$2:$FA$300, 48, FALSE)="",":",VLOOKUP($E$19,[1]QUART!$A$2:$FA$300, 48, FALSE))</f>
        <v>84.77</v>
      </c>
      <c r="AX19" s="1453">
        <f ca="1">IF(VLOOKUP($E$19,[1]QUART!$A$2:$FA$300, 49, FALSE)="",":",VLOOKUP($E$19,[1]QUART!$A$2:$FA$300, 49, FALSE))</f>
        <v>82.78</v>
      </c>
      <c r="AY19" s="1453">
        <f ca="1">IF(VLOOKUP($E$19,[1]QUART!$A$2:$FA$300, 50, FALSE)="",":",VLOOKUP($E$19,[1]QUART!$A$2:$FA$300, 50, FALSE))</f>
        <v>84.360000000000014</v>
      </c>
      <c r="AZ19" s="1453">
        <f ca="1">IF(VLOOKUP($E$19,[1]QUART!$A$2:$FA$300, 51, FALSE)="",":",VLOOKUP($E$19,[1]QUART!$A$2:$FA$300, 51, FALSE))</f>
        <v>87.563333333333333</v>
      </c>
      <c r="BA19" s="1453">
        <f ca="1">IF(VLOOKUP($E$19,[1]QUART!$A$2:$FA$300, 52, FALSE)="",":",VLOOKUP($E$19,[1]QUART!$A$2:$FA$300, 52, FALSE))</f>
        <v>87.850000000000009</v>
      </c>
      <c r="BB19" s="1453">
        <f ca="1">IF(VLOOKUP($E$19,[1]QUART!$A$2:$FA$300, 53, FALSE)="",":",VLOOKUP($E$19,[1]QUART!$A$2:$FA$300, 53, FALSE))</f>
        <v>84.443333333333328</v>
      </c>
      <c r="BC19" s="1453">
        <f ca="1">IF(VLOOKUP($E$19,[1]QUART!$A$2:$FA$300, 54, FALSE)="",":",VLOOKUP($E$19,[1]QUART!$A$2:$FA$300, 54, FALSE))</f>
        <v>83.866666666666674</v>
      </c>
      <c r="BD19" s="1453">
        <f ca="1">IF(VLOOKUP($E$19,[1]QUART!$A$2:$FA$300, 55, FALSE)="",":",VLOOKUP($E$19,[1]QUART!$A$2:$FA$300, 55, FALSE))</f>
        <v>84.826666666666668</v>
      </c>
      <c r="BE19" s="1453">
        <f ca="1">IF(VLOOKUP($E$19,[1]QUART!$A$2:$FA$300, 56, FALSE)="",":",VLOOKUP($E$19,[1]QUART!$A$2:$FA$300, 56, FALSE))</f>
        <v>85.306666666666672</v>
      </c>
      <c r="BF19" s="1453">
        <f ca="1">IF(VLOOKUP($E$19,[1]QUART!$A$2:$FA$300, 57, FALSE)="",":",VLOOKUP($E$19,[1]QUART!$A$2:$FA$300, 57, FALSE))</f>
        <v>90.969999999999985</v>
      </c>
      <c r="BG19" s="1453">
        <f ca="1">IF(VLOOKUP($E$19,[1]QUART!$A$2:$FA$300, 58, FALSE)="",":",VLOOKUP($E$19,[1]QUART!$A$2:$FA$300, 58, FALSE))</f>
        <v>97.546666666666667</v>
      </c>
      <c r="BH19" s="1453">
        <f ca="1">IF(VLOOKUP($E$19,[1]QUART!$A$2:$FA$300, 59, FALSE)="",":",VLOOKUP($E$19,[1]QUART!$A$2:$FA$300, 59, FALSE))</f>
        <v>106.94666666666667</v>
      </c>
      <c r="BI19" s="1453">
        <f ca="1">IF(VLOOKUP($E$19,[1]QUART!$A$2:$FA$300, 60, FALSE)="",":",VLOOKUP($E$19,[1]QUART!$A$2:$FA$300, 60, FALSE))</f>
        <v>109.37333333333333</v>
      </c>
      <c r="BJ19" s="1453">
        <f ca="1">IF(VLOOKUP($E$19,[1]QUART!$A$2:$FA$300, 61, FALSE)="",":",VLOOKUP($E$19,[1]QUART!$A$2:$FA$300, 61, FALSE))</f>
        <v>99.55</v>
      </c>
      <c r="BK19" s="1453">
        <f ca="1">IF(VLOOKUP($E$19,[1]QUART!$A$2:$FA$300, 62, FALSE)="",":",VLOOKUP($E$19,[1]QUART!$A$2:$FA$300, 62, FALSE))</f>
        <v>91.94</v>
      </c>
      <c r="BL19" s="1453">
        <f ca="1">IF(VLOOKUP($E$19,[1]QUART!$A$2:$FA$300, 63, FALSE)="",":",VLOOKUP($E$19,[1]QUART!$A$2:$FA$300, 63, FALSE))</f>
        <v>88.203333333333333</v>
      </c>
      <c r="BM19" s="1453">
        <f ca="1">IF(VLOOKUP($E$19,[1]QUART!$A$2:$FA$300, 64, FALSE)="",":",VLOOKUP($E$19,[1]QUART!$A$2:$FA$300, 64, FALSE))</f>
        <v>87.526666666666657</v>
      </c>
      <c r="BN19" s="1453">
        <f ca="1">IF(VLOOKUP($E$19,[1]QUART!$A$2:$FA$300, 65, FALSE)="",":",VLOOKUP($E$19,[1]QUART!$A$2:$FA$300, 65, FALSE))</f>
        <v>87.953333333333333</v>
      </c>
      <c r="BO19" s="1453">
        <f ca="1">IF(VLOOKUP($E$19,[1]QUART!$A$2:$FA$300, 66, FALSE)="",":",VLOOKUP($E$19,[1]QUART!$A$2:$FA$300, 66, FALSE))</f>
        <v>92.50333333333333</v>
      </c>
      <c r="BP19" s="1453">
        <f ca="1">IF(VLOOKUP($E$19,[1]QUART!$A$2:$FA$300, 67, FALSE)="",":",VLOOKUP($E$19,[1]QUART!$A$2:$FA$300, 67, FALSE))</f>
        <v>98.766666666666666</v>
      </c>
      <c r="BQ19" s="1453">
        <f ca="1">IF(VLOOKUP($E$19,[1]QUART!$A$2:$FA$300, 68, FALSE)="",":",VLOOKUP($E$19,[1]QUART!$A$2:$FA$300, 68, FALSE))</f>
        <v>98.429999999999993</v>
      </c>
      <c r="BR19" s="1453">
        <f ca="1">IF(VLOOKUP($E$19,[1]QUART!$A$2:$FA$300, 69, FALSE)="",":",VLOOKUP($E$19,[1]QUART!$A$2:$FA$300, 69, FALSE))</f>
        <v>101.39333333333333</v>
      </c>
      <c r="BS19" s="1453">
        <f ca="1">IF(VLOOKUP($E$19,[1]QUART!$A$2:$FA$300, 70, FALSE)="",":",VLOOKUP($E$19,[1]QUART!$A$2:$FA$300, 70, FALSE))</f>
        <v>108.57</v>
      </c>
      <c r="BT19" s="1453">
        <f ca="1">IF(VLOOKUP($E$19,[1]QUART!$A$2:$FA$300, 71, FALSE)="",":",VLOOKUP($E$19,[1]QUART!$A$2:$FA$300, 71, FALSE))</f>
        <v>115.03666666666668</v>
      </c>
      <c r="BU19" s="1453">
        <f ca="1">IF(VLOOKUP($E$19,[1]QUART!$A$2:$FA$300, 72, FALSE)="",":",VLOOKUP($E$19,[1]QUART!$A$2:$FA$300, 72, FALSE))</f>
        <v>116.17</v>
      </c>
      <c r="BV19" s="1453">
        <f ca="1">IF(VLOOKUP($E$19,[1]QUART!$A$2:$FA$300, 73, FALSE)="",":",VLOOKUP($E$19,[1]QUART!$A$2:$FA$300, 73, FALSE))</f>
        <v>117.87333333333333</v>
      </c>
      <c r="BW19" s="1453">
        <f ca="1">IF(VLOOKUP($E$19,[1]QUART!$A$2:$FA$300, 74, FALSE)="",":",VLOOKUP($E$19,[1]QUART!$A$2:$FA$300, 74, FALSE))</f>
        <v>121.78333333333335</v>
      </c>
      <c r="BX19" s="1453">
        <f ca="1">IF(VLOOKUP($E$19,[1]QUART!$A$2:$FA$300, 75, FALSE)="",":",VLOOKUP($E$19,[1]QUART!$A$2:$FA$300, 75, FALSE))</f>
        <v>121.27333333333333</v>
      </c>
      <c r="BY19" s="1453">
        <f ca="1">IF(VLOOKUP($E$19,[1]QUART!$A$2:$FA$300, 76, FALSE)="",":",VLOOKUP($E$19,[1]QUART!$A$2:$FA$300, 76, FALSE))</f>
        <v>121.29333333333334</v>
      </c>
      <c r="BZ19" s="1453">
        <f ca="1">IF(VLOOKUP($E$19,[1]QUART!$A$2:$FA$300, 77, FALSE)="",":",VLOOKUP($E$19,[1]QUART!$A$2:$FA$300, 77, FALSE))</f>
        <v>120.73333333333335</v>
      </c>
      <c r="CA19" s="1453">
        <f ca="1">IF(VLOOKUP($E$19,[1]QUART!$A$2:$FA$300, 78, FALSE)="",":",VLOOKUP($E$19,[1]QUART!$A$2:$FA$300, 78, FALSE))</f>
        <v>118.37</v>
      </c>
      <c r="CB19" s="1453">
        <f ca="1">IF(VLOOKUP($E$19,[1]QUART!$A$2:$FA$300, 79, FALSE)="",":",VLOOKUP($E$19,[1]QUART!$A$2:$FA$300, 79, FALSE))</f>
        <v>114.77</v>
      </c>
      <c r="CC19" s="1453">
        <f ca="1">IF(VLOOKUP($E$19,[1]QUART!$A$2:$FA$300, 80, FALSE)="",":",VLOOKUP($E$19,[1]QUART!$A$2:$FA$300, 80, FALSE))</f>
        <v>115.57000000000001</v>
      </c>
      <c r="CD19" s="1453">
        <f ca="1">IF(VLOOKUP($E$19,[1]QUART!$A$2:$FA$300, 81, FALSE)="",":",VLOOKUP($E$19,[1]QUART!$A$2:$FA$300, 81, FALSE))</f>
        <v>114.05666666666667</v>
      </c>
      <c r="CE19" s="1453">
        <f ca="1">IF(VLOOKUP($E$19,[1]QUART!$A$2:$FA$300, 82, FALSE)="",":",VLOOKUP($E$19,[1]QUART!$A$2:$FA$300, 82, FALSE))</f>
        <v>114.08999999999999</v>
      </c>
      <c r="CF19" s="1453">
        <f ca="1">IF(VLOOKUP($E$19,[1]QUART!$A$2:$FA$300, 83, FALSE)="",":",VLOOKUP($E$19,[1]QUART!$A$2:$FA$300, 83, FALSE))</f>
        <v>108.45</v>
      </c>
      <c r="CG19" s="1453">
        <f ca="1">IF(VLOOKUP($E$19,[1]QUART!$A$2:$FA$300, 84, FALSE)="",":",VLOOKUP($E$19,[1]QUART!$A$2:$FA$300, 84, FALSE))</f>
        <v>107.58999999999999</v>
      </c>
      <c r="CH19" s="1453">
        <f ca="1">IF(VLOOKUP($E$19,[1]QUART!$A$2:$FA$300, 85, FALSE)="",":",VLOOKUP($E$19,[1]QUART!$A$2:$FA$300, 85, FALSE))</f>
        <v>104.65666666666665</v>
      </c>
      <c r="CI19" s="1453">
        <f ca="1">IF(VLOOKUP($E$19,[1]QUART!$A$2:$FA$300, 86, FALSE)="",":",VLOOKUP($E$19,[1]QUART!$A$2:$FA$300, 86, FALSE))</f>
        <v>98.14</v>
      </c>
      <c r="CJ19" s="1453">
        <f ca="1">IF(VLOOKUP($E$19,[1]QUART!$A$2:$FA$300, 87, FALSE)="",":",VLOOKUP($E$19,[1]QUART!$A$2:$FA$300, 87, FALSE))</f>
        <v>101.64333333333333</v>
      </c>
      <c r="CK19" s="1453">
        <f ca="1">IF(VLOOKUP($E$19,[1]QUART!$A$2:$FA$300, 88, FALSE)="",":",VLOOKUP($E$19,[1]QUART!$A$2:$FA$300, 88, FALSE))</f>
        <v>100.79666666666667</v>
      </c>
      <c r="CL19" s="1453">
        <f ca="1">IF(VLOOKUP($E$19,[1]QUART!$A$2:$FA$300, 89, FALSE)="",":",VLOOKUP($E$19,[1]QUART!$A$2:$FA$300, 89, FALSE))</f>
        <v>99.416666666666671</v>
      </c>
      <c r="CM19" s="1453">
        <f ca="1">IF(VLOOKUP($E$19,[1]QUART!$A$2:$FA$300, 90, FALSE)="",":",VLOOKUP($E$19,[1]QUART!$A$2:$FA$300, 90, FALSE))</f>
        <v>93.24666666666667</v>
      </c>
      <c r="CN19" s="1453">
        <f ca="1">IF(VLOOKUP($E$19,[1]QUART!$A$2:$FA$300, 91, FALSE)="",":",VLOOKUP($E$19,[1]QUART!$A$2:$FA$300, 91, FALSE))</f>
        <v>98.696666666666658</v>
      </c>
      <c r="CO19" s="1453">
        <f ca="1">IF(VLOOKUP($E$19,[1]QUART!$A$2:$FA$300, 92, FALSE)="",":",VLOOKUP($E$19,[1]QUART!$A$2:$FA$300, 92, FALSE))</f>
        <v>101.10666666666667</v>
      </c>
      <c r="CP19" s="1453">
        <f ca="1">IF(VLOOKUP($E$19,[1]QUART!$A$2:$FA$300, 93, FALSE)="",":",VLOOKUP($E$19,[1]QUART!$A$2:$FA$300, 93, FALSE))</f>
        <v>104.55333333333333</v>
      </c>
      <c r="CQ19" s="1453">
        <f ca="1">IF(VLOOKUP($E$19,[1]QUART!$A$2:$FA$300, 94, FALSE)="",":",VLOOKUP($E$19,[1]QUART!$A$2:$FA$300, 94, FALSE))</f>
        <v>110.37666666666667</v>
      </c>
      <c r="CR19" s="1453">
        <f ca="1">IF(VLOOKUP($E$19,[1]QUART!$A$2:$FA$300, 95, FALSE)="",":",VLOOKUP($E$19,[1]QUART!$A$2:$FA$300, 95, FALSE))</f>
        <v>107.83999999999999</v>
      </c>
      <c r="CS19" s="1453">
        <f ca="1">IF(VLOOKUP($E$19,[1]QUART!$A$2:$FA$300, 96, FALSE)="",":",VLOOKUP($E$19,[1]QUART!$A$2:$FA$300, 96, FALSE))</f>
        <v>106.93333333333334</v>
      </c>
      <c r="CT19" s="1453">
        <f ca="1">IF(VLOOKUP($E$19,[1]QUART!$A$2:$FA$300, 97, FALSE)="",":",VLOOKUP($E$19,[1]QUART!$A$2:$FA$300, 97, FALSE))</f>
        <v>111.62333333333333</v>
      </c>
      <c r="CU19" s="1453">
        <f ca="1">IF(VLOOKUP($E$19,[1]QUART!$A$2:$FA$300, 98, FALSE)="",":",VLOOKUP($E$19,[1]QUART!$A$2:$FA$300, 98, FALSE))</f>
        <v>112.28666666666668</v>
      </c>
      <c r="CV19" s="1453" t="str">
        <f>IF(VLOOKUP($E$19,[1]QUART!$A$2:$FA$300, 99, FALSE)="",":",VLOOKUP($E$19,[1]QUART!$A$2:$FA$300, 99, FALSE))</f>
        <v>:</v>
      </c>
      <c r="CW19" s="1453" t="str">
        <f>IF(VLOOKUP($E$19,[1]QUART!$A$2:$FA$300, 100, FALSE)="",":",VLOOKUP($E$19,[1]QUART!$A$2:$FA$300, 100, FALSE))</f>
        <v>:</v>
      </c>
      <c r="CX19" s="1453" t="str">
        <f>IF(VLOOKUP($E$19,[1]QUART!$A$2:$FA$300, 101, FALSE)="",":",VLOOKUP($E$19,[1]QUART!$A$2:$FA$300, 101, FALSE))</f>
        <v>:</v>
      </c>
      <c r="CY19" s="1453" t="str">
        <f>IF(VLOOKUP($E$19,[1]QUART!$A$2:$FA$300, 102, FALSE)="",":",VLOOKUP($E$19,[1]QUART!$A$2:$FA$300, 102, FALSE))</f>
        <v>:</v>
      </c>
      <c r="CZ19" s="1453" t="str">
        <f>IF(VLOOKUP($E$19,[1]QUART!$A$2:$FA$300, 103, FALSE)="",":",VLOOKUP($E$19,[1]QUART!$A$2:$FA$300, 103, FALSE))</f>
        <v>:</v>
      </c>
      <c r="DA19" s="1453" t="str">
        <f>IF(VLOOKUP($E$19,[1]QUART!$A$2:$FA$300, 104, FALSE)="",":",VLOOKUP($E$19,[1]QUART!$A$2:$FA$300, 104, FALSE))</f>
        <v>:</v>
      </c>
      <c r="DB19" s="1453" t="str">
        <f>IF(VLOOKUP($E$19,[1]QUART!$A$2:$FA$300, 105, FALSE)="",":",VLOOKUP($E$19,[1]QUART!$A$2:$FA$300, 105, FALSE))</f>
        <v>:</v>
      </c>
      <c r="DC19" s="1453" t="str">
        <f>IF(VLOOKUP($E$19,[1]QUART!$A$2:$FA$300, 106, FALSE)="",":",VLOOKUP($E$19,[1]QUART!$A$2:$FA$300, 106, FALSE))</f>
        <v>:</v>
      </c>
    </row>
    <row r="20" spans="1:107">
      <c r="A20" s="1449">
        <v>169</v>
      </c>
      <c r="B20" s="1454" t="s">
        <v>721</v>
      </c>
      <c r="C20" s="1455"/>
      <c r="D20" s="1450" t="s">
        <v>363</v>
      </c>
      <c r="E20" s="1451">
        <v>93</v>
      </c>
      <c r="F20" s="1452" t="str">
        <f>VLOOKUP($E$20,[1]QUART!$A$2:$FA$300, 3, FALSE)</f>
        <v>93 HICP Unprocessed food</v>
      </c>
      <c r="G20" s="1453" t="str">
        <f>IF(VLOOKUP($E$20,[1]QUART!$A$2:$FA$300, 6, FALSE)="",":",VLOOKUP($E$20,[1]QUART!$A$2:$FA$300, 6, FALSE))</f>
        <v>:</v>
      </c>
      <c r="H20" s="1453" t="str">
        <f>IF(VLOOKUP($E$20,[1]QUART!$A$2:$FA$300, 7, FALSE)="",":",VLOOKUP($E$20,[1]QUART!$A$2:$FA$300, 7, FALSE))</f>
        <v>:</v>
      </c>
      <c r="I20" s="1453" t="str">
        <f>IF(VLOOKUP($E$20,[1]QUART!$A$2:$FA$300, 8, FALSE)="",":",VLOOKUP($E$20,[1]QUART!$A$2:$FA$300, 8, FALSE))</f>
        <v>:</v>
      </c>
      <c r="J20" s="1453" t="str">
        <f>IF(VLOOKUP($E$20,[1]QUART!$A$2:$FA$300, 9, FALSE)="",":",VLOOKUP($E$20,[1]QUART!$A$2:$FA$300, 9, FALSE))</f>
        <v>:</v>
      </c>
      <c r="K20" s="1453">
        <f ca="1">IF(VLOOKUP($E$20,[1]QUART!$A$2:$FA$300, 10, FALSE)="",":",VLOOKUP($E$20,[1]QUART!$A$2:$FA$300, 10, FALSE))</f>
        <v>66.286666666666676</v>
      </c>
      <c r="L20" s="1453">
        <f ca="1">IF(VLOOKUP($E$20,[1]QUART!$A$2:$FA$300, 11, FALSE)="",":",VLOOKUP($E$20,[1]QUART!$A$2:$FA$300, 11, FALSE))</f>
        <v>68.286666666666676</v>
      </c>
      <c r="M20" s="1453">
        <f ca="1">IF(VLOOKUP($E$20,[1]QUART!$A$2:$FA$300, 12, FALSE)="",":",VLOOKUP($E$20,[1]QUART!$A$2:$FA$300, 12, FALSE))</f>
        <v>66.209999999999994</v>
      </c>
      <c r="N20" s="1453">
        <f ca="1">IF(VLOOKUP($E$20,[1]QUART!$A$2:$FA$300, 13, FALSE)="",":",VLOOKUP($E$20,[1]QUART!$A$2:$FA$300, 13, FALSE))</f>
        <v>65.953333333333333</v>
      </c>
      <c r="O20" s="1453">
        <f ca="1">IF(VLOOKUP($E$20,[1]QUART!$A$2:$FA$300, 14, FALSE)="",":",VLOOKUP($E$20,[1]QUART!$A$2:$FA$300, 14, FALSE))</f>
        <v>67.066666666666663</v>
      </c>
      <c r="P20" s="1453">
        <f ca="1">IF(VLOOKUP($E$20,[1]QUART!$A$2:$FA$300, 15, FALSE)="",":",VLOOKUP($E$20,[1]QUART!$A$2:$FA$300, 15, FALSE))</f>
        <v>69.24666666666667</v>
      </c>
      <c r="Q20" s="1453">
        <f ca="1">IF(VLOOKUP($E$20,[1]QUART!$A$2:$FA$300, 16, FALSE)="",":",VLOOKUP($E$20,[1]QUART!$A$2:$FA$300, 16, FALSE))</f>
        <v>69.149999999999991</v>
      </c>
      <c r="R20" s="1453">
        <f ca="1">IF(VLOOKUP($E$20,[1]QUART!$A$2:$FA$300, 17, FALSE)="",":",VLOOKUP($E$20,[1]QUART!$A$2:$FA$300, 17, FALSE))</f>
        <v>68.443333333333328</v>
      </c>
      <c r="S20" s="1453">
        <f ca="1">IF(VLOOKUP($E$20,[1]QUART!$A$2:$FA$300, 18, FALSE)="",":",VLOOKUP($E$20,[1]QUART!$A$2:$FA$300, 18, FALSE))</f>
        <v>68.606666666666669</v>
      </c>
      <c r="T20" s="1453">
        <f ca="1">IF(VLOOKUP($E$20,[1]QUART!$A$2:$FA$300, 19, FALSE)="",":",VLOOKUP($E$20,[1]QUART!$A$2:$FA$300, 19, FALSE))</f>
        <v>71.646666666666661</v>
      </c>
      <c r="U20" s="1453">
        <f ca="1">IF(VLOOKUP($E$20,[1]QUART!$A$2:$FA$300, 20, FALSE)="",":",VLOOKUP($E$20,[1]QUART!$A$2:$FA$300, 20, FALSE))</f>
        <v>70.223333333333343</v>
      </c>
      <c r="V20" s="1453">
        <f ca="1">IF(VLOOKUP($E$20,[1]QUART!$A$2:$FA$300, 21, FALSE)="",":",VLOOKUP($E$20,[1]QUART!$A$2:$FA$300, 21, FALSE))</f>
        <v>69.413333333333341</v>
      </c>
      <c r="W20" s="1453">
        <f ca="1">IF(VLOOKUP($E$20,[1]QUART!$A$2:$FA$300, 22, FALSE)="",":",VLOOKUP($E$20,[1]QUART!$A$2:$FA$300, 22, FALSE))</f>
        <v>70.793333333333337</v>
      </c>
      <c r="X20" s="1453">
        <f ca="1">IF(VLOOKUP($E$20,[1]QUART!$A$2:$FA$300, 23, FALSE)="",":",VLOOKUP($E$20,[1]QUART!$A$2:$FA$300, 23, FALSE))</f>
        <v>71.733333333333334</v>
      </c>
      <c r="Y20" s="1453">
        <f ca="1">IF(VLOOKUP($E$20,[1]QUART!$A$2:$FA$300, 24, FALSE)="",":",VLOOKUP($E$20,[1]QUART!$A$2:$FA$300, 24, FALSE))</f>
        <v>68.709999999999994</v>
      </c>
      <c r="Z20" s="1453">
        <f ca="1">IF(VLOOKUP($E$20,[1]QUART!$A$2:$FA$300, 25, FALSE)="",":",VLOOKUP($E$20,[1]QUART!$A$2:$FA$300, 25, FALSE))</f>
        <v>68.726666666666674</v>
      </c>
      <c r="AA20" s="1453">
        <f ca="1">IF(VLOOKUP($E$20,[1]QUART!$A$2:$FA$300, 26, FALSE)="",":",VLOOKUP($E$20,[1]QUART!$A$2:$FA$300, 26, FALSE))</f>
        <v>68.663333333333341</v>
      </c>
      <c r="AB20" s="1453">
        <f ca="1">IF(VLOOKUP($E$20,[1]QUART!$A$2:$FA$300, 27, FALSE)="",":",VLOOKUP($E$20,[1]QUART!$A$2:$FA$300, 27, FALSE))</f>
        <v>70.756666666666661</v>
      </c>
      <c r="AC20" s="1453">
        <f ca="1">IF(VLOOKUP($E$20,[1]QUART!$A$2:$FA$300, 28, FALSE)="",":",VLOOKUP($E$20,[1]QUART!$A$2:$FA$300, 28, FALSE))</f>
        <v>70.723333333333343</v>
      </c>
      <c r="AD20" s="1453">
        <f ca="1">IF(VLOOKUP($E$20,[1]QUART!$A$2:$FA$300, 29, FALSE)="",":",VLOOKUP($E$20,[1]QUART!$A$2:$FA$300, 29, FALSE))</f>
        <v>70.483333333333334</v>
      </c>
      <c r="AE20" s="1453">
        <f ca="1">IF(VLOOKUP($E$20,[1]QUART!$A$2:$FA$300, 30, FALSE)="",":",VLOOKUP($E$20,[1]QUART!$A$2:$FA$300, 30, FALSE))</f>
        <v>71.64</v>
      </c>
      <c r="AF20" s="1453">
        <f ca="1">IF(VLOOKUP($E$20,[1]QUART!$A$2:$FA$300, 31, FALSE)="",":",VLOOKUP($E$20,[1]QUART!$A$2:$FA$300, 31, FALSE))</f>
        <v>76.733333333333334</v>
      </c>
      <c r="AG20" s="1453">
        <f ca="1">IF(VLOOKUP($E$20,[1]QUART!$A$2:$FA$300, 32, FALSE)="",":",VLOOKUP($E$20,[1]QUART!$A$2:$FA$300, 32, FALSE))</f>
        <v>75.783333333333346</v>
      </c>
      <c r="AH20" s="1453">
        <f ca="1">IF(VLOOKUP($E$20,[1]QUART!$A$2:$FA$300, 33, FALSE)="",":",VLOOKUP($E$20,[1]QUART!$A$2:$FA$300, 33, FALSE))</f>
        <v>75.913333333333341</v>
      </c>
      <c r="AI20" s="1453">
        <f ca="1">IF(VLOOKUP($E$20,[1]QUART!$A$2:$FA$300, 34, FALSE)="",":",VLOOKUP($E$20,[1]QUART!$A$2:$FA$300, 34, FALSE))</f>
        <v>78.089999999999989</v>
      </c>
      <c r="AJ20" s="1453">
        <f ca="1">IF(VLOOKUP($E$20,[1]QUART!$A$2:$FA$300, 35, FALSE)="",":",VLOOKUP($E$20,[1]QUART!$A$2:$FA$300, 35, FALSE))</f>
        <v>78.206666666666663</v>
      </c>
      <c r="AK20" s="1453">
        <f ca="1">IF(VLOOKUP($E$20,[1]QUART!$A$2:$FA$300, 36, FALSE)="",":",VLOOKUP($E$20,[1]QUART!$A$2:$FA$300, 36, FALSE))</f>
        <v>76.986666666666679</v>
      </c>
      <c r="AL20" s="1453">
        <f ca="1">IF(VLOOKUP($E$20,[1]QUART!$A$2:$FA$300, 37, FALSE)="",":",VLOOKUP($E$20,[1]QUART!$A$2:$FA$300, 37, FALSE))</f>
        <v>76.416666666666671</v>
      </c>
      <c r="AM20" s="1453">
        <f ca="1">IF(VLOOKUP($E$20,[1]QUART!$A$2:$FA$300, 38, FALSE)="",":",VLOOKUP($E$20,[1]QUART!$A$2:$FA$300, 38, FALSE))</f>
        <v>77.5</v>
      </c>
      <c r="AN20" s="1453">
        <f ca="1">IF(VLOOKUP($E$20,[1]QUART!$A$2:$FA$300, 39, FALSE)="",":",VLOOKUP($E$20,[1]QUART!$A$2:$FA$300, 39, FALSE))</f>
        <v>78.903333333333336</v>
      </c>
      <c r="AO20" s="1453">
        <f ca="1">IF(VLOOKUP($E$20,[1]QUART!$A$2:$FA$300, 40, FALSE)="",":",VLOOKUP($E$20,[1]QUART!$A$2:$FA$300, 40, FALSE))</f>
        <v>80.06</v>
      </c>
      <c r="AP20" s="1453">
        <f ca="1">IF(VLOOKUP($E$20,[1]QUART!$A$2:$FA$300, 41, FALSE)="",":",VLOOKUP($E$20,[1]QUART!$A$2:$FA$300, 41, FALSE))</f>
        <v>78.536666666666676</v>
      </c>
      <c r="AQ20" s="1453">
        <f ca="1">IF(VLOOKUP($E$20,[1]QUART!$A$2:$FA$300, 42, FALSE)="",":",VLOOKUP($E$20,[1]QUART!$A$2:$FA$300, 42, FALSE))</f>
        <v>78.893333333333331</v>
      </c>
      <c r="AR20" s="1453">
        <f ca="1">IF(VLOOKUP($E$20,[1]QUART!$A$2:$FA$300, 43, FALSE)="",":",VLOOKUP($E$20,[1]QUART!$A$2:$FA$300, 43, FALSE))</f>
        <v>80.52</v>
      </c>
      <c r="AS20" s="1453">
        <f ca="1">IF(VLOOKUP($E$20,[1]QUART!$A$2:$FA$300, 44, FALSE)="",":",VLOOKUP($E$20,[1]QUART!$A$2:$FA$300, 44, FALSE))</f>
        <v>79.166666666666671</v>
      </c>
      <c r="AT20" s="1453">
        <f ca="1">IF(VLOOKUP($E$20,[1]QUART!$A$2:$FA$300, 45, FALSE)="",":",VLOOKUP($E$20,[1]QUART!$A$2:$FA$300, 45, FALSE))</f>
        <v>79.303333333333342</v>
      </c>
      <c r="AU20" s="1453">
        <f ca="1">IF(VLOOKUP($E$20,[1]QUART!$A$2:$FA$300, 46, FALSE)="",":",VLOOKUP($E$20,[1]QUART!$A$2:$FA$300, 46, FALSE))</f>
        <v>80.213333333333324</v>
      </c>
      <c r="AV20" s="1453">
        <f ca="1">IF(VLOOKUP($E$20,[1]QUART!$A$2:$FA$300, 47, FALSE)="",":",VLOOKUP($E$20,[1]QUART!$A$2:$FA$300, 47, FALSE))</f>
        <v>82.193333333333328</v>
      </c>
      <c r="AW20" s="1453">
        <f ca="1">IF(VLOOKUP($E$20,[1]QUART!$A$2:$FA$300, 48, FALSE)="",":",VLOOKUP($E$20,[1]QUART!$A$2:$FA$300, 48, FALSE))</f>
        <v>80.393333333333331</v>
      </c>
      <c r="AX20" s="1453">
        <f ca="1">IF(VLOOKUP($E$20,[1]QUART!$A$2:$FA$300, 49, FALSE)="",":",VLOOKUP($E$20,[1]QUART!$A$2:$FA$300, 49, FALSE))</f>
        <v>80.446666666666673</v>
      </c>
      <c r="AY20" s="1453">
        <f ca="1">IF(VLOOKUP($E$20,[1]QUART!$A$2:$FA$300, 50, FALSE)="",":",VLOOKUP($E$20,[1]QUART!$A$2:$FA$300, 50, FALSE))</f>
        <v>81.64</v>
      </c>
      <c r="AZ20" s="1453">
        <f ca="1">IF(VLOOKUP($E$20,[1]QUART!$A$2:$FA$300, 51, FALSE)="",":",VLOOKUP($E$20,[1]QUART!$A$2:$FA$300, 51, FALSE))</f>
        <v>83.373333333333335</v>
      </c>
      <c r="BA20" s="1453">
        <f ca="1">IF(VLOOKUP($E$20,[1]QUART!$A$2:$FA$300, 52, FALSE)="",":",VLOOKUP($E$20,[1]QUART!$A$2:$FA$300, 52, FALSE))</f>
        <v>83.876666666666665</v>
      </c>
      <c r="BB20" s="1453">
        <f ca="1">IF(VLOOKUP($E$20,[1]QUART!$A$2:$FA$300, 53, FALSE)="",":",VLOOKUP($E$20,[1]QUART!$A$2:$FA$300, 53, FALSE))</f>
        <v>84.836666666666659</v>
      </c>
      <c r="BC20" s="1453">
        <f ca="1">IF(VLOOKUP($E$20,[1]QUART!$A$2:$FA$300, 54, FALSE)="",":",VLOOKUP($E$20,[1]QUART!$A$2:$FA$300, 54, FALSE))</f>
        <v>85.406666666666652</v>
      </c>
      <c r="BD20" s="1453">
        <f ca="1">IF(VLOOKUP($E$20,[1]QUART!$A$2:$FA$300, 55, FALSE)="",":",VLOOKUP($E$20,[1]QUART!$A$2:$FA$300, 55, FALSE))</f>
        <v>86.27</v>
      </c>
      <c r="BE20" s="1453">
        <f ca="1">IF(VLOOKUP($E$20,[1]QUART!$A$2:$FA$300, 56, FALSE)="",":",VLOOKUP($E$20,[1]QUART!$A$2:$FA$300, 56, FALSE))</f>
        <v>85.483333333333348</v>
      </c>
      <c r="BF20" s="1453">
        <f ca="1">IF(VLOOKUP($E$20,[1]QUART!$A$2:$FA$300, 57, FALSE)="",":",VLOOKUP($E$20,[1]QUART!$A$2:$FA$300, 57, FALSE))</f>
        <v>86.61666666666666</v>
      </c>
      <c r="BG20" s="1453">
        <f ca="1">IF(VLOOKUP($E$20,[1]QUART!$A$2:$FA$300, 58, FALSE)="",":",VLOOKUP($E$20,[1]QUART!$A$2:$FA$300, 58, FALSE))</f>
        <v>86.81</v>
      </c>
      <c r="BH20" s="1453">
        <f ca="1">IF(VLOOKUP($E$20,[1]QUART!$A$2:$FA$300, 59, FALSE)="",":",VLOOKUP($E$20,[1]QUART!$A$2:$FA$300, 59, FALSE))</f>
        <v>89.089999999999989</v>
      </c>
      <c r="BI20" s="1453">
        <f ca="1">IF(VLOOKUP($E$20,[1]QUART!$A$2:$FA$300, 60, FALSE)="",":",VLOOKUP($E$20,[1]QUART!$A$2:$FA$300, 60, FALSE))</f>
        <v>88.816666666666663</v>
      </c>
      <c r="BJ20" s="1453">
        <f ca="1">IF(VLOOKUP($E$20,[1]QUART!$A$2:$FA$300, 61, FALSE)="",":",VLOOKUP($E$20,[1]QUART!$A$2:$FA$300, 61, FALSE))</f>
        <v>88.586666666666659</v>
      </c>
      <c r="BK20" s="1453">
        <f ca="1">IF(VLOOKUP($E$20,[1]QUART!$A$2:$FA$300, 62, FALSE)="",":",VLOOKUP($E$20,[1]QUART!$A$2:$FA$300, 62, FALSE))</f>
        <v>90.256666666666661</v>
      </c>
      <c r="BL20" s="1453">
        <f ca="1">IF(VLOOKUP($E$20,[1]QUART!$A$2:$FA$300, 63, FALSE)="",":",VLOOKUP($E$20,[1]QUART!$A$2:$FA$300, 63, FALSE))</f>
        <v>89.706666666666663</v>
      </c>
      <c r="BM20" s="1453">
        <f ca="1">IF(VLOOKUP($E$20,[1]QUART!$A$2:$FA$300, 64, FALSE)="",":",VLOOKUP($E$20,[1]QUART!$A$2:$FA$300, 64, FALSE))</f>
        <v>87.029999999999987</v>
      </c>
      <c r="BN20" s="1453">
        <f ca="1">IF(VLOOKUP($E$20,[1]QUART!$A$2:$FA$300, 65, FALSE)="",":",VLOOKUP($E$20,[1]QUART!$A$2:$FA$300, 65, FALSE))</f>
        <v>87.573333333333338</v>
      </c>
      <c r="BO20" s="1453">
        <f ca="1">IF(VLOOKUP($E$20,[1]QUART!$A$2:$FA$300, 66, FALSE)="",":",VLOOKUP($E$20,[1]QUART!$A$2:$FA$300, 66, FALSE))</f>
        <v>91.719999999999985</v>
      </c>
      <c r="BP20" s="1453">
        <f ca="1">IF(VLOOKUP($E$20,[1]QUART!$A$2:$FA$300, 67, FALSE)="",":",VLOOKUP($E$20,[1]QUART!$A$2:$FA$300, 67, FALSE))</f>
        <v>92.213333333333324</v>
      </c>
      <c r="BQ20" s="1453">
        <f ca="1">IF(VLOOKUP($E$20,[1]QUART!$A$2:$FA$300, 68, FALSE)="",":",VLOOKUP($E$20,[1]QUART!$A$2:$FA$300, 68, FALSE))</f>
        <v>91.339999999999989</v>
      </c>
      <c r="BR20" s="1453">
        <f ca="1">IF(VLOOKUP($E$20,[1]QUART!$A$2:$FA$300, 69, FALSE)="",":",VLOOKUP($E$20,[1]QUART!$A$2:$FA$300, 69, FALSE))</f>
        <v>91.796666666666667</v>
      </c>
      <c r="BS20" s="1453">
        <f ca="1">IF(VLOOKUP($E$20,[1]QUART!$A$2:$FA$300, 70, FALSE)="",":",VLOOKUP($E$20,[1]QUART!$A$2:$FA$300, 70, FALSE))</f>
        <v>92.663333333333341</v>
      </c>
      <c r="BT20" s="1453">
        <f ca="1">IF(VLOOKUP($E$20,[1]QUART!$A$2:$FA$300, 71, FALSE)="",":",VLOOKUP($E$20,[1]QUART!$A$2:$FA$300, 71, FALSE))</f>
        <v>92.083333333333329</v>
      </c>
      <c r="BU20" s="1453">
        <f ca="1">IF(VLOOKUP($E$20,[1]QUART!$A$2:$FA$300, 72, FALSE)="",":",VLOOKUP($E$20,[1]QUART!$A$2:$FA$300, 72, FALSE))</f>
        <v>91.00333333333333</v>
      </c>
      <c r="BV20" s="1453">
        <f ca="1">IF(VLOOKUP($E$20,[1]QUART!$A$2:$FA$300, 73, FALSE)="",":",VLOOKUP($E$20,[1]QUART!$A$2:$FA$300, 73, FALSE))</f>
        <v>92.15333333333335</v>
      </c>
      <c r="BW20" s="1453">
        <f ca="1">IF(VLOOKUP($E$20,[1]QUART!$A$2:$FA$300, 74, FALSE)="",":",VLOOKUP($E$20,[1]QUART!$A$2:$FA$300, 74, FALSE))</f>
        <v>94.24666666666667</v>
      </c>
      <c r="BX20" s="1453">
        <f ca="1">IF(VLOOKUP($E$20,[1]QUART!$A$2:$FA$300, 75, FALSE)="",":",VLOOKUP($E$20,[1]QUART!$A$2:$FA$300, 75, FALSE))</f>
        <v>94.846666666666678</v>
      </c>
      <c r="BY20" s="1453">
        <f ca="1">IF(VLOOKUP($E$20,[1]QUART!$A$2:$FA$300, 76, FALSE)="",":",VLOOKUP($E$20,[1]QUART!$A$2:$FA$300, 76, FALSE))</f>
        <v>94.7</v>
      </c>
      <c r="BZ20" s="1453">
        <f ca="1">IF(VLOOKUP($E$20,[1]QUART!$A$2:$FA$300, 77, FALSE)="",":",VLOOKUP($E$20,[1]QUART!$A$2:$FA$300, 77, FALSE))</f>
        <v>96.603333333333339</v>
      </c>
      <c r="CA20" s="1453">
        <f ca="1">IF(VLOOKUP($E$20,[1]QUART!$A$2:$FA$300, 78, FALSE)="",":",VLOOKUP($E$20,[1]QUART!$A$2:$FA$300, 78, FALSE))</f>
        <v>98.696666666666673</v>
      </c>
      <c r="CB20" s="1453">
        <f ca="1">IF(VLOOKUP($E$20,[1]QUART!$A$2:$FA$300, 79, FALSE)="",":",VLOOKUP($E$20,[1]QUART!$A$2:$FA$300, 79, FALSE))</f>
        <v>101.25</v>
      </c>
      <c r="CC20" s="1453">
        <f ca="1">IF(VLOOKUP($E$20,[1]QUART!$A$2:$FA$300, 80, FALSE)="",":",VLOOKUP($E$20,[1]QUART!$A$2:$FA$300, 80, FALSE))</f>
        <v>98.836666666666659</v>
      </c>
      <c r="CD20" s="1453">
        <f ca="1">IF(VLOOKUP($E$20,[1]QUART!$A$2:$FA$300, 81, FALSE)="",":",VLOOKUP($E$20,[1]QUART!$A$2:$FA$300, 81, FALSE))</f>
        <v>98.203333333333333</v>
      </c>
      <c r="CE20" s="1453">
        <f ca="1">IF(VLOOKUP($E$20,[1]QUART!$A$2:$FA$300, 82, FALSE)="",":",VLOOKUP($E$20,[1]QUART!$A$2:$FA$300, 82, FALSE))</f>
        <v>99.160000000000011</v>
      </c>
      <c r="CF20" s="1453">
        <f ca="1">IF(VLOOKUP($E$20,[1]QUART!$A$2:$FA$300, 83, FALSE)="",":",VLOOKUP($E$20,[1]QUART!$A$2:$FA$300, 83, FALSE))</f>
        <v>99.466666666666683</v>
      </c>
      <c r="CG20" s="1453">
        <f ca="1">IF(VLOOKUP($E$20,[1]QUART!$A$2:$FA$300, 84, FALSE)="",":",VLOOKUP($E$20,[1]QUART!$A$2:$FA$300, 84, FALSE))</f>
        <v>96.96</v>
      </c>
      <c r="CH20" s="1453">
        <f ca="1">IF(VLOOKUP($E$20,[1]QUART!$A$2:$FA$300, 85, FALSE)="",":",VLOOKUP($E$20,[1]QUART!$A$2:$FA$300, 85, FALSE))</f>
        <v>96.143333333333331</v>
      </c>
      <c r="CI20" s="1453">
        <f ca="1">IF(VLOOKUP($E$20,[1]QUART!$A$2:$FA$300, 86, FALSE)="",":",VLOOKUP($E$20,[1]QUART!$A$2:$FA$300, 86, FALSE))</f>
        <v>98.25</v>
      </c>
      <c r="CJ20" s="1453">
        <f ca="1">IF(VLOOKUP($E$20,[1]QUART!$A$2:$FA$300, 87, FALSE)="",":",VLOOKUP($E$20,[1]QUART!$A$2:$FA$300, 87, FALSE))</f>
        <v>101.77666666666666</v>
      </c>
      <c r="CK20" s="1453">
        <f ca="1">IF(VLOOKUP($E$20,[1]QUART!$A$2:$FA$300, 88, FALSE)="",":",VLOOKUP($E$20,[1]QUART!$A$2:$FA$300, 88, FALSE))</f>
        <v>99.79</v>
      </c>
      <c r="CL20" s="1453">
        <f ca="1">IF(VLOOKUP($E$20,[1]QUART!$A$2:$FA$300, 89, FALSE)="",":",VLOOKUP($E$20,[1]QUART!$A$2:$FA$300, 89, FALSE))</f>
        <v>100.18666666666667</v>
      </c>
      <c r="CM20" s="1453">
        <f ca="1">IF(VLOOKUP($E$20,[1]QUART!$A$2:$FA$300, 90, FALSE)="",":",VLOOKUP($E$20,[1]QUART!$A$2:$FA$300, 90, FALSE))</f>
        <v>101.40333333333332</v>
      </c>
      <c r="CN20" s="1453">
        <f ca="1">IF(VLOOKUP($E$20,[1]QUART!$A$2:$FA$300, 91, FALSE)="",":",VLOOKUP($E$20,[1]QUART!$A$2:$FA$300, 91, FALSE))</f>
        <v>104.41333333333334</v>
      </c>
      <c r="CO20" s="1453">
        <f ca="1">IF(VLOOKUP($E$20,[1]QUART!$A$2:$FA$300, 92, FALSE)="",":",VLOOKUP($E$20,[1]QUART!$A$2:$FA$300, 92, FALSE))</f>
        <v>102.21333333333332</v>
      </c>
      <c r="CP20" s="1453">
        <f ca="1">IF(VLOOKUP($E$20,[1]QUART!$A$2:$FA$300, 93, FALSE)="",":",VLOOKUP($E$20,[1]QUART!$A$2:$FA$300, 93, FALSE))</f>
        <v>102.22333333333331</v>
      </c>
      <c r="CQ20" s="1453">
        <f ca="1">IF(VLOOKUP($E$20,[1]QUART!$A$2:$FA$300, 94, FALSE)="",":",VLOOKUP($E$20,[1]QUART!$A$2:$FA$300, 94, FALSE))</f>
        <v>103.48666666666668</v>
      </c>
      <c r="CR20" s="1453">
        <f ca="1">IF(VLOOKUP($E$20,[1]QUART!$A$2:$FA$300, 95, FALSE)="",":",VLOOKUP($E$20,[1]QUART!$A$2:$FA$300, 95, FALSE))</f>
        <v>102.97333333333334</v>
      </c>
      <c r="CS20" s="1453">
        <f ca="1">IF(VLOOKUP($E$20,[1]QUART!$A$2:$FA$300, 96, FALSE)="",":",VLOOKUP($E$20,[1]QUART!$A$2:$FA$300, 96, FALSE))</f>
        <v>101.70333333333333</v>
      </c>
      <c r="CT20" s="1453">
        <f ca="1">IF(VLOOKUP($E$20,[1]QUART!$A$2:$FA$300, 97, FALSE)="",":",VLOOKUP($E$20,[1]QUART!$A$2:$FA$300, 97, FALSE))</f>
        <v>102.37333333333333</v>
      </c>
      <c r="CU20" s="1453">
        <f ca="1">IF(VLOOKUP($E$20,[1]QUART!$A$2:$FA$300, 98, FALSE)="",":",VLOOKUP($E$20,[1]QUART!$A$2:$FA$300, 98, FALSE))</f>
        <v>103.75</v>
      </c>
      <c r="CV20" s="1453" t="str">
        <f>IF(VLOOKUP($E$20,[1]QUART!$A$2:$FA$300, 99, FALSE)="",":",VLOOKUP($E$20,[1]QUART!$A$2:$FA$300, 99, FALSE))</f>
        <v>:</v>
      </c>
      <c r="CW20" s="1453" t="str">
        <f>IF(VLOOKUP($E$20,[1]QUART!$A$2:$FA$300, 100, FALSE)="",":",VLOOKUP($E$20,[1]QUART!$A$2:$FA$300, 100, FALSE))</f>
        <v>:</v>
      </c>
      <c r="CX20" s="1453" t="str">
        <f>IF(VLOOKUP($E$20,[1]QUART!$A$2:$FA$300, 101, FALSE)="",":",VLOOKUP($E$20,[1]QUART!$A$2:$FA$300, 101, FALSE))</f>
        <v>:</v>
      </c>
      <c r="CY20" s="1453" t="str">
        <f>IF(VLOOKUP($E$20,[1]QUART!$A$2:$FA$300, 102, FALSE)="",":",VLOOKUP($E$20,[1]QUART!$A$2:$FA$300, 102, FALSE))</f>
        <v>:</v>
      </c>
      <c r="CZ20" s="1453" t="str">
        <f>IF(VLOOKUP($E$20,[1]QUART!$A$2:$FA$300, 103, FALSE)="",":",VLOOKUP($E$20,[1]QUART!$A$2:$FA$300, 103, FALSE))</f>
        <v>:</v>
      </c>
      <c r="DA20" s="1453" t="str">
        <f>IF(VLOOKUP($E$20,[1]QUART!$A$2:$FA$300, 104, FALSE)="",":",VLOOKUP($E$20,[1]QUART!$A$2:$FA$300, 104, FALSE))</f>
        <v>:</v>
      </c>
      <c r="DB20" s="1453" t="str">
        <f>IF(VLOOKUP($E$20,[1]QUART!$A$2:$FA$300, 105, FALSE)="",":",VLOOKUP($E$20,[1]QUART!$A$2:$FA$300, 105, FALSE))</f>
        <v>:</v>
      </c>
      <c r="DC20" s="1453" t="str">
        <f>IF(VLOOKUP($E$20,[1]QUART!$A$2:$FA$300, 106, FALSE)="",":",VLOOKUP($E$20,[1]QUART!$A$2:$FA$300, 106, FALSE))</f>
        <v>:</v>
      </c>
    </row>
    <row r="21" spans="1:107">
      <c r="A21" s="1449">
        <v>170</v>
      </c>
      <c r="B21" s="1454" t="s">
        <v>720</v>
      </c>
      <c r="C21" s="1455"/>
      <c r="D21" s="1450" t="s">
        <v>363</v>
      </c>
      <c r="E21" s="1451">
        <v>94</v>
      </c>
      <c r="F21" s="1452" t="str">
        <f>VLOOKUP($E$21,[1]QUART!$A$2:$FA$300, 3, FALSE)</f>
        <v>94 HICP Processed food incl. alcohol and tobacco</v>
      </c>
      <c r="G21" s="1453" t="str">
        <f>IF(VLOOKUP($E$21,[1]QUART!$A$2:$FA$300, 6, FALSE)="",":",VLOOKUP($E$21,[1]QUART!$A$2:$FA$300, 6, FALSE))</f>
        <v>:</v>
      </c>
      <c r="H21" s="1453" t="str">
        <f>IF(VLOOKUP($E$21,[1]QUART!$A$2:$FA$300, 7, FALSE)="",":",VLOOKUP($E$21,[1]QUART!$A$2:$FA$300, 7, FALSE))</f>
        <v>:</v>
      </c>
      <c r="I21" s="1453" t="str">
        <f>IF(VLOOKUP($E$21,[1]QUART!$A$2:$FA$300, 8, FALSE)="",":",VLOOKUP($E$21,[1]QUART!$A$2:$FA$300, 8, FALSE))</f>
        <v>:</v>
      </c>
      <c r="J21" s="1453" t="str">
        <f>IF(VLOOKUP($E$21,[1]QUART!$A$2:$FA$300, 9, FALSE)="",":",VLOOKUP($E$21,[1]QUART!$A$2:$FA$300, 9, FALSE))</f>
        <v>:</v>
      </c>
      <c r="K21" s="1453">
        <f ca="1">IF(VLOOKUP($E$21,[1]QUART!$A$2:$FA$300, 10, FALSE)="",":",VLOOKUP($E$21,[1]QUART!$A$2:$FA$300, 10, FALSE))</f>
        <v>63.083333333333336</v>
      </c>
      <c r="L21" s="1453">
        <f ca="1">IF(VLOOKUP($E$21,[1]QUART!$A$2:$FA$300, 11, FALSE)="",":",VLOOKUP($E$21,[1]QUART!$A$2:$FA$300, 11, FALSE))</f>
        <v>63.196666666666665</v>
      </c>
      <c r="M21" s="1453">
        <f ca="1">IF(VLOOKUP($E$21,[1]QUART!$A$2:$FA$300, 12, FALSE)="",":",VLOOKUP($E$21,[1]QUART!$A$2:$FA$300, 12, FALSE))</f>
        <v>63.226666666666667</v>
      </c>
      <c r="N21" s="1453">
        <f ca="1">IF(VLOOKUP($E$21,[1]QUART!$A$2:$FA$300, 13, FALSE)="",":",VLOOKUP($E$21,[1]QUART!$A$2:$FA$300, 13, FALSE))</f>
        <v>63.616666666666667</v>
      </c>
      <c r="O21" s="1453">
        <f ca="1">IF(VLOOKUP($E$21,[1]QUART!$A$2:$FA$300, 14, FALSE)="",":",VLOOKUP($E$21,[1]QUART!$A$2:$FA$300, 14, FALSE))</f>
        <v>64.02</v>
      </c>
      <c r="P21" s="1453">
        <f ca="1">IF(VLOOKUP($E$21,[1]QUART!$A$2:$FA$300, 15, FALSE)="",":",VLOOKUP($E$21,[1]QUART!$A$2:$FA$300, 15, FALSE))</f>
        <v>64.413333333333341</v>
      </c>
      <c r="Q21" s="1453">
        <f ca="1">IF(VLOOKUP($E$21,[1]QUART!$A$2:$FA$300, 16, FALSE)="",":",VLOOKUP($E$21,[1]QUART!$A$2:$FA$300, 16, FALSE))</f>
        <v>65.02</v>
      </c>
      <c r="R21" s="1453">
        <f ca="1">IF(VLOOKUP($E$21,[1]QUART!$A$2:$FA$300, 17, FALSE)="",":",VLOOKUP($E$21,[1]QUART!$A$2:$FA$300, 17, FALSE))</f>
        <v>65.36666666666666</v>
      </c>
      <c r="S21" s="1453">
        <f ca="1">IF(VLOOKUP($E$21,[1]QUART!$A$2:$FA$300, 18, FALSE)="",":",VLOOKUP($E$21,[1]QUART!$A$2:$FA$300, 18, FALSE))</f>
        <v>65.569999999999993</v>
      </c>
      <c r="T21" s="1453">
        <f ca="1">IF(VLOOKUP($E$21,[1]QUART!$A$2:$FA$300, 19, FALSE)="",":",VLOOKUP($E$21,[1]QUART!$A$2:$FA$300, 19, FALSE))</f>
        <v>65.513333333333335</v>
      </c>
      <c r="U21" s="1453">
        <f ca="1">IF(VLOOKUP($E$21,[1]QUART!$A$2:$FA$300, 20, FALSE)="",":",VLOOKUP($E$21,[1]QUART!$A$2:$FA$300, 20, FALSE))</f>
        <v>65.693333333333342</v>
      </c>
      <c r="V21" s="1453">
        <f ca="1">IF(VLOOKUP($E$21,[1]QUART!$A$2:$FA$300, 21, FALSE)="",":",VLOOKUP($E$21,[1]QUART!$A$2:$FA$300, 21, FALSE))</f>
        <v>65.676666666666677</v>
      </c>
      <c r="W21" s="1453">
        <f ca="1">IF(VLOOKUP($E$21,[1]QUART!$A$2:$FA$300, 22, FALSE)="",":",VLOOKUP($E$21,[1]QUART!$A$2:$FA$300, 22, FALSE))</f>
        <v>65.86333333333333</v>
      </c>
      <c r="X21" s="1453">
        <f ca="1">IF(VLOOKUP($E$21,[1]QUART!$A$2:$FA$300, 23, FALSE)="",":",VLOOKUP($E$21,[1]QUART!$A$2:$FA$300, 23, FALSE))</f>
        <v>66.040000000000006</v>
      </c>
      <c r="Y21" s="1453">
        <f ca="1">IF(VLOOKUP($E$21,[1]QUART!$A$2:$FA$300, 24, FALSE)="",":",VLOOKUP($E$21,[1]QUART!$A$2:$FA$300, 24, FALSE))</f>
        <v>66.096666666666664</v>
      </c>
      <c r="Z21" s="1453">
        <f ca="1">IF(VLOOKUP($E$21,[1]QUART!$A$2:$FA$300, 25, FALSE)="",":",VLOOKUP($E$21,[1]QUART!$A$2:$FA$300, 25, FALSE))</f>
        <v>66.100000000000009</v>
      </c>
      <c r="AA21" s="1453">
        <f ca="1">IF(VLOOKUP($E$21,[1]QUART!$A$2:$FA$300, 26, FALSE)="",":",VLOOKUP($E$21,[1]QUART!$A$2:$FA$300, 26, FALSE))</f>
        <v>66.510000000000005</v>
      </c>
      <c r="AB21" s="1453">
        <f ca="1">IF(VLOOKUP($E$21,[1]QUART!$A$2:$FA$300, 27, FALSE)="",":",VLOOKUP($E$21,[1]QUART!$A$2:$FA$300, 27, FALSE))</f>
        <v>66.876666666666665</v>
      </c>
      <c r="AC21" s="1453">
        <f ca="1">IF(VLOOKUP($E$21,[1]QUART!$A$2:$FA$300, 28, FALSE)="",":",VLOOKUP($E$21,[1]QUART!$A$2:$FA$300, 28, FALSE))</f>
        <v>66.963333333333324</v>
      </c>
      <c r="AD21" s="1453">
        <f ca="1">IF(VLOOKUP($E$21,[1]QUART!$A$2:$FA$300, 29, FALSE)="",":",VLOOKUP($E$21,[1]QUART!$A$2:$FA$300, 29, FALSE))</f>
        <v>67.173333333333332</v>
      </c>
      <c r="AE21" s="1453">
        <f ca="1">IF(VLOOKUP($E$21,[1]QUART!$A$2:$FA$300, 30, FALSE)="",":",VLOOKUP($E$21,[1]QUART!$A$2:$FA$300, 30, FALSE))</f>
        <v>67.566666666666663</v>
      </c>
      <c r="AF21" s="1453">
        <f ca="1">IF(VLOOKUP($E$21,[1]QUART!$A$2:$FA$300, 31, FALSE)="",":",VLOOKUP($E$21,[1]QUART!$A$2:$FA$300, 31, FALSE))</f>
        <v>68.030000000000015</v>
      </c>
      <c r="AG21" s="1453">
        <f ca="1">IF(VLOOKUP($E$21,[1]QUART!$A$2:$FA$300, 32, FALSE)="",":",VLOOKUP($E$21,[1]QUART!$A$2:$FA$300, 32, FALSE))</f>
        <v>68.720000000000013</v>
      </c>
      <c r="AH21" s="1453">
        <f ca="1">IF(VLOOKUP($E$21,[1]QUART!$A$2:$FA$300, 33, FALSE)="",":",VLOOKUP($E$21,[1]QUART!$A$2:$FA$300, 33, FALSE))</f>
        <v>69.010000000000005</v>
      </c>
      <c r="AI21" s="1453">
        <f ca="1">IF(VLOOKUP($E$21,[1]QUART!$A$2:$FA$300, 34, FALSE)="",":",VLOOKUP($E$21,[1]QUART!$A$2:$FA$300, 34, FALSE))</f>
        <v>68.993333333333325</v>
      </c>
      <c r="AJ21" s="1453">
        <f ca="1">IF(VLOOKUP($E$21,[1]QUART!$A$2:$FA$300, 35, FALSE)="",":",VLOOKUP($E$21,[1]QUART!$A$2:$FA$300, 35, FALSE))</f>
        <v>69.053333333333327</v>
      </c>
      <c r="AK21" s="1453">
        <f ca="1">IF(VLOOKUP($E$21,[1]QUART!$A$2:$FA$300, 36, FALSE)="",":",VLOOKUP($E$21,[1]QUART!$A$2:$FA$300, 36, FALSE))</f>
        <v>69.456666666666663</v>
      </c>
      <c r="AL21" s="1453">
        <f ca="1">IF(VLOOKUP($E$21,[1]QUART!$A$2:$FA$300, 37, FALSE)="",":",VLOOKUP($E$21,[1]QUART!$A$2:$FA$300, 37, FALSE))</f>
        <v>69.88333333333334</v>
      </c>
      <c r="AM21" s="1453">
        <f ca="1">IF(VLOOKUP($E$21,[1]QUART!$A$2:$FA$300, 38, FALSE)="",":",VLOOKUP($E$21,[1]QUART!$A$2:$FA$300, 38, FALSE))</f>
        <v>70.706666666666663</v>
      </c>
      <c r="AN21" s="1453">
        <f ca="1">IF(VLOOKUP($E$21,[1]QUART!$A$2:$FA$300, 39, FALSE)="",":",VLOOKUP($E$21,[1]QUART!$A$2:$FA$300, 39, FALSE))</f>
        <v>71.286666666666662</v>
      </c>
      <c r="AO21" s="1453">
        <f ca="1">IF(VLOOKUP($E$21,[1]QUART!$A$2:$FA$300, 40, FALSE)="",":",VLOOKUP($E$21,[1]QUART!$A$2:$FA$300, 40, FALSE))</f>
        <v>71.49666666666667</v>
      </c>
      <c r="AP21" s="1453">
        <f ca="1">IF(VLOOKUP($E$21,[1]QUART!$A$2:$FA$300, 41, FALSE)="",":",VLOOKUP($E$21,[1]QUART!$A$2:$FA$300, 41, FALSE))</f>
        <v>71.53</v>
      </c>
      <c r="AQ21" s="1453">
        <f ca="1">IF(VLOOKUP($E$21,[1]QUART!$A$2:$FA$300, 42, FALSE)="",":",VLOOKUP($E$21,[1]QUART!$A$2:$FA$300, 42, FALSE))</f>
        <v>72.36</v>
      </c>
      <c r="AR21" s="1453">
        <f ca="1">IF(VLOOKUP($E$21,[1]QUART!$A$2:$FA$300, 43, FALSE)="",":",VLOOKUP($E$21,[1]QUART!$A$2:$FA$300, 43, FALSE))</f>
        <v>72.92</v>
      </c>
      <c r="AS21" s="1453">
        <f ca="1">IF(VLOOKUP($E$21,[1]QUART!$A$2:$FA$300, 44, FALSE)="",":",VLOOKUP($E$21,[1]QUART!$A$2:$FA$300, 44, FALSE))</f>
        <v>73.073333333333338</v>
      </c>
      <c r="AT21" s="1453">
        <f ca="1">IF(VLOOKUP($E$21,[1]QUART!$A$2:$FA$300, 45, FALSE)="",":",VLOOKUP($E$21,[1]QUART!$A$2:$FA$300, 45, FALSE))</f>
        <v>72.993333333333339</v>
      </c>
      <c r="AU21" s="1453">
        <f ca="1">IF(VLOOKUP($E$21,[1]QUART!$A$2:$FA$300, 46, FALSE)="",":",VLOOKUP($E$21,[1]QUART!$A$2:$FA$300, 46, FALSE))</f>
        <v>74.036666666666676</v>
      </c>
      <c r="AV21" s="1453">
        <f ca="1">IF(VLOOKUP($E$21,[1]QUART!$A$2:$FA$300, 47, FALSE)="",":",VLOOKUP($E$21,[1]QUART!$A$2:$FA$300, 47, FALSE))</f>
        <v>74.550000000000011</v>
      </c>
      <c r="AW21" s="1453">
        <f ca="1">IF(VLOOKUP($E$21,[1]QUART!$A$2:$FA$300, 48, FALSE)="",":",VLOOKUP($E$21,[1]QUART!$A$2:$FA$300, 48, FALSE))</f>
        <v>74.323333333333338</v>
      </c>
      <c r="AX21" s="1453">
        <f ca="1">IF(VLOOKUP($E$21,[1]QUART!$A$2:$FA$300, 49, FALSE)="",":",VLOOKUP($E$21,[1]QUART!$A$2:$FA$300, 49, FALSE))</f>
        <v>74.350000000000009</v>
      </c>
      <c r="AY21" s="1453">
        <f ca="1">IF(VLOOKUP($E$21,[1]QUART!$A$2:$FA$300, 50, FALSE)="",":",VLOOKUP($E$21,[1]QUART!$A$2:$FA$300, 50, FALSE))</f>
        <v>74.87</v>
      </c>
      <c r="AZ21" s="1453">
        <f ca="1">IF(VLOOKUP($E$21,[1]QUART!$A$2:$FA$300, 51, FALSE)="",":",VLOOKUP($E$21,[1]QUART!$A$2:$FA$300, 51, FALSE))</f>
        <v>75.61</v>
      </c>
      <c r="BA21" s="1453">
        <f ca="1">IF(VLOOKUP($E$21,[1]QUART!$A$2:$FA$300, 52, FALSE)="",":",VLOOKUP($E$21,[1]QUART!$A$2:$FA$300, 52, FALSE))</f>
        <v>76.216666666666669</v>
      </c>
      <c r="BB21" s="1453">
        <f ca="1">IF(VLOOKUP($E$21,[1]QUART!$A$2:$FA$300, 53, FALSE)="",":",VLOOKUP($E$21,[1]QUART!$A$2:$FA$300, 53, FALSE))</f>
        <v>76.663333333333341</v>
      </c>
      <c r="BC21" s="1453">
        <f ca="1">IF(VLOOKUP($E$21,[1]QUART!$A$2:$FA$300, 54, FALSE)="",":",VLOOKUP($E$21,[1]QUART!$A$2:$FA$300, 54, FALSE))</f>
        <v>77.556666666666672</v>
      </c>
      <c r="BD21" s="1453">
        <f ca="1">IF(VLOOKUP($E$21,[1]QUART!$A$2:$FA$300, 55, FALSE)="",":",VLOOKUP($E$21,[1]QUART!$A$2:$FA$300, 55, FALSE))</f>
        <v>78.75</v>
      </c>
      <c r="BE21" s="1453">
        <f ca="1">IF(VLOOKUP($E$21,[1]QUART!$A$2:$FA$300, 56, FALSE)="",":",VLOOKUP($E$21,[1]QUART!$A$2:$FA$300, 56, FALSE))</f>
        <v>79.476666666666674</v>
      </c>
      <c r="BF21" s="1453">
        <f ca="1">IF(VLOOKUP($E$21,[1]QUART!$A$2:$FA$300, 57, FALSE)="",":",VLOOKUP($E$21,[1]QUART!$A$2:$FA$300, 57, FALSE))</f>
        <v>81.713333333333324</v>
      </c>
      <c r="BG21" s="1453">
        <f ca="1">IF(VLOOKUP($E$21,[1]QUART!$A$2:$FA$300, 58, FALSE)="",":",VLOOKUP($E$21,[1]QUART!$A$2:$FA$300, 58, FALSE))</f>
        <v>84.17</v>
      </c>
      <c r="BH21" s="1453">
        <f ca="1">IF(VLOOKUP($E$21,[1]QUART!$A$2:$FA$300, 59, FALSE)="",":",VLOOKUP($E$21,[1]QUART!$A$2:$FA$300, 59, FALSE))</f>
        <v>85.46</v>
      </c>
      <c r="BI21" s="1453">
        <f ca="1">IF(VLOOKUP($E$21,[1]QUART!$A$2:$FA$300, 60, FALSE)="",":",VLOOKUP($E$21,[1]QUART!$A$2:$FA$300, 60, FALSE))</f>
        <v>86.113333333333344</v>
      </c>
      <c r="BJ21" s="1453">
        <f ca="1">IF(VLOOKUP($E$21,[1]QUART!$A$2:$FA$300, 61, FALSE)="",":",VLOOKUP($E$21,[1]QUART!$A$2:$FA$300, 61, FALSE))</f>
        <v>86.40666666666668</v>
      </c>
      <c r="BK21" s="1453">
        <f ca="1">IF(VLOOKUP($E$21,[1]QUART!$A$2:$FA$300, 62, FALSE)="",":",VLOOKUP($E$21,[1]QUART!$A$2:$FA$300, 62, FALSE))</f>
        <v>86.843333333333348</v>
      </c>
      <c r="BL21" s="1453">
        <f ca="1">IF(VLOOKUP($E$21,[1]QUART!$A$2:$FA$300, 63, FALSE)="",":",VLOOKUP($E$21,[1]QUART!$A$2:$FA$300, 63, FALSE))</f>
        <v>87.053333333333342</v>
      </c>
      <c r="BM21" s="1453">
        <f ca="1">IF(VLOOKUP($E$21,[1]QUART!$A$2:$FA$300, 64, FALSE)="",":",VLOOKUP($E$21,[1]QUART!$A$2:$FA$300, 64, FALSE))</f>
        <v>86.993333333333339</v>
      </c>
      <c r="BN21" s="1453">
        <f ca="1">IF(VLOOKUP($E$21,[1]QUART!$A$2:$FA$300, 65, FALSE)="",":",VLOOKUP($E$21,[1]QUART!$A$2:$FA$300, 65, FALSE))</f>
        <v>86.963333333333324</v>
      </c>
      <c r="BO21" s="1453">
        <f ca="1">IF(VLOOKUP($E$21,[1]QUART!$A$2:$FA$300, 66, FALSE)="",":",VLOOKUP($E$21,[1]QUART!$A$2:$FA$300, 66, FALSE))</f>
        <v>87.263333333333321</v>
      </c>
      <c r="BP21" s="1453">
        <f ca="1">IF(VLOOKUP($E$21,[1]QUART!$A$2:$FA$300, 67, FALSE)="",":",VLOOKUP($E$21,[1]QUART!$A$2:$FA$300, 67, FALSE))</f>
        <v>87.646666666666661</v>
      </c>
      <c r="BQ21" s="1453">
        <f ca="1">IF(VLOOKUP($E$21,[1]QUART!$A$2:$FA$300, 68, FALSE)="",":",VLOOKUP($E$21,[1]QUART!$A$2:$FA$300, 68, FALSE))</f>
        <v>88.096666666666678</v>
      </c>
      <c r="BR21" s="1453">
        <f ca="1">IF(VLOOKUP($E$21,[1]QUART!$A$2:$FA$300, 69, FALSE)="",":",VLOOKUP($E$21,[1]QUART!$A$2:$FA$300, 69, FALSE))</f>
        <v>88.476666666666674</v>
      </c>
      <c r="BS21" s="1453">
        <f ca="1">IF(VLOOKUP($E$21,[1]QUART!$A$2:$FA$300, 70, FALSE)="",":",VLOOKUP($E$21,[1]QUART!$A$2:$FA$300, 70, FALSE))</f>
        <v>89.24666666666667</v>
      </c>
      <c r="BT21" s="1453">
        <f ca="1">IF(VLOOKUP($E$21,[1]QUART!$A$2:$FA$300, 71, FALSE)="",":",VLOOKUP($E$21,[1]QUART!$A$2:$FA$300, 71, FALSE))</f>
        <v>90.286666666666676</v>
      </c>
      <c r="BU21" s="1453">
        <f ca="1">IF(VLOOKUP($E$21,[1]QUART!$A$2:$FA$300, 72, FALSE)="",":",VLOOKUP($E$21,[1]QUART!$A$2:$FA$300, 72, FALSE))</f>
        <v>91.15666666666668</v>
      </c>
      <c r="BV21" s="1453">
        <f ca="1">IF(VLOOKUP($E$21,[1]QUART!$A$2:$FA$300, 73, FALSE)="",":",VLOOKUP($E$21,[1]QUART!$A$2:$FA$300, 73, FALSE))</f>
        <v>91.666666666666671</v>
      </c>
      <c r="BW21" s="1453">
        <f ca="1">IF(VLOOKUP($E$21,[1]QUART!$A$2:$FA$300, 74, FALSE)="",":",VLOOKUP($E$21,[1]QUART!$A$2:$FA$300, 74, FALSE))</f>
        <v>92.39</v>
      </c>
      <c r="BX21" s="1453">
        <f ca="1">IF(VLOOKUP($E$21,[1]QUART!$A$2:$FA$300, 75, FALSE)="",":",VLOOKUP($E$21,[1]QUART!$A$2:$FA$300, 75, FALSE))</f>
        <v>92.863333333333344</v>
      </c>
      <c r="BY21" s="1453">
        <f ca="1">IF(VLOOKUP($E$21,[1]QUART!$A$2:$FA$300, 76, FALSE)="",":",VLOOKUP($E$21,[1]QUART!$A$2:$FA$300, 76, FALSE))</f>
        <v>93.606666666666669</v>
      </c>
      <c r="BZ21" s="1453">
        <f ca="1">IF(VLOOKUP($E$21,[1]QUART!$A$2:$FA$300, 77, FALSE)="",":",VLOOKUP($E$21,[1]QUART!$A$2:$FA$300, 77, FALSE))</f>
        <v>94.606666666666669</v>
      </c>
      <c r="CA21" s="1453">
        <f ca="1">IF(VLOOKUP($E$21,[1]QUART!$A$2:$FA$300, 78, FALSE)="",":",VLOOKUP($E$21,[1]QUART!$A$2:$FA$300, 78, FALSE))</f>
        <v>95.576666666666668</v>
      </c>
      <c r="CB21" s="1453">
        <f ca="1">IF(VLOOKUP($E$21,[1]QUART!$A$2:$FA$300, 79, FALSE)="",":",VLOOKUP($E$21,[1]QUART!$A$2:$FA$300, 79, FALSE))</f>
        <v>96.093333333333348</v>
      </c>
      <c r="CC21" s="1453">
        <f ca="1">IF(VLOOKUP($E$21,[1]QUART!$A$2:$FA$300, 80, FALSE)="",":",VLOOKUP($E$21,[1]QUART!$A$2:$FA$300, 80, FALSE))</f>
        <v>96.52</v>
      </c>
      <c r="CD21" s="1453">
        <f ca="1">IF(VLOOKUP($E$21,[1]QUART!$A$2:$FA$300, 81, FALSE)="",":",VLOOKUP($E$21,[1]QUART!$A$2:$FA$300, 81, FALSE))</f>
        <v>97.280000000000015</v>
      </c>
      <c r="CE21" s="1453">
        <f ca="1">IF(VLOOKUP($E$21,[1]QUART!$A$2:$FA$300, 82, FALSE)="",":",VLOOKUP($E$21,[1]QUART!$A$2:$FA$300, 82, FALSE))</f>
        <v>97.7</v>
      </c>
      <c r="CF21" s="1453">
        <f ca="1">IF(VLOOKUP($E$21,[1]QUART!$A$2:$FA$300, 83, FALSE)="",":",VLOOKUP($E$21,[1]QUART!$A$2:$FA$300, 83, FALSE))</f>
        <v>98.766666666666666</v>
      </c>
      <c r="CG21" s="1453">
        <f ca="1">IF(VLOOKUP($E$21,[1]QUART!$A$2:$FA$300, 84, FALSE)="",":",VLOOKUP($E$21,[1]QUART!$A$2:$FA$300, 84, FALSE))</f>
        <v>98.776666666666657</v>
      </c>
      <c r="CH21" s="1453">
        <f ca="1">IF(VLOOKUP($E$21,[1]QUART!$A$2:$FA$300, 85, FALSE)="",":",VLOOKUP($E$21,[1]QUART!$A$2:$FA$300, 85, FALSE))</f>
        <v>98.483333333333334</v>
      </c>
      <c r="CI21" s="1453">
        <f ca="1">IF(VLOOKUP($E$21,[1]QUART!$A$2:$FA$300, 86, FALSE)="",":",VLOOKUP($E$21,[1]QUART!$A$2:$FA$300, 86, FALSE))</f>
        <v>98.95</v>
      </c>
      <c r="CJ21" s="1453">
        <f ca="1">IF(VLOOKUP($E$21,[1]QUART!$A$2:$FA$300, 87, FALSE)="",":",VLOOKUP($E$21,[1]QUART!$A$2:$FA$300, 87, FALSE))</f>
        <v>99.963333333333324</v>
      </c>
      <c r="CK21" s="1453">
        <f ca="1">IF(VLOOKUP($E$21,[1]QUART!$A$2:$FA$300, 88, FALSE)="",":",VLOOKUP($E$21,[1]QUART!$A$2:$FA$300, 88, FALSE))</f>
        <v>100.15666666666668</v>
      </c>
      <c r="CL21" s="1453">
        <f ca="1">IF(VLOOKUP($E$21,[1]QUART!$A$2:$FA$300, 89, FALSE)="",":",VLOOKUP($E$21,[1]QUART!$A$2:$FA$300, 89, FALSE))</f>
        <v>100.92666666666666</v>
      </c>
      <c r="CM21" s="1453">
        <f ca="1">IF(VLOOKUP($E$21,[1]QUART!$A$2:$FA$300, 90, FALSE)="",":",VLOOKUP($E$21,[1]QUART!$A$2:$FA$300, 90, FALSE))</f>
        <v>102.71</v>
      </c>
      <c r="CN21" s="1453">
        <f ca="1">IF(VLOOKUP($E$21,[1]QUART!$A$2:$FA$300, 91, FALSE)="",":",VLOOKUP($E$21,[1]QUART!$A$2:$FA$300, 91, FALSE))</f>
        <v>103.81</v>
      </c>
      <c r="CO21" s="1453">
        <f ca="1">IF(VLOOKUP($E$21,[1]QUART!$A$2:$FA$300, 92, FALSE)="",":",VLOOKUP($E$21,[1]QUART!$A$2:$FA$300, 92, FALSE))</f>
        <v>103.66000000000001</v>
      </c>
      <c r="CP21" s="1453">
        <f ca="1">IF(VLOOKUP($E$21,[1]QUART!$A$2:$FA$300, 93, FALSE)="",":",VLOOKUP($E$21,[1]QUART!$A$2:$FA$300, 93, FALSE))</f>
        <v>103.62666666666667</v>
      </c>
      <c r="CQ21" s="1453">
        <f ca="1">IF(VLOOKUP($E$21,[1]QUART!$A$2:$FA$300, 94, FALSE)="",":",VLOOKUP($E$21,[1]QUART!$A$2:$FA$300, 94, FALSE))</f>
        <v>104.31</v>
      </c>
      <c r="CR21" s="1453">
        <f ca="1">IF(VLOOKUP($E$21,[1]QUART!$A$2:$FA$300, 95, FALSE)="",":",VLOOKUP($E$21,[1]QUART!$A$2:$FA$300, 95, FALSE))</f>
        <v>105.75666666666666</v>
      </c>
      <c r="CS21" s="1453">
        <f ca="1">IF(VLOOKUP($E$21,[1]QUART!$A$2:$FA$300, 96, FALSE)="",":",VLOOKUP($E$21,[1]QUART!$A$2:$FA$300, 96, FALSE))</f>
        <v>106.25333333333333</v>
      </c>
      <c r="CT21" s="1453">
        <f ca="1">IF(VLOOKUP($E$21,[1]QUART!$A$2:$FA$300, 97, FALSE)="",":",VLOOKUP($E$21,[1]QUART!$A$2:$FA$300, 97, FALSE))</f>
        <v>106.35666666666667</v>
      </c>
      <c r="CU21" s="1453">
        <f ca="1">IF(VLOOKUP($E$21,[1]QUART!$A$2:$FA$300, 98, FALSE)="",":",VLOOKUP($E$21,[1]QUART!$A$2:$FA$300, 98, FALSE))</f>
        <v>108.07666666666667</v>
      </c>
      <c r="CV21" s="1453" t="str">
        <f>IF(VLOOKUP($E$21,[1]QUART!$A$2:$FA$300, 99, FALSE)="",":",VLOOKUP($E$21,[1]QUART!$A$2:$FA$300, 99, FALSE))</f>
        <v>:</v>
      </c>
      <c r="CW21" s="1453" t="str">
        <f>IF(VLOOKUP($E$21,[1]QUART!$A$2:$FA$300, 100, FALSE)="",":",VLOOKUP($E$21,[1]QUART!$A$2:$FA$300, 100, FALSE))</f>
        <v>:</v>
      </c>
      <c r="CX21" s="1453" t="str">
        <f>IF(VLOOKUP($E$21,[1]QUART!$A$2:$FA$300, 101, FALSE)="",":",VLOOKUP($E$21,[1]QUART!$A$2:$FA$300, 101, FALSE))</f>
        <v>:</v>
      </c>
      <c r="CY21" s="1453" t="str">
        <f>IF(VLOOKUP($E$21,[1]QUART!$A$2:$FA$300, 102, FALSE)="",":",VLOOKUP($E$21,[1]QUART!$A$2:$FA$300, 102, FALSE))</f>
        <v>:</v>
      </c>
      <c r="CZ21" s="1453" t="str">
        <f>IF(VLOOKUP($E$21,[1]QUART!$A$2:$FA$300, 103, FALSE)="",":",VLOOKUP($E$21,[1]QUART!$A$2:$FA$300, 103, FALSE))</f>
        <v>:</v>
      </c>
      <c r="DA21" s="1453" t="str">
        <f>IF(VLOOKUP($E$21,[1]QUART!$A$2:$FA$300, 104, FALSE)="",":",VLOOKUP($E$21,[1]QUART!$A$2:$FA$300, 104, FALSE))</f>
        <v>:</v>
      </c>
      <c r="DB21" s="1453" t="str">
        <f>IF(VLOOKUP($E$21,[1]QUART!$A$2:$FA$300, 105, FALSE)="",":",VLOOKUP($E$21,[1]QUART!$A$2:$FA$300, 105, FALSE))</f>
        <v>:</v>
      </c>
      <c r="DC21" s="1453" t="str">
        <f>IF(VLOOKUP($E$21,[1]QUART!$A$2:$FA$300, 106, FALSE)="",":",VLOOKUP($E$21,[1]QUART!$A$2:$FA$300, 106, FALSE))</f>
        <v>:</v>
      </c>
    </row>
    <row r="22" spans="1:107">
      <c r="A22" s="1449">
        <v>171</v>
      </c>
      <c r="B22" s="1454" t="s">
        <v>1746</v>
      </c>
      <c r="C22" s="1455"/>
      <c r="D22" s="1450" t="s">
        <v>363</v>
      </c>
      <c r="E22" s="1451">
        <v>95</v>
      </c>
      <c r="F22" s="1452" t="str">
        <f>VLOOKUP($E$22,[1]QUART!$A$2:$FA$300, 3, FALSE)</f>
        <v>95 HICP Services</v>
      </c>
      <c r="G22" s="1453" t="str">
        <f>IF(VLOOKUP($E$22,[1]QUART!$A$2:$FA$300, 6, FALSE)="",":",VLOOKUP($E$22,[1]QUART!$A$2:$FA$300, 6, FALSE))</f>
        <v>:</v>
      </c>
      <c r="H22" s="1453" t="str">
        <f>IF(VLOOKUP($E$22,[1]QUART!$A$2:$FA$300, 7, FALSE)="",":",VLOOKUP($E$22,[1]QUART!$A$2:$FA$300, 7, FALSE))</f>
        <v>:</v>
      </c>
      <c r="I22" s="1453" t="str">
        <f>IF(VLOOKUP($E$22,[1]QUART!$A$2:$FA$300, 8, FALSE)="",":",VLOOKUP($E$22,[1]QUART!$A$2:$FA$300, 8, FALSE))</f>
        <v>:</v>
      </c>
      <c r="J22" s="1453" t="str">
        <f>IF(VLOOKUP($E$22,[1]QUART!$A$2:$FA$300, 9, FALSE)="",":",VLOOKUP($E$22,[1]QUART!$A$2:$FA$300, 9, FALSE))</f>
        <v>:</v>
      </c>
      <c r="K22" s="1453" t="e">
        <f ca="1">IF(VLOOKUP($E$22,[1]QUART!$A$2:$FA$300, 10, FALSE)="",":",VLOOKUP($E$22,[1]QUART!$A$2:$FA$300, 10, FALSE))</f>
        <v>#N/A</v>
      </c>
      <c r="L22" s="1453" t="e">
        <f ca="1">IF(VLOOKUP($E$22,[1]QUART!$A$2:$FA$300, 11, FALSE)="",":",VLOOKUP($E$22,[1]QUART!$A$2:$FA$300, 11, FALSE))</f>
        <v>#N/A</v>
      </c>
      <c r="M22" s="1453" t="e">
        <f ca="1">IF(VLOOKUP($E$22,[1]QUART!$A$2:$FA$300, 12, FALSE)="",":",VLOOKUP($E$22,[1]QUART!$A$2:$FA$300, 12, FALSE))</f>
        <v>#N/A</v>
      </c>
      <c r="N22" s="1453" t="e">
        <f ca="1">IF(VLOOKUP($E$22,[1]QUART!$A$2:$FA$300, 13, FALSE)="",":",VLOOKUP($E$22,[1]QUART!$A$2:$FA$300, 13, FALSE))</f>
        <v>#N/A</v>
      </c>
      <c r="O22" s="1453" t="e">
        <f ca="1">IF(VLOOKUP($E$22,[1]QUART!$A$2:$FA$300, 14, FALSE)="",":",VLOOKUP($E$22,[1]QUART!$A$2:$FA$300, 14, FALSE))</f>
        <v>#N/A</v>
      </c>
      <c r="P22" s="1453" t="e">
        <f ca="1">IF(VLOOKUP($E$22,[1]QUART!$A$2:$FA$300, 15, FALSE)="",":",VLOOKUP($E$22,[1]QUART!$A$2:$FA$300, 15, FALSE))</f>
        <v>#N/A</v>
      </c>
      <c r="Q22" s="1453" t="e">
        <f ca="1">IF(VLOOKUP($E$22,[1]QUART!$A$2:$FA$300, 16, FALSE)="",":",VLOOKUP($E$22,[1]QUART!$A$2:$FA$300, 16, FALSE))</f>
        <v>#N/A</v>
      </c>
      <c r="R22" s="1453" t="e">
        <f ca="1">IF(VLOOKUP($E$22,[1]QUART!$A$2:$FA$300, 17, FALSE)="",":",VLOOKUP($E$22,[1]QUART!$A$2:$FA$300, 17, FALSE))</f>
        <v>#N/A</v>
      </c>
      <c r="S22" s="1453" t="e">
        <f ca="1">IF(VLOOKUP($E$22,[1]QUART!$A$2:$FA$300, 18, FALSE)="",":",VLOOKUP($E$22,[1]QUART!$A$2:$FA$300, 18, FALSE))</f>
        <v>#N/A</v>
      </c>
      <c r="T22" s="1453" t="e">
        <f ca="1">IF(VLOOKUP($E$22,[1]QUART!$A$2:$FA$300, 19, FALSE)="",":",VLOOKUP($E$22,[1]QUART!$A$2:$FA$300, 19, FALSE))</f>
        <v>#N/A</v>
      </c>
      <c r="U22" s="1453" t="e">
        <f ca="1">IF(VLOOKUP($E$22,[1]QUART!$A$2:$FA$300, 20, FALSE)="",":",VLOOKUP($E$22,[1]QUART!$A$2:$FA$300, 20, FALSE))</f>
        <v>#N/A</v>
      </c>
      <c r="V22" s="1453" t="e">
        <f ca="1">IF(VLOOKUP($E$22,[1]QUART!$A$2:$FA$300, 21, FALSE)="",":",VLOOKUP($E$22,[1]QUART!$A$2:$FA$300, 21, FALSE))</f>
        <v>#N/A</v>
      </c>
      <c r="W22" s="1453">
        <f ca="1">IF(VLOOKUP($E$22,[1]QUART!$A$2:$FA$300, 22, FALSE)="",":",VLOOKUP($E$22,[1]QUART!$A$2:$FA$300, 22, FALSE))</f>
        <v>70.789999999999992</v>
      </c>
      <c r="X22" s="1453">
        <f ca="1">IF(VLOOKUP($E$22,[1]QUART!$A$2:$FA$300, 23, FALSE)="",":",VLOOKUP($E$22,[1]QUART!$A$2:$FA$300, 23, FALSE))</f>
        <v>71.073333333333338</v>
      </c>
      <c r="Y22" s="1453">
        <f ca="1">IF(VLOOKUP($E$22,[1]QUART!$A$2:$FA$300, 24, FALSE)="",":",VLOOKUP($E$22,[1]QUART!$A$2:$FA$300, 24, FALSE))</f>
        <v>71.423333333333332</v>
      </c>
      <c r="Z22" s="1453">
        <f ca="1">IF(VLOOKUP($E$22,[1]QUART!$A$2:$FA$300, 25, FALSE)="",":",VLOOKUP($E$22,[1]QUART!$A$2:$FA$300, 25, FALSE))</f>
        <v>71.58</v>
      </c>
      <c r="AA22" s="1453">
        <f ca="1">IF(VLOOKUP($E$22,[1]QUART!$A$2:$FA$300, 26, FALSE)="",":",VLOOKUP($E$22,[1]QUART!$A$2:$FA$300, 26, FALSE))</f>
        <v>72.25</v>
      </c>
      <c r="AB22" s="1453">
        <f ca="1">IF(VLOOKUP($E$22,[1]QUART!$A$2:$FA$300, 27, FALSE)="",":",VLOOKUP($E$22,[1]QUART!$A$2:$FA$300, 27, FALSE))</f>
        <v>72.750000000000014</v>
      </c>
      <c r="AC22" s="1453">
        <f ca="1">IF(VLOOKUP($E$22,[1]QUART!$A$2:$FA$300, 28, FALSE)="",":",VLOOKUP($E$22,[1]QUART!$A$2:$FA$300, 28, FALSE))</f>
        <v>73.416666666666671</v>
      </c>
      <c r="AD22" s="1453">
        <f ca="1">IF(VLOOKUP($E$22,[1]QUART!$A$2:$FA$300, 29, FALSE)="",":",VLOOKUP($E$22,[1]QUART!$A$2:$FA$300, 29, FALSE))</f>
        <v>72.906666666666652</v>
      </c>
      <c r="AE22" s="1453">
        <f ca="1">IF(VLOOKUP($E$22,[1]QUART!$A$2:$FA$300, 30, FALSE)="",":",VLOOKUP($E$22,[1]QUART!$A$2:$FA$300, 30, FALSE))</f>
        <v>73.333333333333329</v>
      </c>
      <c r="AF22" s="1453">
        <f ca="1">IF(VLOOKUP($E$22,[1]QUART!$A$2:$FA$300, 31, FALSE)="",":",VLOOKUP($E$22,[1]QUART!$A$2:$FA$300, 31, FALSE))</f>
        <v>73.98</v>
      </c>
      <c r="AG22" s="1453">
        <f ca="1">IF(VLOOKUP($E$22,[1]QUART!$A$2:$FA$300, 32, FALSE)="",":",VLOOKUP($E$22,[1]QUART!$A$2:$FA$300, 32, FALSE))</f>
        <v>74.88666666666667</v>
      </c>
      <c r="AH22" s="1453">
        <f ca="1">IF(VLOOKUP($E$22,[1]QUART!$A$2:$FA$300, 33, FALSE)="",":",VLOOKUP($E$22,[1]QUART!$A$2:$FA$300, 33, FALSE))</f>
        <v>75.093333333333334</v>
      </c>
      <c r="AI22" s="1453">
        <f ca="1">IF(VLOOKUP($E$22,[1]QUART!$A$2:$FA$300, 34, FALSE)="",":",VLOOKUP($E$22,[1]QUART!$A$2:$FA$300, 34, FALSE))</f>
        <v>75.893333333333331</v>
      </c>
      <c r="AJ22" s="1453">
        <f ca="1">IF(VLOOKUP($E$22,[1]QUART!$A$2:$FA$300, 35, FALSE)="",":",VLOOKUP($E$22,[1]QUART!$A$2:$FA$300, 35, FALSE))</f>
        <v>75.970000000000013</v>
      </c>
      <c r="AK22" s="1453">
        <f ca="1">IF(VLOOKUP($E$22,[1]QUART!$A$2:$FA$300, 36, FALSE)="",":",VLOOKUP($E$22,[1]QUART!$A$2:$FA$300, 36, FALSE))</f>
        <v>76.826666666666668</v>
      </c>
      <c r="AL22" s="1453">
        <f ca="1">IF(VLOOKUP($E$22,[1]QUART!$A$2:$FA$300, 37, FALSE)="",":",VLOOKUP($E$22,[1]QUART!$A$2:$FA$300, 37, FALSE))</f>
        <v>76.303333333333327</v>
      </c>
      <c r="AM22" s="1453">
        <f ca="1">IF(VLOOKUP($E$22,[1]QUART!$A$2:$FA$300, 38, FALSE)="",":",VLOOKUP($E$22,[1]QUART!$A$2:$FA$300, 38, FALSE))</f>
        <v>76.790000000000006</v>
      </c>
      <c r="AN22" s="1453">
        <f ca="1">IF(VLOOKUP($E$22,[1]QUART!$A$2:$FA$300, 39, FALSE)="",":",VLOOKUP($E$22,[1]QUART!$A$2:$FA$300, 39, FALSE))</f>
        <v>77.64</v>
      </c>
      <c r="AO22" s="1453">
        <f ca="1">IF(VLOOKUP($E$22,[1]QUART!$A$2:$FA$300, 40, FALSE)="",":",VLOOKUP($E$22,[1]QUART!$A$2:$FA$300, 40, FALSE))</f>
        <v>78.2</v>
      </c>
      <c r="AP22" s="1453">
        <f ca="1">IF(VLOOKUP($E$22,[1]QUART!$A$2:$FA$300, 41, FALSE)="",":",VLOOKUP($E$22,[1]QUART!$A$2:$FA$300, 41, FALSE))</f>
        <v>78.13666666666667</v>
      </c>
      <c r="AQ22" s="1453">
        <f ca="1">IF(VLOOKUP($E$22,[1]QUART!$A$2:$FA$300, 42, FALSE)="",":",VLOOKUP($E$22,[1]QUART!$A$2:$FA$300, 42, FALSE))</f>
        <v>78.540000000000006</v>
      </c>
      <c r="AR22" s="1453">
        <f ca="1">IF(VLOOKUP($E$22,[1]QUART!$A$2:$FA$300, 43, FALSE)="",":",VLOOKUP($E$22,[1]QUART!$A$2:$FA$300, 43, FALSE))</f>
        <v>79.2</v>
      </c>
      <c r="AS22" s="1453">
        <f ca="1">IF(VLOOKUP($E$22,[1]QUART!$A$2:$FA$300, 44, FALSE)="",":",VLOOKUP($E$22,[1]QUART!$A$2:$FA$300, 44, FALSE))</f>
        <v>79.92</v>
      </c>
      <c r="AT22" s="1453">
        <f ca="1">IF(VLOOKUP($E$22,[1]QUART!$A$2:$FA$300, 45, FALSE)="",":",VLOOKUP($E$22,[1]QUART!$A$2:$FA$300, 45, FALSE))</f>
        <v>79.69</v>
      </c>
      <c r="AU22" s="1453">
        <f ca="1">IF(VLOOKUP($E$22,[1]QUART!$A$2:$FA$300, 46, FALSE)="",":",VLOOKUP($E$22,[1]QUART!$A$2:$FA$300, 46, FALSE))</f>
        <v>80.37</v>
      </c>
      <c r="AV22" s="1453">
        <f ca="1">IF(VLOOKUP($E$22,[1]QUART!$A$2:$FA$300, 47, FALSE)="",":",VLOOKUP($E$22,[1]QUART!$A$2:$FA$300, 47, FALSE))</f>
        <v>80.660000000000011</v>
      </c>
      <c r="AW22" s="1453">
        <f ca="1">IF(VLOOKUP($E$22,[1]QUART!$A$2:$FA$300, 48, FALSE)="",":",VLOOKUP($E$22,[1]QUART!$A$2:$FA$300, 48, FALSE))</f>
        <v>81.563333333333333</v>
      </c>
      <c r="AX22" s="1453">
        <f ca="1">IF(VLOOKUP($E$22,[1]QUART!$A$2:$FA$300, 49, FALSE)="",":",VLOOKUP($E$22,[1]QUART!$A$2:$FA$300, 49, FALSE))</f>
        <v>81.48</v>
      </c>
      <c r="AY22" s="1453">
        <f ca="1">IF(VLOOKUP($E$22,[1]QUART!$A$2:$FA$300, 50, FALSE)="",":",VLOOKUP($E$22,[1]QUART!$A$2:$FA$300, 50, FALSE))</f>
        <v>81.976666666666674</v>
      </c>
      <c r="AZ22" s="1453">
        <f ca="1">IF(VLOOKUP($E$22,[1]QUART!$A$2:$FA$300, 51, FALSE)="",":",VLOOKUP($E$22,[1]QUART!$A$2:$FA$300, 51, FALSE))</f>
        <v>82.463333333333324</v>
      </c>
      <c r="BA22" s="1453">
        <f ca="1">IF(VLOOKUP($E$22,[1]QUART!$A$2:$FA$300, 52, FALSE)="",":",VLOOKUP($E$22,[1]QUART!$A$2:$FA$300, 52, FALSE))</f>
        <v>83.42</v>
      </c>
      <c r="BB22" s="1453">
        <f ca="1">IF(VLOOKUP($E$22,[1]QUART!$A$2:$FA$300, 53, FALSE)="",":",VLOOKUP($E$22,[1]QUART!$A$2:$FA$300, 53, FALSE))</f>
        <v>82.923333333333346</v>
      </c>
      <c r="BC22" s="1453">
        <f ca="1">IF(VLOOKUP($E$22,[1]QUART!$A$2:$FA$300, 54, FALSE)="",":",VLOOKUP($E$22,[1]QUART!$A$2:$FA$300, 54, FALSE))</f>
        <v>83.626666666666665</v>
      </c>
      <c r="BD22" s="1453">
        <f ca="1">IF(VLOOKUP($E$22,[1]QUART!$A$2:$FA$300, 55, FALSE)="",":",VLOOKUP($E$22,[1]QUART!$A$2:$FA$300, 55, FALSE))</f>
        <v>84.226666666666674</v>
      </c>
      <c r="BE22" s="1453">
        <f ca="1">IF(VLOOKUP($E$22,[1]QUART!$A$2:$FA$300, 56, FALSE)="",":",VLOOKUP($E$22,[1]QUART!$A$2:$FA$300, 56, FALSE))</f>
        <v>84.916666666666671</v>
      </c>
      <c r="BF22" s="1453">
        <f ca="1">IF(VLOOKUP($E$22,[1]QUART!$A$2:$FA$300, 57, FALSE)="",":",VLOOKUP($E$22,[1]QUART!$A$2:$FA$300, 57, FALSE))</f>
        <v>84.316666666666663</v>
      </c>
      <c r="BG22" s="1453">
        <f ca="1">IF(VLOOKUP($E$22,[1]QUART!$A$2:$FA$300, 58, FALSE)="",":",VLOOKUP($E$22,[1]QUART!$A$2:$FA$300, 58, FALSE))</f>
        <v>85.016666666666666</v>
      </c>
      <c r="BH22" s="1453">
        <f ca="1">IF(VLOOKUP($E$22,[1]QUART!$A$2:$FA$300, 59, FALSE)="",":",VLOOKUP($E$22,[1]QUART!$A$2:$FA$300, 59, FALSE))</f>
        <v>85.56</v>
      </c>
      <c r="BI22" s="1453">
        <f ca="1">IF(VLOOKUP($E$22,[1]QUART!$A$2:$FA$300, 60, FALSE)="",":",VLOOKUP($E$22,[1]QUART!$A$2:$FA$300, 60, FALSE))</f>
        <v>87.12</v>
      </c>
      <c r="BJ22" s="1453">
        <f ca="1">IF(VLOOKUP($E$22,[1]QUART!$A$2:$FA$300, 61, FALSE)="",":",VLOOKUP($E$22,[1]QUART!$A$2:$FA$300, 61, FALSE))</f>
        <v>87.02</v>
      </c>
      <c r="BK22" s="1453">
        <f ca="1">IF(VLOOKUP($E$22,[1]QUART!$A$2:$FA$300, 62, FALSE)="",":",VLOOKUP($E$22,[1]QUART!$A$2:$FA$300, 62, FALSE))</f>
        <v>87.58</v>
      </c>
      <c r="BL22" s="1453">
        <f ca="1">IF(VLOOKUP($E$22,[1]QUART!$A$2:$FA$300, 63, FALSE)="",":",VLOOKUP($E$22,[1]QUART!$A$2:$FA$300, 63, FALSE))</f>
        <v>88.25</v>
      </c>
      <c r="BM22" s="1453">
        <f ca="1">IF(VLOOKUP($E$22,[1]QUART!$A$2:$FA$300, 64, FALSE)="",":",VLOOKUP($E$22,[1]QUART!$A$2:$FA$300, 64, FALSE))</f>
        <v>89.296666666666667</v>
      </c>
      <c r="BN22" s="1453">
        <f ca="1">IF(VLOOKUP($E$22,[1]QUART!$A$2:$FA$300, 65, FALSE)="",":",VLOOKUP($E$22,[1]QUART!$A$2:$FA$300, 65, FALSE))</f>
        <v>88.673333333333332</v>
      </c>
      <c r="BO22" s="1453">
        <f ca="1">IF(VLOOKUP($E$22,[1]QUART!$A$2:$FA$300, 66, FALSE)="",":",VLOOKUP($E$22,[1]QUART!$A$2:$FA$300, 66, FALSE))</f>
        <v>88.783333333333346</v>
      </c>
      <c r="BP22" s="1453">
        <f ca="1">IF(VLOOKUP($E$22,[1]QUART!$A$2:$FA$300, 67, FALSE)="",":",VLOOKUP($E$22,[1]QUART!$A$2:$FA$300, 67, FALSE))</f>
        <v>89.429999999999993</v>
      </c>
      <c r="BQ22" s="1453">
        <f ca="1">IF(VLOOKUP($E$22,[1]QUART!$A$2:$FA$300, 68, FALSE)="",":",VLOOKUP($E$22,[1]QUART!$A$2:$FA$300, 68, FALSE))</f>
        <v>90.366666666666674</v>
      </c>
      <c r="BR22" s="1453">
        <f ca="1">IF(VLOOKUP($E$22,[1]QUART!$A$2:$FA$300, 69, FALSE)="",":",VLOOKUP($E$22,[1]QUART!$A$2:$FA$300, 69, FALSE))</f>
        <v>90.163333333333341</v>
      </c>
      <c r="BS22" s="1453">
        <f ca="1">IF(VLOOKUP($E$22,[1]QUART!$A$2:$FA$300, 70, FALSE)="",":",VLOOKUP($E$22,[1]QUART!$A$2:$FA$300, 70, FALSE))</f>
        <v>90.740000000000009</v>
      </c>
      <c r="BT22" s="1453">
        <f ca="1">IF(VLOOKUP($E$22,[1]QUART!$A$2:$FA$300, 71, FALSE)="",":",VLOOKUP($E$22,[1]QUART!$A$2:$FA$300, 71, FALSE))</f>
        <v>91.06</v>
      </c>
      <c r="BU22" s="1453">
        <f ca="1">IF(VLOOKUP($E$22,[1]QUART!$A$2:$FA$300, 72, FALSE)="",":",VLOOKUP($E$22,[1]QUART!$A$2:$FA$300, 72, FALSE))</f>
        <v>92.08</v>
      </c>
      <c r="BV22" s="1453">
        <f ca="1">IF(VLOOKUP($E$22,[1]QUART!$A$2:$FA$300, 73, FALSE)="",":",VLOOKUP($E$22,[1]QUART!$A$2:$FA$300, 73, FALSE))</f>
        <v>91.763333333333335</v>
      </c>
      <c r="BW22" s="1453">
        <f ca="1">IF(VLOOKUP($E$22,[1]QUART!$A$2:$FA$300, 74, FALSE)="",":",VLOOKUP($E$22,[1]QUART!$A$2:$FA$300, 74, FALSE))</f>
        <v>93.016666666666652</v>
      </c>
      <c r="BX22" s="1453">
        <f ca="1">IF(VLOOKUP($E$22,[1]QUART!$A$2:$FA$300, 75, FALSE)="",":",VLOOKUP($E$22,[1]QUART!$A$2:$FA$300, 75, FALSE))</f>
        <v>93.393333333333331</v>
      </c>
      <c r="BY22" s="1453">
        <f ca="1">IF(VLOOKUP($E$22,[1]QUART!$A$2:$FA$300, 76, FALSE)="",":",VLOOKUP($E$22,[1]QUART!$A$2:$FA$300, 76, FALSE))</f>
        <v>94.433333333333337</v>
      </c>
      <c r="BZ22" s="1453">
        <f ca="1">IF(VLOOKUP($E$22,[1]QUART!$A$2:$FA$300, 77, FALSE)="",":",VLOOKUP($E$22,[1]QUART!$A$2:$FA$300, 77, FALSE))</f>
        <v>94.08</v>
      </c>
      <c r="CA22" s="1453">
        <f ca="1">IF(VLOOKUP($E$22,[1]QUART!$A$2:$FA$300, 78, FALSE)="",":",VLOOKUP($E$22,[1]QUART!$A$2:$FA$300, 78, FALSE))</f>
        <v>94.693333333333328</v>
      </c>
      <c r="CB22" s="1453">
        <f ca="1">IF(VLOOKUP($E$22,[1]QUART!$A$2:$FA$300, 79, FALSE)="",":",VLOOKUP($E$22,[1]QUART!$A$2:$FA$300, 79, FALSE))</f>
        <v>94.95</v>
      </c>
      <c r="CC22" s="1453">
        <f ca="1">IF(VLOOKUP($E$22,[1]QUART!$A$2:$FA$300, 80, FALSE)="",":",VLOOKUP($E$22,[1]QUART!$A$2:$FA$300, 80, FALSE))</f>
        <v>96.25</v>
      </c>
      <c r="CD22" s="1453">
        <f ca="1">IF(VLOOKUP($E$22,[1]QUART!$A$2:$FA$300, 81, FALSE)="",":",VLOOKUP($E$22,[1]QUART!$A$2:$FA$300, 81, FALSE))</f>
        <v>96.08</v>
      </c>
      <c r="CE22" s="1453">
        <f ca="1">IF(VLOOKUP($E$22,[1]QUART!$A$2:$FA$300, 82, FALSE)="",":",VLOOKUP($E$22,[1]QUART!$A$2:$FA$300, 82, FALSE))</f>
        <v>96.743333333333339</v>
      </c>
      <c r="CF22" s="1453">
        <f ca="1">IF(VLOOKUP($E$22,[1]QUART!$A$2:$FA$300, 83, FALSE)="",":",VLOOKUP($E$22,[1]QUART!$A$2:$FA$300, 83, FALSE))</f>
        <v>97.303333333333342</v>
      </c>
      <c r="CG22" s="1453">
        <f ca="1">IF(VLOOKUP($E$22,[1]QUART!$A$2:$FA$300, 84, FALSE)="",":",VLOOKUP($E$22,[1]QUART!$A$2:$FA$300, 84, FALSE))</f>
        <v>98.410000000000011</v>
      </c>
      <c r="CH22" s="1453">
        <f ca="1">IF(VLOOKUP($E$22,[1]QUART!$A$2:$FA$300, 85, FALSE)="",":",VLOOKUP($E$22,[1]QUART!$A$2:$FA$300, 85, FALSE))</f>
        <v>98.11</v>
      </c>
      <c r="CI22" s="1453">
        <f ca="1">IF(VLOOKUP($E$22,[1]QUART!$A$2:$FA$300, 86, FALSE)="",":",VLOOKUP($E$22,[1]QUART!$A$2:$FA$300, 86, FALSE))</f>
        <v>99.056666666666672</v>
      </c>
      <c r="CJ22" s="1453">
        <f ca="1">IF(VLOOKUP($E$22,[1]QUART!$A$2:$FA$300, 87, FALSE)="",":",VLOOKUP($E$22,[1]QUART!$A$2:$FA$300, 87, FALSE))</f>
        <v>99.61</v>
      </c>
      <c r="CK22" s="1453">
        <f ca="1">IF(VLOOKUP($E$22,[1]QUART!$A$2:$FA$300, 88, FALSE)="",":",VLOOKUP($E$22,[1]QUART!$A$2:$FA$300, 88, FALSE))</f>
        <v>100.68333333333332</v>
      </c>
      <c r="CL22" s="1453">
        <f ca="1">IF(VLOOKUP($E$22,[1]QUART!$A$2:$FA$300, 89, FALSE)="",":",VLOOKUP($E$22,[1]QUART!$A$2:$FA$300, 89, FALSE))</f>
        <v>100.64999999999999</v>
      </c>
      <c r="CM22" s="1453">
        <f ca="1">IF(VLOOKUP($E$22,[1]QUART!$A$2:$FA$300, 90, FALSE)="",":",VLOOKUP($E$22,[1]QUART!$A$2:$FA$300, 90, FALSE))</f>
        <v>101.38333333333334</v>
      </c>
      <c r="CN22" s="1453">
        <f ca="1">IF(VLOOKUP($E$22,[1]QUART!$A$2:$FA$300, 91, FALSE)="",":",VLOOKUP($E$22,[1]QUART!$A$2:$FA$300, 91, FALSE))</f>
        <v>102.02333333333333</v>
      </c>
      <c r="CO22" s="1453">
        <f ca="1">IF(VLOOKUP($E$22,[1]QUART!$A$2:$FA$300, 92, FALSE)="",":",VLOOKUP($E$22,[1]QUART!$A$2:$FA$300, 92, FALSE))</f>
        <v>103.05333333333333</v>
      </c>
      <c r="CP22" s="1453">
        <f ca="1">IF(VLOOKUP($E$22,[1]QUART!$A$2:$FA$300, 93, FALSE)="",":",VLOOKUP($E$22,[1]QUART!$A$2:$FA$300, 93, FALSE))</f>
        <v>102.46666666666665</v>
      </c>
      <c r="CQ22" s="1453">
        <f ca="1">IF(VLOOKUP($E$22,[1]QUART!$A$2:$FA$300, 94, FALSE)="",":",VLOOKUP($E$22,[1]QUART!$A$2:$FA$300, 94, FALSE))</f>
        <v>103.24333333333334</v>
      </c>
      <c r="CR22" s="1453">
        <f ca="1">IF(VLOOKUP($E$22,[1]QUART!$A$2:$FA$300, 95, FALSE)="",":",VLOOKUP($E$22,[1]QUART!$A$2:$FA$300, 95, FALSE))</f>
        <v>103.99666666666667</v>
      </c>
      <c r="CS22" s="1453">
        <f ca="1">IF(VLOOKUP($E$22,[1]QUART!$A$2:$FA$300, 96, FALSE)="",":",VLOOKUP($E$22,[1]QUART!$A$2:$FA$300, 96, FALSE))</f>
        <v>105.07333333333334</v>
      </c>
      <c r="CT22" s="1453">
        <f ca="1">IF(VLOOKUP($E$22,[1]QUART!$A$2:$FA$300, 97, FALSE)="",":",VLOOKUP($E$22,[1]QUART!$A$2:$FA$300, 97, FALSE))</f>
        <v>104.41333333333334</v>
      </c>
      <c r="CU22" s="1453">
        <f ca="1">IF(VLOOKUP($E$22,[1]QUART!$A$2:$FA$300, 98, FALSE)="",":",VLOOKUP($E$22,[1]QUART!$A$2:$FA$300, 98, FALSE))</f>
        <v>104.83333333333333</v>
      </c>
      <c r="CV22" s="1453" t="str">
        <f>IF(VLOOKUP($E$22,[1]QUART!$A$2:$FA$300, 99, FALSE)="",":",VLOOKUP($E$22,[1]QUART!$A$2:$FA$300, 99, FALSE))</f>
        <v>:</v>
      </c>
      <c r="CW22" s="1453" t="str">
        <f>IF(VLOOKUP($E$22,[1]QUART!$A$2:$FA$300, 100, FALSE)="",":",VLOOKUP($E$22,[1]QUART!$A$2:$FA$300, 100, FALSE))</f>
        <v>:</v>
      </c>
      <c r="CX22" s="1453" t="str">
        <f>IF(VLOOKUP($E$22,[1]QUART!$A$2:$FA$300, 101, FALSE)="",":",VLOOKUP($E$22,[1]QUART!$A$2:$FA$300, 101, FALSE))</f>
        <v>:</v>
      </c>
      <c r="CY22" s="1453" t="str">
        <f>IF(VLOOKUP($E$22,[1]QUART!$A$2:$FA$300, 102, FALSE)="",":",VLOOKUP($E$22,[1]QUART!$A$2:$FA$300, 102, FALSE))</f>
        <v>:</v>
      </c>
      <c r="CZ22" s="1453" t="str">
        <f>IF(VLOOKUP($E$22,[1]QUART!$A$2:$FA$300, 103, FALSE)="",":",VLOOKUP($E$22,[1]QUART!$A$2:$FA$300, 103, FALSE))</f>
        <v>:</v>
      </c>
      <c r="DA22" s="1453" t="str">
        <f>IF(VLOOKUP($E$22,[1]QUART!$A$2:$FA$300, 104, FALSE)="",":",VLOOKUP($E$22,[1]QUART!$A$2:$FA$300, 104, FALSE))</f>
        <v>:</v>
      </c>
      <c r="DB22" s="1453" t="str">
        <f>IF(VLOOKUP($E$22,[1]QUART!$A$2:$FA$300, 105, FALSE)="",":",VLOOKUP($E$22,[1]QUART!$A$2:$FA$300, 105, FALSE))</f>
        <v>:</v>
      </c>
      <c r="DC22" s="1453" t="str">
        <f>IF(VLOOKUP($E$22,[1]QUART!$A$2:$FA$300, 106, FALSE)="",":",VLOOKUP($E$22,[1]QUART!$A$2:$FA$300, 106, FALSE))</f>
        <v>:</v>
      </c>
    </row>
    <row r="23" spans="1:107">
      <c r="A23" s="1449"/>
      <c r="B23" s="1454" t="s">
        <v>1813</v>
      </c>
      <c r="C23" s="1455"/>
      <c r="D23" s="1450" t="s">
        <v>363</v>
      </c>
      <c r="E23" s="1451">
        <v>96</v>
      </c>
      <c r="F23" s="1452" t="str">
        <f>VLOOKUP($E$23,[1]QUART!$A$2:$FA$300, 3, FALSE)</f>
        <v>97 Core inflation</v>
      </c>
      <c r="G23" s="1453" t="str">
        <f>IF(VLOOKUP($E$23,[1]QUART!$A$2:$FA$300, 6, FALSE)="",":",VLOOKUP($E$23,[1]QUART!$A$2:$FA$300, 6, FALSE))</f>
        <v>:</v>
      </c>
      <c r="H23" s="1453" t="str">
        <f>IF(VLOOKUP($E$23,[1]QUART!$A$2:$FA$300, 7, FALSE)="",":",VLOOKUP($E$23,[1]QUART!$A$2:$FA$300, 7, FALSE))</f>
        <v>:</v>
      </c>
      <c r="I23" s="1453" t="str">
        <f>IF(VLOOKUP($E$23,[1]QUART!$A$2:$FA$300, 8, FALSE)="",":",VLOOKUP($E$23,[1]QUART!$A$2:$FA$300, 8, FALSE))</f>
        <v>:</v>
      </c>
      <c r="J23" s="1453" t="str">
        <f>IF(VLOOKUP($E$23,[1]QUART!$A$2:$FA$300, 9, FALSE)="",":",VLOOKUP($E$23,[1]QUART!$A$2:$FA$300, 9, FALSE))</f>
        <v>:</v>
      </c>
      <c r="K23" s="1453" t="e">
        <f ca="1">IF(VLOOKUP($E$23,[1]QUART!$A$2:$FA$300, 10, FALSE)="",":",VLOOKUP($E$23,[1]QUART!$A$2:$FA$300, 10, FALSE))</f>
        <v>#N/A</v>
      </c>
      <c r="L23" s="1453" t="e">
        <f ca="1">IF(VLOOKUP($E$23,[1]QUART!$A$2:$FA$300, 11, FALSE)="",":",VLOOKUP($E$23,[1]QUART!$A$2:$FA$300, 11, FALSE))</f>
        <v>#N/A</v>
      </c>
      <c r="M23" s="1453" t="e">
        <f ca="1">IF(VLOOKUP($E$23,[1]QUART!$A$2:$FA$300, 12, FALSE)="",":",VLOOKUP($E$23,[1]QUART!$A$2:$FA$300, 12, FALSE))</f>
        <v>#N/A</v>
      </c>
      <c r="N23" s="1453" t="e">
        <f ca="1">IF(VLOOKUP($E$23,[1]QUART!$A$2:$FA$300, 13, FALSE)="",":",VLOOKUP($E$23,[1]QUART!$A$2:$FA$300, 13, FALSE))</f>
        <v>#N/A</v>
      </c>
      <c r="O23" s="1453" t="e">
        <f ca="1">IF(VLOOKUP($E$23,[1]QUART!$A$2:$FA$300, 14, FALSE)="",":",VLOOKUP($E$23,[1]QUART!$A$2:$FA$300, 14, FALSE))</f>
        <v>#N/A</v>
      </c>
      <c r="P23" s="1453" t="e">
        <f ca="1">IF(VLOOKUP($E$23,[1]QUART!$A$2:$FA$300, 15, FALSE)="",":",VLOOKUP($E$23,[1]QUART!$A$2:$FA$300, 15, FALSE))</f>
        <v>#N/A</v>
      </c>
      <c r="Q23" s="1453" t="e">
        <f ca="1">IF(VLOOKUP($E$23,[1]QUART!$A$2:$FA$300, 16, FALSE)="",":",VLOOKUP($E$23,[1]QUART!$A$2:$FA$300, 16, FALSE))</f>
        <v>#N/A</v>
      </c>
      <c r="R23" s="1453" t="e">
        <f ca="1">IF(VLOOKUP($E$23,[1]QUART!$A$2:$FA$300, 17, FALSE)="",":",VLOOKUP($E$23,[1]QUART!$A$2:$FA$300, 17, FALSE))</f>
        <v>#N/A</v>
      </c>
      <c r="S23" s="1453" t="e">
        <f ca="1">IF(VLOOKUP($E$23,[1]QUART!$A$2:$FA$300, 18, FALSE)="",":",VLOOKUP($E$23,[1]QUART!$A$2:$FA$300, 18, FALSE))</f>
        <v>#N/A</v>
      </c>
      <c r="T23" s="1453" t="e">
        <f ca="1">IF(VLOOKUP($E$23,[1]QUART!$A$2:$FA$300, 19, FALSE)="",":",VLOOKUP($E$23,[1]QUART!$A$2:$FA$300, 19, FALSE))</f>
        <v>#N/A</v>
      </c>
      <c r="U23" s="1453" t="e">
        <f ca="1">IF(VLOOKUP($E$23,[1]QUART!$A$2:$FA$300, 20, FALSE)="",":",VLOOKUP($E$23,[1]QUART!$A$2:$FA$300, 20, FALSE))</f>
        <v>#N/A</v>
      </c>
      <c r="V23" s="1453" t="e">
        <f ca="1">IF(VLOOKUP($E$23,[1]QUART!$A$2:$FA$300, 21, FALSE)="",":",VLOOKUP($E$23,[1]QUART!$A$2:$FA$300, 21, FALSE))</f>
        <v>#N/A</v>
      </c>
      <c r="W23" s="1453">
        <f ca="1">IF(VLOOKUP($E$23,[1]QUART!$A$2:$FA$300, 22, FALSE)="",":",VLOOKUP($E$23,[1]QUART!$A$2:$FA$300, 22, FALSE))</f>
        <v>75.55</v>
      </c>
      <c r="X23" s="1453">
        <f ca="1">IF(VLOOKUP($E$23,[1]QUART!$A$2:$FA$300, 23, FALSE)="",":",VLOOKUP($E$23,[1]QUART!$A$2:$FA$300, 23, FALSE))</f>
        <v>75.739999999999995</v>
      </c>
      <c r="Y23" s="1453">
        <f ca="1">IF(VLOOKUP($E$23,[1]QUART!$A$2:$FA$300, 24, FALSE)="",":",VLOOKUP($E$23,[1]QUART!$A$2:$FA$300, 24, FALSE))</f>
        <v>75.89</v>
      </c>
      <c r="Z23" s="1453">
        <f ca="1">IF(VLOOKUP($E$23,[1]QUART!$A$2:$FA$300, 25, FALSE)="",":",VLOOKUP($E$23,[1]QUART!$A$2:$FA$300, 25, FALSE))</f>
        <v>76.05</v>
      </c>
      <c r="AA23" s="1453">
        <f ca="1">IF(VLOOKUP($E$23,[1]QUART!$A$2:$FA$300, 26, FALSE)="",":",VLOOKUP($E$23,[1]QUART!$A$2:$FA$300, 26, FALSE))</f>
        <v>76.026666666666671</v>
      </c>
      <c r="AB23" s="1453">
        <f ca="1">IF(VLOOKUP($E$23,[1]QUART!$A$2:$FA$300, 27, FALSE)="",":",VLOOKUP($E$23,[1]QUART!$A$2:$FA$300, 27, FALSE))</f>
        <v>76.783333333333331</v>
      </c>
      <c r="AC23" s="1453">
        <f ca="1">IF(VLOOKUP($E$23,[1]QUART!$A$2:$FA$300, 28, FALSE)="",":",VLOOKUP($E$23,[1]QUART!$A$2:$FA$300, 28, FALSE))</f>
        <v>76.696666666666673</v>
      </c>
      <c r="AD23" s="1453">
        <f ca="1">IF(VLOOKUP($E$23,[1]QUART!$A$2:$FA$300, 29, FALSE)="",":",VLOOKUP($E$23,[1]QUART!$A$2:$FA$300, 29, FALSE))</f>
        <v>77.173333333333332</v>
      </c>
      <c r="AE23" s="1453">
        <f ca="1">IF(VLOOKUP($E$23,[1]QUART!$A$2:$FA$300, 30, FALSE)="",":",VLOOKUP($E$23,[1]QUART!$A$2:$FA$300, 30, FALSE))</f>
        <v>77.203333333333333</v>
      </c>
      <c r="AF23" s="1453">
        <f ca="1">IF(VLOOKUP($E$23,[1]QUART!$A$2:$FA$300, 31, FALSE)="",":",VLOOKUP($E$23,[1]QUART!$A$2:$FA$300, 31, FALSE))</f>
        <v>78.183333333333337</v>
      </c>
      <c r="AG23" s="1453">
        <f ca="1">IF(VLOOKUP($E$23,[1]QUART!$A$2:$FA$300, 32, FALSE)="",":",VLOOKUP($E$23,[1]QUART!$A$2:$FA$300, 32, FALSE))</f>
        <v>78.416666666666671</v>
      </c>
      <c r="AH23" s="1453">
        <f ca="1">IF(VLOOKUP($E$23,[1]QUART!$A$2:$FA$300, 33, FALSE)="",":",VLOOKUP($E$23,[1]QUART!$A$2:$FA$300, 33, FALSE))</f>
        <v>79.236666666666665</v>
      </c>
      <c r="AI23" s="1453">
        <f ca="1">IF(VLOOKUP($E$23,[1]QUART!$A$2:$FA$300, 34, FALSE)="",":",VLOOKUP($E$23,[1]QUART!$A$2:$FA$300, 34, FALSE))</f>
        <v>79.34</v>
      </c>
      <c r="AJ23" s="1453">
        <f ca="1">IF(VLOOKUP($E$23,[1]QUART!$A$2:$FA$300, 35, FALSE)="",":",VLOOKUP($E$23,[1]QUART!$A$2:$FA$300, 35, FALSE))</f>
        <v>79.893333333333331</v>
      </c>
      <c r="AK23" s="1453">
        <f ca="1">IF(VLOOKUP($E$23,[1]QUART!$A$2:$FA$300, 36, FALSE)="",":",VLOOKUP($E$23,[1]QUART!$A$2:$FA$300, 36, FALSE))</f>
        <v>79.913333333333341</v>
      </c>
      <c r="AL23" s="1453">
        <f ca="1">IF(VLOOKUP($E$23,[1]QUART!$A$2:$FA$300, 37, FALSE)="",":",VLOOKUP($E$23,[1]QUART!$A$2:$FA$300, 37, FALSE))</f>
        <v>80.343333333333348</v>
      </c>
      <c r="AM23" s="1453">
        <f ca="1">IF(VLOOKUP($E$23,[1]QUART!$A$2:$FA$300, 38, FALSE)="",":",VLOOKUP($E$23,[1]QUART!$A$2:$FA$300, 38, FALSE))</f>
        <v>80.399999999999991</v>
      </c>
      <c r="AN23" s="1453">
        <f ca="1">IF(VLOOKUP($E$23,[1]QUART!$A$2:$FA$300, 39, FALSE)="",":",VLOOKUP($E$23,[1]QUART!$A$2:$FA$300, 39, FALSE))</f>
        <v>81.366666666666674</v>
      </c>
      <c r="AO23" s="1453">
        <f ca="1">IF(VLOOKUP($E$23,[1]QUART!$A$2:$FA$300, 40, FALSE)="",":",VLOOKUP($E$23,[1]QUART!$A$2:$FA$300, 40, FALSE))</f>
        <v>81.239999999999995</v>
      </c>
      <c r="AP23" s="1453">
        <f ca="1">IF(VLOOKUP($E$23,[1]QUART!$A$2:$FA$300, 41, FALSE)="",":",VLOOKUP($E$23,[1]QUART!$A$2:$FA$300, 41, FALSE))</f>
        <v>81.793333333333337</v>
      </c>
      <c r="AQ23" s="1453">
        <f ca="1">IF(VLOOKUP($E$23,[1]QUART!$A$2:$FA$300, 42, FALSE)="",":",VLOOKUP($E$23,[1]QUART!$A$2:$FA$300, 42, FALSE))</f>
        <v>81.736666666666665</v>
      </c>
      <c r="AR23" s="1453">
        <f ca="1">IF(VLOOKUP($E$23,[1]QUART!$A$2:$FA$300, 43, FALSE)="",":",VLOOKUP($E$23,[1]QUART!$A$2:$FA$300, 43, FALSE))</f>
        <v>82.52</v>
      </c>
      <c r="AS23" s="1453">
        <f ca="1">IF(VLOOKUP($E$23,[1]QUART!$A$2:$FA$300, 44, FALSE)="",":",VLOOKUP($E$23,[1]QUART!$A$2:$FA$300, 44, FALSE))</f>
        <v>82.353333333333339</v>
      </c>
      <c r="AT23" s="1453">
        <f ca="1">IF(VLOOKUP($E$23,[1]QUART!$A$2:$FA$300, 45, FALSE)="",":",VLOOKUP($E$23,[1]QUART!$A$2:$FA$300, 45, FALSE))</f>
        <v>82.78</v>
      </c>
      <c r="AU23" s="1453">
        <f ca="1">IF(VLOOKUP($E$23,[1]QUART!$A$2:$FA$300, 46, FALSE)="",":",VLOOKUP($E$23,[1]QUART!$A$2:$FA$300, 46, FALSE))</f>
        <v>82.84333333333332</v>
      </c>
      <c r="AV23" s="1453">
        <f ca="1">IF(VLOOKUP($E$23,[1]QUART!$A$2:$FA$300, 47, FALSE)="",":",VLOOKUP($E$23,[1]QUART!$A$2:$FA$300, 47, FALSE))</f>
        <v>83.583333333333329</v>
      </c>
      <c r="AW23" s="1453">
        <f ca="1">IF(VLOOKUP($E$23,[1]QUART!$A$2:$FA$300, 48, FALSE)="",":",VLOOKUP($E$23,[1]QUART!$A$2:$FA$300, 48, FALSE))</f>
        <v>83.396666666666661</v>
      </c>
      <c r="AX23" s="1453">
        <f ca="1">IF(VLOOKUP($E$23,[1]QUART!$A$2:$FA$300, 49, FALSE)="",":",VLOOKUP($E$23,[1]QUART!$A$2:$FA$300, 49, FALSE))</f>
        <v>84.100000000000009</v>
      </c>
      <c r="AY23" s="1453">
        <f ca="1">IF(VLOOKUP($E$23,[1]QUART!$A$2:$FA$300, 50, FALSE)="",":",VLOOKUP($E$23,[1]QUART!$A$2:$FA$300, 50, FALSE))</f>
        <v>83.966666666666669</v>
      </c>
      <c r="AZ23" s="1453">
        <f ca="1">IF(VLOOKUP($E$23,[1]QUART!$A$2:$FA$300, 51, FALSE)="",":",VLOOKUP($E$23,[1]QUART!$A$2:$FA$300, 51, FALSE))</f>
        <v>84.956666666666663</v>
      </c>
      <c r="BA23" s="1453">
        <f ca="1">IF(VLOOKUP($E$23,[1]QUART!$A$2:$FA$300, 52, FALSE)="",":",VLOOKUP($E$23,[1]QUART!$A$2:$FA$300, 52, FALSE))</f>
        <v>84.95</v>
      </c>
      <c r="BB23" s="1453">
        <f ca="1">IF(VLOOKUP($E$23,[1]QUART!$A$2:$FA$300, 53, FALSE)="",":",VLOOKUP($E$23,[1]QUART!$A$2:$FA$300, 53, FALSE))</f>
        <v>85.436666666666667</v>
      </c>
      <c r="BC23" s="1453">
        <f ca="1">IF(VLOOKUP($E$23,[1]QUART!$A$2:$FA$300, 54, FALSE)="",":",VLOOKUP($E$23,[1]QUART!$A$2:$FA$300, 54, FALSE))</f>
        <v>85.466666666666654</v>
      </c>
      <c r="BD23" s="1453">
        <f ca="1">IF(VLOOKUP($E$23,[1]QUART!$A$2:$FA$300, 55, FALSE)="",":",VLOOKUP($E$23,[1]QUART!$A$2:$FA$300, 55, FALSE))</f>
        <v>86.54</v>
      </c>
      <c r="BE23" s="1453">
        <f ca="1">IF(VLOOKUP($E$23,[1]QUART!$A$2:$FA$300, 56, FALSE)="",":",VLOOKUP($E$23,[1]QUART!$A$2:$FA$300, 56, FALSE))</f>
        <v>86.473333333333343</v>
      </c>
      <c r="BF23" s="1453">
        <f ca="1">IF(VLOOKUP($E$23,[1]QUART!$A$2:$FA$300, 57, FALSE)="",":",VLOOKUP($E$23,[1]QUART!$A$2:$FA$300, 57, FALSE))</f>
        <v>87.283333333333346</v>
      </c>
      <c r="BG23" s="1453">
        <f ca="1">IF(VLOOKUP($E$23,[1]QUART!$A$2:$FA$300, 58, FALSE)="",":",VLOOKUP($E$23,[1]QUART!$A$2:$FA$300, 58, FALSE))</f>
        <v>87.61333333333333</v>
      </c>
      <c r="BH23" s="1453">
        <f ca="1">IF(VLOOKUP($E$23,[1]QUART!$A$2:$FA$300, 59, FALSE)="",":",VLOOKUP($E$23,[1]QUART!$A$2:$FA$300, 59, FALSE))</f>
        <v>88.720000000000013</v>
      </c>
      <c r="BI23" s="1453">
        <f ca="1">IF(VLOOKUP($E$23,[1]QUART!$A$2:$FA$300, 60, FALSE)="",":",VLOOKUP($E$23,[1]QUART!$A$2:$FA$300, 60, FALSE))</f>
        <v>88.98</v>
      </c>
      <c r="BJ23" s="1453">
        <f ca="1">IF(VLOOKUP($E$23,[1]QUART!$A$2:$FA$300, 61, FALSE)="",":",VLOOKUP($E$23,[1]QUART!$A$2:$FA$300, 61, FALSE))</f>
        <v>89.836666666666659</v>
      </c>
      <c r="BK23" s="1453">
        <f ca="1">IF(VLOOKUP($E$23,[1]QUART!$A$2:$FA$300, 62, FALSE)="",":",VLOOKUP($E$23,[1]QUART!$A$2:$FA$300, 62, FALSE))</f>
        <v>89.666666666666671</v>
      </c>
      <c r="BL23" s="1453">
        <f ca="1">IF(VLOOKUP($E$23,[1]QUART!$A$2:$FA$300, 63, FALSE)="",":",VLOOKUP($E$23,[1]QUART!$A$2:$FA$300, 63, FALSE))</f>
        <v>90.83</v>
      </c>
      <c r="BM23" s="1453">
        <f ca="1">IF(VLOOKUP($E$23,[1]QUART!$A$2:$FA$300, 64, FALSE)="",":",VLOOKUP($E$23,[1]QUART!$A$2:$FA$300, 64, FALSE))</f>
        <v>90.649999999999991</v>
      </c>
      <c r="BN23" s="1453">
        <f ca="1">IF(VLOOKUP($E$23,[1]QUART!$A$2:$FA$300, 65, FALSE)="",":",VLOOKUP($E$23,[1]QUART!$A$2:$FA$300, 65, FALSE))</f>
        <v>91.2</v>
      </c>
      <c r="BO23" s="1453">
        <f ca="1">IF(VLOOKUP($E$23,[1]QUART!$A$2:$FA$300, 66, FALSE)="",":",VLOOKUP($E$23,[1]QUART!$A$2:$FA$300, 66, FALSE))</f>
        <v>90.693333333333328</v>
      </c>
      <c r="BP23" s="1453">
        <f ca="1">IF(VLOOKUP($E$23,[1]QUART!$A$2:$FA$300, 67, FALSE)="",":",VLOOKUP($E$23,[1]QUART!$A$2:$FA$300, 67, FALSE))</f>
        <v>91.786666666666676</v>
      </c>
      <c r="BQ23" s="1453">
        <f ca="1">IF(VLOOKUP($E$23,[1]QUART!$A$2:$FA$300, 68, FALSE)="",":",VLOOKUP($E$23,[1]QUART!$A$2:$FA$300, 68, FALSE))</f>
        <v>91.56</v>
      </c>
      <c r="BR23" s="1453">
        <f ca="1">IF(VLOOKUP($E$23,[1]QUART!$A$2:$FA$300, 69, FALSE)="",":",VLOOKUP($E$23,[1]QUART!$A$2:$FA$300, 69, FALSE))</f>
        <v>92.426666666666662</v>
      </c>
      <c r="BS23" s="1453">
        <f ca="1">IF(VLOOKUP($E$23,[1]QUART!$A$2:$FA$300, 70, FALSE)="",":",VLOOKUP($E$23,[1]QUART!$A$2:$FA$300, 70, FALSE))</f>
        <v>92.283333333333317</v>
      </c>
      <c r="BT23" s="1453">
        <f ca="1">IF(VLOOKUP($E$23,[1]QUART!$A$2:$FA$300, 71, FALSE)="",":",VLOOKUP($E$23,[1]QUART!$A$2:$FA$300, 71, FALSE))</f>
        <v>93.266666666666652</v>
      </c>
      <c r="BU23" s="1453">
        <f ca="1">IF(VLOOKUP($E$23,[1]QUART!$A$2:$FA$300, 72, FALSE)="",":",VLOOKUP($E$23,[1]QUART!$A$2:$FA$300, 72, FALSE))</f>
        <v>93.366666666666674</v>
      </c>
      <c r="BV23" s="1453">
        <f ca="1">IF(VLOOKUP($E$23,[1]QUART!$A$2:$FA$300, 73, FALSE)="",":",VLOOKUP($E$23,[1]QUART!$A$2:$FA$300, 73, FALSE))</f>
        <v>94.113333333333344</v>
      </c>
      <c r="BW23" s="1453">
        <f ca="1">IF(VLOOKUP($E$23,[1]QUART!$A$2:$FA$300, 74, FALSE)="",":",VLOOKUP($E$23,[1]QUART!$A$2:$FA$300, 74, FALSE))</f>
        <v>94.276666666666685</v>
      </c>
      <c r="BX23" s="1453">
        <f ca="1">IF(VLOOKUP($E$23,[1]QUART!$A$2:$FA$300, 75, FALSE)="",":",VLOOKUP($E$23,[1]QUART!$A$2:$FA$300, 75, FALSE))</f>
        <v>95.23</v>
      </c>
      <c r="BY23" s="1453">
        <f ca="1">IF(VLOOKUP($E$23,[1]QUART!$A$2:$FA$300, 76, FALSE)="",":",VLOOKUP($E$23,[1]QUART!$A$2:$FA$300, 76, FALSE))</f>
        <v>95.183333333333337</v>
      </c>
      <c r="BZ23" s="1453">
        <f ca="1">IF(VLOOKUP($E$23,[1]QUART!$A$2:$FA$300, 77, FALSE)="",":",VLOOKUP($E$23,[1]QUART!$A$2:$FA$300, 77, FALSE))</f>
        <v>96.030000000000015</v>
      </c>
      <c r="CA23" s="1453">
        <f ca="1">IF(VLOOKUP($E$23,[1]QUART!$A$2:$FA$300, 78, FALSE)="",":",VLOOKUP($E$23,[1]QUART!$A$2:$FA$300, 78, FALSE))</f>
        <v>95.96</v>
      </c>
      <c r="CB23" s="1453">
        <f ca="1">IF(VLOOKUP($E$23,[1]QUART!$A$2:$FA$300, 79, FALSE)="",":",VLOOKUP($E$23,[1]QUART!$A$2:$FA$300, 79, FALSE))</f>
        <v>96.936666666666667</v>
      </c>
      <c r="CC23" s="1453">
        <f ca="1">IF(VLOOKUP($E$23,[1]QUART!$A$2:$FA$300, 80, FALSE)="",":",VLOOKUP($E$23,[1]QUART!$A$2:$FA$300, 80, FALSE))</f>
        <v>96.896666666666661</v>
      </c>
      <c r="CD23" s="1453">
        <f ca="1">IF(VLOOKUP($E$23,[1]QUART!$A$2:$FA$300, 81, FALSE)="",":",VLOOKUP($E$23,[1]QUART!$A$2:$FA$300, 81, FALSE))</f>
        <v>97.73</v>
      </c>
      <c r="CE23" s="1453">
        <f ca="1">IF(VLOOKUP($E$23,[1]QUART!$A$2:$FA$300, 82, FALSE)="",":",VLOOKUP($E$23,[1]QUART!$A$2:$FA$300, 82, FALSE))</f>
        <v>97.490000000000009</v>
      </c>
      <c r="CF23" s="1453">
        <f ca="1">IF(VLOOKUP($E$23,[1]QUART!$A$2:$FA$300, 83, FALSE)="",":",VLOOKUP($E$23,[1]QUART!$A$2:$FA$300, 83, FALSE))</f>
        <v>98.649999999999991</v>
      </c>
      <c r="CG23" s="1453">
        <f ca="1">IF(VLOOKUP($E$23,[1]QUART!$A$2:$FA$300, 84, FALSE)="",":",VLOOKUP($E$23,[1]QUART!$A$2:$FA$300, 84, FALSE))</f>
        <v>98.453333333333333</v>
      </c>
      <c r="CH23" s="1453">
        <f ca="1">IF(VLOOKUP($E$23,[1]QUART!$A$2:$FA$300, 85, FALSE)="",":",VLOOKUP($E$23,[1]QUART!$A$2:$FA$300, 85, FALSE))</f>
        <v>99.026666666666685</v>
      </c>
      <c r="CI23" s="1453">
        <f ca="1">IF(VLOOKUP($E$23,[1]QUART!$A$2:$FA$300, 86, FALSE)="",":",VLOOKUP($E$23,[1]QUART!$A$2:$FA$300, 86, FALSE))</f>
        <v>99.013333333333335</v>
      </c>
      <c r="CJ23" s="1453">
        <f ca="1">IF(VLOOKUP($E$23,[1]QUART!$A$2:$FA$300, 87, FALSE)="",":",VLOOKUP($E$23,[1]QUART!$A$2:$FA$300, 87, FALSE))</f>
        <v>100.08</v>
      </c>
      <c r="CK23" s="1453">
        <f ca="1">IF(VLOOKUP($E$23,[1]QUART!$A$2:$FA$300, 88, FALSE)="",":",VLOOKUP($E$23,[1]QUART!$A$2:$FA$300, 88, FALSE))</f>
        <v>100.00666666666666</v>
      </c>
      <c r="CL23" s="1453">
        <f ca="1">IF(VLOOKUP($E$23,[1]QUART!$A$2:$FA$300, 89, FALSE)="",":",VLOOKUP($E$23,[1]QUART!$A$2:$FA$300, 89, FALSE))</f>
        <v>100.90333333333332</v>
      </c>
      <c r="CM23" s="1453">
        <f ca="1">IF(VLOOKUP($E$23,[1]QUART!$A$2:$FA$300, 90, FALSE)="",":",VLOOKUP($E$23,[1]QUART!$A$2:$FA$300, 90, FALSE))</f>
        <v>101.14666666666666</v>
      </c>
      <c r="CN23" s="1453">
        <f ca="1">IF(VLOOKUP($E$23,[1]QUART!$A$2:$FA$300, 91, FALSE)="",":",VLOOKUP($E$23,[1]QUART!$A$2:$FA$300, 91, FALSE))</f>
        <v>102.24333333333334</v>
      </c>
      <c r="CO23" s="1453">
        <f ca="1">IF(VLOOKUP($E$23,[1]QUART!$A$2:$FA$300, 92, FALSE)="",":",VLOOKUP($E$23,[1]QUART!$A$2:$FA$300, 92, FALSE))</f>
        <v>102.14999999999999</v>
      </c>
      <c r="CP23" s="1453">
        <f ca="1">IF(VLOOKUP($E$23,[1]QUART!$A$2:$FA$300, 93, FALSE)="",":",VLOOKUP($E$23,[1]QUART!$A$2:$FA$300, 93, FALSE))</f>
        <v>102.53666666666668</v>
      </c>
      <c r="CQ23" s="1453">
        <f ca="1">IF(VLOOKUP($E$23,[1]QUART!$A$2:$FA$300, 94, FALSE)="",":",VLOOKUP($E$23,[1]QUART!$A$2:$FA$300, 94, FALSE))</f>
        <v>102.60666666666667</v>
      </c>
      <c r="CR23" s="1453">
        <f ca="1">IF(VLOOKUP($E$23,[1]QUART!$A$2:$FA$300, 95, FALSE)="",":",VLOOKUP($E$23,[1]QUART!$A$2:$FA$300, 95, FALSE))</f>
        <v>103.84333333333332</v>
      </c>
      <c r="CS23" s="1453">
        <f ca="1">IF(VLOOKUP($E$23,[1]QUART!$A$2:$FA$300, 96, FALSE)="",":",VLOOKUP($E$23,[1]QUART!$A$2:$FA$300, 96, FALSE))</f>
        <v>103.90000000000002</v>
      </c>
      <c r="CT23" s="1453">
        <f ca="1">IF(VLOOKUP($E$23,[1]QUART!$A$2:$FA$300, 97, FALSE)="",":",VLOOKUP($E$23,[1]QUART!$A$2:$FA$300, 97, FALSE))</f>
        <v>104.22666666666667</v>
      </c>
      <c r="CU23" s="1453">
        <f ca="1">IF(VLOOKUP($E$23,[1]QUART!$A$2:$FA$300, 98, FALSE)="",":",VLOOKUP($E$23,[1]QUART!$A$2:$FA$300, 98, FALSE))</f>
        <v>104.33333333333333</v>
      </c>
      <c r="CV23" s="1453" t="str">
        <f>IF(VLOOKUP($E$23,[1]QUART!$A$2:$FA$300, 99, FALSE)="",":",VLOOKUP($E$23,[1]QUART!$A$2:$FA$300, 99, FALSE))</f>
        <v>:</v>
      </c>
      <c r="CW23" s="1453" t="str">
        <f>IF(VLOOKUP($E$23,[1]QUART!$A$2:$FA$300, 100, FALSE)="",":",VLOOKUP($E$23,[1]QUART!$A$2:$FA$300, 100, FALSE))</f>
        <v>:</v>
      </c>
      <c r="CX23" s="1453" t="str">
        <f>IF(VLOOKUP($E$23,[1]QUART!$A$2:$FA$300, 101, FALSE)="",":",VLOOKUP($E$23,[1]QUART!$A$2:$FA$300, 101, FALSE))</f>
        <v>:</v>
      </c>
      <c r="CY23" s="1453" t="str">
        <f>IF(VLOOKUP($E$23,[1]QUART!$A$2:$FA$300, 102, FALSE)="",":",VLOOKUP($E$23,[1]QUART!$A$2:$FA$300, 102, FALSE))</f>
        <v>:</v>
      </c>
      <c r="CZ23" s="1453" t="str">
        <f>IF(VLOOKUP($E$23,[1]QUART!$A$2:$FA$300, 103, FALSE)="",":",VLOOKUP($E$23,[1]QUART!$A$2:$FA$300, 103, FALSE))</f>
        <v>:</v>
      </c>
      <c r="DA23" s="1453" t="str">
        <f>IF(VLOOKUP($E$23,[1]QUART!$A$2:$FA$300, 104, FALSE)="",":",VLOOKUP($E$23,[1]QUART!$A$2:$FA$300, 104, FALSE))</f>
        <v>:</v>
      </c>
      <c r="DB23" s="1453" t="str">
        <f>IF(VLOOKUP($E$23,[1]QUART!$A$2:$FA$300, 105, FALSE)="",":",VLOOKUP($E$23,[1]QUART!$A$2:$FA$300, 105, FALSE))</f>
        <v>:</v>
      </c>
      <c r="DC23" s="1453" t="str">
        <f>IF(VLOOKUP($E$23,[1]QUART!$A$2:$FA$300, 106, FALSE)="",":",VLOOKUP($E$23,[1]QUART!$A$2:$FA$300, 106, FALSE))</f>
        <v>:</v>
      </c>
    </row>
    <row r="24" spans="1:107">
      <c r="A24" s="1449"/>
      <c r="B24" s="1454"/>
      <c r="C24" s="1455"/>
      <c r="D24" s="1450"/>
      <c r="E24" s="1451"/>
      <c r="F24" s="1452"/>
      <c r="G24" s="1453"/>
      <c r="H24" s="1453"/>
      <c r="I24" s="1453"/>
      <c r="J24" s="1453"/>
      <c r="K24" s="1453"/>
      <c r="L24" s="1453"/>
      <c r="M24" s="1453"/>
      <c r="N24" s="1453"/>
      <c r="O24" s="1453"/>
      <c r="P24" s="1453"/>
      <c r="Q24" s="1453"/>
      <c r="R24" s="1453"/>
      <c r="S24" s="1453"/>
      <c r="T24" s="1453"/>
      <c r="U24" s="1453"/>
      <c r="V24" s="1453"/>
      <c r="W24" s="1453"/>
      <c r="X24" s="1453"/>
      <c r="Y24" s="1453"/>
      <c r="Z24" s="1453"/>
      <c r="AA24" s="1453"/>
      <c r="AB24" s="1453"/>
      <c r="AC24" s="1453"/>
      <c r="AD24" s="1453"/>
      <c r="AE24" s="1453"/>
      <c r="AF24" s="1453"/>
      <c r="AG24" s="1453"/>
      <c r="AH24" s="1453"/>
      <c r="AI24" s="1453"/>
      <c r="AJ24" s="1453"/>
      <c r="AK24" s="1453"/>
      <c r="AL24" s="1453"/>
      <c r="AM24" s="1453"/>
      <c r="AN24" s="1453"/>
      <c r="AO24" s="1453"/>
      <c r="AP24" s="1453"/>
      <c r="AQ24" s="1453"/>
      <c r="AR24" s="1453"/>
      <c r="AS24" s="1453"/>
      <c r="AT24" s="1453"/>
      <c r="AU24" s="1453"/>
      <c r="AV24" s="1453"/>
      <c r="AW24" s="1453"/>
      <c r="AX24" s="1453"/>
      <c r="AY24" s="1453"/>
      <c r="AZ24" s="1453"/>
      <c r="BA24" s="1453"/>
      <c r="BB24" s="1453"/>
      <c r="BC24" s="1453"/>
      <c r="BD24" s="1453"/>
      <c r="BE24" s="1453"/>
      <c r="BF24" s="1453"/>
      <c r="BG24" s="1453"/>
      <c r="BH24" s="1453"/>
      <c r="BI24" s="1453"/>
      <c r="BJ24" s="1453"/>
      <c r="BK24" s="1453"/>
      <c r="BL24" s="1453"/>
      <c r="BM24" s="1453"/>
      <c r="BN24" s="1453"/>
      <c r="BO24" s="1453"/>
      <c r="BP24" s="1453"/>
      <c r="BQ24" s="1453"/>
      <c r="BR24" s="1453"/>
      <c r="BS24" s="1453"/>
      <c r="BT24" s="1453"/>
      <c r="BU24" s="1453"/>
      <c r="BV24" s="1453"/>
      <c r="BW24" s="1453"/>
      <c r="BX24" s="1453"/>
      <c r="BY24" s="1453"/>
      <c r="BZ24" s="1453"/>
      <c r="CA24" s="1453"/>
      <c r="CB24" s="1453"/>
      <c r="CC24" s="1453"/>
      <c r="CD24" s="1453"/>
      <c r="CE24" s="1453"/>
      <c r="CF24" s="1453"/>
      <c r="CG24" s="1453"/>
      <c r="CH24" s="1453"/>
      <c r="CI24" s="1453"/>
      <c r="CJ24" s="1453"/>
      <c r="CK24" s="1453"/>
      <c r="CL24" s="1453"/>
      <c r="CM24" s="1453"/>
      <c r="CN24" s="1453"/>
      <c r="CO24" s="1453"/>
      <c r="CP24" s="1453"/>
      <c r="CQ24" s="1453"/>
      <c r="CR24" s="1453"/>
      <c r="CS24" s="1453"/>
      <c r="CT24" s="1453"/>
      <c r="CU24" s="1453"/>
      <c r="CV24" s="1453"/>
      <c r="CW24" s="1453"/>
      <c r="CX24" s="1453"/>
      <c r="CY24" s="1453"/>
      <c r="CZ24" s="1453"/>
      <c r="DA24" s="1453"/>
      <c r="DB24" s="1453"/>
      <c r="DC24" s="1453"/>
    </row>
    <row r="25" spans="1:107">
      <c r="A25" s="546"/>
      <c r="B25" s="546"/>
      <c r="C25" s="547"/>
      <c r="D25" s="12" t="s">
        <v>363</v>
      </c>
      <c r="E25" s="13">
        <v>80</v>
      </c>
      <c r="F25" s="14" t="str">
        <f>VLOOKUP($E$25,[1]QUART!$A$2:$FA$300, 3, FALSE)</f>
        <v>80 GFCF corporations</v>
      </c>
      <c r="G25" s="556">
        <f>IF(VLOOKUP($E$25,[1]QUART!$A$2:$FA$300, 6, FALSE)="",":",VLOOKUP($E$25,[1]QUART!$A$2:$FA$300, 6, FALSE))</f>
        <v>8795</v>
      </c>
      <c r="H25" s="556">
        <f>IF(VLOOKUP($E$25,[1]QUART!$A$2:$FA$300, 7, FALSE)="",":",VLOOKUP($E$25,[1]QUART!$A$2:$FA$300, 7, FALSE))</f>
        <v>8973</v>
      </c>
      <c r="I25" s="556">
        <f>IF(VLOOKUP($E$25,[1]QUART!$A$2:$FA$300, 8, FALSE)="",":",VLOOKUP($E$25,[1]QUART!$A$2:$FA$300, 8, FALSE))</f>
        <v>9176</v>
      </c>
      <c r="J25" s="556">
        <f>IF(VLOOKUP($E$25,[1]QUART!$A$2:$FA$300, 9, FALSE)="",":",VLOOKUP($E$25,[1]QUART!$A$2:$FA$300, 9, FALSE))</f>
        <v>9266</v>
      </c>
      <c r="K25" s="556">
        <f>IF(VLOOKUP($E$25,[1]QUART!$A$2:$FA$300, 10, FALSE)="",":",VLOOKUP($E$25,[1]QUART!$A$2:$FA$300, 10, FALSE))</f>
        <v>9320</v>
      </c>
      <c r="L25" s="556">
        <f>IF(VLOOKUP($E$25,[1]QUART!$A$2:$FA$300, 11, FALSE)="",":",VLOOKUP($E$25,[1]QUART!$A$2:$FA$300, 11, FALSE))</f>
        <v>9398</v>
      </c>
      <c r="M25" s="556">
        <f>IF(VLOOKUP($E$25,[1]QUART!$A$2:$FA$300, 12, FALSE)="",":",VLOOKUP($E$25,[1]QUART!$A$2:$FA$300, 12, FALSE))</f>
        <v>9574</v>
      </c>
      <c r="N25" s="556">
        <f>IF(VLOOKUP($E$25,[1]QUART!$A$2:$FA$300, 13, FALSE)="",":",VLOOKUP($E$25,[1]QUART!$A$2:$FA$300, 13, FALSE))</f>
        <v>9823</v>
      </c>
      <c r="O25" s="556">
        <f>IF(VLOOKUP($E$25,[1]QUART!$A$2:$FA$300, 14, FALSE)="",":",VLOOKUP($E$25,[1]QUART!$A$2:$FA$300, 14, FALSE))</f>
        <v>9791</v>
      </c>
      <c r="P25" s="556">
        <f>IF(VLOOKUP($E$25,[1]QUART!$A$2:$FA$300, 15, FALSE)="",":",VLOOKUP($E$25,[1]QUART!$A$2:$FA$300, 15, FALSE))</f>
        <v>10151</v>
      </c>
      <c r="Q25" s="556">
        <f>IF(VLOOKUP($E$25,[1]QUART!$A$2:$FA$300, 16, FALSE)="",":",VLOOKUP($E$25,[1]QUART!$A$2:$FA$300, 16, FALSE))</f>
        <v>10135</v>
      </c>
      <c r="R25" s="556">
        <f>IF(VLOOKUP($E$25,[1]QUART!$A$2:$FA$300, 17, FALSE)="",":",VLOOKUP($E$25,[1]QUART!$A$2:$FA$300, 17, FALSE))</f>
        <v>10487</v>
      </c>
      <c r="S25" s="556">
        <f>IF(VLOOKUP($E$25,[1]QUART!$A$2:$FA$300, 18, FALSE)="",":",VLOOKUP($E$25,[1]QUART!$A$2:$FA$300, 18, FALSE))</f>
        <v>10405</v>
      </c>
      <c r="T25" s="556">
        <f>IF(VLOOKUP($E$25,[1]QUART!$A$2:$FA$300, 19, FALSE)="",":",VLOOKUP($E$25,[1]QUART!$A$2:$FA$300, 19, FALSE))</f>
        <v>10556</v>
      </c>
      <c r="U25" s="556">
        <f>IF(VLOOKUP($E$25,[1]QUART!$A$2:$FA$300, 20, FALSE)="",":",VLOOKUP($E$25,[1]QUART!$A$2:$FA$300, 20, FALSE))</f>
        <v>10895</v>
      </c>
      <c r="V25" s="556">
        <f>IF(VLOOKUP($E$25,[1]QUART!$A$2:$FA$300, 21, FALSE)="",":",VLOOKUP($E$25,[1]QUART!$A$2:$FA$300, 21, FALSE))</f>
        <v>10942</v>
      </c>
      <c r="W25" s="556">
        <f>IF(VLOOKUP($E$25,[1]QUART!$A$2:$FA$300, 22, FALSE)="",":",VLOOKUP($E$25,[1]QUART!$A$2:$FA$300, 22, FALSE))</f>
        <v>10912</v>
      </c>
      <c r="X25" s="556">
        <f>IF(VLOOKUP($E$25,[1]QUART!$A$2:$FA$300, 23, FALSE)="",":",VLOOKUP($E$25,[1]QUART!$A$2:$FA$300, 23, FALSE))</f>
        <v>11046</v>
      </c>
      <c r="Y25" s="556">
        <f>IF(VLOOKUP($E$25,[1]QUART!$A$2:$FA$300, 24, FALSE)="",":",VLOOKUP($E$25,[1]QUART!$A$2:$FA$300, 24, FALSE))</f>
        <v>11162</v>
      </c>
      <c r="Z25" s="556">
        <f>IF(VLOOKUP($E$25,[1]QUART!$A$2:$FA$300, 25, FALSE)="",":",VLOOKUP($E$25,[1]QUART!$A$2:$FA$300, 25, FALSE))</f>
        <v>11048</v>
      </c>
      <c r="AA25" s="556">
        <f>IF(VLOOKUP($E$25,[1]QUART!$A$2:$FA$300, 26, FALSE)="",":",VLOOKUP($E$25,[1]QUART!$A$2:$FA$300, 26, FALSE))</f>
        <v>11535</v>
      </c>
      <c r="AB25" s="556">
        <f>IF(VLOOKUP($E$25,[1]QUART!$A$2:$FA$300, 27, FALSE)="",":",VLOOKUP($E$25,[1]QUART!$A$2:$FA$300, 27, FALSE))</f>
        <v>11693</v>
      </c>
      <c r="AC25" s="556">
        <f>IF(VLOOKUP($E$25,[1]QUART!$A$2:$FA$300, 28, FALSE)="",":",VLOOKUP($E$25,[1]QUART!$A$2:$FA$300, 28, FALSE))</f>
        <v>11969</v>
      </c>
      <c r="AD25" s="556">
        <f>IF(VLOOKUP($E$25,[1]QUART!$A$2:$FA$300, 29, FALSE)="",":",VLOOKUP($E$25,[1]QUART!$A$2:$FA$300, 29, FALSE))</f>
        <v>12117</v>
      </c>
      <c r="AE25" s="556">
        <f>IF(VLOOKUP($E$25,[1]QUART!$A$2:$FA$300, 30, FALSE)="",":",VLOOKUP($E$25,[1]QUART!$A$2:$FA$300, 30, FALSE))</f>
        <v>12419</v>
      </c>
      <c r="AF25" s="556">
        <f>IF(VLOOKUP($E$25,[1]QUART!$A$2:$FA$300, 31, FALSE)="",":",VLOOKUP($E$25,[1]QUART!$A$2:$FA$300, 31, FALSE))</f>
        <v>12322</v>
      </c>
      <c r="AG25" s="556">
        <f>IF(VLOOKUP($E$25,[1]QUART!$A$2:$FA$300, 32, FALSE)="",":",VLOOKUP($E$25,[1]QUART!$A$2:$FA$300, 32, FALSE))</f>
        <v>12570</v>
      </c>
      <c r="AH25" s="556">
        <f>IF(VLOOKUP($E$25,[1]QUART!$A$2:$FA$300, 33, FALSE)="",":",VLOOKUP($E$25,[1]QUART!$A$2:$FA$300, 33, FALSE))</f>
        <v>12352</v>
      </c>
      <c r="AI25" s="556">
        <f>IF(VLOOKUP($E$25,[1]QUART!$A$2:$FA$300, 34, FALSE)="",":",VLOOKUP($E$25,[1]QUART!$A$2:$FA$300, 34, FALSE))</f>
        <v>11986</v>
      </c>
      <c r="AJ25" s="556">
        <f>IF(VLOOKUP($E$25,[1]QUART!$A$2:$FA$300, 35, FALSE)="",":",VLOOKUP($E$25,[1]QUART!$A$2:$FA$300, 35, FALSE))</f>
        <v>11818</v>
      </c>
      <c r="AK25" s="556">
        <f>IF(VLOOKUP($E$25,[1]QUART!$A$2:$FA$300, 36, FALSE)="",":",VLOOKUP($E$25,[1]QUART!$A$2:$FA$300, 36, FALSE))</f>
        <v>11549</v>
      </c>
      <c r="AL25" s="556">
        <f>IF(VLOOKUP($E$25,[1]QUART!$A$2:$FA$300, 37, FALSE)="",":",VLOOKUP($E$25,[1]QUART!$A$2:$FA$300, 37, FALSE))</f>
        <v>12059</v>
      </c>
      <c r="AM25" s="556">
        <f>IF(VLOOKUP($E$25,[1]QUART!$A$2:$FA$300, 38, FALSE)="",":",VLOOKUP($E$25,[1]QUART!$A$2:$FA$300, 38, FALSE))</f>
        <v>11618</v>
      </c>
      <c r="AN25" s="556">
        <f>IF(VLOOKUP($E$25,[1]QUART!$A$2:$FA$300, 39, FALSE)="",":",VLOOKUP($E$25,[1]QUART!$A$2:$FA$300, 39, FALSE))</f>
        <v>11577</v>
      </c>
      <c r="AO25" s="556">
        <f>IF(VLOOKUP($E$25,[1]QUART!$A$2:$FA$300, 40, FALSE)="",":",VLOOKUP($E$25,[1]QUART!$A$2:$FA$300, 40, FALSE))</f>
        <v>11473</v>
      </c>
      <c r="AP25" s="556">
        <f>IF(VLOOKUP($E$25,[1]QUART!$A$2:$FA$300, 41, FALSE)="",":",VLOOKUP($E$25,[1]QUART!$A$2:$FA$300, 41, FALSE))</f>
        <v>11643</v>
      </c>
      <c r="AQ25" s="556">
        <f>IF(VLOOKUP($E$25,[1]QUART!$A$2:$FA$300, 42, FALSE)="",":",VLOOKUP($E$25,[1]QUART!$A$2:$FA$300, 42, FALSE))</f>
        <v>12203</v>
      </c>
      <c r="AR25" s="556">
        <f>IF(VLOOKUP($E$25,[1]QUART!$A$2:$FA$300, 43, FALSE)="",":",VLOOKUP($E$25,[1]QUART!$A$2:$FA$300, 43, FALSE))</f>
        <v>13037</v>
      </c>
      <c r="AS25" s="556">
        <f>IF(VLOOKUP($E$25,[1]QUART!$A$2:$FA$300, 44, FALSE)="",":",VLOOKUP($E$25,[1]QUART!$A$2:$FA$300, 44, FALSE))</f>
        <v>13245</v>
      </c>
      <c r="AT25" s="556">
        <f>IF(VLOOKUP($E$25,[1]QUART!$A$2:$FA$300, 45, FALSE)="",":",VLOOKUP($E$25,[1]QUART!$A$2:$FA$300, 45, FALSE))</f>
        <v>13177</v>
      </c>
      <c r="AU25" s="556">
        <f>IF(VLOOKUP($E$25,[1]QUART!$A$2:$FA$300, 46, FALSE)="",":",VLOOKUP($E$25,[1]QUART!$A$2:$FA$300, 46, FALSE))</f>
        <v>13229</v>
      </c>
      <c r="AV25" s="556">
        <f>IF(VLOOKUP($E$25,[1]QUART!$A$2:$FA$300, 47, FALSE)="",":",VLOOKUP($E$25,[1]QUART!$A$2:$FA$300, 47, FALSE))</f>
        <v>13813</v>
      </c>
      <c r="AW25" s="556">
        <f>IF(VLOOKUP($E$25,[1]QUART!$A$2:$FA$300, 48, FALSE)="",":",VLOOKUP($E$25,[1]QUART!$A$2:$FA$300, 48, FALSE))</f>
        <v>13297</v>
      </c>
      <c r="AX25" s="556">
        <f>IF(VLOOKUP($E$25,[1]QUART!$A$2:$FA$300, 49, FALSE)="",":",VLOOKUP($E$25,[1]QUART!$A$2:$FA$300, 49, FALSE))</f>
        <v>13025</v>
      </c>
      <c r="AY25" s="556">
        <f>IF(VLOOKUP($E$25,[1]QUART!$A$2:$FA$300, 50, FALSE)="",":",VLOOKUP($E$25,[1]QUART!$A$2:$FA$300, 50, FALSE))</f>
        <v>13257</v>
      </c>
      <c r="AZ25" s="556">
        <f>IF(VLOOKUP($E$25,[1]QUART!$A$2:$FA$300, 51, FALSE)="",":",VLOOKUP($E$25,[1]QUART!$A$2:$FA$300, 51, FALSE))</f>
        <v>13240</v>
      </c>
      <c r="BA25" s="556">
        <f>IF(VLOOKUP($E$25,[1]QUART!$A$2:$FA$300, 52, FALSE)="",":",VLOOKUP($E$25,[1]QUART!$A$2:$FA$300, 52, FALSE))</f>
        <v>13602</v>
      </c>
      <c r="BB25" s="556">
        <f>IF(VLOOKUP($E$25,[1]QUART!$A$2:$FA$300, 53, FALSE)="",":",VLOOKUP($E$25,[1]QUART!$A$2:$FA$300, 53, FALSE))</f>
        <v>14491</v>
      </c>
      <c r="BC25" s="556">
        <f>IF(VLOOKUP($E$25,[1]QUART!$A$2:$FA$300, 54, FALSE)="",":",VLOOKUP($E$25,[1]QUART!$A$2:$FA$300, 54, FALSE))</f>
        <v>14175</v>
      </c>
      <c r="BD25" s="556">
        <f>IF(VLOOKUP($E$25,[1]QUART!$A$2:$FA$300, 55, FALSE)="",":",VLOOKUP($E$25,[1]QUART!$A$2:$FA$300, 55, FALSE))</f>
        <v>14467</v>
      </c>
      <c r="BE25" s="556">
        <f>IF(VLOOKUP($E$25,[1]QUART!$A$2:$FA$300, 56, FALSE)="",":",VLOOKUP($E$25,[1]QUART!$A$2:$FA$300, 56, FALSE))</f>
        <v>14818</v>
      </c>
      <c r="BF25" s="556">
        <f>IF(VLOOKUP($E$25,[1]QUART!$A$2:$FA$300, 57, FALSE)="",":",VLOOKUP($E$25,[1]QUART!$A$2:$FA$300, 57, FALSE))</f>
        <v>15254</v>
      </c>
      <c r="BG25" s="556">
        <f>IF(VLOOKUP($E$25,[1]QUART!$A$2:$FA$300, 58, FALSE)="",":",VLOOKUP($E$25,[1]QUART!$A$2:$FA$300, 58, FALSE))</f>
        <v>15352</v>
      </c>
      <c r="BH25" s="556">
        <f>IF(VLOOKUP($E$25,[1]QUART!$A$2:$FA$300, 59, FALSE)="",":",VLOOKUP($E$25,[1]QUART!$A$2:$FA$300, 59, FALSE))</f>
        <v>15470</v>
      </c>
      <c r="BI25" s="556">
        <f>IF(VLOOKUP($E$25,[1]QUART!$A$2:$FA$300, 60, FALSE)="",":",VLOOKUP($E$25,[1]QUART!$A$2:$FA$300, 60, FALSE))</f>
        <v>15124</v>
      </c>
      <c r="BJ25" s="556">
        <f>IF(VLOOKUP($E$25,[1]QUART!$A$2:$FA$300, 61, FALSE)="",":",VLOOKUP($E$25,[1]QUART!$A$2:$FA$300, 61, FALSE))</f>
        <v>14734</v>
      </c>
      <c r="BK25" s="556">
        <f>IF(VLOOKUP($E$25,[1]QUART!$A$2:$FA$300, 62, FALSE)="",":",VLOOKUP($E$25,[1]QUART!$A$2:$FA$300, 62, FALSE))</f>
        <v>14282</v>
      </c>
      <c r="BL25" s="556">
        <f>IF(VLOOKUP($E$25,[1]QUART!$A$2:$FA$300, 63, FALSE)="",":",VLOOKUP($E$25,[1]QUART!$A$2:$FA$300, 63, FALSE))</f>
        <v>14108</v>
      </c>
      <c r="BM25" s="556">
        <f>IF(VLOOKUP($E$25,[1]QUART!$A$2:$FA$300, 64, FALSE)="",":",VLOOKUP($E$25,[1]QUART!$A$2:$FA$300, 64, FALSE))</f>
        <v>13778</v>
      </c>
      <c r="BN25" s="556">
        <f>IF(VLOOKUP($E$25,[1]QUART!$A$2:$FA$300, 65, FALSE)="",":",VLOOKUP($E$25,[1]QUART!$A$2:$FA$300, 65, FALSE))</f>
        <v>13941</v>
      </c>
      <c r="BO25" s="556">
        <f>IF(VLOOKUP($E$25,[1]QUART!$A$2:$FA$300, 66, FALSE)="",":",VLOOKUP($E$25,[1]QUART!$A$2:$FA$300, 66, FALSE))</f>
        <v>13630</v>
      </c>
      <c r="BP25" s="556">
        <f>IF(VLOOKUP($E$25,[1]QUART!$A$2:$FA$300, 67, FALSE)="",":",VLOOKUP($E$25,[1]QUART!$A$2:$FA$300, 67, FALSE))</f>
        <v>13569</v>
      </c>
      <c r="BQ25" s="556">
        <f>IF(VLOOKUP($E$25,[1]QUART!$A$2:$FA$300, 68, FALSE)="",":",VLOOKUP($E$25,[1]QUART!$A$2:$FA$300, 68, FALSE))</f>
        <v>13751</v>
      </c>
      <c r="BR25" s="556">
        <f>IF(VLOOKUP($E$25,[1]QUART!$A$2:$FA$300, 69, FALSE)="",":",VLOOKUP($E$25,[1]QUART!$A$2:$FA$300, 69, FALSE))</f>
        <v>13996</v>
      </c>
      <c r="BS25" s="556">
        <f>IF(VLOOKUP($E$25,[1]QUART!$A$2:$FA$300, 70, FALSE)="",":",VLOOKUP($E$25,[1]QUART!$A$2:$FA$300, 70, FALSE))</f>
        <v>14268</v>
      </c>
      <c r="BT25" s="556">
        <f>IF(VLOOKUP($E$25,[1]QUART!$A$2:$FA$300, 71, FALSE)="",":",VLOOKUP($E$25,[1]QUART!$A$2:$FA$300, 71, FALSE))</f>
        <v>14692</v>
      </c>
      <c r="BU25" s="556">
        <f>IF(VLOOKUP($E$25,[1]QUART!$A$2:$FA$300, 72, FALSE)="",":",VLOOKUP($E$25,[1]QUART!$A$2:$FA$300, 72, FALSE))</f>
        <v>14666</v>
      </c>
      <c r="BV25" s="556">
        <f>IF(VLOOKUP($E$25,[1]QUART!$A$2:$FA$300, 73, FALSE)="",":",VLOOKUP($E$25,[1]QUART!$A$2:$FA$300, 73, FALSE))</f>
        <v>14919</v>
      </c>
      <c r="BW25" s="556">
        <f>IF(VLOOKUP($E$25,[1]QUART!$A$2:$FA$300, 74, FALSE)="",":",VLOOKUP($E$25,[1]QUART!$A$2:$FA$300, 74, FALSE))</f>
        <v>14690</v>
      </c>
      <c r="BX25" s="556">
        <f>IF(VLOOKUP($E$25,[1]QUART!$A$2:$FA$300, 75, FALSE)="",":",VLOOKUP($E$25,[1]QUART!$A$2:$FA$300, 75, FALSE))</f>
        <v>14761</v>
      </c>
      <c r="BY25" s="556">
        <f>IF(VLOOKUP($E$25,[1]QUART!$A$2:$FA$300, 76, FALSE)="",":",VLOOKUP($E$25,[1]QUART!$A$2:$FA$300, 76, FALSE))</f>
        <v>14715</v>
      </c>
      <c r="BZ25" s="556">
        <f>IF(VLOOKUP($E$25,[1]QUART!$A$2:$FA$300, 77, FALSE)="",":",VLOOKUP($E$25,[1]QUART!$A$2:$FA$300, 77, FALSE))</f>
        <v>14369</v>
      </c>
      <c r="CA25" s="556">
        <f>IF(VLOOKUP($E$25,[1]QUART!$A$2:$FA$300, 78, FALSE)="",":",VLOOKUP($E$25,[1]QUART!$A$2:$FA$300, 78, FALSE))</f>
        <v>14484</v>
      </c>
      <c r="CB25" s="556">
        <f>IF(VLOOKUP($E$25,[1]QUART!$A$2:$FA$300, 79, FALSE)="",":",VLOOKUP($E$25,[1]QUART!$A$2:$FA$300, 79, FALSE))</f>
        <v>14640</v>
      </c>
      <c r="CC25" s="556">
        <f>IF(VLOOKUP($E$25,[1]QUART!$A$2:$FA$300, 80, FALSE)="",":",VLOOKUP($E$25,[1]QUART!$A$2:$FA$300, 80, FALSE))</f>
        <v>14644</v>
      </c>
      <c r="CD25" s="556">
        <f>IF(VLOOKUP($E$25,[1]QUART!$A$2:$FA$300, 81, FALSE)="",":",VLOOKUP($E$25,[1]QUART!$A$2:$FA$300, 81, FALSE))</f>
        <v>14659</v>
      </c>
      <c r="CE25" s="556">
        <f>IF(VLOOKUP($E$25,[1]QUART!$A$2:$FA$300, 82, FALSE)="",":",VLOOKUP($E$25,[1]QUART!$A$2:$FA$300, 82, FALSE))</f>
        <v>14901</v>
      </c>
      <c r="CF25" s="556">
        <f>IF(VLOOKUP($E$25,[1]QUART!$A$2:$FA$300, 83, FALSE)="",":",VLOOKUP($E$25,[1]QUART!$A$2:$FA$300, 83, FALSE))</f>
        <v>15094</v>
      </c>
      <c r="CG25" s="556">
        <f>IF(VLOOKUP($E$25,[1]QUART!$A$2:$FA$300, 84, FALSE)="",":",VLOOKUP($E$25,[1]QUART!$A$2:$FA$300, 84, FALSE))</f>
        <v>16740</v>
      </c>
      <c r="CH25" s="556">
        <f>IF(VLOOKUP($E$25,[1]QUART!$A$2:$FA$300, 85, FALSE)="",":",VLOOKUP($E$25,[1]QUART!$A$2:$FA$300, 85, FALSE))</f>
        <v>15455</v>
      </c>
      <c r="CI25" s="556">
        <f>IF(VLOOKUP($E$25,[1]QUART!$A$2:$FA$300, 86, FALSE)="",":",VLOOKUP($E$25,[1]QUART!$A$2:$FA$300, 86, FALSE))</f>
        <v>17654</v>
      </c>
      <c r="CJ25" s="556">
        <f>IF(VLOOKUP($E$25,[1]QUART!$A$2:$FA$300, 87, FALSE)="",":",VLOOKUP($E$25,[1]QUART!$A$2:$FA$300, 87, FALSE))</f>
        <v>15137</v>
      </c>
      <c r="CK25" s="556">
        <f>IF(VLOOKUP($E$25,[1]QUART!$A$2:$FA$300, 88, FALSE)="",":",VLOOKUP($E$25,[1]QUART!$A$2:$FA$300, 88, FALSE))</f>
        <v>15711</v>
      </c>
      <c r="CL25" s="556">
        <f>IF(VLOOKUP($E$25,[1]QUART!$A$2:$FA$300, 89, FALSE)="",":",VLOOKUP($E$25,[1]QUART!$A$2:$FA$300, 89, FALSE))</f>
        <v>15865</v>
      </c>
      <c r="CM25" s="556">
        <f>IF(VLOOKUP($E$25,[1]QUART!$A$2:$FA$300, 90, FALSE)="",":",VLOOKUP($E$25,[1]QUART!$A$2:$FA$300, 90, FALSE))</f>
        <v>16241</v>
      </c>
      <c r="CN25" s="556">
        <f>IF(VLOOKUP($E$25,[1]QUART!$A$2:$FA$300, 91, FALSE)="",":",VLOOKUP($E$25,[1]QUART!$A$2:$FA$300, 91, FALSE))</f>
        <v>16339</v>
      </c>
      <c r="CO25" s="556">
        <f>IF(VLOOKUP($E$25,[1]QUART!$A$2:$FA$300, 92, FALSE)="",":",VLOOKUP($E$25,[1]QUART!$A$2:$FA$300, 92, FALSE))</f>
        <v>18232</v>
      </c>
      <c r="CP25" s="556">
        <f>IF(VLOOKUP($E$25,[1]QUART!$A$2:$FA$300, 93, FALSE)="",":",VLOOKUP($E$25,[1]QUART!$A$2:$FA$300, 93, FALSE))</f>
        <v>16737</v>
      </c>
      <c r="CQ25" s="556">
        <f>IF(VLOOKUP($E$25,[1]QUART!$A$2:$FA$300, 94, FALSE)="",":",VLOOKUP($E$25,[1]QUART!$A$2:$FA$300, 94, FALSE))</f>
        <v>16759</v>
      </c>
      <c r="CR25" s="556">
        <f>IF(VLOOKUP($E$25,[1]QUART!$A$2:$FA$300, 95, FALSE)="",":",VLOOKUP($E$25,[1]QUART!$A$2:$FA$300, 95, FALSE))</f>
        <v>16996</v>
      </c>
      <c r="CS25" s="556">
        <f>IF(VLOOKUP($E$25,[1]QUART!$A$2:$FA$300, 96, FALSE)="",":",VLOOKUP($E$25,[1]QUART!$A$2:$FA$300, 96, FALSE))</f>
        <v>17245</v>
      </c>
      <c r="CT25" s="556">
        <f>IF(VLOOKUP($E$25,[1]QUART!$A$2:$FA$300, 97, FALSE)="",":",VLOOKUP($E$25,[1]QUART!$A$2:$FA$300, 97, FALSE))</f>
        <v>17175</v>
      </c>
      <c r="CU25" s="556" t="str">
        <f>IF(VLOOKUP($E$25,[1]QUART!$A$2:$FA$300, 98, FALSE)="",":",VLOOKUP($E$25,[1]QUART!$A$2:$FA$300, 98, FALSE))</f>
        <v>:</v>
      </c>
      <c r="CV25" s="556" t="str">
        <f>IF(VLOOKUP($E$25,[1]QUART!$A$2:$FA$300, 99, FALSE)="",":",VLOOKUP($E$25,[1]QUART!$A$2:$FA$300, 99, FALSE))</f>
        <v>:</v>
      </c>
      <c r="CW25" s="556" t="str">
        <f>IF(VLOOKUP($E$25,[1]QUART!$A$2:$FA$300, 100, FALSE)="",":",VLOOKUP($E$25,[1]QUART!$A$2:$FA$300, 100, FALSE))</f>
        <v>:</v>
      </c>
      <c r="CX25" s="556" t="str">
        <f>IF(VLOOKUP($E$25,[1]QUART!$A$2:$FA$300, 101, FALSE)="",":",VLOOKUP($E$25,[1]QUART!$A$2:$FA$300, 101, FALSE))</f>
        <v>:</v>
      </c>
      <c r="CY25" s="556" t="str">
        <f>IF(VLOOKUP($E$25,[1]QUART!$A$2:$FA$300, 102, FALSE)="",":",VLOOKUP($E$25,[1]QUART!$A$2:$FA$300, 102, FALSE))</f>
        <v>:</v>
      </c>
      <c r="CZ25" s="556" t="str">
        <f>IF(VLOOKUP($E$25,[1]QUART!$A$2:$FA$300, 103, FALSE)="",":",VLOOKUP($E$25,[1]QUART!$A$2:$FA$300, 103, FALSE))</f>
        <v>:</v>
      </c>
      <c r="DA25" s="556" t="str">
        <f>IF(VLOOKUP($E$25,[1]QUART!$A$2:$FA$300, 104, FALSE)="",":",VLOOKUP($E$25,[1]QUART!$A$2:$FA$300, 104, FALSE))</f>
        <v>:</v>
      </c>
      <c r="DB25" s="556" t="str">
        <f>IF(VLOOKUP($E$25,[1]QUART!$A$2:$FA$300, 105, FALSE)="",":",VLOOKUP($E$25,[1]QUART!$A$2:$FA$300, 105, FALSE))</f>
        <v>:</v>
      </c>
      <c r="DC25" s="556" t="str">
        <f>IF(VLOOKUP($E$25,[1]QUART!$A$2:$FA$300, 106, FALSE)="",":",VLOOKUP($E$25,[1]QUART!$A$2:$FA$300, 106, FALSE))</f>
        <v>:</v>
      </c>
    </row>
    <row r="26" spans="1:107">
      <c r="A26" s="546"/>
      <c r="B26" s="546"/>
      <c r="C26" s="547"/>
      <c r="D26" s="12" t="s">
        <v>363</v>
      </c>
      <c r="E26" s="13">
        <v>81</v>
      </c>
      <c r="F26" s="14" t="str">
        <f>VLOOKUP($E$26,[1]QUART!$A$2:$FA$300, 3, FALSE)</f>
        <v>81 GFCF dwelling</v>
      </c>
      <c r="G26" s="556">
        <f>IF(VLOOKUP($E$26,[1]QUART!$A$2:$FA$300, 6, FALSE)="",":",VLOOKUP($E$26,[1]QUART!$A$2:$FA$300, 6, FALSE))</f>
        <v>5160</v>
      </c>
      <c r="H26" s="556">
        <f>IF(VLOOKUP($E$26,[1]QUART!$A$2:$FA$300, 7, FALSE)="",":",VLOOKUP($E$26,[1]QUART!$A$2:$FA$300, 7, FALSE))</f>
        <v>5152</v>
      </c>
      <c r="I26" s="556">
        <f>IF(VLOOKUP($E$26,[1]QUART!$A$2:$FA$300, 8, FALSE)="",":",VLOOKUP($E$26,[1]QUART!$A$2:$FA$300, 8, FALSE))</f>
        <v>5092</v>
      </c>
      <c r="J26" s="556">
        <f>IF(VLOOKUP($E$26,[1]QUART!$A$2:$FA$300, 9, FALSE)="",":",VLOOKUP($E$26,[1]QUART!$A$2:$FA$300, 9, FALSE))</f>
        <v>5013</v>
      </c>
      <c r="K26" s="556">
        <f>IF(VLOOKUP($E$26,[1]QUART!$A$2:$FA$300, 10, FALSE)="",":",VLOOKUP($E$26,[1]QUART!$A$2:$FA$300, 10, FALSE))</f>
        <v>4811</v>
      </c>
      <c r="L26" s="556">
        <f>IF(VLOOKUP($E$26,[1]QUART!$A$2:$FA$300, 11, FALSE)="",":",VLOOKUP($E$26,[1]QUART!$A$2:$FA$300, 11, FALSE))</f>
        <v>4678</v>
      </c>
      <c r="M26" s="556">
        <f>IF(VLOOKUP($E$26,[1]QUART!$A$2:$FA$300, 12, FALSE)="",":",VLOOKUP($E$26,[1]QUART!$A$2:$FA$300, 12, FALSE))</f>
        <v>4652</v>
      </c>
      <c r="N26" s="556">
        <f>IF(VLOOKUP($E$26,[1]QUART!$A$2:$FA$300, 13, FALSE)="",":",VLOOKUP($E$26,[1]QUART!$A$2:$FA$300, 13, FALSE))</f>
        <v>4816</v>
      </c>
      <c r="O26" s="556">
        <f>IF(VLOOKUP($E$26,[1]QUART!$A$2:$FA$300, 14, FALSE)="",":",VLOOKUP($E$26,[1]QUART!$A$2:$FA$300, 14, FALSE))</f>
        <v>5039</v>
      </c>
      <c r="P26" s="556">
        <f>IF(VLOOKUP($E$26,[1]QUART!$A$2:$FA$300, 15, FALSE)="",":",VLOOKUP($E$26,[1]QUART!$A$2:$FA$300, 15, FALSE))</f>
        <v>5149</v>
      </c>
      <c r="Q26" s="556">
        <f>IF(VLOOKUP($E$26,[1]QUART!$A$2:$FA$300, 16, FALSE)="",":",VLOOKUP($E$26,[1]QUART!$A$2:$FA$300, 16, FALSE))</f>
        <v>5089</v>
      </c>
      <c r="R26" s="556">
        <f>IF(VLOOKUP($E$26,[1]QUART!$A$2:$FA$300, 17, FALSE)="",":",VLOOKUP($E$26,[1]QUART!$A$2:$FA$300, 17, FALSE))</f>
        <v>5097</v>
      </c>
      <c r="S26" s="556">
        <f>IF(VLOOKUP($E$26,[1]QUART!$A$2:$FA$300, 18, FALSE)="",":",VLOOKUP($E$26,[1]QUART!$A$2:$FA$300, 18, FALSE))</f>
        <v>4978</v>
      </c>
      <c r="T26" s="556">
        <f>IF(VLOOKUP($E$26,[1]QUART!$A$2:$FA$300, 19, FALSE)="",":",VLOOKUP($E$26,[1]QUART!$A$2:$FA$300, 19, FALSE))</f>
        <v>4836</v>
      </c>
      <c r="U26" s="556">
        <f>IF(VLOOKUP($E$26,[1]QUART!$A$2:$FA$300, 20, FALSE)="",":",VLOOKUP($E$26,[1]QUART!$A$2:$FA$300, 20, FALSE))</f>
        <v>4812</v>
      </c>
      <c r="V26" s="556">
        <f>IF(VLOOKUP($E$26,[1]QUART!$A$2:$FA$300, 21, FALSE)="",":",VLOOKUP($E$26,[1]QUART!$A$2:$FA$300, 21, FALSE))</f>
        <v>4869</v>
      </c>
      <c r="W26" s="556">
        <f>IF(VLOOKUP($E$26,[1]QUART!$A$2:$FA$300, 22, FALSE)="",":",VLOOKUP($E$26,[1]QUART!$A$2:$FA$300, 22, FALSE))</f>
        <v>4913</v>
      </c>
      <c r="X26" s="556">
        <f>IF(VLOOKUP($E$26,[1]QUART!$A$2:$FA$300, 23, FALSE)="",":",VLOOKUP($E$26,[1]QUART!$A$2:$FA$300, 23, FALSE))</f>
        <v>4914</v>
      </c>
      <c r="Y26" s="556">
        <f>IF(VLOOKUP($E$26,[1]QUART!$A$2:$FA$300, 24, FALSE)="",":",VLOOKUP($E$26,[1]QUART!$A$2:$FA$300, 24, FALSE))</f>
        <v>4854</v>
      </c>
      <c r="Z26" s="556">
        <f>IF(VLOOKUP($E$26,[1]QUART!$A$2:$FA$300, 25, FALSE)="",":",VLOOKUP($E$26,[1]QUART!$A$2:$FA$300, 25, FALSE))</f>
        <v>4833</v>
      </c>
      <c r="AA26" s="556">
        <f>IF(VLOOKUP($E$26,[1]QUART!$A$2:$FA$300, 26, FALSE)="",":",VLOOKUP($E$26,[1]QUART!$A$2:$FA$300, 26, FALSE))</f>
        <v>4814</v>
      </c>
      <c r="AB26" s="556">
        <f>IF(VLOOKUP($E$26,[1]QUART!$A$2:$FA$300, 27, FALSE)="",":",VLOOKUP($E$26,[1]QUART!$A$2:$FA$300, 27, FALSE))</f>
        <v>4762</v>
      </c>
      <c r="AC26" s="556">
        <f>IF(VLOOKUP($E$26,[1]QUART!$A$2:$FA$300, 28, FALSE)="",":",VLOOKUP($E$26,[1]QUART!$A$2:$FA$300, 28, FALSE))</f>
        <v>4727</v>
      </c>
      <c r="AD26" s="556">
        <f>IF(VLOOKUP($E$26,[1]QUART!$A$2:$FA$300, 29, FALSE)="",":",VLOOKUP($E$26,[1]QUART!$A$2:$FA$300, 29, FALSE))</f>
        <v>4692</v>
      </c>
      <c r="AE26" s="556">
        <f>IF(VLOOKUP($E$26,[1]QUART!$A$2:$FA$300, 30, FALSE)="",":",VLOOKUP($E$26,[1]QUART!$A$2:$FA$300, 30, FALSE))</f>
        <v>4650</v>
      </c>
      <c r="AF26" s="556">
        <f>IF(VLOOKUP($E$26,[1]QUART!$A$2:$FA$300, 31, FALSE)="",":",VLOOKUP($E$26,[1]QUART!$A$2:$FA$300, 31, FALSE))</f>
        <v>4575</v>
      </c>
      <c r="AG26" s="556">
        <f>IF(VLOOKUP($E$26,[1]QUART!$A$2:$FA$300, 32, FALSE)="",":",VLOOKUP($E$26,[1]QUART!$A$2:$FA$300, 32, FALSE))</f>
        <v>4539</v>
      </c>
      <c r="AH26" s="556">
        <f>IF(VLOOKUP($E$26,[1]QUART!$A$2:$FA$300, 33, FALSE)="",":",VLOOKUP($E$26,[1]QUART!$A$2:$FA$300, 33, FALSE))</f>
        <v>4476</v>
      </c>
      <c r="AI26" s="556">
        <f>IF(VLOOKUP($E$26,[1]QUART!$A$2:$FA$300, 34, FALSE)="",":",VLOOKUP($E$26,[1]QUART!$A$2:$FA$300, 34, FALSE))</f>
        <v>4377</v>
      </c>
      <c r="AJ26" s="556">
        <f>IF(VLOOKUP($E$26,[1]QUART!$A$2:$FA$300, 35, FALSE)="",":",VLOOKUP($E$26,[1]QUART!$A$2:$FA$300, 35, FALSE))</f>
        <v>4287</v>
      </c>
      <c r="AK26" s="556">
        <f>IF(VLOOKUP($E$26,[1]QUART!$A$2:$FA$300, 36, FALSE)="",":",VLOOKUP($E$26,[1]QUART!$A$2:$FA$300, 36, FALSE))</f>
        <v>4255</v>
      </c>
      <c r="AL26" s="556">
        <f>IF(VLOOKUP($E$26,[1]QUART!$A$2:$FA$300, 37, FALSE)="",":",VLOOKUP($E$26,[1]QUART!$A$2:$FA$300, 37, FALSE))</f>
        <v>4324</v>
      </c>
      <c r="AM26" s="556">
        <f>IF(VLOOKUP($E$26,[1]QUART!$A$2:$FA$300, 38, FALSE)="",":",VLOOKUP($E$26,[1]QUART!$A$2:$FA$300, 38, FALSE))</f>
        <v>4459</v>
      </c>
      <c r="AN26" s="556">
        <f>IF(VLOOKUP($E$26,[1]QUART!$A$2:$FA$300, 39, FALSE)="",":",VLOOKUP($E$26,[1]QUART!$A$2:$FA$300, 39, FALSE))</f>
        <v>4520</v>
      </c>
      <c r="AO26" s="556">
        <f>IF(VLOOKUP($E$26,[1]QUART!$A$2:$FA$300, 40, FALSE)="",":",VLOOKUP($E$26,[1]QUART!$A$2:$FA$300, 40, FALSE))</f>
        <v>4533</v>
      </c>
      <c r="AP26" s="556">
        <f>IF(VLOOKUP($E$26,[1]QUART!$A$2:$FA$300, 41, FALSE)="",":",VLOOKUP($E$26,[1]QUART!$A$2:$FA$300, 41, FALSE))</f>
        <v>4533</v>
      </c>
      <c r="AQ26" s="556">
        <f>IF(VLOOKUP($E$26,[1]QUART!$A$2:$FA$300, 42, FALSE)="",":",VLOOKUP($E$26,[1]QUART!$A$2:$FA$300, 42, FALSE))</f>
        <v>4540</v>
      </c>
      <c r="AR26" s="556">
        <f>IF(VLOOKUP($E$26,[1]QUART!$A$2:$FA$300, 43, FALSE)="",":",VLOOKUP($E$26,[1]QUART!$A$2:$FA$300, 43, FALSE))</f>
        <v>4608</v>
      </c>
      <c r="AS26" s="556">
        <f>IF(VLOOKUP($E$26,[1]QUART!$A$2:$FA$300, 44, FALSE)="",":",VLOOKUP($E$26,[1]QUART!$A$2:$FA$300, 44, FALSE))</f>
        <v>4692</v>
      </c>
      <c r="AT26" s="556">
        <f>IF(VLOOKUP($E$26,[1]QUART!$A$2:$FA$300, 45, FALSE)="",":",VLOOKUP($E$26,[1]QUART!$A$2:$FA$300, 45, FALSE))</f>
        <v>4918</v>
      </c>
      <c r="AU26" s="556">
        <f>IF(VLOOKUP($E$26,[1]QUART!$A$2:$FA$300, 46, FALSE)="",":",VLOOKUP($E$26,[1]QUART!$A$2:$FA$300, 46, FALSE))</f>
        <v>5177</v>
      </c>
      <c r="AV26" s="556">
        <f>IF(VLOOKUP($E$26,[1]QUART!$A$2:$FA$300, 47, FALSE)="",":",VLOOKUP($E$26,[1]QUART!$A$2:$FA$300, 47, FALSE))</f>
        <v>5384</v>
      </c>
      <c r="AW26" s="556">
        <f>IF(VLOOKUP($E$26,[1]QUART!$A$2:$FA$300, 48, FALSE)="",":",VLOOKUP($E$26,[1]QUART!$A$2:$FA$300, 48, FALSE))</f>
        <v>5510</v>
      </c>
      <c r="AX26" s="556">
        <f>IF(VLOOKUP($E$26,[1]QUART!$A$2:$FA$300, 49, FALSE)="",":",VLOOKUP($E$26,[1]QUART!$A$2:$FA$300, 49, FALSE))</f>
        <v>5621</v>
      </c>
      <c r="AY26" s="556">
        <f>IF(VLOOKUP($E$26,[1]QUART!$A$2:$FA$300, 50, FALSE)="",":",VLOOKUP($E$26,[1]QUART!$A$2:$FA$300, 50, FALSE))</f>
        <v>5659</v>
      </c>
      <c r="AZ26" s="556">
        <f>IF(VLOOKUP($E$26,[1]QUART!$A$2:$FA$300, 51, FALSE)="",":",VLOOKUP($E$26,[1]QUART!$A$2:$FA$300, 51, FALSE))</f>
        <v>5647</v>
      </c>
      <c r="BA26" s="556">
        <f>IF(VLOOKUP($E$26,[1]QUART!$A$2:$FA$300, 52, FALSE)="",":",VLOOKUP($E$26,[1]QUART!$A$2:$FA$300, 52, FALSE))</f>
        <v>5677</v>
      </c>
      <c r="BB26" s="556">
        <f>IF(VLOOKUP($E$26,[1]QUART!$A$2:$FA$300, 53, FALSE)="",":",VLOOKUP($E$26,[1]QUART!$A$2:$FA$300, 53, FALSE))</f>
        <v>5743</v>
      </c>
      <c r="BC26" s="556">
        <f>IF(VLOOKUP($E$26,[1]QUART!$A$2:$FA$300, 54, FALSE)="",":",VLOOKUP($E$26,[1]QUART!$A$2:$FA$300, 54, FALSE))</f>
        <v>5846</v>
      </c>
      <c r="BD26" s="556">
        <f>IF(VLOOKUP($E$26,[1]QUART!$A$2:$FA$300, 55, FALSE)="",":",VLOOKUP($E$26,[1]QUART!$A$2:$FA$300, 55, FALSE))</f>
        <v>5924</v>
      </c>
      <c r="BE26" s="556">
        <f>IF(VLOOKUP($E$26,[1]QUART!$A$2:$FA$300, 56, FALSE)="",":",VLOOKUP($E$26,[1]QUART!$A$2:$FA$300, 56, FALSE))</f>
        <v>5983</v>
      </c>
      <c r="BF26" s="556">
        <f>IF(VLOOKUP($E$26,[1]QUART!$A$2:$FA$300, 57, FALSE)="",":",VLOOKUP($E$26,[1]QUART!$A$2:$FA$300, 57, FALSE))</f>
        <v>6030</v>
      </c>
      <c r="BG26" s="556">
        <f>IF(VLOOKUP($E$26,[1]QUART!$A$2:$FA$300, 58, FALSE)="",":",VLOOKUP($E$26,[1]QUART!$A$2:$FA$300, 58, FALSE))</f>
        <v>6007</v>
      </c>
      <c r="BH26" s="556">
        <f>IF(VLOOKUP($E$26,[1]QUART!$A$2:$FA$300, 59, FALSE)="",":",VLOOKUP($E$26,[1]QUART!$A$2:$FA$300, 59, FALSE))</f>
        <v>5889</v>
      </c>
      <c r="BI26" s="556">
        <f>IF(VLOOKUP($E$26,[1]QUART!$A$2:$FA$300, 60, FALSE)="",":",VLOOKUP($E$26,[1]QUART!$A$2:$FA$300, 60, FALSE))</f>
        <v>5740</v>
      </c>
      <c r="BJ26" s="556">
        <f>IF(VLOOKUP($E$26,[1]QUART!$A$2:$FA$300, 61, FALSE)="",":",VLOOKUP($E$26,[1]QUART!$A$2:$FA$300, 61, FALSE))</f>
        <v>5634</v>
      </c>
      <c r="BK26" s="556">
        <f>IF(VLOOKUP($E$26,[1]QUART!$A$2:$FA$300, 62, FALSE)="",":",VLOOKUP($E$26,[1]QUART!$A$2:$FA$300, 62, FALSE))</f>
        <v>5395</v>
      </c>
      <c r="BL26" s="556">
        <f>IF(VLOOKUP($E$26,[1]QUART!$A$2:$FA$300, 63, FALSE)="",":",VLOOKUP($E$26,[1]QUART!$A$2:$FA$300, 63, FALSE))</f>
        <v>5208</v>
      </c>
      <c r="BM26" s="556">
        <f>IF(VLOOKUP($E$26,[1]QUART!$A$2:$FA$300, 64, FALSE)="",":",VLOOKUP($E$26,[1]QUART!$A$2:$FA$300, 64, FALSE))</f>
        <v>5114</v>
      </c>
      <c r="BN26" s="556">
        <f>IF(VLOOKUP($E$26,[1]QUART!$A$2:$FA$300, 65, FALSE)="",":",VLOOKUP($E$26,[1]QUART!$A$2:$FA$300, 65, FALSE))</f>
        <v>5129</v>
      </c>
      <c r="BO26" s="556">
        <f>IF(VLOOKUP($E$26,[1]QUART!$A$2:$FA$300, 66, FALSE)="",":",VLOOKUP($E$26,[1]QUART!$A$2:$FA$300, 66, FALSE))</f>
        <v>5147</v>
      </c>
      <c r="BP26" s="556">
        <f>IF(VLOOKUP($E$26,[1]QUART!$A$2:$FA$300, 67, FALSE)="",":",VLOOKUP($E$26,[1]QUART!$A$2:$FA$300, 67, FALSE))</f>
        <v>5245</v>
      </c>
      <c r="BQ26" s="556">
        <f>IF(VLOOKUP($E$26,[1]QUART!$A$2:$FA$300, 68, FALSE)="",":",VLOOKUP($E$26,[1]QUART!$A$2:$FA$300, 68, FALSE))</f>
        <v>5446</v>
      </c>
      <c r="BR26" s="556">
        <f>IF(VLOOKUP($E$26,[1]QUART!$A$2:$FA$300, 69, FALSE)="",":",VLOOKUP($E$26,[1]QUART!$A$2:$FA$300, 69, FALSE))</f>
        <v>5391</v>
      </c>
      <c r="BS26" s="556">
        <f>IF(VLOOKUP($E$26,[1]QUART!$A$2:$FA$300, 70, FALSE)="",":",VLOOKUP($E$26,[1]QUART!$A$2:$FA$300, 70, FALSE))</f>
        <v>5241</v>
      </c>
      <c r="BT26" s="556">
        <f>IF(VLOOKUP($E$26,[1]QUART!$A$2:$FA$300, 71, FALSE)="",":",VLOOKUP($E$26,[1]QUART!$A$2:$FA$300, 71, FALSE))</f>
        <v>5199</v>
      </c>
      <c r="BU26" s="556">
        <f>IF(VLOOKUP($E$26,[1]QUART!$A$2:$FA$300, 72, FALSE)="",":",VLOOKUP($E$26,[1]QUART!$A$2:$FA$300, 72, FALSE))</f>
        <v>5096</v>
      </c>
      <c r="BV26" s="556">
        <f>IF(VLOOKUP($E$26,[1]QUART!$A$2:$FA$300, 73, FALSE)="",":",VLOOKUP($E$26,[1]QUART!$A$2:$FA$300, 73, FALSE))</f>
        <v>5153</v>
      </c>
      <c r="BW26" s="556">
        <f>IF(VLOOKUP($E$26,[1]QUART!$A$2:$FA$300, 74, FALSE)="",":",VLOOKUP($E$26,[1]QUART!$A$2:$FA$300, 74, FALSE))</f>
        <v>5185</v>
      </c>
      <c r="BX26" s="556">
        <f>IF(VLOOKUP($E$26,[1]QUART!$A$2:$FA$300, 75, FALSE)="",":",VLOOKUP($E$26,[1]QUART!$A$2:$FA$300, 75, FALSE))</f>
        <v>5197</v>
      </c>
      <c r="BY26" s="556">
        <f>IF(VLOOKUP($E$26,[1]QUART!$A$2:$FA$300, 76, FALSE)="",":",VLOOKUP($E$26,[1]QUART!$A$2:$FA$300, 76, FALSE))</f>
        <v>5175</v>
      </c>
      <c r="BZ26" s="556">
        <f>IF(VLOOKUP($E$26,[1]QUART!$A$2:$FA$300, 77, FALSE)="",":",VLOOKUP($E$26,[1]QUART!$A$2:$FA$300, 77, FALSE))</f>
        <v>5107</v>
      </c>
      <c r="CA26" s="556">
        <f>IF(VLOOKUP($E$26,[1]QUART!$A$2:$FA$300, 78, FALSE)="",":",VLOOKUP($E$26,[1]QUART!$A$2:$FA$300, 78, FALSE))</f>
        <v>4971</v>
      </c>
      <c r="CB26" s="556">
        <f>IF(VLOOKUP($E$26,[1]QUART!$A$2:$FA$300, 79, FALSE)="",":",VLOOKUP($E$26,[1]QUART!$A$2:$FA$300, 79, FALSE))</f>
        <v>4960</v>
      </c>
      <c r="CC26" s="556">
        <f>IF(VLOOKUP($E$26,[1]QUART!$A$2:$FA$300, 80, FALSE)="",":",VLOOKUP($E$26,[1]QUART!$A$2:$FA$300, 80, FALSE))</f>
        <v>4964</v>
      </c>
      <c r="CD26" s="556">
        <f>IF(VLOOKUP($E$26,[1]QUART!$A$2:$FA$300, 81, FALSE)="",":",VLOOKUP($E$26,[1]QUART!$A$2:$FA$300, 81, FALSE))</f>
        <v>4964</v>
      </c>
      <c r="CE26" s="556">
        <f>IF(VLOOKUP($E$26,[1]QUART!$A$2:$FA$300, 82, FALSE)="",":",VLOOKUP($E$26,[1]QUART!$A$2:$FA$300, 82, FALSE))</f>
        <v>5101</v>
      </c>
      <c r="CF26" s="556">
        <f>IF(VLOOKUP($E$26,[1]QUART!$A$2:$FA$300, 83, FALSE)="",":",VLOOKUP($E$26,[1]QUART!$A$2:$FA$300, 83, FALSE))</f>
        <v>5230</v>
      </c>
      <c r="CG26" s="556">
        <f>IF(VLOOKUP($E$26,[1]QUART!$A$2:$FA$300, 84, FALSE)="",":",VLOOKUP($E$26,[1]QUART!$A$2:$FA$300, 84, FALSE))</f>
        <v>5295</v>
      </c>
      <c r="CH26" s="556">
        <f>IF(VLOOKUP($E$26,[1]QUART!$A$2:$FA$300, 85, FALSE)="",":",VLOOKUP($E$26,[1]QUART!$A$2:$FA$300, 85, FALSE))</f>
        <v>5358</v>
      </c>
      <c r="CI26" s="556">
        <f>IF(VLOOKUP($E$26,[1]QUART!$A$2:$FA$300, 86, FALSE)="",":",VLOOKUP($E$26,[1]QUART!$A$2:$FA$300, 86, FALSE))</f>
        <v>5359</v>
      </c>
      <c r="CJ26" s="556">
        <f>IF(VLOOKUP($E$26,[1]QUART!$A$2:$FA$300, 87, FALSE)="",":",VLOOKUP($E$26,[1]QUART!$A$2:$FA$300, 87, FALSE))</f>
        <v>5233</v>
      </c>
      <c r="CK26" s="556">
        <f>IF(VLOOKUP($E$26,[1]QUART!$A$2:$FA$300, 88, FALSE)="",":",VLOOKUP($E$26,[1]QUART!$A$2:$FA$300, 88, FALSE))</f>
        <v>5231</v>
      </c>
      <c r="CL26" s="556">
        <f>IF(VLOOKUP($E$26,[1]QUART!$A$2:$FA$300, 89, FALSE)="",":",VLOOKUP($E$26,[1]QUART!$A$2:$FA$300, 89, FALSE))</f>
        <v>5370</v>
      </c>
      <c r="CM26" s="556">
        <f>IF(VLOOKUP($E$26,[1]QUART!$A$2:$FA$300, 90, FALSE)="",":",VLOOKUP($E$26,[1]QUART!$A$2:$FA$300, 90, FALSE))</f>
        <v>5359</v>
      </c>
      <c r="CN26" s="556">
        <f>IF(VLOOKUP($E$26,[1]QUART!$A$2:$FA$300, 91, FALSE)="",":",VLOOKUP($E$26,[1]QUART!$A$2:$FA$300, 91, FALSE))</f>
        <v>5469</v>
      </c>
      <c r="CO26" s="556">
        <f>IF(VLOOKUP($E$26,[1]QUART!$A$2:$FA$300, 92, FALSE)="",":",VLOOKUP($E$26,[1]QUART!$A$2:$FA$300, 92, FALSE))</f>
        <v>5465</v>
      </c>
      <c r="CP26" s="556">
        <f>IF(VLOOKUP($E$26,[1]QUART!$A$2:$FA$300, 93, FALSE)="",":",VLOOKUP($E$26,[1]QUART!$A$2:$FA$300, 93, FALSE))</f>
        <v>5441</v>
      </c>
      <c r="CQ26" s="556">
        <f>IF(VLOOKUP($E$26,[1]QUART!$A$2:$FA$300, 94, FALSE)="",":",VLOOKUP($E$26,[1]QUART!$A$2:$FA$300, 94, FALSE))</f>
        <v>5467</v>
      </c>
      <c r="CR26" s="556">
        <f>IF(VLOOKUP($E$26,[1]QUART!$A$2:$FA$300, 95, FALSE)="",":",VLOOKUP($E$26,[1]QUART!$A$2:$FA$300, 95, FALSE))</f>
        <v>5397</v>
      </c>
      <c r="CS26" s="556">
        <f>IF(VLOOKUP($E$26,[1]QUART!$A$2:$FA$300, 96, FALSE)="",":",VLOOKUP($E$26,[1]QUART!$A$2:$FA$300, 96, FALSE))</f>
        <v>5412</v>
      </c>
      <c r="CT26" s="556">
        <f>IF(VLOOKUP($E$26,[1]QUART!$A$2:$FA$300, 97, FALSE)="",":",VLOOKUP($E$26,[1]QUART!$A$2:$FA$300, 97, FALSE))</f>
        <v>5412</v>
      </c>
      <c r="CU26" s="556" t="str">
        <f>IF(VLOOKUP($E$26,[1]QUART!$A$2:$FA$300, 98, FALSE)="",":",VLOOKUP($E$26,[1]QUART!$A$2:$FA$300, 98, FALSE))</f>
        <v>:</v>
      </c>
      <c r="CV26" s="556" t="str">
        <f>IF(VLOOKUP($E$26,[1]QUART!$A$2:$FA$300, 99, FALSE)="",":",VLOOKUP($E$26,[1]QUART!$A$2:$FA$300, 99, FALSE))</f>
        <v>:</v>
      </c>
      <c r="CW26" s="556" t="str">
        <f>IF(VLOOKUP($E$26,[1]QUART!$A$2:$FA$300, 100, FALSE)="",":",VLOOKUP($E$26,[1]QUART!$A$2:$FA$300, 100, FALSE))</f>
        <v>:</v>
      </c>
      <c r="CX26" s="556" t="str">
        <f>IF(VLOOKUP($E$26,[1]QUART!$A$2:$FA$300, 101, FALSE)="",":",VLOOKUP($E$26,[1]QUART!$A$2:$FA$300, 101, FALSE))</f>
        <v>:</v>
      </c>
      <c r="CY26" s="556" t="str">
        <f>IF(VLOOKUP($E$26,[1]QUART!$A$2:$FA$300, 102, FALSE)="",":",VLOOKUP($E$26,[1]QUART!$A$2:$FA$300, 102, FALSE))</f>
        <v>:</v>
      </c>
      <c r="CZ26" s="556" t="str">
        <f>IF(VLOOKUP($E$26,[1]QUART!$A$2:$FA$300, 103, FALSE)="",":",VLOOKUP($E$26,[1]QUART!$A$2:$FA$300, 103, FALSE))</f>
        <v>:</v>
      </c>
      <c r="DA26" s="556" t="str">
        <f>IF(VLOOKUP($E$26,[1]QUART!$A$2:$FA$300, 104, FALSE)="",":",VLOOKUP($E$26,[1]QUART!$A$2:$FA$300, 104, FALSE))</f>
        <v>:</v>
      </c>
      <c r="DB26" s="556" t="str">
        <f>IF(VLOOKUP($E$26,[1]QUART!$A$2:$FA$300, 105, FALSE)="",":",VLOOKUP($E$26,[1]QUART!$A$2:$FA$300, 105, FALSE))</f>
        <v>:</v>
      </c>
      <c r="DC26" s="556" t="str">
        <f>IF(VLOOKUP($E$26,[1]QUART!$A$2:$FA$300, 106, FALSE)="",":",VLOOKUP($E$26,[1]QUART!$A$2:$FA$300, 106, FALSE))</f>
        <v>:</v>
      </c>
    </row>
    <row r="27" spans="1:107">
      <c r="A27" s="546"/>
      <c r="B27" s="546"/>
      <c r="C27" s="547"/>
      <c r="D27" s="12" t="s">
        <v>363</v>
      </c>
      <c r="E27" s="13">
        <v>82</v>
      </c>
      <c r="F27" s="14" t="str">
        <f>VLOOKUP($E$27,[1]QUART!$A$2:$FA$300, 3, FALSE)</f>
        <v>82 GFCF Public Administration</v>
      </c>
      <c r="G27" s="556">
        <f>IF(VLOOKUP($E$27,[1]QUART!$A$2:$FA$300, 6, FALSE)="",":",VLOOKUP($E$27,[1]QUART!$A$2:$FA$300, 6, FALSE))</f>
        <v>1611</v>
      </c>
      <c r="H27" s="556">
        <f>IF(VLOOKUP($E$27,[1]QUART!$A$2:$FA$300, 7, FALSE)="",":",VLOOKUP($E$27,[1]QUART!$A$2:$FA$300, 7, FALSE))</f>
        <v>1670</v>
      </c>
      <c r="I27" s="556">
        <f>IF(VLOOKUP($E$27,[1]QUART!$A$2:$FA$300, 8, FALSE)="",":",VLOOKUP($E$27,[1]QUART!$A$2:$FA$300, 8, FALSE))</f>
        <v>1674</v>
      </c>
      <c r="J27" s="556">
        <f>IF(VLOOKUP($E$27,[1]QUART!$A$2:$FA$300, 9, FALSE)="",":",VLOOKUP($E$27,[1]QUART!$A$2:$FA$300, 9, FALSE))</f>
        <v>1651</v>
      </c>
      <c r="K27" s="556">
        <f>IF(VLOOKUP($E$27,[1]QUART!$A$2:$FA$300, 10, FALSE)="",":",VLOOKUP($E$27,[1]QUART!$A$2:$FA$300, 10, FALSE))</f>
        <v>1548</v>
      </c>
      <c r="L27" s="556">
        <f>IF(VLOOKUP($E$27,[1]QUART!$A$2:$FA$300, 11, FALSE)="",":",VLOOKUP($E$27,[1]QUART!$A$2:$FA$300, 11, FALSE))</f>
        <v>1589</v>
      </c>
      <c r="M27" s="556">
        <f>IF(VLOOKUP($E$27,[1]QUART!$A$2:$FA$300, 12, FALSE)="",":",VLOOKUP($E$27,[1]QUART!$A$2:$FA$300, 12, FALSE))</f>
        <v>1608</v>
      </c>
      <c r="N27" s="556">
        <f>IF(VLOOKUP($E$27,[1]QUART!$A$2:$FA$300, 13, FALSE)="",":",VLOOKUP($E$27,[1]QUART!$A$2:$FA$300, 13, FALSE))</f>
        <v>1540</v>
      </c>
      <c r="O27" s="556">
        <f>IF(VLOOKUP($E$27,[1]QUART!$A$2:$FA$300, 14, FALSE)="",":",VLOOKUP($E$27,[1]QUART!$A$2:$FA$300, 14, FALSE))</f>
        <v>1723</v>
      </c>
      <c r="P27" s="556">
        <f>IF(VLOOKUP($E$27,[1]QUART!$A$2:$FA$300, 15, FALSE)="",":",VLOOKUP($E$27,[1]QUART!$A$2:$FA$300, 15, FALSE))</f>
        <v>1643</v>
      </c>
      <c r="Q27" s="556">
        <f>IF(VLOOKUP($E$27,[1]QUART!$A$2:$FA$300, 16, FALSE)="",":",VLOOKUP($E$27,[1]QUART!$A$2:$FA$300, 16, FALSE))</f>
        <v>1648</v>
      </c>
      <c r="R27" s="556">
        <f>IF(VLOOKUP($E$27,[1]QUART!$A$2:$FA$300, 17, FALSE)="",":",VLOOKUP($E$27,[1]QUART!$A$2:$FA$300, 17, FALSE))</f>
        <v>1649</v>
      </c>
      <c r="S27" s="556">
        <f>IF(VLOOKUP($E$27,[1]QUART!$A$2:$FA$300, 18, FALSE)="",":",VLOOKUP($E$27,[1]QUART!$A$2:$FA$300, 18, FALSE))</f>
        <v>1619</v>
      </c>
      <c r="T27" s="556">
        <f>IF(VLOOKUP($E$27,[1]QUART!$A$2:$FA$300, 19, FALSE)="",":",VLOOKUP($E$27,[1]QUART!$A$2:$FA$300, 19, FALSE))</f>
        <v>1617</v>
      </c>
      <c r="U27" s="556">
        <f>IF(VLOOKUP($E$27,[1]QUART!$A$2:$FA$300, 20, FALSE)="",":",VLOOKUP($E$27,[1]QUART!$A$2:$FA$300, 20, FALSE))</f>
        <v>1605</v>
      </c>
      <c r="V27" s="556">
        <f>IF(VLOOKUP($E$27,[1]QUART!$A$2:$FA$300, 21, FALSE)="",":",VLOOKUP($E$27,[1]QUART!$A$2:$FA$300, 21, FALSE))</f>
        <v>1783</v>
      </c>
      <c r="W27" s="556">
        <f>IF(VLOOKUP($E$27,[1]QUART!$A$2:$FA$300, 22, FALSE)="",":",VLOOKUP($E$27,[1]QUART!$A$2:$FA$300, 22, FALSE))</f>
        <v>1831</v>
      </c>
      <c r="X27" s="556">
        <f>IF(VLOOKUP($E$27,[1]QUART!$A$2:$FA$300, 23, FALSE)="",":",VLOOKUP($E$27,[1]QUART!$A$2:$FA$300, 23, FALSE))</f>
        <v>1953</v>
      </c>
      <c r="Y27" s="556">
        <f>IF(VLOOKUP($E$27,[1]QUART!$A$2:$FA$300, 24, FALSE)="",":",VLOOKUP($E$27,[1]QUART!$A$2:$FA$300, 24, FALSE))</f>
        <v>1959</v>
      </c>
      <c r="Z27" s="556">
        <f>IF(VLOOKUP($E$27,[1]QUART!$A$2:$FA$300, 25, FALSE)="",":",VLOOKUP($E$27,[1]QUART!$A$2:$FA$300, 25, FALSE))</f>
        <v>1965</v>
      </c>
      <c r="AA27" s="556">
        <f>IF(VLOOKUP($E$27,[1]QUART!$A$2:$FA$300, 26, FALSE)="",":",VLOOKUP($E$27,[1]QUART!$A$2:$FA$300, 26, FALSE))</f>
        <v>1967</v>
      </c>
      <c r="AB27" s="556">
        <f>IF(VLOOKUP($E$27,[1]QUART!$A$2:$FA$300, 27, FALSE)="",":",VLOOKUP($E$27,[1]QUART!$A$2:$FA$300, 27, FALSE))</f>
        <v>2004</v>
      </c>
      <c r="AC27" s="556">
        <f>IF(VLOOKUP($E$27,[1]QUART!$A$2:$FA$300, 28, FALSE)="",":",VLOOKUP($E$27,[1]QUART!$A$2:$FA$300, 28, FALSE))</f>
        <v>1948</v>
      </c>
      <c r="AD27" s="556">
        <f>IF(VLOOKUP($E$27,[1]QUART!$A$2:$FA$300, 29, FALSE)="",":",VLOOKUP($E$27,[1]QUART!$A$2:$FA$300, 29, FALSE))</f>
        <v>1940</v>
      </c>
      <c r="AE27" s="556">
        <f>IF(VLOOKUP($E$27,[1]QUART!$A$2:$FA$300, 30, FALSE)="",":",VLOOKUP($E$27,[1]QUART!$A$2:$FA$300, 30, FALSE))</f>
        <v>1979</v>
      </c>
      <c r="AF27" s="556">
        <f>IF(VLOOKUP($E$27,[1]QUART!$A$2:$FA$300, 31, FALSE)="",":",VLOOKUP($E$27,[1]QUART!$A$2:$FA$300, 31, FALSE))</f>
        <v>1927</v>
      </c>
      <c r="AG27" s="556">
        <f>IF(VLOOKUP($E$27,[1]QUART!$A$2:$FA$300, 32, FALSE)="",":",VLOOKUP($E$27,[1]QUART!$A$2:$FA$300, 32, FALSE))</f>
        <v>1899</v>
      </c>
      <c r="AH27" s="556">
        <f>IF(VLOOKUP($E$27,[1]QUART!$A$2:$FA$300, 33, FALSE)="",":",VLOOKUP($E$27,[1]QUART!$A$2:$FA$300, 33, FALSE))</f>
        <v>1383</v>
      </c>
      <c r="AI27" s="556">
        <f>IF(VLOOKUP($E$27,[1]QUART!$A$2:$FA$300, 34, FALSE)="",":",VLOOKUP($E$27,[1]QUART!$A$2:$FA$300, 34, FALSE))</f>
        <v>1843</v>
      </c>
      <c r="AJ27" s="556">
        <f>IF(VLOOKUP($E$27,[1]QUART!$A$2:$FA$300, 35, FALSE)="",":",VLOOKUP($E$27,[1]QUART!$A$2:$FA$300, 35, FALSE))</f>
        <v>1834</v>
      </c>
      <c r="AK27" s="556">
        <f>IF(VLOOKUP($E$27,[1]QUART!$A$2:$FA$300, 36, FALSE)="",":",VLOOKUP($E$27,[1]QUART!$A$2:$FA$300, 36, FALSE))</f>
        <v>1872</v>
      </c>
      <c r="AL27" s="556">
        <f>IF(VLOOKUP($E$27,[1]QUART!$A$2:$FA$300, 37, FALSE)="",":",VLOOKUP($E$27,[1]QUART!$A$2:$FA$300, 37, FALSE))</f>
        <v>1618</v>
      </c>
      <c r="AM27" s="556">
        <f>IF(VLOOKUP($E$27,[1]QUART!$A$2:$FA$300, 38, FALSE)="",":",VLOOKUP($E$27,[1]QUART!$A$2:$FA$300, 38, FALSE))</f>
        <v>1875</v>
      </c>
      <c r="AN27" s="556">
        <f>IF(VLOOKUP($E$27,[1]QUART!$A$2:$FA$300, 39, FALSE)="",":",VLOOKUP($E$27,[1]QUART!$A$2:$FA$300, 39, FALSE))</f>
        <v>1907</v>
      </c>
      <c r="AO27" s="556">
        <f>IF(VLOOKUP($E$27,[1]QUART!$A$2:$FA$300, 40, FALSE)="",":",VLOOKUP($E$27,[1]QUART!$A$2:$FA$300, 40, FALSE))</f>
        <v>1993</v>
      </c>
      <c r="AP27" s="556">
        <f>IF(VLOOKUP($E$27,[1]QUART!$A$2:$FA$300, 41, FALSE)="",":",VLOOKUP($E$27,[1]QUART!$A$2:$FA$300, 41, FALSE))</f>
        <v>1573</v>
      </c>
      <c r="AQ27" s="556">
        <f>IF(VLOOKUP($E$27,[1]QUART!$A$2:$FA$300, 42, FALSE)="",":",VLOOKUP($E$27,[1]QUART!$A$2:$FA$300, 42, FALSE))</f>
        <v>2114</v>
      </c>
      <c r="AR27" s="556">
        <f>IF(VLOOKUP($E$27,[1]QUART!$A$2:$FA$300, 43, FALSE)="",":",VLOOKUP($E$27,[1]QUART!$A$2:$FA$300, 43, FALSE))</f>
        <v>1767</v>
      </c>
      <c r="AS27" s="556">
        <f>IF(VLOOKUP($E$27,[1]QUART!$A$2:$FA$300, 44, FALSE)="",":",VLOOKUP($E$27,[1]QUART!$A$2:$FA$300, 44, FALSE))</f>
        <v>2059</v>
      </c>
      <c r="AT27" s="556">
        <f>IF(VLOOKUP($E$27,[1]QUART!$A$2:$FA$300, 45, FALSE)="",":",VLOOKUP($E$27,[1]QUART!$A$2:$FA$300, 45, FALSE))</f>
        <v>1538</v>
      </c>
      <c r="AU27" s="556">
        <f>IF(VLOOKUP($E$27,[1]QUART!$A$2:$FA$300, 46, FALSE)="",":",VLOOKUP($E$27,[1]QUART!$A$2:$FA$300, 46, FALSE))</f>
        <v>2000</v>
      </c>
      <c r="AV27" s="556">
        <f>IF(VLOOKUP($E$27,[1]QUART!$A$2:$FA$300, 47, FALSE)="",":",VLOOKUP($E$27,[1]QUART!$A$2:$FA$300, 47, FALSE))</f>
        <v>2012</v>
      </c>
      <c r="AW27" s="556">
        <f>IF(VLOOKUP($E$27,[1]QUART!$A$2:$FA$300, 48, FALSE)="",":",VLOOKUP($E$27,[1]QUART!$A$2:$FA$300, 48, FALSE))</f>
        <v>1980</v>
      </c>
      <c r="AX27" s="556">
        <f>IF(VLOOKUP($E$27,[1]QUART!$A$2:$FA$300, 49, FALSE)="",":",VLOOKUP($E$27,[1]QUART!$A$2:$FA$300, 49, FALSE))</f>
        <v>1836</v>
      </c>
      <c r="AY27" s="556">
        <f>IF(VLOOKUP($E$27,[1]QUART!$A$2:$FA$300, 50, FALSE)="",":",VLOOKUP($E$27,[1]QUART!$A$2:$FA$300, 50, FALSE))</f>
        <v>2108</v>
      </c>
      <c r="AZ27" s="556">
        <f>IF(VLOOKUP($E$27,[1]QUART!$A$2:$FA$300, 51, FALSE)="",":",VLOOKUP($E$27,[1]QUART!$A$2:$FA$300, 51, FALSE))</f>
        <v>2052</v>
      </c>
      <c r="BA27" s="556">
        <f>IF(VLOOKUP($E$27,[1]QUART!$A$2:$FA$300, 52, FALSE)="",":",VLOOKUP($E$27,[1]QUART!$A$2:$FA$300, 52, FALSE))</f>
        <v>2010</v>
      </c>
      <c r="BB27" s="556">
        <f>IF(VLOOKUP($E$27,[1]QUART!$A$2:$FA$300, 53, FALSE)="",":",VLOOKUP($E$27,[1]QUART!$A$2:$FA$300, 53, FALSE))</f>
        <v>1078</v>
      </c>
      <c r="BC27" s="556">
        <f>IF(VLOOKUP($E$27,[1]QUART!$A$2:$FA$300, 54, FALSE)="",":",VLOOKUP($E$27,[1]QUART!$A$2:$FA$300, 54, FALSE))</f>
        <v>1991</v>
      </c>
      <c r="BD27" s="556">
        <f>IF(VLOOKUP($E$27,[1]QUART!$A$2:$FA$300, 55, FALSE)="",":",VLOOKUP($E$27,[1]QUART!$A$2:$FA$300, 55, FALSE))</f>
        <v>1941</v>
      </c>
      <c r="BE27" s="556">
        <f>IF(VLOOKUP($E$27,[1]QUART!$A$2:$FA$300, 56, FALSE)="",":",VLOOKUP($E$27,[1]QUART!$A$2:$FA$300, 56, FALSE))</f>
        <v>1957</v>
      </c>
      <c r="BF27" s="556">
        <f>IF(VLOOKUP($E$27,[1]QUART!$A$2:$FA$300, 57, FALSE)="",":",VLOOKUP($E$27,[1]QUART!$A$2:$FA$300, 57, FALSE))</f>
        <v>1850</v>
      </c>
      <c r="BG27" s="556">
        <f>IF(VLOOKUP($E$27,[1]QUART!$A$2:$FA$300, 58, FALSE)="",":",VLOOKUP($E$27,[1]QUART!$A$2:$FA$300, 58, FALSE))</f>
        <v>1937</v>
      </c>
      <c r="BH27" s="556">
        <f>IF(VLOOKUP($E$27,[1]QUART!$A$2:$FA$300, 59, FALSE)="",":",VLOOKUP($E$27,[1]QUART!$A$2:$FA$300, 59, FALSE))</f>
        <v>1956</v>
      </c>
      <c r="BI27" s="556">
        <f>IF(VLOOKUP($E$27,[1]QUART!$A$2:$FA$300, 60, FALSE)="",":",VLOOKUP($E$27,[1]QUART!$A$2:$FA$300, 60, FALSE))</f>
        <v>1958</v>
      </c>
      <c r="BJ27" s="556">
        <f>IF(VLOOKUP($E$27,[1]QUART!$A$2:$FA$300, 61, FALSE)="",":",VLOOKUP($E$27,[1]QUART!$A$2:$FA$300, 61, FALSE))</f>
        <v>2083</v>
      </c>
      <c r="BK27" s="556">
        <f>IF(VLOOKUP($E$27,[1]QUART!$A$2:$FA$300, 62, FALSE)="",":",VLOOKUP($E$27,[1]QUART!$A$2:$FA$300, 62, FALSE))</f>
        <v>2085</v>
      </c>
      <c r="BL27" s="556">
        <f>IF(VLOOKUP($E$27,[1]QUART!$A$2:$FA$300, 63, FALSE)="",":",VLOOKUP($E$27,[1]QUART!$A$2:$FA$300, 63, FALSE))</f>
        <v>2227</v>
      </c>
      <c r="BM27" s="556">
        <f>IF(VLOOKUP($E$27,[1]QUART!$A$2:$FA$300, 64, FALSE)="",":",VLOOKUP($E$27,[1]QUART!$A$2:$FA$300, 64, FALSE))</f>
        <v>2214</v>
      </c>
      <c r="BN27" s="556">
        <f>IF(VLOOKUP($E$27,[1]QUART!$A$2:$FA$300, 65, FALSE)="",":",VLOOKUP($E$27,[1]QUART!$A$2:$FA$300, 65, FALSE))</f>
        <v>2282</v>
      </c>
      <c r="BO27" s="556">
        <f>IF(VLOOKUP($E$27,[1]QUART!$A$2:$FA$300, 66, FALSE)="",":",VLOOKUP($E$27,[1]QUART!$A$2:$FA$300, 66, FALSE))</f>
        <v>2224</v>
      </c>
      <c r="BP27" s="556">
        <f>IF(VLOOKUP($E$27,[1]QUART!$A$2:$FA$300, 67, FALSE)="",":",VLOOKUP($E$27,[1]QUART!$A$2:$FA$300, 67, FALSE))</f>
        <v>2227</v>
      </c>
      <c r="BQ27" s="556">
        <f>IF(VLOOKUP($E$27,[1]QUART!$A$2:$FA$300, 68, FALSE)="",":",VLOOKUP($E$27,[1]QUART!$A$2:$FA$300, 68, FALSE))</f>
        <v>2220</v>
      </c>
      <c r="BR27" s="556">
        <f>IF(VLOOKUP($E$27,[1]QUART!$A$2:$FA$300, 69, FALSE)="",":",VLOOKUP($E$27,[1]QUART!$A$2:$FA$300, 69, FALSE))</f>
        <v>2202</v>
      </c>
      <c r="BS27" s="556">
        <f>IF(VLOOKUP($E$27,[1]QUART!$A$2:$FA$300, 70, FALSE)="",":",VLOOKUP($E$27,[1]QUART!$A$2:$FA$300, 70, FALSE))</f>
        <v>2281</v>
      </c>
      <c r="BT27" s="556">
        <f>IF(VLOOKUP($E$27,[1]QUART!$A$2:$FA$300, 71, FALSE)="",":",VLOOKUP($E$27,[1]QUART!$A$2:$FA$300, 71, FALSE))</f>
        <v>2319</v>
      </c>
      <c r="BU27" s="556">
        <f>IF(VLOOKUP($E$27,[1]QUART!$A$2:$FA$300, 72, FALSE)="",":",VLOOKUP($E$27,[1]QUART!$A$2:$FA$300, 72, FALSE))</f>
        <v>2403</v>
      </c>
      <c r="BV27" s="556">
        <f>IF(VLOOKUP($E$27,[1]QUART!$A$2:$FA$300, 73, FALSE)="",":",VLOOKUP($E$27,[1]QUART!$A$2:$FA$300, 73, FALSE))</f>
        <v>2401</v>
      </c>
      <c r="BW27" s="556">
        <f>IF(VLOOKUP($E$27,[1]QUART!$A$2:$FA$300, 74, FALSE)="",":",VLOOKUP($E$27,[1]QUART!$A$2:$FA$300, 74, FALSE))</f>
        <v>2412</v>
      </c>
      <c r="BX27" s="556">
        <f>IF(VLOOKUP($E$27,[1]QUART!$A$2:$FA$300, 75, FALSE)="",":",VLOOKUP($E$27,[1]QUART!$A$2:$FA$300, 75, FALSE))</f>
        <v>2387</v>
      </c>
      <c r="BY27" s="556">
        <f>IF(VLOOKUP($E$27,[1]QUART!$A$2:$FA$300, 76, FALSE)="",":",VLOOKUP($E$27,[1]QUART!$A$2:$FA$300, 76, FALSE))</f>
        <v>2389</v>
      </c>
      <c r="BZ27" s="556">
        <f>IF(VLOOKUP($E$27,[1]QUART!$A$2:$FA$300, 77, FALSE)="",":",VLOOKUP($E$27,[1]QUART!$A$2:$FA$300, 77, FALSE))</f>
        <v>2421</v>
      </c>
      <c r="CA27" s="556">
        <f>IF(VLOOKUP($E$27,[1]QUART!$A$2:$FA$300, 78, FALSE)="",":",VLOOKUP($E$27,[1]QUART!$A$2:$FA$300, 78, FALSE))</f>
        <v>2280</v>
      </c>
      <c r="CB27" s="556">
        <f>IF(VLOOKUP($E$27,[1]QUART!$A$2:$FA$300, 79, FALSE)="",":",VLOOKUP($E$27,[1]QUART!$A$2:$FA$300, 79, FALSE))</f>
        <v>2275</v>
      </c>
      <c r="CC27" s="556">
        <f>IF(VLOOKUP($E$27,[1]QUART!$A$2:$FA$300, 80, FALSE)="",":",VLOOKUP($E$27,[1]QUART!$A$2:$FA$300, 80, FALSE))</f>
        <v>2321</v>
      </c>
      <c r="CD27" s="556">
        <f>IF(VLOOKUP($E$27,[1]QUART!$A$2:$FA$300, 81, FALSE)="",":",VLOOKUP($E$27,[1]QUART!$A$2:$FA$300, 81, FALSE))</f>
        <v>2322</v>
      </c>
      <c r="CE27" s="556">
        <f>IF(VLOOKUP($E$27,[1]QUART!$A$2:$FA$300, 82, FALSE)="",":",VLOOKUP($E$27,[1]QUART!$A$2:$FA$300, 82, FALSE))</f>
        <v>2338</v>
      </c>
      <c r="CF27" s="556">
        <f>IF(VLOOKUP($E$27,[1]QUART!$A$2:$FA$300, 83, FALSE)="",":",VLOOKUP($E$27,[1]QUART!$A$2:$FA$300, 83, FALSE))</f>
        <v>2396</v>
      </c>
      <c r="CG27" s="556">
        <f>IF(VLOOKUP($E$27,[1]QUART!$A$2:$FA$300, 84, FALSE)="",":",VLOOKUP($E$27,[1]QUART!$A$2:$FA$300, 84, FALSE))</f>
        <v>2386</v>
      </c>
      <c r="CH27" s="556">
        <f>IF(VLOOKUP($E$27,[1]QUART!$A$2:$FA$300, 85, FALSE)="",":",VLOOKUP($E$27,[1]QUART!$A$2:$FA$300, 85, FALSE))</f>
        <v>2407</v>
      </c>
      <c r="CI27" s="556">
        <f>IF(VLOOKUP($E$27,[1]QUART!$A$2:$FA$300, 86, FALSE)="",":",VLOOKUP($E$27,[1]QUART!$A$2:$FA$300, 86, FALSE))</f>
        <v>2445</v>
      </c>
      <c r="CJ27" s="556">
        <f>IF(VLOOKUP($E$27,[1]QUART!$A$2:$FA$300, 87, FALSE)="",":",VLOOKUP($E$27,[1]QUART!$A$2:$FA$300, 87, FALSE))</f>
        <v>2396</v>
      </c>
      <c r="CK27" s="556">
        <f>IF(VLOOKUP($E$27,[1]QUART!$A$2:$FA$300, 88, FALSE)="",":",VLOOKUP($E$27,[1]QUART!$A$2:$FA$300, 88, FALSE))</f>
        <v>2433</v>
      </c>
      <c r="CL27" s="556">
        <f>IF(VLOOKUP($E$27,[1]QUART!$A$2:$FA$300, 89, FALSE)="",":",VLOOKUP($E$27,[1]QUART!$A$2:$FA$300, 89, FALSE))</f>
        <v>2354</v>
      </c>
      <c r="CM27" s="556">
        <f>IF(VLOOKUP($E$27,[1]QUART!$A$2:$FA$300, 90, FALSE)="",":",VLOOKUP($E$27,[1]QUART!$A$2:$FA$300, 90, FALSE))</f>
        <v>2351</v>
      </c>
      <c r="CN27" s="556">
        <f>IF(VLOOKUP($E$27,[1]QUART!$A$2:$FA$300, 91, FALSE)="",":",VLOOKUP($E$27,[1]QUART!$A$2:$FA$300, 91, FALSE))</f>
        <v>2313</v>
      </c>
      <c r="CO27" s="556">
        <f>IF(VLOOKUP($E$27,[1]QUART!$A$2:$FA$300, 92, FALSE)="",":",VLOOKUP($E$27,[1]QUART!$A$2:$FA$300, 92, FALSE))</f>
        <v>2302</v>
      </c>
      <c r="CP27" s="556">
        <f>IF(VLOOKUP($E$27,[1]QUART!$A$2:$FA$300, 93, FALSE)="",":",VLOOKUP($E$27,[1]QUART!$A$2:$FA$300, 93, FALSE))</f>
        <v>2366</v>
      </c>
      <c r="CQ27" s="556">
        <f>IF(VLOOKUP($E$27,[1]QUART!$A$2:$FA$300, 94, FALSE)="",":",VLOOKUP($E$27,[1]QUART!$A$2:$FA$300, 94, FALSE))</f>
        <v>2368</v>
      </c>
      <c r="CR27" s="556">
        <f>IF(VLOOKUP($E$27,[1]QUART!$A$2:$FA$300, 95, FALSE)="",":",VLOOKUP($E$27,[1]QUART!$A$2:$FA$300, 95, FALSE))</f>
        <v>2414</v>
      </c>
      <c r="CS27" s="556">
        <f>IF(VLOOKUP($E$27,[1]QUART!$A$2:$FA$300, 96, FALSE)="",":",VLOOKUP($E$27,[1]QUART!$A$2:$FA$300, 96, FALSE))</f>
        <v>2436</v>
      </c>
      <c r="CT27" s="556">
        <f>IF(VLOOKUP($E$27,[1]QUART!$A$2:$FA$300, 97, FALSE)="",":",VLOOKUP($E$27,[1]QUART!$A$2:$FA$300, 97, FALSE))</f>
        <v>2508</v>
      </c>
      <c r="CU27" s="556" t="str">
        <f>IF(VLOOKUP($E$27,[1]QUART!$A$2:$FA$300, 98, FALSE)="",":",VLOOKUP($E$27,[1]QUART!$A$2:$FA$300, 98, FALSE))</f>
        <v>:</v>
      </c>
      <c r="CV27" s="556" t="str">
        <f>IF(VLOOKUP($E$27,[1]QUART!$A$2:$FA$300, 99, FALSE)="",":",VLOOKUP($E$27,[1]QUART!$A$2:$FA$300, 99, FALSE))</f>
        <v>:</v>
      </c>
      <c r="CW27" s="556" t="str">
        <f>IF(VLOOKUP($E$27,[1]QUART!$A$2:$FA$300, 100, FALSE)="",":",VLOOKUP($E$27,[1]QUART!$A$2:$FA$300, 100, FALSE))</f>
        <v>:</v>
      </c>
      <c r="CX27" s="556" t="str">
        <f>IF(VLOOKUP($E$27,[1]QUART!$A$2:$FA$300, 101, FALSE)="",":",VLOOKUP($E$27,[1]QUART!$A$2:$FA$300, 101, FALSE))</f>
        <v>:</v>
      </c>
      <c r="CY27" s="556" t="str">
        <f>IF(VLOOKUP($E$27,[1]QUART!$A$2:$FA$300, 102, FALSE)="",":",VLOOKUP($E$27,[1]QUART!$A$2:$FA$300, 102, FALSE))</f>
        <v>:</v>
      </c>
      <c r="CZ27" s="556" t="str">
        <f>IF(VLOOKUP($E$27,[1]QUART!$A$2:$FA$300, 103, FALSE)="",":",VLOOKUP($E$27,[1]QUART!$A$2:$FA$300, 103, FALSE))</f>
        <v>:</v>
      </c>
      <c r="DA27" s="556" t="str">
        <f>IF(VLOOKUP($E$27,[1]QUART!$A$2:$FA$300, 104, FALSE)="",":",VLOOKUP($E$27,[1]QUART!$A$2:$FA$300, 104, FALSE))</f>
        <v>:</v>
      </c>
      <c r="DB27" s="556" t="str">
        <f>IF(VLOOKUP($E$27,[1]QUART!$A$2:$FA$300, 105, FALSE)="",":",VLOOKUP($E$27,[1]QUART!$A$2:$FA$300, 105, FALSE))</f>
        <v>:</v>
      </c>
      <c r="DC27" s="556" t="str">
        <f>IF(VLOOKUP($E$27,[1]QUART!$A$2:$FA$300, 106, FALSE)="",":",VLOOKUP($E$27,[1]QUART!$A$2:$FA$300, 106, FALSE))</f>
        <v>:</v>
      </c>
    </row>
    <row r="28" spans="1:107">
      <c r="A28" s="546"/>
      <c r="B28" s="546"/>
      <c r="C28" s="547"/>
      <c r="D28" s="12" t="s">
        <v>363</v>
      </c>
      <c r="E28" s="13">
        <v>83</v>
      </c>
      <c r="F28" s="14" t="str">
        <f>VLOOKUP($E$28,[1]QUART!$A$2:$FA$300, 3, FALSE)</f>
        <v>85 Gross capital formation (incl. Inventories)</v>
      </c>
      <c r="G28" s="556" t="str">
        <f>IF(VLOOKUP($E$28,[1]QUART!$A$2:$FA$300, 6, FALSE)="",":",VLOOKUP($E$28,[1]QUART!$A$2:$FA$300, 6, FALSE))</f>
        <v>:</v>
      </c>
      <c r="H28" s="556" t="str">
        <f>IF(VLOOKUP($E$28,[1]QUART!$A$2:$FA$300, 7, FALSE)="",":",VLOOKUP($E$28,[1]QUART!$A$2:$FA$300, 7, FALSE))</f>
        <v>:</v>
      </c>
      <c r="I28" s="556" t="str">
        <f>IF(VLOOKUP($E$28,[1]QUART!$A$2:$FA$300, 8, FALSE)="",":",VLOOKUP($E$28,[1]QUART!$A$2:$FA$300, 8, FALSE))</f>
        <v>:</v>
      </c>
      <c r="J28" s="556" t="str">
        <f>IF(VLOOKUP($E$28,[1]QUART!$A$2:$FA$300, 9, FALSE)="",":",VLOOKUP($E$28,[1]QUART!$A$2:$FA$300, 9, FALSE))</f>
        <v>:</v>
      </c>
      <c r="K28" s="556" t="str">
        <f>IF(VLOOKUP($E$28,[1]QUART!$A$2:$FA$300, 10, FALSE)="",":",VLOOKUP($E$28,[1]QUART!$A$2:$FA$300, 10, FALSE))</f>
        <v>:</v>
      </c>
      <c r="L28" s="556" t="str">
        <f>IF(VLOOKUP($E$28,[1]QUART!$A$2:$FA$300, 11, FALSE)="",":",VLOOKUP($E$28,[1]QUART!$A$2:$FA$300, 11, FALSE))</f>
        <v>:</v>
      </c>
      <c r="M28" s="556" t="str">
        <f>IF(VLOOKUP($E$28,[1]QUART!$A$2:$FA$300, 12, FALSE)="",":",VLOOKUP($E$28,[1]QUART!$A$2:$FA$300, 12, FALSE))</f>
        <v>:</v>
      </c>
      <c r="N28" s="556" t="str">
        <f>IF(VLOOKUP($E$28,[1]QUART!$A$2:$FA$300, 13, FALSE)="",":",VLOOKUP($E$28,[1]QUART!$A$2:$FA$300, 13, FALSE))</f>
        <v>:</v>
      </c>
      <c r="O28" s="556" t="str">
        <f>IF(VLOOKUP($E$28,[1]QUART!$A$2:$FA$300, 14, FALSE)="",":",VLOOKUP($E$28,[1]QUART!$A$2:$FA$300, 14, FALSE))</f>
        <v>:</v>
      </c>
      <c r="P28" s="556" t="str">
        <f>IF(VLOOKUP($E$28,[1]QUART!$A$2:$FA$300, 15, FALSE)="",":",VLOOKUP($E$28,[1]QUART!$A$2:$FA$300, 15, FALSE))</f>
        <v>:</v>
      </c>
      <c r="Q28" s="556" t="str">
        <f>IF(VLOOKUP($E$28,[1]QUART!$A$2:$FA$300, 16, FALSE)="",":",VLOOKUP($E$28,[1]QUART!$A$2:$FA$300, 16, FALSE))</f>
        <v>:</v>
      </c>
      <c r="R28" s="556" t="str">
        <f>IF(VLOOKUP($E$28,[1]QUART!$A$2:$FA$300, 17, FALSE)="",":",VLOOKUP($E$28,[1]QUART!$A$2:$FA$300, 17, FALSE))</f>
        <v>:</v>
      </c>
      <c r="S28" s="556" t="str">
        <f>IF(VLOOKUP($E$28,[1]QUART!$A$2:$FA$300, 18, FALSE)="",":",VLOOKUP($E$28,[1]QUART!$A$2:$FA$300, 18, FALSE))</f>
        <v>:</v>
      </c>
      <c r="T28" s="556" t="str">
        <f>IF(VLOOKUP($E$28,[1]QUART!$A$2:$FA$300, 19, FALSE)="",":",VLOOKUP($E$28,[1]QUART!$A$2:$FA$300, 19, FALSE))</f>
        <v>:</v>
      </c>
      <c r="U28" s="556" t="str">
        <f>IF(VLOOKUP($E$28,[1]QUART!$A$2:$FA$300, 20, FALSE)="",":",VLOOKUP($E$28,[1]QUART!$A$2:$FA$300, 20, FALSE))</f>
        <v>:</v>
      </c>
      <c r="V28" s="556" t="str">
        <f>IF(VLOOKUP($E$28,[1]QUART!$A$2:$FA$300, 21, FALSE)="",":",VLOOKUP($E$28,[1]QUART!$A$2:$FA$300, 21, FALSE))</f>
        <v>:</v>
      </c>
      <c r="W28" s="556" t="str">
        <f>IF(VLOOKUP($E$28,[1]QUART!$A$2:$FA$300, 22, FALSE)="",":",VLOOKUP($E$28,[1]QUART!$A$2:$FA$300, 22, FALSE))</f>
        <v>:</v>
      </c>
      <c r="X28" s="556" t="str">
        <f>IF(VLOOKUP($E$28,[1]QUART!$A$2:$FA$300, 23, FALSE)="",":",VLOOKUP($E$28,[1]QUART!$A$2:$FA$300, 23, FALSE))</f>
        <v>:</v>
      </c>
      <c r="Y28" s="556" t="str">
        <f>IF(VLOOKUP($E$28,[1]QUART!$A$2:$FA$300, 24, FALSE)="",":",VLOOKUP($E$28,[1]QUART!$A$2:$FA$300, 24, FALSE))</f>
        <v>:</v>
      </c>
      <c r="Z28" s="556" t="str">
        <f>IF(VLOOKUP($E$28,[1]QUART!$A$2:$FA$300, 25, FALSE)="",":",VLOOKUP($E$28,[1]QUART!$A$2:$FA$300, 25, FALSE))</f>
        <v>:</v>
      </c>
      <c r="AA28" s="556" t="str">
        <f>IF(VLOOKUP($E$28,[1]QUART!$A$2:$FA$300, 26, FALSE)="",":",VLOOKUP($E$28,[1]QUART!$A$2:$FA$300, 26, FALSE))</f>
        <v>:</v>
      </c>
      <c r="AB28" s="556" t="str">
        <f>IF(VLOOKUP($E$28,[1]QUART!$A$2:$FA$300, 27, FALSE)="",":",VLOOKUP($E$28,[1]QUART!$A$2:$FA$300, 27, FALSE))</f>
        <v>:</v>
      </c>
      <c r="AC28" s="556" t="str">
        <f>IF(VLOOKUP($E$28,[1]QUART!$A$2:$FA$300, 28, FALSE)="",":",VLOOKUP($E$28,[1]QUART!$A$2:$FA$300, 28, FALSE))</f>
        <v>:</v>
      </c>
      <c r="AD28" s="556" t="str">
        <f>IF(VLOOKUP($E$28,[1]QUART!$A$2:$FA$300, 29, FALSE)="",":",VLOOKUP($E$28,[1]QUART!$A$2:$FA$300, 29, FALSE))</f>
        <v>:</v>
      </c>
      <c r="AE28" s="556" t="str">
        <f>IF(VLOOKUP($E$28,[1]QUART!$A$2:$FA$300, 30, FALSE)="",":",VLOOKUP($E$28,[1]QUART!$A$2:$FA$300, 30, FALSE))</f>
        <v>:</v>
      </c>
      <c r="AF28" s="556" t="str">
        <f>IF(VLOOKUP($E$28,[1]QUART!$A$2:$FA$300, 31, FALSE)="",":",VLOOKUP($E$28,[1]QUART!$A$2:$FA$300, 31, FALSE))</f>
        <v>:</v>
      </c>
      <c r="AG28" s="556" t="str">
        <f>IF(VLOOKUP($E$28,[1]QUART!$A$2:$FA$300, 32, FALSE)="",":",VLOOKUP($E$28,[1]QUART!$A$2:$FA$300, 32, FALSE))</f>
        <v>:</v>
      </c>
      <c r="AH28" s="556" t="str">
        <f>IF(VLOOKUP($E$28,[1]QUART!$A$2:$FA$300, 33, FALSE)="",":",VLOOKUP($E$28,[1]QUART!$A$2:$FA$300, 33, FALSE))</f>
        <v>:</v>
      </c>
      <c r="AI28" s="556" t="str">
        <f>IF(VLOOKUP($E$28,[1]QUART!$A$2:$FA$300, 34, FALSE)="",":",VLOOKUP($E$28,[1]QUART!$A$2:$FA$300, 34, FALSE))</f>
        <v>:</v>
      </c>
      <c r="AJ28" s="556" t="str">
        <f>IF(VLOOKUP($E$28,[1]QUART!$A$2:$FA$300, 35, FALSE)="",":",VLOOKUP($E$28,[1]QUART!$A$2:$FA$300, 35, FALSE))</f>
        <v>:</v>
      </c>
      <c r="AK28" s="556" t="str">
        <f>IF(VLOOKUP($E$28,[1]QUART!$A$2:$FA$300, 36, FALSE)="",":",VLOOKUP($E$28,[1]QUART!$A$2:$FA$300, 36, FALSE))</f>
        <v>:</v>
      </c>
      <c r="AL28" s="556" t="str">
        <f>IF(VLOOKUP($E$28,[1]QUART!$A$2:$FA$300, 37, FALSE)="",":",VLOOKUP($E$28,[1]QUART!$A$2:$FA$300, 37, FALSE))</f>
        <v>:</v>
      </c>
      <c r="AM28" s="556" t="str">
        <f>IF(VLOOKUP($E$28,[1]QUART!$A$2:$FA$300, 38, FALSE)="",":",VLOOKUP($E$28,[1]QUART!$A$2:$FA$300, 38, FALSE))</f>
        <v>:</v>
      </c>
      <c r="AN28" s="556" t="str">
        <f>IF(VLOOKUP($E$28,[1]QUART!$A$2:$FA$300, 39, FALSE)="",":",VLOOKUP($E$28,[1]QUART!$A$2:$FA$300, 39, FALSE))</f>
        <v>:</v>
      </c>
      <c r="AO28" s="556" t="str">
        <f>IF(VLOOKUP($E$28,[1]QUART!$A$2:$FA$300, 40, FALSE)="",":",VLOOKUP($E$28,[1]QUART!$A$2:$FA$300, 40, FALSE))</f>
        <v>:</v>
      </c>
      <c r="AP28" s="556" t="str">
        <f>IF(VLOOKUP($E$28,[1]QUART!$A$2:$FA$300, 41, FALSE)="",":",VLOOKUP($E$28,[1]QUART!$A$2:$FA$300, 41, FALSE))</f>
        <v>:</v>
      </c>
      <c r="AQ28" s="556" t="str">
        <f>IF(VLOOKUP($E$28,[1]QUART!$A$2:$FA$300, 42, FALSE)="",":",VLOOKUP($E$28,[1]QUART!$A$2:$FA$300, 42, FALSE))</f>
        <v>:</v>
      </c>
      <c r="AR28" s="556" t="str">
        <f>IF(VLOOKUP($E$28,[1]QUART!$A$2:$FA$300, 43, FALSE)="",":",VLOOKUP($E$28,[1]QUART!$A$2:$FA$300, 43, FALSE))</f>
        <v>:</v>
      </c>
      <c r="AS28" s="556" t="str">
        <f>IF(VLOOKUP($E$28,[1]QUART!$A$2:$FA$300, 44, FALSE)="",":",VLOOKUP($E$28,[1]QUART!$A$2:$FA$300, 44, FALSE))</f>
        <v>:</v>
      </c>
      <c r="AT28" s="556" t="str">
        <f>IF(VLOOKUP($E$28,[1]QUART!$A$2:$FA$300, 45, FALSE)="",":",VLOOKUP($E$28,[1]QUART!$A$2:$FA$300, 45, FALSE))</f>
        <v>:</v>
      </c>
      <c r="AU28" s="556" t="str">
        <f>IF(VLOOKUP($E$28,[1]QUART!$A$2:$FA$300, 46, FALSE)="",":",VLOOKUP($E$28,[1]QUART!$A$2:$FA$300, 46, FALSE))</f>
        <v>:</v>
      </c>
      <c r="AV28" s="556" t="str">
        <f>IF(VLOOKUP($E$28,[1]QUART!$A$2:$FA$300, 47, FALSE)="",":",VLOOKUP($E$28,[1]QUART!$A$2:$FA$300, 47, FALSE))</f>
        <v>:</v>
      </c>
      <c r="AW28" s="556" t="str">
        <f>IF(VLOOKUP($E$28,[1]QUART!$A$2:$FA$300, 48, FALSE)="",":",VLOOKUP($E$28,[1]QUART!$A$2:$FA$300, 48, FALSE))</f>
        <v>:</v>
      </c>
      <c r="AX28" s="556" t="str">
        <f>IF(VLOOKUP($E$28,[1]QUART!$A$2:$FA$300, 49, FALSE)="",":",VLOOKUP($E$28,[1]QUART!$A$2:$FA$300, 49, FALSE))</f>
        <v>:</v>
      </c>
      <c r="AY28" s="556" t="str">
        <f>IF(VLOOKUP($E$28,[1]QUART!$A$2:$FA$300, 50, FALSE)="",":",VLOOKUP($E$28,[1]QUART!$A$2:$FA$300, 50, FALSE))</f>
        <v>:</v>
      </c>
      <c r="AZ28" s="556" t="str">
        <f>IF(VLOOKUP($E$28,[1]QUART!$A$2:$FA$300, 51, FALSE)="",":",VLOOKUP($E$28,[1]QUART!$A$2:$FA$300, 51, FALSE))</f>
        <v>:</v>
      </c>
      <c r="BA28" s="556" t="str">
        <f>IF(VLOOKUP($E$28,[1]QUART!$A$2:$FA$300, 52, FALSE)="",":",VLOOKUP($E$28,[1]QUART!$A$2:$FA$300, 52, FALSE))</f>
        <v>:</v>
      </c>
      <c r="BB28" s="556" t="str">
        <f>IF(VLOOKUP($E$28,[1]QUART!$A$2:$FA$300, 53, FALSE)="",":",VLOOKUP($E$28,[1]QUART!$A$2:$FA$300, 53, FALSE))</f>
        <v>:</v>
      </c>
      <c r="BC28" s="556" t="str">
        <f>IF(VLOOKUP($E$28,[1]QUART!$A$2:$FA$300, 54, FALSE)="",":",VLOOKUP($E$28,[1]QUART!$A$2:$FA$300, 54, FALSE))</f>
        <v>:</v>
      </c>
      <c r="BD28" s="556" t="str">
        <f>IF(VLOOKUP($E$28,[1]QUART!$A$2:$FA$300, 55, FALSE)="",":",VLOOKUP($E$28,[1]QUART!$A$2:$FA$300, 55, FALSE))</f>
        <v>:</v>
      </c>
      <c r="BE28" s="556" t="str">
        <f>IF(VLOOKUP($E$28,[1]QUART!$A$2:$FA$300, 56, FALSE)="",":",VLOOKUP($E$28,[1]QUART!$A$2:$FA$300, 56, FALSE))</f>
        <v>:</v>
      </c>
      <c r="BF28" s="556" t="str">
        <f>IF(VLOOKUP($E$28,[1]QUART!$A$2:$FA$300, 57, FALSE)="",":",VLOOKUP($E$28,[1]QUART!$A$2:$FA$300, 57, FALSE))</f>
        <v>:</v>
      </c>
      <c r="BG28" s="556" t="str">
        <f>IF(VLOOKUP($E$28,[1]QUART!$A$2:$FA$300, 58, FALSE)="",":",VLOOKUP($E$28,[1]QUART!$A$2:$FA$300, 58, FALSE))</f>
        <v>:</v>
      </c>
      <c r="BH28" s="556" t="str">
        <f>IF(VLOOKUP($E$28,[1]QUART!$A$2:$FA$300, 59, FALSE)="",":",VLOOKUP($E$28,[1]QUART!$A$2:$FA$300, 59, FALSE))</f>
        <v>:</v>
      </c>
      <c r="BI28" s="556" t="str">
        <f>IF(VLOOKUP($E$28,[1]QUART!$A$2:$FA$300, 60, FALSE)="",":",VLOOKUP($E$28,[1]QUART!$A$2:$FA$300, 60, FALSE))</f>
        <v>:</v>
      </c>
      <c r="BJ28" s="556" t="str">
        <f>IF(VLOOKUP($E$28,[1]QUART!$A$2:$FA$300, 61, FALSE)="",":",VLOOKUP($E$28,[1]QUART!$A$2:$FA$300, 61, FALSE))</f>
        <v>:</v>
      </c>
      <c r="BK28" s="556" t="str">
        <f>IF(VLOOKUP($E$28,[1]QUART!$A$2:$FA$300, 62, FALSE)="",":",VLOOKUP($E$28,[1]QUART!$A$2:$FA$300, 62, FALSE))</f>
        <v>:</v>
      </c>
      <c r="BL28" s="556" t="str">
        <f>IF(VLOOKUP($E$28,[1]QUART!$A$2:$FA$300, 63, FALSE)="",":",VLOOKUP($E$28,[1]QUART!$A$2:$FA$300, 63, FALSE))</f>
        <v>:</v>
      </c>
      <c r="BM28" s="556" t="str">
        <f>IF(VLOOKUP($E$28,[1]QUART!$A$2:$FA$300, 64, FALSE)="",":",VLOOKUP($E$28,[1]QUART!$A$2:$FA$300, 64, FALSE))</f>
        <v>:</v>
      </c>
      <c r="BN28" s="556" t="str">
        <f>IF(VLOOKUP($E$28,[1]QUART!$A$2:$FA$300, 65, FALSE)="",":",VLOOKUP($E$28,[1]QUART!$A$2:$FA$300, 65, FALSE))</f>
        <v>:</v>
      </c>
      <c r="BO28" s="556" t="str">
        <f>IF(VLOOKUP($E$28,[1]QUART!$A$2:$FA$300, 66, FALSE)="",":",VLOOKUP($E$28,[1]QUART!$A$2:$FA$300, 66, FALSE))</f>
        <v>:</v>
      </c>
      <c r="BP28" s="556" t="str">
        <f>IF(VLOOKUP($E$28,[1]QUART!$A$2:$FA$300, 67, FALSE)="",":",VLOOKUP($E$28,[1]QUART!$A$2:$FA$300, 67, FALSE))</f>
        <v>:</v>
      </c>
      <c r="BQ28" s="556" t="str">
        <f>IF(VLOOKUP($E$28,[1]QUART!$A$2:$FA$300, 68, FALSE)="",":",VLOOKUP($E$28,[1]QUART!$A$2:$FA$300, 68, FALSE))</f>
        <v>:</v>
      </c>
      <c r="BR28" s="556" t="str">
        <f>IF(VLOOKUP($E$28,[1]QUART!$A$2:$FA$300, 69, FALSE)="",":",VLOOKUP($E$28,[1]QUART!$A$2:$FA$300, 69, FALSE))</f>
        <v>:</v>
      </c>
      <c r="BS28" s="556" t="str">
        <f>IF(VLOOKUP($E$28,[1]QUART!$A$2:$FA$300, 70, FALSE)="",":",VLOOKUP($E$28,[1]QUART!$A$2:$FA$300, 70, FALSE))</f>
        <v>:</v>
      </c>
      <c r="BT28" s="556" t="str">
        <f>IF(VLOOKUP($E$28,[1]QUART!$A$2:$FA$300, 71, FALSE)="",":",VLOOKUP($E$28,[1]QUART!$A$2:$FA$300, 71, FALSE))</f>
        <v>:</v>
      </c>
      <c r="BU28" s="556" t="str">
        <f>IF(VLOOKUP($E$28,[1]QUART!$A$2:$FA$300, 72, FALSE)="",":",VLOOKUP($E$28,[1]QUART!$A$2:$FA$300, 72, FALSE))</f>
        <v>:</v>
      </c>
      <c r="BV28" s="556" t="str">
        <f>IF(VLOOKUP($E$28,[1]QUART!$A$2:$FA$300, 73, FALSE)="",":",VLOOKUP($E$28,[1]QUART!$A$2:$FA$300, 73, FALSE))</f>
        <v>:</v>
      </c>
      <c r="BW28" s="556" t="str">
        <f>IF(VLOOKUP($E$28,[1]QUART!$A$2:$FA$300, 74, FALSE)="",":",VLOOKUP($E$28,[1]QUART!$A$2:$FA$300, 74, FALSE))</f>
        <v>:</v>
      </c>
      <c r="BX28" s="556" t="str">
        <f>IF(VLOOKUP($E$28,[1]QUART!$A$2:$FA$300, 75, FALSE)="",":",VLOOKUP($E$28,[1]QUART!$A$2:$FA$300, 75, FALSE))</f>
        <v>:</v>
      </c>
      <c r="BY28" s="556" t="str">
        <f>IF(VLOOKUP($E$28,[1]QUART!$A$2:$FA$300, 76, FALSE)="",":",VLOOKUP($E$28,[1]QUART!$A$2:$FA$300, 76, FALSE))</f>
        <v>:</v>
      </c>
      <c r="BZ28" s="556" t="str">
        <f>IF(VLOOKUP($E$28,[1]QUART!$A$2:$FA$300, 77, FALSE)="",":",VLOOKUP($E$28,[1]QUART!$A$2:$FA$300, 77, FALSE))</f>
        <v>:</v>
      </c>
      <c r="CA28" s="556" t="str">
        <f>IF(VLOOKUP($E$28,[1]QUART!$A$2:$FA$300, 78, FALSE)="",":",VLOOKUP($E$28,[1]QUART!$A$2:$FA$300, 78, FALSE))</f>
        <v>:</v>
      </c>
      <c r="CB28" s="556" t="str">
        <f>IF(VLOOKUP($E$28,[1]QUART!$A$2:$FA$300, 79, FALSE)="",":",VLOOKUP($E$28,[1]QUART!$A$2:$FA$300, 79, FALSE))</f>
        <v>:</v>
      </c>
      <c r="CC28" s="556" t="str">
        <f>IF(VLOOKUP($E$28,[1]QUART!$A$2:$FA$300, 80, FALSE)="",":",VLOOKUP($E$28,[1]QUART!$A$2:$FA$300, 80, FALSE))</f>
        <v>:</v>
      </c>
      <c r="CD28" s="556" t="str">
        <f>IF(VLOOKUP($E$28,[1]QUART!$A$2:$FA$300, 81, FALSE)="",":",VLOOKUP($E$28,[1]QUART!$A$2:$FA$300, 81, FALSE))</f>
        <v>:</v>
      </c>
      <c r="CE28" s="556" t="str">
        <f>IF(VLOOKUP($E$28,[1]QUART!$A$2:$FA$300, 82, FALSE)="",":",VLOOKUP($E$28,[1]QUART!$A$2:$FA$300, 82, FALSE))</f>
        <v>:</v>
      </c>
      <c r="CF28" s="556" t="str">
        <f>IF(VLOOKUP($E$28,[1]QUART!$A$2:$FA$300, 83, FALSE)="",":",VLOOKUP($E$28,[1]QUART!$A$2:$FA$300, 83, FALSE))</f>
        <v>:</v>
      </c>
      <c r="CG28" s="556" t="str">
        <f>IF(VLOOKUP($E$28,[1]QUART!$A$2:$FA$300, 84, FALSE)="",":",VLOOKUP($E$28,[1]QUART!$A$2:$FA$300, 84, FALSE))</f>
        <v>:</v>
      </c>
      <c r="CH28" s="556" t="str">
        <f>IF(VLOOKUP($E$28,[1]QUART!$A$2:$FA$300, 85, FALSE)="",":",VLOOKUP($E$28,[1]QUART!$A$2:$FA$300, 85, FALSE))</f>
        <v>:</v>
      </c>
      <c r="CI28" s="556" t="str">
        <f>IF(VLOOKUP($E$28,[1]QUART!$A$2:$FA$300, 86, FALSE)="",":",VLOOKUP($E$28,[1]QUART!$A$2:$FA$300, 86, FALSE))</f>
        <v>:</v>
      </c>
      <c r="CJ28" s="556" t="str">
        <f>IF(VLOOKUP($E$28,[1]QUART!$A$2:$FA$300, 87, FALSE)="",":",VLOOKUP($E$28,[1]QUART!$A$2:$FA$300, 87, FALSE))</f>
        <v>:</v>
      </c>
      <c r="CK28" s="556" t="str">
        <f>IF(VLOOKUP($E$28,[1]QUART!$A$2:$FA$300, 88, FALSE)="",":",VLOOKUP($E$28,[1]QUART!$A$2:$FA$300, 88, FALSE))</f>
        <v>:</v>
      </c>
      <c r="CL28" s="556" t="str">
        <f>IF(VLOOKUP($E$28,[1]QUART!$A$2:$FA$300, 89, FALSE)="",":",VLOOKUP($E$28,[1]QUART!$A$2:$FA$300, 89, FALSE))</f>
        <v>:</v>
      </c>
      <c r="CM28" s="556" t="str">
        <f>IF(VLOOKUP($E$28,[1]QUART!$A$2:$FA$300, 90, FALSE)="",":",VLOOKUP($E$28,[1]QUART!$A$2:$FA$300, 90, FALSE))</f>
        <v>:</v>
      </c>
      <c r="CN28" s="556" t="str">
        <f>IF(VLOOKUP($E$28,[1]QUART!$A$2:$FA$300, 91, FALSE)="",":",VLOOKUP($E$28,[1]QUART!$A$2:$FA$300, 91, FALSE))</f>
        <v>:</v>
      </c>
      <c r="CO28" s="556" t="str">
        <f>IF(VLOOKUP($E$28,[1]QUART!$A$2:$FA$300, 92, FALSE)="",":",VLOOKUP($E$28,[1]QUART!$A$2:$FA$300, 92, FALSE))</f>
        <v>:</v>
      </c>
      <c r="CP28" s="556" t="str">
        <f>IF(VLOOKUP($E$28,[1]QUART!$A$2:$FA$300, 93, FALSE)="",":",VLOOKUP($E$28,[1]QUART!$A$2:$FA$300, 93, FALSE))</f>
        <v>:</v>
      </c>
      <c r="CQ28" s="556" t="str">
        <f>IF(VLOOKUP($E$28,[1]QUART!$A$2:$FA$300, 94, FALSE)="",":",VLOOKUP($E$28,[1]QUART!$A$2:$FA$300, 94, FALSE))</f>
        <v>:</v>
      </c>
      <c r="CR28" s="556" t="str">
        <f>IF(VLOOKUP($E$28,[1]QUART!$A$2:$FA$300, 95, FALSE)="",":",VLOOKUP($E$28,[1]QUART!$A$2:$FA$300, 95, FALSE))</f>
        <v>:</v>
      </c>
      <c r="CS28" s="556" t="str">
        <f>IF(VLOOKUP($E$28,[1]QUART!$A$2:$FA$300, 96, FALSE)="",":",VLOOKUP($E$28,[1]QUART!$A$2:$FA$300, 96, FALSE))</f>
        <v>:</v>
      </c>
      <c r="CT28" s="556" t="str">
        <f>IF(VLOOKUP($E$28,[1]QUART!$A$2:$FA$300, 97, FALSE)="",":",VLOOKUP($E$28,[1]QUART!$A$2:$FA$300, 97, FALSE))</f>
        <v>:</v>
      </c>
      <c r="CU28" s="556" t="str">
        <f>IF(VLOOKUP($E$28,[1]QUART!$A$2:$FA$300, 98, FALSE)="",":",VLOOKUP($E$28,[1]QUART!$A$2:$FA$300, 98, FALSE))</f>
        <v>:</v>
      </c>
      <c r="CV28" s="556" t="str">
        <f>IF(VLOOKUP($E$28,[1]QUART!$A$2:$FA$300, 99, FALSE)="",":",VLOOKUP($E$28,[1]QUART!$A$2:$FA$300, 99, FALSE))</f>
        <v>:</v>
      </c>
      <c r="CW28" s="556" t="str">
        <f>IF(VLOOKUP($E$28,[1]QUART!$A$2:$FA$300, 100, FALSE)="",":",VLOOKUP($E$28,[1]QUART!$A$2:$FA$300, 100, FALSE))</f>
        <v>:</v>
      </c>
      <c r="CX28" s="556" t="str">
        <f>IF(VLOOKUP($E$28,[1]QUART!$A$2:$FA$300, 101, FALSE)="",":",VLOOKUP($E$28,[1]QUART!$A$2:$FA$300, 101, FALSE))</f>
        <v>:</v>
      </c>
      <c r="CY28" s="556" t="str">
        <f>IF(VLOOKUP($E$28,[1]QUART!$A$2:$FA$300, 102, FALSE)="",":",VLOOKUP($E$28,[1]QUART!$A$2:$FA$300, 102, FALSE))</f>
        <v>:</v>
      </c>
      <c r="CZ28" s="556" t="str">
        <f>IF(VLOOKUP($E$28,[1]QUART!$A$2:$FA$300, 103, FALSE)="",":",VLOOKUP($E$28,[1]QUART!$A$2:$FA$300, 103, FALSE))</f>
        <v>:</v>
      </c>
      <c r="DA28" s="556" t="str">
        <f>IF(VLOOKUP($E$28,[1]QUART!$A$2:$FA$300, 104, FALSE)="",":",VLOOKUP($E$28,[1]QUART!$A$2:$FA$300, 104, FALSE))</f>
        <v>:</v>
      </c>
      <c r="DB28" s="556" t="str">
        <f>IF(VLOOKUP($E$28,[1]QUART!$A$2:$FA$300, 105, FALSE)="",":",VLOOKUP($E$28,[1]QUART!$A$2:$FA$300, 105, FALSE))</f>
        <v>:</v>
      </c>
      <c r="DC28" s="556" t="str">
        <f>IF(VLOOKUP($E$28,[1]QUART!$A$2:$FA$300, 106, FALSE)="",":",VLOOKUP($E$28,[1]QUART!$A$2:$FA$300, 106, FALSE))</f>
        <v>:</v>
      </c>
    </row>
    <row r="29" spans="1:107">
      <c r="A29" s="546"/>
      <c r="B29" s="546"/>
      <c r="C29" s="547"/>
      <c r="D29" s="12" t="s">
        <v>363</v>
      </c>
      <c r="E29" s="13">
        <v>84</v>
      </c>
      <c r="F29" s="14" t="str">
        <f>VLOOKUP($E$29,[1]QUART!$A$2:$FA$300, 3, FALSE)</f>
        <v xml:space="preserve">84  Exports of goods                              </v>
      </c>
      <c r="G29" s="556" t="str">
        <f>IF(VLOOKUP($E$29,[1]QUART!$A$2:$FA$300, 6, FALSE)="",":",VLOOKUP($E$29,[1]QUART!$A$2:$FA$300, 6, FALSE))</f>
        <v>:</v>
      </c>
      <c r="H29" s="556" t="str">
        <f>IF(VLOOKUP($E$29,[1]QUART!$A$2:$FA$300, 7, FALSE)="",":",VLOOKUP($E$29,[1]QUART!$A$2:$FA$300, 7, FALSE))</f>
        <v>:</v>
      </c>
      <c r="I29" s="556" t="str">
        <f>IF(VLOOKUP($E$29,[1]QUART!$A$2:$FA$300, 8, FALSE)="",":",VLOOKUP($E$29,[1]QUART!$A$2:$FA$300, 8, FALSE))</f>
        <v>:</v>
      </c>
      <c r="J29" s="556" t="str">
        <f>IF(VLOOKUP($E$29,[1]QUART!$A$2:$FA$300, 9, FALSE)="",":",VLOOKUP($E$29,[1]QUART!$A$2:$FA$300, 9, FALSE))</f>
        <v>:</v>
      </c>
      <c r="K29" s="556" t="str">
        <f>IF(VLOOKUP($E$29,[1]QUART!$A$2:$FA$300, 10, FALSE)="",":",VLOOKUP($E$29,[1]QUART!$A$2:$FA$300, 10, FALSE))</f>
        <v>:</v>
      </c>
      <c r="L29" s="556" t="str">
        <f>IF(VLOOKUP($E$29,[1]QUART!$A$2:$FA$300, 11, FALSE)="",":",VLOOKUP($E$29,[1]QUART!$A$2:$FA$300, 11, FALSE))</f>
        <v>:</v>
      </c>
      <c r="M29" s="556" t="str">
        <f>IF(VLOOKUP($E$29,[1]QUART!$A$2:$FA$300, 12, FALSE)="",":",VLOOKUP($E$29,[1]QUART!$A$2:$FA$300, 12, FALSE))</f>
        <v>:</v>
      </c>
      <c r="N29" s="556" t="str">
        <f>IF(VLOOKUP($E$29,[1]QUART!$A$2:$FA$300, 13, FALSE)="",":",VLOOKUP($E$29,[1]QUART!$A$2:$FA$300, 13, FALSE))</f>
        <v>:</v>
      </c>
      <c r="O29" s="556" t="str">
        <f>IF(VLOOKUP($E$29,[1]QUART!$A$2:$FA$300, 14, FALSE)="",":",VLOOKUP($E$29,[1]QUART!$A$2:$FA$300, 14, FALSE))</f>
        <v>:</v>
      </c>
      <c r="P29" s="556" t="str">
        <f>IF(VLOOKUP($E$29,[1]QUART!$A$2:$FA$300, 15, FALSE)="",":",VLOOKUP($E$29,[1]QUART!$A$2:$FA$300, 15, FALSE))</f>
        <v>:</v>
      </c>
      <c r="Q29" s="556" t="str">
        <f>IF(VLOOKUP($E$29,[1]QUART!$A$2:$FA$300, 16, FALSE)="",":",VLOOKUP($E$29,[1]QUART!$A$2:$FA$300, 16, FALSE))</f>
        <v>:</v>
      </c>
      <c r="R29" s="556" t="str">
        <f>IF(VLOOKUP($E$29,[1]QUART!$A$2:$FA$300, 17, FALSE)="",":",VLOOKUP($E$29,[1]QUART!$A$2:$FA$300, 17, FALSE))</f>
        <v>:</v>
      </c>
      <c r="S29" s="556" t="str">
        <f>IF(VLOOKUP($E$29,[1]QUART!$A$2:$FA$300, 18, FALSE)="",":",VLOOKUP($E$29,[1]QUART!$A$2:$FA$300, 18, FALSE))</f>
        <v>:</v>
      </c>
      <c r="T29" s="556" t="str">
        <f>IF(VLOOKUP($E$29,[1]QUART!$A$2:$FA$300, 19, FALSE)="",":",VLOOKUP($E$29,[1]QUART!$A$2:$FA$300, 19, FALSE))</f>
        <v>:</v>
      </c>
      <c r="U29" s="556" t="str">
        <f>IF(VLOOKUP($E$29,[1]QUART!$A$2:$FA$300, 20, FALSE)="",":",VLOOKUP($E$29,[1]QUART!$A$2:$FA$300, 20, FALSE))</f>
        <v>:</v>
      </c>
      <c r="V29" s="556" t="str">
        <f>IF(VLOOKUP($E$29,[1]QUART!$A$2:$FA$300, 21, FALSE)="",":",VLOOKUP($E$29,[1]QUART!$A$2:$FA$300, 21, FALSE))</f>
        <v>:</v>
      </c>
      <c r="W29" s="556" t="str">
        <f>IF(VLOOKUP($E$29,[1]QUART!$A$2:$FA$300, 22, FALSE)="",":",VLOOKUP($E$29,[1]QUART!$A$2:$FA$300, 22, FALSE))</f>
        <v>:</v>
      </c>
      <c r="X29" s="556" t="str">
        <f>IF(VLOOKUP($E$29,[1]QUART!$A$2:$FA$300, 23, FALSE)="",":",VLOOKUP($E$29,[1]QUART!$A$2:$FA$300, 23, FALSE))</f>
        <v>:</v>
      </c>
      <c r="Y29" s="556" t="str">
        <f>IF(VLOOKUP($E$29,[1]QUART!$A$2:$FA$300, 24, FALSE)="",":",VLOOKUP($E$29,[1]QUART!$A$2:$FA$300, 24, FALSE))</f>
        <v>:</v>
      </c>
      <c r="Z29" s="556" t="str">
        <f>IF(VLOOKUP($E$29,[1]QUART!$A$2:$FA$300, 25, FALSE)="",":",VLOOKUP($E$29,[1]QUART!$A$2:$FA$300, 25, FALSE))</f>
        <v>:</v>
      </c>
      <c r="AA29" s="556" t="str">
        <f>IF(VLOOKUP($E$29,[1]QUART!$A$2:$FA$300, 26, FALSE)="",":",VLOOKUP($E$29,[1]QUART!$A$2:$FA$300, 26, FALSE))</f>
        <v>:</v>
      </c>
      <c r="AB29" s="556" t="str">
        <f>IF(VLOOKUP($E$29,[1]QUART!$A$2:$FA$300, 27, FALSE)="",":",VLOOKUP($E$29,[1]QUART!$A$2:$FA$300, 27, FALSE))</f>
        <v>:</v>
      </c>
      <c r="AC29" s="556" t="str">
        <f>IF(VLOOKUP($E$29,[1]QUART!$A$2:$FA$300, 28, FALSE)="",":",VLOOKUP($E$29,[1]QUART!$A$2:$FA$300, 28, FALSE))</f>
        <v>:</v>
      </c>
      <c r="AD29" s="556" t="str">
        <f>IF(VLOOKUP($E$29,[1]QUART!$A$2:$FA$300, 29, FALSE)="",":",VLOOKUP($E$29,[1]QUART!$A$2:$FA$300, 29, FALSE))</f>
        <v>:</v>
      </c>
      <c r="AE29" s="556" t="str">
        <f>IF(VLOOKUP($E$29,[1]QUART!$A$2:$FA$300, 30, FALSE)="",":",VLOOKUP($E$29,[1]QUART!$A$2:$FA$300, 30, FALSE))</f>
        <v>:</v>
      </c>
      <c r="AF29" s="556" t="str">
        <f>IF(VLOOKUP($E$29,[1]QUART!$A$2:$FA$300, 31, FALSE)="",":",VLOOKUP($E$29,[1]QUART!$A$2:$FA$300, 31, FALSE))</f>
        <v>:</v>
      </c>
      <c r="AG29" s="556" t="str">
        <f>IF(VLOOKUP($E$29,[1]QUART!$A$2:$FA$300, 32, FALSE)="",":",VLOOKUP($E$29,[1]QUART!$A$2:$FA$300, 32, FALSE))</f>
        <v>:</v>
      </c>
      <c r="AH29" s="556" t="str">
        <f>IF(VLOOKUP($E$29,[1]QUART!$A$2:$FA$300, 33, FALSE)="",":",VLOOKUP($E$29,[1]QUART!$A$2:$FA$300, 33, FALSE))</f>
        <v>:</v>
      </c>
      <c r="AI29" s="556" t="str">
        <f>IF(VLOOKUP($E$29,[1]QUART!$A$2:$FA$300, 34, FALSE)="",":",VLOOKUP($E$29,[1]QUART!$A$2:$FA$300, 34, FALSE))</f>
        <v>:</v>
      </c>
      <c r="AJ29" s="556" t="str">
        <f>IF(VLOOKUP($E$29,[1]QUART!$A$2:$FA$300, 35, FALSE)="",":",VLOOKUP($E$29,[1]QUART!$A$2:$FA$300, 35, FALSE))</f>
        <v>:</v>
      </c>
      <c r="AK29" s="556" t="str">
        <f>IF(VLOOKUP($E$29,[1]QUART!$A$2:$FA$300, 36, FALSE)="",":",VLOOKUP($E$29,[1]QUART!$A$2:$FA$300, 36, FALSE))</f>
        <v>:</v>
      </c>
      <c r="AL29" s="556" t="str">
        <f>IF(VLOOKUP($E$29,[1]QUART!$A$2:$FA$300, 37, FALSE)="",":",VLOOKUP($E$29,[1]QUART!$A$2:$FA$300, 37, FALSE))</f>
        <v>:</v>
      </c>
      <c r="AM29" s="556" t="str">
        <f>IF(VLOOKUP($E$29,[1]QUART!$A$2:$FA$300, 38, FALSE)="",":",VLOOKUP($E$29,[1]QUART!$A$2:$FA$300, 38, FALSE))</f>
        <v>:</v>
      </c>
      <c r="AN29" s="556" t="str">
        <f>IF(VLOOKUP($E$29,[1]QUART!$A$2:$FA$300, 39, FALSE)="",":",VLOOKUP($E$29,[1]QUART!$A$2:$FA$300, 39, FALSE))</f>
        <v>:</v>
      </c>
      <c r="AO29" s="556" t="str">
        <f>IF(VLOOKUP($E$29,[1]QUART!$A$2:$FA$300, 40, FALSE)="",":",VLOOKUP($E$29,[1]QUART!$A$2:$FA$300, 40, FALSE))</f>
        <v>:</v>
      </c>
      <c r="AP29" s="556" t="str">
        <f>IF(VLOOKUP($E$29,[1]QUART!$A$2:$FA$300, 41, FALSE)="",":",VLOOKUP($E$29,[1]QUART!$A$2:$FA$300, 41, FALSE))</f>
        <v>:</v>
      </c>
      <c r="AQ29" s="556" t="str">
        <f>IF(VLOOKUP($E$29,[1]QUART!$A$2:$FA$300, 42, FALSE)="",":",VLOOKUP($E$29,[1]QUART!$A$2:$FA$300, 42, FALSE))</f>
        <v>:</v>
      </c>
      <c r="AR29" s="556" t="str">
        <f>IF(VLOOKUP($E$29,[1]QUART!$A$2:$FA$300, 43, FALSE)="",":",VLOOKUP($E$29,[1]QUART!$A$2:$FA$300, 43, FALSE))</f>
        <v>:</v>
      </c>
      <c r="AS29" s="556" t="str">
        <f>IF(VLOOKUP($E$29,[1]QUART!$A$2:$FA$300, 44, FALSE)="",":",VLOOKUP($E$29,[1]QUART!$A$2:$FA$300, 44, FALSE))</f>
        <v>:</v>
      </c>
      <c r="AT29" s="556" t="str">
        <f>IF(VLOOKUP($E$29,[1]QUART!$A$2:$FA$300, 45, FALSE)="",":",VLOOKUP($E$29,[1]QUART!$A$2:$FA$300, 45, FALSE))</f>
        <v>:</v>
      </c>
      <c r="AU29" s="556" t="str">
        <f>IF(VLOOKUP($E$29,[1]QUART!$A$2:$FA$300, 46, FALSE)="",":",VLOOKUP($E$29,[1]QUART!$A$2:$FA$300, 46, FALSE))</f>
        <v>:</v>
      </c>
      <c r="AV29" s="556" t="str">
        <f>IF(VLOOKUP($E$29,[1]QUART!$A$2:$FA$300, 47, FALSE)="",":",VLOOKUP($E$29,[1]QUART!$A$2:$FA$300, 47, FALSE))</f>
        <v>:</v>
      </c>
      <c r="AW29" s="556" t="str">
        <f>IF(VLOOKUP($E$29,[1]QUART!$A$2:$FA$300, 48, FALSE)="",":",VLOOKUP($E$29,[1]QUART!$A$2:$FA$300, 48, FALSE))</f>
        <v>:</v>
      </c>
      <c r="AX29" s="556" t="str">
        <f>IF(VLOOKUP($E$29,[1]QUART!$A$2:$FA$300, 49, FALSE)="",":",VLOOKUP($E$29,[1]QUART!$A$2:$FA$300, 49, FALSE))</f>
        <v>:</v>
      </c>
      <c r="AY29" s="556" t="str">
        <f>IF(VLOOKUP($E$29,[1]QUART!$A$2:$FA$300, 50, FALSE)="",":",VLOOKUP($E$29,[1]QUART!$A$2:$FA$300, 50, FALSE))</f>
        <v>:</v>
      </c>
      <c r="AZ29" s="556" t="str">
        <f>IF(VLOOKUP($E$29,[1]QUART!$A$2:$FA$300, 51, FALSE)="",":",VLOOKUP($E$29,[1]QUART!$A$2:$FA$300, 51, FALSE))</f>
        <v>:</v>
      </c>
      <c r="BA29" s="556" t="str">
        <f>IF(VLOOKUP($E$29,[1]QUART!$A$2:$FA$300, 52, FALSE)="",":",VLOOKUP($E$29,[1]QUART!$A$2:$FA$300, 52, FALSE))</f>
        <v>:</v>
      </c>
      <c r="BB29" s="556" t="str">
        <f>IF(VLOOKUP($E$29,[1]QUART!$A$2:$FA$300, 53, FALSE)="",":",VLOOKUP($E$29,[1]QUART!$A$2:$FA$300, 53, FALSE))</f>
        <v>:</v>
      </c>
      <c r="BC29" s="556" t="str">
        <f>IF(VLOOKUP($E$29,[1]QUART!$A$2:$FA$300, 54, FALSE)="",":",VLOOKUP($E$29,[1]QUART!$A$2:$FA$300, 54, FALSE))</f>
        <v>:</v>
      </c>
      <c r="BD29" s="556" t="str">
        <f>IF(VLOOKUP($E$29,[1]QUART!$A$2:$FA$300, 55, FALSE)="",":",VLOOKUP($E$29,[1]QUART!$A$2:$FA$300, 55, FALSE))</f>
        <v>:</v>
      </c>
      <c r="BE29" s="556" t="str">
        <f>IF(VLOOKUP($E$29,[1]QUART!$A$2:$FA$300, 56, FALSE)="",":",VLOOKUP($E$29,[1]QUART!$A$2:$FA$300, 56, FALSE))</f>
        <v>:</v>
      </c>
      <c r="BF29" s="556" t="str">
        <f>IF(VLOOKUP($E$29,[1]QUART!$A$2:$FA$300, 57, FALSE)="",":",VLOOKUP($E$29,[1]QUART!$A$2:$FA$300, 57, FALSE))</f>
        <v>:</v>
      </c>
      <c r="BG29" s="556" t="str">
        <f>IF(VLOOKUP($E$29,[1]QUART!$A$2:$FA$300, 58, FALSE)="",":",VLOOKUP($E$29,[1]QUART!$A$2:$FA$300, 58, FALSE))</f>
        <v>:</v>
      </c>
      <c r="BH29" s="556" t="str">
        <f>IF(VLOOKUP($E$29,[1]QUART!$A$2:$FA$300, 59, FALSE)="",":",VLOOKUP($E$29,[1]QUART!$A$2:$FA$300, 59, FALSE))</f>
        <v>:</v>
      </c>
      <c r="BI29" s="556" t="str">
        <f>IF(VLOOKUP($E$29,[1]QUART!$A$2:$FA$300, 60, FALSE)="",":",VLOOKUP($E$29,[1]QUART!$A$2:$FA$300, 60, FALSE))</f>
        <v>:</v>
      </c>
      <c r="BJ29" s="556" t="str">
        <f>IF(VLOOKUP($E$29,[1]QUART!$A$2:$FA$300, 61, FALSE)="",":",VLOOKUP($E$29,[1]QUART!$A$2:$FA$300, 61, FALSE))</f>
        <v>:</v>
      </c>
      <c r="BK29" s="556" t="str">
        <f>IF(VLOOKUP($E$29,[1]QUART!$A$2:$FA$300, 62, FALSE)="",":",VLOOKUP($E$29,[1]QUART!$A$2:$FA$300, 62, FALSE))</f>
        <v>:</v>
      </c>
      <c r="BL29" s="556" t="str">
        <f>IF(VLOOKUP($E$29,[1]QUART!$A$2:$FA$300, 63, FALSE)="",":",VLOOKUP($E$29,[1]QUART!$A$2:$FA$300, 63, FALSE))</f>
        <v>:</v>
      </c>
      <c r="BM29" s="556" t="str">
        <f>IF(VLOOKUP($E$29,[1]QUART!$A$2:$FA$300, 64, FALSE)="",":",VLOOKUP($E$29,[1]QUART!$A$2:$FA$300, 64, FALSE))</f>
        <v>:</v>
      </c>
      <c r="BN29" s="556" t="str">
        <f>IF(VLOOKUP($E$29,[1]QUART!$A$2:$FA$300, 65, FALSE)="",":",VLOOKUP($E$29,[1]QUART!$A$2:$FA$300, 65, FALSE))</f>
        <v>:</v>
      </c>
      <c r="BO29" s="556" t="str">
        <f>IF(VLOOKUP($E$29,[1]QUART!$A$2:$FA$300, 66, FALSE)="",":",VLOOKUP($E$29,[1]QUART!$A$2:$FA$300, 66, FALSE))</f>
        <v>:</v>
      </c>
      <c r="BP29" s="556" t="str">
        <f>IF(VLOOKUP($E$29,[1]QUART!$A$2:$FA$300, 67, FALSE)="",":",VLOOKUP($E$29,[1]QUART!$A$2:$FA$300, 67, FALSE))</f>
        <v>:</v>
      </c>
      <c r="BQ29" s="556" t="str">
        <f>IF(VLOOKUP($E$29,[1]QUART!$A$2:$FA$300, 68, FALSE)="",":",VLOOKUP($E$29,[1]QUART!$A$2:$FA$300, 68, FALSE))</f>
        <v>:</v>
      </c>
      <c r="BR29" s="556" t="str">
        <f>IF(VLOOKUP($E$29,[1]QUART!$A$2:$FA$300, 69, FALSE)="",":",VLOOKUP($E$29,[1]QUART!$A$2:$FA$300, 69, FALSE))</f>
        <v>:</v>
      </c>
      <c r="BS29" s="556" t="str">
        <f>IF(VLOOKUP($E$29,[1]QUART!$A$2:$FA$300, 70, FALSE)="",":",VLOOKUP($E$29,[1]QUART!$A$2:$FA$300, 70, FALSE))</f>
        <v>:</v>
      </c>
      <c r="BT29" s="556" t="str">
        <f>IF(VLOOKUP($E$29,[1]QUART!$A$2:$FA$300, 71, FALSE)="",":",VLOOKUP($E$29,[1]QUART!$A$2:$FA$300, 71, FALSE))</f>
        <v>:</v>
      </c>
      <c r="BU29" s="556" t="str">
        <f>IF(VLOOKUP($E$29,[1]QUART!$A$2:$FA$300, 72, FALSE)="",":",VLOOKUP($E$29,[1]QUART!$A$2:$FA$300, 72, FALSE))</f>
        <v>:</v>
      </c>
      <c r="BV29" s="556" t="str">
        <f>IF(VLOOKUP($E$29,[1]QUART!$A$2:$FA$300, 73, FALSE)="",":",VLOOKUP($E$29,[1]QUART!$A$2:$FA$300, 73, FALSE))</f>
        <v>:</v>
      </c>
      <c r="BW29" s="556" t="str">
        <f>IF(VLOOKUP($E$29,[1]QUART!$A$2:$FA$300, 74, FALSE)="",":",VLOOKUP($E$29,[1]QUART!$A$2:$FA$300, 74, FALSE))</f>
        <v>:</v>
      </c>
      <c r="BX29" s="556" t="str">
        <f>IF(VLOOKUP($E$29,[1]QUART!$A$2:$FA$300, 75, FALSE)="",":",VLOOKUP($E$29,[1]QUART!$A$2:$FA$300, 75, FALSE))</f>
        <v>:</v>
      </c>
      <c r="BY29" s="556" t="str">
        <f>IF(VLOOKUP($E$29,[1]QUART!$A$2:$FA$300, 76, FALSE)="",":",VLOOKUP($E$29,[1]QUART!$A$2:$FA$300, 76, FALSE))</f>
        <v>:</v>
      </c>
      <c r="BZ29" s="556" t="str">
        <f>IF(VLOOKUP($E$29,[1]QUART!$A$2:$FA$300, 77, FALSE)="",":",VLOOKUP($E$29,[1]QUART!$A$2:$FA$300, 77, FALSE))</f>
        <v>:</v>
      </c>
      <c r="CA29" s="556" t="str">
        <f>IF(VLOOKUP($E$29,[1]QUART!$A$2:$FA$300, 78, FALSE)="",":",VLOOKUP($E$29,[1]QUART!$A$2:$FA$300, 78, FALSE))</f>
        <v>:</v>
      </c>
      <c r="CB29" s="556" t="str">
        <f>IF(VLOOKUP($E$29,[1]QUART!$A$2:$FA$300, 79, FALSE)="",":",VLOOKUP($E$29,[1]QUART!$A$2:$FA$300, 79, FALSE))</f>
        <v>:</v>
      </c>
      <c r="CC29" s="556" t="str">
        <f>IF(VLOOKUP($E$29,[1]QUART!$A$2:$FA$300, 80, FALSE)="",":",VLOOKUP($E$29,[1]QUART!$A$2:$FA$300, 80, FALSE))</f>
        <v>:</v>
      </c>
      <c r="CD29" s="556" t="str">
        <f>IF(VLOOKUP($E$29,[1]QUART!$A$2:$FA$300, 81, FALSE)="",":",VLOOKUP($E$29,[1]QUART!$A$2:$FA$300, 81, FALSE))</f>
        <v>:</v>
      </c>
      <c r="CE29" s="556" t="str">
        <f>IF(VLOOKUP($E$29,[1]QUART!$A$2:$FA$300, 82, FALSE)="",":",VLOOKUP($E$29,[1]QUART!$A$2:$FA$300, 82, FALSE))</f>
        <v>:</v>
      </c>
      <c r="CF29" s="556" t="str">
        <f>IF(VLOOKUP($E$29,[1]QUART!$A$2:$FA$300, 83, FALSE)="",":",VLOOKUP($E$29,[1]QUART!$A$2:$FA$300, 83, FALSE))</f>
        <v>:</v>
      </c>
      <c r="CG29" s="556" t="str">
        <f>IF(VLOOKUP($E$29,[1]QUART!$A$2:$FA$300, 84, FALSE)="",":",VLOOKUP($E$29,[1]QUART!$A$2:$FA$300, 84, FALSE))</f>
        <v>:</v>
      </c>
      <c r="CH29" s="556" t="str">
        <f>IF(VLOOKUP($E$29,[1]QUART!$A$2:$FA$300, 85, FALSE)="",":",VLOOKUP($E$29,[1]QUART!$A$2:$FA$300, 85, FALSE))</f>
        <v>:</v>
      </c>
      <c r="CI29" s="556" t="str">
        <f>IF(VLOOKUP($E$29,[1]QUART!$A$2:$FA$300, 86, FALSE)="",":",VLOOKUP($E$29,[1]QUART!$A$2:$FA$300, 86, FALSE))</f>
        <v>:</v>
      </c>
      <c r="CJ29" s="556" t="str">
        <f>IF(VLOOKUP($E$29,[1]QUART!$A$2:$FA$300, 87, FALSE)="",":",VLOOKUP($E$29,[1]QUART!$A$2:$FA$300, 87, FALSE))</f>
        <v>:</v>
      </c>
      <c r="CK29" s="556" t="str">
        <f>IF(VLOOKUP($E$29,[1]QUART!$A$2:$FA$300, 88, FALSE)="",":",VLOOKUP($E$29,[1]QUART!$A$2:$FA$300, 88, FALSE))</f>
        <v>:</v>
      </c>
      <c r="CL29" s="556" t="str">
        <f>IF(VLOOKUP($E$29,[1]QUART!$A$2:$FA$300, 89, FALSE)="",":",VLOOKUP($E$29,[1]QUART!$A$2:$FA$300, 89, FALSE))</f>
        <v>:</v>
      </c>
      <c r="CM29" s="556" t="str">
        <f>IF(VLOOKUP($E$29,[1]QUART!$A$2:$FA$300, 90, FALSE)="",":",VLOOKUP($E$29,[1]QUART!$A$2:$FA$300, 90, FALSE))</f>
        <v>:</v>
      </c>
      <c r="CN29" s="556" t="str">
        <f>IF(VLOOKUP($E$29,[1]QUART!$A$2:$FA$300, 91, FALSE)="",":",VLOOKUP($E$29,[1]QUART!$A$2:$FA$300, 91, FALSE))</f>
        <v>:</v>
      </c>
      <c r="CO29" s="556" t="str">
        <f>IF(VLOOKUP($E$29,[1]QUART!$A$2:$FA$300, 92, FALSE)="",":",VLOOKUP($E$29,[1]QUART!$A$2:$FA$300, 92, FALSE))</f>
        <v>:</v>
      </c>
      <c r="CP29" s="556" t="str">
        <f>IF(VLOOKUP($E$29,[1]QUART!$A$2:$FA$300, 93, FALSE)="",":",VLOOKUP($E$29,[1]QUART!$A$2:$FA$300, 93, FALSE))</f>
        <v>:</v>
      </c>
      <c r="CQ29" s="556" t="str">
        <f>IF(VLOOKUP($E$29,[1]QUART!$A$2:$FA$300, 94, FALSE)="",":",VLOOKUP($E$29,[1]QUART!$A$2:$FA$300, 94, FALSE))</f>
        <v>:</v>
      </c>
      <c r="CR29" s="556" t="str">
        <f>IF(VLOOKUP($E$29,[1]QUART!$A$2:$FA$300, 95, FALSE)="",":",VLOOKUP($E$29,[1]QUART!$A$2:$FA$300, 95, FALSE))</f>
        <v>:</v>
      </c>
      <c r="CS29" s="556" t="str">
        <f>IF(VLOOKUP($E$29,[1]QUART!$A$2:$FA$300, 96, FALSE)="",":",VLOOKUP($E$29,[1]QUART!$A$2:$FA$300, 96, FALSE))</f>
        <v>:</v>
      </c>
      <c r="CT29" s="556" t="str">
        <f>IF(VLOOKUP($E$29,[1]QUART!$A$2:$FA$300, 97, FALSE)="",":",VLOOKUP($E$29,[1]QUART!$A$2:$FA$300, 97, FALSE))</f>
        <v>:</v>
      </c>
      <c r="CU29" s="556" t="str">
        <f>IF(VLOOKUP($E$29,[1]QUART!$A$2:$FA$300, 98, FALSE)="",":",VLOOKUP($E$29,[1]QUART!$A$2:$FA$300, 98, FALSE))</f>
        <v>:</v>
      </c>
      <c r="CV29" s="556" t="str">
        <f>IF(VLOOKUP($E$29,[1]QUART!$A$2:$FA$300, 99, FALSE)="",":",VLOOKUP($E$29,[1]QUART!$A$2:$FA$300, 99, FALSE))</f>
        <v>:</v>
      </c>
      <c r="CW29" s="556" t="str">
        <f>IF(VLOOKUP($E$29,[1]QUART!$A$2:$FA$300, 100, FALSE)="",":",VLOOKUP($E$29,[1]QUART!$A$2:$FA$300, 100, FALSE))</f>
        <v>:</v>
      </c>
      <c r="CX29" s="556" t="str">
        <f>IF(VLOOKUP($E$29,[1]QUART!$A$2:$FA$300, 101, FALSE)="",":",VLOOKUP($E$29,[1]QUART!$A$2:$FA$300, 101, FALSE))</f>
        <v>:</v>
      </c>
      <c r="CY29" s="556" t="str">
        <f>IF(VLOOKUP($E$29,[1]QUART!$A$2:$FA$300, 102, FALSE)="",":",VLOOKUP($E$29,[1]QUART!$A$2:$FA$300, 102, FALSE))</f>
        <v>:</v>
      </c>
      <c r="CZ29" s="556" t="str">
        <f>IF(VLOOKUP($E$29,[1]QUART!$A$2:$FA$300, 103, FALSE)="",":",VLOOKUP($E$29,[1]QUART!$A$2:$FA$300, 103, FALSE))</f>
        <v>:</v>
      </c>
      <c r="DA29" s="556" t="str">
        <f>IF(VLOOKUP($E$29,[1]QUART!$A$2:$FA$300, 104, FALSE)="",":",VLOOKUP($E$29,[1]QUART!$A$2:$FA$300, 104, FALSE))</f>
        <v>:</v>
      </c>
      <c r="DB29" s="556" t="str">
        <f>IF(VLOOKUP($E$29,[1]QUART!$A$2:$FA$300, 105, FALSE)="",":",VLOOKUP($E$29,[1]QUART!$A$2:$FA$300, 105, FALSE))</f>
        <v>:</v>
      </c>
      <c r="DC29" s="556" t="str">
        <f>IF(VLOOKUP($E$29,[1]QUART!$A$2:$FA$300, 106, FALSE)="",":",VLOOKUP($E$29,[1]QUART!$A$2:$FA$300, 106, FALSE))</f>
        <v>:</v>
      </c>
    </row>
    <row r="30" spans="1:107">
      <c r="A30" s="546"/>
      <c r="B30" s="546"/>
      <c r="C30" s="547"/>
      <c r="D30" s="12" t="s">
        <v>363</v>
      </c>
      <c r="E30" s="13">
        <v>85</v>
      </c>
      <c r="F30" s="14" t="str">
        <f>VLOOKUP($E$30,[1]QUART!$A$2:$FA$300, 3, FALSE)</f>
        <v xml:space="preserve">85  Exports of services                                                   </v>
      </c>
      <c r="G30" s="556" t="str">
        <f>IF(VLOOKUP($E$30,[1]QUART!$A$2:$FA$300, 6, FALSE)="",":",VLOOKUP($E$30,[1]QUART!$A$2:$FA$300, 6, FALSE))</f>
        <v>:</v>
      </c>
      <c r="H30" s="556" t="str">
        <f>IF(VLOOKUP($E$30,[1]QUART!$A$2:$FA$300, 7, FALSE)="",":",VLOOKUP($E$30,[1]QUART!$A$2:$FA$300, 7, FALSE))</f>
        <v>:</v>
      </c>
      <c r="I30" s="556" t="str">
        <f>IF(VLOOKUP($E$30,[1]QUART!$A$2:$FA$300, 8, FALSE)="",":",VLOOKUP($E$30,[1]QUART!$A$2:$FA$300, 8, FALSE))</f>
        <v>:</v>
      </c>
      <c r="J30" s="556" t="str">
        <f>IF(VLOOKUP($E$30,[1]QUART!$A$2:$FA$300, 9, FALSE)="",":",VLOOKUP($E$30,[1]QUART!$A$2:$FA$300, 9, FALSE))</f>
        <v>:</v>
      </c>
      <c r="K30" s="556" t="str">
        <f>IF(VLOOKUP($E$30,[1]QUART!$A$2:$FA$300, 10, FALSE)="",":",VLOOKUP($E$30,[1]QUART!$A$2:$FA$300, 10, FALSE))</f>
        <v>:</v>
      </c>
      <c r="L30" s="556" t="str">
        <f>IF(VLOOKUP($E$30,[1]QUART!$A$2:$FA$300, 11, FALSE)="",":",VLOOKUP($E$30,[1]QUART!$A$2:$FA$300, 11, FALSE))</f>
        <v>:</v>
      </c>
      <c r="M30" s="556" t="str">
        <f>IF(VLOOKUP($E$30,[1]QUART!$A$2:$FA$300, 12, FALSE)="",":",VLOOKUP($E$30,[1]QUART!$A$2:$FA$300, 12, FALSE))</f>
        <v>:</v>
      </c>
      <c r="N30" s="556" t="str">
        <f>IF(VLOOKUP($E$30,[1]QUART!$A$2:$FA$300, 13, FALSE)="",":",VLOOKUP($E$30,[1]QUART!$A$2:$FA$300, 13, FALSE))</f>
        <v>:</v>
      </c>
      <c r="O30" s="556" t="str">
        <f>IF(VLOOKUP($E$30,[1]QUART!$A$2:$FA$300, 14, FALSE)="",":",VLOOKUP($E$30,[1]QUART!$A$2:$FA$300, 14, FALSE))</f>
        <v>:</v>
      </c>
      <c r="P30" s="556" t="str">
        <f>IF(VLOOKUP($E$30,[1]QUART!$A$2:$FA$300, 15, FALSE)="",":",VLOOKUP($E$30,[1]QUART!$A$2:$FA$300, 15, FALSE))</f>
        <v>:</v>
      </c>
      <c r="Q30" s="556" t="str">
        <f>IF(VLOOKUP($E$30,[1]QUART!$A$2:$FA$300, 16, FALSE)="",":",VLOOKUP($E$30,[1]QUART!$A$2:$FA$300, 16, FALSE))</f>
        <v>:</v>
      </c>
      <c r="R30" s="556" t="str">
        <f>IF(VLOOKUP($E$30,[1]QUART!$A$2:$FA$300, 17, FALSE)="",":",VLOOKUP($E$30,[1]QUART!$A$2:$FA$300, 17, FALSE))</f>
        <v>:</v>
      </c>
      <c r="S30" s="556" t="str">
        <f>IF(VLOOKUP($E$30,[1]QUART!$A$2:$FA$300, 18, FALSE)="",":",VLOOKUP($E$30,[1]QUART!$A$2:$FA$300, 18, FALSE))</f>
        <v>:</v>
      </c>
      <c r="T30" s="556" t="str">
        <f>IF(VLOOKUP($E$30,[1]QUART!$A$2:$FA$300, 19, FALSE)="",":",VLOOKUP($E$30,[1]QUART!$A$2:$FA$300, 19, FALSE))</f>
        <v>:</v>
      </c>
      <c r="U30" s="556" t="str">
        <f>IF(VLOOKUP($E$30,[1]QUART!$A$2:$FA$300, 20, FALSE)="",":",VLOOKUP($E$30,[1]QUART!$A$2:$FA$300, 20, FALSE))</f>
        <v>:</v>
      </c>
      <c r="V30" s="556" t="str">
        <f>IF(VLOOKUP($E$30,[1]QUART!$A$2:$FA$300, 21, FALSE)="",":",VLOOKUP($E$30,[1]QUART!$A$2:$FA$300, 21, FALSE))</f>
        <v>:</v>
      </c>
      <c r="W30" s="556" t="str">
        <f>IF(VLOOKUP($E$30,[1]QUART!$A$2:$FA$300, 22, FALSE)="",":",VLOOKUP($E$30,[1]QUART!$A$2:$FA$300, 22, FALSE))</f>
        <v>:</v>
      </c>
      <c r="X30" s="556" t="str">
        <f>IF(VLOOKUP($E$30,[1]QUART!$A$2:$FA$300, 23, FALSE)="",":",VLOOKUP($E$30,[1]QUART!$A$2:$FA$300, 23, FALSE))</f>
        <v>:</v>
      </c>
      <c r="Y30" s="556" t="str">
        <f>IF(VLOOKUP($E$30,[1]QUART!$A$2:$FA$300, 24, FALSE)="",":",VLOOKUP($E$30,[1]QUART!$A$2:$FA$300, 24, FALSE))</f>
        <v>:</v>
      </c>
      <c r="Z30" s="556" t="str">
        <f>IF(VLOOKUP($E$30,[1]QUART!$A$2:$FA$300, 25, FALSE)="",":",VLOOKUP($E$30,[1]QUART!$A$2:$FA$300, 25, FALSE))</f>
        <v>:</v>
      </c>
      <c r="AA30" s="556" t="str">
        <f>IF(VLOOKUP($E$30,[1]QUART!$A$2:$FA$300, 26, FALSE)="",":",VLOOKUP($E$30,[1]QUART!$A$2:$FA$300, 26, FALSE))</f>
        <v>:</v>
      </c>
      <c r="AB30" s="556" t="str">
        <f>IF(VLOOKUP($E$30,[1]QUART!$A$2:$FA$300, 27, FALSE)="",":",VLOOKUP($E$30,[1]QUART!$A$2:$FA$300, 27, FALSE))</f>
        <v>:</v>
      </c>
      <c r="AC30" s="556" t="str">
        <f>IF(VLOOKUP($E$30,[1]QUART!$A$2:$FA$300, 28, FALSE)="",":",VLOOKUP($E$30,[1]QUART!$A$2:$FA$300, 28, FALSE))</f>
        <v>:</v>
      </c>
      <c r="AD30" s="556" t="str">
        <f>IF(VLOOKUP($E$30,[1]QUART!$A$2:$FA$300, 29, FALSE)="",":",VLOOKUP($E$30,[1]QUART!$A$2:$FA$300, 29, FALSE))</f>
        <v>:</v>
      </c>
      <c r="AE30" s="556" t="str">
        <f>IF(VLOOKUP($E$30,[1]QUART!$A$2:$FA$300, 30, FALSE)="",":",VLOOKUP($E$30,[1]QUART!$A$2:$FA$300, 30, FALSE))</f>
        <v>:</v>
      </c>
      <c r="AF30" s="556" t="str">
        <f>IF(VLOOKUP($E$30,[1]QUART!$A$2:$FA$300, 31, FALSE)="",":",VLOOKUP($E$30,[1]QUART!$A$2:$FA$300, 31, FALSE))</f>
        <v>:</v>
      </c>
      <c r="AG30" s="556" t="str">
        <f>IF(VLOOKUP($E$30,[1]QUART!$A$2:$FA$300, 32, FALSE)="",":",VLOOKUP($E$30,[1]QUART!$A$2:$FA$300, 32, FALSE))</f>
        <v>:</v>
      </c>
      <c r="AH30" s="556" t="str">
        <f>IF(VLOOKUP($E$30,[1]QUART!$A$2:$FA$300, 33, FALSE)="",":",VLOOKUP($E$30,[1]QUART!$A$2:$FA$300, 33, FALSE))</f>
        <v>:</v>
      </c>
      <c r="AI30" s="556" t="str">
        <f>IF(VLOOKUP($E$30,[1]QUART!$A$2:$FA$300, 34, FALSE)="",":",VLOOKUP($E$30,[1]QUART!$A$2:$FA$300, 34, FALSE))</f>
        <v>:</v>
      </c>
      <c r="AJ30" s="556" t="str">
        <f>IF(VLOOKUP($E$30,[1]QUART!$A$2:$FA$300, 35, FALSE)="",":",VLOOKUP($E$30,[1]QUART!$A$2:$FA$300, 35, FALSE))</f>
        <v>:</v>
      </c>
      <c r="AK30" s="556" t="str">
        <f>IF(VLOOKUP($E$30,[1]QUART!$A$2:$FA$300, 36, FALSE)="",":",VLOOKUP($E$30,[1]QUART!$A$2:$FA$300, 36, FALSE))</f>
        <v>:</v>
      </c>
      <c r="AL30" s="556" t="str">
        <f>IF(VLOOKUP($E$30,[1]QUART!$A$2:$FA$300, 37, FALSE)="",":",VLOOKUP($E$30,[1]QUART!$A$2:$FA$300, 37, FALSE))</f>
        <v>:</v>
      </c>
      <c r="AM30" s="556" t="str">
        <f>IF(VLOOKUP($E$30,[1]QUART!$A$2:$FA$300, 38, FALSE)="",":",VLOOKUP($E$30,[1]QUART!$A$2:$FA$300, 38, FALSE))</f>
        <v>:</v>
      </c>
      <c r="AN30" s="556" t="str">
        <f>IF(VLOOKUP($E$30,[1]QUART!$A$2:$FA$300, 39, FALSE)="",":",VLOOKUP($E$30,[1]QUART!$A$2:$FA$300, 39, FALSE))</f>
        <v>:</v>
      </c>
      <c r="AO30" s="556" t="str">
        <f>IF(VLOOKUP($E$30,[1]QUART!$A$2:$FA$300, 40, FALSE)="",":",VLOOKUP($E$30,[1]QUART!$A$2:$FA$300, 40, FALSE))</f>
        <v>:</v>
      </c>
      <c r="AP30" s="556" t="str">
        <f>IF(VLOOKUP($E$30,[1]QUART!$A$2:$FA$300, 41, FALSE)="",":",VLOOKUP($E$30,[1]QUART!$A$2:$FA$300, 41, FALSE))</f>
        <v>:</v>
      </c>
      <c r="AQ30" s="556" t="str">
        <f>IF(VLOOKUP($E$30,[1]QUART!$A$2:$FA$300, 42, FALSE)="",":",VLOOKUP($E$30,[1]QUART!$A$2:$FA$300, 42, FALSE))</f>
        <v>:</v>
      </c>
      <c r="AR30" s="556" t="str">
        <f>IF(VLOOKUP($E$30,[1]QUART!$A$2:$FA$300, 43, FALSE)="",":",VLOOKUP($E$30,[1]QUART!$A$2:$FA$300, 43, FALSE))</f>
        <v>:</v>
      </c>
      <c r="AS30" s="556" t="str">
        <f>IF(VLOOKUP($E$30,[1]QUART!$A$2:$FA$300, 44, FALSE)="",":",VLOOKUP($E$30,[1]QUART!$A$2:$FA$300, 44, FALSE))</f>
        <v>:</v>
      </c>
      <c r="AT30" s="556" t="str">
        <f>IF(VLOOKUP($E$30,[1]QUART!$A$2:$FA$300, 45, FALSE)="",":",VLOOKUP($E$30,[1]QUART!$A$2:$FA$300, 45, FALSE))</f>
        <v>:</v>
      </c>
      <c r="AU30" s="556" t="str">
        <f>IF(VLOOKUP($E$30,[1]QUART!$A$2:$FA$300, 46, FALSE)="",":",VLOOKUP($E$30,[1]QUART!$A$2:$FA$300, 46, FALSE))</f>
        <v>:</v>
      </c>
      <c r="AV30" s="556" t="str">
        <f>IF(VLOOKUP($E$30,[1]QUART!$A$2:$FA$300, 47, FALSE)="",":",VLOOKUP($E$30,[1]QUART!$A$2:$FA$300, 47, FALSE))</f>
        <v>:</v>
      </c>
      <c r="AW30" s="556" t="str">
        <f>IF(VLOOKUP($E$30,[1]QUART!$A$2:$FA$300, 48, FALSE)="",":",VLOOKUP($E$30,[1]QUART!$A$2:$FA$300, 48, FALSE))</f>
        <v>:</v>
      </c>
      <c r="AX30" s="556" t="str">
        <f>IF(VLOOKUP($E$30,[1]QUART!$A$2:$FA$300, 49, FALSE)="",":",VLOOKUP($E$30,[1]QUART!$A$2:$FA$300, 49, FALSE))</f>
        <v>:</v>
      </c>
      <c r="AY30" s="556" t="str">
        <f>IF(VLOOKUP($E$30,[1]QUART!$A$2:$FA$300, 50, FALSE)="",":",VLOOKUP($E$30,[1]QUART!$A$2:$FA$300, 50, FALSE))</f>
        <v>:</v>
      </c>
      <c r="AZ30" s="556" t="str">
        <f>IF(VLOOKUP($E$30,[1]QUART!$A$2:$FA$300, 51, FALSE)="",":",VLOOKUP($E$30,[1]QUART!$A$2:$FA$300, 51, FALSE))</f>
        <v>:</v>
      </c>
      <c r="BA30" s="556" t="str">
        <f>IF(VLOOKUP($E$30,[1]QUART!$A$2:$FA$300, 52, FALSE)="",":",VLOOKUP($E$30,[1]QUART!$A$2:$FA$300, 52, FALSE))</f>
        <v>:</v>
      </c>
      <c r="BB30" s="556" t="str">
        <f>IF(VLOOKUP($E$30,[1]QUART!$A$2:$FA$300, 53, FALSE)="",":",VLOOKUP($E$30,[1]QUART!$A$2:$FA$300, 53, FALSE))</f>
        <v>:</v>
      </c>
      <c r="BC30" s="556" t="str">
        <f>IF(VLOOKUP($E$30,[1]QUART!$A$2:$FA$300, 54, FALSE)="",":",VLOOKUP($E$30,[1]QUART!$A$2:$FA$300, 54, FALSE))</f>
        <v>:</v>
      </c>
      <c r="BD30" s="556" t="str">
        <f>IF(VLOOKUP($E$30,[1]QUART!$A$2:$FA$300, 55, FALSE)="",":",VLOOKUP($E$30,[1]QUART!$A$2:$FA$300, 55, FALSE))</f>
        <v>:</v>
      </c>
      <c r="BE30" s="556" t="str">
        <f>IF(VLOOKUP($E$30,[1]QUART!$A$2:$FA$300, 56, FALSE)="",":",VLOOKUP($E$30,[1]QUART!$A$2:$FA$300, 56, FALSE))</f>
        <v>:</v>
      </c>
      <c r="BF30" s="556" t="str">
        <f>IF(VLOOKUP($E$30,[1]QUART!$A$2:$FA$300, 57, FALSE)="",":",VLOOKUP($E$30,[1]QUART!$A$2:$FA$300, 57, FALSE))</f>
        <v>:</v>
      </c>
      <c r="BG30" s="556" t="str">
        <f>IF(VLOOKUP($E$30,[1]QUART!$A$2:$FA$300, 58, FALSE)="",":",VLOOKUP($E$30,[1]QUART!$A$2:$FA$300, 58, FALSE))</f>
        <v>:</v>
      </c>
      <c r="BH30" s="556" t="str">
        <f>IF(VLOOKUP($E$30,[1]QUART!$A$2:$FA$300, 59, FALSE)="",":",VLOOKUP($E$30,[1]QUART!$A$2:$FA$300, 59, FALSE))</f>
        <v>:</v>
      </c>
      <c r="BI30" s="556" t="str">
        <f>IF(VLOOKUP($E$30,[1]QUART!$A$2:$FA$300, 60, FALSE)="",":",VLOOKUP($E$30,[1]QUART!$A$2:$FA$300, 60, FALSE))</f>
        <v>:</v>
      </c>
      <c r="BJ30" s="556" t="str">
        <f>IF(VLOOKUP($E$30,[1]QUART!$A$2:$FA$300, 61, FALSE)="",":",VLOOKUP($E$30,[1]QUART!$A$2:$FA$300, 61, FALSE))</f>
        <v>:</v>
      </c>
      <c r="BK30" s="556" t="str">
        <f>IF(VLOOKUP($E$30,[1]QUART!$A$2:$FA$300, 62, FALSE)="",":",VLOOKUP($E$30,[1]QUART!$A$2:$FA$300, 62, FALSE))</f>
        <v>:</v>
      </c>
      <c r="BL30" s="556" t="str">
        <f>IF(VLOOKUP($E$30,[1]QUART!$A$2:$FA$300, 63, FALSE)="",":",VLOOKUP($E$30,[1]QUART!$A$2:$FA$300, 63, FALSE))</f>
        <v>:</v>
      </c>
      <c r="BM30" s="556" t="str">
        <f>IF(VLOOKUP($E$30,[1]QUART!$A$2:$FA$300, 64, FALSE)="",":",VLOOKUP($E$30,[1]QUART!$A$2:$FA$300, 64, FALSE))</f>
        <v>:</v>
      </c>
      <c r="BN30" s="556" t="str">
        <f>IF(VLOOKUP($E$30,[1]QUART!$A$2:$FA$300, 65, FALSE)="",":",VLOOKUP($E$30,[1]QUART!$A$2:$FA$300, 65, FALSE))</f>
        <v>:</v>
      </c>
      <c r="BO30" s="556" t="str">
        <f>IF(VLOOKUP($E$30,[1]QUART!$A$2:$FA$300, 66, FALSE)="",":",VLOOKUP($E$30,[1]QUART!$A$2:$FA$300, 66, FALSE))</f>
        <v>:</v>
      </c>
      <c r="BP30" s="556" t="str">
        <f>IF(VLOOKUP($E$30,[1]QUART!$A$2:$FA$300, 67, FALSE)="",":",VLOOKUP($E$30,[1]QUART!$A$2:$FA$300, 67, FALSE))</f>
        <v>:</v>
      </c>
      <c r="BQ30" s="556" t="str">
        <f>IF(VLOOKUP($E$30,[1]QUART!$A$2:$FA$300, 68, FALSE)="",":",VLOOKUP($E$30,[1]QUART!$A$2:$FA$300, 68, FALSE))</f>
        <v>:</v>
      </c>
      <c r="BR30" s="556" t="str">
        <f>IF(VLOOKUP($E$30,[1]QUART!$A$2:$FA$300, 69, FALSE)="",":",VLOOKUP($E$30,[1]QUART!$A$2:$FA$300, 69, FALSE))</f>
        <v>:</v>
      </c>
      <c r="BS30" s="556" t="str">
        <f>IF(VLOOKUP($E$30,[1]QUART!$A$2:$FA$300, 70, FALSE)="",":",VLOOKUP($E$30,[1]QUART!$A$2:$FA$300, 70, FALSE))</f>
        <v>:</v>
      </c>
      <c r="BT30" s="556" t="str">
        <f>IF(VLOOKUP($E$30,[1]QUART!$A$2:$FA$300, 71, FALSE)="",":",VLOOKUP($E$30,[1]QUART!$A$2:$FA$300, 71, FALSE))</f>
        <v>:</v>
      </c>
      <c r="BU30" s="556" t="str">
        <f>IF(VLOOKUP($E$30,[1]QUART!$A$2:$FA$300, 72, FALSE)="",":",VLOOKUP($E$30,[1]QUART!$A$2:$FA$300, 72, FALSE))</f>
        <v>:</v>
      </c>
      <c r="BV30" s="556" t="str">
        <f>IF(VLOOKUP($E$30,[1]QUART!$A$2:$FA$300, 73, FALSE)="",":",VLOOKUP($E$30,[1]QUART!$A$2:$FA$300, 73, FALSE))</f>
        <v>:</v>
      </c>
      <c r="BW30" s="556" t="str">
        <f>IF(VLOOKUP($E$30,[1]QUART!$A$2:$FA$300, 74, FALSE)="",":",VLOOKUP($E$30,[1]QUART!$A$2:$FA$300, 74, FALSE))</f>
        <v>:</v>
      </c>
      <c r="BX30" s="556" t="str">
        <f>IF(VLOOKUP($E$30,[1]QUART!$A$2:$FA$300, 75, FALSE)="",":",VLOOKUP($E$30,[1]QUART!$A$2:$FA$300, 75, FALSE))</f>
        <v>:</v>
      </c>
      <c r="BY30" s="556" t="str">
        <f>IF(VLOOKUP($E$30,[1]QUART!$A$2:$FA$300, 76, FALSE)="",":",VLOOKUP($E$30,[1]QUART!$A$2:$FA$300, 76, FALSE))</f>
        <v>:</v>
      </c>
      <c r="BZ30" s="556" t="str">
        <f>IF(VLOOKUP($E$30,[1]QUART!$A$2:$FA$300, 77, FALSE)="",":",VLOOKUP($E$30,[1]QUART!$A$2:$FA$300, 77, FALSE))</f>
        <v>:</v>
      </c>
      <c r="CA30" s="556" t="str">
        <f>IF(VLOOKUP($E$30,[1]QUART!$A$2:$FA$300, 78, FALSE)="",":",VLOOKUP($E$30,[1]QUART!$A$2:$FA$300, 78, FALSE))</f>
        <v>:</v>
      </c>
      <c r="CB30" s="556" t="str">
        <f>IF(VLOOKUP($E$30,[1]QUART!$A$2:$FA$300, 79, FALSE)="",":",VLOOKUP($E$30,[1]QUART!$A$2:$FA$300, 79, FALSE))</f>
        <v>:</v>
      </c>
      <c r="CC30" s="556" t="str">
        <f>IF(VLOOKUP($E$30,[1]QUART!$A$2:$FA$300, 80, FALSE)="",":",VLOOKUP($E$30,[1]QUART!$A$2:$FA$300, 80, FALSE))</f>
        <v>:</v>
      </c>
      <c r="CD30" s="556" t="str">
        <f>IF(VLOOKUP($E$30,[1]QUART!$A$2:$FA$300, 81, FALSE)="",":",VLOOKUP($E$30,[1]QUART!$A$2:$FA$300, 81, FALSE))</f>
        <v>:</v>
      </c>
      <c r="CE30" s="556" t="str">
        <f>IF(VLOOKUP($E$30,[1]QUART!$A$2:$FA$300, 82, FALSE)="",":",VLOOKUP($E$30,[1]QUART!$A$2:$FA$300, 82, FALSE))</f>
        <v>:</v>
      </c>
      <c r="CF30" s="556" t="str">
        <f>IF(VLOOKUP($E$30,[1]QUART!$A$2:$FA$300, 83, FALSE)="",":",VLOOKUP($E$30,[1]QUART!$A$2:$FA$300, 83, FALSE))</f>
        <v>:</v>
      </c>
      <c r="CG30" s="556" t="str">
        <f>IF(VLOOKUP($E$30,[1]QUART!$A$2:$FA$300, 84, FALSE)="",":",VLOOKUP($E$30,[1]QUART!$A$2:$FA$300, 84, FALSE))</f>
        <v>:</v>
      </c>
      <c r="CH30" s="556" t="str">
        <f>IF(VLOOKUP($E$30,[1]QUART!$A$2:$FA$300, 85, FALSE)="",":",VLOOKUP($E$30,[1]QUART!$A$2:$FA$300, 85, FALSE))</f>
        <v>:</v>
      </c>
      <c r="CI30" s="556" t="str">
        <f>IF(VLOOKUP($E$30,[1]QUART!$A$2:$FA$300, 86, FALSE)="",":",VLOOKUP($E$30,[1]QUART!$A$2:$FA$300, 86, FALSE))</f>
        <v>:</v>
      </c>
      <c r="CJ30" s="556" t="str">
        <f>IF(VLOOKUP($E$30,[1]QUART!$A$2:$FA$300, 87, FALSE)="",":",VLOOKUP($E$30,[1]QUART!$A$2:$FA$300, 87, FALSE))</f>
        <v>:</v>
      </c>
      <c r="CK30" s="556" t="str">
        <f>IF(VLOOKUP($E$30,[1]QUART!$A$2:$FA$300, 88, FALSE)="",":",VLOOKUP($E$30,[1]QUART!$A$2:$FA$300, 88, FALSE))</f>
        <v>:</v>
      </c>
      <c r="CL30" s="556" t="str">
        <f>IF(VLOOKUP($E$30,[1]QUART!$A$2:$FA$300, 89, FALSE)="",":",VLOOKUP($E$30,[1]QUART!$A$2:$FA$300, 89, FALSE))</f>
        <v>:</v>
      </c>
      <c r="CM30" s="556" t="str">
        <f>IF(VLOOKUP($E$30,[1]QUART!$A$2:$FA$300, 90, FALSE)="",":",VLOOKUP($E$30,[1]QUART!$A$2:$FA$300, 90, FALSE))</f>
        <v>:</v>
      </c>
      <c r="CN30" s="556" t="str">
        <f>IF(VLOOKUP($E$30,[1]QUART!$A$2:$FA$300, 91, FALSE)="",":",VLOOKUP($E$30,[1]QUART!$A$2:$FA$300, 91, FALSE))</f>
        <v>:</v>
      </c>
      <c r="CO30" s="556" t="str">
        <f>IF(VLOOKUP($E$30,[1]QUART!$A$2:$FA$300, 92, FALSE)="",":",VLOOKUP($E$30,[1]QUART!$A$2:$FA$300, 92, FALSE))</f>
        <v>:</v>
      </c>
      <c r="CP30" s="556" t="str">
        <f>IF(VLOOKUP($E$30,[1]QUART!$A$2:$FA$300, 93, FALSE)="",":",VLOOKUP($E$30,[1]QUART!$A$2:$FA$300, 93, FALSE))</f>
        <v>:</v>
      </c>
      <c r="CQ30" s="556" t="str">
        <f>IF(VLOOKUP($E$30,[1]QUART!$A$2:$FA$300, 94, FALSE)="",":",VLOOKUP($E$30,[1]QUART!$A$2:$FA$300, 94, FALSE))</f>
        <v>:</v>
      </c>
      <c r="CR30" s="556" t="str">
        <f>IF(VLOOKUP($E$30,[1]QUART!$A$2:$FA$300, 95, FALSE)="",":",VLOOKUP($E$30,[1]QUART!$A$2:$FA$300, 95, FALSE))</f>
        <v>:</v>
      </c>
      <c r="CS30" s="556" t="str">
        <f>IF(VLOOKUP($E$30,[1]QUART!$A$2:$FA$300, 96, FALSE)="",":",VLOOKUP($E$30,[1]QUART!$A$2:$FA$300, 96, FALSE))</f>
        <v>:</v>
      </c>
      <c r="CT30" s="556" t="str">
        <f>IF(VLOOKUP($E$30,[1]QUART!$A$2:$FA$300, 97, FALSE)="",":",VLOOKUP($E$30,[1]QUART!$A$2:$FA$300, 97, FALSE))</f>
        <v>:</v>
      </c>
      <c r="CU30" s="556" t="str">
        <f>IF(VLOOKUP($E$30,[1]QUART!$A$2:$FA$300, 98, FALSE)="",":",VLOOKUP($E$30,[1]QUART!$A$2:$FA$300, 98, FALSE))</f>
        <v>:</v>
      </c>
      <c r="CV30" s="556" t="str">
        <f>IF(VLOOKUP($E$30,[1]QUART!$A$2:$FA$300, 99, FALSE)="",":",VLOOKUP($E$30,[1]QUART!$A$2:$FA$300, 99, FALSE))</f>
        <v>:</v>
      </c>
      <c r="CW30" s="556" t="str">
        <f>IF(VLOOKUP($E$30,[1]QUART!$A$2:$FA$300, 100, FALSE)="",":",VLOOKUP($E$30,[1]QUART!$A$2:$FA$300, 100, FALSE))</f>
        <v>:</v>
      </c>
      <c r="CX30" s="556" t="str">
        <f>IF(VLOOKUP($E$30,[1]QUART!$A$2:$FA$300, 101, FALSE)="",":",VLOOKUP($E$30,[1]QUART!$A$2:$FA$300, 101, FALSE))</f>
        <v>:</v>
      </c>
      <c r="CY30" s="556" t="str">
        <f>IF(VLOOKUP($E$30,[1]QUART!$A$2:$FA$300, 102, FALSE)="",":",VLOOKUP($E$30,[1]QUART!$A$2:$FA$300, 102, FALSE))</f>
        <v>:</v>
      </c>
      <c r="CZ30" s="556" t="str">
        <f>IF(VLOOKUP($E$30,[1]QUART!$A$2:$FA$300, 103, FALSE)="",":",VLOOKUP($E$30,[1]QUART!$A$2:$FA$300, 103, FALSE))</f>
        <v>:</v>
      </c>
      <c r="DA30" s="556" t="str">
        <f>IF(VLOOKUP($E$30,[1]QUART!$A$2:$FA$300, 104, FALSE)="",":",VLOOKUP($E$30,[1]QUART!$A$2:$FA$300, 104, FALSE))</f>
        <v>:</v>
      </c>
      <c r="DB30" s="556" t="str">
        <f>IF(VLOOKUP($E$30,[1]QUART!$A$2:$FA$300, 105, FALSE)="",":",VLOOKUP($E$30,[1]QUART!$A$2:$FA$300, 105, FALSE))</f>
        <v>:</v>
      </c>
      <c r="DC30" s="556" t="str">
        <f>IF(VLOOKUP($E$30,[1]QUART!$A$2:$FA$300, 106, FALSE)="",":",VLOOKUP($E$30,[1]QUART!$A$2:$FA$300, 106, FALSE))</f>
        <v>:</v>
      </c>
    </row>
    <row r="31" spans="1:107">
      <c r="A31" s="546"/>
      <c r="B31" s="546"/>
      <c r="C31" s="547"/>
      <c r="D31" s="12" t="s">
        <v>363</v>
      </c>
      <c r="E31" s="13">
        <v>86</v>
      </c>
      <c r="F31" s="14" t="str">
        <f>VLOOKUP($E$31,[1]QUART!$A$2:$FA$300, 3, FALSE)</f>
        <v xml:space="preserve">86  Imports of goods          </v>
      </c>
      <c r="G31" s="556" t="str">
        <f>IF(VLOOKUP($E$31,[1]QUART!$A$2:$FA$300, 6, FALSE)="",":",VLOOKUP($E$31,[1]QUART!$A$2:$FA$300, 6, FALSE))</f>
        <v>:</v>
      </c>
      <c r="H31" s="556" t="str">
        <f>IF(VLOOKUP($E$31,[1]QUART!$A$2:$FA$300, 7, FALSE)="",":",VLOOKUP($E$31,[1]QUART!$A$2:$FA$300, 7, FALSE))</f>
        <v>:</v>
      </c>
      <c r="I31" s="556" t="str">
        <f>IF(VLOOKUP($E$31,[1]QUART!$A$2:$FA$300, 8, FALSE)="",":",VLOOKUP($E$31,[1]QUART!$A$2:$FA$300, 8, FALSE))</f>
        <v>:</v>
      </c>
      <c r="J31" s="556" t="str">
        <f>IF(VLOOKUP($E$31,[1]QUART!$A$2:$FA$300, 9, FALSE)="",":",VLOOKUP($E$31,[1]QUART!$A$2:$FA$300, 9, FALSE))</f>
        <v>:</v>
      </c>
      <c r="K31" s="556" t="str">
        <f>IF(VLOOKUP($E$31,[1]QUART!$A$2:$FA$300, 10, FALSE)="",":",VLOOKUP($E$31,[1]QUART!$A$2:$FA$300, 10, FALSE))</f>
        <v>:</v>
      </c>
      <c r="L31" s="556" t="str">
        <f>IF(VLOOKUP($E$31,[1]QUART!$A$2:$FA$300, 11, FALSE)="",":",VLOOKUP($E$31,[1]QUART!$A$2:$FA$300, 11, FALSE))</f>
        <v>:</v>
      </c>
      <c r="M31" s="556" t="str">
        <f>IF(VLOOKUP($E$31,[1]QUART!$A$2:$FA$300, 12, FALSE)="",":",VLOOKUP($E$31,[1]QUART!$A$2:$FA$300, 12, FALSE))</f>
        <v>:</v>
      </c>
      <c r="N31" s="556" t="str">
        <f>IF(VLOOKUP($E$31,[1]QUART!$A$2:$FA$300, 13, FALSE)="",":",VLOOKUP($E$31,[1]QUART!$A$2:$FA$300, 13, FALSE))</f>
        <v>:</v>
      </c>
      <c r="O31" s="556" t="str">
        <f>IF(VLOOKUP($E$31,[1]QUART!$A$2:$FA$300, 14, FALSE)="",":",VLOOKUP($E$31,[1]QUART!$A$2:$FA$300, 14, FALSE))</f>
        <v>:</v>
      </c>
      <c r="P31" s="556" t="str">
        <f>IF(VLOOKUP($E$31,[1]QUART!$A$2:$FA$300, 15, FALSE)="",":",VLOOKUP($E$31,[1]QUART!$A$2:$FA$300, 15, FALSE))</f>
        <v>:</v>
      </c>
      <c r="Q31" s="556" t="str">
        <f>IF(VLOOKUP($E$31,[1]QUART!$A$2:$FA$300, 16, FALSE)="",":",VLOOKUP($E$31,[1]QUART!$A$2:$FA$300, 16, FALSE))</f>
        <v>:</v>
      </c>
      <c r="R31" s="556" t="str">
        <f>IF(VLOOKUP($E$31,[1]QUART!$A$2:$FA$300, 17, FALSE)="",":",VLOOKUP($E$31,[1]QUART!$A$2:$FA$300, 17, FALSE))</f>
        <v>:</v>
      </c>
      <c r="S31" s="556" t="str">
        <f>IF(VLOOKUP($E$31,[1]QUART!$A$2:$FA$300, 18, FALSE)="",":",VLOOKUP($E$31,[1]QUART!$A$2:$FA$300, 18, FALSE))</f>
        <v>:</v>
      </c>
      <c r="T31" s="556" t="str">
        <f>IF(VLOOKUP($E$31,[1]QUART!$A$2:$FA$300, 19, FALSE)="",":",VLOOKUP($E$31,[1]QUART!$A$2:$FA$300, 19, FALSE))</f>
        <v>:</v>
      </c>
      <c r="U31" s="556" t="str">
        <f>IF(VLOOKUP($E$31,[1]QUART!$A$2:$FA$300, 20, FALSE)="",":",VLOOKUP($E$31,[1]QUART!$A$2:$FA$300, 20, FALSE))</f>
        <v>:</v>
      </c>
      <c r="V31" s="556" t="str">
        <f>IF(VLOOKUP($E$31,[1]QUART!$A$2:$FA$300, 21, FALSE)="",":",VLOOKUP($E$31,[1]QUART!$A$2:$FA$300, 21, FALSE))</f>
        <v>:</v>
      </c>
      <c r="W31" s="556" t="str">
        <f>IF(VLOOKUP($E$31,[1]QUART!$A$2:$FA$300, 22, FALSE)="",":",VLOOKUP($E$31,[1]QUART!$A$2:$FA$300, 22, FALSE))</f>
        <v>:</v>
      </c>
      <c r="X31" s="556" t="str">
        <f>IF(VLOOKUP($E$31,[1]QUART!$A$2:$FA$300, 23, FALSE)="",":",VLOOKUP($E$31,[1]QUART!$A$2:$FA$300, 23, FALSE))</f>
        <v>:</v>
      </c>
      <c r="Y31" s="556" t="str">
        <f>IF(VLOOKUP($E$31,[1]QUART!$A$2:$FA$300, 24, FALSE)="",":",VLOOKUP($E$31,[1]QUART!$A$2:$FA$300, 24, FALSE))</f>
        <v>:</v>
      </c>
      <c r="Z31" s="556" t="str">
        <f>IF(VLOOKUP($E$31,[1]QUART!$A$2:$FA$300, 25, FALSE)="",":",VLOOKUP($E$31,[1]QUART!$A$2:$FA$300, 25, FALSE))</f>
        <v>:</v>
      </c>
      <c r="AA31" s="556" t="str">
        <f>IF(VLOOKUP($E$31,[1]QUART!$A$2:$FA$300, 26, FALSE)="",":",VLOOKUP($E$31,[1]QUART!$A$2:$FA$300, 26, FALSE))</f>
        <v>:</v>
      </c>
      <c r="AB31" s="556" t="str">
        <f>IF(VLOOKUP($E$31,[1]QUART!$A$2:$FA$300, 27, FALSE)="",":",VLOOKUP($E$31,[1]QUART!$A$2:$FA$300, 27, FALSE))</f>
        <v>:</v>
      </c>
      <c r="AC31" s="556" t="str">
        <f>IF(VLOOKUP($E$31,[1]QUART!$A$2:$FA$300, 28, FALSE)="",":",VLOOKUP($E$31,[1]QUART!$A$2:$FA$300, 28, FALSE))</f>
        <v>:</v>
      </c>
      <c r="AD31" s="556" t="str">
        <f>IF(VLOOKUP($E$31,[1]QUART!$A$2:$FA$300, 29, FALSE)="",":",VLOOKUP($E$31,[1]QUART!$A$2:$FA$300, 29, FALSE))</f>
        <v>:</v>
      </c>
      <c r="AE31" s="556" t="str">
        <f>IF(VLOOKUP($E$31,[1]QUART!$A$2:$FA$300, 30, FALSE)="",":",VLOOKUP($E$31,[1]QUART!$A$2:$FA$300, 30, FALSE))</f>
        <v>:</v>
      </c>
      <c r="AF31" s="556" t="str">
        <f>IF(VLOOKUP($E$31,[1]QUART!$A$2:$FA$300, 31, FALSE)="",":",VLOOKUP($E$31,[1]QUART!$A$2:$FA$300, 31, FALSE))</f>
        <v>:</v>
      </c>
      <c r="AG31" s="556" t="str">
        <f>IF(VLOOKUP($E$31,[1]QUART!$A$2:$FA$300, 32, FALSE)="",":",VLOOKUP($E$31,[1]QUART!$A$2:$FA$300, 32, FALSE))</f>
        <v>:</v>
      </c>
      <c r="AH31" s="556" t="str">
        <f>IF(VLOOKUP($E$31,[1]QUART!$A$2:$FA$300, 33, FALSE)="",":",VLOOKUP($E$31,[1]QUART!$A$2:$FA$300, 33, FALSE))</f>
        <v>:</v>
      </c>
      <c r="AI31" s="556" t="str">
        <f>IF(VLOOKUP($E$31,[1]QUART!$A$2:$FA$300, 34, FALSE)="",":",VLOOKUP($E$31,[1]QUART!$A$2:$FA$300, 34, FALSE))</f>
        <v>:</v>
      </c>
      <c r="AJ31" s="556" t="str">
        <f>IF(VLOOKUP($E$31,[1]QUART!$A$2:$FA$300, 35, FALSE)="",":",VLOOKUP($E$31,[1]QUART!$A$2:$FA$300, 35, FALSE))</f>
        <v>:</v>
      </c>
      <c r="AK31" s="556" t="str">
        <f>IF(VLOOKUP($E$31,[1]QUART!$A$2:$FA$300, 36, FALSE)="",":",VLOOKUP($E$31,[1]QUART!$A$2:$FA$300, 36, FALSE))</f>
        <v>:</v>
      </c>
      <c r="AL31" s="556" t="str">
        <f>IF(VLOOKUP($E$31,[1]QUART!$A$2:$FA$300, 37, FALSE)="",":",VLOOKUP($E$31,[1]QUART!$A$2:$FA$300, 37, FALSE))</f>
        <v>:</v>
      </c>
      <c r="AM31" s="556" t="str">
        <f>IF(VLOOKUP($E$31,[1]QUART!$A$2:$FA$300, 38, FALSE)="",":",VLOOKUP($E$31,[1]QUART!$A$2:$FA$300, 38, FALSE))</f>
        <v>:</v>
      </c>
      <c r="AN31" s="556" t="str">
        <f>IF(VLOOKUP($E$31,[1]QUART!$A$2:$FA$300, 39, FALSE)="",":",VLOOKUP($E$31,[1]QUART!$A$2:$FA$300, 39, FALSE))</f>
        <v>:</v>
      </c>
      <c r="AO31" s="556" t="str">
        <f>IF(VLOOKUP($E$31,[1]QUART!$A$2:$FA$300, 40, FALSE)="",":",VLOOKUP($E$31,[1]QUART!$A$2:$FA$300, 40, FALSE))</f>
        <v>:</v>
      </c>
      <c r="AP31" s="556" t="str">
        <f>IF(VLOOKUP($E$31,[1]QUART!$A$2:$FA$300, 41, FALSE)="",":",VLOOKUP($E$31,[1]QUART!$A$2:$FA$300, 41, FALSE))</f>
        <v>:</v>
      </c>
      <c r="AQ31" s="556" t="str">
        <f>IF(VLOOKUP($E$31,[1]QUART!$A$2:$FA$300, 42, FALSE)="",":",VLOOKUP($E$31,[1]QUART!$A$2:$FA$300, 42, FALSE))</f>
        <v>:</v>
      </c>
      <c r="AR31" s="556" t="str">
        <f>IF(VLOOKUP($E$31,[1]QUART!$A$2:$FA$300, 43, FALSE)="",":",VLOOKUP($E$31,[1]QUART!$A$2:$FA$300, 43, FALSE))</f>
        <v>:</v>
      </c>
      <c r="AS31" s="556" t="str">
        <f>IF(VLOOKUP($E$31,[1]QUART!$A$2:$FA$300, 44, FALSE)="",":",VLOOKUP($E$31,[1]QUART!$A$2:$FA$300, 44, FALSE))</f>
        <v>:</v>
      </c>
      <c r="AT31" s="556" t="str">
        <f>IF(VLOOKUP($E$31,[1]QUART!$A$2:$FA$300, 45, FALSE)="",":",VLOOKUP($E$31,[1]QUART!$A$2:$FA$300, 45, FALSE))</f>
        <v>:</v>
      </c>
      <c r="AU31" s="556" t="str">
        <f>IF(VLOOKUP($E$31,[1]QUART!$A$2:$FA$300, 46, FALSE)="",":",VLOOKUP($E$31,[1]QUART!$A$2:$FA$300, 46, FALSE))</f>
        <v>:</v>
      </c>
      <c r="AV31" s="556" t="str">
        <f>IF(VLOOKUP($E$31,[1]QUART!$A$2:$FA$300, 47, FALSE)="",":",VLOOKUP($E$31,[1]QUART!$A$2:$FA$300, 47, FALSE))</f>
        <v>:</v>
      </c>
      <c r="AW31" s="556" t="str">
        <f>IF(VLOOKUP($E$31,[1]QUART!$A$2:$FA$300, 48, FALSE)="",":",VLOOKUP($E$31,[1]QUART!$A$2:$FA$300, 48, FALSE))</f>
        <v>:</v>
      </c>
      <c r="AX31" s="556" t="str">
        <f>IF(VLOOKUP($E$31,[1]QUART!$A$2:$FA$300, 49, FALSE)="",":",VLOOKUP($E$31,[1]QUART!$A$2:$FA$300, 49, FALSE))</f>
        <v>:</v>
      </c>
      <c r="AY31" s="556" t="str">
        <f>IF(VLOOKUP($E$31,[1]QUART!$A$2:$FA$300, 50, FALSE)="",":",VLOOKUP($E$31,[1]QUART!$A$2:$FA$300, 50, FALSE))</f>
        <v>:</v>
      </c>
      <c r="AZ31" s="556" t="str">
        <f>IF(VLOOKUP($E$31,[1]QUART!$A$2:$FA$300, 51, FALSE)="",":",VLOOKUP($E$31,[1]QUART!$A$2:$FA$300, 51, FALSE))</f>
        <v>:</v>
      </c>
      <c r="BA31" s="556" t="str">
        <f>IF(VLOOKUP($E$31,[1]QUART!$A$2:$FA$300, 52, FALSE)="",":",VLOOKUP($E$31,[1]QUART!$A$2:$FA$300, 52, FALSE))</f>
        <v>:</v>
      </c>
      <c r="BB31" s="556" t="str">
        <f>IF(VLOOKUP($E$31,[1]QUART!$A$2:$FA$300, 53, FALSE)="",":",VLOOKUP($E$31,[1]QUART!$A$2:$FA$300, 53, FALSE))</f>
        <v>:</v>
      </c>
      <c r="BC31" s="556" t="str">
        <f>IF(VLOOKUP($E$31,[1]QUART!$A$2:$FA$300, 54, FALSE)="",":",VLOOKUP($E$31,[1]QUART!$A$2:$FA$300, 54, FALSE))</f>
        <v>:</v>
      </c>
      <c r="BD31" s="556" t="str">
        <f>IF(VLOOKUP($E$31,[1]QUART!$A$2:$FA$300, 55, FALSE)="",":",VLOOKUP($E$31,[1]QUART!$A$2:$FA$300, 55, FALSE))</f>
        <v>:</v>
      </c>
      <c r="BE31" s="556" t="str">
        <f>IF(VLOOKUP($E$31,[1]QUART!$A$2:$FA$300, 56, FALSE)="",":",VLOOKUP($E$31,[1]QUART!$A$2:$FA$300, 56, FALSE))</f>
        <v>:</v>
      </c>
      <c r="BF31" s="556" t="str">
        <f>IF(VLOOKUP($E$31,[1]QUART!$A$2:$FA$300, 57, FALSE)="",":",VLOOKUP($E$31,[1]QUART!$A$2:$FA$300, 57, FALSE))</f>
        <v>:</v>
      </c>
      <c r="BG31" s="556" t="str">
        <f>IF(VLOOKUP($E$31,[1]QUART!$A$2:$FA$300, 58, FALSE)="",":",VLOOKUP($E$31,[1]QUART!$A$2:$FA$300, 58, FALSE))</f>
        <v>:</v>
      </c>
      <c r="BH31" s="556" t="str">
        <f>IF(VLOOKUP($E$31,[1]QUART!$A$2:$FA$300, 59, FALSE)="",":",VLOOKUP($E$31,[1]QUART!$A$2:$FA$300, 59, FALSE))</f>
        <v>:</v>
      </c>
      <c r="BI31" s="556" t="str">
        <f>IF(VLOOKUP($E$31,[1]QUART!$A$2:$FA$300, 60, FALSE)="",":",VLOOKUP($E$31,[1]QUART!$A$2:$FA$300, 60, FALSE))</f>
        <v>:</v>
      </c>
      <c r="BJ31" s="556" t="str">
        <f>IF(VLOOKUP($E$31,[1]QUART!$A$2:$FA$300, 61, FALSE)="",":",VLOOKUP($E$31,[1]QUART!$A$2:$FA$300, 61, FALSE))</f>
        <v>:</v>
      </c>
      <c r="BK31" s="556" t="str">
        <f>IF(VLOOKUP($E$31,[1]QUART!$A$2:$FA$300, 62, FALSE)="",":",VLOOKUP($E$31,[1]QUART!$A$2:$FA$300, 62, FALSE))</f>
        <v>:</v>
      </c>
      <c r="BL31" s="556" t="str">
        <f>IF(VLOOKUP($E$31,[1]QUART!$A$2:$FA$300, 63, FALSE)="",":",VLOOKUP($E$31,[1]QUART!$A$2:$FA$300, 63, FALSE))</f>
        <v>:</v>
      </c>
      <c r="BM31" s="556" t="str">
        <f>IF(VLOOKUP($E$31,[1]QUART!$A$2:$FA$300, 64, FALSE)="",":",VLOOKUP($E$31,[1]QUART!$A$2:$FA$300, 64, FALSE))</f>
        <v>:</v>
      </c>
      <c r="BN31" s="556" t="str">
        <f>IF(VLOOKUP($E$31,[1]QUART!$A$2:$FA$300, 65, FALSE)="",":",VLOOKUP($E$31,[1]QUART!$A$2:$FA$300, 65, FALSE))</f>
        <v>:</v>
      </c>
      <c r="BO31" s="556" t="str">
        <f>IF(VLOOKUP($E$31,[1]QUART!$A$2:$FA$300, 66, FALSE)="",":",VLOOKUP($E$31,[1]QUART!$A$2:$FA$300, 66, FALSE))</f>
        <v>:</v>
      </c>
      <c r="BP31" s="556" t="str">
        <f>IF(VLOOKUP($E$31,[1]QUART!$A$2:$FA$300, 67, FALSE)="",":",VLOOKUP($E$31,[1]QUART!$A$2:$FA$300, 67, FALSE))</f>
        <v>:</v>
      </c>
      <c r="BQ31" s="556" t="str">
        <f>IF(VLOOKUP($E$31,[1]QUART!$A$2:$FA$300, 68, FALSE)="",":",VLOOKUP($E$31,[1]QUART!$A$2:$FA$300, 68, FALSE))</f>
        <v>:</v>
      </c>
      <c r="BR31" s="556" t="str">
        <f>IF(VLOOKUP($E$31,[1]QUART!$A$2:$FA$300, 69, FALSE)="",":",VLOOKUP($E$31,[1]QUART!$A$2:$FA$300, 69, FALSE))</f>
        <v>:</v>
      </c>
      <c r="BS31" s="556" t="str">
        <f>IF(VLOOKUP($E$31,[1]QUART!$A$2:$FA$300, 70, FALSE)="",":",VLOOKUP($E$31,[1]QUART!$A$2:$FA$300, 70, FALSE))</f>
        <v>:</v>
      </c>
      <c r="BT31" s="556" t="str">
        <f>IF(VLOOKUP($E$31,[1]QUART!$A$2:$FA$300, 71, FALSE)="",":",VLOOKUP($E$31,[1]QUART!$A$2:$FA$300, 71, FALSE))</f>
        <v>:</v>
      </c>
      <c r="BU31" s="556" t="str">
        <f>IF(VLOOKUP($E$31,[1]QUART!$A$2:$FA$300, 72, FALSE)="",":",VLOOKUP($E$31,[1]QUART!$A$2:$FA$300, 72, FALSE))</f>
        <v>:</v>
      </c>
      <c r="BV31" s="556" t="str">
        <f>IF(VLOOKUP($E$31,[1]QUART!$A$2:$FA$300, 73, FALSE)="",":",VLOOKUP($E$31,[1]QUART!$A$2:$FA$300, 73, FALSE))</f>
        <v>:</v>
      </c>
      <c r="BW31" s="556" t="str">
        <f>IF(VLOOKUP($E$31,[1]QUART!$A$2:$FA$300, 74, FALSE)="",":",VLOOKUP($E$31,[1]QUART!$A$2:$FA$300, 74, FALSE))</f>
        <v>:</v>
      </c>
      <c r="BX31" s="556" t="str">
        <f>IF(VLOOKUP($E$31,[1]QUART!$A$2:$FA$300, 75, FALSE)="",":",VLOOKUP($E$31,[1]QUART!$A$2:$FA$300, 75, FALSE))</f>
        <v>:</v>
      </c>
      <c r="BY31" s="556" t="str">
        <f>IF(VLOOKUP($E$31,[1]QUART!$A$2:$FA$300, 76, FALSE)="",":",VLOOKUP($E$31,[1]QUART!$A$2:$FA$300, 76, FALSE))</f>
        <v>:</v>
      </c>
      <c r="BZ31" s="556" t="str">
        <f>IF(VLOOKUP($E$31,[1]QUART!$A$2:$FA$300, 77, FALSE)="",":",VLOOKUP($E$31,[1]QUART!$A$2:$FA$300, 77, FALSE))</f>
        <v>:</v>
      </c>
      <c r="CA31" s="556" t="str">
        <f>IF(VLOOKUP($E$31,[1]QUART!$A$2:$FA$300, 78, FALSE)="",":",VLOOKUP($E$31,[1]QUART!$A$2:$FA$300, 78, FALSE))</f>
        <v>:</v>
      </c>
      <c r="CB31" s="556" t="str">
        <f>IF(VLOOKUP($E$31,[1]QUART!$A$2:$FA$300, 79, FALSE)="",":",VLOOKUP($E$31,[1]QUART!$A$2:$FA$300, 79, FALSE))</f>
        <v>:</v>
      </c>
      <c r="CC31" s="556" t="str">
        <f>IF(VLOOKUP($E$31,[1]QUART!$A$2:$FA$300, 80, FALSE)="",":",VLOOKUP($E$31,[1]QUART!$A$2:$FA$300, 80, FALSE))</f>
        <v>:</v>
      </c>
      <c r="CD31" s="556" t="str">
        <f>IF(VLOOKUP($E$31,[1]QUART!$A$2:$FA$300, 81, FALSE)="",":",VLOOKUP($E$31,[1]QUART!$A$2:$FA$300, 81, FALSE))</f>
        <v>:</v>
      </c>
      <c r="CE31" s="556" t="str">
        <f>IF(VLOOKUP($E$31,[1]QUART!$A$2:$FA$300, 82, FALSE)="",":",VLOOKUP($E$31,[1]QUART!$A$2:$FA$300, 82, FALSE))</f>
        <v>:</v>
      </c>
      <c r="CF31" s="556" t="str">
        <f>IF(VLOOKUP($E$31,[1]QUART!$A$2:$FA$300, 83, FALSE)="",":",VLOOKUP($E$31,[1]QUART!$A$2:$FA$300, 83, FALSE))</f>
        <v>:</v>
      </c>
      <c r="CG31" s="556" t="str">
        <f>IF(VLOOKUP($E$31,[1]QUART!$A$2:$FA$300, 84, FALSE)="",":",VLOOKUP($E$31,[1]QUART!$A$2:$FA$300, 84, FALSE))</f>
        <v>:</v>
      </c>
      <c r="CH31" s="556" t="str">
        <f>IF(VLOOKUP($E$31,[1]QUART!$A$2:$FA$300, 85, FALSE)="",":",VLOOKUP($E$31,[1]QUART!$A$2:$FA$300, 85, FALSE))</f>
        <v>:</v>
      </c>
      <c r="CI31" s="556" t="str">
        <f>IF(VLOOKUP($E$31,[1]QUART!$A$2:$FA$300, 86, FALSE)="",":",VLOOKUP($E$31,[1]QUART!$A$2:$FA$300, 86, FALSE))</f>
        <v>:</v>
      </c>
      <c r="CJ31" s="556" t="str">
        <f>IF(VLOOKUP($E$31,[1]QUART!$A$2:$FA$300, 87, FALSE)="",":",VLOOKUP($E$31,[1]QUART!$A$2:$FA$300, 87, FALSE))</f>
        <v>:</v>
      </c>
      <c r="CK31" s="556" t="str">
        <f>IF(VLOOKUP($E$31,[1]QUART!$A$2:$FA$300, 88, FALSE)="",":",VLOOKUP($E$31,[1]QUART!$A$2:$FA$300, 88, FALSE))</f>
        <v>:</v>
      </c>
      <c r="CL31" s="556" t="str">
        <f>IF(VLOOKUP($E$31,[1]QUART!$A$2:$FA$300, 89, FALSE)="",":",VLOOKUP($E$31,[1]QUART!$A$2:$FA$300, 89, FALSE))</f>
        <v>:</v>
      </c>
      <c r="CM31" s="556" t="str">
        <f>IF(VLOOKUP($E$31,[1]QUART!$A$2:$FA$300, 90, FALSE)="",":",VLOOKUP($E$31,[1]QUART!$A$2:$FA$300, 90, FALSE))</f>
        <v>:</v>
      </c>
      <c r="CN31" s="556" t="str">
        <f>IF(VLOOKUP($E$31,[1]QUART!$A$2:$FA$300, 91, FALSE)="",":",VLOOKUP($E$31,[1]QUART!$A$2:$FA$300, 91, FALSE))</f>
        <v>:</v>
      </c>
      <c r="CO31" s="556" t="str">
        <f>IF(VLOOKUP($E$31,[1]QUART!$A$2:$FA$300, 92, FALSE)="",":",VLOOKUP($E$31,[1]QUART!$A$2:$FA$300, 92, FALSE))</f>
        <v>:</v>
      </c>
      <c r="CP31" s="556" t="str">
        <f>IF(VLOOKUP($E$31,[1]QUART!$A$2:$FA$300, 93, FALSE)="",":",VLOOKUP($E$31,[1]QUART!$A$2:$FA$300, 93, FALSE))</f>
        <v>:</v>
      </c>
      <c r="CQ31" s="556" t="str">
        <f>IF(VLOOKUP($E$31,[1]QUART!$A$2:$FA$300, 94, FALSE)="",":",VLOOKUP($E$31,[1]QUART!$A$2:$FA$300, 94, FALSE))</f>
        <v>:</v>
      </c>
      <c r="CR31" s="556" t="str">
        <f>IF(VLOOKUP($E$31,[1]QUART!$A$2:$FA$300, 95, FALSE)="",":",VLOOKUP($E$31,[1]QUART!$A$2:$FA$300, 95, FALSE))</f>
        <v>:</v>
      </c>
      <c r="CS31" s="556" t="str">
        <f>IF(VLOOKUP($E$31,[1]QUART!$A$2:$FA$300, 96, FALSE)="",":",VLOOKUP($E$31,[1]QUART!$A$2:$FA$300, 96, FALSE))</f>
        <v>:</v>
      </c>
      <c r="CT31" s="556" t="str">
        <f>IF(VLOOKUP($E$31,[1]QUART!$A$2:$FA$300, 97, FALSE)="",":",VLOOKUP($E$31,[1]QUART!$A$2:$FA$300, 97, FALSE))</f>
        <v>:</v>
      </c>
      <c r="CU31" s="556" t="str">
        <f>IF(VLOOKUP($E$31,[1]QUART!$A$2:$FA$300, 98, FALSE)="",":",VLOOKUP($E$31,[1]QUART!$A$2:$FA$300, 98, FALSE))</f>
        <v>:</v>
      </c>
      <c r="CV31" s="556" t="str">
        <f>IF(VLOOKUP($E$31,[1]QUART!$A$2:$FA$300, 99, FALSE)="",":",VLOOKUP($E$31,[1]QUART!$A$2:$FA$300, 99, FALSE))</f>
        <v>:</v>
      </c>
      <c r="CW31" s="556" t="str">
        <f>IF(VLOOKUP($E$31,[1]QUART!$A$2:$FA$300, 100, FALSE)="",":",VLOOKUP($E$31,[1]QUART!$A$2:$FA$300, 100, FALSE))</f>
        <v>:</v>
      </c>
      <c r="CX31" s="556" t="str">
        <f>IF(VLOOKUP($E$31,[1]QUART!$A$2:$FA$300, 101, FALSE)="",":",VLOOKUP($E$31,[1]QUART!$A$2:$FA$300, 101, FALSE))</f>
        <v>:</v>
      </c>
      <c r="CY31" s="556" t="str">
        <f>IF(VLOOKUP($E$31,[1]QUART!$A$2:$FA$300, 102, FALSE)="",":",VLOOKUP($E$31,[1]QUART!$A$2:$FA$300, 102, FALSE))</f>
        <v>:</v>
      </c>
      <c r="CZ31" s="556" t="str">
        <f>IF(VLOOKUP($E$31,[1]QUART!$A$2:$FA$300, 103, FALSE)="",":",VLOOKUP($E$31,[1]QUART!$A$2:$FA$300, 103, FALSE))</f>
        <v>:</v>
      </c>
      <c r="DA31" s="556" t="str">
        <f>IF(VLOOKUP($E$31,[1]QUART!$A$2:$FA$300, 104, FALSE)="",":",VLOOKUP($E$31,[1]QUART!$A$2:$FA$300, 104, FALSE))</f>
        <v>:</v>
      </c>
      <c r="DB31" s="556" t="str">
        <f>IF(VLOOKUP($E$31,[1]QUART!$A$2:$FA$300, 105, FALSE)="",":",VLOOKUP($E$31,[1]QUART!$A$2:$FA$300, 105, FALSE))</f>
        <v>:</v>
      </c>
      <c r="DC31" s="556" t="str">
        <f>IF(VLOOKUP($E$31,[1]QUART!$A$2:$FA$300, 106, FALSE)="",":",VLOOKUP($E$31,[1]QUART!$A$2:$FA$300, 106, FALSE))</f>
        <v>:</v>
      </c>
    </row>
    <row r="32" spans="1:107">
      <c r="A32" s="546"/>
      <c r="B32" s="546"/>
      <c r="C32" s="547"/>
      <c r="D32" s="12" t="s">
        <v>363</v>
      </c>
      <c r="E32" s="13">
        <v>87</v>
      </c>
      <c r="F32" s="14" t="str">
        <f>VLOOKUP($E$32,[1]QUART!$A$2:$FA$300, 3, FALSE)</f>
        <v xml:space="preserve">87  Imports of services                                                   </v>
      </c>
      <c r="G32" s="556" t="str">
        <f>IF(VLOOKUP($E$32,[1]QUART!$A$2:$FA$300, 6, FALSE)="",":",VLOOKUP($E$32,[1]QUART!$A$2:$FA$300, 6, FALSE))</f>
        <v>:</v>
      </c>
      <c r="H32" s="556" t="str">
        <f>IF(VLOOKUP($E$32,[1]QUART!$A$2:$FA$300, 7, FALSE)="",":",VLOOKUP($E$32,[1]QUART!$A$2:$FA$300, 7, FALSE))</f>
        <v>:</v>
      </c>
      <c r="I32" s="556" t="str">
        <f>IF(VLOOKUP($E$32,[1]QUART!$A$2:$FA$300, 8, FALSE)="",":",VLOOKUP($E$32,[1]QUART!$A$2:$FA$300, 8, FALSE))</f>
        <v>:</v>
      </c>
      <c r="J32" s="556" t="str">
        <f>IF(VLOOKUP($E$32,[1]QUART!$A$2:$FA$300, 9, FALSE)="",":",VLOOKUP($E$32,[1]QUART!$A$2:$FA$300, 9, FALSE))</f>
        <v>:</v>
      </c>
      <c r="K32" s="556" t="str">
        <f>IF(VLOOKUP($E$32,[1]QUART!$A$2:$FA$300, 10, FALSE)="",":",VLOOKUP($E$32,[1]QUART!$A$2:$FA$300, 10, FALSE))</f>
        <v>:</v>
      </c>
      <c r="L32" s="556" t="str">
        <f>IF(VLOOKUP($E$32,[1]QUART!$A$2:$FA$300, 11, FALSE)="",":",VLOOKUP($E$32,[1]QUART!$A$2:$FA$300, 11, FALSE))</f>
        <v>:</v>
      </c>
      <c r="M32" s="556" t="str">
        <f>IF(VLOOKUP($E$32,[1]QUART!$A$2:$FA$300, 12, FALSE)="",":",VLOOKUP($E$32,[1]QUART!$A$2:$FA$300, 12, FALSE))</f>
        <v>:</v>
      </c>
      <c r="N32" s="556" t="str">
        <f>IF(VLOOKUP($E$32,[1]QUART!$A$2:$FA$300, 13, FALSE)="",":",VLOOKUP($E$32,[1]QUART!$A$2:$FA$300, 13, FALSE))</f>
        <v>:</v>
      </c>
      <c r="O32" s="556" t="str">
        <f>IF(VLOOKUP($E$32,[1]QUART!$A$2:$FA$300, 14, FALSE)="",":",VLOOKUP($E$32,[1]QUART!$A$2:$FA$300, 14, FALSE))</f>
        <v>:</v>
      </c>
      <c r="P32" s="556" t="str">
        <f>IF(VLOOKUP($E$32,[1]QUART!$A$2:$FA$300, 15, FALSE)="",":",VLOOKUP($E$32,[1]QUART!$A$2:$FA$300, 15, FALSE))</f>
        <v>:</v>
      </c>
      <c r="Q32" s="556" t="str">
        <f>IF(VLOOKUP($E$32,[1]QUART!$A$2:$FA$300, 16, FALSE)="",":",VLOOKUP($E$32,[1]QUART!$A$2:$FA$300, 16, FALSE))</f>
        <v>:</v>
      </c>
      <c r="R32" s="556" t="str">
        <f>IF(VLOOKUP($E$32,[1]QUART!$A$2:$FA$300, 17, FALSE)="",":",VLOOKUP($E$32,[1]QUART!$A$2:$FA$300, 17, FALSE))</f>
        <v>:</v>
      </c>
      <c r="S32" s="556" t="str">
        <f>IF(VLOOKUP($E$32,[1]QUART!$A$2:$FA$300, 18, FALSE)="",":",VLOOKUP($E$32,[1]QUART!$A$2:$FA$300, 18, FALSE))</f>
        <v>:</v>
      </c>
      <c r="T32" s="556" t="str">
        <f>IF(VLOOKUP($E$32,[1]QUART!$A$2:$FA$300, 19, FALSE)="",":",VLOOKUP($E$32,[1]QUART!$A$2:$FA$300, 19, FALSE))</f>
        <v>:</v>
      </c>
      <c r="U32" s="556" t="str">
        <f>IF(VLOOKUP($E$32,[1]QUART!$A$2:$FA$300, 20, FALSE)="",":",VLOOKUP($E$32,[1]QUART!$A$2:$FA$300, 20, FALSE))</f>
        <v>:</v>
      </c>
      <c r="V32" s="556" t="str">
        <f>IF(VLOOKUP($E$32,[1]QUART!$A$2:$FA$300, 21, FALSE)="",":",VLOOKUP($E$32,[1]QUART!$A$2:$FA$300, 21, FALSE))</f>
        <v>:</v>
      </c>
      <c r="W32" s="556" t="str">
        <f>IF(VLOOKUP($E$32,[1]QUART!$A$2:$FA$300, 22, FALSE)="",":",VLOOKUP($E$32,[1]QUART!$A$2:$FA$300, 22, FALSE))</f>
        <v>:</v>
      </c>
      <c r="X32" s="556" t="str">
        <f>IF(VLOOKUP($E$32,[1]QUART!$A$2:$FA$300, 23, FALSE)="",":",VLOOKUP($E$32,[1]QUART!$A$2:$FA$300, 23, FALSE))</f>
        <v>:</v>
      </c>
      <c r="Y32" s="556" t="str">
        <f>IF(VLOOKUP($E$32,[1]QUART!$A$2:$FA$300, 24, FALSE)="",":",VLOOKUP($E$32,[1]QUART!$A$2:$FA$300, 24, FALSE))</f>
        <v>:</v>
      </c>
      <c r="Z32" s="556" t="str">
        <f>IF(VLOOKUP($E$32,[1]QUART!$A$2:$FA$300, 25, FALSE)="",":",VLOOKUP($E$32,[1]QUART!$A$2:$FA$300, 25, FALSE))</f>
        <v>:</v>
      </c>
      <c r="AA32" s="556" t="str">
        <f>IF(VLOOKUP($E$32,[1]QUART!$A$2:$FA$300, 26, FALSE)="",":",VLOOKUP($E$32,[1]QUART!$A$2:$FA$300, 26, FALSE))</f>
        <v>:</v>
      </c>
      <c r="AB32" s="556" t="str">
        <f>IF(VLOOKUP($E$32,[1]QUART!$A$2:$FA$300, 27, FALSE)="",":",VLOOKUP($E$32,[1]QUART!$A$2:$FA$300, 27, FALSE))</f>
        <v>:</v>
      </c>
      <c r="AC32" s="556" t="str">
        <f>IF(VLOOKUP($E$32,[1]QUART!$A$2:$FA$300, 28, FALSE)="",":",VLOOKUP($E$32,[1]QUART!$A$2:$FA$300, 28, FALSE))</f>
        <v>:</v>
      </c>
      <c r="AD32" s="556" t="str">
        <f>IF(VLOOKUP($E$32,[1]QUART!$A$2:$FA$300, 29, FALSE)="",":",VLOOKUP($E$32,[1]QUART!$A$2:$FA$300, 29, FALSE))</f>
        <v>:</v>
      </c>
      <c r="AE32" s="556" t="str">
        <f>IF(VLOOKUP($E$32,[1]QUART!$A$2:$FA$300, 30, FALSE)="",":",VLOOKUP($E$32,[1]QUART!$A$2:$FA$300, 30, FALSE))</f>
        <v>:</v>
      </c>
      <c r="AF32" s="556" t="str">
        <f>IF(VLOOKUP($E$32,[1]QUART!$A$2:$FA$300, 31, FALSE)="",":",VLOOKUP($E$32,[1]QUART!$A$2:$FA$300, 31, FALSE))</f>
        <v>:</v>
      </c>
      <c r="AG32" s="556" t="str">
        <f>IF(VLOOKUP($E$32,[1]QUART!$A$2:$FA$300, 32, FALSE)="",":",VLOOKUP($E$32,[1]QUART!$A$2:$FA$300, 32, FALSE))</f>
        <v>:</v>
      </c>
      <c r="AH32" s="556" t="str">
        <f>IF(VLOOKUP($E$32,[1]QUART!$A$2:$FA$300, 33, FALSE)="",":",VLOOKUP($E$32,[1]QUART!$A$2:$FA$300, 33, FALSE))</f>
        <v>:</v>
      </c>
      <c r="AI32" s="556" t="str">
        <f>IF(VLOOKUP($E$32,[1]QUART!$A$2:$FA$300, 34, FALSE)="",":",VLOOKUP($E$32,[1]QUART!$A$2:$FA$300, 34, FALSE))</f>
        <v>:</v>
      </c>
      <c r="AJ32" s="556" t="str">
        <f>IF(VLOOKUP($E$32,[1]QUART!$A$2:$FA$300, 35, FALSE)="",":",VLOOKUP($E$32,[1]QUART!$A$2:$FA$300, 35, FALSE))</f>
        <v>:</v>
      </c>
      <c r="AK32" s="556" t="str">
        <f>IF(VLOOKUP($E$32,[1]QUART!$A$2:$FA$300, 36, FALSE)="",":",VLOOKUP($E$32,[1]QUART!$A$2:$FA$300, 36, FALSE))</f>
        <v>:</v>
      </c>
      <c r="AL32" s="556" t="str">
        <f>IF(VLOOKUP($E$32,[1]QUART!$A$2:$FA$300, 37, FALSE)="",":",VLOOKUP($E$32,[1]QUART!$A$2:$FA$300, 37, FALSE))</f>
        <v>:</v>
      </c>
      <c r="AM32" s="556" t="str">
        <f>IF(VLOOKUP($E$32,[1]QUART!$A$2:$FA$300, 38, FALSE)="",":",VLOOKUP($E$32,[1]QUART!$A$2:$FA$300, 38, FALSE))</f>
        <v>:</v>
      </c>
      <c r="AN32" s="556" t="str">
        <f>IF(VLOOKUP($E$32,[1]QUART!$A$2:$FA$300, 39, FALSE)="",":",VLOOKUP($E$32,[1]QUART!$A$2:$FA$300, 39, FALSE))</f>
        <v>:</v>
      </c>
      <c r="AO32" s="556" t="str">
        <f>IF(VLOOKUP($E$32,[1]QUART!$A$2:$FA$300, 40, FALSE)="",":",VLOOKUP($E$32,[1]QUART!$A$2:$FA$300, 40, FALSE))</f>
        <v>:</v>
      </c>
      <c r="AP32" s="556" t="str">
        <f>IF(VLOOKUP($E$32,[1]QUART!$A$2:$FA$300, 41, FALSE)="",":",VLOOKUP($E$32,[1]QUART!$A$2:$FA$300, 41, FALSE))</f>
        <v>:</v>
      </c>
      <c r="AQ32" s="556" t="str">
        <f>IF(VLOOKUP($E$32,[1]QUART!$A$2:$FA$300, 42, FALSE)="",":",VLOOKUP($E$32,[1]QUART!$A$2:$FA$300, 42, FALSE))</f>
        <v>:</v>
      </c>
      <c r="AR32" s="556" t="str">
        <f>IF(VLOOKUP($E$32,[1]QUART!$A$2:$FA$300, 43, FALSE)="",":",VLOOKUP($E$32,[1]QUART!$A$2:$FA$300, 43, FALSE))</f>
        <v>:</v>
      </c>
      <c r="AS32" s="556" t="str">
        <f>IF(VLOOKUP($E$32,[1]QUART!$A$2:$FA$300, 44, FALSE)="",":",VLOOKUP($E$32,[1]QUART!$A$2:$FA$300, 44, FALSE))</f>
        <v>:</v>
      </c>
      <c r="AT32" s="556" t="str">
        <f>IF(VLOOKUP($E$32,[1]QUART!$A$2:$FA$300, 45, FALSE)="",":",VLOOKUP($E$32,[1]QUART!$A$2:$FA$300, 45, FALSE))</f>
        <v>:</v>
      </c>
      <c r="AU32" s="556" t="str">
        <f>IF(VLOOKUP($E$32,[1]QUART!$A$2:$FA$300, 46, FALSE)="",":",VLOOKUP($E$32,[1]QUART!$A$2:$FA$300, 46, FALSE))</f>
        <v>:</v>
      </c>
      <c r="AV32" s="556" t="str">
        <f>IF(VLOOKUP($E$32,[1]QUART!$A$2:$FA$300, 47, FALSE)="",":",VLOOKUP($E$32,[1]QUART!$A$2:$FA$300, 47, FALSE))</f>
        <v>:</v>
      </c>
      <c r="AW32" s="556" t="str">
        <f>IF(VLOOKUP($E$32,[1]QUART!$A$2:$FA$300, 48, FALSE)="",":",VLOOKUP($E$32,[1]QUART!$A$2:$FA$300, 48, FALSE))</f>
        <v>:</v>
      </c>
      <c r="AX32" s="556" t="str">
        <f>IF(VLOOKUP($E$32,[1]QUART!$A$2:$FA$300, 49, FALSE)="",":",VLOOKUP($E$32,[1]QUART!$A$2:$FA$300, 49, FALSE))</f>
        <v>:</v>
      </c>
      <c r="AY32" s="556" t="str">
        <f>IF(VLOOKUP($E$32,[1]QUART!$A$2:$FA$300, 50, FALSE)="",":",VLOOKUP($E$32,[1]QUART!$A$2:$FA$300, 50, FALSE))</f>
        <v>:</v>
      </c>
      <c r="AZ32" s="556" t="str">
        <f>IF(VLOOKUP($E$32,[1]QUART!$A$2:$FA$300, 51, FALSE)="",":",VLOOKUP($E$32,[1]QUART!$A$2:$FA$300, 51, FALSE))</f>
        <v>:</v>
      </c>
      <c r="BA32" s="556" t="str">
        <f>IF(VLOOKUP($E$32,[1]QUART!$A$2:$FA$300, 52, FALSE)="",":",VLOOKUP($E$32,[1]QUART!$A$2:$FA$300, 52, FALSE))</f>
        <v>:</v>
      </c>
      <c r="BB32" s="556" t="str">
        <f>IF(VLOOKUP($E$32,[1]QUART!$A$2:$FA$300, 53, FALSE)="",":",VLOOKUP($E$32,[1]QUART!$A$2:$FA$300, 53, FALSE))</f>
        <v>:</v>
      </c>
      <c r="BC32" s="556" t="str">
        <f>IF(VLOOKUP($E$32,[1]QUART!$A$2:$FA$300, 54, FALSE)="",":",VLOOKUP($E$32,[1]QUART!$A$2:$FA$300, 54, FALSE))</f>
        <v>:</v>
      </c>
      <c r="BD32" s="556" t="str">
        <f>IF(VLOOKUP($E$32,[1]QUART!$A$2:$FA$300, 55, FALSE)="",":",VLOOKUP($E$32,[1]QUART!$A$2:$FA$300, 55, FALSE))</f>
        <v>:</v>
      </c>
      <c r="BE32" s="556" t="str">
        <f>IF(VLOOKUP($E$32,[1]QUART!$A$2:$FA$300, 56, FALSE)="",":",VLOOKUP($E$32,[1]QUART!$A$2:$FA$300, 56, FALSE))</f>
        <v>:</v>
      </c>
      <c r="BF32" s="556" t="str">
        <f>IF(VLOOKUP($E$32,[1]QUART!$A$2:$FA$300, 57, FALSE)="",":",VLOOKUP($E$32,[1]QUART!$A$2:$FA$300, 57, FALSE))</f>
        <v>:</v>
      </c>
      <c r="BG32" s="556" t="str">
        <f>IF(VLOOKUP($E$32,[1]QUART!$A$2:$FA$300, 58, FALSE)="",":",VLOOKUP($E$32,[1]QUART!$A$2:$FA$300, 58, FALSE))</f>
        <v>:</v>
      </c>
      <c r="BH32" s="556" t="str">
        <f>IF(VLOOKUP($E$32,[1]QUART!$A$2:$FA$300, 59, FALSE)="",":",VLOOKUP($E$32,[1]QUART!$A$2:$FA$300, 59, FALSE))</f>
        <v>:</v>
      </c>
      <c r="BI32" s="556" t="str">
        <f>IF(VLOOKUP($E$32,[1]QUART!$A$2:$FA$300, 60, FALSE)="",":",VLOOKUP($E$32,[1]QUART!$A$2:$FA$300, 60, FALSE))</f>
        <v>:</v>
      </c>
      <c r="BJ32" s="556" t="str">
        <f>IF(VLOOKUP($E$32,[1]QUART!$A$2:$FA$300, 61, FALSE)="",":",VLOOKUP($E$32,[1]QUART!$A$2:$FA$300, 61, FALSE))</f>
        <v>:</v>
      </c>
      <c r="BK32" s="556" t="str">
        <f>IF(VLOOKUP($E$32,[1]QUART!$A$2:$FA$300, 62, FALSE)="",":",VLOOKUP($E$32,[1]QUART!$A$2:$FA$300, 62, FALSE))</f>
        <v>:</v>
      </c>
      <c r="BL32" s="556" t="str">
        <f>IF(VLOOKUP($E$32,[1]QUART!$A$2:$FA$300, 63, FALSE)="",":",VLOOKUP($E$32,[1]QUART!$A$2:$FA$300, 63, FALSE))</f>
        <v>:</v>
      </c>
      <c r="BM32" s="556" t="str">
        <f>IF(VLOOKUP($E$32,[1]QUART!$A$2:$FA$300, 64, FALSE)="",":",VLOOKUP($E$32,[1]QUART!$A$2:$FA$300, 64, FALSE))</f>
        <v>:</v>
      </c>
      <c r="BN32" s="556" t="str">
        <f>IF(VLOOKUP($E$32,[1]QUART!$A$2:$FA$300, 65, FALSE)="",":",VLOOKUP($E$32,[1]QUART!$A$2:$FA$300, 65, FALSE))</f>
        <v>:</v>
      </c>
      <c r="BO32" s="556" t="str">
        <f>IF(VLOOKUP($E$32,[1]QUART!$A$2:$FA$300, 66, FALSE)="",":",VLOOKUP($E$32,[1]QUART!$A$2:$FA$300, 66, FALSE))</f>
        <v>:</v>
      </c>
      <c r="BP32" s="556" t="str">
        <f>IF(VLOOKUP($E$32,[1]QUART!$A$2:$FA$300, 67, FALSE)="",":",VLOOKUP($E$32,[1]QUART!$A$2:$FA$300, 67, FALSE))</f>
        <v>:</v>
      </c>
      <c r="BQ32" s="556" t="str">
        <f>IF(VLOOKUP($E$32,[1]QUART!$A$2:$FA$300, 68, FALSE)="",":",VLOOKUP($E$32,[1]QUART!$A$2:$FA$300, 68, FALSE))</f>
        <v>:</v>
      </c>
      <c r="BR32" s="556" t="str">
        <f>IF(VLOOKUP($E$32,[1]QUART!$A$2:$FA$300, 69, FALSE)="",":",VLOOKUP($E$32,[1]QUART!$A$2:$FA$300, 69, FALSE))</f>
        <v>:</v>
      </c>
      <c r="BS32" s="556" t="str">
        <f>IF(VLOOKUP($E$32,[1]QUART!$A$2:$FA$300, 70, FALSE)="",":",VLOOKUP($E$32,[1]QUART!$A$2:$FA$300, 70, FALSE))</f>
        <v>:</v>
      </c>
      <c r="BT32" s="556" t="str">
        <f>IF(VLOOKUP($E$32,[1]QUART!$A$2:$FA$300, 71, FALSE)="",":",VLOOKUP($E$32,[1]QUART!$A$2:$FA$300, 71, FALSE))</f>
        <v>:</v>
      </c>
      <c r="BU32" s="556" t="str">
        <f>IF(VLOOKUP($E$32,[1]QUART!$A$2:$FA$300, 72, FALSE)="",":",VLOOKUP($E$32,[1]QUART!$A$2:$FA$300, 72, FALSE))</f>
        <v>:</v>
      </c>
      <c r="BV32" s="556" t="str">
        <f>IF(VLOOKUP($E$32,[1]QUART!$A$2:$FA$300, 73, FALSE)="",":",VLOOKUP($E$32,[1]QUART!$A$2:$FA$300, 73, FALSE))</f>
        <v>:</v>
      </c>
      <c r="BW32" s="556" t="str">
        <f>IF(VLOOKUP($E$32,[1]QUART!$A$2:$FA$300, 74, FALSE)="",":",VLOOKUP($E$32,[1]QUART!$A$2:$FA$300, 74, FALSE))</f>
        <v>:</v>
      </c>
      <c r="BX32" s="556" t="str">
        <f>IF(VLOOKUP($E$32,[1]QUART!$A$2:$FA$300, 75, FALSE)="",":",VLOOKUP($E$32,[1]QUART!$A$2:$FA$300, 75, FALSE))</f>
        <v>:</v>
      </c>
      <c r="BY32" s="556" t="str">
        <f>IF(VLOOKUP($E$32,[1]QUART!$A$2:$FA$300, 76, FALSE)="",":",VLOOKUP($E$32,[1]QUART!$A$2:$FA$300, 76, FALSE))</f>
        <v>:</v>
      </c>
      <c r="BZ32" s="556" t="str">
        <f>IF(VLOOKUP($E$32,[1]QUART!$A$2:$FA$300, 77, FALSE)="",":",VLOOKUP($E$32,[1]QUART!$A$2:$FA$300, 77, FALSE))</f>
        <v>:</v>
      </c>
      <c r="CA32" s="556" t="str">
        <f>IF(VLOOKUP($E$32,[1]QUART!$A$2:$FA$300, 78, FALSE)="",":",VLOOKUP($E$32,[1]QUART!$A$2:$FA$300, 78, FALSE))</f>
        <v>:</v>
      </c>
      <c r="CB32" s="556" t="str">
        <f>IF(VLOOKUP($E$32,[1]QUART!$A$2:$FA$300, 79, FALSE)="",":",VLOOKUP($E$32,[1]QUART!$A$2:$FA$300, 79, FALSE))</f>
        <v>:</v>
      </c>
      <c r="CC32" s="556" t="str">
        <f>IF(VLOOKUP($E$32,[1]QUART!$A$2:$FA$300, 80, FALSE)="",":",VLOOKUP($E$32,[1]QUART!$A$2:$FA$300, 80, FALSE))</f>
        <v>:</v>
      </c>
      <c r="CD32" s="556" t="str">
        <f>IF(VLOOKUP($E$32,[1]QUART!$A$2:$FA$300, 81, FALSE)="",":",VLOOKUP($E$32,[1]QUART!$A$2:$FA$300, 81, FALSE))</f>
        <v>:</v>
      </c>
      <c r="CE32" s="556" t="str">
        <f>IF(VLOOKUP($E$32,[1]QUART!$A$2:$FA$300, 82, FALSE)="",":",VLOOKUP($E$32,[1]QUART!$A$2:$FA$300, 82, FALSE))</f>
        <v>:</v>
      </c>
      <c r="CF32" s="556" t="str">
        <f>IF(VLOOKUP($E$32,[1]QUART!$A$2:$FA$300, 83, FALSE)="",":",VLOOKUP($E$32,[1]QUART!$A$2:$FA$300, 83, FALSE))</f>
        <v>:</v>
      </c>
      <c r="CG32" s="556" t="str">
        <f>IF(VLOOKUP($E$32,[1]QUART!$A$2:$FA$300, 84, FALSE)="",":",VLOOKUP($E$32,[1]QUART!$A$2:$FA$300, 84, FALSE))</f>
        <v>:</v>
      </c>
      <c r="CH32" s="556" t="str">
        <f>IF(VLOOKUP($E$32,[1]QUART!$A$2:$FA$300, 85, FALSE)="",":",VLOOKUP($E$32,[1]QUART!$A$2:$FA$300, 85, FALSE))</f>
        <v>:</v>
      </c>
      <c r="CI32" s="556" t="str">
        <f>IF(VLOOKUP($E$32,[1]QUART!$A$2:$FA$300, 86, FALSE)="",":",VLOOKUP($E$32,[1]QUART!$A$2:$FA$300, 86, FALSE))</f>
        <v>:</v>
      </c>
      <c r="CJ32" s="556" t="str">
        <f>IF(VLOOKUP($E$32,[1]QUART!$A$2:$FA$300, 87, FALSE)="",":",VLOOKUP($E$32,[1]QUART!$A$2:$FA$300, 87, FALSE))</f>
        <v>:</v>
      </c>
      <c r="CK32" s="556" t="str">
        <f>IF(VLOOKUP($E$32,[1]QUART!$A$2:$FA$300, 88, FALSE)="",":",VLOOKUP($E$32,[1]QUART!$A$2:$FA$300, 88, FALSE))</f>
        <v>:</v>
      </c>
      <c r="CL32" s="556" t="str">
        <f>IF(VLOOKUP($E$32,[1]QUART!$A$2:$FA$300, 89, FALSE)="",":",VLOOKUP($E$32,[1]QUART!$A$2:$FA$300, 89, FALSE))</f>
        <v>:</v>
      </c>
      <c r="CM32" s="556" t="str">
        <f>IF(VLOOKUP($E$32,[1]QUART!$A$2:$FA$300, 90, FALSE)="",":",VLOOKUP($E$32,[1]QUART!$A$2:$FA$300, 90, FALSE))</f>
        <v>:</v>
      </c>
      <c r="CN32" s="556" t="str">
        <f>IF(VLOOKUP($E$32,[1]QUART!$A$2:$FA$300, 91, FALSE)="",":",VLOOKUP($E$32,[1]QUART!$A$2:$FA$300, 91, FALSE))</f>
        <v>:</v>
      </c>
      <c r="CO32" s="556" t="str">
        <f>IF(VLOOKUP($E$32,[1]QUART!$A$2:$FA$300, 92, FALSE)="",":",VLOOKUP($E$32,[1]QUART!$A$2:$FA$300, 92, FALSE))</f>
        <v>:</v>
      </c>
      <c r="CP32" s="556" t="str">
        <f>IF(VLOOKUP($E$32,[1]QUART!$A$2:$FA$300, 93, FALSE)="",":",VLOOKUP($E$32,[1]QUART!$A$2:$FA$300, 93, FALSE))</f>
        <v>:</v>
      </c>
      <c r="CQ32" s="556" t="str">
        <f>IF(VLOOKUP($E$32,[1]QUART!$A$2:$FA$300, 94, FALSE)="",":",VLOOKUP($E$32,[1]QUART!$A$2:$FA$300, 94, FALSE))</f>
        <v>:</v>
      </c>
      <c r="CR32" s="556" t="str">
        <f>IF(VLOOKUP($E$32,[1]QUART!$A$2:$FA$300, 95, FALSE)="",":",VLOOKUP($E$32,[1]QUART!$A$2:$FA$300, 95, FALSE))</f>
        <v>:</v>
      </c>
      <c r="CS32" s="556" t="str">
        <f>IF(VLOOKUP($E$32,[1]QUART!$A$2:$FA$300, 96, FALSE)="",":",VLOOKUP($E$32,[1]QUART!$A$2:$FA$300, 96, FALSE))</f>
        <v>:</v>
      </c>
      <c r="CT32" s="556" t="str">
        <f>IF(VLOOKUP($E$32,[1]QUART!$A$2:$FA$300, 97, FALSE)="",":",VLOOKUP($E$32,[1]QUART!$A$2:$FA$300, 97, FALSE))</f>
        <v>:</v>
      </c>
      <c r="CU32" s="556" t="str">
        <f>IF(VLOOKUP($E$32,[1]QUART!$A$2:$FA$300, 98, FALSE)="",":",VLOOKUP($E$32,[1]QUART!$A$2:$FA$300, 98, FALSE))</f>
        <v>:</v>
      </c>
      <c r="CV32" s="556" t="str">
        <f>IF(VLOOKUP($E$32,[1]QUART!$A$2:$FA$300, 99, FALSE)="",":",VLOOKUP($E$32,[1]QUART!$A$2:$FA$300, 99, FALSE))</f>
        <v>:</v>
      </c>
      <c r="CW32" s="556" t="str">
        <f>IF(VLOOKUP($E$32,[1]QUART!$A$2:$FA$300, 100, FALSE)="",":",VLOOKUP($E$32,[1]QUART!$A$2:$FA$300, 100, FALSE))</f>
        <v>:</v>
      </c>
      <c r="CX32" s="556" t="str">
        <f>IF(VLOOKUP($E$32,[1]QUART!$A$2:$FA$300, 101, FALSE)="",":",VLOOKUP($E$32,[1]QUART!$A$2:$FA$300, 101, FALSE))</f>
        <v>:</v>
      </c>
      <c r="CY32" s="556" t="str">
        <f>IF(VLOOKUP($E$32,[1]QUART!$A$2:$FA$300, 102, FALSE)="",":",VLOOKUP($E$32,[1]QUART!$A$2:$FA$300, 102, FALSE))</f>
        <v>:</v>
      </c>
      <c r="CZ32" s="556" t="str">
        <f>IF(VLOOKUP($E$32,[1]QUART!$A$2:$FA$300, 103, FALSE)="",":",VLOOKUP($E$32,[1]QUART!$A$2:$FA$300, 103, FALSE))</f>
        <v>:</v>
      </c>
      <c r="DA32" s="556" t="str">
        <f>IF(VLOOKUP($E$32,[1]QUART!$A$2:$FA$300, 104, FALSE)="",":",VLOOKUP($E$32,[1]QUART!$A$2:$FA$300, 104, FALSE))</f>
        <v>:</v>
      </c>
      <c r="DB32" s="556" t="str">
        <f>IF(VLOOKUP($E$32,[1]QUART!$A$2:$FA$300, 105, FALSE)="",":",VLOOKUP($E$32,[1]QUART!$A$2:$FA$300, 105, FALSE))</f>
        <v>:</v>
      </c>
      <c r="DC32" s="556" t="str">
        <f>IF(VLOOKUP($E$32,[1]QUART!$A$2:$FA$300, 106, FALSE)="",":",VLOOKUP($E$32,[1]QUART!$A$2:$FA$300, 106, FALSE))</f>
        <v>:</v>
      </c>
    </row>
    <row r="33" spans="1:107">
      <c r="A33" s="545"/>
      <c r="B33" s="546"/>
      <c r="C33" s="547"/>
      <c r="D33" s="12"/>
      <c r="E33" s="13"/>
      <c r="F33" s="14"/>
      <c r="G33" s="556"/>
      <c r="H33" s="556"/>
      <c r="I33" s="556"/>
      <c r="J33" s="556"/>
      <c r="K33" s="556"/>
      <c r="L33" s="556"/>
      <c r="M33" s="556"/>
      <c r="N33" s="556"/>
      <c r="O33" s="556"/>
      <c r="P33" s="556"/>
      <c r="Q33" s="556"/>
      <c r="R33" s="556"/>
      <c r="S33" s="556"/>
      <c r="T33" s="556"/>
      <c r="U33" s="556"/>
      <c r="V33" s="556"/>
      <c r="W33" s="556"/>
      <c r="X33" s="556"/>
      <c r="Y33" s="556"/>
      <c r="Z33" s="556"/>
      <c r="AA33" s="556"/>
      <c r="AB33" s="556"/>
      <c r="AC33" s="556"/>
      <c r="AD33" s="556"/>
      <c r="AE33" s="556"/>
      <c r="AF33" s="556"/>
      <c r="AG33" s="556"/>
      <c r="AH33" s="556"/>
      <c r="AI33" s="556"/>
      <c r="AJ33" s="556"/>
      <c r="AK33" s="556"/>
      <c r="AL33" s="556"/>
      <c r="AM33" s="556"/>
      <c r="AN33" s="556"/>
      <c r="AO33" s="556"/>
      <c r="AP33" s="556"/>
      <c r="AQ33" s="556"/>
      <c r="AR33" s="556"/>
      <c r="AS33" s="556"/>
      <c r="AT33" s="556"/>
      <c r="AU33" s="556"/>
      <c r="AV33" s="556"/>
      <c r="AW33" s="556"/>
      <c r="AX33" s="556"/>
      <c r="AY33" s="556"/>
      <c r="AZ33" s="556"/>
      <c r="BA33" s="556"/>
      <c r="BB33" s="556"/>
      <c r="BC33" s="556"/>
      <c r="BD33" s="556"/>
      <c r="BE33" s="556"/>
      <c r="BF33" s="556"/>
      <c r="BG33" s="556"/>
      <c r="BH33" s="556"/>
      <c r="BI33" s="556"/>
      <c r="BJ33" s="556"/>
      <c r="BK33" s="556"/>
      <c r="BL33" s="556"/>
      <c r="BM33" s="556"/>
      <c r="BN33" s="556"/>
      <c r="BO33" s="556"/>
      <c r="BP33" s="556"/>
      <c r="BQ33" s="556"/>
      <c r="BR33" s="556"/>
      <c r="BS33" s="556"/>
      <c r="BT33" s="556"/>
      <c r="BU33" s="556"/>
      <c r="BV33" s="556"/>
      <c r="BW33" s="556"/>
      <c r="BX33" s="556"/>
      <c r="BY33" s="556"/>
      <c r="BZ33" s="556"/>
      <c r="CA33" s="556"/>
      <c r="CB33" s="556"/>
      <c r="CC33" s="556"/>
      <c r="CD33" s="556"/>
      <c r="CE33" s="556"/>
      <c r="CF33" s="556"/>
      <c r="CG33" s="556"/>
      <c r="CH33" s="556"/>
      <c r="CI33" s="556"/>
      <c r="CJ33" s="556"/>
      <c r="CK33" s="556"/>
      <c r="CL33" s="556"/>
      <c r="CM33" s="556"/>
      <c r="CN33" s="556"/>
      <c r="CO33" s="556"/>
      <c r="CP33" s="556"/>
      <c r="CQ33" s="556"/>
      <c r="CR33" s="556"/>
      <c r="CS33" s="556"/>
      <c r="CT33" s="556"/>
      <c r="CU33" s="556"/>
      <c r="CV33" s="556"/>
      <c r="CW33" s="556"/>
      <c r="CX33" s="556"/>
      <c r="CY33" s="556"/>
      <c r="CZ33" s="556"/>
      <c r="DA33" s="556"/>
      <c r="DB33" s="556"/>
      <c r="DC33" s="556"/>
    </row>
    <row r="34" spans="1:107">
      <c r="A34" s="546"/>
      <c r="B34" s="546"/>
      <c r="C34" s="547"/>
      <c r="D34" s="12" t="s">
        <v>363</v>
      </c>
      <c r="E34" s="13">
        <v>100</v>
      </c>
      <c r="F34" s="14" t="str">
        <f>VLOOKUP($E$34,[1]QUART!$A$2:$FA$300, 3, FALSE)</f>
        <v xml:space="preserve">100  Household final consumption expenditure (domestic)                              </v>
      </c>
      <c r="G34" s="556" t="str">
        <f>IF(VLOOKUP($E$34,[1]QUART!$A$2:$FA$300, 6, FALSE)="",":",VLOOKUP($E$34,[1]QUART!$A$2:$FA$300, 6, FALSE))</f>
        <v>:</v>
      </c>
      <c r="H34" s="556" t="str">
        <f>IF(VLOOKUP($E$34,[1]QUART!$A$2:$FA$300, 7, FALSE)="",":",VLOOKUP($E$34,[1]QUART!$A$2:$FA$300, 7, FALSE))</f>
        <v>:</v>
      </c>
      <c r="I34" s="556" t="str">
        <f>IF(VLOOKUP($E$34,[1]QUART!$A$2:$FA$300, 8, FALSE)="",":",VLOOKUP($E$34,[1]QUART!$A$2:$FA$300, 8, FALSE))</f>
        <v>:</v>
      </c>
      <c r="J34" s="556" t="str">
        <f>IF(VLOOKUP($E$34,[1]QUART!$A$2:$FA$300, 9, FALSE)="",":",VLOOKUP($E$34,[1]QUART!$A$2:$FA$300, 9, FALSE))</f>
        <v>:</v>
      </c>
      <c r="K34" s="556" t="str">
        <f>IF(VLOOKUP($E$34,[1]QUART!$A$2:$FA$300, 10, FALSE)="",":",VLOOKUP($E$34,[1]QUART!$A$2:$FA$300, 10, FALSE))</f>
        <v>:</v>
      </c>
      <c r="L34" s="556" t="str">
        <f>IF(VLOOKUP($E$34,[1]QUART!$A$2:$FA$300, 11, FALSE)="",":",VLOOKUP($E$34,[1]QUART!$A$2:$FA$300, 11, FALSE))</f>
        <v>:</v>
      </c>
      <c r="M34" s="556" t="str">
        <f>IF(VLOOKUP($E$34,[1]QUART!$A$2:$FA$300, 12, FALSE)="",":",VLOOKUP($E$34,[1]QUART!$A$2:$FA$300, 12, FALSE))</f>
        <v>:</v>
      </c>
      <c r="N34" s="556" t="str">
        <f>IF(VLOOKUP($E$34,[1]QUART!$A$2:$FA$300, 13, FALSE)="",":",VLOOKUP($E$34,[1]QUART!$A$2:$FA$300, 13, FALSE))</f>
        <v>:</v>
      </c>
      <c r="O34" s="556" t="str">
        <f>IF(VLOOKUP($E$34,[1]QUART!$A$2:$FA$300, 14, FALSE)="",":",VLOOKUP($E$34,[1]QUART!$A$2:$FA$300, 14, FALSE))</f>
        <v>:</v>
      </c>
      <c r="P34" s="556" t="str">
        <f>IF(VLOOKUP($E$34,[1]QUART!$A$2:$FA$300, 15, FALSE)="",":",VLOOKUP($E$34,[1]QUART!$A$2:$FA$300, 15, FALSE))</f>
        <v>:</v>
      </c>
      <c r="Q34" s="556" t="str">
        <f>IF(VLOOKUP($E$34,[1]QUART!$A$2:$FA$300, 16, FALSE)="",":",VLOOKUP($E$34,[1]QUART!$A$2:$FA$300, 16, FALSE))</f>
        <v>:</v>
      </c>
      <c r="R34" s="556" t="str">
        <f>IF(VLOOKUP($E$34,[1]QUART!$A$2:$FA$300, 17, FALSE)="",":",VLOOKUP($E$34,[1]QUART!$A$2:$FA$300, 17, FALSE))</f>
        <v>:</v>
      </c>
      <c r="S34" s="556" t="str">
        <f>IF(VLOOKUP($E$34,[1]QUART!$A$2:$FA$300, 18, FALSE)="",":",VLOOKUP($E$34,[1]QUART!$A$2:$FA$300, 18, FALSE))</f>
        <v>:</v>
      </c>
      <c r="T34" s="556" t="str">
        <f>IF(VLOOKUP($E$34,[1]QUART!$A$2:$FA$300, 19, FALSE)="",":",VLOOKUP($E$34,[1]QUART!$A$2:$FA$300, 19, FALSE))</f>
        <v>:</v>
      </c>
      <c r="U34" s="556" t="str">
        <f>IF(VLOOKUP($E$34,[1]QUART!$A$2:$FA$300, 20, FALSE)="",":",VLOOKUP($E$34,[1]QUART!$A$2:$FA$300, 20, FALSE))</f>
        <v>:</v>
      </c>
      <c r="V34" s="556" t="str">
        <f>IF(VLOOKUP($E$34,[1]QUART!$A$2:$FA$300, 21, FALSE)="",":",VLOOKUP($E$34,[1]QUART!$A$2:$FA$300, 21, FALSE))</f>
        <v>:</v>
      </c>
      <c r="W34" s="556" t="str">
        <f>IF(VLOOKUP($E$34,[1]QUART!$A$2:$FA$300, 22, FALSE)="",":",VLOOKUP($E$34,[1]QUART!$A$2:$FA$300, 22, FALSE))</f>
        <v>:</v>
      </c>
      <c r="X34" s="556" t="str">
        <f>IF(VLOOKUP($E$34,[1]QUART!$A$2:$FA$300, 23, FALSE)="",":",VLOOKUP($E$34,[1]QUART!$A$2:$FA$300, 23, FALSE))</f>
        <v>:</v>
      </c>
      <c r="Y34" s="556" t="str">
        <f>IF(VLOOKUP($E$34,[1]QUART!$A$2:$FA$300, 24, FALSE)="",":",VLOOKUP($E$34,[1]QUART!$A$2:$FA$300, 24, FALSE))</f>
        <v>:</v>
      </c>
      <c r="Z34" s="556" t="str">
        <f>IF(VLOOKUP($E$34,[1]QUART!$A$2:$FA$300, 25, FALSE)="",":",VLOOKUP($E$34,[1]QUART!$A$2:$FA$300, 25, FALSE))</f>
        <v>:</v>
      </c>
      <c r="AA34" s="556" t="str">
        <f>IF(VLOOKUP($E$34,[1]QUART!$A$2:$FA$300, 26, FALSE)="",":",VLOOKUP($E$34,[1]QUART!$A$2:$FA$300, 26, FALSE))</f>
        <v>:</v>
      </c>
      <c r="AB34" s="556" t="str">
        <f>IF(VLOOKUP($E$34,[1]QUART!$A$2:$FA$300, 27, FALSE)="",":",VLOOKUP($E$34,[1]QUART!$A$2:$FA$300, 27, FALSE))</f>
        <v>:</v>
      </c>
      <c r="AC34" s="556" t="str">
        <f>IF(VLOOKUP($E$34,[1]QUART!$A$2:$FA$300, 28, FALSE)="",":",VLOOKUP($E$34,[1]QUART!$A$2:$FA$300, 28, FALSE))</f>
        <v>:</v>
      </c>
      <c r="AD34" s="556" t="str">
        <f>IF(VLOOKUP($E$34,[1]QUART!$A$2:$FA$300, 29, FALSE)="",":",VLOOKUP($E$34,[1]QUART!$A$2:$FA$300, 29, FALSE))</f>
        <v>:</v>
      </c>
      <c r="AE34" s="556" t="str">
        <f>IF(VLOOKUP($E$34,[1]QUART!$A$2:$FA$300, 30, FALSE)="",":",VLOOKUP($E$34,[1]QUART!$A$2:$FA$300, 30, FALSE))</f>
        <v>:</v>
      </c>
      <c r="AF34" s="556" t="str">
        <f>IF(VLOOKUP($E$34,[1]QUART!$A$2:$FA$300, 31, FALSE)="",":",VLOOKUP($E$34,[1]QUART!$A$2:$FA$300, 31, FALSE))</f>
        <v>:</v>
      </c>
      <c r="AG34" s="556" t="str">
        <f>IF(VLOOKUP($E$34,[1]QUART!$A$2:$FA$300, 32, FALSE)="",":",VLOOKUP($E$34,[1]QUART!$A$2:$FA$300, 32, FALSE))</f>
        <v>:</v>
      </c>
      <c r="AH34" s="556" t="str">
        <f>IF(VLOOKUP($E$34,[1]QUART!$A$2:$FA$300, 33, FALSE)="",":",VLOOKUP($E$34,[1]QUART!$A$2:$FA$300, 33, FALSE))</f>
        <v>:</v>
      </c>
      <c r="AI34" s="556" t="str">
        <f>IF(VLOOKUP($E$34,[1]QUART!$A$2:$FA$300, 34, FALSE)="",":",VLOOKUP($E$34,[1]QUART!$A$2:$FA$300, 34, FALSE))</f>
        <v>:</v>
      </c>
      <c r="AJ34" s="556" t="str">
        <f>IF(VLOOKUP($E$34,[1]QUART!$A$2:$FA$300, 35, FALSE)="",":",VLOOKUP($E$34,[1]QUART!$A$2:$FA$300, 35, FALSE))</f>
        <v>:</v>
      </c>
      <c r="AK34" s="556" t="str">
        <f>IF(VLOOKUP($E$34,[1]QUART!$A$2:$FA$300, 36, FALSE)="",":",VLOOKUP($E$34,[1]QUART!$A$2:$FA$300, 36, FALSE))</f>
        <v>:</v>
      </c>
      <c r="AL34" s="556" t="str">
        <f>IF(VLOOKUP($E$34,[1]QUART!$A$2:$FA$300, 37, FALSE)="",":",VLOOKUP($E$34,[1]QUART!$A$2:$FA$300, 37, FALSE))</f>
        <v>:</v>
      </c>
      <c r="AM34" s="556" t="str">
        <f>IF(VLOOKUP($E$34,[1]QUART!$A$2:$FA$300, 38, FALSE)="",":",VLOOKUP($E$34,[1]QUART!$A$2:$FA$300, 38, FALSE))</f>
        <v>:</v>
      </c>
      <c r="AN34" s="556" t="str">
        <f>IF(VLOOKUP($E$34,[1]QUART!$A$2:$FA$300, 39, FALSE)="",":",VLOOKUP($E$34,[1]QUART!$A$2:$FA$300, 39, FALSE))</f>
        <v>:</v>
      </c>
      <c r="AO34" s="556" t="str">
        <f>IF(VLOOKUP($E$34,[1]QUART!$A$2:$FA$300, 40, FALSE)="",":",VLOOKUP($E$34,[1]QUART!$A$2:$FA$300, 40, FALSE))</f>
        <v>:</v>
      </c>
      <c r="AP34" s="556" t="str">
        <f>IF(VLOOKUP($E$34,[1]QUART!$A$2:$FA$300, 41, FALSE)="",":",VLOOKUP($E$34,[1]QUART!$A$2:$FA$300, 41, FALSE))</f>
        <v>:</v>
      </c>
      <c r="AQ34" s="556" t="str">
        <f>IF(VLOOKUP($E$34,[1]QUART!$A$2:$FA$300, 42, FALSE)="",":",VLOOKUP($E$34,[1]QUART!$A$2:$FA$300, 42, FALSE))</f>
        <v>:</v>
      </c>
      <c r="AR34" s="556" t="str">
        <f>IF(VLOOKUP($E$34,[1]QUART!$A$2:$FA$300, 43, FALSE)="",":",VLOOKUP($E$34,[1]QUART!$A$2:$FA$300, 43, FALSE))</f>
        <v>:</v>
      </c>
      <c r="AS34" s="556" t="str">
        <f>IF(VLOOKUP($E$34,[1]QUART!$A$2:$FA$300, 44, FALSE)="",":",VLOOKUP($E$34,[1]QUART!$A$2:$FA$300, 44, FALSE))</f>
        <v>:</v>
      </c>
      <c r="AT34" s="556" t="str">
        <f>IF(VLOOKUP($E$34,[1]QUART!$A$2:$FA$300, 45, FALSE)="",":",VLOOKUP($E$34,[1]QUART!$A$2:$FA$300, 45, FALSE))</f>
        <v>:</v>
      </c>
      <c r="AU34" s="556" t="str">
        <f>IF(VLOOKUP($E$34,[1]QUART!$A$2:$FA$300, 46, FALSE)="",":",VLOOKUP($E$34,[1]QUART!$A$2:$FA$300, 46, FALSE))</f>
        <v>:</v>
      </c>
      <c r="AV34" s="556" t="str">
        <f>IF(VLOOKUP($E$34,[1]QUART!$A$2:$FA$300, 47, FALSE)="",":",VLOOKUP($E$34,[1]QUART!$A$2:$FA$300, 47, FALSE))</f>
        <v>:</v>
      </c>
      <c r="AW34" s="556" t="str">
        <f>IF(VLOOKUP($E$34,[1]QUART!$A$2:$FA$300, 48, FALSE)="",":",VLOOKUP($E$34,[1]QUART!$A$2:$FA$300, 48, FALSE))</f>
        <v>:</v>
      </c>
      <c r="AX34" s="556" t="str">
        <f>IF(VLOOKUP($E$34,[1]QUART!$A$2:$FA$300, 49, FALSE)="",":",VLOOKUP($E$34,[1]QUART!$A$2:$FA$300, 49, FALSE))</f>
        <v>:</v>
      </c>
      <c r="AY34" s="556" t="str">
        <f>IF(VLOOKUP($E$34,[1]QUART!$A$2:$FA$300, 50, FALSE)="",":",VLOOKUP($E$34,[1]QUART!$A$2:$FA$300, 50, FALSE))</f>
        <v>:</v>
      </c>
      <c r="AZ34" s="556" t="str">
        <f>IF(VLOOKUP($E$34,[1]QUART!$A$2:$FA$300, 51, FALSE)="",":",VLOOKUP($E$34,[1]QUART!$A$2:$FA$300, 51, FALSE))</f>
        <v>:</v>
      </c>
      <c r="BA34" s="556" t="str">
        <f>IF(VLOOKUP($E$34,[1]QUART!$A$2:$FA$300, 52, FALSE)="",":",VLOOKUP($E$34,[1]QUART!$A$2:$FA$300, 52, FALSE))</f>
        <v>:</v>
      </c>
      <c r="BB34" s="556" t="str">
        <f>IF(VLOOKUP($E$34,[1]QUART!$A$2:$FA$300, 53, FALSE)="",":",VLOOKUP($E$34,[1]QUART!$A$2:$FA$300, 53, FALSE))</f>
        <v>:</v>
      </c>
      <c r="BC34" s="556" t="str">
        <f>IF(VLOOKUP($E$34,[1]QUART!$A$2:$FA$300, 54, FALSE)="",":",VLOOKUP($E$34,[1]QUART!$A$2:$FA$300, 54, FALSE))</f>
        <v>:</v>
      </c>
      <c r="BD34" s="556" t="str">
        <f>IF(VLOOKUP($E$34,[1]QUART!$A$2:$FA$300, 55, FALSE)="",":",VLOOKUP($E$34,[1]QUART!$A$2:$FA$300, 55, FALSE))</f>
        <v>:</v>
      </c>
      <c r="BE34" s="556" t="str">
        <f>IF(VLOOKUP($E$34,[1]QUART!$A$2:$FA$300, 56, FALSE)="",":",VLOOKUP($E$34,[1]QUART!$A$2:$FA$300, 56, FALSE))</f>
        <v>:</v>
      </c>
      <c r="BF34" s="556" t="str">
        <f>IF(VLOOKUP($E$34,[1]QUART!$A$2:$FA$300, 57, FALSE)="",":",VLOOKUP($E$34,[1]QUART!$A$2:$FA$300, 57, FALSE))</f>
        <v>:</v>
      </c>
      <c r="BG34" s="556" t="str">
        <f>IF(VLOOKUP($E$34,[1]QUART!$A$2:$FA$300, 58, FALSE)="",":",VLOOKUP($E$34,[1]QUART!$A$2:$FA$300, 58, FALSE))</f>
        <v>:</v>
      </c>
      <c r="BH34" s="556" t="str">
        <f>IF(VLOOKUP($E$34,[1]QUART!$A$2:$FA$300, 59, FALSE)="",":",VLOOKUP($E$34,[1]QUART!$A$2:$FA$300, 59, FALSE))</f>
        <v>:</v>
      </c>
      <c r="BI34" s="556" t="str">
        <f>IF(VLOOKUP($E$34,[1]QUART!$A$2:$FA$300, 60, FALSE)="",":",VLOOKUP($E$34,[1]QUART!$A$2:$FA$300, 60, FALSE))</f>
        <v>:</v>
      </c>
      <c r="BJ34" s="556" t="str">
        <f>IF(VLOOKUP($E$34,[1]QUART!$A$2:$FA$300, 61, FALSE)="",":",VLOOKUP($E$34,[1]QUART!$A$2:$FA$300, 61, FALSE))</f>
        <v>:</v>
      </c>
      <c r="BK34" s="556" t="str">
        <f>IF(VLOOKUP($E$34,[1]QUART!$A$2:$FA$300, 62, FALSE)="",":",VLOOKUP($E$34,[1]QUART!$A$2:$FA$300, 62, FALSE))</f>
        <v>:</v>
      </c>
      <c r="BL34" s="556" t="str">
        <f>IF(VLOOKUP($E$34,[1]QUART!$A$2:$FA$300, 63, FALSE)="",":",VLOOKUP($E$34,[1]QUART!$A$2:$FA$300, 63, FALSE))</f>
        <v>:</v>
      </c>
      <c r="BM34" s="556" t="str">
        <f>IF(VLOOKUP($E$34,[1]QUART!$A$2:$FA$300, 64, FALSE)="",":",VLOOKUP($E$34,[1]QUART!$A$2:$FA$300, 64, FALSE))</f>
        <v>:</v>
      </c>
      <c r="BN34" s="556" t="str">
        <f>IF(VLOOKUP($E$34,[1]QUART!$A$2:$FA$300, 65, FALSE)="",":",VLOOKUP($E$34,[1]QUART!$A$2:$FA$300, 65, FALSE))</f>
        <v>:</v>
      </c>
      <c r="BO34" s="556" t="str">
        <f>IF(VLOOKUP($E$34,[1]QUART!$A$2:$FA$300, 66, FALSE)="",":",VLOOKUP($E$34,[1]QUART!$A$2:$FA$300, 66, FALSE))</f>
        <v>:</v>
      </c>
      <c r="BP34" s="556" t="str">
        <f>IF(VLOOKUP($E$34,[1]QUART!$A$2:$FA$300, 67, FALSE)="",":",VLOOKUP($E$34,[1]QUART!$A$2:$FA$300, 67, FALSE))</f>
        <v>:</v>
      </c>
      <c r="BQ34" s="556" t="str">
        <f>IF(VLOOKUP($E$34,[1]QUART!$A$2:$FA$300, 68, FALSE)="",":",VLOOKUP($E$34,[1]QUART!$A$2:$FA$300, 68, FALSE))</f>
        <v>:</v>
      </c>
      <c r="BR34" s="556" t="str">
        <f>IF(VLOOKUP($E$34,[1]QUART!$A$2:$FA$300, 69, FALSE)="",":",VLOOKUP($E$34,[1]QUART!$A$2:$FA$300, 69, FALSE))</f>
        <v>:</v>
      </c>
      <c r="BS34" s="556" t="str">
        <f>IF(VLOOKUP($E$34,[1]QUART!$A$2:$FA$300, 70, FALSE)="",":",VLOOKUP($E$34,[1]QUART!$A$2:$FA$300, 70, FALSE))</f>
        <v>:</v>
      </c>
      <c r="BT34" s="556" t="str">
        <f>IF(VLOOKUP($E$34,[1]QUART!$A$2:$FA$300, 71, FALSE)="",":",VLOOKUP($E$34,[1]QUART!$A$2:$FA$300, 71, FALSE))</f>
        <v>:</v>
      </c>
      <c r="BU34" s="556" t="str">
        <f>IF(VLOOKUP($E$34,[1]QUART!$A$2:$FA$300, 72, FALSE)="",":",VLOOKUP($E$34,[1]QUART!$A$2:$FA$300, 72, FALSE))</f>
        <v>:</v>
      </c>
      <c r="BV34" s="556" t="str">
        <f>IF(VLOOKUP($E$34,[1]QUART!$A$2:$FA$300, 73, FALSE)="",":",VLOOKUP($E$34,[1]QUART!$A$2:$FA$300, 73, FALSE))</f>
        <v>:</v>
      </c>
      <c r="BW34" s="556" t="str">
        <f>IF(VLOOKUP($E$34,[1]QUART!$A$2:$FA$300, 74, FALSE)="",":",VLOOKUP($E$34,[1]QUART!$A$2:$FA$300, 74, FALSE))</f>
        <v>:</v>
      </c>
      <c r="BX34" s="556" t="str">
        <f>IF(VLOOKUP($E$34,[1]QUART!$A$2:$FA$300, 75, FALSE)="",":",VLOOKUP($E$34,[1]QUART!$A$2:$FA$300, 75, FALSE))</f>
        <v>:</v>
      </c>
      <c r="BY34" s="556" t="str">
        <f>IF(VLOOKUP($E$34,[1]QUART!$A$2:$FA$300, 76, FALSE)="",":",VLOOKUP($E$34,[1]QUART!$A$2:$FA$300, 76, FALSE))</f>
        <v>:</v>
      </c>
      <c r="BZ34" s="556" t="str">
        <f>IF(VLOOKUP($E$34,[1]QUART!$A$2:$FA$300, 77, FALSE)="",":",VLOOKUP($E$34,[1]QUART!$A$2:$FA$300, 77, FALSE))</f>
        <v>:</v>
      </c>
      <c r="CA34" s="556" t="str">
        <f>IF(VLOOKUP($E$34,[1]QUART!$A$2:$FA$300, 78, FALSE)="",":",VLOOKUP($E$34,[1]QUART!$A$2:$FA$300, 78, FALSE))</f>
        <v>:</v>
      </c>
      <c r="CB34" s="556" t="str">
        <f>IF(VLOOKUP($E$34,[1]QUART!$A$2:$FA$300, 79, FALSE)="",":",VLOOKUP($E$34,[1]QUART!$A$2:$FA$300, 79, FALSE))</f>
        <v>:</v>
      </c>
      <c r="CC34" s="556" t="str">
        <f>IF(VLOOKUP($E$34,[1]QUART!$A$2:$FA$300, 80, FALSE)="",":",VLOOKUP($E$34,[1]QUART!$A$2:$FA$300, 80, FALSE))</f>
        <v>:</v>
      </c>
      <c r="CD34" s="556" t="str">
        <f>IF(VLOOKUP($E$34,[1]QUART!$A$2:$FA$300, 81, FALSE)="",":",VLOOKUP($E$34,[1]QUART!$A$2:$FA$300, 81, FALSE))</f>
        <v>:</v>
      </c>
      <c r="CE34" s="556" t="str">
        <f>IF(VLOOKUP($E$34,[1]QUART!$A$2:$FA$300, 82, FALSE)="",":",VLOOKUP($E$34,[1]QUART!$A$2:$FA$300, 82, FALSE))</f>
        <v>:</v>
      </c>
      <c r="CF34" s="556" t="str">
        <f>IF(VLOOKUP($E$34,[1]QUART!$A$2:$FA$300, 83, FALSE)="",":",VLOOKUP($E$34,[1]QUART!$A$2:$FA$300, 83, FALSE))</f>
        <v>:</v>
      </c>
      <c r="CG34" s="556" t="str">
        <f>IF(VLOOKUP($E$34,[1]QUART!$A$2:$FA$300, 84, FALSE)="",":",VLOOKUP($E$34,[1]QUART!$A$2:$FA$300, 84, FALSE))</f>
        <v>:</v>
      </c>
      <c r="CH34" s="556" t="str">
        <f>IF(VLOOKUP($E$34,[1]QUART!$A$2:$FA$300, 85, FALSE)="",":",VLOOKUP($E$34,[1]QUART!$A$2:$FA$300, 85, FALSE))</f>
        <v>:</v>
      </c>
      <c r="CI34" s="556" t="str">
        <f>IF(VLOOKUP($E$34,[1]QUART!$A$2:$FA$300, 86, FALSE)="",":",VLOOKUP($E$34,[1]QUART!$A$2:$FA$300, 86, FALSE))</f>
        <v>:</v>
      </c>
      <c r="CJ34" s="556" t="str">
        <f>IF(VLOOKUP($E$34,[1]QUART!$A$2:$FA$300, 87, FALSE)="",":",VLOOKUP($E$34,[1]QUART!$A$2:$FA$300, 87, FALSE))</f>
        <v>:</v>
      </c>
      <c r="CK34" s="556" t="str">
        <f>IF(VLOOKUP($E$34,[1]QUART!$A$2:$FA$300, 88, FALSE)="",":",VLOOKUP($E$34,[1]QUART!$A$2:$FA$300, 88, FALSE))</f>
        <v>:</v>
      </c>
      <c r="CL34" s="556" t="str">
        <f>IF(VLOOKUP($E$34,[1]QUART!$A$2:$FA$300, 89, FALSE)="",":",VLOOKUP($E$34,[1]QUART!$A$2:$FA$300, 89, FALSE))</f>
        <v>:</v>
      </c>
      <c r="CM34" s="556" t="str">
        <f>IF(VLOOKUP($E$34,[1]QUART!$A$2:$FA$300, 90, FALSE)="",":",VLOOKUP($E$34,[1]QUART!$A$2:$FA$300, 90, FALSE))</f>
        <v>:</v>
      </c>
      <c r="CN34" s="556" t="str">
        <f>IF(VLOOKUP($E$34,[1]QUART!$A$2:$FA$300, 91, FALSE)="",":",VLOOKUP($E$34,[1]QUART!$A$2:$FA$300, 91, FALSE))</f>
        <v>:</v>
      </c>
      <c r="CO34" s="556" t="str">
        <f>IF(VLOOKUP($E$34,[1]QUART!$A$2:$FA$300, 92, FALSE)="",":",VLOOKUP($E$34,[1]QUART!$A$2:$FA$300, 92, FALSE))</f>
        <v>:</v>
      </c>
      <c r="CP34" s="556" t="str">
        <f>IF(VLOOKUP($E$34,[1]QUART!$A$2:$FA$300, 93, FALSE)="",":",VLOOKUP($E$34,[1]QUART!$A$2:$FA$300, 93, FALSE))</f>
        <v>:</v>
      </c>
      <c r="CQ34" s="556" t="str">
        <f>IF(VLOOKUP($E$34,[1]QUART!$A$2:$FA$300, 94, FALSE)="",":",VLOOKUP($E$34,[1]QUART!$A$2:$FA$300, 94, FALSE))</f>
        <v>:</v>
      </c>
      <c r="CR34" s="556" t="str">
        <f>IF(VLOOKUP($E$34,[1]QUART!$A$2:$FA$300, 95, FALSE)="",":",VLOOKUP($E$34,[1]QUART!$A$2:$FA$300, 95, FALSE))</f>
        <v>:</v>
      </c>
      <c r="CS34" s="556" t="str">
        <f>IF(VLOOKUP($E$34,[1]QUART!$A$2:$FA$300, 96, FALSE)="",":",VLOOKUP($E$34,[1]QUART!$A$2:$FA$300, 96, FALSE))</f>
        <v>:</v>
      </c>
      <c r="CT34" s="556" t="str">
        <f>IF(VLOOKUP($E$34,[1]QUART!$A$2:$FA$300, 97, FALSE)="",":",VLOOKUP($E$34,[1]QUART!$A$2:$FA$300, 97, FALSE))</f>
        <v>:</v>
      </c>
      <c r="CU34" s="556" t="str">
        <f>IF(VLOOKUP($E$34,[1]QUART!$A$2:$FA$300, 98, FALSE)="",":",VLOOKUP($E$34,[1]QUART!$A$2:$FA$300, 98, FALSE))</f>
        <v>:</v>
      </c>
      <c r="CV34" s="556" t="str">
        <f>IF(VLOOKUP($E$34,[1]QUART!$A$2:$FA$300, 99, FALSE)="",":",VLOOKUP($E$34,[1]QUART!$A$2:$FA$300, 99, FALSE))</f>
        <v>:</v>
      </c>
      <c r="CW34" s="556" t="str">
        <f>IF(VLOOKUP($E$34,[1]QUART!$A$2:$FA$300, 100, FALSE)="",":",VLOOKUP($E$34,[1]QUART!$A$2:$FA$300, 100, FALSE))</f>
        <v>:</v>
      </c>
      <c r="CX34" s="556" t="str">
        <f>IF(VLOOKUP($E$34,[1]QUART!$A$2:$FA$300, 101, FALSE)="",":",VLOOKUP($E$34,[1]QUART!$A$2:$FA$300, 101, FALSE))</f>
        <v>:</v>
      </c>
      <c r="CY34" s="556" t="str">
        <f>IF(VLOOKUP($E$34,[1]QUART!$A$2:$FA$300, 102, FALSE)="",":",VLOOKUP($E$34,[1]QUART!$A$2:$FA$300, 102, FALSE))</f>
        <v>:</v>
      </c>
      <c r="CZ34" s="556" t="str">
        <f>IF(VLOOKUP($E$34,[1]QUART!$A$2:$FA$300, 103, FALSE)="",":",VLOOKUP($E$34,[1]QUART!$A$2:$FA$300, 103, FALSE))</f>
        <v>:</v>
      </c>
      <c r="DA34" s="556" t="str">
        <f>IF(VLOOKUP($E$34,[1]QUART!$A$2:$FA$300, 104, FALSE)="",":",VLOOKUP($E$34,[1]QUART!$A$2:$FA$300, 104, FALSE))</f>
        <v>:</v>
      </c>
      <c r="DB34" s="556" t="str">
        <f>IF(VLOOKUP($E$34,[1]QUART!$A$2:$FA$300, 105, FALSE)="",":",VLOOKUP($E$34,[1]QUART!$A$2:$FA$300, 105, FALSE))</f>
        <v>:</v>
      </c>
      <c r="DC34" s="556" t="str">
        <f>IF(VLOOKUP($E$34,[1]QUART!$A$2:$FA$300, 106, FALSE)="",":",VLOOKUP($E$34,[1]QUART!$A$2:$FA$300, 106, FALSE))</f>
        <v>:</v>
      </c>
    </row>
    <row r="35" spans="1:107">
      <c r="A35" s="546"/>
      <c r="B35" s="546"/>
      <c r="C35" s="547"/>
      <c r="D35" s="12" t="s">
        <v>363</v>
      </c>
      <c r="E35" s="13">
        <v>101</v>
      </c>
      <c r="F35" s="14" t="str">
        <f>VLOOKUP($E$35,[1]QUART!$A$2:$FA$300, 3, FALSE)</f>
        <v xml:space="preserve">101  Government final consumption expenditure                                        </v>
      </c>
      <c r="G35" s="556" t="str">
        <f>IF(VLOOKUP($E$35,[1]QUART!$A$2:$FA$300, 6, FALSE)="",":",VLOOKUP($E$35,[1]QUART!$A$2:$FA$300, 6, FALSE))</f>
        <v>:</v>
      </c>
      <c r="H35" s="556" t="str">
        <f>IF(VLOOKUP($E$35,[1]QUART!$A$2:$FA$300, 7, FALSE)="",":",VLOOKUP($E$35,[1]QUART!$A$2:$FA$300, 7, FALSE))</f>
        <v>:</v>
      </c>
      <c r="I35" s="556" t="str">
        <f>IF(VLOOKUP($E$35,[1]QUART!$A$2:$FA$300, 8, FALSE)="",":",VLOOKUP($E$35,[1]QUART!$A$2:$FA$300, 8, FALSE))</f>
        <v>:</v>
      </c>
      <c r="J35" s="556" t="str">
        <f>IF(VLOOKUP($E$35,[1]QUART!$A$2:$FA$300, 9, FALSE)="",":",VLOOKUP($E$35,[1]QUART!$A$2:$FA$300, 9, FALSE))</f>
        <v>:</v>
      </c>
      <c r="K35" s="556" t="str">
        <f>IF(VLOOKUP($E$35,[1]QUART!$A$2:$FA$300, 10, FALSE)="",":",VLOOKUP($E$35,[1]QUART!$A$2:$FA$300, 10, FALSE))</f>
        <v>:</v>
      </c>
      <c r="L35" s="556" t="str">
        <f>IF(VLOOKUP($E$35,[1]QUART!$A$2:$FA$300, 11, FALSE)="",":",VLOOKUP($E$35,[1]QUART!$A$2:$FA$300, 11, FALSE))</f>
        <v>:</v>
      </c>
      <c r="M35" s="556" t="str">
        <f>IF(VLOOKUP($E$35,[1]QUART!$A$2:$FA$300, 12, FALSE)="",":",VLOOKUP($E$35,[1]QUART!$A$2:$FA$300, 12, FALSE))</f>
        <v>:</v>
      </c>
      <c r="N35" s="556" t="str">
        <f>IF(VLOOKUP($E$35,[1]QUART!$A$2:$FA$300, 13, FALSE)="",":",VLOOKUP($E$35,[1]QUART!$A$2:$FA$300, 13, FALSE))</f>
        <v>:</v>
      </c>
      <c r="O35" s="556" t="str">
        <f>IF(VLOOKUP($E$35,[1]QUART!$A$2:$FA$300, 14, FALSE)="",":",VLOOKUP($E$35,[1]QUART!$A$2:$FA$300, 14, FALSE))</f>
        <v>:</v>
      </c>
      <c r="P35" s="556" t="str">
        <f>IF(VLOOKUP($E$35,[1]QUART!$A$2:$FA$300, 15, FALSE)="",":",VLOOKUP($E$35,[1]QUART!$A$2:$FA$300, 15, FALSE))</f>
        <v>:</v>
      </c>
      <c r="Q35" s="556" t="str">
        <f>IF(VLOOKUP($E$35,[1]QUART!$A$2:$FA$300, 16, FALSE)="",":",VLOOKUP($E$35,[1]QUART!$A$2:$FA$300, 16, FALSE))</f>
        <v>:</v>
      </c>
      <c r="R35" s="556" t="str">
        <f>IF(VLOOKUP($E$35,[1]QUART!$A$2:$FA$300, 17, FALSE)="",":",VLOOKUP($E$35,[1]QUART!$A$2:$FA$300, 17, FALSE))</f>
        <v>:</v>
      </c>
      <c r="S35" s="556" t="str">
        <f>IF(VLOOKUP($E$35,[1]QUART!$A$2:$FA$300, 18, FALSE)="",":",VLOOKUP($E$35,[1]QUART!$A$2:$FA$300, 18, FALSE))</f>
        <v>:</v>
      </c>
      <c r="T35" s="556" t="str">
        <f>IF(VLOOKUP($E$35,[1]QUART!$A$2:$FA$300, 19, FALSE)="",":",VLOOKUP($E$35,[1]QUART!$A$2:$FA$300, 19, FALSE))</f>
        <v>:</v>
      </c>
      <c r="U35" s="556" t="str">
        <f>IF(VLOOKUP($E$35,[1]QUART!$A$2:$FA$300, 20, FALSE)="",":",VLOOKUP($E$35,[1]QUART!$A$2:$FA$300, 20, FALSE))</f>
        <v>:</v>
      </c>
      <c r="V35" s="556" t="str">
        <f>IF(VLOOKUP($E$35,[1]QUART!$A$2:$FA$300, 21, FALSE)="",":",VLOOKUP($E$35,[1]QUART!$A$2:$FA$300, 21, FALSE))</f>
        <v>:</v>
      </c>
      <c r="W35" s="556" t="str">
        <f>IF(VLOOKUP($E$35,[1]QUART!$A$2:$FA$300, 22, FALSE)="",":",VLOOKUP($E$35,[1]QUART!$A$2:$FA$300, 22, FALSE))</f>
        <v>:</v>
      </c>
      <c r="X35" s="556" t="str">
        <f>IF(VLOOKUP($E$35,[1]QUART!$A$2:$FA$300, 23, FALSE)="",":",VLOOKUP($E$35,[1]QUART!$A$2:$FA$300, 23, FALSE))</f>
        <v>:</v>
      </c>
      <c r="Y35" s="556" t="str">
        <f>IF(VLOOKUP($E$35,[1]QUART!$A$2:$FA$300, 24, FALSE)="",":",VLOOKUP($E$35,[1]QUART!$A$2:$FA$300, 24, FALSE))</f>
        <v>:</v>
      </c>
      <c r="Z35" s="556" t="str">
        <f>IF(VLOOKUP($E$35,[1]QUART!$A$2:$FA$300, 25, FALSE)="",":",VLOOKUP($E$35,[1]QUART!$A$2:$FA$300, 25, FALSE))</f>
        <v>:</v>
      </c>
      <c r="AA35" s="556" t="str">
        <f>IF(VLOOKUP($E$35,[1]QUART!$A$2:$FA$300, 26, FALSE)="",":",VLOOKUP($E$35,[1]QUART!$A$2:$FA$300, 26, FALSE))</f>
        <v>:</v>
      </c>
      <c r="AB35" s="556" t="str">
        <f>IF(VLOOKUP($E$35,[1]QUART!$A$2:$FA$300, 27, FALSE)="",":",VLOOKUP($E$35,[1]QUART!$A$2:$FA$300, 27, FALSE))</f>
        <v>:</v>
      </c>
      <c r="AC35" s="556" t="str">
        <f>IF(VLOOKUP($E$35,[1]QUART!$A$2:$FA$300, 28, FALSE)="",":",VLOOKUP($E$35,[1]QUART!$A$2:$FA$300, 28, FALSE))</f>
        <v>:</v>
      </c>
      <c r="AD35" s="556" t="str">
        <f>IF(VLOOKUP($E$35,[1]QUART!$A$2:$FA$300, 29, FALSE)="",":",VLOOKUP($E$35,[1]QUART!$A$2:$FA$300, 29, FALSE))</f>
        <v>:</v>
      </c>
      <c r="AE35" s="556" t="str">
        <f>IF(VLOOKUP($E$35,[1]QUART!$A$2:$FA$300, 30, FALSE)="",":",VLOOKUP($E$35,[1]QUART!$A$2:$FA$300, 30, FALSE))</f>
        <v>:</v>
      </c>
      <c r="AF35" s="556" t="str">
        <f>IF(VLOOKUP($E$35,[1]QUART!$A$2:$FA$300, 31, FALSE)="",":",VLOOKUP($E$35,[1]QUART!$A$2:$FA$300, 31, FALSE))</f>
        <v>:</v>
      </c>
      <c r="AG35" s="556" t="str">
        <f>IF(VLOOKUP($E$35,[1]QUART!$A$2:$FA$300, 32, FALSE)="",":",VLOOKUP($E$35,[1]QUART!$A$2:$FA$300, 32, FALSE))</f>
        <v>:</v>
      </c>
      <c r="AH35" s="556" t="str">
        <f>IF(VLOOKUP($E$35,[1]QUART!$A$2:$FA$300, 33, FALSE)="",":",VLOOKUP($E$35,[1]QUART!$A$2:$FA$300, 33, FALSE))</f>
        <v>:</v>
      </c>
      <c r="AI35" s="556" t="str">
        <f>IF(VLOOKUP($E$35,[1]QUART!$A$2:$FA$300, 34, FALSE)="",":",VLOOKUP($E$35,[1]QUART!$A$2:$FA$300, 34, FALSE))</f>
        <v>:</v>
      </c>
      <c r="AJ35" s="556" t="str">
        <f>IF(VLOOKUP($E$35,[1]QUART!$A$2:$FA$300, 35, FALSE)="",":",VLOOKUP($E$35,[1]QUART!$A$2:$FA$300, 35, FALSE))</f>
        <v>:</v>
      </c>
      <c r="AK35" s="556" t="str">
        <f>IF(VLOOKUP($E$35,[1]QUART!$A$2:$FA$300, 36, FALSE)="",":",VLOOKUP($E$35,[1]QUART!$A$2:$FA$300, 36, FALSE))</f>
        <v>:</v>
      </c>
      <c r="AL35" s="556" t="str">
        <f>IF(VLOOKUP($E$35,[1]QUART!$A$2:$FA$300, 37, FALSE)="",":",VLOOKUP($E$35,[1]QUART!$A$2:$FA$300, 37, FALSE))</f>
        <v>:</v>
      </c>
      <c r="AM35" s="556" t="str">
        <f>IF(VLOOKUP($E$35,[1]QUART!$A$2:$FA$300, 38, FALSE)="",":",VLOOKUP($E$35,[1]QUART!$A$2:$FA$300, 38, FALSE))</f>
        <v>:</v>
      </c>
      <c r="AN35" s="556" t="str">
        <f>IF(VLOOKUP($E$35,[1]QUART!$A$2:$FA$300, 39, FALSE)="",":",VLOOKUP($E$35,[1]QUART!$A$2:$FA$300, 39, FALSE))</f>
        <v>:</v>
      </c>
      <c r="AO35" s="556" t="str">
        <f>IF(VLOOKUP($E$35,[1]QUART!$A$2:$FA$300, 40, FALSE)="",":",VLOOKUP($E$35,[1]QUART!$A$2:$FA$300, 40, FALSE))</f>
        <v>:</v>
      </c>
      <c r="AP35" s="556" t="str">
        <f>IF(VLOOKUP($E$35,[1]QUART!$A$2:$FA$300, 41, FALSE)="",":",VLOOKUP($E$35,[1]QUART!$A$2:$FA$300, 41, FALSE))</f>
        <v>:</v>
      </c>
      <c r="AQ35" s="556" t="str">
        <f>IF(VLOOKUP($E$35,[1]QUART!$A$2:$FA$300, 42, FALSE)="",":",VLOOKUP($E$35,[1]QUART!$A$2:$FA$300, 42, FALSE))</f>
        <v>:</v>
      </c>
      <c r="AR35" s="556" t="str">
        <f>IF(VLOOKUP($E$35,[1]QUART!$A$2:$FA$300, 43, FALSE)="",":",VLOOKUP($E$35,[1]QUART!$A$2:$FA$300, 43, FALSE))</f>
        <v>:</v>
      </c>
      <c r="AS35" s="556" t="str">
        <f>IF(VLOOKUP($E$35,[1]QUART!$A$2:$FA$300, 44, FALSE)="",":",VLOOKUP($E$35,[1]QUART!$A$2:$FA$300, 44, FALSE))</f>
        <v>:</v>
      </c>
      <c r="AT35" s="556" t="str">
        <f>IF(VLOOKUP($E$35,[1]QUART!$A$2:$FA$300, 45, FALSE)="",":",VLOOKUP($E$35,[1]QUART!$A$2:$FA$300, 45, FALSE))</f>
        <v>:</v>
      </c>
      <c r="AU35" s="556" t="str">
        <f>IF(VLOOKUP($E$35,[1]QUART!$A$2:$FA$300, 46, FALSE)="",":",VLOOKUP($E$35,[1]QUART!$A$2:$FA$300, 46, FALSE))</f>
        <v>:</v>
      </c>
      <c r="AV35" s="556" t="str">
        <f>IF(VLOOKUP($E$35,[1]QUART!$A$2:$FA$300, 47, FALSE)="",":",VLOOKUP($E$35,[1]QUART!$A$2:$FA$300, 47, FALSE))</f>
        <v>:</v>
      </c>
      <c r="AW35" s="556" t="str">
        <f>IF(VLOOKUP($E$35,[1]QUART!$A$2:$FA$300, 48, FALSE)="",":",VLOOKUP($E$35,[1]QUART!$A$2:$FA$300, 48, FALSE))</f>
        <v>:</v>
      </c>
      <c r="AX35" s="556" t="str">
        <f>IF(VLOOKUP($E$35,[1]QUART!$A$2:$FA$300, 49, FALSE)="",":",VLOOKUP($E$35,[1]QUART!$A$2:$FA$300, 49, FALSE))</f>
        <v>:</v>
      </c>
      <c r="AY35" s="556" t="str">
        <f>IF(VLOOKUP($E$35,[1]QUART!$A$2:$FA$300, 50, FALSE)="",":",VLOOKUP($E$35,[1]QUART!$A$2:$FA$300, 50, FALSE))</f>
        <v>:</v>
      </c>
      <c r="AZ35" s="556" t="str">
        <f>IF(VLOOKUP($E$35,[1]QUART!$A$2:$FA$300, 51, FALSE)="",":",VLOOKUP($E$35,[1]QUART!$A$2:$FA$300, 51, FALSE))</f>
        <v>:</v>
      </c>
      <c r="BA35" s="556" t="str">
        <f>IF(VLOOKUP($E$35,[1]QUART!$A$2:$FA$300, 52, FALSE)="",":",VLOOKUP($E$35,[1]QUART!$A$2:$FA$300, 52, FALSE))</f>
        <v>:</v>
      </c>
      <c r="BB35" s="556" t="str">
        <f>IF(VLOOKUP($E$35,[1]QUART!$A$2:$FA$300, 53, FALSE)="",":",VLOOKUP($E$35,[1]QUART!$A$2:$FA$300, 53, FALSE))</f>
        <v>:</v>
      </c>
      <c r="BC35" s="556" t="str">
        <f>IF(VLOOKUP($E$35,[1]QUART!$A$2:$FA$300, 54, FALSE)="",":",VLOOKUP($E$35,[1]QUART!$A$2:$FA$300, 54, FALSE))</f>
        <v>:</v>
      </c>
      <c r="BD35" s="556" t="str">
        <f>IF(VLOOKUP($E$35,[1]QUART!$A$2:$FA$300, 55, FALSE)="",":",VLOOKUP($E$35,[1]QUART!$A$2:$FA$300, 55, FALSE))</f>
        <v>:</v>
      </c>
      <c r="BE35" s="556" t="str">
        <f>IF(VLOOKUP($E$35,[1]QUART!$A$2:$FA$300, 56, FALSE)="",":",VLOOKUP($E$35,[1]QUART!$A$2:$FA$300, 56, FALSE))</f>
        <v>:</v>
      </c>
      <c r="BF35" s="556" t="str">
        <f>IF(VLOOKUP($E$35,[1]QUART!$A$2:$FA$300, 57, FALSE)="",":",VLOOKUP($E$35,[1]QUART!$A$2:$FA$300, 57, FALSE))</f>
        <v>:</v>
      </c>
      <c r="BG35" s="556" t="str">
        <f>IF(VLOOKUP($E$35,[1]QUART!$A$2:$FA$300, 58, FALSE)="",":",VLOOKUP($E$35,[1]QUART!$A$2:$FA$300, 58, FALSE))</f>
        <v>:</v>
      </c>
      <c r="BH35" s="556" t="str">
        <f>IF(VLOOKUP($E$35,[1]QUART!$A$2:$FA$300, 59, FALSE)="",":",VLOOKUP($E$35,[1]QUART!$A$2:$FA$300, 59, FALSE))</f>
        <v>:</v>
      </c>
      <c r="BI35" s="556" t="str">
        <f>IF(VLOOKUP($E$35,[1]QUART!$A$2:$FA$300, 60, FALSE)="",":",VLOOKUP($E$35,[1]QUART!$A$2:$FA$300, 60, FALSE))</f>
        <v>:</v>
      </c>
      <c r="BJ35" s="556" t="str">
        <f>IF(VLOOKUP($E$35,[1]QUART!$A$2:$FA$300, 61, FALSE)="",":",VLOOKUP($E$35,[1]QUART!$A$2:$FA$300, 61, FALSE))</f>
        <v>:</v>
      </c>
      <c r="BK35" s="556" t="str">
        <f>IF(VLOOKUP($E$35,[1]QUART!$A$2:$FA$300, 62, FALSE)="",":",VLOOKUP($E$35,[1]QUART!$A$2:$FA$300, 62, FALSE))</f>
        <v>:</v>
      </c>
      <c r="BL35" s="556" t="str">
        <f>IF(VLOOKUP($E$35,[1]QUART!$A$2:$FA$300, 63, FALSE)="",":",VLOOKUP($E$35,[1]QUART!$A$2:$FA$300, 63, FALSE))</f>
        <v>:</v>
      </c>
      <c r="BM35" s="556" t="str">
        <f>IF(VLOOKUP($E$35,[1]QUART!$A$2:$FA$300, 64, FALSE)="",":",VLOOKUP($E$35,[1]QUART!$A$2:$FA$300, 64, FALSE))</f>
        <v>:</v>
      </c>
      <c r="BN35" s="556" t="str">
        <f>IF(VLOOKUP($E$35,[1]QUART!$A$2:$FA$300, 65, FALSE)="",":",VLOOKUP($E$35,[1]QUART!$A$2:$FA$300, 65, FALSE))</f>
        <v>:</v>
      </c>
      <c r="BO35" s="556" t="str">
        <f>IF(VLOOKUP($E$35,[1]QUART!$A$2:$FA$300, 66, FALSE)="",":",VLOOKUP($E$35,[1]QUART!$A$2:$FA$300, 66, FALSE))</f>
        <v>:</v>
      </c>
      <c r="BP35" s="556" t="str">
        <f>IF(VLOOKUP($E$35,[1]QUART!$A$2:$FA$300, 67, FALSE)="",":",VLOOKUP($E$35,[1]QUART!$A$2:$FA$300, 67, FALSE))</f>
        <v>:</v>
      </c>
      <c r="BQ35" s="556" t="str">
        <f>IF(VLOOKUP($E$35,[1]QUART!$A$2:$FA$300, 68, FALSE)="",":",VLOOKUP($E$35,[1]QUART!$A$2:$FA$300, 68, FALSE))</f>
        <v>:</v>
      </c>
      <c r="BR35" s="556" t="str">
        <f>IF(VLOOKUP($E$35,[1]QUART!$A$2:$FA$300, 69, FALSE)="",":",VLOOKUP($E$35,[1]QUART!$A$2:$FA$300, 69, FALSE))</f>
        <v>:</v>
      </c>
      <c r="BS35" s="556" t="str">
        <f>IF(VLOOKUP($E$35,[1]QUART!$A$2:$FA$300, 70, FALSE)="",":",VLOOKUP($E$35,[1]QUART!$A$2:$FA$300, 70, FALSE))</f>
        <v>:</v>
      </c>
      <c r="BT35" s="556" t="str">
        <f>IF(VLOOKUP($E$35,[1]QUART!$A$2:$FA$300, 71, FALSE)="",":",VLOOKUP($E$35,[1]QUART!$A$2:$FA$300, 71, FALSE))</f>
        <v>:</v>
      </c>
      <c r="BU35" s="556" t="str">
        <f>IF(VLOOKUP($E$35,[1]QUART!$A$2:$FA$300, 72, FALSE)="",":",VLOOKUP($E$35,[1]QUART!$A$2:$FA$300, 72, FALSE))</f>
        <v>:</v>
      </c>
      <c r="BV35" s="556" t="str">
        <f>IF(VLOOKUP($E$35,[1]QUART!$A$2:$FA$300, 73, FALSE)="",":",VLOOKUP($E$35,[1]QUART!$A$2:$FA$300, 73, FALSE))</f>
        <v>:</v>
      </c>
      <c r="BW35" s="556" t="str">
        <f>IF(VLOOKUP($E$35,[1]QUART!$A$2:$FA$300, 74, FALSE)="",":",VLOOKUP($E$35,[1]QUART!$A$2:$FA$300, 74, FALSE))</f>
        <v>:</v>
      </c>
      <c r="BX35" s="556" t="str">
        <f>IF(VLOOKUP($E$35,[1]QUART!$A$2:$FA$300, 75, FALSE)="",":",VLOOKUP($E$35,[1]QUART!$A$2:$FA$300, 75, FALSE))</f>
        <v>:</v>
      </c>
      <c r="BY35" s="556" t="str">
        <f>IF(VLOOKUP($E$35,[1]QUART!$A$2:$FA$300, 76, FALSE)="",":",VLOOKUP($E$35,[1]QUART!$A$2:$FA$300, 76, FALSE))</f>
        <v>:</v>
      </c>
      <c r="BZ35" s="556" t="str">
        <f>IF(VLOOKUP($E$35,[1]QUART!$A$2:$FA$300, 77, FALSE)="",":",VLOOKUP($E$35,[1]QUART!$A$2:$FA$300, 77, FALSE))</f>
        <v>:</v>
      </c>
      <c r="CA35" s="556" t="str">
        <f>IF(VLOOKUP($E$35,[1]QUART!$A$2:$FA$300, 78, FALSE)="",":",VLOOKUP($E$35,[1]QUART!$A$2:$FA$300, 78, FALSE))</f>
        <v>:</v>
      </c>
      <c r="CB35" s="556" t="str">
        <f>IF(VLOOKUP($E$35,[1]QUART!$A$2:$FA$300, 79, FALSE)="",":",VLOOKUP($E$35,[1]QUART!$A$2:$FA$300, 79, FALSE))</f>
        <v>:</v>
      </c>
      <c r="CC35" s="556" t="str">
        <f>IF(VLOOKUP($E$35,[1]QUART!$A$2:$FA$300, 80, FALSE)="",":",VLOOKUP($E$35,[1]QUART!$A$2:$FA$300, 80, FALSE))</f>
        <v>:</v>
      </c>
      <c r="CD35" s="556" t="str">
        <f>IF(VLOOKUP($E$35,[1]QUART!$A$2:$FA$300, 81, FALSE)="",":",VLOOKUP($E$35,[1]QUART!$A$2:$FA$300, 81, FALSE))</f>
        <v>:</v>
      </c>
      <c r="CE35" s="556" t="str">
        <f>IF(VLOOKUP($E$35,[1]QUART!$A$2:$FA$300, 82, FALSE)="",":",VLOOKUP($E$35,[1]QUART!$A$2:$FA$300, 82, FALSE))</f>
        <v>:</v>
      </c>
      <c r="CF35" s="556" t="str">
        <f>IF(VLOOKUP($E$35,[1]QUART!$A$2:$FA$300, 83, FALSE)="",":",VLOOKUP($E$35,[1]QUART!$A$2:$FA$300, 83, FALSE))</f>
        <v>:</v>
      </c>
      <c r="CG35" s="556" t="str">
        <f>IF(VLOOKUP($E$35,[1]QUART!$A$2:$FA$300, 84, FALSE)="",":",VLOOKUP($E$35,[1]QUART!$A$2:$FA$300, 84, FALSE))</f>
        <v>:</v>
      </c>
      <c r="CH35" s="556" t="str">
        <f>IF(VLOOKUP($E$35,[1]QUART!$A$2:$FA$300, 85, FALSE)="",":",VLOOKUP($E$35,[1]QUART!$A$2:$FA$300, 85, FALSE))</f>
        <v>:</v>
      </c>
      <c r="CI35" s="556" t="str">
        <f>IF(VLOOKUP($E$35,[1]QUART!$A$2:$FA$300, 86, FALSE)="",":",VLOOKUP($E$35,[1]QUART!$A$2:$FA$300, 86, FALSE))</f>
        <v>:</v>
      </c>
      <c r="CJ35" s="556" t="str">
        <f>IF(VLOOKUP($E$35,[1]QUART!$A$2:$FA$300, 87, FALSE)="",":",VLOOKUP($E$35,[1]QUART!$A$2:$FA$300, 87, FALSE))</f>
        <v>:</v>
      </c>
      <c r="CK35" s="556" t="str">
        <f>IF(VLOOKUP($E$35,[1]QUART!$A$2:$FA$300, 88, FALSE)="",":",VLOOKUP($E$35,[1]QUART!$A$2:$FA$300, 88, FALSE))</f>
        <v>:</v>
      </c>
      <c r="CL35" s="556" t="str">
        <f>IF(VLOOKUP($E$35,[1]QUART!$A$2:$FA$300, 89, FALSE)="",":",VLOOKUP($E$35,[1]QUART!$A$2:$FA$300, 89, FALSE))</f>
        <v>:</v>
      </c>
      <c r="CM35" s="556" t="str">
        <f>IF(VLOOKUP($E$35,[1]QUART!$A$2:$FA$300, 90, FALSE)="",":",VLOOKUP($E$35,[1]QUART!$A$2:$FA$300, 90, FALSE))</f>
        <v>:</v>
      </c>
      <c r="CN35" s="556" t="str">
        <f>IF(VLOOKUP($E$35,[1]QUART!$A$2:$FA$300, 91, FALSE)="",":",VLOOKUP($E$35,[1]QUART!$A$2:$FA$300, 91, FALSE))</f>
        <v>:</v>
      </c>
      <c r="CO35" s="556" t="str">
        <f>IF(VLOOKUP($E$35,[1]QUART!$A$2:$FA$300, 92, FALSE)="",":",VLOOKUP($E$35,[1]QUART!$A$2:$FA$300, 92, FALSE))</f>
        <v>:</v>
      </c>
      <c r="CP35" s="556" t="str">
        <f>IF(VLOOKUP($E$35,[1]QUART!$A$2:$FA$300, 93, FALSE)="",":",VLOOKUP($E$35,[1]QUART!$A$2:$FA$300, 93, FALSE))</f>
        <v>:</v>
      </c>
      <c r="CQ35" s="556" t="str">
        <f>IF(VLOOKUP($E$35,[1]QUART!$A$2:$FA$300, 94, FALSE)="",":",VLOOKUP($E$35,[1]QUART!$A$2:$FA$300, 94, FALSE))</f>
        <v>:</v>
      </c>
      <c r="CR35" s="556" t="str">
        <f>IF(VLOOKUP($E$35,[1]QUART!$A$2:$FA$300, 95, FALSE)="",":",VLOOKUP($E$35,[1]QUART!$A$2:$FA$300, 95, FALSE))</f>
        <v>:</v>
      </c>
      <c r="CS35" s="556" t="str">
        <f>IF(VLOOKUP($E$35,[1]QUART!$A$2:$FA$300, 96, FALSE)="",":",VLOOKUP($E$35,[1]QUART!$A$2:$FA$300, 96, FALSE))</f>
        <v>:</v>
      </c>
      <c r="CT35" s="556" t="str">
        <f>IF(VLOOKUP($E$35,[1]QUART!$A$2:$FA$300, 97, FALSE)="",":",VLOOKUP($E$35,[1]QUART!$A$2:$FA$300, 97, FALSE))</f>
        <v>:</v>
      </c>
      <c r="CU35" s="556" t="str">
        <f>IF(VLOOKUP($E$35,[1]QUART!$A$2:$FA$300, 98, FALSE)="",":",VLOOKUP($E$35,[1]QUART!$A$2:$FA$300, 98, FALSE))</f>
        <v>:</v>
      </c>
      <c r="CV35" s="556" t="str">
        <f>IF(VLOOKUP($E$35,[1]QUART!$A$2:$FA$300, 99, FALSE)="",":",VLOOKUP($E$35,[1]QUART!$A$2:$FA$300, 99, FALSE))</f>
        <v>:</v>
      </c>
      <c r="CW35" s="556" t="str">
        <f>IF(VLOOKUP($E$35,[1]QUART!$A$2:$FA$300, 100, FALSE)="",":",VLOOKUP($E$35,[1]QUART!$A$2:$FA$300, 100, FALSE))</f>
        <v>:</v>
      </c>
      <c r="CX35" s="556" t="str">
        <f>IF(VLOOKUP($E$35,[1]QUART!$A$2:$FA$300, 101, FALSE)="",":",VLOOKUP($E$35,[1]QUART!$A$2:$FA$300, 101, FALSE))</f>
        <v>:</v>
      </c>
      <c r="CY35" s="556" t="str">
        <f>IF(VLOOKUP($E$35,[1]QUART!$A$2:$FA$300, 102, FALSE)="",":",VLOOKUP($E$35,[1]QUART!$A$2:$FA$300, 102, FALSE))</f>
        <v>:</v>
      </c>
      <c r="CZ35" s="556" t="str">
        <f>IF(VLOOKUP($E$35,[1]QUART!$A$2:$FA$300, 103, FALSE)="",":",VLOOKUP($E$35,[1]QUART!$A$2:$FA$300, 103, FALSE))</f>
        <v>:</v>
      </c>
      <c r="DA35" s="556" t="str">
        <f>IF(VLOOKUP($E$35,[1]QUART!$A$2:$FA$300, 104, FALSE)="",":",VLOOKUP($E$35,[1]QUART!$A$2:$FA$300, 104, FALSE))</f>
        <v>:</v>
      </c>
      <c r="DB35" s="556" t="str">
        <f>IF(VLOOKUP($E$35,[1]QUART!$A$2:$FA$300, 105, FALSE)="",":",VLOOKUP($E$35,[1]QUART!$A$2:$FA$300, 105, FALSE))</f>
        <v>:</v>
      </c>
      <c r="DC35" s="556" t="str">
        <f>IF(VLOOKUP($E$35,[1]QUART!$A$2:$FA$300, 106, FALSE)="",":",VLOOKUP($E$35,[1]QUART!$A$2:$FA$300, 106, FALSE))</f>
        <v>:</v>
      </c>
    </row>
    <row r="36" spans="1:107">
      <c r="A36" s="546"/>
      <c r="B36" s="546"/>
      <c r="C36" s="547"/>
      <c r="D36" s="12" t="s">
        <v>363</v>
      </c>
      <c r="E36" s="13">
        <v>102</v>
      </c>
      <c r="F36" s="14" t="str">
        <f>VLOOKUP($E$36,[1]QUART!$A$2:$FA$300, 3, FALSE)</f>
        <v xml:space="preserve">102  Gross fixed capital formation                                                   </v>
      </c>
      <c r="G36" s="556" t="str">
        <f>IF(VLOOKUP($E$36,[1]QUART!$A$2:$FA$300, 6, FALSE)="",":",VLOOKUP($E$36,[1]QUART!$A$2:$FA$300, 6, FALSE))</f>
        <v>:</v>
      </c>
      <c r="H36" s="556" t="str">
        <f>IF(VLOOKUP($E$36,[1]QUART!$A$2:$FA$300, 7, FALSE)="",":",VLOOKUP($E$36,[1]QUART!$A$2:$FA$300, 7, FALSE))</f>
        <v>:</v>
      </c>
      <c r="I36" s="556" t="str">
        <f>IF(VLOOKUP($E$36,[1]QUART!$A$2:$FA$300, 8, FALSE)="",":",VLOOKUP($E$36,[1]QUART!$A$2:$FA$300, 8, FALSE))</f>
        <v>:</v>
      </c>
      <c r="J36" s="556" t="str">
        <f>IF(VLOOKUP($E$36,[1]QUART!$A$2:$FA$300, 9, FALSE)="",":",VLOOKUP($E$36,[1]QUART!$A$2:$FA$300, 9, FALSE))</f>
        <v>:</v>
      </c>
      <c r="K36" s="556" t="str">
        <f>IF(VLOOKUP($E$36,[1]QUART!$A$2:$FA$300, 10, FALSE)="",":",VLOOKUP($E$36,[1]QUART!$A$2:$FA$300, 10, FALSE))</f>
        <v>:</v>
      </c>
      <c r="L36" s="556" t="str">
        <f>IF(VLOOKUP($E$36,[1]QUART!$A$2:$FA$300, 11, FALSE)="",":",VLOOKUP($E$36,[1]QUART!$A$2:$FA$300, 11, FALSE))</f>
        <v>:</v>
      </c>
      <c r="M36" s="556" t="str">
        <f>IF(VLOOKUP($E$36,[1]QUART!$A$2:$FA$300, 12, FALSE)="",":",VLOOKUP($E$36,[1]QUART!$A$2:$FA$300, 12, FALSE))</f>
        <v>:</v>
      </c>
      <c r="N36" s="556" t="str">
        <f>IF(VLOOKUP($E$36,[1]QUART!$A$2:$FA$300, 13, FALSE)="",":",VLOOKUP($E$36,[1]QUART!$A$2:$FA$300, 13, FALSE))</f>
        <v>:</v>
      </c>
      <c r="O36" s="556" t="str">
        <f>IF(VLOOKUP($E$36,[1]QUART!$A$2:$FA$300, 14, FALSE)="",":",VLOOKUP($E$36,[1]QUART!$A$2:$FA$300, 14, FALSE))</f>
        <v>:</v>
      </c>
      <c r="P36" s="556" t="str">
        <f>IF(VLOOKUP($E$36,[1]QUART!$A$2:$FA$300, 15, FALSE)="",":",VLOOKUP($E$36,[1]QUART!$A$2:$FA$300, 15, FALSE))</f>
        <v>:</v>
      </c>
      <c r="Q36" s="556" t="str">
        <f>IF(VLOOKUP($E$36,[1]QUART!$A$2:$FA$300, 16, FALSE)="",":",VLOOKUP($E$36,[1]QUART!$A$2:$FA$300, 16, FALSE))</f>
        <v>:</v>
      </c>
      <c r="R36" s="556" t="str">
        <f>IF(VLOOKUP($E$36,[1]QUART!$A$2:$FA$300, 17, FALSE)="",":",VLOOKUP($E$36,[1]QUART!$A$2:$FA$300, 17, FALSE))</f>
        <v>:</v>
      </c>
      <c r="S36" s="556" t="str">
        <f>IF(VLOOKUP($E$36,[1]QUART!$A$2:$FA$300, 18, FALSE)="",":",VLOOKUP($E$36,[1]QUART!$A$2:$FA$300, 18, FALSE))</f>
        <v>:</v>
      </c>
      <c r="T36" s="556" t="str">
        <f>IF(VLOOKUP($E$36,[1]QUART!$A$2:$FA$300, 19, FALSE)="",":",VLOOKUP($E$36,[1]QUART!$A$2:$FA$300, 19, FALSE))</f>
        <v>:</v>
      </c>
      <c r="U36" s="556" t="str">
        <f>IF(VLOOKUP($E$36,[1]QUART!$A$2:$FA$300, 20, FALSE)="",":",VLOOKUP($E$36,[1]QUART!$A$2:$FA$300, 20, FALSE))</f>
        <v>:</v>
      </c>
      <c r="V36" s="556" t="str">
        <f>IF(VLOOKUP($E$36,[1]QUART!$A$2:$FA$300, 21, FALSE)="",":",VLOOKUP($E$36,[1]QUART!$A$2:$FA$300, 21, FALSE))</f>
        <v>:</v>
      </c>
      <c r="W36" s="556" t="str">
        <f>IF(VLOOKUP($E$36,[1]QUART!$A$2:$FA$300, 22, FALSE)="",":",VLOOKUP($E$36,[1]QUART!$A$2:$FA$300, 22, FALSE))</f>
        <v>:</v>
      </c>
      <c r="X36" s="556" t="str">
        <f>IF(VLOOKUP($E$36,[1]QUART!$A$2:$FA$300, 23, FALSE)="",":",VLOOKUP($E$36,[1]QUART!$A$2:$FA$300, 23, FALSE))</f>
        <v>:</v>
      </c>
      <c r="Y36" s="556" t="str">
        <f>IF(VLOOKUP($E$36,[1]QUART!$A$2:$FA$300, 24, FALSE)="",":",VLOOKUP($E$36,[1]QUART!$A$2:$FA$300, 24, FALSE))</f>
        <v>:</v>
      </c>
      <c r="Z36" s="556" t="str">
        <f>IF(VLOOKUP($E$36,[1]QUART!$A$2:$FA$300, 25, FALSE)="",":",VLOOKUP($E$36,[1]QUART!$A$2:$FA$300, 25, FALSE))</f>
        <v>:</v>
      </c>
      <c r="AA36" s="556" t="str">
        <f>IF(VLOOKUP($E$36,[1]QUART!$A$2:$FA$300, 26, FALSE)="",":",VLOOKUP($E$36,[1]QUART!$A$2:$FA$300, 26, FALSE))</f>
        <v>:</v>
      </c>
      <c r="AB36" s="556" t="str">
        <f>IF(VLOOKUP($E$36,[1]QUART!$A$2:$FA$300, 27, FALSE)="",":",VLOOKUP($E$36,[1]QUART!$A$2:$FA$300, 27, FALSE))</f>
        <v>:</v>
      </c>
      <c r="AC36" s="556" t="str">
        <f>IF(VLOOKUP($E$36,[1]QUART!$A$2:$FA$300, 28, FALSE)="",":",VLOOKUP($E$36,[1]QUART!$A$2:$FA$300, 28, FALSE))</f>
        <v>:</v>
      </c>
      <c r="AD36" s="556" t="str">
        <f>IF(VLOOKUP($E$36,[1]QUART!$A$2:$FA$300, 29, FALSE)="",":",VLOOKUP($E$36,[1]QUART!$A$2:$FA$300, 29, FALSE))</f>
        <v>:</v>
      </c>
      <c r="AE36" s="556" t="str">
        <f>IF(VLOOKUP($E$36,[1]QUART!$A$2:$FA$300, 30, FALSE)="",":",VLOOKUP($E$36,[1]QUART!$A$2:$FA$300, 30, FALSE))</f>
        <v>:</v>
      </c>
      <c r="AF36" s="556" t="str">
        <f>IF(VLOOKUP($E$36,[1]QUART!$A$2:$FA$300, 31, FALSE)="",":",VLOOKUP($E$36,[1]QUART!$A$2:$FA$300, 31, FALSE))</f>
        <v>:</v>
      </c>
      <c r="AG36" s="556" t="str">
        <f>IF(VLOOKUP($E$36,[1]QUART!$A$2:$FA$300, 32, FALSE)="",":",VLOOKUP($E$36,[1]QUART!$A$2:$FA$300, 32, FALSE))</f>
        <v>:</v>
      </c>
      <c r="AH36" s="556" t="str">
        <f>IF(VLOOKUP($E$36,[1]QUART!$A$2:$FA$300, 33, FALSE)="",":",VLOOKUP($E$36,[1]QUART!$A$2:$FA$300, 33, FALSE))</f>
        <v>:</v>
      </c>
      <c r="AI36" s="556" t="str">
        <f>IF(VLOOKUP($E$36,[1]QUART!$A$2:$FA$300, 34, FALSE)="",":",VLOOKUP($E$36,[1]QUART!$A$2:$FA$300, 34, FALSE))</f>
        <v>:</v>
      </c>
      <c r="AJ36" s="556" t="str">
        <f>IF(VLOOKUP($E$36,[1]QUART!$A$2:$FA$300, 35, FALSE)="",":",VLOOKUP($E$36,[1]QUART!$A$2:$FA$300, 35, FALSE))</f>
        <v>:</v>
      </c>
      <c r="AK36" s="556" t="str">
        <f>IF(VLOOKUP($E$36,[1]QUART!$A$2:$FA$300, 36, FALSE)="",":",VLOOKUP($E$36,[1]QUART!$A$2:$FA$300, 36, FALSE))</f>
        <v>:</v>
      </c>
      <c r="AL36" s="556" t="str">
        <f>IF(VLOOKUP($E$36,[1]QUART!$A$2:$FA$300, 37, FALSE)="",":",VLOOKUP($E$36,[1]QUART!$A$2:$FA$300, 37, FALSE))</f>
        <v>:</v>
      </c>
      <c r="AM36" s="556" t="str">
        <f>IF(VLOOKUP($E$36,[1]QUART!$A$2:$FA$300, 38, FALSE)="",":",VLOOKUP($E$36,[1]QUART!$A$2:$FA$300, 38, FALSE))</f>
        <v>:</v>
      </c>
      <c r="AN36" s="556" t="str">
        <f>IF(VLOOKUP($E$36,[1]QUART!$A$2:$FA$300, 39, FALSE)="",":",VLOOKUP($E$36,[1]QUART!$A$2:$FA$300, 39, FALSE))</f>
        <v>:</v>
      </c>
      <c r="AO36" s="556" t="str">
        <f>IF(VLOOKUP($E$36,[1]QUART!$A$2:$FA$300, 40, FALSE)="",":",VLOOKUP($E$36,[1]QUART!$A$2:$FA$300, 40, FALSE))</f>
        <v>:</v>
      </c>
      <c r="AP36" s="556" t="str">
        <f>IF(VLOOKUP($E$36,[1]QUART!$A$2:$FA$300, 41, FALSE)="",":",VLOOKUP($E$36,[1]QUART!$A$2:$FA$300, 41, FALSE))</f>
        <v>:</v>
      </c>
      <c r="AQ36" s="556" t="str">
        <f>IF(VLOOKUP($E$36,[1]QUART!$A$2:$FA$300, 42, FALSE)="",":",VLOOKUP($E$36,[1]QUART!$A$2:$FA$300, 42, FALSE))</f>
        <v>:</v>
      </c>
      <c r="AR36" s="556" t="str">
        <f>IF(VLOOKUP($E$36,[1]QUART!$A$2:$FA$300, 43, FALSE)="",":",VLOOKUP($E$36,[1]QUART!$A$2:$FA$300, 43, FALSE))</f>
        <v>:</v>
      </c>
      <c r="AS36" s="556" t="str">
        <f>IF(VLOOKUP($E$36,[1]QUART!$A$2:$FA$300, 44, FALSE)="",":",VLOOKUP($E$36,[1]QUART!$A$2:$FA$300, 44, FALSE))</f>
        <v>:</v>
      </c>
      <c r="AT36" s="556" t="str">
        <f>IF(VLOOKUP($E$36,[1]QUART!$A$2:$FA$300, 45, FALSE)="",":",VLOOKUP($E$36,[1]QUART!$A$2:$FA$300, 45, FALSE))</f>
        <v>:</v>
      </c>
      <c r="AU36" s="556" t="str">
        <f>IF(VLOOKUP($E$36,[1]QUART!$A$2:$FA$300, 46, FALSE)="",":",VLOOKUP($E$36,[1]QUART!$A$2:$FA$300, 46, FALSE))</f>
        <v>:</v>
      </c>
      <c r="AV36" s="556" t="str">
        <f>IF(VLOOKUP($E$36,[1]QUART!$A$2:$FA$300, 47, FALSE)="",":",VLOOKUP($E$36,[1]QUART!$A$2:$FA$300, 47, FALSE))</f>
        <v>:</v>
      </c>
      <c r="AW36" s="556" t="str">
        <f>IF(VLOOKUP($E$36,[1]QUART!$A$2:$FA$300, 48, FALSE)="",":",VLOOKUP($E$36,[1]QUART!$A$2:$FA$300, 48, FALSE))</f>
        <v>:</v>
      </c>
      <c r="AX36" s="556" t="str">
        <f>IF(VLOOKUP($E$36,[1]QUART!$A$2:$FA$300, 49, FALSE)="",":",VLOOKUP($E$36,[1]QUART!$A$2:$FA$300, 49, FALSE))</f>
        <v>:</v>
      </c>
      <c r="AY36" s="556" t="str">
        <f>IF(VLOOKUP($E$36,[1]QUART!$A$2:$FA$300, 50, FALSE)="",":",VLOOKUP($E$36,[1]QUART!$A$2:$FA$300, 50, FALSE))</f>
        <v>:</v>
      </c>
      <c r="AZ36" s="556" t="str">
        <f>IF(VLOOKUP($E$36,[1]QUART!$A$2:$FA$300, 51, FALSE)="",":",VLOOKUP($E$36,[1]QUART!$A$2:$FA$300, 51, FALSE))</f>
        <v>:</v>
      </c>
      <c r="BA36" s="556" t="str">
        <f>IF(VLOOKUP($E$36,[1]QUART!$A$2:$FA$300, 52, FALSE)="",":",VLOOKUP($E$36,[1]QUART!$A$2:$FA$300, 52, FALSE))</f>
        <v>:</v>
      </c>
      <c r="BB36" s="556" t="str">
        <f>IF(VLOOKUP($E$36,[1]QUART!$A$2:$FA$300, 53, FALSE)="",":",VLOOKUP($E$36,[1]QUART!$A$2:$FA$300, 53, FALSE))</f>
        <v>:</v>
      </c>
      <c r="BC36" s="556" t="str">
        <f>IF(VLOOKUP($E$36,[1]QUART!$A$2:$FA$300, 54, FALSE)="",":",VLOOKUP($E$36,[1]QUART!$A$2:$FA$300, 54, FALSE))</f>
        <v>:</v>
      </c>
      <c r="BD36" s="556" t="str">
        <f>IF(VLOOKUP($E$36,[1]QUART!$A$2:$FA$300, 55, FALSE)="",":",VLOOKUP($E$36,[1]QUART!$A$2:$FA$300, 55, FALSE))</f>
        <v>:</v>
      </c>
      <c r="BE36" s="556" t="str">
        <f>IF(VLOOKUP($E$36,[1]QUART!$A$2:$FA$300, 56, FALSE)="",":",VLOOKUP($E$36,[1]QUART!$A$2:$FA$300, 56, FALSE))</f>
        <v>:</v>
      </c>
      <c r="BF36" s="556" t="str">
        <f>IF(VLOOKUP($E$36,[1]QUART!$A$2:$FA$300, 57, FALSE)="",":",VLOOKUP($E$36,[1]QUART!$A$2:$FA$300, 57, FALSE))</f>
        <v>:</v>
      </c>
      <c r="BG36" s="556" t="str">
        <f>IF(VLOOKUP($E$36,[1]QUART!$A$2:$FA$300, 58, FALSE)="",":",VLOOKUP($E$36,[1]QUART!$A$2:$FA$300, 58, FALSE))</f>
        <v>:</v>
      </c>
      <c r="BH36" s="556" t="str">
        <f>IF(VLOOKUP($E$36,[1]QUART!$A$2:$FA$300, 59, FALSE)="",":",VLOOKUP($E$36,[1]QUART!$A$2:$FA$300, 59, FALSE))</f>
        <v>:</v>
      </c>
      <c r="BI36" s="556" t="str">
        <f>IF(VLOOKUP($E$36,[1]QUART!$A$2:$FA$300, 60, FALSE)="",":",VLOOKUP($E$36,[1]QUART!$A$2:$FA$300, 60, FALSE))</f>
        <v>:</v>
      </c>
      <c r="BJ36" s="556" t="str">
        <f>IF(VLOOKUP($E$36,[1]QUART!$A$2:$FA$300, 61, FALSE)="",":",VLOOKUP($E$36,[1]QUART!$A$2:$FA$300, 61, FALSE))</f>
        <v>:</v>
      </c>
      <c r="BK36" s="556" t="str">
        <f>IF(VLOOKUP($E$36,[1]QUART!$A$2:$FA$300, 62, FALSE)="",":",VLOOKUP($E$36,[1]QUART!$A$2:$FA$300, 62, FALSE))</f>
        <v>:</v>
      </c>
      <c r="BL36" s="556" t="str">
        <f>IF(VLOOKUP($E$36,[1]QUART!$A$2:$FA$300, 63, FALSE)="",":",VLOOKUP($E$36,[1]QUART!$A$2:$FA$300, 63, FALSE))</f>
        <v>:</v>
      </c>
      <c r="BM36" s="556" t="str">
        <f>IF(VLOOKUP($E$36,[1]QUART!$A$2:$FA$300, 64, FALSE)="",":",VLOOKUP($E$36,[1]QUART!$A$2:$FA$300, 64, FALSE))</f>
        <v>:</v>
      </c>
      <c r="BN36" s="556" t="str">
        <f>IF(VLOOKUP($E$36,[1]QUART!$A$2:$FA$300, 65, FALSE)="",":",VLOOKUP($E$36,[1]QUART!$A$2:$FA$300, 65, FALSE))</f>
        <v>:</v>
      </c>
      <c r="BO36" s="556" t="str">
        <f>IF(VLOOKUP($E$36,[1]QUART!$A$2:$FA$300, 66, FALSE)="",":",VLOOKUP($E$36,[1]QUART!$A$2:$FA$300, 66, FALSE))</f>
        <v>:</v>
      </c>
      <c r="BP36" s="556" t="str">
        <f>IF(VLOOKUP($E$36,[1]QUART!$A$2:$FA$300, 67, FALSE)="",":",VLOOKUP($E$36,[1]QUART!$A$2:$FA$300, 67, FALSE))</f>
        <v>:</v>
      </c>
      <c r="BQ36" s="556" t="str">
        <f>IF(VLOOKUP($E$36,[1]QUART!$A$2:$FA$300, 68, FALSE)="",":",VLOOKUP($E$36,[1]QUART!$A$2:$FA$300, 68, FALSE))</f>
        <v>:</v>
      </c>
      <c r="BR36" s="556" t="str">
        <f>IF(VLOOKUP($E$36,[1]QUART!$A$2:$FA$300, 69, FALSE)="",":",VLOOKUP($E$36,[1]QUART!$A$2:$FA$300, 69, FALSE))</f>
        <v>:</v>
      </c>
      <c r="BS36" s="556" t="str">
        <f>IF(VLOOKUP($E$36,[1]QUART!$A$2:$FA$300, 70, FALSE)="",":",VLOOKUP($E$36,[1]QUART!$A$2:$FA$300, 70, FALSE))</f>
        <v>:</v>
      </c>
      <c r="BT36" s="556" t="str">
        <f>IF(VLOOKUP($E$36,[1]QUART!$A$2:$FA$300, 71, FALSE)="",":",VLOOKUP($E$36,[1]QUART!$A$2:$FA$300, 71, FALSE))</f>
        <v>:</v>
      </c>
      <c r="BU36" s="556" t="str">
        <f>IF(VLOOKUP($E$36,[1]QUART!$A$2:$FA$300, 72, FALSE)="",":",VLOOKUP($E$36,[1]QUART!$A$2:$FA$300, 72, FALSE))</f>
        <v>:</v>
      </c>
      <c r="BV36" s="556" t="str">
        <f>IF(VLOOKUP($E$36,[1]QUART!$A$2:$FA$300, 73, FALSE)="",":",VLOOKUP($E$36,[1]QUART!$A$2:$FA$300, 73, FALSE))</f>
        <v>:</v>
      </c>
      <c r="BW36" s="556" t="str">
        <f>IF(VLOOKUP($E$36,[1]QUART!$A$2:$FA$300, 74, FALSE)="",":",VLOOKUP($E$36,[1]QUART!$A$2:$FA$300, 74, FALSE))</f>
        <v>:</v>
      </c>
      <c r="BX36" s="556" t="str">
        <f>IF(VLOOKUP($E$36,[1]QUART!$A$2:$FA$300, 75, FALSE)="",":",VLOOKUP($E$36,[1]QUART!$A$2:$FA$300, 75, FALSE))</f>
        <v>:</v>
      </c>
      <c r="BY36" s="556" t="str">
        <f>IF(VLOOKUP($E$36,[1]QUART!$A$2:$FA$300, 76, FALSE)="",":",VLOOKUP($E$36,[1]QUART!$A$2:$FA$300, 76, FALSE))</f>
        <v>:</v>
      </c>
      <c r="BZ36" s="556" t="str">
        <f>IF(VLOOKUP($E$36,[1]QUART!$A$2:$FA$300, 77, FALSE)="",":",VLOOKUP($E$36,[1]QUART!$A$2:$FA$300, 77, FALSE))</f>
        <v>:</v>
      </c>
      <c r="CA36" s="556" t="str">
        <f>IF(VLOOKUP($E$36,[1]QUART!$A$2:$FA$300, 78, FALSE)="",":",VLOOKUP($E$36,[1]QUART!$A$2:$FA$300, 78, FALSE))</f>
        <v>:</v>
      </c>
      <c r="CB36" s="556" t="str">
        <f>IF(VLOOKUP($E$36,[1]QUART!$A$2:$FA$300, 79, FALSE)="",":",VLOOKUP($E$36,[1]QUART!$A$2:$FA$300, 79, FALSE))</f>
        <v>:</v>
      </c>
      <c r="CC36" s="556" t="str">
        <f>IF(VLOOKUP($E$36,[1]QUART!$A$2:$FA$300, 80, FALSE)="",":",VLOOKUP($E$36,[1]QUART!$A$2:$FA$300, 80, FALSE))</f>
        <v>:</v>
      </c>
      <c r="CD36" s="556" t="str">
        <f>IF(VLOOKUP($E$36,[1]QUART!$A$2:$FA$300, 81, FALSE)="",":",VLOOKUP($E$36,[1]QUART!$A$2:$FA$300, 81, FALSE))</f>
        <v>:</v>
      </c>
      <c r="CE36" s="556" t="str">
        <f>IF(VLOOKUP($E$36,[1]QUART!$A$2:$FA$300, 82, FALSE)="",":",VLOOKUP($E$36,[1]QUART!$A$2:$FA$300, 82, FALSE))</f>
        <v>:</v>
      </c>
      <c r="CF36" s="556" t="str">
        <f>IF(VLOOKUP($E$36,[1]QUART!$A$2:$FA$300, 83, FALSE)="",":",VLOOKUP($E$36,[1]QUART!$A$2:$FA$300, 83, FALSE))</f>
        <v>:</v>
      </c>
      <c r="CG36" s="556" t="str">
        <f>IF(VLOOKUP($E$36,[1]QUART!$A$2:$FA$300, 84, FALSE)="",":",VLOOKUP($E$36,[1]QUART!$A$2:$FA$300, 84, FALSE))</f>
        <v>:</v>
      </c>
      <c r="CH36" s="556" t="str">
        <f>IF(VLOOKUP($E$36,[1]QUART!$A$2:$FA$300, 85, FALSE)="",":",VLOOKUP($E$36,[1]QUART!$A$2:$FA$300, 85, FALSE))</f>
        <v>:</v>
      </c>
      <c r="CI36" s="556" t="str">
        <f>IF(VLOOKUP($E$36,[1]QUART!$A$2:$FA$300, 86, FALSE)="",":",VLOOKUP($E$36,[1]QUART!$A$2:$FA$300, 86, FALSE))</f>
        <v>:</v>
      </c>
      <c r="CJ36" s="556" t="str">
        <f>IF(VLOOKUP($E$36,[1]QUART!$A$2:$FA$300, 87, FALSE)="",":",VLOOKUP($E$36,[1]QUART!$A$2:$FA$300, 87, FALSE))</f>
        <v>:</v>
      </c>
      <c r="CK36" s="556" t="str">
        <f>IF(VLOOKUP($E$36,[1]QUART!$A$2:$FA$300, 88, FALSE)="",":",VLOOKUP($E$36,[1]QUART!$A$2:$FA$300, 88, FALSE))</f>
        <v>:</v>
      </c>
      <c r="CL36" s="556" t="str">
        <f>IF(VLOOKUP($E$36,[1]QUART!$A$2:$FA$300, 89, FALSE)="",":",VLOOKUP($E$36,[1]QUART!$A$2:$FA$300, 89, FALSE))</f>
        <v>:</v>
      </c>
      <c r="CM36" s="556" t="str">
        <f>IF(VLOOKUP($E$36,[1]QUART!$A$2:$FA$300, 90, FALSE)="",":",VLOOKUP($E$36,[1]QUART!$A$2:$FA$300, 90, FALSE))</f>
        <v>:</v>
      </c>
      <c r="CN36" s="556" t="str">
        <f>IF(VLOOKUP($E$36,[1]QUART!$A$2:$FA$300, 91, FALSE)="",":",VLOOKUP($E$36,[1]QUART!$A$2:$FA$300, 91, FALSE))</f>
        <v>:</v>
      </c>
      <c r="CO36" s="556" t="str">
        <f>IF(VLOOKUP($E$36,[1]QUART!$A$2:$FA$300, 92, FALSE)="",":",VLOOKUP($E$36,[1]QUART!$A$2:$FA$300, 92, FALSE))</f>
        <v>:</v>
      </c>
      <c r="CP36" s="556" t="str">
        <f>IF(VLOOKUP($E$36,[1]QUART!$A$2:$FA$300, 93, FALSE)="",":",VLOOKUP($E$36,[1]QUART!$A$2:$FA$300, 93, FALSE))</f>
        <v>:</v>
      </c>
      <c r="CQ36" s="556" t="str">
        <f>IF(VLOOKUP($E$36,[1]QUART!$A$2:$FA$300, 94, FALSE)="",":",VLOOKUP($E$36,[1]QUART!$A$2:$FA$300, 94, FALSE))</f>
        <v>:</v>
      </c>
      <c r="CR36" s="556" t="str">
        <f>IF(VLOOKUP($E$36,[1]QUART!$A$2:$FA$300, 95, FALSE)="",":",VLOOKUP($E$36,[1]QUART!$A$2:$FA$300, 95, FALSE))</f>
        <v>:</v>
      </c>
      <c r="CS36" s="556" t="str">
        <f>IF(VLOOKUP($E$36,[1]QUART!$A$2:$FA$300, 96, FALSE)="",":",VLOOKUP($E$36,[1]QUART!$A$2:$FA$300, 96, FALSE))</f>
        <v>:</v>
      </c>
      <c r="CT36" s="556" t="str">
        <f>IF(VLOOKUP($E$36,[1]QUART!$A$2:$FA$300, 97, FALSE)="",":",VLOOKUP($E$36,[1]QUART!$A$2:$FA$300, 97, FALSE))</f>
        <v>:</v>
      </c>
      <c r="CU36" s="556" t="str">
        <f>IF(VLOOKUP($E$36,[1]QUART!$A$2:$FA$300, 98, FALSE)="",":",VLOOKUP($E$36,[1]QUART!$A$2:$FA$300, 98, FALSE))</f>
        <v>:</v>
      </c>
      <c r="CV36" s="556" t="str">
        <f>IF(VLOOKUP($E$36,[1]QUART!$A$2:$FA$300, 99, FALSE)="",":",VLOOKUP($E$36,[1]QUART!$A$2:$FA$300, 99, FALSE))</f>
        <v>:</v>
      </c>
      <c r="CW36" s="556" t="str">
        <f>IF(VLOOKUP($E$36,[1]QUART!$A$2:$FA$300, 100, FALSE)="",":",VLOOKUP($E$36,[1]QUART!$A$2:$FA$300, 100, FALSE))</f>
        <v>:</v>
      </c>
      <c r="CX36" s="556" t="str">
        <f>IF(VLOOKUP($E$36,[1]QUART!$A$2:$FA$300, 101, FALSE)="",":",VLOOKUP($E$36,[1]QUART!$A$2:$FA$300, 101, FALSE))</f>
        <v>:</v>
      </c>
      <c r="CY36" s="556" t="str">
        <f>IF(VLOOKUP($E$36,[1]QUART!$A$2:$FA$300, 102, FALSE)="",":",VLOOKUP($E$36,[1]QUART!$A$2:$FA$300, 102, FALSE))</f>
        <v>:</v>
      </c>
      <c r="CZ36" s="556" t="str">
        <f>IF(VLOOKUP($E$36,[1]QUART!$A$2:$FA$300, 103, FALSE)="",":",VLOOKUP($E$36,[1]QUART!$A$2:$FA$300, 103, FALSE))</f>
        <v>:</v>
      </c>
      <c r="DA36" s="556" t="str">
        <f>IF(VLOOKUP($E$36,[1]QUART!$A$2:$FA$300, 104, FALSE)="",":",VLOOKUP($E$36,[1]QUART!$A$2:$FA$300, 104, FALSE))</f>
        <v>:</v>
      </c>
      <c r="DB36" s="556" t="str">
        <f>IF(VLOOKUP($E$36,[1]QUART!$A$2:$FA$300, 105, FALSE)="",":",VLOOKUP($E$36,[1]QUART!$A$2:$FA$300, 105, FALSE))</f>
        <v>:</v>
      </c>
      <c r="DC36" s="556" t="str">
        <f>IF(VLOOKUP($E$36,[1]QUART!$A$2:$FA$300, 106, FALSE)="",":",VLOOKUP($E$36,[1]QUART!$A$2:$FA$300, 106, FALSE))</f>
        <v>:</v>
      </c>
    </row>
    <row r="37" spans="1:107">
      <c r="A37" s="546"/>
      <c r="B37" s="546"/>
      <c r="C37" s="547"/>
      <c r="D37" s="12" t="s">
        <v>363</v>
      </c>
      <c r="E37" s="13">
        <v>103</v>
      </c>
      <c r="F37" s="14" t="str">
        <f>VLOOKUP($E$37,[1]QUART!$A$2:$FA$300, 3, FALSE)</f>
        <v xml:space="preserve">103  Changes in inventories and net acquisition of valuables                         </v>
      </c>
      <c r="G37" s="556" t="str">
        <f>IF(VLOOKUP($E$37,[1]QUART!$A$2:$FA$300, 6, FALSE)="",":",VLOOKUP($E$37,[1]QUART!$A$2:$FA$300, 6, FALSE))</f>
        <v>:</v>
      </c>
      <c r="H37" s="556" t="str">
        <f>IF(VLOOKUP($E$37,[1]QUART!$A$2:$FA$300, 7, FALSE)="",":",VLOOKUP($E$37,[1]QUART!$A$2:$FA$300, 7, FALSE))</f>
        <v>:</v>
      </c>
      <c r="I37" s="556" t="str">
        <f>IF(VLOOKUP($E$37,[1]QUART!$A$2:$FA$300, 8, FALSE)="",":",VLOOKUP($E$37,[1]QUART!$A$2:$FA$300, 8, FALSE))</f>
        <v>:</v>
      </c>
      <c r="J37" s="556" t="str">
        <f>IF(VLOOKUP($E$37,[1]QUART!$A$2:$FA$300, 9, FALSE)="",":",VLOOKUP($E$37,[1]QUART!$A$2:$FA$300, 9, FALSE))</f>
        <v>:</v>
      </c>
      <c r="K37" s="556" t="str">
        <f>IF(VLOOKUP($E$37,[1]QUART!$A$2:$FA$300, 10, FALSE)="",":",VLOOKUP($E$37,[1]QUART!$A$2:$FA$300, 10, FALSE))</f>
        <v>:</v>
      </c>
      <c r="L37" s="556" t="str">
        <f>IF(VLOOKUP($E$37,[1]QUART!$A$2:$FA$300, 11, FALSE)="",":",VLOOKUP($E$37,[1]QUART!$A$2:$FA$300, 11, FALSE))</f>
        <v>:</v>
      </c>
      <c r="M37" s="556" t="str">
        <f>IF(VLOOKUP($E$37,[1]QUART!$A$2:$FA$300, 12, FALSE)="",":",VLOOKUP($E$37,[1]QUART!$A$2:$FA$300, 12, FALSE))</f>
        <v>:</v>
      </c>
      <c r="N37" s="556" t="str">
        <f>IF(VLOOKUP($E$37,[1]QUART!$A$2:$FA$300, 13, FALSE)="",":",VLOOKUP($E$37,[1]QUART!$A$2:$FA$300, 13, FALSE))</f>
        <v>:</v>
      </c>
      <c r="O37" s="556" t="str">
        <f>IF(VLOOKUP($E$37,[1]QUART!$A$2:$FA$300, 14, FALSE)="",":",VLOOKUP($E$37,[1]QUART!$A$2:$FA$300, 14, FALSE))</f>
        <v>:</v>
      </c>
      <c r="P37" s="556" t="str">
        <f>IF(VLOOKUP($E$37,[1]QUART!$A$2:$FA$300, 15, FALSE)="",":",VLOOKUP($E$37,[1]QUART!$A$2:$FA$300, 15, FALSE))</f>
        <v>:</v>
      </c>
      <c r="Q37" s="556" t="str">
        <f>IF(VLOOKUP($E$37,[1]QUART!$A$2:$FA$300, 16, FALSE)="",":",VLOOKUP($E$37,[1]QUART!$A$2:$FA$300, 16, FALSE))</f>
        <v>:</v>
      </c>
      <c r="R37" s="556" t="str">
        <f>IF(VLOOKUP($E$37,[1]QUART!$A$2:$FA$300, 17, FALSE)="",":",VLOOKUP($E$37,[1]QUART!$A$2:$FA$300, 17, FALSE))</f>
        <v>:</v>
      </c>
      <c r="S37" s="556" t="str">
        <f>IF(VLOOKUP($E$37,[1]QUART!$A$2:$FA$300, 18, FALSE)="",":",VLOOKUP($E$37,[1]QUART!$A$2:$FA$300, 18, FALSE))</f>
        <v>:</v>
      </c>
      <c r="T37" s="556" t="str">
        <f>IF(VLOOKUP($E$37,[1]QUART!$A$2:$FA$300, 19, FALSE)="",":",VLOOKUP($E$37,[1]QUART!$A$2:$FA$300, 19, FALSE))</f>
        <v>:</v>
      </c>
      <c r="U37" s="556" t="str">
        <f>IF(VLOOKUP($E$37,[1]QUART!$A$2:$FA$300, 20, FALSE)="",":",VLOOKUP($E$37,[1]QUART!$A$2:$FA$300, 20, FALSE))</f>
        <v>:</v>
      </c>
      <c r="V37" s="556" t="str">
        <f>IF(VLOOKUP($E$37,[1]QUART!$A$2:$FA$300, 21, FALSE)="",":",VLOOKUP($E$37,[1]QUART!$A$2:$FA$300, 21, FALSE))</f>
        <v>:</v>
      </c>
      <c r="W37" s="556" t="str">
        <f>IF(VLOOKUP($E$37,[1]QUART!$A$2:$FA$300, 22, FALSE)="",":",VLOOKUP($E$37,[1]QUART!$A$2:$FA$300, 22, FALSE))</f>
        <v>:</v>
      </c>
      <c r="X37" s="556" t="str">
        <f>IF(VLOOKUP($E$37,[1]QUART!$A$2:$FA$300, 23, FALSE)="",":",VLOOKUP($E$37,[1]QUART!$A$2:$FA$300, 23, FALSE))</f>
        <v>:</v>
      </c>
      <c r="Y37" s="556" t="str">
        <f>IF(VLOOKUP($E$37,[1]QUART!$A$2:$FA$300, 24, FALSE)="",":",VLOOKUP($E$37,[1]QUART!$A$2:$FA$300, 24, FALSE))</f>
        <v>:</v>
      </c>
      <c r="Z37" s="556" t="str">
        <f>IF(VLOOKUP($E$37,[1]QUART!$A$2:$FA$300, 25, FALSE)="",":",VLOOKUP($E$37,[1]QUART!$A$2:$FA$300, 25, FALSE))</f>
        <v>:</v>
      </c>
      <c r="AA37" s="556" t="str">
        <f>IF(VLOOKUP($E$37,[1]QUART!$A$2:$FA$300, 26, FALSE)="",":",VLOOKUP($E$37,[1]QUART!$A$2:$FA$300, 26, FALSE))</f>
        <v>:</v>
      </c>
      <c r="AB37" s="556" t="str">
        <f>IF(VLOOKUP($E$37,[1]QUART!$A$2:$FA$300, 27, FALSE)="",":",VLOOKUP($E$37,[1]QUART!$A$2:$FA$300, 27, FALSE))</f>
        <v>:</v>
      </c>
      <c r="AC37" s="556" t="str">
        <f>IF(VLOOKUP($E$37,[1]QUART!$A$2:$FA$300, 28, FALSE)="",":",VLOOKUP($E$37,[1]QUART!$A$2:$FA$300, 28, FALSE))</f>
        <v>:</v>
      </c>
      <c r="AD37" s="556" t="str">
        <f>IF(VLOOKUP($E$37,[1]QUART!$A$2:$FA$300, 29, FALSE)="",":",VLOOKUP($E$37,[1]QUART!$A$2:$FA$300, 29, FALSE))</f>
        <v>:</v>
      </c>
      <c r="AE37" s="556" t="str">
        <f>IF(VLOOKUP($E$37,[1]QUART!$A$2:$FA$300, 30, FALSE)="",":",VLOOKUP($E$37,[1]QUART!$A$2:$FA$300, 30, FALSE))</f>
        <v>:</v>
      </c>
      <c r="AF37" s="556" t="str">
        <f>IF(VLOOKUP($E$37,[1]QUART!$A$2:$FA$300, 31, FALSE)="",":",VLOOKUP($E$37,[1]QUART!$A$2:$FA$300, 31, FALSE))</f>
        <v>:</v>
      </c>
      <c r="AG37" s="556" t="str">
        <f>IF(VLOOKUP($E$37,[1]QUART!$A$2:$FA$300, 32, FALSE)="",":",VLOOKUP($E$37,[1]QUART!$A$2:$FA$300, 32, FALSE))</f>
        <v>:</v>
      </c>
      <c r="AH37" s="556" t="str">
        <f>IF(VLOOKUP($E$37,[1]QUART!$A$2:$FA$300, 33, FALSE)="",":",VLOOKUP($E$37,[1]QUART!$A$2:$FA$300, 33, FALSE))</f>
        <v>:</v>
      </c>
      <c r="AI37" s="556" t="str">
        <f>IF(VLOOKUP($E$37,[1]QUART!$A$2:$FA$300, 34, FALSE)="",":",VLOOKUP($E$37,[1]QUART!$A$2:$FA$300, 34, FALSE))</f>
        <v>:</v>
      </c>
      <c r="AJ37" s="556" t="str">
        <f>IF(VLOOKUP($E$37,[1]QUART!$A$2:$FA$300, 35, FALSE)="",":",VLOOKUP($E$37,[1]QUART!$A$2:$FA$300, 35, FALSE))</f>
        <v>:</v>
      </c>
      <c r="AK37" s="556" t="str">
        <f>IF(VLOOKUP($E$37,[1]QUART!$A$2:$FA$300, 36, FALSE)="",":",VLOOKUP($E$37,[1]QUART!$A$2:$FA$300, 36, FALSE))</f>
        <v>:</v>
      </c>
      <c r="AL37" s="556" t="str">
        <f>IF(VLOOKUP($E$37,[1]QUART!$A$2:$FA$300, 37, FALSE)="",":",VLOOKUP($E$37,[1]QUART!$A$2:$FA$300, 37, FALSE))</f>
        <v>:</v>
      </c>
      <c r="AM37" s="556" t="str">
        <f>IF(VLOOKUP($E$37,[1]QUART!$A$2:$FA$300, 38, FALSE)="",":",VLOOKUP($E$37,[1]QUART!$A$2:$FA$300, 38, FALSE))</f>
        <v>:</v>
      </c>
      <c r="AN37" s="556" t="str">
        <f>IF(VLOOKUP($E$37,[1]QUART!$A$2:$FA$300, 39, FALSE)="",":",VLOOKUP($E$37,[1]QUART!$A$2:$FA$300, 39, FALSE))</f>
        <v>:</v>
      </c>
      <c r="AO37" s="556" t="str">
        <f>IF(VLOOKUP($E$37,[1]QUART!$A$2:$FA$300, 40, FALSE)="",":",VLOOKUP($E$37,[1]QUART!$A$2:$FA$300, 40, FALSE))</f>
        <v>:</v>
      </c>
      <c r="AP37" s="556" t="str">
        <f>IF(VLOOKUP($E$37,[1]QUART!$A$2:$FA$300, 41, FALSE)="",":",VLOOKUP($E$37,[1]QUART!$A$2:$FA$300, 41, FALSE))</f>
        <v>:</v>
      </c>
      <c r="AQ37" s="556" t="str">
        <f>IF(VLOOKUP($E$37,[1]QUART!$A$2:$FA$300, 42, FALSE)="",":",VLOOKUP($E$37,[1]QUART!$A$2:$FA$300, 42, FALSE))</f>
        <v>:</v>
      </c>
      <c r="AR37" s="556" t="str">
        <f>IF(VLOOKUP($E$37,[1]QUART!$A$2:$FA$300, 43, FALSE)="",":",VLOOKUP($E$37,[1]QUART!$A$2:$FA$300, 43, FALSE))</f>
        <v>:</v>
      </c>
      <c r="AS37" s="556" t="str">
        <f>IF(VLOOKUP($E$37,[1]QUART!$A$2:$FA$300, 44, FALSE)="",":",VLOOKUP($E$37,[1]QUART!$A$2:$FA$300, 44, FALSE))</f>
        <v>:</v>
      </c>
      <c r="AT37" s="556" t="str">
        <f>IF(VLOOKUP($E$37,[1]QUART!$A$2:$FA$300, 45, FALSE)="",":",VLOOKUP($E$37,[1]QUART!$A$2:$FA$300, 45, FALSE))</f>
        <v>:</v>
      </c>
      <c r="AU37" s="556" t="str">
        <f>IF(VLOOKUP($E$37,[1]QUART!$A$2:$FA$300, 46, FALSE)="",":",VLOOKUP($E$37,[1]QUART!$A$2:$FA$300, 46, FALSE))</f>
        <v>:</v>
      </c>
      <c r="AV37" s="556" t="str">
        <f>IF(VLOOKUP($E$37,[1]QUART!$A$2:$FA$300, 47, FALSE)="",":",VLOOKUP($E$37,[1]QUART!$A$2:$FA$300, 47, FALSE))</f>
        <v>:</v>
      </c>
      <c r="AW37" s="556" t="str">
        <f>IF(VLOOKUP($E$37,[1]QUART!$A$2:$FA$300, 48, FALSE)="",":",VLOOKUP($E$37,[1]QUART!$A$2:$FA$300, 48, FALSE))</f>
        <v>:</v>
      </c>
      <c r="AX37" s="556" t="str">
        <f>IF(VLOOKUP($E$37,[1]QUART!$A$2:$FA$300, 49, FALSE)="",":",VLOOKUP($E$37,[1]QUART!$A$2:$FA$300, 49, FALSE))</f>
        <v>:</v>
      </c>
      <c r="AY37" s="556" t="str">
        <f>IF(VLOOKUP($E$37,[1]QUART!$A$2:$FA$300, 50, FALSE)="",":",VLOOKUP($E$37,[1]QUART!$A$2:$FA$300, 50, FALSE))</f>
        <v>:</v>
      </c>
      <c r="AZ37" s="556" t="str">
        <f>IF(VLOOKUP($E$37,[1]QUART!$A$2:$FA$300, 51, FALSE)="",":",VLOOKUP($E$37,[1]QUART!$A$2:$FA$300, 51, FALSE))</f>
        <v>:</v>
      </c>
      <c r="BA37" s="556" t="str">
        <f>IF(VLOOKUP($E$37,[1]QUART!$A$2:$FA$300, 52, FALSE)="",":",VLOOKUP($E$37,[1]QUART!$A$2:$FA$300, 52, FALSE))</f>
        <v>:</v>
      </c>
      <c r="BB37" s="556" t="str">
        <f>IF(VLOOKUP($E$37,[1]QUART!$A$2:$FA$300, 53, FALSE)="",":",VLOOKUP($E$37,[1]QUART!$A$2:$FA$300, 53, FALSE))</f>
        <v>:</v>
      </c>
      <c r="BC37" s="556" t="str">
        <f>IF(VLOOKUP($E$37,[1]QUART!$A$2:$FA$300, 54, FALSE)="",":",VLOOKUP($E$37,[1]QUART!$A$2:$FA$300, 54, FALSE))</f>
        <v>:</v>
      </c>
      <c r="BD37" s="556" t="str">
        <f>IF(VLOOKUP($E$37,[1]QUART!$A$2:$FA$300, 55, FALSE)="",":",VLOOKUP($E$37,[1]QUART!$A$2:$FA$300, 55, FALSE))</f>
        <v>:</v>
      </c>
      <c r="BE37" s="556" t="str">
        <f>IF(VLOOKUP($E$37,[1]QUART!$A$2:$FA$300, 56, FALSE)="",":",VLOOKUP($E$37,[1]QUART!$A$2:$FA$300, 56, FALSE))</f>
        <v>:</v>
      </c>
      <c r="BF37" s="556" t="str">
        <f>IF(VLOOKUP($E$37,[1]QUART!$A$2:$FA$300, 57, FALSE)="",":",VLOOKUP($E$37,[1]QUART!$A$2:$FA$300, 57, FALSE))</f>
        <v>:</v>
      </c>
      <c r="BG37" s="556" t="str">
        <f>IF(VLOOKUP($E$37,[1]QUART!$A$2:$FA$300, 58, FALSE)="",":",VLOOKUP($E$37,[1]QUART!$A$2:$FA$300, 58, FALSE))</f>
        <v>:</v>
      </c>
      <c r="BH37" s="556" t="str">
        <f>IF(VLOOKUP($E$37,[1]QUART!$A$2:$FA$300, 59, FALSE)="",":",VLOOKUP($E$37,[1]QUART!$A$2:$FA$300, 59, FALSE))</f>
        <v>:</v>
      </c>
      <c r="BI37" s="556" t="str">
        <f>IF(VLOOKUP($E$37,[1]QUART!$A$2:$FA$300, 60, FALSE)="",":",VLOOKUP($E$37,[1]QUART!$A$2:$FA$300, 60, FALSE))</f>
        <v>:</v>
      </c>
      <c r="BJ37" s="556" t="str">
        <f>IF(VLOOKUP($E$37,[1]QUART!$A$2:$FA$300, 61, FALSE)="",":",VLOOKUP($E$37,[1]QUART!$A$2:$FA$300, 61, FALSE))</f>
        <v>:</v>
      </c>
      <c r="BK37" s="556" t="str">
        <f>IF(VLOOKUP($E$37,[1]QUART!$A$2:$FA$300, 62, FALSE)="",":",VLOOKUP($E$37,[1]QUART!$A$2:$FA$300, 62, FALSE))</f>
        <v>:</v>
      </c>
      <c r="BL37" s="556" t="str">
        <f>IF(VLOOKUP($E$37,[1]QUART!$A$2:$FA$300, 63, FALSE)="",":",VLOOKUP($E$37,[1]QUART!$A$2:$FA$300, 63, FALSE))</f>
        <v>:</v>
      </c>
      <c r="BM37" s="556" t="str">
        <f>IF(VLOOKUP($E$37,[1]QUART!$A$2:$FA$300, 64, FALSE)="",":",VLOOKUP($E$37,[1]QUART!$A$2:$FA$300, 64, FALSE))</f>
        <v>:</v>
      </c>
      <c r="BN37" s="556" t="str">
        <f>IF(VLOOKUP($E$37,[1]QUART!$A$2:$FA$300, 65, FALSE)="",":",VLOOKUP($E$37,[1]QUART!$A$2:$FA$300, 65, FALSE))</f>
        <v>:</v>
      </c>
      <c r="BO37" s="556" t="str">
        <f>IF(VLOOKUP($E$37,[1]QUART!$A$2:$FA$300, 66, FALSE)="",":",VLOOKUP($E$37,[1]QUART!$A$2:$FA$300, 66, FALSE))</f>
        <v>:</v>
      </c>
      <c r="BP37" s="556" t="str">
        <f>IF(VLOOKUP($E$37,[1]QUART!$A$2:$FA$300, 67, FALSE)="",":",VLOOKUP($E$37,[1]QUART!$A$2:$FA$300, 67, FALSE))</f>
        <v>:</v>
      </c>
      <c r="BQ37" s="556" t="str">
        <f>IF(VLOOKUP($E$37,[1]QUART!$A$2:$FA$300, 68, FALSE)="",":",VLOOKUP($E$37,[1]QUART!$A$2:$FA$300, 68, FALSE))</f>
        <v>:</v>
      </c>
      <c r="BR37" s="556" t="str">
        <f>IF(VLOOKUP($E$37,[1]QUART!$A$2:$FA$300, 69, FALSE)="",":",VLOOKUP($E$37,[1]QUART!$A$2:$FA$300, 69, FALSE))</f>
        <v>:</v>
      </c>
      <c r="BS37" s="556" t="str">
        <f>IF(VLOOKUP($E$37,[1]QUART!$A$2:$FA$300, 70, FALSE)="",":",VLOOKUP($E$37,[1]QUART!$A$2:$FA$300, 70, FALSE))</f>
        <v>:</v>
      </c>
      <c r="BT37" s="556" t="str">
        <f>IF(VLOOKUP($E$37,[1]QUART!$A$2:$FA$300, 71, FALSE)="",":",VLOOKUP($E$37,[1]QUART!$A$2:$FA$300, 71, FALSE))</f>
        <v>:</v>
      </c>
      <c r="BU37" s="556" t="str">
        <f>IF(VLOOKUP($E$37,[1]QUART!$A$2:$FA$300, 72, FALSE)="",":",VLOOKUP($E$37,[1]QUART!$A$2:$FA$300, 72, FALSE))</f>
        <v>:</v>
      </c>
      <c r="BV37" s="556" t="str">
        <f>IF(VLOOKUP($E$37,[1]QUART!$A$2:$FA$300, 73, FALSE)="",":",VLOOKUP($E$37,[1]QUART!$A$2:$FA$300, 73, FALSE))</f>
        <v>:</v>
      </c>
      <c r="BW37" s="556" t="str">
        <f>IF(VLOOKUP($E$37,[1]QUART!$A$2:$FA$300, 74, FALSE)="",":",VLOOKUP($E$37,[1]QUART!$A$2:$FA$300, 74, FALSE))</f>
        <v>:</v>
      </c>
      <c r="BX37" s="556" t="str">
        <f>IF(VLOOKUP($E$37,[1]QUART!$A$2:$FA$300, 75, FALSE)="",":",VLOOKUP($E$37,[1]QUART!$A$2:$FA$300, 75, FALSE))</f>
        <v>:</v>
      </c>
      <c r="BY37" s="556" t="str">
        <f>IF(VLOOKUP($E$37,[1]QUART!$A$2:$FA$300, 76, FALSE)="",":",VLOOKUP($E$37,[1]QUART!$A$2:$FA$300, 76, FALSE))</f>
        <v>:</v>
      </c>
      <c r="BZ37" s="556" t="str">
        <f>IF(VLOOKUP($E$37,[1]QUART!$A$2:$FA$300, 77, FALSE)="",":",VLOOKUP($E$37,[1]QUART!$A$2:$FA$300, 77, FALSE))</f>
        <v>:</v>
      </c>
      <c r="CA37" s="556" t="str">
        <f>IF(VLOOKUP($E$37,[1]QUART!$A$2:$FA$300, 78, FALSE)="",":",VLOOKUP($E$37,[1]QUART!$A$2:$FA$300, 78, FALSE))</f>
        <v>:</v>
      </c>
      <c r="CB37" s="556" t="str">
        <f>IF(VLOOKUP($E$37,[1]QUART!$A$2:$FA$300, 79, FALSE)="",":",VLOOKUP($E$37,[1]QUART!$A$2:$FA$300, 79, FALSE))</f>
        <v>:</v>
      </c>
      <c r="CC37" s="556" t="str">
        <f>IF(VLOOKUP($E$37,[1]QUART!$A$2:$FA$300, 80, FALSE)="",":",VLOOKUP($E$37,[1]QUART!$A$2:$FA$300, 80, FALSE))</f>
        <v>:</v>
      </c>
      <c r="CD37" s="556" t="str">
        <f>IF(VLOOKUP($E$37,[1]QUART!$A$2:$FA$300, 81, FALSE)="",":",VLOOKUP($E$37,[1]QUART!$A$2:$FA$300, 81, FALSE))</f>
        <v>:</v>
      </c>
      <c r="CE37" s="556" t="str">
        <f>IF(VLOOKUP($E$37,[1]QUART!$A$2:$FA$300, 82, FALSE)="",":",VLOOKUP($E$37,[1]QUART!$A$2:$FA$300, 82, FALSE))</f>
        <v>:</v>
      </c>
      <c r="CF37" s="556" t="str">
        <f>IF(VLOOKUP($E$37,[1]QUART!$A$2:$FA$300, 83, FALSE)="",":",VLOOKUP($E$37,[1]QUART!$A$2:$FA$300, 83, FALSE))</f>
        <v>:</v>
      </c>
      <c r="CG37" s="556" t="str">
        <f>IF(VLOOKUP($E$37,[1]QUART!$A$2:$FA$300, 84, FALSE)="",":",VLOOKUP($E$37,[1]QUART!$A$2:$FA$300, 84, FALSE))</f>
        <v>:</v>
      </c>
      <c r="CH37" s="556" t="str">
        <f>IF(VLOOKUP($E$37,[1]QUART!$A$2:$FA$300, 85, FALSE)="",":",VLOOKUP($E$37,[1]QUART!$A$2:$FA$300, 85, FALSE))</f>
        <v>:</v>
      </c>
      <c r="CI37" s="556" t="str">
        <f>IF(VLOOKUP($E$37,[1]QUART!$A$2:$FA$300, 86, FALSE)="",":",VLOOKUP($E$37,[1]QUART!$A$2:$FA$300, 86, FALSE))</f>
        <v>:</v>
      </c>
      <c r="CJ37" s="556" t="str">
        <f>IF(VLOOKUP($E$37,[1]QUART!$A$2:$FA$300, 87, FALSE)="",":",VLOOKUP($E$37,[1]QUART!$A$2:$FA$300, 87, FALSE))</f>
        <v>:</v>
      </c>
      <c r="CK37" s="556" t="str">
        <f>IF(VLOOKUP($E$37,[1]QUART!$A$2:$FA$300, 88, FALSE)="",":",VLOOKUP($E$37,[1]QUART!$A$2:$FA$300, 88, FALSE))</f>
        <v>:</v>
      </c>
      <c r="CL37" s="556" t="str">
        <f>IF(VLOOKUP($E$37,[1]QUART!$A$2:$FA$300, 89, FALSE)="",":",VLOOKUP($E$37,[1]QUART!$A$2:$FA$300, 89, FALSE))</f>
        <v>:</v>
      </c>
      <c r="CM37" s="556" t="str">
        <f>IF(VLOOKUP($E$37,[1]QUART!$A$2:$FA$300, 90, FALSE)="",":",VLOOKUP($E$37,[1]QUART!$A$2:$FA$300, 90, FALSE))</f>
        <v>:</v>
      </c>
      <c r="CN37" s="556" t="str">
        <f>IF(VLOOKUP($E$37,[1]QUART!$A$2:$FA$300, 91, FALSE)="",":",VLOOKUP($E$37,[1]QUART!$A$2:$FA$300, 91, FALSE))</f>
        <v>:</v>
      </c>
      <c r="CO37" s="556" t="str">
        <f>IF(VLOOKUP($E$37,[1]QUART!$A$2:$FA$300, 92, FALSE)="",":",VLOOKUP($E$37,[1]QUART!$A$2:$FA$300, 92, FALSE))</f>
        <v>:</v>
      </c>
      <c r="CP37" s="556" t="str">
        <f>IF(VLOOKUP($E$37,[1]QUART!$A$2:$FA$300, 93, FALSE)="",":",VLOOKUP($E$37,[1]QUART!$A$2:$FA$300, 93, FALSE))</f>
        <v>:</v>
      </c>
      <c r="CQ37" s="556" t="str">
        <f>IF(VLOOKUP($E$37,[1]QUART!$A$2:$FA$300, 94, FALSE)="",":",VLOOKUP($E$37,[1]QUART!$A$2:$FA$300, 94, FALSE))</f>
        <v>:</v>
      </c>
      <c r="CR37" s="556" t="str">
        <f>IF(VLOOKUP($E$37,[1]QUART!$A$2:$FA$300, 95, FALSE)="",":",VLOOKUP($E$37,[1]QUART!$A$2:$FA$300, 95, FALSE))</f>
        <v>:</v>
      </c>
      <c r="CS37" s="556" t="str">
        <f>IF(VLOOKUP($E$37,[1]QUART!$A$2:$FA$300, 96, FALSE)="",":",VLOOKUP($E$37,[1]QUART!$A$2:$FA$300, 96, FALSE))</f>
        <v>:</v>
      </c>
      <c r="CT37" s="556" t="str">
        <f>IF(VLOOKUP($E$37,[1]QUART!$A$2:$FA$300, 97, FALSE)="",":",VLOOKUP($E$37,[1]QUART!$A$2:$FA$300, 97, FALSE))</f>
        <v>:</v>
      </c>
      <c r="CU37" s="556" t="str">
        <f>IF(VLOOKUP($E$37,[1]QUART!$A$2:$FA$300, 98, FALSE)="",":",VLOOKUP($E$37,[1]QUART!$A$2:$FA$300, 98, FALSE))</f>
        <v>:</v>
      </c>
      <c r="CV37" s="556" t="str">
        <f>IF(VLOOKUP($E$37,[1]QUART!$A$2:$FA$300, 99, FALSE)="",":",VLOOKUP($E$37,[1]QUART!$A$2:$FA$300, 99, FALSE))</f>
        <v>:</v>
      </c>
      <c r="CW37" s="556" t="str">
        <f>IF(VLOOKUP($E$37,[1]QUART!$A$2:$FA$300, 100, FALSE)="",":",VLOOKUP($E$37,[1]QUART!$A$2:$FA$300, 100, FALSE))</f>
        <v>:</v>
      </c>
      <c r="CX37" s="556" t="str">
        <f>IF(VLOOKUP($E$37,[1]QUART!$A$2:$FA$300, 101, FALSE)="",":",VLOOKUP($E$37,[1]QUART!$A$2:$FA$300, 101, FALSE))</f>
        <v>:</v>
      </c>
      <c r="CY37" s="556" t="str">
        <f>IF(VLOOKUP($E$37,[1]QUART!$A$2:$FA$300, 102, FALSE)="",":",VLOOKUP($E$37,[1]QUART!$A$2:$FA$300, 102, FALSE))</f>
        <v>:</v>
      </c>
      <c r="CZ37" s="556" t="str">
        <f>IF(VLOOKUP($E$37,[1]QUART!$A$2:$FA$300, 103, FALSE)="",":",VLOOKUP($E$37,[1]QUART!$A$2:$FA$300, 103, FALSE))</f>
        <v>:</v>
      </c>
      <c r="DA37" s="556" t="str">
        <f>IF(VLOOKUP($E$37,[1]QUART!$A$2:$FA$300, 104, FALSE)="",":",VLOOKUP($E$37,[1]QUART!$A$2:$FA$300, 104, FALSE))</f>
        <v>:</v>
      </c>
      <c r="DB37" s="556" t="str">
        <f>IF(VLOOKUP($E$37,[1]QUART!$A$2:$FA$300, 105, FALSE)="",":",VLOOKUP($E$37,[1]QUART!$A$2:$FA$300, 105, FALSE))</f>
        <v>:</v>
      </c>
      <c r="DC37" s="556" t="str">
        <f>IF(VLOOKUP($E$37,[1]QUART!$A$2:$FA$300, 106, FALSE)="",":",VLOOKUP($E$37,[1]QUART!$A$2:$FA$300, 106, FALSE))</f>
        <v>:</v>
      </c>
    </row>
    <row r="38" spans="1:107">
      <c r="A38" s="546"/>
      <c r="B38" s="546"/>
      <c r="C38" s="547"/>
      <c r="D38" s="12" t="s">
        <v>363</v>
      </c>
      <c r="E38" s="13">
        <v>104</v>
      </c>
      <c r="F38" s="14" t="str">
        <f>VLOOKUP($E$38,[1]QUART!$A$2:$FA$300, 3, FALSE)</f>
        <v xml:space="preserve">104  Exports of goods and services                                                   </v>
      </c>
      <c r="G38" s="556" t="str">
        <f>IF(VLOOKUP($E$38,[1]QUART!$A$2:$FA$300, 6, FALSE)="",":",VLOOKUP($E$38,[1]QUART!$A$2:$FA$300, 6, FALSE))</f>
        <v>:</v>
      </c>
      <c r="H38" s="556" t="str">
        <f>IF(VLOOKUP($E$38,[1]QUART!$A$2:$FA$300, 7, FALSE)="",":",VLOOKUP($E$38,[1]QUART!$A$2:$FA$300, 7, FALSE))</f>
        <v>:</v>
      </c>
      <c r="I38" s="556" t="str">
        <f>IF(VLOOKUP($E$38,[1]QUART!$A$2:$FA$300, 8, FALSE)="",":",VLOOKUP($E$38,[1]QUART!$A$2:$FA$300, 8, FALSE))</f>
        <v>:</v>
      </c>
      <c r="J38" s="556" t="str">
        <f>IF(VLOOKUP($E$38,[1]QUART!$A$2:$FA$300, 9, FALSE)="",":",VLOOKUP($E$38,[1]QUART!$A$2:$FA$300, 9, FALSE))</f>
        <v>:</v>
      </c>
      <c r="K38" s="556" t="str">
        <f>IF(VLOOKUP($E$38,[1]QUART!$A$2:$FA$300, 10, FALSE)="",":",VLOOKUP($E$38,[1]QUART!$A$2:$FA$300, 10, FALSE))</f>
        <v>:</v>
      </c>
      <c r="L38" s="556" t="str">
        <f>IF(VLOOKUP($E$38,[1]QUART!$A$2:$FA$300, 11, FALSE)="",":",VLOOKUP($E$38,[1]QUART!$A$2:$FA$300, 11, FALSE))</f>
        <v>:</v>
      </c>
      <c r="M38" s="556" t="str">
        <f>IF(VLOOKUP($E$38,[1]QUART!$A$2:$FA$300, 12, FALSE)="",":",VLOOKUP($E$38,[1]QUART!$A$2:$FA$300, 12, FALSE))</f>
        <v>:</v>
      </c>
      <c r="N38" s="556" t="str">
        <f>IF(VLOOKUP($E$38,[1]QUART!$A$2:$FA$300, 13, FALSE)="",":",VLOOKUP($E$38,[1]QUART!$A$2:$FA$300, 13, FALSE))</f>
        <v>:</v>
      </c>
      <c r="O38" s="556" t="str">
        <f>IF(VLOOKUP($E$38,[1]QUART!$A$2:$FA$300, 14, FALSE)="",":",VLOOKUP($E$38,[1]QUART!$A$2:$FA$300, 14, FALSE))</f>
        <v>:</v>
      </c>
      <c r="P38" s="556" t="str">
        <f>IF(VLOOKUP($E$38,[1]QUART!$A$2:$FA$300, 15, FALSE)="",":",VLOOKUP($E$38,[1]QUART!$A$2:$FA$300, 15, FALSE))</f>
        <v>:</v>
      </c>
      <c r="Q38" s="556" t="str">
        <f>IF(VLOOKUP($E$38,[1]QUART!$A$2:$FA$300, 16, FALSE)="",":",VLOOKUP($E$38,[1]QUART!$A$2:$FA$300, 16, FALSE))</f>
        <v>:</v>
      </c>
      <c r="R38" s="556" t="str">
        <f>IF(VLOOKUP($E$38,[1]QUART!$A$2:$FA$300, 17, FALSE)="",":",VLOOKUP($E$38,[1]QUART!$A$2:$FA$300, 17, FALSE))</f>
        <v>:</v>
      </c>
      <c r="S38" s="556" t="str">
        <f>IF(VLOOKUP($E$38,[1]QUART!$A$2:$FA$300, 18, FALSE)="",":",VLOOKUP($E$38,[1]QUART!$A$2:$FA$300, 18, FALSE))</f>
        <v>:</v>
      </c>
      <c r="T38" s="556" t="str">
        <f>IF(VLOOKUP($E$38,[1]QUART!$A$2:$FA$300, 19, FALSE)="",":",VLOOKUP($E$38,[1]QUART!$A$2:$FA$300, 19, FALSE))</f>
        <v>:</v>
      </c>
      <c r="U38" s="556" t="str">
        <f>IF(VLOOKUP($E$38,[1]QUART!$A$2:$FA$300, 20, FALSE)="",":",VLOOKUP($E$38,[1]QUART!$A$2:$FA$300, 20, FALSE))</f>
        <v>:</v>
      </c>
      <c r="V38" s="556" t="str">
        <f>IF(VLOOKUP($E$38,[1]QUART!$A$2:$FA$300, 21, FALSE)="",":",VLOOKUP($E$38,[1]QUART!$A$2:$FA$300, 21, FALSE))</f>
        <v>:</v>
      </c>
      <c r="W38" s="556" t="str">
        <f>IF(VLOOKUP($E$38,[1]QUART!$A$2:$FA$300, 22, FALSE)="",":",VLOOKUP($E$38,[1]QUART!$A$2:$FA$300, 22, FALSE))</f>
        <v>:</v>
      </c>
      <c r="X38" s="556" t="str">
        <f>IF(VLOOKUP($E$38,[1]QUART!$A$2:$FA$300, 23, FALSE)="",":",VLOOKUP($E$38,[1]QUART!$A$2:$FA$300, 23, FALSE))</f>
        <v>:</v>
      </c>
      <c r="Y38" s="556" t="str">
        <f>IF(VLOOKUP($E$38,[1]QUART!$A$2:$FA$300, 24, FALSE)="",":",VLOOKUP($E$38,[1]QUART!$A$2:$FA$300, 24, FALSE))</f>
        <v>:</v>
      </c>
      <c r="Z38" s="556" t="str">
        <f>IF(VLOOKUP($E$38,[1]QUART!$A$2:$FA$300, 25, FALSE)="",":",VLOOKUP($E$38,[1]QUART!$A$2:$FA$300, 25, FALSE))</f>
        <v>:</v>
      </c>
      <c r="AA38" s="556" t="str">
        <f>IF(VLOOKUP($E$38,[1]QUART!$A$2:$FA$300, 26, FALSE)="",":",VLOOKUP($E$38,[1]QUART!$A$2:$FA$300, 26, FALSE))</f>
        <v>:</v>
      </c>
      <c r="AB38" s="556" t="str">
        <f>IF(VLOOKUP($E$38,[1]QUART!$A$2:$FA$300, 27, FALSE)="",":",VLOOKUP($E$38,[1]QUART!$A$2:$FA$300, 27, FALSE))</f>
        <v>:</v>
      </c>
      <c r="AC38" s="556" t="str">
        <f>IF(VLOOKUP($E$38,[1]QUART!$A$2:$FA$300, 28, FALSE)="",":",VLOOKUP($E$38,[1]QUART!$A$2:$FA$300, 28, FALSE))</f>
        <v>:</v>
      </c>
      <c r="AD38" s="556" t="str">
        <f>IF(VLOOKUP($E$38,[1]QUART!$A$2:$FA$300, 29, FALSE)="",":",VLOOKUP($E$38,[1]QUART!$A$2:$FA$300, 29, FALSE))</f>
        <v>:</v>
      </c>
      <c r="AE38" s="556" t="str">
        <f>IF(VLOOKUP($E$38,[1]QUART!$A$2:$FA$300, 30, FALSE)="",":",VLOOKUP($E$38,[1]QUART!$A$2:$FA$300, 30, FALSE))</f>
        <v>:</v>
      </c>
      <c r="AF38" s="556" t="str">
        <f>IF(VLOOKUP($E$38,[1]QUART!$A$2:$FA$300, 31, FALSE)="",":",VLOOKUP($E$38,[1]QUART!$A$2:$FA$300, 31, FALSE))</f>
        <v>:</v>
      </c>
      <c r="AG38" s="556" t="str">
        <f>IF(VLOOKUP($E$38,[1]QUART!$A$2:$FA$300, 32, FALSE)="",":",VLOOKUP($E$38,[1]QUART!$A$2:$FA$300, 32, FALSE))</f>
        <v>:</v>
      </c>
      <c r="AH38" s="556" t="str">
        <f>IF(VLOOKUP($E$38,[1]QUART!$A$2:$FA$300, 33, FALSE)="",":",VLOOKUP($E$38,[1]QUART!$A$2:$FA$300, 33, FALSE))</f>
        <v>:</v>
      </c>
      <c r="AI38" s="556" t="str">
        <f>IF(VLOOKUP($E$38,[1]QUART!$A$2:$FA$300, 34, FALSE)="",":",VLOOKUP($E$38,[1]QUART!$A$2:$FA$300, 34, FALSE))</f>
        <v>:</v>
      </c>
      <c r="AJ38" s="556" t="str">
        <f>IF(VLOOKUP($E$38,[1]QUART!$A$2:$FA$300, 35, FALSE)="",":",VLOOKUP($E$38,[1]QUART!$A$2:$FA$300, 35, FALSE))</f>
        <v>:</v>
      </c>
      <c r="AK38" s="556" t="str">
        <f>IF(VLOOKUP($E$38,[1]QUART!$A$2:$FA$300, 36, FALSE)="",":",VLOOKUP($E$38,[1]QUART!$A$2:$FA$300, 36, FALSE))</f>
        <v>:</v>
      </c>
      <c r="AL38" s="556" t="str">
        <f>IF(VLOOKUP($E$38,[1]QUART!$A$2:$FA$300, 37, FALSE)="",":",VLOOKUP($E$38,[1]QUART!$A$2:$FA$300, 37, FALSE))</f>
        <v>:</v>
      </c>
      <c r="AM38" s="556" t="str">
        <f>IF(VLOOKUP($E$38,[1]QUART!$A$2:$FA$300, 38, FALSE)="",":",VLOOKUP($E$38,[1]QUART!$A$2:$FA$300, 38, FALSE))</f>
        <v>:</v>
      </c>
      <c r="AN38" s="556" t="str">
        <f>IF(VLOOKUP($E$38,[1]QUART!$A$2:$FA$300, 39, FALSE)="",":",VLOOKUP($E$38,[1]QUART!$A$2:$FA$300, 39, FALSE))</f>
        <v>:</v>
      </c>
      <c r="AO38" s="556" t="str">
        <f>IF(VLOOKUP($E$38,[1]QUART!$A$2:$FA$300, 40, FALSE)="",":",VLOOKUP($E$38,[1]QUART!$A$2:$FA$300, 40, FALSE))</f>
        <v>:</v>
      </c>
      <c r="AP38" s="556" t="str">
        <f>IF(VLOOKUP($E$38,[1]QUART!$A$2:$FA$300, 41, FALSE)="",":",VLOOKUP($E$38,[1]QUART!$A$2:$FA$300, 41, FALSE))</f>
        <v>:</v>
      </c>
      <c r="AQ38" s="556" t="str">
        <f>IF(VLOOKUP($E$38,[1]QUART!$A$2:$FA$300, 42, FALSE)="",":",VLOOKUP($E$38,[1]QUART!$A$2:$FA$300, 42, FALSE))</f>
        <v>:</v>
      </c>
      <c r="AR38" s="556" t="str">
        <f>IF(VLOOKUP($E$38,[1]QUART!$A$2:$FA$300, 43, FALSE)="",":",VLOOKUP($E$38,[1]QUART!$A$2:$FA$300, 43, FALSE))</f>
        <v>:</v>
      </c>
      <c r="AS38" s="556" t="str">
        <f>IF(VLOOKUP($E$38,[1]QUART!$A$2:$FA$300, 44, FALSE)="",":",VLOOKUP($E$38,[1]QUART!$A$2:$FA$300, 44, FALSE))</f>
        <v>:</v>
      </c>
      <c r="AT38" s="556" t="str">
        <f>IF(VLOOKUP($E$38,[1]QUART!$A$2:$FA$300, 45, FALSE)="",":",VLOOKUP($E$38,[1]QUART!$A$2:$FA$300, 45, FALSE))</f>
        <v>:</v>
      </c>
      <c r="AU38" s="556" t="str">
        <f>IF(VLOOKUP($E$38,[1]QUART!$A$2:$FA$300, 46, FALSE)="",":",VLOOKUP($E$38,[1]QUART!$A$2:$FA$300, 46, FALSE))</f>
        <v>:</v>
      </c>
      <c r="AV38" s="556" t="str">
        <f>IF(VLOOKUP($E$38,[1]QUART!$A$2:$FA$300, 47, FALSE)="",":",VLOOKUP($E$38,[1]QUART!$A$2:$FA$300, 47, FALSE))</f>
        <v>:</v>
      </c>
      <c r="AW38" s="556" t="str">
        <f>IF(VLOOKUP($E$38,[1]QUART!$A$2:$FA$300, 48, FALSE)="",":",VLOOKUP($E$38,[1]QUART!$A$2:$FA$300, 48, FALSE))</f>
        <v>:</v>
      </c>
      <c r="AX38" s="556" t="str">
        <f>IF(VLOOKUP($E$38,[1]QUART!$A$2:$FA$300, 49, FALSE)="",":",VLOOKUP($E$38,[1]QUART!$A$2:$FA$300, 49, FALSE))</f>
        <v>:</v>
      </c>
      <c r="AY38" s="556" t="str">
        <f>IF(VLOOKUP($E$38,[1]QUART!$A$2:$FA$300, 50, FALSE)="",":",VLOOKUP($E$38,[1]QUART!$A$2:$FA$300, 50, FALSE))</f>
        <v>:</v>
      </c>
      <c r="AZ38" s="556" t="str">
        <f>IF(VLOOKUP($E$38,[1]QUART!$A$2:$FA$300, 51, FALSE)="",":",VLOOKUP($E$38,[1]QUART!$A$2:$FA$300, 51, FALSE))</f>
        <v>:</v>
      </c>
      <c r="BA38" s="556" t="str">
        <f>IF(VLOOKUP($E$38,[1]QUART!$A$2:$FA$300, 52, FALSE)="",":",VLOOKUP($E$38,[1]QUART!$A$2:$FA$300, 52, FALSE))</f>
        <v>:</v>
      </c>
      <c r="BB38" s="556" t="str">
        <f>IF(VLOOKUP($E$38,[1]QUART!$A$2:$FA$300, 53, FALSE)="",":",VLOOKUP($E$38,[1]QUART!$A$2:$FA$300, 53, FALSE))</f>
        <v>:</v>
      </c>
      <c r="BC38" s="556" t="str">
        <f>IF(VLOOKUP($E$38,[1]QUART!$A$2:$FA$300, 54, FALSE)="",":",VLOOKUP($E$38,[1]QUART!$A$2:$FA$300, 54, FALSE))</f>
        <v>:</v>
      </c>
      <c r="BD38" s="556" t="str">
        <f>IF(VLOOKUP($E$38,[1]QUART!$A$2:$FA$300, 55, FALSE)="",":",VLOOKUP($E$38,[1]QUART!$A$2:$FA$300, 55, FALSE))</f>
        <v>:</v>
      </c>
      <c r="BE38" s="556" t="str">
        <f>IF(VLOOKUP($E$38,[1]QUART!$A$2:$FA$300, 56, FALSE)="",":",VLOOKUP($E$38,[1]QUART!$A$2:$FA$300, 56, FALSE))</f>
        <v>:</v>
      </c>
      <c r="BF38" s="556" t="str">
        <f>IF(VLOOKUP($E$38,[1]QUART!$A$2:$FA$300, 57, FALSE)="",":",VLOOKUP($E$38,[1]QUART!$A$2:$FA$300, 57, FALSE))</f>
        <v>:</v>
      </c>
      <c r="BG38" s="556" t="str">
        <f>IF(VLOOKUP($E$38,[1]QUART!$A$2:$FA$300, 58, FALSE)="",":",VLOOKUP($E$38,[1]QUART!$A$2:$FA$300, 58, FALSE))</f>
        <v>:</v>
      </c>
      <c r="BH38" s="556" t="str">
        <f>IF(VLOOKUP($E$38,[1]QUART!$A$2:$FA$300, 59, FALSE)="",":",VLOOKUP($E$38,[1]QUART!$A$2:$FA$300, 59, FALSE))</f>
        <v>:</v>
      </c>
      <c r="BI38" s="556" t="str">
        <f>IF(VLOOKUP($E$38,[1]QUART!$A$2:$FA$300, 60, FALSE)="",":",VLOOKUP($E$38,[1]QUART!$A$2:$FA$300, 60, FALSE))</f>
        <v>:</v>
      </c>
      <c r="BJ38" s="556" t="str">
        <f>IF(VLOOKUP($E$38,[1]QUART!$A$2:$FA$300, 61, FALSE)="",":",VLOOKUP($E$38,[1]QUART!$A$2:$FA$300, 61, FALSE))</f>
        <v>:</v>
      </c>
      <c r="BK38" s="556" t="str">
        <f>IF(VLOOKUP($E$38,[1]QUART!$A$2:$FA$300, 62, FALSE)="",":",VLOOKUP($E$38,[1]QUART!$A$2:$FA$300, 62, FALSE))</f>
        <v>:</v>
      </c>
      <c r="BL38" s="556" t="str">
        <f>IF(VLOOKUP($E$38,[1]QUART!$A$2:$FA$300, 63, FALSE)="",":",VLOOKUP($E$38,[1]QUART!$A$2:$FA$300, 63, FALSE))</f>
        <v>:</v>
      </c>
      <c r="BM38" s="556" t="str">
        <f>IF(VLOOKUP($E$38,[1]QUART!$A$2:$FA$300, 64, FALSE)="",":",VLOOKUP($E$38,[1]QUART!$A$2:$FA$300, 64, FALSE))</f>
        <v>:</v>
      </c>
      <c r="BN38" s="556" t="str">
        <f>IF(VLOOKUP($E$38,[1]QUART!$A$2:$FA$300, 65, FALSE)="",":",VLOOKUP($E$38,[1]QUART!$A$2:$FA$300, 65, FALSE))</f>
        <v>:</v>
      </c>
      <c r="BO38" s="556" t="str">
        <f>IF(VLOOKUP($E$38,[1]QUART!$A$2:$FA$300, 66, FALSE)="",":",VLOOKUP($E$38,[1]QUART!$A$2:$FA$300, 66, FALSE))</f>
        <v>:</v>
      </c>
      <c r="BP38" s="556" t="str">
        <f>IF(VLOOKUP($E$38,[1]QUART!$A$2:$FA$300, 67, FALSE)="",":",VLOOKUP($E$38,[1]QUART!$A$2:$FA$300, 67, FALSE))</f>
        <v>:</v>
      </c>
      <c r="BQ38" s="556" t="str">
        <f>IF(VLOOKUP($E$38,[1]QUART!$A$2:$FA$300, 68, FALSE)="",":",VLOOKUP($E$38,[1]QUART!$A$2:$FA$300, 68, FALSE))</f>
        <v>:</v>
      </c>
      <c r="BR38" s="556" t="str">
        <f>IF(VLOOKUP($E$38,[1]QUART!$A$2:$FA$300, 69, FALSE)="",":",VLOOKUP($E$38,[1]QUART!$A$2:$FA$300, 69, FALSE))</f>
        <v>:</v>
      </c>
      <c r="BS38" s="556" t="str">
        <f>IF(VLOOKUP($E$38,[1]QUART!$A$2:$FA$300, 70, FALSE)="",":",VLOOKUP($E$38,[1]QUART!$A$2:$FA$300, 70, FALSE))</f>
        <v>:</v>
      </c>
      <c r="BT38" s="556" t="str">
        <f>IF(VLOOKUP($E$38,[1]QUART!$A$2:$FA$300, 71, FALSE)="",":",VLOOKUP($E$38,[1]QUART!$A$2:$FA$300, 71, FALSE))</f>
        <v>:</v>
      </c>
      <c r="BU38" s="556" t="str">
        <f>IF(VLOOKUP($E$38,[1]QUART!$A$2:$FA$300, 72, FALSE)="",":",VLOOKUP($E$38,[1]QUART!$A$2:$FA$300, 72, FALSE))</f>
        <v>:</v>
      </c>
      <c r="BV38" s="556" t="str">
        <f>IF(VLOOKUP($E$38,[1]QUART!$A$2:$FA$300, 73, FALSE)="",":",VLOOKUP($E$38,[1]QUART!$A$2:$FA$300, 73, FALSE))</f>
        <v>:</v>
      </c>
      <c r="BW38" s="556" t="str">
        <f>IF(VLOOKUP($E$38,[1]QUART!$A$2:$FA$300, 74, FALSE)="",":",VLOOKUP($E$38,[1]QUART!$A$2:$FA$300, 74, FALSE))</f>
        <v>:</v>
      </c>
      <c r="BX38" s="556" t="str">
        <f>IF(VLOOKUP($E$38,[1]QUART!$A$2:$FA$300, 75, FALSE)="",":",VLOOKUP($E$38,[1]QUART!$A$2:$FA$300, 75, FALSE))</f>
        <v>:</v>
      </c>
      <c r="BY38" s="556" t="str">
        <f>IF(VLOOKUP($E$38,[1]QUART!$A$2:$FA$300, 76, FALSE)="",":",VLOOKUP($E$38,[1]QUART!$A$2:$FA$300, 76, FALSE))</f>
        <v>:</v>
      </c>
      <c r="BZ38" s="556" t="str">
        <f>IF(VLOOKUP($E$38,[1]QUART!$A$2:$FA$300, 77, FALSE)="",":",VLOOKUP($E$38,[1]QUART!$A$2:$FA$300, 77, FALSE))</f>
        <v>:</v>
      </c>
      <c r="CA38" s="556" t="str">
        <f>IF(VLOOKUP($E$38,[1]QUART!$A$2:$FA$300, 78, FALSE)="",":",VLOOKUP($E$38,[1]QUART!$A$2:$FA$300, 78, FALSE))</f>
        <v>:</v>
      </c>
      <c r="CB38" s="556" t="str">
        <f>IF(VLOOKUP($E$38,[1]QUART!$A$2:$FA$300, 79, FALSE)="",":",VLOOKUP($E$38,[1]QUART!$A$2:$FA$300, 79, FALSE))</f>
        <v>:</v>
      </c>
      <c r="CC38" s="556" t="str">
        <f>IF(VLOOKUP($E$38,[1]QUART!$A$2:$FA$300, 80, FALSE)="",":",VLOOKUP($E$38,[1]QUART!$A$2:$FA$300, 80, FALSE))</f>
        <v>:</v>
      </c>
      <c r="CD38" s="556" t="str">
        <f>IF(VLOOKUP($E$38,[1]QUART!$A$2:$FA$300, 81, FALSE)="",":",VLOOKUP($E$38,[1]QUART!$A$2:$FA$300, 81, FALSE))</f>
        <v>:</v>
      </c>
      <c r="CE38" s="556" t="str">
        <f>IF(VLOOKUP($E$38,[1]QUART!$A$2:$FA$300, 82, FALSE)="",":",VLOOKUP($E$38,[1]QUART!$A$2:$FA$300, 82, FALSE))</f>
        <v>:</v>
      </c>
      <c r="CF38" s="556" t="str">
        <f>IF(VLOOKUP($E$38,[1]QUART!$A$2:$FA$300, 83, FALSE)="",":",VLOOKUP($E$38,[1]QUART!$A$2:$FA$300, 83, FALSE))</f>
        <v>:</v>
      </c>
      <c r="CG38" s="556" t="str">
        <f>IF(VLOOKUP($E$38,[1]QUART!$A$2:$FA$300, 84, FALSE)="",":",VLOOKUP($E$38,[1]QUART!$A$2:$FA$300, 84, FALSE))</f>
        <v>:</v>
      </c>
      <c r="CH38" s="556" t="str">
        <f>IF(VLOOKUP($E$38,[1]QUART!$A$2:$FA$300, 85, FALSE)="",":",VLOOKUP($E$38,[1]QUART!$A$2:$FA$300, 85, FALSE))</f>
        <v>:</v>
      </c>
      <c r="CI38" s="556" t="str">
        <f>IF(VLOOKUP($E$38,[1]QUART!$A$2:$FA$300, 86, FALSE)="",":",VLOOKUP($E$38,[1]QUART!$A$2:$FA$300, 86, FALSE))</f>
        <v>:</v>
      </c>
      <c r="CJ38" s="556" t="str">
        <f>IF(VLOOKUP($E$38,[1]QUART!$A$2:$FA$300, 87, FALSE)="",":",VLOOKUP($E$38,[1]QUART!$A$2:$FA$300, 87, FALSE))</f>
        <v>:</v>
      </c>
      <c r="CK38" s="556" t="str">
        <f>IF(VLOOKUP($E$38,[1]QUART!$A$2:$FA$300, 88, FALSE)="",":",VLOOKUP($E$38,[1]QUART!$A$2:$FA$300, 88, FALSE))</f>
        <v>:</v>
      </c>
      <c r="CL38" s="556" t="str">
        <f>IF(VLOOKUP($E$38,[1]QUART!$A$2:$FA$300, 89, FALSE)="",":",VLOOKUP($E$38,[1]QUART!$A$2:$FA$300, 89, FALSE))</f>
        <v>:</v>
      </c>
      <c r="CM38" s="556" t="str">
        <f>IF(VLOOKUP($E$38,[1]QUART!$A$2:$FA$300, 90, FALSE)="",":",VLOOKUP($E$38,[1]QUART!$A$2:$FA$300, 90, FALSE))</f>
        <v>:</v>
      </c>
      <c r="CN38" s="556" t="str">
        <f>IF(VLOOKUP($E$38,[1]QUART!$A$2:$FA$300, 91, FALSE)="",":",VLOOKUP($E$38,[1]QUART!$A$2:$FA$300, 91, FALSE))</f>
        <v>:</v>
      </c>
      <c r="CO38" s="556" t="str">
        <f>IF(VLOOKUP($E$38,[1]QUART!$A$2:$FA$300, 92, FALSE)="",":",VLOOKUP($E$38,[1]QUART!$A$2:$FA$300, 92, FALSE))</f>
        <v>:</v>
      </c>
      <c r="CP38" s="556" t="str">
        <f>IF(VLOOKUP($E$38,[1]QUART!$A$2:$FA$300, 93, FALSE)="",":",VLOOKUP($E$38,[1]QUART!$A$2:$FA$300, 93, FALSE))</f>
        <v>:</v>
      </c>
      <c r="CQ38" s="556" t="str">
        <f>IF(VLOOKUP($E$38,[1]QUART!$A$2:$FA$300, 94, FALSE)="",":",VLOOKUP($E$38,[1]QUART!$A$2:$FA$300, 94, FALSE))</f>
        <v>:</v>
      </c>
      <c r="CR38" s="556" t="str">
        <f>IF(VLOOKUP($E$38,[1]QUART!$A$2:$FA$300, 95, FALSE)="",":",VLOOKUP($E$38,[1]QUART!$A$2:$FA$300, 95, FALSE))</f>
        <v>:</v>
      </c>
      <c r="CS38" s="556" t="str">
        <f>IF(VLOOKUP($E$38,[1]QUART!$A$2:$FA$300, 96, FALSE)="",":",VLOOKUP($E$38,[1]QUART!$A$2:$FA$300, 96, FALSE))</f>
        <v>:</v>
      </c>
      <c r="CT38" s="556" t="str">
        <f>IF(VLOOKUP($E$38,[1]QUART!$A$2:$FA$300, 97, FALSE)="",":",VLOOKUP($E$38,[1]QUART!$A$2:$FA$300, 97, FALSE))</f>
        <v>:</v>
      </c>
      <c r="CU38" s="556" t="str">
        <f>IF(VLOOKUP($E$38,[1]QUART!$A$2:$FA$300, 98, FALSE)="",":",VLOOKUP($E$38,[1]QUART!$A$2:$FA$300, 98, FALSE))</f>
        <v>:</v>
      </c>
      <c r="CV38" s="556" t="str">
        <f>IF(VLOOKUP($E$38,[1]QUART!$A$2:$FA$300, 99, FALSE)="",":",VLOOKUP($E$38,[1]QUART!$A$2:$FA$300, 99, FALSE))</f>
        <v>:</v>
      </c>
      <c r="CW38" s="556" t="str">
        <f>IF(VLOOKUP($E$38,[1]QUART!$A$2:$FA$300, 100, FALSE)="",":",VLOOKUP($E$38,[1]QUART!$A$2:$FA$300, 100, FALSE))</f>
        <v>:</v>
      </c>
      <c r="CX38" s="556" t="str">
        <f>IF(VLOOKUP($E$38,[1]QUART!$A$2:$FA$300, 101, FALSE)="",":",VLOOKUP($E$38,[1]QUART!$A$2:$FA$300, 101, FALSE))</f>
        <v>:</v>
      </c>
      <c r="CY38" s="556" t="str">
        <f>IF(VLOOKUP($E$38,[1]QUART!$A$2:$FA$300, 102, FALSE)="",":",VLOOKUP($E$38,[1]QUART!$A$2:$FA$300, 102, FALSE))</f>
        <v>:</v>
      </c>
      <c r="CZ38" s="556" t="str">
        <f>IF(VLOOKUP($E$38,[1]QUART!$A$2:$FA$300, 103, FALSE)="",":",VLOOKUP($E$38,[1]QUART!$A$2:$FA$300, 103, FALSE))</f>
        <v>:</v>
      </c>
      <c r="DA38" s="556" t="str">
        <f>IF(VLOOKUP($E$38,[1]QUART!$A$2:$FA$300, 104, FALSE)="",":",VLOOKUP($E$38,[1]QUART!$A$2:$FA$300, 104, FALSE))</f>
        <v>:</v>
      </c>
      <c r="DB38" s="556" t="str">
        <f>IF(VLOOKUP($E$38,[1]QUART!$A$2:$FA$300, 105, FALSE)="",":",VLOOKUP($E$38,[1]QUART!$A$2:$FA$300, 105, FALSE))</f>
        <v>:</v>
      </c>
      <c r="DC38" s="556" t="str">
        <f>IF(VLOOKUP($E$38,[1]QUART!$A$2:$FA$300, 106, FALSE)="",":",VLOOKUP($E$38,[1]QUART!$A$2:$FA$300, 106, FALSE))</f>
        <v>:</v>
      </c>
    </row>
    <row r="39" spans="1:107">
      <c r="A39" s="546"/>
      <c r="B39" s="546"/>
      <c r="C39" s="547"/>
      <c r="D39" s="12" t="s">
        <v>363</v>
      </c>
      <c r="E39" s="13">
        <v>105</v>
      </c>
      <c r="F39" s="14" t="str">
        <f>VLOOKUP($E$39,[1]QUART!$A$2:$FA$300, 3, FALSE)</f>
        <v xml:space="preserve">105  Imports of goods and services                                                   </v>
      </c>
      <c r="G39" s="556" t="str">
        <f>IF(VLOOKUP($E$39,[1]QUART!$A$2:$FA$300, 6, FALSE)="",":",VLOOKUP($E$39,[1]QUART!$A$2:$FA$300, 6, FALSE))</f>
        <v>:</v>
      </c>
      <c r="H39" s="556" t="str">
        <f>IF(VLOOKUP($E$39,[1]QUART!$A$2:$FA$300, 7, FALSE)="",":",VLOOKUP($E$39,[1]QUART!$A$2:$FA$300, 7, FALSE))</f>
        <v>:</v>
      </c>
      <c r="I39" s="556" t="str">
        <f>IF(VLOOKUP($E$39,[1]QUART!$A$2:$FA$300, 8, FALSE)="",":",VLOOKUP($E$39,[1]QUART!$A$2:$FA$300, 8, FALSE))</f>
        <v>:</v>
      </c>
      <c r="J39" s="556" t="str">
        <f>IF(VLOOKUP($E$39,[1]QUART!$A$2:$FA$300, 9, FALSE)="",":",VLOOKUP($E$39,[1]QUART!$A$2:$FA$300, 9, FALSE))</f>
        <v>:</v>
      </c>
      <c r="K39" s="556" t="str">
        <f>IF(VLOOKUP($E$39,[1]QUART!$A$2:$FA$300, 10, FALSE)="",":",VLOOKUP($E$39,[1]QUART!$A$2:$FA$300, 10, FALSE))</f>
        <v>:</v>
      </c>
      <c r="L39" s="556" t="str">
        <f>IF(VLOOKUP($E$39,[1]QUART!$A$2:$FA$300, 11, FALSE)="",":",VLOOKUP($E$39,[1]QUART!$A$2:$FA$300, 11, FALSE))</f>
        <v>:</v>
      </c>
      <c r="M39" s="556" t="str">
        <f>IF(VLOOKUP($E$39,[1]QUART!$A$2:$FA$300, 12, FALSE)="",":",VLOOKUP($E$39,[1]QUART!$A$2:$FA$300, 12, FALSE))</f>
        <v>:</v>
      </c>
      <c r="N39" s="556" t="str">
        <f>IF(VLOOKUP($E$39,[1]QUART!$A$2:$FA$300, 13, FALSE)="",":",VLOOKUP($E$39,[1]QUART!$A$2:$FA$300, 13, FALSE))</f>
        <v>:</v>
      </c>
      <c r="O39" s="556" t="str">
        <f>IF(VLOOKUP($E$39,[1]QUART!$A$2:$FA$300, 14, FALSE)="",":",VLOOKUP($E$39,[1]QUART!$A$2:$FA$300, 14, FALSE))</f>
        <v>:</v>
      </c>
      <c r="P39" s="556" t="str">
        <f>IF(VLOOKUP($E$39,[1]QUART!$A$2:$FA$300, 15, FALSE)="",":",VLOOKUP($E$39,[1]QUART!$A$2:$FA$300, 15, FALSE))</f>
        <v>:</v>
      </c>
      <c r="Q39" s="556" t="str">
        <f>IF(VLOOKUP($E$39,[1]QUART!$A$2:$FA$300, 16, FALSE)="",":",VLOOKUP($E$39,[1]QUART!$A$2:$FA$300, 16, FALSE))</f>
        <v>:</v>
      </c>
      <c r="R39" s="556" t="str">
        <f>IF(VLOOKUP($E$39,[1]QUART!$A$2:$FA$300, 17, FALSE)="",":",VLOOKUP($E$39,[1]QUART!$A$2:$FA$300, 17, FALSE))</f>
        <v>:</v>
      </c>
      <c r="S39" s="556" t="str">
        <f>IF(VLOOKUP($E$39,[1]QUART!$A$2:$FA$300, 18, FALSE)="",":",VLOOKUP($E$39,[1]QUART!$A$2:$FA$300, 18, FALSE))</f>
        <v>:</v>
      </c>
      <c r="T39" s="556" t="str">
        <f>IF(VLOOKUP($E$39,[1]QUART!$A$2:$FA$300, 19, FALSE)="",":",VLOOKUP($E$39,[1]QUART!$A$2:$FA$300, 19, FALSE))</f>
        <v>:</v>
      </c>
      <c r="U39" s="556" t="str">
        <f>IF(VLOOKUP($E$39,[1]QUART!$A$2:$FA$300, 20, FALSE)="",":",VLOOKUP($E$39,[1]QUART!$A$2:$FA$300, 20, FALSE))</f>
        <v>:</v>
      </c>
      <c r="V39" s="556" t="str">
        <f>IF(VLOOKUP($E$39,[1]QUART!$A$2:$FA$300, 21, FALSE)="",":",VLOOKUP($E$39,[1]QUART!$A$2:$FA$300, 21, FALSE))</f>
        <v>:</v>
      </c>
      <c r="W39" s="556" t="str">
        <f>IF(VLOOKUP($E$39,[1]QUART!$A$2:$FA$300, 22, FALSE)="",":",VLOOKUP($E$39,[1]QUART!$A$2:$FA$300, 22, FALSE))</f>
        <v>:</v>
      </c>
      <c r="X39" s="556" t="str">
        <f>IF(VLOOKUP($E$39,[1]QUART!$A$2:$FA$300, 23, FALSE)="",":",VLOOKUP($E$39,[1]QUART!$A$2:$FA$300, 23, FALSE))</f>
        <v>:</v>
      </c>
      <c r="Y39" s="556" t="str">
        <f>IF(VLOOKUP($E$39,[1]QUART!$A$2:$FA$300, 24, FALSE)="",":",VLOOKUP($E$39,[1]QUART!$A$2:$FA$300, 24, FALSE))</f>
        <v>:</v>
      </c>
      <c r="Z39" s="556" t="str">
        <f>IF(VLOOKUP($E$39,[1]QUART!$A$2:$FA$300, 25, FALSE)="",":",VLOOKUP($E$39,[1]QUART!$A$2:$FA$300, 25, FALSE))</f>
        <v>:</v>
      </c>
      <c r="AA39" s="556" t="str">
        <f>IF(VLOOKUP($E$39,[1]QUART!$A$2:$FA$300, 26, FALSE)="",":",VLOOKUP($E$39,[1]QUART!$A$2:$FA$300, 26, FALSE))</f>
        <v>:</v>
      </c>
      <c r="AB39" s="556" t="str">
        <f>IF(VLOOKUP($E$39,[1]QUART!$A$2:$FA$300, 27, FALSE)="",":",VLOOKUP($E$39,[1]QUART!$A$2:$FA$300, 27, FALSE))</f>
        <v>:</v>
      </c>
      <c r="AC39" s="556" t="str">
        <f>IF(VLOOKUP($E$39,[1]QUART!$A$2:$FA$300, 28, FALSE)="",":",VLOOKUP($E$39,[1]QUART!$A$2:$FA$300, 28, FALSE))</f>
        <v>:</v>
      </c>
      <c r="AD39" s="556" t="str">
        <f>IF(VLOOKUP($E$39,[1]QUART!$A$2:$FA$300, 29, FALSE)="",":",VLOOKUP($E$39,[1]QUART!$A$2:$FA$300, 29, FALSE))</f>
        <v>:</v>
      </c>
      <c r="AE39" s="556" t="str">
        <f>IF(VLOOKUP($E$39,[1]QUART!$A$2:$FA$300, 30, FALSE)="",":",VLOOKUP($E$39,[1]QUART!$A$2:$FA$300, 30, FALSE))</f>
        <v>:</v>
      </c>
      <c r="AF39" s="556" t="str">
        <f>IF(VLOOKUP($E$39,[1]QUART!$A$2:$FA$300, 31, FALSE)="",":",VLOOKUP($E$39,[1]QUART!$A$2:$FA$300, 31, FALSE))</f>
        <v>:</v>
      </c>
      <c r="AG39" s="556" t="str">
        <f>IF(VLOOKUP($E$39,[1]QUART!$A$2:$FA$300, 32, FALSE)="",":",VLOOKUP($E$39,[1]QUART!$A$2:$FA$300, 32, FALSE))</f>
        <v>:</v>
      </c>
      <c r="AH39" s="556" t="str">
        <f>IF(VLOOKUP($E$39,[1]QUART!$A$2:$FA$300, 33, FALSE)="",":",VLOOKUP($E$39,[1]QUART!$A$2:$FA$300, 33, FALSE))</f>
        <v>:</v>
      </c>
      <c r="AI39" s="556" t="str">
        <f>IF(VLOOKUP($E$39,[1]QUART!$A$2:$FA$300, 34, FALSE)="",":",VLOOKUP($E$39,[1]QUART!$A$2:$FA$300, 34, FALSE))</f>
        <v>:</v>
      </c>
      <c r="AJ39" s="556" t="str">
        <f>IF(VLOOKUP($E$39,[1]QUART!$A$2:$FA$300, 35, FALSE)="",":",VLOOKUP($E$39,[1]QUART!$A$2:$FA$300, 35, FALSE))</f>
        <v>:</v>
      </c>
      <c r="AK39" s="556" t="str">
        <f>IF(VLOOKUP($E$39,[1]QUART!$A$2:$FA$300, 36, FALSE)="",":",VLOOKUP($E$39,[1]QUART!$A$2:$FA$300, 36, FALSE))</f>
        <v>:</v>
      </c>
      <c r="AL39" s="556" t="str">
        <f>IF(VLOOKUP($E$39,[1]QUART!$A$2:$FA$300, 37, FALSE)="",":",VLOOKUP($E$39,[1]QUART!$A$2:$FA$300, 37, FALSE))</f>
        <v>:</v>
      </c>
      <c r="AM39" s="556" t="str">
        <f>IF(VLOOKUP($E$39,[1]QUART!$A$2:$FA$300, 38, FALSE)="",":",VLOOKUP($E$39,[1]QUART!$A$2:$FA$300, 38, FALSE))</f>
        <v>:</v>
      </c>
      <c r="AN39" s="556" t="str">
        <f>IF(VLOOKUP($E$39,[1]QUART!$A$2:$FA$300, 39, FALSE)="",":",VLOOKUP($E$39,[1]QUART!$A$2:$FA$300, 39, FALSE))</f>
        <v>:</v>
      </c>
      <c r="AO39" s="556" t="str">
        <f>IF(VLOOKUP($E$39,[1]QUART!$A$2:$FA$300, 40, FALSE)="",":",VLOOKUP($E$39,[1]QUART!$A$2:$FA$300, 40, FALSE))</f>
        <v>:</v>
      </c>
      <c r="AP39" s="556" t="str">
        <f>IF(VLOOKUP($E$39,[1]QUART!$A$2:$FA$300, 41, FALSE)="",":",VLOOKUP($E$39,[1]QUART!$A$2:$FA$300, 41, FALSE))</f>
        <v>:</v>
      </c>
      <c r="AQ39" s="556" t="str">
        <f>IF(VLOOKUP($E$39,[1]QUART!$A$2:$FA$300, 42, FALSE)="",":",VLOOKUP($E$39,[1]QUART!$A$2:$FA$300, 42, FALSE))</f>
        <v>:</v>
      </c>
      <c r="AR39" s="556" t="str">
        <f>IF(VLOOKUP($E$39,[1]QUART!$A$2:$FA$300, 43, FALSE)="",":",VLOOKUP($E$39,[1]QUART!$A$2:$FA$300, 43, FALSE))</f>
        <v>:</v>
      </c>
      <c r="AS39" s="556" t="str">
        <f>IF(VLOOKUP($E$39,[1]QUART!$A$2:$FA$300, 44, FALSE)="",":",VLOOKUP($E$39,[1]QUART!$A$2:$FA$300, 44, FALSE))</f>
        <v>:</v>
      </c>
      <c r="AT39" s="556" t="str">
        <f>IF(VLOOKUP($E$39,[1]QUART!$A$2:$FA$300, 45, FALSE)="",":",VLOOKUP($E$39,[1]QUART!$A$2:$FA$300, 45, FALSE))</f>
        <v>:</v>
      </c>
      <c r="AU39" s="556" t="str">
        <f>IF(VLOOKUP($E$39,[1]QUART!$A$2:$FA$300, 46, FALSE)="",":",VLOOKUP($E$39,[1]QUART!$A$2:$FA$300, 46, FALSE))</f>
        <v>:</v>
      </c>
      <c r="AV39" s="556" t="str">
        <f>IF(VLOOKUP($E$39,[1]QUART!$A$2:$FA$300, 47, FALSE)="",":",VLOOKUP($E$39,[1]QUART!$A$2:$FA$300, 47, FALSE))</f>
        <v>:</v>
      </c>
      <c r="AW39" s="556" t="str">
        <f>IF(VLOOKUP($E$39,[1]QUART!$A$2:$FA$300, 48, FALSE)="",":",VLOOKUP($E$39,[1]QUART!$A$2:$FA$300, 48, FALSE))</f>
        <v>:</v>
      </c>
      <c r="AX39" s="556" t="str">
        <f>IF(VLOOKUP($E$39,[1]QUART!$A$2:$FA$300, 49, FALSE)="",":",VLOOKUP($E$39,[1]QUART!$A$2:$FA$300, 49, FALSE))</f>
        <v>:</v>
      </c>
      <c r="AY39" s="556" t="str">
        <f>IF(VLOOKUP($E$39,[1]QUART!$A$2:$FA$300, 50, FALSE)="",":",VLOOKUP($E$39,[1]QUART!$A$2:$FA$300, 50, FALSE))</f>
        <v>:</v>
      </c>
      <c r="AZ39" s="556" t="str">
        <f>IF(VLOOKUP($E$39,[1]QUART!$A$2:$FA$300, 51, FALSE)="",":",VLOOKUP($E$39,[1]QUART!$A$2:$FA$300, 51, FALSE))</f>
        <v>:</v>
      </c>
      <c r="BA39" s="556" t="str">
        <f>IF(VLOOKUP($E$39,[1]QUART!$A$2:$FA$300, 52, FALSE)="",":",VLOOKUP($E$39,[1]QUART!$A$2:$FA$300, 52, FALSE))</f>
        <v>:</v>
      </c>
      <c r="BB39" s="556" t="str">
        <f>IF(VLOOKUP($E$39,[1]QUART!$A$2:$FA$300, 53, FALSE)="",":",VLOOKUP($E$39,[1]QUART!$A$2:$FA$300, 53, FALSE))</f>
        <v>:</v>
      </c>
      <c r="BC39" s="556" t="str">
        <f>IF(VLOOKUP($E$39,[1]QUART!$A$2:$FA$300, 54, FALSE)="",":",VLOOKUP($E$39,[1]QUART!$A$2:$FA$300, 54, FALSE))</f>
        <v>:</v>
      </c>
      <c r="BD39" s="556" t="str">
        <f>IF(VLOOKUP($E$39,[1]QUART!$A$2:$FA$300, 55, FALSE)="",":",VLOOKUP($E$39,[1]QUART!$A$2:$FA$300, 55, FALSE))</f>
        <v>:</v>
      </c>
      <c r="BE39" s="556" t="str">
        <f>IF(VLOOKUP($E$39,[1]QUART!$A$2:$FA$300, 56, FALSE)="",":",VLOOKUP($E$39,[1]QUART!$A$2:$FA$300, 56, FALSE))</f>
        <v>:</v>
      </c>
      <c r="BF39" s="556" t="str">
        <f>IF(VLOOKUP($E$39,[1]QUART!$A$2:$FA$300, 57, FALSE)="",":",VLOOKUP($E$39,[1]QUART!$A$2:$FA$300, 57, FALSE))</f>
        <v>:</v>
      </c>
      <c r="BG39" s="556" t="str">
        <f>IF(VLOOKUP($E$39,[1]QUART!$A$2:$FA$300, 58, FALSE)="",":",VLOOKUP($E$39,[1]QUART!$A$2:$FA$300, 58, FALSE))</f>
        <v>:</v>
      </c>
      <c r="BH39" s="556" t="str">
        <f>IF(VLOOKUP($E$39,[1]QUART!$A$2:$FA$300, 59, FALSE)="",":",VLOOKUP($E$39,[1]QUART!$A$2:$FA$300, 59, FALSE))</f>
        <v>:</v>
      </c>
      <c r="BI39" s="556" t="str">
        <f>IF(VLOOKUP($E$39,[1]QUART!$A$2:$FA$300, 60, FALSE)="",":",VLOOKUP($E$39,[1]QUART!$A$2:$FA$300, 60, FALSE))</f>
        <v>:</v>
      </c>
      <c r="BJ39" s="556" t="str">
        <f>IF(VLOOKUP($E$39,[1]QUART!$A$2:$FA$300, 61, FALSE)="",":",VLOOKUP($E$39,[1]QUART!$A$2:$FA$300, 61, FALSE))</f>
        <v>:</v>
      </c>
      <c r="BK39" s="556" t="str">
        <f>IF(VLOOKUP($E$39,[1]QUART!$A$2:$FA$300, 62, FALSE)="",":",VLOOKUP($E$39,[1]QUART!$A$2:$FA$300, 62, FALSE))</f>
        <v>:</v>
      </c>
      <c r="BL39" s="556" t="str">
        <f>IF(VLOOKUP($E$39,[1]QUART!$A$2:$FA$300, 63, FALSE)="",":",VLOOKUP($E$39,[1]QUART!$A$2:$FA$300, 63, FALSE))</f>
        <v>:</v>
      </c>
      <c r="BM39" s="556" t="str">
        <f>IF(VLOOKUP($E$39,[1]QUART!$A$2:$FA$300, 64, FALSE)="",":",VLOOKUP($E$39,[1]QUART!$A$2:$FA$300, 64, FALSE))</f>
        <v>:</v>
      </c>
      <c r="BN39" s="556" t="str">
        <f>IF(VLOOKUP($E$39,[1]QUART!$A$2:$FA$300, 65, FALSE)="",":",VLOOKUP($E$39,[1]QUART!$A$2:$FA$300, 65, FALSE))</f>
        <v>:</v>
      </c>
      <c r="BO39" s="556" t="str">
        <f>IF(VLOOKUP($E$39,[1]QUART!$A$2:$FA$300, 66, FALSE)="",":",VLOOKUP($E$39,[1]QUART!$A$2:$FA$300, 66, FALSE))</f>
        <v>:</v>
      </c>
      <c r="BP39" s="556" t="str">
        <f>IF(VLOOKUP($E$39,[1]QUART!$A$2:$FA$300, 67, FALSE)="",":",VLOOKUP($E$39,[1]QUART!$A$2:$FA$300, 67, FALSE))</f>
        <v>:</v>
      </c>
      <c r="BQ39" s="556" t="str">
        <f>IF(VLOOKUP($E$39,[1]QUART!$A$2:$FA$300, 68, FALSE)="",":",VLOOKUP($E$39,[1]QUART!$A$2:$FA$300, 68, FALSE))</f>
        <v>:</v>
      </c>
      <c r="BR39" s="556" t="str">
        <f>IF(VLOOKUP($E$39,[1]QUART!$A$2:$FA$300, 69, FALSE)="",":",VLOOKUP($E$39,[1]QUART!$A$2:$FA$300, 69, FALSE))</f>
        <v>:</v>
      </c>
      <c r="BS39" s="556" t="str">
        <f>IF(VLOOKUP($E$39,[1]QUART!$A$2:$FA$300, 70, FALSE)="",":",VLOOKUP($E$39,[1]QUART!$A$2:$FA$300, 70, FALSE))</f>
        <v>:</v>
      </c>
      <c r="BT39" s="556" t="str">
        <f>IF(VLOOKUP($E$39,[1]QUART!$A$2:$FA$300, 71, FALSE)="",":",VLOOKUP($E$39,[1]QUART!$A$2:$FA$300, 71, FALSE))</f>
        <v>:</v>
      </c>
      <c r="BU39" s="556" t="str">
        <f>IF(VLOOKUP($E$39,[1]QUART!$A$2:$FA$300, 72, FALSE)="",":",VLOOKUP($E$39,[1]QUART!$A$2:$FA$300, 72, FALSE))</f>
        <v>:</v>
      </c>
      <c r="BV39" s="556" t="str">
        <f>IF(VLOOKUP($E$39,[1]QUART!$A$2:$FA$300, 73, FALSE)="",":",VLOOKUP($E$39,[1]QUART!$A$2:$FA$300, 73, FALSE))</f>
        <v>:</v>
      </c>
      <c r="BW39" s="556" t="str">
        <f>IF(VLOOKUP($E$39,[1]QUART!$A$2:$FA$300, 74, FALSE)="",":",VLOOKUP($E$39,[1]QUART!$A$2:$FA$300, 74, FALSE))</f>
        <v>:</v>
      </c>
      <c r="BX39" s="556" t="str">
        <f>IF(VLOOKUP($E$39,[1]QUART!$A$2:$FA$300, 75, FALSE)="",":",VLOOKUP($E$39,[1]QUART!$A$2:$FA$300, 75, FALSE))</f>
        <v>:</v>
      </c>
      <c r="BY39" s="556" t="str">
        <f>IF(VLOOKUP($E$39,[1]QUART!$A$2:$FA$300, 76, FALSE)="",":",VLOOKUP($E$39,[1]QUART!$A$2:$FA$300, 76, FALSE))</f>
        <v>:</v>
      </c>
      <c r="BZ39" s="556" t="str">
        <f>IF(VLOOKUP($E$39,[1]QUART!$A$2:$FA$300, 77, FALSE)="",":",VLOOKUP($E$39,[1]QUART!$A$2:$FA$300, 77, FALSE))</f>
        <v>:</v>
      </c>
      <c r="CA39" s="556" t="str">
        <f>IF(VLOOKUP($E$39,[1]QUART!$A$2:$FA$300, 78, FALSE)="",":",VLOOKUP($E$39,[1]QUART!$A$2:$FA$300, 78, FALSE))</f>
        <v>:</v>
      </c>
      <c r="CB39" s="556" t="str">
        <f>IF(VLOOKUP($E$39,[1]QUART!$A$2:$FA$300, 79, FALSE)="",":",VLOOKUP($E$39,[1]QUART!$A$2:$FA$300, 79, FALSE))</f>
        <v>:</v>
      </c>
      <c r="CC39" s="556" t="str">
        <f>IF(VLOOKUP($E$39,[1]QUART!$A$2:$FA$300, 80, FALSE)="",":",VLOOKUP($E$39,[1]QUART!$A$2:$FA$300, 80, FALSE))</f>
        <v>:</v>
      </c>
      <c r="CD39" s="556" t="str">
        <f>IF(VLOOKUP($E$39,[1]QUART!$A$2:$FA$300, 81, FALSE)="",":",VLOOKUP($E$39,[1]QUART!$A$2:$FA$300, 81, FALSE))</f>
        <v>:</v>
      </c>
      <c r="CE39" s="556" t="str">
        <f>IF(VLOOKUP($E$39,[1]QUART!$A$2:$FA$300, 82, FALSE)="",":",VLOOKUP($E$39,[1]QUART!$A$2:$FA$300, 82, FALSE))</f>
        <v>:</v>
      </c>
      <c r="CF39" s="556" t="str">
        <f>IF(VLOOKUP($E$39,[1]QUART!$A$2:$FA$300, 83, FALSE)="",":",VLOOKUP($E$39,[1]QUART!$A$2:$FA$300, 83, FALSE))</f>
        <v>:</v>
      </c>
      <c r="CG39" s="556" t="str">
        <f>IF(VLOOKUP($E$39,[1]QUART!$A$2:$FA$300, 84, FALSE)="",":",VLOOKUP($E$39,[1]QUART!$A$2:$FA$300, 84, FALSE))</f>
        <v>:</v>
      </c>
      <c r="CH39" s="556" t="str">
        <f>IF(VLOOKUP($E$39,[1]QUART!$A$2:$FA$300, 85, FALSE)="",":",VLOOKUP($E$39,[1]QUART!$A$2:$FA$300, 85, FALSE))</f>
        <v>:</v>
      </c>
      <c r="CI39" s="556" t="str">
        <f>IF(VLOOKUP($E$39,[1]QUART!$A$2:$FA$300, 86, FALSE)="",":",VLOOKUP($E$39,[1]QUART!$A$2:$FA$300, 86, FALSE))</f>
        <v>:</v>
      </c>
      <c r="CJ39" s="556" t="str">
        <f>IF(VLOOKUP($E$39,[1]QUART!$A$2:$FA$300, 87, FALSE)="",":",VLOOKUP($E$39,[1]QUART!$A$2:$FA$300, 87, FALSE))</f>
        <v>:</v>
      </c>
      <c r="CK39" s="556" t="str">
        <f>IF(VLOOKUP($E$39,[1]QUART!$A$2:$FA$300, 88, FALSE)="",":",VLOOKUP($E$39,[1]QUART!$A$2:$FA$300, 88, FALSE))</f>
        <v>:</v>
      </c>
      <c r="CL39" s="556" t="str">
        <f>IF(VLOOKUP($E$39,[1]QUART!$A$2:$FA$300, 89, FALSE)="",":",VLOOKUP($E$39,[1]QUART!$A$2:$FA$300, 89, FALSE))</f>
        <v>:</v>
      </c>
      <c r="CM39" s="556" t="str">
        <f>IF(VLOOKUP($E$39,[1]QUART!$A$2:$FA$300, 90, FALSE)="",":",VLOOKUP($E$39,[1]QUART!$A$2:$FA$300, 90, FALSE))</f>
        <v>:</v>
      </c>
      <c r="CN39" s="556" t="str">
        <f>IF(VLOOKUP($E$39,[1]QUART!$A$2:$FA$300, 91, FALSE)="",":",VLOOKUP($E$39,[1]QUART!$A$2:$FA$300, 91, FALSE))</f>
        <v>:</v>
      </c>
      <c r="CO39" s="556" t="str">
        <f>IF(VLOOKUP($E$39,[1]QUART!$A$2:$FA$300, 92, FALSE)="",":",VLOOKUP($E$39,[1]QUART!$A$2:$FA$300, 92, FALSE))</f>
        <v>:</v>
      </c>
      <c r="CP39" s="556" t="str">
        <f>IF(VLOOKUP($E$39,[1]QUART!$A$2:$FA$300, 93, FALSE)="",":",VLOOKUP($E$39,[1]QUART!$A$2:$FA$300, 93, FALSE))</f>
        <v>:</v>
      </c>
      <c r="CQ39" s="556" t="str">
        <f>IF(VLOOKUP($E$39,[1]QUART!$A$2:$FA$300, 94, FALSE)="",":",VLOOKUP($E$39,[1]QUART!$A$2:$FA$300, 94, FALSE))</f>
        <v>:</v>
      </c>
      <c r="CR39" s="556" t="str">
        <f>IF(VLOOKUP($E$39,[1]QUART!$A$2:$FA$300, 95, FALSE)="",":",VLOOKUP($E$39,[1]QUART!$A$2:$FA$300, 95, FALSE))</f>
        <v>:</v>
      </c>
      <c r="CS39" s="556" t="str">
        <f>IF(VLOOKUP($E$39,[1]QUART!$A$2:$FA$300, 96, FALSE)="",":",VLOOKUP($E$39,[1]QUART!$A$2:$FA$300, 96, FALSE))</f>
        <v>:</v>
      </c>
      <c r="CT39" s="556" t="str">
        <f>IF(VLOOKUP($E$39,[1]QUART!$A$2:$FA$300, 97, FALSE)="",":",VLOOKUP($E$39,[1]QUART!$A$2:$FA$300, 97, FALSE))</f>
        <v>:</v>
      </c>
      <c r="CU39" s="556" t="str">
        <f>IF(VLOOKUP($E$39,[1]QUART!$A$2:$FA$300, 98, FALSE)="",":",VLOOKUP($E$39,[1]QUART!$A$2:$FA$300, 98, FALSE))</f>
        <v>:</v>
      </c>
      <c r="CV39" s="556" t="str">
        <f>IF(VLOOKUP($E$39,[1]QUART!$A$2:$FA$300, 99, FALSE)="",":",VLOOKUP($E$39,[1]QUART!$A$2:$FA$300, 99, FALSE))</f>
        <v>:</v>
      </c>
      <c r="CW39" s="556" t="str">
        <f>IF(VLOOKUP($E$39,[1]QUART!$A$2:$FA$300, 100, FALSE)="",":",VLOOKUP($E$39,[1]QUART!$A$2:$FA$300, 100, FALSE))</f>
        <v>:</v>
      </c>
      <c r="CX39" s="556" t="str">
        <f>IF(VLOOKUP($E$39,[1]QUART!$A$2:$FA$300, 101, FALSE)="",":",VLOOKUP($E$39,[1]QUART!$A$2:$FA$300, 101, FALSE))</f>
        <v>:</v>
      </c>
      <c r="CY39" s="556" t="str">
        <f>IF(VLOOKUP($E$39,[1]QUART!$A$2:$FA$300, 102, FALSE)="",":",VLOOKUP($E$39,[1]QUART!$A$2:$FA$300, 102, FALSE))</f>
        <v>:</v>
      </c>
      <c r="CZ39" s="556" t="str">
        <f>IF(VLOOKUP($E$39,[1]QUART!$A$2:$FA$300, 103, FALSE)="",":",VLOOKUP($E$39,[1]QUART!$A$2:$FA$300, 103, FALSE))</f>
        <v>:</v>
      </c>
      <c r="DA39" s="556" t="str">
        <f>IF(VLOOKUP($E$39,[1]QUART!$A$2:$FA$300, 104, FALSE)="",":",VLOOKUP($E$39,[1]QUART!$A$2:$FA$300, 104, FALSE))</f>
        <v>:</v>
      </c>
      <c r="DB39" s="556" t="str">
        <f>IF(VLOOKUP($E$39,[1]QUART!$A$2:$FA$300, 105, FALSE)="",":",VLOOKUP($E$39,[1]QUART!$A$2:$FA$300, 105, FALSE))</f>
        <v>:</v>
      </c>
      <c r="DC39" s="556" t="str">
        <f>IF(VLOOKUP($E$39,[1]QUART!$A$2:$FA$300, 106, FALSE)="",":",VLOOKUP($E$39,[1]QUART!$A$2:$FA$300, 106, FALSE))</f>
        <v>:</v>
      </c>
    </row>
    <row r="40" spans="1:107">
      <c r="A40" s="546"/>
      <c r="B40" s="546"/>
      <c r="C40" s="547"/>
      <c r="D40" s="12" t="s">
        <v>363</v>
      </c>
      <c r="E40" s="13">
        <v>106</v>
      </c>
      <c r="F40" s="14" t="str">
        <f>VLOOKUP($E$40,[1]QUART!$A$2:$FA$300, 3, FALSE)</f>
        <v>106  Domestic demand excluding change in inventories and net acquisition of valuables</v>
      </c>
      <c r="G40" s="556" t="str">
        <f>IF(VLOOKUP($E$40,[1]QUART!$A$2:$FA$300, 6, FALSE)="",":",VLOOKUP($E$40,[1]QUART!$A$2:$FA$300, 6, FALSE))</f>
        <v>:</v>
      </c>
      <c r="H40" s="556" t="str">
        <f>IF(VLOOKUP($E$40,[1]QUART!$A$2:$FA$300, 7, FALSE)="",":",VLOOKUP($E$40,[1]QUART!$A$2:$FA$300, 7, FALSE))</f>
        <v>:</v>
      </c>
      <c r="I40" s="556" t="str">
        <f>IF(VLOOKUP($E$40,[1]QUART!$A$2:$FA$300, 8, FALSE)="",":",VLOOKUP($E$40,[1]QUART!$A$2:$FA$300, 8, FALSE))</f>
        <v>:</v>
      </c>
      <c r="J40" s="556" t="str">
        <f>IF(VLOOKUP($E$40,[1]QUART!$A$2:$FA$300, 9, FALSE)="",":",VLOOKUP($E$40,[1]QUART!$A$2:$FA$300, 9, FALSE))</f>
        <v>:</v>
      </c>
      <c r="K40" s="556" t="str">
        <f>IF(VLOOKUP($E$40,[1]QUART!$A$2:$FA$300, 10, FALSE)="",":",VLOOKUP($E$40,[1]QUART!$A$2:$FA$300, 10, FALSE))</f>
        <v>:</v>
      </c>
      <c r="L40" s="556" t="str">
        <f>IF(VLOOKUP($E$40,[1]QUART!$A$2:$FA$300, 11, FALSE)="",":",VLOOKUP($E$40,[1]QUART!$A$2:$FA$300, 11, FALSE))</f>
        <v>:</v>
      </c>
      <c r="M40" s="556" t="str">
        <f>IF(VLOOKUP($E$40,[1]QUART!$A$2:$FA$300, 12, FALSE)="",":",VLOOKUP($E$40,[1]QUART!$A$2:$FA$300, 12, FALSE))</f>
        <v>:</v>
      </c>
      <c r="N40" s="556" t="str">
        <f>IF(VLOOKUP($E$40,[1]QUART!$A$2:$FA$300, 13, FALSE)="",":",VLOOKUP($E$40,[1]QUART!$A$2:$FA$300, 13, FALSE))</f>
        <v>:</v>
      </c>
      <c r="O40" s="556" t="str">
        <f>IF(VLOOKUP($E$40,[1]QUART!$A$2:$FA$300, 14, FALSE)="",":",VLOOKUP($E$40,[1]QUART!$A$2:$FA$300, 14, FALSE))</f>
        <v>:</v>
      </c>
      <c r="P40" s="556" t="str">
        <f>IF(VLOOKUP($E$40,[1]QUART!$A$2:$FA$300, 15, FALSE)="",":",VLOOKUP($E$40,[1]QUART!$A$2:$FA$300, 15, FALSE))</f>
        <v>:</v>
      </c>
      <c r="Q40" s="556" t="str">
        <f>IF(VLOOKUP($E$40,[1]QUART!$A$2:$FA$300, 16, FALSE)="",":",VLOOKUP($E$40,[1]QUART!$A$2:$FA$300, 16, FALSE))</f>
        <v>:</v>
      </c>
      <c r="R40" s="556" t="str">
        <f>IF(VLOOKUP($E$40,[1]QUART!$A$2:$FA$300, 17, FALSE)="",":",VLOOKUP($E$40,[1]QUART!$A$2:$FA$300, 17, FALSE))</f>
        <v>:</v>
      </c>
      <c r="S40" s="556" t="str">
        <f>IF(VLOOKUP($E$40,[1]QUART!$A$2:$FA$300, 18, FALSE)="",":",VLOOKUP($E$40,[1]QUART!$A$2:$FA$300, 18, FALSE))</f>
        <v>:</v>
      </c>
      <c r="T40" s="556" t="str">
        <f>IF(VLOOKUP($E$40,[1]QUART!$A$2:$FA$300, 19, FALSE)="",":",VLOOKUP($E$40,[1]QUART!$A$2:$FA$300, 19, FALSE))</f>
        <v>:</v>
      </c>
      <c r="U40" s="556" t="str">
        <f>IF(VLOOKUP($E$40,[1]QUART!$A$2:$FA$300, 20, FALSE)="",":",VLOOKUP($E$40,[1]QUART!$A$2:$FA$300, 20, FALSE))</f>
        <v>:</v>
      </c>
      <c r="V40" s="556" t="str">
        <f>IF(VLOOKUP($E$40,[1]QUART!$A$2:$FA$300, 21, FALSE)="",":",VLOOKUP($E$40,[1]QUART!$A$2:$FA$300, 21, FALSE))</f>
        <v>:</v>
      </c>
      <c r="W40" s="556" t="str">
        <f>IF(VLOOKUP($E$40,[1]QUART!$A$2:$FA$300, 22, FALSE)="",":",VLOOKUP($E$40,[1]QUART!$A$2:$FA$300, 22, FALSE))</f>
        <v>:</v>
      </c>
      <c r="X40" s="556" t="str">
        <f>IF(VLOOKUP($E$40,[1]QUART!$A$2:$FA$300, 23, FALSE)="",":",VLOOKUP($E$40,[1]QUART!$A$2:$FA$300, 23, FALSE))</f>
        <v>:</v>
      </c>
      <c r="Y40" s="556" t="str">
        <f>IF(VLOOKUP($E$40,[1]QUART!$A$2:$FA$300, 24, FALSE)="",":",VLOOKUP($E$40,[1]QUART!$A$2:$FA$300, 24, FALSE))</f>
        <v>:</v>
      </c>
      <c r="Z40" s="556" t="str">
        <f>IF(VLOOKUP($E$40,[1]QUART!$A$2:$FA$300, 25, FALSE)="",":",VLOOKUP($E$40,[1]QUART!$A$2:$FA$300, 25, FALSE))</f>
        <v>:</v>
      </c>
      <c r="AA40" s="556" t="str">
        <f>IF(VLOOKUP($E$40,[1]QUART!$A$2:$FA$300, 26, FALSE)="",":",VLOOKUP($E$40,[1]QUART!$A$2:$FA$300, 26, FALSE))</f>
        <v>:</v>
      </c>
      <c r="AB40" s="556" t="str">
        <f>IF(VLOOKUP($E$40,[1]QUART!$A$2:$FA$300, 27, FALSE)="",":",VLOOKUP($E$40,[1]QUART!$A$2:$FA$300, 27, FALSE))</f>
        <v>:</v>
      </c>
      <c r="AC40" s="556" t="str">
        <f>IF(VLOOKUP($E$40,[1]QUART!$A$2:$FA$300, 28, FALSE)="",":",VLOOKUP($E$40,[1]QUART!$A$2:$FA$300, 28, FALSE))</f>
        <v>:</v>
      </c>
      <c r="AD40" s="556" t="str">
        <f>IF(VLOOKUP($E$40,[1]QUART!$A$2:$FA$300, 29, FALSE)="",":",VLOOKUP($E$40,[1]QUART!$A$2:$FA$300, 29, FALSE))</f>
        <v>:</v>
      </c>
      <c r="AE40" s="556" t="str">
        <f>IF(VLOOKUP($E$40,[1]QUART!$A$2:$FA$300, 30, FALSE)="",":",VLOOKUP($E$40,[1]QUART!$A$2:$FA$300, 30, FALSE))</f>
        <v>:</v>
      </c>
      <c r="AF40" s="556" t="str">
        <f>IF(VLOOKUP($E$40,[1]QUART!$A$2:$FA$300, 31, FALSE)="",":",VLOOKUP($E$40,[1]QUART!$A$2:$FA$300, 31, FALSE))</f>
        <v>:</v>
      </c>
      <c r="AG40" s="556" t="str">
        <f>IF(VLOOKUP($E$40,[1]QUART!$A$2:$FA$300, 32, FALSE)="",":",VLOOKUP($E$40,[1]QUART!$A$2:$FA$300, 32, FALSE))</f>
        <v>:</v>
      </c>
      <c r="AH40" s="556" t="str">
        <f>IF(VLOOKUP($E$40,[1]QUART!$A$2:$FA$300, 33, FALSE)="",":",VLOOKUP($E$40,[1]QUART!$A$2:$FA$300, 33, FALSE))</f>
        <v>:</v>
      </c>
      <c r="AI40" s="556" t="str">
        <f>IF(VLOOKUP($E$40,[1]QUART!$A$2:$FA$300, 34, FALSE)="",":",VLOOKUP($E$40,[1]QUART!$A$2:$FA$300, 34, FALSE))</f>
        <v>:</v>
      </c>
      <c r="AJ40" s="556" t="str">
        <f>IF(VLOOKUP($E$40,[1]QUART!$A$2:$FA$300, 35, FALSE)="",":",VLOOKUP($E$40,[1]QUART!$A$2:$FA$300, 35, FALSE))</f>
        <v>:</v>
      </c>
      <c r="AK40" s="556" t="str">
        <f>IF(VLOOKUP($E$40,[1]QUART!$A$2:$FA$300, 36, FALSE)="",":",VLOOKUP($E$40,[1]QUART!$A$2:$FA$300, 36, FALSE))</f>
        <v>:</v>
      </c>
      <c r="AL40" s="556" t="str">
        <f>IF(VLOOKUP($E$40,[1]QUART!$A$2:$FA$300, 37, FALSE)="",":",VLOOKUP($E$40,[1]QUART!$A$2:$FA$300, 37, FALSE))</f>
        <v>:</v>
      </c>
      <c r="AM40" s="556" t="str">
        <f>IF(VLOOKUP($E$40,[1]QUART!$A$2:$FA$300, 38, FALSE)="",":",VLOOKUP($E$40,[1]QUART!$A$2:$FA$300, 38, FALSE))</f>
        <v>:</v>
      </c>
      <c r="AN40" s="556" t="str">
        <f>IF(VLOOKUP($E$40,[1]QUART!$A$2:$FA$300, 39, FALSE)="",":",VLOOKUP($E$40,[1]QUART!$A$2:$FA$300, 39, FALSE))</f>
        <v>:</v>
      </c>
      <c r="AO40" s="556" t="str">
        <f>IF(VLOOKUP($E$40,[1]QUART!$A$2:$FA$300, 40, FALSE)="",":",VLOOKUP($E$40,[1]QUART!$A$2:$FA$300, 40, FALSE))</f>
        <v>:</v>
      </c>
      <c r="AP40" s="556" t="str">
        <f>IF(VLOOKUP($E$40,[1]QUART!$A$2:$FA$300, 41, FALSE)="",":",VLOOKUP($E$40,[1]QUART!$A$2:$FA$300, 41, FALSE))</f>
        <v>:</v>
      </c>
      <c r="AQ40" s="556" t="str">
        <f>IF(VLOOKUP($E$40,[1]QUART!$A$2:$FA$300, 42, FALSE)="",":",VLOOKUP($E$40,[1]QUART!$A$2:$FA$300, 42, FALSE))</f>
        <v>:</v>
      </c>
      <c r="AR40" s="556" t="str">
        <f>IF(VLOOKUP($E$40,[1]QUART!$A$2:$FA$300, 43, FALSE)="",":",VLOOKUP($E$40,[1]QUART!$A$2:$FA$300, 43, FALSE))</f>
        <v>:</v>
      </c>
      <c r="AS40" s="556" t="str">
        <f>IF(VLOOKUP($E$40,[1]QUART!$A$2:$FA$300, 44, FALSE)="",":",VLOOKUP($E$40,[1]QUART!$A$2:$FA$300, 44, FALSE))</f>
        <v>:</v>
      </c>
      <c r="AT40" s="556" t="str">
        <f>IF(VLOOKUP($E$40,[1]QUART!$A$2:$FA$300, 45, FALSE)="",":",VLOOKUP($E$40,[1]QUART!$A$2:$FA$300, 45, FALSE))</f>
        <v>:</v>
      </c>
      <c r="AU40" s="556" t="str">
        <f>IF(VLOOKUP($E$40,[1]QUART!$A$2:$FA$300, 46, FALSE)="",":",VLOOKUP($E$40,[1]QUART!$A$2:$FA$300, 46, FALSE))</f>
        <v>:</v>
      </c>
      <c r="AV40" s="556" t="str">
        <f>IF(VLOOKUP($E$40,[1]QUART!$A$2:$FA$300, 47, FALSE)="",":",VLOOKUP($E$40,[1]QUART!$A$2:$FA$300, 47, FALSE))</f>
        <v>:</v>
      </c>
      <c r="AW40" s="556" t="str">
        <f>IF(VLOOKUP($E$40,[1]QUART!$A$2:$FA$300, 48, FALSE)="",":",VLOOKUP($E$40,[1]QUART!$A$2:$FA$300, 48, FALSE))</f>
        <v>:</v>
      </c>
      <c r="AX40" s="556" t="str">
        <f>IF(VLOOKUP($E$40,[1]QUART!$A$2:$FA$300, 49, FALSE)="",":",VLOOKUP($E$40,[1]QUART!$A$2:$FA$300, 49, FALSE))</f>
        <v>:</v>
      </c>
      <c r="AY40" s="556" t="str">
        <f>IF(VLOOKUP($E$40,[1]QUART!$A$2:$FA$300, 50, FALSE)="",":",VLOOKUP($E$40,[1]QUART!$A$2:$FA$300, 50, FALSE))</f>
        <v>:</v>
      </c>
      <c r="AZ40" s="556" t="str">
        <f>IF(VLOOKUP($E$40,[1]QUART!$A$2:$FA$300, 51, FALSE)="",":",VLOOKUP($E$40,[1]QUART!$A$2:$FA$300, 51, FALSE))</f>
        <v>:</v>
      </c>
      <c r="BA40" s="556" t="str">
        <f>IF(VLOOKUP($E$40,[1]QUART!$A$2:$FA$300, 52, FALSE)="",":",VLOOKUP($E$40,[1]QUART!$A$2:$FA$300, 52, FALSE))</f>
        <v>:</v>
      </c>
      <c r="BB40" s="556" t="str">
        <f>IF(VLOOKUP($E$40,[1]QUART!$A$2:$FA$300, 53, FALSE)="",":",VLOOKUP($E$40,[1]QUART!$A$2:$FA$300, 53, FALSE))</f>
        <v>:</v>
      </c>
      <c r="BC40" s="556" t="str">
        <f>IF(VLOOKUP($E$40,[1]QUART!$A$2:$FA$300, 54, FALSE)="",":",VLOOKUP($E$40,[1]QUART!$A$2:$FA$300, 54, FALSE))</f>
        <v>:</v>
      </c>
      <c r="BD40" s="556" t="str">
        <f>IF(VLOOKUP($E$40,[1]QUART!$A$2:$FA$300, 55, FALSE)="",":",VLOOKUP($E$40,[1]QUART!$A$2:$FA$300, 55, FALSE))</f>
        <v>:</v>
      </c>
      <c r="BE40" s="556" t="str">
        <f>IF(VLOOKUP($E$40,[1]QUART!$A$2:$FA$300, 56, FALSE)="",":",VLOOKUP($E$40,[1]QUART!$A$2:$FA$300, 56, FALSE))</f>
        <v>:</v>
      </c>
      <c r="BF40" s="556" t="str">
        <f>IF(VLOOKUP($E$40,[1]QUART!$A$2:$FA$300, 57, FALSE)="",":",VLOOKUP($E$40,[1]QUART!$A$2:$FA$300, 57, FALSE))</f>
        <v>:</v>
      </c>
      <c r="BG40" s="556" t="str">
        <f>IF(VLOOKUP($E$40,[1]QUART!$A$2:$FA$300, 58, FALSE)="",":",VLOOKUP($E$40,[1]QUART!$A$2:$FA$300, 58, FALSE))</f>
        <v>:</v>
      </c>
      <c r="BH40" s="556" t="str">
        <f>IF(VLOOKUP($E$40,[1]QUART!$A$2:$FA$300, 59, FALSE)="",":",VLOOKUP($E$40,[1]QUART!$A$2:$FA$300, 59, FALSE))</f>
        <v>:</v>
      </c>
      <c r="BI40" s="556" t="str">
        <f>IF(VLOOKUP($E$40,[1]QUART!$A$2:$FA$300, 60, FALSE)="",":",VLOOKUP($E$40,[1]QUART!$A$2:$FA$300, 60, FALSE))</f>
        <v>:</v>
      </c>
      <c r="BJ40" s="556" t="str">
        <f>IF(VLOOKUP($E$40,[1]QUART!$A$2:$FA$300, 61, FALSE)="",":",VLOOKUP($E$40,[1]QUART!$A$2:$FA$300, 61, FALSE))</f>
        <v>:</v>
      </c>
      <c r="BK40" s="556" t="str">
        <f>IF(VLOOKUP($E$40,[1]QUART!$A$2:$FA$300, 62, FALSE)="",":",VLOOKUP($E$40,[1]QUART!$A$2:$FA$300, 62, FALSE))</f>
        <v>:</v>
      </c>
      <c r="BL40" s="556" t="str">
        <f>IF(VLOOKUP($E$40,[1]QUART!$A$2:$FA$300, 63, FALSE)="",":",VLOOKUP($E$40,[1]QUART!$A$2:$FA$300, 63, FALSE))</f>
        <v>:</v>
      </c>
      <c r="BM40" s="556" t="str">
        <f>IF(VLOOKUP($E$40,[1]QUART!$A$2:$FA$300, 64, FALSE)="",":",VLOOKUP($E$40,[1]QUART!$A$2:$FA$300, 64, FALSE))</f>
        <v>:</v>
      </c>
      <c r="BN40" s="556" t="str">
        <f>IF(VLOOKUP($E$40,[1]QUART!$A$2:$FA$300, 65, FALSE)="",":",VLOOKUP($E$40,[1]QUART!$A$2:$FA$300, 65, FALSE))</f>
        <v>:</v>
      </c>
      <c r="BO40" s="556" t="str">
        <f>IF(VLOOKUP($E$40,[1]QUART!$A$2:$FA$300, 66, FALSE)="",":",VLOOKUP($E$40,[1]QUART!$A$2:$FA$300, 66, FALSE))</f>
        <v>:</v>
      </c>
      <c r="BP40" s="556" t="str">
        <f>IF(VLOOKUP($E$40,[1]QUART!$A$2:$FA$300, 67, FALSE)="",":",VLOOKUP($E$40,[1]QUART!$A$2:$FA$300, 67, FALSE))</f>
        <v>:</v>
      </c>
      <c r="BQ40" s="556" t="str">
        <f>IF(VLOOKUP($E$40,[1]QUART!$A$2:$FA$300, 68, FALSE)="",":",VLOOKUP($E$40,[1]QUART!$A$2:$FA$300, 68, FALSE))</f>
        <v>:</v>
      </c>
      <c r="BR40" s="556" t="str">
        <f>IF(VLOOKUP($E$40,[1]QUART!$A$2:$FA$300, 69, FALSE)="",":",VLOOKUP($E$40,[1]QUART!$A$2:$FA$300, 69, FALSE))</f>
        <v>:</v>
      </c>
      <c r="BS40" s="556" t="str">
        <f>IF(VLOOKUP($E$40,[1]QUART!$A$2:$FA$300, 70, FALSE)="",":",VLOOKUP($E$40,[1]QUART!$A$2:$FA$300, 70, FALSE))</f>
        <v>:</v>
      </c>
      <c r="BT40" s="556" t="str">
        <f>IF(VLOOKUP($E$40,[1]QUART!$A$2:$FA$300, 71, FALSE)="",":",VLOOKUP($E$40,[1]QUART!$A$2:$FA$300, 71, FALSE))</f>
        <v>:</v>
      </c>
      <c r="BU40" s="556" t="str">
        <f>IF(VLOOKUP($E$40,[1]QUART!$A$2:$FA$300, 72, FALSE)="",":",VLOOKUP($E$40,[1]QUART!$A$2:$FA$300, 72, FALSE))</f>
        <v>:</v>
      </c>
      <c r="BV40" s="556" t="str">
        <f>IF(VLOOKUP($E$40,[1]QUART!$A$2:$FA$300, 73, FALSE)="",":",VLOOKUP($E$40,[1]QUART!$A$2:$FA$300, 73, FALSE))</f>
        <v>:</v>
      </c>
      <c r="BW40" s="556" t="str">
        <f>IF(VLOOKUP($E$40,[1]QUART!$A$2:$FA$300, 74, FALSE)="",":",VLOOKUP($E$40,[1]QUART!$A$2:$FA$300, 74, FALSE))</f>
        <v>:</v>
      </c>
      <c r="BX40" s="556" t="str">
        <f>IF(VLOOKUP($E$40,[1]QUART!$A$2:$FA$300, 75, FALSE)="",":",VLOOKUP($E$40,[1]QUART!$A$2:$FA$300, 75, FALSE))</f>
        <v>:</v>
      </c>
      <c r="BY40" s="556" t="str">
        <f>IF(VLOOKUP($E$40,[1]QUART!$A$2:$FA$300, 76, FALSE)="",":",VLOOKUP($E$40,[1]QUART!$A$2:$FA$300, 76, FALSE))</f>
        <v>:</v>
      </c>
      <c r="BZ40" s="556" t="str">
        <f>IF(VLOOKUP($E$40,[1]QUART!$A$2:$FA$300, 77, FALSE)="",":",VLOOKUP($E$40,[1]QUART!$A$2:$FA$300, 77, FALSE))</f>
        <v>:</v>
      </c>
      <c r="CA40" s="556" t="str">
        <f>IF(VLOOKUP($E$40,[1]QUART!$A$2:$FA$300, 78, FALSE)="",":",VLOOKUP($E$40,[1]QUART!$A$2:$FA$300, 78, FALSE))</f>
        <v>:</v>
      </c>
      <c r="CB40" s="556" t="str">
        <f>IF(VLOOKUP($E$40,[1]QUART!$A$2:$FA$300, 79, FALSE)="",":",VLOOKUP($E$40,[1]QUART!$A$2:$FA$300, 79, FALSE))</f>
        <v>:</v>
      </c>
      <c r="CC40" s="556" t="str">
        <f>IF(VLOOKUP($E$40,[1]QUART!$A$2:$FA$300, 80, FALSE)="",":",VLOOKUP($E$40,[1]QUART!$A$2:$FA$300, 80, FALSE))</f>
        <v>:</v>
      </c>
      <c r="CD40" s="556" t="str">
        <f>IF(VLOOKUP($E$40,[1]QUART!$A$2:$FA$300, 81, FALSE)="",":",VLOOKUP($E$40,[1]QUART!$A$2:$FA$300, 81, FALSE))</f>
        <v>:</v>
      </c>
      <c r="CE40" s="556" t="str">
        <f>IF(VLOOKUP($E$40,[1]QUART!$A$2:$FA$300, 82, FALSE)="",":",VLOOKUP($E$40,[1]QUART!$A$2:$FA$300, 82, FALSE))</f>
        <v>:</v>
      </c>
      <c r="CF40" s="556" t="str">
        <f>IF(VLOOKUP($E$40,[1]QUART!$A$2:$FA$300, 83, FALSE)="",":",VLOOKUP($E$40,[1]QUART!$A$2:$FA$300, 83, FALSE))</f>
        <v>:</v>
      </c>
      <c r="CG40" s="556" t="str">
        <f>IF(VLOOKUP($E$40,[1]QUART!$A$2:$FA$300, 84, FALSE)="",":",VLOOKUP($E$40,[1]QUART!$A$2:$FA$300, 84, FALSE))</f>
        <v>:</v>
      </c>
      <c r="CH40" s="556" t="str">
        <f>IF(VLOOKUP($E$40,[1]QUART!$A$2:$FA$300, 85, FALSE)="",":",VLOOKUP($E$40,[1]QUART!$A$2:$FA$300, 85, FALSE))</f>
        <v>:</v>
      </c>
      <c r="CI40" s="556" t="str">
        <f>IF(VLOOKUP($E$40,[1]QUART!$A$2:$FA$300, 86, FALSE)="",":",VLOOKUP($E$40,[1]QUART!$A$2:$FA$300, 86, FALSE))</f>
        <v>:</v>
      </c>
      <c r="CJ40" s="556" t="str">
        <f>IF(VLOOKUP($E$40,[1]QUART!$A$2:$FA$300, 87, FALSE)="",":",VLOOKUP($E$40,[1]QUART!$A$2:$FA$300, 87, FALSE))</f>
        <v>:</v>
      </c>
      <c r="CK40" s="556" t="str">
        <f>IF(VLOOKUP($E$40,[1]QUART!$A$2:$FA$300, 88, FALSE)="",":",VLOOKUP($E$40,[1]QUART!$A$2:$FA$300, 88, FALSE))</f>
        <v>:</v>
      </c>
      <c r="CL40" s="556" t="str">
        <f>IF(VLOOKUP($E$40,[1]QUART!$A$2:$FA$300, 89, FALSE)="",":",VLOOKUP($E$40,[1]QUART!$A$2:$FA$300, 89, FALSE))</f>
        <v>:</v>
      </c>
      <c r="CM40" s="556" t="str">
        <f>IF(VLOOKUP($E$40,[1]QUART!$A$2:$FA$300, 90, FALSE)="",":",VLOOKUP($E$40,[1]QUART!$A$2:$FA$300, 90, FALSE))</f>
        <v>:</v>
      </c>
      <c r="CN40" s="556" t="str">
        <f>IF(VLOOKUP($E$40,[1]QUART!$A$2:$FA$300, 91, FALSE)="",":",VLOOKUP($E$40,[1]QUART!$A$2:$FA$300, 91, FALSE))</f>
        <v>:</v>
      </c>
      <c r="CO40" s="556" t="str">
        <f>IF(VLOOKUP($E$40,[1]QUART!$A$2:$FA$300, 92, FALSE)="",":",VLOOKUP($E$40,[1]QUART!$A$2:$FA$300, 92, FALSE))</f>
        <v>:</v>
      </c>
      <c r="CP40" s="556" t="str">
        <f>IF(VLOOKUP($E$40,[1]QUART!$A$2:$FA$300, 93, FALSE)="",":",VLOOKUP($E$40,[1]QUART!$A$2:$FA$300, 93, FALSE))</f>
        <v>:</v>
      </c>
      <c r="CQ40" s="556" t="str">
        <f>IF(VLOOKUP($E$40,[1]QUART!$A$2:$FA$300, 94, FALSE)="",":",VLOOKUP($E$40,[1]QUART!$A$2:$FA$300, 94, FALSE))</f>
        <v>:</v>
      </c>
      <c r="CR40" s="556" t="str">
        <f>IF(VLOOKUP($E$40,[1]QUART!$A$2:$FA$300, 95, FALSE)="",":",VLOOKUP($E$40,[1]QUART!$A$2:$FA$300, 95, FALSE))</f>
        <v>:</v>
      </c>
      <c r="CS40" s="556" t="str">
        <f>IF(VLOOKUP($E$40,[1]QUART!$A$2:$FA$300, 96, FALSE)="",":",VLOOKUP($E$40,[1]QUART!$A$2:$FA$300, 96, FALSE))</f>
        <v>:</v>
      </c>
      <c r="CT40" s="556" t="str">
        <f>IF(VLOOKUP($E$40,[1]QUART!$A$2:$FA$300, 97, FALSE)="",":",VLOOKUP($E$40,[1]QUART!$A$2:$FA$300, 97, FALSE))</f>
        <v>:</v>
      </c>
      <c r="CU40" s="556" t="str">
        <f>IF(VLOOKUP($E$40,[1]QUART!$A$2:$FA$300, 98, FALSE)="",":",VLOOKUP($E$40,[1]QUART!$A$2:$FA$300, 98, FALSE))</f>
        <v>:</v>
      </c>
      <c r="CV40" s="556" t="str">
        <f>IF(VLOOKUP($E$40,[1]QUART!$A$2:$FA$300, 99, FALSE)="",":",VLOOKUP($E$40,[1]QUART!$A$2:$FA$300, 99, FALSE))</f>
        <v>:</v>
      </c>
      <c r="CW40" s="556" t="str">
        <f>IF(VLOOKUP($E$40,[1]QUART!$A$2:$FA$300, 100, FALSE)="",":",VLOOKUP($E$40,[1]QUART!$A$2:$FA$300, 100, FALSE))</f>
        <v>:</v>
      </c>
      <c r="CX40" s="556" t="str">
        <f>IF(VLOOKUP($E$40,[1]QUART!$A$2:$FA$300, 101, FALSE)="",":",VLOOKUP($E$40,[1]QUART!$A$2:$FA$300, 101, FALSE))</f>
        <v>:</v>
      </c>
      <c r="CY40" s="556" t="str">
        <f>IF(VLOOKUP($E$40,[1]QUART!$A$2:$FA$300, 102, FALSE)="",":",VLOOKUP($E$40,[1]QUART!$A$2:$FA$300, 102, FALSE))</f>
        <v>:</v>
      </c>
      <c r="CZ40" s="556" t="str">
        <f>IF(VLOOKUP($E$40,[1]QUART!$A$2:$FA$300, 103, FALSE)="",":",VLOOKUP($E$40,[1]QUART!$A$2:$FA$300, 103, FALSE))</f>
        <v>:</v>
      </c>
      <c r="DA40" s="556" t="str">
        <f>IF(VLOOKUP($E$40,[1]QUART!$A$2:$FA$300, 104, FALSE)="",":",VLOOKUP($E$40,[1]QUART!$A$2:$FA$300, 104, FALSE))</f>
        <v>:</v>
      </c>
      <c r="DB40" s="556" t="str">
        <f>IF(VLOOKUP($E$40,[1]QUART!$A$2:$FA$300, 105, FALSE)="",":",VLOOKUP($E$40,[1]QUART!$A$2:$FA$300, 105, FALSE))</f>
        <v>:</v>
      </c>
      <c r="DC40" s="556" t="str">
        <f>IF(VLOOKUP($E$40,[1]QUART!$A$2:$FA$300, 106, FALSE)="",":",VLOOKUP($E$40,[1]QUART!$A$2:$FA$300, 106, FALSE))</f>
        <v>:</v>
      </c>
    </row>
    <row r="41" spans="1:107">
      <c r="A41" s="546"/>
      <c r="B41" s="546"/>
      <c r="C41" s="547"/>
      <c r="D41" s="12" t="s">
        <v>363</v>
      </c>
      <c r="E41" s="13">
        <v>107</v>
      </c>
      <c r="F41" s="14" t="str">
        <f>VLOOKUP($E$41,[1]QUART!$A$2:$FA$300, 3, FALSE)</f>
        <v>107  Domestic demand including change in inventories and net acquisition of valuables</v>
      </c>
      <c r="G41" s="556" t="str">
        <f>IF(VLOOKUP($E$41,[1]QUART!$A$2:$FA$300, 6, FALSE)="",":",VLOOKUP($E$41,[1]QUART!$A$2:$FA$300, 6, FALSE))</f>
        <v>:</v>
      </c>
      <c r="H41" s="556" t="str">
        <f>IF(VLOOKUP($E$41,[1]QUART!$A$2:$FA$300, 7, FALSE)="",":",VLOOKUP($E$41,[1]QUART!$A$2:$FA$300, 7, FALSE))</f>
        <v>:</v>
      </c>
      <c r="I41" s="556" t="str">
        <f>IF(VLOOKUP($E$41,[1]QUART!$A$2:$FA$300, 8, FALSE)="",":",VLOOKUP($E$41,[1]QUART!$A$2:$FA$300, 8, FALSE))</f>
        <v>:</v>
      </c>
      <c r="J41" s="556" t="str">
        <f>IF(VLOOKUP($E$41,[1]QUART!$A$2:$FA$300, 9, FALSE)="",":",VLOOKUP($E$41,[1]QUART!$A$2:$FA$300, 9, FALSE))</f>
        <v>:</v>
      </c>
      <c r="K41" s="556" t="str">
        <f>IF(VLOOKUP($E$41,[1]QUART!$A$2:$FA$300, 10, FALSE)="",":",VLOOKUP($E$41,[1]QUART!$A$2:$FA$300, 10, FALSE))</f>
        <v>:</v>
      </c>
      <c r="L41" s="556" t="str">
        <f>IF(VLOOKUP($E$41,[1]QUART!$A$2:$FA$300, 11, FALSE)="",":",VLOOKUP($E$41,[1]QUART!$A$2:$FA$300, 11, FALSE))</f>
        <v>:</v>
      </c>
      <c r="M41" s="556" t="str">
        <f>IF(VLOOKUP($E$41,[1]QUART!$A$2:$FA$300, 12, FALSE)="",":",VLOOKUP($E$41,[1]QUART!$A$2:$FA$300, 12, FALSE))</f>
        <v>:</v>
      </c>
      <c r="N41" s="556" t="str">
        <f>IF(VLOOKUP($E$41,[1]QUART!$A$2:$FA$300, 13, FALSE)="",":",VLOOKUP($E$41,[1]QUART!$A$2:$FA$300, 13, FALSE))</f>
        <v>:</v>
      </c>
      <c r="O41" s="556" t="str">
        <f>IF(VLOOKUP($E$41,[1]QUART!$A$2:$FA$300, 14, FALSE)="",":",VLOOKUP($E$41,[1]QUART!$A$2:$FA$300, 14, FALSE))</f>
        <v>:</v>
      </c>
      <c r="P41" s="556" t="str">
        <f>IF(VLOOKUP($E$41,[1]QUART!$A$2:$FA$300, 15, FALSE)="",":",VLOOKUP($E$41,[1]QUART!$A$2:$FA$300, 15, FALSE))</f>
        <v>:</v>
      </c>
      <c r="Q41" s="556" t="str">
        <f>IF(VLOOKUP($E$41,[1]QUART!$A$2:$FA$300, 16, FALSE)="",":",VLOOKUP($E$41,[1]QUART!$A$2:$FA$300, 16, FALSE))</f>
        <v>:</v>
      </c>
      <c r="R41" s="556" t="str">
        <f>IF(VLOOKUP($E$41,[1]QUART!$A$2:$FA$300, 17, FALSE)="",":",VLOOKUP($E$41,[1]QUART!$A$2:$FA$300, 17, FALSE))</f>
        <v>:</v>
      </c>
      <c r="S41" s="556" t="str">
        <f>IF(VLOOKUP($E$41,[1]QUART!$A$2:$FA$300, 18, FALSE)="",":",VLOOKUP($E$41,[1]QUART!$A$2:$FA$300, 18, FALSE))</f>
        <v>:</v>
      </c>
      <c r="T41" s="556" t="str">
        <f>IF(VLOOKUP($E$41,[1]QUART!$A$2:$FA$300, 19, FALSE)="",":",VLOOKUP($E$41,[1]QUART!$A$2:$FA$300, 19, FALSE))</f>
        <v>:</v>
      </c>
      <c r="U41" s="556" t="str">
        <f>IF(VLOOKUP($E$41,[1]QUART!$A$2:$FA$300, 20, FALSE)="",":",VLOOKUP($E$41,[1]QUART!$A$2:$FA$300, 20, FALSE))</f>
        <v>:</v>
      </c>
      <c r="V41" s="556" t="str">
        <f>IF(VLOOKUP($E$41,[1]QUART!$A$2:$FA$300, 21, FALSE)="",":",VLOOKUP($E$41,[1]QUART!$A$2:$FA$300, 21, FALSE))</f>
        <v>:</v>
      </c>
      <c r="W41" s="556" t="str">
        <f>IF(VLOOKUP($E$41,[1]QUART!$A$2:$FA$300, 22, FALSE)="",":",VLOOKUP($E$41,[1]QUART!$A$2:$FA$300, 22, FALSE))</f>
        <v>:</v>
      </c>
      <c r="X41" s="556" t="str">
        <f>IF(VLOOKUP($E$41,[1]QUART!$A$2:$FA$300, 23, FALSE)="",":",VLOOKUP($E$41,[1]QUART!$A$2:$FA$300, 23, FALSE))</f>
        <v>:</v>
      </c>
      <c r="Y41" s="556" t="str">
        <f>IF(VLOOKUP($E$41,[1]QUART!$A$2:$FA$300, 24, FALSE)="",":",VLOOKUP($E$41,[1]QUART!$A$2:$FA$300, 24, FALSE))</f>
        <v>:</v>
      </c>
      <c r="Z41" s="556" t="str">
        <f>IF(VLOOKUP($E$41,[1]QUART!$A$2:$FA$300, 25, FALSE)="",":",VLOOKUP($E$41,[1]QUART!$A$2:$FA$300, 25, FALSE))</f>
        <v>:</v>
      </c>
      <c r="AA41" s="556" t="str">
        <f>IF(VLOOKUP($E$41,[1]QUART!$A$2:$FA$300, 26, FALSE)="",":",VLOOKUP($E$41,[1]QUART!$A$2:$FA$300, 26, FALSE))</f>
        <v>:</v>
      </c>
      <c r="AB41" s="556" t="str">
        <f>IF(VLOOKUP($E$41,[1]QUART!$A$2:$FA$300, 27, FALSE)="",":",VLOOKUP($E$41,[1]QUART!$A$2:$FA$300, 27, FALSE))</f>
        <v>:</v>
      </c>
      <c r="AC41" s="556" t="str">
        <f>IF(VLOOKUP($E$41,[1]QUART!$A$2:$FA$300, 28, FALSE)="",":",VLOOKUP($E$41,[1]QUART!$A$2:$FA$300, 28, FALSE))</f>
        <v>:</v>
      </c>
      <c r="AD41" s="556" t="str">
        <f>IF(VLOOKUP($E$41,[1]QUART!$A$2:$FA$300, 29, FALSE)="",":",VLOOKUP($E$41,[1]QUART!$A$2:$FA$300, 29, FALSE))</f>
        <v>:</v>
      </c>
      <c r="AE41" s="556" t="str">
        <f>IF(VLOOKUP($E$41,[1]QUART!$A$2:$FA$300, 30, FALSE)="",":",VLOOKUP($E$41,[1]QUART!$A$2:$FA$300, 30, FALSE))</f>
        <v>:</v>
      </c>
      <c r="AF41" s="556" t="str">
        <f>IF(VLOOKUP($E$41,[1]QUART!$A$2:$FA$300, 31, FALSE)="",":",VLOOKUP($E$41,[1]QUART!$A$2:$FA$300, 31, FALSE))</f>
        <v>:</v>
      </c>
      <c r="AG41" s="556" t="str">
        <f>IF(VLOOKUP($E$41,[1]QUART!$A$2:$FA$300, 32, FALSE)="",":",VLOOKUP($E$41,[1]QUART!$A$2:$FA$300, 32, FALSE))</f>
        <v>:</v>
      </c>
      <c r="AH41" s="556" t="str">
        <f>IF(VLOOKUP($E$41,[1]QUART!$A$2:$FA$300, 33, FALSE)="",":",VLOOKUP($E$41,[1]QUART!$A$2:$FA$300, 33, FALSE))</f>
        <v>:</v>
      </c>
      <c r="AI41" s="556" t="str">
        <f>IF(VLOOKUP($E$41,[1]QUART!$A$2:$FA$300, 34, FALSE)="",":",VLOOKUP($E$41,[1]QUART!$A$2:$FA$300, 34, FALSE))</f>
        <v>:</v>
      </c>
      <c r="AJ41" s="556" t="str">
        <f>IF(VLOOKUP($E$41,[1]QUART!$A$2:$FA$300, 35, FALSE)="",":",VLOOKUP($E$41,[1]QUART!$A$2:$FA$300, 35, FALSE))</f>
        <v>:</v>
      </c>
      <c r="AK41" s="556" t="str">
        <f>IF(VLOOKUP($E$41,[1]QUART!$A$2:$FA$300, 36, FALSE)="",":",VLOOKUP($E$41,[1]QUART!$A$2:$FA$300, 36, FALSE))</f>
        <v>:</v>
      </c>
      <c r="AL41" s="556" t="str">
        <f>IF(VLOOKUP($E$41,[1]QUART!$A$2:$FA$300, 37, FALSE)="",":",VLOOKUP($E$41,[1]QUART!$A$2:$FA$300, 37, FALSE))</f>
        <v>:</v>
      </c>
      <c r="AM41" s="556" t="str">
        <f>IF(VLOOKUP($E$41,[1]QUART!$A$2:$FA$300, 38, FALSE)="",":",VLOOKUP($E$41,[1]QUART!$A$2:$FA$300, 38, FALSE))</f>
        <v>:</v>
      </c>
      <c r="AN41" s="556" t="str">
        <f>IF(VLOOKUP($E$41,[1]QUART!$A$2:$FA$300, 39, FALSE)="",":",VLOOKUP($E$41,[1]QUART!$A$2:$FA$300, 39, FALSE))</f>
        <v>:</v>
      </c>
      <c r="AO41" s="556" t="str">
        <f>IF(VLOOKUP($E$41,[1]QUART!$A$2:$FA$300, 40, FALSE)="",":",VLOOKUP($E$41,[1]QUART!$A$2:$FA$300, 40, FALSE))</f>
        <v>:</v>
      </c>
      <c r="AP41" s="556" t="str">
        <f>IF(VLOOKUP($E$41,[1]QUART!$A$2:$FA$300, 41, FALSE)="",":",VLOOKUP($E$41,[1]QUART!$A$2:$FA$300, 41, FALSE))</f>
        <v>:</v>
      </c>
      <c r="AQ41" s="556" t="str">
        <f>IF(VLOOKUP($E$41,[1]QUART!$A$2:$FA$300, 42, FALSE)="",":",VLOOKUP($E$41,[1]QUART!$A$2:$FA$300, 42, FALSE))</f>
        <v>:</v>
      </c>
      <c r="AR41" s="556" t="str">
        <f>IF(VLOOKUP($E$41,[1]QUART!$A$2:$FA$300, 43, FALSE)="",":",VLOOKUP($E$41,[1]QUART!$A$2:$FA$300, 43, FALSE))</f>
        <v>:</v>
      </c>
      <c r="AS41" s="556" t="str">
        <f>IF(VLOOKUP($E$41,[1]QUART!$A$2:$FA$300, 44, FALSE)="",":",VLOOKUP($E$41,[1]QUART!$A$2:$FA$300, 44, FALSE))</f>
        <v>:</v>
      </c>
      <c r="AT41" s="556" t="str">
        <f>IF(VLOOKUP($E$41,[1]QUART!$A$2:$FA$300, 45, FALSE)="",":",VLOOKUP($E$41,[1]QUART!$A$2:$FA$300, 45, FALSE))</f>
        <v>:</v>
      </c>
      <c r="AU41" s="556" t="str">
        <f>IF(VLOOKUP($E$41,[1]QUART!$A$2:$FA$300, 46, FALSE)="",":",VLOOKUP($E$41,[1]QUART!$A$2:$FA$300, 46, FALSE))</f>
        <v>:</v>
      </c>
      <c r="AV41" s="556" t="str">
        <f>IF(VLOOKUP($E$41,[1]QUART!$A$2:$FA$300, 47, FALSE)="",":",VLOOKUP($E$41,[1]QUART!$A$2:$FA$300, 47, FALSE))</f>
        <v>:</v>
      </c>
      <c r="AW41" s="556" t="str">
        <f>IF(VLOOKUP($E$41,[1]QUART!$A$2:$FA$300, 48, FALSE)="",":",VLOOKUP($E$41,[1]QUART!$A$2:$FA$300, 48, FALSE))</f>
        <v>:</v>
      </c>
      <c r="AX41" s="556" t="str">
        <f>IF(VLOOKUP($E$41,[1]QUART!$A$2:$FA$300, 49, FALSE)="",":",VLOOKUP($E$41,[1]QUART!$A$2:$FA$300, 49, FALSE))</f>
        <v>:</v>
      </c>
      <c r="AY41" s="556" t="str">
        <f>IF(VLOOKUP($E$41,[1]QUART!$A$2:$FA$300, 50, FALSE)="",":",VLOOKUP($E$41,[1]QUART!$A$2:$FA$300, 50, FALSE))</f>
        <v>:</v>
      </c>
      <c r="AZ41" s="556" t="str">
        <f>IF(VLOOKUP($E$41,[1]QUART!$A$2:$FA$300, 51, FALSE)="",":",VLOOKUP($E$41,[1]QUART!$A$2:$FA$300, 51, FALSE))</f>
        <v>:</v>
      </c>
      <c r="BA41" s="556" t="str">
        <f>IF(VLOOKUP($E$41,[1]QUART!$A$2:$FA$300, 52, FALSE)="",":",VLOOKUP($E$41,[1]QUART!$A$2:$FA$300, 52, FALSE))</f>
        <v>:</v>
      </c>
      <c r="BB41" s="556" t="str">
        <f>IF(VLOOKUP($E$41,[1]QUART!$A$2:$FA$300, 53, FALSE)="",":",VLOOKUP($E$41,[1]QUART!$A$2:$FA$300, 53, FALSE))</f>
        <v>:</v>
      </c>
      <c r="BC41" s="556" t="str">
        <f>IF(VLOOKUP($E$41,[1]QUART!$A$2:$FA$300, 54, FALSE)="",":",VLOOKUP($E$41,[1]QUART!$A$2:$FA$300, 54, FALSE))</f>
        <v>:</v>
      </c>
      <c r="BD41" s="556" t="str">
        <f>IF(VLOOKUP($E$41,[1]QUART!$A$2:$FA$300, 55, FALSE)="",":",VLOOKUP($E$41,[1]QUART!$A$2:$FA$300, 55, FALSE))</f>
        <v>:</v>
      </c>
      <c r="BE41" s="556" t="str">
        <f>IF(VLOOKUP($E$41,[1]QUART!$A$2:$FA$300, 56, FALSE)="",":",VLOOKUP($E$41,[1]QUART!$A$2:$FA$300, 56, FALSE))</f>
        <v>:</v>
      </c>
      <c r="BF41" s="556" t="str">
        <f>IF(VLOOKUP($E$41,[1]QUART!$A$2:$FA$300, 57, FALSE)="",":",VLOOKUP($E$41,[1]QUART!$A$2:$FA$300, 57, FALSE))</f>
        <v>:</v>
      </c>
      <c r="BG41" s="556" t="str">
        <f>IF(VLOOKUP($E$41,[1]QUART!$A$2:$FA$300, 58, FALSE)="",":",VLOOKUP($E$41,[1]QUART!$A$2:$FA$300, 58, FALSE))</f>
        <v>:</v>
      </c>
      <c r="BH41" s="556" t="str">
        <f>IF(VLOOKUP($E$41,[1]QUART!$A$2:$FA$300, 59, FALSE)="",":",VLOOKUP($E$41,[1]QUART!$A$2:$FA$300, 59, FALSE))</f>
        <v>:</v>
      </c>
      <c r="BI41" s="556" t="str">
        <f>IF(VLOOKUP($E$41,[1]QUART!$A$2:$FA$300, 60, FALSE)="",":",VLOOKUP($E$41,[1]QUART!$A$2:$FA$300, 60, FALSE))</f>
        <v>:</v>
      </c>
      <c r="BJ41" s="556" t="str">
        <f>IF(VLOOKUP($E$41,[1]QUART!$A$2:$FA$300, 61, FALSE)="",":",VLOOKUP($E$41,[1]QUART!$A$2:$FA$300, 61, FALSE))</f>
        <v>:</v>
      </c>
      <c r="BK41" s="556" t="str">
        <f>IF(VLOOKUP($E$41,[1]QUART!$A$2:$FA$300, 62, FALSE)="",":",VLOOKUP($E$41,[1]QUART!$A$2:$FA$300, 62, FALSE))</f>
        <v>:</v>
      </c>
      <c r="BL41" s="556" t="str">
        <f>IF(VLOOKUP($E$41,[1]QUART!$A$2:$FA$300, 63, FALSE)="",":",VLOOKUP($E$41,[1]QUART!$A$2:$FA$300, 63, FALSE))</f>
        <v>:</v>
      </c>
      <c r="BM41" s="556" t="str">
        <f>IF(VLOOKUP($E$41,[1]QUART!$A$2:$FA$300, 64, FALSE)="",":",VLOOKUP($E$41,[1]QUART!$A$2:$FA$300, 64, FALSE))</f>
        <v>:</v>
      </c>
      <c r="BN41" s="556" t="str">
        <f>IF(VLOOKUP($E$41,[1]QUART!$A$2:$FA$300, 65, FALSE)="",":",VLOOKUP($E$41,[1]QUART!$A$2:$FA$300, 65, FALSE))</f>
        <v>:</v>
      </c>
      <c r="BO41" s="556" t="str">
        <f>IF(VLOOKUP($E$41,[1]QUART!$A$2:$FA$300, 66, FALSE)="",":",VLOOKUP($E$41,[1]QUART!$A$2:$FA$300, 66, FALSE))</f>
        <v>:</v>
      </c>
      <c r="BP41" s="556" t="str">
        <f>IF(VLOOKUP($E$41,[1]QUART!$A$2:$FA$300, 67, FALSE)="",":",VLOOKUP($E$41,[1]QUART!$A$2:$FA$300, 67, FALSE))</f>
        <v>:</v>
      </c>
      <c r="BQ41" s="556" t="str">
        <f>IF(VLOOKUP($E$41,[1]QUART!$A$2:$FA$300, 68, FALSE)="",":",VLOOKUP($E$41,[1]QUART!$A$2:$FA$300, 68, FALSE))</f>
        <v>:</v>
      </c>
      <c r="BR41" s="556" t="str">
        <f>IF(VLOOKUP($E$41,[1]QUART!$A$2:$FA$300, 69, FALSE)="",":",VLOOKUP($E$41,[1]QUART!$A$2:$FA$300, 69, FALSE))</f>
        <v>:</v>
      </c>
      <c r="BS41" s="556" t="str">
        <f>IF(VLOOKUP($E$41,[1]QUART!$A$2:$FA$300, 70, FALSE)="",":",VLOOKUP($E$41,[1]QUART!$A$2:$FA$300, 70, FALSE))</f>
        <v>:</v>
      </c>
      <c r="BT41" s="556" t="str">
        <f>IF(VLOOKUP($E$41,[1]QUART!$A$2:$FA$300, 71, FALSE)="",":",VLOOKUP($E$41,[1]QUART!$A$2:$FA$300, 71, FALSE))</f>
        <v>:</v>
      </c>
      <c r="BU41" s="556" t="str">
        <f>IF(VLOOKUP($E$41,[1]QUART!$A$2:$FA$300, 72, FALSE)="",":",VLOOKUP($E$41,[1]QUART!$A$2:$FA$300, 72, FALSE))</f>
        <v>:</v>
      </c>
      <c r="BV41" s="556" t="str">
        <f>IF(VLOOKUP($E$41,[1]QUART!$A$2:$FA$300, 73, FALSE)="",":",VLOOKUP($E$41,[1]QUART!$A$2:$FA$300, 73, FALSE))</f>
        <v>:</v>
      </c>
      <c r="BW41" s="556" t="str">
        <f>IF(VLOOKUP($E$41,[1]QUART!$A$2:$FA$300, 74, FALSE)="",":",VLOOKUP($E$41,[1]QUART!$A$2:$FA$300, 74, FALSE))</f>
        <v>:</v>
      </c>
      <c r="BX41" s="556" t="str">
        <f>IF(VLOOKUP($E$41,[1]QUART!$A$2:$FA$300, 75, FALSE)="",":",VLOOKUP($E$41,[1]QUART!$A$2:$FA$300, 75, FALSE))</f>
        <v>:</v>
      </c>
      <c r="BY41" s="556" t="str">
        <f>IF(VLOOKUP($E$41,[1]QUART!$A$2:$FA$300, 76, FALSE)="",":",VLOOKUP($E$41,[1]QUART!$A$2:$FA$300, 76, FALSE))</f>
        <v>:</v>
      </c>
      <c r="BZ41" s="556" t="str">
        <f>IF(VLOOKUP($E$41,[1]QUART!$A$2:$FA$300, 77, FALSE)="",":",VLOOKUP($E$41,[1]QUART!$A$2:$FA$300, 77, FALSE))</f>
        <v>:</v>
      </c>
      <c r="CA41" s="556" t="str">
        <f>IF(VLOOKUP($E$41,[1]QUART!$A$2:$FA$300, 78, FALSE)="",":",VLOOKUP($E$41,[1]QUART!$A$2:$FA$300, 78, FALSE))</f>
        <v>:</v>
      </c>
      <c r="CB41" s="556" t="str">
        <f>IF(VLOOKUP($E$41,[1]QUART!$A$2:$FA$300, 79, FALSE)="",":",VLOOKUP($E$41,[1]QUART!$A$2:$FA$300, 79, FALSE))</f>
        <v>:</v>
      </c>
      <c r="CC41" s="556" t="str">
        <f>IF(VLOOKUP($E$41,[1]QUART!$A$2:$FA$300, 80, FALSE)="",":",VLOOKUP($E$41,[1]QUART!$A$2:$FA$300, 80, FALSE))</f>
        <v>:</v>
      </c>
      <c r="CD41" s="556" t="str">
        <f>IF(VLOOKUP($E$41,[1]QUART!$A$2:$FA$300, 81, FALSE)="",":",VLOOKUP($E$41,[1]QUART!$A$2:$FA$300, 81, FALSE))</f>
        <v>:</v>
      </c>
      <c r="CE41" s="556" t="str">
        <f>IF(VLOOKUP($E$41,[1]QUART!$A$2:$FA$300, 82, FALSE)="",":",VLOOKUP($E$41,[1]QUART!$A$2:$FA$300, 82, FALSE))</f>
        <v>:</v>
      </c>
      <c r="CF41" s="556" t="str">
        <f>IF(VLOOKUP($E$41,[1]QUART!$A$2:$FA$300, 83, FALSE)="",":",VLOOKUP($E$41,[1]QUART!$A$2:$FA$300, 83, FALSE))</f>
        <v>:</v>
      </c>
      <c r="CG41" s="556" t="str">
        <f>IF(VLOOKUP($E$41,[1]QUART!$A$2:$FA$300, 84, FALSE)="",":",VLOOKUP($E$41,[1]QUART!$A$2:$FA$300, 84, FALSE))</f>
        <v>:</v>
      </c>
      <c r="CH41" s="556" t="str">
        <f>IF(VLOOKUP($E$41,[1]QUART!$A$2:$FA$300, 85, FALSE)="",":",VLOOKUP($E$41,[1]QUART!$A$2:$FA$300, 85, FALSE))</f>
        <v>:</v>
      </c>
      <c r="CI41" s="556" t="str">
        <f>IF(VLOOKUP($E$41,[1]QUART!$A$2:$FA$300, 86, FALSE)="",":",VLOOKUP($E$41,[1]QUART!$A$2:$FA$300, 86, FALSE))</f>
        <v>:</v>
      </c>
      <c r="CJ41" s="556" t="str">
        <f>IF(VLOOKUP($E$41,[1]QUART!$A$2:$FA$300, 87, FALSE)="",":",VLOOKUP($E$41,[1]QUART!$A$2:$FA$300, 87, FALSE))</f>
        <v>:</v>
      </c>
      <c r="CK41" s="556" t="str">
        <f>IF(VLOOKUP($E$41,[1]QUART!$A$2:$FA$300, 88, FALSE)="",":",VLOOKUP($E$41,[1]QUART!$A$2:$FA$300, 88, FALSE))</f>
        <v>:</v>
      </c>
      <c r="CL41" s="556" t="str">
        <f>IF(VLOOKUP($E$41,[1]QUART!$A$2:$FA$300, 89, FALSE)="",":",VLOOKUP($E$41,[1]QUART!$A$2:$FA$300, 89, FALSE))</f>
        <v>:</v>
      </c>
      <c r="CM41" s="556" t="str">
        <f>IF(VLOOKUP($E$41,[1]QUART!$A$2:$FA$300, 90, FALSE)="",":",VLOOKUP($E$41,[1]QUART!$A$2:$FA$300, 90, FALSE))</f>
        <v>:</v>
      </c>
      <c r="CN41" s="556" t="str">
        <f>IF(VLOOKUP($E$41,[1]QUART!$A$2:$FA$300, 91, FALSE)="",":",VLOOKUP($E$41,[1]QUART!$A$2:$FA$300, 91, FALSE))</f>
        <v>:</v>
      </c>
      <c r="CO41" s="556" t="str">
        <f>IF(VLOOKUP($E$41,[1]QUART!$A$2:$FA$300, 92, FALSE)="",":",VLOOKUP($E$41,[1]QUART!$A$2:$FA$300, 92, FALSE))</f>
        <v>:</v>
      </c>
      <c r="CP41" s="556" t="str">
        <f>IF(VLOOKUP($E$41,[1]QUART!$A$2:$FA$300, 93, FALSE)="",":",VLOOKUP($E$41,[1]QUART!$A$2:$FA$300, 93, FALSE))</f>
        <v>:</v>
      </c>
      <c r="CQ41" s="556" t="str">
        <f>IF(VLOOKUP($E$41,[1]QUART!$A$2:$FA$300, 94, FALSE)="",":",VLOOKUP($E$41,[1]QUART!$A$2:$FA$300, 94, FALSE))</f>
        <v>:</v>
      </c>
      <c r="CR41" s="556" t="str">
        <f>IF(VLOOKUP($E$41,[1]QUART!$A$2:$FA$300, 95, FALSE)="",":",VLOOKUP($E$41,[1]QUART!$A$2:$FA$300, 95, FALSE))</f>
        <v>:</v>
      </c>
      <c r="CS41" s="556" t="str">
        <f>IF(VLOOKUP($E$41,[1]QUART!$A$2:$FA$300, 96, FALSE)="",":",VLOOKUP($E$41,[1]QUART!$A$2:$FA$300, 96, FALSE))</f>
        <v>:</v>
      </c>
      <c r="CT41" s="556" t="str">
        <f>IF(VLOOKUP($E$41,[1]QUART!$A$2:$FA$300, 97, FALSE)="",":",VLOOKUP($E$41,[1]QUART!$A$2:$FA$300, 97, FALSE))</f>
        <v>:</v>
      </c>
      <c r="CU41" s="556" t="str">
        <f>IF(VLOOKUP($E$41,[1]QUART!$A$2:$FA$300, 98, FALSE)="",":",VLOOKUP($E$41,[1]QUART!$A$2:$FA$300, 98, FALSE))</f>
        <v>:</v>
      </c>
      <c r="CV41" s="556" t="str">
        <f>IF(VLOOKUP($E$41,[1]QUART!$A$2:$FA$300, 99, FALSE)="",":",VLOOKUP($E$41,[1]QUART!$A$2:$FA$300, 99, FALSE))</f>
        <v>:</v>
      </c>
      <c r="CW41" s="556" t="str">
        <f>IF(VLOOKUP($E$41,[1]QUART!$A$2:$FA$300, 100, FALSE)="",":",VLOOKUP($E$41,[1]QUART!$A$2:$FA$300, 100, FALSE))</f>
        <v>:</v>
      </c>
      <c r="CX41" s="556" t="str">
        <f>IF(VLOOKUP($E$41,[1]QUART!$A$2:$FA$300, 101, FALSE)="",":",VLOOKUP($E$41,[1]QUART!$A$2:$FA$300, 101, FALSE))</f>
        <v>:</v>
      </c>
      <c r="CY41" s="556" t="str">
        <f>IF(VLOOKUP($E$41,[1]QUART!$A$2:$FA$300, 102, FALSE)="",":",VLOOKUP($E$41,[1]QUART!$A$2:$FA$300, 102, FALSE))</f>
        <v>:</v>
      </c>
      <c r="CZ41" s="556" t="str">
        <f>IF(VLOOKUP($E$41,[1]QUART!$A$2:$FA$300, 103, FALSE)="",":",VLOOKUP($E$41,[1]QUART!$A$2:$FA$300, 103, FALSE))</f>
        <v>:</v>
      </c>
      <c r="DA41" s="556" t="str">
        <f>IF(VLOOKUP($E$41,[1]QUART!$A$2:$FA$300, 104, FALSE)="",":",VLOOKUP($E$41,[1]QUART!$A$2:$FA$300, 104, FALSE))</f>
        <v>:</v>
      </c>
      <c r="DB41" s="556" t="str">
        <f>IF(VLOOKUP($E$41,[1]QUART!$A$2:$FA$300, 105, FALSE)="",":",VLOOKUP($E$41,[1]QUART!$A$2:$FA$300, 105, FALSE))</f>
        <v>:</v>
      </c>
      <c r="DC41" s="556" t="str">
        <f>IF(VLOOKUP($E$41,[1]QUART!$A$2:$FA$300, 106, FALSE)="",":",VLOOKUP($E$41,[1]QUART!$A$2:$FA$300, 106, FALSE))</f>
        <v>:</v>
      </c>
    </row>
    <row r="42" spans="1:107">
      <c r="A42" s="546"/>
      <c r="B42" s="546"/>
      <c r="C42" s="547"/>
      <c r="D42" s="12" t="s">
        <v>363</v>
      </c>
      <c r="E42" s="13">
        <v>108</v>
      </c>
      <c r="F42" s="14" t="str">
        <f>VLOOKUP($E$42,[1]QUART!$A$2:$FA$300, 3, FALSE)</f>
        <v xml:space="preserve">108  Final demand                                                                    </v>
      </c>
      <c r="G42" s="556" t="str">
        <f>IF(VLOOKUP($E$42,[1]QUART!$A$2:$FA$300, 6, FALSE)="",":",VLOOKUP($E$42,[1]QUART!$A$2:$FA$300, 6, FALSE))</f>
        <v>:</v>
      </c>
      <c r="H42" s="556" t="str">
        <f>IF(VLOOKUP($E$42,[1]QUART!$A$2:$FA$300, 7, FALSE)="",":",VLOOKUP($E$42,[1]QUART!$A$2:$FA$300, 7, FALSE))</f>
        <v>:</v>
      </c>
      <c r="I42" s="556" t="str">
        <f>IF(VLOOKUP($E$42,[1]QUART!$A$2:$FA$300, 8, FALSE)="",":",VLOOKUP($E$42,[1]QUART!$A$2:$FA$300, 8, FALSE))</f>
        <v>:</v>
      </c>
      <c r="J42" s="556" t="str">
        <f>IF(VLOOKUP($E$42,[1]QUART!$A$2:$FA$300, 9, FALSE)="",":",VLOOKUP($E$42,[1]QUART!$A$2:$FA$300, 9, FALSE))</f>
        <v>:</v>
      </c>
      <c r="K42" s="556" t="str">
        <f>IF(VLOOKUP($E$42,[1]QUART!$A$2:$FA$300, 10, FALSE)="",":",VLOOKUP($E$42,[1]QUART!$A$2:$FA$300, 10, FALSE))</f>
        <v>:</v>
      </c>
      <c r="L42" s="556" t="str">
        <f>IF(VLOOKUP($E$42,[1]QUART!$A$2:$FA$300, 11, FALSE)="",":",VLOOKUP($E$42,[1]QUART!$A$2:$FA$300, 11, FALSE))</f>
        <v>:</v>
      </c>
      <c r="M42" s="556" t="str">
        <f>IF(VLOOKUP($E$42,[1]QUART!$A$2:$FA$300, 12, FALSE)="",":",VLOOKUP($E$42,[1]QUART!$A$2:$FA$300, 12, FALSE))</f>
        <v>:</v>
      </c>
      <c r="N42" s="556" t="str">
        <f>IF(VLOOKUP($E$42,[1]QUART!$A$2:$FA$300, 13, FALSE)="",":",VLOOKUP($E$42,[1]QUART!$A$2:$FA$300, 13, FALSE))</f>
        <v>:</v>
      </c>
      <c r="O42" s="556" t="str">
        <f>IF(VLOOKUP($E$42,[1]QUART!$A$2:$FA$300, 14, FALSE)="",":",VLOOKUP($E$42,[1]QUART!$A$2:$FA$300, 14, FALSE))</f>
        <v>:</v>
      </c>
      <c r="P42" s="556" t="str">
        <f>IF(VLOOKUP($E$42,[1]QUART!$A$2:$FA$300, 15, FALSE)="",":",VLOOKUP($E$42,[1]QUART!$A$2:$FA$300, 15, FALSE))</f>
        <v>:</v>
      </c>
      <c r="Q42" s="556" t="str">
        <f>IF(VLOOKUP($E$42,[1]QUART!$A$2:$FA$300, 16, FALSE)="",":",VLOOKUP($E$42,[1]QUART!$A$2:$FA$300, 16, FALSE))</f>
        <v>:</v>
      </c>
      <c r="R42" s="556" t="str">
        <f>IF(VLOOKUP($E$42,[1]QUART!$A$2:$FA$300, 17, FALSE)="",":",VLOOKUP($E$42,[1]QUART!$A$2:$FA$300, 17, FALSE))</f>
        <v>:</v>
      </c>
      <c r="S42" s="556" t="str">
        <f>IF(VLOOKUP($E$42,[1]QUART!$A$2:$FA$300, 18, FALSE)="",":",VLOOKUP($E$42,[1]QUART!$A$2:$FA$300, 18, FALSE))</f>
        <v>:</v>
      </c>
      <c r="T42" s="556" t="str">
        <f>IF(VLOOKUP($E$42,[1]QUART!$A$2:$FA$300, 19, FALSE)="",":",VLOOKUP($E$42,[1]QUART!$A$2:$FA$300, 19, FALSE))</f>
        <v>:</v>
      </c>
      <c r="U42" s="556" t="str">
        <f>IF(VLOOKUP($E$42,[1]QUART!$A$2:$FA$300, 20, FALSE)="",":",VLOOKUP($E$42,[1]QUART!$A$2:$FA$300, 20, FALSE))</f>
        <v>:</v>
      </c>
      <c r="V42" s="556" t="str">
        <f>IF(VLOOKUP($E$42,[1]QUART!$A$2:$FA$300, 21, FALSE)="",":",VLOOKUP($E$42,[1]QUART!$A$2:$FA$300, 21, FALSE))</f>
        <v>:</v>
      </c>
      <c r="W42" s="556" t="str">
        <f>IF(VLOOKUP($E$42,[1]QUART!$A$2:$FA$300, 22, FALSE)="",":",VLOOKUP($E$42,[1]QUART!$A$2:$FA$300, 22, FALSE))</f>
        <v>:</v>
      </c>
      <c r="X42" s="556" t="str">
        <f>IF(VLOOKUP($E$42,[1]QUART!$A$2:$FA$300, 23, FALSE)="",":",VLOOKUP($E$42,[1]QUART!$A$2:$FA$300, 23, FALSE))</f>
        <v>:</v>
      </c>
      <c r="Y42" s="556" t="str">
        <f>IF(VLOOKUP($E$42,[1]QUART!$A$2:$FA$300, 24, FALSE)="",":",VLOOKUP($E$42,[1]QUART!$A$2:$FA$300, 24, FALSE))</f>
        <v>:</v>
      </c>
      <c r="Z42" s="556" t="str">
        <f>IF(VLOOKUP($E$42,[1]QUART!$A$2:$FA$300, 25, FALSE)="",":",VLOOKUP($E$42,[1]QUART!$A$2:$FA$300, 25, FALSE))</f>
        <v>:</v>
      </c>
      <c r="AA42" s="556" t="str">
        <f>IF(VLOOKUP($E$42,[1]QUART!$A$2:$FA$300, 26, FALSE)="",":",VLOOKUP($E$42,[1]QUART!$A$2:$FA$300, 26, FALSE))</f>
        <v>:</v>
      </c>
      <c r="AB42" s="556" t="str">
        <f>IF(VLOOKUP($E$42,[1]QUART!$A$2:$FA$300, 27, FALSE)="",":",VLOOKUP($E$42,[1]QUART!$A$2:$FA$300, 27, FALSE))</f>
        <v>:</v>
      </c>
      <c r="AC42" s="556" t="str">
        <f>IF(VLOOKUP($E$42,[1]QUART!$A$2:$FA$300, 28, FALSE)="",":",VLOOKUP($E$42,[1]QUART!$A$2:$FA$300, 28, FALSE))</f>
        <v>:</v>
      </c>
      <c r="AD42" s="556" t="str">
        <f>IF(VLOOKUP($E$42,[1]QUART!$A$2:$FA$300, 29, FALSE)="",":",VLOOKUP($E$42,[1]QUART!$A$2:$FA$300, 29, FALSE))</f>
        <v>:</v>
      </c>
      <c r="AE42" s="556" t="str">
        <f>IF(VLOOKUP($E$42,[1]QUART!$A$2:$FA$300, 30, FALSE)="",":",VLOOKUP($E$42,[1]QUART!$A$2:$FA$300, 30, FALSE))</f>
        <v>:</v>
      </c>
      <c r="AF42" s="556" t="str">
        <f>IF(VLOOKUP($E$42,[1]QUART!$A$2:$FA$300, 31, FALSE)="",":",VLOOKUP($E$42,[1]QUART!$A$2:$FA$300, 31, FALSE))</f>
        <v>:</v>
      </c>
      <c r="AG42" s="556" t="str">
        <f>IF(VLOOKUP($E$42,[1]QUART!$A$2:$FA$300, 32, FALSE)="",":",VLOOKUP($E$42,[1]QUART!$A$2:$FA$300, 32, FALSE))</f>
        <v>:</v>
      </c>
      <c r="AH42" s="556" t="str">
        <f>IF(VLOOKUP($E$42,[1]QUART!$A$2:$FA$300, 33, FALSE)="",":",VLOOKUP($E$42,[1]QUART!$A$2:$FA$300, 33, FALSE))</f>
        <v>:</v>
      </c>
      <c r="AI42" s="556" t="str">
        <f>IF(VLOOKUP($E$42,[1]QUART!$A$2:$FA$300, 34, FALSE)="",":",VLOOKUP($E$42,[1]QUART!$A$2:$FA$300, 34, FALSE))</f>
        <v>:</v>
      </c>
      <c r="AJ42" s="556" t="str">
        <f>IF(VLOOKUP($E$42,[1]QUART!$A$2:$FA$300, 35, FALSE)="",":",VLOOKUP($E$42,[1]QUART!$A$2:$FA$300, 35, FALSE))</f>
        <v>:</v>
      </c>
      <c r="AK42" s="556" t="str">
        <f>IF(VLOOKUP($E$42,[1]QUART!$A$2:$FA$300, 36, FALSE)="",":",VLOOKUP($E$42,[1]QUART!$A$2:$FA$300, 36, FALSE))</f>
        <v>:</v>
      </c>
      <c r="AL42" s="556" t="str">
        <f>IF(VLOOKUP($E$42,[1]QUART!$A$2:$FA$300, 37, FALSE)="",":",VLOOKUP($E$42,[1]QUART!$A$2:$FA$300, 37, FALSE))</f>
        <v>:</v>
      </c>
      <c r="AM42" s="556" t="str">
        <f>IF(VLOOKUP($E$42,[1]QUART!$A$2:$FA$300, 38, FALSE)="",":",VLOOKUP($E$42,[1]QUART!$A$2:$FA$300, 38, FALSE))</f>
        <v>:</v>
      </c>
      <c r="AN42" s="556" t="str">
        <f>IF(VLOOKUP($E$42,[1]QUART!$A$2:$FA$300, 39, FALSE)="",":",VLOOKUP($E$42,[1]QUART!$A$2:$FA$300, 39, FALSE))</f>
        <v>:</v>
      </c>
      <c r="AO42" s="556" t="str">
        <f>IF(VLOOKUP($E$42,[1]QUART!$A$2:$FA$300, 40, FALSE)="",":",VLOOKUP($E$42,[1]QUART!$A$2:$FA$300, 40, FALSE))</f>
        <v>:</v>
      </c>
      <c r="AP42" s="556" t="str">
        <f>IF(VLOOKUP($E$42,[1]QUART!$A$2:$FA$300, 41, FALSE)="",":",VLOOKUP($E$42,[1]QUART!$A$2:$FA$300, 41, FALSE))</f>
        <v>:</v>
      </c>
      <c r="AQ42" s="556" t="str">
        <f>IF(VLOOKUP($E$42,[1]QUART!$A$2:$FA$300, 42, FALSE)="",":",VLOOKUP($E$42,[1]QUART!$A$2:$FA$300, 42, FALSE))</f>
        <v>:</v>
      </c>
      <c r="AR42" s="556" t="str">
        <f>IF(VLOOKUP($E$42,[1]QUART!$A$2:$FA$300, 43, FALSE)="",":",VLOOKUP($E$42,[1]QUART!$A$2:$FA$300, 43, FALSE))</f>
        <v>:</v>
      </c>
      <c r="AS42" s="556" t="str">
        <f>IF(VLOOKUP($E$42,[1]QUART!$A$2:$FA$300, 44, FALSE)="",":",VLOOKUP($E$42,[1]QUART!$A$2:$FA$300, 44, FALSE))</f>
        <v>:</v>
      </c>
      <c r="AT42" s="556" t="str">
        <f>IF(VLOOKUP($E$42,[1]QUART!$A$2:$FA$300, 45, FALSE)="",":",VLOOKUP($E$42,[1]QUART!$A$2:$FA$300, 45, FALSE))</f>
        <v>:</v>
      </c>
      <c r="AU42" s="556" t="str">
        <f>IF(VLOOKUP($E$42,[1]QUART!$A$2:$FA$300, 46, FALSE)="",":",VLOOKUP($E$42,[1]QUART!$A$2:$FA$300, 46, FALSE))</f>
        <v>:</v>
      </c>
      <c r="AV42" s="556" t="str">
        <f>IF(VLOOKUP($E$42,[1]QUART!$A$2:$FA$300, 47, FALSE)="",":",VLOOKUP($E$42,[1]QUART!$A$2:$FA$300, 47, FALSE))</f>
        <v>:</v>
      </c>
      <c r="AW42" s="556" t="str">
        <f>IF(VLOOKUP($E$42,[1]QUART!$A$2:$FA$300, 48, FALSE)="",":",VLOOKUP($E$42,[1]QUART!$A$2:$FA$300, 48, FALSE))</f>
        <v>:</v>
      </c>
      <c r="AX42" s="556" t="str">
        <f>IF(VLOOKUP($E$42,[1]QUART!$A$2:$FA$300, 49, FALSE)="",":",VLOOKUP($E$42,[1]QUART!$A$2:$FA$300, 49, FALSE))</f>
        <v>:</v>
      </c>
      <c r="AY42" s="556" t="str">
        <f>IF(VLOOKUP($E$42,[1]QUART!$A$2:$FA$300, 50, FALSE)="",":",VLOOKUP($E$42,[1]QUART!$A$2:$FA$300, 50, FALSE))</f>
        <v>:</v>
      </c>
      <c r="AZ42" s="556" t="str">
        <f>IF(VLOOKUP($E$42,[1]QUART!$A$2:$FA$300, 51, FALSE)="",":",VLOOKUP($E$42,[1]QUART!$A$2:$FA$300, 51, FALSE))</f>
        <v>:</v>
      </c>
      <c r="BA42" s="556" t="str">
        <f>IF(VLOOKUP($E$42,[1]QUART!$A$2:$FA$300, 52, FALSE)="",":",VLOOKUP($E$42,[1]QUART!$A$2:$FA$300, 52, FALSE))</f>
        <v>:</v>
      </c>
      <c r="BB42" s="556" t="str">
        <f>IF(VLOOKUP($E$42,[1]QUART!$A$2:$FA$300, 53, FALSE)="",":",VLOOKUP($E$42,[1]QUART!$A$2:$FA$300, 53, FALSE))</f>
        <v>:</v>
      </c>
      <c r="BC42" s="556" t="str">
        <f>IF(VLOOKUP($E$42,[1]QUART!$A$2:$FA$300, 54, FALSE)="",":",VLOOKUP($E$42,[1]QUART!$A$2:$FA$300, 54, FALSE))</f>
        <v>:</v>
      </c>
      <c r="BD42" s="556" t="str">
        <f>IF(VLOOKUP($E$42,[1]QUART!$A$2:$FA$300, 55, FALSE)="",":",VLOOKUP($E$42,[1]QUART!$A$2:$FA$300, 55, FALSE))</f>
        <v>:</v>
      </c>
      <c r="BE42" s="556" t="str">
        <f>IF(VLOOKUP($E$42,[1]QUART!$A$2:$FA$300, 56, FALSE)="",":",VLOOKUP($E$42,[1]QUART!$A$2:$FA$300, 56, FALSE))</f>
        <v>:</v>
      </c>
      <c r="BF42" s="556" t="str">
        <f>IF(VLOOKUP($E$42,[1]QUART!$A$2:$FA$300, 57, FALSE)="",":",VLOOKUP($E$42,[1]QUART!$A$2:$FA$300, 57, FALSE))</f>
        <v>:</v>
      </c>
      <c r="BG42" s="556" t="str">
        <f>IF(VLOOKUP($E$42,[1]QUART!$A$2:$FA$300, 58, FALSE)="",":",VLOOKUP($E$42,[1]QUART!$A$2:$FA$300, 58, FALSE))</f>
        <v>:</v>
      </c>
      <c r="BH42" s="556" t="str">
        <f>IF(VLOOKUP($E$42,[1]QUART!$A$2:$FA$300, 59, FALSE)="",":",VLOOKUP($E$42,[1]QUART!$A$2:$FA$300, 59, FALSE))</f>
        <v>:</v>
      </c>
      <c r="BI42" s="556" t="str">
        <f>IF(VLOOKUP($E$42,[1]QUART!$A$2:$FA$300, 60, FALSE)="",":",VLOOKUP($E$42,[1]QUART!$A$2:$FA$300, 60, FALSE))</f>
        <v>:</v>
      </c>
      <c r="BJ42" s="556" t="str">
        <f>IF(VLOOKUP($E$42,[1]QUART!$A$2:$FA$300, 61, FALSE)="",":",VLOOKUP($E$42,[1]QUART!$A$2:$FA$300, 61, FALSE))</f>
        <v>:</v>
      </c>
      <c r="BK42" s="556" t="str">
        <f>IF(VLOOKUP($E$42,[1]QUART!$A$2:$FA$300, 62, FALSE)="",":",VLOOKUP($E$42,[1]QUART!$A$2:$FA$300, 62, FALSE))</f>
        <v>:</v>
      </c>
      <c r="BL42" s="556" t="str">
        <f>IF(VLOOKUP($E$42,[1]QUART!$A$2:$FA$300, 63, FALSE)="",":",VLOOKUP($E$42,[1]QUART!$A$2:$FA$300, 63, FALSE))</f>
        <v>:</v>
      </c>
      <c r="BM42" s="556" t="str">
        <f>IF(VLOOKUP($E$42,[1]QUART!$A$2:$FA$300, 64, FALSE)="",":",VLOOKUP($E$42,[1]QUART!$A$2:$FA$300, 64, FALSE))</f>
        <v>:</v>
      </c>
      <c r="BN42" s="556" t="str">
        <f>IF(VLOOKUP($E$42,[1]QUART!$A$2:$FA$300, 65, FALSE)="",":",VLOOKUP($E$42,[1]QUART!$A$2:$FA$300, 65, FALSE))</f>
        <v>:</v>
      </c>
      <c r="BO42" s="556" t="str">
        <f>IF(VLOOKUP($E$42,[1]QUART!$A$2:$FA$300, 66, FALSE)="",":",VLOOKUP($E$42,[1]QUART!$A$2:$FA$300, 66, FALSE))</f>
        <v>:</v>
      </c>
      <c r="BP42" s="556" t="str">
        <f>IF(VLOOKUP($E$42,[1]QUART!$A$2:$FA$300, 67, FALSE)="",":",VLOOKUP($E$42,[1]QUART!$A$2:$FA$300, 67, FALSE))</f>
        <v>:</v>
      </c>
      <c r="BQ42" s="556" t="str">
        <f>IF(VLOOKUP($E$42,[1]QUART!$A$2:$FA$300, 68, FALSE)="",":",VLOOKUP($E$42,[1]QUART!$A$2:$FA$300, 68, FALSE))</f>
        <v>:</v>
      </c>
      <c r="BR42" s="556" t="str">
        <f>IF(VLOOKUP($E$42,[1]QUART!$A$2:$FA$300, 69, FALSE)="",":",VLOOKUP($E$42,[1]QUART!$A$2:$FA$300, 69, FALSE))</f>
        <v>:</v>
      </c>
      <c r="BS42" s="556" t="str">
        <f>IF(VLOOKUP($E$42,[1]QUART!$A$2:$FA$300, 70, FALSE)="",":",VLOOKUP($E$42,[1]QUART!$A$2:$FA$300, 70, FALSE))</f>
        <v>:</v>
      </c>
      <c r="BT42" s="556" t="str">
        <f>IF(VLOOKUP($E$42,[1]QUART!$A$2:$FA$300, 71, FALSE)="",":",VLOOKUP($E$42,[1]QUART!$A$2:$FA$300, 71, FALSE))</f>
        <v>:</v>
      </c>
      <c r="BU42" s="556" t="str">
        <f>IF(VLOOKUP($E$42,[1]QUART!$A$2:$FA$300, 72, FALSE)="",":",VLOOKUP($E$42,[1]QUART!$A$2:$FA$300, 72, FALSE))</f>
        <v>:</v>
      </c>
      <c r="BV42" s="556" t="str">
        <f>IF(VLOOKUP($E$42,[1]QUART!$A$2:$FA$300, 73, FALSE)="",":",VLOOKUP($E$42,[1]QUART!$A$2:$FA$300, 73, FALSE))</f>
        <v>:</v>
      </c>
      <c r="BW42" s="556" t="str">
        <f>IF(VLOOKUP($E$42,[1]QUART!$A$2:$FA$300, 74, FALSE)="",":",VLOOKUP($E$42,[1]QUART!$A$2:$FA$300, 74, FALSE))</f>
        <v>:</v>
      </c>
      <c r="BX42" s="556" t="str">
        <f>IF(VLOOKUP($E$42,[1]QUART!$A$2:$FA$300, 75, FALSE)="",":",VLOOKUP($E$42,[1]QUART!$A$2:$FA$300, 75, FALSE))</f>
        <v>:</v>
      </c>
      <c r="BY42" s="556" t="str">
        <f>IF(VLOOKUP($E$42,[1]QUART!$A$2:$FA$300, 76, FALSE)="",":",VLOOKUP($E$42,[1]QUART!$A$2:$FA$300, 76, FALSE))</f>
        <v>:</v>
      </c>
      <c r="BZ42" s="556" t="str">
        <f>IF(VLOOKUP($E$42,[1]QUART!$A$2:$FA$300, 77, FALSE)="",":",VLOOKUP($E$42,[1]QUART!$A$2:$FA$300, 77, FALSE))</f>
        <v>:</v>
      </c>
      <c r="CA42" s="556" t="str">
        <f>IF(VLOOKUP($E$42,[1]QUART!$A$2:$FA$300, 78, FALSE)="",":",VLOOKUP($E$42,[1]QUART!$A$2:$FA$300, 78, FALSE))</f>
        <v>:</v>
      </c>
      <c r="CB42" s="556" t="str">
        <f>IF(VLOOKUP($E$42,[1]QUART!$A$2:$FA$300, 79, FALSE)="",":",VLOOKUP($E$42,[1]QUART!$A$2:$FA$300, 79, FALSE))</f>
        <v>:</v>
      </c>
      <c r="CC42" s="556" t="str">
        <f>IF(VLOOKUP($E$42,[1]QUART!$A$2:$FA$300, 80, FALSE)="",":",VLOOKUP($E$42,[1]QUART!$A$2:$FA$300, 80, FALSE))</f>
        <v>:</v>
      </c>
      <c r="CD42" s="556" t="str">
        <f>IF(VLOOKUP($E$42,[1]QUART!$A$2:$FA$300, 81, FALSE)="",":",VLOOKUP($E$42,[1]QUART!$A$2:$FA$300, 81, FALSE))</f>
        <v>:</v>
      </c>
      <c r="CE42" s="556" t="str">
        <f>IF(VLOOKUP($E$42,[1]QUART!$A$2:$FA$300, 82, FALSE)="",":",VLOOKUP($E$42,[1]QUART!$A$2:$FA$300, 82, FALSE))</f>
        <v>:</v>
      </c>
      <c r="CF42" s="556" t="str">
        <f>IF(VLOOKUP($E$42,[1]QUART!$A$2:$FA$300, 83, FALSE)="",":",VLOOKUP($E$42,[1]QUART!$A$2:$FA$300, 83, FALSE))</f>
        <v>:</v>
      </c>
      <c r="CG42" s="556" t="str">
        <f>IF(VLOOKUP($E$42,[1]QUART!$A$2:$FA$300, 84, FALSE)="",":",VLOOKUP($E$42,[1]QUART!$A$2:$FA$300, 84, FALSE))</f>
        <v>:</v>
      </c>
      <c r="CH42" s="556" t="str">
        <f>IF(VLOOKUP($E$42,[1]QUART!$A$2:$FA$300, 85, FALSE)="",":",VLOOKUP($E$42,[1]QUART!$A$2:$FA$300, 85, FALSE))</f>
        <v>:</v>
      </c>
      <c r="CI42" s="556" t="str">
        <f>IF(VLOOKUP($E$42,[1]QUART!$A$2:$FA$300, 86, FALSE)="",":",VLOOKUP($E$42,[1]QUART!$A$2:$FA$300, 86, FALSE))</f>
        <v>:</v>
      </c>
      <c r="CJ42" s="556" t="str">
        <f>IF(VLOOKUP($E$42,[1]QUART!$A$2:$FA$300, 87, FALSE)="",":",VLOOKUP($E$42,[1]QUART!$A$2:$FA$300, 87, FALSE))</f>
        <v>:</v>
      </c>
      <c r="CK42" s="556" t="str">
        <f>IF(VLOOKUP($E$42,[1]QUART!$A$2:$FA$300, 88, FALSE)="",":",VLOOKUP($E$42,[1]QUART!$A$2:$FA$300, 88, FALSE))</f>
        <v>:</v>
      </c>
      <c r="CL42" s="556" t="str">
        <f>IF(VLOOKUP($E$42,[1]QUART!$A$2:$FA$300, 89, FALSE)="",":",VLOOKUP($E$42,[1]QUART!$A$2:$FA$300, 89, FALSE))</f>
        <v>:</v>
      </c>
      <c r="CM42" s="556" t="str">
        <f>IF(VLOOKUP($E$42,[1]QUART!$A$2:$FA$300, 90, FALSE)="",":",VLOOKUP($E$42,[1]QUART!$A$2:$FA$300, 90, FALSE))</f>
        <v>:</v>
      </c>
      <c r="CN42" s="556" t="str">
        <f>IF(VLOOKUP($E$42,[1]QUART!$A$2:$FA$300, 91, FALSE)="",":",VLOOKUP($E$42,[1]QUART!$A$2:$FA$300, 91, FALSE))</f>
        <v>:</v>
      </c>
      <c r="CO42" s="556" t="str">
        <f>IF(VLOOKUP($E$42,[1]QUART!$A$2:$FA$300, 92, FALSE)="",":",VLOOKUP($E$42,[1]QUART!$A$2:$FA$300, 92, FALSE))</f>
        <v>:</v>
      </c>
      <c r="CP42" s="556" t="str">
        <f>IF(VLOOKUP($E$42,[1]QUART!$A$2:$FA$300, 93, FALSE)="",":",VLOOKUP($E$42,[1]QUART!$A$2:$FA$300, 93, FALSE))</f>
        <v>:</v>
      </c>
      <c r="CQ42" s="556" t="str">
        <f>IF(VLOOKUP($E$42,[1]QUART!$A$2:$FA$300, 94, FALSE)="",":",VLOOKUP($E$42,[1]QUART!$A$2:$FA$300, 94, FALSE))</f>
        <v>:</v>
      </c>
      <c r="CR42" s="556" t="str">
        <f>IF(VLOOKUP($E$42,[1]QUART!$A$2:$FA$300, 95, FALSE)="",":",VLOOKUP($E$42,[1]QUART!$A$2:$FA$300, 95, FALSE))</f>
        <v>:</v>
      </c>
      <c r="CS42" s="556" t="str">
        <f>IF(VLOOKUP($E$42,[1]QUART!$A$2:$FA$300, 96, FALSE)="",":",VLOOKUP($E$42,[1]QUART!$A$2:$FA$300, 96, FALSE))</f>
        <v>:</v>
      </c>
      <c r="CT42" s="556" t="str">
        <f>IF(VLOOKUP($E$42,[1]QUART!$A$2:$FA$300, 97, FALSE)="",":",VLOOKUP($E$42,[1]QUART!$A$2:$FA$300, 97, FALSE))</f>
        <v>:</v>
      </c>
      <c r="CU42" s="556" t="str">
        <f>IF(VLOOKUP($E$42,[1]QUART!$A$2:$FA$300, 98, FALSE)="",":",VLOOKUP($E$42,[1]QUART!$A$2:$FA$300, 98, FALSE))</f>
        <v>:</v>
      </c>
      <c r="CV42" s="556" t="str">
        <f>IF(VLOOKUP($E$42,[1]QUART!$A$2:$FA$300, 99, FALSE)="",":",VLOOKUP($E$42,[1]QUART!$A$2:$FA$300, 99, FALSE))</f>
        <v>:</v>
      </c>
      <c r="CW42" s="556" t="str">
        <f>IF(VLOOKUP($E$42,[1]QUART!$A$2:$FA$300, 100, FALSE)="",":",VLOOKUP($E$42,[1]QUART!$A$2:$FA$300, 100, FALSE))</f>
        <v>:</v>
      </c>
      <c r="CX42" s="556" t="str">
        <f>IF(VLOOKUP($E$42,[1]QUART!$A$2:$FA$300, 101, FALSE)="",":",VLOOKUP($E$42,[1]QUART!$A$2:$FA$300, 101, FALSE))</f>
        <v>:</v>
      </c>
      <c r="CY42" s="556" t="str">
        <f>IF(VLOOKUP($E$42,[1]QUART!$A$2:$FA$300, 102, FALSE)="",":",VLOOKUP($E$42,[1]QUART!$A$2:$FA$300, 102, FALSE))</f>
        <v>:</v>
      </c>
      <c r="CZ42" s="556" t="str">
        <f>IF(VLOOKUP($E$42,[1]QUART!$A$2:$FA$300, 103, FALSE)="",":",VLOOKUP($E$42,[1]QUART!$A$2:$FA$300, 103, FALSE))</f>
        <v>:</v>
      </c>
      <c r="DA42" s="556" t="str">
        <f>IF(VLOOKUP($E$42,[1]QUART!$A$2:$FA$300, 104, FALSE)="",":",VLOOKUP($E$42,[1]QUART!$A$2:$FA$300, 104, FALSE))</f>
        <v>:</v>
      </c>
      <c r="DB42" s="556" t="str">
        <f>IF(VLOOKUP($E$42,[1]QUART!$A$2:$FA$300, 105, FALSE)="",":",VLOOKUP($E$42,[1]QUART!$A$2:$FA$300, 105, FALSE))</f>
        <v>:</v>
      </c>
      <c r="DC42" s="556" t="str">
        <f>IF(VLOOKUP($E$42,[1]QUART!$A$2:$FA$300, 106, FALSE)="",":",VLOOKUP($E$42,[1]QUART!$A$2:$FA$300, 106, FALSE))</f>
        <v>:</v>
      </c>
    </row>
    <row r="43" spans="1:107">
      <c r="A43" s="546"/>
      <c r="B43" s="546"/>
      <c r="C43" s="547"/>
      <c r="D43" s="12" t="s">
        <v>363</v>
      </c>
      <c r="E43" s="13">
        <v>109</v>
      </c>
      <c r="F43" s="14" t="str">
        <f>VLOOKUP($E$43,[1]QUART!$A$2:$FA$300, 3, FALSE)</f>
        <v>109 GFCF equipment</v>
      </c>
      <c r="G43" s="556" t="str">
        <f>IF(VLOOKUP($E$43,[1]QUART!$A$2:$FA$300, 6, FALSE)="",":",VLOOKUP($E$43,[1]QUART!$A$2:$FA$300, 6, FALSE))</f>
        <v>:</v>
      </c>
      <c r="H43" s="556" t="str">
        <f>IF(VLOOKUP($E$43,[1]QUART!$A$2:$FA$300, 7, FALSE)="",":",VLOOKUP($E$43,[1]QUART!$A$2:$FA$300, 7, FALSE))</f>
        <v>:</v>
      </c>
      <c r="I43" s="556" t="str">
        <f>IF(VLOOKUP($E$43,[1]QUART!$A$2:$FA$300, 8, FALSE)="",":",VLOOKUP($E$43,[1]QUART!$A$2:$FA$300, 8, FALSE))</f>
        <v>:</v>
      </c>
      <c r="J43" s="556" t="str">
        <f>IF(VLOOKUP($E$43,[1]QUART!$A$2:$FA$300, 9, FALSE)="",":",VLOOKUP($E$43,[1]QUART!$A$2:$FA$300, 9, FALSE))</f>
        <v>:</v>
      </c>
      <c r="K43" s="556" t="str">
        <f>IF(VLOOKUP($E$43,[1]QUART!$A$2:$FA$300, 10, FALSE)="",":",VLOOKUP($E$43,[1]QUART!$A$2:$FA$300, 10, FALSE))</f>
        <v>:</v>
      </c>
      <c r="L43" s="556" t="str">
        <f>IF(VLOOKUP($E$43,[1]QUART!$A$2:$FA$300, 11, FALSE)="",":",VLOOKUP($E$43,[1]QUART!$A$2:$FA$300, 11, FALSE))</f>
        <v>:</v>
      </c>
      <c r="M43" s="556" t="str">
        <f>IF(VLOOKUP($E$43,[1]QUART!$A$2:$FA$300, 12, FALSE)="",":",VLOOKUP($E$43,[1]QUART!$A$2:$FA$300, 12, FALSE))</f>
        <v>:</v>
      </c>
      <c r="N43" s="556" t="str">
        <f>IF(VLOOKUP($E$43,[1]QUART!$A$2:$FA$300, 13, FALSE)="",":",VLOOKUP($E$43,[1]QUART!$A$2:$FA$300, 13, FALSE))</f>
        <v>:</v>
      </c>
      <c r="O43" s="556" t="str">
        <f>IF(VLOOKUP($E$43,[1]QUART!$A$2:$FA$300, 14, FALSE)="",":",VLOOKUP($E$43,[1]QUART!$A$2:$FA$300, 14, FALSE))</f>
        <v>:</v>
      </c>
      <c r="P43" s="556" t="str">
        <f>IF(VLOOKUP($E$43,[1]QUART!$A$2:$FA$300, 15, FALSE)="",":",VLOOKUP($E$43,[1]QUART!$A$2:$FA$300, 15, FALSE))</f>
        <v>:</v>
      </c>
      <c r="Q43" s="556" t="str">
        <f>IF(VLOOKUP($E$43,[1]QUART!$A$2:$FA$300, 16, FALSE)="",":",VLOOKUP($E$43,[1]QUART!$A$2:$FA$300, 16, FALSE))</f>
        <v>:</v>
      </c>
      <c r="R43" s="556" t="str">
        <f>IF(VLOOKUP($E$43,[1]QUART!$A$2:$FA$300, 17, FALSE)="",":",VLOOKUP($E$43,[1]QUART!$A$2:$FA$300, 17, FALSE))</f>
        <v>:</v>
      </c>
      <c r="S43" s="556" t="str">
        <f>IF(VLOOKUP($E$43,[1]QUART!$A$2:$FA$300, 18, FALSE)="",":",VLOOKUP($E$43,[1]QUART!$A$2:$FA$300, 18, FALSE))</f>
        <v>:</v>
      </c>
      <c r="T43" s="556" t="str">
        <f>IF(VLOOKUP($E$43,[1]QUART!$A$2:$FA$300, 19, FALSE)="",":",VLOOKUP($E$43,[1]QUART!$A$2:$FA$300, 19, FALSE))</f>
        <v>:</v>
      </c>
      <c r="U43" s="556" t="str">
        <f>IF(VLOOKUP($E$43,[1]QUART!$A$2:$FA$300, 20, FALSE)="",":",VLOOKUP($E$43,[1]QUART!$A$2:$FA$300, 20, FALSE))</f>
        <v>:</v>
      </c>
      <c r="V43" s="556" t="str">
        <f>IF(VLOOKUP($E$43,[1]QUART!$A$2:$FA$300, 21, FALSE)="",":",VLOOKUP($E$43,[1]QUART!$A$2:$FA$300, 21, FALSE))</f>
        <v>:</v>
      </c>
      <c r="W43" s="556" t="str">
        <f>IF(VLOOKUP($E$43,[1]QUART!$A$2:$FA$300, 22, FALSE)="",":",VLOOKUP($E$43,[1]QUART!$A$2:$FA$300, 22, FALSE))</f>
        <v>:</v>
      </c>
      <c r="X43" s="556" t="str">
        <f>IF(VLOOKUP($E$43,[1]QUART!$A$2:$FA$300, 23, FALSE)="",":",VLOOKUP($E$43,[1]QUART!$A$2:$FA$300, 23, FALSE))</f>
        <v>:</v>
      </c>
      <c r="Y43" s="556" t="str">
        <f>IF(VLOOKUP($E$43,[1]QUART!$A$2:$FA$300, 24, FALSE)="",":",VLOOKUP($E$43,[1]QUART!$A$2:$FA$300, 24, FALSE))</f>
        <v>:</v>
      </c>
      <c r="Z43" s="556" t="str">
        <f>IF(VLOOKUP($E$43,[1]QUART!$A$2:$FA$300, 25, FALSE)="",":",VLOOKUP($E$43,[1]QUART!$A$2:$FA$300, 25, FALSE))</f>
        <v>:</v>
      </c>
      <c r="AA43" s="556" t="str">
        <f>IF(VLOOKUP($E$43,[1]QUART!$A$2:$FA$300, 26, FALSE)="",":",VLOOKUP($E$43,[1]QUART!$A$2:$FA$300, 26, FALSE))</f>
        <v>:</v>
      </c>
      <c r="AB43" s="556" t="str">
        <f>IF(VLOOKUP($E$43,[1]QUART!$A$2:$FA$300, 27, FALSE)="",":",VLOOKUP($E$43,[1]QUART!$A$2:$FA$300, 27, FALSE))</f>
        <v>:</v>
      </c>
      <c r="AC43" s="556" t="str">
        <f>IF(VLOOKUP($E$43,[1]QUART!$A$2:$FA$300, 28, FALSE)="",":",VLOOKUP($E$43,[1]QUART!$A$2:$FA$300, 28, FALSE))</f>
        <v>:</v>
      </c>
      <c r="AD43" s="556" t="str">
        <f>IF(VLOOKUP($E$43,[1]QUART!$A$2:$FA$300, 29, FALSE)="",":",VLOOKUP($E$43,[1]QUART!$A$2:$FA$300, 29, FALSE))</f>
        <v>:</v>
      </c>
      <c r="AE43" s="556" t="str">
        <f>IF(VLOOKUP($E$43,[1]QUART!$A$2:$FA$300, 30, FALSE)="",":",VLOOKUP($E$43,[1]QUART!$A$2:$FA$300, 30, FALSE))</f>
        <v>:</v>
      </c>
      <c r="AF43" s="556" t="str">
        <f>IF(VLOOKUP($E$43,[1]QUART!$A$2:$FA$300, 31, FALSE)="",":",VLOOKUP($E$43,[1]QUART!$A$2:$FA$300, 31, FALSE))</f>
        <v>:</v>
      </c>
      <c r="AG43" s="556" t="str">
        <f>IF(VLOOKUP($E$43,[1]QUART!$A$2:$FA$300, 32, FALSE)="",":",VLOOKUP($E$43,[1]QUART!$A$2:$FA$300, 32, FALSE))</f>
        <v>:</v>
      </c>
      <c r="AH43" s="556" t="str">
        <f>IF(VLOOKUP($E$43,[1]QUART!$A$2:$FA$300, 33, FALSE)="",":",VLOOKUP($E$43,[1]QUART!$A$2:$FA$300, 33, FALSE))</f>
        <v>:</v>
      </c>
      <c r="AI43" s="556" t="str">
        <f>IF(VLOOKUP($E$43,[1]QUART!$A$2:$FA$300, 34, FALSE)="",":",VLOOKUP($E$43,[1]QUART!$A$2:$FA$300, 34, FALSE))</f>
        <v>:</v>
      </c>
      <c r="AJ43" s="556" t="str">
        <f>IF(VLOOKUP($E$43,[1]QUART!$A$2:$FA$300, 35, FALSE)="",":",VLOOKUP($E$43,[1]QUART!$A$2:$FA$300, 35, FALSE))</f>
        <v>:</v>
      </c>
      <c r="AK43" s="556" t="str">
        <f>IF(VLOOKUP($E$43,[1]QUART!$A$2:$FA$300, 36, FALSE)="",":",VLOOKUP($E$43,[1]QUART!$A$2:$FA$300, 36, FALSE))</f>
        <v>:</v>
      </c>
      <c r="AL43" s="556" t="str">
        <f>IF(VLOOKUP($E$43,[1]QUART!$A$2:$FA$300, 37, FALSE)="",":",VLOOKUP($E$43,[1]QUART!$A$2:$FA$300, 37, FALSE))</f>
        <v>:</v>
      </c>
      <c r="AM43" s="556" t="str">
        <f>IF(VLOOKUP($E$43,[1]QUART!$A$2:$FA$300, 38, FALSE)="",":",VLOOKUP($E$43,[1]QUART!$A$2:$FA$300, 38, FALSE))</f>
        <v>:</v>
      </c>
      <c r="AN43" s="556" t="str">
        <f>IF(VLOOKUP($E$43,[1]QUART!$A$2:$FA$300, 39, FALSE)="",":",VLOOKUP($E$43,[1]QUART!$A$2:$FA$300, 39, FALSE))</f>
        <v>:</v>
      </c>
      <c r="AO43" s="556" t="str">
        <f>IF(VLOOKUP($E$43,[1]QUART!$A$2:$FA$300, 40, FALSE)="",":",VLOOKUP($E$43,[1]QUART!$A$2:$FA$300, 40, FALSE))</f>
        <v>:</v>
      </c>
      <c r="AP43" s="556" t="str">
        <f>IF(VLOOKUP($E$43,[1]QUART!$A$2:$FA$300, 41, FALSE)="",":",VLOOKUP($E$43,[1]QUART!$A$2:$FA$300, 41, FALSE))</f>
        <v>:</v>
      </c>
      <c r="AQ43" s="556" t="str">
        <f>IF(VLOOKUP($E$43,[1]QUART!$A$2:$FA$300, 42, FALSE)="",":",VLOOKUP($E$43,[1]QUART!$A$2:$FA$300, 42, FALSE))</f>
        <v>:</v>
      </c>
      <c r="AR43" s="556" t="str">
        <f>IF(VLOOKUP($E$43,[1]QUART!$A$2:$FA$300, 43, FALSE)="",":",VLOOKUP($E$43,[1]QUART!$A$2:$FA$300, 43, FALSE))</f>
        <v>:</v>
      </c>
      <c r="AS43" s="556" t="str">
        <f>IF(VLOOKUP($E$43,[1]QUART!$A$2:$FA$300, 44, FALSE)="",":",VLOOKUP($E$43,[1]QUART!$A$2:$FA$300, 44, FALSE))</f>
        <v>:</v>
      </c>
      <c r="AT43" s="556" t="str">
        <f>IF(VLOOKUP($E$43,[1]QUART!$A$2:$FA$300, 45, FALSE)="",":",VLOOKUP($E$43,[1]QUART!$A$2:$FA$300, 45, FALSE))</f>
        <v>:</v>
      </c>
      <c r="AU43" s="556" t="str">
        <f>IF(VLOOKUP($E$43,[1]QUART!$A$2:$FA$300, 46, FALSE)="",":",VLOOKUP($E$43,[1]QUART!$A$2:$FA$300, 46, FALSE))</f>
        <v>:</v>
      </c>
      <c r="AV43" s="556" t="str">
        <f>IF(VLOOKUP($E$43,[1]QUART!$A$2:$FA$300, 47, FALSE)="",":",VLOOKUP($E$43,[1]QUART!$A$2:$FA$300, 47, FALSE))</f>
        <v>:</v>
      </c>
      <c r="AW43" s="556" t="str">
        <f>IF(VLOOKUP($E$43,[1]QUART!$A$2:$FA$300, 48, FALSE)="",":",VLOOKUP($E$43,[1]QUART!$A$2:$FA$300, 48, FALSE))</f>
        <v>:</v>
      </c>
      <c r="AX43" s="556" t="str">
        <f>IF(VLOOKUP($E$43,[1]QUART!$A$2:$FA$300, 49, FALSE)="",":",VLOOKUP($E$43,[1]QUART!$A$2:$FA$300, 49, FALSE))</f>
        <v>:</v>
      </c>
      <c r="AY43" s="556" t="str">
        <f>IF(VLOOKUP($E$43,[1]QUART!$A$2:$FA$300, 50, FALSE)="",":",VLOOKUP($E$43,[1]QUART!$A$2:$FA$300, 50, FALSE))</f>
        <v>:</v>
      </c>
      <c r="AZ43" s="556" t="str">
        <f>IF(VLOOKUP($E$43,[1]QUART!$A$2:$FA$300, 51, FALSE)="",":",VLOOKUP($E$43,[1]QUART!$A$2:$FA$300, 51, FALSE))</f>
        <v>:</v>
      </c>
      <c r="BA43" s="556" t="str">
        <f>IF(VLOOKUP($E$43,[1]QUART!$A$2:$FA$300, 52, FALSE)="",":",VLOOKUP($E$43,[1]QUART!$A$2:$FA$300, 52, FALSE))</f>
        <v>:</v>
      </c>
      <c r="BB43" s="556" t="str">
        <f>IF(VLOOKUP($E$43,[1]QUART!$A$2:$FA$300, 53, FALSE)="",":",VLOOKUP($E$43,[1]QUART!$A$2:$FA$300, 53, FALSE))</f>
        <v>:</v>
      </c>
      <c r="BC43" s="556" t="str">
        <f>IF(VLOOKUP($E$43,[1]QUART!$A$2:$FA$300, 54, FALSE)="",":",VLOOKUP($E$43,[1]QUART!$A$2:$FA$300, 54, FALSE))</f>
        <v>:</v>
      </c>
      <c r="BD43" s="556" t="str">
        <f>IF(VLOOKUP($E$43,[1]QUART!$A$2:$FA$300, 55, FALSE)="",":",VLOOKUP($E$43,[1]QUART!$A$2:$FA$300, 55, FALSE))</f>
        <v>:</v>
      </c>
      <c r="BE43" s="556" t="str">
        <f>IF(VLOOKUP($E$43,[1]QUART!$A$2:$FA$300, 56, FALSE)="",":",VLOOKUP($E$43,[1]QUART!$A$2:$FA$300, 56, FALSE))</f>
        <v>:</v>
      </c>
      <c r="BF43" s="556" t="str">
        <f>IF(VLOOKUP($E$43,[1]QUART!$A$2:$FA$300, 57, FALSE)="",":",VLOOKUP($E$43,[1]QUART!$A$2:$FA$300, 57, FALSE))</f>
        <v>:</v>
      </c>
      <c r="BG43" s="556" t="str">
        <f>IF(VLOOKUP($E$43,[1]QUART!$A$2:$FA$300, 58, FALSE)="",":",VLOOKUP($E$43,[1]QUART!$A$2:$FA$300, 58, FALSE))</f>
        <v>:</v>
      </c>
      <c r="BH43" s="556" t="str">
        <f>IF(VLOOKUP($E$43,[1]QUART!$A$2:$FA$300, 59, FALSE)="",":",VLOOKUP($E$43,[1]QUART!$A$2:$FA$300, 59, FALSE))</f>
        <v>:</v>
      </c>
      <c r="BI43" s="556" t="str">
        <f>IF(VLOOKUP($E$43,[1]QUART!$A$2:$FA$300, 60, FALSE)="",":",VLOOKUP($E$43,[1]QUART!$A$2:$FA$300, 60, FALSE))</f>
        <v>:</v>
      </c>
      <c r="BJ43" s="556" t="str">
        <f>IF(VLOOKUP($E$43,[1]QUART!$A$2:$FA$300, 61, FALSE)="",":",VLOOKUP($E$43,[1]QUART!$A$2:$FA$300, 61, FALSE))</f>
        <v>:</v>
      </c>
      <c r="BK43" s="556" t="str">
        <f>IF(VLOOKUP($E$43,[1]QUART!$A$2:$FA$300, 62, FALSE)="",":",VLOOKUP($E$43,[1]QUART!$A$2:$FA$300, 62, FALSE))</f>
        <v>:</v>
      </c>
      <c r="BL43" s="556" t="str">
        <f>IF(VLOOKUP($E$43,[1]QUART!$A$2:$FA$300, 63, FALSE)="",":",VLOOKUP($E$43,[1]QUART!$A$2:$FA$300, 63, FALSE))</f>
        <v>:</v>
      </c>
      <c r="BM43" s="556" t="str">
        <f>IF(VLOOKUP($E$43,[1]QUART!$A$2:$FA$300, 64, FALSE)="",":",VLOOKUP($E$43,[1]QUART!$A$2:$FA$300, 64, FALSE))</f>
        <v>:</v>
      </c>
      <c r="BN43" s="556" t="str">
        <f>IF(VLOOKUP($E$43,[1]QUART!$A$2:$FA$300, 65, FALSE)="",":",VLOOKUP($E$43,[1]QUART!$A$2:$FA$300, 65, FALSE))</f>
        <v>:</v>
      </c>
      <c r="BO43" s="556" t="str">
        <f>IF(VLOOKUP($E$43,[1]QUART!$A$2:$FA$300, 66, FALSE)="",":",VLOOKUP($E$43,[1]QUART!$A$2:$FA$300, 66, FALSE))</f>
        <v>:</v>
      </c>
      <c r="BP43" s="556" t="str">
        <f>IF(VLOOKUP($E$43,[1]QUART!$A$2:$FA$300, 67, FALSE)="",":",VLOOKUP($E$43,[1]QUART!$A$2:$FA$300, 67, FALSE))</f>
        <v>:</v>
      </c>
      <c r="BQ43" s="556" t="str">
        <f>IF(VLOOKUP($E$43,[1]QUART!$A$2:$FA$300, 68, FALSE)="",":",VLOOKUP($E$43,[1]QUART!$A$2:$FA$300, 68, FALSE))</f>
        <v>:</v>
      </c>
      <c r="BR43" s="556" t="str">
        <f>IF(VLOOKUP($E$43,[1]QUART!$A$2:$FA$300, 69, FALSE)="",":",VLOOKUP($E$43,[1]QUART!$A$2:$FA$300, 69, FALSE))</f>
        <v>:</v>
      </c>
      <c r="BS43" s="556" t="str">
        <f>IF(VLOOKUP($E$43,[1]QUART!$A$2:$FA$300, 70, FALSE)="",":",VLOOKUP($E$43,[1]QUART!$A$2:$FA$300, 70, FALSE))</f>
        <v>:</v>
      </c>
      <c r="BT43" s="556" t="str">
        <f>IF(VLOOKUP($E$43,[1]QUART!$A$2:$FA$300, 71, FALSE)="",":",VLOOKUP($E$43,[1]QUART!$A$2:$FA$300, 71, FALSE))</f>
        <v>:</v>
      </c>
      <c r="BU43" s="556" t="str">
        <f>IF(VLOOKUP($E$43,[1]QUART!$A$2:$FA$300, 72, FALSE)="",":",VLOOKUP($E$43,[1]QUART!$A$2:$FA$300, 72, FALSE))</f>
        <v>:</v>
      </c>
      <c r="BV43" s="556" t="str">
        <f>IF(VLOOKUP($E$43,[1]QUART!$A$2:$FA$300, 73, FALSE)="",":",VLOOKUP($E$43,[1]QUART!$A$2:$FA$300, 73, FALSE))</f>
        <v>:</v>
      </c>
      <c r="BW43" s="556" t="str">
        <f>IF(VLOOKUP($E$43,[1]QUART!$A$2:$FA$300, 74, FALSE)="",":",VLOOKUP($E$43,[1]QUART!$A$2:$FA$300, 74, FALSE))</f>
        <v>:</v>
      </c>
      <c r="BX43" s="556" t="str">
        <f>IF(VLOOKUP($E$43,[1]QUART!$A$2:$FA$300, 75, FALSE)="",":",VLOOKUP($E$43,[1]QUART!$A$2:$FA$300, 75, FALSE))</f>
        <v>:</v>
      </c>
      <c r="BY43" s="556" t="str">
        <f>IF(VLOOKUP($E$43,[1]QUART!$A$2:$FA$300, 76, FALSE)="",":",VLOOKUP($E$43,[1]QUART!$A$2:$FA$300, 76, FALSE))</f>
        <v>:</v>
      </c>
      <c r="BZ43" s="556" t="str">
        <f>IF(VLOOKUP($E$43,[1]QUART!$A$2:$FA$300, 77, FALSE)="",":",VLOOKUP($E$43,[1]QUART!$A$2:$FA$300, 77, FALSE))</f>
        <v>:</v>
      </c>
      <c r="CA43" s="556" t="str">
        <f>IF(VLOOKUP($E$43,[1]QUART!$A$2:$FA$300, 78, FALSE)="",":",VLOOKUP($E$43,[1]QUART!$A$2:$FA$300, 78, FALSE))</f>
        <v>:</v>
      </c>
      <c r="CB43" s="556" t="str">
        <f>IF(VLOOKUP($E$43,[1]QUART!$A$2:$FA$300, 79, FALSE)="",":",VLOOKUP($E$43,[1]QUART!$A$2:$FA$300, 79, FALSE))</f>
        <v>:</v>
      </c>
      <c r="CC43" s="556" t="str">
        <f>IF(VLOOKUP($E$43,[1]QUART!$A$2:$FA$300, 80, FALSE)="",":",VLOOKUP($E$43,[1]QUART!$A$2:$FA$300, 80, FALSE))</f>
        <v>:</v>
      </c>
      <c r="CD43" s="556" t="str">
        <f>IF(VLOOKUP($E$43,[1]QUART!$A$2:$FA$300, 81, FALSE)="",":",VLOOKUP($E$43,[1]QUART!$A$2:$FA$300, 81, FALSE))</f>
        <v>:</v>
      </c>
      <c r="CE43" s="556" t="str">
        <f>IF(VLOOKUP($E$43,[1]QUART!$A$2:$FA$300, 82, FALSE)="",":",VLOOKUP($E$43,[1]QUART!$A$2:$FA$300, 82, FALSE))</f>
        <v>:</v>
      </c>
      <c r="CF43" s="556" t="str">
        <f>IF(VLOOKUP($E$43,[1]QUART!$A$2:$FA$300, 83, FALSE)="",":",VLOOKUP($E$43,[1]QUART!$A$2:$FA$300, 83, FALSE))</f>
        <v>:</v>
      </c>
      <c r="CG43" s="556" t="str">
        <f>IF(VLOOKUP($E$43,[1]QUART!$A$2:$FA$300, 84, FALSE)="",":",VLOOKUP($E$43,[1]QUART!$A$2:$FA$300, 84, FALSE))</f>
        <v>:</v>
      </c>
      <c r="CH43" s="556" t="str">
        <f>IF(VLOOKUP($E$43,[1]QUART!$A$2:$FA$300, 85, FALSE)="",":",VLOOKUP($E$43,[1]QUART!$A$2:$FA$300, 85, FALSE))</f>
        <v>:</v>
      </c>
      <c r="CI43" s="556" t="str">
        <f>IF(VLOOKUP($E$43,[1]QUART!$A$2:$FA$300, 86, FALSE)="",":",VLOOKUP($E$43,[1]QUART!$A$2:$FA$300, 86, FALSE))</f>
        <v>:</v>
      </c>
      <c r="CJ43" s="556" t="str">
        <f>IF(VLOOKUP($E$43,[1]QUART!$A$2:$FA$300, 87, FALSE)="",":",VLOOKUP($E$43,[1]QUART!$A$2:$FA$300, 87, FALSE))</f>
        <v>:</v>
      </c>
      <c r="CK43" s="556" t="str">
        <f>IF(VLOOKUP($E$43,[1]QUART!$A$2:$FA$300, 88, FALSE)="",":",VLOOKUP($E$43,[1]QUART!$A$2:$FA$300, 88, FALSE))</f>
        <v>:</v>
      </c>
      <c r="CL43" s="556" t="str">
        <f>IF(VLOOKUP($E$43,[1]QUART!$A$2:$FA$300, 89, FALSE)="",":",VLOOKUP($E$43,[1]QUART!$A$2:$FA$300, 89, FALSE))</f>
        <v>:</v>
      </c>
      <c r="CM43" s="556" t="str">
        <f>IF(VLOOKUP($E$43,[1]QUART!$A$2:$FA$300, 90, FALSE)="",":",VLOOKUP($E$43,[1]QUART!$A$2:$FA$300, 90, FALSE))</f>
        <v>:</v>
      </c>
      <c r="CN43" s="556" t="str">
        <f>IF(VLOOKUP($E$43,[1]QUART!$A$2:$FA$300, 91, FALSE)="",":",VLOOKUP($E$43,[1]QUART!$A$2:$FA$300, 91, FALSE))</f>
        <v>:</v>
      </c>
      <c r="CO43" s="556" t="str">
        <f>IF(VLOOKUP($E$43,[1]QUART!$A$2:$FA$300, 92, FALSE)="",":",VLOOKUP($E$43,[1]QUART!$A$2:$FA$300, 92, FALSE))</f>
        <v>:</v>
      </c>
      <c r="CP43" s="556" t="str">
        <f>IF(VLOOKUP($E$43,[1]QUART!$A$2:$FA$300, 93, FALSE)="",":",VLOOKUP($E$43,[1]QUART!$A$2:$FA$300, 93, FALSE))</f>
        <v>:</v>
      </c>
      <c r="CQ43" s="556" t="str">
        <f>IF(VLOOKUP($E$43,[1]QUART!$A$2:$FA$300, 94, FALSE)="",":",VLOOKUP($E$43,[1]QUART!$A$2:$FA$300, 94, FALSE))</f>
        <v>:</v>
      </c>
      <c r="CR43" s="556" t="str">
        <f>IF(VLOOKUP($E$43,[1]QUART!$A$2:$FA$300, 95, FALSE)="",":",VLOOKUP($E$43,[1]QUART!$A$2:$FA$300, 95, FALSE))</f>
        <v>:</v>
      </c>
      <c r="CS43" s="556" t="str">
        <f>IF(VLOOKUP($E$43,[1]QUART!$A$2:$FA$300, 96, FALSE)="",":",VLOOKUP($E$43,[1]QUART!$A$2:$FA$300, 96, FALSE))</f>
        <v>:</v>
      </c>
      <c r="CT43" s="556" t="str">
        <f>IF(VLOOKUP($E$43,[1]QUART!$A$2:$FA$300, 97, FALSE)="",":",VLOOKUP($E$43,[1]QUART!$A$2:$FA$300, 97, FALSE))</f>
        <v>:</v>
      </c>
      <c r="CU43" s="556" t="str">
        <f>IF(VLOOKUP($E$43,[1]QUART!$A$2:$FA$300, 98, FALSE)="",":",VLOOKUP($E$43,[1]QUART!$A$2:$FA$300, 98, FALSE))</f>
        <v>:</v>
      </c>
      <c r="CV43" s="556" t="str">
        <f>IF(VLOOKUP($E$43,[1]QUART!$A$2:$FA$300, 99, FALSE)="",":",VLOOKUP($E$43,[1]QUART!$A$2:$FA$300, 99, FALSE))</f>
        <v>:</v>
      </c>
      <c r="CW43" s="556" t="str">
        <f>IF(VLOOKUP($E$43,[1]QUART!$A$2:$FA$300, 100, FALSE)="",":",VLOOKUP($E$43,[1]QUART!$A$2:$FA$300, 100, FALSE))</f>
        <v>:</v>
      </c>
      <c r="CX43" s="556" t="str">
        <f>IF(VLOOKUP($E$43,[1]QUART!$A$2:$FA$300, 101, FALSE)="",":",VLOOKUP($E$43,[1]QUART!$A$2:$FA$300, 101, FALSE))</f>
        <v>:</v>
      </c>
      <c r="CY43" s="556" t="str">
        <f>IF(VLOOKUP($E$43,[1]QUART!$A$2:$FA$300, 102, FALSE)="",":",VLOOKUP($E$43,[1]QUART!$A$2:$FA$300, 102, FALSE))</f>
        <v>:</v>
      </c>
      <c r="CZ43" s="556" t="str">
        <f>IF(VLOOKUP($E$43,[1]QUART!$A$2:$FA$300, 103, FALSE)="",":",VLOOKUP($E$43,[1]QUART!$A$2:$FA$300, 103, FALSE))</f>
        <v>:</v>
      </c>
      <c r="DA43" s="556" t="str">
        <f>IF(VLOOKUP($E$43,[1]QUART!$A$2:$FA$300, 104, FALSE)="",":",VLOOKUP($E$43,[1]QUART!$A$2:$FA$300, 104, FALSE))</f>
        <v>:</v>
      </c>
      <c r="DB43" s="556" t="str">
        <f>IF(VLOOKUP($E$43,[1]QUART!$A$2:$FA$300, 105, FALSE)="",":",VLOOKUP($E$43,[1]QUART!$A$2:$FA$300, 105, FALSE))</f>
        <v>:</v>
      </c>
      <c r="DC43" s="556" t="str">
        <f>IF(VLOOKUP($E$43,[1]QUART!$A$2:$FA$300, 106, FALSE)="",":",VLOOKUP($E$43,[1]QUART!$A$2:$FA$300, 106, FALSE))</f>
        <v>:</v>
      </c>
    </row>
    <row r="44" spans="1:107">
      <c r="A44" s="546"/>
      <c r="B44" s="546"/>
      <c r="C44" s="547"/>
      <c r="D44" s="12" t="s">
        <v>363</v>
      </c>
      <c r="E44" s="13">
        <v>110</v>
      </c>
      <c r="F44" s="14" t="str">
        <f>VLOOKUP($E$44,[1]QUART!$A$2:$FA$300, 3, FALSE)</f>
        <v>110 GFCF construction</v>
      </c>
      <c r="G44" s="556" t="str">
        <f>IF(VLOOKUP($E$44,[1]QUART!$A$2:$FA$300, 6, FALSE)="",":",VLOOKUP($E$44,[1]QUART!$A$2:$FA$300, 6, FALSE))</f>
        <v>:</v>
      </c>
      <c r="H44" s="556" t="str">
        <f>IF(VLOOKUP($E$44,[1]QUART!$A$2:$FA$300, 7, FALSE)="",":",VLOOKUP($E$44,[1]QUART!$A$2:$FA$300, 7, FALSE))</f>
        <v>:</v>
      </c>
      <c r="I44" s="556" t="str">
        <f>IF(VLOOKUP($E$44,[1]QUART!$A$2:$FA$300, 8, FALSE)="",":",VLOOKUP($E$44,[1]QUART!$A$2:$FA$300, 8, FALSE))</f>
        <v>:</v>
      </c>
      <c r="J44" s="556" t="str">
        <f>IF(VLOOKUP($E$44,[1]QUART!$A$2:$FA$300, 9, FALSE)="",":",VLOOKUP($E$44,[1]QUART!$A$2:$FA$300, 9, FALSE))</f>
        <v>:</v>
      </c>
      <c r="K44" s="556" t="str">
        <f>IF(VLOOKUP($E$44,[1]QUART!$A$2:$FA$300, 10, FALSE)="",":",VLOOKUP($E$44,[1]QUART!$A$2:$FA$300, 10, FALSE))</f>
        <v>:</v>
      </c>
      <c r="L44" s="556" t="str">
        <f>IF(VLOOKUP($E$44,[1]QUART!$A$2:$FA$300, 11, FALSE)="",":",VLOOKUP($E$44,[1]QUART!$A$2:$FA$300, 11, FALSE))</f>
        <v>:</v>
      </c>
      <c r="M44" s="556" t="str">
        <f>IF(VLOOKUP($E$44,[1]QUART!$A$2:$FA$300, 12, FALSE)="",":",VLOOKUP($E$44,[1]QUART!$A$2:$FA$300, 12, FALSE))</f>
        <v>:</v>
      </c>
      <c r="N44" s="556" t="str">
        <f>IF(VLOOKUP($E$44,[1]QUART!$A$2:$FA$300, 13, FALSE)="",":",VLOOKUP($E$44,[1]QUART!$A$2:$FA$300, 13, FALSE))</f>
        <v>:</v>
      </c>
      <c r="O44" s="556" t="str">
        <f>IF(VLOOKUP($E$44,[1]QUART!$A$2:$FA$300, 14, FALSE)="",":",VLOOKUP($E$44,[1]QUART!$A$2:$FA$300, 14, FALSE))</f>
        <v>:</v>
      </c>
      <c r="P44" s="556" t="str">
        <f>IF(VLOOKUP($E$44,[1]QUART!$A$2:$FA$300, 15, FALSE)="",":",VLOOKUP($E$44,[1]QUART!$A$2:$FA$300, 15, FALSE))</f>
        <v>:</v>
      </c>
      <c r="Q44" s="556" t="str">
        <f>IF(VLOOKUP($E$44,[1]QUART!$A$2:$FA$300, 16, FALSE)="",":",VLOOKUP($E$44,[1]QUART!$A$2:$FA$300, 16, FALSE))</f>
        <v>:</v>
      </c>
      <c r="R44" s="556" t="str">
        <f>IF(VLOOKUP($E$44,[1]QUART!$A$2:$FA$300, 17, FALSE)="",":",VLOOKUP($E$44,[1]QUART!$A$2:$FA$300, 17, FALSE))</f>
        <v>:</v>
      </c>
      <c r="S44" s="556" t="str">
        <f>IF(VLOOKUP($E$44,[1]QUART!$A$2:$FA$300, 18, FALSE)="",":",VLOOKUP($E$44,[1]QUART!$A$2:$FA$300, 18, FALSE))</f>
        <v>:</v>
      </c>
      <c r="T44" s="556" t="str">
        <f>IF(VLOOKUP($E$44,[1]QUART!$A$2:$FA$300, 19, FALSE)="",":",VLOOKUP($E$44,[1]QUART!$A$2:$FA$300, 19, FALSE))</f>
        <v>:</v>
      </c>
      <c r="U44" s="556" t="str">
        <f>IF(VLOOKUP($E$44,[1]QUART!$A$2:$FA$300, 20, FALSE)="",":",VLOOKUP($E$44,[1]QUART!$A$2:$FA$300, 20, FALSE))</f>
        <v>:</v>
      </c>
      <c r="V44" s="556" t="str">
        <f>IF(VLOOKUP($E$44,[1]QUART!$A$2:$FA$300, 21, FALSE)="",":",VLOOKUP($E$44,[1]QUART!$A$2:$FA$300, 21, FALSE))</f>
        <v>:</v>
      </c>
      <c r="W44" s="556" t="str">
        <f>IF(VLOOKUP($E$44,[1]QUART!$A$2:$FA$300, 22, FALSE)="",":",VLOOKUP($E$44,[1]QUART!$A$2:$FA$300, 22, FALSE))</f>
        <v>:</v>
      </c>
      <c r="X44" s="556" t="str">
        <f>IF(VLOOKUP($E$44,[1]QUART!$A$2:$FA$300, 23, FALSE)="",":",VLOOKUP($E$44,[1]QUART!$A$2:$FA$300, 23, FALSE))</f>
        <v>:</v>
      </c>
      <c r="Y44" s="556" t="str">
        <f>IF(VLOOKUP($E$44,[1]QUART!$A$2:$FA$300, 24, FALSE)="",":",VLOOKUP($E$44,[1]QUART!$A$2:$FA$300, 24, FALSE))</f>
        <v>:</v>
      </c>
      <c r="Z44" s="556" t="str">
        <f>IF(VLOOKUP($E$44,[1]QUART!$A$2:$FA$300, 25, FALSE)="",":",VLOOKUP($E$44,[1]QUART!$A$2:$FA$300, 25, FALSE))</f>
        <v>:</v>
      </c>
      <c r="AA44" s="556" t="str">
        <f>IF(VLOOKUP($E$44,[1]QUART!$A$2:$FA$300, 26, FALSE)="",":",VLOOKUP($E$44,[1]QUART!$A$2:$FA$300, 26, FALSE))</f>
        <v>:</v>
      </c>
      <c r="AB44" s="556" t="str">
        <f>IF(VLOOKUP($E$44,[1]QUART!$A$2:$FA$300, 27, FALSE)="",":",VLOOKUP($E$44,[1]QUART!$A$2:$FA$300, 27, FALSE))</f>
        <v>:</v>
      </c>
      <c r="AC44" s="556" t="str">
        <f>IF(VLOOKUP($E$44,[1]QUART!$A$2:$FA$300, 28, FALSE)="",":",VLOOKUP($E$44,[1]QUART!$A$2:$FA$300, 28, FALSE))</f>
        <v>:</v>
      </c>
      <c r="AD44" s="556" t="str">
        <f>IF(VLOOKUP($E$44,[1]QUART!$A$2:$FA$300, 29, FALSE)="",":",VLOOKUP($E$44,[1]QUART!$A$2:$FA$300, 29, FALSE))</f>
        <v>:</v>
      </c>
      <c r="AE44" s="556" t="str">
        <f>IF(VLOOKUP($E$44,[1]QUART!$A$2:$FA$300, 30, FALSE)="",":",VLOOKUP($E$44,[1]QUART!$A$2:$FA$300, 30, FALSE))</f>
        <v>:</v>
      </c>
      <c r="AF44" s="556" t="str">
        <f>IF(VLOOKUP($E$44,[1]QUART!$A$2:$FA$300, 31, FALSE)="",":",VLOOKUP($E$44,[1]QUART!$A$2:$FA$300, 31, FALSE))</f>
        <v>:</v>
      </c>
      <c r="AG44" s="556" t="str">
        <f>IF(VLOOKUP($E$44,[1]QUART!$A$2:$FA$300, 32, FALSE)="",":",VLOOKUP($E$44,[1]QUART!$A$2:$FA$300, 32, FALSE))</f>
        <v>:</v>
      </c>
      <c r="AH44" s="556" t="str">
        <f>IF(VLOOKUP($E$44,[1]QUART!$A$2:$FA$300, 33, FALSE)="",":",VLOOKUP($E$44,[1]QUART!$A$2:$FA$300, 33, FALSE))</f>
        <v>:</v>
      </c>
      <c r="AI44" s="556" t="str">
        <f>IF(VLOOKUP($E$44,[1]QUART!$A$2:$FA$300, 34, FALSE)="",":",VLOOKUP($E$44,[1]QUART!$A$2:$FA$300, 34, FALSE))</f>
        <v>:</v>
      </c>
      <c r="AJ44" s="556" t="str">
        <f>IF(VLOOKUP($E$44,[1]QUART!$A$2:$FA$300, 35, FALSE)="",":",VLOOKUP($E$44,[1]QUART!$A$2:$FA$300, 35, FALSE))</f>
        <v>:</v>
      </c>
      <c r="AK44" s="556" t="str">
        <f>IF(VLOOKUP($E$44,[1]QUART!$A$2:$FA$300, 36, FALSE)="",":",VLOOKUP($E$44,[1]QUART!$A$2:$FA$300, 36, FALSE))</f>
        <v>:</v>
      </c>
      <c r="AL44" s="556" t="str">
        <f>IF(VLOOKUP($E$44,[1]QUART!$A$2:$FA$300, 37, FALSE)="",":",VLOOKUP($E$44,[1]QUART!$A$2:$FA$300, 37, FALSE))</f>
        <v>:</v>
      </c>
      <c r="AM44" s="556" t="str">
        <f>IF(VLOOKUP($E$44,[1]QUART!$A$2:$FA$300, 38, FALSE)="",":",VLOOKUP($E$44,[1]QUART!$A$2:$FA$300, 38, FALSE))</f>
        <v>:</v>
      </c>
      <c r="AN44" s="556" t="str">
        <f>IF(VLOOKUP($E$44,[1]QUART!$A$2:$FA$300, 39, FALSE)="",":",VLOOKUP($E$44,[1]QUART!$A$2:$FA$300, 39, FALSE))</f>
        <v>:</v>
      </c>
      <c r="AO44" s="556" t="str">
        <f>IF(VLOOKUP($E$44,[1]QUART!$A$2:$FA$300, 40, FALSE)="",":",VLOOKUP($E$44,[1]QUART!$A$2:$FA$300, 40, FALSE))</f>
        <v>:</v>
      </c>
      <c r="AP44" s="556" t="str">
        <f>IF(VLOOKUP($E$44,[1]QUART!$A$2:$FA$300, 41, FALSE)="",":",VLOOKUP($E$44,[1]QUART!$A$2:$FA$300, 41, FALSE))</f>
        <v>:</v>
      </c>
      <c r="AQ44" s="556" t="str">
        <f>IF(VLOOKUP($E$44,[1]QUART!$A$2:$FA$300, 42, FALSE)="",":",VLOOKUP($E$44,[1]QUART!$A$2:$FA$300, 42, FALSE))</f>
        <v>:</v>
      </c>
      <c r="AR44" s="556" t="str">
        <f>IF(VLOOKUP($E$44,[1]QUART!$A$2:$FA$300, 43, FALSE)="",":",VLOOKUP($E$44,[1]QUART!$A$2:$FA$300, 43, FALSE))</f>
        <v>:</v>
      </c>
      <c r="AS44" s="556" t="str">
        <f>IF(VLOOKUP($E$44,[1]QUART!$A$2:$FA$300, 44, FALSE)="",":",VLOOKUP($E$44,[1]QUART!$A$2:$FA$300, 44, FALSE))</f>
        <v>:</v>
      </c>
      <c r="AT44" s="556" t="str">
        <f>IF(VLOOKUP($E$44,[1]QUART!$A$2:$FA$300, 45, FALSE)="",":",VLOOKUP($E$44,[1]QUART!$A$2:$FA$300, 45, FALSE))</f>
        <v>:</v>
      </c>
      <c r="AU44" s="556" t="str">
        <f>IF(VLOOKUP($E$44,[1]QUART!$A$2:$FA$300, 46, FALSE)="",":",VLOOKUP($E$44,[1]QUART!$A$2:$FA$300, 46, FALSE))</f>
        <v>:</v>
      </c>
      <c r="AV44" s="556" t="str">
        <f>IF(VLOOKUP($E$44,[1]QUART!$A$2:$FA$300, 47, FALSE)="",":",VLOOKUP($E$44,[1]QUART!$A$2:$FA$300, 47, FALSE))</f>
        <v>:</v>
      </c>
      <c r="AW44" s="556" t="str">
        <f>IF(VLOOKUP($E$44,[1]QUART!$A$2:$FA$300, 48, FALSE)="",":",VLOOKUP($E$44,[1]QUART!$A$2:$FA$300, 48, FALSE))</f>
        <v>:</v>
      </c>
      <c r="AX44" s="556" t="str">
        <f>IF(VLOOKUP($E$44,[1]QUART!$A$2:$FA$300, 49, FALSE)="",":",VLOOKUP($E$44,[1]QUART!$A$2:$FA$300, 49, FALSE))</f>
        <v>:</v>
      </c>
      <c r="AY44" s="556" t="str">
        <f>IF(VLOOKUP($E$44,[1]QUART!$A$2:$FA$300, 50, FALSE)="",":",VLOOKUP($E$44,[1]QUART!$A$2:$FA$300, 50, FALSE))</f>
        <v>:</v>
      </c>
      <c r="AZ44" s="556" t="str">
        <f>IF(VLOOKUP($E$44,[1]QUART!$A$2:$FA$300, 51, FALSE)="",":",VLOOKUP($E$44,[1]QUART!$A$2:$FA$300, 51, FALSE))</f>
        <v>:</v>
      </c>
      <c r="BA44" s="556" t="str">
        <f>IF(VLOOKUP($E$44,[1]QUART!$A$2:$FA$300, 52, FALSE)="",":",VLOOKUP($E$44,[1]QUART!$A$2:$FA$300, 52, FALSE))</f>
        <v>:</v>
      </c>
      <c r="BB44" s="556" t="str">
        <f>IF(VLOOKUP($E$44,[1]QUART!$A$2:$FA$300, 53, FALSE)="",":",VLOOKUP($E$44,[1]QUART!$A$2:$FA$300, 53, FALSE))</f>
        <v>:</v>
      </c>
      <c r="BC44" s="556" t="str">
        <f>IF(VLOOKUP($E$44,[1]QUART!$A$2:$FA$300, 54, FALSE)="",":",VLOOKUP($E$44,[1]QUART!$A$2:$FA$300, 54, FALSE))</f>
        <v>:</v>
      </c>
      <c r="BD44" s="556" t="str">
        <f>IF(VLOOKUP($E$44,[1]QUART!$A$2:$FA$300, 55, FALSE)="",":",VLOOKUP($E$44,[1]QUART!$A$2:$FA$300, 55, FALSE))</f>
        <v>:</v>
      </c>
      <c r="BE44" s="556" t="str">
        <f>IF(VLOOKUP($E$44,[1]QUART!$A$2:$FA$300, 56, FALSE)="",":",VLOOKUP($E$44,[1]QUART!$A$2:$FA$300, 56, FALSE))</f>
        <v>:</v>
      </c>
      <c r="BF44" s="556" t="str">
        <f>IF(VLOOKUP($E$44,[1]QUART!$A$2:$FA$300, 57, FALSE)="",":",VLOOKUP($E$44,[1]QUART!$A$2:$FA$300, 57, FALSE))</f>
        <v>:</v>
      </c>
      <c r="BG44" s="556" t="str">
        <f>IF(VLOOKUP($E$44,[1]QUART!$A$2:$FA$300, 58, FALSE)="",":",VLOOKUP($E$44,[1]QUART!$A$2:$FA$300, 58, FALSE))</f>
        <v>:</v>
      </c>
      <c r="BH44" s="556" t="str">
        <f>IF(VLOOKUP($E$44,[1]QUART!$A$2:$FA$300, 59, FALSE)="",":",VLOOKUP($E$44,[1]QUART!$A$2:$FA$300, 59, FALSE))</f>
        <v>:</v>
      </c>
      <c r="BI44" s="556" t="str">
        <f>IF(VLOOKUP($E$44,[1]QUART!$A$2:$FA$300, 60, FALSE)="",":",VLOOKUP($E$44,[1]QUART!$A$2:$FA$300, 60, FALSE))</f>
        <v>:</v>
      </c>
      <c r="BJ44" s="556" t="str">
        <f>IF(VLOOKUP($E$44,[1]QUART!$A$2:$FA$300, 61, FALSE)="",":",VLOOKUP($E$44,[1]QUART!$A$2:$FA$300, 61, FALSE))</f>
        <v>:</v>
      </c>
      <c r="BK44" s="556" t="str">
        <f>IF(VLOOKUP($E$44,[1]QUART!$A$2:$FA$300, 62, FALSE)="",":",VLOOKUP($E$44,[1]QUART!$A$2:$FA$300, 62, FALSE))</f>
        <v>:</v>
      </c>
      <c r="BL44" s="556" t="str">
        <f>IF(VLOOKUP($E$44,[1]QUART!$A$2:$FA$300, 63, FALSE)="",":",VLOOKUP($E$44,[1]QUART!$A$2:$FA$300, 63, FALSE))</f>
        <v>:</v>
      </c>
      <c r="BM44" s="556" t="str">
        <f>IF(VLOOKUP($E$44,[1]QUART!$A$2:$FA$300, 64, FALSE)="",":",VLOOKUP($E$44,[1]QUART!$A$2:$FA$300, 64, FALSE))</f>
        <v>:</v>
      </c>
      <c r="BN44" s="556" t="str">
        <f>IF(VLOOKUP($E$44,[1]QUART!$A$2:$FA$300, 65, FALSE)="",":",VLOOKUP($E$44,[1]QUART!$A$2:$FA$300, 65, FALSE))</f>
        <v>:</v>
      </c>
      <c r="BO44" s="556" t="str">
        <f>IF(VLOOKUP($E$44,[1]QUART!$A$2:$FA$300, 66, FALSE)="",":",VLOOKUP($E$44,[1]QUART!$A$2:$FA$300, 66, FALSE))</f>
        <v>:</v>
      </c>
      <c r="BP44" s="556" t="str">
        <f>IF(VLOOKUP($E$44,[1]QUART!$A$2:$FA$300, 67, FALSE)="",":",VLOOKUP($E$44,[1]QUART!$A$2:$FA$300, 67, FALSE))</f>
        <v>:</v>
      </c>
      <c r="BQ44" s="556" t="str">
        <f>IF(VLOOKUP($E$44,[1]QUART!$A$2:$FA$300, 68, FALSE)="",":",VLOOKUP($E$44,[1]QUART!$A$2:$FA$300, 68, FALSE))</f>
        <v>:</v>
      </c>
      <c r="BR44" s="556" t="str">
        <f>IF(VLOOKUP($E$44,[1]QUART!$A$2:$FA$300, 69, FALSE)="",":",VLOOKUP($E$44,[1]QUART!$A$2:$FA$300, 69, FALSE))</f>
        <v>:</v>
      </c>
      <c r="BS44" s="556" t="str">
        <f>IF(VLOOKUP($E$44,[1]QUART!$A$2:$FA$300, 70, FALSE)="",":",VLOOKUP($E$44,[1]QUART!$A$2:$FA$300, 70, FALSE))</f>
        <v>:</v>
      </c>
      <c r="BT44" s="556" t="str">
        <f>IF(VLOOKUP($E$44,[1]QUART!$A$2:$FA$300, 71, FALSE)="",":",VLOOKUP($E$44,[1]QUART!$A$2:$FA$300, 71, FALSE))</f>
        <v>:</v>
      </c>
      <c r="BU44" s="556" t="str">
        <f>IF(VLOOKUP($E$44,[1]QUART!$A$2:$FA$300, 72, FALSE)="",":",VLOOKUP($E$44,[1]QUART!$A$2:$FA$300, 72, FALSE))</f>
        <v>:</v>
      </c>
      <c r="BV44" s="556" t="str">
        <f>IF(VLOOKUP($E$44,[1]QUART!$A$2:$FA$300, 73, FALSE)="",":",VLOOKUP($E$44,[1]QUART!$A$2:$FA$300, 73, FALSE))</f>
        <v>:</v>
      </c>
      <c r="BW44" s="556" t="str">
        <f>IF(VLOOKUP($E$44,[1]QUART!$A$2:$FA$300, 74, FALSE)="",":",VLOOKUP($E$44,[1]QUART!$A$2:$FA$300, 74, FALSE))</f>
        <v>:</v>
      </c>
      <c r="BX44" s="556" t="str">
        <f>IF(VLOOKUP($E$44,[1]QUART!$A$2:$FA$300, 75, FALSE)="",":",VLOOKUP($E$44,[1]QUART!$A$2:$FA$300, 75, FALSE))</f>
        <v>:</v>
      </c>
      <c r="BY44" s="556" t="str">
        <f>IF(VLOOKUP($E$44,[1]QUART!$A$2:$FA$300, 76, FALSE)="",":",VLOOKUP($E$44,[1]QUART!$A$2:$FA$300, 76, FALSE))</f>
        <v>:</v>
      </c>
      <c r="BZ44" s="556" t="str">
        <f>IF(VLOOKUP($E$44,[1]QUART!$A$2:$FA$300, 77, FALSE)="",":",VLOOKUP($E$44,[1]QUART!$A$2:$FA$300, 77, FALSE))</f>
        <v>:</v>
      </c>
      <c r="CA44" s="556" t="str">
        <f>IF(VLOOKUP($E$44,[1]QUART!$A$2:$FA$300, 78, FALSE)="",":",VLOOKUP($E$44,[1]QUART!$A$2:$FA$300, 78, FALSE))</f>
        <v>:</v>
      </c>
      <c r="CB44" s="556" t="str">
        <f>IF(VLOOKUP($E$44,[1]QUART!$A$2:$FA$300, 79, FALSE)="",":",VLOOKUP($E$44,[1]QUART!$A$2:$FA$300, 79, FALSE))</f>
        <v>:</v>
      </c>
      <c r="CC44" s="556" t="str">
        <f>IF(VLOOKUP($E$44,[1]QUART!$A$2:$FA$300, 80, FALSE)="",":",VLOOKUP($E$44,[1]QUART!$A$2:$FA$300, 80, FALSE))</f>
        <v>:</v>
      </c>
      <c r="CD44" s="556" t="str">
        <f>IF(VLOOKUP($E$44,[1]QUART!$A$2:$FA$300, 81, FALSE)="",":",VLOOKUP($E$44,[1]QUART!$A$2:$FA$300, 81, FALSE))</f>
        <v>:</v>
      </c>
      <c r="CE44" s="556" t="str">
        <f>IF(VLOOKUP($E$44,[1]QUART!$A$2:$FA$300, 82, FALSE)="",":",VLOOKUP($E$44,[1]QUART!$A$2:$FA$300, 82, FALSE))</f>
        <v>:</v>
      </c>
      <c r="CF44" s="556" t="str">
        <f>IF(VLOOKUP($E$44,[1]QUART!$A$2:$FA$300, 83, FALSE)="",":",VLOOKUP($E$44,[1]QUART!$A$2:$FA$300, 83, FALSE))</f>
        <v>:</v>
      </c>
      <c r="CG44" s="556" t="str">
        <f>IF(VLOOKUP($E$44,[1]QUART!$A$2:$FA$300, 84, FALSE)="",":",VLOOKUP($E$44,[1]QUART!$A$2:$FA$300, 84, FALSE))</f>
        <v>:</v>
      </c>
      <c r="CH44" s="556" t="str">
        <f>IF(VLOOKUP($E$44,[1]QUART!$A$2:$FA$300, 85, FALSE)="",":",VLOOKUP($E$44,[1]QUART!$A$2:$FA$300, 85, FALSE))</f>
        <v>:</v>
      </c>
      <c r="CI44" s="556" t="str">
        <f>IF(VLOOKUP($E$44,[1]QUART!$A$2:$FA$300, 86, FALSE)="",":",VLOOKUP($E$44,[1]QUART!$A$2:$FA$300, 86, FALSE))</f>
        <v>:</v>
      </c>
      <c r="CJ44" s="556" t="str">
        <f>IF(VLOOKUP($E$44,[1]QUART!$A$2:$FA$300, 87, FALSE)="",":",VLOOKUP($E$44,[1]QUART!$A$2:$FA$300, 87, FALSE))</f>
        <v>:</v>
      </c>
      <c r="CK44" s="556" t="str">
        <f>IF(VLOOKUP($E$44,[1]QUART!$A$2:$FA$300, 88, FALSE)="",":",VLOOKUP($E$44,[1]QUART!$A$2:$FA$300, 88, FALSE))</f>
        <v>:</v>
      </c>
      <c r="CL44" s="556" t="str">
        <f>IF(VLOOKUP($E$44,[1]QUART!$A$2:$FA$300, 89, FALSE)="",":",VLOOKUP($E$44,[1]QUART!$A$2:$FA$300, 89, FALSE))</f>
        <v>:</v>
      </c>
      <c r="CM44" s="556" t="str">
        <f>IF(VLOOKUP($E$44,[1]QUART!$A$2:$FA$300, 90, FALSE)="",":",VLOOKUP($E$44,[1]QUART!$A$2:$FA$300, 90, FALSE))</f>
        <v>:</v>
      </c>
      <c r="CN44" s="556" t="str">
        <f>IF(VLOOKUP($E$44,[1]QUART!$A$2:$FA$300, 91, FALSE)="",":",VLOOKUP($E$44,[1]QUART!$A$2:$FA$300, 91, FALSE))</f>
        <v>:</v>
      </c>
      <c r="CO44" s="556" t="str">
        <f>IF(VLOOKUP($E$44,[1]QUART!$A$2:$FA$300, 92, FALSE)="",":",VLOOKUP($E$44,[1]QUART!$A$2:$FA$300, 92, FALSE))</f>
        <v>:</v>
      </c>
      <c r="CP44" s="556" t="str">
        <f>IF(VLOOKUP($E$44,[1]QUART!$A$2:$FA$300, 93, FALSE)="",":",VLOOKUP($E$44,[1]QUART!$A$2:$FA$300, 93, FALSE))</f>
        <v>:</v>
      </c>
      <c r="CQ44" s="556" t="str">
        <f>IF(VLOOKUP($E$44,[1]QUART!$A$2:$FA$300, 94, FALSE)="",":",VLOOKUP($E$44,[1]QUART!$A$2:$FA$300, 94, FALSE))</f>
        <v>:</v>
      </c>
      <c r="CR44" s="556" t="str">
        <f>IF(VLOOKUP($E$44,[1]QUART!$A$2:$FA$300, 95, FALSE)="",":",VLOOKUP($E$44,[1]QUART!$A$2:$FA$300, 95, FALSE))</f>
        <v>:</v>
      </c>
      <c r="CS44" s="556" t="str">
        <f>IF(VLOOKUP($E$44,[1]QUART!$A$2:$FA$300, 96, FALSE)="",":",VLOOKUP($E$44,[1]QUART!$A$2:$FA$300, 96, FALSE))</f>
        <v>:</v>
      </c>
      <c r="CT44" s="556" t="str">
        <f>IF(VLOOKUP($E$44,[1]QUART!$A$2:$FA$300, 97, FALSE)="",":",VLOOKUP($E$44,[1]QUART!$A$2:$FA$300, 97, FALSE))</f>
        <v>:</v>
      </c>
      <c r="CU44" s="556" t="str">
        <f>IF(VLOOKUP($E$44,[1]QUART!$A$2:$FA$300, 98, FALSE)="",":",VLOOKUP($E$44,[1]QUART!$A$2:$FA$300, 98, FALSE))</f>
        <v>:</v>
      </c>
      <c r="CV44" s="556" t="str">
        <f>IF(VLOOKUP($E$44,[1]QUART!$A$2:$FA$300, 99, FALSE)="",":",VLOOKUP($E$44,[1]QUART!$A$2:$FA$300, 99, FALSE))</f>
        <v>:</v>
      </c>
      <c r="CW44" s="556" t="str">
        <f>IF(VLOOKUP($E$44,[1]QUART!$A$2:$FA$300, 100, FALSE)="",":",VLOOKUP($E$44,[1]QUART!$A$2:$FA$300, 100, FALSE))</f>
        <v>:</v>
      </c>
      <c r="CX44" s="556" t="str">
        <f>IF(VLOOKUP($E$44,[1]QUART!$A$2:$FA$300, 101, FALSE)="",":",VLOOKUP($E$44,[1]QUART!$A$2:$FA$300, 101, FALSE))</f>
        <v>:</v>
      </c>
      <c r="CY44" s="556" t="str">
        <f>IF(VLOOKUP($E$44,[1]QUART!$A$2:$FA$300, 102, FALSE)="",":",VLOOKUP($E$44,[1]QUART!$A$2:$FA$300, 102, FALSE))</f>
        <v>:</v>
      </c>
      <c r="CZ44" s="556" t="str">
        <f>IF(VLOOKUP($E$44,[1]QUART!$A$2:$FA$300, 103, FALSE)="",":",VLOOKUP($E$44,[1]QUART!$A$2:$FA$300, 103, FALSE))</f>
        <v>:</v>
      </c>
      <c r="DA44" s="556" t="str">
        <f>IF(VLOOKUP($E$44,[1]QUART!$A$2:$FA$300, 104, FALSE)="",":",VLOOKUP($E$44,[1]QUART!$A$2:$FA$300, 104, FALSE))</f>
        <v>:</v>
      </c>
      <c r="DB44" s="556" t="str">
        <f>IF(VLOOKUP($E$44,[1]QUART!$A$2:$FA$300, 105, FALSE)="",":",VLOOKUP($E$44,[1]QUART!$A$2:$FA$300, 105, FALSE))</f>
        <v>:</v>
      </c>
      <c r="DC44" s="556" t="str">
        <f>IF(VLOOKUP($E$44,[1]QUART!$A$2:$FA$300, 106, FALSE)="",":",VLOOKUP($E$44,[1]QUART!$A$2:$FA$300, 106, FALSE))</f>
        <v>:</v>
      </c>
    </row>
    <row r="45" spans="1:107">
      <c r="A45" s="546"/>
      <c r="B45" s="546"/>
      <c r="C45" s="547"/>
      <c r="D45" s="12" t="s">
        <v>363</v>
      </c>
      <c r="E45" s="13">
        <v>111</v>
      </c>
      <c r="F45" s="14" t="str">
        <f>VLOOKUP($E$45,[1]QUART!$A$2:$FA$300, 3, FALSE)</f>
        <v>111 GFCF other</v>
      </c>
      <c r="G45" s="556" t="str">
        <f>IF(VLOOKUP($E$45,[1]QUART!$A$2:$FA$300, 6, FALSE)="",":",VLOOKUP($E$45,[1]QUART!$A$2:$FA$300, 6, FALSE))</f>
        <v>:</v>
      </c>
      <c r="H45" s="556" t="str">
        <f>IF(VLOOKUP($E$45,[1]QUART!$A$2:$FA$300, 7, FALSE)="",":",VLOOKUP($E$45,[1]QUART!$A$2:$FA$300, 7, FALSE))</f>
        <v>:</v>
      </c>
      <c r="I45" s="556" t="str">
        <f>IF(VLOOKUP($E$45,[1]QUART!$A$2:$FA$300, 8, FALSE)="",":",VLOOKUP($E$45,[1]QUART!$A$2:$FA$300, 8, FALSE))</f>
        <v>:</v>
      </c>
      <c r="J45" s="556" t="str">
        <f>IF(VLOOKUP($E$45,[1]QUART!$A$2:$FA$300, 9, FALSE)="",":",VLOOKUP($E$45,[1]QUART!$A$2:$FA$300, 9, FALSE))</f>
        <v>:</v>
      </c>
      <c r="K45" s="556" t="str">
        <f>IF(VLOOKUP($E$45,[1]QUART!$A$2:$FA$300, 10, FALSE)="",":",VLOOKUP($E$45,[1]QUART!$A$2:$FA$300, 10, FALSE))</f>
        <v>:</v>
      </c>
      <c r="L45" s="556" t="str">
        <f>IF(VLOOKUP($E$45,[1]QUART!$A$2:$FA$300, 11, FALSE)="",":",VLOOKUP($E$45,[1]QUART!$A$2:$FA$300, 11, FALSE))</f>
        <v>:</v>
      </c>
      <c r="M45" s="556" t="str">
        <f>IF(VLOOKUP($E$45,[1]QUART!$A$2:$FA$300, 12, FALSE)="",":",VLOOKUP($E$45,[1]QUART!$A$2:$FA$300, 12, FALSE))</f>
        <v>:</v>
      </c>
      <c r="N45" s="556" t="str">
        <f>IF(VLOOKUP($E$45,[1]QUART!$A$2:$FA$300, 13, FALSE)="",":",VLOOKUP($E$45,[1]QUART!$A$2:$FA$300, 13, FALSE))</f>
        <v>:</v>
      </c>
      <c r="O45" s="556" t="str">
        <f>IF(VLOOKUP($E$45,[1]QUART!$A$2:$FA$300, 14, FALSE)="",":",VLOOKUP($E$45,[1]QUART!$A$2:$FA$300, 14, FALSE))</f>
        <v>:</v>
      </c>
      <c r="P45" s="556" t="str">
        <f>IF(VLOOKUP($E$45,[1]QUART!$A$2:$FA$300, 15, FALSE)="",":",VLOOKUP($E$45,[1]QUART!$A$2:$FA$300, 15, FALSE))</f>
        <v>:</v>
      </c>
      <c r="Q45" s="556" t="str">
        <f>IF(VLOOKUP($E$45,[1]QUART!$A$2:$FA$300, 16, FALSE)="",":",VLOOKUP($E$45,[1]QUART!$A$2:$FA$300, 16, FALSE))</f>
        <v>:</v>
      </c>
      <c r="R45" s="556" t="str">
        <f>IF(VLOOKUP($E$45,[1]QUART!$A$2:$FA$300, 17, FALSE)="",":",VLOOKUP($E$45,[1]QUART!$A$2:$FA$300, 17, FALSE))</f>
        <v>:</v>
      </c>
      <c r="S45" s="556" t="str">
        <f>IF(VLOOKUP($E$45,[1]QUART!$A$2:$FA$300, 18, FALSE)="",":",VLOOKUP($E$45,[1]QUART!$A$2:$FA$300, 18, FALSE))</f>
        <v>:</v>
      </c>
      <c r="T45" s="556" t="str">
        <f>IF(VLOOKUP($E$45,[1]QUART!$A$2:$FA$300, 19, FALSE)="",":",VLOOKUP($E$45,[1]QUART!$A$2:$FA$300, 19, FALSE))</f>
        <v>:</v>
      </c>
      <c r="U45" s="556" t="str">
        <f>IF(VLOOKUP($E$45,[1]QUART!$A$2:$FA$300, 20, FALSE)="",":",VLOOKUP($E$45,[1]QUART!$A$2:$FA$300, 20, FALSE))</f>
        <v>:</v>
      </c>
      <c r="V45" s="556" t="str">
        <f>IF(VLOOKUP($E$45,[1]QUART!$A$2:$FA$300, 21, FALSE)="",":",VLOOKUP($E$45,[1]QUART!$A$2:$FA$300, 21, FALSE))</f>
        <v>:</v>
      </c>
      <c r="W45" s="556" t="str">
        <f>IF(VLOOKUP($E$45,[1]QUART!$A$2:$FA$300, 22, FALSE)="",":",VLOOKUP($E$45,[1]QUART!$A$2:$FA$300, 22, FALSE))</f>
        <v>:</v>
      </c>
      <c r="X45" s="556" t="str">
        <f>IF(VLOOKUP($E$45,[1]QUART!$A$2:$FA$300, 23, FALSE)="",":",VLOOKUP($E$45,[1]QUART!$A$2:$FA$300, 23, FALSE))</f>
        <v>:</v>
      </c>
      <c r="Y45" s="556" t="str">
        <f>IF(VLOOKUP($E$45,[1]QUART!$A$2:$FA$300, 24, FALSE)="",":",VLOOKUP($E$45,[1]QUART!$A$2:$FA$300, 24, FALSE))</f>
        <v>:</v>
      </c>
      <c r="Z45" s="556" t="str">
        <f>IF(VLOOKUP($E$45,[1]QUART!$A$2:$FA$300, 25, FALSE)="",":",VLOOKUP($E$45,[1]QUART!$A$2:$FA$300, 25, FALSE))</f>
        <v>:</v>
      </c>
      <c r="AA45" s="556" t="str">
        <f>IF(VLOOKUP($E$45,[1]QUART!$A$2:$FA$300, 26, FALSE)="",":",VLOOKUP($E$45,[1]QUART!$A$2:$FA$300, 26, FALSE))</f>
        <v>:</v>
      </c>
      <c r="AB45" s="556" t="str">
        <f>IF(VLOOKUP($E$45,[1]QUART!$A$2:$FA$300, 27, FALSE)="",":",VLOOKUP($E$45,[1]QUART!$A$2:$FA$300, 27, FALSE))</f>
        <v>:</v>
      </c>
      <c r="AC45" s="556" t="str">
        <f>IF(VLOOKUP($E$45,[1]QUART!$A$2:$FA$300, 28, FALSE)="",":",VLOOKUP($E$45,[1]QUART!$A$2:$FA$300, 28, FALSE))</f>
        <v>:</v>
      </c>
      <c r="AD45" s="556" t="str">
        <f>IF(VLOOKUP($E$45,[1]QUART!$A$2:$FA$300, 29, FALSE)="",":",VLOOKUP($E$45,[1]QUART!$A$2:$FA$300, 29, FALSE))</f>
        <v>:</v>
      </c>
      <c r="AE45" s="556" t="str">
        <f>IF(VLOOKUP($E$45,[1]QUART!$A$2:$FA$300, 30, FALSE)="",":",VLOOKUP($E$45,[1]QUART!$A$2:$FA$300, 30, FALSE))</f>
        <v>:</v>
      </c>
      <c r="AF45" s="556" t="str">
        <f>IF(VLOOKUP($E$45,[1]QUART!$A$2:$FA$300, 31, FALSE)="",":",VLOOKUP($E$45,[1]QUART!$A$2:$FA$300, 31, FALSE))</f>
        <v>:</v>
      </c>
      <c r="AG45" s="556" t="str">
        <f>IF(VLOOKUP($E$45,[1]QUART!$A$2:$FA$300, 32, FALSE)="",":",VLOOKUP($E$45,[1]QUART!$A$2:$FA$300, 32, FALSE))</f>
        <v>:</v>
      </c>
      <c r="AH45" s="556" t="str">
        <f>IF(VLOOKUP($E$45,[1]QUART!$A$2:$FA$300, 33, FALSE)="",":",VLOOKUP($E$45,[1]QUART!$A$2:$FA$300, 33, FALSE))</f>
        <v>:</v>
      </c>
      <c r="AI45" s="556" t="str">
        <f>IF(VLOOKUP($E$45,[1]QUART!$A$2:$FA$300, 34, FALSE)="",":",VLOOKUP($E$45,[1]QUART!$A$2:$FA$300, 34, FALSE))</f>
        <v>:</v>
      </c>
      <c r="AJ45" s="556" t="str">
        <f>IF(VLOOKUP($E$45,[1]QUART!$A$2:$FA$300, 35, FALSE)="",":",VLOOKUP($E$45,[1]QUART!$A$2:$FA$300, 35, FALSE))</f>
        <v>:</v>
      </c>
      <c r="AK45" s="556" t="str">
        <f>IF(VLOOKUP($E$45,[1]QUART!$A$2:$FA$300, 36, FALSE)="",":",VLOOKUP($E$45,[1]QUART!$A$2:$FA$300, 36, FALSE))</f>
        <v>:</v>
      </c>
      <c r="AL45" s="556" t="str">
        <f>IF(VLOOKUP($E$45,[1]QUART!$A$2:$FA$300, 37, FALSE)="",":",VLOOKUP($E$45,[1]QUART!$A$2:$FA$300, 37, FALSE))</f>
        <v>:</v>
      </c>
      <c r="AM45" s="556" t="str">
        <f>IF(VLOOKUP($E$45,[1]QUART!$A$2:$FA$300, 38, FALSE)="",":",VLOOKUP($E$45,[1]QUART!$A$2:$FA$300, 38, FALSE))</f>
        <v>:</v>
      </c>
      <c r="AN45" s="556" t="str">
        <f>IF(VLOOKUP($E$45,[1]QUART!$A$2:$FA$300, 39, FALSE)="",":",VLOOKUP($E$45,[1]QUART!$A$2:$FA$300, 39, FALSE))</f>
        <v>:</v>
      </c>
      <c r="AO45" s="556" t="str">
        <f>IF(VLOOKUP($E$45,[1]QUART!$A$2:$FA$300, 40, FALSE)="",":",VLOOKUP($E$45,[1]QUART!$A$2:$FA$300, 40, FALSE))</f>
        <v>:</v>
      </c>
      <c r="AP45" s="556" t="str">
        <f>IF(VLOOKUP($E$45,[1]QUART!$A$2:$FA$300, 41, FALSE)="",":",VLOOKUP($E$45,[1]QUART!$A$2:$FA$300, 41, FALSE))</f>
        <v>:</v>
      </c>
      <c r="AQ45" s="556" t="str">
        <f>IF(VLOOKUP($E$45,[1]QUART!$A$2:$FA$300, 42, FALSE)="",":",VLOOKUP($E$45,[1]QUART!$A$2:$FA$300, 42, FALSE))</f>
        <v>:</v>
      </c>
      <c r="AR45" s="556" t="str">
        <f>IF(VLOOKUP($E$45,[1]QUART!$A$2:$FA$300, 43, FALSE)="",":",VLOOKUP($E$45,[1]QUART!$A$2:$FA$300, 43, FALSE))</f>
        <v>:</v>
      </c>
      <c r="AS45" s="556" t="str">
        <f>IF(VLOOKUP($E$45,[1]QUART!$A$2:$FA$300, 44, FALSE)="",":",VLOOKUP($E$45,[1]QUART!$A$2:$FA$300, 44, FALSE))</f>
        <v>:</v>
      </c>
      <c r="AT45" s="556" t="str">
        <f>IF(VLOOKUP($E$45,[1]QUART!$A$2:$FA$300, 45, FALSE)="",":",VLOOKUP($E$45,[1]QUART!$A$2:$FA$300, 45, FALSE))</f>
        <v>:</v>
      </c>
      <c r="AU45" s="556" t="str">
        <f>IF(VLOOKUP($E$45,[1]QUART!$A$2:$FA$300, 46, FALSE)="",":",VLOOKUP($E$45,[1]QUART!$A$2:$FA$300, 46, FALSE))</f>
        <v>:</v>
      </c>
      <c r="AV45" s="556" t="str">
        <f>IF(VLOOKUP($E$45,[1]QUART!$A$2:$FA$300, 47, FALSE)="",":",VLOOKUP($E$45,[1]QUART!$A$2:$FA$300, 47, FALSE))</f>
        <v>:</v>
      </c>
      <c r="AW45" s="556" t="str">
        <f>IF(VLOOKUP($E$45,[1]QUART!$A$2:$FA$300, 48, FALSE)="",":",VLOOKUP($E$45,[1]QUART!$A$2:$FA$300, 48, FALSE))</f>
        <v>:</v>
      </c>
      <c r="AX45" s="556" t="str">
        <f>IF(VLOOKUP($E$45,[1]QUART!$A$2:$FA$300, 49, FALSE)="",":",VLOOKUP($E$45,[1]QUART!$A$2:$FA$300, 49, FALSE))</f>
        <v>:</v>
      </c>
      <c r="AY45" s="556" t="str">
        <f>IF(VLOOKUP($E$45,[1]QUART!$A$2:$FA$300, 50, FALSE)="",":",VLOOKUP($E$45,[1]QUART!$A$2:$FA$300, 50, FALSE))</f>
        <v>:</v>
      </c>
      <c r="AZ45" s="556" t="str">
        <f>IF(VLOOKUP($E$45,[1]QUART!$A$2:$FA$300, 51, FALSE)="",":",VLOOKUP($E$45,[1]QUART!$A$2:$FA$300, 51, FALSE))</f>
        <v>:</v>
      </c>
      <c r="BA45" s="556" t="str">
        <f>IF(VLOOKUP($E$45,[1]QUART!$A$2:$FA$300, 52, FALSE)="",":",VLOOKUP($E$45,[1]QUART!$A$2:$FA$300, 52, FALSE))</f>
        <v>:</v>
      </c>
      <c r="BB45" s="556" t="str">
        <f>IF(VLOOKUP($E$45,[1]QUART!$A$2:$FA$300, 53, FALSE)="",":",VLOOKUP($E$45,[1]QUART!$A$2:$FA$300, 53, FALSE))</f>
        <v>:</v>
      </c>
      <c r="BC45" s="556" t="str">
        <f>IF(VLOOKUP($E$45,[1]QUART!$A$2:$FA$300, 54, FALSE)="",":",VLOOKUP($E$45,[1]QUART!$A$2:$FA$300, 54, FALSE))</f>
        <v>:</v>
      </c>
      <c r="BD45" s="556" t="str">
        <f>IF(VLOOKUP($E$45,[1]QUART!$A$2:$FA$300, 55, FALSE)="",":",VLOOKUP($E$45,[1]QUART!$A$2:$FA$300, 55, FALSE))</f>
        <v>:</v>
      </c>
      <c r="BE45" s="556" t="str">
        <f>IF(VLOOKUP($E$45,[1]QUART!$A$2:$FA$300, 56, FALSE)="",":",VLOOKUP($E$45,[1]QUART!$A$2:$FA$300, 56, FALSE))</f>
        <v>:</v>
      </c>
      <c r="BF45" s="556" t="str">
        <f>IF(VLOOKUP($E$45,[1]QUART!$A$2:$FA$300, 57, FALSE)="",":",VLOOKUP($E$45,[1]QUART!$A$2:$FA$300, 57, FALSE))</f>
        <v>:</v>
      </c>
      <c r="BG45" s="556" t="str">
        <f>IF(VLOOKUP($E$45,[1]QUART!$A$2:$FA$300, 58, FALSE)="",":",VLOOKUP($E$45,[1]QUART!$A$2:$FA$300, 58, FALSE))</f>
        <v>:</v>
      </c>
      <c r="BH45" s="556" t="str">
        <f>IF(VLOOKUP($E$45,[1]QUART!$A$2:$FA$300, 59, FALSE)="",":",VLOOKUP($E$45,[1]QUART!$A$2:$FA$300, 59, FALSE))</f>
        <v>:</v>
      </c>
      <c r="BI45" s="556" t="str">
        <f>IF(VLOOKUP($E$45,[1]QUART!$A$2:$FA$300, 60, FALSE)="",":",VLOOKUP($E$45,[1]QUART!$A$2:$FA$300, 60, FALSE))</f>
        <v>:</v>
      </c>
      <c r="BJ45" s="556" t="str">
        <f>IF(VLOOKUP($E$45,[1]QUART!$A$2:$FA$300, 61, FALSE)="",":",VLOOKUP($E$45,[1]QUART!$A$2:$FA$300, 61, FALSE))</f>
        <v>:</v>
      </c>
      <c r="BK45" s="556" t="str">
        <f>IF(VLOOKUP($E$45,[1]QUART!$A$2:$FA$300, 62, FALSE)="",":",VLOOKUP($E$45,[1]QUART!$A$2:$FA$300, 62, FALSE))</f>
        <v>:</v>
      </c>
      <c r="BL45" s="556" t="str">
        <f>IF(VLOOKUP($E$45,[1]QUART!$A$2:$FA$300, 63, FALSE)="",":",VLOOKUP($E$45,[1]QUART!$A$2:$FA$300, 63, FALSE))</f>
        <v>:</v>
      </c>
      <c r="BM45" s="556" t="str">
        <f>IF(VLOOKUP($E$45,[1]QUART!$A$2:$FA$300, 64, FALSE)="",":",VLOOKUP($E$45,[1]QUART!$A$2:$FA$300, 64, FALSE))</f>
        <v>:</v>
      </c>
      <c r="BN45" s="556" t="str">
        <f>IF(VLOOKUP($E$45,[1]QUART!$A$2:$FA$300, 65, FALSE)="",":",VLOOKUP($E$45,[1]QUART!$A$2:$FA$300, 65, FALSE))</f>
        <v>:</v>
      </c>
      <c r="BO45" s="556" t="str">
        <f>IF(VLOOKUP($E$45,[1]QUART!$A$2:$FA$300, 66, FALSE)="",":",VLOOKUP($E$45,[1]QUART!$A$2:$FA$300, 66, FALSE))</f>
        <v>:</v>
      </c>
      <c r="BP45" s="556" t="str">
        <f>IF(VLOOKUP($E$45,[1]QUART!$A$2:$FA$300, 67, FALSE)="",":",VLOOKUP($E$45,[1]QUART!$A$2:$FA$300, 67, FALSE))</f>
        <v>:</v>
      </c>
      <c r="BQ45" s="556" t="str">
        <f>IF(VLOOKUP($E$45,[1]QUART!$A$2:$FA$300, 68, FALSE)="",":",VLOOKUP($E$45,[1]QUART!$A$2:$FA$300, 68, FALSE))</f>
        <v>:</v>
      </c>
      <c r="BR45" s="556" t="str">
        <f>IF(VLOOKUP($E$45,[1]QUART!$A$2:$FA$300, 69, FALSE)="",":",VLOOKUP($E$45,[1]QUART!$A$2:$FA$300, 69, FALSE))</f>
        <v>:</v>
      </c>
      <c r="BS45" s="556" t="str">
        <f>IF(VLOOKUP($E$45,[1]QUART!$A$2:$FA$300, 70, FALSE)="",":",VLOOKUP($E$45,[1]QUART!$A$2:$FA$300, 70, FALSE))</f>
        <v>:</v>
      </c>
      <c r="BT45" s="556" t="str">
        <f>IF(VLOOKUP($E$45,[1]QUART!$A$2:$FA$300, 71, FALSE)="",":",VLOOKUP($E$45,[1]QUART!$A$2:$FA$300, 71, FALSE))</f>
        <v>:</v>
      </c>
      <c r="BU45" s="556" t="str">
        <f>IF(VLOOKUP($E$45,[1]QUART!$A$2:$FA$300, 72, FALSE)="",":",VLOOKUP($E$45,[1]QUART!$A$2:$FA$300, 72, FALSE))</f>
        <v>:</v>
      </c>
      <c r="BV45" s="556" t="str">
        <f>IF(VLOOKUP($E$45,[1]QUART!$A$2:$FA$300, 73, FALSE)="",":",VLOOKUP($E$45,[1]QUART!$A$2:$FA$300, 73, FALSE))</f>
        <v>:</v>
      </c>
      <c r="BW45" s="556" t="str">
        <f>IF(VLOOKUP($E$45,[1]QUART!$A$2:$FA$300, 74, FALSE)="",":",VLOOKUP($E$45,[1]QUART!$A$2:$FA$300, 74, FALSE))</f>
        <v>:</v>
      </c>
      <c r="BX45" s="556" t="str">
        <f>IF(VLOOKUP($E$45,[1]QUART!$A$2:$FA$300, 75, FALSE)="",":",VLOOKUP($E$45,[1]QUART!$A$2:$FA$300, 75, FALSE))</f>
        <v>:</v>
      </c>
      <c r="BY45" s="556" t="str">
        <f>IF(VLOOKUP($E$45,[1]QUART!$A$2:$FA$300, 76, FALSE)="",":",VLOOKUP($E$45,[1]QUART!$A$2:$FA$300, 76, FALSE))</f>
        <v>:</v>
      </c>
      <c r="BZ45" s="556" t="str">
        <f>IF(VLOOKUP($E$45,[1]QUART!$A$2:$FA$300, 77, FALSE)="",":",VLOOKUP($E$45,[1]QUART!$A$2:$FA$300, 77, FALSE))</f>
        <v>:</v>
      </c>
      <c r="CA45" s="556" t="str">
        <f>IF(VLOOKUP($E$45,[1]QUART!$A$2:$FA$300, 78, FALSE)="",":",VLOOKUP($E$45,[1]QUART!$A$2:$FA$300, 78, FALSE))</f>
        <v>:</v>
      </c>
      <c r="CB45" s="556" t="str">
        <f>IF(VLOOKUP($E$45,[1]QUART!$A$2:$FA$300, 79, FALSE)="",":",VLOOKUP($E$45,[1]QUART!$A$2:$FA$300, 79, FALSE))</f>
        <v>:</v>
      </c>
      <c r="CC45" s="556" t="str">
        <f>IF(VLOOKUP($E$45,[1]QUART!$A$2:$FA$300, 80, FALSE)="",":",VLOOKUP($E$45,[1]QUART!$A$2:$FA$300, 80, FALSE))</f>
        <v>:</v>
      </c>
      <c r="CD45" s="556" t="str">
        <f>IF(VLOOKUP($E$45,[1]QUART!$A$2:$FA$300, 81, FALSE)="",":",VLOOKUP($E$45,[1]QUART!$A$2:$FA$300, 81, FALSE))</f>
        <v>:</v>
      </c>
      <c r="CE45" s="556" t="str">
        <f>IF(VLOOKUP($E$45,[1]QUART!$A$2:$FA$300, 82, FALSE)="",":",VLOOKUP($E$45,[1]QUART!$A$2:$FA$300, 82, FALSE))</f>
        <v>:</v>
      </c>
      <c r="CF45" s="556" t="str">
        <f>IF(VLOOKUP($E$45,[1]QUART!$A$2:$FA$300, 83, FALSE)="",":",VLOOKUP($E$45,[1]QUART!$A$2:$FA$300, 83, FALSE))</f>
        <v>:</v>
      </c>
      <c r="CG45" s="556" t="str">
        <f>IF(VLOOKUP($E$45,[1]QUART!$A$2:$FA$300, 84, FALSE)="",":",VLOOKUP($E$45,[1]QUART!$A$2:$FA$300, 84, FALSE))</f>
        <v>:</v>
      </c>
      <c r="CH45" s="556" t="str">
        <f>IF(VLOOKUP($E$45,[1]QUART!$A$2:$FA$300, 85, FALSE)="",":",VLOOKUP($E$45,[1]QUART!$A$2:$FA$300, 85, FALSE))</f>
        <v>:</v>
      </c>
      <c r="CI45" s="556" t="str">
        <f>IF(VLOOKUP($E$45,[1]QUART!$A$2:$FA$300, 86, FALSE)="",":",VLOOKUP($E$45,[1]QUART!$A$2:$FA$300, 86, FALSE))</f>
        <v>:</v>
      </c>
      <c r="CJ45" s="556" t="str">
        <f>IF(VLOOKUP($E$45,[1]QUART!$A$2:$FA$300, 87, FALSE)="",":",VLOOKUP($E$45,[1]QUART!$A$2:$FA$300, 87, FALSE))</f>
        <v>:</v>
      </c>
      <c r="CK45" s="556" t="str">
        <f>IF(VLOOKUP($E$45,[1]QUART!$A$2:$FA$300, 88, FALSE)="",":",VLOOKUP($E$45,[1]QUART!$A$2:$FA$300, 88, FALSE))</f>
        <v>:</v>
      </c>
      <c r="CL45" s="556" t="str">
        <f>IF(VLOOKUP($E$45,[1]QUART!$A$2:$FA$300, 89, FALSE)="",":",VLOOKUP($E$45,[1]QUART!$A$2:$FA$300, 89, FALSE))</f>
        <v>:</v>
      </c>
      <c r="CM45" s="556" t="str">
        <f>IF(VLOOKUP($E$45,[1]QUART!$A$2:$FA$300, 90, FALSE)="",":",VLOOKUP($E$45,[1]QUART!$A$2:$FA$300, 90, FALSE))</f>
        <v>:</v>
      </c>
      <c r="CN45" s="556" t="str">
        <f>IF(VLOOKUP($E$45,[1]QUART!$A$2:$FA$300, 91, FALSE)="",":",VLOOKUP($E$45,[1]QUART!$A$2:$FA$300, 91, FALSE))</f>
        <v>:</v>
      </c>
      <c r="CO45" s="556" t="str">
        <f>IF(VLOOKUP($E$45,[1]QUART!$A$2:$FA$300, 92, FALSE)="",":",VLOOKUP($E$45,[1]QUART!$A$2:$FA$300, 92, FALSE))</f>
        <v>:</v>
      </c>
      <c r="CP45" s="556" t="str">
        <f>IF(VLOOKUP($E$45,[1]QUART!$A$2:$FA$300, 93, FALSE)="",":",VLOOKUP($E$45,[1]QUART!$A$2:$FA$300, 93, FALSE))</f>
        <v>:</v>
      </c>
      <c r="CQ45" s="556" t="str">
        <f>IF(VLOOKUP($E$45,[1]QUART!$A$2:$FA$300, 94, FALSE)="",":",VLOOKUP($E$45,[1]QUART!$A$2:$FA$300, 94, FALSE))</f>
        <v>:</v>
      </c>
      <c r="CR45" s="556" t="str">
        <f>IF(VLOOKUP($E$45,[1]QUART!$A$2:$FA$300, 95, FALSE)="",":",VLOOKUP($E$45,[1]QUART!$A$2:$FA$300, 95, FALSE))</f>
        <v>:</v>
      </c>
      <c r="CS45" s="556" t="str">
        <f>IF(VLOOKUP($E$45,[1]QUART!$A$2:$FA$300, 96, FALSE)="",":",VLOOKUP($E$45,[1]QUART!$A$2:$FA$300, 96, FALSE))</f>
        <v>:</v>
      </c>
      <c r="CT45" s="556" t="str">
        <f>IF(VLOOKUP($E$45,[1]QUART!$A$2:$FA$300, 97, FALSE)="",":",VLOOKUP($E$45,[1]QUART!$A$2:$FA$300, 97, FALSE))</f>
        <v>:</v>
      </c>
      <c r="CU45" s="556" t="str">
        <f>IF(VLOOKUP($E$45,[1]QUART!$A$2:$FA$300, 98, FALSE)="",":",VLOOKUP($E$45,[1]QUART!$A$2:$FA$300, 98, FALSE))</f>
        <v>:</v>
      </c>
      <c r="CV45" s="556" t="str">
        <f>IF(VLOOKUP($E$45,[1]QUART!$A$2:$FA$300, 99, FALSE)="",":",VLOOKUP($E$45,[1]QUART!$A$2:$FA$300, 99, FALSE))</f>
        <v>:</v>
      </c>
      <c r="CW45" s="556" t="str">
        <f>IF(VLOOKUP($E$45,[1]QUART!$A$2:$FA$300, 100, FALSE)="",":",VLOOKUP($E$45,[1]QUART!$A$2:$FA$300, 100, FALSE))</f>
        <v>:</v>
      </c>
      <c r="CX45" s="556" t="str">
        <f>IF(VLOOKUP($E$45,[1]QUART!$A$2:$FA$300, 101, FALSE)="",":",VLOOKUP($E$45,[1]QUART!$A$2:$FA$300, 101, FALSE))</f>
        <v>:</v>
      </c>
      <c r="CY45" s="556" t="str">
        <f>IF(VLOOKUP($E$45,[1]QUART!$A$2:$FA$300, 102, FALSE)="",":",VLOOKUP($E$45,[1]QUART!$A$2:$FA$300, 102, FALSE))</f>
        <v>:</v>
      </c>
      <c r="CZ45" s="556" t="str">
        <f>IF(VLOOKUP($E$45,[1]QUART!$A$2:$FA$300, 103, FALSE)="",":",VLOOKUP($E$45,[1]QUART!$A$2:$FA$300, 103, FALSE))</f>
        <v>:</v>
      </c>
      <c r="DA45" s="556" t="str">
        <f>IF(VLOOKUP($E$45,[1]QUART!$A$2:$FA$300, 104, FALSE)="",":",VLOOKUP($E$45,[1]QUART!$A$2:$FA$300, 104, FALSE))</f>
        <v>:</v>
      </c>
      <c r="DB45" s="556" t="str">
        <f>IF(VLOOKUP($E$45,[1]QUART!$A$2:$FA$300, 105, FALSE)="",":",VLOOKUP($E$45,[1]QUART!$A$2:$FA$300, 105, FALSE))</f>
        <v>:</v>
      </c>
      <c r="DC45" s="556" t="str">
        <f>IF(VLOOKUP($E$45,[1]QUART!$A$2:$FA$300, 106, FALSE)="",":",VLOOKUP($E$45,[1]QUART!$A$2:$FA$300, 106, FALSE))</f>
        <v>:</v>
      </c>
    </row>
    <row r="46" spans="1:107">
      <c r="A46" s="546"/>
      <c r="B46" s="546"/>
      <c r="C46" s="547"/>
      <c r="D46" s="12" t="s">
        <v>363</v>
      </c>
      <c r="E46" s="13">
        <v>112</v>
      </c>
      <c r="F46" s="14" t="str">
        <f>VLOOKUP($E$46,[1]QUART!$A$2:$FA$300, 3, FALSE)</f>
        <v>112 Gross capital formation (incl. Inventories)</v>
      </c>
      <c r="G46" s="556" t="str">
        <f>IF(VLOOKUP($E$46,[1]QUART!$A$2:$FA$300, 6, FALSE)="",":",VLOOKUP($E$46,[1]QUART!$A$2:$FA$300, 6, FALSE))</f>
        <v>:</v>
      </c>
      <c r="H46" s="556" t="str">
        <f>IF(VLOOKUP($E$46,[1]QUART!$A$2:$FA$300, 7, FALSE)="",":",VLOOKUP($E$46,[1]QUART!$A$2:$FA$300, 7, FALSE))</f>
        <v>:</v>
      </c>
      <c r="I46" s="556" t="str">
        <f>IF(VLOOKUP($E$46,[1]QUART!$A$2:$FA$300, 8, FALSE)="",":",VLOOKUP($E$46,[1]QUART!$A$2:$FA$300, 8, FALSE))</f>
        <v>:</v>
      </c>
      <c r="J46" s="556" t="str">
        <f>IF(VLOOKUP($E$46,[1]QUART!$A$2:$FA$300, 9, FALSE)="",":",VLOOKUP($E$46,[1]QUART!$A$2:$FA$300, 9, FALSE))</f>
        <v>:</v>
      </c>
      <c r="K46" s="556" t="str">
        <f>IF(VLOOKUP($E$46,[1]QUART!$A$2:$FA$300, 10, FALSE)="",":",VLOOKUP($E$46,[1]QUART!$A$2:$FA$300, 10, FALSE))</f>
        <v>:</v>
      </c>
      <c r="L46" s="556" t="str">
        <f>IF(VLOOKUP($E$46,[1]QUART!$A$2:$FA$300, 11, FALSE)="",":",VLOOKUP($E$46,[1]QUART!$A$2:$FA$300, 11, FALSE))</f>
        <v>:</v>
      </c>
      <c r="M46" s="556" t="str">
        <f>IF(VLOOKUP($E$46,[1]QUART!$A$2:$FA$300, 12, FALSE)="",":",VLOOKUP($E$46,[1]QUART!$A$2:$FA$300, 12, FALSE))</f>
        <v>:</v>
      </c>
      <c r="N46" s="556" t="str">
        <f>IF(VLOOKUP($E$46,[1]QUART!$A$2:$FA$300, 13, FALSE)="",":",VLOOKUP($E$46,[1]QUART!$A$2:$FA$300, 13, FALSE))</f>
        <v>:</v>
      </c>
      <c r="O46" s="556" t="str">
        <f>IF(VLOOKUP($E$46,[1]QUART!$A$2:$FA$300, 14, FALSE)="",":",VLOOKUP($E$46,[1]QUART!$A$2:$FA$300, 14, FALSE))</f>
        <v>:</v>
      </c>
      <c r="P46" s="556" t="str">
        <f>IF(VLOOKUP($E$46,[1]QUART!$A$2:$FA$300, 15, FALSE)="",":",VLOOKUP($E$46,[1]QUART!$A$2:$FA$300, 15, FALSE))</f>
        <v>:</v>
      </c>
      <c r="Q46" s="556" t="str">
        <f>IF(VLOOKUP($E$46,[1]QUART!$A$2:$FA$300, 16, FALSE)="",":",VLOOKUP($E$46,[1]QUART!$A$2:$FA$300, 16, FALSE))</f>
        <v>:</v>
      </c>
      <c r="R46" s="556" t="str">
        <f>IF(VLOOKUP($E$46,[1]QUART!$A$2:$FA$300, 17, FALSE)="",":",VLOOKUP($E$46,[1]QUART!$A$2:$FA$300, 17, FALSE))</f>
        <v>:</v>
      </c>
      <c r="S46" s="556" t="str">
        <f>IF(VLOOKUP($E$46,[1]QUART!$A$2:$FA$300, 18, FALSE)="",":",VLOOKUP($E$46,[1]QUART!$A$2:$FA$300, 18, FALSE))</f>
        <v>:</v>
      </c>
      <c r="T46" s="556" t="str">
        <f>IF(VLOOKUP($E$46,[1]QUART!$A$2:$FA$300, 19, FALSE)="",":",VLOOKUP($E$46,[1]QUART!$A$2:$FA$300, 19, FALSE))</f>
        <v>:</v>
      </c>
      <c r="U46" s="556" t="str">
        <f>IF(VLOOKUP($E$46,[1]QUART!$A$2:$FA$300, 20, FALSE)="",":",VLOOKUP($E$46,[1]QUART!$A$2:$FA$300, 20, FALSE))</f>
        <v>:</v>
      </c>
      <c r="V46" s="556" t="str">
        <f>IF(VLOOKUP($E$46,[1]QUART!$A$2:$FA$300, 21, FALSE)="",":",VLOOKUP($E$46,[1]QUART!$A$2:$FA$300, 21, FALSE))</f>
        <v>:</v>
      </c>
      <c r="W46" s="556" t="str">
        <f>IF(VLOOKUP($E$46,[1]QUART!$A$2:$FA$300, 22, FALSE)="",":",VLOOKUP($E$46,[1]QUART!$A$2:$FA$300, 22, FALSE))</f>
        <v>:</v>
      </c>
      <c r="X46" s="556" t="str">
        <f>IF(VLOOKUP($E$46,[1]QUART!$A$2:$FA$300, 23, FALSE)="",":",VLOOKUP($E$46,[1]QUART!$A$2:$FA$300, 23, FALSE))</f>
        <v>:</v>
      </c>
      <c r="Y46" s="556" t="str">
        <f>IF(VLOOKUP($E$46,[1]QUART!$A$2:$FA$300, 24, FALSE)="",":",VLOOKUP($E$46,[1]QUART!$A$2:$FA$300, 24, FALSE))</f>
        <v>:</v>
      </c>
      <c r="Z46" s="556" t="str">
        <f>IF(VLOOKUP($E$46,[1]QUART!$A$2:$FA$300, 25, FALSE)="",":",VLOOKUP($E$46,[1]QUART!$A$2:$FA$300, 25, FALSE))</f>
        <v>:</v>
      </c>
      <c r="AA46" s="556" t="str">
        <f>IF(VLOOKUP($E$46,[1]QUART!$A$2:$FA$300, 26, FALSE)="",":",VLOOKUP($E$46,[1]QUART!$A$2:$FA$300, 26, FALSE))</f>
        <v>:</v>
      </c>
      <c r="AB46" s="556" t="str">
        <f>IF(VLOOKUP($E$46,[1]QUART!$A$2:$FA$300, 27, FALSE)="",":",VLOOKUP($E$46,[1]QUART!$A$2:$FA$300, 27, FALSE))</f>
        <v>:</v>
      </c>
      <c r="AC46" s="556" t="str">
        <f>IF(VLOOKUP($E$46,[1]QUART!$A$2:$FA$300, 28, FALSE)="",":",VLOOKUP($E$46,[1]QUART!$A$2:$FA$300, 28, FALSE))</f>
        <v>:</v>
      </c>
      <c r="AD46" s="556" t="str">
        <f>IF(VLOOKUP($E$46,[1]QUART!$A$2:$FA$300, 29, FALSE)="",":",VLOOKUP($E$46,[1]QUART!$A$2:$FA$300, 29, FALSE))</f>
        <v>:</v>
      </c>
      <c r="AE46" s="556" t="str">
        <f>IF(VLOOKUP($E$46,[1]QUART!$A$2:$FA$300, 30, FALSE)="",":",VLOOKUP($E$46,[1]QUART!$A$2:$FA$300, 30, FALSE))</f>
        <v>:</v>
      </c>
      <c r="AF46" s="556" t="str">
        <f>IF(VLOOKUP($E$46,[1]QUART!$A$2:$FA$300, 31, FALSE)="",":",VLOOKUP($E$46,[1]QUART!$A$2:$FA$300, 31, FALSE))</f>
        <v>:</v>
      </c>
      <c r="AG46" s="556" t="str">
        <f>IF(VLOOKUP($E$46,[1]QUART!$A$2:$FA$300, 32, FALSE)="",":",VLOOKUP($E$46,[1]QUART!$A$2:$FA$300, 32, FALSE))</f>
        <v>:</v>
      </c>
      <c r="AH46" s="556" t="str">
        <f>IF(VLOOKUP($E$46,[1]QUART!$A$2:$FA$300, 33, FALSE)="",":",VLOOKUP($E$46,[1]QUART!$A$2:$FA$300, 33, FALSE))</f>
        <v>:</v>
      </c>
      <c r="AI46" s="556" t="str">
        <f>IF(VLOOKUP($E$46,[1]QUART!$A$2:$FA$300, 34, FALSE)="",":",VLOOKUP($E$46,[1]QUART!$A$2:$FA$300, 34, FALSE))</f>
        <v>:</v>
      </c>
      <c r="AJ46" s="556" t="str">
        <f>IF(VLOOKUP($E$46,[1]QUART!$A$2:$FA$300, 35, FALSE)="",":",VLOOKUP($E$46,[1]QUART!$A$2:$FA$300, 35, FALSE))</f>
        <v>:</v>
      </c>
      <c r="AK46" s="556" t="str">
        <f>IF(VLOOKUP($E$46,[1]QUART!$A$2:$FA$300, 36, FALSE)="",":",VLOOKUP($E$46,[1]QUART!$A$2:$FA$300, 36, FALSE))</f>
        <v>:</v>
      </c>
      <c r="AL46" s="556" t="str">
        <f>IF(VLOOKUP($E$46,[1]QUART!$A$2:$FA$300, 37, FALSE)="",":",VLOOKUP($E$46,[1]QUART!$A$2:$FA$300, 37, FALSE))</f>
        <v>:</v>
      </c>
      <c r="AM46" s="556" t="str">
        <f>IF(VLOOKUP($E$46,[1]QUART!$A$2:$FA$300, 38, FALSE)="",":",VLOOKUP($E$46,[1]QUART!$A$2:$FA$300, 38, FALSE))</f>
        <v>:</v>
      </c>
      <c r="AN46" s="556" t="str">
        <f>IF(VLOOKUP($E$46,[1]QUART!$A$2:$FA$300, 39, FALSE)="",":",VLOOKUP($E$46,[1]QUART!$A$2:$FA$300, 39, FALSE))</f>
        <v>:</v>
      </c>
      <c r="AO46" s="556" t="str">
        <f>IF(VLOOKUP($E$46,[1]QUART!$A$2:$FA$300, 40, FALSE)="",":",VLOOKUP($E$46,[1]QUART!$A$2:$FA$300, 40, FALSE))</f>
        <v>:</v>
      </c>
      <c r="AP46" s="556" t="str">
        <f>IF(VLOOKUP($E$46,[1]QUART!$A$2:$FA$300, 41, FALSE)="",":",VLOOKUP($E$46,[1]QUART!$A$2:$FA$300, 41, FALSE))</f>
        <v>:</v>
      </c>
      <c r="AQ46" s="556" t="str">
        <f>IF(VLOOKUP($E$46,[1]QUART!$A$2:$FA$300, 42, FALSE)="",":",VLOOKUP($E$46,[1]QUART!$A$2:$FA$300, 42, FALSE))</f>
        <v>:</v>
      </c>
      <c r="AR46" s="556" t="str">
        <f>IF(VLOOKUP($E$46,[1]QUART!$A$2:$FA$300, 43, FALSE)="",":",VLOOKUP($E$46,[1]QUART!$A$2:$FA$300, 43, FALSE))</f>
        <v>:</v>
      </c>
      <c r="AS46" s="556" t="str">
        <f>IF(VLOOKUP($E$46,[1]QUART!$A$2:$FA$300, 44, FALSE)="",":",VLOOKUP($E$46,[1]QUART!$A$2:$FA$300, 44, FALSE))</f>
        <v>:</v>
      </c>
      <c r="AT46" s="556" t="str">
        <f>IF(VLOOKUP($E$46,[1]QUART!$A$2:$FA$300, 45, FALSE)="",":",VLOOKUP($E$46,[1]QUART!$A$2:$FA$300, 45, FALSE))</f>
        <v>:</v>
      </c>
      <c r="AU46" s="556" t="str">
        <f>IF(VLOOKUP($E$46,[1]QUART!$A$2:$FA$300, 46, FALSE)="",":",VLOOKUP($E$46,[1]QUART!$A$2:$FA$300, 46, FALSE))</f>
        <v>:</v>
      </c>
      <c r="AV46" s="556" t="str">
        <f>IF(VLOOKUP($E$46,[1]QUART!$A$2:$FA$300, 47, FALSE)="",":",VLOOKUP($E$46,[1]QUART!$A$2:$FA$300, 47, FALSE))</f>
        <v>:</v>
      </c>
      <c r="AW46" s="556" t="str">
        <f>IF(VLOOKUP($E$46,[1]QUART!$A$2:$FA$300, 48, FALSE)="",":",VLOOKUP($E$46,[1]QUART!$A$2:$FA$300, 48, FALSE))</f>
        <v>:</v>
      </c>
      <c r="AX46" s="556" t="str">
        <f>IF(VLOOKUP($E$46,[1]QUART!$A$2:$FA$300, 49, FALSE)="",":",VLOOKUP($E$46,[1]QUART!$A$2:$FA$300, 49, FALSE))</f>
        <v>:</v>
      </c>
      <c r="AY46" s="556" t="str">
        <f>IF(VLOOKUP($E$46,[1]QUART!$A$2:$FA$300, 50, FALSE)="",":",VLOOKUP($E$46,[1]QUART!$A$2:$FA$300, 50, FALSE))</f>
        <v>:</v>
      </c>
      <c r="AZ46" s="556" t="str">
        <f>IF(VLOOKUP($E$46,[1]QUART!$A$2:$FA$300, 51, FALSE)="",":",VLOOKUP($E$46,[1]QUART!$A$2:$FA$300, 51, FALSE))</f>
        <v>:</v>
      </c>
      <c r="BA46" s="556" t="str">
        <f>IF(VLOOKUP($E$46,[1]QUART!$A$2:$FA$300, 52, FALSE)="",":",VLOOKUP($E$46,[1]QUART!$A$2:$FA$300, 52, FALSE))</f>
        <v>:</v>
      </c>
      <c r="BB46" s="556" t="str">
        <f>IF(VLOOKUP($E$46,[1]QUART!$A$2:$FA$300, 53, FALSE)="",":",VLOOKUP($E$46,[1]QUART!$A$2:$FA$300, 53, FALSE))</f>
        <v>:</v>
      </c>
      <c r="BC46" s="556" t="str">
        <f>IF(VLOOKUP($E$46,[1]QUART!$A$2:$FA$300, 54, FALSE)="",":",VLOOKUP($E$46,[1]QUART!$A$2:$FA$300, 54, FALSE))</f>
        <v>:</v>
      </c>
      <c r="BD46" s="556" t="str">
        <f>IF(VLOOKUP($E$46,[1]QUART!$A$2:$FA$300, 55, FALSE)="",":",VLOOKUP($E$46,[1]QUART!$A$2:$FA$300, 55, FALSE))</f>
        <v>:</v>
      </c>
      <c r="BE46" s="556" t="str">
        <f>IF(VLOOKUP($E$46,[1]QUART!$A$2:$FA$300, 56, FALSE)="",":",VLOOKUP($E$46,[1]QUART!$A$2:$FA$300, 56, FALSE))</f>
        <v>:</v>
      </c>
      <c r="BF46" s="556" t="str">
        <f>IF(VLOOKUP($E$46,[1]QUART!$A$2:$FA$300, 57, FALSE)="",":",VLOOKUP($E$46,[1]QUART!$A$2:$FA$300, 57, FALSE))</f>
        <v>:</v>
      </c>
      <c r="BG46" s="556" t="str">
        <f>IF(VLOOKUP($E$46,[1]QUART!$A$2:$FA$300, 58, FALSE)="",":",VLOOKUP($E$46,[1]QUART!$A$2:$FA$300, 58, FALSE))</f>
        <v>:</v>
      </c>
      <c r="BH46" s="556" t="str">
        <f>IF(VLOOKUP($E$46,[1]QUART!$A$2:$FA$300, 59, FALSE)="",":",VLOOKUP($E$46,[1]QUART!$A$2:$FA$300, 59, FALSE))</f>
        <v>:</v>
      </c>
      <c r="BI46" s="556" t="str">
        <f>IF(VLOOKUP($E$46,[1]QUART!$A$2:$FA$300, 60, FALSE)="",":",VLOOKUP($E$46,[1]QUART!$A$2:$FA$300, 60, FALSE))</f>
        <v>:</v>
      </c>
      <c r="BJ46" s="556" t="str">
        <f>IF(VLOOKUP($E$46,[1]QUART!$A$2:$FA$300, 61, FALSE)="",":",VLOOKUP($E$46,[1]QUART!$A$2:$FA$300, 61, FALSE))</f>
        <v>:</v>
      </c>
      <c r="BK46" s="556" t="str">
        <f>IF(VLOOKUP($E$46,[1]QUART!$A$2:$FA$300, 62, FALSE)="",":",VLOOKUP($E$46,[1]QUART!$A$2:$FA$300, 62, FALSE))</f>
        <v>:</v>
      </c>
      <c r="BL46" s="556" t="str">
        <f>IF(VLOOKUP($E$46,[1]QUART!$A$2:$FA$300, 63, FALSE)="",":",VLOOKUP($E$46,[1]QUART!$A$2:$FA$300, 63, FALSE))</f>
        <v>:</v>
      </c>
      <c r="BM46" s="556" t="str">
        <f>IF(VLOOKUP($E$46,[1]QUART!$A$2:$FA$300, 64, FALSE)="",":",VLOOKUP($E$46,[1]QUART!$A$2:$FA$300, 64, FALSE))</f>
        <v>:</v>
      </c>
      <c r="BN46" s="556" t="str">
        <f>IF(VLOOKUP($E$46,[1]QUART!$A$2:$FA$300, 65, FALSE)="",":",VLOOKUP($E$46,[1]QUART!$A$2:$FA$300, 65, FALSE))</f>
        <v>:</v>
      </c>
      <c r="BO46" s="556" t="str">
        <f>IF(VLOOKUP($E$46,[1]QUART!$A$2:$FA$300, 66, FALSE)="",":",VLOOKUP($E$46,[1]QUART!$A$2:$FA$300, 66, FALSE))</f>
        <v>:</v>
      </c>
      <c r="BP46" s="556" t="str">
        <f>IF(VLOOKUP($E$46,[1]QUART!$A$2:$FA$300, 67, FALSE)="",":",VLOOKUP($E$46,[1]QUART!$A$2:$FA$300, 67, FALSE))</f>
        <v>:</v>
      </c>
      <c r="BQ46" s="556" t="str">
        <f>IF(VLOOKUP($E$46,[1]QUART!$A$2:$FA$300, 68, FALSE)="",":",VLOOKUP($E$46,[1]QUART!$A$2:$FA$300, 68, FALSE))</f>
        <v>:</v>
      </c>
      <c r="BR46" s="556" t="str">
        <f>IF(VLOOKUP($E$46,[1]QUART!$A$2:$FA$300, 69, FALSE)="",":",VLOOKUP($E$46,[1]QUART!$A$2:$FA$300, 69, FALSE))</f>
        <v>:</v>
      </c>
      <c r="BS46" s="556" t="str">
        <f>IF(VLOOKUP($E$46,[1]QUART!$A$2:$FA$300, 70, FALSE)="",":",VLOOKUP($E$46,[1]QUART!$A$2:$FA$300, 70, FALSE))</f>
        <v>:</v>
      </c>
      <c r="BT46" s="556" t="str">
        <f>IF(VLOOKUP($E$46,[1]QUART!$A$2:$FA$300, 71, FALSE)="",":",VLOOKUP($E$46,[1]QUART!$A$2:$FA$300, 71, FALSE))</f>
        <v>:</v>
      </c>
      <c r="BU46" s="556" t="str">
        <f>IF(VLOOKUP($E$46,[1]QUART!$A$2:$FA$300, 72, FALSE)="",":",VLOOKUP($E$46,[1]QUART!$A$2:$FA$300, 72, FALSE))</f>
        <v>:</v>
      </c>
      <c r="BV46" s="556" t="str">
        <f>IF(VLOOKUP($E$46,[1]QUART!$A$2:$FA$300, 73, FALSE)="",":",VLOOKUP($E$46,[1]QUART!$A$2:$FA$300, 73, FALSE))</f>
        <v>:</v>
      </c>
      <c r="BW46" s="556" t="str">
        <f>IF(VLOOKUP($E$46,[1]QUART!$A$2:$FA$300, 74, FALSE)="",":",VLOOKUP($E$46,[1]QUART!$A$2:$FA$300, 74, FALSE))</f>
        <v>:</v>
      </c>
      <c r="BX46" s="556" t="str">
        <f>IF(VLOOKUP($E$46,[1]QUART!$A$2:$FA$300, 75, FALSE)="",":",VLOOKUP($E$46,[1]QUART!$A$2:$FA$300, 75, FALSE))</f>
        <v>:</v>
      </c>
      <c r="BY46" s="556" t="str">
        <f>IF(VLOOKUP($E$46,[1]QUART!$A$2:$FA$300, 76, FALSE)="",":",VLOOKUP($E$46,[1]QUART!$A$2:$FA$300, 76, FALSE))</f>
        <v>:</v>
      </c>
      <c r="BZ46" s="556" t="str">
        <f>IF(VLOOKUP($E$46,[1]QUART!$A$2:$FA$300, 77, FALSE)="",":",VLOOKUP($E$46,[1]QUART!$A$2:$FA$300, 77, FALSE))</f>
        <v>:</v>
      </c>
      <c r="CA46" s="556" t="str">
        <f>IF(VLOOKUP($E$46,[1]QUART!$A$2:$FA$300, 78, FALSE)="",":",VLOOKUP($E$46,[1]QUART!$A$2:$FA$300, 78, FALSE))</f>
        <v>:</v>
      </c>
      <c r="CB46" s="556" t="str">
        <f>IF(VLOOKUP($E$46,[1]QUART!$A$2:$FA$300, 79, FALSE)="",":",VLOOKUP($E$46,[1]QUART!$A$2:$FA$300, 79, FALSE))</f>
        <v>:</v>
      </c>
      <c r="CC46" s="556" t="str">
        <f>IF(VLOOKUP($E$46,[1]QUART!$A$2:$FA$300, 80, FALSE)="",":",VLOOKUP($E$46,[1]QUART!$A$2:$FA$300, 80, FALSE))</f>
        <v>:</v>
      </c>
      <c r="CD46" s="556" t="str">
        <f>IF(VLOOKUP($E$46,[1]QUART!$A$2:$FA$300, 81, FALSE)="",":",VLOOKUP($E$46,[1]QUART!$A$2:$FA$300, 81, FALSE))</f>
        <v>:</v>
      </c>
      <c r="CE46" s="556" t="str">
        <f>IF(VLOOKUP($E$46,[1]QUART!$A$2:$FA$300, 82, FALSE)="",":",VLOOKUP($E$46,[1]QUART!$A$2:$FA$300, 82, FALSE))</f>
        <v>:</v>
      </c>
      <c r="CF46" s="556" t="str">
        <f>IF(VLOOKUP($E$46,[1]QUART!$A$2:$FA$300, 83, FALSE)="",":",VLOOKUP($E$46,[1]QUART!$A$2:$FA$300, 83, FALSE))</f>
        <v>:</v>
      </c>
      <c r="CG46" s="556" t="str">
        <f>IF(VLOOKUP($E$46,[1]QUART!$A$2:$FA$300, 84, FALSE)="",":",VLOOKUP($E$46,[1]QUART!$A$2:$FA$300, 84, FALSE))</f>
        <v>:</v>
      </c>
      <c r="CH46" s="556" t="str">
        <f>IF(VLOOKUP($E$46,[1]QUART!$A$2:$FA$300, 85, FALSE)="",":",VLOOKUP($E$46,[1]QUART!$A$2:$FA$300, 85, FALSE))</f>
        <v>:</v>
      </c>
      <c r="CI46" s="556" t="str">
        <f>IF(VLOOKUP($E$46,[1]QUART!$A$2:$FA$300, 86, FALSE)="",":",VLOOKUP($E$46,[1]QUART!$A$2:$FA$300, 86, FALSE))</f>
        <v>:</v>
      </c>
      <c r="CJ46" s="556" t="str">
        <f>IF(VLOOKUP($E$46,[1]QUART!$A$2:$FA$300, 87, FALSE)="",":",VLOOKUP($E$46,[1]QUART!$A$2:$FA$300, 87, FALSE))</f>
        <v>:</v>
      </c>
      <c r="CK46" s="556" t="str">
        <f>IF(VLOOKUP($E$46,[1]QUART!$A$2:$FA$300, 88, FALSE)="",":",VLOOKUP($E$46,[1]QUART!$A$2:$FA$300, 88, FALSE))</f>
        <v>:</v>
      </c>
      <c r="CL46" s="556" t="str">
        <f>IF(VLOOKUP($E$46,[1]QUART!$A$2:$FA$300, 89, FALSE)="",":",VLOOKUP($E$46,[1]QUART!$A$2:$FA$300, 89, FALSE))</f>
        <v>:</v>
      </c>
      <c r="CM46" s="556" t="str">
        <f>IF(VLOOKUP($E$46,[1]QUART!$A$2:$FA$300, 90, FALSE)="",":",VLOOKUP($E$46,[1]QUART!$A$2:$FA$300, 90, FALSE))</f>
        <v>:</v>
      </c>
      <c r="CN46" s="556" t="str">
        <f>IF(VLOOKUP($E$46,[1]QUART!$A$2:$FA$300, 91, FALSE)="",":",VLOOKUP($E$46,[1]QUART!$A$2:$FA$300, 91, FALSE))</f>
        <v>:</v>
      </c>
      <c r="CO46" s="556" t="str">
        <f>IF(VLOOKUP($E$46,[1]QUART!$A$2:$FA$300, 92, FALSE)="",":",VLOOKUP($E$46,[1]QUART!$A$2:$FA$300, 92, FALSE))</f>
        <v>:</v>
      </c>
      <c r="CP46" s="556" t="str">
        <f>IF(VLOOKUP($E$46,[1]QUART!$A$2:$FA$300, 93, FALSE)="",":",VLOOKUP($E$46,[1]QUART!$A$2:$FA$300, 93, FALSE))</f>
        <v>:</v>
      </c>
      <c r="CQ46" s="556" t="str">
        <f>IF(VLOOKUP($E$46,[1]QUART!$A$2:$FA$300, 94, FALSE)="",":",VLOOKUP($E$46,[1]QUART!$A$2:$FA$300, 94, FALSE))</f>
        <v>:</v>
      </c>
      <c r="CR46" s="556" t="str">
        <f>IF(VLOOKUP($E$46,[1]QUART!$A$2:$FA$300, 95, FALSE)="",":",VLOOKUP($E$46,[1]QUART!$A$2:$FA$300, 95, FALSE))</f>
        <v>:</v>
      </c>
      <c r="CS46" s="556" t="str">
        <f>IF(VLOOKUP($E$46,[1]QUART!$A$2:$FA$300, 96, FALSE)="",":",VLOOKUP($E$46,[1]QUART!$A$2:$FA$300, 96, FALSE))</f>
        <v>:</v>
      </c>
      <c r="CT46" s="556" t="str">
        <f>IF(VLOOKUP($E$46,[1]QUART!$A$2:$FA$300, 97, FALSE)="",":",VLOOKUP($E$46,[1]QUART!$A$2:$FA$300, 97, FALSE))</f>
        <v>:</v>
      </c>
      <c r="CU46" s="556" t="str">
        <f>IF(VLOOKUP($E$46,[1]QUART!$A$2:$FA$300, 98, FALSE)="",":",VLOOKUP($E$46,[1]QUART!$A$2:$FA$300, 98, FALSE))</f>
        <v>:</v>
      </c>
      <c r="CV46" s="556" t="str">
        <f>IF(VLOOKUP($E$46,[1]QUART!$A$2:$FA$300, 99, FALSE)="",":",VLOOKUP($E$46,[1]QUART!$A$2:$FA$300, 99, FALSE))</f>
        <v>:</v>
      </c>
      <c r="CW46" s="556" t="str">
        <f>IF(VLOOKUP($E$46,[1]QUART!$A$2:$FA$300, 100, FALSE)="",":",VLOOKUP($E$46,[1]QUART!$A$2:$FA$300, 100, FALSE))</f>
        <v>:</v>
      </c>
      <c r="CX46" s="556" t="str">
        <f>IF(VLOOKUP($E$46,[1]QUART!$A$2:$FA$300, 101, FALSE)="",":",VLOOKUP($E$46,[1]QUART!$A$2:$FA$300, 101, FALSE))</f>
        <v>:</v>
      </c>
      <c r="CY46" s="556" t="str">
        <f>IF(VLOOKUP($E$46,[1]QUART!$A$2:$FA$300, 102, FALSE)="",":",VLOOKUP($E$46,[1]QUART!$A$2:$FA$300, 102, FALSE))</f>
        <v>:</v>
      </c>
      <c r="CZ46" s="556" t="str">
        <f>IF(VLOOKUP($E$46,[1]QUART!$A$2:$FA$300, 103, FALSE)="",":",VLOOKUP($E$46,[1]QUART!$A$2:$FA$300, 103, FALSE))</f>
        <v>:</v>
      </c>
      <c r="DA46" s="556" t="str">
        <f>IF(VLOOKUP($E$46,[1]QUART!$A$2:$FA$300, 104, FALSE)="",":",VLOOKUP($E$46,[1]QUART!$A$2:$FA$300, 104, FALSE))</f>
        <v>:</v>
      </c>
      <c r="DB46" s="556" t="str">
        <f>IF(VLOOKUP($E$46,[1]QUART!$A$2:$FA$300, 105, FALSE)="",":",VLOOKUP($E$46,[1]QUART!$A$2:$FA$300, 105, FALSE))</f>
        <v>:</v>
      </c>
      <c r="DC46" s="556" t="str">
        <f>IF(VLOOKUP($E$46,[1]QUART!$A$2:$FA$300, 106, FALSE)="",":",VLOOKUP($E$46,[1]QUART!$A$2:$FA$300, 106, FALSE))</f>
        <v>:</v>
      </c>
    </row>
    <row r="47" spans="1:107">
      <c r="A47" s="546"/>
      <c r="B47" s="546"/>
      <c r="C47" s="547"/>
      <c r="D47" s="12" t="s">
        <v>363</v>
      </c>
      <c r="E47" s="13">
        <v>113</v>
      </c>
      <c r="F47" s="14" t="str">
        <f>VLOOKUP($E$47,[1]QUART!$A$2:$FA$300, 3, FALSE)</f>
        <v xml:space="preserve">113  Exports of goods                              </v>
      </c>
      <c r="G47" s="556" t="str">
        <f>IF(VLOOKUP($E$47,[1]QUART!$A$2:$FA$300, 6, FALSE)="",":",VLOOKUP($E$47,[1]QUART!$A$2:$FA$300, 6, FALSE))</f>
        <v>:</v>
      </c>
      <c r="H47" s="556" t="str">
        <f>IF(VLOOKUP($E$47,[1]QUART!$A$2:$FA$300, 7, FALSE)="",":",VLOOKUP($E$47,[1]QUART!$A$2:$FA$300, 7, FALSE))</f>
        <v>:</v>
      </c>
      <c r="I47" s="556" t="str">
        <f>IF(VLOOKUP($E$47,[1]QUART!$A$2:$FA$300, 8, FALSE)="",":",VLOOKUP($E$47,[1]QUART!$A$2:$FA$300, 8, FALSE))</f>
        <v>:</v>
      </c>
      <c r="J47" s="556" t="str">
        <f>IF(VLOOKUP($E$47,[1]QUART!$A$2:$FA$300, 9, FALSE)="",":",VLOOKUP($E$47,[1]QUART!$A$2:$FA$300, 9, FALSE))</f>
        <v>:</v>
      </c>
      <c r="K47" s="556" t="str">
        <f>IF(VLOOKUP($E$47,[1]QUART!$A$2:$FA$300, 10, FALSE)="",":",VLOOKUP($E$47,[1]QUART!$A$2:$FA$300, 10, FALSE))</f>
        <v>:</v>
      </c>
      <c r="L47" s="556" t="str">
        <f>IF(VLOOKUP($E$47,[1]QUART!$A$2:$FA$300, 11, FALSE)="",":",VLOOKUP($E$47,[1]QUART!$A$2:$FA$300, 11, FALSE))</f>
        <v>:</v>
      </c>
      <c r="M47" s="556" t="str">
        <f>IF(VLOOKUP($E$47,[1]QUART!$A$2:$FA$300, 12, FALSE)="",":",VLOOKUP($E$47,[1]QUART!$A$2:$FA$300, 12, FALSE))</f>
        <v>:</v>
      </c>
      <c r="N47" s="556" t="str">
        <f>IF(VLOOKUP($E$47,[1]QUART!$A$2:$FA$300, 13, FALSE)="",":",VLOOKUP($E$47,[1]QUART!$A$2:$FA$300, 13, FALSE))</f>
        <v>:</v>
      </c>
      <c r="O47" s="556" t="str">
        <f>IF(VLOOKUP($E$47,[1]QUART!$A$2:$FA$300, 14, FALSE)="",":",VLOOKUP($E$47,[1]QUART!$A$2:$FA$300, 14, FALSE))</f>
        <v>:</v>
      </c>
      <c r="P47" s="556" t="str">
        <f>IF(VLOOKUP($E$47,[1]QUART!$A$2:$FA$300, 15, FALSE)="",":",VLOOKUP($E$47,[1]QUART!$A$2:$FA$300, 15, FALSE))</f>
        <v>:</v>
      </c>
      <c r="Q47" s="556" t="str">
        <f>IF(VLOOKUP($E$47,[1]QUART!$A$2:$FA$300, 16, FALSE)="",":",VLOOKUP($E$47,[1]QUART!$A$2:$FA$300, 16, FALSE))</f>
        <v>:</v>
      </c>
      <c r="R47" s="556" t="str">
        <f>IF(VLOOKUP($E$47,[1]QUART!$A$2:$FA$300, 17, FALSE)="",":",VLOOKUP($E$47,[1]QUART!$A$2:$FA$300, 17, FALSE))</f>
        <v>:</v>
      </c>
      <c r="S47" s="556" t="str">
        <f>IF(VLOOKUP($E$47,[1]QUART!$A$2:$FA$300, 18, FALSE)="",":",VLOOKUP($E$47,[1]QUART!$A$2:$FA$300, 18, FALSE))</f>
        <v>:</v>
      </c>
      <c r="T47" s="556" t="str">
        <f>IF(VLOOKUP($E$47,[1]QUART!$A$2:$FA$300, 19, FALSE)="",":",VLOOKUP($E$47,[1]QUART!$A$2:$FA$300, 19, FALSE))</f>
        <v>:</v>
      </c>
      <c r="U47" s="556" t="str">
        <f>IF(VLOOKUP($E$47,[1]QUART!$A$2:$FA$300, 20, FALSE)="",":",VLOOKUP($E$47,[1]QUART!$A$2:$FA$300, 20, FALSE))</f>
        <v>:</v>
      </c>
      <c r="V47" s="556" t="str">
        <f>IF(VLOOKUP($E$47,[1]QUART!$A$2:$FA$300, 21, FALSE)="",":",VLOOKUP($E$47,[1]QUART!$A$2:$FA$300, 21, FALSE))</f>
        <v>:</v>
      </c>
      <c r="W47" s="556" t="str">
        <f>IF(VLOOKUP($E$47,[1]QUART!$A$2:$FA$300, 22, FALSE)="",":",VLOOKUP($E$47,[1]QUART!$A$2:$FA$300, 22, FALSE))</f>
        <v>:</v>
      </c>
      <c r="X47" s="556" t="str">
        <f>IF(VLOOKUP($E$47,[1]QUART!$A$2:$FA$300, 23, FALSE)="",":",VLOOKUP($E$47,[1]QUART!$A$2:$FA$300, 23, FALSE))</f>
        <v>:</v>
      </c>
      <c r="Y47" s="556" t="str">
        <f>IF(VLOOKUP($E$47,[1]QUART!$A$2:$FA$300, 24, FALSE)="",":",VLOOKUP($E$47,[1]QUART!$A$2:$FA$300, 24, FALSE))</f>
        <v>:</v>
      </c>
      <c r="Z47" s="556" t="str">
        <f>IF(VLOOKUP($E$47,[1]QUART!$A$2:$FA$300, 25, FALSE)="",":",VLOOKUP($E$47,[1]QUART!$A$2:$FA$300, 25, FALSE))</f>
        <v>:</v>
      </c>
      <c r="AA47" s="556" t="str">
        <f>IF(VLOOKUP($E$47,[1]QUART!$A$2:$FA$300, 26, FALSE)="",":",VLOOKUP($E$47,[1]QUART!$A$2:$FA$300, 26, FALSE))</f>
        <v>:</v>
      </c>
      <c r="AB47" s="556" t="str">
        <f>IF(VLOOKUP($E$47,[1]QUART!$A$2:$FA$300, 27, FALSE)="",":",VLOOKUP($E$47,[1]QUART!$A$2:$FA$300, 27, FALSE))</f>
        <v>:</v>
      </c>
      <c r="AC47" s="556" t="str">
        <f>IF(VLOOKUP($E$47,[1]QUART!$A$2:$FA$300, 28, FALSE)="",":",VLOOKUP($E$47,[1]QUART!$A$2:$FA$300, 28, FALSE))</f>
        <v>:</v>
      </c>
      <c r="AD47" s="556" t="str">
        <f>IF(VLOOKUP($E$47,[1]QUART!$A$2:$FA$300, 29, FALSE)="",":",VLOOKUP($E$47,[1]QUART!$A$2:$FA$300, 29, FALSE))</f>
        <v>:</v>
      </c>
      <c r="AE47" s="556" t="str">
        <f>IF(VLOOKUP($E$47,[1]QUART!$A$2:$FA$300, 30, FALSE)="",":",VLOOKUP($E$47,[1]QUART!$A$2:$FA$300, 30, FALSE))</f>
        <v>:</v>
      </c>
      <c r="AF47" s="556" t="str">
        <f>IF(VLOOKUP($E$47,[1]QUART!$A$2:$FA$300, 31, FALSE)="",":",VLOOKUP($E$47,[1]QUART!$A$2:$FA$300, 31, FALSE))</f>
        <v>:</v>
      </c>
      <c r="AG47" s="556" t="str">
        <f>IF(VLOOKUP($E$47,[1]QUART!$A$2:$FA$300, 32, FALSE)="",":",VLOOKUP($E$47,[1]QUART!$A$2:$FA$300, 32, FALSE))</f>
        <v>:</v>
      </c>
      <c r="AH47" s="556" t="str">
        <f>IF(VLOOKUP($E$47,[1]QUART!$A$2:$FA$300, 33, FALSE)="",":",VLOOKUP($E$47,[1]QUART!$A$2:$FA$300, 33, FALSE))</f>
        <v>:</v>
      </c>
      <c r="AI47" s="556" t="str">
        <f>IF(VLOOKUP($E$47,[1]QUART!$A$2:$FA$300, 34, FALSE)="",":",VLOOKUP($E$47,[1]QUART!$A$2:$FA$300, 34, FALSE))</f>
        <v>:</v>
      </c>
      <c r="AJ47" s="556" t="str">
        <f>IF(VLOOKUP($E$47,[1]QUART!$A$2:$FA$300, 35, FALSE)="",":",VLOOKUP($E$47,[1]QUART!$A$2:$FA$300, 35, FALSE))</f>
        <v>:</v>
      </c>
      <c r="AK47" s="556" t="str">
        <f>IF(VLOOKUP($E$47,[1]QUART!$A$2:$FA$300, 36, FALSE)="",":",VLOOKUP($E$47,[1]QUART!$A$2:$FA$300, 36, FALSE))</f>
        <v>:</v>
      </c>
      <c r="AL47" s="556" t="str">
        <f>IF(VLOOKUP($E$47,[1]QUART!$A$2:$FA$300, 37, FALSE)="",":",VLOOKUP($E$47,[1]QUART!$A$2:$FA$300, 37, FALSE))</f>
        <v>:</v>
      </c>
      <c r="AM47" s="556" t="str">
        <f>IF(VLOOKUP($E$47,[1]QUART!$A$2:$FA$300, 38, FALSE)="",":",VLOOKUP($E$47,[1]QUART!$A$2:$FA$300, 38, FALSE))</f>
        <v>:</v>
      </c>
      <c r="AN47" s="556" t="str">
        <f>IF(VLOOKUP($E$47,[1]QUART!$A$2:$FA$300, 39, FALSE)="",":",VLOOKUP($E$47,[1]QUART!$A$2:$FA$300, 39, FALSE))</f>
        <v>:</v>
      </c>
      <c r="AO47" s="556" t="str">
        <f>IF(VLOOKUP($E$47,[1]QUART!$A$2:$FA$300, 40, FALSE)="",":",VLOOKUP($E$47,[1]QUART!$A$2:$FA$300, 40, FALSE))</f>
        <v>:</v>
      </c>
      <c r="AP47" s="556" t="str">
        <f>IF(VLOOKUP($E$47,[1]QUART!$A$2:$FA$300, 41, FALSE)="",":",VLOOKUP($E$47,[1]QUART!$A$2:$FA$300, 41, FALSE))</f>
        <v>:</v>
      </c>
      <c r="AQ47" s="556" t="str">
        <f>IF(VLOOKUP($E$47,[1]QUART!$A$2:$FA$300, 42, FALSE)="",":",VLOOKUP($E$47,[1]QUART!$A$2:$FA$300, 42, FALSE))</f>
        <v>:</v>
      </c>
      <c r="AR47" s="556" t="str">
        <f>IF(VLOOKUP($E$47,[1]QUART!$A$2:$FA$300, 43, FALSE)="",":",VLOOKUP($E$47,[1]QUART!$A$2:$FA$300, 43, FALSE))</f>
        <v>:</v>
      </c>
      <c r="AS47" s="556" t="str">
        <f>IF(VLOOKUP($E$47,[1]QUART!$A$2:$FA$300, 44, FALSE)="",":",VLOOKUP($E$47,[1]QUART!$A$2:$FA$300, 44, FALSE))</f>
        <v>:</v>
      </c>
      <c r="AT47" s="556" t="str">
        <f>IF(VLOOKUP($E$47,[1]QUART!$A$2:$FA$300, 45, FALSE)="",":",VLOOKUP($E$47,[1]QUART!$A$2:$FA$300, 45, FALSE))</f>
        <v>:</v>
      </c>
      <c r="AU47" s="556" t="str">
        <f>IF(VLOOKUP($E$47,[1]QUART!$A$2:$FA$300, 46, FALSE)="",":",VLOOKUP($E$47,[1]QUART!$A$2:$FA$300, 46, FALSE))</f>
        <v>:</v>
      </c>
      <c r="AV47" s="556" t="str">
        <f>IF(VLOOKUP($E$47,[1]QUART!$A$2:$FA$300, 47, FALSE)="",":",VLOOKUP($E$47,[1]QUART!$A$2:$FA$300, 47, FALSE))</f>
        <v>:</v>
      </c>
      <c r="AW47" s="556" t="str">
        <f>IF(VLOOKUP($E$47,[1]QUART!$A$2:$FA$300, 48, FALSE)="",":",VLOOKUP($E$47,[1]QUART!$A$2:$FA$300, 48, FALSE))</f>
        <v>:</v>
      </c>
      <c r="AX47" s="556" t="str">
        <f>IF(VLOOKUP($E$47,[1]QUART!$A$2:$FA$300, 49, FALSE)="",":",VLOOKUP($E$47,[1]QUART!$A$2:$FA$300, 49, FALSE))</f>
        <v>:</v>
      </c>
      <c r="AY47" s="556" t="str">
        <f>IF(VLOOKUP($E$47,[1]QUART!$A$2:$FA$300, 50, FALSE)="",":",VLOOKUP($E$47,[1]QUART!$A$2:$FA$300, 50, FALSE))</f>
        <v>:</v>
      </c>
      <c r="AZ47" s="556" t="str">
        <f>IF(VLOOKUP($E$47,[1]QUART!$A$2:$FA$300, 51, FALSE)="",":",VLOOKUP($E$47,[1]QUART!$A$2:$FA$300, 51, FALSE))</f>
        <v>:</v>
      </c>
      <c r="BA47" s="556" t="str">
        <f>IF(VLOOKUP($E$47,[1]QUART!$A$2:$FA$300, 52, FALSE)="",":",VLOOKUP($E$47,[1]QUART!$A$2:$FA$300, 52, FALSE))</f>
        <v>:</v>
      </c>
      <c r="BB47" s="556" t="str">
        <f>IF(VLOOKUP($E$47,[1]QUART!$A$2:$FA$300, 53, FALSE)="",":",VLOOKUP($E$47,[1]QUART!$A$2:$FA$300, 53, FALSE))</f>
        <v>:</v>
      </c>
      <c r="BC47" s="556" t="str">
        <f>IF(VLOOKUP($E$47,[1]QUART!$A$2:$FA$300, 54, FALSE)="",":",VLOOKUP($E$47,[1]QUART!$A$2:$FA$300, 54, FALSE))</f>
        <v>:</v>
      </c>
      <c r="BD47" s="556" t="str">
        <f>IF(VLOOKUP($E$47,[1]QUART!$A$2:$FA$300, 55, FALSE)="",":",VLOOKUP($E$47,[1]QUART!$A$2:$FA$300, 55, FALSE))</f>
        <v>:</v>
      </c>
      <c r="BE47" s="556" t="str">
        <f>IF(VLOOKUP($E$47,[1]QUART!$A$2:$FA$300, 56, FALSE)="",":",VLOOKUP($E$47,[1]QUART!$A$2:$FA$300, 56, FALSE))</f>
        <v>:</v>
      </c>
      <c r="BF47" s="556" t="str">
        <f>IF(VLOOKUP($E$47,[1]QUART!$A$2:$FA$300, 57, FALSE)="",":",VLOOKUP($E$47,[1]QUART!$A$2:$FA$300, 57, FALSE))</f>
        <v>:</v>
      </c>
      <c r="BG47" s="556" t="str">
        <f>IF(VLOOKUP($E$47,[1]QUART!$A$2:$FA$300, 58, FALSE)="",":",VLOOKUP($E$47,[1]QUART!$A$2:$FA$300, 58, FALSE))</f>
        <v>:</v>
      </c>
      <c r="BH47" s="556" t="str">
        <f>IF(VLOOKUP($E$47,[1]QUART!$A$2:$FA$300, 59, FALSE)="",":",VLOOKUP($E$47,[1]QUART!$A$2:$FA$300, 59, FALSE))</f>
        <v>:</v>
      </c>
      <c r="BI47" s="556" t="str">
        <f>IF(VLOOKUP($E$47,[1]QUART!$A$2:$FA$300, 60, FALSE)="",":",VLOOKUP($E$47,[1]QUART!$A$2:$FA$300, 60, FALSE))</f>
        <v>:</v>
      </c>
      <c r="BJ47" s="556" t="str">
        <f>IF(VLOOKUP($E$47,[1]QUART!$A$2:$FA$300, 61, FALSE)="",":",VLOOKUP($E$47,[1]QUART!$A$2:$FA$300, 61, FALSE))</f>
        <v>:</v>
      </c>
      <c r="BK47" s="556" t="str">
        <f>IF(VLOOKUP($E$47,[1]QUART!$A$2:$FA$300, 62, FALSE)="",":",VLOOKUP($E$47,[1]QUART!$A$2:$FA$300, 62, FALSE))</f>
        <v>:</v>
      </c>
      <c r="BL47" s="556" t="str">
        <f>IF(VLOOKUP($E$47,[1]QUART!$A$2:$FA$300, 63, FALSE)="",":",VLOOKUP($E$47,[1]QUART!$A$2:$FA$300, 63, FALSE))</f>
        <v>:</v>
      </c>
      <c r="BM47" s="556" t="str">
        <f>IF(VLOOKUP($E$47,[1]QUART!$A$2:$FA$300, 64, FALSE)="",":",VLOOKUP($E$47,[1]QUART!$A$2:$FA$300, 64, FALSE))</f>
        <v>:</v>
      </c>
      <c r="BN47" s="556" t="str">
        <f>IF(VLOOKUP($E$47,[1]QUART!$A$2:$FA$300, 65, FALSE)="",":",VLOOKUP($E$47,[1]QUART!$A$2:$FA$300, 65, FALSE))</f>
        <v>:</v>
      </c>
      <c r="BO47" s="556" t="str">
        <f>IF(VLOOKUP($E$47,[1]QUART!$A$2:$FA$300, 66, FALSE)="",":",VLOOKUP($E$47,[1]QUART!$A$2:$FA$300, 66, FALSE))</f>
        <v>:</v>
      </c>
      <c r="BP47" s="556" t="str">
        <f>IF(VLOOKUP($E$47,[1]QUART!$A$2:$FA$300, 67, FALSE)="",":",VLOOKUP($E$47,[1]QUART!$A$2:$FA$300, 67, FALSE))</f>
        <v>:</v>
      </c>
      <c r="BQ47" s="556" t="str">
        <f>IF(VLOOKUP($E$47,[1]QUART!$A$2:$FA$300, 68, FALSE)="",":",VLOOKUP($E$47,[1]QUART!$A$2:$FA$300, 68, FALSE))</f>
        <v>:</v>
      </c>
      <c r="BR47" s="556" t="str">
        <f>IF(VLOOKUP($E$47,[1]QUART!$A$2:$FA$300, 69, FALSE)="",":",VLOOKUP($E$47,[1]QUART!$A$2:$FA$300, 69, FALSE))</f>
        <v>:</v>
      </c>
      <c r="BS47" s="556" t="str">
        <f>IF(VLOOKUP($E$47,[1]QUART!$A$2:$FA$300, 70, FALSE)="",":",VLOOKUP($E$47,[1]QUART!$A$2:$FA$300, 70, FALSE))</f>
        <v>:</v>
      </c>
      <c r="BT47" s="556" t="str">
        <f>IF(VLOOKUP($E$47,[1]QUART!$A$2:$FA$300, 71, FALSE)="",":",VLOOKUP($E$47,[1]QUART!$A$2:$FA$300, 71, FALSE))</f>
        <v>:</v>
      </c>
      <c r="BU47" s="556" t="str">
        <f>IF(VLOOKUP($E$47,[1]QUART!$A$2:$FA$300, 72, FALSE)="",":",VLOOKUP($E$47,[1]QUART!$A$2:$FA$300, 72, FALSE))</f>
        <v>:</v>
      </c>
      <c r="BV47" s="556" t="str">
        <f>IF(VLOOKUP($E$47,[1]QUART!$A$2:$FA$300, 73, FALSE)="",":",VLOOKUP($E$47,[1]QUART!$A$2:$FA$300, 73, FALSE))</f>
        <v>:</v>
      </c>
      <c r="BW47" s="556" t="str">
        <f>IF(VLOOKUP($E$47,[1]QUART!$A$2:$FA$300, 74, FALSE)="",":",VLOOKUP($E$47,[1]QUART!$A$2:$FA$300, 74, FALSE))</f>
        <v>:</v>
      </c>
      <c r="BX47" s="556" t="str">
        <f>IF(VLOOKUP($E$47,[1]QUART!$A$2:$FA$300, 75, FALSE)="",":",VLOOKUP($E$47,[1]QUART!$A$2:$FA$300, 75, FALSE))</f>
        <v>:</v>
      </c>
      <c r="BY47" s="556" t="str">
        <f>IF(VLOOKUP($E$47,[1]QUART!$A$2:$FA$300, 76, FALSE)="",":",VLOOKUP($E$47,[1]QUART!$A$2:$FA$300, 76, FALSE))</f>
        <v>:</v>
      </c>
      <c r="BZ47" s="556" t="str">
        <f>IF(VLOOKUP($E$47,[1]QUART!$A$2:$FA$300, 77, FALSE)="",":",VLOOKUP($E$47,[1]QUART!$A$2:$FA$300, 77, FALSE))</f>
        <v>:</v>
      </c>
      <c r="CA47" s="556" t="str">
        <f>IF(VLOOKUP($E$47,[1]QUART!$A$2:$FA$300, 78, FALSE)="",":",VLOOKUP($E$47,[1]QUART!$A$2:$FA$300, 78, FALSE))</f>
        <v>:</v>
      </c>
      <c r="CB47" s="556" t="str">
        <f>IF(VLOOKUP($E$47,[1]QUART!$A$2:$FA$300, 79, FALSE)="",":",VLOOKUP($E$47,[1]QUART!$A$2:$FA$300, 79, FALSE))</f>
        <v>:</v>
      </c>
      <c r="CC47" s="556" t="str">
        <f>IF(VLOOKUP($E$47,[1]QUART!$A$2:$FA$300, 80, FALSE)="",":",VLOOKUP($E$47,[1]QUART!$A$2:$FA$300, 80, FALSE))</f>
        <v>:</v>
      </c>
      <c r="CD47" s="556" t="str">
        <f>IF(VLOOKUP($E$47,[1]QUART!$A$2:$FA$300, 81, FALSE)="",":",VLOOKUP($E$47,[1]QUART!$A$2:$FA$300, 81, FALSE))</f>
        <v>:</v>
      </c>
      <c r="CE47" s="556" t="str">
        <f>IF(VLOOKUP($E$47,[1]QUART!$A$2:$FA$300, 82, FALSE)="",":",VLOOKUP($E$47,[1]QUART!$A$2:$FA$300, 82, FALSE))</f>
        <v>:</v>
      </c>
      <c r="CF47" s="556" t="str">
        <f>IF(VLOOKUP($E$47,[1]QUART!$A$2:$FA$300, 83, FALSE)="",":",VLOOKUP($E$47,[1]QUART!$A$2:$FA$300, 83, FALSE))</f>
        <v>:</v>
      </c>
      <c r="CG47" s="556" t="str">
        <f>IF(VLOOKUP($E$47,[1]QUART!$A$2:$FA$300, 84, FALSE)="",":",VLOOKUP($E$47,[1]QUART!$A$2:$FA$300, 84, FALSE))</f>
        <v>:</v>
      </c>
      <c r="CH47" s="556" t="str">
        <f>IF(VLOOKUP($E$47,[1]QUART!$A$2:$FA$300, 85, FALSE)="",":",VLOOKUP($E$47,[1]QUART!$A$2:$FA$300, 85, FALSE))</f>
        <v>:</v>
      </c>
      <c r="CI47" s="556" t="str">
        <f>IF(VLOOKUP($E$47,[1]QUART!$A$2:$FA$300, 86, FALSE)="",":",VLOOKUP($E$47,[1]QUART!$A$2:$FA$300, 86, FALSE))</f>
        <v>:</v>
      </c>
      <c r="CJ47" s="556" t="str">
        <f>IF(VLOOKUP($E$47,[1]QUART!$A$2:$FA$300, 87, FALSE)="",":",VLOOKUP($E$47,[1]QUART!$A$2:$FA$300, 87, FALSE))</f>
        <v>:</v>
      </c>
      <c r="CK47" s="556" t="str">
        <f>IF(VLOOKUP($E$47,[1]QUART!$A$2:$FA$300, 88, FALSE)="",":",VLOOKUP($E$47,[1]QUART!$A$2:$FA$300, 88, FALSE))</f>
        <v>:</v>
      </c>
      <c r="CL47" s="556" t="str">
        <f>IF(VLOOKUP($E$47,[1]QUART!$A$2:$FA$300, 89, FALSE)="",":",VLOOKUP($E$47,[1]QUART!$A$2:$FA$300, 89, FALSE))</f>
        <v>:</v>
      </c>
      <c r="CM47" s="556" t="str">
        <f>IF(VLOOKUP($E$47,[1]QUART!$A$2:$FA$300, 90, FALSE)="",":",VLOOKUP($E$47,[1]QUART!$A$2:$FA$300, 90, FALSE))</f>
        <v>:</v>
      </c>
      <c r="CN47" s="556" t="str">
        <f>IF(VLOOKUP($E$47,[1]QUART!$A$2:$FA$300, 91, FALSE)="",":",VLOOKUP($E$47,[1]QUART!$A$2:$FA$300, 91, FALSE))</f>
        <v>:</v>
      </c>
      <c r="CO47" s="556" t="str">
        <f>IF(VLOOKUP($E$47,[1]QUART!$A$2:$FA$300, 92, FALSE)="",":",VLOOKUP($E$47,[1]QUART!$A$2:$FA$300, 92, FALSE))</f>
        <v>:</v>
      </c>
      <c r="CP47" s="556" t="str">
        <f>IF(VLOOKUP($E$47,[1]QUART!$A$2:$FA$300, 93, FALSE)="",":",VLOOKUP($E$47,[1]QUART!$A$2:$FA$300, 93, FALSE))</f>
        <v>:</v>
      </c>
      <c r="CQ47" s="556" t="str">
        <f>IF(VLOOKUP($E$47,[1]QUART!$A$2:$FA$300, 94, FALSE)="",":",VLOOKUP($E$47,[1]QUART!$A$2:$FA$300, 94, FALSE))</f>
        <v>:</v>
      </c>
      <c r="CR47" s="556" t="str">
        <f>IF(VLOOKUP($E$47,[1]QUART!$A$2:$FA$300, 95, FALSE)="",":",VLOOKUP($E$47,[1]QUART!$A$2:$FA$300, 95, FALSE))</f>
        <v>:</v>
      </c>
      <c r="CS47" s="556" t="str">
        <f>IF(VLOOKUP($E$47,[1]QUART!$A$2:$FA$300, 96, FALSE)="",":",VLOOKUP($E$47,[1]QUART!$A$2:$FA$300, 96, FALSE))</f>
        <v>:</v>
      </c>
      <c r="CT47" s="556" t="str">
        <f>IF(VLOOKUP($E$47,[1]QUART!$A$2:$FA$300, 97, FALSE)="",":",VLOOKUP($E$47,[1]QUART!$A$2:$FA$300, 97, FALSE))</f>
        <v>:</v>
      </c>
      <c r="CU47" s="556" t="str">
        <f>IF(VLOOKUP($E$47,[1]QUART!$A$2:$FA$300, 98, FALSE)="",":",VLOOKUP($E$47,[1]QUART!$A$2:$FA$300, 98, FALSE))</f>
        <v>:</v>
      </c>
      <c r="CV47" s="556" t="str">
        <f>IF(VLOOKUP($E$47,[1]QUART!$A$2:$FA$300, 99, FALSE)="",":",VLOOKUP($E$47,[1]QUART!$A$2:$FA$300, 99, FALSE))</f>
        <v>:</v>
      </c>
      <c r="CW47" s="556" t="str">
        <f>IF(VLOOKUP($E$47,[1]QUART!$A$2:$FA$300, 100, FALSE)="",":",VLOOKUP($E$47,[1]QUART!$A$2:$FA$300, 100, FALSE))</f>
        <v>:</v>
      </c>
      <c r="CX47" s="556" t="str">
        <f>IF(VLOOKUP($E$47,[1]QUART!$A$2:$FA$300, 101, FALSE)="",":",VLOOKUP($E$47,[1]QUART!$A$2:$FA$300, 101, FALSE))</f>
        <v>:</v>
      </c>
      <c r="CY47" s="556" t="str">
        <f>IF(VLOOKUP($E$47,[1]QUART!$A$2:$FA$300, 102, FALSE)="",":",VLOOKUP($E$47,[1]QUART!$A$2:$FA$300, 102, FALSE))</f>
        <v>:</v>
      </c>
      <c r="CZ47" s="556" t="str">
        <f>IF(VLOOKUP($E$47,[1]QUART!$A$2:$FA$300, 103, FALSE)="",":",VLOOKUP($E$47,[1]QUART!$A$2:$FA$300, 103, FALSE))</f>
        <v>:</v>
      </c>
      <c r="DA47" s="556" t="str">
        <f>IF(VLOOKUP($E$47,[1]QUART!$A$2:$FA$300, 104, FALSE)="",":",VLOOKUP($E$47,[1]QUART!$A$2:$FA$300, 104, FALSE))</f>
        <v>:</v>
      </c>
      <c r="DB47" s="556" t="str">
        <f>IF(VLOOKUP($E$47,[1]QUART!$A$2:$FA$300, 105, FALSE)="",":",VLOOKUP($E$47,[1]QUART!$A$2:$FA$300, 105, FALSE))</f>
        <v>:</v>
      </c>
      <c r="DC47" s="556" t="str">
        <f>IF(VLOOKUP($E$47,[1]QUART!$A$2:$FA$300, 106, FALSE)="",":",VLOOKUP($E$47,[1]QUART!$A$2:$FA$300, 106, FALSE))</f>
        <v>:</v>
      </c>
    </row>
    <row r="48" spans="1:107">
      <c r="A48" s="546"/>
      <c r="B48" s="546"/>
      <c r="C48" s="547"/>
      <c r="D48" s="12" t="s">
        <v>363</v>
      </c>
      <c r="E48" s="13">
        <v>114</v>
      </c>
      <c r="F48" s="14" t="str">
        <f>VLOOKUP($E$48,[1]QUART!$A$2:$FA$300, 3, FALSE)</f>
        <v xml:space="preserve">114  Exports of services                                                   </v>
      </c>
      <c r="G48" s="556" t="str">
        <f>IF(VLOOKUP($E$48,[1]QUART!$A$2:$FA$300, 6, FALSE)="",":",VLOOKUP($E$48,[1]QUART!$A$2:$FA$300, 6, FALSE))</f>
        <v>:</v>
      </c>
      <c r="H48" s="556" t="str">
        <f>IF(VLOOKUP($E$48,[1]QUART!$A$2:$FA$300, 7, FALSE)="",":",VLOOKUP($E$48,[1]QUART!$A$2:$FA$300, 7, FALSE))</f>
        <v>:</v>
      </c>
      <c r="I48" s="556" t="str">
        <f>IF(VLOOKUP($E$48,[1]QUART!$A$2:$FA$300, 8, FALSE)="",":",VLOOKUP($E$48,[1]QUART!$A$2:$FA$300, 8, FALSE))</f>
        <v>:</v>
      </c>
      <c r="J48" s="556" t="str">
        <f>IF(VLOOKUP($E$48,[1]QUART!$A$2:$FA$300, 9, FALSE)="",":",VLOOKUP($E$48,[1]QUART!$A$2:$FA$300, 9, FALSE))</f>
        <v>:</v>
      </c>
      <c r="K48" s="556" t="str">
        <f>IF(VLOOKUP($E$48,[1]QUART!$A$2:$FA$300, 10, FALSE)="",":",VLOOKUP($E$48,[1]QUART!$A$2:$FA$300, 10, FALSE))</f>
        <v>:</v>
      </c>
      <c r="L48" s="556" t="str">
        <f>IF(VLOOKUP($E$48,[1]QUART!$A$2:$FA$300, 11, FALSE)="",":",VLOOKUP($E$48,[1]QUART!$A$2:$FA$300, 11, FALSE))</f>
        <v>:</v>
      </c>
      <c r="M48" s="556" t="str">
        <f>IF(VLOOKUP($E$48,[1]QUART!$A$2:$FA$300, 12, FALSE)="",":",VLOOKUP($E$48,[1]QUART!$A$2:$FA$300, 12, FALSE))</f>
        <v>:</v>
      </c>
      <c r="N48" s="556" t="str">
        <f>IF(VLOOKUP($E$48,[1]QUART!$A$2:$FA$300, 13, FALSE)="",":",VLOOKUP($E$48,[1]QUART!$A$2:$FA$300, 13, FALSE))</f>
        <v>:</v>
      </c>
      <c r="O48" s="556" t="str">
        <f>IF(VLOOKUP($E$48,[1]QUART!$A$2:$FA$300, 14, FALSE)="",":",VLOOKUP($E$48,[1]QUART!$A$2:$FA$300, 14, FALSE))</f>
        <v>:</v>
      </c>
      <c r="P48" s="556" t="str">
        <f>IF(VLOOKUP($E$48,[1]QUART!$A$2:$FA$300, 15, FALSE)="",":",VLOOKUP($E$48,[1]QUART!$A$2:$FA$300, 15, FALSE))</f>
        <v>:</v>
      </c>
      <c r="Q48" s="556" t="str">
        <f>IF(VLOOKUP($E$48,[1]QUART!$A$2:$FA$300, 16, FALSE)="",":",VLOOKUP($E$48,[1]QUART!$A$2:$FA$300, 16, FALSE))</f>
        <v>:</v>
      </c>
      <c r="R48" s="556" t="str">
        <f>IF(VLOOKUP($E$48,[1]QUART!$A$2:$FA$300, 17, FALSE)="",":",VLOOKUP($E$48,[1]QUART!$A$2:$FA$300, 17, FALSE))</f>
        <v>:</v>
      </c>
      <c r="S48" s="556" t="str">
        <f>IF(VLOOKUP($E$48,[1]QUART!$A$2:$FA$300, 18, FALSE)="",":",VLOOKUP($E$48,[1]QUART!$A$2:$FA$300, 18, FALSE))</f>
        <v>:</v>
      </c>
      <c r="T48" s="556" t="str">
        <f>IF(VLOOKUP($E$48,[1]QUART!$A$2:$FA$300, 19, FALSE)="",":",VLOOKUP($E$48,[1]QUART!$A$2:$FA$300, 19, FALSE))</f>
        <v>:</v>
      </c>
      <c r="U48" s="556" t="str">
        <f>IF(VLOOKUP($E$48,[1]QUART!$A$2:$FA$300, 20, FALSE)="",":",VLOOKUP($E$48,[1]QUART!$A$2:$FA$300, 20, FALSE))</f>
        <v>:</v>
      </c>
      <c r="V48" s="556" t="str">
        <f>IF(VLOOKUP($E$48,[1]QUART!$A$2:$FA$300, 21, FALSE)="",":",VLOOKUP($E$48,[1]QUART!$A$2:$FA$300, 21, FALSE))</f>
        <v>:</v>
      </c>
      <c r="W48" s="556" t="str">
        <f>IF(VLOOKUP($E$48,[1]QUART!$A$2:$FA$300, 22, FALSE)="",":",VLOOKUP($E$48,[1]QUART!$A$2:$FA$300, 22, FALSE))</f>
        <v>:</v>
      </c>
      <c r="X48" s="556" t="str">
        <f>IF(VLOOKUP($E$48,[1]QUART!$A$2:$FA$300, 23, FALSE)="",":",VLOOKUP($E$48,[1]QUART!$A$2:$FA$300, 23, FALSE))</f>
        <v>:</v>
      </c>
      <c r="Y48" s="556" t="str">
        <f>IF(VLOOKUP($E$48,[1]QUART!$A$2:$FA$300, 24, FALSE)="",":",VLOOKUP($E$48,[1]QUART!$A$2:$FA$300, 24, FALSE))</f>
        <v>:</v>
      </c>
      <c r="Z48" s="556" t="str">
        <f>IF(VLOOKUP($E$48,[1]QUART!$A$2:$FA$300, 25, FALSE)="",":",VLOOKUP($E$48,[1]QUART!$A$2:$FA$300, 25, FALSE))</f>
        <v>:</v>
      </c>
      <c r="AA48" s="556" t="str">
        <f>IF(VLOOKUP($E$48,[1]QUART!$A$2:$FA$300, 26, FALSE)="",":",VLOOKUP($E$48,[1]QUART!$A$2:$FA$300, 26, FALSE))</f>
        <v>:</v>
      </c>
      <c r="AB48" s="556" t="str">
        <f>IF(VLOOKUP($E$48,[1]QUART!$A$2:$FA$300, 27, FALSE)="",":",VLOOKUP($E$48,[1]QUART!$A$2:$FA$300, 27, FALSE))</f>
        <v>:</v>
      </c>
      <c r="AC48" s="556" t="str">
        <f>IF(VLOOKUP($E$48,[1]QUART!$A$2:$FA$300, 28, FALSE)="",":",VLOOKUP($E$48,[1]QUART!$A$2:$FA$300, 28, FALSE))</f>
        <v>:</v>
      </c>
      <c r="AD48" s="556" t="str">
        <f>IF(VLOOKUP($E$48,[1]QUART!$A$2:$FA$300, 29, FALSE)="",":",VLOOKUP($E$48,[1]QUART!$A$2:$FA$300, 29, FALSE))</f>
        <v>:</v>
      </c>
      <c r="AE48" s="556" t="str">
        <f>IF(VLOOKUP($E$48,[1]QUART!$A$2:$FA$300, 30, FALSE)="",":",VLOOKUP($E$48,[1]QUART!$A$2:$FA$300, 30, FALSE))</f>
        <v>:</v>
      </c>
      <c r="AF48" s="556" t="str">
        <f>IF(VLOOKUP($E$48,[1]QUART!$A$2:$FA$300, 31, FALSE)="",":",VLOOKUP($E$48,[1]QUART!$A$2:$FA$300, 31, FALSE))</f>
        <v>:</v>
      </c>
      <c r="AG48" s="556" t="str">
        <f>IF(VLOOKUP($E$48,[1]QUART!$A$2:$FA$300, 32, FALSE)="",":",VLOOKUP($E$48,[1]QUART!$A$2:$FA$300, 32, FALSE))</f>
        <v>:</v>
      </c>
      <c r="AH48" s="556" t="str">
        <f>IF(VLOOKUP($E$48,[1]QUART!$A$2:$FA$300, 33, FALSE)="",":",VLOOKUP($E$48,[1]QUART!$A$2:$FA$300, 33, FALSE))</f>
        <v>:</v>
      </c>
      <c r="AI48" s="556" t="str">
        <f>IF(VLOOKUP($E$48,[1]QUART!$A$2:$FA$300, 34, FALSE)="",":",VLOOKUP($E$48,[1]QUART!$A$2:$FA$300, 34, FALSE))</f>
        <v>:</v>
      </c>
      <c r="AJ48" s="556" t="str">
        <f>IF(VLOOKUP($E$48,[1]QUART!$A$2:$FA$300, 35, FALSE)="",":",VLOOKUP($E$48,[1]QUART!$A$2:$FA$300, 35, FALSE))</f>
        <v>:</v>
      </c>
      <c r="AK48" s="556" t="str">
        <f>IF(VLOOKUP($E$48,[1]QUART!$A$2:$FA$300, 36, FALSE)="",":",VLOOKUP($E$48,[1]QUART!$A$2:$FA$300, 36, FALSE))</f>
        <v>:</v>
      </c>
      <c r="AL48" s="556" t="str">
        <f>IF(VLOOKUP($E$48,[1]QUART!$A$2:$FA$300, 37, FALSE)="",":",VLOOKUP($E$48,[1]QUART!$A$2:$FA$300, 37, FALSE))</f>
        <v>:</v>
      </c>
      <c r="AM48" s="556" t="str">
        <f>IF(VLOOKUP($E$48,[1]QUART!$A$2:$FA$300, 38, FALSE)="",":",VLOOKUP($E$48,[1]QUART!$A$2:$FA$300, 38, FALSE))</f>
        <v>:</v>
      </c>
      <c r="AN48" s="556" t="str">
        <f>IF(VLOOKUP($E$48,[1]QUART!$A$2:$FA$300, 39, FALSE)="",":",VLOOKUP($E$48,[1]QUART!$A$2:$FA$300, 39, FALSE))</f>
        <v>:</v>
      </c>
      <c r="AO48" s="556" t="str">
        <f>IF(VLOOKUP($E$48,[1]QUART!$A$2:$FA$300, 40, FALSE)="",":",VLOOKUP($E$48,[1]QUART!$A$2:$FA$300, 40, FALSE))</f>
        <v>:</v>
      </c>
      <c r="AP48" s="556" t="str">
        <f>IF(VLOOKUP($E$48,[1]QUART!$A$2:$FA$300, 41, FALSE)="",":",VLOOKUP($E$48,[1]QUART!$A$2:$FA$300, 41, FALSE))</f>
        <v>:</v>
      </c>
      <c r="AQ48" s="556" t="str">
        <f>IF(VLOOKUP($E$48,[1]QUART!$A$2:$FA$300, 42, FALSE)="",":",VLOOKUP($E$48,[1]QUART!$A$2:$FA$300, 42, FALSE))</f>
        <v>:</v>
      </c>
      <c r="AR48" s="556" t="str">
        <f>IF(VLOOKUP($E$48,[1]QUART!$A$2:$FA$300, 43, FALSE)="",":",VLOOKUP($E$48,[1]QUART!$A$2:$FA$300, 43, FALSE))</f>
        <v>:</v>
      </c>
      <c r="AS48" s="556" t="str">
        <f>IF(VLOOKUP($E$48,[1]QUART!$A$2:$FA$300, 44, FALSE)="",":",VLOOKUP($E$48,[1]QUART!$A$2:$FA$300, 44, FALSE))</f>
        <v>:</v>
      </c>
      <c r="AT48" s="556" t="str">
        <f>IF(VLOOKUP($E$48,[1]QUART!$A$2:$FA$300, 45, FALSE)="",":",VLOOKUP($E$48,[1]QUART!$A$2:$FA$300, 45, FALSE))</f>
        <v>:</v>
      </c>
      <c r="AU48" s="556" t="str">
        <f>IF(VLOOKUP($E$48,[1]QUART!$A$2:$FA$300, 46, FALSE)="",":",VLOOKUP($E$48,[1]QUART!$A$2:$FA$300, 46, FALSE))</f>
        <v>:</v>
      </c>
      <c r="AV48" s="556" t="str">
        <f>IF(VLOOKUP($E$48,[1]QUART!$A$2:$FA$300, 47, FALSE)="",":",VLOOKUP($E$48,[1]QUART!$A$2:$FA$300, 47, FALSE))</f>
        <v>:</v>
      </c>
      <c r="AW48" s="556" t="str">
        <f>IF(VLOOKUP($E$48,[1]QUART!$A$2:$FA$300, 48, FALSE)="",":",VLOOKUP($E$48,[1]QUART!$A$2:$FA$300, 48, FALSE))</f>
        <v>:</v>
      </c>
      <c r="AX48" s="556" t="str">
        <f>IF(VLOOKUP($E$48,[1]QUART!$A$2:$FA$300, 49, FALSE)="",":",VLOOKUP($E$48,[1]QUART!$A$2:$FA$300, 49, FALSE))</f>
        <v>:</v>
      </c>
      <c r="AY48" s="556" t="str">
        <f>IF(VLOOKUP($E$48,[1]QUART!$A$2:$FA$300, 50, FALSE)="",":",VLOOKUP($E$48,[1]QUART!$A$2:$FA$300, 50, FALSE))</f>
        <v>:</v>
      </c>
      <c r="AZ48" s="556" t="str">
        <f>IF(VLOOKUP($E$48,[1]QUART!$A$2:$FA$300, 51, FALSE)="",":",VLOOKUP($E$48,[1]QUART!$A$2:$FA$300, 51, FALSE))</f>
        <v>:</v>
      </c>
      <c r="BA48" s="556" t="str">
        <f>IF(VLOOKUP($E$48,[1]QUART!$A$2:$FA$300, 52, FALSE)="",":",VLOOKUP($E$48,[1]QUART!$A$2:$FA$300, 52, FALSE))</f>
        <v>:</v>
      </c>
      <c r="BB48" s="556" t="str">
        <f>IF(VLOOKUP($E$48,[1]QUART!$A$2:$FA$300, 53, FALSE)="",":",VLOOKUP($E$48,[1]QUART!$A$2:$FA$300, 53, FALSE))</f>
        <v>:</v>
      </c>
      <c r="BC48" s="556" t="str">
        <f>IF(VLOOKUP($E$48,[1]QUART!$A$2:$FA$300, 54, FALSE)="",":",VLOOKUP($E$48,[1]QUART!$A$2:$FA$300, 54, FALSE))</f>
        <v>:</v>
      </c>
      <c r="BD48" s="556" t="str">
        <f>IF(VLOOKUP($E$48,[1]QUART!$A$2:$FA$300, 55, FALSE)="",":",VLOOKUP($E$48,[1]QUART!$A$2:$FA$300, 55, FALSE))</f>
        <v>:</v>
      </c>
      <c r="BE48" s="556" t="str">
        <f>IF(VLOOKUP($E$48,[1]QUART!$A$2:$FA$300, 56, FALSE)="",":",VLOOKUP($E$48,[1]QUART!$A$2:$FA$300, 56, FALSE))</f>
        <v>:</v>
      </c>
      <c r="BF48" s="556" t="str">
        <f>IF(VLOOKUP($E$48,[1]QUART!$A$2:$FA$300, 57, FALSE)="",":",VLOOKUP($E$48,[1]QUART!$A$2:$FA$300, 57, FALSE))</f>
        <v>:</v>
      </c>
      <c r="BG48" s="556" t="str">
        <f>IF(VLOOKUP($E$48,[1]QUART!$A$2:$FA$300, 58, FALSE)="",":",VLOOKUP($E$48,[1]QUART!$A$2:$FA$300, 58, FALSE))</f>
        <v>:</v>
      </c>
      <c r="BH48" s="556" t="str">
        <f>IF(VLOOKUP($E$48,[1]QUART!$A$2:$FA$300, 59, FALSE)="",":",VLOOKUP($E$48,[1]QUART!$A$2:$FA$300, 59, FALSE))</f>
        <v>:</v>
      </c>
      <c r="BI48" s="556" t="str">
        <f>IF(VLOOKUP($E$48,[1]QUART!$A$2:$FA$300, 60, FALSE)="",":",VLOOKUP($E$48,[1]QUART!$A$2:$FA$300, 60, FALSE))</f>
        <v>:</v>
      </c>
      <c r="BJ48" s="556" t="str">
        <f>IF(VLOOKUP($E$48,[1]QUART!$A$2:$FA$300, 61, FALSE)="",":",VLOOKUP($E$48,[1]QUART!$A$2:$FA$300, 61, FALSE))</f>
        <v>:</v>
      </c>
      <c r="BK48" s="556" t="str">
        <f>IF(VLOOKUP($E$48,[1]QUART!$A$2:$FA$300, 62, FALSE)="",":",VLOOKUP($E$48,[1]QUART!$A$2:$FA$300, 62, FALSE))</f>
        <v>:</v>
      </c>
      <c r="BL48" s="556" t="str">
        <f>IF(VLOOKUP($E$48,[1]QUART!$A$2:$FA$300, 63, FALSE)="",":",VLOOKUP($E$48,[1]QUART!$A$2:$FA$300, 63, FALSE))</f>
        <v>:</v>
      </c>
      <c r="BM48" s="556" t="str">
        <f>IF(VLOOKUP($E$48,[1]QUART!$A$2:$FA$300, 64, FALSE)="",":",VLOOKUP($E$48,[1]QUART!$A$2:$FA$300, 64, FALSE))</f>
        <v>:</v>
      </c>
      <c r="BN48" s="556" t="str">
        <f>IF(VLOOKUP($E$48,[1]QUART!$A$2:$FA$300, 65, FALSE)="",":",VLOOKUP($E$48,[1]QUART!$A$2:$FA$300, 65, FALSE))</f>
        <v>:</v>
      </c>
      <c r="BO48" s="556" t="str">
        <f>IF(VLOOKUP($E$48,[1]QUART!$A$2:$FA$300, 66, FALSE)="",":",VLOOKUP($E$48,[1]QUART!$A$2:$FA$300, 66, FALSE))</f>
        <v>:</v>
      </c>
      <c r="BP48" s="556" t="str">
        <f>IF(VLOOKUP($E$48,[1]QUART!$A$2:$FA$300, 67, FALSE)="",":",VLOOKUP($E$48,[1]QUART!$A$2:$FA$300, 67, FALSE))</f>
        <v>:</v>
      </c>
      <c r="BQ48" s="556" t="str">
        <f>IF(VLOOKUP($E$48,[1]QUART!$A$2:$FA$300, 68, FALSE)="",":",VLOOKUP($E$48,[1]QUART!$A$2:$FA$300, 68, FALSE))</f>
        <v>:</v>
      </c>
      <c r="BR48" s="556" t="str">
        <f>IF(VLOOKUP($E$48,[1]QUART!$A$2:$FA$300, 69, FALSE)="",":",VLOOKUP($E$48,[1]QUART!$A$2:$FA$300, 69, FALSE))</f>
        <v>:</v>
      </c>
      <c r="BS48" s="556" t="str">
        <f>IF(VLOOKUP($E$48,[1]QUART!$A$2:$FA$300, 70, FALSE)="",":",VLOOKUP($E$48,[1]QUART!$A$2:$FA$300, 70, FALSE))</f>
        <v>:</v>
      </c>
      <c r="BT48" s="556" t="str">
        <f>IF(VLOOKUP($E$48,[1]QUART!$A$2:$FA$300, 71, FALSE)="",":",VLOOKUP($E$48,[1]QUART!$A$2:$FA$300, 71, FALSE))</f>
        <v>:</v>
      </c>
      <c r="BU48" s="556" t="str">
        <f>IF(VLOOKUP($E$48,[1]QUART!$A$2:$FA$300, 72, FALSE)="",":",VLOOKUP($E$48,[1]QUART!$A$2:$FA$300, 72, FALSE))</f>
        <v>:</v>
      </c>
      <c r="BV48" s="556" t="str">
        <f>IF(VLOOKUP($E$48,[1]QUART!$A$2:$FA$300, 73, FALSE)="",":",VLOOKUP($E$48,[1]QUART!$A$2:$FA$300, 73, FALSE))</f>
        <v>:</v>
      </c>
      <c r="BW48" s="556" t="str">
        <f>IF(VLOOKUP($E$48,[1]QUART!$A$2:$FA$300, 74, FALSE)="",":",VLOOKUP($E$48,[1]QUART!$A$2:$FA$300, 74, FALSE))</f>
        <v>:</v>
      </c>
      <c r="BX48" s="556" t="str">
        <f>IF(VLOOKUP($E$48,[1]QUART!$A$2:$FA$300, 75, FALSE)="",":",VLOOKUP($E$48,[1]QUART!$A$2:$FA$300, 75, FALSE))</f>
        <v>:</v>
      </c>
      <c r="BY48" s="556" t="str">
        <f>IF(VLOOKUP($E$48,[1]QUART!$A$2:$FA$300, 76, FALSE)="",":",VLOOKUP($E$48,[1]QUART!$A$2:$FA$300, 76, FALSE))</f>
        <v>:</v>
      </c>
      <c r="BZ48" s="556" t="str">
        <f>IF(VLOOKUP($E$48,[1]QUART!$A$2:$FA$300, 77, FALSE)="",":",VLOOKUP($E$48,[1]QUART!$A$2:$FA$300, 77, FALSE))</f>
        <v>:</v>
      </c>
      <c r="CA48" s="556" t="str">
        <f>IF(VLOOKUP($E$48,[1]QUART!$A$2:$FA$300, 78, FALSE)="",":",VLOOKUP($E$48,[1]QUART!$A$2:$FA$300, 78, FALSE))</f>
        <v>:</v>
      </c>
      <c r="CB48" s="556" t="str">
        <f>IF(VLOOKUP($E$48,[1]QUART!$A$2:$FA$300, 79, FALSE)="",":",VLOOKUP($E$48,[1]QUART!$A$2:$FA$300, 79, FALSE))</f>
        <v>:</v>
      </c>
      <c r="CC48" s="556" t="str">
        <f>IF(VLOOKUP($E$48,[1]QUART!$A$2:$FA$300, 80, FALSE)="",":",VLOOKUP($E$48,[1]QUART!$A$2:$FA$300, 80, FALSE))</f>
        <v>:</v>
      </c>
      <c r="CD48" s="556" t="str">
        <f>IF(VLOOKUP($E$48,[1]QUART!$A$2:$FA$300, 81, FALSE)="",":",VLOOKUP($E$48,[1]QUART!$A$2:$FA$300, 81, FALSE))</f>
        <v>:</v>
      </c>
      <c r="CE48" s="556" t="str">
        <f>IF(VLOOKUP($E$48,[1]QUART!$A$2:$FA$300, 82, FALSE)="",":",VLOOKUP($E$48,[1]QUART!$A$2:$FA$300, 82, FALSE))</f>
        <v>:</v>
      </c>
      <c r="CF48" s="556" t="str">
        <f>IF(VLOOKUP($E$48,[1]QUART!$A$2:$FA$300, 83, FALSE)="",":",VLOOKUP($E$48,[1]QUART!$A$2:$FA$300, 83, FALSE))</f>
        <v>:</v>
      </c>
      <c r="CG48" s="556" t="str">
        <f>IF(VLOOKUP($E$48,[1]QUART!$A$2:$FA$300, 84, FALSE)="",":",VLOOKUP($E$48,[1]QUART!$A$2:$FA$300, 84, FALSE))</f>
        <v>:</v>
      </c>
      <c r="CH48" s="556" t="str">
        <f>IF(VLOOKUP($E$48,[1]QUART!$A$2:$FA$300, 85, FALSE)="",":",VLOOKUP($E$48,[1]QUART!$A$2:$FA$300, 85, FALSE))</f>
        <v>:</v>
      </c>
      <c r="CI48" s="556" t="str">
        <f>IF(VLOOKUP($E$48,[1]QUART!$A$2:$FA$300, 86, FALSE)="",":",VLOOKUP($E$48,[1]QUART!$A$2:$FA$300, 86, FALSE))</f>
        <v>:</v>
      </c>
      <c r="CJ48" s="556" t="str">
        <f>IF(VLOOKUP($E$48,[1]QUART!$A$2:$FA$300, 87, FALSE)="",":",VLOOKUP($E$48,[1]QUART!$A$2:$FA$300, 87, FALSE))</f>
        <v>:</v>
      </c>
      <c r="CK48" s="556" t="str">
        <f>IF(VLOOKUP($E$48,[1]QUART!$A$2:$FA$300, 88, FALSE)="",":",VLOOKUP($E$48,[1]QUART!$A$2:$FA$300, 88, FALSE))</f>
        <v>:</v>
      </c>
      <c r="CL48" s="556" t="str">
        <f>IF(VLOOKUP($E$48,[1]QUART!$A$2:$FA$300, 89, FALSE)="",":",VLOOKUP($E$48,[1]QUART!$A$2:$FA$300, 89, FALSE))</f>
        <v>:</v>
      </c>
      <c r="CM48" s="556" t="str">
        <f>IF(VLOOKUP($E$48,[1]QUART!$A$2:$FA$300, 90, FALSE)="",":",VLOOKUP($E$48,[1]QUART!$A$2:$FA$300, 90, FALSE))</f>
        <v>:</v>
      </c>
      <c r="CN48" s="556" t="str">
        <f>IF(VLOOKUP($E$48,[1]QUART!$A$2:$FA$300, 91, FALSE)="",":",VLOOKUP($E$48,[1]QUART!$A$2:$FA$300, 91, FALSE))</f>
        <v>:</v>
      </c>
      <c r="CO48" s="556" t="str">
        <f>IF(VLOOKUP($E$48,[1]QUART!$A$2:$FA$300, 92, FALSE)="",":",VLOOKUP($E$48,[1]QUART!$A$2:$FA$300, 92, FALSE))</f>
        <v>:</v>
      </c>
      <c r="CP48" s="556" t="str">
        <f>IF(VLOOKUP($E$48,[1]QUART!$A$2:$FA$300, 93, FALSE)="",":",VLOOKUP($E$48,[1]QUART!$A$2:$FA$300, 93, FALSE))</f>
        <v>:</v>
      </c>
      <c r="CQ48" s="556" t="str">
        <f>IF(VLOOKUP($E$48,[1]QUART!$A$2:$FA$300, 94, FALSE)="",":",VLOOKUP($E$48,[1]QUART!$A$2:$FA$300, 94, FALSE))</f>
        <v>:</v>
      </c>
      <c r="CR48" s="556" t="str">
        <f>IF(VLOOKUP($E$48,[1]QUART!$A$2:$FA$300, 95, FALSE)="",":",VLOOKUP($E$48,[1]QUART!$A$2:$FA$300, 95, FALSE))</f>
        <v>:</v>
      </c>
      <c r="CS48" s="556" t="str">
        <f>IF(VLOOKUP($E$48,[1]QUART!$A$2:$FA$300, 96, FALSE)="",":",VLOOKUP($E$48,[1]QUART!$A$2:$FA$300, 96, FALSE))</f>
        <v>:</v>
      </c>
      <c r="CT48" s="556" t="str">
        <f>IF(VLOOKUP($E$48,[1]QUART!$A$2:$FA$300, 97, FALSE)="",":",VLOOKUP($E$48,[1]QUART!$A$2:$FA$300, 97, FALSE))</f>
        <v>:</v>
      </c>
      <c r="CU48" s="556" t="str">
        <f>IF(VLOOKUP($E$48,[1]QUART!$A$2:$FA$300, 98, FALSE)="",":",VLOOKUP($E$48,[1]QUART!$A$2:$FA$300, 98, FALSE))</f>
        <v>:</v>
      </c>
      <c r="CV48" s="556" t="str">
        <f>IF(VLOOKUP($E$48,[1]QUART!$A$2:$FA$300, 99, FALSE)="",":",VLOOKUP($E$48,[1]QUART!$A$2:$FA$300, 99, FALSE))</f>
        <v>:</v>
      </c>
      <c r="CW48" s="556" t="str">
        <f>IF(VLOOKUP($E$48,[1]QUART!$A$2:$FA$300, 100, FALSE)="",":",VLOOKUP($E$48,[1]QUART!$A$2:$FA$300, 100, FALSE))</f>
        <v>:</v>
      </c>
      <c r="CX48" s="556" t="str">
        <f>IF(VLOOKUP($E$48,[1]QUART!$A$2:$FA$300, 101, FALSE)="",":",VLOOKUP($E$48,[1]QUART!$A$2:$FA$300, 101, FALSE))</f>
        <v>:</v>
      </c>
      <c r="CY48" s="556" t="str">
        <f>IF(VLOOKUP($E$48,[1]QUART!$A$2:$FA$300, 102, FALSE)="",":",VLOOKUP($E$48,[1]QUART!$A$2:$FA$300, 102, FALSE))</f>
        <v>:</v>
      </c>
      <c r="CZ48" s="556" t="str">
        <f>IF(VLOOKUP($E$48,[1]QUART!$A$2:$FA$300, 103, FALSE)="",":",VLOOKUP($E$48,[1]QUART!$A$2:$FA$300, 103, FALSE))</f>
        <v>:</v>
      </c>
      <c r="DA48" s="556" t="str">
        <f>IF(VLOOKUP($E$48,[1]QUART!$A$2:$FA$300, 104, FALSE)="",":",VLOOKUP($E$48,[1]QUART!$A$2:$FA$300, 104, FALSE))</f>
        <v>:</v>
      </c>
      <c r="DB48" s="556" t="str">
        <f>IF(VLOOKUP($E$48,[1]QUART!$A$2:$FA$300, 105, FALSE)="",":",VLOOKUP($E$48,[1]QUART!$A$2:$FA$300, 105, FALSE))</f>
        <v>:</v>
      </c>
      <c r="DC48" s="556" t="str">
        <f>IF(VLOOKUP($E$48,[1]QUART!$A$2:$FA$300, 106, FALSE)="",":",VLOOKUP($E$48,[1]QUART!$A$2:$FA$300, 106, FALSE))</f>
        <v>:</v>
      </c>
    </row>
    <row r="49" spans="1:107">
      <c r="A49" s="546"/>
      <c r="B49" s="546"/>
      <c r="C49" s="547"/>
      <c r="D49" s="12" t="s">
        <v>363</v>
      </c>
      <c r="E49" s="13">
        <v>115</v>
      </c>
      <c r="F49" s="14" t="str">
        <f>VLOOKUP($E$49,[1]QUART!$A$2:$FA$300, 3, FALSE)</f>
        <v xml:space="preserve">115  Imports of goods          </v>
      </c>
      <c r="G49" s="556" t="str">
        <f>IF(VLOOKUP($E$49,[1]QUART!$A$2:$FA$300, 6, FALSE)="",":",VLOOKUP($E$49,[1]QUART!$A$2:$FA$300, 6, FALSE))</f>
        <v>:</v>
      </c>
      <c r="H49" s="556" t="str">
        <f>IF(VLOOKUP($E$49,[1]QUART!$A$2:$FA$300, 7, FALSE)="",":",VLOOKUP($E$49,[1]QUART!$A$2:$FA$300, 7, FALSE))</f>
        <v>:</v>
      </c>
      <c r="I49" s="556" t="str">
        <f>IF(VLOOKUP($E$49,[1]QUART!$A$2:$FA$300, 8, FALSE)="",":",VLOOKUP($E$49,[1]QUART!$A$2:$FA$300, 8, FALSE))</f>
        <v>:</v>
      </c>
      <c r="J49" s="556" t="str">
        <f>IF(VLOOKUP($E$49,[1]QUART!$A$2:$FA$300, 9, FALSE)="",":",VLOOKUP($E$49,[1]QUART!$A$2:$FA$300, 9, FALSE))</f>
        <v>:</v>
      </c>
      <c r="K49" s="556" t="str">
        <f>IF(VLOOKUP($E$49,[1]QUART!$A$2:$FA$300, 10, FALSE)="",":",VLOOKUP($E$49,[1]QUART!$A$2:$FA$300, 10, FALSE))</f>
        <v>:</v>
      </c>
      <c r="L49" s="556" t="str">
        <f>IF(VLOOKUP($E$49,[1]QUART!$A$2:$FA$300, 11, FALSE)="",":",VLOOKUP($E$49,[1]QUART!$A$2:$FA$300, 11, FALSE))</f>
        <v>:</v>
      </c>
      <c r="M49" s="556" t="str">
        <f>IF(VLOOKUP($E$49,[1]QUART!$A$2:$FA$300, 12, FALSE)="",":",VLOOKUP($E$49,[1]QUART!$A$2:$FA$300, 12, FALSE))</f>
        <v>:</v>
      </c>
      <c r="N49" s="556" t="str">
        <f>IF(VLOOKUP($E$49,[1]QUART!$A$2:$FA$300, 13, FALSE)="",":",VLOOKUP($E$49,[1]QUART!$A$2:$FA$300, 13, FALSE))</f>
        <v>:</v>
      </c>
      <c r="O49" s="556" t="str">
        <f>IF(VLOOKUP($E$49,[1]QUART!$A$2:$FA$300, 14, FALSE)="",":",VLOOKUP($E$49,[1]QUART!$A$2:$FA$300, 14, FALSE))</f>
        <v>:</v>
      </c>
      <c r="P49" s="556" t="str">
        <f>IF(VLOOKUP($E$49,[1]QUART!$A$2:$FA$300, 15, FALSE)="",":",VLOOKUP($E$49,[1]QUART!$A$2:$FA$300, 15, FALSE))</f>
        <v>:</v>
      </c>
      <c r="Q49" s="556" t="str">
        <f>IF(VLOOKUP($E$49,[1]QUART!$A$2:$FA$300, 16, FALSE)="",":",VLOOKUP($E$49,[1]QUART!$A$2:$FA$300, 16, FALSE))</f>
        <v>:</v>
      </c>
      <c r="R49" s="556" t="str">
        <f>IF(VLOOKUP($E$49,[1]QUART!$A$2:$FA$300, 17, FALSE)="",":",VLOOKUP($E$49,[1]QUART!$A$2:$FA$300, 17, FALSE))</f>
        <v>:</v>
      </c>
      <c r="S49" s="556" t="str">
        <f>IF(VLOOKUP($E$49,[1]QUART!$A$2:$FA$300, 18, FALSE)="",":",VLOOKUP($E$49,[1]QUART!$A$2:$FA$300, 18, FALSE))</f>
        <v>:</v>
      </c>
      <c r="T49" s="556" t="str">
        <f>IF(VLOOKUP($E$49,[1]QUART!$A$2:$FA$300, 19, FALSE)="",":",VLOOKUP($E$49,[1]QUART!$A$2:$FA$300, 19, FALSE))</f>
        <v>:</v>
      </c>
      <c r="U49" s="556" t="str">
        <f>IF(VLOOKUP($E$49,[1]QUART!$A$2:$FA$300, 20, FALSE)="",":",VLOOKUP($E$49,[1]QUART!$A$2:$FA$300, 20, FALSE))</f>
        <v>:</v>
      </c>
      <c r="V49" s="556" t="str">
        <f>IF(VLOOKUP($E$49,[1]QUART!$A$2:$FA$300, 21, FALSE)="",":",VLOOKUP($E$49,[1]QUART!$A$2:$FA$300, 21, FALSE))</f>
        <v>:</v>
      </c>
      <c r="W49" s="556" t="str">
        <f>IF(VLOOKUP($E$49,[1]QUART!$A$2:$FA$300, 22, FALSE)="",":",VLOOKUP($E$49,[1]QUART!$A$2:$FA$300, 22, FALSE))</f>
        <v>:</v>
      </c>
      <c r="X49" s="556" t="str">
        <f>IF(VLOOKUP($E$49,[1]QUART!$A$2:$FA$300, 23, FALSE)="",":",VLOOKUP($E$49,[1]QUART!$A$2:$FA$300, 23, FALSE))</f>
        <v>:</v>
      </c>
      <c r="Y49" s="556" t="str">
        <f>IF(VLOOKUP($E$49,[1]QUART!$A$2:$FA$300, 24, FALSE)="",":",VLOOKUP($E$49,[1]QUART!$A$2:$FA$300, 24, FALSE))</f>
        <v>:</v>
      </c>
      <c r="Z49" s="556" t="str">
        <f>IF(VLOOKUP($E$49,[1]QUART!$A$2:$FA$300, 25, FALSE)="",":",VLOOKUP($E$49,[1]QUART!$A$2:$FA$300, 25, FALSE))</f>
        <v>:</v>
      </c>
      <c r="AA49" s="556" t="str">
        <f>IF(VLOOKUP($E$49,[1]QUART!$A$2:$FA$300, 26, FALSE)="",":",VLOOKUP($E$49,[1]QUART!$A$2:$FA$300, 26, FALSE))</f>
        <v>:</v>
      </c>
      <c r="AB49" s="556" t="str">
        <f>IF(VLOOKUP($E$49,[1]QUART!$A$2:$FA$300, 27, FALSE)="",":",VLOOKUP($E$49,[1]QUART!$A$2:$FA$300, 27, FALSE))</f>
        <v>:</v>
      </c>
      <c r="AC49" s="556" t="str">
        <f>IF(VLOOKUP($E$49,[1]QUART!$A$2:$FA$300, 28, FALSE)="",":",VLOOKUP($E$49,[1]QUART!$A$2:$FA$300, 28, FALSE))</f>
        <v>:</v>
      </c>
      <c r="AD49" s="556" t="str">
        <f>IF(VLOOKUP($E$49,[1]QUART!$A$2:$FA$300, 29, FALSE)="",":",VLOOKUP($E$49,[1]QUART!$A$2:$FA$300, 29, FALSE))</f>
        <v>:</v>
      </c>
      <c r="AE49" s="556" t="str">
        <f>IF(VLOOKUP($E$49,[1]QUART!$A$2:$FA$300, 30, FALSE)="",":",VLOOKUP($E$49,[1]QUART!$A$2:$FA$300, 30, FALSE))</f>
        <v>:</v>
      </c>
      <c r="AF49" s="556" t="str">
        <f>IF(VLOOKUP($E$49,[1]QUART!$A$2:$FA$300, 31, FALSE)="",":",VLOOKUP($E$49,[1]QUART!$A$2:$FA$300, 31, FALSE))</f>
        <v>:</v>
      </c>
      <c r="AG49" s="556" t="str">
        <f>IF(VLOOKUP($E$49,[1]QUART!$A$2:$FA$300, 32, FALSE)="",":",VLOOKUP($E$49,[1]QUART!$A$2:$FA$300, 32, FALSE))</f>
        <v>:</v>
      </c>
      <c r="AH49" s="556" t="str">
        <f>IF(VLOOKUP($E$49,[1]QUART!$A$2:$FA$300, 33, FALSE)="",":",VLOOKUP($E$49,[1]QUART!$A$2:$FA$300, 33, FALSE))</f>
        <v>:</v>
      </c>
      <c r="AI49" s="556" t="str">
        <f>IF(VLOOKUP($E$49,[1]QUART!$A$2:$FA$300, 34, FALSE)="",":",VLOOKUP($E$49,[1]QUART!$A$2:$FA$300, 34, FALSE))</f>
        <v>:</v>
      </c>
      <c r="AJ49" s="556" t="str">
        <f>IF(VLOOKUP($E$49,[1]QUART!$A$2:$FA$300, 35, FALSE)="",":",VLOOKUP($E$49,[1]QUART!$A$2:$FA$300, 35, FALSE))</f>
        <v>:</v>
      </c>
      <c r="AK49" s="556" t="str">
        <f>IF(VLOOKUP($E$49,[1]QUART!$A$2:$FA$300, 36, FALSE)="",":",VLOOKUP($E$49,[1]QUART!$A$2:$FA$300, 36, FALSE))</f>
        <v>:</v>
      </c>
      <c r="AL49" s="556" t="str">
        <f>IF(VLOOKUP($E$49,[1]QUART!$A$2:$FA$300, 37, FALSE)="",":",VLOOKUP($E$49,[1]QUART!$A$2:$FA$300, 37, FALSE))</f>
        <v>:</v>
      </c>
      <c r="AM49" s="556" t="str">
        <f>IF(VLOOKUP($E$49,[1]QUART!$A$2:$FA$300, 38, FALSE)="",":",VLOOKUP($E$49,[1]QUART!$A$2:$FA$300, 38, FALSE))</f>
        <v>:</v>
      </c>
      <c r="AN49" s="556" t="str">
        <f>IF(VLOOKUP($E$49,[1]QUART!$A$2:$FA$300, 39, FALSE)="",":",VLOOKUP($E$49,[1]QUART!$A$2:$FA$300, 39, FALSE))</f>
        <v>:</v>
      </c>
      <c r="AO49" s="556" t="str">
        <f>IF(VLOOKUP($E$49,[1]QUART!$A$2:$FA$300, 40, FALSE)="",":",VLOOKUP($E$49,[1]QUART!$A$2:$FA$300, 40, FALSE))</f>
        <v>:</v>
      </c>
      <c r="AP49" s="556" t="str">
        <f>IF(VLOOKUP($E$49,[1]QUART!$A$2:$FA$300, 41, FALSE)="",":",VLOOKUP($E$49,[1]QUART!$A$2:$FA$300, 41, FALSE))</f>
        <v>:</v>
      </c>
      <c r="AQ49" s="556" t="str">
        <f>IF(VLOOKUP($E$49,[1]QUART!$A$2:$FA$300, 42, FALSE)="",":",VLOOKUP($E$49,[1]QUART!$A$2:$FA$300, 42, FALSE))</f>
        <v>:</v>
      </c>
      <c r="AR49" s="556" t="str">
        <f>IF(VLOOKUP($E$49,[1]QUART!$A$2:$FA$300, 43, FALSE)="",":",VLOOKUP($E$49,[1]QUART!$A$2:$FA$300, 43, FALSE))</f>
        <v>:</v>
      </c>
      <c r="AS49" s="556" t="str">
        <f>IF(VLOOKUP($E$49,[1]QUART!$A$2:$FA$300, 44, FALSE)="",":",VLOOKUP($E$49,[1]QUART!$A$2:$FA$300, 44, FALSE))</f>
        <v>:</v>
      </c>
      <c r="AT49" s="556" t="str">
        <f>IF(VLOOKUP($E$49,[1]QUART!$A$2:$FA$300, 45, FALSE)="",":",VLOOKUP($E$49,[1]QUART!$A$2:$FA$300, 45, FALSE))</f>
        <v>:</v>
      </c>
      <c r="AU49" s="556" t="str">
        <f>IF(VLOOKUP($E$49,[1]QUART!$A$2:$FA$300, 46, FALSE)="",":",VLOOKUP($E$49,[1]QUART!$A$2:$FA$300, 46, FALSE))</f>
        <v>:</v>
      </c>
      <c r="AV49" s="556" t="str">
        <f>IF(VLOOKUP($E$49,[1]QUART!$A$2:$FA$300, 47, FALSE)="",":",VLOOKUP($E$49,[1]QUART!$A$2:$FA$300, 47, FALSE))</f>
        <v>:</v>
      </c>
      <c r="AW49" s="556" t="str">
        <f>IF(VLOOKUP($E$49,[1]QUART!$A$2:$FA$300, 48, FALSE)="",":",VLOOKUP($E$49,[1]QUART!$A$2:$FA$300, 48, FALSE))</f>
        <v>:</v>
      </c>
      <c r="AX49" s="556" t="str">
        <f>IF(VLOOKUP($E$49,[1]QUART!$A$2:$FA$300, 49, FALSE)="",":",VLOOKUP($E$49,[1]QUART!$A$2:$FA$300, 49, FALSE))</f>
        <v>:</v>
      </c>
      <c r="AY49" s="556" t="str">
        <f>IF(VLOOKUP($E$49,[1]QUART!$A$2:$FA$300, 50, FALSE)="",":",VLOOKUP($E$49,[1]QUART!$A$2:$FA$300, 50, FALSE))</f>
        <v>:</v>
      </c>
      <c r="AZ49" s="556" t="str">
        <f>IF(VLOOKUP($E$49,[1]QUART!$A$2:$FA$300, 51, FALSE)="",":",VLOOKUP($E$49,[1]QUART!$A$2:$FA$300, 51, FALSE))</f>
        <v>:</v>
      </c>
      <c r="BA49" s="556" t="str">
        <f>IF(VLOOKUP($E$49,[1]QUART!$A$2:$FA$300, 52, FALSE)="",":",VLOOKUP($E$49,[1]QUART!$A$2:$FA$300, 52, FALSE))</f>
        <v>:</v>
      </c>
      <c r="BB49" s="556" t="str">
        <f>IF(VLOOKUP($E$49,[1]QUART!$A$2:$FA$300, 53, FALSE)="",":",VLOOKUP($E$49,[1]QUART!$A$2:$FA$300, 53, FALSE))</f>
        <v>:</v>
      </c>
      <c r="BC49" s="556" t="str">
        <f>IF(VLOOKUP($E$49,[1]QUART!$A$2:$FA$300, 54, FALSE)="",":",VLOOKUP($E$49,[1]QUART!$A$2:$FA$300, 54, FALSE))</f>
        <v>:</v>
      </c>
      <c r="BD49" s="556" t="str">
        <f>IF(VLOOKUP($E$49,[1]QUART!$A$2:$FA$300, 55, FALSE)="",":",VLOOKUP($E$49,[1]QUART!$A$2:$FA$300, 55, FALSE))</f>
        <v>:</v>
      </c>
      <c r="BE49" s="556" t="str">
        <f>IF(VLOOKUP($E$49,[1]QUART!$A$2:$FA$300, 56, FALSE)="",":",VLOOKUP($E$49,[1]QUART!$A$2:$FA$300, 56, FALSE))</f>
        <v>:</v>
      </c>
      <c r="BF49" s="556" t="str">
        <f>IF(VLOOKUP($E$49,[1]QUART!$A$2:$FA$300, 57, FALSE)="",":",VLOOKUP($E$49,[1]QUART!$A$2:$FA$300, 57, FALSE))</f>
        <v>:</v>
      </c>
      <c r="BG49" s="556" t="str">
        <f>IF(VLOOKUP($E$49,[1]QUART!$A$2:$FA$300, 58, FALSE)="",":",VLOOKUP($E$49,[1]QUART!$A$2:$FA$300, 58, FALSE))</f>
        <v>:</v>
      </c>
      <c r="BH49" s="556" t="str">
        <f>IF(VLOOKUP($E$49,[1]QUART!$A$2:$FA$300, 59, FALSE)="",":",VLOOKUP($E$49,[1]QUART!$A$2:$FA$300, 59, FALSE))</f>
        <v>:</v>
      </c>
      <c r="BI49" s="556" t="str">
        <f>IF(VLOOKUP($E$49,[1]QUART!$A$2:$FA$300, 60, FALSE)="",":",VLOOKUP($E$49,[1]QUART!$A$2:$FA$300, 60, FALSE))</f>
        <v>:</v>
      </c>
      <c r="BJ49" s="556" t="str">
        <f>IF(VLOOKUP($E$49,[1]QUART!$A$2:$FA$300, 61, FALSE)="",":",VLOOKUP($E$49,[1]QUART!$A$2:$FA$300, 61, FALSE))</f>
        <v>:</v>
      </c>
      <c r="BK49" s="556" t="str">
        <f>IF(VLOOKUP($E$49,[1]QUART!$A$2:$FA$300, 62, FALSE)="",":",VLOOKUP($E$49,[1]QUART!$A$2:$FA$300, 62, FALSE))</f>
        <v>:</v>
      </c>
      <c r="BL49" s="556" t="str">
        <f>IF(VLOOKUP($E$49,[1]QUART!$A$2:$FA$300, 63, FALSE)="",":",VLOOKUP($E$49,[1]QUART!$A$2:$FA$300, 63, FALSE))</f>
        <v>:</v>
      </c>
      <c r="BM49" s="556" t="str">
        <f>IF(VLOOKUP($E$49,[1]QUART!$A$2:$FA$300, 64, FALSE)="",":",VLOOKUP($E$49,[1]QUART!$A$2:$FA$300, 64, FALSE))</f>
        <v>:</v>
      </c>
      <c r="BN49" s="556" t="str">
        <f>IF(VLOOKUP($E$49,[1]QUART!$A$2:$FA$300, 65, FALSE)="",":",VLOOKUP($E$49,[1]QUART!$A$2:$FA$300, 65, FALSE))</f>
        <v>:</v>
      </c>
      <c r="BO49" s="556" t="str">
        <f>IF(VLOOKUP($E$49,[1]QUART!$A$2:$FA$300, 66, FALSE)="",":",VLOOKUP($E$49,[1]QUART!$A$2:$FA$300, 66, FALSE))</f>
        <v>:</v>
      </c>
      <c r="BP49" s="556" t="str">
        <f>IF(VLOOKUP($E$49,[1]QUART!$A$2:$FA$300, 67, FALSE)="",":",VLOOKUP($E$49,[1]QUART!$A$2:$FA$300, 67, FALSE))</f>
        <v>:</v>
      </c>
      <c r="BQ49" s="556" t="str">
        <f>IF(VLOOKUP($E$49,[1]QUART!$A$2:$FA$300, 68, FALSE)="",":",VLOOKUP($E$49,[1]QUART!$A$2:$FA$300, 68, FALSE))</f>
        <v>:</v>
      </c>
      <c r="BR49" s="556" t="str">
        <f>IF(VLOOKUP($E$49,[1]QUART!$A$2:$FA$300, 69, FALSE)="",":",VLOOKUP($E$49,[1]QUART!$A$2:$FA$300, 69, FALSE))</f>
        <v>:</v>
      </c>
      <c r="BS49" s="556" t="str">
        <f>IF(VLOOKUP($E$49,[1]QUART!$A$2:$FA$300, 70, FALSE)="",":",VLOOKUP($E$49,[1]QUART!$A$2:$FA$300, 70, FALSE))</f>
        <v>:</v>
      </c>
      <c r="BT49" s="556" t="str">
        <f>IF(VLOOKUP($E$49,[1]QUART!$A$2:$FA$300, 71, FALSE)="",":",VLOOKUP($E$49,[1]QUART!$A$2:$FA$300, 71, FALSE))</f>
        <v>:</v>
      </c>
      <c r="BU49" s="556" t="str">
        <f>IF(VLOOKUP($E$49,[1]QUART!$A$2:$FA$300, 72, FALSE)="",":",VLOOKUP($E$49,[1]QUART!$A$2:$FA$300, 72, FALSE))</f>
        <v>:</v>
      </c>
      <c r="BV49" s="556" t="str">
        <f>IF(VLOOKUP($E$49,[1]QUART!$A$2:$FA$300, 73, FALSE)="",":",VLOOKUP($E$49,[1]QUART!$A$2:$FA$300, 73, FALSE))</f>
        <v>:</v>
      </c>
      <c r="BW49" s="556" t="str">
        <f>IF(VLOOKUP($E$49,[1]QUART!$A$2:$FA$300, 74, FALSE)="",":",VLOOKUP($E$49,[1]QUART!$A$2:$FA$300, 74, FALSE))</f>
        <v>:</v>
      </c>
      <c r="BX49" s="556" t="str">
        <f>IF(VLOOKUP($E$49,[1]QUART!$A$2:$FA$300, 75, FALSE)="",":",VLOOKUP($E$49,[1]QUART!$A$2:$FA$300, 75, FALSE))</f>
        <v>:</v>
      </c>
      <c r="BY49" s="556" t="str">
        <f>IF(VLOOKUP($E$49,[1]QUART!$A$2:$FA$300, 76, FALSE)="",":",VLOOKUP($E$49,[1]QUART!$A$2:$FA$300, 76, FALSE))</f>
        <v>:</v>
      </c>
      <c r="BZ49" s="556" t="str">
        <f>IF(VLOOKUP($E$49,[1]QUART!$A$2:$FA$300, 77, FALSE)="",":",VLOOKUP($E$49,[1]QUART!$A$2:$FA$300, 77, FALSE))</f>
        <v>:</v>
      </c>
      <c r="CA49" s="556" t="str">
        <f>IF(VLOOKUP($E$49,[1]QUART!$A$2:$FA$300, 78, FALSE)="",":",VLOOKUP($E$49,[1]QUART!$A$2:$FA$300, 78, FALSE))</f>
        <v>:</v>
      </c>
      <c r="CB49" s="556" t="str">
        <f>IF(VLOOKUP($E$49,[1]QUART!$A$2:$FA$300, 79, FALSE)="",":",VLOOKUP($E$49,[1]QUART!$A$2:$FA$300, 79, FALSE))</f>
        <v>:</v>
      </c>
      <c r="CC49" s="556" t="str">
        <f>IF(VLOOKUP($E$49,[1]QUART!$A$2:$FA$300, 80, FALSE)="",":",VLOOKUP($E$49,[1]QUART!$A$2:$FA$300, 80, FALSE))</f>
        <v>:</v>
      </c>
      <c r="CD49" s="556" t="str">
        <f>IF(VLOOKUP($E$49,[1]QUART!$A$2:$FA$300, 81, FALSE)="",":",VLOOKUP($E$49,[1]QUART!$A$2:$FA$300, 81, FALSE))</f>
        <v>:</v>
      </c>
      <c r="CE49" s="556" t="str">
        <f>IF(VLOOKUP($E$49,[1]QUART!$A$2:$FA$300, 82, FALSE)="",":",VLOOKUP($E$49,[1]QUART!$A$2:$FA$300, 82, FALSE))</f>
        <v>:</v>
      </c>
      <c r="CF49" s="556" t="str">
        <f>IF(VLOOKUP($E$49,[1]QUART!$A$2:$FA$300, 83, FALSE)="",":",VLOOKUP($E$49,[1]QUART!$A$2:$FA$300, 83, FALSE))</f>
        <v>:</v>
      </c>
      <c r="CG49" s="556" t="str">
        <f>IF(VLOOKUP($E$49,[1]QUART!$A$2:$FA$300, 84, FALSE)="",":",VLOOKUP($E$49,[1]QUART!$A$2:$FA$300, 84, FALSE))</f>
        <v>:</v>
      </c>
      <c r="CH49" s="556" t="str">
        <f>IF(VLOOKUP($E$49,[1]QUART!$A$2:$FA$300, 85, FALSE)="",":",VLOOKUP($E$49,[1]QUART!$A$2:$FA$300, 85, FALSE))</f>
        <v>:</v>
      </c>
      <c r="CI49" s="556" t="str">
        <f>IF(VLOOKUP($E$49,[1]QUART!$A$2:$FA$300, 86, FALSE)="",":",VLOOKUP($E$49,[1]QUART!$A$2:$FA$300, 86, FALSE))</f>
        <v>:</v>
      </c>
      <c r="CJ49" s="556" t="str">
        <f>IF(VLOOKUP($E$49,[1]QUART!$A$2:$FA$300, 87, FALSE)="",":",VLOOKUP($E$49,[1]QUART!$A$2:$FA$300, 87, FALSE))</f>
        <v>:</v>
      </c>
      <c r="CK49" s="556" t="str">
        <f>IF(VLOOKUP($E$49,[1]QUART!$A$2:$FA$300, 88, FALSE)="",":",VLOOKUP($E$49,[1]QUART!$A$2:$FA$300, 88, FALSE))</f>
        <v>:</v>
      </c>
      <c r="CL49" s="556" t="str">
        <f>IF(VLOOKUP($E$49,[1]QUART!$A$2:$FA$300, 89, FALSE)="",":",VLOOKUP($E$49,[1]QUART!$A$2:$FA$300, 89, FALSE))</f>
        <v>:</v>
      </c>
      <c r="CM49" s="556" t="str">
        <f>IF(VLOOKUP($E$49,[1]QUART!$A$2:$FA$300, 90, FALSE)="",":",VLOOKUP($E$49,[1]QUART!$A$2:$FA$300, 90, FALSE))</f>
        <v>:</v>
      </c>
      <c r="CN49" s="556" t="str">
        <f>IF(VLOOKUP($E$49,[1]QUART!$A$2:$FA$300, 91, FALSE)="",":",VLOOKUP($E$49,[1]QUART!$A$2:$FA$300, 91, FALSE))</f>
        <v>:</v>
      </c>
      <c r="CO49" s="556" t="str">
        <f>IF(VLOOKUP($E$49,[1]QUART!$A$2:$FA$300, 92, FALSE)="",":",VLOOKUP($E$49,[1]QUART!$A$2:$FA$300, 92, FALSE))</f>
        <v>:</v>
      </c>
      <c r="CP49" s="556" t="str">
        <f>IF(VLOOKUP($E$49,[1]QUART!$A$2:$FA$300, 93, FALSE)="",":",VLOOKUP($E$49,[1]QUART!$A$2:$FA$300, 93, FALSE))</f>
        <v>:</v>
      </c>
      <c r="CQ49" s="556" t="str">
        <f>IF(VLOOKUP($E$49,[1]QUART!$A$2:$FA$300, 94, FALSE)="",":",VLOOKUP($E$49,[1]QUART!$A$2:$FA$300, 94, FALSE))</f>
        <v>:</v>
      </c>
      <c r="CR49" s="556" t="str">
        <f>IF(VLOOKUP($E$49,[1]QUART!$A$2:$FA$300, 95, FALSE)="",":",VLOOKUP($E$49,[1]QUART!$A$2:$FA$300, 95, FALSE))</f>
        <v>:</v>
      </c>
      <c r="CS49" s="556" t="str">
        <f>IF(VLOOKUP($E$49,[1]QUART!$A$2:$FA$300, 96, FALSE)="",":",VLOOKUP($E$49,[1]QUART!$A$2:$FA$300, 96, FALSE))</f>
        <v>:</v>
      </c>
      <c r="CT49" s="556" t="str">
        <f>IF(VLOOKUP($E$49,[1]QUART!$A$2:$FA$300, 97, FALSE)="",":",VLOOKUP($E$49,[1]QUART!$A$2:$FA$300, 97, FALSE))</f>
        <v>:</v>
      </c>
      <c r="CU49" s="556" t="str">
        <f>IF(VLOOKUP($E$49,[1]QUART!$A$2:$FA$300, 98, FALSE)="",":",VLOOKUP($E$49,[1]QUART!$A$2:$FA$300, 98, FALSE))</f>
        <v>:</v>
      </c>
      <c r="CV49" s="556" t="str">
        <f>IF(VLOOKUP($E$49,[1]QUART!$A$2:$FA$300, 99, FALSE)="",":",VLOOKUP($E$49,[1]QUART!$A$2:$FA$300, 99, FALSE))</f>
        <v>:</v>
      </c>
      <c r="CW49" s="556" t="str">
        <f>IF(VLOOKUP($E$49,[1]QUART!$A$2:$FA$300, 100, FALSE)="",":",VLOOKUP($E$49,[1]QUART!$A$2:$FA$300, 100, FALSE))</f>
        <v>:</v>
      </c>
      <c r="CX49" s="556" t="str">
        <f>IF(VLOOKUP($E$49,[1]QUART!$A$2:$FA$300, 101, FALSE)="",":",VLOOKUP($E$49,[1]QUART!$A$2:$FA$300, 101, FALSE))</f>
        <v>:</v>
      </c>
      <c r="CY49" s="556" t="str">
        <f>IF(VLOOKUP($E$49,[1]QUART!$A$2:$FA$300, 102, FALSE)="",":",VLOOKUP($E$49,[1]QUART!$A$2:$FA$300, 102, FALSE))</f>
        <v>:</v>
      </c>
      <c r="CZ49" s="556" t="str">
        <f>IF(VLOOKUP($E$49,[1]QUART!$A$2:$FA$300, 103, FALSE)="",":",VLOOKUP($E$49,[1]QUART!$A$2:$FA$300, 103, FALSE))</f>
        <v>:</v>
      </c>
      <c r="DA49" s="556" t="str">
        <f>IF(VLOOKUP($E$49,[1]QUART!$A$2:$FA$300, 104, FALSE)="",":",VLOOKUP($E$49,[1]QUART!$A$2:$FA$300, 104, FALSE))</f>
        <v>:</v>
      </c>
      <c r="DB49" s="556" t="str">
        <f>IF(VLOOKUP($E$49,[1]QUART!$A$2:$FA$300, 105, FALSE)="",":",VLOOKUP($E$49,[1]QUART!$A$2:$FA$300, 105, FALSE))</f>
        <v>:</v>
      </c>
      <c r="DC49" s="556" t="str">
        <f>IF(VLOOKUP($E$49,[1]QUART!$A$2:$FA$300, 106, FALSE)="",":",VLOOKUP($E$49,[1]QUART!$A$2:$FA$300, 106, FALSE))</f>
        <v>:</v>
      </c>
    </row>
    <row r="50" spans="1:107">
      <c r="A50" s="546"/>
      <c r="B50" s="546"/>
      <c r="C50" s="547"/>
      <c r="D50" s="12" t="s">
        <v>363</v>
      </c>
      <c r="E50" s="13">
        <v>116</v>
      </c>
      <c r="F50" s="14" t="str">
        <f>VLOOKUP($E$50,[1]QUART!$A$2:$FA$300, 3, FALSE)</f>
        <v xml:space="preserve">116  Imports of services                                                   </v>
      </c>
      <c r="G50" s="556" t="str">
        <f>IF(VLOOKUP($E$50,[1]QUART!$A$2:$FA$300, 6, FALSE)="",":",VLOOKUP($E$50,[1]QUART!$A$2:$FA$300, 6, FALSE))</f>
        <v>:</v>
      </c>
      <c r="H50" s="556" t="str">
        <f>IF(VLOOKUP($E$50,[1]QUART!$A$2:$FA$300, 7, FALSE)="",":",VLOOKUP($E$50,[1]QUART!$A$2:$FA$300, 7, FALSE))</f>
        <v>:</v>
      </c>
      <c r="I50" s="556" t="str">
        <f>IF(VLOOKUP($E$50,[1]QUART!$A$2:$FA$300, 8, FALSE)="",":",VLOOKUP($E$50,[1]QUART!$A$2:$FA$300, 8, FALSE))</f>
        <v>:</v>
      </c>
      <c r="J50" s="556" t="str">
        <f>IF(VLOOKUP($E$50,[1]QUART!$A$2:$FA$300, 9, FALSE)="",":",VLOOKUP($E$50,[1]QUART!$A$2:$FA$300, 9, FALSE))</f>
        <v>:</v>
      </c>
      <c r="K50" s="556" t="str">
        <f>IF(VLOOKUP($E$50,[1]QUART!$A$2:$FA$300, 10, FALSE)="",":",VLOOKUP($E$50,[1]QUART!$A$2:$FA$300, 10, FALSE))</f>
        <v>:</v>
      </c>
      <c r="L50" s="556" t="str">
        <f>IF(VLOOKUP($E$50,[1]QUART!$A$2:$FA$300, 11, FALSE)="",":",VLOOKUP($E$50,[1]QUART!$A$2:$FA$300, 11, FALSE))</f>
        <v>:</v>
      </c>
      <c r="M50" s="556" t="str">
        <f>IF(VLOOKUP($E$50,[1]QUART!$A$2:$FA$300, 12, FALSE)="",":",VLOOKUP($E$50,[1]QUART!$A$2:$FA$300, 12, FALSE))</f>
        <v>:</v>
      </c>
      <c r="N50" s="556" t="str">
        <f>IF(VLOOKUP($E$50,[1]QUART!$A$2:$FA$300, 13, FALSE)="",":",VLOOKUP($E$50,[1]QUART!$A$2:$FA$300, 13, FALSE))</f>
        <v>:</v>
      </c>
      <c r="O50" s="556" t="str">
        <f>IF(VLOOKUP($E$50,[1]QUART!$A$2:$FA$300, 14, FALSE)="",":",VLOOKUP($E$50,[1]QUART!$A$2:$FA$300, 14, FALSE))</f>
        <v>:</v>
      </c>
      <c r="P50" s="556" t="str">
        <f>IF(VLOOKUP($E$50,[1]QUART!$A$2:$FA$300, 15, FALSE)="",":",VLOOKUP($E$50,[1]QUART!$A$2:$FA$300, 15, FALSE))</f>
        <v>:</v>
      </c>
      <c r="Q50" s="556" t="str">
        <f>IF(VLOOKUP($E$50,[1]QUART!$A$2:$FA$300, 16, FALSE)="",":",VLOOKUP($E$50,[1]QUART!$A$2:$FA$300, 16, FALSE))</f>
        <v>:</v>
      </c>
      <c r="R50" s="556" t="str">
        <f>IF(VLOOKUP($E$50,[1]QUART!$A$2:$FA$300, 17, FALSE)="",":",VLOOKUP($E$50,[1]QUART!$A$2:$FA$300, 17, FALSE))</f>
        <v>:</v>
      </c>
      <c r="S50" s="556" t="str">
        <f>IF(VLOOKUP($E$50,[1]QUART!$A$2:$FA$300, 18, FALSE)="",":",VLOOKUP($E$50,[1]QUART!$A$2:$FA$300, 18, FALSE))</f>
        <v>:</v>
      </c>
      <c r="T50" s="556" t="str">
        <f>IF(VLOOKUP($E$50,[1]QUART!$A$2:$FA$300, 19, FALSE)="",":",VLOOKUP($E$50,[1]QUART!$A$2:$FA$300, 19, FALSE))</f>
        <v>:</v>
      </c>
      <c r="U50" s="556" t="str">
        <f>IF(VLOOKUP($E$50,[1]QUART!$A$2:$FA$300, 20, FALSE)="",":",VLOOKUP($E$50,[1]QUART!$A$2:$FA$300, 20, FALSE))</f>
        <v>:</v>
      </c>
      <c r="V50" s="556" t="str">
        <f>IF(VLOOKUP($E$50,[1]QUART!$A$2:$FA$300, 21, FALSE)="",":",VLOOKUP($E$50,[1]QUART!$A$2:$FA$300, 21, FALSE))</f>
        <v>:</v>
      </c>
      <c r="W50" s="556" t="str">
        <f>IF(VLOOKUP($E$50,[1]QUART!$A$2:$FA$300, 22, FALSE)="",":",VLOOKUP($E$50,[1]QUART!$A$2:$FA$300, 22, FALSE))</f>
        <v>:</v>
      </c>
      <c r="X50" s="556" t="str">
        <f>IF(VLOOKUP($E$50,[1]QUART!$A$2:$FA$300, 23, FALSE)="",":",VLOOKUP($E$50,[1]QUART!$A$2:$FA$300, 23, FALSE))</f>
        <v>:</v>
      </c>
      <c r="Y50" s="556" t="str">
        <f>IF(VLOOKUP($E$50,[1]QUART!$A$2:$FA$300, 24, FALSE)="",":",VLOOKUP($E$50,[1]QUART!$A$2:$FA$300, 24, FALSE))</f>
        <v>:</v>
      </c>
      <c r="Z50" s="556" t="str">
        <f>IF(VLOOKUP($E$50,[1]QUART!$A$2:$FA$300, 25, FALSE)="",":",VLOOKUP($E$50,[1]QUART!$A$2:$FA$300, 25, FALSE))</f>
        <v>:</v>
      </c>
      <c r="AA50" s="556" t="str">
        <f>IF(VLOOKUP($E$50,[1]QUART!$A$2:$FA$300, 26, FALSE)="",":",VLOOKUP($E$50,[1]QUART!$A$2:$FA$300, 26, FALSE))</f>
        <v>:</v>
      </c>
      <c r="AB50" s="556" t="str">
        <f>IF(VLOOKUP($E$50,[1]QUART!$A$2:$FA$300, 27, FALSE)="",":",VLOOKUP($E$50,[1]QUART!$A$2:$FA$300, 27, FALSE))</f>
        <v>:</v>
      </c>
      <c r="AC50" s="556" t="str">
        <f>IF(VLOOKUP($E$50,[1]QUART!$A$2:$FA$300, 28, FALSE)="",":",VLOOKUP($E$50,[1]QUART!$A$2:$FA$300, 28, FALSE))</f>
        <v>:</v>
      </c>
      <c r="AD50" s="556" t="str">
        <f>IF(VLOOKUP($E$50,[1]QUART!$A$2:$FA$300, 29, FALSE)="",":",VLOOKUP($E$50,[1]QUART!$A$2:$FA$300, 29, FALSE))</f>
        <v>:</v>
      </c>
      <c r="AE50" s="556" t="str">
        <f>IF(VLOOKUP($E$50,[1]QUART!$A$2:$FA$300, 30, FALSE)="",":",VLOOKUP($E$50,[1]QUART!$A$2:$FA$300, 30, FALSE))</f>
        <v>:</v>
      </c>
      <c r="AF50" s="556" t="str">
        <f>IF(VLOOKUP($E$50,[1]QUART!$A$2:$FA$300, 31, FALSE)="",":",VLOOKUP($E$50,[1]QUART!$A$2:$FA$300, 31, FALSE))</f>
        <v>:</v>
      </c>
      <c r="AG50" s="556" t="str">
        <f>IF(VLOOKUP($E$50,[1]QUART!$A$2:$FA$300, 32, FALSE)="",":",VLOOKUP($E$50,[1]QUART!$A$2:$FA$300, 32, FALSE))</f>
        <v>:</v>
      </c>
      <c r="AH50" s="556" t="str">
        <f>IF(VLOOKUP($E$50,[1]QUART!$A$2:$FA$300, 33, FALSE)="",":",VLOOKUP($E$50,[1]QUART!$A$2:$FA$300, 33, FALSE))</f>
        <v>:</v>
      </c>
      <c r="AI50" s="556" t="str">
        <f>IF(VLOOKUP($E$50,[1]QUART!$A$2:$FA$300, 34, FALSE)="",":",VLOOKUP($E$50,[1]QUART!$A$2:$FA$300, 34, FALSE))</f>
        <v>:</v>
      </c>
      <c r="AJ50" s="556" t="str">
        <f>IF(VLOOKUP($E$50,[1]QUART!$A$2:$FA$300, 35, FALSE)="",":",VLOOKUP($E$50,[1]QUART!$A$2:$FA$300, 35, FALSE))</f>
        <v>:</v>
      </c>
      <c r="AK50" s="556" t="str">
        <f>IF(VLOOKUP($E$50,[1]QUART!$A$2:$FA$300, 36, FALSE)="",":",VLOOKUP($E$50,[1]QUART!$A$2:$FA$300, 36, FALSE))</f>
        <v>:</v>
      </c>
      <c r="AL50" s="556" t="str">
        <f>IF(VLOOKUP($E$50,[1]QUART!$A$2:$FA$300, 37, FALSE)="",":",VLOOKUP($E$50,[1]QUART!$A$2:$FA$300, 37, FALSE))</f>
        <v>:</v>
      </c>
      <c r="AM50" s="556" t="str">
        <f>IF(VLOOKUP($E$50,[1]QUART!$A$2:$FA$300, 38, FALSE)="",":",VLOOKUP($E$50,[1]QUART!$A$2:$FA$300, 38, FALSE))</f>
        <v>:</v>
      </c>
      <c r="AN50" s="556" t="str">
        <f>IF(VLOOKUP($E$50,[1]QUART!$A$2:$FA$300, 39, FALSE)="",":",VLOOKUP($E$50,[1]QUART!$A$2:$FA$300, 39, FALSE))</f>
        <v>:</v>
      </c>
      <c r="AO50" s="556" t="str">
        <f>IF(VLOOKUP($E$50,[1]QUART!$A$2:$FA$300, 40, FALSE)="",":",VLOOKUP($E$50,[1]QUART!$A$2:$FA$300, 40, FALSE))</f>
        <v>:</v>
      </c>
      <c r="AP50" s="556" t="str">
        <f>IF(VLOOKUP($E$50,[1]QUART!$A$2:$FA$300, 41, FALSE)="",":",VLOOKUP($E$50,[1]QUART!$A$2:$FA$300, 41, FALSE))</f>
        <v>:</v>
      </c>
      <c r="AQ50" s="556" t="str">
        <f>IF(VLOOKUP($E$50,[1]QUART!$A$2:$FA$300, 42, FALSE)="",":",VLOOKUP($E$50,[1]QUART!$A$2:$FA$300, 42, FALSE))</f>
        <v>:</v>
      </c>
      <c r="AR50" s="556" t="str">
        <f>IF(VLOOKUP($E$50,[1]QUART!$A$2:$FA$300, 43, FALSE)="",":",VLOOKUP($E$50,[1]QUART!$A$2:$FA$300, 43, FALSE))</f>
        <v>:</v>
      </c>
      <c r="AS50" s="556" t="str">
        <f>IF(VLOOKUP($E$50,[1]QUART!$A$2:$FA$300, 44, FALSE)="",":",VLOOKUP($E$50,[1]QUART!$A$2:$FA$300, 44, FALSE))</f>
        <v>:</v>
      </c>
      <c r="AT50" s="556" t="str">
        <f>IF(VLOOKUP($E$50,[1]QUART!$A$2:$FA$300, 45, FALSE)="",":",VLOOKUP($E$50,[1]QUART!$A$2:$FA$300, 45, FALSE))</f>
        <v>:</v>
      </c>
      <c r="AU50" s="556" t="str">
        <f>IF(VLOOKUP($E$50,[1]QUART!$A$2:$FA$300, 46, FALSE)="",":",VLOOKUP($E$50,[1]QUART!$A$2:$FA$300, 46, FALSE))</f>
        <v>:</v>
      </c>
      <c r="AV50" s="556" t="str">
        <f>IF(VLOOKUP($E$50,[1]QUART!$A$2:$FA$300, 47, FALSE)="",":",VLOOKUP($E$50,[1]QUART!$A$2:$FA$300, 47, FALSE))</f>
        <v>:</v>
      </c>
      <c r="AW50" s="556" t="str">
        <f>IF(VLOOKUP($E$50,[1]QUART!$A$2:$FA$300, 48, FALSE)="",":",VLOOKUP($E$50,[1]QUART!$A$2:$FA$300, 48, FALSE))</f>
        <v>:</v>
      </c>
      <c r="AX50" s="556" t="str">
        <f>IF(VLOOKUP($E$50,[1]QUART!$A$2:$FA$300, 49, FALSE)="",":",VLOOKUP($E$50,[1]QUART!$A$2:$FA$300, 49, FALSE))</f>
        <v>:</v>
      </c>
      <c r="AY50" s="556" t="str">
        <f>IF(VLOOKUP($E$50,[1]QUART!$A$2:$FA$300, 50, FALSE)="",":",VLOOKUP($E$50,[1]QUART!$A$2:$FA$300, 50, FALSE))</f>
        <v>:</v>
      </c>
      <c r="AZ50" s="556" t="str">
        <f>IF(VLOOKUP($E$50,[1]QUART!$A$2:$FA$300, 51, FALSE)="",":",VLOOKUP($E$50,[1]QUART!$A$2:$FA$300, 51, FALSE))</f>
        <v>:</v>
      </c>
      <c r="BA50" s="556" t="str">
        <f>IF(VLOOKUP($E$50,[1]QUART!$A$2:$FA$300, 52, FALSE)="",":",VLOOKUP($E$50,[1]QUART!$A$2:$FA$300, 52, FALSE))</f>
        <v>:</v>
      </c>
      <c r="BB50" s="556" t="str">
        <f>IF(VLOOKUP($E$50,[1]QUART!$A$2:$FA$300, 53, FALSE)="",":",VLOOKUP($E$50,[1]QUART!$A$2:$FA$300, 53, FALSE))</f>
        <v>:</v>
      </c>
      <c r="BC50" s="556" t="str">
        <f>IF(VLOOKUP($E$50,[1]QUART!$A$2:$FA$300, 54, FALSE)="",":",VLOOKUP($E$50,[1]QUART!$A$2:$FA$300, 54, FALSE))</f>
        <v>:</v>
      </c>
      <c r="BD50" s="556" t="str">
        <f>IF(VLOOKUP($E$50,[1]QUART!$A$2:$FA$300, 55, FALSE)="",":",VLOOKUP($E$50,[1]QUART!$A$2:$FA$300, 55, FALSE))</f>
        <v>:</v>
      </c>
      <c r="BE50" s="556" t="str">
        <f>IF(VLOOKUP($E$50,[1]QUART!$A$2:$FA$300, 56, FALSE)="",":",VLOOKUP($E$50,[1]QUART!$A$2:$FA$300, 56, FALSE))</f>
        <v>:</v>
      </c>
      <c r="BF50" s="556" t="str">
        <f>IF(VLOOKUP($E$50,[1]QUART!$A$2:$FA$300, 57, FALSE)="",":",VLOOKUP($E$50,[1]QUART!$A$2:$FA$300, 57, FALSE))</f>
        <v>:</v>
      </c>
      <c r="BG50" s="556" t="str">
        <f>IF(VLOOKUP($E$50,[1]QUART!$A$2:$FA$300, 58, FALSE)="",":",VLOOKUP($E$50,[1]QUART!$A$2:$FA$300, 58, FALSE))</f>
        <v>:</v>
      </c>
      <c r="BH50" s="556" t="str">
        <f>IF(VLOOKUP($E$50,[1]QUART!$A$2:$FA$300, 59, FALSE)="",":",VLOOKUP($E$50,[1]QUART!$A$2:$FA$300, 59, FALSE))</f>
        <v>:</v>
      </c>
      <c r="BI50" s="556" t="str">
        <f>IF(VLOOKUP($E$50,[1]QUART!$A$2:$FA$300, 60, FALSE)="",":",VLOOKUP($E$50,[1]QUART!$A$2:$FA$300, 60, FALSE))</f>
        <v>:</v>
      </c>
      <c r="BJ50" s="556" t="str">
        <f>IF(VLOOKUP($E$50,[1]QUART!$A$2:$FA$300, 61, FALSE)="",":",VLOOKUP($E$50,[1]QUART!$A$2:$FA$300, 61, FALSE))</f>
        <v>:</v>
      </c>
      <c r="BK50" s="556" t="str">
        <f>IF(VLOOKUP($E$50,[1]QUART!$A$2:$FA$300, 62, FALSE)="",":",VLOOKUP($E$50,[1]QUART!$A$2:$FA$300, 62, FALSE))</f>
        <v>:</v>
      </c>
      <c r="BL50" s="556" t="str">
        <f>IF(VLOOKUP($E$50,[1]QUART!$A$2:$FA$300, 63, FALSE)="",":",VLOOKUP($E$50,[1]QUART!$A$2:$FA$300, 63, FALSE))</f>
        <v>:</v>
      </c>
      <c r="BM50" s="556" t="str">
        <f>IF(VLOOKUP($E$50,[1]QUART!$A$2:$FA$300, 64, FALSE)="",":",VLOOKUP($E$50,[1]QUART!$A$2:$FA$300, 64, FALSE))</f>
        <v>:</v>
      </c>
      <c r="BN50" s="556" t="str">
        <f>IF(VLOOKUP($E$50,[1]QUART!$A$2:$FA$300, 65, FALSE)="",":",VLOOKUP($E$50,[1]QUART!$A$2:$FA$300, 65, FALSE))</f>
        <v>:</v>
      </c>
      <c r="BO50" s="556" t="str">
        <f>IF(VLOOKUP($E$50,[1]QUART!$A$2:$FA$300, 66, FALSE)="",":",VLOOKUP($E$50,[1]QUART!$A$2:$FA$300, 66, FALSE))</f>
        <v>:</v>
      </c>
      <c r="BP50" s="556" t="str">
        <f>IF(VLOOKUP($E$50,[1]QUART!$A$2:$FA$300, 67, FALSE)="",":",VLOOKUP($E$50,[1]QUART!$A$2:$FA$300, 67, FALSE))</f>
        <v>:</v>
      </c>
      <c r="BQ50" s="556" t="str">
        <f>IF(VLOOKUP($E$50,[1]QUART!$A$2:$FA$300, 68, FALSE)="",":",VLOOKUP($E$50,[1]QUART!$A$2:$FA$300, 68, FALSE))</f>
        <v>:</v>
      </c>
      <c r="BR50" s="556" t="str">
        <f>IF(VLOOKUP($E$50,[1]QUART!$A$2:$FA$300, 69, FALSE)="",":",VLOOKUP($E$50,[1]QUART!$A$2:$FA$300, 69, FALSE))</f>
        <v>:</v>
      </c>
      <c r="BS50" s="556" t="str">
        <f>IF(VLOOKUP($E$50,[1]QUART!$A$2:$FA$300, 70, FALSE)="",":",VLOOKUP($E$50,[1]QUART!$A$2:$FA$300, 70, FALSE))</f>
        <v>:</v>
      </c>
      <c r="BT50" s="556" t="str">
        <f>IF(VLOOKUP($E$50,[1]QUART!$A$2:$FA$300, 71, FALSE)="",":",VLOOKUP($E$50,[1]QUART!$A$2:$FA$300, 71, FALSE))</f>
        <v>:</v>
      </c>
      <c r="BU50" s="556" t="str">
        <f>IF(VLOOKUP($E$50,[1]QUART!$A$2:$FA$300, 72, FALSE)="",":",VLOOKUP($E$50,[1]QUART!$A$2:$FA$300, 72, FALSE))</f>
        <v>:</v>
      </c>
      <c r="BV50" s="556" t="str">
        <f>IF(VLOOKUP($E$50,[1]QUART!$A$2:$FA$300, 73, FALSE)="",":",VLOOKUP($E$50,[1]QUART!$A$2:$FA$300, 73, FALSE))</f>
        <v>:</v>
      </c>
      <c r="BW50" s="556" t="str">
        <f>IF(VLOOKUP($E$50,[1]QUART!$A$2:$FA$300, 74, FALSE)="",":",VLOOKUP($E$50,[1]QUART!$A$2:$FA$300, 74, FALSE))</f>
        <v>:</v>
      </c>
      <c r="BX50" s="556" t="str">
        <f>IF(VLOOKUP($E$50,[1]QUART!$A$2:$FA$300, 75, FALSE)="",":",VLOOKUP($E$50,[1]QUART!$A$2:$FA$300, 75, FALSE))</f>
        <v>:</v>
      </c>
      <c r="BY50" s="556" t="str">
        <f>IF(VLOOKUP($E$50,[1]QUART!$A$2:$FA$300, 76, FALSE)="",":",VLOOKUP($E$50,[1]QUART!$A$2:$FA$300, 76, FALSE))</f>
        <v>:</v>
      </c>
      <c r="BZ50" s="556" t="str">
        <f>IF(VLOOKUP($E$50,[1]QUART!$A$2:$FA$300, 77, FALSE)="",":",VLOOKUP($E$50,[1]QUART!$A$2:$FA$300, 77, FALSE))</f>
        <v>:</v>
      </c>
      <c r="CA50" s="556" t="str">
        <f>IF(VLOOKUP($E$50,[1]QUART!$A$2:$FA$300, 78, FALSE)="",":",VLOOKUP($E$50,[1]QUART!$A$2:$FA$300, 78, FALSE))</f>
        <v>:</v>
      </c>
      <c r="CB50" s="556" t="str">
        <f>IF(VLOOKUP($E$50,[1]QUART!$A$2:$FA$300, 79, FALSE)="",":",VLOOKUP($E$50,[1]QUART!$A$2:$FA$300, 79, FALSE))</f>
        <v>:</v>
      </c>
      <c r="CC50" s="556" t="str">
        <f>IF(VLOOKUP($E$50,[1]QUART!$A$2:$FA$300, 80, FALSE)="",":",VLOOKUP($E$50,[1]QUART!$A$2:$FA$300, 80, FALSE))</f>
        <v>:</v>
      </c>
      <c r="CD50" s="556" t="str">
        <f>IF(VLOOKUP($E$50,[1]QUART!$A$2:$FA$300, 81, FALSE)="",":",VLOOKUP($E$50,[1]QUART!$A$2:$FA$300, 81, FALSE))</f>
        <v>:</v>
      </c>
      <c r="CE50" s="556" t="str">
        <f>IF(VLOOKUP($E$50,[1]QUART!$A$2:$FA$300, 82, FALSE)="",":",VLOOKUP($E$50,[1]QUART!$A$2:$FA$300, 82, FALSE))</f>
        <v>:</v>
      </c>
      <c r="CF50" s="556" t="str">
        <f>IF(VLOOKUP($E$50,[1]QUART!$A$2:$FA$300, 83, FALSE)="",":",VLOOKUP($E$50,[1]QUART!$A$2:$FA$300, 83, FALSE))</f>
        <v>:</v>
      </c>
      <c r="CG50" s="556" t="str">
        <f>IF(VLOOKUP($E$50,[1]QUART!$A$2:$FA$300, 84, FALSE)="",":",VLOOKUP($E$50,[1]QUART!$A$2:$FA$300, 84, FALSE))</f>
        <v>:</v>
      </c>
      <c r="CH50" s="556" t="str">
        <f>IF(VLOOKUP($E$50,[1]QUART!$A$2:$FA$300, 85, FALSE)="",":",VLOOKUP($E$50,[1]QUART!$A$2:$FA$300, 85, FALSE))</f>
        <v>:</v>
      </c>
      <c r="CI50" s="556" t="str">
        <f>IF(VLOOKUP($E$50,[1]QUART!$A$2:$FA$300, 86, FALSE)="",":",VLOOKUP($E$50,[1]QUART!$A$2:$FA$300, 86, FALSE))</f>
        <v>:</v>
      </c>
      <c r="CJ50" s="556" t="str">
        <f>IF(VLOOKUP($E$50,[1]QUART!$A$2:$FA$300, 87, FALSE)="",":",VLOOKUP($E$50,[1]QUART!$A$2:$FA$300, 87, FALSE))</f>
        <v>:</v>
      </c>
      <c r="CK50" s="556" t="str">
        <f>IF(VLOOKUP($E$50,[1]QUART!$A$2:$FA$300, 88, FALSE)="",":",VLOOKUP($E$50,[1]QUART!$A$2:$FA$300, 88, FALSE))</f>
        <v>:</v>
      </c>
      <c r="CL50" s="556" t="str">
        <f>IF(VLOOKUP($E$50,[1]QUART!$A$2:$FA$300, 89, FALSE)="",":",VLOOKUP($E$50,[1]QUART!$A$2:$FA$300, 89, FALSE))</f>
        <v>:</v>
      </c>
      <c r="CM50" s="556" t="str">
        <f>IF(VLOOKUP($E$50,[1]QUART!$A$2:$FA$300, 90, FALSE)="",":",VLOOKUP($E$50,[1]QUART!$A$2:$FA$300, 90, FALSE))</f>
        <v>:</v>
      </c>
      <c r="CN50" s="556" t="str">
        <f>IF(VLOOKUP($E$50,[1]QUART!$A$2:$FA$300, 91, FALSE)="",":",VLOOKUP($E$50,[1]QUART!$A$2:$FA$300, 91, FALSE))</f>
        <v>:</v>
      </c>
      <c r="CO50" s="556" t="str">
        <f>IF(VLOOKUP($E$50,[1]QUART!$A$2:$FA$300, 92, FALSE)="",":",VLOOKUP($E$50,[1]QUART!$A$2:$FA$300, 92, FALSE))</f>
        <v>:</v>
      </c>
      <c r="CP50" s="556" t="str">
        <f>IF(VLOOKUP($E$50,[1]QUART!$A$2:$FA$300, 93, FALSE)="",":",VLOOKUP($E$50,[1]QUART!$A$2:$FA$300, 93, FALSE))</f>
        <v>:</v>
      </c>
      <c r="CQ50" s="556" t="str">
        <f>IF(VLOOKUP($E$50,[1]QUART!$A$2:$FA$300, 94, FALSE)="",":",VLOOKUP($E$50,[1]QUART!$A$2:$FA$300, 94, FALSE))</f>
        <v>:</v>
      </c>
      <c r="CR50" s="556" t="str">
        <f>IF(VLOOKUP($E$50,[1]QUART!$A$2:$FA$300, 95, FALSE)="",":",VLOOKUP($E$50,[1]QUART!$A$2:$FA$300, 95, FALSE))</f>
        <v>:</v>
      </c>
      <c r="CS50" s="556" t="str">
        <f>IF(VLOOKUP($E$50,[1]QUART!$A$2:$FA$300, 96, FALSE)="",":",VLOOKUP($E$50,[1]QUART!$A$2:$FA$300, 96, FALSE))</f>
        <v>:</v>
      </c>
      <c r="CT50" s="556" t="str">
        <f>IF(VLOOKUP($E$50,[1]QUART!$A$2:$FA$300, 97, FALSE)="",":",VLOOKUP($E$50,[1]QUART!$A$2:$FA$300, 97, FALSE))</f>
        <v>:</v>
      </c>
      <c r="CU50" s="556" t="str">
        <f>IF(VLOOKUP($E$50,[1]QUART!$A$2:$FA$300, 98, FALSE)="",":",VLOOKUP($E$50,[1]QUART!$A$2:$FA$300, 98, FALSE))</f>
        <v>:</v>
      </c>
      <c r="CV50" s="556" t="str">
        <f>IF(VLOOKUP($E$50,[1]QUART!$A$2:$FA$300, 99, FALSE)="",":",VLOOKUP($E$50,[1]QUART!$A$2:$FA$300, 99, FALSE))</f>
        <v>:</v>
      </c>
      <c r="CW50" s="556" t="str">
        <f>IF(VLOOKUP($E$50,[1]QUART!$A$2:$FA$300, 100, FALSE)="",":",VLOOKUP($E$50,[1]QUART!$A$2:$FA$300, 100, FALSE))</f>
        <v>:</v>
      </c>
      <c r="CX50" s="556" t="str">
        <f>IF(VLOOKUP($E$50,[1]QUART!$A$2:$FA$300, 101, FALSE)="",":",VLOOKUP($E$50,[1]QUART!$A$2:$FA$300, 101, FALSE))</f>
        <v>:</v>
      </c>
      <c r="CY50" s="556" t="str">
        <f>IF(VLOOKUP($E$50,[1]QUART!$A$2:$FA$300, 102, FALSE)="",":",VLOOKUP($E$50,[1]QUART!$A$2:$FA$300, 102, FALSE))</f>
        <v>:</v>
      </c>
      <c r="CZ50" s="556" t="str">
        <f>IF(VLOOKUP($E$50,[1]QUART!$A$2:$FA$300, 103, FALSE)="",":",VLOOKUP($E$50,[1]QUART!$A$2:$FA$300, 103, FALSE))</f>
        <v>:</v>
      </c>
      <c r="DA50" s="556" t="str">
        <f>IF(VLOOKUP($E$50,[1]QUART!$A$2:$FA$300, 104, FALSE)="",":",VLOOKUP($E$50,[1]QUART!$A$2:$FA$300, 104, FALSE))</f>
        <v>:</v>
      </c>
      <c r="DB50" s="556" t="str">
        <f>IF(VLOOKUP($E$50,[1]QUART!$A$2:$FA$300, 105, FALSE)="",":",VLOOKUP($E$50,[1]QUART!$A$2:$FA$300, 105, FALSE))</f>
        <v>:</v>
      </c>
      <c r="DC50" s="556" t="str">
        <f>IF(VLOOKUP($E$50,[1]QUART!$A$2:$FA$300, 106, FALSE)="",":",VLOOKUP($E$50,[1]QUART!$A$2:$FA$300, 106, FALSE))</f>
        <v>:</v>
      </c>
    </row>
    <row r="51" spans="1:107">
      <c r="A51" s="546"/>
      <c r="B51" s="546"/>
      <c r="C51" s="547"/>
      <c r="D51" s="12" t="s">
        <v>363</v>
      </c>
      <c r="E51" s="13">
        <v>117</v>
      </c>
      <c r="F51" s="14" t="str">
        <f>VLOOKUP($E$51,[1]QUART!$A$2:$FA$300, 3, FALSE)</f>
        <v xml:space="preserve">117  GDP                                                 </v>
      </c>
      <c r="G51" s="556" t="str">
        <f>IF(VLOOKUP($E$51,[1]QUART!$A$2:$FA$300, 6, FALSE)="",":",VLOOKUP($E$51,[1]QUART!$A$2:$FA$300, 6, FALSE))</f>
        <v>:</v>
      </c>
      <c r="H51" s="556" t="str">
        <f>IF(VLOOKUP($E$51,[1]QUART!$A$2:$FA$300, 7, FALSE)="",":",VLOOKUP($E$51,[1]QUART!$A$2:$FA$300, 7, FALSE))</f>
        <v>:</v>
      </c>
      <c r="I51" s="556" t="str">
        <f>IF(VLOOKUP($E$51,[1]QUART!$A$2:$FA$300, 8, FALSE)="",":",VLOOKUP($E$51,[1]QUART!$A$2:$FA$300, 8, FALSE))</f>
        <v>:</v>
      </c>
      <c r="J51" s="556" t="str">
        <f>IF(VLOOKUP($E$51,[1]QUART!$A$2:$FA$300, 9, FALSE)="",":",VLOOKUP($E$51,[1]QUART!$A$2:$FA$300, 9, FALSE))</f>
        <v>:</v>
      </c>
      <c r="K51" s="556" t="str">
        <f>IF(VLOOKUP($E$51,[1]QUART!$A$2:$FA$300, 10, FALSE)="",":",VLOOKUP($E$51,[1]QUART!$A$2:$FA$300, 10, FALSE))</f>
        <v>:</v>
      </c>
      <c r="L51" s="556" t="str">
        <f>IF(VLOOKUP($E$51,[1]QUART!$A$2:$FA$300, 11, FALSE)="",":",VLOOKUP($E$51,[1]QUART!$A$2:$FA$300, 11, FALSE))</f>
        <v>:</v>
      </c>
      <c r="M51" s="556" t="str">
        <f>IF(VLOOKUP($E$51,[1]QUART!$A$2:$FA$300, 12, FALSE)="",":",VLOOKUP($E$51,[1]QUART!$A$2:$FA$300, 12, FALSE))</f>
        <v>:</v>
      </c>
      <c r="N51" s="556" t="str">
        <f>IF(VLOOKUP($E$51,[1]QUART!$A$2:$FA$300, 13, FALSE)="",":",VLOOKUP($E$51,[1]QUART!$A$2:$FA$300, 13, FALSE))</f>
        <v>:</v>
      </c>
      <c r="O51" s="556" t="str">
        <f>IF(VLOOKUP($E$51,[1]QUART!$A$2:$FA$300, 14, FALSE)="",":",VLOOKUP($E$51,[1]QUART!$A$2:$FA$300, 14, FALSE))</f>
        <v>:</v>
      </c>
      <c r="P51" s="556" t="str">
        <f>IF(VLOOKUP($E$51,[1]QUART!$A$2:$FA$300, 15, FALSE)="",":",VLOOKUP($E$51,[1]QUART!$A$2:$FA$300, 15, FALSE))</f>
        <v>:</v>
      </c>
      <c r="Q51" s="556" t="str">
        <f>IF(VLOOKUP($E$51,[1]QUART!$A$2:$FA$300, 16, FALSE)="",":",VLOOKUP($E$51,[1]QUART!$A$2:$FA$300, 16, FALSE))</f>
        <v>:</v>
      </c>
      <c r="R51" s="556" t="str">
        <f>IF(VLOOKUP($E$51,[1]QUART!$A$2:$FA$300, 17, FALSE)="",":",VLOOKUP($E$51,[1]QUART!$A$2:$FA$300, 17, FALSE))</f>
        <v>:</v>
      </c>
      <c r="S51" s="556" t="str">
        <f>IF(VLOOKUP($E$51,[1]QUART!$A$2:$FA$300, 18, FALSE)="",":",VLOOKUP($E$51,[1]QUART!$A$2:$FA$300, 18, FALSE))</f>
        <v>:</v>
      </c>
      <c r="T51" s="556" t="str">
        <f>IF(VLOOKUP($E$51,[1]QUART!$A$2:$FA$300, 19, FALSE)="",":",VLOOKUP($E$51,[1]QUART!$A$2:$FA$300, 19, FALSE))</f>
        <v>:</v>
      </c>
      <c r="U51" s="556" t="str">
        <f>IF(VLOOKUP($E$51,[1]QUART!$A$2:$FA$300, 20, FALSE)="",":",VLOOKUP($E$51,[1]QUART!$A$2:$FA$300, 20, FALSE))</f>
        <v>:</v>
      </c>
      <c r="V51" s="556" t="str">
        <f>IF(VLOOKUP($E$51,[1]QUART!$A$2:$FA$300, 21, FALSE)="",":",VLOOKUP($E$51,[1]QUART!$A$2:$FA$300, 21, FALSE))</f>
        <v>:</v>
      </c>
      <c r="W51" s="556" t="str">
        <f>IF(VLOOKUP($E$51,[1]QUART!$A$2:$FA$300, 22, FALSE)="",":",VLOOKUP($E$51,[1]QUART!$A$2:$FA$300, 22, FALSE))</f>
        <v>:</v>
      </c>
      <c r="X51" s="556" t="str">
        <f>IF(VLOOKUP($E$51,[1]QUART!$A$2:$FA$300, 23, FALSE)="",":",VLOOKUP($E$51,[1]QUART!$A$2:$FA$300, 23, FALSE))</f>
        <v>:</v>
      </c>
      <c r="Y51" s="556" t="str">
        <f>IF(VLOOKUP($E$51,[1]QUART!$A$2:$FA$300, 24, FALSE)="",":",VLOOKUP($E$51,[1]QUART!$A$2:$FA$300, 24, FALSE))</f>
        <v>:</v>
      </c>
      <c r="Z51" s="556" t="str">
        <f>IF(VLOOKUP($E$51,[1]QUART!$A$2:$FA$300, 25, FALSE)="",":",VLOOKUP($E$51,[1]QUART!$A$2:$FA$300, 25, FALSE))</f>
        <v>:</v>
      </c>
      <c r="AA51" s="556" t="str">
        <f>IF(VLOOKUP($E$51,[1]QUART!$A$2:$FA$300, 26, FALSE)="",":",VLOOKUP($E$51,[1]QUART!$A$2:$FA$300, 26, FALSE))</f>
        <v>:</v>
      </c>
      <c r="AB51" s="556" t="str">
        <f>IF(VLOOKUP($E$51,[1]QUART!$A$2:$FA$300, 27, FALSE)="",":",VLOOKUP($E$51,[1]QUART!$A$2:$FA$300, 27, FALSE))</f>
        <v>:</v>
      </c>
      <c r="AC51" s="556" t="str">
        <f>IF(VLOOKUP($E$51,[1]QUART!$A$2:$FA$300, 28, FALSE)="",":",VLOOKUP($E$51,[1]QUART!$A$2:$FA$300, 28, FALSE))</f>
        <v>:</v>
      </c>
      <c r="AD51" s="556" t="str">
        <f>IF(VLOOKUP($E$51,[1]QUART!$A$2:$FA$300, 29, FALSE)="",":",VLOOKUP($E$51,[1]QUART!$A$2:$FA$300, 29, FALSE))</f>
        <v>:</v>
      </c>
      <c r="AE51" s="556" t="str">
        <f>IF(VLOOKUP($E$51,[1]QUART!$A$2:$FA$300, 30, FALSE)="",":",VLOOKUP($E$51,[1]QUART!$A$2:$FA$300, 30, FALSE))</f>
        <v>:</v>
      </c>
      <c r="AF51" s="556" t="str">
        <f>IF(VLOOKUP($E$51,[1]QUART!$A$2:$FA$300, 31, FALSE)="",":",VLOOKUP($E$51,[1]QUART!$A$2:$FA$300, 31, FALSE))</f>
        <v>:</v>
      </c>
      <c r="AG51" s="556" t="str">
        <f>IF(VLOOKUP($E$51,[1]QUART!$A$2:$FA$300, 32, FALSE)="",":",VLOOKUP($E$51,[1]QUART!$A$2:$FA$300, 32, FALSE))</f>
        <v>:</v>
      </c>
      <c r="AH51" s="556" t="str">
        <f>IF(VLOOKUP($E$51,[1]QUART!$A$2:$FA$300, 33, FALSE)="",":",VLOOKUP($E$51,[1]QUART!$A$2:$FA$300, 33, FALSE))</f>
        <v>:</v>
      </c>
      <c r="AI51" s="556" t="str">
        <f>IF(VLOOKUP($E$51,[1]QUART!$A$2:$FA$300, 34, FALSE)="",":",VLOOKUP($E$51,[1]QUART!$A$2:$FA$300, 34, FALSE))</f>
        <v>:</v>
      </c>
      <c r="AJ51" s="556" t="str">
        <f>IF(VLOOKUP($E$51,[1]QUART!$A$2:$FA$300, 35, FALSE)="",":",VLOOKUP($E$51,[1]QUART!$A$2:$FA$300, 35, FALSE))</f>
        <v>:</v>
      </c>
      <c r="AK51" s="556" t="str">
        <f>IF(VLOOKUP($E$51,[1]QUART!$A$2:$FA$300, 36, FALSE)="",":",VLOOKUP($E$51,[1]QUART!$A$2:$FA$300, 36, FALSE))</f>
        <v>:</v>
      </c>
      <c r="AL51" s="556" t="str">
        <f>IF(VLOOKUP($E$51,[1]QUART!$A$2:$FA$300, 37, FALSE)="",":",VLOOKUP($E$51,[1]QUART!$A$2:$FA$300, 37, FALSE))</f>
        <v>:</v>
      </c>
      <c r="AM51" s="556" t="str">
        <f>IF(VLOOKUP($E$51,[1]QUART!$A$2:$FA$300, 38, FALSE)="",":",VLOOKUP($E$51,[1]QUART!$A$2:$FA$300, 38, FALSE))</f>
        <v>:</v>
      </c>
      <c r="AN51" s="556" t="str">
        <f>IF(VLOOKUP($E$51,[1]QUART!$A$2:$FA$300, 39, FALSE)="",":",VLOOKUP($E$51,[1]QUART!$A$2:$FA$300, 39, FALSE))</f>
        <v>:</v>
      </c>
      <c r="AO51" s="556" t="str">
        <f>IF(VLOOKUP($E$51,[1]QUART!$A$2:$FA$300, 40, FALSE)="",":",VLOOKUP($E$51,[1]QUART!$A$2:$FA$300, 40, FALSE))</f>
        <v>:</v>
      </c>
      <c r="AP51" s="556" t="str">
        <f>IF(VLOOKUP($E$51,[1]QUART!$A$2:$FA$300, 41, FALSE)="",":",VLOOKUP($E$51,[1]QUART!$A$2:$FA$300, 41, FALSE))</f>
        <v>:</v>
      </c>
      <c r="AQ51" s="556" t="str">
        <f>IF(VLOOKUP($E$51,[1]QUART!$A$2:$FA$300, 42, FALSE)="",":",VLOOKUP($E$51,[1]QUART!$A$2:$FA$300, 42, FALSE))</f>
        <v>:</v>
      </c>
      <c r="AR51" s="556" t="str">
        <f>IF(VLOOKUP($E$51,[1]QUART!$A$2:$FA$300, 43, FALSE)="",":",VLOOKUP($E$51,[1]QUART!$A$2:$FA$300, 43, FALSE))</f>
        <v>:</v>
      </c>
      <c r="AS51" s="556" t="str">
        <f>IF(VLOOKUP($E$51,[1]QUART!$A$2:$FA$300, 44, FALSE)="",":",VLOOKUP($E$51,[1]QUART!$A$2:$FA$300, 44, FALSE))</f>
        <v>:</v>
      </c>
      <c r="AT51" s="556" t="str">
        <f>IF(VLOOKUP($E$51,[1]QUART!$A$2:$FA$300, 45, FALSE)="",":",VLOOKUP($E$51,[1]QUART!$A$2:$FA$300, 45, FALSE))</f>
        <v>:</v>
      </c>
      <c r="AU51" s="556" t="str">
        <f>IF(VLOOKUP($E$51,[1]QUART!$A$2:$FA$300, 46, FALSE)="",":",VLOOKUP($E$51,[1]QUART!$A$2:$FA$300, 46, FALSE))</f>
        <v>:</v>
      </c>
      <c r="AV51" s="556" t="str">
        <f>IF(VLOOKUP($E$51,[1]QUART!$A$2:$FA$300, 47, FALSE)="",":",VLOOKUP($E$51,[1]QUART!$A$2:$FA$300, 47, FALSE))</f>
        <v>:</v>
      </c>
      <c r="AW51" s="556" t="str">
        <f>IF(VLOOKUP($E$51,[1]QUART!$A$2:$FA$300, 48, FALSE)="",":",VLOOKUP($E$51,[1]QUART!$A$2:$FA$300, 48, FALSE))</f>
        <v>:</v>
      </c>
      <c r="AX51" s="556" t="str">
        <f>IF(VLOOKUP($E$51,[1]QUART!$A$2:$FA$300, 49, FALSE)="",":",VLOOKUP($E$51,[1]QUART!$A$2:$FA$300, 49, FALSE))</f>
        <v>:</v>
      </c>
      <c r="AY51" s="556" t="str">
        <f>IF(VLOOKUP($E$51,[1]QUART!$A$2:$FA$300, 50, FALSE)="",":",VLOOKUP($E$51,[1]QUART!$A$2:$FA$300, 50, FALSE))</f>
        <v>:</v>
      </c>
      <c r="AZ51" s="556" t="str">
        <f>IF(VLOOKUP($E$51,[1]QUART!$A$2:$FA$300, 51, FALSE)="",":",VLOOKUP($E$51,[1]QUART!$A$2:$FA$300, 51, FALSE))</f>
        <v>:</v>
      </c>
      <c r="BA51" s="556" t="str">
        <f>IF(VLOOKUP($E$51,[1]QUART!$A$2:$FA$300, 52, FALSE)="",":",VLOOKUP($E$51,[1]QUART!$A$2:$FA$300, 52, FALSE))</f>
        <v>:</v>
      </c>
      <c r="BB51" s="556" t="str">
        <f>IF(VLOOKUP($E$51,[1]QUART!$A$2:$FA$300, 53, FALSE)="",":",VLOOKUP($E$51,[1]QUART!$A$2:$FA$300, 53, FALSE))</f>
        <v>:</v>
      </c>
      <c r="BC51" s="556" t="str">
        <f>IF(VLOOKUP($E$51,[1]QUART!$A$2:$FA$300, 54, FALSE)="",":",VLOOKUP($E$51,[1]QUART!$A$2:$FA$300, 54, FALSE))</f>
        <v>:</v>
      </c>
      <c r="BD51" s="556" t="str">
        <f>IF(VLOOKUP($E$51,[1]QUART!$A$2:$FA$300, 55, FALSE)="",":",VLOOKUP($E$51,[1]QUART!$A$2:$FA$300, 55, FALSE))</f>
        <v>:</v>
      </c>
      <c r="BE51" s="556" t="str">
        <f>IF(VLOOKUP($E$51,[1]QUART!$A$2:$FA$300, 56, FALSE)="",":",VLOOKUP($E$51,[1]QUART!$A$2:$FA$300, 56, FALSE))</f>
        <v>:</v>
      </c>
      <c r="BF51" s="556" t="str">
        <f>IF(VLOOKUP($E$51,[1]QUART!$A$2:$FA$300, 57, FALSE)="",":",VLOOKUP($E$51,[1]QUART!$A$2:$FA$300, 57, FALSE))</f>
        <v>:</v>
      </c>
      <c r="BG51" s="556" t="str">
        <f>IF(VLOOKUP($E$51,[1]QUART!$A$2:$FA$300, 58, FALSE)="",":",VLOOKUP($E$51,[1]QUART!$A$2:$FA$300, 58, FALSE))</f>
        <v>:</v>
      </c>
      <c r="BH51" s="556" t="str">
        <f>IF(VLOOKUP($E$51,[1]QUART!$A$2:$FA$300, 59, FALSE)="",":",VLOOKUP($E$51,[1]QUART!$A$2:$FA$300, 59, FALSE))</f>
        <v>:</v>
      </c>
      <c r="BI51" s="556" t="str">
        <f>IF(VLOOKUP($E$51,[1]QUART!$A$2:$FA$300, 60, FALSE)="",":",VLOOKUP($E$51,[1]QUART!$A$2:$FA$300, 60, FALSE))</f>
        <v>:</v>
      </c>
      <c r="BJ51" s="556" t="str">
        <f>IF(VLOOKUP($E$51,[1]QUART!$A$2:$FA$300, 61, FALSE)="",":",VLOOKUP($E$51,[1]QUART!$A$2:$FA$300, 61, FALSE))</f>
        <v>:</v>
      </c>
      <c r="BK51" s="556" t="str">
        <f>IF(VLOOKUP($E$51,[1]QUART!$A$2:$FA$300, 62, FALSE)="",":",VLOOKUP($E$51,[1]QUART!$A$2:$FA$300, 62, FALSE))</f>
        <v>:</v>
      </c>
      <c r="BL51" s="556" t="str">
        <f>IF(VLOOKUP($E$51,[1]QUART!$A$2:$FA$300, 63, FALSE)="",":",VLOOKUP($E$51,[1]QUART!$A$2:$FA$300, 63, FALSE))</f>
        <v>:</v>
      </c>
      <c r="BM51" s="556" t="str">
        <f>IF(VLOOKUP($E$51,[1]QUART!$A$2:$FA$300, 64, FALSE)="",":",VLOOKUP($E$51,[1]QUART!$A$2:$FA$300, 64, FALSE))</f>
        <v>:</v>
      </c>
      <c r="BN51" s="556" t="str">
        <f>IF(VLOOKUP($E$51,[1]QUART!$A$2:$FA$300, 65, FALSE)="",":",VLOOKUP($E$51,[1]QUART!$A$2:$FA$300, 65, FALSE))</f>
        <v>:</v>
      </c>
      <c r="BO51" s="556" t="str">
        <f>IF(VLOOKUP($E$51,[1]QUART!$A$2:$FA$300, 66, FALSE)="",":",VLOOKUP($E$51,[1]QUART!$A$2:$FA$300, 66, FALSE))</f>
        <v>:</v>
      </c>
      <c r="BP51" s="556" t="str">
        <f>IF(VLOOKUP($E$51,[1]QUART!$A$2:$FA$300, 67, FALSE)="",":",VLOOKUP($E$51,[1]QUART!$A$2:$FA$300, 67, FALSE))</f>
        <v>:</v>
      </c>
      <c r="BQ51" s="556" t="str">
        <f>IF(VLOOKUP($E$51,[1]QUART!$A$2:$FA$300, 68, FALSE)="",":",VLOOKUP($E$51,[1]QUART!$A$2:$FA$300, 68, FALSE))</f>
        <v>:</v>
      </c>
      <c r="BR51" s="556" t="str">
        <f>IF(VLOOKUP($E$51,[1]QUART!$A$2:$FA$300, 69, FALSE)="",":",VLOOKUP($E$51,[1]QUART!$A$2:$FA$300, 69, FALSE))</f>
        <v>:</v>
      </c>
      <c r="BS51" s="556" t="str">
        <f>IF(VLOOKUP($E$51,[1]QUART!$A$2:$FA$300, 70, FALSE)="",":",VLOOKUP($E$51,[1]QUART!$A$2:$FA$300, 70, FALSE))</f>
        <v>:</v>
      </c>
      <c r="BT51" s="556" t="str">
        <f>IF(VLOOKUP($E$51,[1]QUART!$A$2:$FA$300, 71, FALSE)="",":",VLOOKUP($E$51,[1]QUART!$A$2:$FA$300, 71, FALSE))</f>
        <v>:</v>
      </c>
      <c r="BU51" s="556" t="str">
        <f>IF(VLOOKUP($E$51,[1]QUART!$A$2:$FA$300, 72, FALSE)="",":",VLOOKUP($E$51,[1]QUART!$A$2:$FA$300, 72, FALSE))</f>
        <v>:</v>
      </c>
      <c r="BV51" s="556" t="str">
        <f>IF(VLOOKUP($E$51,[1]QUART!$A$2:$FA$300, 73, FALSE)="",":",VLOOKUP($E$51,[1]QUART!$A$2:$FA$300, 73, FALSE))</f>
        <v>:</v>
      </c>
      <c r="BW51" s="556" t="str">
        <f>IF(VLOOKUP($E$51,[1]QUART!$A$2:$FA$300, 74, FALSE)="",":",VLOOKUP($E$51,[1]QUART!$A$2:$FA$300, 74, FALSE))</f>
        <v>:</v>
      </c>
      <c r="BX51" s="556" t="str">
        <f>IF(VLOOKUP($E$51,[1]QUART!$A$2:$FA$300, 75, FALSE)="",":",VLOOKUP($E$51,[1]QUART!$A$2:$FA$300, 75, FALSE))</f>
        <v>:</v>
      </c>
      <c r="BY51" s="556" t="str">
        <f>IF(VLOOKUP($E$51,[1]QUART!$A$2:$FA$300, 76, FALSE)="",":",VLOOKUP($E$51,[1]QUART!$A$2:$FA$300, 76, FALSE))</f>
        <v>:</v>
      </c>
      <c r="BZ51" s="556" t="str">
        <f>IF(VLOOKUP($E$51,[1]QUART!$A$2:$FA$300, 77, FALSE)="",":",VLOOKUP($E$51,[1]QUART!$A$2:$FA$300, 77, FALSE))</f>
        <v>:</v>
      </c>
      <c r="CA51" s="556" t="str">
        <f>IF(VLOOKUP($E$51,[1]QUART!$A$2:$FA$300, 78, FALSE)="",":",VLOOKUP($E$51,[1]QUART!$A$2:$FA$300, 78, FALSE))</f>
        <v>:</v>
      </c>
      <c r="CB51" s="556" t="str">
        <f>IF(VLOOKUP($E$51,[1]QUART!$A$2:$FA$300, 79, FALSE)="",":",VLOOKUP($E$51,[1]QUART!$A$2:$FA$300, 79, FALSE))</f>
        <v>:</v>
      </c>
      <c r="CC51" s="556" t="str">
        <f>IF(VLOOKUP($E$51,[1]QUART!$A$2:$FA$300, 80, FALSE)="",":",VLOOKUP($E$51,[1]QUART!$A$2:$FA$300, 80, FALSE))</f>
        <v>:</v>
      </c>
      <c r="CD51" s="556" t="str">
        <f>IF(VLOOKUP($E$51,[1]QUART!$A$2:$FA$300, 81, FALSE)="",":",VLOOKUP($E$51,[1]QUART!$A$2:$FA$300, 81, FALSE))</f>
        <v>:</v>
      </c>
      <c r="CE51" s="556" t="str">
        <f>IF(VLOOKUP($E$51,[1]QUART!$A$2:$FA$300, 82, FALSE)="",":",VLOOKUP($E$51,[1]QUART!$A$2:$FA$300, 82, FALSE))</f>
        <v>:</v>
      </c>
      <c r="CF51" s="556" t="str">
        <f>IF(VLOOKUP($E$51,[1]QUART!$A$2:$FA$300, 83, FALSE)="",":",VLOOKUP($E$51,[1]QUART!$A$2:$FA$300, 83, FALSE))</f>
        <v>:</v>
      </c>
      <c r="CG51" s="556" t="str">
        <f>IF(VLOOKUP($E$51,[1]QUART!$A$2:$FA$300, 84, FALSE)="",":",VLOOKUP($E$51,[1]QUART!$A$2:$FA$300, 84, FALSE))</f>
        <v>:</v>
      </c>
      <c r="CH51" s="556" t="str">
        <f>IF(VLOOKUP($E$51,[1]QUART!$A$2:$FA$300, 85, FALSE)="",":",VLOOKUP($E$51,[1]QUART!$A$2:$FA$300, 85, FALSE))</f>
        <v>:</v>
      </c>
      <c r="CI51" s="556" t="str">
        <f>IF(VLOOKUP($E$51,[1]QUART!$A$2:$FA$300, 86, FALSE)="",":",VLOOKUP($E$51,[1]QUART!$A$2:$FA$300, 86, FALSE))</f>
        <v>:</v>
      </c>
      <c r="CJ51" s="556" t="str">
        <f>IF(VLOOKUP($E$51,[1]QUART!$A$2:$FA$300, 87, FALSE)="",":",VLOOKUP($E$51,[1]QUART!$A$2:$FA$300, 87, FALSE))</f>
        <v>:</v>
      </c>
      <c r="CK51" s="556" t="str">
        <f>IF(VLOOKUP($E$51,[1]QUART!$A$2:$FA$300, 88, FALSE)="",":",VLOOKUP($E$51,[1]QUART!$A$2:$FA$300, 88, FALSE))</f>
        <v>:</v>
      </c>
      <c r="CL51" s="556" t="str">
        <f>IF(VLOOKUP($E$51,[1]QUART!$A$2:$FA$300, 89, FALSE)="",":",VLOOKUP($E$51,[1]QUART!$A$2:$FA$300, 89, FALSE))</f>
        <v>:</v>
      </c>
      <c r="CM51" s="556" t="str">
        <f>IF(VLOOKUP($E$51,[1]QUART!$A$2:$FA$300, 90, FALSE)="",":",VLOOKUP($E$51,[1]QUART!$A$2:$FA$300, 90, FALSE))</f>
        <v>:</v>
      </c>
      <c r="CN51" s="556" t="str">
        <f>IF(VLOOKUP($E$51,[1]QUART!$A$2:$FA$300, 91, FALSE)="",":",VLOOKUP($E$51,[1]QUART!$A$2:$FA$300, 91, FALSE))</f>
        <v>:</v>
      </c>
      <c r="CO51" s="556" t="str">
        <f>IF(VLOOKUP($E$51,[1]QUART!$A$2:$FA$300, 92, FALSE)="",":",VLOOKUP($E$51,[1]QUART!$A$2:$FA$300, 92, FALSE))</f>
        <v>:</v>
      </c>
      <c r="CP51" s="556" t="str">
        <f>IF(VLOOKUP($E$51,[1]QUART!$A$2:$FA$300, 93, FALSE)="",":",VLOOKUP($E$51,[1]QUART!$A$2:$FA$300, 93, FALSE))</f>
        <v>:</v>
      </c>
      <c r="CQ51" s="556" t="str">
        <f>IF(VLOOKUP($E$51,[1]QUART!$A$2:$FA$300, 94, FALSE)="",":",VLOOKUP($E$51,[1]QUART!$A$2:$FA$300, 94, FALSE))</f>
        <v>:</v>
      </c>
      <c r="CR51" s="556" t="str">
        <f>IF(VLOOKUP($E$51,[1]QUART!$A$2:$FA$300, 95, FALSE)="",":",VLOOKUP($E$51,[1]QUART!$A$2:$FA$300, 95, FALSE))</f>
        <v>:</v>
      </c>
      <c r="CS51" s="556" t="str">
        <f>IF(VLOOKUP($E$51,[1]QUART!$A$2:$FA$300, 96, FALSE)="",":",VLOOKUP($E$51,[1]QUART!$A$2:$FA$300, 96, FALSE))</f>
        <v>:</v>
      </c>
      <c r="CT51" s="556" t="str">
        <f>IF(VLOOKUP($E$51,[1]QUART!$A$2:$FA$300, 97, FALSE)="",":",VLOOKUP($E$51,[1]QUART!$A$2:$FA$300, 97, FALSE))</f>
        <v>:</v>
      </c>
      <c r="CU51" s="556" t="str">
        <f>IF(VLOOKUP($E$51,[1]QUART!$A$2:$FA$300, 98, FALSE)="",":",VLOOKUP($E$51,[1]QUART!$A$2:$FA$300, 98, FALSE))</f>
        <v>:</v>
      </c>
      <c r="CV51" s="556" t="str">
        <f>IF(VLOOKUP($E$51,[1]QUART!$A$2:$FA$300, 99, FALSE)="",":",VLOOKUP($E$51,[1]QUART!$A$2:$FA$300, 99, FALSE))</f>
        <v>:</v>
      </c>
      <c r="CW51" s="556" t="str">
        <f>IF(VLOOKUP($E$51,[1]QUART!$A$2:$FA$300, 100, FALSE)="",":",VLOOKUP($E$51,[1]QUART!$A$2:$FA$300, 100, FALSE))</f>
        <v>:</v>
      </c>
      <c r="CX51" s="556" t="str">
        <f>IF(VLOOKUP($E$51,[1]QUART!$A$2:$FA$300, 101, FALSE)="",":",VLOOKUP($E$51,[1]QUART!$A$2:$FA$300, 101, FALSE))</f>
        <v>:</v>
      </c>
      <c r="CY51" s="556" t="str">
        <f>IF(VLOOKUP($E$51,[1]QUART!$A$2:$FA$300, 102, FALSE)="",":",VLOOKUP($E$51,[1]QUART!$A$2:$FA$300, 102, FALSE))</f>
        <v>:</v>
      </c>
      <c r="CZ51" s="556" t="str">
        <f>IF(VLOOKUP($E$51,[1]QUART!$A$2:$FA$300, 103, FALSE)="",":",VLOOKUP($E$51,[1]QUART!$A$2:$FA$300, 103, FALSE))</f>
        <v>:</v>
      </c>
      <c r="DA51" s="556" t="str">
        <f>IF(VLOOKUP($E$51,[1]QUART!$A$2:$FA$300, 104, FALSE)="",":",VLOOKUP($E$51,[1]QUART!$A$2:$FA$300, 104, FALSE))</f>
        <v>:</v>
      </c>
      <c r="DB51" s="556" t="str">
        <f>IF(VLOOKUP($E$51,[1]QUART!$A$2:$FA$300, 105, FALSE)="",":",VLOOKUP($E$51,[1]QUART!$A$2:$FA$300, 105, FALSE))</f>
        <v>:</v>
      </c>
      <c r="DC51" s="556" t="str">
        <f>IF(VLOOKUP($E$51,[1]QUART!$A$2:$FA$300, 106, FALSE)="",":",VLOOKUP($E$51,[1]QUART!$A$2:$FA$300, 106, FALSE))</f>
        <v>:</v>
      </c>
    </row>
    <row r="52" spans="1:107">
      <c r="A52" s="546"/>
      <c r="B52" s="546"/>
      <c r="C52" s="547"/>
      <c r="D52" s="12"/>
      <c r="E52" s="13"/>
      <c r="F52" s="14"/>
      <c r="G52" s="556"/>
      <c r="H52" s="556"/>
      <c r="I52" s="556"/>
      <c r="J52" s="556"/>
      <c r="K52" s="556"/>
      <c r="L52" s="556"/>
      <c r="M52" s="556"/>
      <c r="N52" s="556"/>
      <c r="O52" s="556"/>
      <c r="P52" s="556"/>
      <c r="Q52" s="556"/>
      <c r="R52" s="556"/>
      <c r="S52" s="556"/>
      <c r="T52" s="556"/>
      <c r="U52" s="556"/>
      <c r="V52" s="556"/>
      <c r="W52" s="556"/>
      <c r="X52" s="556"/>
      <c r="Y52" s="556"/>
      <c r="Z52" s="556"/>
      <c r="AA52" s="556"/>
      <c r="AB52" s="556"/>
      <c r="AC52" s="556"/>
      <c r="AD52" s="556"/>
      <c r="AE52" s="556"/>
      <c r="AF52" s="556"/>
      <c r="AG52" s="556"/>
      <c r="AH52" s="556"/>
      <c r="AI52" s="556"/>
      <c r="AJ52" s="556"/>
      <c r="AK52" s="556"/>
      <c r="AL52" s="556"/>
      <c r="AM52" s="556"/>
      <c r="AN52" s="556"/>
      <c r="AO52" s="556"/>
      <c r="AP52" s="556"/>
      <c r="AQ52" s="556"/>
      <c r="AR52" s="556"/>
      <c r="AS52" s="556"/>
      <c r="AT52" s="556"/>
      <c r="AU52" s="556"/>
      <c r="AV52" s="556"/>
      <c r="AW52" s="556"/>
      <c r="AX52" s="556"/>
      <c r="AY52" s="556"/>
      <c r="AZ52" s="556"/>
      <c r="BA52" s="556"/>
      <c r="BB52" s="556"/>
      <c r="BC52" s="556"/>
      <c r="BD52" s="556"/>
      <c r="BE52" s="556"/>
      <c r="BF52" s="556"/>
      <c r="BG52" s="556"/>
      <c r="BH52" s="556"/>
      <c r="BI52" s="556"/>
      <c r="BJ52" s="556"/>
      <c r="BK52" s="556"/>
      <c r="BL52" s="556"/>
      <c r="BM52" s="556"/>
      <c r="BN52" s="556"/>
      <c r="BO52" s="556"/>
      <c r="BP52" s="556"/>
      <c r="BQ52" s="556"/>
      <c r="BR52" s="556"/>
      <c r="BS52" s="556"/>
      <c r="BT52" s="556"/>
      <c r="BU52" s="556"/>
      <c r="BV52" s="556"/>
      <c r="BW52" s="556"/>
      <c r="BX52" s="556"/>
      <c r="BY52" s="556"/>
      <c r="BZ52" s="556"/>
      <c r="CA52" s="556"/>
      <c r="CB52" s="556"/>
      <c r="CC52" s="556"/>
      <c r="CD52" s="556"/>
      <c r="CE52" s="556"/>
      <c r="CF52" s="556"/>
      <c r="CG52" s="556"/>
      <c r="CH52" s="556"/>
      <c r="CI52" s="556"/>
      <c r="CJ52" s="556"/>
      <c r="CK52" s="556"/>
      <c r="CL52" s="556"/>
      <c r="CM52" s="556"/>
      <c r="CN52" s="556"/>
      <c r="CO52" s="556"/>
      <c r="CP52" s="556"/>
      <c r="CQ52" s="556"/>
      <c r="CR52" s="556"/>
      <c r="CS52" s="556"/>
      <c r="CT52" s="556"/>
      <c r="CU52" s="556"/>
      <c r="CV52" s="556"/>
      <c r="CW52" s="556"/>
      <c r="CX52" s="556"/>
      <c r="CY52" s="556"/>
      <c r="CZ52" s="556"/>
      <c r="DA52" s="556"/>
      <c r="DB52" s="556"/>
      <c r="DC52" s="556"/>
    </row>
    <row r="53" spans="1:107">
      <c r="A53" s="546"/>
      <c r="B53" s="546"/>
      <c r="C53" s="547"/>
      <c r="D53" s="12" t="s">
        <v>363</v>
      </c>
      <c r="E53" s="13">
        <v>120</v>
      </c>
      <c r="F53" s="14" t="str">
        <f>VLOOKUP($E$53,[1]QUART!$A$2:$FA$300, 3, FALSE)</f>
        <v xml:space="preserve">120  Household final consumption expenditure (domestic)                              </v>
      </c>
      <c r="G53" s="556" t="str">
        <f>IF(VLOOKUP($E$53,[1]QUART!$A$2:$FA$300, 6, FALSE)="",":",VLOOKUP($E$53,[1]QUART!$A$2:$FA$300, 6, FALSE))</f>
        <v>:</v>
      </c>
      <c r="H53" s="556" t="str">
        <f>IF(VLOOKUP($E$53,[1]QUART!$A$2:$FA$300, 7, FALSE)="",":",VLOOKUP($E$53,[1]QUART!$A$2:$FA$300, 7, FALSE))</f>
        <v>:</v>
      </c>
      <c r="I53" s="556" t="str">
        <f>IF(VLOOKUP($E$53,[1]QUART!$A$2:$FA$300, 8, FALSE)="",":",VLOOKUP($E$53,[1]QUART!$A$2:$FA$300, 8, FALSE))</f>
        <v>:</v>
      </c>
      <c r="J53" s="556" t="str">
        <f>IF(VLOOKUP($E$53,[1]QUART!$A$2:$FA$300, 9, FALSE)="",":",VLOOKUP($E$53,[1]QUART!$A$2:$FA$300, 9, FALSE))</f>
        <v>:</v>
      </c>
      <c r="K53" s="556" t="str">
        <f>IF(VLOOKUP($E$53,[1]QUART!$A$2:$FA$300, 10, FALSE)="",":",VLOOKUP($E$53,[1]QUART!$A$2:$FA$300, 10, FALSE))</f>
        <v>:</v>
      </c>
      <c r="L53" s="556" t="str">
        <f>IF(VLOOKUP($E$53,[1]QUART!$A$2:$FA$300, 11, FALSE)="",":",VLOOKUP($E$53,[1]QUART!$A$2:$FA$300, 11, FALSE))</f>
        <v>:</v>
      </c>
      <c r="M53" s="556" t="str">
        <f>IF(VLOOKUP($E$53,[1]QUART!$A$2:$FA$300, 12, FALSE)="",":",VLOOKUP($E$53,[1]QUART!$A$2:$FA$300, 12, FALSE))</f>
        <v>:</v>
      </c>
      <c r="N53" s="556" t="str">
        <f>IF(VLOOKUP($E$53,[1]QUART!$A$2:$FA$300, 13, FALSE)="",":",VLOOKUP($E$53,[1]QUART!$A$2:$FA$300, 13, FALSE))</f>
        <v>:</v>
      </c>
      <c r="O53" s="556" t="str">
        <f>IF(VLOOKUP($E$53,[1]QUART!$A$2:$FA$300, 14, FALSE)="",":",VLOOKUP($E$53,[1]QUART!$A$2:$FA$300, 14, FALSE))</f>
        <v>:</v>
      </c>
      <c r="P53" s="556" t="str">
        <f>IF(VLOOKUP($E$53,[1]QUART!$A$2:$FA$300, 15, FALSE)="",":",VLOOKUP($E$53,[1]QUART!$A$2:$FA$300, 15, FALSE))</f>
        <v>:</v>
      </c>
      <c r="Q53" s="556" t="str">
        <f>IF(VLOOKUP($E$53,[1]QUART!$A$2:$FA$300, 16, FALSE)="",":",VLOOKUP($E$53,[1]QUART!$A$2:$FA$300, 16, FALSE))</f>
        <v>:</v>
      </c>
      <c r="R53" s="556" t="str">
        <f>IF(VLOOKUP($E$53,[1]QUART!$A$2:$FA$300, 17, FALSE)="",":",VLOOKUP($E$53,[1]QUART!$A$2:$FA$300, 17, FALSE))</f>
        <v>:</v>
      </c>
      <c r="S53" s="556" t="str">
        <f>IF(VLOOKUP($E$53,[1]QUART!$A$2:$FA$300, 18, FALSE)="",":",VLOOKUP($E$53,[1]QUART!$A$2:$FA$300, 18, FALSE))</f>
        <v>:</v>
      </c>
      <c r="T53" s="556" t="str">
        <f>IF(VLOOKUP($E$53,[1]QUART!$A$2:$FA$300, 19, FALSE)="",":",VLOOKUP($E$53,[1]QUART!$A$2:$FA$300, 19, FALSE))</f>
        <v>:</v>
      </c>
      <c r="U53" s="556" t="str">
        <f>IF(VLOOKUP($E$53,[1]QUART!$A$2:$FA$300, 20, FALSE)="",":",VLOOKUP($E$53,[1]QUART!$A$2:$FA$300, 20, FALSE))</f>
        <v>:</v>
      </c>
      <c r="V53" s="556" t="str">
        <f>IF(VLOOKUP($E$53,[1]QUART!$A$2:$FA$300, 21, FALSE)="",":",VLOOKUP($E$53,[1]QUART!$A$2:$FA$300, 21, FALSE))</f>
        <v>:</v>
      </c>
      <c r="W53" s="556" t="str">
        <f>IF(VLOOKUP($E$53,[1]QUART!$A$2:$FA$300, 22, FALSE)="",":",VLOOKUP($E$53,[1]QUART!$A$2:$FA$300, 22, FALSE))</f>
        <v>:</v>
      </c>
      <c r="X53" s="556" t="str">
        <f>IF(VLOOKUP($E$53,[1]QUART!$A$2:$FA$300, 23, FALSE)="",":",VLOOKUP($E$53,[1]QUART!$A$2:$FA$300, 23, FALSE))</f>
        <v>:</v>
      </c>
      <c r="Y53" s="556" t="str">
        <f>IF(VLOOKUP($E$53,[1]QUART!$A$2:$FA$300, 24, FALSE)="",":",VLOOKUP($E$53,[1]QUART!$A$2:$FA$300, 24, FALSE))</f>
        <v>:</v>
      </c>
      <c r="Z53" s="556" t="str">
        <f>IF(VLOOKUP($E$53,[1]QUART!$A$2:$FA$300, 25, FALSE)="",":",VLOOKUP($E$53,[1]QUART!$A$2:$FA$300, 25, FALSE))</f>
        <v>:</v>
      </c>
      <c r="AA53" s="556" t="str">
        <f>IF(VLOOKUP($E$53,[1]QUART!$A$2:$FA$300, 26, FALSE)="",":",VLOOKUP($E$53,[1]QUART!$A$2:$FA$300, 26, FALSE))</f>
        <v>:</v>
      </c>
      <c r="AB53" s="556" t="str">
        <f>IF(VLOOKUP($E$53,[1]QUART!$A$2:$FA$300, 27, FALSE)="",":",VLOOKUP($E$53,[1]QUART!$A$2:$FA$300, 27, FALSE))</f>
        <v>:</v>
      </c>
      <c r="AC53" s="556" t="str">
        <f>IF(VLOOKUP($E$53,[1]QUART!$A$2:$FA$300, 28, FALSE)="",":",VLOOKUP($E$53,[1]QUART!$A$2:$FA$300, 28, FALSE))</f>
        <v>:</v>
      </c>
      <c r="AD53" s="556" t="str">
        <f>IF(VLOOKUP($E$53,[1]QUART!$A$2:$FA$300, 29, FALSE)="",":",VLOOKUP($E$53,[1]QUART!$A$2:$FA$300, 29, FALSE))</f>
        <v>:</v>
      </c>
      <c r="AE53" s="556" t="str">
        <f>IF(VLOOKUP($E$53,[1]QUART!$A$2:$FA$300, 30, FALSE)="",":",VLOOKUP($E$53,[1]QUART!$A$2:$FA$300, 30, FALSE))</f>
        <v>:</v>
      </c>
      <c r="AF53" s="556" t="str">
        <f>IF(VLOOKUP($E$53,[1]QUART!$A$2:$FA$300, 31, FALSE)="",":",VLOOKUP($E$53,[1]QUART!$A$2:$FA$300, 31, FALSE))</f>
        <v>:</v>
      </c>
      <c r="AG53" s="556" t="str">
        <f>IF(VLOOKUP($E$53,[1]QUART!$A$2:$FA$300, 32, FALSE)="",":",VLOOKUP($E$53,[1]QUART!$A$2:$FA$300, 32, FALSE))</f>
        <v>:</v>
      </c>
      <c r="AH53" s="556" t="str">
        <f>IF(VLOOKUP($E$53,[1]QUART!$A$2:$FA$300, 33, FALSE)="",":",VLOOKUP($E$53,[1]QUART!$A$2:$FA$300, 33, FALSE))</f>
        <v>:</v>
      </c>
      <c r="AI53" s="556" t="str">
        <f>IF(VLOOKUP($E$53,[1]QUART!$A$2:$FA$300, 34, FALSE)="",":",VLOOKUP($E$53,[1]QUART!$A$2:$FA$300, 34, FALSE))</f>
        <v>:</v>
      </c>
      <c r="AJ53" s="556" t="str">
        <f>IF(VLOOKUP($E$53,[1]QUART!$A$2:$FA$300, 35, FALSE)="",":",VLOOKUP($E$53,[1]QUART!$A$2:$FA$300, 35, FALSE))</f>
        <v>:</v>
      </c>
      <c r="AK53" s="556" t="str">
        <f>IF(VLOOKUP($E$53,[1]QUART!$A$2:$FA$300, 36, FALSE)="",":",VLOOKUP($E$53,[1]QUART!$A$2:$FA$300, 36, FALSE))</f>
        <v>:</v>
      </c>
      <c r="AL53" s="556" t="str">
        <f>IF(VLOOKUP($E$53,[1]QUART!$A$2:$FA$300, 37, FALSE)="",":",VLOOKUP($E$53,[1]QUART!$A$2:$FA$300, 37, FALSE))</f>
        <v>:</v>
      </c>
      <c r="AM53" s="556" t="str">
        <f>IF(VLOOKUP($E$53,[1]QUART!$A$2:$FA$300, 38, FALSE)="",":",VLOOKUP($E$53,[1]QUART!$A$2:$FA$300, 38, FALSE))</f>
        <v>:</v>
      </c>
      <c r="AN53" s="556" t="str">
        <f>IF(VLOOKUP($E$53,[1]QUART!$A$2:$FA$300, 39, FALSE)="",":",VLOOKUP($E$53,[1]QUART!$A$2:$FA$300, 39, FALSE))</f>
        <v>:</v>
      </c>
      <c r="AO53" s="556" t="str">
        <f>IF(VLOOKUP($E$53,[1]QUART!$A$2:$FA$300, 40, FALSE)="",":",VLOOKUP($E$53,[1]QUART!$A$2:$FA$300, 40, FALSE))</f>
        <v>:</v>
      </c>
      <c r="AP53" s="556" t="str">
        <f>IF(VLOOKUP($E$53,[1]QUART!$A$2:$FA$300, 41, FALSE)="",":",VLOOKUP($E$53,[1]QUART!$A$2:$FA$300, 41, FALSE))</f>
        <v>:</v>
      </c>
      <c r="AQ53" s="556" t="str">
        <f>IF(VLOOKUP($E$53,[1]QUART!$A$2:$FA$300, 42, FALSE)="",":",VLOOKUP($E$53,[1]QUART!$A$2:$FA$300, 42, FALSE))</f>
        <v>:</v>
      </c>
      <c r="AR53" s="556" t="str">
        <f>IF(VLOOKUP($E$53,[1]QUART!$A$2:$FA$300, 43, FALSE)="",":",VLOOKUP($E$53,[1]QUART!$A$2:$FA$300, 43, FALSE))</f>
        <v>:</v>
      </c>
      <c r="AS53" s="556" t="str">
        <f>IF(VLOOKUP($E$53,[1]QUART!$A$2:$FA$300, 44, FALSE)="",":",VLOOKUP($E$53,[1]QUART!$A$2:$FA$300, 44, FALSE))</f>
        <v>:</v>
      </c>
      <c r="AT53" s="556" t="str">
        <f>IF(VLOOKUP($E$53,[1]QUART!$A$2:$FA$300, 45, FALSE)="",":",VLOOKUP($E$53,[1]QUART!$A$2:$FA$300, 45, FALSE))</f>
        <v>:</v>
      </c>
      <c r="AU53" s="556" t="str">
        <f>IF(VLOOKUP($E$53,[1]QUART!$A$2:$FA$300, 46, FALSE)="",":",VLOOKUP($E$53,[1]QUART!$A$2:$FA$300, 46, FALSE))</f>
        <v>:</v>
      </c>
      <c r="AV53" s="556" t="str">
        <f>IF(VLOOKUP($E$53,[1]QUART!$A$2:$FA$300, 47, FALSE)="",":",VLOOKUP($E$53,[1]QUART!$A$2:$FA$300, 47, FALSE))</f>
        <v>:</v>
      </c>
      <c r="AW53" s="556" t="str">
        <f>IF(VLOOKUP($E$53,[1]QUART!$A$2:$FA$300, 48, FALSE)="",":",VLOOKUP($E$53,[1]QUART!$A$2:$FA$300, 48, FALSE))</f>
        <v>:</v>
      </c>
      <c r="AX53" s="556" t="str">
        <f>IF(VLOOKUP($E$53,[1]QUART!$A$2:$FA$300, 49, FALSE)="",":",VLOOKUP($E$53,[1]QUART!$A$2:$FA$300, 49, FALSE))</f>
        <v>:</v>
      </c>
      <c r="AY53" s="556" t="str">
        <f>IF(VLOOKUP($E$53,[1]QUART!$A$2:$FA$300, 50, FALSE)="",":",VLOOKUP($E$53,[1]QUART!$A$2:$FA$300, 50, FALSE))</f>
        <v>:</v>
      </c>
      <c r="AZ53" s="556" t="str">
        <f>IF(VLOOKUP($E$53,[1]QUART!$A$2:$FA$300, 51, FALSE)="",":",VLOOKUP($E$53,[1]QUART!$A$2:$FA$300, 51, FALSE))</f>
        <v>:</v>
      </c>
      <c r="BA53" s="556" t="str">
        <f>IF(VLOOKUP($E$53,[1]QUART!$A$2:$FA$300, 52, FALSE)="",":",VLOOKUP($E$53,[1]QUART!$A$2:$FA$300, 52, FALSE))</f>
        <v>:</v>
      </c>
      <c r="BB53" s="556" t="str">
        <f>IF(VLOOKUP($E$53,[1]QUART!$A$2:$FA$300, 53, FALSE)="",":",VLOOKUP($E$53,[1]QUART!$A$2:$FA$300, 53, FALSE))</f>
        <v>:</v>
      </c>
      <c r="BC53" s="556" t="str">
        <f>IF(VLOOKUP($E$53,[1]QUART!$A$2:$FA$300, 54, FALSE)="",":",VLOOKUP($E$53,[1]QUART!$A$2:$FA$300, 54, FALSE))</f>
        <v>:</v>
      </c>
      <c r="BD53" s="556" t="str">
        <f>IF(VLOOKUP($E$53,[1]QUART!$A$2:$FA$300, 55, FALSE)="",":",VLOOKUP($E$53,[1]QUART!$A$2:$FA$300, 55, FALSE))</f>
        <v>:</v>
      </c>
      <c r="BE53" s="556" t="str">
        <f>IF(VLOOKUP($E$53,[1]QUART!$A$2:$FA$300, 56, FALSE)="",":",VLOOKUP($E$53,[1]QUART!$A$2:$FA$300, 56, FALSE))</f>
        <v>:</v>
      </c>
      <c r="BF53" s="556" t="str">
        <f>IF(VLOOKUP($E$53,[1]QUART!$A$2:$FA$300, 57, FALSE)="",":",VLOOKUP($E$53,[1]QUART!$A$2:$FA$300, 57, FALSE))</f>
        <v>:</v>
      </c>
      <c r="BG53" s="556" t="str">
        <f>IF(VLOOKUP($E$53,[1]QUART!$A$2:$FA$300, 58, FALSE)="",":",VLOOKUP($E$53,[1]QUART!$A$2:$FA$300, 58, FALSE))</f>
        <v>:</v>
      </c>
      <c r="BH53" s="556" t="str">
        <f>IF(VLOOKUP($E$53,[1]QUART!$A$2:$FA$300, 59, FALSE)="",":",VLOOKUP($E$53,[1]QUART!$A$2:$FA$300, 59, FALSE))</f>
        <v>:</v>
      </c>
      <c r="BI53" s="556" t="str">
        <f>IF(VLOOKUP($E$53,[1]QUART!$A$2:$FA$300, 60, FALSE)="",":",VLOOKUP($E$53,[1]QUART!$A$2:$FA$300, 60, FALSE))</f>
        <v>:</v>
      </c>
      <c r="BJ53" s="556" t="str">
        <f>IF(VLOOKUP($E$53,[1]QUART!$A$2:$FA$300, 61, FALSE)="",":",VLOOKUP($E$53,[1]QUART!$A$2:$FA$300, 61, FALSE))</f>
        <v>:</v>
      </c>
      <c r="BK53" s="556" t="str">
        <f>IF(VLOOKUP($E$53,[1]QUART!$A$2:$FA$300, 62, FALSE)="",":",VLOOKUP($E$53,[1]QUART!$A$2:$FA$300, 62, FALSE))</f>
        <v>:</v>
      </c>
      <c r="BL53" s="556" t="str">
        <f>IF(VLOOKUP($E$53,[1]QUART!$A$2:$FA$300, 63, FALSE)="",":",VLOOKUP($E$53,[1]QUART!$A$2:$FA$300, 63, FALSE))</f>
        <v>:</v>
      </c>
      <c r="BM53" s="556" t="str">
        <f>IF(VLOOKUP($E$53,[1]QUART!$A$2:$FA$300, 64, FALSE)="",":",VLOOKUP($E$53,[1]QUART!$A$2:$FA$300, 64, FALSE))</f>
        <v>:</v>
      </c>
      <c r="BN53" s="556" t="str">
        <f>IF(VLOOKUP($E$53,[1]QUART!$A$2:$FA$300, 65, FALSE)="",":",VLOOKUP($E$53,[1]QUART!$A$2:$FA$300, 65, FALSE))</f>
        <v>:</v>
      </c>
      <c r="BO53" s="556" t="str">
        <f>IF(VLOOKUP($E$53,[1]QUART!$A$2:$FA$300, 66, FALSE)="",":",VLOOKUP($E$53,[1]QUART!$A$2:$FA$300, 66, FALSE))</f>
        <v>:</v>
      </c>
      <c r="BP53" s="556" t="str">
        <f>IF(VLOOKUP($E$53,[1]QUART!$A$2:$FA$300, 67, FALSE)="",":",VLOOKUP($E$53,[1]QUART!$A$2:$FA$300, 67, FALSE))</f>
        <v>:</v>
      </c>
      <c r="BQ53" s="556" t="str">
        <f>IF(VLOOKUP($E$53,[1]QUART!$A$2:$FA$300, 68, FALSE)="",":",VLOOKUP($E$53,[1]QUART!$A$2:$FA$300, 68, FALSE))</f>
        <v>:</v>
      </c>
      <c r="BR53" s="556" t="str">
        <f>IF(VLOOKUP($E$53,[1]QUART!$A$2:$FA$300, 69, FALSE)="",":",VLOOKUP($E$53,[1]QUART!$A$2:$FA$300, 69, FALSE))</f>
        <v>:</v>
      </c>
      <c r="BS53" s="556" t="str">
        <f>IF(VLOOKUP($E$53,[1]QUART!$A$2:$FA$300, 70, FALSE)="",":",VLOOKUP($E$53,[1]QUART!$A$2:$FA$300, 70, FALSE))</f>
        <v>:</v>
      </c>
      <c r="BT53" s="556" t="str">
        <f>IF(VLOOKUP($E$53,[1]QUART!$A$2:$FA$300, 71, FALSE)="",":",VLOOKUP($E$53,[1]QUART!$A$2:$FA$300, 71, FALSE))</f>
        <v>:</v>
      </c>
      <c r="BU53" s="556" t="str">
        <f>IF(VLOOKUP($E$53,[1]QUART!$A$2:$FA$300, 72, FALSE)="",":",VLOOKUP($E$53,[1]QUART!$A$2:$FA$300, 72, FALSE))</f>
        <v>:</v>
      </c>
      <c r="BV53" s="556" t="str">
        <f>IF(VLOOKUP($E$53,[1]QUART!$A$2:$FA$300, 73, FALSE)="",":",VLOOKUP($E$53,[1]QUART!$A$2:$FA$300, 73, FALSE))</f>
        <v>:</v>
      </c>
      <c r="BW53" s="556" t="str">
        <f>IF(VLOOKUP($E$53,[1]QUART!$A$2:$FA$300, 74, FALSE)="",":",VLOOKUP($E$53,[1]QUART!$A$2:$FA$300, 74, FALSE))</f>
        <v>:</v>
      </c>
      <c r="BX53" s="556" t="str">
        <f>IF(VLOOKUP($E$53,[1]QUART!$A$2:$FA$300, 75, FALSE)="",":",VLOOKUP($E$53,[1]QUART!$A$2:$FA$300, 75, FALSE))</f>
        <v>:</v>
      </c>
      <c r="BY53" s="556" t="str">
        <f>IF(VLOOKUP($E$53,[1]QUART!$A$2:$FA$300, 76, FALSE)="",":",VLOOKUP($E$53,[1]QUART!$A$2:$FA$300, 76, FALSE))</f>
        <v>:</v>
      </c>
      <c r="BZ53" s="556" t="str">
        <f>IF(VLOOKUP($E$53,[1]QUART!$A$2:$FA$300, 77, FALSE)="",":",VLOOKUP($E$53,[1]QUART!$A$2:$FA$300, 77, FALSE))</f>
        <v>:</v>
      </c>
      <c r="CA53" s="556" t="str">
        <f>IF(VLOOKUP($E$53,[1]QUART!$A$2:$FA$300, 78, FALSE)="",":",VLOOKUP($E$53,[1]QUART!$A$2:$FA$300, 78, FALSE))</f>
        <v>:</v>
      </c>
      <c r="CB53" s="556" t="str">
        <f>IF(VLOOKUP($E$53,[1]QUART!$A$2:$FA$300, 79, FALSE)="",":",VLOOKUP($E$53,[1]QUART!$A$2:$FA$300, 79, FALSE))</f>
        <v>:</v>
      </c>
      <c r="CC53" s="556" t="str">
        <f>IF(VLOOKUP($E$53,[1]QUART!$A$2:$FA$300, 80, FALSE)="",":",VLOOKUP($E$53,[1]QUART!$A$2:$FA$300, 80, FALSE))</f>
        <v>:</v>
      </c>
      <c r="CD53" s="556" t="str">
        <f>IF(VLOOKUP($E$53,[1]QUART!$A$2:$FA$300, 81, FALSE)="",":",VLOOKUP($E$53,[1]QUART!$A$2:$FA$300, 81, FALSE))</f>
        <v>:</v>
      </c>
      <c r="CE53" s="556" t="str">
        <f>IF(VLOOKUP($E$53,[1]QUART!$A$2:$FA$300, 82, FALSE)="",":",VLOOKUP($E$53,[1]QUART!$A$2:$FA$300, 82, FALSE))</f>
        <v>:</v>
      </c>
      <c r="CF53" s="556" t="str">
        <f>IF(VLOOKUP($E$53,[1]QUART!$A$2:$FA$300, 83, FALSE)="",":",VLOOKUP($E$53,[1]QUART!$A$2:$FA$300, 83, FALSE))</f>
        <v>:</v>
      </c>
      <c r="CG53" s="556" t="str">
        <f>IF(VLOOKUP($E$53,[1]QUART!$A$2:$FA$300, 84, FALSE)="",":",VLOOKUP($E$53,[1]QUART!$A$2:$FA$300, 84, FALSE))</f>
        <v>:</v>
      </c>
      <c r="CH53" s="556" t="str">
        <f>IF(VLOOKUP($E$53,[1]QUART!$A$2:$FA$300, 85, FALSE)="",":",VLOOKUP($E$53,[1]QUART!$A$2:$FA$300, 85, FALSE))</f>
        <v>:</v>
      </c>
      <c r="CI53" s="556" t="str">
        <f>IF(VLOOKUP($E$53,[1]QUART!$A$2:$FA$300, 86, FALSE)="",":",VLOOKUP($E$53,[1]QUART!$A$2:$FA$300, 86, FALSE))</f>
        <v>:</v>
      </c>
      <c r="CJ53" s="556" t="str">
        <f>IF(VLOOKUP($E$53,[1]QUART!$A$2:$FA$300, 87, FALSE)="",":",VLOOKUP($E$53,[1]QUART!$A$2:$FA$300, 87, FALSE))</f>
        <v>:</v>
      </c>
      <c r="CK53" s="556" t="str">
        <f>IF(VLOOKUP($E$53,[1]QUART!$A$2:$FA$300, 88, FALSE)="",":",VLOOKUP($E$53,[1]QUART!$A$2:$FA$300, 88, FALSE))</f>
        <v>:</v>
      </c>
      <c r="CL53" s="556" t="str">
        <f>IF(VLOOKUP($E$53,[1]QUART!$A$2:$FA$300, 89, FALSE)="",":",VLOOKUP($E$53,[1]QUART!$A$2:$FA$300, 89, FALSE))</f>
        <v>:</v>
      </c>
      <c r="CM53" s="556" t="str">
        <f>IF(VLOOKUP($E$53,[1]QUART!$A$2:$FA$300, 90, FALSE)="",":",VLOOKUP($E$53,[1]QUART!$A$2:$FA$300, 90, FALSE))</f>
        <v>:</v>
      </c>
      <c r="CN53" s="556" t="str">
        <f>IF(VLOOKUP($E$53,[1]QUART!$A$2:$FA$300, 91, FALSE)="",":",VLOOKUP($E$53,[1]QUART!$A$2:$FA$300, 91, FALSE))</f>
        <v>:</v>
      </c>
      <c r="CO53" s="556" t="str">
        <f>IF(VLOOKUP($E$53,[1]QUART!$A$2:$FA$300, 92, FALSE)="",":",VLOOKUP($E$53,[1]QUART!$A$2:$FA$300, 92, FALSE))</f>
        <v>:</v>
      </c>
      <c r="CP53" s="556" t="str">
        <f>IF(VLOOKUP($E$53,[1]QUART!$A$2:$FA$300, 93, FALSE)="",":",VLOOKUP($E$53,[1]QUART!$A$2:$FA$300, 93, FALSE))</f>
        <v>:</v>
      </c>
      <c r="CQ53" s="556" t="str">
        <f>IF(VLOOKUP($E$53,[1]QUART!$A$2:$FA$300, 94, FALSE)="",":",VLOOKUP($E$53,[1]QUART!$A$2:$FA$300, 94, FALSE))</f>
        <v>:</v>
      </c>
      <c r="CR53" s="556" t="str">
        <f>IF(VLOOKUP($E$53,[1]QUART!$A$2:$FA$300, 95, FALSE)="",":",VLOOKUP($E$53,[1]QUART!$A$2:$FA$300, 95, FALSE))</f>
        <v>:</v>
      </c>
      <c r="CS53" s="556" t="str">
        <f>IF(VLOOKUP($E$53,[1]QUART!$A$2:$FA$300, 96, FALSE)="",":",VLOOKUP($E$53,[1]QUART!$A$2:$FA$300, 96, FALSE))</f>
        <v>:</v>
      </c>
      <c r="CT53" s="556" t="str">
        <f>IF(VLOOKUP($E$53,[1]QUART!$A$2:$FA$300, 97, FALSE)="",":",VLOOKUP($E$53,[1]QUART!$A$2:$FA$300, 97, FALSE))</f>
        <v>:</v>
      </c>
      <c r="CU53" s="556" t="str">
        <f>IF(VLOOKUP($E$53,[1]QUART!$A$2:$FA$300, 98, FALSE)="",":",VLOOKUP($E$53,[1]QUART!$A$2:$FA$300, 98, FALSE))</f>
        <v>:</v>
      </c>
      <c r="CV53" s="556" t="str">
        <f>IF(VLOOKUP($E$53,[1]QUART!$A$2:$FA$300, 99, FALSE)="",":",VLOOKUP($E$53,[1]QUART!$A$2:$FA$300, 99, FALSE))</f>
        <v>:</v>
      </c>
      <c r="CW53" s="556" t="str">
        <f>IF(VLOOKUP($E$53,[1]QUART!$A$2:$FA$300, 100, FALSE)="",":",VLOOKUP($E$53,[1]QUART!$A$2:$FA$300, 100, FALSE))</f>
        <v>:</v>
      </c>
      <c r="CX53" s="556" t="str">
        <f>IF(VLOOKUP($E$53,[1]QUART!$A$2:$FA$300, 101, FALSE)="",":",VLOOKUP($E$53,[1]QUART!$A$2:$FA$300, 101, FALSE))</f>
        <v>:</v>
      </c>
      <c r="CY53" s="556" t="str">
        <f>IF(VLOOKUP($E$53,[1]QUART!$A$2:$FA$300, 102, FALSE)="",":",VLOOKUP($E$53,[1]QUART!$A$2:$FA$300, 102, FALSE))</f>
        <v>:</v>
      </c>
      <c r="CZ53" s="556" t="str">
        <f>IF(VLOOKUP($E$53,[1]QUART!$A$2:$FA$300, 103, FALSE)="",":",VLOOKUP($E$53,[1]QUART!$A$2:$FA$300, 103, FALSE))</f>
        <v>:</v>
      </c>
      <c r="DA53" s="556" t="str">
        <f>IF(VLOOKUP($E$53,[1]QUART!$A$2:$FA$300, 104, FALSE)="",":",VLOOKUP($E$53,[1]QUART!$A$2:$FA$300, 104, FALSE))</f>
        <v>:</v>
      </c>
      <c r="DB53" s="556" t="str">
        <f>IF(VLOOKUP($E$53,[1]QUART!$A$2:$FA$300, 105, FALSE)="",":",VLOOKUP($E$53,[1]QUART!$A$2:$FA$300, 105, FALSE))</f>
        <v>:</v>
      </c>
      <c r="DC53" s="556" t="str">
        <f>IF(VLOOKUP($E$53,[1]QUART!$A$2:$FA$300, 106, FALSE)="",":",VLOOKUP($E$53,[1]QUART!$A$2:$FA$300, 106, FALSE))</f>
        <v>:</v>
      </c>
    </row>
    <row r="54" spans="1:107">
      <c r="A54" s="546"/>
      <c r="B54" s="546"/>
      <c r="C54" s="547"/>
      <c r="D54" s="12" t="s">
        <v>363</v>
      </c>
      <c r="E54" s="13">
        <v>121</v>
      </c>
      <c r="F54" s="14" t="str">
        <f>VLOOKUP($E$54,[1]QUART!$A$2:$FA$300, 3, FALSE)</f>
        <v xml:space="preserve">121  Government final consumption expenditure                                        </v>
      </c>
      <c r="G54" s="556" t="str">
        <f>IF(VLOOKUP($E$54,[1]QUART!$A$2:$FA$300, 6, FALSE)="",":",VLOOKUP($E$54,[1]QUART!$A$2:$FA$300, 6, FALSE))</f>
        <v>:</v>
      </c>
      <c r="H54" s="556" t="str">
        <f>IF(VLOOKUP($E$54,[1]QUART!$A$2:$FA$300, 7, FALSE)="",":",VLOOKUP($E$54,[1]QUART!$A$2:$FA$300, 7, FALSE))</f>
        <v>:</v>
      </c>
      <c r="I54" s="556" t="str">
        <f>IF(VLOOKUP($E$54,[1]QUART!$A$2:$FA$300, 8, FALSE)="",":",VLOOKUP($E$54,[1]QUART!$A$2:$FA$300, 8, FALSE))</f>
        <v>:</v>
      </c>
      <c r="J54" s="556" t="str">
        <f>IF(VLOOKUP($E$54,[1]QUART!$A$2:$FA$300, 9, FALSE)="",":",VLOOKUP($E$54,[1]QUART!$A$2:$FA$300, 9, FALSE))</f>
        <v>:</v>
      </c>
      <c r="K54" s="556" t="str">
        <f>IF(VLOOKUP($E$54,[1]QUART!$A$2:$FA$300, 10, FALSE)="",":",VLOOKUP($E$54,[1]QUART!$A$2:$FA$300, 10, FALSE))</f>
        <v>:</v>
      </c>
      <c r="L54" s="556" t="str">
        <f>IF(VLOOKUP($E$54,[1]QUART!$A$2:$FA$300, 11, FALSE)="",":",VLOOKUP($E$54,[1]QUART!$A$2:$FA$300, 11, FALSE))</f>
        <v>:</v>
      </c>
      <c r="M54" s="556" t="str">
        <f>IF(VLOOKUP($E$54,[1]QUART!$A$2:$FA$300, 12, FALSE)="",":",VLOOKUP($E$54,[1]QUART!$A$2:$FA$300, 12, FALSE))</f>
        <v>:</v>
      </c>
      <c r="N54" s="556" t="str">
        <f>IF(VLOOKUP($E$54,[1]QUART!$A$2:$FA$300, 13, FALSE)="",":",VLOOKUP($E$54,[1]QUART!$A$2:$FA$300, 13, FALSE))</f>
        <v>:</v>
      </c>
      <c r="O54" s="556" t="str">
        <f>IF(VLOOKUP($E$54,[1]QUART!$A$2:$FA$300, 14, FALSE)="",":",VLOOKUP($E$54,[1]QUART!$A$2:$FA$300, 14, FALSE))</f>
        <v>:</v>
      </c>
      <c r="P54" s="556" t="str">
        <f>IF(VLOOKUP($E$54,[1]QUART!$A$2:$FA$300, 15, FALSE)="",":",VLOOKUP($E$54,[1]QUART!$A$2:$FA$300, 15, FALSE))</f>
        <v>:</v>
      </c>
      <c r="Q54" s="556" t="str">
        <f>IF(VLOOKUP($E$54,[1]QUART!$A$2:$FA$300, 16, FALSE)="",":",VLOOKUP($E$54,[1]QUART!$A$2:$FA$300, 16, FALSE))</f>
        <v>:</v>
      </c>
      <c r="R54" s="556" t="str">
        <f>IF(VLOOKUP($E$54,[1]QUART!$A$2:$FA$300, 17, FALSE)="",":",VLOOKUP($E$54,[1]QUART!$A$2:$FA$300, 17, FALSE))</f>
        <v>:</v>
      </c>
      <c r="S54" s="556" t="str">
        <f>IF(VLOOKUP($E$54,[1]QUART!$A$2:$FA$300, 18, FALSE)="",":",VLOOKUP($E$54,[1]QUART!$A$2:$FA$300, 18, FALSE))</f>
        <v>:</v>
      </c>
      <c r="T54" s="556" t="str">
        <f>IF(VLOOKUP($E$54,[1]QUART!$A$2:$FA$300, 19, FALSE)="",":",VLOOKUP($E$54,[1]QUART!$A$2:$FA$300, 19, FALSE))</f>
        <v>:</v>
      </c>
      <c r="U54" s="556" t="str">
        <f>IF(VLOOKUP($E$54,[1]QUART!$A$2:$FA$300, 20, FALSE)="",":",VLOOKUP($E$54,[1]QUART!$A$2:$FA$300, 20, FALSE))</f>
        <v>:</v>
      </c>
      <c r="V54" s="556" t="str">
        <f>IF(VLOOKUP($E$54,[1]QUART!$A$2:$FA$300, 21, FALSE)="",":",VLOOKUP($E$54,[1]QUART!$A$2:$FA$300, 21, FALSE))</f>
        <v>:</v>
      </c>
      <c r="W54" s="556" t="str">
        <f>IF(VLOOKUP($E$54,[1]QUART!$A$2:$FA$300, 22, FALSE)="",":",VLOOKUP($E$54,[1]QUART!$A$2:$FA$300, 22, FALSE))</f>
        <v>:</v>
      </c>
      <c r="X54" s="556" t="str">
        <f>IF(VLOOKUP($E$54,[1]QUART!$A$2:$FA$300, 23, FALSE)="",":",VLOOKUP($E$54,[1]QUART!$A$2:$FA$300, 23, FALSE))</f>
        <v>:</v>
      </c>
      <c r="Y54" s="556" t="str">
        <f>IF(VLOOKUP($E$54,[1]QUART!$A$2:$FA$300, 24, FALSE)="",":",VLOOKUP($E$54,[1]QUART!$A$2:$FA$300, 24, FALSE))</f>
        <v>:</v>
      </c>
      <c r="Z54" s="556" t="str">
        <f>IF(VLOOKUP($E$54,[1]QUART!$A$2:$FA$300, 25, FALSE)="",":",VLOOKUP($E$54,[1]QUART!$A$2:$FA$300, 25, FALSE))</f>
        <v>:</v>
      </c>
      <c r="AA54" s="556" t="str">
        <f>IF(VLOOKUP($E$54,[1]QUART!$A$2:$FA$300, 26, FALSE)="",":",VLOOKUP($E$54,[1]QUART!$A$2:$FA$300, 26, FALSE))</f>
        <v>:</v>
      </c>
      <c r="AB54" s="556" t="str">
        <f>IF(VLOOKUP($E$54,[1]QUART!$A$2:$FA$300, 27, FALSE)="",":",VLOOKUP($E$54,[1]QUART!$A$2:$FA$300, 27, FALSE))</f>
        <v>:</v>
      </c>
      <c r="AC54" s="556" t="str">
        <f>IF(VLOOKUP($E$54,[1]QUART!$A$2:$FA$300, 28, FALSE)="",":",VLOOKUP($E$54,[1]QUART!$A$2:$FA$300, 28, FALSE))</f>
        <v>:</v>
      </c>
      <c r="AD54" s="556" t="str">
        <f>IF(VLOOKUP($E$54,[1]QUART!$A$2:$FA$300, 29, FALSE)="",":",VLOOKUP($E$54,[1]QUART!$A$2:$FA$300, 29, FALSE))</f>
        <v>:</v>
      </c>
      <c r="AE54" s="556" t="str">
        <f>IF(VLOOKUP($E$54,[1]QUART!$A$2:$FA$300, 30, FALSE)="",":",VLOOKUP($E$54,[1]QUART!$A$2:$FA$300, 30, FALSE))</f>
        <v>:</v>
      </c>
      <c r="AF54" s="556" t="str">
        <f>IF(VLOOKUP($E$54,[1]QUART!$A$2:$FA$300, 31, FALSE)="",":",VLOOKUP($E$54,[1]QUART!$A$2:$FA$300, 31, FALSE))</f>
        <v>:</v>
      </c>
      <c r="AG54" s="556" t="str">
        <f>IF(VLOOKUP($E$54,[1]QUART!$A$2:$FA$300, 32, FALSE)="",":",VLOOKUP($E$54,[1]QUART!$A$2:$FA$300, 32, FALSE))</f>
        <v>:</v>
      </c>
      <c r="AH54" s="556" t="str">
        <f>IF(VLOOKUP($E$54,[1]QUART!$A$2:$FA$300, 33, FALSE)="",":",VLOOKUP($E$54,[1]QUART!$A$2:$FA$300, 33, FALSE))</f>
        <v>:</v>
      </c>
      <c r="AI54" s="556" t="str">
        <f>IF(VLOOKUP($E$54,[1]QUART!$A$2:$FA$300, 34, FALSE)="",":",VLOOKUP($E$54,[1]QUART!$A$2:$FA$300, 34, FALSE))</f>
        <v>:</v>
      </c>
      <c r="AJ54" s="556" t="str">
        <f>IF(VLOOKUP($E$54,[1]QUART!$A$2:$FA$300, 35, FALSE)="",":",VLOOKUP($E$54,[1]QUART!$A$2:$FA$300, 35, FALSE))</f>
        <v>:</v>
      </c>
      <c r="AK54" s="556" t="str">
        <f>IF(VLOOKUP($E$54,[1]QUART!$A$2:$FA$300, 36, FALSE)="",":",VLOOKUP($E$54,[1]QUART!$A$2:$FA$300, 36, FALSE))</f>
        <v>:</v>
      </c>
      <c r="AL54" s="556" t="str">
        <f>IF(VLOOKUP($E$54,[1]QUART!$A$2:$FA$300, 37, FALSE)="",":",VLOOKUP($E$54,[1]QUART!$A$2:$FA$300, 37, FALSE))</f>
        <v>:</v>
      </c>
      <c r="AM54" s="556" t="str">
        <f>IF(VLOOKUP($E$54,[1]QUART!$A$2:$FA$300, 38, FALSE)="",":",VLOOKUP($E$54,[1]QUART!$A$2:$FA$300, 38, FALSE))</f>
        <v>:</v>
      </c>
      <c r="AN54" s="556" t="str">
        <f>IF(VLOOKUP($E$54,[1]QUART!$A$2:$FA$300, 39, FALSE)="",":",VLOOKUP($E$54,[1]QUART!$A$2:$FA$300, 39, FALSE))</f>
        <v>:</v>
      </c>
      <c r="AO54" s="556" t="str">
        <f>IF(VLOOKUP($E$54,[1]QUART!$A$2:$FA$300, 40, FALSE)="",":",VLOOKUP($E$54,[1]QUART!$A$2:$FA$300, 40, FALSE))</f>
        <v>:</v>
      </c>
      <c r="AP54" s="556" t="str">
        <f>IF(VLOOKUP($E$54,[1]QUART!$A$2:$FA$300, 41, FALSE)="",":",VLOOKUP($E$54,[1]QUART!$A$2:$FA$300, 41, FALSE))</f>
        <v>:</v>
      </c>
      <c r="AQ54" s="556" t="str">
        <f>IF(VLOOKUP($E$54,[1]QUART!$A$2:$FA$300, 42, FALSE)="",":",VLOOKUP($E$54,[1]QUART!$A$2:$FA$300, 42, FALSE))</f>
        <v>:</v>
      </c>
      <c r="AR54" s="556" t="str">
        <f>IF(VLOOKUP($E$54,[1]QUART!$A$2:$FA$300, 43, FALSE)="",":",VLOOKUP($E$54,[1]QUART!$A$2:$FA$300, 43, FALSE))</f>
        <v>:</v>
      </c>
      <c r="AS54" s="556" t="str">
        <f>IF(VLOOKUP($E$54,[1]QUART!$A$2:$FA$300, 44, FALSE)="",":",VLOOKUP($E$54,[1]QUART!$A$2:$FA$300, 44, FALSE))</f>
        <v>:</v>
      </c>
      <c r="AT54" s="556" t="str">
        <f>IF(VLOOKUP($E$54,[1]QUART!$A$2:$FA$300, 45, FALSE)="",":",VLOOKUP($E$54,[1]QUART!$A$2:$FA$300, 45, FALSE))</f>
        <v>:</v>
      </c>
      <c r="AU54" s="556" t="str">
        <f>IF(VLOOKUP($E$54,[1]QUART!$A$2:$FA$300, 46, FALSE)="",":",VLOOKUP($E$54,[1]QUART!$A$2:$FA$300, 46, FALSE))</f>
        <v>:</v>
      </c>
      <c r="AV54" s="556" t="str">
        <f>IF(VLOOKUP($E$54,[1]QUART!$A$2:$FA$300, 47, FALSE)="",":",VLOOKUP($E$54,[1]QUART!$A$2:$FA$300, 47, FALSE))</f>
        <v>:</v>
      </c>
      <c r="AW54" s="556" t="str">
        <f>IF(VLOOKUP($E$54,[1]QUART!$A$2:$FA$300, 48, FALSE)="",":",VLOOKUP($E$54,[1]QUART!$A$2:$FA$300, 48, FALSE))</f>
        <v>:</v>
      </c>
      <c r="AX54" s="556" t="str">
        <f>IF(VLOOKUP($E$54,[1]QUART!$A$2:$FA$300, 49, FALSE)="",":",VLOOKUP($E$54,[1]QUART!$A$2:$FA$300, 49, FALSE))</f>
        <v>:</v>
      </c>
      <c r="AY54" s="556" t="str">
        <f>IF(VLOOKUP($E$54,[1]QUART!$A$2:$FA$300, 50, FALSE)="",":",VLOOKUP($E$54,[1]QUART!$A$2:$FA$300, 50, FALSE))</f>
        <v>:</v>
      </c>
      <c r="AZ54" s="556" t="str">
        <f>IF(VLOOKUP($E$54,[1]QUART!$A$2:$FA$300, 51, FALSE)="",":",VLOOKUP($E$54,[1]QUART!$A$2:$FA$300, 51, FALSE))</f>
        <v>:</v>
      </c>
      <c r="BA54" s="556" t="str">
        <f>IF(VLOOKUP($E$54,[1]QUART!$A$2:$FA$300, 52, FALSE)="",":",VLOOKUP($E$54,[1]QUART!$A$2:$FA$300, 52, FALSE))</f>
        <v>:</v>
      </c>
      <c r="BB54" s="556" t="str">
        <f>IF(VLOOKUP($E$54,[1]QUART!$A$2:$FA$300, 53, FALSE)="",":",VLOOKUP($E$54,[1]QUART!$A$2:$FA$300, 53, FALSE))</f>
        <v>:</v>
      </c>
      <c r="BC54" s="556" t="str">
        <f>IF(VLOOKUP($E$54,[1]QUART!$A$2:$FA$300, 54, FALSE)="",":",VLOOKUP($E$54,[1]QUART!$A$2:$FA$300, 54, FALSE))</f>
        <v>:</v>
      </c>
      <c r="BD54" s="556" t="str">
        <f>IF(VLOOKUP($E$54,[1]QUART!$A$2:$FA$300, 55, FALSE)="",":",VLOOKUP($E$54,[1]QUART!$A$2:$FA$300, 55, FALSE))</f>
        <v>:</v>
      </c>
      <c r="BE54" s="556" t="str">
        <f>IF(VLOOKUP($E$54,[1]QUART!$A$2:$FA$300, 56, FALSE)="",":",VLOOKUP($E$54,[1]QUART!$A$2:$FA$300, 56, FALSE))</f>
        <v>:</v>
      </c>
      <c r="BF54" s="556" t="str">
        <f>IF(VLOOKUP($E$54,[1]QUART!$A$2:$FA$300, 57, FALSE)="",":",VLOOKUP($E$54,[1]QUART!$A$2:$FA$300, 57, FALSE))</f>
        <v>:</v>
      </c>
      <c r="BG54" s="556" t="str">
        <f>IF(VLOOKUP($E$54,[1]QUART!$A$2:$FA$300, 58, FALSE)="",":",VLOOKUP($E$54,[1]QUART!$A$2:$FA$300, 58, FALSE))</f>
        <v>:</v>
      </c>
      <c r="BH54" s="556" t="str">
        <f>IF(VLOOKUP($E$54,[1]QUART!$A$2:$FA$300, 59, FALSE)="",":",VLOOKUP($E$54,[1]QUART!$A$2:$FA$300, 59, FALSE))</f>
        <v>:</v>
      </c>
      <c r="BI54" s="556" t="str">
        <f>IF(VLOOKUP($E$54,[1]QUART!$A$2:$FA$300, 60, FALSE)="",":",VLOOKUP($E$54,[1]QUART!$A$2:$FA$300, 60, FALSE))</f>
        <v>:</v>
      </c>
      <c r="BJ54" s="556" t="str">
        <f>IF(VLOOKUP($E$54,[1]QUART!$A$2:$FA$300, 61, FALSE)="",":",VLOOKUP($E$54,[1]QUART!$A$2:$FA$300, 61, FALSE))</f>
        <v>:</v>
      </c>
      <c r="BK54" s="556" t="str">
        <f>IF(VLOOKUP($E$54,[1]QUART!$A$2:$FA$300, 62, FALSE)="",":",VLOOKUP($E$54,[1]QUART!$A$2:$FA$300, 62, FALSE))</f>
        <v>:</v>
      </c>
      <c r="BL54" s="556" t="str">
        <f>IF(VLOOKUP($E$54,[1]QUART!$A$2:$FA$300, 63, FALSE)="",":",VLOOKUP($E$54,[1]QUART!$A$2:$FA$300, 63, FALSE))</f>
        <v>:</v>
      </c>
      <c r="BM54" s="556" t="str">
        <f>IF(VLOOKUP($E$54,[1]QUART!$A$2:$FA$300, 64, FALSE)="",":",VLOOKUP($E$54,[1]QUART!$A$2:$FA$300, 64, FALSE))</f>
        <v>:</v>
      </c>
      <c r="BN54" s="556" t="str">
        <f>IF(VLOOKUP($E$54,[1]QUART!$A$2:$FA$300, 65, FALSE)="",":",VLOOKUP($E$54,[1]QUART!$A$2:$FA$300, 65, FALSE))</f>
        <v>:</v>
      </c>
      <c r="BO54" s="556" t="str">
        <f>IF(VLOOKUP($E$54,[1]QUART!$A$2:$FA$300, 66, FALSE)="",":",VLOOKUP($E$54,[1]QUART!$A$2:$FA$300, 66, FALSE))</f>
        <v>:</v>
      </c>
      <c r="BP54" s="556" t="str">
        <f>IF(VLOOKUP($E$54,[1]QUART!$A$2:$FA$300, 67, FALSE)="",":",VLOOKUP($E$54,[1]QUART!$A$2:$FA$300, 67, FALSE))</f>
        <v>:</v>
      </c>
      <c r="BQ54" s="556" t="str">
        <f>IF(VLOOKUP($E$54,[1]QUART!$A$2:$FA$300, 68, FALSE)="",":",VLOOKUP($E$54,[1]QUART!$A$2:$FA$300, 68, FALSE))</f>
        <v>:</v>
      </c>
      <c r="BR54" s="556" t="str">
        <f>IF(VLOOKUP($E$54,[1]QUART!$A$2:$FA$300, 69, FALSE)="",":",VLOOKUP($E$54,[1]QUART!$A$2:$FA$300, 69, FALSE))</f>
        <v>:</v>
      </c>
      <c r="BS54" s="556" t="str">
        <f>IF(VLOOKUP($E$54,[1]QUART!$A$2:$FA$300, 70, FALSE)="",":",VLOOKUP($E$54,[1]QUART!$A$2:$FA$300, 70, FALSE))</f>
        <v>:</v>
      </c>
      <c r="BT54" s="556" t="str">
        <f>IF(VLOOKUP($E$54,[1]QUART!$A$2:$FA$300, 71, FALSE)="",":",VLOOKUP($E$54,[1]QUART!$A$2:$FA$300, 71, FALSE))</f>
        <v>:</v>
      </c>
      <c r="BU54" s="556" t="str">
        <f>IF(VLOOKUP($E$54,[1]QUART!$A$2:$FA$300, 72, FALSE)="",":",VLOOKUP($E$54,[1]QUART!$A$2:$FA$300, 72, FALSE))</f>
        <v>:</v>
      </c>
      <c r="BV54" s="556" t="str">
        <f>IF(VLOOKUP($E$54,[1]QUART!$A$2:$FA$300, 73, FALSE)="",":",VLOOKUP($E$54,[1]QUART!$A$2:$FA$300, 73, FALSE))</f>
        <v>:</v>
      </c>
      <c r="BW54" s="556" t="str">
        <f>IF(VLOOKUP($E$54,[1]QUART!$A$2:$FA$300, 74, FALSE)="",":",VLOOKUP($E$54,[1]QUART!$A$2:$FA$300, 74, FALSE))</f>
        <v>:</v>
      </c>
      <c r="BX54" s="556" t="str">
        <f>IF(VLOOKUP($E$54,[1]QUART!$A$2:$FA$300, 75, FALSE)="",":",VLOOKUP($E$54,[1]QUART!$A$2:$FA$300, 75, FALSE))</f>
        <v>:</v>
      </c>
      <c r="BY54" s="556" t="str">
        <f>IF(VLOOKUP($E$54,[1]QUART!$A$2:$FA$300, 76, FALSE)="",":",VLOOKUP($E$54,[1]QUART!$A$2:$FA$300, 76, FALSE))</f>
        <v>:</v>
      </c>
      <c r="BZ54" s="556" t="str">
        <f>IF(VLOOKUP($E$54,[1]QUART!$A$2:$FA$300, 77, FALSE)="",":",VLOOKUP($E$54,[1]QUART!$A$2:$FA$300, 77, FALSE))</f>
        <v>:</v>
      </c>
      <c r="CA54" s="556" t="str">
        <f>IF(VLOOKUP($E$54,[1]QUART!$A$2:$FA$300, 78, FALSE)="",":",VLOOKUP($E$54,[1]QUART!$A$2:$FA$300, 78, FALSE))</f>
        <v>:</v>
      </c>
      <c r="CB54" s="556" t="str">
        <f>IF(VLOOKUP($E$54,[1]QUART!$A$2:$FA$300, 79, FALSE)="",":",VLOOKUP($E$54,[1]QUART!$A$2:$FA$300, 79, FALSE))</f>
        <v>:</v>
      </c>
      <c r="CC54" s="556" t="str">
        <f>IF(VLOOKUP($E$54,[1]QUART!$A$2:$FA$300, 80, FALSE)="",":",VLOOKUP($E$54,[1]QUART!$A$2:$FA$300, 80, FALSE))</f>
        <v>:</v>
      </c>
      <c r="CD54" s="556" t="str">
        <f>IF(VLOOKUP($E$54,[1]QUART!$A$2:$FA$300, 81, FALSE)="",":",VLOOKUP($E$54,[1]QUART!$A$2:$FA$300, 81, FALSE))</f>
        <v>:</v>
      </c>
      <c r="CE54" s="556" t="str">
        <f>IF(VLOOKUP($E$54,[1]QUART!$A$2:$FA$300, 82, FALSE)="",":",VLOOKUP($E$54,[1]QUART!$A$2:$FA$300, 82, FALSE))</f>
        <v>:</v>
      </c>
      <c r="CF54" s="556" t="str">
        <f>IF(VLOOKUP($E$54,[1]QUART!$A$2:$FA$300, 83, FALSE)="",":",VLOOKUP($E$54,[1]QUART!$A$2:$FA$300, 83, FALSE))</f>
        <v>:</v>
      </c>
      <c r="CG54" s="556" t="str">
        <f>IF(VLOOKUP($E$54,[1]QUART!$A$2:$FA$300, 84, FALSE)="",":",VLOOKUP($E$54,[1]QUART!$A$2:$FA$300, 84, FALSE))</f>
        <v>:</v>
      </c>
      <c r="CH54" s="556" t="str">
        <f>IF(VLOOKUP($E$54,[1]QUART!$A$2:$FA$300, 85, FALSE)="",":",VLOOKUP($E$54,[1]QUART!$A$2:$FA$300, 85, FALSE))</f>
        <v>:</v>
      </c>
      <c r="CI54" s="556" t="str">
        <f>IF(VLOOKUP($E$54,[1]QUART!$A$2:$FA$300, 86, FALSE)="",":",VLOOKUP($E$54,[1]QUART!$A$2:$FA$300, 86, FALSE))</f>
        <v>:</v>
      </c>
      <c r="CJ54" s="556" t="str">
        <f>IF(VLOOKUP($E$54,[1]QUART!$A$2:$FA$300, 87, FALSE)="",":",VLOOKUP($E$54,[1]QUART!$A$2:$FA$300, 87, FALSE))</f>
        <v>:</v>
      </c>
      <c r="CK54" s="556" t="str">
        <f>IF(VLOOKUP($E$54,[1]QUART!$A$2:$FA$300, 88, FALSE)="",":",VLOOKUP($E$54,[1]QUART!$A$2:$FA$300, 88, FALSE))</f>
        <v>:</v>
      </c>
      <c r="CL54" s="556" t="str">
        <f>IF(VLOOKUP($E$54,[1]QUART!$A$2:$FA$300, 89, FALSE)="",":",VLOOKUP($E$54,[1]QUART!$A$2:$FA$300, 89, FALSE))</f>
        <v>:</v>
      </c>
      <c r="CM54" s="556" t="str">
        <f>IF(VLOOKUP($E$54,[1]QUART!$A$2:$FA$300, 90, FALSE)="",":",VLOOKUP($E$54,[1]QUART!$A$2:$FA$300, 90, FALSE))</f>
        <v>:</v>
      </c>
      <c r="CN54" s="556" t="str">
        <f>IF(VLOOKUP($E$54,[1]QUART!$A$2:$FA$300, 91, FALSE)="",":",VLOOKUP($E$54,[1]QUART!$A$2:$FA$300, 91, FALSE))</f>
        <v>:</v>
      </c>
      <c r="CO54" s="556" t="str">
        <f>IF(VLOOKUP($E$54,[1]QUART!$A$2:$FA$300, 92, FALSE)="",":",VLOOKUP($E$54,[1]QUART!$A$2:$FA$300, 92, FALSE))</f>
        <v>:</v>
      </c>
      <c r="CP54" s="556" t="str">
        <f>IF(VLOOKUP($E$54,[1]QUART!$A$2:$FA$300, 93, FALSE)="",":",VLOOKUP($E$54,[1]QUART!$A$2:$FA$300, 93, FALSE))</f>
        <v>:</v>
      </c>
      <c r="CQ54" s="556" t="str">
        <f>IF(VLOOKUP($E$54,[1]QUART!$A$2:$FA$300, 94, FALSE)="",":",VLOOKUP($E$54,[1]QUART!$A$2:$FA$300, 94, FALSE))</f>
        <v>:</v>
      </c>
      <c r="CR54" s="556" t="str">
        <f>IF(VLOOKUP($E$54,[1]QUART!$A$2:$FA$300, 95, FALSE)="",":",VLOOKUP($E$54,[1]QUART!$A$2:$FA$300, 95, FALSE))</f>
        <v>:</v>
      </c>
      <c r="CS54" s="556" t="str">
        <f>IF(VLOOKUP($E$54,[1]QUART!$A$2:$FA$300, 96, FALSE)="",":",VLOOKUP($E$54,[1]QUART!$A$2:$FA$300, 96, FALSE))</f>
        <v>:</v>
      </c>
      <c r="CT54" s="556" t="str">
        <f>IF(VLOOKUP($E$54,[1]QUART!$A$2:$FA$300, 97, FALSE)="",":",VLOOKUP($E$54,[1]QUART!$A$2:$FA$300, 97, FALSE))</f>
        <v>:</v>
      </c>
      <c r="CU54" s="556" t="str">
        <f>IF(VLOOKUP($E$54,[1]QUART!$A$2:$FA$300, 98, FALSE)="",":",VLOOKUP($E$54,[1]QUART!$A$2:$FA$300, 98, FALSE))</f>
        <v>:</v>
      </c>
      <c r="CV54" s="556" t="str">
        <f>IF(VLOOKUP($E$54,[1]QUART!$A$2:$FA$300, 99, FALSE)="",":",VLOOKUP($E$54,[1]QUART!$A$2:$FA$300, 99, FALSE))</f>
        <v>:</v>
      </c>
      <c r="CW54" s="556" t="str">
        <f>IF(VLOOKUP($E$54,[1]QUART!$A$2:$FA$300, 100, FALSE)="",":",VLOOKUP($E$54,[1]QUART!$A$2:$FA$300, 100, FALSE))</f>
        <v>:</v>
      </c>
      <c r="CX54" s="556" t="str">
        <f>IF(VLOOKUP($E$54,[1]QUART!$A$2:$FA$300, 101, FALSE)="",":",VLOOKUP($E$54,[1]QUART!$A$2:$FA$300, 101, FALSE))</f>
        <v>:</v>
      </c>
      <c r="CY54" s="556" t="str">
        <f>IF(VLOOKUP($E$54,[1]QUART!$A$2:$FA$300, 102, FALSE)="",":",VLOOKUP($E$54,[1]QUART!$A$2:$FA$300, 102, FALSE))</f>
        <v>:</v>
      </c>
      <c r="CZ54" s="556" t="str">
        <f>IF(VLOOKUP($E$54,[1]QUART!$A$2:$FA$300, 103, FALSE)="",":",VLOOKUP($E$54,[1]QUART!$A$2:$FA$300, 103, FALSE))</f>
        <v>:</v>
      </c>
      <c r="DA54" s="556" t="str">
        <f>IF(VLOOKUP($E$54,[1]QUART!$A$2:$FA$300, 104, FALSE)="",":",VLOOKUP($E$54,[1]QUART!$A$2:$FA$300, 104, FALSE))</f>
        <v>:</v>
      </c>
      <c r="DB54" s="556" t="str">
        <f>IF(VLOOKUP($E$54,[1]QUART!$A$2:$FA$300, 105, FALSE)="",":",VLOOKUP($E$54,[1]QUART!$A$2:$FA$300, 105, FALSE))</f>
        <v>:</v>
      </c>
      <c r="DC54" s="556" t="str">
        <f>IF(VLOOKUP($E$54,[1]QUART!$A$2:$FA$300, 106, FALSE)="",":",VLOOKUP($E$54,[1]QUART!$A$2:$FA$300, 106, FALSE))</f>
        <v>:</v>
      </c>
    </row>
    <row r="55" spans="1:107">
      <c r="A55" s="546"/>
      <c r="B55" s="546"/>
      <c r="C55" s="547"/>
      <c r="D55" s="12" t="s">
        <v>363</v>
      </c>
      <c r="E55" s="13">
        <v>122</v>
      </c>
      <c r="F55" s="14" t="str">
        <f>VLOOKUP($E$55,[1]QUART!$A$2:$FA$300, 3, FALSE)</f>
        <v xml:space="preserve">122  Gross fixed capital formation                                                   </v>
      </c>
      <c r="G55" s="556" t="str">
        <f>IF(VLOOKUP($E$55,[1]QUART!$A$2:$FA$300, 6, FALSE)="",":",VLOOKUP($E$55,[1]QUART!$A$2:$FA$300, 6, FALSE))</f>
        <v>:</v>
      </c>
      <c r="H55" s="556" t="str">
        <f>IF(VLOOKUP($E$55,[1]QUART!$A$2:$FA$300, 7, FALSE)="",":",VLOOKUP($E$55,[1]QUART!$A$2:$FA$300, 7, FALSE))</f>
        <v>:</v>
      </c>
      <c r="I55" s="556" t="str">
        <f>IF(VLOOKUP($E$55,[1]QUART!$A$2:$FA$300, 8, FALSE)="",":",VLOOKUP($E$55,[1]QUART!$A$2:$FA$300, 8, FALSE))</f>
        <v>:</v>
      </c>
      <c r="J55" s="556" t="str">
        <f>IF(VLOOKUP($E$55,[1]QUART!$A$2:$FA$300, 9, FALSE)="",":",VLOOKUP($E$55,[1]QUART!$A$2:$FA$300, 9, FALSE))</f>
        <v>:</v>
      </c>
      <c r="K55" s="556" t="str">
        <f>IF(VLOOKUP($E$55,[1]QUART!$A$2:$FA$300, 10, FALSE)="",":",VLOOKUP($E$55,[1]QUART!$A$2:$FA$300, 10, FALSE))</f>
        <v>:</v>
      </c>
      <c r="L55" s="556" t="str">
        <f>IF(VLOOKUP($E$55,[1]QUART!$A$2:$FA$300, 11, FALSE)="",":",VLOOKUP($E$55,[1]QUART!$A$2:$FA$300, 11, FALSE))</f>
        <v>:</v>
      </c>
      <c r="M55" s="556" t="str">
        <f>IF(VLOOKUP($E$55,[1]QUART!$A$2:$FA$300, 12, FALSE)="",":",VLOOKUP($E$55,[1]QUART!$A$2:$FA$300, 12, FALSE))</f>
        <v>:</v>
      </c>
      <c r="N55" s="556" t="str">
        <f>IF(VLOOKUP($E$55,[1]QUART!$A$2:$FA$300, 13, FALSE)="",":",VLOOKUP($E$55,[1]QUART!$A$2:$FA$300, 13, FALSE))</f>
        <v>:</v>
      </c>
      <c r="O55" s="556" t="str">
        <f>IF(VLOOKUP($E$55,[1]QUART!$A$2:$FA$300, 14, FALSE)="",":",VLOOKUP($E$55,[1]QUART!$A$2:$FA$300, 14, FALSE))</f>
        <v>:</v>
      </c>
      <c r="P55" s="556" t="str">
        <f>IF(VLOOKUP($E$55,[1]QUART!$A$2:$FA$300, 15, FALSE)="",":",VLOOKUP($E$55,[1]QUART!$A$2:$FA$300, 15, FALSE))</f>
        <v>:</v>
      </c>
      <c r="Q55" s="556" t="str">
        <f>IF(VLOOKUP($E$55,[1]QUART!$A$2:$FA$300, 16, FALSE)="",":",VLOOKUP($E$55,[1]QUART!$A$2:$FA$300, 16, FALSE))</f>
        <v>:</v>
      </c>
      <c r="R55" s="556" t="str">
        <f>IF(VLOOKUP($E$55,[1]QUART!$A$2:$FA$300, 17, FALSE)="",":",VLOOKUP($E$55,[1]QUART!$A$2:$FA$300, 17, FALSE))</f>
        <v>:</v>
      </c>
      <c r="S55" s="556" t="str">
        <f>IF(VLOOKUP($E$55,[1]QUART!$A$2:$FA$300, 18, FALSE)="",":",VLOOKUP($E$55,[1]QUART!$A$2:$FA$300, 18, FALSE))</f>
        <v>:</v>
      </c>
      <c r="T55" s="556" t="str">
        <f>IF(VLOOKUP($E$55,[1]QUART!$A$2:$FA$300, 19, FALSE)="",":",VLOOKUP($E$55,[1]QUART!$A$2:$FA$300, 19, FALSE))</f>
        <v>:</v>
      </c>
      <c r="U55" s="556" t="str">
        <f>IF(VLOOKUP($E$55,[1]QUART!$A$2:$FA$300, 20, FALSE)="",":",VLOOKUP($E$55,[1]QUART!$A$2:$FA$300, 20, FALSE))</f>
        <v>:</v>
      </c>
      <c r="V55" s="556" t="str">
        <f>IF(VLOOKUP($E$55,[1]QUART!$A$2:$FA$300, 21, FALSE)="",":",VLOOKUP($E$55,[1]QUART!$A$2:$FA$300, 21, FALSE))</f>
        <v>:</v>
      </c>
      <c r="W55" s="556" t="str">
        <f>IF(VLOOKUP($E$55,[1]QUART!$A$2:$FA$300, 22, FALSE)="",":",VLOOKUP($E$55,[1]QUART!$A$2:$FA$300, 22, FALSE))</f>
        <v>:</v>
      </c>
      <c r="X55" s="556" t="str">
        <f>IF(VLOOKUP($E$55,[1]QUART!$A$2:$FA$300, 23, FALSE)="",":",VLOOKUP($E$55,[1]QUART!$A$2:$FA$300, 23, FALSE))</f>
        <v>:</v>
      </c>
      <c r="Y55" s="556" t="str">
        <f>IF(VLOOKUP($E$55,[1]QUART!$A$2:$FA$300, 24, FALSE)="",":",VLOOKUP($E$55,[1]QUART!$A$2:$FA$300, 24, FALSE))</f>
        <v>:</v>
      </c>
      <c r="Z55" s="556" t="str">
        <f>IF(VLOOKUP($E$55,[1]QUART!$A$2:$FA$300, 25, FALSE)="",":",VLOOKUP($E$55,[1]QUART!$A$2:$FA$300, 25, FALSE))</f>
        <v>:</v>
      </c>
      <c r="AA55" s="556" t="str">
        <f>IF(VLOOKUP($E$55,[1]QUART!$A$2:$FA$300, 26, FALSE)="",":",VLOOKUP($E$55,[1]QUART!$A$2:$FA$300, 26, FALSE))</f>
        <v>:</v>
      </c>
      <c r="AB55" s="556" t="str">
        <f>IF(VLOOKUP($E$55,[1]QUART!$A$2:$FA$300, 27, FALSE)="",":",VLOOKUP($E$55,[1]QUART!$A$2:$FA$300, 27, FALSE))</f>
        <v>:</v>
      </c>
      <c r="AC55" s="556" t="str">
        <f>IF(VLOOKUP($E$55,[1]QUART!$A$2:$FA$300, 28, FALSE)="",":",VLOOKUP($E$55,[1]QUART!$A$2:$FA$300, 28, FALSE))</f>
        <v>:</v>
      </c>
      <c r="AD55" s="556" t="str">
        <f>IF(VLOOKUP($E$55,[1]QUART!$A$2:$FA$300, 29, FALSE)="",":",VLOOKUP($E$55,[1]QUART!$A$2:$FA$300, 29, FALSE))</f>
        <v>:</v>
      </c>
      <c r="AE55" s="556" t="str">
        <f>IF(VLOOKUP($E$55,[1]QUART!$A$2:$FA$300, 30, FALSE)="",":",VLOOKUP($E$55,[1]QUART!$A$2:$FA$300, 30, FALSE))</f>
        <v>:</v>
      </c>
      <c r="AF55" s="556" t="str">
        <f>IF(VLOOKUP($E$55,[1]QUART!$A$2:$FA$300, 31, FALSE)="",":",VLOOKUP($E$55,[1]QUART!$A$2:$FA$300, 31, FALSE))</f>
        <v>:</v>
      </c>
      <c r="AG55" s="556" t="str">
        <f>IF(VLOOKUP($E$55,[1]QUART!$A$2:$FA$300, 32, FALSE)="",":",VLOOKUP($E$55,[1]QUART!$A$2:$FA$300, 32, FALSE))</f>
        <v>:</v>
      </c>
      <c r="AH55" s="556" t="str">
        <f>IF(VLOOKUP($E$55,[1]QUART!$A$2:$FA$300, 33, FALSE)="",":",VLOOKUP($E$55,[1]QUART!$A$2:$FA$300, 33, FALSE))</f>
        <v>:</v>
      </c>
      <c r="AI55" s="556" t="str">
        <f>IF(VLOOKUP($E$55,[1]QUART!$A$2:$FA$300, 34, FALSE)="",":",VLOOKUP($E$55,[1]QUART!$A$2:$FA$300, 34, FALSE))</f>
        <v>:</v>
      </c>
      <c r="AJ55" s="556" t="str">
        <f>IF(VLOOKUP($E$55,[1]QUART!$A$2:$FA$300, 35, FALSE)="",":",VLOOKUP($E$55,[1]QUART!$A$2:$FA$300, 35, FALSE))</f>
        <v>:</v>
      </c>
      <c r="AK55" s="556" t="str">
        <f>IF(VLOOKUP($E$55,[1]QUART!$A$2:$FA$300, 36, FALSE)="",":",VLOOKUP($E$55,[1]QUART!$A$2:$FA$300, 36, FALSE))</f>
        <v>:</v>
      </c>
      <c r="AL55" s="556" t="str">
        <f>IF(VLOOKUP($E$55,[1]QUART!$A$2:$FA$300, 37, FALSE)="",":",VLOOKUP($E$55,[1]QUART!$A$2:$FA$300, 37, FALSE))</f>
        <v>:</v>
      </c>
      <c r="AM55" s="556" t="str">
        <f>IF(VLOOKUP($E$55,[1]QUART!$A$2:$FA$300, 38, FALSE)="",":",VLOOKUP($E$55,[1]QUART!$A$2:$FA$300, 38, FALSE))</f>
        <v>:</v>
      </c>
      <c r="AN55" s="556" t="str">
        <f>IF(VLOOKUP($E$55,[1]QUART!$A$2:$FA$300, 39, FALSE)="",":",VLOOKUP($E$55,[1]QUART!$A$2:$FA$300, 39, FALSE))</f>
        <v>:</v>
      </c>
      <c r="AO55" s="556" t="str">
        <f>IF(VLOOKUP($E$55,[1]QUART!$A$2:$FA$300, 40, FALSE)="",":",VLOOKUP($E$55,[1]QUART!$A$2:$FA$300, 40, FALSE))</f>
        <v>:</v>
      </c>
      <c r="AP55" s="556" t="str">
        <f>IF(VLOOKUP($E$55,[1]QUART!$A$2:$FA$300, 41, FALSE)="",":",VLOOKUP($E$55,[1]QUART!$A$2:$FA$300, 41, FALSE))</f>
        <v>:</v>
      </c>
      <c r="AQ55" s="556" t="str">
        <f>IF(VLOOKUP($E$55,[1]QUART!$A$2:$FA$300, 42, FALSE)="",":",VLOOKUP($E$55,[1]QUART!$A$2:$FA$300, 42, FALSE))</f>
        <v>:</v>
      </c>
      <c r="AR55" s="556" t="str">
        <f>IF(VLOOKUP($E$55,[1]QUART!$A$2:$FA$300, 43, FALSE)="",":",VLOOKUP($E$55,[1]QUART!$A$2:$FA$300, 43, FALSE))</f>
        <v>:</v>
      </c>
      <c r="AS55" s="556" t="str">
        <f>IF(VLOOKUP($E$55,[1]QUART!$A$2:$FA$300, 44, FALSE)="",":",VLOOKUP($E$55,[1]QUART!$A$2:$FA$300, 44, FALSE))</f>
        <v>:</v>
      </c>
      <c r="AT55" s="556" t="str">
        <f>IF(VLOOKUP($E$55,[1]QUART!$A$2:$FA$300, 45, FALSE)="",":",VLOOKUP($E$55,[1]QUART!$A$2:$FA$300, 45, FALSE))</f>
        <v>:</v>
      </c>
      <c r="AU55" s="556" t="str">
        <f>IF(VLOOKUP($E$55,[1]QUART!$A$2:$FA$300, 46, FALSE)="",":",VLOOKUP($E$55,[1]QUART!$A$2:$FA$300, 46, FALSE))</f>
        <v>:</v>
      </c>
      <c r="AV55" s="556" t="str">
        <f>IF(VLOOKUP($E$55,[1]QUART!$A$2:$FA$300, 47, FALSE)="",":",VLOOKUP($E$55,[1]QUART!$A$2:$FA$300, 47, FALSE))</f>
        <v>:</v>
      </c>
      <c r="AW55" s="556" t="str">
        <f>IF(VLOOKUP($E$55,[1]QUART!$A$2:$FA$300, 48, FALSE)="",":",VLOOKUP($E$55,[1]QUART!$A$2:$FA$300, 48, FALSE))</f>
        <v>:</v>
      </c>
      <c r="AX55" s="556" t="str">
        <f>IF(VLOOKUP($E$55,[1]QUART!$A$2:$FA$300, 49, FALSE)="",":",VLOOKUP($E$55,[1]QUART!$A$2:$FA$300, 49, FALSE))</f>
        <v>:</v>
      </c>
      <c r="AY55" s="556" t="str">
        <f>IF(VLOOKUP($E$55,[1]QUART!$A$2:$FA$300, 50, FALSE)="",":",VLOOKUP($E$55,[1]QUART!$A$2:$FA$300, 50, FALSE))</f>
        <v>:</v>
      </c>
      <c r="AZ55" s="556" t="str">
        <f>IF(VLOOKUP($E$55,[1]QUART!$A$2:$FA$300, 51, FALSE)="",":",VLOOKUP($E$55,[1]QUART!$A$2:$FA$300, 51, FALSE))</f>
        <v>:</v>
      </c>
      <c r="BA55" s="556" t="str">
        <f>IF(VLOOKUP($E$55,[1]QUART!$A$2:$FA$300, 52, FALSE)="",":",VLOOKUP($E$55,[1]QUART!$A$2:$FA$300, 52, FALSE))</f>
        <v>:</v>
      </c>
      <c r="BB55" s="556" t="str">
        <f>IF(VLOOKUP($E$55,[1]QUART!$A$2:$FA$300, 53, FALSE)="",":",VLOOKUP($E$55,[1]QUART!$A$2:$FA$300, 53, FALSE))</f>
        <v>:</v>
      </c>
      <c r="BC55" s="556" t="str">
        <f>IF(VLOOKUP($E$55,[1]QUART!$A$2:$FA$300, 54, FALSE)="",":",VLOOKUP($E$55,[1]QUART!$A$2:$FA$300, 54, FALSE))</f>
        <v>:</v>
      </c>
      <c r="BD55" s="556" t="str">
        <f>IF(VLOOKUP($E$55,[1]QUART!$A$2:$FA$300, 55, FALSE)="",":",VLOOKUP($E$55,[1]QUART!$A$2:$FA$300, 55, FALSE))</f>
        <v>:</v>
      </c>
      <c r="BE55" s="556" t="str">
        <f>IF(VLOOKUP($E$55,[1]QUART!$A$2:$FA$300, 56, FALSE)="",":",VLOOKUP($E$55,[1]QUART!$A$2:$FA$300, 56, FALSE))</f>
        <v>:</v>
      </c>
      <c r="BF55" s="556" t="str">
        <f>IF(VLOOKUP($E$55,[1]QUART!$A$2:$FA$300, 57, FALSE)="",":",VLOOKUP($E$55,[1]QUART!$A$2:$FA$300, 57, FALSE))</f>
        <v>:</v>
      </c>
      <c r="BG55" s="556" t="str">
        <f>IF(VLOOKUP($E$55,[1]QUART!$A$2:$FA$300, 58, FALSE)="",":",VLOOKUP($E$55,[1]QUART!$A$2:$FA$300, 58, FALSE))</f>
        <v>:</v>
      </c>
      <c r="BH55" s="556" t="str">
        <f>IF(VLOOKUP($E$55,[1]QUART!$A$2:$FA$300, 59, FALSE)="",":",VLOOKUP($E$55,[1]QUART!$A$2:$FA$300, 59, FALSE))</f>
        <v>:</v>
      </c>
      <c r="BI55" s="556" t="str">
        <f>IF(VLOOKUP($E$55,[1]QUART!$A$2:$FA$300, 60, FALSE)="",":",VLOOKUP($E$55,[1]QUART!$A$2:$FA$300, 60, FALSE))</f>
        <v>:</v>
      </c>
      <c r="BJ55" s="556" t="str">
        <f>IF(VLOOKUP($E$55,[1]QUART!$A$2:$FA$300, 61, FALSE)="",":",VLOOKUP($E$55,[1]QUART!$A$2:$FA$300, 61, FALSE))</f>
        <v>:</v>
      </c>
      <c r="BK55" s="556" t="str">
        <f>IF(VLOOKUP($E$55,[1]QUART!$A$2:$FA$300, 62, FALSE)="",":",VLOOKUP($E$55,[1]QUART!$A$2:$FA$300, 62, FALSE))</f>
        <v>:</v>
      </c>
      <c r="BL55" s="556" t="str">
        <f>IF(VLOOKUP($E$55,[1]QUART!$A$2:$FA$300, 63, FALSE)="",":",VLOOKUP($E$55,[1]QUART!$A$2:$FA$300, 63, FALSE))</f>
        <v>:</v>
      </c>
      <c r="BM55" s="556" t="str">
        <f>IF(VLOOKUP($E$55,[1]QUART!$A$2:$FA$300, 64, FALSE)="",":",VLOOKUP($E$55,[1]QUART!$A$2:$FA$300, 64, FALSE))</f>
        <v>:</v>
      </c>
      <c r="BN55" s="556" t="str">
        <f>IF(VLOOKUP($E$55,[1]QUART!$A$2:$FA$300, 65, FALSE)="",":",VLOOKUP($E$55,[1]QUART!$A$2:$FA$300, 65, FALSE))</f>
        <v>:</v>
      </c>
      <c r="BO55" s="556" t="str">
        <f>IF(VLOOKUP($E$55,[1]QUART!$A$2:$FA$300, 66, FALSE)="",":",VLOOKUP($E$55,[1]QUART!$A$2:$FA$300, 66, FALSE))</f>
        <v>:</v>
      </c>
      <c r="BP55" s="556" t="str">
        <f>IF(VLOOKUP($E$55,[1]QUART!$A$2:$FA$300, 67, FALSE)="",":",VLOOKUP($E$55,[1]QUART!$A$2:$FA$300, 67, FALSE))</f>
        <v>:</v>
      </c>
      <c r="BQ55" s="556" t="str">
        <f>IF(VLOOKUP($E$55,[1]QUART!$A$2:$FA$300, 68, FALSE)="",":",VLOOKUP($E$55,[1]QUART!$A$2:$FA$300, 68, FALSE))</f>
        <v>:</v>
      </c>
      <c r="BR55" s="556" t="str">
        <f>IF(VLOOKUP($E$55,[1]QUART!$A$2:$FA$300, 69, FALSE)="",":",VLOOKUP($E$55,[1]QUART!$A$2:$FA$300, 69, FALSE))</f>
        <v>:</v>
      </c>
      <c r="BS55" s="556" t="str">
        <f>IF(VLOOKUP($E$55,[1]QUART!$A$2:$FA$300, 70, FALSE)="",":",VLOOKUP($E$55,[1]QUART!$A$2:$FA$300, 70, FALSE))</f>
        <v>:</v>
      </c>
      <c r="BT55" s="556" t="str">
        <f>IF(VLOOKUP($E$55,[1]QUART!$A$2:$FA$300, 71, FALSE)="",":",VLOOKUP($E$55,[1]QUART!$A$2:$FA$300, 71, FALSE))</f>
        <v>:</v>
      </c>
      <c r="BU55" s="556" t="str">
        <f>IF(VLOOKUP($E$55,[1]QUART!$A$2:$FA$300, 72, FALSE)="",":",VLOOKUP($E$55,[1]QUART!$A$2:$FA$300, 72, FALSE))</f>
        <v>:</v>
      </c>
      <c r="BV55" s="556" t="str">
        <f>IF(VLOOKUP($E$55,[1]QUART!$A$2:$FA$300, 73, FALSE)="",":",VLOOKUP($E$55,[1]QUART!$A$2:$FA$300, 73, FALSE))</f>
        <v>:</v>
      </c>
      <c r="BW55" s="556" t="str">
        <f>IF(VLOOKUP($E$55,[1]QUART!$A$2:$FA$300, 74, FALSE)="",":",VLOOKUP($E$55,[1]QUART!$A$2:$FA$300, 74, FALSE))</f>
        <v>:</v>
      </c>
      <c r="BX55" s="556" t="str">
        <f>IF(VLOOKUP($E$55,[1]QUART!$A$2:$FA$300, 75, FALSE)="",":",VLOOKUP($E$55,[1]QUART!$A$2:$FA$300, 75, FALSE))</f>
        <v>:</v>
      </c>
      <c r="BY55" s="556" t="str">
        <f>IF(VLOOKUP($E$55,[1]QUART!$A$2:$FA$300, 76, FALSE)="",":",VLOOKUP($E$55,[1]QUART!$A$2:$FA$300, 76, FALSE))</f>
        <v>:</v>
      </c>
      <c r="BZ55" s="556" t="str">
        <f>IF(VLOOKUP($E$55,[1]QUART!$A$2:$FA$300, 77, FALSE)="",":",VLOOKUP($E$55,[1]QUART!$A$2:$FA$300, 77, FALSE))</f>
        <v>:</v>
      </c>
      <c r="CA55" s="556" t="str">
        <f>IF(VLOOKUP($E$55,[1]QUART!$A$2:$FA$300, 78, FALSE)="",":",VLOOKUP($E$55,[1]QUART!$A$2:$FA$300, 78, FALSE))</f>
        <v>:</v>
      </c>
      <c r="CB55" s="556" t="str">
        <f>IF(VLOOKUP($E$55,[1]QUART!$A$2:$FA$300, 79, FALSE)="",":",VLOOKUP($E$55,[1]QUART!$A$2:$FA$300, 79, FALSE))</f>
        <v>:</v>
      </c>
      <c r="CC55" s="556" t="str">
        <f>IF(VLOOKUP($E$55,[1]QUART!$A$2:$FA$300, 80, FALSE)="",":",VLOOKUP($E$55,[1]QUART!$A$2:$FA$300, 80, FALSE))</f>
        <v>:</v>
      </c>
      <c r="CD55" s="556" t="str">
        <f>IF(VLOOKUP($E$55,[1]QUART!$A$2:$FA$300, 81, FALSE)="",":",VLOOKUP($E$55,[1]QUART!$A$2:$FA$300, 81, FALSE))</f>
        <v>:</v>
      </c>
      <c r="CE55" s="556" t="str">
        <f>IF(VLOOKUP($E$55,[1]QUART!$A$2:$FA$300, 82, FALSE)="",":",VLOOKUP($E$55,[1]QUART!$A$2:$FA$300, 82, FALSE))</f>
        <v>:</v>
      </c>
      <c r="CF55" s="556" t="str">
        <f>IF(VLOOKUP($E$55,[1]QUART!$A$2:$FA$300, 83, FALSE)="",":",VLOOKUP($E$55,[1]QUART!$A$2:$FA$300, 83, FALSE))</f>
        <v>:</v>
      </c>
      <c r="CG55" s="556" t="str">
        <f>IF(VLOOKUP($E$55,[1]QUART!$A$2:$FA$300, 84, FALSE)="",":",VLOOKUP($E$55,[1]QUART!$A$2:$FA$300, 84, FALSE))</f>
        <v>:</v>
      </c>
      <c r="CH55" s="556" t="str">
        <f>IF(VLOOKUP($E$55,[1]QUART!$A$2:$FA$300, 85, FALSE)="",":",VLOOKUP($E$55,[1]QUART!$A$2:$FA$300, 85, FALSE))</f>
        <v>:</v>
      </c>
      <c r="CI55" s="556" t="str">
        <f>IF(VLOOKUP($E$55,[1]QUART!$A$2:$FA$300, 86, FALSE)="",":",VLOOKUP($E$55,[1]QUART!$A$2:$FA$300, 86, FALSE))</f>
        <v>:</v>
      </c>
      <c r="CJ55" s="556" t="str">
        <f>IF(VLOOKUP($E$55,[1]QUART!$A$2:$FA$300, 87, FALSE)="",":",VLOOKUP($E$55,[1]QUART!$A$2:$FA$300, 87, FALSE))</f>
        <v>:</v>
      </c>
      <c r="CK55" s="556" t="str">
        <f>IF(VLOOKUP($E$55,[1]QUART!$A$2:$FA$300, 88, FALSE)="",":",VLOOKUP($E$55,[1]QUART!$A$2:$FA$300, 88, FALSE))</f>
        <v>:</v>
      </c>
      <c r="CL55" s="556" t="str">
        <f>IF(VLOOKUP($E$55,[1]QUART!$A$2:$FA$300, 89, FALSE)="",":",VLOOKUP($E$55,[1]QUART!$A$2:$FA$300, 89, FALSE))</f>
        <v>:</v>
      </c>
      <c r="CM55" s="556" t="str">
        <f>IF(VLOOKUP($E$55,[1]QUART!$A$2:$FA$300, 90, FALSE)="",":",VLOOKUP($E$55,[1]QUART!$A$2:$FA$300, 90, FALSE))</f>
        <v>:</v>
      </c>
      <c r="CN55" s="556" t="str">
        <f>IF(VLOOKUP($E$55,[1]QUART!$A$2:$FA$300, 91, FALSE)="",":",VLOOKUP($E$55,[1]QUART!$A$2:$FA$300, 91, FALSE))</f>
        <v>:</v>
      </c>
      <c r="CO55" s="556" t="str">
        <f>IF(VLOOKUP($E$55,[1]QUART!$A$2:$FA$300, 92, FALSE)="",":",VLOOKUP($E$55,[1]QUART!$A$2:$FA$300, 92, FALSE))</f>
        <v>:</v>
      </c>
      <c r="CP55" s="556" t="str">
        <f>IF(VLOOKUP($E$55,[1]QUART!$A$2:$FA$300, 93, FALSE)="",":",VLOOKUP($E$55,[1]QUART!$A$2:$FA$300, 93, FALSE))</f>
        <v>:</v>
      </c>
      <c r="CQ55" s="556" t="str">
        <f>IF(VLOOKUP($E$55,[1]QUART!$A$2:$FA$300, 94, FALSE)="",":",VLOOKUP($E$55,[1]QUART!$A$2:$FA$300, 94, FALSE))</f>
        <v>:</v>
      </c>
      <c r="CR55" s="556" t="str">
        <f>IF(VLOOKUP($E$55,[1]QUART!$A$2:$FA$300, 95, FALSE)="",":",VLOOKUP($E$55,[1]QUART!$A$2:$FA$300, 95, FALSE))</f>
        <v>:</v>
      </c>
      <c r="CS55" s="556" t="str">
        <f>IF(VLOOKUP($E$55,[1]QUART!$A$2:$FA$300, 96, FALSE)="",":",VLOOKUP($E$55,[1]QUART!$A$2:$FA$300, 96, FALSE))</f>
        <v>:</v>
      </c>
      <c r="CT55" s="556" t="str">
        <f>IF(VLOOKUP($E$55,[1]QUART!$A$2:$FA$300, 97, FALSE)="",":",VLOOKUP($E$55,[1]QUART!$A$2:$FA$300, 97, FALSE))</f>
        <v>:</v>
      </c>
      <c r="CU55" s="556" t="str">
        <f>IF(VLOOKUP($E$55,[1]QUART!$A$2:$FA$300, 98, FALSE)="",":",VLOOKUP($E$55,[1]QUART!$A$2:$FA$300, 98, FALSE))</f>
        <v>:</v>
      </c>
      <c r="CV55" s="556" t="str">
        <f>IF(VLOOKUP($E$55,[1]QUART!$A$2:$FA$300, 99, FALSE)="",":",VLOOKUP($E$55,[1]QUART!$A$2:$FA$300, 99, FALSE))</f>
        <v>:</v>
      </c>
      <c r="CW55" s="556" t="str">
        <f>IF(VLOOKUP($E$55,[1]QUART!$A$2:$FA$300, 100, FALSE)="",":",VLOOKUP($E$55,[1]QUART!$A$2:$FA$300, 100, FALSE))</f>
        <v>:</v>
      </c>
      <c r="CX55" s="556" t="str">
        <f>IF(VLOOKUP($E$55,[1]QUART!$A$2:$FA$300, 101, FALSE)="",":",VLOOKUP($E$55,[1]QUART!$A$2:$FA$300, 101, FALSE))</f>
        <v>:</v>
      </c>
      <c r="CY55" s="556" t="str">
        <f>IF(VLOOKUP($E$55,[1]QUART!$A$2:$FA$300, 102, FALSE)="",":",VLOOKUP($E$55,[1]QUART!$A$2:$FA$300, 102, FALSE))</f>
        <v>:</v>
      </c>
      <c r="CZ55" s="556" t="str">
        <f>IF(VLOOKUP($E$55,[1]QUART!$A$2:$FA$300, 103, FALSE)="",":",VLOOKUP($E$55,[1]QUART!$A$2:$FA$300, 103, FALSE))</f>
        <v>:</v>
      </c>
      <c r="DA55" s="556" t="str">
        <f>IF(VLOOKUP($E$55,[1]QUART!$A$2:$FA$300, 104, FALSE)="",":",VLOOKUP($E$55,[1]QUART!$A$2:$FA$300, 104, FALSE))</f>
        <v>:</v>
      </c>
      <c r="DB55" s="556" t="str">
        <f>IF(VLOOKUP($E$55,[1]QUART!$A$2:$FA$300, 105, FALSE)="",":",VLOOKUP($E$55,[1]QUART!$A$2:$FA$300, 105, FALSE))</f>
        <v>:</v>
      </c>
      <c r="DC55" s="556" t="str">
        <f>IF(VLOOKUP($E$55,[1]QUART!$A$2:$FA$300, 106, FALSE)="",":",VLOOKUP($E$55,[1]QUART!$A$2:$FA$300, 106, FALSE))</f>
        <v>:</v>
      </c>
    </row>
    <row r="56" spans="1:107">
      <c r="A56" s="546"/>
      <c r="B56" s="546"/>
      <c r="C56" s="547"/>
      <c r="D56" s="12" t="s">
        <v>363</v>
      </c>
      <c r="E56" s="13">
        <v>123</v>
      </c>
      <c r="F56" s="14" t="str">
        <f>VLOOKUP($E$56,[1]QUART!$A$2:$FA$300, 3, FALSE)</f>
        <v xml:space="preserve">123  Changes in inventories and net acquisition of valuables                         </v>
      </c>
      <c r="G56" s="556" t="str">
        <f>IF(VLOOKUP($E$56,[1]QUART!$A$2:$FA$300, 6, FALSE)="",":",VLOOKUP($E$56,[1]QUART!$A$2:$FA$300, 6, FALSE))</f>
        <v>:</v>
      </c>
      <c r="H56" s="556" t="str">
        <f>IF(VLOOKUP($E$56,[1]QUART!$A$2:$FA$300, 7, FALSE)="",":",VLOOKUP($E$56,[1]QUART!$A$2:$FA$300, 7, FALSE))</f>
        <v>:</v>
      </c>
      <c r="I56" s="556" t="str">
        <f>IF(VLOOKUP($E$56,[1]QUART!$A$2:$FA$300, 8, FALSE)="",":",VLOOKUP($E$56,[1]QUART!$A$2:$FA$300, 8, FALSE))</f>
        <v>:</v>
      </c>
      <c r="J56" s="556" t="str">
        <f>IF(VLOOKUP($E$56,[1]QUART!$A$2:$FA$300, 9, FALSE)="",":",VLOOKUP($E$56,[1]QUART!$A$2:$FA$300, 9, FALSE))</f>
        <v>:</v>
      </c>
      <c r="K56" s="556" t="str">
        <f>IF(VLOOKUP($E$56,[1]QUART!$A$2:$FA$300, 10, FALSE)="",":",VLOOKUP($E$56,[1]QUART!$A$2:$FA$300, 10, FALSE))</f>
        <v>:</v>
      </c>
      <c r="L56" s="556" t="str">
        <f>IF(VLOOKUP($E$56,[1]QUART!$A$2:$FA$300, 11, FALSE)="",":",VLOOKUP($E$56,[1]QUART!$A$2:$FA$300, 11, FALSE))</f>
        <v>:</v>
      </c>
      <c r="M56" s="556" t="str">
        <f>IF(VLOOKUP($E$56,[1]QUART!$A$2:$FA$300, 12, FALSE)="",":",VLOOKUP($E$56,[1]QUART!$A$2:$FA$300, 12, FALSE))</f>
        <v>:</v>
      </c>
      <c r="N56" s="556" t="str">
        <f>IF(VLOOKUP($E$56,[1]QUART!$A$2:$FA$300, 13, FALSE)="",":",VLOOKUP($E$56,[1]QUART!$A$2:$FA$300, 13, FALSE))</f>
        <v>:</v>
      </c>
      <c r="O56" s="556" t="str">
        <f>IF(VLOOKUP($E$56,[1]QUART!$A$2:$FA$300, 14, FALSE)="",":",VLOOKUP($E$56,[1]QUART!$A$2:$FA$300, 14, FALSE))</f>
        <v>:</v>
      </c>
      <c r="P56" s="556" t="str">
        <f>IF(VLOOKUP($E$56,[1]QUART!$A$2:$FA$300, 15, FALSE)="",":",VLOOKUP($E$56,[1]QUART!$A$2:$FA$300, 15, FALSE))</f>
        <v>:</v>
      </c>
      <c r="Q56" s="556" t="str">
        <f>IF(VLOOKUP($E$56,[1]QUART!$A$2:$FA$300, 16, FALSE)="",":",VLOOKUP($E$56,[1]QUART!$A$2:$FA$300, 16, FALSE))</f>
        <v>:</v>
      </c>
      <c r="R56" s="556" t="str">
        <f>IF(VLOOKUP($E$56,[1]QUART!$A$2:$FA$300, 17, FALSE)="",":",VLOOKUP($E$56,[1]QUART!$A$2:$FA$300, 17, FALSE))</f>
        <v>:</v>
      </c>
      <c r="S56" s="556" t="str">
        <f>IF(VLOOKUP($E$56,[1]QUART!$A$2:$FA$300, 18, FALSE)="",":",VLOOKUP($E$56,[1]QUART!$A$2:$FA$300, 18, FALSE))</f>
        <v>:</v>
      </c>
      <c r="T56" s="556" t="str">
        <f>IF(VLOOKUP($E$56,[1]QUART!$A$2:$FA$300, 19, FALSE)="",":",VLOOKUP($E$56,[1]QUART!$A$2:$FA$300, 19, FALSE))</f>
        <v>:</v>
      </c>
      <c r="U56" s="556" t="str">
        <f>IF(VLOOKUP($E$56,[1]QUART!$A$2:$FA$300, 20, FALSE)="",":",VLOOKUP($E$56,[1]QUART!$A$2:$FA$300, 20, FALSE))</f>
        <v>:</v>
      </c>
      <c r="V56" s="556" t="str">
        <f>IF(VLOOKUP($E$56,[1]QUART!$A$2:$FA$300, 21, FALSE)="",":",VLOOKUP($E$56,[1]QUART!$A$2:$FA$300, 21, FALSE))</f>
        <v>:</v>
      </c>
      <c r="W56" s="556" t="str">
        <f>IF(VLOOKUP($E$56,[1]QUART!$A$2:$FA$300, 22, FALSE)="",":",VLOOKUP($E$56,[1]QUART!$A$2:$FA$300, 22, FALSE))</f>
        <v>:</v>
      </c>
      <c r="X56" s="556" t="str">
        <f>IF(VLOOKUP($E$56,[1]QUART!$A$2:$FA$300, 23, FALSE)="",":",VLOOKUP($E$56,[1]QUART!$A$2:$FA$300, 23, FALSE))</f>
        <v>:</v>
      </c>
      <c r="Y56" s="556" t="str">
        <f>IF(VLOOKUP($E$56,[1]QUART!$A$2:$FA$300, 24, FALSE)="",":",VLOOKUP($E$56,[1]QUART!$A$2:$FA$300, 24, FALSE))</f>
        <v>:</v>
      </c>
      <c r="Z56" s="556" t="str">
        <f>IF(VLOOKUP($E$56,[1]QUART!$A$2:$FA$300, 25, FALSE)="",":",VLOOKUP($E$56,[1]QUART!$A$2:$FA$300, 25, FALSE))</f>
        <v>:</v>
      </c>
      <c r="AA56" s="556" t="str">
        <f>IF(VLOOKUP($E$56,[1]QUART!$A$2:$FA$300, 26, FALSE)="",":",VLOOKUP($E$56,[1]QUART!$A$2:$FA$300, 26, FALSE))</f>
        <v>:</v>
      </c>
      <c r="AB56" s="556" t="str">
        <f>IF(VLOOKUP($E$56,[1]QUART!$A$2:$FA$300, 27, FALSE)="",":",VLOOKUP($E$56,[1]QUART!$A$2:$FA$300, 27, FALSE))</f>
        <v>:</v>
      </c>
      <c r="AC56" s="556" t="str">
        <f>IF(VLOOKUP($E$56,[1]QUART!$A$2:$FA$300, 28, FALSE)="",":",VLOOKUP($E$56,[1]QUART!$A$2:$FA$300, 28, FALSE))</f>
        <v>:</v>
      </c>
      <c r="AD56" s="556" t="str">
        <f>IF(VLOOKUP($E$56,[1]QUART!$A$2:$FA$300, 29, FALSE)="",":",VLOOKUP($E$56,[1]QUART!$A$2:$FA$300, 29, FALSE))</f>
        <v>:</v>
      </c>
      <c r="AE56" s="556" t="str">
        <f>IF(VLOOKUP($E$56,[1]QUART!$A$2:$FA$300, 30, FALSE)="",":",VLOOKUP($E$56,[1]QUART!$A$2:$FA$300, 30, FALSE))</f>
        <v>:</v>
      </c>
      <c r="AF56" s="556" t="str">
        <f>IF(VLOOKUP($E$56,[1]QUART!$A$2:$FA$300, 31, FALSE)="",":",VLOOKUP($E$56,[1]QUART!$A$2:$FA$300, 31, FALSE))</f>
        <v>:</v>
      </c>
      <c r="AG56" s="556" t="str">
        <f>IF(VLOOKUP($E$56,[1]QUART!$A$2:$FA$300, 32, FALSE)="",":",VLOOKUP($E$56,[1]QUART!$A$2:$FA$300, 32, FALSE))</f>
        <v>:</v>
      </c>
      <c r="AH56" s="556" t="str">
        <f>IF(VLOOKUP($E$56,[1]QUART!$A$2:$FA$300, 33, FALSE)="",":",VLOOKUP($E$56,[1]QUART!$A$2:$FA$300, 33, FALSE))</f>
        <v>:</v>
      </c>
      <c r="AI56" s="556" t="str">
        <f>IF(VLOOKUP($E$56,[1]QUART!$A$2:$FA$300, 34, FALSE)="",":",VLOOKUP($E$56,[1]QUART!$A$2:$FA$300, 34, FALSE))</f>
        <v>:</v>
      </c>
      <c r="AJ56" s="556" t="str">
        <f>IF(VLOOKUP($E$56,[1]QUART!$A$2:$FA$300, 35, FALSE)="",":",VLOOKUP($E$56,[1]QUART!$A$2:$FA$300, 35, FALSE))</f>
        <v>:</v>
      </c>
      <c r="AK56" s="556" t="str">
        <f>IF(VLOOKUP($E$56,[1]QUART!$A$2:$FA$300, 36, FALSE)="",":",VLOOKUP($E$56,[1]QUART!$A$2:$FA$300, 36, FALSE))</f>
        <v>:</v>
      </c>
      <c r="AL56" s="556" t="str">
        <f>IF(VLOOKUP($E$56,[1]QUART!$A$2:$FA$300, 37, FALSE)="",":",VLOOKUP($E$56,[1]QUART!$A$2:$FA$300, 37, FALSE))</f>
        <v>:</v>
      </c>
      <c r="AM56" s="556" t="str">
        <f>IF(VLOOKUP($E$56,[1]QUART!$A$2:$FA$300, 38, FALSE)="",":",VLOOKUP($E$56,[1]QUART!$A$2:$FA$300, 38, FALSE))</f>
        <v>:</v>
      </c>
      <c r="AN56" s="556" t="str">
        <f>IF(VLOOKUP($E$56,[1]QUART!$A$2:$FA$300, 39, FALSE)="",":",VLOOKUP($E$56,[1]QUART!$A$2:$FA$300, 39, FALSE))</f>
        <v>:</v>
      </c>
      <c r="AO56" s="556" t="str">
        <f>IF(VLOOKUP($E$56,[1]QUART!$A$2:$FA$300, 40, FALSE)="",":",VLOOKUP($E$56,[1]QUART!$A$2:$FA$300, 40, FALSE))</f>
        <v>:</v>
      </c>
      <c r="AP56" s="556" t="str">
        <f>IF(VLOOKUP($E$56,[1]QUART!$A$2:$FA$300, 41, FALSE)="",":",VLOOKUP($E$56,[1]QUART!$A$2:$FA$300, 41, FALSE))</f>
        <v>:</v>
      </c>
      <c r="AQ56" s="556" t="str">
        <f>IF(VLOOKUP($E$56,[1]QUART!$A$2:$FA$300, 42, FALSE)="",":",VLOOKUP($E$56,[1]QUART!$A$2:$FA$300, 42, FALSE))</f>
        <v>:</v>
      </c>
      <c r="AR56" s="556" t="str">
        <f>IF(VLOOKUP($E$56,[1]QUART!$A$2:$FA$300, 43, FALSE)="",":",VLOOKUP($E$56,[1]QUART!$A$2:$FA$300, 43, FALSE))</f>
        <v>:</v>
      </c>
      <c r="AS56" s="556" t="str">
        <f>IF(VLOOKUP($E$56,[1]QUART!$A$2:$FA$300, 44, FALSE)="",":",VLOOKUP($E$56,[1]QUART!$A$2:$FA$300, 44, FALSE))</f>
        <v>:</v>
      </c>
      <c r="AT56" s="556" t="str">
        <f>IF(VLOOKUP($E$56,[1]QUART!$A$2:$FA$300, 45, FALSE)="",":",VLOOKUP($E$56,[1]QUART!$A$2:$FA$300, 45, FALSE))</f>
        <v>:</v>
      </c>
      <c r="AU56" s="556" t="str">
        <f>IF(VLOOKUP($E$56,[1]QUART!$A$2:$FA$300, 46, FALSE)="",":",VLOOKUP($E$56,[1]QUART!$A$2:$FA$300, 46, FALSE))</f>
        <v>:</v>
      </c>
      <c r="AV56" s="556" t="str">
        <f>IF(VLOOKUP($E$56,[1]QUART!$A$2:$FA$300, 47, FALSE)="",":",VLOOKUP($E$56,[1]QUART!$A$2:$FA$300, 47, FALSE))</f>
        <v>:</v>
      </c>
      <c r="AW56" s="556" t="str">
        <f>IF(VLOOKUP($E$56,[1]QUART!$A$2:$FA$300, 48, FALSE)="",":",VLOOKUP($E$56,[1]QUART!$A$2:$FA$300, 48, FALSE))</f>
        <v>:</v>
      </c>
      <c r="AX56" s="556" t="str">
        <f>IF(VLOOKUP($E$56,[1]QUART!$A$2:$FA$300, 49, FALSE)="",":",VLOOKUP($E$56,[1]QUART!$A$2:$FA$300, 49, FALSE))</f>
        <v>:</v>
      </c>
      <c r="AY56" s="556" t="str">
        <f>IF(VLOOKUP($E$56,[1]QUART!$A$2:$FA$300, 50, FALSE)="",":",VLOOKUP($E$56,[1]QUART!$A$2:$FA$300, 50, FALSE))</f>
        <v>:</v>
      </c>
      <c r="AZ56" s="556" t="str">
        <f>IF(VLOOKUP($E$56,[1]QUART!$A$2:$FA$300, 51, FALSE)="",":",VLOOKUP($E$56,[1]QUART!$A$2:$FA$300, 51, FALSE))</f>
        <v>:</v>
      </c>
      <c r="BA56" s="556" t="str">
        <f>IF(VLOOKUP($E$56,[1]QUART!$A$2:$FA$300, 52, FALSE)="",":",VLOOKUP($E$56,[1]QUART!$A$2:$FA$300, 52, FALSE))</f>
        <v>:</v>
      </c>
      <c r="BB56" s="556" t="str">
        <f>IF(VLOOKUP($E$56,[1]QUART!$A$2:$FA$300, 53, FALSE)="",":",VLOOKUP($E$56,[1]QUART!$A$2:$FA$300, 53, FALSE))</f>
        <v>:</v>
      </c>
      <c r="BC56" s="556" t="str">
        <f>IF(VLOOKUP($E$56,[1]QUART!$A$2:$FA$300, 54, FALSE)="",":",VLOOKUP($E$56,[1]QUART!$A$2:$FA$300, 54, FALSE))</f>
        <v>:</v>
      </c>
      <c r="BD56" s="556" t="str">
        <f>IF(VLOOKUP($E$56,[1]QUART!$A$2:$FA$300, 55, FALSE)="",":",VLOOKUP($E$56,[1]QUART!$A$2:$FA$300, 55, FALSE))</f>
        <v>:</v>
      </c>
      <c r="BE56" s="556" t="str">
        <f>IF(VLOOKUP($E$56,[1]QUART!$A$2:$FA$300, 56, FALSE)="",":",VLOOKUP($E$56,[1]QUART!$A$2:$FA$300, 56, FALSE))</f>
        <v>:</v>
      </c>
      <c r="BF56" s="556" t="str">
        <f>IF(VLOOKUP($E$56,[1]QUART!$A$2:$FA$300, 57, FALSE)="",":",VLOOKUP($E$56,[1]QUART!$A$2:$FA$300, 57, FALSE))</f>
        <v>:</v>
      </c>
      <c r="BG56" s="556" t="str">
        <f>IF(VLOOKUP($E$56,[1]QUART!$A$2:$FA$300, 58, FALSE)="",":",VLOOKUP($E$56,[1]QUART!$A$2:$FA$300, 58, FALSE))</f>
        <v>:</v>
      </c>
      <c r="BH56" s="556" t="str">
        <f>IF(VLOOKUP($E$56,[1]QUART!$A$2:$FA$300, 59, FALSE)="",":",VLOOKUP($E$56,[1]QUART!$A$2:$FA$300, 59, FALSE))</f>
        <v>:</v>
      </c>
      <c r="BI56" s="556" t="str">
        <f>IF(VLOOKUP($E$56,[1]QUART!$A$2:$FA$300, 60, FALSE)="",":",VLOOKUP($E$56,[1]QUART!$A$2:$FA$300, 60, FALSE))</f>
        <v>:</v>
      </c>
      <c r="BJ56" s="556" t="str">
        <f>IF(VLOOKUP($E$56,[1]QUART!$A$2:$FA$300, 61, FALSE)="",":",VLOOKUP($E$56,[1]QUART!$A$2:$FA$300, 61, FALSE))</f>
        <v>:</v>
      </c>
      <c r="BK56" s="556" t="str">
        <f>IF(VLOOKUP($E$56,[1]QUART!$A$2:$FA$300, 62, FALSE)="",":",VLOOKUP($E$56,[1]QUART!$A$2:$FA$300, 62, FALSE))</f>
        <v>:</v>
      </c>
      <c r="BL56" s="556" t="str">
        <f>IF(VLOOKUP($E$56,[1]QUART!$A$2:$FA$300, 63, FALSE)="",":",VLOOKUP($E$56,[1]QUART!$A$2:$FA$300, 63, FALSE))</f>
        <v>:</v>
      </c>
      <c r="BM56" s="556" t="str">
        <f>IF(VLOOKUP($E$56,[1]QUART!$A$2:$FA$300, 64, FALSE)="",":",VLOOKUP($E$56,[1]QUART!$A$2:$FA$300, 64, FALSE))</f>
        <v>:</v>
      </c>
      <c r="BN56" s="556" t="str">
        <f>IF(VLOOKUP($E$56,[1]QUART!$A$2:$FA$300, 65, FALSE)="",":",VLOOKUP($E$56,[1]QUART!$A$2:$FA$300, 65, FALSE))</f>
        <v>:</v>
      </c>
      <c r="BO56" s="556" t="str">
        <f>IF(VLOOKUP($E$56,[1]QUART!$A$2:$FA$300, 66, FALSE)="",":",VLOOKUP($E$56,[1]QUART!$A$2:$FA$300, 66, FALSE))</f>
        <v>:</v>
      </c>
      <c r="BP56" s="556" t="str">
        <f>IF(VLOOKUP($E$56,[1]QUART!$A$2:$FA$300, 67, FALSE)="",":",VLOOKUP($E$56,[1]QUART!$A$2:$FA$300, 67, FALSE))</f>
        <v>:</v>
      </c>
      <c r="BQ56" s="556" t="str">
        <f>IF(VLOOKUP($E$56,[1]QUART!$A$2:$FA$300, 68, FALSE)="",":",VLOOKUP($E$56,[1]QUART!$A$2:$FA$300, 68, FALSE))</f>
        <v>:</v>
      </c>
      <c r="BR56" s="556" t="str">
        <f>IF(VLOOKUP($E$56,[1]QUART!$A$2:$FA$300, 69, FALSE)="",":",VLOOKUP($E$56,[1]QUART!$A$2:$FA$300, 69, FALSE))</f>
        <v>:</v>
      </c>
      <c r="BS56" s="556" t="str">
        <f>IF(VLOOKUP($E$56,[1]QUART!$A$2:$FA$300, 70, FALSE)="",":",VLOOKUP($E$56,[1]QUART!$A$2:$FA$300, 70, FALSE))</f>
        <v>:</v>
      </c>
      <c r="BT56" s="556" t="str">
        <f>IF(VLOOKUP($E$56,[1]QUART!$A$2:$FA$300, 71, FALSE)="",":",VLOOKUP($E$56,[1]QUART!$A$2:$FA$300, 71, FALSE))</f>
        <v>:</v>
      </c>
      <c r="BU56" s="556" t="str">
        <f>IF(VLOOKUP($E$56,[1]QUART!$A$2:$FA$300, 72, FALSE)="",":",VLOOKUP($E$56,[1]QUART!$A$2:$FA$300, 72, FALSE))</f>
        <v>:</v>
      </c>
      <c r="BV56" s="556" t="str">
        <f>IF(VLOOKUP($E$56,[1]QUART!$A$2:$FA$300, 73, FALSE)="",":",VLOOKUP($E$56,[1]QUART!$A$2:$FA$300, 73, FALSE))</f>
        <v>:</v>
      </c>
      <c r="BW56" s="556" t="str">
        <f>IF(VLOOKUP($E$56,[1]QUART!$A$2:$FA$300, 74, FALSE)="",":",VLOOKUP($E$56,[1]QUART!$A$2:$FA$300, 74, FALSE))</f>
        <v>:</v>
      </c>
      <c r="BX56" s="556" t="str">
        <f>IF(VLOOKUP($E$56,[1]QUART!$A$2:$FA$300, 75, FALSE)="",":",VLOOKUP($E$56,[1]QUART!$A$2:$FA$300, 75, FALSE))</f>
        <v>:</v>
      </c>
      <c r="BY56" s="556" t="str">
        <f>IF(VLOOKUP($E$56,[1]QUART!$A$2:$FA$300, 76, FALSE)="",":",VLOOKUP($E$56,[1]QUART!$A$2:$FA$300, 76, FALSE))</f>
        <v>:</v>
      </c>
      <c r="BZ56" s="556" t="str">
        <f>IF(VLOOKUP($E$56,[1]QUART!$A$2:$FA$300, 77, FALSE)="",":",VLOOKUP($E$56,[1]QUART!$A$2:$FA$300, 77, FALSE))</f>
        <v>:</v>
      </c>
      <c r="CA56" s="556" t="str">
        <f>IF(VLOOKUP($E$56,[1]QUART!$A$2:$FA$300, 78, FALSE)="",":",VLOOKUP($E$56,[1]QUART!$A$2:$FA$300, 78, FALSE))</f>
        <v>:</v>
      </c>
      <c r="CB56" s="556" t="str">
        <f>IF(VLOOKUP($E$56,[1]QUART!$A$2:$FA$300, 79, FALSE)="",":",VLOOKUP($E$56,[1]QUART!$A$2:$FA$300, 79, FALSE))</f>
        <v>:</v>
      </c>
      <c r="CC56" s="556" t="str">
        <f>IF(VLOOKUP($E$56,[1]QUART!$A$2:$FA$300, 80, FALSE)="",":",VLOOKUP($E$56,[1]QUART!$A$2:$FA$300, 80, FALSE))</f>
        <v>:</v>
      </c>
      <c r="CD56" s="556" t="str">
        <f>IF(VLOOKUP($E$56,[1]QUART!$A$2:$FA$300, 81, FALSE)="",":",VLOOKUP($E$56,[1]QUART!$A$2:$FA$300, 81, FALSE))</f>
        <v>:</v>
      </c>
      <c r="CE56" s="556" t="str">
        <f>IF(VLOOKUP($E$56,[1]QUART!$A$2:$FA$300, 82, FALSE)="",":",VLOOKUP($E$56,[1]QUART!$A$2:$FA$300, 82, FALSE))</f>
        <v>:</v>
      </c>
      <c r="CF56" s="556" t="str">
        <f>IF(VLOOKUP($E$56,[1]QUART!$A$2:$FA$300, 83, FALSE)="",":",VLOOKUP($E$56,[1]QUART!$A$2:$FA$300, 83, FALSE))</f>
        <v>:</v>
      </c>
      <c r="CG56" s="556" t="str">
        <f>IF(VLOOKUP($E$56,[1]QUART!$A$2:$FA$300, 84, FALSE)="",":",VLOOKUP($E$56,[1]QUART!$A$2:$FA$300, 84, FALSE))</f>
        <v>:</v>
      </c>
      <c r="CH56" s="556" t="str">
        <f>IF(VLOOKUP($E$56,[1]QUART!$A$2:$FA$300, 85, FALSE)="",":",VLOOKUP($E$56,[1]QUART!$A$2:$FA$300, 85, FALSE))</f>
        <v>:</v>
      </c>
      <c r="CI56" s="556" t="str">
        <f>IF(VLOOKUP($E$56,[1]QUART!$A$2:$FA$300, 86, FALSE)="",":",VLOOKUP($E$56,[1]QUART!$A$2:$FA$300, 86, FALSE))</f>
        <v>:</v>
      </c>
      <c r="CJ56" s="556" t="str">
        <f>IF(VLOOKUP($E$56,[1]QUART!$A$2:$FA$300, 87, FALSE)="",":",VLOOKUP($E$56,[1]QUART!$A$2:$FA$300, 87, FALSE))</f>
        <v>:</v>
      </c>
      <c r="CK56" s="556" t="str">
        <f>IF(VLOOKUP($E$56,[1]QUART!$A$2:$FA$300, 88, FALSE)="",":",VLOOKUP($E$56,[1]QUART!$A$2:$FA$300, 88, FALSE))</f>
        <v>:</v>
      </c>
      <c r="CL56" s="556" t="str">
        <f>IF(VLOOKUP($E$56,[1]QUART!$A$2:$FA$300, 89, FALSE)="",":",VLOOKUP($E$56,[1]QUART!$A$2:$FA$300, 89, FALSE))</f>
        <v>:</v>
      </c>
      <c r="CM56" s="556" t="str">
        <f>IF(VLOOKUP($E$56,[1]QUART!$A$2:$FA$300, 90, FALSE)="",":",VLOOKUP($E$56,[1]QUART!$A$2:$FA$300, 90, FALSE))</f>
        <v>:</v>
      </c>
      <c r="CN56" s="556" t="str">
        <f>IF(VLOOKUP($E$56,[1]QUART!$A$2:$FA$300, 91, FALSE)="",":",VLOOKUP($E$56,[1]QUART!$A$2:$FA$300, 91, FALSE))</f>
        <v>:</v>
      </c>
      <c r="CO56" s="556" t="str">
        <f>IF(VLOOKUP($E$56,[1]QUART!$A$2:$FA$300, 92, FALSE)="",":",VLOOKUP($E$56,[1]QUART!$A$2:$FA$300, 92, FALSE))</f>
        <v>:</v>
      </c>
      <c r="CP56" s="556" t="str">
        <f>IF(VLOOKUP($E$56,[1]QUART!$A$2:$FA$300, 93, FALSE)="",":",VLOOKUP($E$56,[1]QUART!$A$2:$FA$300, 93, FALSE))</f>
        <v>:</v>
      </c>
      <c r="CQ56" s="556" t="str">
        <f>IF(VLOOKUP($E$56,[1]QUART!$A$2:$FA$300, 94, FALSE)="",":",VLOOKUP($E$56,[1]QUART!$A$2:$FA$300, 94, FALSE))</f>
        <v>:</v>
      </c>
      <c r="CR56" s="556" t="str">
        <f>IF(VLOOKUP($E$56,[1]QUART!$A$2:$FA$300, 95, FALSE)="",":",VLOOKUP($E$56,[1]QUART!$A$2:$FA$300, 95, FALSE))</f>
        <v>:</v>
      </c>
      <c r="CS56" s="556" t="str">
        <f>IF(VLOOKUP($E$56,[1]QUART!$A$2:$FA$300, 96, FALSE)="",":",VLOOKUP($E$56,[1]QUART!$A$2:$FA$300, 96, FALSE))</f>
        <v>:</v>
      </c>
      <c r="CT56" s="556" t="str">
        <f>IF(VLOOKUP($E$56,[1]QUART!$A$2:$FA$300, 97, FALSE)="",":",VLOOKUP($E$56,[1]QUART!$A$2:$FA$300, 97, FALSE))</f>
        <v>:</v>
      </c>
      <c r="CU56" s="556" t="str">
        <f>IF(VLOOKUP($E$56,[1]QUART!$A$2:$FA$300, 98, FALSE)="",":",VLOOKUP($E$56,[1]QUART!$A$2:$FA$300, 98, FALSE))</f>
        <v>:</v>
      </c>
      <c r="CV56" s="556" t="str">
        <f>IF(VLOOKUP($E$56,[1]QUART!$A$2:$FA$300, 99, FALSE)="",":",VLOOKUP($E$56,[1]QUART!$A$2:$FA$300, 99, FALSE))</f>
        <v>:</v>
      </c>
      <c r="CW56" s="556" t="str">
        <f>IF(VLOOKUP($E$56,[1]QUART!$A$2:$FA$300, 100, FALSE)="",":",VLOOKUP($E$56,[1]QUART!$A$2:$FA$300, 100, FALSE))</f>
        <v>:</v>
      </c>
      <c r="CX56" s="556" t="str">
        <f>IF(VLOOKUP($E$56,[1]QUART!$A$2:$FA$300, 101, FALSE)="",":",VLOOKUP($E$56,[1]QUART!$A$2:$FA$300, 101, FALSE))</f>
        <v>:</v>
      </c>
      <c r="CY56" s="556" t="str">
        <f>IF(VLOOKUP($E$56,[1]QUART!$A$2:$FA$300, 102, FALSE)="",":",VLOOKUP($E$56,[1]QUART!$A$2:$FA$300, 102, FALSE))</f>
        <v>:</v>
      </c>
      <c r="CZ56" s="556" t="str">
        <f>IF(VLOOKUP($E$56,[1]QUART!$A$2:$FA$300, 103, FALSE)="",":",VLOOKUP($E$56,[1]QUART!$A$2:$FA$300, 103, FALSE))</f>
        <v>:</v>
      </c>
      <c r="DA56" s="556" t="str">
        <f>IF(VLOOKUP($E$56,[1]QUART!$A$2:$FA$300, 104, FALSE)="",":",VLOOKUP($E$56,[1]QUART!$A$2:$FA$300, 104, FALSE))</f>
        <v>:</v>
      </c>
      <c r="DB56" s="556" t="str">
        <f>IF(VLOOKUP($E$56,[1]QUART!$A$2:$FA$300, 105, FALSE)="",":",VLOOKUP($E$56,[1]QUART!$A$2:$FA$300, 105, FALSE))</f>
        <v>:</v>
      </c>
      <c r="DC56" s="556" t="str">
        <f>IF(VLOOKUP($E$56,[1]QUART!$A$2:$FA$300, 106, FALSE)="",":",VLOOKUP($E$56,[1]QUART!$A$2:$FA$300, 106, FALSE))</f>
        <v>:</v>
      </c>
    </row>
    <row r="57" spans="1:107">
      <c r="A57" s="546"/>
      <c r="B57" s="546"/>
      <c r="C57" s="547"/>
      <c r="D57" s="12" t="s">
        <v>363</v>
      </c>
      <c r="E57" s="13">
        <v>124</v>
      </c>
      <c r="F57" s="14" t="str">
        <f>VLOOKUP($E$57,[1]QUART!$A$2:$FA$300, 3, FALSE)</f>
        <v xml:space="preserve">124  Exports of goods and services                                                   </v>
      </c>
      <c r="G57" s="556" t="str">
        <f>IF(VLOOKUP($E$57,[1]QUART!$A$2:$FA$300, 6, FALSE)="",":",VLOOKUP($E$57,[1]QUART!$A$2:$FA$300, 6, FALSE))</f>
        <v>:</v>
      </c>
      <c r="H57" s="556" t="str">
        <f>IF(VLOOKUP($E$57,[1]QUART!$A$2:$FA$300, 7, FALSE)="",":",VLOOKUP($E$57,[1]QUART!$A$2:$FA$300, 7, FALSE))</f>
        <v>:</v>
      </c>
      <c r="I57" s="556" t="str">
        <f>IF(VLOOKUP($E$57,[1]QUART!$A$2:$FA$300, 8, FALSE)="",":",VLOOKUP($E$57,[1]QUART!$A$2:$FA$300, 8, FALSE))</f>
        <v>:</v>
      </c>
      <c r="J57" s="556" t="str">
        <f>IF(VLOOKUP($E$57,[1]QUART!$A$2:$FA$300, 9, FALSE)="",":",VLOOKUP($E$57,[1]QUART!$A$2:$FA$300, 9, FALSE))</f>
        <v>:</v>
      </c>
      <c r="K57" s="556" t="str">
        <f>IF(VLOOKUP($E$57,[1]QUART!$A$2:$FA$300, 10, FALSE)="",":",VLOOKUP($E$57,[1]QUART!$A$2:$FA$300, 10, FALSE))</f>
        <v>:</v>
      </c>
      <c r="L57" s="556" t="str">
        <f>IF(VLOOKUP($E$57,[1]QUART!$A$2:$FA$300, 11, FALSE)="",":",VLOOKUP($E$57,[1]QUART!$A$2:$FA$300, 11, FALSE))</f>
        <v>:</v>
      </c>
      <c r="M57" s="556" t="str">
        <f>IF(VLOOKUP($E$57,[1]QUART!$A$2:$FA$300, 12, FALSE)="",":",VLOOKUP($E$57,[1]QUART!$A$2:$FA$300, 12, FALSE))</f>
        <v>:</v>
      </c>
      <c r="N57" s="556" t="str">
        <f>IF(VLOOKUP($E$57,[1]QUART!$A$2:$FA$300, 13, FALSE)="",":",VLOOKUP($E$57,[1]QUART!$A$2:$FA$300, 13, FALSE))</f>
        <v>:</v>
      </c>
      <c r="O57" s="556" t="str">
        <f>IF(VLOOKUP($E$57,[1]QUART!$A$2:$FA$300, 14, FALSE)="",":",VLOOKUP($E$57,[1]QUART!$A$2:$FA$300, 14, FALSE))</f>
        <v>:</v>
      </c>
      <c r="P57" s="556" t="str">
        <f>IF(VLOOKUP($E$57,[1]QUART!$A$2:$FA$300, 15, FALSE)="",":",VLOOKUP($E$57,[1]QUART!$A$2:$FA$300, 15, FALSE))</f>
        <v>:</v>
      </c>
      <c r="Q57" s="556" t="str">
        <f>IF(VLOOKUP($E$57,[1]QUART!$A$2:$FA$300, 16, FALSE)="",":",VLOOKUP($E$57,[1]QUART!$A$2:$FA$300, 16, FALSE))</f>
        <v>:</v>
      </c>
      <c r="R57" s="556" t="str">
        <f>IF(VLOOKUP($E$57,[1]QUART!$A$2:$FA$300, 17, FALSE)="",":",VLOOKUP($E$57,[1]QUART!$A$2:$FA$300, 17, FALSE))</f>
        <v>:</v>
      </c>
      <c r="S57" s="556" t="str">
        <f>IF(VLOOKUP($E$57,[1]QUART!$A$2:$FA$300, 18, FALSE)="",":",VLOOKUP($E$57,[1]QUART!$A$2:$FA$300, 18, FALSE))</f>
        <v>:</v>
      </c>
      <c r="T57" s="556" t="str">
        <f>IF(VLOOKUP($E$57,[1]QUART!$A$2:$FA$300, 19, FALSE)="",":",VLOOKUP($E$57,[1]QUART!$A$2:$FA$300, 19, FALSE))</f>
        <v>:</v>
      </c>
      <c r="U57" s="556" t="str">
        <f>IF(VLOOKUP($E$57,[1]QUART!$A$2:$FA$300, 20, FALSE)="",":",VLOOKUP($E$57,[1]QUART!$A$2:$FA$300, 20, FALSE))</f>
        <v>:</v>
      </c>
      <c r="V57" s="556" t="str">
        <f>IF(VLOOKUP($E$57,[1]QUART!$A$2:$FA$300, 21, FALSE)="",":",VLOOKUP($E$57,[1]QUART!$A$2:$FA$300, 21, FALSE))</f>
        <v>:</v>
      </c>
      <c r="W57" s="556" t="str">
        <f>IF(VLOOKUP($E$57,[1]QUART!$A$2:$FA$300, 22, FALSE)="",":",VLOOKUP($E$57,[1]QUART!$A$2:$FA$300, 22, FALSE))</f>
        <v>:</v>
      </c>
      <c r="X57" s="556" t="str">
        <f>IF(VLOOKUP($E$57,[1]QUART!$A$2:$FA$300, 23, FALSE)="",":",VLOOKUP($E$57,[1]QUART!$A$2:$FA$300, 23, FALSE))</f>
        <v>:</v>
      </c>
      <c r="Y57" s="556" t="str">
        <f>IF(VLOOKUP($E$57,[1]QUART!$A$2:$FA$300, 24, FALSE)="",":",VLOOKUP($E$57,[1]QUART!$A$2:$FA$300, 24, FALSE))</f>
        <v>:</v>
      </c>
      <c r="Z57" s="556" t="str">
        <f>IF(VLOOKUP($E$57,[1]QUART!$A$2:$FA$300, 25, FALSE)="",":",VLOOKUP($E$57,[1]QUART!$A$2:$FA$300, 25, FALSE))</f>
        <v>:</v>
      </c>
      <c r="AA57" s="556" t="str">
        <f>IF(VLOOKUP($E$57,[1]QUART!$A$2:$FA$300, 26, FALSE)="",":",VLOOKUP($E$57,[1]QUART!$A$2:$FA$300, 26, FALSE))</f>
        <v>:</v>
      </c>
      <c r="AB57" s="556" t="str">
        <f>IF(VLOOKUP($E$57,[1]QUART!$A$2:$FA$300, 27, FALSE)="",":",VLOOKUP($E$57,[1]QUART!$A$2:$FA$300, 27, FALSE))</f>
        <v>:</v>
      </c>
      <c r="AC57" s="556" t="str">
        <f>IF(VLOOKUP($E$57,[1]QUART!$A$2:$FA$300, 28, FALSE)="",":",VLOOKUP($E$57,[1]QUART!$A$2:$FA$300, 28, FALSE))</f>
        <v>:</v>
      </c>
      <c r="AD57" s="556" t="str">
        <f>IF(VLOOKUP($E$57,[1]QUART!$A$2:$FA$300, 29, FALSE)="",":",VLOOKUP($E$57,[1]QUART!$A$2:$FA$300, 29, FALSE))</f>
        <v>:</v>
      </c>
      <c r="AE57" s="556" t="str">
        <f>IF(VLOOKUP($E$57,[1]QUART!$A$2:$FA$300, 30, FALSE)="",":",VLOOKUP($E$57,[1]QUART!$A$2:$FA$300, 30, FALSE))</f>
        <v>:</v>
      </c>
      <c r="AF57" s="556" t="str">
        <f>IF(VLOOKUP($E$57,[1]QUART!$A$2:$FA$300, 31, FALSE)="",":",VLOOKUP($E$57,[1]QUART!$A$2:$FA$300, 31, FALSE))</f>
        <v>:</v>
      </c>
      <c r="AG57" s="556" t="str">
        <f>IF(VLOOKUP($E$57,[1]QUART!$A$2:$FA$300, 32, FALSE)="",":",VLOOKUP($E$57,[1]QUART!$A$2:$FA$300, 32, FALSE))</f>
        <v>:</v>
      </c>
      <c r="AH57" s="556" t="str">
        <f>IF(VLOOKUP($E$57,[1]QUART!$A$2:$FA$300, 33, FALSE)="",":",VLOOKUP($E$57,[1]QUART!$A$2:$FA$300, 33, FALSE))</f>
        <v>:</v>
      </c>
      <c r="AI57" s="556" t="str">
        <f>IF(VLOOKUP($E$57,[1]QUART!$A$2:$FA$300, 34, FALSE)="",":",VLOOKUP($E$57,[1]QUART!$A$2:$FA$300, 34, FALSE))</f>
        <v>:</v>
      </c>
      <c r="AJ57" s="556" t="str">
        <f>IF(VLOOKUP($E$57,[1]QUART!$A$2:$FA$300, 35, FALSE)="",":",VLOOKUP($E$57,[1]QUART!$A$2:$FA$300, 35, FALSE))</f>
        <v>:</v>
      </c>
      <c r="AK57" s="556" t="str">
        <f>IF(VLOOKUP($E$57,[1]QUART!$A$2:$FA$300, 36, FALSE)="",":",VLOOKUP($E$57,[1]QUART!$A$2:$FA$300, 36, FALSE))</f>
        <v>:</v>
      </c>
      <c r="AL57" s="556" t="str">
        <f>IF(VLOOKUP($E$57,[1]QUART!$A$2:$FA$300, 37, FALSE)="",":",VLOOKUP($E$57,[1]QUART!$A$2:$FA$300, 37, FALSE))</f>
        <v>:</v>
      </c>
      <c r="AM57" s="556" t="str">
        <f>IF(VLOOKUP($E$57,[1]QUART!$A$2:$FA$300, 38, FALSE)="",":",VLOOKUP($E$57,[1]QUART!$A$2:$FA$300, 38, FALSE))</f>
        <v>:</v>
      </c>
      <c r="AN57" s="556" t="str">
        <f>IF(VLOOKUP($E$57,[1]QUART!$A$2:$FA$300, 39, FALSE)="",":",VLOOKUP($E$57,[1]QUART!$A$2:$FA$300, 39, FALSE))</f>
        <v>:</v>
      </c>
      <c r="AO57" s="556" t="str">
        <f>IF(VLOOKUP($E$57,[1]QUART!$A$2:$FA$300, 40, FALSE)="",":",VLOOKUP($E$57,[1]QUART!$A$2:$FA$300, 40, FALSE))</f>
        <v>:</v>
      </c>
      <c r="AP57" s="556" t="str">
        <f>IF(VLOOKUP($E$57,[1]QUART!$A$2:$FA$300, 41, FALSE)="",":",VLOOKUP($E$57,[1]QUART!$A$2:$FA$300, 41, FALSE))</f>
        <v>:</v>
      </c>
      <c r="AQ57" s="556" t="str">
        <f>IF(VLOOKUP($E$57,[1]QUART!$A$2:$FA$300, 42, FALSE)="",":",VLOOKUP($E$57,[1]QUART!$A$2:$FA$300, 42, FALSE))</f>
        <v>:</v>
      </c>
      <c r="AR57" s="556" t="str">
        <f>IF(VLOOKUP($E$57,[1]QUART!$A$2:$FA$300, 43, FALSE)="",":",VLOOKUP($E$57,[1]QUART!$A$2:$FA$300, 43, FALSE))</f>
        <v>:</v>
      </c>
      <c r="AS57" s="556" t="str">
        <f>IF(VLOOKUP($E$57,[1]QUART!$A$2:$FA$300, 44, FALSE)="",":",VLOOKUP($E$57,[1]QUART!$A$2:$FA$300, 44, FALSE))</f>
        <v>:</v>
      </c>
      <c r="AT57" s="556" t="str">
        <f>IF(VLOOKUP($E$57,[1]QUART!$A$2:$FA$300, 45, FALSE)="",":",VLOOKUP($E$57,[1]QUART!$A$2:$FA$300, 45, FALSE))</f>
        <v>:</v>
      </c>
      <c r="AU57" s="556" t="str">
        <f>IF(VLOOKUP($E$57,[1]QUART!$A$2:$FA$300, 46, FALSE)="",":",VLOOKUP($E$57,[1]QUART!$A$2:$FA$300, 46, FALSE))</f>
        <v>:</v>
      </c>
      <c r="AV57" s="556" t="str">
        <f>IF(VLOOKUP($E$57,[1]QUART!$A$2:$FA$300, 47, FALSE)="",":",VLOOKUP($E$57,[1]QUART!$A$2:$FA$300, 47, FALSE))</f>
        <v>:</v>
      </c>
      <c r="AW57" s="556" t="str">
        <f>IF(VLOOKUP($E$57,[1]QUART!$A$2:$FA$300, 48, FALSE)="",":",VLOOKUP($E$57,[1]QUART!$A$2:$FA$300, 48, FALSE))</f>
        <v>:</v>
      </c>
      <c r="AX57" s="556" t="str">
        <f>IF(VLOOKUP($E$57,[1]QUART!$A$2:$FA$300, 49, FALSE)="",":",VLOOKUP($E$57,[1]QUART!$A$2:$FA$300, 49, FALSE))</f>
        <v>:</v>
      </c>
      <c r="AY57" s="556" t="str">
        <f>IF(VLOOKUP($E$57,[1]QUART!$A$2:$FA$300, 50, FALSE)="",":",VLOOKUP($E$57,[1]QUART!$A$2:$FA$300, 50, FALSE))</f>
        <v>:</v>
      </c>
      <c r="AZ57" s="556" t="str">
        <f>IF(VLOOKUP($E$57,[1]QUART!$A$2:$FA$300, 51, FALSE)="",":",VLOOKUP($E$57,[1]QUART!$A$2:$FA$300, 51, FALSE))</f>
        <v>:</v>
      </c>
      <c r="BA57" s="556" t="str">
        <f>IF(VLOOKUP($E$57,[1]QUART!$A$2:$FA$300, 52, FALSE)="",":",VLOOKUP($E$57,[1]QUART!$A$2:$FA$300, 52, FALSE))</f>
        <v>:</v>
      </c>
      <c r="BB57" s="556" t="str">
        <f>IF(VLOOKUP($E$57,[1]QUART!$A$2:$FA$300, 53, FALSE)="",":",VLOOKUP($E$57,[1]QUART!$A$2:$FA$300, 53, FALSE))</f>
        <v>:</v>
      </c>
      <c r="BC57" s="556" t="str">
        <f>IF(VLOOKUP($E$57,[1]QUART!$A$2:$FA$300, 54, FALSE)="",":",VLOOKUP($E$57,[1]QUART!$A$2:$FA$300, 54, FALSE))</f>
        <v>:</v>
      </c>
      <c r="BD57" s="556" t="str">
        <f>IF(VLOOKUP($E$57,[1]QUART!$A$2:$FA$300, 55, FALSE)="",":",VLOOKUP($E$57,[1]QUART!$A$2:$FA$300, 55, FALSE))</f>
        <v>:</v>
      </c>
      <c r="BE57" s="556" t="str">
        <f>IF(VLOOKUP($E$57,[1]QUART!$A$2:$FA$300, 56, FALSE)="",":",VLOOKUP($E$57,[1]QUART!$A$2:$FA$300, 56, FALSE))</f>
        <v>:</v>
      </c>
      <c r="BF57" s="556" t="str">
        <f>IF(VLOOKUP($E$57,[1]QUART!$A$2:$FA$300, 57, FALSE)="",":",VLOOKUP($E$57,[1]QUART!$A$2:$FA$300, 57, FALSE))</f>
        <v>:</v>
      </c>
      <c r="BG57" s="556" t="str">
        <f>IF(VLOOKUP($E$57,[1]QUART!$A$2:$FA$300, 58, FALSE)="",":",VLOOKUP($E$57,[1]QUART!$A$2:$FA$300, 58, FALSE))</f>
        <v>:</v>
      </c>
      <c r="BH57" s="556" t="str">
        <f>IF(VLOOKUP($E$57,[1]QUART!$A$2:$FA$300, 59, FALSE)="",":",VLOOKUP($E$57,[1]QUART!$A$2:$FA$300, 59, FALSE))</f>
        <v>:</v>
      </c>
      <c r="BI57" s="556" t="str">
        <f>IF(VLOOKUP($E$57,[1]QUART!$A$2:$FA$300, 60, FALSE)="",":",VLOOKUP($E$57,[1]QUART!$A$2:$FA$300, 60, FALSE))</f>
        <v>:</v>
      </c>
      <c r="BJ57" s="556" t="str">
        <f>IF(VLOOKUP($E$57,[1]QUART!$A$2:$FA$300, 61, FALSE)="",":",VLOOKUP($E$57,[1]QUART!$A$2:$FA$300, 61, FALSE))</f>
        <v>:</v>
      </c>
      <c r="BK57" s="556" t="str">
        <f>IF(VLOOKUP($E$57,[1]QUART!$A$2:$FA$300, 62, FALSE)="",":",VLOOKUP($E$57,[1]QUART!$A$2:$FA$300, 62, FALSE))</f>
        <v>:</v>
      </c>
      <c r="BL57" s="556" t="str">
        <f>IF(VLOOKUP($E$57,[1]QUART!$A$2:$FA$300, 63, FALSE)="",":",VLOOKUP($E$57,[1]QUART!$A$2:$FA$300, 63, FALSE))</f>
        <v>:</v>
      </c>
      <c r="BM57" s="556" t="str">
        <f>IF(VLOOKUP($E$57,[1]QUART!$A$2:$FA$300, 64, FALSE)="",":",VLOOKUP($E$57,[1]QUART!$A$2:$FA$300, 64, FALSE))</f>
        <v>:</v>
      </c>
      <c r="BN57" s="556" t="str">
        <f>IF(VLOOKUP($E$57,[1]QUART!$A$2:$FA$300, 65, FALSE)="",":",VLOOKUP($E$57,[1]QUART!$A$2:$FA$300, 65, FALSE))</f>
        <v>:</v>
      </c>
      <c r="BO57" s="556" t="str">
        <f>IF(VLOOKUP($E$57,[1]QUART!$A$2:$FA$300, 66, FALSE)="",":",VLOOKUP($E$57,[1]QUART!$A$2:$FA$300, 66, FALSE))</f>
        <v>:</v>
      </c>
      <c r="BP57" s="556" t="str">
        <f>IF(VLOOKUP($E$57,[1]QUART!$A$2:$FA$300, 67, FALSE)="",":",VLOOKUP($E$57,[1]QUART!$A$2:$FA$300, 67, FALSE))</f>
        <v>:</v>
      </c>
      <c r="BQ57" s="556" t="str">
        <f>IF(VLOOKUP($E$57,[1]QUART!$A$2:$FA$300, 68, FALSE)="",":",VLOOKUP($E$57,[1]QUART!$A$2:$FA$300, 68, FALSE))</f>
        <v>:</v>
      </c>
      <c r="BR57" s="556" t="str">
        <f>IF(VLOOKUP($E$57,[1]QUART!$A$2:$FA$300, 69, FALSE)="",":",VLOOKUP($E$57,[1]QUART!$A$2:$FA$300, 69, FALSE))</f>
        <v>:</v>
      </c>
      <c r="BS57" s="556" t="str">
        <f>IF(VLOOKUP($E$57,[1]QUART!$A$2:$FA$300, 70, FALSE)="",":",VLOOKUP($E$57,[1]QUART!$A$2:$FA$300, 70, FALSE))</f>
        <v>:</v>
      </c>
      <c r="BT57" s="556" t="str">
        <f>IF(VLOOKUP($E$57,[1]QUART!$A$2:$FA$300, 71, FALSE)="",":",VLOOKUP($E$57,[1]QUART!$A$2:$FA$300, 71, FALSE))</f>
        <v>:</v>
      </c>
      <c r="BU57" s="556" t="str">
        <f>IF(VLOOKUP($E$57,[1]QUART!$A$2:$FA$300, 72, FALSE)="",":",VLOOKUP($E$57,[1]QUART!$A$2:$FA$300, 72, FALSE))</f>
        <v>:</v>
      </c>
      <c r="BV57" s="556" t="str">
        <f>IF(VLOOKUP($E$57,[1]QUART!$A$2:$FA$300, 73, FALSE)="",":",VLOOKUP($E$57,[1]QUART!$A$2:$FA$300, 73, FALSE))</f>
        <v>:</v>
      </c>
      <c r="BW57" s="556" t="str">
        <f>IF(VLOOKUP($E$57,[1]QUART!$A$2:$FA$300, 74, FALSE)="",":",VLOOKUP($E$57,[1]QUART!$A$2:$FA$300, 74, FALSE))</f>
        <v>:</v>
      </c>
      <c r="BX57" s="556" t="str">
        <f>IF(VLOOKUP($E$57,[1]QUART!$A$2:$FA$300, 75, FALSE)="",":",VLOOKUP($E$57,[1]QUART!$A$2:$FA$300, 75, FALSE))</f>
        <v>:</v>
      </c>
      <c r="BY57" s="556" t="str">
        <f>IF(VLOOKUP($E$57,[1]QUART!$A$2:$FA$300, 76, FALSE)="",":",VLOOKUP($E$57,[1]QUART!$A$2:$FA$300, 76, FALSE))</f>
        <v>:</v>
      </c>
      <c r="BZ57" s="556" t="str">
        <f>IF(VLOOKUP($E$57,[1]QUART!$A$2:$FA$300, 77, FALSE)="",":",VLOOKUP($E$57,[1]QUART!$A$2:$FA$300, 77, FALSE))</f>
        <v>:</v>
      </c>
      <c r="CA57" s="556" t="str">
        <f>IF(VLOOKUP($E$57,[1]QUART!$A$2:$FA$300, 78, FALSE)="",":",VLOOKUP($E$57,[1]QUART!$A$2:$FA$300, 78, FALSE))</f>
        <v>:</v>
      </c>
      <c r="CB57" s="556" t="str">
        <f>IF(VLOOKUP($E$57,[1]QUART!$A$2:$FA$300, 79, FALSE)="",":",VLOOKUP($E$57,[1]QUART!$A$2:$FA$300, 79, FALSE))</f>
        <v>:</v>
      </c>
      <c r="CC57" s="556" t="str">
        <f>IF(VLOOKUP($E$57,[1]QUART!$A$2:$FA$300, 80, FALSE)="",":",VLOOKUP($E$57,[1]QUART!$A$2:$FA$300, 80, FALSE))</f>
        <v>:</v>
      </c>
      <c r="CD57" s="556" t="str">
        <f>IF(VLOOKUP($E$57,[1]QUART!$A$2:$FA$300, 81, FALSE)="",":",VLOOKUP($E$57,[1]QUART!$A$2:$FA$300, 81, FALSE))</f>
        <v>:</v>
      </c>
      <c r="CE57" s="556" t="str">
        <f>IF(VLOOKUP($E$57,[1]QUART!$A$2:$FA$300, 82, FALSE)="",":",VLOOKUP($E$57,[1]QUART!$A$2:$FA$300, 82, FALSE))</f>
        <v>:</v>
      </c>
      <c r="CF57" s="556" t="str">
        <f>IF(VLOOKUP($E$57,[1]QUART!$A$2:$FA$300, 83, FALSE)="",":",VLOOKUP($E$57,[1]QUART!$A$2:$FA$300, 83, FALSE))</f>
        <v>:</v>
      </c>
      <c r="CG57" s="556" t="str">
        <f>IF(VLOOKUP($E$57,[1]QUART!$A$2:$FA$300, 84, FALSE)="",":",VLOOKUP($E$57,[1]QUART!$A$2:$FA$300, 84, FALSE))</f>
        <v>:</v>
      </c>
      <c r="CH57" s="556" t="str">
        <f>IF(VLOOKUP($E$57,[1]QUART!$A$2:$FA$300, 85, FALSE)="",":",VLOOKUP($E$57,[1]QUART!$A$2:$FA$300, 85, FALSE))</f>
        <v>:</v>
      </c>
      <c r="CI57" s="556" t="str">
        <f>IF(VLOOKUP($E$57,[1]QUART!$A$2:$FA$300, 86, FALSE)="",":",VLOOKUP($E$57,[1]QUART!$A$2:$FA$300, 86, FALSE))</f>
        <v>:</v>
      </c>
      <c r="CJ57" s="556" t="str">
        <f>IF(VLOOKUP($E$57,[1]QUART!$A$2:$FA$300, 87, FALSE)="",":",VLOOKUP($E$57,[1]QUART!$A$2:$FA$300, 87, FALSE))</f>
        <v>:</v>
      </c>
      <c r="CK57" s="556" t="str">
        <f>IF(VLOOKUP($E$57,[1]QUART!$A$2:$FA$300, 88, FALSE)="",":",VLOOKUP($E$57,[1]QUART!$A$2:$FA$300, 88, FALSE))</f>
        <v>:</v>
      </c>
      <c r="CL57" s="556" t="str">
        <f>IF(VLOOKUP($E$57,[1]QUART!$A$2:$FA$300, 89, FALSE)="",":",VLOOKUP($E$57,[1]QUART!$A$2:$FA$300, 89, FALSE))</f>
        <v>:</v>
      </c>
      <c r="CM57" s="556" t="str">
        <f>IF(VLOOKUP($E$57,[1]QUART!$A$2:$FA$300, 90, FALSE)="",":",VLOOKUP($E$57,[1]QUART!$A$2:$FA$300, 90, FALSE))</f>
        <v>:</v>
      </c>
      <c r="CN57" s="556" t="str">
        <f>IF(VLOOKUP($E$57,[1]QUART!$A$2:$FA$300, 91, FALSE)="",":",VLOOKUP($E$57,[1]QUART!$A$2:$FA$300, 91, FALSE))</f>
        <v>:</v>
      </c>
      <c r="CO57" s="556" t="str">
        <f>IF(VLOOKUP($E$57,[1]QUART!$A$2:$FA$300, 92, FALSE)="",":",VLOOKUP($E$57,[1]QUART!$A$2:$FA$300, 92, FALSE))</f>
        <v>:</v>
      </c>
      <c r="CP57" s="556" t="str">
        <f>IF(VLOOKUP($E$57,[1]QUART!$A$2:$FA$300, 93, FALSE)="",":",VLOOKUP($E$57,[1]QUART!$A$2:$FA$300, 93, FALSE))</f>
        <v>:</v>
      </c>
      <c r="CQ57" s="556" t="str">
        <f>IF(VLOOKUP($E$57,[1]QUART!$A$2:$FA$300, 94, FALSE)="",":",VLOOKUP($E$57,[1]QUART!$A$2:$FA$300, 94, FALSE))</f>
        <v>:</v>
      </c>
      <c r="CR57" s="556" t="str">
        <f>IF(VLOOKUP($E$57,[1]QUART!$A$2:$FA$300, 95, FALSE)="",":",VLOOKUP($E$57,[1]QUART!$A$2:$FA$300, 95, FALSE))</f>
        <v>:</v>
      </c>
      <c r="CS57" s="556" t="str">
        <f>IF(VLOOKUP($E$57,[1]QUART!$A$2:$FA$300, 96, FALSE)="",":",VLOOKUP($E$57,[1]QUART!$A$2:$FA$300, 96, FALSE))</f>
        <v>:</v>
      </c>
      <c r="CT57" s="556" t="str">
        <f>IF(VLOOKUP($E$57,[1]QUART!$A$2:$FA$300, 97, FALSE)="",":",VLOOKUP($E$57,[1]QUART!$A$2:$FA$300, 97, FALSE))</f>
        <v>:</v>
      </c>
      <c r="CU57" s="556" t="str">
        <f>IF(VLOOKUP($E$57,[1]QUART!$A$2:$FA$300, 98, FALSE)="",":",VLOOKUP($E$57,[1]QUART!$A$2:$FA$300, 98, FALSE))</f>
        <v>:</v>
      </c>
      <c r="CV57" s="556" t="str">
        <f>IF(VLOOKUP($E$57,[1]QUART!$A$2:$FA$300, 99, FALSE)="",":",VLOOKUP($E$57,[1]QUART!$A$2:$FA$300, 99, FALSE))</f>
        <v>:</v>
      </c>
      <c r="CW57" s="556" t="str">
        <f>IF(VLOOKUP($E$57,[1]QUART!$A$2:$FA$300, 100, FALSE)="",":",VLOOKUP($E$57,[1]QUART!$A$2:$FA$300, 100, FALSE))</f>
        <v>:</v>
      </c>
      <c r="CX57" s="556" t="str">
        <f>IF(VLOOKUP($E$57,[1]QUART!$A$2:$FA$300, 101, FALSE)="",":",VLOOKUP($E$57,[1]QUART!$A$2:$FA$300, 101, FALSE))</f>
        <v>:</v>
      </c>
      <c r="CY57" s="556" t="str">
        <f>IF(VLOOKUP($E$57,[1]QUART!$A$2:$FA$300, 102, FALSE)="",":",VLOOKUP($E$57,[1]QUART!$A$2:$FA$300, 102, FALSE))</f>
        <v>:</v>
      </c>
      <c r="CZ57" s="556" t="str">
        <f>IF(VLOOKUP($E$57,[1]QUART!$A$2:$FA$300, 103, FALSE)="",":",VLOOKUP($E$57,[1]QUART!$A$2:$FA$300, 103, FALSE))</f>
        <v>:</v>
      </c>
      <c r="DA57" s="556" t="str">
        <f>IF(VLOOKUP($E$57,[1]QUART!$A$2:$FA$300, 104, FALSE)="",":",VLOOKUP($E$57,[1]QUART!$A$2:$FA$300, 104, FALSE))</f>
        <v>:</v>
      </c>
      <c r="DB57" s="556" t="str">
        <f>IF(VLOOKUP($E$57,[1]QUART!$A$2:$FA$300, 105, FALSE)="",":",VLOOKUP($E$57,[1]QUART!$A$2:$FA$300, 105, FALSE))</f>
        <v>:</v>
      </c>
      <c r="DC57" s="556" t="str">
        <f>IF(VLOOKUP($E$57,[1]QUART!$A$2:$FA$300, 106, FALSE)="",":",VLOOKUP($E$57,[1]QUART!$A$2:$FA$300, 106, FALSE))</f>
        <v>:</v>
      </c>
    </row>
    <row r="58" spans="1:107">
      <c r="A58" s="546"/>
      <c r="B58" s="546"/>
      <c r="C58" s="547"/>
      <c r="D58" s="12" t="s">
        <v>363</v>
      </c>
      <c r="E58" s="13">
        <v>125</v>
      </c>
      <c r="F58" s="14" t="str">
        <f>VLOOKUP($E$58,[1]QUART!$A$2:$FA$300, 3, FALSE)</f>
        <v xml:space="preserve">125  Imports of goods and services                                                   </v>
      </c>
      <c r="G58" s="556" t="str">
        <f>IF(VLOOKUP($E$58,[1]QUART!$A$2:$FA$300, 6, FALSE)="",":",VLOOKUP($E$58,[1]QUART!$A$2:$FA$300, 6, FALSE))</f>
        <v>:</v>
      </c>
      <c r="H58" s="556" t="str">
        <f>IF(VLOOKUP($E$58,[1]QUART!$A$2:$FA$300, 7, FALSE)="",":",VLOOKUP($E$58,[1]QUART!$A$2:$FA$300, 7, FALSE))</f>
        <v>:</v>
      </c>
      <c r="I58" s="556" t="str">
        <f>IF(VLOOKUP($E$58,[1]QUART!$A$2:$FA$300, 8, FALSE)="",":",VLOOKUP($E$58,[1]QUART!$A$2:$FA$300, 8, FALSE))</f>
        <v>:</v>
      </c>
      <c r="J58" s="556" t="str">
        <f>IF(VLOOKUP($E$58,[1]QUART!$A$2:$FA$300, 9, FALSE)="",":",VLOOKUP($E$58,[1]QUART!$A$2:$FA$300, 9, FALSE))</f>
        <v>:</v>
      </c>
      <c r="K58" s="556" t="str">
        <f>IF(VLOOKUP($E$58,[1]QUART!$A$2:$FA$300, 10, FALSE)="",":",VLOOKUP($E$58,[1]QUART!$A$2:$FA$300, 10, FALSE))</f>
        <v>:</v>
      </c>
      <c r="L58" s="556" t="str">
        <f>IF(VLOOKUP($E$58,[1]QUART!$A$2:$FA$300, 11, FALSE)="",":",VLOOKUP($E$58,[1]QUART!$A$2:$FA$300, 11, FALSE))</f>
        <v>:</v>
      </c>
      <c r="M58" s="556" t="str">
        <f>IF(VLOOKUP($E$58,[1]QUART!$A$2:$FA$300, 12, FALSE)="",":",VLOOKUP($E$58,[1]QUART!$A$2:$FA$300, 12, FALSE))</f>
        <v>:</v>
      </c>
      <c r="N58" s="556" t="str">
        <f>IF(VLOOKUP($E$58,[1]QUART!$A$2:$FA$300, 13, FALSE)="",":",VLOOKUP($E$58,[1]QUART!$A$2:$FA$300, 13, FALSE))</f>
        <v>:</v>
      </c>
      <c r="O58" s="556" t="str">
        <f>IF(VLOOKUP($E$58,[1]QUART!$A$2:$FA$300, 14, FALSE)="",":",VLOOKUP($E$58,[1]QUART!$A$2:$FA$300, 14, FALSE))</f>
        <v>:</v>
      </c>
      <c r="P58" s="556" t="str">
        <f>IF(VLOOKUP($E$58,[1]QUART!$A$2:$FA$300, 15, FALSE)="",":",VLOOKUP($E$58,[1]QUART!$A$2:$FA$300, 15, FALSE))</f>
        <v>:</v>
      </c>
      <c r="Q58" s="556" t="str">
        <f>IF(VLOOKUP($E$58,[1]QUART!$A$2:$FA$300, 16, FALSE)="",":",VLOOKUP($E$58,[1]QUART!$A$2:$FA$300, 16, FALSE))</f>
        <v>:</v>
      </c>
      <c r="R58" s="556" t="str">
        <f>IF(VLOOKUP($E$58,[1]QUART!$A$2:$FA$300, 17, FALSE)="",":",VLOOKUP($E$58,[1]QUART!$A$2:$FA$300, 17, FALSE))</f>
        <v>:</v>
      </c>
      <c r="S58" s="556" t="str">
        <f>IF(VLOOKUP($E$58,[1]QUART!$A$2:$FA$300, 18, FALSE)="",":",VLOOKUP($E$58,[1]QUART!$A$2:$FA$300, 18, FALSE))</f>
        <v>:</v>
      </c>
      <c r="T58" s="556" t="str">
        <f>IF(VLOOKUP($E$58,[1]QUART!$A$2:$FA$300, 19, FALSE)="",":",VLOOKUP($E$58,[1]QUART!$A$2:$FA$300, 19, FALSE))</f>
        <v>:</v>
      </c>
      <c r="U58" s="556" t="str">
        <f>IF(VLOOKUP($E$58,[1]QUART!$A$2:$FA$300, 20, FALSE)="",":",VLOOKUP($E$58,[1]QUART!$A$2:$FA$300, 20, FALSE))</f>
        <v>:</v>
      </c>
      <c r="V58" s="556" t="str">
        <f>IF(VLOOKUP($E$58,[1]QUART!$A$2:$FA$300, 21, FALSE)="",":",VLOOKUP($E$58,[1]QUART!$A$2:$FA$300, 21, FALSE))</f>
        <v>:</v>
      </c>
      <c r="W58" s="556" t="str">
        <f>IF(VLOOKUP($E$58,[1]QUART!$A$2:$FA$300, 22, FALSE)="",":",VLOOKUP($E$58,[1]QUART!$A$2:$FA$300, 22, FALSE))</f>
        <v>:</v>
      </c>
      <c r="X58" s="556" t="str">
        <f>IF(VLOOKUP($E$58,[1]QUART!$A$2:$FA$300, 23, FALSE)="",":",VLOOKUP($E$58,[1]QUART!$A$2:$FA$300, 23, FALSE))</f>
        <v>:</v>
      </c>
      <c r="Y58" s="556" t="str">
        <f>IF(VLOOKUP($E$58,[1]QUART!$A$2:$FA$300, 24, FALSE)="",":",VLOOKUP($E$58,[1]QUART!$A$2:$FA$300, 24, FALSE))</f>
        <v>:</v>
      </c>
      <c r="Z58" s="556" t="str">
        <f>IF(VLOOKUP($E$58,[1]QUART!$A$2:$FA$300, 25, FALSE)="",":",VLOOKUP($E$58,[1]QUART!$A$2:$FA$300, 25, FALSE))</f>
        <v>:</v>
      </c>
      <c r="AA58" s="556" t="str">
        <f>IF(VLOOKUP($E$58,[1]QUART!$A$2:$FA$300, 26, FALSE)="",":",VLOOKUP($E$58,[1]QUART!$A$2:$FA$300, 26, FALSE))</f>
        <v>:</v>
      </c>
      <c r="AB58" s="556" t="str">
        <f>IF(VLOOKUP($E$58,[1]QUART!$A$2:$FA$300, 27, FALSE)="",":",VLOOKUP($E$58,[1]QUART!$A$2:$FA$300, 27, FALSE))</f>
        <v>:</v>
      </c>
      <c r="AC58" s="556" t="str">
        <f>IF(VLOOKUP($E$58,[1]QUART!$A$2:$FA$300, 28, FALSE)="",":",VLOOKUP($E$58,[1]QUART!$A$2:$FA$300, 28, FALSE))</f>
        <v>:</v>
      </c>
      <c r="AD58" s="556" t="str">
        <f>IF(VLOOKUP($E$58,[1]QUART!$A$2:$FA$300, 29, FALSE)="",":",VLOOKUP($E$58,[1]QUART!$A$2:$FA$300, 29, FALSE))</f>
        <v>:</v>
      </c>
      <c r="AE58" s="556" t="str">
        <f>IF(VLOOKUP($E$58,[1]QUART!$A$2:$FA$300, 30, FALSE)="",":",VLOOKUP($E$58,[1]QUART!$A$2:$FA$300, 30, FALSE))</f>
        <v>:</v>
      </c>
      <c r="AF58" s="556" t="str">
        <f>IF(VLOOKUP($E$58,[1]QUART!$A$2:$FA$300, 31, FALSE)="",":",VLOOKUP($E$58,[1]QUART!$A$2:$FA$300, 31, FALSE))</f>
        <v>:</v>
      </c>
      <c r="AG58" s="556" t="str">
        <f>IF(VLOOKUP($E$58,[1]QUART!$A$2:$FA$300, 32, FALSE)="",":",VLOOKUP($E$58,[1]QUART!$A$2:$FA$300, 32, FALSE))</f>
        <v>:</v>
      </c>
      <c r="AH58" s="556" t="str">
        <f>IF(VLOOKUP($E$58,[1]QUART!$A$2:$FA$300, 33, FALSE)="",":",VLOOKUP($E$58,[1]QUART!$A$2:$FA$300, 33, FALSE))</f>
        <v>:</v>
      </c>
      <c r="AI58" s="556" t="str">
        <f>IF(VLOOKUP($E$58,[1]QUART!$A$2:$FA$300, 34, FALSE)="",":",VLOOKUP($E$58,[1]QUART!$A$2:$FA$300, 34, FALSE))</f>
        <v>:</v>
      </c>
      <c r="AJ58" s="556" t="str">
        <f>IF(VLOOKUP($E$58,[1]QUART!$A$2:$FA$300, 35, FALSE)="",":",VLOOKUP($E$58,[1]QUART!$A$2:$FA$300, 35, FALSE))</f>
        <v>:</v>
      </c>
      <c r="AK58" s="556" t="str">
        <f>IF(VLOOKUP($E$58,[1]QUART!$A$2:$FA$300, 36, FALSE)="",":",VLOOKUP($E$58,[1]QUART!$A$2:$FA$300, 36, FALSE))</f>
        <v>:</v>
      </c>
      <c r="AL58" s="556" t="str">
        <f>IF(VLOOKUP($E$58,[1]QUART!$A$2:$FA$300, 37, FALSE)="",":",VLOOKUP($E$58,[1]QUART!$A$2:$FA$300, 37, FALSE))</f>
        <v>:</v>
      </c>
      <c r="AM58" s="556" t="str">
        <f>IF(VLOOKUP($E$58,[1]QUART!$A$2:$FA$300, 38, FALSE)="",":",VLOOKUP($E$58,[1]QUART!$A$2:$FA$300, 38, FALSE))</f>
        <v>:</v>
      </c>
      <c r="AN58" s="556" t="str">
        <f>IF(VLOOKUP($E$58,[1]QUART!$A$2:$FA$300, 39, FALSE)="",":",VLOOKUP($E$58,[1]QUART!$A$2:$FA$300, 39, FALSE))</f>
        <v>:</v>
      </c>
      <c r="AO58" s="556" t="str">
        <f>IF(VLOOKUP($E$58,[1]QUART!$A$2:$FA$300, 40, FALSE)="",":",VLOOKUP($E$58,[1]QUART!$A$2:$FA$300, 40, FALSE))</f>
        <v>:</v>
      </c>
      <c r="AP58" s="556" t="str">
        <f>IF(VLOOKUP($E$58,[1]QUART!$A$2:$FA$300, 41, FALSE)="",":",VLOOKUP($E$58,[1]QUART!$A$2:$FA$300, 41, FALSE))</f>
        <v>:</v>
      </c>
      <c r="AQ58" s="556" t="str">
        <f>IF(VLOOKUP($E$58,[1]QUART!$A$2:$FA$300, 42, FALSE)="",":",VLOOKUP($E$58,[1]QUART!$A$2:$FA$300, 42, FALSE))</f>
        <v>:</v>
      </c>
      <c r="AR58" s="556" t="str">
        <f>IF(VLOOKUP($E$58,[1]QUART!$A$2:$FA$300, 43, FALSE)="",":",VLOOKUP($E$58,[1]QUART!$A$2:$FA$300, 43, FALSE))</f>
        <v>:</v>
      </c>
      <c r="AS58" s="556" t="str">
        <f>IF(VLOOKUP($E$58,[1]QUART!$A$2:$FA$300, 44, FALSE)="",":",VLOOKUP($E$58,[1]QUART!$A$2:$FA$300, 44, FALSE))</f>
        <v>:</v>
      </c>
      <c r="AT58" s="556" t="str">
        <f>IF(VLOOKUP($E$58,[1]QUART!$A$2:$FA$300, 45, FALSE)="",":",VLOOKUP($E$58,[1]QUART!$A$2:$FA$300, 45, FALSE))</f>
        <v>:</v>
      </c>
      <c r="AU58" s="556" t="str">
        <f>IF(VLOOKUP($E$58,[1]QUART!$A$2:$FA$300, 46, FALSE)="",":",VLOOKUP($E$58,[1]QUART!$A$2:$FA$300, 46, FALSE))</f>
        <v>:</v>
      </c>
      <c r="AV58" s="556" t="str">
        <f>IF(VLOOKUP($E$58,[1]QUART!$A$2:$FA$300, 47, FALSE)="",":",VLOOKUP($E$58,[1]QUART!$A$2:$FA$300, 47, FALSE))</f>
        <v>:</v>
      </c>
      <c r="AW58" s="556" t="str">
        <f>IF(VLOOKUP($E$58,[1]QUART!$A$2:$FA$300, 48, FALSE)="",":",VLOOKUP($E$58,[1]QUART!$A$2:$FA$300, 48, FALSE))</f>
        <v>:</v>
      </c>
      <c r="AX58" s="556" t="str">
        <f>IF(VLOOKUP($E$58,[1]QUART!$A$2:$FA$300, 49, FALSE)="",":",VLOOKUP($E$58,[1]QUART!$A$2:$FA$300, 49, FALSE))</f>
        <v>:</v>
      </c>
      <c r="AY58" s="556" t="str">
        <f>IF(VLOOKUP($E$58,[1]QUART!$A$2:$FA$300, 50, FALSE)="",":",VLOOKUP($E$58,[1]QUART!$A$2:$FA$300, 50, FALSE))</f>
        <v>:</v>
      </c>
      <c r="AZ58" s="556" t="str">
        <f>IF(VLOOKUP($E$58,[1]QUART!$A$2:$FA$300, 51, FALSE)="",":",VLOOKUP($E$58,[1]QUART!$A$2:$FA$300, 51, FALSE))</f>
        <v>:</v>
      </c>
      <c r="BA58" s="556" t="str">
        <f>IF(VLOOKUP($E$58,[1]QUART!$A$2:$FA$300, 52, FALSE)="",":",VLOOKUP($E$58,[1]QUART!$A$2:$FA$300, 52, FALSE))</f>
        <v>:</v>
      </c>
      <c r="BB58" s="556" t="str">
        <f>IF(VLOOKUP($E$58,[1]QUART!$A$2:$FA$300, 53, FALSE)="",":",VLOOKUP($E$58,[1]QUART!$A$2:$FA$300, 53, FALSE))</f>
        <v>:</v>
      </c>
      <c r="BC58" s="556" t="str">
        <f>IF(VLOOKUP($E$58,[1]QUART!$A$2:$FA$300, 54, FALSE)="",":",VLOOKUP($E$58,[1]QUART!$A$2:$FA$300, 54, FALSE))</f>
        <v>:</v>
      </c>
      <c r="BD58" s="556" t="str">
        <f>IF(VLOOKUP($E$58,[1]QUART!$A$2:$FA$300, 55, FALSE)="",":",VLOOKUP($E$58,[1]QUART!$A$2:$FA$300, 55, FALSE))</f>
        <v>:</v>
      </c>
      <c r="BE58" s="556" t="str">
        <f>IF(VLOOKUP($E$58,[1]QUART!$A$2:$FA$300, 56, FALSE)="",":",VLOOKUP($E$58,[1]QUART!$A$2:$FA$300, 56, FALSE))</f>
        <v>:</v>
      </c>
      <c r="BF58" s="556" t="str">
        <f>IF(VLOOKUP($E$58,[1]QUART!$A$2:$FA$300, 57, FALSE)="",":",VLOOKUP($E$58,[1]QUART!$A$2:$FA$300, 57, FALSE))</f>
        <v>:</v>
      </c>
      <c r="BG58" s="556" t="str">
        <f>IF(VLOOKUP($E$58,[1]QUART!$A$2:$FA$300, 58, FALSE)="",":",VLOOKUP($E$58,[1]QUART!$A$2:$FA$300, 58, FALSE))</f>
        <v>:</v>
      </c>
      <c r="BH58" s="556" t="str">
        <f>IF(VLOOKUP($E$58,[1]QUART!$A$2:$FA$300, 59, FALSE)="",":",VLOOKUP($E$58,[1]QUART!$A$2:$FA$300, 59, FALSE))</f>
        <v>:</v>
      </c>
      <c r="BI58" s="556" t="str">
        <f>IF(VLOOKUP($E$58,[1]QUART!$A$2:$FA$300, 60, FALSE)="",":",VLOOKUP($E$58,[1]QUART!$A$2:$FA$300, 60, FALSE))</f>
        <v>:</v>
      </c>
      <c r="BJ58" s="556" t="str">
        <f>IF(VLOOKUP($E$58,[1]QUART!$A$2:$FA$300, 61, FALSE)="",":",VLOOKUP($E$58,[1]QUART!$A$2:$FA$300, 61, FALSE))</f>
        <v>:</v>
      </c>
      <c r="BK58" s="556" t="str">
        <f>IF(VLOOKUP($E$58,[1]QUART!$A$2:$FA$300, 62, FALSE)="",":",VLOOKUP($E$58,[1]QUART!$A$2:$FA$300, 62, FALSE))</f>
        <v>:</v>
      </c>
      <c r="BL58" s="556" t="str">
        <f>IF(VLOOKUP($E$58,[1]QUART!$A$2:$FA$300, 63, FALSE)="",":",VLOOKUP($E$58,[1]QUART!$A$2:$FA$300, 63, FALSE))</f>
        <v>:</v>
      </c>
      <c r="BM58" s="556" t="str">
        <f>IF(VLOOKUP($E$58,[1]QUART!$A$2:$FA$300, 64, FALSE)="",":",VLOOKUP($E$58,[1]QUART!$A$2:$FA$300, 64, FALSE))</f>
        <v>:</v>
      </c>
      <c r="BN58" s="556" t="str">
        <f>IF(VLOOKUP($E$58,[1]QUART!$A$2:$FA$300, 65, FALSE)="",":",VLOOKUP($E$58,[1]QUART!$A$2:$FA$300, 65, FALSE))</f>
        <v>:</v>
      </c>
      <c r="BO58" s="556" t="str">
        <f>IF(VLOOKUP($E$58,[1]QUART!$A$2:$FA$300, 66, FALSE)="",":",VLOOKUP($E$58,[1]QUART!$A$2:$FA$300, 66, FALSE))</f>
        <v>:</v>
      </c>
      <c r="BP58" s="556" t="str">
        <f>IF(VLOOKUP($E$58,[1]QUART!$A$2:$FA$300, 67, FALSE)="",":",VLOOKUP($E$58,[1]QUART!$A$2:$FA$300, 67, FALSE))</f>
        <v>:</v>
      </c>
      <c r="BQ58" s="556" t="str">
        <f>IF(VLOOKUP($E$58,[1]QUART!$A$2:$FA$300, 68, FALSE)="",":",VLOOKUP($E$58,[1]QUART!$A$2:$FA$300, 68, FALSE))</f>
        <v>:</v>
      </c>
      <c r="BR58" s="556" t="str">
        <f>IF(VLOOKUP($E$58,[1]QUART!$A$2:$FA$300, 69, FALSE)="",":",VLOOKUP($E$58,[1]QUART!$A$2:$FA$300, 69, FALSE))</f>
        <v>:</v>
      </c>
      <c r="BS58" s="556" t="str">
        <f>IF(VLOOKUP($E$58,[1]QUART!$A$2:$FA$300, 70, FALSE)="",":",VLOOKUP($E$58,[1]QUART!$A$2:$FA$300, 70, FALSE))</f>
        <v>:</v>
      </c>
      <c r="BT58" s="556" t="str">
        <f>IF(VLOOKUP($E$58,[1]QUART!$A$2:$FA$300, 71, FALSE)="",":",VLOOKUP($E$58,[1]QUART!$A$2:$FA$300, 71, FALSE))</f>
        <v>:</v>
      </c>
      <c r="BU58" s="556" t="str">
        <f>IF(VLOOKUP($E$58,[1]QUART!$A$2:$FA$300, 72, FALSE)="",":",VLOOKUP($E$58,[1]QUART!$A$2:$FA$300, 72, FALSE))</f>
        <v>:</v>
      </c>
      <c r="BV58" s="556" t="str">
        <f>IF(VLOOKUP($E$58,[1]QUART!$A$2:$FA$300, 73, FALSE)="",":",VLOOKUP($E$58,[1]QUART!$A$2:$FA$300, 73, FALSE))</f>
        <v>:</v>
      </c>
      <c r="BW58" s="556" t="str">
        <f>IF(VLOOKUP($E$58,[1]QUART!$A$2:$FA$300, 74, FALSE)="",":",VLOOKUP($E$58,[1]QUART!$A$2:$FA$300, 74, FALSE))</f>
        <v>:</v>
      </c>
      <c r="BX58" s="556" t="str">
        <f>IF(VLOOKUP($E$58,[1]QUART!$A$2:$FA$300, 75, FALSE)="",":",VLOOKUP($E$58,[1]QUART!$A$2:$FA$300, 75, FALSE))</f>
        <v>:</v>
      </c>
      <c r="BY58" s="556" t="str">
        <f>IF(VLOOKUP($E$58,[1]QUART!$A$2:$FA$300, 76, FALSE)="",":",VLOOKUP($E$58,[1]QUART!$A$2:$FA$300, 76, FALSE))</f>
        <v>:</v>
      </c>
      <c r="BZ58" s="556" t="str">
        <f>IF(VLOOKUP($E$58,[1]QUART!$A$2:$FA$300, 77, FALSE)="",":",VLOOKUP($E$58,[1]QUART!$A$2:$FA$300, 77, FALSE))</f>
        <v>:</v>
      </c>
      <c r="CA58" s="556" t="str">
        <f>IF(VLOOKUP($E$58,[1]QUART!$A$2:$FA$300, 78, FALSE)="",":",VLOOKUP($E$58,[1]QUART!$A$2:$FA$300, 78, FALSE))</f>
        <v>:</v>
      </c>
      <c r="CB58" s="556" t="str">
        <f>IF(VLOOKUP($E$58,[1]QUART!$A$2:$FA$300, 79, FALSE)="",":",VLOOKUP($E$58,[1]QUART!$A$2:$FA$300, 79, FALSE))</f>
        <v>:</v>
      </c>
      <c r="CC58" s="556" t="str">
        <f>IF(VLOOKUP($E$58,[1]QUART!$A$2:$FA$300, 80, FALSE)="",":",VLOOKUP($E$58,[1]QUART!$A$2:$FA$300, 80, FALSE))</f>
        <v>:</v>
      </c>
      <c r="CD58" s="556" t="str">
        <f>IF(VLOOKUP($E$58,[1]QUART!$A$2:$FA$300, 81, FALSE)="",":",VLOOKUP($E$58,[1]QUART!$A$2:$FA$300, 81, FALSE))</f>
        <v>:</v>
      </c>
      <c r="CE58" s="556" t="str">
        <f>IF(VLOOKUP($E$58,[1]QUART!$A$2:$FA$300, 82, FALSE)="",":",VLOOKUP($E$58,[1]QUART!$A$2:$FA$300, 82, FALSE))</f>
        <v>:</v>
      </c>
      <c r="CF58" s="556" t="str">
        <f>IF(VLOOKUP($E$58,[1]QUART!$A$2:$FA$300, 83, FALSE)="",":",VLOOKUP($E$58,[1]QUART!$A$2:$FA$300, 83, FALSE))</f>
        <v>:</v>
      </c>
      <c r="CG58" s="556" t="str">
        <f>IF(VLOOKUP($E$58,[1]QUART!$A$2:$FA$300, 84, FALSE)="",":",VLOOKUP($E$58,[1]QUART!$A$2:$FA$300, 84, FALSE))</f>
        <v>:</v>
      </c>
      <c r="CH58" s="556" t="str">
        <f>IF(VLOOKUP($E$58,[1]QUART!$A$2:$FA$300, 85, FALSE)="",":",VLOOKUP($E$58,[1]QUART!$A$2:$FA$300, 85, FALSE))</f>
        <v>:</v>
      </c>
      <c r="CI58" s="556" t="str">
        <f>IF(VLOOKUP($E$58,[1]QUART!$A$2:$FA$300, 86, FALSE)="",":",VLOOKUP($E$58,[1]QUART!$A$2:$FA$300, 86, FALSE))</f>
        <v>:</v>
      </c>
      <c r="CJ58" s="556" t="str">
        <f>IF(VLOOKUP($E$58,[1]QUART!$A$2:$FA$300, 87, FALSE)="",":",VLOOKUP($E$58,[1]QUART!$A$2:$FA$300, 87, FALSE))</f>
        <v>:</v>
      </c>
      <c r="CK58" s="556" t="str">
        <f>IF(VLOOKUP($E$58,[1]QUART!$A$2:$FA$300, 88, FALSE)="",":",VLOOKUP($E$58,[1]QUART!$A$2:$FA$300, 88, FALSE))</f>
        <v>:</v>
      </c>
      <c r="CL58" s="556" t="str">
        <f>IF(VLOOKUP($E$58,[1]QUART!$A$2:$FA$300, 89, FALSE)="",":",VLOOKUP($E$58,[1]QUART!$A$2:$FA$300, 89, FALSE))</f>
        <v>:</v>
      </c>
      <c r="CM58" s="556" t="str">
        <f>IF(VLOOKUP($E$58,[1]QUART!$A$2:$FA$300, 90, FALSE)="",":",VLOOKUP($E$58,[1]QUART!$A$2:$FA$300, 90, FALSE))</f>
        <v>:</v>
      </c>
      <c r="CN58" s="556" t="str">
        <f>IF(VLOOKUP($E$58,[1]QUART!$A$2:$FA$300, 91, FALSE)="",":",VLOOKUP($E$58,[1]QUART!$A$2:$FA$300, 91, FALSE))</f>
        <v>:</v>
      </c>
      <c r="CO58" s="556" t="str">
        <f>IF(VLOOKUP($E$58,[1]QUART!$A$2:$FA$300, 92, FALSE)="",":",VLOOKUP($E$58,[1]QUART!$A$2:$FA$300, 92, FALSE))</f>
        <v>:</v>
      </c>
      <c r="CP58" s="556" t="str">
        <f>IF(VLOOKUP($E$58,[1]QUART!$A$2:$FA$300, 93, FALSE)="",":",VLOOKUP($E$58,[1]QUART!$A$2:$FA$300, 93, FALSE))</f>
        <v>:</v>
      </c>
      <c r="CQ58" s="556" t="str">
        <f>IF(VLOOKUP($E$58,[1]QUART!$A$2:$FA$300, 94, FALSE)="",":",VLOOKUP($E$58,[1]QUART!$A$2:$FA$300, 94, FALSE))</f>
        <v>:</v>
      </c>
      <c r="CR58" s="556" t="str">
        <f>IF(VLOOKUP($E$58,[1]QUART!$A$2:$FA$300, 95, FALSE)="",":",VLOOKUP($E$58,[1]QUART!$A$2:$FA$300, 95, FALSE))</f>
        <v>:</v>
      </c>
      <c r="CS58" s="556" t="str">
        <f>IF(VLOOKUP($E$58,[1]QUART!$A$2:$FA$300, 96, FALSE)="",":",VLOOKUP($E$58,[1]QUART!$A$2:$FA$300, 96, FALSE))</f>
        <v>:</v>
      </c>
      <c r="CT58" s="556" t="str">
        <f>IF(VLOOKUP($E$58,[1]QUART!$A$2:$FA$300, 97, FALSE)="",":",VLOOKUP($E$58,[1]QUART!$A$2:$FA$300, 97, FALSE))</f>
        <v>:</v>
      </c>
      <c r="CU58" s="556" t="str">
        <f>IF(VLOOKUP($E$58,[1]QUART!$A$2:$FA$300, 98, FALSE)="",":",VLOOKUP($E$58,[1]QUART!$A$2:$FA$300, 98, FALSE))</f>
        <v>:</v>
      </c>
      <c r="CV58" s="556" t="str">
        <f>IF(VLOOKUP($E$58,[1]QUART!$A$2:$FA$300, 99, FALSE)="",":",VLOOKUP($E$58,[1]QUART!$A$2:$FA$300, 99, FALSE))</f>
        <v>:</v>
      </c>
      <c r="CW58" s="556" t="str">
        <f>IF(VLOOKUP($E$58,[1]QUART!$A$2:$FA$300, 100, FALSE)="",":",VLOOKUP($E$58,[1]QUART!$A$2:$FA$300, 100, FALSE))</f>
        <v>:</v>
      </c>
      <c r="CX58" s="556" t="str">
        <f>IF(VLOOKUP($E$58,[1]QUART!$A$2:$FA$300, 101, FALSE)="",":",VLOOKUP($E$58,[1]QUART!$A$2:$FA$300, 101, FALSE))</f>
        <v>:</v>
      </c>
      <c r="CY58" s="556" t="str">
        <f>IF(VLOOKUP($E$58,[1]QUART!$A$2:$FA$300, 102, FALSE)="",":",VLOOKUP($E$58,[1]QUART!$A$2:$FA$300, 102, FALSE))</f>
        <v>:</v>
      </c>
      <c r="CZ58" s="556" t="str">
        <f>IF(VLOOKUP($E$58,[1]QUART!$A$2:$FA$300, 103, FALSE)="",":",VLOOKUP($E$58,[1]QUART!$A$2:$FA$300, 103, FALSE))</f>
        <v>:</v>
      </c>
      <c r="DA58" s="556" t="str">
        <f>IF(VLOOKUP($E$58,[1]QUART!$A$2:$FA$300, 104, FALSE)="",":",VLOOKUP($E$58,[1]QUART!$A$2:$FA$300, 104, FALSE))</f>
        <v>:</v>
      </c>
      <c r="DB58" s="556" t="str">
        <f>IF(VLOOKUP($E$58,[1]QUART!$A$2:$FA$300, 105, FALSE)="",":",VLOOKUP($E$58,[1]QUART!$A$2:$FA$300, 105, FALSE))</f>
        <v>:</v>
      </c>
      <c r="DC58" s="556" t="str">
        <f>IF(VLOOKUP($E$58,[1]QUART!$A$2:$FA$300, 106, FALSE)="",":",VLOOKUP($E$58,[1]QUART!$A$2:$FA$300, 106, FALSE))</f>
        <v>:</v>
      </c>
    </row>
    <row r="59" spans="1:107">
      <c r="A59" s="546"/>
      <c r="B59" s="546"/>
      <c r="C59" s="547"/>
      <c r="D59" s="12" t="s">
        <v>363</v>
      </c>
      <c r="E59" s="13">
        <v>126</v>
      </c>
      <c r="F59" s="14" t="str">
        <f>VLOOKUP($E$59,[1]QUART!$A$2:$FA$300, 3, FALSE)</f>
        <v>126  Domestic demand excluding change in inventories and net acquisition of valuables</v>
      </c>
      <c r="G59" s="556" t="str">
        <f>IF(VLOOKUP($E$59,[1]QUART!$A$2:$FA$300, 6, FALSE)="",":",VLOOKUP($E$59,[1]QUART!$A$2:$FA$300, 6, FALSE))</f>
        <v>:</v>
      </c>
      <c r="H59" s="556" t="str">
        <f>IF(VLOOKUP($E$59,[1]QUART!$A$2:$FA$300, 7, FALSE)="",":",VLOOKUP($E$59,[1]QUART!$A$2:$FA$300, 7, FALSE))</f>
        <v>:</v>
      </c>
      <c r="I59" s="556" t="str">
        <f>IF(VLOOKUP($E$59,[1]QUART!$A$2:$FA$300, 8, FALSE)="",":",VLOOKUP($E$59,[1]QUART!$A$2:$FA$300, 8, FALSE))</f>
        <v>:</v>
      </c>
      <c r="J59" s="556" t="str">
        <f>IF(VLOOKUP($E$59,[1]QUART!$A$2:$FA$300, 9, FALSE)="",":",VLOOKUP($E$59,[1]QUART!$A$2:$FA$300, 9, FALSE))</f>
        <v>:</v>
      </c>
      <c r="K59" s="556" t="str">
        <f>IF(VLOOKUP($E$59,[1]QUART!$A$2:$FA$300, 10, FALSE)="",":",VLOOKUP($E$59,[1]QUART!$A$2:$FA$300, 10, FALSE))</f>
        <v>:</v>
      </c>
      <c r="L59" s="556" t="str">
        <f>IF(VLOOKUP($E$59,[1]QUART!$A$2:$FA$300, 11, FALSE)="",":",VLOOKUP($E$59,[1]QUART!$A$2:$FA$300, 11, FALSE))</f>
        <v>:</v>
      </c>
      <c r="M59" s="556" t="str">
        <f>IF(VLOOKUP($E$59,[1]QUART!$A$2:$FA$300, 12, FALSE)="",":",VLOOKUP($E$59,[1]QUART!$A$2:$FA$300, 12, FALSE))</f>
        <v>:</v>
      </c>
      <c r="N59" s="556" t="str">
        <f>IF(VLOOKUP($E$59,[1]QUART!$A$2:$FA$300, 13, FALSE)="",":",VLOOKUP($E$59,[1]QUART!$A$2:$FA$300, 13, FALSE))</f>
        <v>:</v>
      </c>
      <c r="O59" s="556" t="str">
        <f>IF(VLOOKUP($E$59,[1]QUART!$A$2:$FA$300, 14, FALSE)="",":",VLOOKUP($E$59,[1]QUART!$A$2:$FA$300, 14, FALSE))</f>
        <v>:</v>
      </c>
      <c r="P59" s="556" t="str">
        <f>IF(VLOOKUP($E$59,[1]QUART!$A$2:$FA$300, 15, FALSE)="",":",VLOOKUP($E$59,[1]QUART!$A$2:$FA$300, 15, FALSE))</f>
        <v>:</v>
      </c>
      <c r="Q59" s="556" t="str">
        <f>IF(VLOOKUP($E$59,[1]QUART!$A$2:$FA$300, 16, FALSE)="",":",VLOOKUP($E$59,[1]QUART!$A$2:$FA$300, 16, FALSE))</f>
        <v>:</v>
      </c>
      <c r="R59" s="556" t="str">
        <f>IF(VLOOKUP($E$59,[1]QUART!$A$2:$FA$300, 17, FALSE)="",":",VLOOKUP($E$59,[1]QUART!$A$2:$FA$300, 17, FALSE))</f>
        <v>:</v>
      </c>
      <c r="S59" s="556" t="str">
        <f>IF(VLOOKUP($E$59,[1]QUART!$A$2:$FA$300, 18, FALSE)="",":",VLOOKUP($E$59,[1]QUART!$A$2:$FA$300, 18, FALSE))</f>
        <v>:</v>
      </c>
      <c r="T59" s="556" t="str">
        <f>IF(VLOOKUP($E$59,[1]QUART!$A$2:$FA$300, 19, FALSE)="",":",VLOOKUP($E$59,[1]QUART!$A$2:$FA$300, 19, FALSE))</f>
        <v>:</v>
      </c>
      <c r="U59" s="556" t="str">
        <f>IF(VLOOKUP($E$59,[1]QUART!$A$2:$FA$300, 20, FALSE)="",":",VLOOKUP($E$59,[1]QUART!$A$2:$FA$300, 20, FALSE))</f>
        <v>:</v>
      </c>
      <c r="V59" s="556" t="str">
        <f>IF(VLOOKUP($E$59,[1]QUART!$A$2:$FA$300, 21, FALSE)="",":",VLOOKUP($E$59,[1]QUART!$A$2:$FA$300, 21, FALSE))</f>
        <v>:</v>
      </c>
      <c r="W59" s="556" t="str">
        <f>IF(VLOOKUP($E$59,[1]QUART!$A$2:$FA$300, 22, FALSE)="",":",VLOOKUP($E$59,[1]QUART!$A$2:$FA$300, 22, FALSE))</f>
        <v>:</v>
      </c>
      <c r="X59" s="556" t="str">
        <f>IF(VLOOKUP($E$59,[1]QUART!$A$2:$FA$300, 23, FALSE)="",":",VLOOKUP($E$59,[1]QUART!$A$2:$FA$300, 23, FALSE))</f>
        <v>:</v>
      </c>
      <c r="Y59" s="556" t="str">
        <f>IF(VLOOKUP($E$59,[1]QUART!$A$2:$FA$300, 24, FALSE)="",":",VLOOKUP($E$59,[1]QUART!$A$2:$FA$300, 24, FALSE))</f>
        <v>:</v>
      </c>
      <c r="Z59" s="556" t="str">
        <f>IF(VLOOKUP($E$59,[1]QUART!$A$2:$FA$300, 25, FALSE)="",":",VLOOKUP($E$59,[1]QUART!$A$2:$FA$300, 25, FALSE))</f>
        <v>:</v>
      </c>
      <c r="AA59" s="556" t="str">
        <f>IF(VLOOKUP($E$59,[1]QUART!$A$2:$FA$300, 26, FALSE)="",":",VLOOKUP($E$59,[1]QUART!$A$2:$FA$300, 26, FALSE))</f>
        <v>:</v>
      </c>
      <c r="AB59" s="556" t="str">
        <f>IF(VLOOKUP($E$59,[1]QUART!$A$2:$FA$300, 27, FALSE)="",":",VLOOKUP($E$59,[1]QUART!$A$2:$FA$300, 27, FALSE))</f>
        <v>:</v>
      </c>
      <c r="AC59" s="556" t="str">
        <f>IF(VLOOKUP($E$59,[1]QUART!$A$2:$FA$300, 28, FALSE)="",":",VLOOKUP($E$59,[1]QUART!$A$2:$FA$300, 28, FALSE))</f>
        <v>:</v>
      </c>
      <c r="AD59" s="556" t="str">
        <f>IF(VLOOKUP($E$59,[1]QUART!$A$2:$FA$300, 29, FALSE)="",":",VLOOKUP($E$59,[1]QUART!$A$2:$FA$300, 29, FALSE))</f>
        <v>:</v>
      </c>
      <c r="AE59" s="556" t="str">
        <f>IF(VLOOKUP($E$59,[1]QUART!$A$2:$FA$300, 30, FALSE)="",":",VLOOKUP($E$59,[1]QUART!$A$2:$FA$300, 30, FALSE))</f>
        <v>:</v>
      </c>
      <c r="AF59" s="556" t="str">
        <f>IF(VLOOKUP($E$59,[1]QUART!$A$2:$FA$300, 31, FALSE)="",":",VLOOKUP($E$59,[1]QUART!$A$2:$FA$300, 31, FALSE))</f>
        <v>:</v>
      </c>
      <c r="AG59" s="556" t="str">
        <f>IF(VLOOKUP($E$59,[1]QUART!$A$2:$FA$300, 32, FALSE)="",":",VLOOKUP($E$59,[1]QUART!$A$2:$FA$300, 32, FALSE))</f>
        <v>:</v>
      </c>
      <c r="AH59" s="556" t="str">
        <f>IF(VLOOKUP($E$59,[1]QUART!$A$2:$FA$300, 33, FALSE)="",":",VLOOKUP($E$59,[1]QUART!$A$2:$FA$300, 33, FALSE))</f>
        <v>:</v>
      </c>
      <c r="AI59" s="556" t="str">
        <f>IF(VLOOKUP($E$59,[1]QUART!$A$2:$FA$300, 34, FALSE)="",":",VLOOKUP($E$59,[1]QUART!$A$2:$FA$300, 34, FALSE))</f>
        <v>:</v>
      </c>
      <c r="AJ59" s="556" t="str">
        <f>IF(VLOOKUP($E$59,[1]QUART!$A$2:$FA$300, 35, FALSE)="",":",VLOOKUP($E$59,[1]QUART!$A$2:$FA$300, 35, FALSE))</f>
        <v>:</v>
      </c>
      <c r="AK59" s="556" t="str">
        <f>IF(VLOOKUP($E$59,[1]QUART!$A$2:$FA$300, 36, FALSE)="",":",VLOOKUP($E$59,[1]QUART!$A$2:$FA$300, 36, FALSE))</f>
        <v>:</v>
      </c>
      <c r="AL59" s="556" t="str">
        <f>IF(VLOOKUP($E$59,[1]QUART!$A$2:$FA$300, 37, FALSE)="",":",VLOOKUP($E$59,[1]QUART!$A$2:$FA$300, 37, FALSE))</f>
        <v>:</v>
      </c>
      <c r="AM59" s="556" t="str">
        <f>IF(VLOOKUP($E$59,[1]QUART!$A$2:$FA$300, 38, FALSE)="",":",VLOOKUP($E$59,[1]QUART!$A$2:$FA$300, 38, FALSE))</f>
        <v>:</v>
      </c>
      <c r="AN59" s="556" t="str">
        <f>IF(VLOOKUP($E$59,[1]QUART!$A$2:$FA$300, 39, FALSE)="",":",VLOOKUP($E$59,[1]QUART!$A$2:$FA$300, 39, FALSE))</f>
        <v>:</v>
      </c>
      <c r="AO59" s="556" t="str">
        <f>IF(VLOOKUP($E$59,[1]QUART!$A$2:$FA$300, 40, FALSE)="",":",VLOOKUP($E$59,[1]QUART!$A$2:$FA$300, 40, FALSE))</f>
        <v>:</v>
      </c>
      <c r="AP59" s="556" t="str">
        <f>IF(VLOOKUP($E$59,[1]QUART!$A$2:$FA$300, 41, FALSE)="",":",VLOOKUP($E$59,[1]QUART!$A$2:$FA$300, 41, FALSE))</f>
        <v>:</v>
      </c>
      <c r="AQ59" s="556" t="str">
        <f>IF(VLOOKUP($E$59,[1]QUART!$A$2:$FA$300, 42, FALSE)="",":",VLOOKUP($E$59,[1]QUART!$A$2:$FA$300, 42, FALSE))</f>
        <v>:</v>
      </c>
      <c r="AR59" s="556" t="str">
        <f>IF(VLOOKUP($E$59,[1]QUART!$A$2:$FA$300, 43, FALSE)="",":",VLOOKUP($E$59,[1]QUART!$A$2:$FA$300, 43, FALSE))</f>
        <v>:</v>
      </c>
      <c r="AS59" s="556" t="str">
        <f>IF(VLOOKUP($E$59,[1]QUART!$A$2:$FA$300, 44, FALSE)="",":",VLOOKUP($E$59,[1]QUART!$A$2:$FA$300, 44, FALSE))</f>
        <v>:</v>
      </c>
      <c r="AT59" s="556" t="str">
        <f>IF(VLOOKUP($E$59,[1]QUART!$A$2:$FA$300, 45, FALSE)="",":",VLOOKUP($E$59,[1]QUART!$A$2:$FA$300, 45, FALSE))</f>
        <v>:</v>
      </c>
      <c r="AU59" s="556" t="str">
        <f>IF(VLOOKUP($E$59,[1]QUART!$A$2:$FA$300, 46, FALSE)="",":",VLOOKUP($E$59,[1]QUART!$A$2:$FA$300, 46, FALSE))</f>
        <v>:</v>
      </c>
      <c r="AV59" s="556" t="str">
        <f>IF(VLOOKUP($E$59,[1]QUART!$A$2:$FA$300, 47, FALSE)="",":",VLOOKUP($E$59,[1]QUART!$A$2:$FA$300, 47, FALSE))</f>
        <v>:</v>
      </c>
      <c r="AW59" s="556" t="str">
        <f>IF(VLOOKUP($E$59,[1]QUART!$A$2:$FA$300, 48, FALSE)="",":",VLOOKUP($E$59,[1]QUART!$A$2:$FA$300, 48, FALSE))</f>
        <v>:</v>
      </c>
      <c r="AX59" s="556" t="str">
        <f>IF(VLOOKUP($E$59,[1]QUART!$A$2:$FA$300, 49, FALSE)="",":",VLOOKUP($E$59,[1]QUART!$A$2:$FA$300, 49, FALSE))</f>
        <v>:</v>
      </c>
      <c r="AY59" s="556" t="str">
        <f>IF(VLOOKUP($E$59,[1]QUART!$A$2:$FA$300, 50, FALSE)="",":",VLOOKUP($E$59,[1]QUART!$A$2:$FA$300, 50, FALSE))</f>
        <v>:</v>
      </c>
      <c r="AZ59" s="556" t="str">
        <f>IF(VLOOKUP($E$59,[1]QUART!$A$2:$FA$300, 51, FALSE)="",":",VLOOKUP($E$59,[1]QUART!$A$2:$FA$300, 51, FALSE))</f>
        <v>:</v>
      </c>
      <c r="BA59" s="556" t="str">
        <f>IF(VLOOKUP($E$59,[1]QUART!$A$2:$FA$300, 52, FALSE)="",":",VLOOKUP($E$59,[1]QUART!$A$2:$FA$300, 52, FALSE))</f>
        <v>:</v>
      </c>
      <c r="BB59" s="556" t="str">
        <f>IF(VLOOKUP($E$59,[1]QUART!$A$2:$FA$300, 53, FALSE)="",":",VLOOKUP($E$59,[1]QUART!$A$2:$FA$300, 53, FALSE))</f>
        <v>:</v>
      </c>
      <c r="BC59" s="556" t="str">
        <f>IF(VLOOKUP($E$59,[1]QUART!$A$2:$FA$300, 54, FALSE)="",":",VLOOKUP($E$59,[1]QUART!$A$2:$FA$300, 54, FALSE))</f>
        <v>:</v>
      </c>
      <c r="BD59" s="556" t="str">
        <f>IF(VLOOKUP($E$59,[1]QUART!$A$2:$FA$300, 55, FALSE)="",":",VLOOKUP($E$59,[1]QUART!$A$2:$FA$300, 55, FALSE))</f>
        <v>:</v>
      </c>
      <c r="BE59" s="556" t="str">
        <f>IF(VLOOKUP($E$59,[1]QUART!$A$2:$FA$300, 56, FALSE)="",":",VLOOKUP($E$59,[1]QUART!$A$2:$FA$300, 56, FALSE))</f>
        <v>:</v>
      </c>
      <c r="BF59" s="556" t="str">
        <f>IF(VLOOKUP($E$59,[1]QUART!$A$2:$FA$300, 57, FALSE)="",":",VLOOKUP($E$59,[1]QUART!$A$2:$FA$300, 57, FALSE))</f>
        <v>:</v>
      </c>
      <c r="BG59" s="556" t="str">
        <f>IF(VLOOKUP($E$59,[1]QUART!$A$2:$FA$300, 58, FALSE)="",":",VLOOKUP($E$59,[1]QUART!$A$2:$FA$300, 58, FALSE))</f>
        <v>:</v>
      </c>
      <c r="BH59" s="556" t="str">
        <f>IF(VLOOKUP($E$59,[1]QUART!$A$2:$FA$300, 59, FALSE)="",":",VLOOKUP($E$59,[1]QUART!$A$2:$FA$300, 59, FALSE))</f>
        <v>:</v>
      </c>
      <c r="BI59" s="556" t="str">
        <f>IF(VLOOKUP($E$59,[1]QUART!$A$2:$FA$300, 60, FALSE)="",":",VLOOKUP($E$59,[1]QUART!$A$2:$FA$300, 60, FALSE))</f>
        <v>:</v>
      </c>
      <c r="BJ59" s="556" t="str">
        <f>IF(VLOOKUP($E$59,[1]QUART!$A$2:$FA$300, 61, FALSE)="",":",VLOOKUP($E$59,[1]QUART!$A$2:$FA$300, 61, FALSE))</f>
        <v>:</v>
      </c>
      <c r="BK59" s="556" t="str">
        <f>IF(VLOOKUP($E$59,[1]QUART!$A$2:$FA$300, 62, FALSE)="",":",VLOOKUP($E$59,[1]QUART!$A$2:$FA$300, 62, FALSE))</f>
        <v>:</v>
      </c>
      <c r="BL59" s="556" t="str">
        <f>IF(VLOOKUP($E$59,[1]QUART!$A$2:$FA$300, 63, FALSE)="",":",VLOOKUP($E$59,[1]QUART!$A$2:$FA$300, 63, FALSE))</f>
        <v>:</v>
      </c>
      <c r="BM59" s="556" t="str">
        <f>IF(VLOOKUP($E$59,[1]QUART!$A$2:$FA$300, 64, FALSE)="",":",VLOOKUP($E$59,[1]QUART!$A$2:$FA$300, 64, FALSE))</f>
        <v>:</v>
      </c>
      <c r="BN59" s="556" t="str">
        <f>IF(VLOOKUP($E$59,[1]QUART!$A$2:$FA$300, 65, FALSE)="",":",VLOOKUP($E$59,[1]QUART!$A$2:$FA$300, 65, FALSE))</f>
        <v>:</v>
      </c>
      <c r="BO59" s="556" t="str">
        <f>IF(VLOOKUP($E$59,[1]QUART!$A$2:$FA$300, 66, FALSE)="",":",VLOOKUP($E$59,[1]QUART!$A$2:$FA$300, 66, FALSE))</f>
        <v>:</v>
      </c>
      <c r="BP59" s="556" t="str">
        <f>IF(VLOOKUP($E$59,[1]QUART!$A$2:$FA$300, 67, FALSE)="",":",VLOOKUP($E$59,[1]QUART!$A$2:$FA$300, 67, FALSE))</f>
        <v>:</v>
      </c>
      <c r="BQ59" s="556" t="str">
        <f>IF(VLOOKUP($E$59,[1]QUART!$A$2:$FA$300, 68, FALSE)="",":",VLOOKUP($E$59,[1]QUART!$A$2:$FA$300, 68, FALSE))</f>
        <v>:</v>
      </c>
      <c r="BR59" s="556" t="str">
        <f>IF(VLOOKUP($E$59,[1]QUART!$A$2:$FA$300, 69, FALSE)="",":",VLOOKUP($E$59,[1]QUART!$A$2:$FA$300, 69, FALSE))</f>
        <v>:</v>
      </c>
      <c r="BS59" s="556" t="str">
        <f>IF(VLOOKUP($E$59,[1]QUART!$A$2:$FA$300, 70, FALSE)="",":",VLOOKUP($E$59,[1]QUART!$A$2:$FA$300, 70, FALSE))</f>
        <v>:</v>
      </c>
      <c r="BT59" s="556" t="str">
        <f>IF(VLOOKUP($E$59,[1]QUART!$A$2:$FA$300, 71, FALSE)="",":",VLOOKUP($E$59,[1]QUART!$A$2:$FA$300, 71, FALSE))</f>
        <v>:</v>
      </c>
      <c r="BU59" s="556" t="str">
        <f>IF(VLOOKUP($E$59,[1]QUART!$A$2:$FA$300, 72, FALSE)="",":",VLOOKUP($E$59,[1]QUART!$A$2:$FA$300, 72, FALSE))</f>
        <v>:</v>
      </c>
      <c r="BV59" s="556" t="str">
        <f>IF(VLOOKUP($E$59,[1]QUART!$A$2:$FA$300, 73, FALSE)="",":",VLOOKUP($E$59,[1]QUART!$A$2:$FA$300, 73, FALSE))</f>
        <v>:</v>
      </c>
      <c r="BW59" s="556" t="str">
        <f>IF(VLOOKUP($E$59,[1]QUART!$A$2:$FA$300, 74, FALSE)="",":",VLOOKUP($E$59,[1]QUART!$A$2:$FA$300, 74, FALSE))</f>
        <v>:</v>
      </c>
      <c r="BX59" s="556" t="str">
        <f>IF(VLOOKUP($E$59,[1]QUART!$A$2:$FA$300, 75, FALSE)="",":",VLOOKUP($E$59,[1]QUART!$A$2:$FA$300, 75, FALSE))</f>
        <v>:</v>
      </c>
      <c r="BY59" s="556" t="str">
        <f>IF(VLOOKUP($E$59,[1]QUART!$A$2:$FA$300, 76, FALSE)="",":",VLOOKUP($E$59,[1]QUART!$A$2:$FA$300, 76, FALSE))</f>
        <v>:</v>
      </c>
      <c r="BZ59" s="556" t="str">
        <f>IF(VLOOKUP($E$59,[1]QUART!$A$2:$FA$300, 77, FALSE)="",":",VLOOKUP($E$59,[1]QUART!$A$2:$FA$300, 77, FALSE))</f>
        <v>:</v>
      </c>
      <c r="CA59" s="556" t="str">
        <f>IF(VLOOKUP($E$59,[1]QUART!$A$2:$FA$300, 78, FALSE)="",":",VLOOKUP($E$59,[1]QUART!$A$2:$FA$300, 78, FALSE))</f>
        <v>:</v>
      </c>
      <c r="CB59" s="556" t="str">
        <f>IF(VLOOKUP($E$59,[1]QUART!$A$2:$FA$300, 79, FALSE)="",":",VLOOKUP($E$59,[1]QUART!$A$2:$FA$300, 79, FALSE))</f>
        <v>:</v>
      </c>
      <c r="CC59" s="556" t="str">
        <f>IF(VLOOKUP($E$59,[1]QUART!$A$2:$FA$300, 80, FALSE)="",":",VLOOKUP($E$59,[1]QUART!$A$2:$FA$300, 80, FALSE))</f>
        <v>:</v>
      </c>
      <c r="CD59" s="556" t="str">
        <f>IF(VLOOKUP($E$59,[1]QUART!$A$2:$FA$300, 81, FALSE)="",":",VLOOKUP($E$59,[1]QUART!$A$2:$FA$300, 81, FALSE))</f>
        <v>:</v>
      </c>
      <c r="CE59" s="556" t="str">
        <f>IF(VLOOKUP($E$59,[1]QUART!$A$2:$FA$300, 82, FALSE)="",":",VLOOKUP($E$59,[1]QUART!$A$2:$FA$300, 82, FALSE))</f>
        <v>:</v>
      </c>
      <c r="CF59" s="556" t="str">
        <f>IF(VLOOKUP($E$59,[1]QUART!$A$2:$FA$300, 83, FALSE)="",":",VLOOKUP($E$59,[1]QUART!$A$2:$FA$300, 83, FALSE))</f>
        <v>:</v>
      </c>
      <c r="CG59" s="556" t="str">
        <f>IF(VLOOKUP($E$59,[1]QUART!$A$2:$FA$300, 84, FALSE)="",":",VLOOKUP($E$59,[1]QUART!$A$2:$FA$300, 84, FALSE))</f>
        <v>:</v>
      </c>
      <c r="CH59" s="556" t="str">
        <f>IF(VLOOKUP($E$59,[1]QUART!$A$2:$FA$300, 85, FALSE)="",":",VLOOKUP($E$59,[1]QUART!$A$2:$FA$300, 85, FALSE))</f>
        <v>:</v>
      </c>
      <c r="CI59" s="556" t="str">
        <f>IF(VLOOKUP($E$59,[1]QUART!$A$2:$FA$300, 86, FALSE)="",":",VLOOKUP($E$59,[1]QUART!$A$2:$FA$300, 86, FALSE))</f>
        <v>:</v>
      </c>
      <c r="CJ59" s="556" t="str">
        <f>IF(VLOOKUP($E$59,[1]QUART!$A$2:$FA$300, 87, FALSE)="",":",VLOOKUP($E$59,[1]QUART!$A$2:$FA$300, 87, FALSE))</f>
        <v>:</v>
      </c>
      <c r="CK59" s="556" t="str">
        <f>IF(VLOOKUP($E$59,[1]QUART!$A$2:$FA$300, 88, FALSE)="",":",VLOOKUP($E$59,[1]QUART!$A$2:$FA$300, 88, FALSE))</f>
        <v>:</v>
      </c>
      <c r="CL59" s="556" t="str">
        <f>IF(VLOOKUP($E$59,[1]QUART!$A$2:$FA$300, 89, FALSE)="",":",VLOOKUP($E$59,[1]QUART!$A$2:$FA$300, 89, FALSE))</f>
        <v>:</v>
      </c>
      <c r="CM59" s="556" t="str">
        <f>IF(VLOOKUP($E$59,[1]QUART!$A$2:$FA$300, 90, FALSE)="",":",VLOOKUP($E$59,[1]QUART!$A$2:$FA$300, 90, FALSE))</f>
        <v>:</v>
      </c>
      <c r="CN59" s="556" t="str">
        <f>IF(VLOOKUP($E$59,[1]QUART!$A$2:$FA$300, 91, FALSE)="",":",VLOOKUP($E$59,[1]QUART!$A$2:$FA$300, 91, FALSE))</f>
        <v>:</v>
      </c>
      <c r="CO59" s="556" t="str">
        <f>IF(VLOOKUP($E$59,[1]QUART!$A$2:$FA$300, 92, FALSE)="",":",VLOOKUP($E$59,[1]QUART!$A$2:$FA$300, 92, FALSE))</f>
        <v>:</v>
      </c>
      <c r="CP59" s="556" t="str">
        <f>IF(VLOOKUP($E$59,[1]QUART!$A$2:$FA$300, 93, FALSE)="",":",VLOOKUP($E$59,[1]QUART!$A$2:$FA$300, 93, FALSE))</f>
        <v>:</v>
      </c>
      <c r="CQ59" s="556" t="str">
        <f>IF(VLOOKUP($E$59,[1]QUART!$A$2:$FA$300, 94, FALSE)="",":",VLOOKUP($E$59,[1]QUART!$A$2:$FA$300, 94, FALSE))</f>
        <v>:</v>
      </c>
      <c r="CR59" s="556" t="str">
        <f>IF(VLOOKUP($E$59,[1]QUART!$A$2:$FA$300, 95, FALSE)="",":",VLOOKUP($E$59,[1]QUART!$A$2:$FA$300, 95, FALSE))</f>
        <v>:</v>
      </c>
      <c r="CS59" s="556" t="str">
        <f>IF(VLOOKUP($E$59,[1]QUART!$A$2:$FA$300, 96, FALSE)="",":",VLOOKUP($E$59,[1]QUART!$A$2:$FA$300, 96, FALSE))</f>
        <v>:</v>
      </c>
      <c r="CT59" s="556" t="str">
        <f>IF(VLOOKUP($E$59,[1]QUART!$A$2:$FA$300, 97, FALSE)="",":",VLOOKUP($E$59,[1]QUART!$A$2:$FA$300, 97, FALSE))</f>
        <v>:</v>
      </c>
      <c r="CU59" s="556" t="str">
        <f>IF(VLOOKUP($E$59,[1]QUART!$A$2:$FA$300, 98, FALSE)="",":",VLOOKUP($E$59,[1]QUART!$A$2:$FA$300, 98, FALSE))</f>
        <v>:</v>
      </c>
      <c r="CV59" s="556" t="str">
        <f>IF(VLOOKUP($E$59,[1]QUART!$A$2:$FA$300, 99, FALSE)="",":",VLOOKUP($E$59,[1]QUART!$A$2:$FA$300, 99, FALSE))</f>
        <v>:</v>
      </c>
      <c r="CW59" s="556" t="str">
        <f>IF(VLOOKUP($E$59,[1]QUART!$A$2:$FA$300, 100, FALSE)="",":",VLOOKUP($E$59,[1]QUART!$A$2:$FA$300, 100, FALSE))</f>
        <v>:</v>
      </c>
      <c r="CX59" s="556" t="str">
        <f>IF(VLOOKUP($E$59,[1]QUART!$A$2:$FA$300, 101, FALSE)="",":",VLOOKUP($E$59,[1]QUART!$A$2:$FA$300, 101, FALSE))</f>
        <v>:</v>
      </c>
      <c r="CY59" s="556" t="str">
        <f>IF(VLOOKUP($E$59,[1]QUART!$A$2:$FA$300, 102, FALSE)="",":",VLOOKUP($E$59,[1]QUART!$A$2:$FA$300, 102, FALSE))</f>
        <v>:</v>
      </c>
      <c r="CZ59" s="556" t="str">
        <f>IF(VLOOKUP($E$59,[1]QUART!$A$2:$FA$300, 103, FALSE)="",":",VLOOKUP($E$59,[1]QUART!$A$2:$FA$300, 103, FALSE))</f>
        <v>:</v>
      </c>
      <c r="DA59" s="556" t="str">
        <f>IF(VLOOKUP($E$59,[1]QUART!$A$2:$FA$300, 104, FALSE)="",":",VLOOKUP($E$59,[1]QUART!$A$2:$FA$300, 104, FALSE))</f>
        <v>:</v>
      </c>
      <c r="DB59" s="556" t="str">
        <f>IF(VLOOKUP($E$59,[1]QUART!$A$2:$FA$300, 105, FALSE)="",":",VLOOKUP($E$59,[1]QUART!$A$2:$FA$300, 105, FALSE))</f>
        <v>:</v>
      </c>
      <c r="DC59" s="556" t="str">
        <f>IF(VLOOKUP($E$59,[1]QUART!$A$2:$FA$300, 106, FALSE)="",":",VLOOKUP($E$59,[1]QUART!$A$2:$FA$300, 106, FALSE))</f>
        <v>:</v>
      </c>
    </row>
    <row r="60" spans="1:107">
      <c r="A60" s="546"/>
      <c r="B60" s="546"/>
      <c r="C60" s="547"/>
      <c r="D60" s="12" t="s">
        <v>363</v>
      </c>
      <c r="E60" s="13">
        <v>127</v>
      </c>
      <c r="F60" s="14" t="str">
        <f>VLOOKUP($E$60,[1]QUART!$A$2:$FA$300, 3, FALSE)</f>
        <v>127  Domestic demand including change in inventories and net acquisition of valuables</v>
      </c>
      <c r="G60" s="556" t="str">
        <f>IF(VLOOKUP($E$60,[1]QUART!$A$2:$FA$300, 6, FALSE)="",":",VLOOKUP($E$60,[1]QUART!$A$2:$FA$300, 6, FALSE))</f>
        <v>:</v>
      </c>
      <c r="H60" s="556" t="str">
        <f>IF(VLOOKUP($E$60,[1]QUART!$A$2:$FA$300, 7, FALSE)="",":",VLOOKUP($E$60,[1]QUART!$A$2:$FA$300, 7, FALSE))</f>
        <v>:</v>
      </c>
      <c r="I60" s="556" t="str">
        <f>IF(VLOOKUP($E$60,[1]QUART!$A$2:$FA$300, 8, FALSE)="",":",VLOOKUP($E$60,[1]QUART!$A$2:$FA$300, 8, FALSE))</f>
        <v>:</v>
      </c>
      <c r="J60" s="556" t="str">
        <f>IF(VLOOKUP($E$60,[1]QUART!$A$2:$FA$300, 9, FALSE)="",":",VLOOKUP($E$60,[1]QUART!$A$2:$FA$300, 9, FALSE))</f>
        <v>:</v>
      </c>
      <c r="K60" s="556" t="str">
        <f>IF(VLOOKUP($E$60,[1]QUART!$A$2:$FA$300, 10, FALSE)="",":",VLOOKUP($E$60,[1]QUART!$A$2:$FA$300, 10, FALSE))</f>
        <v>:</v>
      </c>
      <c r="L60" s="556" t="str">
        <f>IF(VLOOKUP($E$60,[1]QUART!$A$2:$FA$300, 11, FALSE)="",":",VLOOKUP($E$60,[1]QUART!$A$2:$FA$300, 11, FALSE))</f>
        <v>:</v>
      </c>
      <c r="M60" s="556" t="str">
        <f>IF(VLOOKUP($E$60,[1]QUART!$A$2:$FA$300, 12, FALSE)="",":",VLOOKUP($E$60,[1]QUART!$A$2:$FA$300, 12, FALSE))</f>
        <v>:</v>
      </c>
      <c r="N60" s="556" t="str">
        <f>IF(VLOOKUP($E$60,[1]QUART!$A$2:$FA$300, 13, FALSE)="",":",VLOOKUP($E$60,[1]QUART!$A$2:$FA$300, 13, FALSE))</f>
        <v>:</v>
      </c>
      <c r="O60" s="556" t="str">
        <f>IF(VLOOKUP($E$60,[1]QUART!$A$2:$FA$300, 14, FALSE)="",":",VLOOKUP($E$60,[1]QUART!$A$2:$FA$300, 14, FALSE))</f>
        <v>:</v>
      </c>
      <c r="P60" s="556" t="str">
        <f>IF(VLOOKUP($E$60,[1]QUART!$A$2:$FA$300, 15, FALSE)="",":",VLOOKUP($E$60,[1]QUART!$A$2:$FA$300, 15, FALSE))</f>
        <v>:</v>
      </c>
      <c r="Q60" s="556" t="str">
        <f>IF(VLOOKUP($E$60,[1]QUART!$A$2:$FA$300, 16, FALSE)="",":",VLOOKUP($E$60,[1]QUART!$A$2:$FA$300, 16, FALSE))</f>
        <v>:</v>
      </c>
      <c r="R60" s="556" t="str">
        <f>IF(VLOOKUP($E$60,[1]QUART!$A$2:$FA$300, 17, FALSE)="",":",VLOOKUP($E$60,[1]QUART!$A$2:$FA$300, 17, FALSE))</f>
        <v>:</v>
      </c>
      <c r="S60" s="556" t="str">
        <f>IF(VLOOKUP($E$60,[1]QUART!$A$2:$FA$300, 18, FALSE)="",":",VLOOKUP($E$60,[1]QUART!$A$2:$FA$300, 18, FALSE))</f>
        <v>:</v>
      </c>
      <c r="T60" s="556" t="str">
        <f>IF(VLOOKUP($E$60,[1]QUART!$A$2:$FA$300, 19, FALSE)="",":",VLOOKUP($E$60,[1]QUART!$A$2:$FA$300, 19, FALSE))</f>
        <v>:</v>
      </c>
      <c r="U60" s="556" t="str">
        <f>IF(VLOOKUP($E$60,[1]QUART!$A$2:$FA$300, 20, FALSE)="",":",VLOOKUP($E$60,[1]QUART!$A$2:$FA$300, 20, FALSE))</f>
        <v>:</v>
      </c>
      <c r="V60" s="556" t="str">
        <f>IF(VLOOKUP($E$60,[1]QUART!$A$2:$FA$300, 21, FALSE)="",":",VLOOKUP($E$60,[1]QUART!$A$2:$FA$300, 21, FALSE))</f>
        <v>:</v>
      </c>
      <c r="W60" s="556" t="str">
        <f>IF(VLOOKUP($E$60,[1]QUART!$A$2:$FA$300, 22, FALSE)="",":",VLOOKUP($E$60,[1]QUART!$A$2:$FA$300, 22, FALSE))</f>
        <v>:</v>
      </c>
      <c r="X60" s="556" t="str">
        <f>IF(VLOOKUP($E$60,[1]QUART!$A$2:$FA$300, 23, FALSE)="",":",VLOOKUP($E$60,[1]QUART!$A$2:$FA$300, 23, FALSE))</f>
        <v>:</v>
      </c>
      <c r="Y60" s="556" t="str">
        <f>IF(VLOOKUP($E$60,[1]QUART!$A$2:$FA$300, 24, FALSE)="",":",VLOOKUP($E$60,[1]QUART!$A$2:$FA$300, 24, FALSE))</f>
        <v>:</v>
      </c>
      <c r="Z60" s="556" t="str">
        <f>IF(VLOOKUP($E$60,[1]QUART!$A$2:$FA$300, 25, FALSE)="",":",VLOOKUP($E$60,[1]QUART!$A$2:$FA$300, 25, FALSE))</f>
        <v>:</v>
      </c>
      <c r="AA60" s="556" t="str">
        <f>IF(VLOOKUP($E$60,[1]QUART!$A$2:$FA$300, 26, FALSE)="",":",VLOOKUP($E$60,[1]QUART!$A$2:$FA$300, 26, FALSE))</f>
        <v>:</v>
      </c>
      <c r="AB60" s="556" t="str">
        <f>IF(VLOOKUP($E$60,[1]QUART!$A$2:$FA$300, 27, FALSE)="",":",VLOOKUP($E$60,[1]QUART!$A$2:$FA$300, 27, FALSE))</f>
        <v>:</v>
      </c>
      <c r="AC60" s="556" t="str">
        <f>IF(VLOOKUP($E$60,[1]QUART!$A$2:$FA$300, 28, FALSE)="",":",VLOOKUP($E$60,[1]QUART!$A$2:$FA$300, 28, FALSE))</f>
        <v>:</v>
      </c>
      <c r="AD60" s="556" t="str">
        <f>IF(VLOOKUP($E$60,[1]QUART!$A$2:$FA$300, 29, FALSE)="",":",VLOOKUP($E$60,[1]QUART!$A$2:$FA$300, 29, FALSE))</f>
        <v>:</v>
      </c>
      <c r="AE60" s="556" t="str">
        <f>IF(VLOOKUP($E$60,[1]QUART!$A$2:$FA$300, 30, FALSE)="",":",VLOOKUP($E$60,[1]QUART!$A$2:$FA$300, 30, FALSE))</f>
        <v>:</v>
      </c>
      <c r="AF60" s="556" t="str">
        <f>IF(VLOOKUP($E$60,[1]QUART!$A$2:$FA$300, 31, FALSE)="",":",VLOOKUP($E$60,[1]QUART!$A$2:$FA$300, 31, FALSE))</f>
        <v>:</v>
      </c>
      <c r="AG60" s="556" t="str">
        <f>IF(VLOOKUP($E$60,[1]QUART!$A$2:$FA$300, 32, FALSE)="",":",VLOOKUP($E$60,[1]QUART!$A$2:$FA$300, 32, FALSE))</f>
        <v>:</v>
      </c>
      <c r="AH60" s="556" t="str">
        <f>IF(VLOOKUP($E$60,[1]QUART!$A$2:$FA$300, 33, FALSE)="",":",VLOOKUP($E$60,[1]QUART!$A$2:$FA$300, 33, FALSE))</f>
        <v>:</v>
      </c>
      <c r="AI60" s="556" t="str">
        <f>IF(VLOOKUP($E$60,[1]QUART!$A$2:$FA$300, 34, FALSE)="",":",VLOOKUP($E$60,[1]QUART!$A$2:$FA$300, 34, FALSE))</f>
        <v>:</v>
      </c>
      <c r="AJ60" s="556" t="str">
        <f>IF(VLOOKUP($E$60,[1]QUART!$A$2:$FA$300, 35, FALSE)="",":",VLOOKUP($E$60,[1]QUART!$A$2:$FA$300, 35, FALSE))</f>
        <v>:</v>
      </c>
      <c r="AK60" s="556" t="str">
        <f>IF(VLOOKUP($E$60,[1]QUART!$A$2:$FA$300, 36, FALSE)="",":",VLOOKUP($E$60,[1]QUART!$A$2:$FA$300, 36, FALSE))</f>
        <v>:</v>
      </c>
      <c r="AL60" s="556" t="str">
        <f>IF(VLOOKUP($E$60,[1]QUART!$A$2:$FA$300, 37, FALSE)="",":",VLOOKUP($E$60,[1]QUART!$A$2:$FA$300, 37, FALSE))</f>
        <v>:</v>
      </c>
      <c r="AM60" s="556" t="str">
        <f>IF(VLOOKUP($E$60,[1]QUART!$A$2:$FA$300, 38, FALSE)="",":",VLOOKUP($E$60,[1]QUART!$A$2:$FA$300, 38, FALSE))</f>
        <v>:</v>
      </c>
      <c r="AN60" s="556" t="str">
        <f>IF(VLOOKUP($E$60,[1]QUART!$A$2:$FA$300, 39, FALSE)="",":",VLOOKUP($E$60,[1]QUART!$A$2:$FA$300, 39, FALSE))</f>
        <v>:</v>
      </c>
      <c r="AO60" s="556" t="str">
        <f>IF(VLOOKUP($E$60,[1]QUART!$A$2:$FA$300, 40, FALSE)="",":",VLOOKUP($E$60,[1]QUART!$A$2:$FA$300, 40, FALSE))</f>
        <v>:</v>
      </c>
      <c r="AP60" s="556" t="str">
        <f>IF(VLOOKUP($E$60,[1]QUART!$A$2:$FA$300, 41, FALSE)="",":",VLOOKUP($E$60,[1]QUART!$A$2:$FA$300, 41, FALSE))</f>
        <v>:</v>
      </c>
      <c r="AQ60" s="556" t="str">
        <f>IF(VLOOKUP($E$60,[1]QUART!$A$2:$FA$300, 42, FALSE)="",":",VLOOKUP($E$60,[1]QUART!$A$2:$FA$300, 42, FALSE))</f>
        <v>:</v>
      </c>
      <c r="AR60" s="556" t="str">
        <f>IF(VLOOKUP($E$60,[1]QUART!$A$2:$FA$300, 43, FALSE)="",":",VLOOKUP($E$60,[1]QUART!$A$2:$FA$300, 43, FALSE))</f>
        <v>:</v>
      </c>
      <c r="AS60" s="556" t="str">
        <f>IF(VLOOKUP($E$60,[1]QUART!$A$2:$FA$300, 44, FALSE)="",":",VLOOKUP($E$60,[1]QUART!$A$2:$FA$300, 44, FALSE))</f>
        <v>:</v>
      </c>
      <c r="AT60" s="556" t="str">
        <f>IF(VLOOKUP($E$60,[1]QUART!$A$2:$FA$300, 45, FALSE)="",":",VLOOKUP($E$60,[1]QUART!$A$2:$FA$300, 45, FALSE))</f>
        <v>:</v>
      </c>
      <c r="AU60" s="556" t="str">
        <f>IF(VLOOKUP($E$60,[1]QUART!$A$2:$FA$300, 46, FALSE)="",":",VLOOKUP($E$60,[1]QUART!$A$2:$FA$300, 46, FALSE))</f>
        <v>:</v>
      </c>
      <c r="AV60" s="556" t="str">
        <f>IF(VLOOKUP($E$60,[1]QUART!$A$2:$FA$300, 47, FALSE)="",":",VLOOKUP($E$60,[1]QUART!$A$2:$FA$300, 47, FALSE))</f>
        <v>:</v>
      </c>
      <c r="AW60" s="556" t="str">
        <f>IF(VLOOKUP($E$60,[1]QUART!$A$2:$FA$300, 48, FALSE)="",":",VLOOKUP($E$60,[1]QUART!$A$2:$FA$300, 48, FALSE))</f>
        <v>:</v>
      </c>
      <c r="AX60" s="556" t="str">
        <f>IF(VLOOKUP($E$60,[1]QUART!$A$2:$FA$300, 49, FALSE)="",":",VLOOKUP($E$60,[1]QUART!$A$2:$FA$300, 49, FALSE))</f>
        <v>:</v>
      </c>
      <c r="AY60" s="556" t="str">
        <f>IF(VLOOKUP($E$60,[1]QUART!$A$2:$FA$300, 50, FALSE)="",":",VLOOKUP($E$60,[1]QUART!$A$2:$FA$300, 50, FALSE))</f>
        <v>:</v>
      </c>
      <c r="AZ60" s="556" t="str">
        <f>IF(VLOOKUP($E$60,[1]QUART!$A$2:$FA$300, 51, FALSE)="",":",VLOOKUP($E$60,[1]QUART!$A$2:$FA$300, 51, FALSE))</f>
        <v>:</v>
      </c>
      <c r="BA60" s="556" t="str">
        <f>IF(VLOOKUP($E$60,[1]QUART!$A$2:$FA$300, 52, FALSE)="",":",VLOOKUP($E$60,[1]QUART!$A$2:$FA$300, 52, FALSE))</f>
        <v>:</v>
      </c>
      <c r="BB60" s="556" t="str">
        <f>IF(VLOOKUP($E$60,[1]QUART!$A$2:$FA$300, 53, FALSE)="",":",VLOOKUP($E$60,[1]QUART!$A$2:$FA$300, 53, FALSE))</f>
        <v>:</v>
      </c>
      <c r="BC60" s="556" t="str">
        <f>IF(VLOOKUP($E$60,[1]QUART!$A$2:$FA$300, 54, FALSE)="",":",VLOOKUP($E$60,[1]QUART!$A$2:$FA$300, 54, FALSE))</f>
        <v>:</v>
      </c>
      <c r="BD60" s="556" t="str">
        <f>IF(VLOOKUP($E$60,[1]QUART!$A$2:$FA$300, 55, FALSE)="",":",VLOOKUP($E$60,[1]QUART!$A$2:$FA$300, 55, FALSE))</f>
        <v>:</v>
      </c>
      <c r="BE60" s="556" t="str">
        <f>IF(VLOOKUP($E$60,[1]QUART!$A$2:$FA$300, 56, FALSE)="",":",VLOOKUP($E$60,[1]QUART!$A$2:$FA$300, 56, FALSE))</f>
        <v>:</v>
      </c>
      <c r="BF60" s="556" t="str">
        <f>IF(VLOOKUP($E$60,[1]QUART!$A$2:$FA$300, 57, FALSE)="",":",VLOOKUP($E$60,[1]QUART!$A$2:$FA$300, 57, FALSE))</f>
        <v>:</v>
      </c>
      <c r="BG60" s="556" t="str">
        <f>IF(VLOOKUP($E$60,[1]QUART!$A$2:$FA$300, 58, FALSE)="",":",VLOOKUP($E$60,[1]QUART!$A$2:$FA$300, 58, FALSE))</f>
        <v>:</v>
      </c>
      <c r="BH60" s="556" t="str">
        <f>IF(VLOOKUP($E$60,[1]QUART!$A$2:$FA$300, 59, FALSE)="",":",VLOOKUP($E$60,[1]QUART!$A$2:$FA$300, 59, FALSE))</f>
        <v>:</v>
      </c>
      <c r="BI60" s="556" t="str">
        <f>IF(VLOOKUP($E$60,[1]QUART!$A$2:$FA$300, 60, FALSE)="",":",VLOOKUP($E$60,[1]QUART!$A$2:$FA$300, 60, FALSE))</f>
        <v>:</v>
      </c>
      <c r="BJ60" s="556" t="str">
        <f>IF(VLOOKUP($E$60,[1]QUART!$A$2:$FA$300, 61, FALSE)="",":",VLOOKUP($E$60,[1]QUART!$A$2:$FA$300, 61, FALSE))</f>
        <v>:</v>
      </c>
      <c r="BK60" s="556" t="str">
        <f>IF(VLOOKUP($E$60,[1]QUART!$A$2:$FA$300, 62, FALSE)="",":",VLOOKUP($E$60,[1]QUART!$A$2:$FA$300, 62, FALSE))</f>
        <v>:</v>
      </c>
      <c r="BL60" s="556" t="str">
        <f>IF(VLOOKUP($E$60,[1]QUART!$A$2:$FA$300, 63, FALSE)="",":",VLOOKUP($E$60,[1]QUART!$A$2:$FA$300, 63, FALSE))</f>
        <v>:</v>
      </c>
      <c r="BM60" s="556" t="str">
        <f>IF(VLOOKUP($E$60,[1]QUART!$A$2:$FA$300, 64, FALSE)="",":",VLOOKUP($E$60,[1]QUART!$A$2:$FA$300, 64, FALSE))</f>
        <v>:</v>
      </c>
      <c r="BN60" s="556" t="str">
        <f>IF(VLOOKUP($E$60,[1]QUART!$A$2:$FA$300, 65, FALSE)="",":",VLOOKUP($E$60,[1]QUART!$A$2:$FA$300, 65, FALSE))</f>
        <v>:</v>
      </c>
      <c r="BO60" s="556" t="str">
        <f>IF(VLOOKUP($E$60,[1]QUART!$A$2:$FA$300, 66, FALSE)="",":",VLOOKUP($E$60,[1]QUART!$A$2:$FA$300, 66, FALSE))</f>
        <v>:</v>
      </c>
      <c r="BP60" s="556" t="str">
        <f>IF(VLOOKUP($E$60,[1]QUART!$A$2:$FA$300, 67, FALSE)="",":",VLOOKUP($E$60,[1]QUART!$A$2:$FA$300, 67, FALSE))</f>
        <v>:</v>
      </c>
      <c r="BQ60" s="556" t="str">
        <f>IF(VLOOKUP($E$60,[1]QUART!$A$2:$FA$300, 68, FALSE)="",":",VLOOKUP($E$60,[1]QUART!$A$2:$FA$300, 68, FALSE))</f>
        <v>:</v>
      </c>
      <c r="BR60" s="556" t="str">
        <f>IF(VLOOKUP($E$60,[1]QUART!$A$2:$FA$300, 69, FALSE)="",":",VLOOKUP($E$60,[1]QUART!$A$2:$FA$300, 69, FALSE))</f>
        <v>:</v>
      </c>
      <c r="BS60" s="556" t="str">
        <f>IF(VLOOKUP($E$60,[1]QUART!$A$2:$FA$300, 70, FALSE)="",":",VLOOKUP($E$60,[1]QUART!$A$2:$FA$300, 70, FALSE))</f>
        <v>:</v>
      </c>
      <c r="BT60" s="556" t="str">
        <f>IF(VLOOKUP($E$60,[1]QUART!$A$2:$FA$300, 71, FALSE)="",":",VLOOKUP($E$60,[1]QUART!$A$2:$FA$300, 71, FALSE))</f>
        <v>:</v>
      </c>
      <c r="BU60" s="556" t="str">
        <f>IF(VLOOKUP($E$60,[1]QUART!$A$2:$FA$300, 72, FALSE)="",":",VLOOKUP($E$60,[1]QUART!$A$2:$FA$300, 72, FALSE))</f>
        <v>:</v>
      </c>
      <c r="BV60" s="556" t="str">
        <f>IF(VLOOKUP($E$60,[1]QUART!$A$2:$FA$300, 73, FALSE)="",":",VLOOKUP($E$60,[1]QUART!$A$2:$FA$300, 73, FALSE))</f>
        <v>:</v>
      </c>
      <c r="BW60" s="556" t="str">
        <f>IF(VLOOKUP($E$60,[1]QUART!$A$2:$FA$300, 74, FALSE)="",":",VLOOKUP($E$60,[1]QUART!$A$2:$FA$300, 74, FALSE))</f>
        <v>:</v>
      </c>
      <c r="BX60" s="556" t="str">
        <f>IF(VLOOKUP($E$60,[1]QUART!$A$2:$FA$300, 75, FALSE)="",":",VLOOKUP($E$60,[1]QUART!$A$2:$FA$300, 75, FALSE))</f>
        <v>:</v>
      </c>
      <c r="BY60" s="556" t="str">
        <f>IF(VLOOKUP($E$60,[1]QUART!$A$2:$FA$300, 76, FALSE)="",":",VLOOKUP($E$60,[1]QUART!$A$2:$FA$300, 76, FALSE))</f>
        <v>:</v>
      </c>
      <c r="BZ60" s="556" t="str">
        <f>IF(VLOOKUP($E$60,[1]QUART!$A$2:$FA$300, 77, FALSE)="",":",VLOOKUP($E$60,[1]QUART!$A$2:$FA$300, 77, FALSE))</f>
        <v>:</v>
      </c>
      <c r="CA60" s="556" t="str">
        <f>IF(VLOOKUP($E$60,[1]QUART!$A$2:$FA$300, 78, FALSE)="",":",VLOOKUP($E$60,[1]QUART!$A$2:$FA$300, 78, FALSE))</f>
        <v>:</v>
      </c>
      <c r="CB60" s="556" t="str">
        <f>IF(VLOOKUP($E$60,[1]QUART!$A$2:$FA$300, 79, FALSE)="",":",VLOOKUP($E$60,[1]QUART!$A$2:$FA$300, 79, FALSE))</f>
        <v>:</v>
      </c>
      <c r="CC60" s="556" t="str">
        <f>IF(VLOOKUP($E$60,[1]QUART!$A$2:$FA$300, 80, FALSE)="",":",VLOOKUP($E$60,[1]QUART!$A$2:$FA$300, 80, FALSE))</f>
        <v>:</v>
      </c>
      <c r="CD60" s="556" t="str">
        <f>IF(VLOOKUP($E$60,[1]QUART!$A$2:$FA$300, 81, FALSE)="",":",VLOOKUP($E$60,[1]QUART!$A$2:$FA$300, 81, FALSE))</f>
        <v>:</v>
      </c>
      <c r="CE60" s="556" t="str">
        <f>IF(VLOOKUP($E$60,[1]QUART!$A$2:$FA$300, 82, FALSE)="",":",VLOOKUP($E$60,[1]QUART!$A$2:$FA$300, 82, FALSE))</f>
        <v>:</v>
      </c>
      <c r="CF60" s="556" t="str">
        <f>IF(VLOOKUP($E$60,[1]QUART!$A$2:$FA$300, 83, FALSE)="",":",VLOOKUP($E$60,[1]QUART!$A$2:$FA$300, 83, FALSE))</f>
        <v>:</v>
      </c>
      <c r="CG60" s="556" t="str">
        <f>IF(VLOOKUP($E$60,[1]QUART!$A$2:$FA$300, 84, FALSE)="",":",VLOOKUP($E$60,[1]QUART!$A$2:$FA$300, 84, FALSE))</f>
        <v>:</v>
      </c>
      <c r="CH60" s="556" t="str">
        <f>IF(VLOOKUP($E$60,[1]QUART!$A$2:$FA$300, 85, FALSE)="",":",VLOOKUP($E$60,[1]QUART!$A$2:$FA$300, 85, FALSE))</f>
        <v>:</v>
      </c>
      <c r="CI60" s="556" t="str">
        <f>IF(VLOOKUP($E$60,[1]QUART!$A$2:$FA$300, 86, FALSE)="",":",VLOOKUP($E$60,[1]QUART!$A$2:$FA$300, 86, FALSE))</f>
        <v>:</v>
      </c>
      <c r="CJ60" s="556" t="str">
        <f>IF(VLOOKUP($E$60,[1]QUART!$A$2:$FA$300, 87, FALSE)="",":",VLOOKUP($E$60,[1]QUART!$A$2:$FA$300, 87, FALSE))</f>
        <v>:</v>
      </c>
      <c r="CK60" s="556" t="str">
        <f>IF(VLOOKUP($E$60,[1]QUART!$A$2:$FA$300, 88, FALSE)="",":",VLOOKUP($E$60,[1]QUART!$A$2:$FA$300, 88, FALSE))</f>
        <v>:</v>
      </c>
      <c r="CL60" s="556" t="str">
        <f>IF(VLOOKUP($E$60,[1]QUART!$A$2:$FA$300, 89, FALSE)="",":",VLOOKUP($E$60,[1]QUART!$A$2:$FA$300, 89, FALSE))</f>
        <v>:</v>
      </c>
      <c r="CM60" s="556" t="str">
        <f>IF(VLOOKUP($E$60,[1]QUART!$A$2:$FA$300, 90, FALSE)="",":",VLOOKUP($E$60,[1]QUART!$A$2:$FA$300, 90, FALSE))</f>
        <v>:</v>
      </c>
      <c r="CN60" s="556" t="str">
        <f>IF(VLOOKUP($E$60,[1]QUART!$A$2:$FA$300, 91, FALSE)="",":",VLOOKUP($E$60,[1]QUART!$A$2:$FA$300, 91, FALSE))</f>
        <v>:</v>
      </c>
      <c r="CO60" s="556" t="str">
        <f>IF(VLOOKUP($E$60,[1]QUART!$A$2:$FA$300, 92, FALSE)="",":",VLOOKUP($E$60,[1]QUART!$A$2:$FA$300, 92, FALSE))</f>
        <v>:</v>
      </c>
      <c r="CP60" s="556" t="str">
        <f>IF(VLOOKUP($E$60,[1]QUART!$A$2:$FA$300, 93, FALSE)="",":",VLOOKUP($E$60,[1]QUART!$A$2:$FA$300, 93, FALSE))</f>
        <v>:</v>
      </c>
      <c r="CQ60" s="556" t="str">
        <f>IF(VLOOKUP($E$60,[1]QUART!$A$2:$FA$300, 94, FALSE)="",":",VLOOKUP($E$60,[1]QUART!$A$2:$FA$300, 94, FALSE))</f>
        <v>:</v>
      </c>
      <c r="CR60" s="556" t="str">
        <f>IF(VLOOKUP($E$60,[1]QUART!$A$2:$FA$300, 95, FALSE)="",":",VLOOKUP($E$60,[1]QUART!$A$2:$FA$300, 95, FALSE))</f>
        <v>:</v>
      </c>
      <c r="CS60" s="556" t="str">
        <f>IF(VLOOKUP($E$60,[1]QUART!$A$2:$FA$300, 96, FALSE)="",":",VLOOKUP($E$60,[1]QUART!$A$2:$FA$300, 96, FALSE))</f>
        <v>:</v>
      </c>
      <c r="CT60" s="556" t="str">
        <f>IF(VLOOKUP($E$60,[1]QUART!$A$2:$FA$300, 97, FALSE)="",":",VLOOKUP($E$60,[1]QUART!$A$2:$FA$300, 97, FALSE))</f>
        <v>:</v>
      </c>
      <c r="CU60" s="556" t="str">
        <f>IF(VLOOKUP($E$60,[1]QUART!$A$2:$FA$300, 98, FALSE)="",":",VLOOKUP($E$60,[1]QUART!$A$2:$FA$300, 98, FALSE))</f>
        <v>:</v>
      </c>
      <c r="CV60" s="556" t="str">
        <f>IF(VLOOKUP($E$60,[1]QUART!$A$2:$FA$300, 99, FALSE)="",":",VLOOKUP($E$60,[1]QUART!$A$2:$FA$300, 99, FALSE))</f>
        <v>:</v>
      </c>
      <c r="CW60" s="556" t="str">
        <f>IF(VLOOKUP($E$60,[1]QUART!$A$2:$FA$300, 100, FALSE)="",":",VLOOKUP($E$60,[1]QUART!$A$2:$FA$300, 100, FALSE))</f>
        <v>:</v>
      </c>
      <c r="CX60" s="556" t="str">
        <f>IF(VLOOKUP($E$60,[1]QUART!$A$2:$FA$300, 101, FALSE)="",":",VLOOKUP($E$60,[1]QUART!$A$2:$FA$300, 101, FALSE))</f>
        <v>:</v>
      </c>
      <c r="CY60" s="556" t="str">
        <f>IF(VLOOKUP($E$60,[1]QUART!$A$2:$FA$300, 102, FALSE)="",":",VLOOKUP($E$60,[1]QUART!$A$2:$FA$300, 102, FALSE))</f>
        <v>:</v>
      </c>
      <c r="CZ60" s="556" t="str">
        <f>IF(VLOOKUP($E$60,[1]QUART!$A$2:$FA$300, 103, FALSE)="",":",VLOOKUP($E$60,[1]QUART!$A$2:$FA$300, 103, FALSE))</f>
        <v>:</v>
      </c>
      <c r="DA60" s="556" t="str">
        <f>IF(VLOOKUP($E$60,[1]QUART!$A$2:$FA$300, 104, FALSE)="",":",VLOOKUP($E$60,[1]QUART!$A$2:$FA$300, 104, FALSE))</f>
        <v>:</v>
      </c>
      <c r="DB60" s="556" t="str">
        <f>IF(VLOOKUP($E$60,[1]QUART!$A$2:$FA$300, 105, FALSE)="",":",VLOOKUP($E$60,[1]QUART!$A$2:$FA$300, 105, FALSE))</f>
        <v>:</v>
      </c>
      <c r="DC60" s="556" t="str">
        <f>IF(VLOOKUP($E$60,[1]QUART!$A$2:$FA$300, 106, FALSE)="",":",VLOOKUP($E$60,[1]QUART!$A$2:$FA$300, 106, FALSE))</f>
        <v>:</v>
      </c>
    </row>
    <row r="61" spans="1:107">
      <c r="A61" s="546"/>
      <c r="B61" s="546"/>
      <c r="C61" s="547"/>
      <c r="D61" s="12" t="s">
        <v>363</v>
      </c>
      <c r="E61" s="13">
        <v>128</v>
      </c>
      <c r="F61" s="14" t="str">
        <f>VLOOKUP($E$61,[1]QUART!$A$2:$FA$300, 3, FALSE)</f>
        <v xml:space="preserve">128  Final demand                                                                    </v>
      </c>
      <c r="G61" s="556" t="str">
        <f>IF(VLOOKUP($E$61,[1]QUART!$A$2:$FA$300, 6, FALSE)="",":",VLOOKUP($E$61,[1]QUART!$A$2:$FA$300, 6, FALSE))</f>
        <v>:</v>
      </c>
      <c r="H61" s="556" t="str">
        <f>IF(VLOOKUP($E$61,[1]QUART!$A$2:$FA$300, 7, FALSE)="",":",VLOOKUP($E$61,[1]QUART!$A$2:$FA$300, 7, FALSE))</f>
        <v>:</v>
      </c>
      <c r="I61" s="556" t="str">
        <f>IF(VLOOKUP($E$61,[1]QUART!$A$2:$FA$300, 8, FALSE)="",":",VLOOKUP($E$61,[1]QUART!$A$2:$FA$300, 8, FALSE))</f>
        <v>:</v>
      </c>
      <c r="J61" s="556" t="str">
        <f>IF(VLOOKUP($E$61,[1]QUART!$A$2:$FA$300, 9, FALSE)="",":",VLOOKUP($E$61,[1]QUART!$A$2:$FA$300, 9, FALSE))</f>
        <v>:</v>
      </c>
      <c r="K61" s="556" t="str">
        <f>IF(VLOOKUP($E$61,[1]QUART!$A$2:$FA$300, 10, FALSE)="",":",VLOOKUP($E$61,[1]QUART!$A$2:$FA$300, 10, FALSE))</f>
        <v>:</v>
      </c>
      <c r="L61" s="556" t="str">
        <f>IF(VLOOKUP($E$61,[1]QUART!$A$2:$FA$300, 11, FALSE)="",":",VLOOKUP($E$61,[1]QUART!$A$2:$FA$300, 11, FALSE))</f>
        <v>:</v>
      </c>
      <c r="M61" s="556" t="str">
        <f>IF(VLOOKUP($E$61,[1]QUART!$A$2:$FA$300, 12, FALSE)="",":",VLOOKUP($E$61,[1]QUART!$A$2:$FA$300, 12, FALSE))</f>
        <v>:</v>
      </c>
      <c r="N61" s="556" t="str">
        <f>IF(VLOOKUP($E$61,[1]QUART!$A$2:$FA$300, 13, FALSE)="",":",VLOOKUP($E$61,[1]QUART!$A$2:$FA$300, 13, FALSE))</f>
        <v>:</v>
      </c>
      <c r="O61" s="556" t="str">
        <f>IF(VLOOKUP($E$61,[1]QUART!$A$2:$FA$300, 14, FALSE)="",":",VLOOKUP($E$61,[1]QUART!$A$2:$FA$300, 14, FALSE))</f>
        <v>:</v>
      </c>
      <c r="P61" s="556" t="str">
        <f>IF(VLOOKUP($E$61,[1]QUART!$A$2:$FA$300, 15, FALSE)="",":",VLOOKUP($E$61,[1]QUART!$A$2:$FA$300, 15, FALSE))</f>
        <v>:</v>
      </c>
      <c r="Q61" s="556" t="str">
        <f>IF(VLOOKUP($E$61,[1]QUART!$A$2:$FA$300, 16, FALSE)="",":",VLOOKUP($E$61,[1]QUART!$A$2:$FA$300, 16, FALSE))</f>
        <v>:</v>
      </c>
      <c r="R61" s="556" t="str">
        <f>IF(VLOOKUP($E$61,[1]QUART!$A$2:$FA$300, 17, FALSE)="",":",VLOOKUP($E$61,[1]QUART!$A$2:$FA$300, 17, FALSE))</f>
        <v>:</v>
      </c>
      <c r="S61" s="556" t="str">
        <f>IF(VLOOKUP($E$61,[1]QUART!$A$2:$FA$300, 18, FALSE)="",":",VLOOKUP($E$61,[1]QUART!$A$2:$FA$300, 18, FALSE))</f>
        <v>:</v>
      </c>
      <c r="T61" s="556" t="str">
        <f>IF(VLOOKUP($E$61,[1]QUART!$A$2:$FA$300, 19, FALSE)="",":",VLOOKUP($E$61,[1]QUART!$A$2:$FA$300, 19, FALSE))</f>
        <v>:</v>
      </c>
      <c r="U61" s="556" t="str">
        <f>IF(VLOOKUP($E$61,[1]QUART!$A$2:$FA$300, 20, FALSE)="",":",VLOOKUP($E$61,[1]QUART!$A$2:$FA$300, 20, FALSE))</f>
        <v>:</v>
      </c>
      <c r="V61" s="556" t="str">
        <f>IF(VLOOKUP($E$61,[1]QUART!$A$2:$FA$300, 21, FALSE)="",":",VLOOKUP($E$61,[1]QUART!$A$2:$FA$300, 21, FALSE))</f>
        <v>:</v>
      </c>
      <c r="W61" s="556" t="str">
        <f>IF(VLOOKUP($E$61,[1]QUART!$A$2:$FA$300, 22, FALSE)="",":",VLOOKUP($E$61,[1]QUART!$A$2:$FA$300, 22, FALSE))</f>
        <v>:</v>
      </c>
      <c r="X61" s="556" t="str">
        <f>IF(VLOOKUP($E$61,[1]QUART!$A$2:$FA$300, 23, FALSE)="",":",VLOOKUP($E$61,[1]QUART!$A$2:$FA$300, 23, FALSE))</f>
        <v>:</v>
      </c>
      <c r="Y61" s="556" t="str">
        <f>IF(VLOOKUP($E$61,[1]QUART!$A$2:$FA$300, 24, FALSE)="",":",VLOOKUP($E$61,[1]QUART!$A$2:$FA$300, 24, FALSE))</f>
        <v>:</v>
      </c>
      <c r="Z61" s="556" t="str">
        <f>IF(VLOOKUP($E$61,[1]QUART!$A$2:$FA$300, 25, FALSE)="",":",VLOOKUP($E$61,[1]QUART!$A$2:$FA$300, 25, FALSE))</f>
        <v>:</v>
      </c>
      <c r="AA61" s="556" t="str">
        <f>IF(VLOOKUP($E$61,[1]QUART!$A$2:$FA$300, 26, FALSE)="",":",VLOOKUP($E$61,[1]QUART!$A$2:$FA$300, 26, FALSE))</f>
        <v>:</v>
      </c>
      <c r="AB61" s="556" t="str">
        <f>IF(VLOOKUP($E$61,[1]QUART!$A$2:$FA$300, 27, FALSE)="",":",VLOOKUP($E$61,[1]QUART!$A$2:$FA$300, 27, FALSE))</f>
        <v>:</v>
      </c>
      <c r="AC61" s="556" t="str">
        <f>IF(VLOOKUP($E$61,[1]QUART!$A$2:$FA$300, 28, FALSE)="",":",VLOOKUP($E$61,[1]QUART!$A$2:$FA$300, 28, FALSE))</f>
        <v>:</v>
      </c>
      <c r="AD61" s="556" t="str">
        <f>IF(VLOOKUP($E$61,[1]QUART!$A$2:$FA$300, 29, FALSE)="",":",VLOOKUP($E$61,[1]QUART!$A$2:$FA$300, 29, FALSE))</f>
        <v>:</v>
      </c>
      <c r="AE61" s="556" t="str">
        <f>IF(VLOOKUP($E$61,[1]QUART!$A$2:$FA$300, 30, FALSE)="",":",VLOOKUP($E$61,[1]QUART!$A$2:$FA$300, 30, FALSE))</f>
        <v>:</v>
      </c>
      <c r="AF61" s="556" t="str">
        <f>IF(VLOOKUP($E$61,[1]QUART!$A$2:$FA$300, 31, FALSE)="",":",VLOOKUP($E$61,[1]QUART!$A$2:$FA$300, 31, FALSE))</f>
        <v>:</v>
      </c>
      <c r="AG61" s="556" t="str">
        <f>IF(VLOOKUP($E$61,[1]QUART!$A$2:$FA$300, 32, FALSE)="",":",VLOOKUP($E$61,[1]QUART!$A$2:$FA$300, 32, FALSE))</f>
        <v>:</v>
      </c>
      <c r="AH61" s="556" t="str">
        <f>IF(VLOOKUP($E$61,[1]QUART!$A$2:$FA$300, 33, FALSE)="",":",VLOOKUP($E$61,[1]QUART!$A$2:$FA$300, 33, FALSE))</f>
        <v>:</v>
      </c>
      <c r="AI61" s="556" t="str">
        <f>IF(VLOOKUP($E$61,[1]QUART!$A$2:$FA$300, 34, FALSE)="",":",VLOOKUP($E$61,[1]QUART!$A$2:$FA$300, 34, FALSE))</f>
        <v>:</v>
      </c>
      <c r="AJ61" s="556" t="str">
        <f>IF(VLOOKUP($E$61,[1]QUART!$A$2:$FA$300, 35, FALSE)="",":",VLOOKUP($E$61,[1]QUART!$A$2:$FA$300, 35, FALSE))</f>
        <v>:</v>
      </c>
      <c r="AK61" s="556" t="str">
        <f>IF(VLOOKUP($E$61,[1]QUART!$A$2:$FA$300, 36, FALSE)="",":",VLOOKUP($E$61,[1]QUART!$A$2:$FA$300, 36, FALSE))</f>
        <v>:</v>
      </c>
      <c r="AL61" s="556" t="str">
        <f>IF(VLOOKUP($E$61,[1]QUART!$A$2:$FA$300, 37, FALSE)="",":",VLOOKUP($E$61,[1]QUART!$A$2:$FA$300, 37, FALSE))</f>
        <v>:</v>
      </c>
      <c r="AM61" s="556" t="str">
        <f>IF(VLOOKUP($E$61,[1]QUART!$A$2:$FA$300, 38, FALSE)="",":",VLOOKUP($E$61,[1]QUART!$A$2:$FA$300, 38, FALSE))</f>
        <v>:</v>
      </c>
      <c r="AN61" s="556" t="str">
        <f>IF(VLOOKUP($E$61,[1]QUART!$A$2:$FA$300, 39, FALSE)="",":",VLOOKUP($E$61,[1]QUART!$A$2:$FA$300, 39, FALSE))</f>
        <v>:</v>
      </c>
      <c r="AO61" s="556" t="str">
        <f>IF(VLOOKUP($E$61,[1]QUART!$A$2:$FA$300, 40, FALSE)="",":",VLOOKUP($E$61,[1]QUART!$A$2:$FA$300, 40, FALSE))</f>
        <v>:</v>
      </c>
      <c r="AP61" s="556" t="str">
        <f>IF(VLOOKUP($E$61,[1]QUART!$A$2:$FA$300, 41, FALSE)="",":",VLOOKUP($E$61,[1]QUART!$A$2:$FA$300, 41, FALSE))</f>
        <v>:</v>
      </c>
      <c r="AQ61" s="556" t="str">
        <f>IF(VLOOKUP($E$61,[1]QUART!$A$2:$FA$300, 42, FALSE)="",":",VLOOKUP($E$61,[1]QUART!$A$2:$FA$300, 42, FALSE))</f>
        <v>:</v>
      </c>
      <c r="AR61" s="556" t="str">
        <f>IF(VLOOKUP($E$61,[1]QUART!$A$2:$FA$300, 43, FALSE)="",":",VLOOKUP($E$61,[1]QUART!$A$2:$FA$300, 43, FALSE))</f>
        <v>:</v>
      </c>
      <c r="AS61" s="556" t="str">
        <f>IF(VLOOKUP($E$61,[1]QUART!$A$2:$FA$300, 44, FALSE)="",":",VLOOKUP($E$61,[1]QUART!$A$2:$FA$300, 44, FALSE))</f>
        <v>:</v>
      </c>
      <c r="AT61" s="556" t="str">
        <f>IF(VLOOKUP($E$61,[1]QUART!$A$2:$FA$300, 45, FALSE)="",":",VLOOKUP($E$61,[1]QUART!$A$2:$FA$300, 45, FALSE))</f>
        <v>:</v>
      </c>
      <c r="AU61" s="556" t="str">
        <f>IF(VLOOKUP($E$61,[1]QUART!$A$2:$FA$300, 46, FALSE)="",":",VLOOKUP($E$61,[1]QUART!$A$2:$FA$300, 46, FALSE))</f>
        <v>:</v>
      </c>
      <c r="AV61" s="556" t="str">
        <f>IF(VLOOKUP($E$61,[1]QUART!$A$2:$FA$300, 47, FALSE)="",":",VLOOKUP($E$61,[1]QUART!$A$2:$FA$300, 47, FALSE))</f>
        <v>:</v>
      </c>
      <c r="AW61" s="556" t="str">
        <f>IF(VLOOKUP($E$61,[1]QUART!$A$2:$FA$300, 48, FALSE)="",":",VLOOKUP($E$61,[1]QUART!$A$2:$FA$300, 48, FALSE))</f>
        <v>:</v>
      </c>
      <c r="AX61" s="556" t="str">
        <f>IF(VLOOKUP($E$61,[1]QUART!$A$2:$FA$300, 49, FALSE)="",":",VLOOKUP($E$61,[1]QUART!$A$2:$FA$300, 49, FALSE))</f>
        <v>:</v>
      </c>
      <c r="AY61" s="556" t="str">
        <f>IF(VLOOKUP($E$61,[1]QUART!$A$2:$FA$300, 50, FALSE)="",":",VLOOKUP($E$61,[1]QUART!$A$2:$FA$300, 50, FALSE))</f>
        <v>:</v>
      </c>
      <c r="AZ61" s="556" t="str">
        <f>IF(VLOOKUP($E$61,[1]QUART!$A$2:$FA$300, 51, FALSE)="",":",VLOOKUP($E$61,[1]QUART!$A$2:$FA$300, 51, FALSE))</f>
        <v>:</v>
      </c>
      <c r="BA61" s="556" t="str">
        <f>IF(VLOOKUP($E$61,[1]QUART!$A$2:$FA$300, 52, FALSE)="",":",VLOOKUP($E$61,[1]QUART!$A$2:$FA$300, 52, FALSE))</f>
        <v>:</v>
      </c>
      <c r="BB61" s="556" t="str">
        <f>IF(VLOOKUP($E$61,[1]QUART!$A$2:$FA$300, 53, FALSE)="",":",VLOOKUP($E$61,[1]QUART!$A$2:$FA$300, 53, FALSE))</f>
        <v>:</v>
      </c>
      <c r="BC61" s="556" t="str">
        <f>IF(VLOOKUP($E$61,[1]QUART!$A$2:$FA$300, 54, FALSE)="",":",VLOOKUP($E$61,[1]QUART!$A$2:$FA$300, 54, FALSE))</f>
        <v>:</v>
      </c>
      <c r="BD61" s="556" t="str">
        <f>IF(VLOOKUP($E$61,[1]QUART!$A$2:$FA$300, 55, FALSE)="",":",VLOOKUP($E$61,[1]QUART!$A$2:$FA$300, 55, FALSE))</f>
        <v>:</v>
      </c>
      <c r="BE61" s="556" t="str">
        <f>IF(VLOOKUP($E$61,[1]QUART!$A$2:$FA$300, 56, FALSE)="",":",VLOOKUP($E$61,[1]QUART!$A$2:$FA$300, 56, FALSE))</f>
        <v>:</v>
      </c>
      <c r="BF61" s="556" t="str">
        <f>IF(VLOOKUP($E$61,[1]QUART!$A$2:$FA$300, 57, FALSE)="",":",VLOOKUP($E$61,[1]QUART!$A$2:$FA$300, 57, FALSE))</f>
        <v>:</v>
      </c>
      <c r="BG61" s="556" t="str">
        <f>IF(VLOOKUP($E$61,[1]QUART!$A$2:$FA$300, 58, FALSE)="",":",VLOOKUP($E$61,[1]QUART!$A$2:$FA$300, 58, FALSE))</f>
        <v>:</v>
      </c>
      <c r="BH61" s="556" t="str">
        <f>IF(VLOOKUP($E$61,[1]QUART!$A$2:$FA$300, 59, FALSE)="",":",VLOOKUP($E$61,[1]QUART!$A$2:$FA$300, 59, FALSE))</f>
        <v>:</v>
      </c>
      <c r="BI61" s="556" t="str">
        <f>IF(VLOOKUP($E$61,[1]QUART!$A$2:$FA$300, 60, FALSE)="",":",VLOOKUP($E$61,[1]QUART!$A$2:$FA$300, 60, FALSE))</f>
        <v>:</v>
      </c>
      <c r="BJ61" s="556" t="str">
        <f>IF(VLOOKUP($E$61,[1]QUART!$A$2:$FA$300, 61, FALSE)="",":",VLOOKUP($E$61,[1]QUART!$A$2:$FA$300, 61, FALSE))</f>
        <v>:</v>
      </c>
      <c r="BK61" s="556" t="str">
        <f>IF(VLOOKUP($E$61,[1]QUART!$A$2:$FA$300, 62, FALSE)="",":",VLOOKUP($E$61,[1]QUART!$A$2:$FA$300, 62, FALSE))</f>
        <v>:</v>
      </c>
      <c r="BL61" s="556" t="str">
        <f>IF(VLOOKUP($E$61,[1]QUART!$A$2:$FA$300, 63, FALSE)="",":",VLOOKUP($E$61,[1]QUART!$A$2:$FA$300, 63, FALSE))</f>
        <v>:</v>
      </c>
      <c r="BM61" s="556" t="str">
        <f>IF(VLOOKUP($E$61,[1]QUART!$A$2:$FA$300, 64, FALSE)="",":",VLOOKUP($E$61,[1]QUART!$A$2:$FA$300, 64, FALSE))</f>
        <v>:</v>
      </c>
      <c r="BN61" s="556" t="str">
        <f>IF(VLOOKUP($E$61,[1]QUART!$A$2:$FA$300, 65, FALSE)="",":",VLOOKUP($E$61,[1]QUART!$A$2:$FA$300, 65, FALSE))</f>
        <v>:</v>
      </c>
      <c r="BO61" s="556" t="str">
        <f>IF(VLOOKUP($E$61,[1]QUART!$A$2:$FA$300, 66, FALSE)="",":",VLOOKUP($E$61,[1]QUART!$A$2:$FA$300, 66, FALSE))</f>
        <v>:</v>
      </c>
      <c r="BP61" s="556" t="str">
        <f>IF(VLOOKUP($E$61,[1]QUART!$A$2:$FA$300, 67, FALSE)="",":",VLOOKUP($E$61,[1]QUART!$A$2:$FA$300, 67, FALSE))</f>
        <v>:</v>
      </c>
      <c r="BQ61" s="556" t="str">
        <f>IF(VLOOKUP($E$61,[1]QUART!$A$2:$FA$300, 68, FALSE)="",":",VLOOKUP($E$61,[1]QUART!$A$2:$FA$300, 68, FALSE))</f>
        <v>:</v>
      </c>
      <c r="BR61" s="556" t="str">
        <f>IF(VLOOKUP($E$61,[1]QUART!$A$2:$FA$300, 69, FALSE)="",":",VLOOKUP($E$61,[1]QUART!$A$2:$FA$300, 69, FALSE))</f>
        <v>:</v>
      </c>
      <c r="BS61" s="556" t="str">
        <f>IF(VLOOKUP($E$61,[1]QUART!$A$2:$FA$300, 70, FALSE)="",":",VLOOKUP($E$61,[1]QUART!$A$2:$FA$300, 70, FALSE))</f>
        <v>:</v>
      </c>
      <c r="BT61" s="556" t="str">
        <f>IF(VLOOKUP($E$61,[1]QUART!$A$2:$FA$300, 71, FALSE)="",":",VLOOKUP($E$61,[1]QUART!$A$2:$FA$300, 71, FALSE))</f>
        <v>:</v>
      </c>
      <c r="BU61" s="556" t="str">
        <f>IF(VLOOKUP($E$61,[1]QUART!$A$2:$FA$300, 72, FALSE)="",":",VLOOKUP($E$61,[1]QUART!$A$2:$FA$300, 72, FALSE))</f>
        <v>:</v>
      </c>
      <c r="BV61" s="556" t="str">
        <f>IF(VLOOKUP($E$61,[1]QUART!$A$2:$FA$300, 73, FALSE)="",":",VLOOKUP($E$61,[1]QUART!$A$2:$FA$300, 73, FALSE))</f>
        <v>:</v>
      </c>
      <c r="BW61" s="556" t="str">
        <f>IF(VLOOKUP($E$61,[1]QUART!$A$2:$FA$300, 74, FALSE)="",":",VLOOKUP($E$61,[1]QUART!$A$2:$FA$300, 74, FALSE))</f>
        <v>:</v>
      </c>
      <c r="BX61" s="556" t="str">
        <f>IF(VLOOKUP($E$61,[1]QUART!$A$2:$FA$300, 75, FALSE)="",":",VLOOKUP($E$61,[1]QUART!$A$2:$FA$300, 75, FALSE))</f>
        <v>:</v>
      </c>
      <c r="BY61" s="556" t="str">
        <f>IF(VLOOKUP($E$61,[1]QUART!$A$2:$FA$300, 76, FALSE)="",":",VLOOKUP($E$61,[1]QUART!$A$2:$FA$300, 76, FALSE))</f>
        <v>:</v>
      </c>
      <c r="BZ61" s="556" t="str">
        <f>IF(VLOOKUP($E$61,[1]QUART!$A$2:$FA$300, 77, FALSE)="",":",VLOOKUP($E$61,[1]QUART!$A$2:$FA$300, 77, FALSE))</f>
        <v>:</v>
      </c>
      <c r="CA61" s="556" t="str">
        <f>IF(VLOOKUP($E$61,[1]QUART!$A$2:$FA$300, 78, FALSE)="",":",VLOOKUP($E$61,[1]QUART!$A$2:$FA$300, 78, FALSE))</f>
        <v>:</v>
      </c>
      <c r="CB61" s="556" t="str">
        <f>IF(VLOOKUP($E$61,[1]QUART!$A$2:$FA$300, 79, FALSE)="",":",VLOOKUP($E$61,[1]QUART!$A$2:$FA$300, 79, FALSE))</f>
        <v>:</v>
      </c>
      <c r="CC61" s="556" t="str">
        <f>IF(VLOOKUP($E$61,[1]QUART!$A$2:$FA$300, 80, FALSE)="",":",VLOOKUP($E$61,[1]QUART!$A$2:$FA$300, 80, FALSE))</f>
        <v>:</v>
      </c>
      <c r="CD61" s="556" t="str">
        <f>IF(VLOOKUP($E$61,[1]QUART!$A$2:$FA$300, 81, FALSE)="",":",VLOOKUP($E$61,[1]QUART!$A$2:$FA$300, 81, FALSE))</f>
        <v>:</v>
      </c>
      <c r="CE61" s="556" t="str">
        <f>IF(VLOOKUP($E$61,[1]QUART!$A$2:$FA$300, 82, FALSE)="",":",VLOOKUP($E$61,[1]QUART!$A$2:$FA$300, 82, FALSE))</f>
        <v>:</v>
      </c>
      <c r="CF61" s="556" t="str">
        <f>IF(VLOOKUP($E$61,[1]QUART!$A$2:$FA$300, 83, FALSE)="",":",VLOOKUP($E$61,[1]QUART!$A$2:$FA$300, 83, FALSE))</f>
        <v>:</v>
      </c>
      <c r="CG61" s="556" t="str">
        <f>IF(VLOOKUP($E$61,[1]QUART!$A$2:$FA$300, 84, FALSE)="",":",VLOOKUP($E$61,[1]QUART!$A$2:$FA$300, 84, FALSE))</f>
        <v>:</v>
      </c>
      <c r="CH61" s="556" t="str">
        <f>IF(VLOOKUP($E$61,[1]QUART!$A$2:$FA$300, 85, FALSE)="",":",VLOOKUP($E$61,[1]QUART!$A$2:$FA$300, 85, FALSE))</f>
        <v>:</v>
      </c>
      <c r="CI61" s="556" t="str">
        <f>IF(VLOOKUP($E$61,[1]QUART!$A$2:$FA$300, 86, FALSE)="",":",VLOOKUP($E$61,[1]QUART!$A$2:$FA$300, 86, FALSE))</f>
        <v>:</v>
      </c>
      <c r="CJ61" s="556" t="str">
        <f>IF(VLOOKUP($E$61,[1]QUART!$A$2:$FA$300, 87, FALSE)="",":",VLOOKUP($E$61,[1]QUART!$A$2:$FA$300, 87, FALSE))</f>
        <v>:</v>
      </c>
      <c r="CK61" s="556" t="str">
        <f>IF(VLOOKUP($E$61,[1]QUART!$A$2:$FA$300, 88, FALSE)="",":",VLOOKUP($E$61,[1]QUART!$A$2:$FA$300, 88, FALSE))</f>
        <v>:</v>
      </c>
      <c r="CL61" s="556" t="str">
        <f>IF(VLOOKUP($E$61,[1]QUART!$A$2:$FA$300, 89, FALSE)="",":",VLOOKUP($E$61,[1]QUART!$A$2:$FA$300, 89, FALSE))</f>
        <v>:</v>
      </c>
      <c r="CM61" s="556" t="str">
        <f>IF(VLOOKUP($E$61,[1]QUART!$A$2:$FA$300, 90, FALSE)="",":",VLOOKUP($E$61,[1]QUART!$A$2:$FA$300, 90, FALSE))</f>
        <v>:</v>
      </c>
      <c r="CN61" s="556" t="str">
        <f>IF(VLOOKUP($E$61,[1]QUART!$A$2:$FA$300, 91, FALSE)="",":",VLOOKUP($E$61,[1]QUART!$A$2:$FA$300, 91, FALSE))</f>
        <v>:</v>
      </c>
      <c r="CO61" s="556" t="str">
        <f>IF(VLOOKUP($E$61,[1]QUART!$A$2:$FA$300, 92, FALSE)="",":",VLOOKUP($E$61,[1]QUART!$A$2:$FA$300, 92, FALSE))</f>
        <v>:</v>
      </c>
      <c r="CP61" s="556" t="str">
        <f>IF(VLOOKUP($E$61,[1]QUART!$A$2:$FA$300, 93, FALSE)="",":",VLOOKUP($E$61,[1]QUART!$A$2:$FA$300, 93, FALSE))</f>
        <v>:</v>
      </c>
      <c r="CQ61" s="556" t="str">
        <f>IF(VLOOKUP($E$61,[1]QUART!$A$2:$FA$300, 94, FALSE)="",":",VLOOKUP($E$61,[1]QUART!$A$2:$FA$300, 94, FALSE))</f>
        <v>:</v>
      </c>
      <c r="CR61" s="556" t="str">
        <f>IF(VLOOKUP($E$61,[1]QUART!$A$2:$FA$300, 95, FALSE)="",":",VLOOKUP($E$61,[1]QUART!$A$2:$FA$300, 95, FALSE))</f>
        <v>:</v>
      </c>
      <c r="CS61" s="556" t="str">
        <f>IF(VLOOKUP($E$61,[1]QUART!$A$2:$FA$300, 96, FALSE)="",":",VLOOKUP($E$61,[1]QUART!$A$2:$FA$300, 96, FALSE))</f>
        <v>:</v>
      </c>
      <c r="CT61" s="556" t="str">
        <f>IF(VLOOKUP($E$61,[1]QUART!$A$2:$FA$300, 97, FALSE)="",":",VLOOKUP($E$61,[1]QUART!$A$2:$FA$300, 97, FALSE))</f>
        <v>:</v>
      </c>
      <c r="CU61" s="556" t="str">
        <f>IF(VLOOKUP($E$61,[1]QUART!$A$2:$FA$300, 98, FALSE)="",":",VLOOKUP($E$61,[1]QUART!$A$2:$FA$300, 98, FALSE))</f>
        <v>:</v>
      </c>
      <c r="CV61" s="556" t="str">
        <f>IF(VLOOKUP($E$61,[1]QUART!$A$2:$FA$300, 99, FALSE)="",":",VLOOKUP($E$61,[1]QUART!$A$2:$FA$300, 99, FALSE))</f>
        <v>:</v>
      </c>
      <c r="CW61" s="556" t="str">
        <f>IF(VLOOKUP($E$61,[1]QUART!$A$2:$FA$300, 100, FALSE)="",":",VLOOKUP($E$61,[1]QUART!$A$2:$FA$300, 100, FALSE))</f>
        <v>:</v>
      </c>
      <c r="CX61" s="556" t="str">
        <f>IF(VLOOKUP($E$61,[1]QUART!$A$2:$FA$300, 101, FALSE)="",":",VLOOKUP($E$61,[1]QUART!$A$2:$FA$300, 101, FALSE))</f>
        <v>:</v>
      </c>
      <c r="CY61" s="556" t="str">
        <f>IF(VLOOKUP($E$61,[1]QUART!$A$2:$FA$300, 102, FALSE)="",":",VLOOKUP($E$61,[1]QUART!$A$2:$FA$300, 102, FALSE))</f>
        <v>:</v>
      </c>
      <c r="CZ61" s="556" t="str">
        <f>IF(VLOOKUP($E$61,[1]QUART!$A$2:$FA$300, 103, FALSE)="",":",VLOOKUP($E$61,[1]QUART!$A$2:$FA$300, 103, FALSE))</f>
        <v>:</v>
      </c>
      <c r="DA61" s="556" t="str">
        <f>IF(VLOOKUP($E$61,[1]QUART!$A$2:$FA$300, 104, FALSE)="",":",VLOOKUP($E$61,[1]QUART!$A$2:$FA$300, 104, FALSE))</f>
        <v>:</v>
      </c>
      <c r="DB61" s="556" t="str">
        <f>IF(VLOOKUP($E$61,[1]QUART!$A$2:$FA$300, 105, FALSE)="",":",VLOOKUP($E$61,[1]QUART!$A$2:$FA$300, 105, FALSE))</f>
        <v>:</v>
      </c>
      <c r="DC61" s="556" t="str">
        <f>IF(VLOOKUP($E$61,[1]QUART!$A$2:$FA$300, 106, FALSE)="",":",VLOOKUP($E$61,[1]QUART!$A$2:$FA$300, 106, FALSE))</f>
        <v>:</v>
      </c>
    </row>
    <row r="62" spans="1:107">
      <c r="A62" s="546"/>
      <c r="B62" s="546"/>
      <c r="C62" s="547"/>
      <c r="D62" s="12" t="s">
        <v>363</v>
      </c>
      <c r="E62" s="13">
        <v>129</v>
      </c>
      <c r="F62" s="14" t="str">
        <f>VLOOKUP($E$62,[1]QUART!$A$2:$FA$300, 3, FALSE)</f>
        <v>129 GFCF equipment</v>
      </c>
      <c r="G62" s="556" t="str">
        <f>IF(VLOOKUP($E$62,[1]QUART!$A$2:$FA$300, 6, FALSE)="",":",VLOOKUP($E$62,[1]QUART!$A$2:$FA$300, 6, FALSE))</f>
        <v>:</v>
      </c>
      <c r="H62" s="556" t="str">
        <f>IF(VLOOKUP($E$62,[1]QUART!$A$2:$FA$300, 7, FALSE)="",":",VLOOKUP($E$62,[1]QUART!$A$2:$FA$300, 7, FALSE))</f>
        <v>:</v>
      </c>
      <c r="I62" s="556" t="str">
        <f>IF(VLOOKUP($E$62,[1]QUART!$A$2:$FA$300, 8, FALSE)="",":",VLOOKUP($E$62,[1]QUART!$A$2:$FA$300, 8, FALSE))</f>
        <v>:</v>
      </c>
      <c r="J62" s="556" t="str">
        <f>IF(VLOOKUP($E$62,[1]QUART!$A$2:$FA$300, 9, FALSE)="",":",VLOOKUP($E$62,[1]QUART!$A$2:$FA$300, 9, FALSE))</f>
        <v>:</v>
      </c>
      <c r="K62" s="556" t="str">
        <f>IF(VLOOKUP($E$62,[1]QUART!$A$2:$FA$300, 10, FALSE)="",":",VLOOKUP($E$62,[1]QUART!$A$2:$FA$300, 10, FALSE))</f>
        <v>:</v>
      </c>
      <c r="L62" s="556" t="str">
        <f>IF(VLOOKUP($E$62,[1]QUART!$A$2:$FA$300, 11, FALSE)="",":",VLOOKUP($E$62,[1]QUART!$A$2:$FA$300, 11, FALSE))</f>
        <v>:</v>
      </c>
      <c r="M62" s="556" t="str">
        <f>IF(VLOOKUP($E$62,[1]QUART!$A$2:$FA$300, 12, FALSE)="",":",VLOOKUP($E$62,[1]QUART!$A$2:$FA$300, 12, FALSE))</f>
        <v>:</v>
      </c>
      <c r="N62" s="556" t="str">
        <f>IF(VLOOKUP($E$62,[1]QUART!$A$2:$FA$300, 13, FALSE)="",":",VLOOKUP($E$62,[1]QUART!$A$2:$FA$300, 13, FALSE))</f>
        <v>:</v>
      </c>
      <c r="O62" s="556" t="str">
        <f>IF(VLOOKUP($E$62,[1]QUART!$A$2:$FA$300, 14, FALSE)="",":",VLOOKUP($E$62,[1]QUART!$A$2:$FA$300, 14, FALSE))</f>
        <v>:</v>
      </c>
      <c r="P62" s="556" t="str">
        <f>IF(VLOOKUP($E$62,[1]QUART!$A$2:$FA$300, 15, FALSE)="",":",VLOOKUP($E$62,[1]QUART!$A$2:$FA$300, 15, FALSE))</f>
        <v>:</v>
      </c>
      <c r="Q62" s="556" t="str">
        <f>IF(VLOOKUP($E$62,[1]QUART!$A$2:$FA$300, 16, FALSE)="",":",VLOOKUP($E$62,[1]QUART!$A$2:$FA$300, 16, FALSE))</f>
        <v>:</v>
      </c>
      <c r="R62" s="556" t="str">
        <f>IF(VLOOKUP($E$62,[1]QUART!$A$2:$FA$300, 17, FALSE)="",":",VLOOKUP($E$62,[1]QUART!$A$2:$FA$300, 17, FALSE))</f>
        <v>:</v>
      </c>
      <c r="S62" s="556" t="str">
        <f>IF(VLOOKUP($E$62,[1]QUART!$A$2:$FA$300, 18, FALSE)="",":",VLOOKUP($E$62,[1]QUART!$A$2:$FA$300, 18, FALSE))</f>
        <v>:</v>
      </c>
      <c r="T62" s="556" t="str">
        <f>IF(VLOOKUP($E$62,[1]QUART!$A$2:$FA$300, 19, FALSE)="",":",VLOOKUP($E$62,[1]QUART!$A$2:$FA$300, 19, FALSE))</f>
        <v>:</v>
      </c>
      <c r="U62" s="556" t="str">
        <f>IF(VLOOKUP($E$62,[1]QUART!$A$2:$FA$300, 20, FALSE)="",":",VLOOKUP($E$62,[1]QUART!$A$2:$FA$300, 20, FALSE))</f>
        <v>:</v>
      </c>
      <c r="V62" s="556" t="str">
        <f>IF(VLOOKUP($E$62,[1]QUART!$A$2:$FA$300, 21, FALSE)="",":",VLOOKUP($E$62,[1]QUART!$A$2:$FA$300, 21, FALSE))</f>
        <v>:</v>
      </c>
      <c r="W62" s="556" t="str">
        <f>IF(VLOOKUP($E$62,[1]QUART!$A$2:$FA$300, 22, FALSE)="",":",VLOOKUP($E$62,[1]QUART!$A$2:$FA$300, 22, FALSE))</f>
        <v>:</v>
      </c>
      <c r="X62" s="556" t="str">
        <f>IF(VLOOKUP($E$62,[1]QUART!$A$2:$FA$300, 23, FALSE)="",":",VLOOKUP($E$62,[1]QUART!$A$2:$FA$300, 23, FALSE))</f>
        <v>:</v>
      </c>
      <c r="Y62" s="556" t="str">
        <f>IF(VLOOKUP($E$62,[1]QUART!$A$2:$FA$300, 24, FALSE)="",":",VLOOKUP($E$62,[1]QUART!$A$2:$FA$300, 24, FALSE))</f>
        <v>:</v>
      </c>
      <c r="Z62" s="556" t="str">
        <f>IF(VLOOKUP($E$62,[1]QUART!$A$2:$FA$300, 25, FALSE)="",":",VLOOKUP($E$62,[1]QUART!$A$2:$FA$300, 25, FALSE))</f>
        <v>:</v>
      </c>
      <c r="AA62" s="556" t="str">
        <f>IF(VLOOKUP($E$62,[1]QUART!$A$2:$FA$300, 26, FALSE)="",":",VLOOKUP($E$62,[1]QUART!$A$2:$FA$300, 26, FALSE))</f>
        <v>:</v>
      </c>
      <c r="AB62" s="556" t="str">
        <f>IF(VLOOKUP($E$62,[1]QUART!$A$2:$FA$300, 27, FALSE)="",":",VLOOKUP($E$62,[1]QUART!$A$2:$FA$300, 27, FALSE))</f>
        <v>:</v>
      </c>
      <c r="AC62" s="556" t="str">
        <f>IF(VLOOKUP($E$62,[1]QUART!$A$2:$FA$300, 28, FALSE)="",":",VLOOKUP($E$62,[1]QUART!$A$2:$FA$300, 28, FALSE))</f>
        <v>:</v>
      </c>
      <c r="AD62" s="556" t="str">
        <f>IF(VLOOKUP($E$62,[1]QUART!$A$2:$FA$300, 29, FALSE)="",":",VLOOKUP($E$62,[1]QUART!$A$2:$FA$300, 29, FALSE))</f>
        <v>:</v>
      </c>
      <c r="AE62" s="556" t="str">
        <f>IF(VLOOKUP($E$62,[1]QUART!$A$2:$FA$300, 30, FALSE)="",":",VLOOKUP($E$62,[1]QUART!$A$2:$FA$300, 30, FALSE))</f>
        <v>:</v>
      </c>
      <c r="AF62" s="556" t="str">
        <f>IF(VLOOKUP($E$62,[1]QUART!$A$2:$FA$300, 31, FALSE)="",":",VLOOKUP($E$62,[1]QUART!$A$2:$FA$300, 31, FALSE))</f>
        <v>:</v>
      </c>
      <c r="AG62" s="556" t="str">
        <f>IF(VLOOKUP($E$62,[1]QUART!$A$2:$FA$300, 32, FALSE)="",":",VLOOKUP($E$62,[1]QUART!$A$2:$FA$300, 32, FALSE))</f>
        <v>:</v>
      </c>
      <c r="AH62" s="556" t="str">
        <f>IF(VLOOKUP($E$62,[1]QUART!$A$2:$FA$300, 33, FALSE)="",":",VLOOKUP($E$62,[1]QUART!$A$2:$FA$300, 33, FALSE))</f>
        <v>:</v>
      </c>
      <c r="AI62" s="556" t="str">
        <f>IF(VLOOKUP($E$62,[1]QUART!$A$2:$FA$300, 34, FALSE)="",":",VLOOKUP($E$62,[1]QUART!$A$2:$FA$300, 34, FALSE))</f>
        <v>:</v>
      </c>
      <c r="AJ62" s="556" t="str">
        <f>IF(VLOOKUP($E$62,[1]QUART!$A$2:$FA$300, 35, FALSE)="",":",VLOOKUP($E$62,[1]QUART!$A$2:$FA$300, 35, FALSE))</f>
        <v>:</v>
      </c>
      <c r="AK62" s="556" t="str">
        <f>IF(VLOOKUP($E$62,[1]QUART!$A$2:$FA$300, 36, FALSE)="",":",VLOOKUP($E$62,[1]QUART!$A$2:$FA$300, 36, FALSE))</f>
        <v>:</v>
      </c>
      <c r="AL62" s="556" t="str">
        <f>IF(VLOOKUP($E$62,[1]QUART!$A$2:$FA$300, 37, FALSE)="",":",VLOOKUP($E$62,[1]QUART!$A$2:$FA$300, 37, FALSE))</f>
        <v>:</v>
      </c>
      <c r="AM62" s="556" t="str">
        <f>IF(VLOOKUP($E$62,[1]QUART!$A$2:$FA$300, 38, FALSE)="",":",VLOOKUP($E$62,[1]QUART!$A$2:$FA$300, 38, FALSE))</f>
        <v>:</v>
      </c>
      <c r="AN62" s="556" t="str">
        <f>IF(VLOOKUP($E$62,[1]QUART!$A$2:$FA$300, 39, FALSE)="",":",VLOOKUP($E$62,[1]QUART!$A$2:$FA$300, 39, FALSE))</f>
        <v>:</v>
      </c>
      <c r="AO62" s="556" t="str">
        <f>IF(VLOOKUP($E$62,[1]QUART!$A$2:$FA$300, 40, FALSE)="",":",VLOOKUP($E$62,[1]QUART!$A$2:$FA$300, 40, FALSE))</f>
        <v>:</v>
      </c>
      <c r="AP62" s="556" t="str">
        <f>IF(VLOOKUP($E$62,[1]QUART!$A$2:$FA$300, 41, FALSE)="",":",VLOOKUP($E$62,[1]QUART!$A$2:$FA$300, 41, FALSE))</f>
        <v>:</v>
      </c>
      <c r="AQ62" s="556" t="str">
        <f>IF(VLOOKUP($E$62,[1]QUART!$A$2:$FA$300, 42, FALSE)="",":",VLOOKUP($E$62,[1]QUART!$A$2:$FA$300, 42, FALSE))</f>
        <v>:</v>
      </c>
      <c r="AR62" s="556" t="str">
        <f>IF(VLOOKUP($E$62,[1]QUART!$A$2:$FA$300, 43, FALSE)="",":",VLOOKUP($E$62,[1]QUART!$A$2:$FA$300, 43, FALSE))</f>
        <v>:</v>
      </c>
      <c r="AS62" s="556" t="str">
        <f>IF(VLOOKUP($E$62,[1]QUART!$A$2:$FA$300, 44, FALSE)="",":",VLOOKUP($E$62,[1]QUART!$A$2:$FA$300, 44, FALSE))</f>
        <v>:</v>
      </c>
      <c r="AT62" s="556" t="str">
        <f>IF(VLOOKUP($E$62,[1]QUART!$A$2:$FA$300, 45, FALSE)="",":",VLOOKUP($E$62,[1]QUART!$A$2:$FA$300, 45, FALSE))</f>
        <v>:</v>
      </c>
      <c r="AU62" s="556" t="str">
        <f>IF(VLOOKUP($E$62,[1]QUART!$A$2:$FA$300, 46, FALSE)="",":",VLOOKUP($E$62,[1]QUART!$A$2:$FA$300, 46, FALSE))</f>
        <v>:</v>
      </c>
      <c r="AV62" s="556" t="str">
        <f>IF(VLOOKUP($E$62,[1]QUART!$A$2:$FA$300, 47, FALSE)="",":",VLOOKUP($E$62,[1]QUART!$A$2:$FA$300, 47, FALSE))</f>
        <v>:</v>
      </c>
      <c r="AW62" s="556" t="str">
        <f>IF(VLOOKUP($E$62,[1]QUART!$A$2:$FA$300, 48, FALSE)="",":",VLOOKUP($E$62,[1]QUART!$A$2:$FA$300, 48, FALSE))</f>
        <v>:</v>
      </c>
      <c r="AX62" s="556" t="str">
        <f>IF(VLOOKUP($E$62,[1]QUART!$A$2:$FA$300, 49, FALSE)="",":",VLOOKUP($E$62,[1]QUART!$A$2:$FA$300, 49, FALSE))</f>
        <v>:</v>
      </c>
      <c r="AY62" s="556" t="str">
        <f>IF(VLOOKUP($E$62,[1]QUART!$A$2:$FA$300, 50, FALSE)="",":",VLOOKUP($E$62,[1]QUART!$A$2:$FA$300, 50, FALSE))</f>
        <v>:</v>
      </c>
      <c r="AZ62" s="556" t="str">
        <f>IF(VLOOKUP($E$62,[1]QUART!$A$2:$FA$300, 51, FALSE)="",":",VLOOKUP($E$62,[1]QUART!$A$2:$FA$300, 51, FALSE))</f>
        <v>:</v>
      </c>
      <c r="BA62" s="556" t="str">
        <f>IF(VLOOKUP($E$62,[1]QUART!$A$2:$FA$300, 52, FALSE)="",":",VLOOKUP($E$62,[1]QUART!$A$2:$FA$300, 52, FALSE))</f>
        <v>:</v>
      </c>
      <c r="BB62" s="556" t="str">
        <f>IF(VLOOKUP($E$62,[1]QUART!$A$2:$FA$300, 53, FALSE)="",":",VLOOKUP($E$62,[1]QUART!$A$2:$FA$300, 53, FALSE))</f>
        <v>:</v>
      </c>
      <c r="BC62" s="556" t="str">
        <f>IF(VLOOKUP($E$62,[1]QUART!$A$2:$FA$300, 54, FALSE)="",":",VLOOKUP($E$62,[1]QUART!$A$2:$FA$300, 54, FALSE))</f>
        <v>:</v>
      </c>
      <c r="BD62" s="556" t="str">
        <f>IF(VLOOKUP($E$62,[1]QUART!$A$2:$FA$300, 55, FALSE)="",":",VLOOKUP($E$62,[1]QUART!$A$2:$FA$300, 55, FALSE))</f>
        <v>:</v>
      </c>
      <c r="BE62" s="556" t="str">
        <f>IF(VLOOKUP($E$62,[1]QUART!$A$2:$FA$300, 56, FALSE)="",":",VLOOKUP($E$62,[1]QUART!$A$2:$FA$300, 56, FALSE))</f>
        <v>:</v>
      </c>
      <c r="BF62" s="556" t="str">
        <f>IF(VLOOKUP($E$62,[1]QUART!$A$2:$FA$300, 57, FALSE)="",":",VLOOKUP($E$62,[1]QUART!$A$2:$FA$300, 57, FALSE))</f>
        <v>:</v>
      </c>
      <c r="BG62" s="556" t="str">
        <f>IF(VLOOKUP($E$62,[1]QUART!$A$2:$FA$300, 58, FALSE)="",":",VLOOKUP($E$62,[1]QUART!$A$2:$FA$300, 58, FALSE))</f>
        <v>:</v>
      </c>
      <c r="BH62" s="556" t="str">
        <f>IF(VLOOKUP($E$62,[1]QUART!$A$2:$FA$300, 59, FALSE)="",":",VLOOKUP($E$62,[1]QUART!$A$2:$FA$300, 59, FALSE))</f>
        <v>:</v>
      </c>
      <c r="BI62" s="556" t="str">
        <f>IF(VLOOKUP($E$62,[1]QUART!$A$2:$FA$300, 60, FALSE)="",":",VLOOKUP($E$62,[1]QUART!$A$2:$FA$300, 60, FALSE))</f>
        <v>:</v>
      </c>
      <c r="BJ62" s="556" t="str">
        <f>IF(VLOOKUP($E$62,[1]QUART!$A$2:$FA$300, 61, FALSE)="",":",VLOOKUP($E$62,[1]QUART!$A$2:$FA$300, 61, FALSE))</f>
        <v>:</v>
      </c>
      <c r="BK62" s="556" t="str">
        <f>IF(VLOOKUP($E$62,[1]QUART!$A$2:$FA$300, 62, FALSE)="",":",VLOOKUP($E$62,[1]QUART!$A$2:$FA$300, 62, FALSE))</f>
        <v>:</v>
      </c>
      <c r="BL62" s="556" t="str">
        <f>IF(VLOOKUP($E$62,[1]QUART!$A$2:$FA$300, 63, FALSE)="",":",VLOOKUP($E$62,[1]QUART!$A$2:$FA$300, 63, FALSE))</f>
        <v>:</v>
      </c>
      <c r="BM62" s="556" t="str">
        <f>IF(VLOOKUP($E$62,[1]QUART!$A$2:$FA$300, 64, FALSE)="",":",VLOOKUP($E$62,[1]QUART!$A$2:$FA$300, 64, FALSE))</f>
        <v>:</v>
      </c>
      <c r="BN62" s="556" t="str">
        <f>IF(VLOOKUP($E$62,[1]QUART!$A$2:$FA$300, 65, FALSE)="",":",VLOOKUP($E$62,[1]QUART!$A$2:$FA$300, 65, FALSE))</f>
        <v>:</v>
      </c>
      <c r="BO62" s="556" t="str">
        <f>IF(VLOOKUP($E$62,[1]QUART!$A$2:$FA$300, 66, FALSE)="",":",VLOOKUP($E$62,[1]QUART!$A$2:$FA$300, 66, FALSE))</f>
        <v>:</v>
      </c>
      <c r="BP62" s="556" t="str">
        <f>IF(VLOOKUP($E$62,[1]QUART!$A$2:$FA$300, 67, FALSE)="",":",VLOOKUP($E$62,[1]QUART!$A$2:$FA$300, 67, FALSE))</f>
        <v>:</v>
      </c>
      <c r="BQ62" s="556" t="str">
        <f>IF(VLOOKUP($E$62,[1]QUART!$A$2:$FA$300, 68, FALSE)="",":",VLOOKUP($E$62,[1]QUART!$A$2:$FA$300, 68, FALSE))</f>
        <v>:</v>
      </c>
      <c r="BR62" s="556" t="str">
        <f>IF(VLOOKUP($E$62,[1]QUART!$A$2:$FA$300, 69, FALSE)="",":",VLOOKUP($E$62,[1]QUART!$A$2:$FA$300, 69, FALSE))</f>
        <v>:</v>
      </c>
      <c r="BS62" s="556" t="str">
        <f>IF(VLOOKUP($E$62,[1]QUART!$A$2:$FA$300, 70, FALSE)="",":",VLOOKUP($E$62,[1]QUART!$A$2:$FA$300, 70, FALSE))</f>
        <v>:</v>
      </c>
      <c r="BT62" s="556" t="str">
        <f>IF(VLOOKUP($E$62,[1]QUART!$A$2:$FA$300, 71, FALSE)="",":",VLOOKUP($E$62,[1]QUART!$A$2:$FA$300, 71, FALSE))</f>
        <v>:</v>
      </c>
      <c r="BU62" s="556" t="str">
        <f>IF(VLOOKUP($E$62,[1]QUART!$A$2:$FA$300, 72, FALSE)="",":",VLOOKUP($E$62,[1]QUART!$A$2:$FA$300, 72, FALSE))</f>
        <v>:</v>
      </c>
      <c r="BV62" s="556" t="str">
        <f>IF(VLOOKUP($E$62,[1]QUART!$A$2:$FA$300, 73, FALSE)="",":",VLOOKUP($E$62,[1]QUART!$A$2:$FA$300, 73, FALSE))</f>
        <v>:</v>
      </c>
      <c r="BW62" s="556" t="str">
        <f>IF(VLOOKUP($E$62,[1]QUART!$A$2:$FA$300, 74, FALSE)="",":",VLOOKUP($E$62,[1]QUART!$A$2:$FA$300, 74, FALSE))</f>
        <v>:</v>
      </c>
      <c r="BX62" s="556" t="str">
        <f>IF(VLOOKUP($E$62,[1]QUART!$A$2:$FA$300, 75, FALSE)="",":",VLOOKUP($E$62,[1]QUART!$A$2:$FA$300, 75, FALSE))</f>
        <v>:</v>
      </c>
      <c r="BY62" s="556" t="str">
        <f>IF(VLOOKUP($E$62,[1]QUART!$A$2:$FA$300, 76, FALSE)="",":",VLOOKUP($E$62,[1]QUART!$A$2:$FA$300, 76, FALSE))</f>
        <v>:</v>
      </c>
      <c r="BZ62" s="556" t="str">
        <f>IF(VLOOKUP($E$62,[1]QUART!$A$2:$FA$300, 77, FALSE)="",":",VLOOKUP($E$62,[1]QUART!$A$2:$FA$300, 77, FALSE))</f>
        <v>:</v>
      </c>
      <c r="CA62" s="556" t="str">
        <f>IF(VLOOKUP($E$62,[1]QUART!$A$2:$FA$300, 78, FALSE)="",":",VLOOKUP($E$62,[1]QUART!$A$2:$FA$300, 78, FALSE))</f>
        <v>:</v>
      </c>
      <c r="CB62" s="556" t="str">
        <f>IF(VLOOKUP($E$62,[1]QUART!$A$2:$FA$300, 79, FALSE)="",":",VLOOKUP($E$62,[1]QUART!$A$2:$FA$300, 79, FALSE))</f>
        <v>:</v>
      </c>
      <c r="CC62" s="556" t="str">
        <f>IF(VLOOKUP($E$62,[1]QUART!$A$2:$FA$300, 80, FALSE)="",":",VLOOKUP($E$62,[1]QUART!$A$2:$FA$300, 80, FALSE))</f>
        <v>:</v>
      </c>
      <c r="CD62" s="556" t="str">
        <f>IF(VLOOKUP($E$62,[1]QUART!$A$2:$FA$300, 81, FALSE)="",":",VLOOKUP($E$62,[1]QUART!$A$2:$FA$300, 81, FALSE))</f>
        <v>:</v>
      </c>
      <c r="CE62" s="556" t="str">
        <f>IF(VLOOKUP($E$62,[1]QUART!$A$2:$FA$300, 82, FALSE)="",":",VLOOKUP($E$62,[1]QUART!$A$2:$FA$300, 82, FALSE))</f>
        <v>:</v>
      </c>
      <c r="CF62" s="556" t="str">
        <f>IF(VLOOKUP($E$62,[1]QUART!$A$2:$FA$300, 83, FALSE)="",":",VLOOKUP($E$62,[1]QUART!$A$2:$FA$300, 83, FALSE))</f>
        <v>:</v>
      </c>
      <c r="CG62" s="556" t="str">
        <f>IF(VLOOKUP($E$62,[1]QUART!$A$2:$FA$300, 84, FALSE)="",":",VLOOKUP($E$62,[1]QUART!$A$2:$FA$300, 84, FALSE))</f>
        <v>:</v>
      </c>
      <c r="CH62" s="556" t="str">
        <f>IF(VLOOKUP($E$62,[1]QUART!$A$2:$FA$300, 85, FALSE)="",":",VLOOKUP($E$62,[1]QUART!$A$2:$FA$300, 85, FALSE))</f>
        <v>:</v>
      </c>
      <c r="CI62" s="556" t="str">
        <f>IF(VLOOKUP($E$62,[1]QUART!$A$2:$FA$300, 86, FALSE)="",":",VLOOKUP($E$62,[1]QUART!$A$2:$FA$300, 86, FALSE))</f>
        <v>:</v>
      </c>
      <c r="CJ62" s="556" t="str">
        <f>IF(VLOOKUP($E$62,[1]QUART!$A$2:$FA$300, 87, FALSE)="",":",VLOOKUP($E$62,[1]QUART!$A$2:$FA$300, 87, FALSE))</f>
        <v>:</v>
      </c>
      <c r="CK62" s="556" t="str">
        <f>IF(VLOOKUP($E$62,[1]QUART!$A$2:$FA$300, 88, FALSE)="",":",VLOOKUP($E$62,[1]QUART!$A$2:$FA$300, 88, FALSE))</f>
        <v>:</v>
      </c>
      <c r="CL62" s="556" t="str">
        <f>IF(VLOOKUP($E$62,[1]QUART!$A$2:$FA$300, 89, FALSE)="",":",VLOOKUP($E$62,[1]QUART!$A$2:$FA$300, 89, FALSE))</f>
        <v>:</v>
      </c>
      <c r="CM62" s="556" t="str">
        <f>IF(VLOOKUP($E$62,[1]QUART!$A$2:$FA$300, 90, FALSE)="",":",VLOOKUP($E$62,[1]QUART!$A$2:$FA$300, 90, FALSE))</f>
        <v>:</v>
      </c>
      <c r="CN62" s="556" t="str">
        <f>IF(VLOOKUP($E$62,[1]QUART!$A$2:$FA$300, 91, FALSE)="",":",VLOOKUP($E$62,[1]QUART!$A$2:$FA$300, 91, FALSE))</f>
        <v>:</v>
      </c>
      <c r="CO62" s="556" t="str">
        <f>IF(VLOOKUP($E$62,[1]QUART!$A$2:$FA$300, 92, FALSE)="",":",VLOOKUP($E$62,[1]QUART!$A$2:$FA$300, 92, FALSE))</f>
        <v>:</v>
      </c>
      <c r="CP62" s="556" t="str">
        <f>IF(VLOOKUP($E$62,[1]QUART!$A$2:$FA$300, 93, FALSE)="",":",VLOOKUP($E$62,[1]QUART!$A$2:$FA$300, 93, FALSE))</f>
        <v>:</v>
      </c>
      <c r="CQ62" s="556" t="str">
        <f>IF(VLOOKUP($E$62,[1]QUART!$A$2:$FA$300, 94, FALSE)="",":",VLOOKUP($E$62,[1]QUART!$A$2:$FA$300, 94, FALSE))</f>
        <v>:</v>
      </c>
      <c r="CR62" s="556" t="str">
        <f>IF(VLOOKUP($E$62,[1]QUART!$A$2:$FA$300, 95, FALSE)="",":",VLOOKUP($E$62,[1]QUART!$A$2:$FA$300, 95, FALSE))</f>
        <v>:</v>
      </c>
      <c r="CS62" s="556" t="str">
        <f>IF(VLOOKUP($E$62,[1]QUART!$A$2:$FA$300, 96, FALSE)="",":",VLOOKUP($E$62,[1]QUART!$A$2:$FA$300, 96, FALSE))</f>
        <v>:</v>
      </c>
      <c r="CT62" s="556" t="str">
        <f>IF(VLOOKUP($E$62,[1]QUART!$A$2:$FA$300, 97, FALSE)="",":",VLOOKUP($E$62,[1]QUART!$A$2:$FA$300, 97, FALSE))</f>
        <v>:</v>
      </c>
      <c r="CU62" s="556" t="str">
        <f>IF(VLOOKUP($E$62,[1]QUART!$A$2:$FA$300, 98, FALSE)="",":",VLOOKUP($E$62,[1]QUART!$A$2:$FA$300, 98, FALSE))</f>
        <v>:</v>
      </c>
      <c r="CV62" s="556" t="str">
        <f>IF(VLOOKUP($E$62,[1]QUART!$A$2:$FA$300, 99, FALSE)="",":",VLOOKUP($E$62,[1]QUART!$A$2:$FA$300, 99, FALSE))</f>
        <v>:</v>
      </c>
      <c r="CW62" s="556" t="str">
        <f>IF(VLOOKUP($E$62,[1]QUART!$A$2:$FA$300, 100, FALSE)="",":",VLOOKUP($E$62,[1]QUART!$A$2:$FA$300, 100, FALSE))</f>
        <v>:</v>
      </c>
      <c r="CX62" s="556" t="str">
        <f>IF(VLOOKUP($E$62,[1]QUART!$A$2:$FA$300, 101, FALSE)="",":",VLOOKUP($E$62,[1]QUART!$A$2:$FA$300, 101, FALSE))</f>
        <v>:</v>
      </c>
      <c r="CY62" s="556" t="str">
        <f>IF(VLOOKUP($E$62,[1]QUART!$A$2:$FA$300, 102, FALSE)="",":",VLOOKUP($E$62,[1]QUART!$A$2:$FA$300, 102, FALSE))</f>
        <v>:</v>
      </c>
      <c r="CZ62" s="556" t="str">
        <f>IF(VLOOKUP($E$62,[1]QUART!$A$2:$FA$300, 103, FALSE)="",":",VLOOKUP($E$62,[1]QUART!$A$2:$FA$300, 103, FALSE))</f>
        <v>:</v>
      </c>
      <c r="DA62" s="556" t="str">
        <f>IF(VLOOKUP($E$62,[1]QUART!$A$2:$FA$300, 104, FALSE)="",":",VLOOKUP($E$62,[1]QUART!$A$2:$FA$300, 104, FALSE))</f>
        <v>:</v>
      </c>
      <c r="DB62" s="556" t="str">
        <f>IF(VLOOKUP($E$62,[1]QUART!$A$2:$FA$300, 105, FALSE)="",":",VLOOKUP($E$62,[1]QUART!$A$2:$FA$300, 105, FALSE))</f>
        <v>:</v>
      </c>
      <c r="DC62" s="556" t="str">
        <f>IF(VLOOKUP($E$62,[1]QUART!$A$2:$FA$300, 106, FALSE)="",":",VLOOKUP($E$62,[1]QUART!$A$2:$FA$300, 106, FALSE))</f>
        <v>:</v>
      </c>
    </row>
    <row r="63" spans="1:107">
      <c r="A63" s="546"/>
      <c r="B63" s="546"/>
      <c r="C63" s="547"/>
      <c r="D63" s="12" t="s">
        <v>363</v>
      </c>
      <c r="E63" s="13">
        <v>130</v>
      </c>
      <c r="F63" s="14" t="str">
        <f>VLOOKUP($E$63,[1]QUART!$A$2:$FA$300, 3, FALSE)</f>
        <v>130 GFCF construction</v>
      </c>
      <c r="G63" s="556" t="str">
        <f>IF(VLOOKUP($E$63,[1]QUART!$A$2:$FA$300, 6, FALSE)="",":",VLOOKUP($E$63,[1]QUART!$A$2:$FA$300, 6, FALSE))</f>
        <v>:</v>
      </c>
      <c r="H63" s="556" t="str">
        <f>IF(VLOOKUP($E$63,[1]QUART!$A$2:$FA$300, 7, FALSE)="",":",VLOOKUP($E$63,[1]QUART!$A$2:$FA$300, 7, FALSE))</f>
        <v>:</v>
      </c>
      <c r="I63" s="556" t="str">
        <f>IF(VLOOKUP($E$63,[1]QUART!$A$2:$FA$300, 8, FALSE)="",":",VLOOKUP($E$63,[1]QUART!$A$2:$FA$300, 8, FALSE))</f>
        <v>:</v>
      </c>
      <c r="J63" s="556" t="str">
        <f>IF(VLOOKUP($E$63,[1]QUART!$A$2:$FA$300, 9, FALSE)="",":",VLOOKUP($E$63,[1]QUART!$A$2:$FA$300, 9, FALSE))</f>
        <v>:</v>
      </c>
      <c r="K63" s="556" t="str">
        <f>IF(VLOOKUP($E$63,[1]QUART!$A$2:$FA$300, 10, FALSE)="",":",VLOOKUP($E$63,[1]QUART!$A$2:$FA$300, 10, FALSE))</f>
        <v>:</v>
      </c>
      <c r="L63" s="556" t="str">
        <f>IF(VLOOKUP($E$63,[1]QUART!$A$2:$FA$300, 11, FALSE)="",":",VLOOKUP($E$63,[1]QUART!$A$2:$FA$300, 11, FALSE))</f>
        <v>:</v>
      </c>
      <c r="M63" s="556" t="str">
        <f>IF(VLOOKUP($E$63,[1]QUART!$A$2:$FA$300, 12, FALSE)="",":",VLOOKUP($E$63,[1]QUART!$A$2:$FA$300, 12, FALSE))</f>
        <v>:</v>
      </c>
      <c r="N63" s="556" t="str">
        <f>IF(VLOOKUP($E$63,[1]QUART!$A$2:$FA$300, 13, FALSE)="",":",VLOOKUP($E$63,[1]QUART!$A$2:$FA$300, 13, FALSE))</f>
        <v>:</v>
      </c>
      <c r="O63" s="556" t="str">
        <f>IF(VLOOKUP($E$63,[1]QUART!$A$2:$FA$300, 14, FALSE)="",":",VLOOKUP($E$63,[1]QUART!$A$2:$FA$300, 14, FALSE))</f>
        <v>:</v>
      </c>
      <c r="P63" s="556" t="str">
        <f>IF(VLOOKUP($E$63,[1]QUART!$A$2:$FA$300, 15, FALSE)="",":",VLOOKUP($E$63,[1]QUART!$A$2:$FA$300, 15, FALSE))</f>
        <v>:</v>
      </c>
      <c r="Q63" s="556" t="str">
        <f>IF(VLOOKUP($E$63,[1]QUART!$A$2:$FA$300, 16, FALSE)="",":",VLOOKUP($E$63,[1]QUART!$A$2:$FA$300, 16, FALSE))</f>
        <v>:</v>
      </c>
      <c r="R63" s="556" t="str">
        <f>IF(VLOOKUP($E$63,[1]QUART!$A$2:$FA$300, 17, FALSE)="",":",VLOOKUP($E$63,[1]QUART!$A$2:$FA$300, 17, FALSE))</f>
        <v>:</v>
      </c>
      <c r="S63" s="556" t="str">
        <f>IF(VLOOKUP($E$63,[1]QUART!$A$2:$FA$300, 18, FALSE)="",":",VLOOKUP($E$63,[1]QUART!$A$2:$FA$300, 18, FALSE))</f>
        <v>:</v>
      </c>
      <c r="T63" s="556" t="str">
        <f>IF(VLOOKUP($E$63,[1]QUART!$A$2:$FA$300, 19, FALSE)="",":",VLOOKUP($E$63,[1]QUART!$A$2:$FA$300, 19, FALSE))</f>
        <v>:</v>
      </c>
      <c r="U63" s="556" t="str">
        <f>IF(VLOOKUP($E$63,[1]QUART!$A$2:$FA$300, 20, FALSE)="",":",VLOOKUP($E$63,[1]QUART!$A$2:$FA$300, 20, FALSE))</f>
        <v>:</v>
      </c>
      <c r="V63" s="556" t="str">
        <f>IF(VLOOKUP($E$63,[1]QUART!$A$2:$FA$300, 21, FALSE)="",":",VLOOKUP($E$63,[1]QUART!$A$2:$FA$300, 21, FALSE))</f>
        <v>:</v>
      </c>
      <c r="W63" s="556" t="str">
        <f>IF(VLOOKUP($E$63,[1]QUART!$A$2:$FA$300, 22, FALSE)="",":",VLOOKUP($E$63,[1]QUART!$A$2:$FA$300, 22, FALSE))</f>
        <v>:</v>
      </c>
      <c r="X63" s="556" t="str">
        <f>IF(VLOOKUP($E$63,[1]QUART!$A$2:$FA$300, 23, FALSE)="",":",VLOOKUP($E$63,[1]QUART!$A$2:$FA$300, 23, FALSE))</f>
        <v>:</v>
      </c>
      <c r="Y63" s="556" t="str">
        <f>IF(VLOOKUP($E$63,[1]QUART!$A$2:$FA$300, 24, FALSE)="",":",VLOOKUP($E$63,[1]QUART!$A$2:$FA$300, 24, FALSE))</f>
        <v>:</v>
      </c>
      <c r="Z63" s="556" t="str">
        <f>IF(VLOOKUP($E$63,[1]QUART!$A$2:$FA$300, 25, FALSE)="",":",VLOOKUP($E$63,[1]QUART!$A$2:$FA$300, 25, FALSE))</f>
        <v>:</v>
      </c>
      <c r="AA63" s="556" t="str">
        <f>IF(VLOOKUP($E$63,[1]QUART!$A$2:$FA$300, 26, FALSE)="",":",VLOOKUP($E$63,[1]QUART!$A$2:$FA$300, 26, FALSE))</f>
        <v>:</v>
      </c>
      <c r="AB63" s="556" t="str">
        <f>IF(VLOOKUP($E$63,[1]QUART!$A$2:$FA$300, 27, FALSE)="",":",VLOOKUP($E$63,[1]QUART!$A$2:$FA$300, 27, FALSE))</f>
        <v>:</v>
      </c>
      <c r="AC63" s="556" t="str">
        <f>IF(VLOOKUP($E$63,[1]QUART!$A$2:$FA$300, 28, FALSE)="",":",VLOOKUP($E$63,[1]QUART!$A$2:$FA$300, 28, FALSE))</f>
        <v>:</v>
      </c>
      <c r="AD63" s="556" t="str">
        <f>IF(VLOOKUP($E$63,[1]QUART!$A$2:$FA$300, 29, FALSE)="",":",VLOOKUP($E$63,[1]QUART!$A$2:$FA$300, 29, FALSE))</f>
        <v>:</v>
      </c>
      <c r="AE63" s="556" t="str">
        <f>IF(VLOOKUP($E$63,[1]QUART!$A$2:$FA$300, 30, FALSE)="",":",VLOOKUP($E$63,[1]QUART!$A$2:$FA$300, 30, FALSE))</f>
        <v>:</v>
      </c>
      <c r="AF63" s="556" t="str">
        <f>IF(VLOOKUP($E$63,[1]QUART!$A$2:$FA$300, 31, FALSE)="",":",VLOOKUP($E$63,[1]QUART!$A$2:$FA$300, 31, FALSE))</f>
        <v>:</v>
      </c>
      <c r="AG63" s="556" t="str">
        <f>IF(VLOOKUP($E$63,[1]QUART!$A$2:$FA$300, 32, FALSE)="",":",VLOOKUP($E$63,[1]QUART!$A$2:$FA$300, 32, FALSE))</f>
        <v>:</v>
      </c>
      <c r="AH63" s="556" t="str">
        <f>IF(VLOOKUP($E$63,[1]QUART!$A$2:$FA$300, 33, FALSE)="",":",VLOOKUP($E$63,[1]QUART!$A$2:$FA$300, 33, FALSE))</f>
        <v>:</v>
      </c>
      <c r="AI63" s="556" t="str">
        <f>IF(VLOOKUP($E$63,[1]QUART!$A$2:$FA$300, 34, FALSE)="",":",VLOOKUP($E$63,[1]QUART!$A$2:$FA$300, 34, FALSE))</f>
        <v>:</v>
      </c>
      <c r="AJ63" s="556" t="str">
        <f>IF(VLOOKUP($E$63,[1]QUART!$A$2:$FA$300, 35, FALSE)="",":",VLOOKUP($E$63,[1]QUART!$A$2:$FA$300, 35, FALSE))</f>
        <v>:</v>
      </c>
      <c r="AK63" s="556" t="str">
        <f>IF(VLOOKUP($E$63,[1]QUART!$A$2:$FA$300, 36, FALSE)="",":",VLOOKUP($E$63,[1]QUART!$A$2:$FA$300, 36, FALSE))</f>
        <v>:</v>
      </c>
      <c r="AL63" s="556" t="str">
        <f>IF(VLOOKUP($E$63,[1]QUART!$A$2:$FA$300, 37, FALSE)="",":",VLOOKUP($E$63,[1]QUART!$A$2:$FA$300, 37, FALSE))</f>
        <v>:</v>
      </c>
      <c r="AM63" s="556" t="str">
        <f>IF(VLOOKUP($E$63,[1]QUART!$A$2:$FA$300, 38, FALSE)="",":",VLOOKUP($E$63,[1]QUART!$A$2:$FA$300, 38, FALSE))</f>
        <v>:</v>
      </c>
      <c r="AN63" s="556" t="str">
        <f>IF(VLOOKUP($E$63,[1]QUART!$A$2:$FA$300, 39, FALSE)="",":",VLOOKUP($E$63,[1]QUART!$A$2:$FA$300, 39, FALSE))</f>
        <v>:</v>
      </c>
      <c r="AO63" s="556" t="str">
        <f>IF(VLOOKUP($E$63,[1]QUART!$A$2:$FA$300, 40, FALSE)="",":",VLOOKUP($E$63,[1]QUART!$A$2:$FA$300, 40, FALSE))</f>
        <v>:</v>
      </c>
      <c r="AP63" s="556" t="str">
        <f>IF(VLOOKUP($E$63,[1]QUART!$A$2:$FA$300, 41, FALSE)="",":",VLOOKUP($E$63,[1]QUART!$A$2:$FA$300, 41, FALSE))</f>
        <v>:</v>
      </c>
      <c r="AQ63" s="556" t="str">
        <f>IF(VLOOKUP($E$63,[1]QUART!$A$2:$FA$300, 42, FALSE)="",":",VLOOKUP($E$63,[1]QUART!$A$2:$FA$300, 42, FALSE))</f>
        <v>:</v>
      </c>
      <c r="AR63" s="556" t="str">
        <f>IF(VLOOKUP($E$63,[1]QUART!$A$2:$FA$300, 43, FALSE)="",":",VLOOKUP($E$63,[1]QUART!$A$2:$FA$300, 43, FALSE))</f>
        <v>:</v>
      </c>
      <c r="AS63" s="556" t="str">
        <f>IF(VLOOKUP($E$63,[1]QUART!$A$2:$FA$300, 44, FALSE)="",":",VLOOKUP($E$63,[1]QUART!$A$2:$FA$300, 44, FALSE))</f>
        <v>:</v>
      </c>
      <c r="AT63" s="556" t="str">
        <f>IF(VLOOKUP($E$63,[1]QUART!$A$2:$FA$300, 45, FALSE)="",":",VLOOKUP($E$63,[1]QUART!$A$2:$FA$300, 45, FALSE))</f>
        <v>:</v>
      </c>
      <c r="AU63" s="556" t="str">
        <f>IF(VLOOKUP($E$63,[1]QUART!$A$2:$FA$300, 46, FALSE)="",":",VLOOKUP($E$63,[1]QUART!$A$2:$FA$300, 46, FALSE))</f>
        <v>:</v>
      </c>
      <c r="AV63" s="556" t="str">
        <f>IF(VLOOKUP($E$63,[1]QUART!$A$2:$FA$300, 47, FALSE)="",":",VLOOKUP($E$63,[1]QUART!$A$2:$FA$300, 47, FALSE))</f>
        <v>:</v>
      </c>
      <c r="AW63" s="556" t="str">
        <f>IF(VLOOKUP($E$63,[1]QUART!$A$2:$FA$300, 48, FALSE)="",":",VLOOKUP($E$63,[1]QUART!$A$2:$FA$300, 48, FALSE))</f>
        <v>:</v>
      </c>
      <c r="AX63" s="556" t="str">
        <f>IF(VLOOKUP($E$63,[1]QUART!$A$2:$FA$300, 49, FALSE)="",":",VLOOKUP($E$63,[1]QUART!$A$2:$FA$300, 49, FALSE))</f>
        <v>:</v>
      </c>
      <c r="AY63" s="556" t="str">
        <f>IF(VLOOKUP($E$63,[1]QUART!$A$2:$FA$300, 50, FALSE)="",":",VLOOKUP($E$63,[1]QUART!$A$2:$FA$300, 50, FALSE))</f>
        <v>:</v>
      </c>
      <c r="AZ63" s="556" t="str">
        <f>IF(VLOOKUP($E$63,[1]QUART!$A$2:$FA$300, 51, FALSE)="",":",VLOOKUP($E$63,[1]QUART!$A$2:$FA$300, 51, FALSE))</f>
        <v>:</v>
      </c>
      <c r="BA63" s="556" t="str">
        <f>IF(VLOOKUP($E$63,[1]QUART!$A$2:$FA$300, 52, FALSE)="",":",VLOOKUP($E$63,[1]QUART!$A$2:$FA$300, 52, FALSE))</f>
        <v>:</v>
      </c>
      <c r="BB63" s="556" t="str">
        <f>IF(VLOOKUP($E$63,[1]QUART!$A$2:$FA$300, 53, FALSE)="",":",VLOOKUP($E$63,[1]QUART!$A$2:$FA$300, 53, FALSE))</f>
        <v>:</v>
      </c>
      <c r="BC63" s="556" t="str">
        <f>IF(VLOOKUP($E$63,[1]QUART!$A$2:$FA$300, 54, FALSE)="",":",VLOOKUP($E$63,[1]QUART!$A$2:$FA$300, 54, FALSE))</f>
        <v>:</v>
      </c>
      <c r="BD63" s="556" t="str">
        <f>IF(VLOOKUP($E$63,[1]QUART!$A$2:$FA$300, 55, FALSE)="",":",VLOOKUP($E$63,[1]QUART!$A$2:$FA$300, 55, FALSE))</f>
        <v>:</v>
      </c>
      <c r="BE63" s="556" t="str">
        <f>IF(VLOOKUP($E$63,[1]QUART!$A$2:$FA$300, 56, FALSE)="",":",VLOOKUP($E$63,[1]QUART!$A$2:$FA$300, 56, FALSE))</f>
        <v>:</v>
      </c>
      <c r="BF63" s="556" t="str">
        <f>IF(VLOOKUP($E$63,[1]QUART!$A$2:$FA$300, 57, FALSE)="",":",VLOOKUP($E$63,[1]QUART!$A$2:$FA$300, 57, FALSE))</f>
        <v>:</v>
      </c>
      <c r="BG63" s="556" t="str">
        <f>IF(VLOOKUP($E$63,[1]QUART!$A$2:$FA$300, 58, FALSE)="",":",VLOOKUP($E$63,[1]QUART!$A$2:$FA$300, 58, FALSE))</f>
        <v>:</v>
      </c>
      <c r="BH63" s="556" t="str">
        <f>IF(VLOOKUP($E$63,[1]QUART!$A$2:$FA$300, 59, FALSE)="",":",VLOOKUP($E$63,[1]QUART!$A$2:$FA$300, 59, FALSE))</f>
        <v>:</v>
      </c>
      <c r="BI63" s="556" t="str">
        <f>IF(VLOOKUP($E$63,[1]QUART!$A$2:$FA$300, 60, FALSE)="",":",VLOOKUP($E$63,[1]QUART!$A$2:$FA$300, 60, FALSE))</f>
        <v>:</v>
      </c>
      <c r="BJ63" s="556" t="str">
        <f>IF(VLOOKUP($E$63,[1]QUART!$A$2:$FA$300, 61, FALSE)="",":",VLOOKUP($E$63,[1]QUART!$A$2:$FA$300, 61, FALSE))</f>
        <v>:</v>
      </c>
      <c r="BK63" s="556" t="str">
        <f>IF(VLOOKUP($E$63,[1]QUART!$A$2:$FA$300, 62, FALSE)="",":",VLOOKUP($E$63,[1]QUART!$A$2:$FA$300, 62, FALSE))</f>
        <v>:</v>
      </c>
      <c r="BL63" s="556" t="str">
        <f>IF(VLOOKUP($E$63,[1]QUART!$A$2:$FA$300, 63, FALSE)="",":",VLOOKUP($E$63,[1]QUART!$A$2:$FA$300, 63, FALSE))</f>
        <v>:</v>
      </c>
      <c r="BM63" s="556" t="str">
        <f>IF(VLOOKUP($E$63,[1]QUART!$A$2:$FA$300, 64, FALSE)="",":",VLOOKUP($E$63,[1]QUART!$A$2:$FA$300, 64, FALSE))</f>
        <v>:</v>
      </c>
      <c r="BN63" s="556" t="str">
        <f>IF(VLOOKUP($E$63,[1]QUART!$A$2:$FA$300, 65, FALSE)="",":",VLOOKUP($E$63,[1]QUART!$A$2:$FA$300, 65, FALSE))</f>
        <v>:</v>
      </c>
      <c r="BO63" s="556" t="str">
        <f>IF(VLOOKUP($E$63,[1]QUART!$A$2:$FA$300, 66, FALSE)="",":",VLOOKUP($E$63,[1]QUART!$A$2:$FA$300, 66, FALSE))</f>
        <v>:</v>
      </c>
      <c r="BP63" s="556" t="str">
        <f>IF(VLOOKUP($E$63,[1]QUART!$A$2:$FA$300, 67, FALSE)="",":",VLOOKUP($E$63,[1]QUART!$A$2:$FA$300, 67, FALSE))</f>
        <v>:</v>
      </c>
      <c r="BQ63" s="556" t="str">
        <f>IF(VLOOKUP($E$63,[1]QUART!$A$2:$FA$300, 68, FALSE)="",":",VLOOKUP($E$63,[1]QUART!$A$2:$FA$300, 68, FALSE))</f>
        <v>:</v>
      </c>
      <c r="BR63" s="556" t="str">
        <f>IF(VLOOKUP($E$63,[1]QUART!$A$2:$FA$300, 69, FALSE)="",":",VLOOKUP($E$63,[1]QUART!$A$2:$FA$300, 69, FALSE))</f>
        <v>:</v>
      </c>
      <c r="BS63" s="556" t="str">
        <f>IF(VLOOKUP($E$63,[1]QUART!$A$2:$FA$300, 70, FALSE)="",":",VLOOKUP($E$63,[1]QUART!$A$2:$FA$300, 70, FALSE))</f>
        <v>:</v>
      </c>
      <c r="BT63" s="556" t="str">
        <f>IF(VLOOKUP($E$63,[1]QUART!$A$2:$FA$300, 71, FALSE)="",":",VLOOKUP($E$63,[1]QUART!$A$2:$FA$300, 71, FALSE))</f>
        <v>:</v>
      </c>
      <c r="BU63" s="556" t="str">
        <f>IF(VLOOKUP($E$63,[1]QUART!$A$2:$FA$300, 72, FALSE)="",":",VLOOKUP($E$63,[1]QUART!$A$2:$FA$300, 72, FALSE))</f>
        <v>:</v>
      </c>
      <c r="BV63" s="556" t="str">
        <f>IF(VLOOKUP($E$63,[1]QUART!$A$2:$FA$300, 73, FALSE)="",":",VLOOKUP($E$63,[1]QUART!$A$2:$FA$300, 73, FALSE))</f>
        <v>:</v>
      </c>
      <c r="BW63" s="556" t="str">
        <f>IF(VLOOKUP($E$63,[1]QUART!$A$2:$FA$300, 74, FALSE)="",":",VLOOKUP($E$63,[1]QUART!$A$2:$FA$300, 74, FALSE))</f>
        <v>:</v>
      </c>
      <c r="BX63" s="556" t="str">
        <f>IF(VLOOKUP($E$63,[1]QUART!$A$2:$FA$300, 75, FALSE)="",":",VLOOKUP($E$63,[1]QUART!$A$2:$FA$300, 75, FALSE))</f>
        <v>:</v>
      </c>
      <c r="BY63" s="556" t="str">
        <f>IF(VLOOKUP($E$63,[1]QUART!$A$2:$FA$300, 76, FALSE)="",":",VLOOKUP($E$63,[1]QUART!$A$2:$FA$300, 76, FALSE))</f>
        <v>:</v>
      </c>
      <c r="BZ63" s="556" t="str">
        <f>IF(VLOOKUP($E$63,[1]QUART!$A$2:$FA$300, 77, FALSE)="",":",VLOOKUP($E$63,[1]QUART!$A$2:$FA$300, 77, FALSE))</f>
        <v>:</v>
      </c>
      <c r="CA63" s="556" t="str">
        <f>IF(VLOOKUP($E$63,[1]QUART!$A$2:$FA$300, 78, FALSE)="",":",VLOOKUP($E$63,[1]QUART!$A$2:$FA$300, 78, FALSE))</f>
        <v>:</v>
      </c>
      <c r="CB63" s="556" t="str">
        <f>IF(VLOOKUP($E$63,[1]QUART!$A$2:$FA$300, 79, FALSE)="",":",VLOOKUP($E$63,[1]QUART!$A$2:$FA$300, 79, FALSE))</f>
        <v>:</v>
      </c>
      <c r="CC63" s="556" t="str">
        <f>IF(VLOOKUP($E$63,[1]QUART!$A$2:$FA$300, 80, FALSE)="",":",VLOOKUP($E$63,[1]QUART!$A$2:$FA$300, 80, FALSE))</f>
        <v>:</v>
      </c>
      <c r="CD63" s="556" t="str">
        <f>IF(VLOOKUP($E$63,[1]QUART!$A$2:$FA$300, 81, FALSE)="",":",VLOOKUP($E$63,[1]QUART!$A$2:$FA$300, 81, FALSE))</f>
        <v>:</v>
      </c>
      <c r="CE63" s="556" t="str">
        <f>IF(VLOOKUP($E$63,[1]QUART!$A$2:$FA$300, 82, FALSE)="",":",VLOOKUP($E$63,[1]QUART!$A$2:$FA$300, 82, FALSE))</f>
        <v>:</v>
      </c>
      <c r="CF63" s="556" t="str">
        <f>IF(VLOOKUP($E$63,[1]QUART!$A$2:$FA$300, 83, FALSE)="",":",VLOOKUP($E$63,[1]QUART!$A$2:$FA$300, 83, FALSE))</f>
        <v>:</v>
      </c>
      <c r="CG63" s="556" t="str">
        <f>IF(VLOOKUP($E$63,[1]QUART!$A$2:$FA$300, 84, FALSE)="",":",VLOOKUP($E$63,[1]QUART!$A$2:$FA$300, 84, FALSE))</f>
        <v>:</v>
      </c>
      <c r="CH63" s="556" t="str">
        <f>IF(VLOOKUP($E$63,[1]QUART!$A$2:$FA$300, 85, FALSE)="",":",VLOOKUP($E$63,[1]QUART!$A$2:$FA$300, 85, FALSE))</f>
        <v>:</v>
      </c>
      <c r="CI63" s="556" t="str">
        <f>IF(VLOOKUP($E$63,[1]QUART!$A$2:$FA$300, 86, FALSE)="",":",VLOOKUP($E$63,[1]QUART!$A$2:$FA$300, 86, FALSE))</f>
        <v>:</v>
      </c>
      <c r="CJ63" s="556" t="str">
        <f>IF(VLOOKUP($E$63,[1]QUART!$A$2:$FA$300, 87, FALSE)="",":",VLOOKUP($E$63,[1]QUART!$A$2:$FA$300, 87, FALSE))</f>
        <v>:</v>
      </c>
      <c r="CK63" s="556" t="str">
        <f>IF(VLOOKUP($E$63,[1]QUART!$A$2:$FA$300, 88, FALSE)="",":",VLOOKUP($E$63,[1]QUART!$A$2:$FA$300, 88, FALSE))</f>
        <v>:</v>
      </c>
      <c r="CL63" s="556" t="str">
        <f>IF(VLOOKUP($E$63,[1]QUART!$A$2:$FA$300, 89, FALSE)="",":",VLOOKUP($E$63,[1]QUART!$A$2:$FA$300, 89, FALSE))</f>
        <v>:</v>
      </c>
      <c r="CM63" s="556" t="str">
        <f>IF(VLOOKUP($E$63,[1]QUART!$A$2:$FA$300, 90, FALSE)="",":",VLOOKUP($E$63,[1]QUART!$A$2:$FA$300, 90, FALSE))</f>
        <v>:</v>
      </c>
      <c r="CN63" s="556" t="str">
        <f>IF(VLOOKUP($E$63,[1]QUART!$A$2:$FA$300, 91, FALSE)="",":",VLOOKUP($E$63,[1]QUART!$A$2:$FA$300, 91, FALSE))</f>
        <v>:</v>
      </c>
      <c r="CO63" s="556" t="str">
        <f>IF(VLOOKUP($E$63,[1]QUART!$A$2:$FA$300, 92, FALSE)="",":",VLOOKUP($E$63,[1]QUART!$A$2:$FA$300, 92, FALSE))</f>
        <v>:</v>
      </c>
      <c r="CP63" s="556" t="str">
        <f>IF(VLOOKUP($E$63,[1]QUART!$A$2:$FA$300, 93, FALSE)="",":",VLOOKUP($E$63,[1]QUART!$A$2:$FA$300, 93, FALSE))</f>
        <v>:</v>
      </c>
      <c r="CQ63" s="556" t="str">
        <f>IF(VLOOKUP($E$63,[1]QUART!$A$2:$FA$300, 94, FALSE)="",":",VLOOKUP($E$63,[1]QUART!$A$2:$FA$300, 94, FALSE))</f>
        <v>:</v>
      </c>
      <c r="CR63" s="556" t="str">
        <f>IF(VLOOKUP($E$63,[1]QUART!$A$2:$FA$300, 95, FALSE)="",":",VLOOKUP($E$63,[1]QUART!$A$2:$FA$300, 95, FALSE))</f>
        <v>:</v>
      </c>
      <c r="CS63" s="556" t="str">
        <f>IF(VLOOKUP($E$63,[1]QUART!$A$2:$FA$300, 96, FALSE)="",":",VLOOKUP($E$63,[1]QUART!$A$2:$FA$300, 96, FALSE))</f>
        <v>:</v>
      </c>
      <c r="CT63" s="556" t="str">
        <f>IF(VLOOKUP($E$63,[1]QUART!$A$2:$FA$300, 97, FALSE)="",":",VLOOKUP($E$63,[1]QUART!$A$2:$FA$300, 97, FALSE))</f>
        <v>:</v>
      </c>
      <c r="CU63" s="556" t="str">
        <f>IF(VLOOKUP($E$63,[1]QUART!$A$2:$FA$300, 98, FALSE)="",":",VLOOKUP($E$63,[1]QUART!$A$2:$FA$300, 98, FALSE))</f>
        <v>:</v>
      </c>
      <c r="CV63" s="556" t="str">
        <f>IF(VLOOKUP($E$63,[1]QUART!$A$2:$FA$300, 99, FALSE)="",":",VLOOKUP($E$63,[1]QUART!$A$2:$FA$300, 99, FALSE))</f>
        <v>:</v>
      </c>
      <c r="CW63" s="556" t="str">
        <f>IF(VLOOKUP($E$63,[1]QUART!$A$2:$FA$300, 100, FALSE)="",":",VLOOKUP($E$63,[1]QUART!$A$2:$FA$300, 100, FALSE))</f>
        <v>:</v>
      </c>
      <c r="CX63" s="556" t="str">
        <f>IF(VLOOKUP($E$63,[1]QUART!$A$2:$FA$300, 101, FALSE)="",":",VLOOKUP($E$63,[1]QUART!$A$2:$FA$300, 101, FALSE))</f>
        <v>:</v>
      </c>
      <c r="CY63" s="556" t="str">
        <f>IF(VLOOKUP($E$63,[1]QUART!$A$2:$FA$300, 102, FALSE)="",":",VLOOKUP($E$63,[1]QUART!$A$2:$FA$300, 102, FALSE))</f>
        <v>:</v>
      </c>
      <c r="CZ63" s="556" t="str">
        <f>IF(VLOOKUP($E$63,[1]QUART!$A$2:$FA$300, 103, FALSE)="",":",VLOOKUP($E$63,[1]QUART!$A$2:$FA$300, 103, FALSE))</f>
        <v>:</v>
      </c>
      <c r="DA63" s="556" t="str">
        <f>IF(VLOOKUP($E$63,[1]QUART!$A$2:$FA$300, 104, FALSE)="",":",VLOOKUP($E$63,[1]QUART!$A$2:$FA$300, 104, FALSE))</f>
        <v>:</v>
      </c>
      <c r="DB63" s="556" t="str">
        <f>IF(VLOOKUP($E$63,[1]QUART!$A$2:$FA$300, 105, FALSE)="",":",VLOOKUP($E$63,[1]QUART!$A$2:$FA$300, 105, FALSE))</f>
        <v>:</v>
      </c>
      <c r="DC63" s="556" t="str">
        <f>IF(VLOOKUP($E$63,[1]QUART!$A$2:$FA$300, 106, FALSE)="",":",VLOOKUP($E$63,[1]QUART!$A$2:$FA$300, 106, FALSE))</f>
        <v>:</v>
      </c>
    </row>
    <row r="64" spans="1:107">
      <c r="A64" s="546"/>
      <c r="B64" s="546"/>
      <c r="C64" s="547"/>
      <c r="D64" s="12" t="s">
        <v>363</v>
      </c>
      <c r="E64" s="13">
        <v>131</v>
      </c>
      <c r="F64" s="14" t="str">
        <f>VLOOKUP($E$64,[1]QUART!$A$2:$FA$300, 3, FALSE)</f>
        <v>131 GFCF other</v>
      </c>
      <c r="G64" s="556" t="str">
        <f>IF(VLOOKUP($E$64,[1]QUART!$A$2:$FA$300, 6, FALSE)="",":",VLOOKUP($E$64,[1]QUART!$A$2:$FA$300, 6, FALSE))</f>
        <v>:</v>
      </c>
      <c r="H64" s="556" t="str">
        <f>IF(VLOOKUP($E$64,[1]QUART!$A$2:$FA$300, 7, FALSE)="",":",VLOOKUP($E$64,[1]QUART!$A$2:$FA$300, 7, FALSE))</f>
        <v>:</v>
      </c>
      <c r="I64" s="556" t="str">
        <f>IF(VLOOKUP($E$64,[1]QUART!$A$2:$FA$300, 8, FALSE)="",":",VLOOKUP($E$64,[1]QUART!$A$2:$FA$300, 8, FALSE))</f>
        <v>:</v>
      </c>
      <c r="J64" s="556" t="str">
        <f>IF(VLOOKUP($E$64,[1]QUART!$A$2:$FA$300, 9, FALSE)="",":",VLOOKUP($E$64,[1]QUART!$A$2:$FA$300, 9, FALSE))</f>
        <v>:</v>
      </c>
      <c r="K64" s="556" t="str">
        <f>IF(VLOOKUP($E$64,[1]QUART!$A$2:$FA$300, 10, FALSE)="",":",VLOOKUP($E$64,[1]QUART!$A$2:$FA$300, 10, FALSE))</f>
        <v>:</v>
      </c>
      <c r="L64" s="556" t="str">
        <f>IF(VLOOKUP($E$64,[1]QUART!$A$2:$FA$300, 11, FALSE)="",":",VLOOKUP($E$64,[1]QUART!$A$2:$FA$300, 11, FALSE))</f>
        <v>:</v>
      </c>
      <c r="M64" s="556" t="str">
        <f>IF(VLOOKUP($E$64,[1]QUART!$A$2:$FA$300, 12, FALSE)="",":",VLOOKUP($E$64,[1]QUART!$A$2:$FA$300, 12, FALSE))</f>
        <v>:</v>
      </c>
      <c r="N64" s="556" t="str">
        <f>IF(VLOOKUP($E$64,[1]QUART!$A$2:$FA$300, 13, FALSE)="",":",VLOOKUP($E$64,[1]QUART!$A$2:$FA$300, 13, FALSE))</f>
        <v>:</v>
      </c>
      <c r="O64" s="556" t="str">
        <f>IF(VLOOKUP($E$64,[1]QUART!$A$2:$FA$300, 14, FALSE)="",":",VLOOKUP($E$64,[1]QUART!$A$2:$FA$300, 14, FALSE))</f>
        <v>:</v>
      </c>
      <c r="P64" s="556" t="str">
        <f>IF(VLOOKUP($E$64,[1]QUART!$A$2:$FA$300, 15, FALSE)="",":",VLOOKUP($E$64,[1]QUART!$A$2:$FA$300, 15, FALSE))</f>
        <v>:</v>
      </c>
      <c r="Q64" s="556" t="str">
        <f>IF(VLOOKUP($E$64,[1]QUART!$A$2:$FA$300, 16, FALSE)="",":",VLOOKUP($E$64,[1]QUART!$A$2:$FA$300, 16, FALSE))</f>
        <v>:</v>
      </c>
      <c r="R64" s="556" t="str">
        <f>IF(VLOOKUP($E$64,[1]QUART!$A$2:$FA$300, 17, FALSE)="",":",VLOOKUP($E$64,[1]QUART!$A$2:$FA$300, 17, FALSE))</f>
        <v>:</v>
      </c>
      <c r="S64" s="556" t="str">
        <f>IF(VLOOKUP($E$64,[1]QUART!$A$2:$FA$300, 18, FALSE)="",":",VLOOKUP($E$64,[1]QUART!$A$2:$FA$300, 18, FALSE))</f>
        <v>:</v>
      </c>
      <c r="T64" s="556" t="str">
        <f>IF(VLOOKUP($E$64,[1]QUART!$A$2:$FA$300, 19, FALSE)="",":",VLOOKUP($E$64,[1]QUART!$A$2:$FA$300, 19, FALSE))</f>
        <v>:</v>
      </c>
      <c r="U64" s="556" t="str">
        <f>IF(VLOOKUP($E$64,[1]QUART!$A$2:$FA$300, 20, FALSE)="",":",VLOOKUP($E$64,[1]QUART!$A$2:$FA$300, 20, FALSE))</f>
        <v>:</v>
      </c>
      <c r="V64" s="556" t="str">
        <f>IF(VLOOKUP($E$64,[1]QUART!$A$2:$FA$300, 21, FALSE)="",":",VLOOKUP($E$64,[1]QUART!$A$2:$FA$300, 21, FALSE))</f>
        <v>:</v>
      </c>
      <c r="W64" s="556" t="str">
        <f>IF(VLOOKUP($E$64,[1]QUART!$A$2:$FA$300, 22, FALSE)="",":",VLOOKUP($E$64,[1]QUART!$A$2:$FA$300, 22, FALSE))</f>
        <v>:</v>
      </c>
      <c r="X64" s="556" t="str">
        <f>IF(VLOOKUP($E$64,[1]QUART!$A$2:$FA$300, 23, FALSE)="",":",VLOOKUP($E$64,[1]QUART!$A$2:$FA$300, 23, FALSE))</f>
        <v>:</v>
      </c>
      <c r="Y64" s="556" t="str">
        <f>IF(VLOOKUP($E$64,[1]QUART!$A$2:$FA$300, 24, FALSE)="",":",VLOOKUP($E$64,[1]QUART!$A$2:$FA$300, 24, FALSE))</f>
        <v>:</v>
      </c>
      <c r="Z64" s="556" t="str">
        <f>IF(VLOOKUP($E$64,[1]QUART!$A$2:$FA$300, 25, FALSE)="",":",VLOOKUP($E$64,[1]QUART!$A$2:$FA$300, 25, FALSE))</f>
        <v>:</v>
      </c>
      <c r="AA64" s="556" t="str">
        <f>IF(VLOOKUP($E$64,[1]QUART!$A$2:$FA$300, 26, FALSE)="",":",VLOOKUP($E$64,[1]QUART!$A$2:$FA$300, 26, FALSE))</f>
        <v>:</v>
      </c>
      <c r="AB64" s="556" t="str">
        <f>IF(VLOOKUP($E$64,[1]QUART!$A$2:$FA$300, 27, FALSE)="",":",VLOOKUP($E$64,[1]QUART!$A$2:$FA$300, 27, FALSE))</f>
        <v>:</v>
      </c>
      <c r="AC64" s="556" t="str">
        <f>IF(VLOOKUP($E$64,[1]QUART!$A$2:$FA$300, 28, FALSE)="",":",VLOOKUP($E$64,[1]QUART!$A$2:$FA$300, 28, FALSE))</f>
        <v>:</v>
      </c>
      <c r="AD64" s="556" t="str">
        <f>IF(VLOOKUP($E$64,[1]QUART!$A$2:$FA$300, 29, FALSE)="",":",VLOOKUP($E$64,[1]QUART!$A$2:$FA$300, 29, FALSE))</f>
        <v>:</v>
      </c>
      <c r="AE64" s="556" t="str">
        <f>IF(VLOOKUP($E$64,[1]QUART!$A$2:$FA$300, 30, FALSE)="",":",VLOOKUP($E$64,[1]QUART!$A$2:$FA$300, 30, FALSE))</f>
        <v>:</v>
      </c>
      <c r="AF64" s="556" t="str">
        <f>IF(VLOOKUP($E$64,[1]QUART!$A$2:$FA$300, 31, FALSE)="",":",VLOOKUP($E$64,[1]QUART!$A$2:$FA$300, 31, FALSE))</f>
        <v>:</v>
      </c>
      <c r="AG64" s="556" t="str">
        <f>IF(VLOOKUP($E$64,[1]QUART!$A$2:$FA$300, 32, FALSE)="",":",VLOOKUP($E$64,[1]QUART!$A$2:$FA$300, 32, FALSE))</f>
        <v>:</v>
      </c>
      <c r="AH64" s="556" t="str">
        <f>IF(VLOOKUP($E$64,[1]QUART!$A$2:$FA$300, 33, FALSE)="",":",VLOOKUP($E$64,[1]QUART!$A$2:$FA$300, 33, FALSE))</f>
        <v>:</v>
      </c>
      <c r="AI64" s="556" t="str">
        <f>IF(VLOOKUP($E$64,[1]QUART!$A$2:$FA$300, 34, FALSE)="",":",VLOOKUP($E$64,[1]QUART!$A$2:$FA$300, 34, FALSE))</f>
        <v>:</v>
      </c>
      <c r="AJ64" s="556" t="str">
        <f>IF(VLOOKUP($E$64,[1]QUART!$A$2:$FA$300, 35, FALSE)="",":",VLOOKUP($E$64,[1]QUART!$A$2:$FA$300, 35, FALSE))</f>
        <v>:</v>
      </c>
      <c r="AK64" s="556" t="str">
        <f>IF(VLOOKUP($E$64,[1]QUART!$A$2:$FA$300, 36, FALSE)="",":",VLOOKUP($E$64,[1]QUART!$A$2:$FA$300, 36, FALSE))</f>
        <v>:</v>
      </c>
      <c r="AL64" s="556" t="str">
        <f>IF(VLOOKUP($E$64,[1]QUART!$A$2:$FA$300, 37, FALSE)="",":",VLOOKUP($E$64,[1]QUART!$A$2:$FA$300, 37, FALSE))</f>
        <v>:</v>
      </c>
      <c r="AM64" s="556" t="str">
        <f>IF(VLOOKUP($E$64,[1]QUART!$A$2:$FA$300, 38, FALSE)="",":",VLOOKUP($E$64,[1]QUART!$A$2:$FA$300, 38, FALSE))</f>
        <v>:</v>
      </c>
      <c r="AN64" s="556" t="str">
        <f>IF(VLOOKUP($E$64,[1]QUART!$A$2:$FA$300, 39, FALSE)="",":",VLOOKUP($E$64,[1]QUART!$A$2:$FA$300, 39, FALSE))</f>
        <v>:</v>
      </c>
      <c r="AO64" s="556" t="str">
        <f>IF(VLOOKUP($E$64,[1]QUART!$A$2:$FA$300, 40, FALSE)="",":",VLOOKUP($E$64,[1]QUART!$A$2:$FA$300, 40, FALSE))</f>
        <v>:</v>
      </c>
      <c r="AP64" s="556" t="str">
        <f>IF(VLOOKUP($E$64,[1]QUART!$A$2:$FA$300, 41, FALSE)="",":",VLOOKUP($E$64,[1]QUART!$A$2:$FA$300, 41, FALSE))</f>
        <v>:</v>
      </c>
      <c r="AQ64" s="556" t="str">
        <f>IF(VLOOKUP($E$64,[1]QUART!$A$2:$FA$300, 42, FALSE)="",":",VLOOKUP($E$64,[1]QUART!$A$2:$FA$300, 42, FALSE))</f>
        <v>:</v>
      </c>
      <c r="AR64" s="556" t="str">
        <f>IF(VLOOKUP($E$64,[1]QUART!$A$2:$FA$300, 43, FALSE)="",":",VLOOKUP($E$64,[1]QUART!$A$2:$FA$300, 43, FALSE))</f>
        <v>:</v>
      </c>
      <c r="AS64" s="556" t="str">
        <f>IF(VLOOKUP($E$64,[1]QUART!$A$2:$FA$300, 44, FALSE)="",":",VLOOKUP($E$64,[1]QUART!$A$2:$FA$300, 44, FALSE))</f>
        <v>:</v>
      </c>
      <c r="AT64" s="556" t="str">
        <f>IF(VLOOKUP($E$64,[1]QUART!$A$2:$FA$300, 45, FALSE)="",":",VLOOKUP($E$64,[1]QUART!$A$2:$FA$300, 45, FALSE))</f>
        <v>:</v>
      </c>
      <c r="AU64" s="556" t="str">
        <f>IF(VLOOKUP($E$64,[1]QUART!$A$2:$FA$300, 46, FALSE)="",":",VLOOKUP($E$64,[1]QUART!$A$2:$FA$300, 46, FALSE))</f>
        <v>:</v>
      </c>
      <c r="AV64" s="556" t="str">
        <f>IF(VLOOKUP($E$64,[1]QUART!$A$2:$FA$300, 47, FALSE)="",":",VLOOKUP($E$64,[1]QUART!$A$2:$FA$300, 47, FALSE))</f>
        <v>:</v>
      </c>
      <c r="AW64" s="556" t="str">
        <f>IF(VLOOKUP($E$64,[1]QUART!$A$2:$FA$300, 48, FALSE)="",":",VLOOKUP($E$64,[1]QUART!$A$2:$FA$300, 48, FALSE))</f>
        <v>:</v>
      </c>
      <c r="AX64" s="556" t="str">
        <f>IF(VLOOKUP($E$64,[1]QUART!$A$2:$FA$300, 49, FALSE)="",":",VLOOKUP($E$64,[1]QUART!$A$2:$FA$300, 49, FALSE))</f>
        <v>:</v>
      </c>
      <c r="AY64" s="556" t="str">
        <f>IF(VLOOKUP($E$64,[1]QUART!$A$2:$FA$300, 50, FALSE)="",":",VLOOKUP($E$64,[1]QUART!$A$2:$FA$300, 50, FALSE))</f>
        <v>:</v>
      </c>
      <c r="AZ64" s="556" t="str">
        <f>IF(VLOOKUP($E$64,[1]QUART!$A$2:$FA$300, 51, FALSE)="",":",VLOOKUP($E$64,[1]QUART!$A$2:$FA$300, 51, FALSE))</f>
        <v>:</v>
      </c>
      <c r="BA64" s="556" t="str">
        <f>IF(VLOOKUP($E$64,[1]QUART!$A$2:$FA$300, 52, FALSE)="",":",VLOOKUP($E$64,[1]QUART!$A$2:$FA$300, 52, FALSE))</f>
        <v>:</v>
      </c>
      <c r="BB64" s="556" t="str">
        <f>IF(VLOOKUP($E$64,[1]QUART!$A$2:$FA$300, 53, FALSE)="",":",VLOOKUP($E$64,[1]QUART!$A$2:$FA$300, 53, FALSE))</f>
        <v>:</v>
      </c>
      <c r="BC64" s="556" t="str">
        <f>IF(VLOOKUP($E$64,[1]QUART!$A$2:$FA$300, 54, FALSE)="",":",VLOOKUP($E$64,[1]QUART!$A$2:$FA$300, 54, FALSE))</f>
        <v>:</v>
      </c>
      <c r="BD64" s="556" t="str">
        <f>IF(VLOOKUP($E$64,[1]QUART!$A$2:$FA$300, 55, FALSE)="",":",VLOOKUP($E$64,[1]QUART!$A$2:$FA$300, 55, FALSE))</f>
        <v>:</v>
      </c>
      <c r="BE64" s="556" t="str">
        <f>IF(VLOOKUP($E$64,[1]QUART!$A$2:$FA$300, 56, FALSE)="",":",VLOOKUP($E$64,[1]QUART!$A$2:$FA$300, 56, FALSE))</f>
        <v>:</v>
      </c>
      <c r="BF64" s="556" t="str">
        <f>IF(VLOOKUP($E$64,[1]QUART!$A$2:$FA$300, 57, FALSE)="",":",VLOOKUP($E$64,[1]QUART!$A$2:$FA$300, 57, FALSE))</f>
        <v>:</v>
      </c>
      <c r="BG64" s="556" t="str">
        <f>IF(VLOOKUP($E$64,[1]QUART!$A$2:$FA$300, 58, FALSE)="",":",VLOOKUP($E$64,[1]QUART!$A$2:$FA$300, 58, FALSE))</f>
        <v>:</v>
      </c>
      <c r="BH64" s="556" t="str">
        <f>IF(VLOOKUP($E$64,[1]QUART!$A$2:$FA$300, 59, FALSE)="",":",VLOOKUP($E$64,[1]QUART!$A$2:$FA$300, 59, FALSE))</f>
        <v>:</v>
      </c>
      <c r="BI64" s="556" t="str">
        <f>IF(VLOOKUP($E$64,[1]QUART!$A$2:$FA$300, 60, FALSE)="",":",VLOOKUP($E$64,[1]QUART!$A$2:$FA$300, 60, FALSE))</f>
        <v>:</v>
      </c>
      <c r="BJ64" s="556" t="str">
        <f>IF(VLOOKUP($E$64,[1]QUART!$A$2:$FA$300, 61, FALSE)="",":",VLOOKUP($E$64,[1]QUART!$A$2:$FA$300, 61, FALSE))</f>
        <v>:</v>
      </c>
      <c r="BK64" s="556" t="str">
        <f>IF(VLOOKUP($E$64,[1]QUART!$A$2:$FA$300, 62, FALSE)="",":",VLOOKUP($E$64,[1]QUART!$A$2:$FA$300, 62, FALSE))</f>
        <v>:</v>
      </c>
      <c r="BL64" s="556" t="str">
        <f>IF(VLOOKUP($E$64,[1]QUART!$A$2:$FA$300, 63, FALSE)="",":",VLOOKUP($E$64,[1]QUART!$A$2:$FA$300, 63, FALSE))</f>
        <v>:</v>
      </c>
      <c r="BM64" s="556" t="str">
        <f>IF(VLOOKUP($E$64,[1]QUART!$A$2:$FA$300, 64, FALSE)="",":",VLOOKUP($E$64,[1]QUART!$A$2:$FA$300, 64, FALSE))</f>
        <v>:</v>
      </c>
      <c r="BN64" s="556" t="str">
        <f>IF(VLOOKUP($E$64,[1]QUART!$A$2:$FA$300, 65, FALSE)="",":",VLOOKUP($E$64,[1]QUART!$A$2:$FA$300, 65, FALSE))</f>
        <v>:</v>
      </c>
      <c r="BO64" s="556" t="str">
        <f>IF(VLOOKUP($E$64,[1]QUART!$A$2:$FA$300, 66, FALSE)="",":",VLOOKUP($E$64,[1]QUART!$A$2:$FA$300, 66, FALSE))</f>
        <v>:</v>
      </c>
      <c r="BP64" s="556" t="str">
        <f>IF(VLOOKUP($E$64,[1]QUART!$A$2:$FA$300, 67, FALSE)="",":",VLOOKUP($E$64,[1]QUART!$A$2:$FA$300, 67, FALSE))</f>
        <v>:</v>
      </c>
      <c r="BQ64" s="556" t="str">
        <f>IF(VLOOKUP($E$64,[1]QUART!$A$2:$FA$300, 68, FALSE)="",":",VLOOKUP($E$64,[1]QUART!$A$2:$FA$300, 68, FALSE))</f>
        <v>:</v>
      </c>
      <c r="BR64" s="556" t="str">
        <f>IF(VLOOKUP($E$64,[1]QUART!$A$2:$FA$300, 69, FALSE)="",":",VLOOKUP($E$64,[1]QUART!$A$2:$FA$300, 69, FALSE))</f>
        <v>:</v>
      </c>
      <c r="BS64" s="556" t="str">
        <f>IF(VLOOKUP($E$64,[1]QUART!$A$2:$FA$300, 70, FALSE)="",":",VLOOKUP($E$64,[1]QUART!$A$2:$FA$300, 70, FALSE))</f>
        <v>:</v>
      </c>
      <c r="BT64" s="556" t="str">
        <f>IF(VLOOKUP($E$64,[1]QUART!$A$2:$FA$300, 71, FALSE)="",":",VLOOKUP($E$64,[1]QUART!$A$2:$FA$300, 71, FALSE))</f>
        <v>:</v>
      </c>
      <c r="BU64" s="556" t="str">
        <f>IF(VLOOKUP($E$64,[1]QUART!$A$2:$FA$300, 72, FALSE)="",":",VLOOKUP($E$64,[1]QUART!$A$2:$FA$300, 72, FALSE))</f>
        <v>:</v>
      </c>
      <c r="BV64" s="556" t="str">
        <f>IF(VLOOKUP($E$64,[1]QUART!$A$2:$FA$300, 73, FALSE)="",":",VLOOKUP($E$64,[1]QUART!$A$2:$FA$300, 73, FALSE))</f>
        <v>:</v>
      </c>
      <c r="BW64" s="556" t="str">
        <f>IF(VLOOKUP($E$64,[1]QUART!$A$2:$FA$300, 74, FALSE)="",":",VLOOKUP($E$64,[1]QUART!$A$2:$FA$300, 74, FALSE))</f>
        <v>:</v>
      </c>
      <c r="BX64" s="556" t="str">
        <f>IF(VLOOKUP($E$64,[1]QUART!$A$2:$FA$300, 75, FALSE)="",":",VLOOKUP($E$64,[1]QUART!$A$2:$FA$300, 75, FALSE))</f>
        <v>:</v>
      </c>
      <c r="BY64" s="556" t="str">
        <f>IF(VLOOKUP($E$64,[1]QUART!$A$2:$FA$300, 76, FALSE)="",":",VLOOKUP($E$64,[1]QUART!$A$2:$FA$300, 76, FALSE))</f>
        <v>:</v>
      </c>
      <c r="BZ64" s="556" t="str">
        <f>IF(VLOOKUP($E$64,[1]QUART!$A$2:$FA$300, 77, FALSE)="",":",VLOOKUP($E$64,[1]QUART!$A$2:$FA$300, 77, FALSE))</f>
        <v>:</v>
      </c>
      <c r="CA64" s="556" t="str">
        <f>IF(VLOOKUP($E$64,[1]QUART!$A$2:$FA$300, 78, FALSE)="",":",VLOOKUP($E$64,[1]QUART!$A$2:$FA$300, 78, FALSE))</f>
        <v>:</v>
      </c>
      <c r="CB64" s="556" t="str">
        <f>IF(VLOOKUP($E$64,[1]QUART!$A$2:$FA$300, 79, FALSE)="",":",VLOOKUP($E$64,[1]QUART!$A$2:$FA$300, 79, FALSE))</f>
        <v>:</v>
      </c>
      <c r="CC64" s="556" t="str">
        <f>IF(VLOOKUP($E$64,[1]QUART!$A$2:$FA$300, 80, FALSE)="",":",VLOOKUP($E$64,[1]QUART!$A$2:$FA$300, 80, FALSE))</f>
        <v>:</v>
      </c>
      <c r="CD64" s="556" t="str">
        <f>IF(VLOOKUP($E$64,[1]QUART!$A$2:$FA$300, 81, FALSE)="",":",VLOOKUP($E$64,[1]QUART!$A$2:$FA$300, 81, FALSE))</f>
        <v>:</v>
      </c>
      <c r="CE64" s="556" t="str">
        <f>IF(VLOOKUP($E$64,[1]QUART!$A$2:$FA$300, 82, FALSE)="",":",VLOOKUP($E$64,[1]QUART!$A$2:$FA$300, 82, FALSE))</f>
        <v>:</v>
      </c>
      <c r="CF64" s="556" t="str">
        <f>IF(VLOOKUP($E$64,[1]QUART!$A$2:$FA$300, 83, FALSE)="",":",VLOOKUP($E$64,[1]QUART!$A$2:$FA$300, 83, FALSE))</f>
        <v>:</v>
      </c>
      <c r="CG64" s="556" t="str">
        <f>IF(VLOOKUP($E$64,[1]QUART!$A$2:$FA$300, 84, FALSE)="",":",VLOOKUP($E$64,[1]QUART!$A$2:$FA$300, 84, FALSE))</f>
        <v>:</v>
      </c>
      <c r="CH64" s="556" t="str">
        <f>IF(VLOOKUP($E$64,[1]QUART!$A$2:$FA$300, 85, FALSE)="",":",VLOOKUP($E$64,[1]QUART!$A$2:$FA$300, 85, FALSE))</f>
        <v>:</v>
      </c>
      <c r="CI64" s="556" t="str">
        <f>IF(VLOOKUP($E$64,[1]QUART!$A$2:$FA$300, 86, FALSE)="",":",VLOOKUP($E$64,[1]QUART!$A$2:$FA$300, 86, FALSE))</f>
        <v>:</v>
      </c>
      <c r="CJ64" s="556" t="str">
        <f>IF(VLOOKUP($E$64,[1]QUART!$A$2:$FA$300, 87, FALSE)="",":",VLOOKUP($E$64,[1]QUART!$A$2:$FA$300, 87, FALSE))</f>
        <v>:</v>
      </c>
      <c r="CK64" s="556" t="str">
        <f>IF(VLOOKUP($E$64,[1]QUART!$A$2:$FA$300, 88, FALSE)="",":",VLOOKUP($E$64,[1]QUART!$A$2:$FA$300, 88, FALSE))</f>
        <v>:</v>
      </c>
      <c r="CL64" s="556" t="str">
        <f>IF(VLOOKUP($E$64,[1]QUART!$A$2:$FA$300, 89, FALSE)="",":",VLOOKUP($E$64,[1]QUART!$A$2:$FA$300, 89, FALSE))</f>
        <v>:</v>
      </c>
      <c r="CM64" s="556" t="str">
        <f>IF(VLOOKUP($E$64,[1]QUART!$A$2:$FA$300, 90, FALSE)="",":",VLOOKUP($E$64,[1]QUART!$A$2:$FA$300, 90, FALSE))</f>
        <v>:</v>
      </c>
      <c r="CN64" s="556" t="str">
        <f>IF(VLOOKUP($E$64,[1]QUART!$A$2:$FA$300, 91, FALSE)="",":",VLOOKUP($E$64,[1]QUART!$A$2:$FA$300, 91, FALSE))</f>
        <v>:</v>
      </c>
      <c r="CO64" s="556" t="str">
        <f>IF(VLOOKUP($E$64,[1]QUART!$A$2:$FA$300, 92, FALSE)="",":",VLOOKUP($E$64,[1]QUART!$A$2:$FA$300, 92, FALSE))</f>
        <v>:</v>
      </c>
      <c r="CP64" s="556" t="str">
        <f>IF(VLOOKUP($E$64,[1]QUART!$A$2:$FA$300, 93, FALSE)="",":",VLOOKUP($E$64,[1]QUART!$A$2:$FA$300, 93, FALSE))</f>
        <v>:</v>
      </c>
      <c r="CQ64" s="556" t="str">
        <f>IF(VLOOKUP($E$64,[1]QUART!$A$2:$FA$300, 94, FALSE)="",":",VLOOKUP($E$64,[1]QUART!$A$2:$FA$300, 94, FALSE))</f>
        <v>:</v>
      </c>
      <c r="CR64" s="556" t="str">
        <f>IF(VLOOKUP($E$64,[1]QUART!$A$2:$FA$300, 95, FALSE)="",":",VLOOKUP($E$64,[1]QUART!$A$2:$FA$300, 95, FALSE))</f>
        <v>:</v>
      </c>
      <c r="CS64" s="556" t="str">
        <f>IF(VLOOKUP($E$64,[1]QUART!$A$2:$FA$300, 96, FALSE)="",":",VLOOKUP($E$64,[1]QUART!$A$2:$FA$300, 96, FALSE))</f>
        <v>:</v>
      </c>
      <c r="CT64" s="556" t="str">
        <f>IF(VLOOKUP($E$64,[1]QUART!$A$2:$FA$300, 97, FALSE)="",":",VLOOKUP($E$64,[1]QUART!$A$2:$FA$300, 97, FALSE))</f>
        <v>:</v>
      </c>
      <c r="CU64" s="556" t="str">
        <f>IF(VLOOKUP($E$64,[1]QUART!$A$2:$FA$300, 98, FALSE)="",":",VLOOKUP($E$64,[1]QUART!$A$2:$FA$300, 98, FALSE))</f>
        <v>:</v>
      </c>
      <c r="CV64" s="556" t="str">
        <f>IF(VLOOKUP($E$64,[1]QUART!$A$2:$FA$300, 99, FALSE)="",":",VLOOKUP($E$64,[1]QUART!$A$2:$FA$300, 99, FALSE))</f>
        <v>:</v>
      </c>
      <c r="CW64" s="556" t="str">
        <f>IF(VLOOKUP($E$64,[1]QUART!$A$2:$FA$300, 100, FALSE)="",":",VLOOKUP($E$64,[1]QUART!$A$2:$FA$300, 100, FALSE))</f>
        <v>:</v>
      </c>
      <c r="CX64" s="556" t="str">
        <f>IF(VLOOKUP($E$64,[1]QUART!$A$2:$FA$300, 101, FALSE)="",":",VLOOKUP($E$64,[1]QUART!$A$2:$FA$300, 101, FALSE))</f>
        <v>:</v>
      </c>
      <c r="CY64" s="556" t="str">
        <f>IF(VLOOKUP($E$64,[1]QUART!$A$2:$FA$300, 102, FALSE)="",":",VLOOKUP($E$64,[1]QUART!$A$2:$FA$300, 102, FALSE))</f>
        <v>:</v>
      </c>
      <c r="CZ64" s="556" t="str">
        <f>IF(VLOOKUP($E$64,[1]QUART!$A$2:$FA$300, 103, FALSE)="",":",VLOOKUP($E$64,[1]QUART!$A$2:$FA$300, 103, FALSE))</f>
        <v>:</v>
      </c>
      <c r="DA64" s="556" t="str">
        <f>IF(VLOOKUP($E$64,[1]QUART!$A$2:$FA$300, 104, FALSE)="",":",VLOOKUP($E$64,[1]QUART!$A$2:$FA$300, 104, FALSE))</f>
        <v>:</v>
      </c>
      <c r="DB64" s="556" t="str">
        <f>IF(VLOOKUP($E$64,[1]QUART!$A$2:$FA$300, 105, FALSE)="",":",VLOOKUP($E$64,[1]QUART!$A$2:$FA$300, 105, FALSE))</f>
        <v>:</v>
      </c>
      <c r="DC64" s="556" t="str">
        <f>IF(VLOOKUP($E$64,[1]QUART!$A$2:$FA$300, 106, FALSE)="",":",VLOOKUP($E$64,[1]QUART!$A$2:$FA$300, 106, FALSE))</f>
        <v>:</v>
      </c>
    </row>
    <row r="65" spans="1:107">
      <c r="A65" s="546"/>
      <c r="B65" s="546"/>
      <c r="C65" s="547"/>
      <c r="D65" s="12" t="s">
        <v>363</v>
      </c>
      <c r="E65" s="13">
        <v>132</v>
      </c>
      <c r="F65" s="14" t="str">
        <f>VLOOKUP($E$65,[1]QUART!$A$2:$FA$300, 3, FALSE)</f>
        <v>132 Gross capital formation (incl. Inventories)</v>
      </c>
      <c r="G65" s="556" t="str">
        <f>IF(VLOOKUP($E$65,[1]QUART!$A$2:$FA$300, 6, FALSE)="",":",VLOOKUP($E$65,[1]QUART!$A$2:$FA$300, 6, FALSE))</f>
        <v>:</v>
      </c>
      <c r="H65" s="556" t="str">
        <f>IF(VLOOKUP($E$65,[1]QUART!$A$2:$FA$300, 7, FALSE)="",":",VLOOKUP($E$65,[1]QUART!$A$2:$FA$300, 7, FALSE))</f>
        <v>:</v>
      </c>
      <c r="I65" s="556" t="str">
        <f>IF(VLOOKUP($E$65,[1]QUART!$A$2:$FA$300, 8, FALSE)="",":",VLOOKUP($E$65,[1]QUART!$A$2:$FA$300, 8, FALSE))</f>
        <v>:</v>
      </c>
      <c r="J65" s="556" t="str">
        <f>IF(VLOOKUP($E$65,[1]QUART!$A$2:$FA$300, 9, FALSE)="",":",VLOOKUP($E$65,[1]QUART!$A$2:$FA$300, 9, FALSE))</f>
        <v>:</v>
      </c>
      <c r="K65" s="556" t="str">
        <f>IF(VLOOKUP($E$65,[1]QUART!$A$2:$FA$300, 10, FALSE)="",":",VLOOKUP($E$65,[1]QUART!$A$2:$FA$300, 10, FALSE))</f>
        <v>:</v>
      </c>
      <c r="L65" s="556" t="str">
        <f>IF(VLOOKUP($E$65,[1]QUART!$A$2:$FA$300, 11, FALSE)="",":",VLOOKUP($E$65,[1]QUART!$A$2:$FA$300, 11, FALSE))</f>
        <v>:</v>
      </c>
      <c r="M65" s="556" t="str">
        <f>IF(VLOOKUP($E$65,[1]QUART!$A$2:$FA$300, 12, FALSE)="",":",VLOOKUP($E$65,[1]QUART!$A$2:$FA$300, 12, FALSE))</f>
        <v>:</v>
      </c>
      <c r="N65" s="556" t="str">
        <f>IF(VLOOKUP($E$65,[1]QUART!$A$2:$FA$300, 13, FALSE)="",":",VLOOKUP($E$65,[1]QUART!$A$2:$FA$300, 13, FALSE))</f>
        <v>:</v>
      </c>
      <c r="O65" s="556" t="str">
        <f>IF(VLOOKUP($E$65,[1]QUART!$A$2:$FA$300, 14, FALSE)="",":",VLOOKUP($E$65,[1]QUART!$A$2:$FA$300, 14, FALSE))</f>
        <v>:</v>
      </c>
      <c r="P65" s="556" t="str">
        <f>IF(VLOOKUP($E$65,[1]QUART!$A$2:$FA$300, 15, FALSE)="",":",VLOOKUP($E$65,[1]QUART!$A$2:$FA$300, 15, FALSE))</f>
        <v>:</v>
      </c>
      <c r="Q65" s="556" t="str">
        <f>IF(VLOOKUP($E$65,[1]QUART!$A$2:$FA$300, 16, FALSE)="",":",VLOOKUP($E$65,[1]QUART!$A$2:$FA$300, 16, FALSE))</f>
        <v>:</v>
      </c>
      <c r="R65" s="556" t="str">
        <f>IF(VLOOKUP($E$65,[1]QUART!$A$2:$FA$300, 17, FALSE)="",":",VLOOKUP($E$65,[1]QUART!$A$2:$FA$300, 17, FALSE))</f>
        <v>:</v>
      </c>
      <c r="S65" s="556" t="str">
        <f>IF(VLOOKUP($E$65,[1]QUART!$A$2:$FA$300, 18, FALSE)="",":",VLOOKUP($E$65,[1]QUART!$A$2:$FA$300, 18, FALSE))</f>
        <v>:</v>
      </c>
      <c r="T65" s="556" t="str">
        <f>IF(VLOOKUP($E$65,[1]QUART!$A$2:$FA$300, 19, FALSE)="",":",VLOOKUP($E$65,[1]QUART!$A$2:$FA$300, 19, FALSE))</f>
        <v>:</v>
      </c>
      <c r="U65" s="556" t="str">
        <f>IF(VLOOKUP($E$65,[1]QUART!$A$2:$FA$300, 20, FALSE)="",":",VLOOKUP($E$65,[1]QUART!$A$2:$FA$300, 20, FALSE))</f>
        <v>:</v>
      </c>
      <c r="V65" s="556" t="str">
        <f>IF(VLOOKUP($E$65,[1]QUART!$A$2:$FA$300, 21, FALSE)="",":",VLOOKUP($E$65,[1]QUART!$A$2:$FA$300, 21, FALSE))</f>
        <v>:</v>
      </c>
      <c r="W65" s="556" t="str">
        <f>IF(VLOOKUP($E$65,[1]QUART!$A$2:$FA$300, 22, FALSE)="",":",VLOOKUP($E$65,[1]QUART!$A$2:$FA$300, 22, FALSE))</f>
        <v>:</v>
      </c>
      <c r="X65" s="556" t="str">
        <f>IF(VLOOKUP($E$65,[1]QUART!$A$2:$FA$300, 23, FALSE)="",":",VLOOKUP($E$65,[1]QUART!$A$2:$FA$300, 23, FALSE))</f>
        <v>:</v>
      </c>
      <c r="Y65" s="556" t="str">
        <f>IF(VLOOKUP($E$65,[1]QUART!$A$2:$FA$300, 24, FALSE)="",":",VLOOKUP($E$65,[1]QUART!$A$2:$FA$300, 24, FALSE))</f>
        <v>:</v>
      </c>
      <c r="Z65" s="556" t="str">
        <f>IF(VLOOKUP($E$65,[1]QUART!$A$2:$FA$300, 25, FALSE)="",":",VLOOKUP($E$65,[1]QUART!$A$2:$FA$300, 25, FALSE))</f>
        <v>:</v>
      </c>
      <c r="AA65" s="556" t="str">
        <f>IF(VLOOKUP($E$65,[1]QUART!$A$2:$FA$300, 26, FALSE)="",":",VLOOKUP($E$65,[1]QUART!$A$2:$FA$300, 26, FALSE))</f>
        <v>:</v>
      </c>
      <c r="AB65" s="556" t="str">
        <f>IF(VLOOKUP($E$65,[1]QUART!$A$2:$FA$300, 27, FALSE)="",":",VLOOKUP($E$65,[1]QUART!$A$2:$FA$300, 27, FALSE))</f>
        <v>:</v>
      </c>
      <c r="AC65" s="556" t="str">
        <f>IF(VLOOKUP($E$65,[1]QUART!$A$2:$FA$300, 28, FALSE)="",":",VLOOKUP($E$65,[1]QUART!$A$2:$FA$300, 28, FALSE))</f>
        <v>:</v>
      </c>
      <c r="AD65" s="556" t="str">
        <f>IF(VLOOKUP($E$65,[1]QUART!$A$2:$FA$300, 29, FALSE)="",":",VLOOKUP($E$65,[1]QUART!$A$2:$FA$300, 29, FALSE))</f>
        <v>:</v>
      </c>
      <c r="AE65" s="556" t="str">
        <f>IF(VLOOKUP($E$65,[1]QUART!$A$2:$FA$300, 30, FALSE)="",":",VLOOKUP($E$65,[1]QUART!$A$2:$FA$300, 30, FALSE))</f>
        <v>:</v>
      </c>
      <c r="AF65" s="556" t="str">
        <f>IF(VLOOKUP($E$65,[1]QUART!$A$2:$FA$300, 31, FALSE)="",":",VLOOKUP($E$65,[1]QUART!$A$2:$FA$300, 31, FALSE))</f>
        <v>:</v>
      </c>
      <c r="AG65" s="556" t="str">
        <f>IF(VLOOKUP($E$65,[1]QUART!$A$2:$FA$300, 32, FALSE)="",":",VLOOKUP($E$65,[1]QUART!$A$2:$FA$300, 32, FALSE))</f>
        <v>:</v>
      </c>
      <c r="AH65" s="556" t="str">
        <f>IF(VLOOKUP($E$65,[1]QUART!$A$2:$FA$300, 33, FALSE)="",":",VLOOKUP($E$65,[1]QUART!$A$2:$FA$300, 33, FALSE))</f>
        <v>:</v>
      </c>
      <c r="AI65" s="556" t="str">
        <f>IF(VLOOKUP($E$65,[1]QUART!$A$2:$FA$300, 34, FALSE)="",":",VLOOKUP($E$65,[1]QUART!$A$2:$FA$300, 34, FALSE))</f>
        <v>:</v>
      </c>
      <c r="AJ65" s="556" t="str">
        <f>IF(VLOOKUP($E$65,[1]QUART!$A$2:$FA$300, 35, FALSE)="",":",VLOOKUP($E$65,[1]QUART!$A$2:$FA$300, 35, FALSE))</f>
        <v>:</v>
      </c>
      <c r="AK65" s="556" t="str">
        <f>IF(VLOOKUP($E$65,[1]QUART!$A$2:$FA$300, 36, FALSE)="",":",VLOOKUP($E$65,[1]QUART!$A$2:$FA$300, 36, FALSE))</f>
        <v>:</v>
      </c>
      <c r="AL65" s="556" t="str">
        <f>IF(VLOOKUP($E$65,[1]QUART!$A$2:$FA$300, 37, FALSE)="",":",VLOOKUP($E$65,[1]QUART!$A$2:$FA$300, 37, FALSE))</f>
        <v>:</v>
      </c>
      <c r="AM65" s="556" t="str">
        <f>IF(VLOOKUP($E$65,[1]QUART!$A$2:$FA$300, 38, FALSE)="",":",VLOOKUP($E$65,[1]QUART!$A$2:$FA$300, 38, FALSE))</f>
        <v>:</v>
      </c>
      <c r="AN65" s="556" t="str">
        <f>IF(VLOOKUP($E$65,[1]QUART!$A$2:$FA$300, 39, FALSE)="",":",VLOOKUP($E$65,[1]QUART!$A$2:$FA$300, 39, FALSE))</f>
        <v>:</v>
      </c>
      <c r="AO65" s="556" t="str">
        <f>IF(VLOOKUP($E$65,[1]QUART!$A$2:$FA$300, 40, FALSE)="",":",VLOOKUP($E$65,[1]QUART!$A$2:$FA$300, 40, FALSE))</f>
        <v>:</v>
      </c>
      <c r="AP65" s="556" t="str">
        <f>IF(VLOOKUP($E$65,[1]QUART!$A$2:$FA$300, 41, FALSE)="",":",VLOOKUP($E$65,[1]QUART!$A$2:$FA$300, 41, FALSE))</f>
        <v>:</v>
      </c>
      <c r="AQ65" s="556" t="str">
        <f>IF(VLOOKUP($E$65,[1]QUART!$A$2:$FA$300, 42, FALSE)="",":",VLOOKUP($E$65,[1]QUART!$A$2:$FA$300, 42, FALSE))</f>
        <v>:</v>
      </c>
      <c r="AR65" s="556" t="str">
        <f>IF(VLOOKUP($E$65,[1]QUART!$A$2:$FA$300, 43, FALSE)="",":",VLOOKUP($E$65,[1]QUART!$A$2:$FA$300, 43, FALSE))</f>
        <v>:</v>
      </c>
      <c r="AS65" s="556" t="str">
        <f>IF(VLOOKUP($E$65,[1]QUART!$A$2:$FA$300, 44, FALSE)="",":",VLOOKUP($E$65,[1]QUART!$A$2:$FA$300, 44, FALSE))</f>
        <v>:</v>
      </c>
      <c r="AT65" s="556" t="str">
        <f>IF(VLOOKUP($E$65,[1]QUART!$A$2:$FA$300, 45, FALSE)="",":",VLOOKUP($E$65,[1]QUART!$A$2:$FA$300, 45, FALSE))</f>
        <v>:</v>
      </c>
      <c r="AU65" s="556" t="str">
        <f>IF(VLOOKUP($E$65,[1]QUART!$A$2:$FA$300, 46, FALSE)="",":",VLOOKUP($E$65,[1]QUART!$A$2:$FA$300, 46, FALSE))</f>
        <v>:</v>
      </c>
      <c r="AV65" s="556" t="str">
        <f>IF(VLOOKUP($E$65,[1]QUART!$A$2:$FA$300, 47, FALSE)="",":",VLOOKUP($E$65,[1]QUART!$A$2:$FA$300, 47, FALSE))</f>
        <v>:</v>
      </c>
      <c r="AW65" s="556" t="str">
        <f>IF(VLOOKUP($E$65,[1]QUART!$A$2:$FA$300, 48, FALSE)="",":",VLOOKUP($E$65,[1]QUART!$A$2:$FA$300, 48, FALSE))</f>
        <v>:</v>
      </c>
      <c r="AX65" s="556" t="str">
        <f>IF(VLOOKUP($E$65,[1]QUART!$A$2:$FA$300, 49, FALSE)="",":",VLOOKUP($E$65,[1]QUART!$A$2:$FA$300, 49, FALSE))</f>
        <v>:</v>
      </c>
      <c r="AY65" s="556" t="str">
        <f>IF(VLOOKUP($E$65,[1]QUART!$A$2:$FA$300, 50, FALSE)="",":",VLOOKUP($E$65,[1]QUART!$A$2:$FA$300, 50, FALSE))</f>
        <v>:</v>
      </c>
      <c r="AZ65" s="556" t="str">
        <f>IF(VLOOKUP($E$65,[1]QUART!$A$2:$FA$300, 51, FALSE)="",":",VLOOKUP($E$65,[1]QUART!$A$2:$FA$300, 51, FALSE))</f>
        <v>:</v>
      </c>
      <c r="BA65" s="556" t="str">
        <f>IF(VLOOKUP($E$65,[1]QUART!$A$2:$FA$300, 52, FALSE)="",":",VLOOKUP($E$65,[1]QUART!$A$2:$FA$300, 52, FALSE))</f>
        <v>:</v>
      </c>
      <c r="BB65" s="556" t="str">
        <f>IF(VLOOKUP($E$65,[1]QUART!$A$2:$FA$300, 53, FALSE)="",":",VLOOKUP($E$65,[1]QUART!$A$2:$FA$300, 53, FALSE))</f>
        <v>:</v>
      </c>
      <c r="BC65" s="556" t="str">
        <f>IF(VLOOKUP($E$65,[1]QUART!$A$2:$FA$300, 54, FALSE)="",":",VLOOKUP($E$65,[1]QUART!$A$2:$FA$300, 54, FALSE))</f>
        <v>:</v>
      </c>
      <c r="BD65" s="556" t="str">
        <f>IF(VLOOKUP($E$65,[1]QUART!$A$2:$FA$300, 55, FALSE)="",":",VLOOKUP($E$65,[1]QUART!$A$2:$FA$300, 55, FALSE))</f>
        <v>:</v>
      </c>
      <c r="BE65" s="556" t="str">
        <f>IF(VLOOKUP($E$65,[1]QUART!$A$2:$FA$300, 56, FALSE)="",":",VLOOKUP($E$65,[1]QUART!$A$2:$FA$300, 56, FALSE))</f>
        <v>:</v>
      </c>
      <c r="BF65" s="556" t="str">
        <f>IF(VLOOKUP($E$65,[1]QUART!$A$2:$FA$300, 57, FALSE)="",":",VLOOKUP($E$65,[1]QUART!$A$2:$FA$300, 57, FALSE))</f>
        <v>:</v>
      </c>
      <c r="BG65" s="556" t="str">
        <f>IF(VLOOKUP($E$65,[1]QUART!$A$2:$FA$300, 58, FALSE)="",":",VLOOKUP($E$65,[1]QUART!$A$2:$FA$300, 58, FALSE))</f>
        <v>:</v>
      </c>
      <c r="BH65" s="556" t="str">
        <f>IF(VLOOKUP($E$65,[1]QUART!$A$2:$FA$300, 59, FALSE)="",":",VLOOKUP($E$65,[1]QUART!$A$2:$FA$300, 59, FALSE))</f>
        <v>:</v>
      </c>
      <c r="BI65" s="556" t="str">
        <f>IF(VLOOKUP($E$65,[1]QUART!$A$2:$FA$300, 60, FALSE)="",":",VLOOKUP($E$65,[1]QUART!$A$2:$FA$300, 60, FALSE))</f>
        <v>:</v>
      </c>
      <c r="BJ65" s="556" t="str">
        <f>IF(VLOOKUP($E$65,[1]QUART!$A$2:$FA$300, 61, FALSE)="",":",VLOOKUP($E$65,[1]QUART!$A$2:$FA$300, 61, FALSE))</f>
        <v>:</v>
      </c>
      <c r="BK65" s="556" t="str">
        <f>IF(VLOOKUP($E$65,[1]QUART!$A$2:$FA$300, 62, FALSE)="",":",VLOOKUP($E$65,[1]QUART!$A$2:$FA$300, 62, FALSE))</f>
        <v>:</v>
      </c>
      <c r="BL65" s="556" t="str">
        <f>IF(VLOOKUP($E$65,[1]QUART!$A$2:$FA$300, 63, FALSE)="",":",VLOOKUP($E$65,[1]QUART!$A$2:$FA$300, 63, FALSE))</f>
        <v>:</v>
      </c>
      <c r="BM65" s="556" t="str">
        <f>IF(VLOOKUP($E$65,[1]QUART!$A$2:$FA$300, 64, FALSE)="",":",VLOOKUP($E$65,[1]QUART!$A$2:$FA$300, 64, FALSE))</f>
        <v>:</v>
      </c>
      <c r="BN65" s="556" t="str">
        <f>IF(VLOOKUP($E$65,[1]QUART!$A$2:$FA$300, 65, FALSE)="",":",VLOOKUP($E$65,[1]QUART!$A$2:$FA$300, 65, FALSE))</f>
        <v>:</v>
      </c>
      <c r="BO65" s="556" t="str">
        <f>IF(VLOOKUP($E$65,[1]QUART!$A$2:$FA$300, 66, FALSE)="",":",VLOOKUP($E$65,[1]QUART!$A$2:$FA$300, 66, FALSE))</f>
        <v>:</v>
      </c>
      <c r="BP65" s="556" t="str">
        <f>IF(VLOOKUP($E$65,[1]QUART!$A$2:$FA$300, 67, FALSE)="",":",VLOOKUP($E$65,[1]QUART!$A$2:$FA$300, 67, FALSE))</f>
        <v>:</v>
      </c>
      <c r="BQ65" s="556" t="str">
        <f>IF(VLOOKUP($E$65,[1]QUART!$A$2:$FA$300, 68, FALSE)="",":",VLOOKUP($E$65,[1]QUART!$A$2:$FA$300, 68, FALSE))</f>
        <v>:</v>
      </c>
      <c r="BR65" s="556" t="str">
        <f>IF(VLOOKUP($E$65,[1]QUART!$A$2:$FA$300, 69, FALSE)="",":",VLOOKUP($E$65,[1]QUART!$A$2:$FA$300, 69, FALSE))</f>
        <v>:</v>
      </c>
      <c r="BS65" s="556" t="str">
        <f>IF(VLOOKUP($E$65,[1]QUART!$A$2:$FA$300, 70, FALSE)="",":",VLOOKUP($E$65,[1]QUART!$A$2:$FA$300, 70, FALSE))</f>
        <v>:</v>
      </c>
      <c r="BT65" s="556" t="str">
        <f>IF(VLOOKUP($E$65,[1]QUART!$A$2:$FA$300, 71, FALSE)="",":",VLOOKUP($E$65,[1]QUART!$A$2:$FA$300, 71, FALSE))</f>
        <v>:</v>
      </c>
      <c r="BU65" s="556" t="str">
        <f>IF(VLOOKUP($E$65,[1]QUART!$A$2:$FA$300, 72, FALSE)="",":",VLOOKUP($E$65,[1]QUART!$A$2:$FA$300, 72, FALSE))</f>
        <v>:</v>
      </c>
      <c r="BV65" s="556" t="str">
        <f>IF(VLOOKUP($E$65,[1]QUART!$A$2:$FA$300, 73, FALSE)="",":",VLOOKUP($E$65,[1]QUART!$A$2:$FA$300, 73, FALSE))</f>
        <v>:</v>
      </c>
      <c r="BW65" s="556" t="str">
        <f>IF(VLOOKUP($E$65,[1]QUART!$A$2:$FA$300, 74, FALSE)="",":",VLOOKUP($E$65,[1]QUART!$A$2:$FA$300, 74, FALSE))</f>
        <v>:</v>
      </c>
      <c r="BX65" s="556" t="str">
        <f>IF(VLOOKUP($E$65,[1]QUART!$A$2:$FA$300, 75, FALSE)="",":",VLOOKUP($E$65,[1]QUART!$A$2:$FA$300, 75, FALSE))</f>
        <v>:</v>
      </c>
      <c r="BY65" s="556" t="str">
        <f>IF(VLOOKUP($E$65,[1]QUART!$A$2:$FA$300, 76, FALSE)="",":",VLOOKUP($E$65,[1]QUART!$A$2:$FA$300, 76, FALSE))</f>
        <v>:</v>
      </c>
      <c r="BZ65" s="556" t="str">
        <f>IF(VLOOKUP($E$65,[1]QUART!$A$2:$FA$300, 77, FALSE)="",":",VLOOKUP($E$65,[1]QUART!$A$2:$FA$300, 77, FALSE))</f>
        <v>:</v>
      </c>
      <c r="CA65" s="556" t="str">
        <f>IF(VLOOKUP($E$65,[1]QUART!$A$2:$FA$300, 78, FALSE)="",":",VLOOKUP($E$65,[1]QUART!$A$2:$FA$300, 78, FALSE))</f>
        <v>:</v>
      </c>
      <c r="CB65" s="556" t="str">
        <f>IF(VLOOKUP($E$65,[1]QUART!$A$2:$FA$300, 79, FALSE)="",":",VLOOKUP($E$65,[1]QUART!$A$2:$FA$300, 79, FALSE))</f>
        <v>:</v>
      </c>
      <c r="CC65" s="556" t="str">
        <f>IF(VLOOKUP($E$65,[1]QUART!$A$2:$FA$300, 80, FALSE)="",":",VLOOKUP($E$65,[1]QUART!$A$2:$FA$300, 80, FALSE))</f>
        <v>:</v>
      </c>
      <c r="CD65" s="556" t="str">
        <f>IF(VLOOKUP($E$65,[1]QUART!$A$2:$FA$300, 81, FALSE)="",":",VLOOKUP($E$65,[1]QUART!$A$2:$FA$300, 81, FALSE))</f>
        <v>:</v>
      </c>
      <c r="CE65" s="556" t="str">
        <f>IF(VLOOKUP($E$65,[1]QUART!$A$2:$FA$300, 82, FALSE)="",":",VLOOKUP($E$65,[1]QUART!$A$2:$FA$300, 82, FALSE))</f>
        <v>:</v>
      </c>
      <c r="CF65" s="556" t="str">
        <f>IF(VLOOKUP($E$65,[1]QUART!$A$2:$FA$300, 83, FALSE)="",":",VLOOKUP($E$65,[1]QUART!$A$2:$FA$300, 83, FALSE))</f>
        <v>:</v>
      </c>
      <c r="CG65" s="556" t="str">
        <f>IF(VLOOKUP($E$65,[1]QUART!$A$2:$FA$300, 84, FALSE)="",":",VLOOKUP($E$65,[1]QUART!$A$2:$FA$300, 84, FALSE))</f>
        <v>:</v>
      </c>
      <c r="CH65" s="556" t="str">
        <f>IF(VLOOKUP($E$65,[1]QUART!$A$2:$FA$300, 85, FALSE)="",":",VLOOKUP($E$65,[1]QUART!$A$2:$FA$300, 85, FALSE))</f>
        <v>:</v>
      </c>
      <c r="CI65" s="556" t="str">
        <f>IF(VLOOKUP($E$65,[1]QUART!$A$2:$FA$300, 86, FALSE)="",":",VLOOKUP($E$65,[1]QUART!$A$2:$FA$300, 86, FALSE))</f>
        <v>:</v>
      </c>
      <c r="CJ65" s="556" t="str">
        <f>IF(VLOOKUP($E$65,[1]QUART!$A$2:$FA$300, 87, FALSE)="",":",VLOOKUP($E$65,[1]QUART!$A$2:$FA$300, 87, FALSE))</f>
        <v>:</v>
      </c>
      <c r="CK65" s="556" t="str">
        <f>IF(VLOOKUP($E$65,[1]QUART!$A$2:$FA$300, 88, FALSE)="",":",VLOOKUP($E$65,[1]QUART!$A$2:$FA$300, 88, FALSE))</f>
        <v>:</v>
      </c>
      <c r="CL65" s="556" t="str">
        <f>IF(VLOOKUP($E$65,[1]QUART!$A$2:$FA$300, 89, FALSE)="",":",VLOOKUP($E$65,[1]QUART!$A$2:$FA$300, 89, FALSE))</f>
        <v>:</v>
      </c>
      <c r="CM65" s="556" t="str">
        <f>IF(VLOOKUP($E$65,[1]QUART!$A$2:$FA$300, 90, FALSE)="",":",VLOOKUP($E$65,[1]QUART!$A$2:$FA$300, 90, FALSE))</f>
        <v>:</v>
      </c>
      <c r="CN65" s="556" t="str">
        <f>IF(VLOOKUP($E$65,[1]QUART!$A$2:$FA$300, 91, FALSE)="",":",VLOOKUP($E$65,[1]QUART!$A$2:$FA$300, 91, FALSE))</f>
        <v>:</v>
      </c>
      <c r="CO65" s="556" t="str">
        <f>IF(VLOOKUP($E$65,[1]QUART!$A$2:$FA$300, 92, FALSE)="",":",VLOOKUP($E$65,[1]QUART!$A$2:$FA$300, 92, FALSE))</f>
        <v>:</v>
      </c>
      <c r="CP65" s="556" t="str">
        <f>IF(VLOOKUP($E$65,[1]QUART!$A$2:$FA$300, 93, FALSE)="",":",VLOOKUP($E$65,[1]QUART!$A$2:$FA$300, 93, FALSE))</f>
        <v>:</v>
      </c>
      <c r="CQ65" s="556" t="str">
        <f>IF(VLOOKUP($E$65,[1]QUART!$A$2:$FA$300, 94, FALSE)="",":",VLOOKUP($E$65,[1]QUART!$A$2:$FA$300, 94, FALSE))</f>
        <v>:</v>
      </c>
      <c r="CR65" s="556" t="str">
        <f>IF(VLOOKUP($E$65,[1]QUART!$A$2:$FA$300, 95, FALSE)="",":",VLOOKUP($E$65,[1]QUART!$A$2:$FA$300, 95, FALSE))</f>
        <v>:</v>
      </c>
      <c r="CS65" s="556" t="str">
        <f>IF(VLOOKUP($E$65,[1]QUART!$A$2:$FA$300, 96, FALSE)="",":",VLOOKUP($E$65,[1]QUART!$A$2:$FA$300, 96, FALSE))</f>
        <v>:</v>
      </c>
      <c r="CT65" s="556" t="str">
        <f>IF(VLOOKUP($E$65,[1]QUART!$A$2:$FA$300, 97, FALSE)="",":",VLOOKUP($E$65,[1]QUART!$A$2:$FA$300, 97, FALSE))</f>
        <v>:</v>
      </c>
      <c r="CU65" s="556" t="str">
        <f>IF(VLOOKUP($E$65,[1]QUART!$A$2:$FA$300, 98, FALSE)="",":",VLOOKUP($E$65,[1]QUART!$A$2:$FA$300, 98, FALSE))</f>
        <v>:</v>
      </c>
      <c r="CV65" s="556" t="str">
        <f>IF(VLOOKUP($E$65,[1]QUART!$A$2:$FA$300, 99, FALSE)="",":",VLOOKUP($E$65,[1]QUART!$A$2:$FA$300, 99, FALSE))</f>
        <v>:</v>
      </c>
      <c r="CW65" s="556" t="str">
        <f>IF(VLOOKUP($E$65,[1]QUART!$A$2:$FA$300, 100, FALSE)="",":",VLOOKUP($E$65,[1]QUART!$A$2:$FA$300, 100, FALSE))</f>
        <v>:</v>
      </c>
      <c r="CX65" s="556" t="str">
        <f>IF(VLOOKUP($E$65,[1]QUART!$A$2:$FA$300, 101, FALSE)="",":",VLOOKUP($E$65,[1]QUART!$A$2:$FA$300, 101, FALSE))</f>
        <v>:</v>
      </c>
      <c r="CY65" s="556" t="str">
        <f>IF(VLOOKUP($E$65,[1]QUART!$A$2:$FA$300, 102, FALSE)="",":",VLOOKUP($E$65,[1]QUART!$A$2:$FA$300, 102, FALSE))</f>
        <v>:</v>
      </c>
      <c r="CZ65" s="556" t="str">
        <f>IF(VLOOKUP($E$65,[1]QUART!$A$2:$FA$300, 103, FALSE)="",":",VLOOKUP($E$65,[1]QUART!$A$2:$FA$300, 103, FALSE))</f>
        <v>:</v>
      </c>
      <c r="DA65" s="556" t="str">
        <f>IF(VLOOKUP($E$65,[1]QUART!$A$2:$FA$300, 104, FALSE)="",":",VLOOKUP($E$65,[1]QUART!$A$2:$FA$300, 104, FALSE))</f>
        <v>:</v>
      </c>
      <c r="DB65" s="556" t="str">
        <f>IF(VLOOKUP($E$65,[1]QUART!$A$2:$FA$300, 105, FALSE)="",":",VLOOKUP($E$65,[1]QUART!$A$2:$FA$300, 105, FALSE))</f>
        <v>:</v>
      </c>
      <c r="DC65" s="556" t="str">
        <f>IF(VLOOKUP($E$65,[1]QUART!$A$2:$FA$300, 106, FALSE)="",":",VLOOKUP($E$65,[1]QUART!$A$2:$FA$300, 106, FALSE))</f>
        <v>:</v>
      </c>
    </row>
    <row r="66" spans="1:107">
      <c r="A66" s="546"/>
      <c r="B66" s="546"/>
      <c r="C66" s="547"/>
      <c r="D66" s="12" t="s">
        <v>363</v>
      </c>
      <c r="E66" s="13">
        <v>133</v>
      </c>
      <c r="F66" s="14" t="str">
        <f>VLOOKUP($E$66,[1]QUART!$A$2:$FA$300, 3, FALSE)</f>
        <v xml:space="preserve">133  Exports of goods                              </v>
      </c>
      <c r="G66" s="556" t="str">
        <f>IF(VLOOKUP($E$66,[1]QUART!$A$2:$FA$300, 6, FALSE)="",":",VLOOKUP($E$66,[1]QUART!$A$2:$FA$300, 6, FALSE))</f>
        <v>:</v>
      </c>
      <c r="H66" s="556" t="str">
        <f>IF(VLOOKUP($E$66,[1]QUART!$A$2:$FA$300, 7, FALSE)="",":",VLOOKUP($E$66,[1]QUART!$A$2:$FA$300, 7, FALSE))</f>
        <v>:</v>
      </c>
      <c r="I66" s="556" t="str">
        <f>IF(VLOOKUP($E$66,[1]QUART!$A$2:$FA$300, 8, FALSE)="",":",VLOOKUP($E$66,[1]QUART!$A$2:$FA$300, 8, FALSE))</f>
        <v>:</v>
      </c>
      <c r="J66" s="556" t="str">
        <f>IF(VLOOKUP($E$66,[1]QUART!$A$2:$FA$300, 9, FALSE)="",":",VLOOKUP($E$66,[1]QUART!$A$2:$FA$300, 9, FALSE))</f>
        <v>:</v>
      </c>
      <c r="K66" s="556" t="str">
        <f>IF(VLOOKUP($E$66,[1]QUART!$A$2:$FA$300, 10, FALSE)="",":",VLOOKUP($E$66,[1]QUART!$A$2:$FA$300, 10, FALSE))</f>
        <v>:</v>
      </c>
      <c r="L66" s="556" t="str">
        <f>IF(VLOOKUP($E$66,[1]QUART!$A$2:$FA$300, 11, FALSE)="",":",VLOOKUP($E$66,[1]QUART!$A$2:$FA$300, 11, FALSE))</f>
        <v>:</v>
      </c>
      <c r="M66" s="556" t="str">
        <f>IF(VLOOKUP($E$66,[1]QUART!$A$2:$FA$300, 12, FALSE)="",":",VLOOKUP($E$66,[1]QUART!$A$2:$FA$300, 12, FALSE))</f>
        <v>:</v>
      </c>
      <c r="N66" s="556" t="str">
        <f>IF(VLOOKUP($E$66,[1]QUART!$A$2:$FA$300, 13, FALSE)="",":",VLOOKUP($E$66,[1]QUART!$A$2:$FA$300, 13, FALSE))</f>
        <v>:</v>
      </c>
      <c r="O66" s="556" t="str">
        <f>IF(VLOOKUP($E$66,[1]QUART!$A$2:$FA$300, 14, FALSE)="",":",VLOOKUP($E$66,[1]QUART!$A$2:$FA$300, 14, FALSE))</f>
        <v>:</v>
      </c>
      <c r="P66" s="556" t="str">
        <f>IF(VLOOKUP($E$66,[1]QUART!$A$2:$FA$300, 15, FALSE)="",":",VLOOKUP($E$66,[1]QUART!$A$2:$FA$300, 15, FALSE))</f>
        <v>:</v>
      </c>
      <c r="Q66" s="556" t="str">
        <f>IF(VLOOKUP($E$66,[1]QUART!$A$2:$FA$300, 16, FALSE)="",":",VLOOKUP($E$66,[1]QUART!$A$2:$FA$300, 16, FALSE))</f>
        <v>:</v>
      </c>
      <c r="R66" s="556" t="str">
        <f>IF(VLOOKUP($E$66,[1]QUART!$A$2:$FA$300, 17, FALSE)="",":",VLOOKUP($E$66,[1]QUART!$A$2:$FA$300, 17, FALSE))</f>
        <v>:</v>
      </c>
      <c r="S66" s="556" t="str">
        <f>IF(VLOOKUP($E$66,[1]QUART!$A$2:$FA$300, 18, FALSE)="",":",VLOOKUP($E$66,[1]QUART!$A$2:$FA$300, 18, FALSE))</f>
        <v>:</v>
      </c>
      <c r="T66" s="556" t="str">
        <f>IF(VLOOKUP($E$66,[1]QUART!$A$2:$FA$300, 19, FALSE)="",":",VLOOKUP($E$66,[1]QUART!$A$2:$FA$300, 19, FALSE))</f>
        <v>:</v>
      </c>
      <c r="U66" s="556" t="str">
        <f>IF(VLOOKUP($E$66,[1]QUART!$A$2:$FA$300, 20, FALSE)="",":",VLOOKUP($E$66,[1]QUART!$A$2:$FA$300, 20, FALSE))</f>
        <v>:</v>
      </c>
      <c r="V66" s="556" t="str">
        <f>IF(VLOOKUP($E$66,[1]QUART!$A$2:$FA$300, 21, FALSE)="",":",VLOOKUP($E$66,[1]QUART!$A$2:$FA$300, 21, FALSE))</f>
        <v>:</v>
      </c>
      <c r="W66" s="556" t="str">
        <f>IF(VLOOKUP($E$66,[1]QUART!$A$2:$FA$300, 22, FALSE)="",":",VLOOKUP($E$66,[1]QUART!$A$2:$FA$300, 22, FALSE))</f>
        <v>:</v>
      </c>
      <c r="X66" s="556" t="str">
        <f>IF(VLOOKUP($E$66,[1]QUART!$A$2:$FA$300, 23, FALSE)="",":",VLOOKUP($E$66,[1]QUART!$A$2:$FA$300, 23, FALSE))</f>
        <v>:</v>
      </c>
      <c r="Y66" s="556" t="str">
        <f>IF(VLOOKUP($E$66,[1]QUART!$A$2:$FA$300, 24, FALSE)="",":",VLOOKUP($E$66,[1]QUART!$A$2:$FA$300, 24, FALSE))</f>
        <v>:</v>
      </c>
      <c r="Z66" s="556" t="str">
        <f>IF(VLOOKUP($E$66,[1]QUART!$A$2:$FA$300, 25, FALSE)="",":",VLOOKUP($E$66,[1]QUART!$A$2:$FA$300, 25, FALSE))</f>
        <v>:</v>
      </c>
      <c r="AA66" s="556" t="str">
        <f>IF(VLOOKUP($E$66,[1]QUART!$A$2:$FA$300, 26, FALSE)="",":",VLOOKUP($E$66,[1]QUART!$A$2:$FA$300, 26, FALSE))</f>
        <v>:</v>
      </c>
      <c r="AB66" s="556" t="str">
        <f>IF(VLOOKUP($E$66,[1]QUART!$A$2:$FA$300, 27, FALSE)="",":",VLOOKUP($E$66,[1]QUART!$A$2:$FA$300, 27, FALSE))</f>
        <v>:</v>
      </c>
      <c r="AC66" s="556" t="str">
        <f>IF(VLOOKUP($E$66,[1]QUART!$A$2:$FA$300, 28, FALSE)="",":",VLOOKUP($E$66,[1]QUART!$A$2:$FA$300, 28, FALSE))</f>
        <v>:</v>
      </c>
      <c r="AD66" s="556" t="str">
        <f>IF(VLOOKUP($E$66,[1]QUART!$A$2:$FA$300, 29, FALSE)="",":",VLOOKUP($E$66,[1]QUART!$A$2:$FA$300, 29, FALSE))</f>
        <v>:</v>
      </c>
      <c r="AE66" s="556" t="str">
        <f>IF(VLOOKUP($E$66,[1]QUART!$A$2:$FA$300, 30, FALSE)="",":",VLOOKUP($E$66,[1]QUART!$A$2:$FA$300, 30, FALSE))</f>
        <v>:</v>
      </c>
      <c r="AF66" s="556" t="str">
        <f>IF(VLOOKUP($E$66,[1]QUART!$A$2:$FA$300, 31, FALSE)="",":",VLOOKUP($E$66,[1]QUART!$A$2:$FA$300, 31, FALSE))</f>
        <v>:</v>
      </c>
      <c r="AG66" s="556" t="str">
        <f>IF(VLOOKUP($E$66,[1]QUART!$A$2:$FA$300, 32, FALSE)="",":",VLOOKUP($E$66,[1]QUART!$A$2:$FA$300, 32, FALSE))</f>
        <v>:</v>
      </c>
      <c r="AH66" s="556" t="str">
        <f>IF(VLOOKUP($E$66,[1]QUART!$A$2:$FA$300, 33, FALSE)="",":",VLOOKUP($E$66,[1]QUART!$A$2:$FA$300, 33, FALSE))</f>
        <v>:</v>
      </c>
      <c r="AI66" s="556" t="str">
        <f>IF(VLOOKUP($E$66,[1]QUART!$A$2:$FA$300, 34, FALSE)="",":",VLOOKUP($E$66,[1]QUART!$A$2:$FA$300, 34, FALSE))</f>
        <v>:</v>
      </c>
      <c r="AJ66" s="556" t="str">
        <f>IF(VLOOKUP($E$66,[1]QUART!$A$2:$FA$300, 35, FALSE)="",":",VLOOKUP($E$66,[1]QUART!$A$2:$FA$300, 35, FALSE))</f>
        <v>:</v>
      </c>
      <c r="AK66" s="556" t="str">
        <f>IF(VLOOKUP($E$66,[1]QUART!$A$2:$FA$300, 36, FALSE)="",":",VLOOKUP($E$66,[1]QUART!$A$2:$FA$300, 36, FALSE))</f>
        <v>:</v>
      </c>
      <c r="AL66" s="556" t="str">
        <f>IF(VLOOKUP($E$66,[1]QUART!$A$2:$FA$300, 37, FALSE)="",":",VLOOKUP($E$66,[1]QUART!$A$2:$FA$300, 37, FALSE))</f>
        <v>:</v>
      </c>
      <c r="AM66" s="556" t="str">
        <f>IF(VLOOKUP($E$66,[1]QUART!$A$2:$FA$300, 38, FALSE)="",":",VLOOKUP($E$66,[1]QUART!$A$2:$FA$300, 38, FALSE))</f>
        <v>:</v>
      </c>
      <c r="AN66" s="556" t="str">
        <f>IF(VLOOKUP($E$66,[1]QUART!$A$2:$FA$300, 39, FALSE)="",":",VLOOKUP($E$66,[1]QUART!$A$2:$FA$300, 39, FALSE))</f>
        <v>:</v>
      </c>
      <c r="AO66" s="556" t="str">
        <f>IF(VLOOKUP($E$66,[1]QUART!$A$2:$FA$300, 40, FALSE)="",":",VLOOKUP($E$66,[1]QUART!$A$2:$FA$300, 40, FALSE))</f>
        <v>:</v>
      </c>
      <c r="AP66" s="556" t="str">
        <f>IF(VLOOKUP($E$66,[1]QUART!$A$2:$FA$300, 41, FALSE)="",":",VLOOKUP($E$66,[1]QUART!$A$2:$FA$300, 41, FALSE))</f>
        <v>:</v>
      </c>
      <c r="AQ66" s="556" t="str">
        <f>IF(VLOOKUP($E$66,[1]QUART!$A$2:$FA$300, 42, FALSE)="",":",VLOOKUP($E$66,[1]QUART!$A$2:$FA$300, 42, FALSE))</f>
        <v>:</v>
      </c>
      <c r="AR66" s="556" t="str">
        <f>IF(VLOOKUP($E$66,[1]QUART!$A$2:$FA$300, 43, FALSE)="",":",VLOOKUP($E$66,[1]QUART!$A$2:$FA$300, 43, FALSE))</f>
        <v>:</v>
      </c>
      <c r="AS66" s="556" t="str">
        <f>IF(VLOOKUP($E$66,[1]QUART!$A$2:$FA$300, 44, FALSE)="",":",VLOOKUP($E$66,[1]QUART!$A$2:$FA$300, 44, FALSE))</f>
        <v>:</v>
      </c>
      <c r="AT66" s="556" t="str">
        <f>IF(VLOOKUP($E$66,[1]QUART!$A$2:$FA$300, 45, FALSE)="",":",VLOOKUP($E$66,[1]QUART!$A$2:$FA$300, 45, FALSE))</f>
        <v>:</v>
      </c>
      <c r="AU66" s="556" t="str">
        <f>IF(VLOOKUP($E$66,[1]QUART!$A$2:$FA$300, 46, FALSE)="",":",VLOOKUP($E$66,[1]QUART!$A$2:$FA$300, 46, FALSE))</f>
        <v>:</v>
      </c>
      <c r="AV66" s="556" t="str">
        <f>IF(VLOOKUP($E$66,[1]QUART!$A$2:$FA$300, 47, FALSE)="",":",VLOOKUP($E$66,[1]QUART!$A$2:$FA$300, 47, FALSE))</f>
        <v>:</v>
      </c>
      <c r="AW66" s="556" t="str">
        <f>IF(VLOOKUP($E$66,[1]QUART!$A$2:$FA$300, 48, FALSE)="",":",VLOOKUP($E$66,[1]QUART!$A$2:$FA$300, 48, FALSE))</f>
        <v>:</v>
      </c>
      <c r="AX66" s="556" t="str">
        <f>IF(VLOOKUP($E$66,[1]QUART!$A$2:$FA$300, 49, FALSE)="",":",VLOOKUP($E$66,[1]QUART!$A$2:$FA$300, 49, FALSE))</f>
        <v>:</v>
      </c>
      <c r="AY66" s="556" t="str">
        <f>IF(VLOOKUP($E$66,[1]QUART!$A$2:$FA$300, 50, FALSE)="",":",VLOOKUP($E$66,[1]QUART!$A$2:$FA$300, 50, FALSE))</f>
        <v>:</v>
      </c>
      <c r="AZ66" s="556" t="str">
        <f>IF(VLOOKUP($E$66,[1]QUART!$A$2:$FA$300, 51, FALSE)="",":",VLOOKUP($E$66,[1]QUART!$A$2:$FA$300, 51, FALSE))</f>
        <v>:</v>
      </c>
      <c r="BA66" s="556" t="str">
        <f>IF(VLOOKUP($E$66,[1]QUART!$A$2:$FA$300, 52, FALSE)="",":",VLOOKUP($E$66,[1]QUART!$A$2:$FA$300, 52, FALSE))</f>
        <v>:</v>
      </c>
      <c r="BB66" s="556" t="str">
        <f>IF(VLOOKUP($E$66,[1]QUART!$A$2:$FA$300, 53, FALSE)="",":",VLOOKUP($E$66,[1]QUART!$A$2:$FA$300, 53, FALSE))</f>
        <v>:</v>
      </c>
      <c r="BC66" s="556" t="str">
        <f>IF(VLOOKUP($E$66,[1]QUART!$A$2:$FA$300, 54, FALSE)="",":",VLOOKUP($E$66,[1]QUART!$A$2:$FA$300, 54, FALSE))</f>
        <v>:</v>
      </c>
      <c r="BD66" s="556" t="str">
        <f>IF(VLOOKUP($E$66,[1]QUART!$A$2:$FA$300, 55, FALSE)="",":",VLOOKUP($E$66,[1]QUART!$A$2:$FA$300, 55, FALSE))</f>
        <v>:</v>
      </c>
      <c r="BE66" s="556" t="str">
        <f>IF(VLOOKUP($E$66,[1]QUART!$A$2:$FA$300, 56, FALSE)="",":",VLOOKUP($E$66,[1]QUART!$A$2:$FA$300, 56, FALSE))</f>
        <v>:</v>
      </c>
      <c r="BF66" s="556" t="str">
        <f>IF(VLOOKUP($E$66,[1]QUART!$A$2:$FA$300, 57, FALSE)="",":",VLOOKUP($E$66,[1]QUART!$A$2:$FA$300, 57, FALSE))</f>
        <v>:</v>
      </c>
      <c r="BG66" s="556" t="str">
        <f>IF(VLOOKUP($E$66,[1]QUART!$A$2:$FA$300, 58, FALSE)="",":",VLOOKUP($E$66,[1]QUART!$A$2:$FA$300, 58, FALSE))</f>
        <v>:</v>
      </c>
      <c r="BH66" s="556" t="str">
        <f>IF(VLOOKUP($E$66,[1]QUART!$A$2:$FA$300, 59, FALSE)="",":",VLOOKUP($E$66,[1]QUART!$A$2:$FA$300, 59, FALSE))</f>
        <v>:</v>
      </c>
      <c r="BI66" s="556" t="str">
        <f>IF(VLOOKUP($E$66,[1]QUART!$A$2:$FA$300, 60, FALSE)="",":",VLOOKUP($E$66,[1]QUART!$A$2:$FA$300, 60, FALSE))</f>
        <v>:</v>
      </c>
      <c r="BJ66" s="556" t="str">
        <f>IF(VLOOKUP($E$66,[1]QUART!$A$2:$FA$300, 61, FALSE)="",":",VLOOKUP($E$66,[1]QUART!$A$2:$FA$300, 61, FALSE))</f>
        <v>:</v>
      </c>
      <c r="BK66" s="556" t="str">
        <f>IF(VLOOKUP($E$66,[1]QUART!$A$2:$FA$300, 62, FALSE)="",":",VLOOKUP($E$66,[1]QUART!$A$2:$FA$300, 62, FALSE))</f>
        <v>:</v>
      </c>
      <c r="BL66" s="556" t="str">
        <f>IF(VLOOKUP($E$66,[1]QUART!$A$2:$FA$300, 63, FALSE)="",":",VLOOKUP($E$66,[1]QUART!$A$2:$FA$300, 63, FALSE))</f>
        <v>:</v>
      </c>
      <c r="BM66" s="556" t="str">
        <f>IF(VLOOKUP($E$66,[1]QUART!$A$2:$FA$300, 64, FALSE)="",":",VLOOKUP($E$66,[1]QUART!$A$2:$FA$300, 64, FALSE))</f>
        <v>:</v>
      </c>
      <c r="BN66" s="556" t="str">
        <f>IF(VLOOKUP($E$66,[1]QUART!$A$2:$FA$300, 65, FALSE)="",":",VLOOKUP($E$66,[1]QUART!$A$2:$FA$300, 65, FALSE))</f>
        <v>:</v>
      </c>
      <c r="BO66" s="556" t="str">
        <f>IF(VLOOKUP($E$66,[1]QUART!$A$2:$FA$300, 66, FALSE)="",":",VLOOKUP($E$66,[1]QUART!$A$2:$FA$300, 66, FALSE))</f>
        <v>:</v>
      </c>
      <c r="BP66" s="556" t="str">
        <f>IF(VLOOKUP($E$66,[1]QUART!$A$2:$FA$300, 67, FALSE)="",":",VLOOKUP($E$66,[1]QUART!$A$2:$FA$300, 67, FALSE))</f>
        <v>:</v>
      </c>
      <c r="BQ66" s="556" t="str">
        <f>IF(VLOOKUP($E$66,[1]QUART!$A$2:$FA$300, 68, FALSE)="",":",VLOOKUP($E$66,[1]QUART!$A$2:$FA$300, 68, FALSE))</f>
        <v>:</v>
      </c>
      <c r="BR66" s="556" t="str">
        <f>IF(VLOOKUP($E$66,[1]QUART!$A$2:$FA$300, 69, FALSE)="",":",VLOOKUP($E$66,[1]QUART!$A$2:$FA$300, 69, FALSE))</f>
        <v>:</v>
      </c>
      <c r="BS66" s="556" t="str">
        <f>IF(VLOOKUP($E$66,[1]QUART!$A$2:$FA$300, 70, FALSE)="",":",VLOOKUP($E$66,[1]QUART!$A$2:$FA$300, 70, FALSE))</f>
        <v>:</v>
      </c>
      <c r="BT66" s="556" t="str">
        <f>IF(VLOOKUP($E$66,[1]QUART!$A$2:$FA$300, 71, FALSE)="",":",VLOOKUP($E$66,[1]QUART!$A$2:$FA$300, 71, FALSE))</f>
        <v>:</v>
      </c>
      <c r="BU66" s="556" t="str">
        <f>IF(VLOOKUP($E$66,[1]QUART!$A$2:$FA$300, 72, FALSE)="",":",VLOOKUP($E$66,[1]QUART!$A$2:$FA$300, 72, FALSE))</f>
        <v>:</v>
      </c>
      <c r="BV66" s="556" t="str">
        <f>IF(VLOOKUP($E$66,[1]QUART!$A$2:$FA$300, 73, FALSE)="",":",VLOOKUP($E$66,[1]QUART!$A$2:$FA$300, 73, FALSE))</f>
        <v>:</v>
      </c>
      <c r="BW66" s="556" t="str">
        <f>IF(VLOOKUP($E$66,[1]QUART!$A$2:$FA$300, 74, FALSE)="",":",VLOOKUP($E$66,[1]QUART!$A$2:$FA$300, 74, FALSE))</f>
        <v>:</v>
      </c>
      <c r="BX66" s="556" t="str">
        <f>IF(VLOOKUP($E$66,[1]QUART!$A$2:$FA$300, 75, FALSE)="",":",VLOOKUP($E$66,[1]QUART!$A$2:$FA$300, 75, FALSE))</f>
        <v>:</v>
      </c>
      <c r="BY66" s="556" t="str">
        <f>IF(VLOOKUP($E$66,[1]QUART!$A$2:$FA$300, 76, FALSE)="",":",VLOOKUP($E$66,[1]QUART!$A$2:$FA$300, 76, FALSE))</f>
        <v>:</v>
      </c>
      <c r="BZ66" s="556" t="str">
        <f>IF(VLOOKUP($E$66,[1]QUART!$A$2:$FA$300, 77, FALSE)="",":",VLOOKUP($E$66,[1]QUART!$A$2:$FA$300, 77, FALSE))</f>
        <v>:</v>
      </c>
      <c r="CA66" s="556" t="str">
        <f>IF(VLOOKUP($E$66,[1]QUART!$A$2:$FA$300, 78, FALSE)="",":",VLOOKUP($E$66,[1]QUART!$A$2:$FA$300, 78, FALSE))</f>
        <v>:</v>
      </c>
      <c r="CB66" s="556" t="str">
        <f>IF(VLOOKUP($E$66,[1]QUART!$A$2:$FA$300, 79, FALSE)="",":",VLOOKUP($E$66,[1]QUART!$A$2:$FA$300, 79, FALSE))</f>
        <v>:</v>
      </c>
      <c r="CC66" s="556" t="str">
        <f>IF(VLOOKUP($E$66,[1]QUART!$A$2:$FA$300, 80, FALSE)="",":",VLOOKUP($E$66,[1]QUART!$A$2:$FA$300, 80, FALSE))</f>
        <v>:</v>
      </c>
      <c r="CD66" s="556" t="str">
        <f>IF(VLOOKUP($E$66,[1]QUART!$A$2:$FA$300, 81, FALSE)="",":",VLOOKUP($E$66,[1]QUART!$A$2:$FA$300, 81, FALSE))</f>
        <v>:</v>
      </c>
      <c r="CE66" s="556" t="str">
        <f>IF(VLOOKUP($E$66,[1]QUART!$A$2:$FA$300, 82, FALSE)="",":",VLOOKUP($E$66,[1]QUART!$A$2:$FA$300, 82, FALSE))</f>
        <v>:</v>
      </c>
      <c r="CF66" s="556" t="str">
        <f>IF(VLOOKUP($E$66,[1]QUART!$A$2:$FA$300, 83, FALSE)="",":",VLOOKUP($E$66,[1]QUART!$A$2:$FA$300, 83, FALSE))</f>
        <v>:</v>
      </c>
      <c r="CG66" s="556" t="str">
        <f>IF(VLOOKUP($E$66,[1]QUART!$A$2:$FA$300, 84, FALSE)="",":",VLOOKUP($E$66,[1]QUART!$A$2:$FA$300, 84, FALSE))</f>
        <v>:</v>
      </c>
      <c r="CH66" s="556" t="str">
        <f>IF(VLOOKUP($E$66,[1]QUART!$A$2:$FA$300, 85, FALSE)="",":",VLOOKUP($E$66,[1]QUART!$A$2:$FA$300, 85, FALSE))</f>
        <v>:</v>
      </c>
      <c r="CI66" s="556" t="str">
        <f>IF(VLOOKUP($E$66,[1]QUART!$A$2:$FA$300, 86, FALSE)="",":",VLOOKUP($E$66,[1]QUART!$A$2:$FA$300, 86, FALSE))</f>
        <v>:</v>
      </c>
      <c r="CJ66" s="556" t="str">
        <f>IF(VLOOKUP($E$66,[1]QUART!$A$2:$FA$300, 87, FALSE)="",":",VLOOKUP($E$66,[1]QUART!$A$2:$FA$300, 87, FALSE))</f>
        <v>:</v>
      </c>
      <c r="CK66" s="556" t="str">
        <f>IF(VLOOKUP($E$66,[1]QUART!$A$2:$FA$300, 88, FALSE)="",":",VLOOKUP($E$66,[1]QUART!$A$2:$FA$300, 88, FALSE))</f>
        <v>:</v>
      </c>
      <c r="CL66" s="556" t="str">
        <f>IF(VLOOKUP($E$66,[1]QUART!$A$2:$FA$300, 89, FALSE)="",":",VLOOKUP($E$66,[1]QUART!$A$2:$FA$300, 89, FALSE))</f>
        <v>:</v>
      </c>
      <c r="CM66" s="556" t="str">
        <f>IF(VLOOKUP($E$66,[1]QUART!$A$2:$FA$300, 90, FALSE)="",":",VLOOKUP($E$66,[1]QUART!$A$2:$FA$300, 90, FALSE))</f>
        <v>:</v>
      </c>
      <c r="CN66" s="556" t="str">
        <f>IF(VLOOKUP($E$66,[1]QUART!$A$2:$FA$300, 91, FALSE)="",":",VLOOKUP($E$66,[1]QUART!$A$2:$FA$300, 91, FALSE))</f>
        <v>:</v>
      </c>
      <c r="CO66" s="556" t="str">
        <f>IF(VLOOKUP($E$66,[1]QUART!$A$2:$FA$300, 92, FALSE)="",":",VLOOKUP($E$66,[1]QUART!$A$2:$FA$300, 92, FALSE))</f>
        <v>:</v>
      </c>
      <c r="CP66" s="556" t="str">
        <f>IF(VLOOKUP($E$66,[1]QUART!$A$2:$FA$300, 93, FALSE)="",":",VLOOKUP($E$66,[1]QUART!$A$2:$FA$300, 93, FALSE))</f>
        <v>:</v>
      </c>
      <c r="CQ66" s="556" t="str">
        <f>IF(VLOOKUP($E$66,[1]QUART!$A$2:$FA$300, 94, FALSE)="",":",VLOOKUP($E$66,[1]QUART!$A$2:$FA$300, 94, FALSE))</f>
        <v>:</v>
      </c>
      <c r="CR66" s="556" t="str">
        <f>IF(VLOOKUP($E$66,[1]QUART!$A$2:$FA$300, 95, FALSE)="",":",VLOOKUP($E$66,[1]QUART!$A$2:$FA$300, 95, FALSE))</f>
        <v>:</v>
      </c>
      <c r="CS66" s="556" t="str">
        <f>IF(VLOOKUP($E$66,[1]QUART!$A$2:$FA$300, 96, FALSE)="",":",VLOOKUP($E$66,[1]QUART!$A$2:$FA$300, 96, FALSE))</f>
        <v>:</v>
      </c>
      <c r="CT66" s="556" t="str">
        <f>IF(VLOOKUP($E$66,[1]QUART!$A$2:$FA$300, 97, FALSE)="",":",VLOOKUP($E$66,[1]QUART!$A$2:$FA$300, 97, FALSE))</f>
        <v>:</v>
      </c>
      <c r="CU66" s="556" t="str">
        <f>IF(VLOOKUP($E$66,[1]QUART!$A$2:$FA$300, 98, FALSE)="",":",VLOOKUP($E$66,[1]QUART!$A$2:$FA$300, 98, FALSE))</f>
        <v>:</v>
      </c>
      <c r="CV66" s="556" t="str">
        <f>IF(VLOOKUP($E$66,[1]QUART!$A$2:$FA$300, 99, FALSE)="",":",VLOOKUP($E$66,[1]QUART!$A$2:$FA$300, 99, FALSE))</f>
        <v>:</v>
      </c>
      <c r="CW66" s="556" t="str">
        <f>IF(VLOOKUP($E$66,[1]QUART!$A$2:$FA$300, 100, FALSE)="",":",VLOOKUP($E$66,[1]QUART!$A$2:$FA$300, 100, FALSE))</f>
        <v>:</v>
      </c>
      <c r="CX66" s="556" t="str">
        <f>IF(VLOOKUP($E$66,[1]QUART!$A$2:$FA$300, 101, FALSE)="",":",VLOOKUP($E$66,[1]QUART!$A$2:$FA$300, 101, FALSE))</f>
        <v>:</v>
      </c>
      <c r="CY66" s="556" t="str">
        <f>IF(VLOOKUP($E$66,[1]QUART!$A$2:$FA$300, 102, FALSE)="",":",VLOOKUP($E$66,[1]QUART!$A$2:$FA$300, 102, FALSE))</f>
        <v>:</v>
      </c>
      <c r="CZ66" s="556" t="str">
        <f>IF(VLOOKUP($E$66,[1]QUART!$A$2:$FA$300, 103, FALSE)="",":",VLOOKUP($E$66,[1]QUART!$A$2:$FA$300, 103, FALSE))</f>
        <v>:</v>
      </c>
      <c r="DA66" s="556" t="str">
        <f>IF(VLOOKUP($E$66,[1]QUART!$A$2:$FA$300, 104, FALSE)="",":",VLOOKUP($E$66,[1]QUART!$A$2:$FA$300, 104, FALSE))</f>
        <v>:</v>
      </c>
      <c r="DB66" s="556" t="str">
        <f>IF(VLOOKUP($E$66,[1]QUART!$A$2:$FA$300, 105, FALSE)="",":",VLOOKUP($E$66,[1]QUART!$A$2:$FA$300, 105, FALSE))</f>
        <v>:</v>
      </c>
      <c r="DC66" s="556" t="str">
        <f>IF(VLOOKUP($E$66,[1]QUART!$A$2:$FA$300, 106, FALSE)="",":",VLOOKUP($E$66,[1]QUART!$A$2:$FA$300, 106, FALSE))</f>
        <v>:</v>
      </c>
    </row>
    <row r="67" spans="1:107">
      <c r="A67" s="546"/>
      <c r="B67" s="546"/>
      <c r="C67" s="547"/>
      <c r="D67" s="12" t="s">
        <v>363</v>
      </c>
      <c r="E67" s="13">
        <v>134</v>
      </c>
      <c r="F67" s="14" t="str">
        <f>VLOOKUP($E$67,[1]QUART!$A$2:$FA$300, 3, FALSE)</f>
        <v xml:space="preserve">134  Exports of services                                                   </v>
      </c>
      <c r="G67" s="556" t="str">
        <f>IF(VLOOKUP($E$67,[1]QUART!$A$2:$FA$300, 6, FALSE)="",":",VLOOKUP($E$67,[1]QUART!$A$2:$FA$300, 6, FALSE))</f>
        <v>:</v>
      </c>
      <c r="H67" s="556" t="str">
        <f>IF(VLOOKUP($E$67,[1]QUART!$A$2:$FA$300, 7, FALSE)="",":",VLOOKUP($E$67,[1]QUART!$A$2:$FA$300, 7, FALSE))</f>
        <v>:</v>
      </c>
      <c r="I67" s="556" t="str">
        <f>IF(VLOOKUP($E$67,[1]QUART!$A$2:$FA$300, 8, FALSE)="",":",VLOOKUP($E$67,[1]QUART!$A$2:$FA$300, 8, FALSE))</f>
        <v>:</v>
      </c>
      <c r="J67" s="556" t="str">
        <f>IF(VLOOKUP($E$67,[1]QUART!$A$2:$FA$300, 9, FALSE)="",":",VLOOKUP($E$67,[1]QUART!$A$2:$FA$300, 9, FALSE))</f>
        <v>:</v>
      </c>
      <c r="K67" s="556" t="str">
        <f>IF(VLOOKUP($E$67,[1]QUART!$A$2:$FA$300, 10, FALSE)="",":",VLOOKUP($E$67,[1]QUART!$A$2:$FA$300, 10, FALSE))</f>
        <v>:</v>
      </c>
      <c r="L67" s="556" t="str">
        <f>IF(VLOOKUP($E$67,[1]QUART!$A$2:$FA$300, 11, FALSE)="",":",VLOOKUP($E$67,[1]QUART!$A$2:$FA$300, 11, FALSE))</f>
        <v>:</v>
      </c>
      <c r="M67" s="556" t="str">
        <f>IF(VLOOKUP($E$67,[1]QUART!$A$2:$FA$300, 12, FALSE)="",":",VLOOKUP($E$67,[1]QUART!$A$2:$FA$300, 12, FALSE))</f>
        <v>:</v>
      </c>
      <c r="N67" s="556" t="str">
        <f>IF(VLOOKUP($E$67,[1]QUART!$A$2:$FA$300, 13, FALSE)="",":",VLOOKUP($E$67,[1]QUART!$A$2:$FA$300, 13, FALSE))</f>
        <v>:</v>
      </c>
      <c r="O67" s="556" t="str">
        <f>IF(VLOOKUP($E$67,[1]QUART!$A$2:$FA$300, 14, FALSE)="",":",VLOOKUP($E$67,[1]QUART!$A$2:$FA$300, 14, FALSE))</f>
        <v>:</v>
      </c>
      <c r="P67" s="556" t="str">
        <f>IF(VLOOKUP($E$67,[1]QUART!$A$2:$FA$300, 15, FALSE)="",":",VLOOKUP($E$67,[1]QUART!$A$2:$FA$300, 15, FALSE))</f>
        <v>:</v>
      </c>
      <c r="Q67" s="556" t="str">
        <f>IF(VLOOKUP($E$67,[1]QUART!$A$2:$FA$300, 16, FALSE)="",":",VLOOKUP($E$67,[1]QUART!$A$2:$FA$300, 16, FALSE))</f>
        <v>:</v>
      </c>
      <c r="R67" s="556" t="str">
        <f>IF(VLOOKUP($E$67,[1]QUART!$A$2:$FA$300, 17, FALSE)="",":",VLOOKUP($E$67,[1]QUART!$A$2:$FA$300, 17, FALSE))</f>
        <v>:</v>
      </c>
      <c r="S67" s="556" t="str">
        <f>IF(VLOOKUP($E$67,[1]QUART!$A$2:$FA$300, 18, FALSE)="",":",VLOOKUP($E$67,[1]QUART!$A$2:$FA$300, 18, FALSE))</f>
        <v>:</v>
      </c>
      <c r="T67" s="556" t="str">
        <f>IF(VLOOKUP($E$67,[1]QUART!$A$2:$FA$300, 19, FALSE)="",":",VLOOKUP($E$67,[1]QUART!$A$2:$FA$300, 19, FALSE))</f>
        <v>:</v>
      </c>
      <c r="U67" s="556" t="str">
        <f>IF(VLOOKUP($E$67,[1]QUART!$A$2:$FA$300, 20, FALSE)="",":",VLOOKUP($E$67,[1]QUART!$A$2:$FA$300, 20, FALSE))</f>
        <v>:</v>
      </c>
      <c r="V67" s="556" t="str">
        <f>IF(VLOOKUP($E$67,[1]QUART!$A$2:$FA$300, 21, FALSE)="",":",VLOOKUP($E$67,[1]QUART!$A$2:$FA$300, 21, FALSE))</f>
        <v>:</v>
      </c>
      <c r="W67" s="556" t="str">
        <f>IF(VLOOKUP($E$67,[1]QUART!$A$2:$FA$300, 22, FALSE)="",":",VLOOKUP($E$67,[1]QUART!$A$2:$FA$300, 22, FALSE))</f>
        <v>:</v>
      </c>
      <c r="X67" s="556" t="str">
        <f>IF(VLOOKUP($E$67,[1]QUART!$A$2:$FA$300, 23, FALSE)="",":",VLOOKUP($E$67,[1]QUART!$A$2:$FA$300, 23, FALSE))</f>
        <v>:</v>
      </c>
      <c r="Y67" s="556" t="str">
        <f>IF(VLOOKUP($E$67,[1]QUART!$A$2:$FA$300, 24, FALSE)="",":",VLOOKUP($E$67,[1]QUART!$A$2:$FA$300, 24, FALSE))</f>
        <v>:</v>
      </c>
      <c r="Z67" s="556" t="str">
        <f>IF(VLOOKUP($E$67,[1]QUART!$A$2:$FA$300, 25, FALSE)="",":",VLOOKUP($E$67,[1]QUART!$A$2:$FA$300, 25, FALSE))</f>
        <v>:</v>
      </c>
      <c r="AA67" s="556" t="str">
        <f>IF(VLOOKUP($E$67,[1]QUART!$A$2:$FA$300, 26, FALSE)="",":",VLOOKUP($E$67,[1]QUART!$A$2:$FA$300, 26, FALSE))</f>
        <v>:</v>
      </c>
      <c r="AB67" s="556" t="str">
        <f>IF(VLOOKUP($E$67,[1]QUART!$A$2:$FA$300, 27, FALSE)="",":",VLOOKUP($E$67,[1]QUART!$A$2:$FA$300, 27, FALSE))</f>
        <v>:</v>
      </c>
      <c r="AC67" s="556" t="str">
        <f>IF(VLOOKUP($E$67,[1]QUART!$A$2:$FA$300, 28, FALSE)="",":",VLOOKUP($E$67,[1]QUART!$A$2:$FA$300, 28, FALSE))</f>
        <v>:</v>
      </c>
      <c r="AD67" s="556" t="str">
        <f>IF(VLOOKUP($E$67,[1]QUART!$A$2:$FA$300, 29, FALSE)="",":",VLOOKUP($E$67,[1]QUART!$A$2:$FA$300, 29, FALSE))</f>
        <v>:</v>
      </c>
      <c r="AE67" s="556" t="str">
        <f>IF(VLOOKUP($E$67,[1]QUART!$A$2:$FA$300, 30, FALSE)="",":",VLOOKUP($E$67,[1]QUART!$A$2:$FA$300, 30, FALSE))</f>
        <v>:</v>
      </c>
      <c r="AF67" s="556" t="str">
        <f>IF(VLOOKUP($E$67,[1]QUART!$A$2:$FA$300, 31, FALSE)="",":",VLOOKUP($E$67,[1]QUART!$A$2:$FA$300, 31, FALSE))</f>
        <v>:</v>
      </c>
      <c r="AG67" s="556" t="str">
        <f>IF(VLOOKUP($E$67,[1]QUART!$A$2:$FA$300, 32, FALSE)="",":",VLOOKUP($E$67,[1]QUART!$A$2:$FA$300, 32, FALSE))</f>
        <v>:</v>
      </c>
      <c r="AH67" s="556" t="str">
        <f>IF(VLOOKUP($E$67,[1]QUART!$A$2:$FA$300, 33, FALSE)="",":",VLOOKUP($E$67,[1]QUART!$A$2:$FA$300, 33, FALSE))</f>
        <v>:</v>
      </c>
      <c r="AI67" s="556" t="str">
        <f>IF(VLOOKUP($E$67,[1]QUART!$A$2:$FA$300, 34, FALSE)="",":",VLOOKUP($E$67,[1]QUART!$A$2:$FA$300, 34, FALSE))</f>
        <v>:</v>
      </c>
      <c r="AJ67" s="556" t="str">
        <f>IF(VLOOKUP($E$67,[1]QUART!$A$2:$FA$300, 35, FALSE)="",":",VLOOKUP($E$67,[1]QUART!$A$2:$FA$300, 35, FALSE))</f>
        <v>:</v>
      </c>
      <c r="AK67" s="556" t="str">
        <f>IF(VLOOKUP($E$67,[1]QUART!$A$2:$FA$300, 36, FALSE)="",":",VLOOKUP($E$67,[1]QUART!$A$2:$FA$300, 36, FALSE))</f>
        <v>:</v>
      </c>
      <c r="AL67" s="556" t="str">
        <f>IF(VLOOKUP($E$67,[1]QUART!$A$2:$FA$300, 37, FALSE)="",":",VLOOKUP($E$67,[1]QUART!$A$2:$FA$300, 37, FALSE))</f>
        <v>:</v>
      </c>
      <c r="AM67" s="556" t="str">
        <f>IF(VLOOKUP($E$67,[1]QUART!$A$2:$FA$300, 38, FALSE)="",":",VLOOKUP($E$67,[1]QUART!$A$2:$FA$300, 38, FALSE))</f>
        <v>:</v>
      </c>
      <c r="AN67" s="556" t="str">
        <f>IF(VLOOKUP($E$67,[1]QUART!$A$2:$FA$300, 39, FALSE)="",":",VLOOKUP($E$67,[1]QUART!$A$2:$FA$300, 39, FALSE))</f>
        <v>:</v>
      </c>
      <c r="AO67" s="556" t="str">
        <f>IF(VLOOKUP($E$67,[1]QUART!$A$2:$FA$300, 40, FALSE)="",":",VLOOKUP($E$67,[1]QUART!$A$2:$FA$300, 40, FALSE))</f>
        <v>:</v>
      </c>
      <c r="AP67" s="556" t="str">
        <f>IF(VLOOKUP($E$67,[1]QUART!$A$2:$FA$300, 41, FALSE)="",":",VLOOKUP($E$67,[1]QUART!$A$2:$FA$300, 41, FALSE))</f>
        <v>:</v>
      </c>
      <c r="AQ67" s="556" t="str">
        <f>IF(VLOOKUP($E$67,[1]QUART!$A$2:$FA$300, 42, FALSE)="",":",VLOOKUP($E$67,[1]QUART!$A$2:$FA$300, 42, FALSE))</f>
        <v>:</v>
      </c>
      <c r="AR67" s="556" t="str">
        <f>IF(VLOOKUP($E$67,[1]QUART!$A$2:$FA$300, 43, FALSE)="",":",VLOOKUP($E$67,[1]QUART!$A$2:$FA$300, 43, FALSE))</f>
        <v>:</v>
      </c>
      <c r="AS67" s="556" t="str">
        <f>IF(VLOOKUP($E$67,[1]QUART!$A$2:$FA$300, 44, FALSE)="",":",VLOOKUP($E$67,[1]QUART!$A$2:$FA$300, 44, FALSE))</f>
        <v>:</v>
      </c>
      <c r="AT67" s="556" t="str">
        <f>IF(VLOOKUP($E$67,[1]QUART!$A$2:$FA$300, 45, FALSE)="",":",VLOOKUP($E$67,[1]QUART!$A$2:$FA$300, 45, FALSE))</f>
        <v>:</v>
      </c>
      <c r="AU67" s="556" t="str">
        <f>IF(VLOOKUP($E$67,[1]QUART!$A$2:$FA$300, 46, FALSE)="",":",VLOOKUP($E$67,[1]QUART!$A$2:$FA$300, 46, FALSE))</f>
        <v>:</v>
      </c>
      <c r="AV67" s="556" t="str">
        <f>IF(VLOOKUP($E$67,[1]QUART!$A$2:$FA$300, 47, FALSE)="",":",VLOOKUP($E$67,[1]QUART!$A$2:$FA$300, 47, FALSE))</f>
        <v>:</v>
      </c>
      <c r="AW67" s="556" t="str">
        <f>IF(VLOOKUP($E$67,[1]QUART!$A$2:$FA$300, 48, FALSE)="",":",VLOOKUP($E$67,[1]QUART!$A$2:$FA$300, 48, FALSE))</f>
        <v>:</v>
      </c>
      <c r="AX67" s="556" t="str">
        <f>IF(VLOOKUP($E$67,[1]QUART!$A$2:$FA$300, 49, FALSE)="",":",VLOOKUP($E$67,[1]QUART!$A$2:$FA$300, 49, FALSE))</f>
        <v>:</v>
      </c>
      <c r="AY67" s="556" t="str">
        <f>IF(VLOOKUP($E$67,[1]QUART!$A$2:$FA$300, 50, FALSE)="",":",VLOOKUP($E$67,[1]QUART!$A$2:$FA$300, 50, FALSE))</f>
        <v>:</v>
      </c>
      <c r="AZ67" s="556" t="str">
        <f>IF(VLOOKUP($E$67,[1]QUART!$A$2:$FA$300, 51, FALSE)="",":",VLOOKUP($E$67,[1]QUART!$A$2:$FA$300, 51, FALSE))</f>
        <v>:</v>
      </c>
      <c r="BA67" s="556" t="str">
        <f>IF(VLOOKUP($E$67,[1]QUART!$A$2:$FA$300, 52, FALSE)="",":",VLOOKUP($E$67,[1]QUART!$A$2:$FA$300, 52, FALSE))</f>
        <v>:</v>
      </c>
      <c r="BB67" s="556" t="str">
        <f>IF(VLOOKUP($E$67,[1]QUART!$A$2:$FA$300, 53, FALSE)="",":",VLOOKUP($E$67,[1]QUART!$A$2:$FA$300, 53, FALSE))</f>
        <v>:</v>
      </c>
      <c r="BC67" s="556" t="str">
        <f>IF(VLOOKUP($E$67,[1]QUART!$A$2:$FA$300, 54, FALSE)="",":",VLOOKUP($E$67,[1]QUART!$A$2:$FA$300, 54, FALSE))</f>
        <v>:</v>
      </c>
      <c r="BD67" s="556" t="str">
        <f>IF(VLOOKUP($E$67,[1]QUART!$A$2:$FA$300, 55, FALSE)="",":",VLOOKUP($E$67,[1]QUART!$A$2:$FA$300, 55, FALSE))</f>
        <v>:</v>
      </c>
      <c r="BE67" s="556" t="str">
        <f>IF(VLOOKUP($E$67,[1]QUART!$A$2:$FA$300, 56, FALSE)="",":",VLOOKUP($E$67,[1]QUART!$A$2:$FA$300, 56, FALSE))</f>
        <v>:</v>
      </c>
      <c r="BF67" s="556" t="str">
        <f>IF(VLOOKUP($E$67,[1]QUART!$A$2:$FA$300, 57, FALSE)="",":",VLOOKUP($E$67,[1]QUART!$A$2:$FA$300, 57, FALSE))</f>
        <v>:</v>
      </c>
      <c r="BG67" s="556" t="str">
        <f>IF(VLOOKUP($E$67,[1]QUART!$A$2:$FA$300, 58, FALSE)="",":",VLOOKUP($E$67,[1]QUART!$A$2:$FA$300, 58, FALSE))</f>
        <v>:</v>
      </c>
      <c r="BH67" s="556" t="str">
        <f>IF(VLOOKUP($E$67,[1]QUART!$A$2:$FA$300, 59, FALSE)="",":",VLOOKUP($E$67,[1]QUART!$A$2:$FA$300, 59, FALSE))</f>
        <v>:</v>
      </c>
      <c r="BI67" s="556" t="str">
        <f>IF(VLOOKUP($E$67,[1]QUART!$A$2:$FA$300, 60, FALSE)="",":",VLOOKUP($E$67,[1]QUART!$A$2:$FA$300, 60, FALSE))</f>
        <v>:</v>
      </c>
      <c r="BJ67" s="556" t="str">
        <f>IF(VLOOKUP($E$67,[1]QUART!$A$2:$FA$300, 61, FALSE)="",":",VLOOKUP($E$67,[1]QUART!$A$2:$FA$300, 61, FALSE))</f>
        <v>:</v>
      </c>
      <c r="BK67" s="556" t="str">
        <f>IF(VLOOKUP($E$67,[1]QUART!$A$2:$FA$300, 62, FALSE)="",":",VLOOKUP($E$67,[1]QUART!$A$2:$FA$300, 62, FALSE))</f>
        <v>:</v>
      </c>
      <c r="BL67" s="556" t="str">
        <f>IF(VLOOKUP($E$67,[1]QUART!$A$2:$FA$300, 63, FALSE)="",":",VLOOKUP($E$67,[1]QUART!$A$2:$FA$300, 63, FALSE))</f>
        <v>:</v>
      </c>
      <c r="BM67" s="556" t="str">
        <f>IF(VLOOKUP($E$67,[1]QUART!$A$2:$FA$300, 64, FALSE)="",":",VLOOKUP($E$67,[1]QUART!$A$2:$FA$300, 64, FALSE))</f>
        <v>:</v>
      </c>
      <c r="BN67" s="556" t="str">
        <f>IF(VLOOKUP($E$67,[1]QUART!$A$2:$FA$300, 65, FALSE)="",":",VLOOKUP($E$67,[1]QUART!$A$2:$FA$300, 65, FALSE))</f>
        <v>:</v>
      </c>
      <c r="BO67" s="556" t="str">
        <f>IF(VLOOKUP($E$67,[1]QUART!$A$2:$FA$300, 66, FALSE)="",":",VLOOKUP($E$67,[1]QUART!$A$2:$FA$300, 66, FALSE))</f>
        <v>:</v>
      </c>
      <c r="BP67" s="556" t="str">
        <f>IF(VLOOKUP($E$67,[1]QUART!$A$2:$FA$300, 67, FALSE)="",":",VLOOKUP($E$67,[1]QUART!$A$2:$FA$300, 67, FALSE))</f>
        <v>:</v>
      </c>
      <c r="BQ67" s="556" t="str">
        <f>IF(VLOOKUP($E$67,[1]QUART!$A$2:$FA$300, 68, FALSE)="",":",VLOOKUP($E$67,[1]QUART!$A$2:$FA$300, 68, FALSE))</f>
        <v>:</v>
      </c>
      <c r="BR67" s="556" t="str">
        <f>IF(VLOOKUP($E$67,[1]QUART!$A$2:$FA$300, 69, FALSE)="",":",VLOOKUP($E$67,[1]QUART!$A$2:$FA$300, 69, FALSE))</f>
        <v>:</v>
      </c>
      <c r="BS67" s="556" t="str">
        <f>IF(VLOOKUP($E$67,[1]QUART!$A$2:$FA$300, 70, FALSE)="",":",VLOOKUP($E$67,[1]QUART!$A$2:$FA$300, 70, FALSE))</f>
        <v>:</v>
      </c>
      <c r="BT67" s="556" t="str">
        <f>IF(VLOOKUP($E$67,[1]QUART!$A$2:$FA$300, 71, FALSE)="",":",VLOOKUP($E$67,[1]QUART!$A$2:$FA$300, 71, FALSE))</f>
        <v>:</v>
      </c>
      <c r="BU67" s="556" t="str">
        <f>IF(VLOOKUP($E$67,[1]QUART!$A$2:$FA$300, 72, FALSE)="",":",VLOOKUP($E$67,[1]QUART!$A$2:$FA$300, 72, FALSE))</f>
        <v>:</v>
      </c>
      <c r="BV67" s="556" t="str">
        <f>IF(VLOOKUP($E$67,[1]QUART!$A$2:$FA$300, 73, FALSE)="",":",VLOOKUP($E$67,[1]QUART!$A$2:$FA$300, 73, FALSE))</f>
        <v>:</v>
      </c>
      <c r="BW67" s="556" t="str">
        <f>IF(VLOOKUP($E$67,[1]QUART!$A$2:$FA$300, 74, FALSE)="",":",VLOOKUP($E$67,[1]QUART!$A$2:$FA$300, 74, FALSE))</f>
        <v>:</v>
      </c>
      <c r="BX67" s="556" t="str">
        <f>IF(VLOOKUP($E$67,[1]QUART!$A$2:$FA$300, 75, FALSE)="",":",VLOOKUP($E$67,[1]QUART!$A$2:$FA$300, 75, FALSE))</f>
        <v>:</v>
      </c>
      <c r="BY67" s="556" t="str">
        <f>IF(VLOOKUP($E$67,[1]QUART!$A$2:$FA$300, 76, FALSE)="",":",VLOOKUP($E$67,[1]QUART!$A$2:$FA$300, 76, FALSE))</f>
        <v>:</v>
      </c>
      <c r="BZ67" s="556" t="str">
        <f>IF(VLOOKUP($E$67,[1]QUART!$A$2:$FA$300, 77, FALSE)="",":",VLOOKUP($E$67,[1]QUART!$A$2:$FA$300, 77, FALSE))</f>
        <v>:</v>
      </c>
      <c r="CA67" s="556" t="str">
        <f>IF(VLOOKUP($E$67,[1]QUART!$A$2:$FA$300, 78, FALSE)="",":",VLOOKUP($E$67,[1]QUART!$A$2:$FA$300, 78, FALSE))</f>
        <v>:</v>
      </c>
      <c r="CB67" s="556" t="str">
        <f>IF(VLOOKUP($E$67,[1]QUART!$A$2:$FA$300, 79, FALSE)="",":",VLOOKUP($E$67,[1]QUART!$A$2:$FA$300, 79, FALSE))</f>
        <v>:</v>
      </c>
      <c r="CC67" s="556" t="str">
        <f>IF(VLOOKUP($E$67,[1]QUART!$A$2:$FA$300, 80, FALSE)="",":",VLOOKUP($E$67,[1]QUART!$A$2:$FA$300, 80, FALSE))</f>
        <v>:</v>
      </c>
      <c r="CD67" s="556" t="str">
        <f>IF(VLOOKUP($E$67,[1]QUART!$A$2:$FA$300, 81, FALSE)="",":",VLOOKUP($E$67,[1]QUART!$A$2:$FA$300, 81, FALSE))</f>
        <v>:</v>
      </c>
      <c r="CE67" s="556" t="str">
        <f>IF(VLOOKUP($E$67,[1]QUART!$A$2:$FA$300, 82, FALSE)="",":",VLOOKUP($E$67,[1]QUART!$A$2:$FA$300, 82, FALSE))</f>
        <v>:</v>
      </c>
      <c r="CF67" s="556" t="str">
        <f>IF(VLOOKUP($E$67,[1]QUART!$A$2:$FA$300, 83, FALSE)="",":",VLOOKUP($E$67,[1]QUART!$A$2:$FA$300, 83, FALSE))</f>
        <v>:</v>
      </c>
      <c r="CG67" s="556" t="str">
        <f>IF(VLOOKUP($E$67,[1]QUART!$A$2:$FA$300, 84, FALSE)="",":",VLOOKUP($E$67,[1]QUART!$A$2:$FA$300, 84, FALSE))</f>
        <v>:</v>
      </c>
      <c r="CH67" s="556" t="str">
        <f>IF(VLOOKUP($E$67,[1]QUART!$A$2:$FA$300, 85, FALSE)="",":",VLOOKUP($E$67,[1]QUART!$A$2:$FA$300, 85, FALSE))</f>
        <v>:</v>
      </c>
      <c r="CI67" s="556" t="str">
        <f>IF(VLOOKUP($E$67,[1]QUART!$A$2:$FA$300, 86, FALSE)="",":",VLOOKUP($E$67,[1]QUART!$A$2:$FA$300, 86, FALSE))</f>
        <v>:</v>
      </c>
      <c r="CJ67" s="556" t="str">
        <f>IF(VLOOKUP($E$67,[1]QUART!$A$2:$FA$300, 87, FALSE)="",":",VLOOKUP($E$67,[1]QUART!$A$2:$FA$300, 87, FALSE))</f>
        <v>:</v>
      </c>
      <c r="CK67" s="556" t="str">
        <f>IF(VLOOKUP($E$67,[1]QUART!$A$2:$FA$300, 88, FALSE)="",":",VLOOKUP($E$67,[1]QUART!$A$2:$FA$300, 88, FALSE))</f>
        <v>:</v>
      </c>
      <c r="CL67" s="556" t="str">
        <f>IF(VLOOKUP($E$67,[1]QUART!$A$2:$FA$300, 89, FALSE)="",":",VLOOKUP($E$67,[1]QUART!$A$2:$FA$300, 89, FALSE))</f>
        <v>:</v>
      </c>
      <c r="CM67" s="556" t="str">
        <f>IF(VLOOKUP($E$67,[1]QUART!$A$2:$FA$300, 90, FALSE)="",":",VLOOKUP($E$67,[1]QUART!$A$2:$FA$300, 90, FALSE))</f>
        <v>:</v>
      </c>
      <c r="CN67" s="556" t="str">
        <f>IF(VLOOKUP($E$67,[1]QUART!$A$2:$FA$300, 91, FALSE)="",":",VLOOKUP($E$67,[1]QUART!$A$2:$FA$300, 91, FALSE))</f>
        <v>:</v>
      </c>
      <c r="CO67" s="556" t="str">
        <f>IF(VLOOKUP($E$67,[1]QUART!$A$2:$FA$300, 92, FALSE)="",":",VLOOKUP($E$67,[1]QUART!$A$2:$FA$300, 92, FALSE))</f>
        <v>:</v>
      </c>
      <c r="CP67" s="556" t="str">
        <f>IF(VLOOKUP($E$67,[1]QUART!$A$2:$FA$300, 93, FALSE)="",":",VLOOKUP($E$67,[1]QUART!$A$2:$FA$300, 93, FALSE))</f>
        <v>:</v>
      </c>
      <c r="CQ67" s="556" t="str">
        <f>IF(VLOOKUP($E$67,[1]QUART!$A$2:$FA$300, 94, FALSE)="",":",VLOOKUP($E$67,[1]QUART!$A$2:$FA$300, 94, FALSE))</f>
        <v>:</v>
      </c>
      <c r="CR67" s="556" t="str">
        <f>IF(VLOOKUP($E$67,[1]QUART!$A$2:$FA$300, 95, FALSE)="",":",VLOOKUP($E$67,[1]QUART!$A$2:$FA$300, 95, FALSE))</f>
        <v>:</v>
      </c>
      <c r="CS67" s="556" t="str">
        <f>IF(VLOOKUP($E$67,[1]QUART!$A$2:$FA$300, 96, FALSE)="",":",VLOOKUP($E$67,[1]QUART!$A$2:$FA$300, 96, FALSE))</f>
        <v>:</v>
      </c>
      <c r="CT67" s="556" t="str">
        <f>IF(VLOOKUP($E$67,[1]QUART!$A$2:$FA$300, 97, FALSE)="",":",VLOOKUP($E$67,[1]QUART!$A$2:$FA$300, 97, FALSE))</f>
        <v>:</v>
      </c>
      <c r="CU67" s="556" t="str">
        <f>IF(VLOOKUP($E$67,[1]QUART!$A$2:$FA$300, 98, FALSE)="",":",VLOOKUP($E$67,[1]QUART!$A$2:$FA$300, 98, FALSE))</f>
        <v>:</v>
      </c>
      <c r="CV67" s="556" t="str">
        <f>IF(VLOOKUP($E$67,[1]QUART!$A$2:$FA$300, 99, FALSE)="",":",VLOOKUP($E$67,[1]QUART!$A$2:$FA$300, 99, FALSE))</f>
        <v>:</v>
      </c>
      <c r="CW67" s="556" t="str">
        <f>IF(VLOOKUP($E$67,[1]QUART!$A$2:$FA$300, 100, FALSE)="",":",VLOOKUP($E$67,[1]QUART!$A$2:$FA$300, 100, FALSE))</f>
        <v>:</v>
      </c>
      <c r="CX67" s="556" t="str">
        <f>IF(VLOOKUP($E$67,[1]QUART!$A$2:$FA$300, 101, FALSE)="",":",VLOOKUP($E$67,[1]QUART!$A$2:$FA$300, 101, FALSE))</f>
        <v>:</v>
      </c>
      <c r="CY67" s="556" t="str">
        <f>IF(VLOOKUP($E$67,[1]QUART!$A$2:$FA$300, 102, FALSE)="",":",VLOOKUP($E$67,[1]QUART!$A$2:$FA$300, 102, FALSE))</f>
        <v>:</v>
      </c>
      <c r="CZ67" s="556" t="str">
        <f>IF(VLOOKUP($E$67,[1]QUART!$A$2:$FA$300, 103, FALSE)="",":",VLOOKUP($E$67,[1]QUART!$A$2:$FA$300, 103, FALSE))</f>
        <v>:</v>
      </c>
      <c r="DA67" s="556" t="str">
        <f>IF(VLOOKUP($E$67,[1]QUART!$A$2:$FA$300, 104, FALSE)="",":",VLOOKUP($E$67,[1]QUART!$A$2:$FA$300, 104, FALSE))</f>
        <v>:</v>
      </c>
      <c r="DB67" s="556" t="str">
        <f>IF(VLOOKUP($E$67,[1]QUART!$A$2:$FA$300, 105, FALSE)="",":",VLOOKUP($E$67,[1]QUART!$A$2:$FA$300, 105, FALSE))</f>
        <v>:</v>
      </c>
      <c r="DC67" s="556" t="str">
        <f>IF(VLOOKUP($E$67,[1]QUART!$A$2:$FA$300, 106, FALSE)="",":",VLOOKUP($E$67,[1]QUART!$A$2:$FA$300, 106, FALSE))</f>
        <v>:</v>
      </c>
    </row>
    <row r="68" spans="1:107">
      <c r="A68" s="546"/>
      <c r="B68" s="546"/>
      <c r="C68" s="547"/>
      <c r="D68" s="12" t="s">
        <v>363</v>
      </c>
      <c r="E68" s="13">
        <v>135</v>
      </c>
      <c r="F68" s="14" t="str">
        <f>VLOOKUP($E$68,[1]QUART!$A$2:$FA$300, 3, FALSE)</f>
        <v xml:space="preserve">135  Imports of goods          </v>
      </c>
      <c r="G68" s="556" t="str">
        <f>IF(VLOOKUP($E$68,[1]QUART!$A$2:$FA$300, 6, FALSE)="",":",VLOOKUP($E$68,[1]QUART!$A$2:$FA$300, 6, FALSE))</f>
        <v>:</v>
      </c>
      <c r="H68" s="556" t="str">
        <f>IF(VLOOKUP($E$68,[1]QUART!$A$2:$FA$300, 7, FALSE)="",":",VLOOKUP($E$68,[1]QUART!$A$2:$FA$300, 7, FALSE))</f>
        <v>:</v>
      </c>
      <c r="I68" s="556" t="str">
        <f>IF(VLOOKUP($E$68,[1]QUART!$A$2:$FA$300, 8, FALSE)="",":",VLOOKUP($E$68,[1]QUART!$A$2:$FA$300, 8, FALSE))</f>
        <v>:</v>
      </c>
      <c r="J68" s="556" t="str">
        <f>IF(VLOOKUP($E$68,[1]QUART!$A$2:$FA$300, 9, FALSE)="",":",VLOOKUP($E$68,[1]QUART!$A$2:$FA$300, 9, FALSE))</f>
        <v>:</v>
      </c>
      <c r="K68" s="556" t="str">
        <f>IF(VLOOKUP($E$68,[1]QUART!$A$2:$FA$300, 10, FALSE)="",":",VLOOKUP($E$68,[1]QUART!$A$2:$FA$300, 10, FALSE))</f>
        <v>:</v>
      </c>
      <c r="L68" s="556" t="str">
        <f>IF(VLOOKUP($E$68,[1]QUART!$A$2:$FA$300, 11, FALSE)="",":",VLOOKUP($E$68,[1]QUART!$A$2:$FA$300, 11, FALSE))</f>
        <v>:</v>
      </c>
      <c r="M68" s="556" t="str">
        <f>IF(VLOOKUP($E$68,[1]QUART!$A$2:$FA$300, 12, FALSE)="",":",VLOOKUP($E$68,[1]QUART!$A$2:$FA$300, 12, FALSE))</f>
        <v>:</v>
      </c>
      <c r="N68" s="556" t="str">
        <f>IF(VLOOKUP($E$68,[1]QUART!$A$2:$FA$300, 13, FALSE)="",":",VLOOKUP($E$68,[1]QUART!$A$2:$FA$300, 13, FALSE))</f>
        <v>:</v>
      </c>
      <c r="O68" s="556" t="str">
        <f>IF(VLOOKUP($E$68,[1]QUART!$A$2:$FA$300, 14, FALSE)="",":",VLOOKUP($E$68,[1]QUART!$A$2:$FA$300, 14, FALSE))</f>
        <v>:</v>
      </c>
      <c r="P68" s="556" t="str">
        <f>IF(VLOOKUP($E$68,[1]QUART!$A$2:$FA$300, 15, FALSE)="",":",VLOOKUP($E$68,[1]QUART!$A$2:$FA$300, 15, FALSE))</f>
        <v>:</v>
      </c>
      <c r="Q68" s="556" t="str">
        <f>IF(VLOOKUP($E$68,[1]QUART!$A$2:$FA$300, 16, FALSE)="",":",VLOOKUP($E$68,[1]QUART!$A$2:$FA$300, 16, FALSE))</f>
        <v>:</v>
      </c>
      <c r="R68" s="556" t="str">
        <f>IF(VLOOKUP($E$68,[1]QUART!$A$2:$FA$300, 17, FALSE)="",":",VLOOKUP($E$68,[1]QUART!$A$2:$FA$300, 17, FALSE))</f>
        <v>:</v>
      </c>
      <c r="S68" s="556" t="str">
        <f>IF(VLOOKUP($E$68,[1]QUART!$A$2:$FA$300, 18, FALSE)="",":",VLOOKUP($E$68,[1]QUART!$A$2:$FA$300, 18, FALSE))</f>
        <v>:</v>
      </c>
      <c r="T68" s="556" t="str">
        <f>IF(VLOOKUP($E$68,[1]QUART!$A$2:$FA$300, 19, FALSE)="",":",VLOOKUP($E$68,[1]QUART!$A$2:$FA$300, 19, FALSE))</f>
        <v>:</v>
      </c>
      <c r="U68" s="556" t="str">
        <f>IF(VLOOKUP($E$68,[1]QUART!$A$2:$FA$300, 20, FALSE)="",":",VLOOKUP($E$68,[1]QUART!$A$2:$FA$300, 20, FALSE))</f>
        <v>:</v>
      </c>
      <c r="V68" s="556" t="str">
        <f>IF(VLOOKUP($E$68,[1]QUART!$A$2:$FA$300, 21, FALSE)="",":",VLOOKUP($E$68,[1]QUART!$A$2:$FA$300, 21, FALSE))</f>
        <v>:</v>
      </c>
      <c r="W68" s="556" t="str">
        <f>IF(VLOOKUP($E$68,[1]QUART!$A$2:$FA$300, 22, FALSE)="",":",VLOOKUP($E$68,[1]QUART!$A$2:$FA$300, 22, FALSE))</f>
        <v>:</v>
      </c>
      <c r="X68" s="556" t="str">
        <f>IF(VLOOKUP($E$68,[1]QUART!$A$2:$FA$300, 23, FALSE)="",":",VLOOKUP($E$68,[1]QUART!$A$2:$FA$300, 23, FALSE))</f>
        <v>:</v>
      </c>
      <c r="Y68" s="556" t="str">
        <f>IF(VLOOKUP($E$68,[1]QUART!$A$2:$FA$300, 24, FALSE)="",":",VLOOKUP($E$68,[1]QUART!$A$2:$FA$300, 24, FALSE))</f>
        <v>:</v>
      </c>
      <c r="Z68" s="556" t="str">
        <f>IF(VLOOKUP($E$68,[1]QUART!$A$2:$FA$300, 25, FALSE)="",":",VLOOKUP($E$68,[1]QUART!$A$2:$FA$300, 25, FALSE))</f>
        <v>:</v>
      </c>
      <c r="AA68" s="556" t="str">
        <f>IF(VLOOKUP($E$68,[1]QUART!$A$2:$FA$300, 26, FALSE)="",":",VLOOKUP($E$68,[1]QUART!$A$2:$FA$300, 26, FALSE))</f>
        <v>:</v>
      </c>
      <c r="AB68" s="556" t="str">
        <f>IF(VLOOKUP($E$68,[1]QUART!$A$2:$FA$300, 27, FALSE)="",":",VLOOKUP($E$68,[1]QUART!$A$2:$FA$300, 27, FALSE))</f>
        <v>:</v>
      </c>
      <c r="AC68" s="556" t="str">
        <f>IF(VLOOKUP($E$68,[1]QUART!$A$2:$FA$300, 28, FALSE)="",":",VLOOKUP($E$68,[1]QUART!$A$2:$FA$300, 28, FALSE))</f>
        <v>:</v>
      </c>
      <c r="AD68" s="556" t="str">
        <f>IF(VLOOKUP($E$68,[1]QUART!$A$2:$FA$300, 29, FALSE)="",":",VLOOKUP($E$68,[1]QUART!$A$2:$FA$300, 29, FALSE))</f>
        <v>:</v>
      </c>
      <c r="AE68" s="556" t="str">
        <f>IF(VLOOKUP($E$68,[1]QUART!$A$2:$FA$300, 30, FALSE)="",":",VLOOKUP($E$68,[1]QUART!$A$2:$FA$300, 30, FALSE))</f>
        <v>:</v>
      </c>
      <c r="AF68" s="556" t="str">
        <f>IF(VLOOKUP($E$68,[1]QUART!$A$2:$FA$300, 31, FALSE)="",":",VLOOKUP($E$68,[1]QUART!$A$2:$FA$300, 31, FALSE))</f>
        <v>:</v>
      </c>
      <c r="AG68" s="556" t="str">
        <f>IF(VLOOKUP($E$68,[1]QUART!$A$2:$FA$300, 32, FALSE)="",":",VLOOKUP($E$68,[1]QUART!$A$2:$FA$300, 32, FALSE))</f>
        <v>:</v>
      </c>
      <c r="AH68" s="556" t="str">
        <f>IF(VLOOKUP($E$68,[1]QUART!$A$2:$FA$300, 33, FALSE)="",":",VLOOKUP($E$68,[1]QUART!$A$2:$FA$300, 33, FALSE))</f>
        <v>:</v>
      </c>
      <c r="AI68" s="556" t="str">
        <f>IF(VLOOKUP($E$68,[1]QUART!$A$2:$FA$300, 34, FALSE)="",":",VLOOKUP($E$68,[1]QUART!$A$2:$FA$300, 34, FALSE))</f>
        <v>:</v>
      </c>
      <c r="AJ68" s="556" t="str">
        <f>IF(VLOOKUP($E$68,[1]QUART!$A$2:$FA$300, 35, FALSE)="",":",VLOOKUP($E$68,[1]QUART!$A$2:$FA$300, 35, FALSE))</f>
        <v>:</v>
      </c>
      <c r="AK68" s="556" t="str">
        <f>IF(VLOOKUP($E$68,[1]QUART!$A$2:$FA$300, 36, FALSE)="",":",VLOOKUP($E$68,[1]QUART!$A$2:$FA$300, 36, FALSE))</f>
        <v>:</v>
      </c>
      <c r="AL68" s="556" t="str">
        <f>IF(VLOOKUP($E$68,[1]QUART!$A$2:$FA$300, 37, FALSE)="",":",VLOOKUP($E$68,[1]QUART!$A$2:$FA$300, 37, FALSE))</f>
        <v>:</v>
      </c>
      <c r="AM68" s="556" t="str">
        <f>IF(VLOOKUP($E$68,[1]QUART!$A$2:$FA$300, 38, FALSE)="",":",VLOOKUP($E$68,[1]QUART!$A$2:$FA$300, 38, FALSE))</f>
        <v>:</v>
      </c>
      <c r="AN68" s="556" t="str">
        <f>IF(VLOOKUP($E$68,[1]QUART!$A$2:$FA$300, 39, FALSE)="",":",VLOOKUP($E$68,[1]QUART!$A$2:$FA$300, 39, FALSE))</f>
        <v>:</v>
      </c>
      <c r="AO68" s="556" t="str">
        <f>IF(VLOOKUP($E$68,[1]QUART!$A$2:$FA$300, 40, FALSE)="",":",VLOOKUP($E$68,[1]QUART!$A$2:$FA$300, 40, FALSE))</f>
        <v>:</v>
      </c>
      <c r="AP68" s="556" t="str">
        <f>IF(VLOOKUP($E$68,[1]QUART!$A$2:$FA$300, 41, FALSE)="",":",VLOOKUP($E$68,[1]QUART!$A$2:$FA$300, 41, FALSE))</f>
        <v>:</v>
      </c>
      <c r="AQ68" s="556" t="str">
        <f>IF(VLOOKUP($E$68,[1]QUART!$A$2:$FA$300, 42, FALSE)="",":",VLOOKUP($E$68,[1]QUART!$A$2:$FA$300, 42, FALSE))</f>
        <v>:</v>
      </c>
      <c r="AR68" s="556" t="str">
        <f>IF(VLOOKUP($E$68,[1]QUART!$A$2:$FA$300, 43, FALSE)="",":",VLOOKUP($E$68,[1]QUART!$A$2:$FA$300, 43, FALSE))</f>
        <v>:</v>
      </c>
      <c r="AS68" s="556" t="str">
        <f>IF(VLOOKUP($E$68,[1]QUART!$A$2:$FA$300, 44, FALSE)="",":",VLOOKUP($E$68,[1]QUART!$A$2:$FA$300, 44, FALSE))</f>
        <v>:</v>
      </c>
      <c r="AT68" s="556" t="str">
        <f>IF(VLOOKUP($E$68,[1]QUART!$A$2:$FA$300, 45, FALSE)="",":",VLOOKUP($E$68,[1]QUART!$A$2:$FA$300, 45, FALSE))</f>
        <v>:</v>
      </c>
      <c r="AU68" s="556" t="str">
        <f>IF(VLOOKUP($E$68,[1]QUART!$A$2:$FA$300, 46, FALSE)="",":",VLOOKUP($E$68,[1]QUART!$A$2:$FA$300, 46, FALSE))</f>
        <v>:</v>
      </c>
      <c r="AV68" s="556" t="str">
        <f>IF(VLOOKUP($E$68,[1]QUART!$A$2:$FA$300, 47, FALSE)="",":",VLOOKUP($E$68,[1]QUART!$A$2:$FA$300, 47, FALSE))</f>
        <v>:</v>
      </c>
      <c r="AW68" s="556" t="str">
        <f>IF(VLOOKUP($E$68,[1]QUART!$A$2:$FA$300, 48, FALSE)="",":",VLOOKUP($E$68,[1]QUART!$A$2:$FA$300, 48, FALSE))</f>
        <v>:</v>
      </c>
      <c r="AX68" s="556" t="str">
        <f>IF(VLOOKUP($E$68,[1]QUART!$A$2:$FA$300, 49, FALSE)="",":",VLOOKUP($E$68,[1]QUART!$A$2:$FA$300, 49, FALSE))</f>
        <v>:</v>
      </c>
      <c r="AY68" s="556" t="str">
        <f>IF(VLOOKUP($E$68,[1]QUART!$A$2:$FA$300, 50, FALSE)="",":",VLOOKUP($E$68,[1]QUART!$A$2:$FA$300, 50, FALSE))</f>
        <v>:</v>
      </c>
      <c r="AZ68" s="556" t="str">
        <f>IF(VLOOKUP($E$68,[1]QUART!$A$2:$FA$300, 51, FALSE)="",":",VLOOKUP($E$68,[1]QUART!$A$2:$FA$300, 51, FALSE))</f>
        <v>:</v>
      </c>
      <c r="BA68" s="556" t="str">
        <f>IF(VLOOKUP($E$68,[1]QUART!$A$2:$FA$300, 52, FALSE)="",":",VLOOKUP($E$68,[1]QUART!$A$2:$FA$300, 52, FALSE))</f>
        <v>:</v>
      </c>
      <c r="BB68" s="556" t="str">
        <f>IF(VLOOKUP($E$68,[1]QUART!$A$2:$FA$300, 53, FALSE)="",":",VLOOKUP($E$68,[1]QUART!$A$2:$FA$300, 53, FALSE))</f>
        <v>:</v>
      </c>
      <c r="BC68" s="556" t="str">
        <f>IF(VLOOKUP($E$68,[1]QUART!$A$2:$FA$300, 54, FALSE)="",":",VLOOKUP($E$68,[1]QUART!$A$2:$FA$300, 54, FALSE))</f>
        <v>:</v>
      </c>
      <c r="BD68" s="556" t="str">
        <f>IF(VLOOKUP($E$68,[1]QUART!$A$2:$FA$300, 55, FALSE)="",":",VLOOKUP($E$68,[1]QUART!$A$2:$FA$300, 55, FALSE))</f>
        <v>:</v>
      </c>
      <c r="BE68" s="556" t="str">
        <f>IF(VLOOKUP($E$68,[1]QUART!$A$2:$FA$300, 56, FALSE)="",":",VLOOKUP($E$68,[1]QUART!$A$2:$FA$300, 56, FALSE))</f>
        <v>:</v>
      </c>
      <c r="BF68" s="556" t="str">
        <f>IF(VLOOKUP($E$68,[1]QUART!$A$2:$FA$300, 57, FALSE)="",":",VLOOKUP($E$68,[1]QUART!$A$2:$FA$300, 57, FALSE))</f>
        <v>:</v>
      </c>
      <c r="BG68" s="556" t="str">
        <f>IF(VLOOKUP($E$68,[1]QUART!$A$2:$FA$300, 58, FALSE)="",":",VLOOKUP($E$68,[1]QUART!$A$2:$FA$300, 58, FALSE))</f>
        <v>:</v>
      </c>
      <c r="BH68" s="556" t="str">
        <f>IF(VLOOKUP($E$68,[1]QUART!$A$2:$FA$300, 59, FALSE)="",":",VLOOKUP($E$68,[1]QUART!$A$2:$FA$300, 59, FALSE))</f>
        <v>:</v>
      </c>
      <c r="BI68" s="556" t="str">
        <f>IF(VLOOKUP($E$68,[1]QUART!$A$2:$FA$300, 60, FALSE)="",":",VLOOKUP($E$68,[1]QUART!$A$2:$FA$300, 60, FALSE))</f>
        <v>:</v>
      </c>
      <c r="BJ68" s="556" t="str">
        <f>IF(VLOOKUP($E$68,[1]QUART!$A$2:$FA$300, 61, FALSE)="",":",VLOOKUP($E$68,[1]QUART!$A$2:$FA$300, 61, FALSE))</f>
        <v>:</v>
      </c>
      <c r="BK68" s="556" t="str">
        <f>IF(VLOOKUP($E$68,[1]QUART!$A$2:$FA$300, 62, FALSE)="",":",VLOOKUP($E$68,[1]QUART!$A$2:$FA$300, 62, FALSE))</f>
        <v>:</v>
      </c>
      <c r="BL68" s="556" t="str">
        <f>IF(VLOOKUP($E$68,[1]QUART!$A$2:$FA$300, 63, FALSE)="",":",VLOOKUP($E$68,[1]QUART!$A$2:$FA$300, 63, FALSE))</f>
        <v>:</v>
      </c>
      <c r="BM68" s="556" t="str">
        <f>IF(VLOOKUP($E$68,[1]QUART!$A$2:$FA$300, 64, FALSE)="",":",VLOOKUP($E$68,[1]QUART!$A$2:$FA$300, 64, FALSE))</f>
        <v>:</v>
      </c>
      <c r="BN68" s="556" t="str">
        <f>IF(VLOOKUP($E$68,[1]QUART!$A$2:$FA$300, 65, FALSE)="",":",VLOOKUP($E$68,[1]QUART!$A$2:$FA$300, 65, FALSE))</f>
        <v>:</v>
      </c>
      <c r="BO68" s="556" t="str">
        <f>IF(VLOOKUP($E$68,[1]QUART!$A$2:$FA$300, 66, FALSE)="",":",VLOOKUP($E$68,[1]QUART!$A$2:$FA$300, 66, FALSE))</f>
        <v>:</v>
      </c>
      <c r="BP68" s="556" t="str">
        <f>IF(VLOOKUP($E$68,[1]QUART!$A$2:$FA$300, 67, FALSE)="",":",VLOOKUP($E$68,[1]QUART!$A$2:$FA$300, 67, FALSE))</f>
        <v>:</v>
      </c>
      <c r="BQ68" s="556" t="str">
        <f>IF(VLOOKUP($E$68,[1]QUART!$A$2:$FA$300, 68, FALSE)="",":",VLOOKUP($E$68,[1]QUART!$A$2:$FA$300, 68, FALSE))</f>
        <v>:</v>
      </c>
      <c r="BR68" s="556" t="str">
        <f>IF(VLOOKUP($E$68,[1]QUART!$A$2:$FA$300, 69, FALSE)="",":",VLOOKUP($E$68,[1]QUART!$A$2:$FA$300, 69, FALSE))</f>
        <v>:</v>
      </c>
      <c r="BS68" s="556" t="str">
        <f>IF(VLOOKUP($E$68,[1]QUART!$A$2:$FA$300, 70, FALSE)="",":",VLOOKUP($E$68,[1]QUART!$A$2:$FA$300, 70, FALSE))</f>
        <v>:</v>
      </c>
      <c r="BT68" s="556" t="str">
        <f>IF(VLOOKUP($E$68,[1]QUART!$A$2:$FA$300, 71, FALSE)="",":",VLOOKUP($E$68,[1]QUART!$A$2:$FA$300, 71, FALSE))</f>
        <v>:</v>
      </c>
      <c r="BU68" s="556" t="str">
        <f>IF(VLOOKUP($E$68,[1]QUART!$A$2:$FA$300, 72, FALSE)="",":",VLOOKUP($E$68,[1]QUART!$A$2:$FA$300, 72, FALSE))</f>
        <v>:</v>
      </c>
      <c r="BV68" s="556" t="str">
        <f>IF(VLOOKUP($E$68,[1]QUART!$A$2:$FA$300, 73, FALSE)="",":",VLOOKUP($E$68,[1]QUART!$A$2:$FA$300, 73, FALSE))</f>
        <v>:</v>
      </c>
      <c r="BW68" s="556" t="str">
        <f>IF(VLOOKUP($E$68,[1]QUART!$A$2:$FA$300, 74, FALSE)="",":",VLOOKUP($E$68,[1]QUART!$A$2:$FA$300, 74, FALSE))</f>
        <v>:</v>
      </c>
      <c r="BX68" s="556" t="str">
        <f>IF(VLOOKUP($E$68,[1]QUART!$A$2:$FA$300, 75, FALSE)="",":",VLOOKUP($E$68,[1]QUART!$A$2:$FA$300, 75, FALSE))</f>
        <v>:</v>
      </c>
      <c r="BY68" s="556" t="str">
        <f>IF(VLOOKUP($E$68,[1]QUART!$A$2:$FA$300, 76, FALSE)="",":",VLOOKUP($E$68,[1]QUART!$A$2:$FA$300, 76, FALSE))</f>
        <v>:</v>
      </c>
      <c r="BZ68" s="556" t="str">
        <f>IF(VLOOKUP($E$68,[1]QUART!$A$2:$FA$300, 77, FALSE)="",":",VLOOKUP($E$68,[1]QUART!$A$2:$FA$300, 77, FALSE))</f>
        <v>:</v>
      </c>
      <c r="CA68" s="556" t="str">
        <f>IF(VLOOKUP($E$68,[1]QUART!$A$2:$FA$300, 78, FALSE)="",":",VLOOKUP($E$68,[1]QUART!$A$2:$FA$300, 78, FALSE))</f>
        <v>:</v>
      </c>
      <c r="CB68" s="556" t="str">
        <f>IF(VLOOKUP($E$68,[1]QUART!$A$2:$FA$300, 79, FALSE)="",":",VLOOKUP($E$68,[1]QUART!$A$2:$FA$300, 79, FALSE))</f>
        <v>:</v>
      </c>
      <c r="CC68" s="556" t="str">
        <f>IF(VLOOKUP($E$68,[1]QUART!$A$2:$FA$300, 80, FALSE)="",":",VLOOKUP($E$68,[1]QUART!$A$2:$FA$300, 80, FALSE))</f>
        <v>:</v>
      </c>
      <c r="CD68" s="556" t="str">
        <f>IF(VLOOKUP($E$68,[1]QUART!$A$2:$FA$300, 81, FALSE)="",":",VLOOKUP($E$68,[1]QUART!$A$2:$FA$300, 81, FALSE))</f>
        <v>:</v>
      </c>
      <c r="CE68" s="556" t="str">
        <f>IF(VLOOKUP($E$68,[1]QUART!$A$2:$FA$300, 82, FALSE)="",":",VLOOKUP($E$68,[1]QUART!$A$2:$FA$300, 82, FALSE))</f>
        <v>:</v>
      </c>
      <c r="CF68" s="556" t="str">
        <f>IF(VLOOKUP($E$68,[1]QUART!$A$2:$FA$300, 83, FALSE)="",":",VLOOKUP($E$68,[1]QUART!$A$2:$FA$300, 83, FALSE))</f>
        <v>:</v>
      </c>
      <c r="CG68" s="556" t="str">
        <f>IF(VLOOKUP($E$68,[1]QUART!$A$2:$FA$300, 84, FALSE)="",":",VLOOKUP($E$68,[1]QUART!$A$2:$FA$300, 84, FALSE))</f>
        <v>:</v>
      </c>
      <c r="CH68" s="556" t="str">
        <f>IF(VLOOKUP($E$68,[1]QUART!$A$2:$FA$300, 85, FALSE)="",":",VLOOKUP($E$68,[1]QUART!$A$2:$FA$300, 85, FALSE))</f>
        <v>:</v>
      </c>
      <c r="CI68" s="556" t="str">
        <f>IF(VLOOKUP($E$68,[1]QUART!$A$2:$FA$300, 86, FALSE)="",":",VLOOKUP($E$68,[1]QUART!$A$2:$FA$300, 86, FALSE))</f>
        <v>:</v>
      </c>
      <c r="CJ68" s="556" t="str">
        <f>IF(VLOOKUP($E$68,[1]QUART!$A$2:$FA$300, 87, FALSE)="",":",VLOOKUP($E$68,[1]QUART!$A$2:$FA$300, 87, FALSE))</f>
        <v>:</v>
      </c>
      <c r="CK68" s="556" t="str">
        <f>IF(VLOOKUP($E$68,[1]QUART!$A$2:$FA$300, 88, FALSE)="",":",VLOOKUP($E$68,[1]QUART!$A$2:$FA$300, 88, FALSE))</f>
        <v>:</v>
      </c>
      <c r="CL68" s="556" t="str">
        <f>IF(VLOOKUP($E$68,[1]QUART!$A$2:$FA$300, 89, FALSE)="",":",VLOOKUP($E$68,[1]QUART!$A$2:$FA$300, 89, FALSE))</f>
        <v>:</v>
      </c>
      <c r="CM68" s="556" t="str">
        <f>IF(VLOOKUP($E$68,[1]QUART!$A$2:$FA$300, 90, FALSE)="",":",VLOOKUP($E$68,[1]QUART!$A$2:$FA$300, 90, FALSE))</f>
        <v>:</v>
      </c>
      <c r="CN68" s="556" t="str">
        <f>IF(VLOOKUP($E$68,[1]QUART!$A$2:$FA$300, 91, FALSE)="",":",VLOOKUP($E$68,[1]QUART!$A$2:$FA$300, 91, FALSE))</f>
        <v>:</v>
      </c>
      <c r="CO68" s="556" t="str">
        <f>IF(VLOOKUP($E$68,[1]QUART!$A$2:$FA$300, 92, FALSE)="",":",VLOOKUP($E$68,[1]QUART!$A$2:$FA$300, 92, FALSE))</f>
        <v>:</v>
      </c>
      <c r="CP68" s="556" t="str">
        <f>IF(VLOOKUP($E$68,[1]QUART!$A$2:$FA$300, 93, FALSE)="",":",VLOOKUP($E$68,[1]QUART!$A$2:$FA$300, 93, FALSE))</f>
        <v>:</v>
      </c>
      <c r="CQ68" s="556" t="str">
        <f>IF(VLOOKUP($E$68,[1]QUART!$A$2:$FA$300, 94, FALSE)="",":",VLOOKUP($E$68,[1]QUART!$A$2:$FA$300, 94, FALSE))</f>
        <v>:</v>
      </c>
      <c r="CR68" s="556" t="str">
        <f>IF(VLOOKUP($E$68,[1]QUART!$A$2:$FA$300, 95, FALSE)="",":",VLOOKUP($E$68,[1]QUART!$A$2:$FA$300, 95, FALSE))</f>
        <v>:</v>
      </c>
      <c r="CS68" s="556" t="str">
        <f>IF(VLOOKUP($E$68,[1]QUART!$A$2:$FA$300, 96, FALSE)="",":",VLOOKUP($E$68,[1]QUART!$A$2:$FA$300, 96, FALSE))</f>
        <v>:</v>
      </c>
      <c r="CT68" s="556" t="str">
        <f>IF(VLOOKUP($E$68,[1]QUART!$A$2:$FA$300, 97, FALSE)="",":",VLOOKUP($E$68,[1]QUART!$A$2:$FA$300, 97, FALSE))</f>
        <v>:</v>
      </c>
      <c r="CU68" s="556" t="str">
        <f>IF(VLOOKUP($E$68,[1]QUART!$A$2:$FA$300, 98, FALSE)="",":",VLOOKUP($E$68,[1]QUART!$A$2:$FA$300, 98, FALSE))</f>
        <v>:</v>
      </c>
      <c r="CV68" s="556" t="str">
        <f>IF(VLOOKUP($E$68,[1]QUART!$A$2:$FA$300, 99, FALSE)="",":",VLOOKUP($E$68,[1]QUART!$A$2:$FA$300, 99, FALSE))</f>
        <v>:</v>
      </c>
      <c r="CW68" s="556" t="str">
        <f>IF(VLOOKUP($E$68,[1]QUART!$A$2:$FA$300, 100, FALSE)="",":",VLOOKUP($E$68,[1]QUART!$A$2:$FA$300, 100, FALSE))</f>
        <v>:</v>
      </c>
      <c r="CX68" s="556" t="str">
        <f>IF(VLOOKUP($E$68,[1]QUART!$A$2:$FA$300, 101, FALSE)="",":",VLOOKUP($E$68,[1]QUART!$A$2:$FA$300, 101, FALSE))</f>
        <v>:</v>
      </c>
      <c r="CY68" s="556" t="str">
        <f>IF(VLOOKUP($E$68,[1]QUART!$A$2:$FA$300, 102, FALSE)="",":",VLOOKUP($E$68,[1]QUART!$A$2:$FA$300, 102, FALSE))</f>
        <v>:</v>
      </c>
      <c r="CZ68" s="556" t="str">
        <f>IF(VLOOKUP($E$68,[1]QUART!$A$2:$FA$300, 103, FALSE)="",":",VLOOKUP($E$68,[1]QUART!$A$2:$FA$300, 103, FALSE))</f>
        <v>:</v>
      </c>
      <c r="DA68" s="556" t="str">
        <f>IF(VLOOKUP($E$68,[1]QUART!$A$2:$FA$300, 104, FALSE)="",":",VLOOKUP($E$68,[1]QUART!$A$2:$FA$300, 104, FALSE))</f>
        <v>:</v>
      </c>
      <c r="DB68" s="556" t="str">
        <f>IF(VLOOKUP($E$68,[1]QUART!$A$2:$FA$300, 105, FALSE)="",":",VLOOKUP($E$68,[1]QUART!$A$2:$FA$300, 105, FALSE))</f>
        <v>:</v>
      </c>
      <c r="DC68" s="556" t="str">
        <f>IF(VLOOKUP($E$68,[1]QUART!$A$2:$FA$300, 106, FALSE)="",":",VLOOKUP($E$68,[1]QUART!$A$2:$FA$300, 106, FALSE))</f>
        <v>:</v>
      </c>
    </row>
    <row r="69" spans="1:107">
      <c r="A69" s="546"/>
      <c r="B69" s="546"/>
      <c r="C69" s="547"/>
      <c r="D69" s="12" t="s">
        <v>363</v>
      </c>
      <c r="E69" s="13">
        <v>136</v>
      </c>
      <c r="F69" s="14" t="str">
        <f>VLOOKUP($E$69,[1]QUART!$A$2:$FA$300, 3, FALSE)</f>
        <v xml:space="preserve">136  Imports of services                                                   </v>
      </c>
      <c r="G69" s="556" t="str">
        <f>IF(VLOOKUP($E$69,[1]QUART!$A$2:$FA$300, 6, FALSE)="",":",VLOOKUP($E$69,[1]QUART!$A$2:$FA$300, 6, FALSE))</f>
        <v>:</v>
      </c>
      <c r="H69" s="556" t="str">
        <f>IF(VLOOKUP($E$69,[1]QUART!$A$2:$FA$300, 7, FALSE)="",":",VLOOKUP($E$69,[1]QUART!$A$2:$FA$300, 7, FALSE))</f>
        <v>:</v>
      </c>
      <c r="I69" s="556" t="str">
        <f>IF(VLOOKUP($E$69,[1]QUART!$A$2:$FA$300, 8, FALSE)="",":",VLOOKUP($E$69,[1]QUART!$A$2:$FA$300, 8, FALSE))</f>
        <v>:</v>
      </c>
      <c r="J69" s="556" t="str">
        <f>IF(VLOOKUP($E$69,[1]QUART!$A$2:$FA$300, 9, FALSE)="",":",VLOOKUP($E$69,[1]QUART!$A$2:$FA$300, 9, FALSE))</f>
        <v>:</v>
      </c>
      <c r="K69" s="556" t="str">
        <f>IF(VLOOKUP($E$69,[1]QUART!$A$2:$FA$300, 10, FALSE)="",":",VLOOKUP($E$69,[1]QUART!$A$2:$FA$300, 10, FALSE))</f>
        <v>:</v>
      </c>
      <c r="L69" s="556" t="str">
        <f>IF(VLOOKUP($E$69,[1]QUART!$A$2:$FA$300, 11, FALSE)="",":",VLOOKUP($E$69,[1]QUART!$A$2:$FA$300, 11, FALSE))</f>
        <v>:</v>
      </c>
      <c r="M69" s="556" t="str">
        <f>IF(VLOOKUP($E$69,[1]QUART!$A$2:$FA$300, 12, FALSE)="",":",VLOOKUP($E$69,[1]QUART!$A$2:$FA$300, 12, FALSE))</f>
        <v>:</v>
      </c>
      <c r="N69" s="556" t="str">
        <f>IF(VLOOKUP($E$69,[1]QUART!$A$2:$FA$300, 13, FALSE)="",":",VLOOKUP($E$69,[1]QUART!$A$2:$FA$300, 13, FALSE))</f>
        <v>:</v>
      </c>
      <c r="O69" s="556" t="str">
        <f>IF(VLOOKUP($E$69,[1]QUART!$A$2:$FA$300, 14, FALSE)="",":",VLOOKUP($E$69,[1]QUART!$A$2:$FA$300, 14, FALSE))</f>
        <v>:</v>
      </c>
      <c r="P69" s="556" t="str">
        <f>IF(VLOOKUP($E$69,[1]QUART!$A$2:$FA$300, 15, FALSE)="",":",VLOOKUP($E$69,[1]QUART!$A$2:$FA$300, 15, FALSE))</f>
        <v>:</v>
      </c>
      <c r="Q69" s="556" t="str">
        <f>IF(VLOOKUP($E$69,[1]QUART!$A$2:$FA$300, 16, FALSE)="",":",VLOOKUP($E$69,[1]QUART!$A$2:$FA$300, 16, FALSE))</f>
        <v>:</v>
      </c>
      <c r="R69" s="556" t="str">
        <f>IF(VLOOKUP($E$69,[1]QUART!$A$2:$FA$300, 17, FALSE)="",":",VLOOKUP($E$69,[1]QUART!$A$2:$FA$300, 17, FALSE))</f>
        <v>:</v>
      </c>
      <c r="S69" s="556" t="str">
        <f>IF(VLOOKUP($E$69,[1]QUART!$A$2:$FA$300, 18, FALSE)="",":",VLOOKUP($E$69,[1]QUART!$A$2:$FA$300, 18, FALSE))</f>
        <v>:</v>
      </c>
      <c r="T69" s="556" t="str">
        <f>IF(VLOOKUP($E$69,[1]QUART!$A$2:$FA$300, 19, FALSE)="",":",VLOOKUP($E$69,[1]QUART!$A$2:$FA$300, 19, FALSE))</f>
        <v>:</v>
      </c>
      <c r="U69" s="556" t="str">
        <f>IF(VLOOKUP($E$69,[1]QUART!$A$2:$FA$300, 20, FALSE)="",":",VLOOKUP($E$69,[1]QUART!$A$2:$FA$300, 20, FALSE))</f>
        <v>:</v>
      </c>
      <c r="V69" s="556" t="str">
        <f>IF(VLOOKUP($E$69,[1]QUART!$A$2:$FA$300, 21, FALSE)="",":",VLOOKUP($E$69,[1]QUART!$A$2:$FA$300, 21, FALSE))</f>
        <v>:</v>
      </c>
      <c r="W69" s="556" t="str">
        <f>IF(VLOOKUP($E$69,[1]QUART!$A$2:$FA$300, 22, FALSE)="",":",VLOOKUP($E$69,[1]QUART!$A$2:$FA$300, 22, FALSE))</f>
        <v>:</v>
      </c>
      <c r="X69" s="556" t="str">
        <f>IF(VLOOKUP($E$69,[1]QUART!$A$2:$FA$300, 23, FALSE)="",":",VLOOKUP($E$69,[1]QUART!$A$2:$FA$300, 23, FALSE))</f>
        <v>:</v>
      </c>
      <c r="Y69" s="556" t="str">
        <f>IF(VLOOKUP($E$69,[1]QUART!$A$2:$FA$300, 24, FALSE)="",":",VLOOKUP($E$69,[1]QUART!$A$2:$FA$300, 24, FALSE))</f>
        <v>:</v>
      </c>
      <c r="Z69" s="556" t="str">
        <f>IF(VLOOKUP($E$69,[1]QUART!$A$2:$FA$300, 25, FALSE)="",":",VLOOKUP($E$69,[1]QUART!$A$2:$FA$300, 25, FALSE))</f>
        <v>:</v>
      </c>
      <c r="AA69" s="556" t="str">
        <f>IF(VLOOKUP($E$69,[1]QUART!$A$2:$FA$300, 26, FALSE)="",":",VLOOKUP($E$69,[1]QUART!$A$2:$FA$300, 26, FALSE))</f>
        <v>:</v>
      </c>
      <c r="AB69" s="556" t="str">
        <f>IF(VLOOKUP($E$69,[1]QUART!$A$2:$FA$300, 27, FALSE)="",":",VLOOKUP($E$69,[1]QUART!$A$2:$FA$300, 27, FALSE))</f>
        <v>:</v>
      </c>
      <c r="AC69" s="556" t="str">
        <f>IF(VLOOKUP($E$69,[1]QUART!$A$2:$FA$300, 28, FALSE)="",":",VLOOKUP($E$69,[1]QUART!$A$2:$FA$300, 28, FALSE))</f>
        <v>:</v>
      </c>
      <c r="AD69" s="556" t="str">
        <f>IF(VLOOKUP($E$69,[1]QUART!$A$2:$FA$300, 29, FALSE)="",":",VLOOKUP($E$69,[1]QUART!$A$2:$FA$300, 29, FALSE))</f>
        <v>:</v>
      </c>
      <c r="AE69" s="556" t="str">
        <f>IF(VLOOKUP($E$69,[1]QUART!$A$2:$FA$300, 30, FALSE)="",":",VLOOKUP($E$69,[1]QUART!$A$2:$FA$300, 30, FALSE))</f>
        <v>:</v>
      </c>
      <c r="AF69" s="556" t="str">
        <f>IF(VLOOKUP($E$69,[1]QUART!$A$2:$FA$300, 31, FALSE)="",":",VLOOKUP($E$69,[1]QUART!$A$2:$FA$300, 31, FALSE))</f>
        <v>:</v>
      </c>
      <c r="AG69" s="556" t="str">
        <f>IF(VLOOKUP($E$69,[1]QUART!$A$2:$FA$300, 32, FALSE)="",":",VLOOKUP($E$69,[1]QUART!$A$2:$FA$300, 32, FALSE))</f>
        <v>:</v>
      </c>
      <c r="AH69" s="556" t="str">
        <f>IF(VLOOKUP($E$69,[1]QUART!$A$2:$FA$300, 33, FALSE)="",":",VLOOKUP($E$69,[1]QUART!$A$2:$FA$300, 33, FALSE))</f>
        <v>:</v>
      </c>
      <c r="AI69" s="556" t="str">
        <f>IF(VLOOKUP($E$69,[1]QUART!$A$2:$FA$300, 34, FALSE)="",":",VLOOKUP($E$69,[1]QUART!$A$2:$FA$300, 34, FALSE))</f>
        <v>:</v>
      </c>
      <c r="AJ69" s="556" t="str">
        <f>IF(VLOOKUP($E$69,[1]QUART!$A$2:$FA$300, 35, FALSE)="",":",VLOOKUP($E$69,[1]QUART!$A$2:$FA$300, 35, FALSE))</f>
        <v>:</v>
      </c>
      <c r="AK69" s="556" t="str">
        <f>IF(VLOOKUP($E$69,[1]QUART!$A$2:$FA$300, 36, FALSE)="",":",VLOOKUP($E$69,[1]QUART!$A$2:$FA$300, 36, FALSE))</f>
        <v>:</v>
      </c>
      <c r="AL69" s="556" t="str">
        <f>IF(VLOOKUP($E$69,[1]QUART!$A$2:$FA$300, 37, FALSE)="",":",VLOOKUP($E$69,[1]QUART!$A$2:$FA$300, 37, FALSE))</f>
        <v>:</v>
      </c>
      <c r="AM69" s="556" t="str">
        <f>IF(VLOOKUP($E$69,[1]QUART!$A$2:$FA$300, 38, FALSE)="",":",VLOOKUP($E$69,[1]QUART!$A$2:$FA$300, 38, FALSE))</f>
        <v>:</v>
      </c>
      <c r="AN69" s="556" t="str">
        <f>IF(VLOOKUP($E$69,[1]QUART!$A$2:$FA$300, 39, FALSE)="",":",VLOOKUP($E$69,[1]QUART!$A$2:$FA$300, 39, FALSE))</f>
        <v>:</v>
      </c>
      <c r="AO69" s="556" t="str">
        <f>IF(VLOOKUP($E$69,[1]QUART!$A$2:$FA$300, 40, FALSE)="",":",VLOOKUP($E$69,[1]QUART!$A$2:$FA$300, 40, FALSE))</f>
        <v>:</v>
      </c>
      <c r="AP69" s="556" t="str">
        <f>IF(VLOOKUP($E$69,[1]QUART!$A$2:$FA$300, 41, FALSE)="",":",VLOOKUP($E$69,[1]QUART!$A$2:$FA$300, 41, FALSE))</f>
        <v>:</v>
      </c>
      <c r="AQ69" s="556" t="str">
        <f>IF(VLOOKUP($E$69,[1]QUART!$A$2:$FA$300, 42, FALSE)="",":",VLOOKUP($E$69,[1]QUART!$A$2:$FA$300, 42, FALSE))</f>
        <v>:</v>
      </c>
      <c r="AR69" s="556" t="str">
        <f>IF(VLOOKUP($E$69,[1]QUART!$A$2:$FA$300, 43, FALSE)="",":",VLOOKUP($E$69,[1]QUART!$A$2:$FA$300, 43, FALSE))</f>
        <v>:</v>
      </c>
      <c r="AS69" s="556" t="str">
        <f>IF(VLOOKUP($E$69,[1]QUART!$A$2:$FA$300, 44, FALSE)="",":",VLOOKUP($E$69,[1]QUART!$A$2:$FA$300, 44, FALSE))</f>
        <v>:</v>
      </c>
      <c r="AT69" s="556" t="str">
        <f>IF(VLOOKUP($E$69,[1]QUART!$A$2:$FA$300, 45, FALSE)="",":",VLOOKUP($E$69,[1]QUART!$A$2:$FA$300, 45, FALSE))</f>
        <v>:</v>
      </c>
      <c r="AU69" s="556" t="str">
        <f>IF(VLOOKUP($E$69,[1]QUART!$A$2:$FA$300, 46, FALSE)="",":",VLOOKUP($E$69,[1]QUART!$A$2:$FA$300, 46, FALSE))</f>
        <v>:</v>
      </c>
      <c r="AV69" s="556" t="str">
        <f>IF(VLOOKUP($E$69,[1]QUART!$A$2:$FA$300, 47, FALSE)="",":",VLOOKUP($E$69,[1]QUART!$A$2:$FA$300, 47, FALSE))</f>
        <v>:</v>
      </c>
      <c r="AW69" s="556" t="str">
        <f>IF(VLOOKUP($E$69,[1]QUART!$A$2:$FA$300, 48, FALSE)="",":",VLOOKUP($E$69,[1]QUART!$A$2:$FA$300, 48, FALSE))</f>
        <v>:</v>
      </c>
      <c r="AX69" s="556" t="str">
        <f>IF(VLOOKUP($E$69,[1]QUART!$A$2:$FA$300, 49, FALSE)="",":",VLOOKUP($E$69,[1]QUART!$A$2:$FA$300, 49, FALSE))</f>
        <v>:</v>
      </c>
      <c r="AY69" s="556" t="str">
        <f>IF(VLOOKUP($E$69,[1]QUART!$A$2:$FA$300, 50, FALSE)="",":",VLOOKUP($E$69,[1]QUART!$A$2:$FA$300, 50, FALSE))</f>
        <v>:</v>
      </c>
      <c r="AZ69" s="556" t="str">
        <f>IF(VLOOKUP($E$69,[1]QUART!$A$2:$FA$300, 51, FALSE)="",":",VLOOKUP($E$69,[1]QUART!$A$2:$FA$300, 51, FALSE))</f>
        <v>:</v>
      </c>
      <c r="BA69" s="556" t="str">
        <f>IF(VLOOKUP($E$69,[1]QUART!$A$2:$FA$300, 52, FALSE)="",":",VLOOKUP($E$69,[1]QUART!$A$2:$FA$300, 52, FALSE))</f>
        <v>:</v>
      </c>
      <c r="BB69" s="556" t="str">
        <f>IF(VLOOKUP($E$69,[1]QUART!$A$2:$FA$300, 53, FALSE)="",":",VLOOKUP($E$69,[1]QUART!$A$2:$FA$300, 53, FALSE))</f>
        <v>:</v>
      </c>
      <c r="BC69" s="556" t="str">
        <f>IF(VLOOKUP($E$69,[1]QUART!$A$2:$FA$300, 54, FALSE)="",":",VLOOKUP($E$69,[1]QUART!$A$2:$FA$300, 54, FALSE))</f>
        <v>:</v>
      </c>
      <c r="BD69" s="556" t="str">
        <f>IF(VLOOKUP($E$69,[1]QUART!$A$2:$FA$300, 55, FALSE)="",":",VLOOKUP($E$69,[1]QUART!$A$2:$FA$300, 55, FALSE))</f>
        <v>:</v>
      </c>
      <c r="BE69" s="556" t="str">
        <f>IF(VLOOKUP($E$69,[1]QUART!$A$2:$FA$300, 56, FALSE)="",":",VLOOKUP($E$69,[1]QUART!$A$2:$FA$300, 56, FALSE))</f>
        <v>:</v>
      </c>
      <c r="BF69" s="556" t="str">
        <f>IF(VLOOKUP($E$69,[1]QUART!$A$2:$FA$300, 57, FALSE)="",":",VLOOKUP($E$69,[1]QUART!$A$2:$FA$300, 57, FALSE))</f>
        <v>:</v>
      </c>
      <c r="BG69" s="556" t="str">
        <f>IF(VLOOKUP($E$69,[1]QUART!$A$2:$FA$300, 58, FALSE)="",":",VLOOKUP($E$69,[1]QUART!$A$2:$FA$300, 58, FALSE))</f>
        <v>:</v>
      </c>
      <c r="BH69" s="556" t="str">
        <f>IF(VLOOKUP($E$69,[1]QUART!$A$2:$FA$300, 59, FALSE)="",":",VLOOKUP($E$69,[1]QUART!$A$2:$FA$300, 59, FALSE))</f>
        <v>:</v>
      </c>
      <c r="BI69" s="556" t="str">
        <f>IF(VLOOKUP($E$69,[1]QUART!$A$2:$FA$300, 60, FALSE)="",":",VLOOKUP($E$69,[1]QUART!$A$2:$FA$300, 60, FALSE))</f>
        <v>:</v>
      </c>
      <c r="BJ69" s="556" t="str">
        <f>IF(VLOOKUP($E$69,[1]QUART!$A$2:$FA$300, 61, FALSE)="",":",VLOOKUP($E$69,[1]QUART!$A$2:$FA$300, 61, FALSE))</f>
        <v>:</v>
      </c>
      <c r="BK69" s="556" t="str">
        <f>IF(VLOOKUP($E$69,[1]QUART!$A$2:$FA$300, 62, FALSE)="",":",VLOOKUP($E$69,[1]QUART!$A$2:$FA$300, 62, FALSE))</f>
        <v>:</v>
      </c>
      <c r="BL69" s="556" t="str">
        <f>IF(VLOOKUP($E$69,[1]QUART!$A$2:$FA$300, 63, FALSE)="",":",VLOOKUP($E$69,[1]QUART!$A$2:$FA$300, 63, FALSE))</f>
        <v>:</v>
      </c>
      <c r="BM69" s="556" t="str">
        <f>IF(VLOOKUP($E$69,[1]QUART!$A$2:$FA$300, 64, FALSE)="",":",VLOOKUP($E$69,[1]QUART!$A$2:$FA$300, 64, FALSE))</f>
        <v>:</v>
      </c>
      <c r="BN69" s="556" t="str">
        <f>IF(VLOOKUP($E$69,[1]QUART!$A$2:$FA$300, 65, FALSE)="",":",VLOOKUP($E$69,[1]QUART!$A$2:$FA$300, 65, FALSE))</f>
        <v>:</v>
      </c>
      <c r="BO69" s="556" t="str">
        <f>IF(VLOOKUP($E$69,[1]QUART!$A$2:$FA$300, 66, FALSE)="",":",VLOOKUP($E$69,[1]QUART!$A$2:$FA$300, 66, FALSE))</f>
        <v>:</v>
      </c>
      <c r="BP69" s="556" t="str">
        <f>IF(VLOOKUP($E$69,[1]QUART!$A$2:$FA$300, 67, FALSE)="",":",VLOOKUP($E$69,[1]QUART!$A$2:$FA$300, 67, FALSE))</f>
        <v>:</v>
      </c>
      <c r="BQ69" s="556" t="str">
        <f>IF(VLOOKUP($E$69,[1]QUART!$A$2:$FA$300, 68, FALSE)="",":",VLOOKUP($E$69,[1]QUART!$A$2:$FA$300, 68, FALSE))</f>
        <v>:</v>
      </c>
      <c r="BR69" s="556" t="str">
        <f>IF(VLOOKUP($E$69,[1]QUART!$A$2:$FA$300, 69, FALSE)="",":",VLOOKUP($E$69,[1]QUART!$A$2:$FA$300, 69, FALSE))</f>
        <v>:</v>
      </c>
      <c r="BS69" s="556" t="str">
        <f>IF(VLOOKUP($E$69,[1]QUART!$A$2:$FA$300, 70, FALSE)="",":",VLOOKUP($E$69,[1]QUART!$A$2:$FA$300, 70, FALSE))</f>
        <v>:</v>
      </c>
      <c r="BT69" s="556" t="str">
        <f>IF(VLOOKUP($E$69,[1]QUART!$A$2:$FA$300, 71, FALSE)="",":",VLOOKUP($E$69,[1]QUART!$A$2:$FA$300, 71, FALSE))</f>
        <v>:</v>
      </c>
      <c r="BU69" s="556" t="str">
        <f>IF(VLOOKUP($E$69,[1]QUART!$A$2:$FA$300, 72, FALSE)="",":",VLOOKUP($E$69,[1]QUART!$A$2:$FA$300, 72, FALSE))</f>
        <v>:</v>
      </c>
      <c r="BV69" s="556" t="str">
        <f>IF(VLOOKUP($E$69,[1]QUART!$A$2:$FA$300, 73, FALSE)="",":",VLOOKUP($E$69,[1]QUART!$A$2:$FA$300, 73, FALSE))</f>
        <v>:</v>
      </c>
      <c r="BW69" s="556" t="str">
        <f>IF(VLOOKUP($E$69,[1]QUART!$A$2:$FA$300, 74, FALSE)="",":",VLOOKUP($E$69,[1]QUART!$A$2:$FA$300, 74, FALSE))</f>
        <v>:</v>
      </c>
      <c r="BX69" s="556" t="str">
        <f>IF(VLOOKUP($E$69,[1]QUART!$A$2:$FA$300, 75, FALSE)="",":",VLOOKUP($E$69,[1]QUART!$A$2:$FA$300, 75, FALSE))</f>
        <v>:</v>
      </c>
      <c r="BY69" s="556" t="str">
        <f>IF(VLOOKUP($E$69,[1]QUART!$A$2:$FA$300, 76, FALSE)="",":",VLOOKUP($E$69,[1]QUART!$A$2:$FA$300, 76, FALSE))</f>
        <v>:</v>
      </c>
      <c r="BZ69" s="556" t="str">
        <f>IF(VLOOKUP($E$69,[1]QUART!$A$2:$FA$300, 77, FALSE)="",":",VLOOKUP($E$69,[1]QUART!$A$2:$FA$300, 77, FALSE))</f>
        <v>:</v>
      </c>
      <c r="CA69" s="556" t="str">
        <f>IF(VLOOKUP($E$69,[1]QUART!$A$2:$FA$300, 78, FALSE)="",":",VLOOKUP($E$69,[1]QUART!$A$2:$FA$300, 78, FALSE))</f>
        <v>:</v>
      </c>
      <c r="CB69" s="556" t="str">
        <f>IF(VLOOKUP($E$69,[1]QUART!$A$2:$FA$300, 79, FALSE)="",":",VLOOKUP($E$69,[1]QUART!$A$2:$FA$300, 79, FALSE))</f>
        <v>:</v>
      </c>
      <c r="CC69" s="556" t="str">
        <f>IF(VLOOKUP($E$69,[1]QUART!$A$2:$FA$300, 80, FALSE)="",":",VLOOKUP($E$69,[1]QUART!$A$2:$FA$300, 80, FALSE))</f>
        <v>:</v>
      </c>
      <c r="CD69" s="556" t="str">
        <f>IF(VLOOKUP($E$69,[1]QUART!$A$2:$FA$300, 81, FALSE)="",":",VLOOKUP($E$69,[1]QUART!$A$2:$FA$300, 81, FALSE))</f>
        <v>:</v>
      </c>
      <c r="CE69" s="556" t="str">
        <f>IF(VLOOKUP($E$69,[1]QUART!$A$2:$FA$300, 82, FALSE)="",":",VLOOKUP($E$69,[1]QUART!$A$2:$FA$300, 82, FALSE))</f>
        <v>:</v>
      </c>
      <c r="CF69" s="556" t="str">
        <f>IF(VLOOKUP($E$69,[1]QUART!$A$2:$FA$300, 83, FALSE)="",":",VLOOKUP($E$69,[1]QUART!$A$2:$FA$300, 83, FALSE))</f>
        <v>:</v>
      </c>
      <c r="CG69" s="556" t="str">
        <f>IF(VLOOKUP($E$69,[1]QUART!$A$2:$FA$300, 84, FALSE)="",":",VLOOKUP($E$69,[1]QUART!$A$2:$FA$300, 84, FALSE))</f>
        <v>:</v>
      </c>
      <c r="CH69" s="556" t="str">
        <f>IF(VLOOKUP($E$69,[1]QUART!$A$2:$FA$300, 85, FALSE)="",":",VLOOKUP($E$69,[1]QUART!$A$2:$FA$300, 85, FALSE))</f>
        <v>:</v>
      </c>
      <c r="CI69" s="556" t="str">
        <f>IF(VLOOKUP($E$69,[1]QUART!$A$2:$FA$300, 86, FALSE)="",":",VLOOKUP($E$69,[1]QUART!$A$2:$FA$300, 86, FALSE))</f>
        <v>:</v>
      </c>
      <c r="CJ69" s="556" t="str">
        <f>IF(VLOOKUP($E$69,[1]QUART!$A$2:$FA$300, 87, FALSE)="",":",VLOOKUP($E$69,[1]QUART!$A$2:$FA$300, 87, FALSE))</f>
        <v>:</v>
      </c>
      <c r="CK69" s="556" t="str">
        <f>IF(VLOOKUP($E$69,[1]QUART!$A$2:$FA$300, 88, FALSE)="",":",VLOOKUP($E$69,[1]QUART!$A$2:$FA$300, 88, FALSE))</f>
        <v>:</v>
      </c>
      <c r="CL69" s="556" t="str">
        <f>IF(VLOOKUP($E$69,[1]QUART!$A$2:$FA$300, 89, FALSE)="",":",VLOOKUP($E$69,[1]QUART!$A$2:$FA$300, 89, FALSE))</f>
        <v>:</v>
      </c>
      <c r="CM69" s="556" t="str">
        <f>IF(VLOOKUP($E$69,[1]QUART!$A$2:$FA$300, 90, FALSE)="",":",VLOOKUP($E$69,[1]QUART!$A$2:$FA$300, 90, FALSE))</f>
        <v>:</v>
      </c>
      <c r="CN69" s="556" t="str">
        <f>IF(VLOOKUP($E$69,[1]QUART!$A$2:$FA$300, 91, FALSE)="",":",VLOOKUP($E$69,[1]QUART!$A$2:$FA$300, 91, FALSE))</f>
        <v>:</v>
      </c>
      <c r="CO69" s="556" t="str">
        <f>IF(VLOOKUP($E$69,[1]QUART!$A$2:$FA$300, 92, FALSE)="",":",VLOOKUP($E$69,[1]QUART!$A$2:$FA$300, 92, FALSE))</f>
        <v>:</v>
      </c>
      <c r="CP69" s="556" t="str">
        <f>IF(VLOOKUP($E$69,[1]QUART!$A$2:$FA$300, 93, FALSE)="",":",VLOOKUP($E$69,[1]QUART!$A$2:$FA$300, 93, FALSE))</f>
        <v>:</v>
      </c>
      <c r="CQ69" s="556" t="str">
        <f>IF(VLOOKUP($E$69,[1]QUART!$A$2:$FA$300, 94, FALSE)="",":",VLOOKUP($E$69,[1]QUART!$A$2:$FA$300, 94, FALSE))</f>
        <v>:</v>
      </c>
      <c r="CR69" s="556" t="str">
        <f>IF(VLOOKUP($E$69,[1]QUART!$A$2:$FA$300, 95, FALSE)="",":",VLOOKUP($E$69,[1]QUART!$A$2:$FA$300, 95, FALSE))</f>
        <v>:</v>
      </c>
      <c r="CS69" s="556" t="str">
        <f>IF(VLOOKUP($E$69,[1]QUART!$A$2:$FA$300, 96, FALSE)="",":",VLOOKUP($E$69,[1]QUART!$A$2:$FA$300, 96, FALSE))</f>
        <v>:</v>
      </c>
      <c r="CT69" s="556" t="str">
        <f>IF(VLOOKUP($E$69,[1]QUART!$A$2:$FA$300, 97, FALSE)="",":",VLOOKUP($E$69,[1]QUART!$A$2:$FA$300, 97, FALSE))</f>
        <v>:</v>
      </c>
      <c r="CU69" s="556" t="str">
        <f>IF(VLOOKUP($E$69,[1]QUART!$A$2:$FA$300, 98, FALSE)="",":",VLOOKUP($E$69,[1]QUART!$A$2:$FA$300, 98, FALSE))</f>
        <v>:</v>
      </c>
      <c r="CV69" s="556" t="str">
        <f>IF(VLOOKUP($E$69,[1]QUART!$A$2:$FA$300, 99, FALSE)="",":",VLOOKUP($E$69,[1]QUART!$A$2:$FA$300, 99, FALSE))</f>
        <v>:</v>
      </c>
      <c r="CW69" s="556" t="str">
        <f>IF(VLOOKUP($E$69,[1]QUART!$A$2:$FA$300, 100, FALSE)="",":",VLOOKUP($E$69,[1]QUART!$A$2:$FA$300, 100, FALSE))</f>
        <v>:</v>
      </c>
      <c r="CX69" s="556" t="str">
        <f>IF(VLOOKUP($E$69,[1]QUART!$A$2:$FA$300, 101, FALSE)="",":",VLOOKUP($E$69,[1]QUART!$A$2:$FA$300, 101, FALSE))</f>
        <v>:</v>
      </c>
      <c r="CY69" s="556" t="str">
        <f>IF(VLOOKUP($E$69,[1]QUART!$A$2:$FA$300, 102, FALSE)="",":",VLOOKUP($E$69,[1]QUART!$A$2:$FA$300, 102, FALSE))</f>
        <v>:</v>
      </c>
      <c r="CZ69" s="556" t="str">
        <f>IF(VLOOKUP($E$69,[1]QUART!$A$2:$FA$300, 103, FALSE)="",":",VLOOKUP($E$69,[1]QUART!$A$2:$FA$300, 103, FALSE))</f>
        <v>:</v>
      </c>
      <c r="DA69" s="556" t="str">
        <f>IF(VLOOKUP($E$69,[1]QUART!$A$2:$FA$300, 104, FALSE)="",":",VLOOKUP($E$69,[1]QUART!$A$2:$FA$300, 104, FALSE))</f>
        <v>:</v>
      </c>
      <c r="DB69" s="556" t="str">
        <f>IF(VLOOKUP($E$69,[1]QUART!$A$2:$FA$300, 105, FALSE)="",":",VLOOKUP($E$69,[1]QUART!$A$2:$FA$300, 105, FALSE))</f>
        <v>:</v>
      </c>
      <c r="DC69" s="556" t="str">
        <f>IF(VLOOKUP($E$69,[1]QUART!$A$2:$FA$300, 106, FALSE)="",":",VLOOKUP($E$69,[1]QUART!$A$2:$FA$300, 106, FALSE))</f>
        <v>:</v>
      </c>
    </row>
    <row r="70" spans="1:107">
      <c r="A70" s="546"/>
      <c r="B70" s="546"/>
      <c r="C70" s="547"/>
      <c r="D70" s="12" t="s">
        <v>363</v>
      </c>
      <c r="E70" s="13">
        <v>137</v>
      </c>
      <c r="F70" s="14" t="str">
        <f>VLOOKUP($E$70,[1]QUART!$A$2:$FA$300, 3, FALSE)</f>
        <v xml:space="preserve">137  GDP      </v>
      </c>
      <c r="G70" s="556" t="str">
        <f>IF(VLOOKUP($E$70,[1]QUART!$A$2:$FA$300, 6, FALSE)="",":",VLOOKUP($E$70,[1]QUART!$A$2:$FA$300, 6, FALSE))</f>
        <v>:</v>
      </c>
      <c r="H70" s="556" t="str">
        <f>IF(VLOOKUP($E$70,[1]QUART!$A$2:$FA$300, 7, FALSE)="",":",VLOOKUP($E$70,[1]QUART!$A$2:$FA$300, 7, FALSE))</f>
        <v>:</v>
      </c>
      <c r="I70" s="556" t="str">
        <f>IF(VLOOKUP($E$70,[1]QUART!$A$2:$FA$300, 8, FALSE)="",":",VLOOKUP($E$70,[1]QUART!$A$2:$FA$300, 8, FALSE))</f>
        <v>:</v>
      </c>
      <c r="J70" s="556" t="str">
        <f>IF(VLOOKUP($E$70,[1]QUART!$A$2:$FA$300, 9, FALSE)="",":",VLOOKUP($E$70,[1]QUART!$A$2:$FA$300, 9, FALSE))</f>
        <v>:</v>
      </c>
      <c r="K70" s="556" t="str">
        <f>IF(VLOOKUP($E$70,[1]QUART!$A$2:$FA$300, 10, FALSE)="",":",VLOOKUP($E$70,[1]QUART!$A$2:$FA$300, 10, FALSE))</f>
        <v>:</v>
      </c>
      <c r="L70" s="556" t="str">
        <f>IF(VLOOKUP($E$70,[1]QUART!$A$2:$FA$300, 11, FALSE)="",":",VLOOKUP($E$70,[1]QUART!$A$2:$FA$300, 11, FALSE))</f>
        <v>:</v>
      </c>
      <c r="M70" s="556" t="str">
        <f>IF(VLOOKUP($E$70,[1]QUART!$A$2:$FA$300, 12, FALSE)="",":",VLOOKUP($E$70,[1]QUART!$A$2:$FA$300, 12, FALSE))</f>
        <v>:</v>
      </c>
      <c r="N70" s="556" t="str">
        <f>IF(VLOOKUP($E$70,[1]QUART!$A$2:$FA$300, 13, FALSE)="",":",VLOOKUP($E$70,[1]QUART!$A$2:$FA$300, 13, FALSE))</f>
        <v>:</v>
      </c>
      <c r="O70" s="556" t="str">
        <f>IF(VLOOKUP($E$70,[1]QUART!$A$2:$FA$300, 14, FALSE)="",":",VLOOKUP($E$70,[1]QUART!$A$2:$FA$300, 14, FALSE))</f>
        <v>:</v>
      </c>
      <c r="P70" s="556" t="str">
        <f>IF(VLOOKUP($E$70,[1]QUART!$A$2:$FA$300, 15, FALSE)="",":",VLOOKUP($E$70,[1]QUART!$A$2:$FA$300, 15, FALSE))</f>
        <v>:</v>
      </c>
      <c r="Q70" s="556" t="str">
        <f>IF(VLOOKUP($E$70,[1]QUART!$A$2:$FA$300, 16, FALSE)="",":",VLOOKUP($E$70,[1]QUART!$A$2:$FA$300, 16, FALSE))</f>
        <v>:</v>
      </c>
      <c r="R70" s="556" t="str">
        <f>IF(VLOOKUP($E$70,[1]QUART!$A$2:$FA$300, 17, FALSE)="",":",VLOOKUP($E$70,[1]QUART!$A$2:$FA$300, 17, FALSE))</f>
        <v>:</v>
      </c>
      <c r="S70" s="556" t="str">
        <f>IF(VLOOKUP($E$70,[1]QUART!$A$2:$FA$300, 18, FALSE)="",":",VLOOKUP($E$70,[1]QUART!$A$2:$FA$300, 18, FALSE))</f>
        <v>:</v>
      </c>
      <c r="T70" s="556" t="str">
        <f>IF(VLOOKUP($E$70,[1]QUART!$A$2:$FA$300, 19, FALSE)="",":",VLOOKUP($E$70,[1]QUART!$A$2:$FA$300, 19, FALSE))</f>
        <v>:</v>
      </c>
      <c r="U70" s="556" t="str">
        <f>IF(VLOOKUP($E$70,[1]QUART!$A$2:$FA$300, 20, FALSE)="",":",VLOOKUP($E$70,[1]QUART!$A$2:$FA$300, 20, FALSE))</f>
        <v>:</v>
      </c>
      <c r="V70" s="556" t="str">
        <f>IF(VLOOKUP($E$70,[1]QUART!$A$2:$FA$300, 21, FALSE)="",":",VLOOKUP($E$70,[1]QUART!$A$2:$FA$300, 21, FALSE))</f>
        <v>:</v>
      </c>
      <c r="W70" s="556" t="str">
        <f>IF(VLOOKUP($E$70,[1]QUART!$A$2:$FA$300, 22, FALSE)="",":",VLOOKUP($E$70,[1]QUART!$A$2:$FA$300, 22, FALSE))</f>
        <v>:</v>
      </c>
      <c r="X70" s="556" t="str">
        <f>IF(VLOOKUP($E$70,[1]QUART!$A$2:$FA$300, 23, FALSE)="",":",VLOOKUP($E$70,[1]QUART!$A$2:$FA$300, 23, FALSE))</f>
        <v>:</v>
      </c>
      <c r="Y70" s="556" t="str">
        <f>IF(VLOOKUP($E$70,[1]QUART!$A$2:$FA$300, 24, FALSE)="",":",VLOOKUP($E$70,[1]QUART!$A$2:$FA$300, 24, FALSE))</f>
        <v>:</v>
      </c>
      <c r="Z70" s="556" t="str">
        <f>IF(VLOOKUP($E$70,[1]QUART!$A$2:$FA$300, 25, FALSE)="",":",VLOOKUP($E$70,[1]QUART!$A$2:$FA$300, 25, FALSE))</f>
        <v>:</v>
      </c>
      <c r="AA70" s="556" t="str">
        <f>IF(VLOOKUP($E$70,[1]QUART!$A$2:$FA$300, 26, FALSE)="",":",VLOOKUP($E$70,[1]QUART!$A$2:$FA$300, 26, FALSE))</f>
        <v>:</v>
      </c>
      <c r="AB70" s="556" t="str">
        <f>IF(VLOOKUP($E$70,[1]QUART!$A$2:$FA$300, 27, FALSE)="",":",VLOOKUP($E$70,[1]QUART!$A$2:$FA$300, 27, FALSE))</f>
        <v>:</v>
      </c>
      <c r="AC70" s="556" t="str">
        <f>IF(VLOOKUP($E$70,[1]QUART!$A$2:$FA$300, 28, FALSE)="",":",VLOOKUP($E$70,[1]QUART!$A$2:$FA$300, 28, FALSE))</f>
        <v>:</v>
      </c>
      <c r="AD70" s="556" t="str">
        <f>IF(VLOOKUP($E$70,[1]QUART!$A$2:$FA$300, 29, FALSE)="",":",VLOOKUP($E$70,[1]QUART!$A$2:$FA$300, 29, FALSE))</f>
        <v>:</v>
      </c>
      <c r="AE70" s="556" t="str">
        <f>IF(VLOOKUP($E$70,[1]QUART!$A$2:$FA$300, 30, FALSE)="",":",VLOOKUP($E$70,[1]QUART!$A$2:$FA$300, 30, FALSE))</f>
        <v>:</v>
      </c>
      <c r="AF70" s="556" t="str">
        <f>IF(VLOOKUP($E$70,[1]QUART!$A$2:$FA$300, 31, FALSE)="",":",VLOOKUP($E$70,[1]QUART!$A$2:$FA$300, 31, FALSE))</f>
        <v>:</v>
      </c>
      <c r="AG70" s="556" t="str">
        <f>IF(VLOOKUP($E$70,[1]QUART!$A$2:$FA$300, 32, FALSE)="",":",VLOOKUP($E$70,[1]QUART!$A$2:$FA$300, 32, FALSE))</f>
        <v>:</v>
      </c>
      <c r="AH70" s="556" t="str">
        <f>IF(VLOOKUP($E$70,[1]QUART!$A$2:$FA$300, 33, FALSE)="",":",VLOOKUP($E$70,[1]QUART!$A$2:$FA$300, 33, FALSE))</f>
        <v>:</v>
      </c>
      <c r="AI70" s="556" t="str">
        <f>IF(VLOOKUP($E$70,[1]QUART!$A$2:$FA$300, 34, FALSE)="",":",VLOOKUP($E$70,[1]QUART!$A$2:$FA$300, 34, FALSE))</f>
        <v>:</v>
      </c>
      <c r="AJ70" s="556" t="str">
        <f>IF(VLOOKUP($E$70,[1]QUART!$A$2:$FA$300, 35, FALSE)="",":",VLOOKUP($E$70,[1]QUART!$A$2:$FA$300, 35, FALSE))</f>
        <v>:</v>
      </c>
      <c r="AK70" s="556" t="str">
        <f>IF(VLOOKUP($E$70,[1]QUART!$A$2:$FA$300, 36, FALSE)="",":",VLOOKUP($E$70,[1]QUART!$A$2:$FA$300, 36, FALSE))</f>
        <v>:</v>
      </c>
      <c r="AL70" s="556" t="str">
        <f>IF(VLOOKUP($E$70,[1]QUART!$A$2:$FA$300, 37, FALSE)="",":",VLOOKUP($E$70,[1]QUART!$A$2:$FA$300, 37, FALSE))</f>
        <v>:</v>
      </c>
      <c r="AM70" s="556" t="str">
        <f>IF(VLOOKUP($E$70,[1]QUART!$A$2:$FA$300, 38, FALSE)="",":",VLOOKUP($E$70,[1]QUART!$A$2:$FA$300, 38, FALSE))</f>
        <v>:</v>
      </c>
      <c r="AN70" s="556" t="str">
        <f>IF(VLOOKUP($E$70,[1]QUART!$A$2:$FA$300, 39, FALSE)="",":",VLOOKUP($E$70,[1]QUART!$A$2:$FA$300, 39, FALSE))</f>
        <v>:</v>
      </c>
      <c r="AO70" s="556" t="str">
        <f>IF(VLOOKUP($E$70,[1]QUART!$A$2:$FA$300, 40, FALSE)="",":",VLOOKUP($E$70,[1]QUART!$A$2:$FA$300, 40, FALSE))</f>
        <v>:</v>
      </c>
      <c r="AP70" s="556" t="str">
        <f>IF(VLOOKUP($E$70,[1]QUART!$A$2:$FA$300, 41, FALSE)="",":",VLOOKUP($E$70,[1]QUART!$A$2:$FA$300, 41, FALSE))</f>
        <v>:</v>
      </c>
      <c r="AQ70" s="556" t="str">
        <f>IF(VLOOKUP($E$70,[1]QUART!$A$2:$FA$300, 42, FALSE)="",":",VLOOKUP($E$70,[1]QUART!$A$2:$FA$300, 42, FALSE))</f>
        <v>:</v>
      </c>
      <c r="AR70" s="556" t="str">
        <f>IF(VLOOKUP($E$70,[1]QUART!$A$2:$FA$300, 43, FALSE)="",":",VLOOKUP($E$70,[1]QUART!$A$2:$FA$300, 43, FALSE))</f>
        <v>:</v>
      </c>
      <c r="AS70" s="556" t="str">
        <f>IF(VLOOKUP($E$70,[1]QUART!$A$2:$FA$300, 44, FALSE)="",":",VLOOKUP($E$70,[1]QUART!$A$2:$FA$300, 44, FALSE))</f>
        <v>:</v>
      </c>
      <c r="AT70" s="556" t="str">
        <f>IF(VLOOKUP($E$70,[1]QUART!$A$2:$FA$300, 45, FALSE)="",":",VLOOKUP($E$70,[1]QUART!$A$2:$FA$300, 45, FALSE))</f>
        <v>:</v>
      </c>
      <c r="AU70" s="556" t="str">
        <f>IF(VLOOKUP($E$70,[1]QUART!$A$2:$FA$300, 46, FALSE)="",":",VLOOKUP($E$70,[1]QUART!$A$2:$FA$300, 46, FALSE))</f>
        <v>:</v>
      </c>
      <c r="AV70" s="556" t="str">
        <f>IF(VLOOKUP($E$70,[1]QUART!$A$2:$FA$300, 47, FALSE)="",":",VLOOKUP($E$70,[1]QUART!$A$2:$FA$300, 47, FALSE))</f>
        <v>:</v>
      </c>
      <c r="AW70" s="556" t="str">
        <f>IF(VLOOKUP($E$70,[1]QUART!$A$2:$FA$300, 48, FALSE)="",":",VLOOKUP($E$70,[1]QUART!$A$2:$FA$300, 48, FALSE))</f>
        <v>:</v>
      </c>
      <c r="AX70" s="556" t="str">
        <f>IF(VLOOKUP($E$70,[1]QUART!$A$2:$FA$300, 49, FALSE)="",":",VLOOKUP($E$70,[1]QUART!$A$2:$FA$300, 49, FALSE))</f>
        <v>:</v>
      </c>
      <c r="AY70" s="556" t="str">
        <f>IF(VLOOKUP($E$70,[1]QUART!$A$2:$FA$300, 50, FALSE)="",":",VLOOKUP($E$70,[1]QUART!$A$2:$FA$300, 50, FALSE))</f>
        <v>:</v>
      </c>
      <c r="AZ70" s="556" t="str">
        <f>IF(VLOOKUP($E$70,[1]QUART!$A$2:$FA$300, 51, FALSE)="",":",VLOOKUP($E$70,[1]QUART!$A$2:$FA$300, 51, FALSE))</f>
        <v>:</v>
      </c>
      <c r="BA70" s="556" t="str">
        <f>IF(VLOOKUP($E$70,[1]QUART!$A$2:$FA$300, 52, FALSE)="",":",VLOOKUP($E$70,[1]QUART!$A$2:$FA$300, 52, FALSE))</f>
        <v>:</v>
      </c>
      <c r="BB70" s="556" t="str">
        <f>IF(VLOOKUP($E$70,[1]QUART!$A$2:$FA$300, 53, FALSE)="",":",VLOOKUP($E$70,[1]QUART!$A$2:$FA$300, 53, FALSE))</f>
        <v>:</v>
      </c>
      <c r="BC70" s="556" t="str">
        <f>IF(VLOOKUP($E$70,[1]QUART!$A$2:$FA$300, 54, FALSE)="",":",VLOOKUP($E$70,[1]QUART!$A$2:$FA$300, 54, FALSE))</f>
        <v>:</v>
      </c>
      <c r="BD70" s="556" t="str">
        <f>IF(VLOOKUP($E$70,[1]QUART!$A$2:$FA$300, 55, FALSE)="",":",VLOOKUP($E$70,[1]QUART!$A$2:$FA$300, 55, FALSE))</f>
        <v>:</v>
      </c>
      <c r="BE70" s="556" t="str">
        <f>IF(VLOOKUP($E$70,[1]QUART!$A$2:$FA$300, 56, FALSE)="",":",VLOOKUP($E$70,[1]QUART!$A$2:$FA$300, 56, FALSE))</f>
        <v>:</v>
      </c>
      <c r="BF70" s="556" t="str">
        <f>IF(VLOOKUP($E$70,[1]QUART!$A$2:$FA$300, 57, FALSE)="",":",VLOOKUP($E$70,[1]QUART!$A$2:$FA$300, 57, FALSE))</f>
        <v>:</v>
      </c>
      <c r="BG70" s="556" t="str">
        <f>IF(VLOOKUP($E$70,[1]QUART!$A$2:$FA$300, 58, FALSE)="",":",VLOOKUP($E$70,[1]QUART!$A$2:$FA$300, 58, FALSE))</f>
        <v>:</v>
      </c>
      <c r="BH70" s="556" t="str">
        <f>IF(VLOOKUP($E$70,[1]QUART!$A$2:$FA$300, 59, FALSE)="",":",VLOOKUP($E$70,[1]QUART!$A$2:$FA$300, 59, FALSE))</f>
        <v>:</v>
      </c>
      <c r="BI70" s="556" t="str">
        <f>IF(VLOOKUP($E$70,[1]QUART!$A$2:$FA$300, 60, FALSE)="",":",VLOOKUP($E$70,[1]QUART!$A$2:$FA$300, 60, FALSE))</f>
        <v>:</v>
      </c>
      <c r="BJ70" s="556" t="str">
        <f>IF(VLOOKUP($E$70,[1]QUART!$A$2:$FA$300, 61, FALSE)="",":",VLOOKUP($E$70,[1]QUART!$A$2:$FA$300, 61, FALSE))</f>
        <v>:</v>
      </c>
      <c r="BK70" s="556" t="str">
        <f>IF(VLOOKUP($E$70,[1]QUART!$A$2:$FA$300, 62, FALSE)="",":",VLOOKUP($E$70,[1]QUART!$A$2:$FA$300, 62, FALSE))</f>
        <v>:</v>
      </c>
      <c r="BL70" s="556" t="str">
        <f>IF(VLOOKUP($E$70,[1]QUART!$A$2:$FA$300, 63, FALSE)="",":",VLOOKUP($E$70,[1]QUART!$A$2:$FA$300, 63, FALSE))</f>
        <v>:</v>
      </c>
      <c r="BM70" s="556" t="str">
        <f>IF(VLOOKUP($E$70,[1]QUART!$A$2:$FA$300, 64, FALSE)="",":",VLOOKUP($E$70,[1]QUART!$A$2:$FA$300, 64, FALSE))</f>
        <v>:</v>
      </c>
      <c r="BN70" s="556" t="str">
        <f>IF(VLOOKUP($E$70,[1]QUART!$A$2:$FA$300, 65, FALSE)="",":",VLOOKUP($E$70,[1]QUART!$A$2:$FA$300, 65, FALSE))</f>
        <v>:</v>
      </c>
      <c r="BO70" s="556" t="str">
        <f>IF(VLOOKUP($E$70,[1]QUART!$A$2:$FA$300, 66, FALSE)="",":",VLOOKUP($E$70,[1]QUART!$A$2:$FA$300, 66, FALSE))</f>
        <v>:</v>
      </c>
      <c r="BP70" s="556" t="str">
        <f>IF(VLOOKUP($E$70,[1]QUART!$A$2:$FA$300, 67, FALSE)="",":",VLOOKUP($E$70,[1]QUART!$A$2:$FA$300, 67, FALSE))</f>
        <v>:</v>
      </c>
      <c r="BQ70" s="556" t="str">
        <f>IF(VLOOKUP($E$70,[1]QUART!$A$2:$FA$300, 68, FALSE)="",":",VLOOKUP($E$70,[1]QUART!$A$2:$FA$300, 68, FALSE))</f>
        <v>:</v>
      </c>
      <c r="BR70" s="556" t="str">
        <f>IF(VLOOKUP($E$70,[1]QUART!$A$2:$FA$300, 69, FALSE)="",":",VLOOKUP($E$70,[1]QUART!$A$2:$FA$300, 69, FALSE))</f>
        <v>:</v>
      </c>
      <c r="BS70" s="556" t="str">
        <f>IF(VLOOKUP($E$70,[1]QUART!$A$2:$FA$300, 70, FALSE)="",":",VLOOKUP($E$70,[1]QUART!$A$2:$FA$300, 70, FALSE))</f>
        <v>:</v>
      </c>
      <c r="BT70" s="556" t="str">
        <f>IF(VLOOKUP($E$70,[1]QUART!$A$2:$FA$300, 71, FALSE)="",":",VLOOKUP($E$70,[1]QUART!$A$2:$FA$300, 71, FALSE))</f>
        <v>:</v>
      </c>
      <c r="BU70" s="556" t="str">
        <f>IF(VLOOKUP($E$70,[1]QUART!$A$2:$FA$300, 72, FALSE)="",":",VLOOKUP($E$70,[1]QUART!$A$2:$FA$300, 72, FALSE))</f>
        <v>:</v>
      </c>
      <c r="BV70" s="556" t="str">
        <f>IF(VLOOKUP($E$70,[1]QUART!$A$2:$FA$300, 73, FALSE)="",":",VLOOKUP($E$70,[1]QUART!$A$2:$FA$300, 73, FALSE))</f>
        <v>:</v>
      </c>
      <c r="BW70" s="556" t="str">
        <f>IF(VLOOKUP($E$70,[1]QUART!$A$2:$FA$300, 74, FALSE)="",":",VLOOKUP($E$70,[1]QUART!$A$2:$FA$300, 74, FALSE))</f>
        <v>:</v>
      </c>
      <c r="BX70" s="556" t="str">
        <f>IF(VLOOKUP($E$70,[1]QUART!$A$2:$FA$300, 75, FALSE)="",":",VLOOKUP($E$70,[1]QUART!$A$2:$FA$300, 75, FALSE))</f>
        <v>:</v>
      </c>
      <c r="BY70" s="556" t="str">
        <f>IF(VLOOKUP($E$70,[1]QUART!$A$2:$FA$300, 76, FALSE)="",":",VLOOKUP($E$70,[1]QUART!$A$2:$FA$300, 76, FALSE))</f>
        <v>:</v>
      </c>
      <c r="BZ70" s="556" t="str">
        <f>IF(VLOOKUP($E$70,[1]QUART!$A$2:$FA$300, 77, FALSE)="",":",VLOOKUP($E$70,[1]QUART!$A$2:$FA$300, 77, FALSE))</f>
        <v>:</v>
      </c>
      <c r="CA70" s="556" t="str">
        <f>IF(VLOOKUP($E$70,[1]QUART!$A$2:$FA$300, 78, FALSE)="",":",VLOOKUP($E$70,[1]QUART!$A$2:$FA$300, 78, FALSE))</f>
        <v>:</v>
      </c>
      <c r="CB70" s="556" t="str">
        <f>IF(VLOOKUP($E$70,[1]QUART!$A$2:$FA$300, 79, FALSE)="",":",VLOOKUP($E$70,[1]QUART!$A$2:$FA$300, 79, FALSE))</f>
        <v>:</v>
      </c>
      <c r="CC70" s="556" t="str">
        <f>IF(VLOOKUP($E$70,[1]QUART!$A$2:$FA$300, 80, FALSE)="",":",VLOOKUP($E$70,[1]QUART!$A$2:$FA$300, 80, FALSE))</f>
        <v>:</v>
      </c>
      <c r="CD70" s="556" t="str">
        <f>IF(VLOOKUP($E$70,[1]QUART!$A$2:$FA$300, 81, FALSE)="",":",VLOOKUP($E$70,[1]QUART!$A$2:$FA$300, 81, FALSE))</f>
        <v>:</v>
      </c>
      <c r="CE70" s="556" t="str">
        <f>IF(VLOOKUP($E$70,[1]QUART!$A$2:$FA$300, 82, FALSE)="",":",VLOOKUP($E$70,[1]QUART!$A$2:$FA$300, 82, FALSE))</f>
        <v>:</v>
      </c>
      <c r="CF70" s="556" t="str">
        <f>IF(VLOOKUP($E$70,[1]QUART!$A$2:$FA$300, 83, FALSE)="",":",VLOOKUP($E$70,[1]QUART!$A$2:$FA$300, 83, FALSE))</f>
        <v>:</v>
      </c>
      <c r="CG70" s="556" t="str">
        <f>IF(VLOOKUP($E$70,[1]QUART!$A$2:$FA$300, 84, FALSE)="",":",VLOOKUP($E$70,[1]QUART!$A$2:$FA$300, 84, FALSE))</f>
        <v>:</v>
      </c>
      <c r="CH70" s="556" t="str">
        <f>IF(VLOOKUP($E$70,[1]QUART!$A$2:$FA$300, 85, FALSE)="",":",VLOOKUP($E$70,[1]QUART!$A$2:$FA$300, 85, FALSE))</f>
        <v>:</v>
      </c>
      <c r="CI70" s="556" t="str">
        <f>IF(VLOOKUP($E$70,[1]QUART!$A$2:$FA$300, 86, FALSE)="",":",VLOOKUP($E$70,[1]QUART!$A$2:$FA$300, 86, FALSE))</f>
        <v>:</v>
      </c>
      <c r="CJ70" s="556" t="str">
        <f>IF(VLOOKUP($E$70,[1]QUART!$A$2:$FA$300, 87, FALSE)="",":",VLOOKUP($E$70,[1]QUART!$A$2:$FA$300, 87, FALSE))</f>
        <v>:</v>
      </c>
      <c r="CK70" s="556" t="str">
        <f>IF(VLOOKUP($E$70,[1]QUART!$A$2:$FA$300, 88, FALSE)="",":",VLOOKUP($E$70,[1]QUART!$A$2:$FA$300, 88, FALSE))</f>
        <v>:</v>
      </c>
      <c r="CL70" s="556" t="str">
        <f>IF(VLOOKUP($E$70,[1]QUART!$A$2:$FA$300, 89, FALSE)="",":",VLOOKUP($E$70,[1]QUART!$A$2:$FA$300, 89, FALSE))</f>
        <v>:</v>
      </c>
      <c r="CM70" s="556" t="str">
        <f>IF(VLOOKUP($E$70,[1]QUART!$A$2:$FA$300, 90, FALSE)="",":",VLOOKUP($E$70,[1]QUART!$A$2:$FA$300, 90, FALSE))</f>
        <v>:</v>
      </c>
      <c r="CN70" s="556" t="str">
        <f>IF(VLOOKUP($E$70,[1]QUART!$A$2:$FA$300, 91, FALSE)="",":",VLOOKUP($E$70,[1]QUART!$A$2:$FA$300, 91, FALSE))</f>
        <v>:</v>
      </c>
      <c r="CO70" s="556" t="str">
        <f>IF(VLOOKUP($E$70,[1]QUART!$A$2:$FA$300, 92, FALSE)="",":",VLOOKUP($E$70,[1]QUART!$A$2:$FA$300, 92, FALSE))</f>
        <v>:</v>
      </c>
      <c r="CP70" s="556" t="str">
        <f>IF(VLOOKUP($E$70,[1]QUART!$A$2:$FA$300, 93, FALSE)="",":",VLOOKUP($E$70,[1]QUART!$A$2:$FA$300, 93, FALSE))</f>
        <v>:</v>
      </c>
      <c r="CQ70" s="556" t="str">
        <f>IF(VLOOKUP($E$70,[1]QUART!$A$2:$FA$300, 94, FALSE)="",":",VLOOKUP($E$70,[1]QUART!$A$2:$FA$300, 94, FALSE))</f>
        <v>:</v>
      </c>
      <c r="CR70" s="556" t="str">
        <f>IF(VLOOKUP($E$70,[1]QUART!$A$2:$FA$300, 95, FALSE)="",":",VLOOKUP($E$70,[1]QUART!$A$2:$FA$300, 95, FALSE))</f>
        <v>:</v>
      </c>
      <c r="CS70" s="556" t="str">
        <f>IF(VLOOKUP($E$70,[1]QUART!$A$2:$FA$300, 96, FALSE)="",":",VLOOKUP($E$70,[1]QUART!$A$2:$FA$300, 96, FALSE))</f>
        <v>:</v>
      </c>
      <c r="CT70" s="556" t="str">
        <f>IF(VLOOKUP($E$70,[1]QUART!$A$2:$FA$300, 97, FALSE)="",":",VLOOKUP($E$70,[1]QUART!$A$2:$FA$300, 97, FALSE))</f>
        <v>:</v>
      </c>
      <c r="CU70" s="556" t="str">
        <f>IF(VLOOKUP($E$70,[1]QUART!$A$2:$FA$300, 98, FALSE)="",":",VLOOKUP($E$70,[1]QUART!$A$2:$FA$300, 98, FALSE))</f>
        <v>:</v>
      </c>
      <c r="CV70" s="556" t="str">
        <f>IF(VLOOKUP($E$70,[1]QUART!$A$2:$FA$300, 99, FALSE)="",":",VLOOKUP($E$70,[1]QUART!$A$2:$FA$300, 99, FALSE))</f>
        <v>:</v>
      </c>
      <c r="CW70" s="556" t="str">
        <f>IF(VLOOKUP($E$70,[1]QUART!$A$2:$FA$300, 100, FALSE)="",":",VLOOKUP($E$70,[1]QUART!$A$2:$FA$300, 100, FALSE))</f>
        <v>:</v>
      </c>
      <c r="CX70" s="556" t="str">
        <f>IF(VLOOKUP($E$70,[1]QUART!$A$2:$FA$300, 101, FALSE)="",":",VLOOKUP($E$70,[1]QUART!$A$2:$FA$300, 101, FALSE))</f>
        <v>:</v>
      </c>
      <c r="CY70" s="556" t="str">
        <f>IF(VLOOKUP($E$70,[1]QUART!$A$2:$FA$300, 102, FALSE)="",":",VLOOKUP($E$70,[1]QUART!$A$2:$FA$300, 102, FALSE))</f>
        <v>:</v>
      </c>
      <c r="CZ70" s="556" t="str">
        <f>IF(VLOOKUP($E$70,[1]QUART!$A$2:$FA$300, 103, FALSE)="",":",VLOOKUP($E$70,[1]QUART!$A$2:$FA$300, 103, FALSE))</f>
        <v>:</v>
      </c>
      <c r="DA70" s="556" t="str">
        <f>IF(VLOOKUP($E$70,[1]QUART!$A$2:$FA$300, 104, FALSE)="",":",VLOOKUP($E$70,[1]QUART!$A$2:$FA$300, 104, FALSE))</f>
        <v>:</v>
      </c>
      <c r="DB70" s="556" t="str">
        <f>IF(VLOOKUP($E$70,[1]QUART!$A$2:$FA$300, 105, FALSE)="",":",VLOOKUP($E$70,[1]QUART!$A$2:$FA$300, 105, FALSE))</f>
        <v>:</v>
      </c>
      <c r="DC70" s="556" t="str">
        <f>IF(VLOOKUP($E$70,[1]QUART!$A$2:$FA$300, 106, FALSE)="",":",VLOOKUP($E$70,[1]QUART!$A$2:$FA$300, 106, FALSE))</f>
        <v>:</v>
      </c>
    </row>
    <row r="71" spans="1:107">
      <c r="A71" s="545"/>
      <c r="B71" s="546"/>
      <c r="C71" s="547"/>
      <c r="D71" s="12"/>
      <c r="E71" s="13"/>
      <c r="F71" s="14"/>
      <c r="G71" s="556"/>
      <c r="H71" s="556"/>
      <c r="I71" s="556"/>
      <c r="J71" s="556"/>
      <c r="K71" s="556"/>
      <c r="L71" s="556"/>
      <c r="M71" s="556"/>
      <c r="N71" s="556"/>
      <c r="O71" s="556"/>
      <c r="P71" s="556"/>
      <c r="Q71" s="556"/>
      <c r="R71" s="556"/>
      <c r="S71" s="556"/>
      <c r="T71" s="556"/>
      <c r="U71" s="556"/>
      <c r="V71" s="556"/>
      <c r="W71" s="556"/>
      <c r="X71" s="556"/>
      <c r="Y71" s="556"/>
      <c r="Z71" s="556"/>
      <c r="AA71" s="556"/>
      <c r="AB71" s="556"/>
      <c r="AC71" s="556"/>
      <c r="AD71" s="556"/>
      <c r="AE71" s="556"/>
      <c r="AF71" s="556"/>
      <c r="AG71" s="556"/>
      <c r="AH71" s="556"/>
      <c r="AI71" s="556"/>
      <c r="AJ71" s="556"/>
      <c r="AK71" s="556"/>
      <c r="AL71" s="556"/>
      <c r="AM71" s="556"/>
      <c r="AN71" s="556"/>
      <c r="AO71" s="556"/>
      <c r="AP71" s="556"/>
      <c r="AQ71" s="556"/>
      <c r="AR71" s="556"/>
      <c r="AS71" s="556"/>
      <c r="AT71" s="556"/>
      <c r="AU71" s="556"/>
      <c r="AV71" s="556"/>
      <c r="AW71" s="556"/>
      <c r="AX71" s="556"/>
      <c r="AY71" s="556"/>
      <c r="AZ71" s="556"/>
      <c r="BA71" s="556"/>
      <c r="BB71" s="556"/>
      <c r="BC71" s="556"/>
      <c r="BD71" s="556"/>
      <c r="BE71" s="556"/>
      <c r="BF71" s="556"/>
      <c r="BG71" s="556"/>
      <c r="BH71" s="556"/>
      <c r="BI71" s="556"/>
      <c r="BJ71" s="556"/>
      <c r="BK71" s="556"/>
      <c r="BL71" s="556"/>
      <c r="BM71" s="556"/>
      <c r="BN71" s="556"/>
      <c r="BO71" s="556"/>
      <c r="BP71" s="556"/>
      <c r="BQ71" s="556"/>
      <c r="BR71" s="556"/>
      <c r="BS71" s="556"/>
      <c r="BT71" s="556"/>
      <c r="BU71" s="556"/>
      <c r="BV71" s="556"/>
      <c r="BW71" s="556"/>
      <c r="BX71" s="556"/>
      <c r="BY71" s="556"/>
      <c r="BZ71" s="556"/>
      <c r="CA71" s="556"/>
      <c r="CB71" s="556"/>
      <c r="CC71" s="556"/>
      <c r="CD71" s="556"/>
      <c r="CE71" s="556"/>
      <c r="CF71" s="556"/>
      <c r="CG71" s="556"/>
      <c r="CH71" s="556"/>
      <c r="CI71" s="556"/>
      <c r="CJ71" s="556"/>
      <c r="CK71" s="556"/>
      <c r="CL71" s="556"/>
      <c r="CM71" s="556"/>
      <c r="CN71" s="556"/>
      <c r="CO71" s="556"/>
      <c r="CP71" s="556"/>
      <c r="CQ71" s="556"/>
      <c r="CR71" s="556"/>
      <c r="CS71" s="556"/>
      <c r="CT71" s="556"/>
      <c r="CU71" s="556"/>
      <c r="CV71" s="556"/>
      <c r="CW71" s="556"/>
      <c r="CX71" s="556"/>
      <c r="CY71" s="556"/>
      <c r="CZ71" s="556"/>
      <c r="DA71" s="556"/>
      <c r="DB71" s="556"/>
      <c r="DC71" s="556"/>
    </row>
    <row r="72" spans="1:107">
      <c r="A72" s="545"/>
      <c r="B72" s="546"/>
      <c r="C72" s="547"/>
      <c r="D72" s="12"/>
      <c r="E72" s="13"/>
      <c r="F72" s="14"/>
      <c r="G72" s="556"/>
      <c r="H72" s="556"/>
      <c r="I72" s="556"/>
      <c r="J72" s="556"/>
      <c r="K72" s="556"/>
      <c r="L72" s="556"/>
      <c r="M72" s="556"/>
      <c r="N72" s="556"/>
      <c r="O72" s="556"/>
      <c r="P72" s="556"/>
      <c r="Q72" s="556"/>
      <c r="R72" s="556"/>
      <c r="S72" s="556"/>
      <c r="T72" s="556"/>
      <c r="U72" s="556"/>
      <c r="V72" s="556"/>
      <c r="W72" s="556"/>
      <c r="X72" s="556"/>
      <c r="Y72" s="556"/>
      <c r="Z72" s="556"/>
      <c r="AA72" s="556"/>
      <c r="AB72" s="556"/>
      <c r="AC72" s="556"/>
      <c r="AD72" s="556"/>
      <c r="AE72" s="556"/>
      <c r="AF72" s="556"/>
      <c r="AG72" s="556"/>
      <c r="AH72" s="556"/>
      <c r="AI72" s="556"/>
      <c r="AJ72" s="556"/>
      <c r="AK72" s="556"/>
      <c r="AL72" s="556"/>
      <c r="AM72" s="556"/>
      <c r="AN72" s="556"/>
      <c r="AO72" s="556"/>
      <c r="AP72" s="556"/>
      <c r="AQ72" s="556"/>
      <c r="AR72" s="556"/>
      <c r="AS72" s="556"/>
      <c r="AT72" s="556"/>
      <c r="AU72" s="556"/>
      <c r="AV72" s="556"/>
      <c r="AW72" s="556"/>
      <c r="AX72" s="556"/>
      <c r="AY72" s="556"/>
      <c r="AZ72" s="556"/>
      <c r="BA72" s="556"/>
      <c r="BB72" s="556"/>
      <c r="BC72" s="556"/>
      <c r="BD72" s="556"/>
      <c r="BE72" s="556"/>
      <c r="BF72" s="556"/>
      <c r="BG72" s="556"/>
      <c r="BH72" s="556"/>
      <c r="BI72" s="556"/>
      <c r="BJ72" s="556"/>
      <c r="BK72" s="556"/>
      <c r="BL72" s="556"/>
      <c r="BM72" s="556"/>
      <c r="BN72" s="556"/>
      <c r="BO72" s="556"/>
      <c r="BP72" s="556"/>
      <c r="BQ72" s="556"/>
      <c r="BR72" s="556"/>
      <c r="BS72" s="556"/>
      <c r="BT72" s="556"/>
      <c r="BU72" s="556"/>
      <c r="BV72" s="556"/>
      <c r="BW72" s="556"/>
      <c r="BX72" s="556"/>
      <c r="BY72" s="556"/>
      <c r="BZ72" s="556"/>
      <c r="CA72" s="556"/>
      <c r="CB72" s="556"/>
      <c r="CC72" s="556"/>
      <c r="CD72" s="556"/>
      <c r="CE72" s="556"/>
      <c r="CF72" s="556"/>
      <c r="CG72" s="556"/>
      <c r="CH72" s="556"/>
      <c r="CI72" s="556"/>
      <c r="CJ72" s="556"/>
      <c r="CK72" s="556"/>
      <c r="CL72" s="556"/>
      <c r="CM72" s="556"/>
      <c r="CN72" s="556"/>
      <c r="CO72" s="556"/>
      <c r="CP72" s="556"/>
      <c r="CQ72" s="556"/>
      <c r="CR72" s="556"/>
      <c r="CS72" s="556"/>
      <c r="CT72" s="556"/>
      <c r="CU72" s="556"/>
      <c r="CV72" s="556"/>
      <c r="CW72" s="556"/>
      <c r="CX72" s="556"/>
      <c r="CY72" s="556"/>
      <c r="CZ72" s="556"/>
      <c r="DA72" s="556"/>
      <c r="DB72" s="556"/>
      <c r="DC72" s="556"/>
    </row>
    <row r="73" spans="1:107">
      <c r="A73" s="545"/>
      <c r="B73" s="546"/>
      <c r="C73" s="547"/>
      <c r="D73" s="12"/>
      <c r="E73" s="13"/>
      <c r="F73" s="14"/>
      <c r="G73" s="556"/>
      <c r="H73" s="556"/>
      <c r="I73" s="556"/>
      <c r="J73" s="556"/>
      <c r="K73" s="556"/>
      <c r="L73" s="556"/>
      <c r="M73" s="556"/>
      <c r="N73" s="556"/>
      <c r="O73" s="556"/>
      <c r="P73" s="556"/>
      <c r="Q73" s="556"/>
      <c r="R73" s="556"/>
      <c r="S73" s="556"/>
      <c r="T73" s="556"/>
      <c r="U73" s="556"/>
      <c r="V73" s="556"/>
      <c r="W73" s="556"/>
      <c r="X73" s="556"/>
      <c r="Y73" s="556"/>
      <c r="Z73" s="556"/>
      <c r="AA73" s="556"/>
      <c r="AB73" s="556"/>
      <c r="AC73" s="556"/>
      <c r="AD73" s="556"/>
      <c r="AE73" s="556"/>
      <c r="AF73" s="556"/>
      <c r="AG73" s="556"/>
      <c r="AH73" s="556"/>
      <c r="AI73" s="556"/>
      <c r="AJ73" s="556"/>
      <c r="AK73" s="556"/>
      <c r="AL73" s="556"/>
      <c r="AM73" s="556"/>
      <c r="AN73" s="556"/>
      <c r="AO73" s="556"/>
      <c r="AP73" s="556"/>
      <c r="AQ73" s="556"/>
      <c r="AR73" s="556"/>
      <c r="AS73" s="556"/>
      <c r="AT73" s="556"/>
      <c r="AU73" s="556"/>
      <c r="AV73" s="556"/>
      <c r="AW73" s="556"/>
      <c r="AX73" s="556"/>
      <c r="AY73" s="556"/>
      <c r="AZ73" s="556"/>
      <c r="BA73" s="556"/>
      <c r="BB73" s="556"/>
      <c r="BC73" s="556"/>
      <c r="BD73" s="556"/>
      <c r="BE73" s="556"/>
      <c r="BF73" s="556"/>
      <c r="BG73" s="556"/>
      <c r="BH73" s="556"/>
      <c r="BI73" s="556"/>
      <c r="BJ73" s="556"/>
      <c r="BK73" s="556"/>
      <c r="BL73" s="556"/>
      <c r="BM73" s="556"/>
      <c r="BN73" s="556"/>
      <c r="BO73" s="556"/>
      <c r="BP73" s="556"/>
      <c r="BQ73" s="556"/>
      <c r="BR73" s="556"/>
      <c r="BS73" s="556"/>
      <c r="BT73" s="556"/>
      <c r="BU73" s="556"/>
      <c r="BV73" s="556"/>
      <c r="BW73" s="556"/>
      <c r="BX73" s="556"/>
      <c r="BY73" s="556"/>
      <c r="BZ73" s="556"/>
      <c r="CA73" s="556"/>
      <c r="CB73" s="556"/>
      <c r="CC73" s="556"/>
      <c r="CD73" s="556"/>
      <c r="CE73" s="556"/>
      <c r="CF73" s="556"/>
      <c r="CG73" s="556"/>
      <c r="CH73" s="556"/>
      <c r="CI73" s="556"/>
      <c r="CJ73" s="556"/>
      <c r="CK73" s="556"/>
      <c r="CL73" s="556"/>
      <c r="CM73" s="556"/>
      <c r="CN73" s="556"/>
      <c r="CO73" s="556"/>
      <c r="CP73" s="556"/>
      <c r="CQ73" s="556"/>
      <c r="CR73" s="556"/>
      <c r="CS73" s="556"/>
      <c r="CT73" s="556"/>
      <c r="CU73" s="556"/>
      <c r="CV73" s="556"/>
      <c r="CW73" s="556"/>
      <c r="CX73" s="556"/>
      <c r="CY73" s="556"/>
      <c r="CZ73" s="556"/>
      <c r="DA73" s="556"/>
      <c r="DB73" s="556"/>
      <c r="DC73" s="556"/>
    </row>
    <row r="74" spans="1:107">
      <c r="A74" s="545"/>
      <c r="B74" s="546"/>
      <c r="C74" s="547"/>
      <c r="D74" s="12"/>
      <c r="E74" s="13"/>
      <c r="F74" s="14"/>
      <c r="G74" s="556"/>
      <c r="H74" s="556"/>
      <c r="I74" s="556"/>
      <c r="J74" s="556"/>
      <c r="K74" s="556"/>
      <c r="L74" s="556"/>
      <c r="M74" s="556"/>
      <c r="N74" s="556"/>
      <c r="O74" s="556"/>
      <c r="P74" s="556"/>
      <c r="Q74" s="556"/>
      <c r="R74" s="556"/>
      <c r="S74" s="556"/>
      <c r="T74" s="556"/>
      <c r="U74" s="556"/>
      <c r="V74" s="556"/>
      <c r="W74" s="556"/>
      <c r="X74" s="556"/>
      <c r="Y74" s="556"/>
      <c r="Z74" s="556"/>
      <c r="AA74" s="556"/>
      <c r="AB74" s="556"/>
      <c r="AC74" s="556"/>
      <c r="AD74" s="556"/>
      <c r="AE74" s="556"/>
      <c r="AF74" s="556"/>
      <c r="AG74" s="556"/>
      <c r="AH74" s="556"/>
      <c r="AI74" s="556"/>
      <c r="AJ74" s="556"/>
      <c r="AK74" s="556"/>
      <c r="AL74" s="556"/>
      <c r="AM74" s="556"/>
      <c r="AN74" s="556"/>
      <c r="AO74" s="556"/>
      <c r="AP74" s="556"/>
      <c r="AQ74" s="556"/>
      <c r="AR74" s="556"/>
      <c r="AS74" s="556"/>
      <c r="AT74" s="556"/>
      <c r="AU74" s="556"/>
      <c r="AV74" s="556"/>
      <c r="AW74" s="556"/>
      <c r="AX74" s="556"/>
      <c r="AY74" s="556"/>
      <c r="AZ74" s="556"/>
      <c r="BA74" s="556"/>
      <c r="BB74" s="556"/>
      <c r="BC74" s="556"/>
      <c r="BD74" s="556"/>
      <c r="BE74" s="556"/>
      <c r="BF74" s="556"/>
      <c r="BG74" s="556"/>
      <c r="BH74" s="556"/>
      <c r="BI74" s="556"/>
      <c r="BJ74" s="556"/>
      <c r="BK74" s="556"/>
      <c r="BL74" s="556"/>
      <c r="BM74" s="556"/>
      <c r="BN74" s="556"/>
      <c r="BO74" s="556"/>
      <c r="BP74" s="556"/>
      <c r="BQ74" s="556"/>
      <c r="BR74" s="556"/>
      <c r="BS74" s="556"/>
      <c r="BT74" s="556"/>
      <c r="BU74" s="556"/>
      <c r="BV74" s="556"/>
      <c r="BW74" s="556"/>
      <c r="BX74" s="556"/>
      <c r="BY74" s="556"/>
      <c r="BZ74" s="556"/>
      <c r="CA74" s="556"/>
      <c r="CB74" s="556"/>
      <c r="CC74" s="556"/>
      <c r="CD74" s="556"/>
      <c r="CE74" s="556"/>
      <c r="CF74" s="556"/>
      <c r="CG74" s="556"/>
      <c r="CH74" s="556"/>
      <c r="CI74" s="556"/>
      <c r="CJ74" s="556"/>
      <c r="CK74" s="556"/>
      <c r="CL74" s="556"/>
      <c r="CM74" s="556"/>
      <c r="CN74" s="556"/>
      <c r="CO74" s="556"/>
      <c r="CP74" s="556"/>
      <c r="CQ74" s="556"/>
      <c r="CR74" s="556"/>
      <c r="CS74" s="556"/>
      <c r="CT74" s="556"/>
      <c r="CU74" s="556"/>
      <c r="CV74" s="556"/>
      <c r="CW74" s="556"/>
      <c r="CX74" s="556"/>
      <c r="CY74" s="556"/>
      <c r="CZ74" s="556"/>
      <c r="DA74" s="556"/>
      <c r="DB74" s="556"/>
      <c r="DC74" s="556"/>
    </row>
    <row r="75" spans="1:107">
      <c r="A75" s="545"/>
      <c r="B75" s="546"/>
      <c r="C75" s="547"/>
      <c r="D75" s="12"/>
      <c r="E75" s="13"/>
      <c r="F75" s="14"/>
      <c r="G75" s="556"/>
      <c r="H75" s="556"/>
      <c r="I75" s="556"/>
      <c r="J75" s="556"/>
      <c r="K75" s="556"/>
      <c r="L75" s="556"/>
      <c r="M75" s="556"/>
      <c r="N75" s="556"/>
      <c r="O75" s="556"/>
      <c r="P75" s="556"/>
      <c r="Q75" s="556"/>
      <c r="R75" s="556"/>
      <c r="S75" s="556"/>
      <c r="T75" s="556"/>
      <c r="U75" s="556"/>
      <c r="V75" s="556"/>
      <c r="W75" s="556"/>
      <c r="X75" s="556"/>
      <c r="Y75" s="556"/>
      <c r="Z75" s="556"/>
      <c r="AA75" s="556"/>
      <c r="AB75" s="556"/>
      <c r="AC75" s="556"/>
      <c r="AD75" s="556"/>
      <c r="AE75" s="556"/>
      <c r="AF75" s="556"/>
      <c r="AG75" s="556"/>
      <c r="AH75" s="556"/>
      <c r="AI75" s="556"/>
      <c r="AJ75" s="556"/>
      <c r="AK75" s="556"/>
      <c r="AL75" s="556"/>
      <c r="AM75" s="556"/>
      <c r="AN75" s="556"/>
      <c r="AO75" s="556"/>
      <c r="AP75" s="556"/>
      <c r="AQ75" s="556"/>
      <c r="AR75" s="556"/>
      <c r="AS75" s="556"/>
      <c r="AT75" s="556"/>
      <c r="AU75" s="556"/>
      <c r="AV75" s="556"/>
      <c r="AW75" s="556"/>
      <c r="AX75" s="556"/>
      <c r="AY75" s="556"/>
      <c r="AZ75" s="556"/>
      <c r="BA75" s="556"/>
      <c r="BB75" s="556"/>
      <c r="BC75" s="556"/>
      <c r="BD75" s="556"/>
      <c r="BE75" s="556"/>
      <c r="BF75" s="556"/>
      <c r="BG75" s="556"/>
      <c r="BH75" s="556"/>
      <c r="BI75" s="556"/>
      <c r="BJ75" s="556"/>
      <c r="BK75" s="556"/>
      <c r="BL75" s="556"/>
      <c r="BM75" s="556"/>
      <c r="BN75" s="556"/>
      <c r="BO75" s="556"/>
      <c r="BP75" s="556"/>
      <c r="BQ75" s="556"/>
      <c r="BR75" s="556"/>
      <c r="BS75" s="556"/>
      <c r="BT75" s="556"/>
      <c r="BU75" s="556"/>
      <c r="BV75" s="556"/>
      <c r="BW75" s="556"/>
      <c r="BX75" s="556"/>
      <c r="BY75" s="556"/>
      <c r="BZ75" s="556"/>
      <c r="CA75" s="556"/>
      <c r="CB75" s="556"/>
      <c r="CC75" s="556"/>
      <c r="CD75" s="556"/>
      <c r="CE75" s="556"/>
      <c r="CF75" s="556"/>
      <c r="CG75" s="556"/>
      <c r="CH75" s="556"/>
      <c r="CI75" s="556"/>
      <c r="CJ75" s="556"/>
      <c r="CK75" s="556"/>
      <c r="CL75" s="556"/>
      <c r="CM75" s="556"/>
      <c r="CN75" s="556"/>
      <c r="CO75" s="556"/>
      <c r="CP75" s="556"/>
      <c r="CQ75" s="556"/>
      <c r="CR75" s="556"/>
      <c r="CS75" s="556"/>
      <c r="CT75" s="556"/>
      <c r="CU75" s="556"/>
      <c r="CV75" s="556"/>
      <c r="CW75" s="556"/>
      <c r="CX75" s="556"/>
      <c r="CY75" s="556"/>
      <c r="CZ75" s="556"/>
      <c r="DA75" s="556"/>
      <c r="DB75" s="556"/>
      <c r="DC75" s="556"/>
    </row>
    <row r="76" spans="1:107">
      <c r="A76" s="545"/>
      <c r="B76" s="546"/>
      <c r="C76" s="547"/>
      <c r="D76" s="12"/>
      <c r="E76" s="13"/>
      <c r="F76" s="14"/>
      <c r="G76" s="556"/>
      <c r="H76" s="556"/>
      <c r="I76" s="556"/>
      <c r="J76" s="556"/>
      <c r="K76" s="556"/>
      <c r="L76" s="556"/>
      <c r="M76" s="556"/>
      <c r="N76" s="556"/>
      <c r="O76" s="556"/>
      <c r="P76" s="556"/>
      <c r="Q76" s="556"/>
      <c r="R76" s="556"/>
      <c r="S76" s="556"/>
      <c r="T76" s="556"/>
      <c r="U76" s="556"/>
      <c r="V76" s="556"/>
      <c r="W76" s="556"/>
      <c r="X76" s="556"/>
      <c r="Y76" s="556"/>
      <c r="Z76" s="556"/>
      <c r="AA76" s="556"/>
      <c r="AB76" s="556"/>
      <c r="AC76" s="556"/>
      <c r="AD76" s="556"/>
      <c r="AE76" s="556"/>
      <c r="AF76" s="556"/>
      <c r="AG76" s="556"/>
      <c r="AH76" s="556"/>
      <c r="AI76" s="556"/>
      <c r="AJ76" s="556"/>
      <c r="AK76" s="556"/>
      <c r="AL76" s="556"/>
      <c r="AM76" s="556"/>
      <c r="AN76" s="556"/>
      <c r="AO76" s="556"/>
      <c r="AP76" s="556"/>
      <c r="AQ76" s="556"/>
      <c r="AR76" s="556"/>
      <c r="AS76" s="556"/>
      <c r="AT76" s="556"/>
      <c r="AU76" s="556"/>
      <c r="AV76" s="556"/>
      <c r="AW76" s="556"/>
      <c r="AX76" s="556"/>
      <c r="AY76" s="556"/>
      <c r="AZ76" s="556"/>
      <c r="BA76" s="556"/>
      <c r="BB76" s="556"/>
      <c r="BC76" s="556"/>
      <c r="BD76" s="556"/>
      <c r="BE76" s="556"/>
      <c r="BF76" s="556"/>
      <c r="BG76" s="556"/>
      <c r="BH76" s="556"/>
      <c r="BI76" s="556"/>
      <c r="BJ76" s="556"/>
      <c r="BK76" s="556"/>
      <c r="BL76" s="556"/>
      <c r="BM76" s="556"/>
      <c r="BN76" s="556"/>
      <c r="BO76" s="556"/>
      <c r="BP76" s="556"/>
      <c r="BQ76" s="556"/>
      <c r="BR76" s="556"/>
      <c r="BS76" s="556"/>
      <c r="BT76" s="556"/>
      <c r="BU76" s="556"/>
      <c r="BV76" s="556"/>
      <c r="BW76" s="556"/>
      <c r="BX76" s="556"/>
      <c r="BY76" s="556"/>
      <c r="BZ76" s="556"/>
      <c r="CA76" s="556"/>
      <c r="CB76" s="556"/>
      <c r="CC76" s="556"/>
      <c r="CD76" s="556"/>
      <c r="CE76" s="556"/>
      <c r="CF76" s="556"/>
      <c r="CG76" s="556"/>
      <c r="CH76" s="556"/>
      <c r="CI76" s="556"/>
      <c r="CJ76" s="556"/>
      <c r="CK76" s="556"/>
      <c r="CL76" s="556"/>
      <c r="CM76" s="556"/>
      <c r="CN76" s="556"/>
      <c r="CO76" s="556"/>
      <c r="CP76" s="556"/>
      <c r="CQ76" s="556"/>
      <c r="CR76" s="556"/>
      <c r="CS76" s="556"/>
      <c r="CT76" s="556"/>
      <c r="CU76" s="556"/>
      <c r="CV76" s="556"/>
      <c r="CW76" s="556"/>
      <c r="CX76" s="556"/>
      <c r="CY76" s="556"/>
      <c r="CZ76" s="556"/>
      <c r="DA76" s="556"/>
      <c r="DB76" s="556"/>
      <c r="DC76" s="556"/>
    </row>
    <row r="77" spans="1:107">
      <c r="A77" s="545"/>
      <c r="B77" s="546"/>
      <c r="C77" s="547"/>
      <c r="D77" s="12"/>
      <c r="E77" s="13"/>
      <c r="F77" s="14"/>
      <c r="G77" s="556"/>
      <c r="H77" s="556"/>
      <c r="I77" s="556"/>
      <c r="J77" s="556"/>
      <c r="K77" s="556"/>
      <c r="L77" s="556"/>
      <c r="M77" s="556"/>
      <c r="N77" s="556"/>
      <c r="O77" s="556"/>
      <c r="P77" s="556"/>
      <c r="Q77" s="556"/>
      <c r="R77" s="556"/>
      <c r="S77" s="556"/>
      <c r="T77" s="556"/>
      <c r="U77" s="556"/>
      <c r="V77" s="556"/>
      <c r="W77" s="556"/>
      <c r="X77" s="556"/>
      <c r="Y77" s="556"/>
      <c r="Z77" s="556"/>
      <c r="AA77" s="556"/>
      <c r="AB77" s="556"/>
      <c r="AC77" s="556"/>
      <c r="AD77" s="556"/>
      <c r="AE77" s="556"/>
      <c r="AF77" s="556"/>
      <c r="AG77" s="556"/>
      <c r="AH77" s="556"/>
      <c r="AI77" s="556"/>
      <c r="AJ77" s="556"/>
      <c r="AK77" s="556"/>
      <c r="AL77" s="556"/>
      <c r="AM77" s="556"/>
      <c r="AN77" s="556"/>
      <c r="AO77" s="556"/>
      <c r="AP77" s="556"/>
      <c r="AQ77" s="556"/>
      <c r="AR77" s="556"/>
      <c r="AS77" s="556"/>
      <c r="AT77" s="556"/>
      <c r="AU77" s="556"/>
      <c r="AV77" s="556"/>
      <c r="AW77" s="556"/>
      <c r="AX77" s="556"/>
      <c r="AY77" s="556"/>
      <c r="AZ77" s="556"/>
      <c r="BA77" s="556"/>
      <c r="BB77" s="556"/>
      <c r="BC77" s="556"/>
      <c r="BD77" s="556"/>
      <c r="BE77" s="556"/>
      <c r="BF77" s="556"/>
      <c r="BG77" s="556"/>
      <c r="BH77" s="556"/>
      <c r="BI77" s="556"/>
      <c r="BJ77" s="556"/>
      <c r="BK77" s="556"/>
      <c r="BL77" s="556"/>
      <c r="BM77" s="556"/>
      <c r="BN77" s="556"/>
      <c r="BO77" s="556"/>
      <c r="BP77" s="556"/>
      <c r="BQ77" s="556"/>
      <c r="BR77" s="556"/>
      <c r="BS77" s="556"/>
      <c r="BT77" s="556"/>
      <c r="BU77" s="556"/>
      <c r="BV77" s="556"/>
      <c r="BW77" s="556"/>
      <c r="BX77" s="556"/>
      <c r="BY77" s="556"/>
      <c r="BZ77" s="556"/>
      <c r="CA77" s="556"/>
      <c r="CB77" s="556"/>
      <c r="CC77" s="556"/>
      <c r="CD77" s="556"/>
      <c r="CE77" s="556"/>
      <c r="CF77" s="556"/>
      <c r="CG77" s="556"/>
      <c r="CH77" s="556"/>
      <c r="CI77" s="556"/>
      <c r="CJ77" s="556"/>
      <c r="CK77" s="556"/>
      <c r="CL77" s="556"/>
      <c r="CM77" s="556"/>
      <c r="CN77" s="556"/>
      <c r="CO77" s="556"/>
      <c r="CP77" s="556"/>
      <c r="CQ77" s="556"/>
      <c r="CR77" s="556"/>
      <c r="CS77" s="556"/>
      <c r="CT77" s="556"/>
      <c r="CU77" s="556"/>
      <c r="CV77" s="556"/>
      <c r="CW77" s="556"/>
      <c r="CX77" s="556"/>
      <c r="CY77" s="556"/>
      <c r="CZ77" s="556"/>
      <c r="DA77" s="556"/>
      <c r="DB77" s="556"/>
      <c r="DC77" s="556"/>
    </row>
    <row r="78" spans="1:107">
      <c r="A78" s="545"/>
      <c r="B78" s="546"/>
      <c r="C78" s="547"/>
      <c r="D78" s="12"/>
      <c r="E78" s="13"/>
      <c r="F78" s="14"/>
      <c r="G78" s="556"/>
      <c r="H78" s="556"/>
      <c r="I78" s="556"/>
      <c r="J78" s="556"/>
      <c r="K78" s="556"/>
      <c r="L78" s="556"/>
      <c r="M78" s="556"/>
      <c r="N78" s="556"/>
      <c r="O78" s="556"/>
      <c r="P78" s="556"/>
      <c r="Q78" s="556"/>
      <c r="R78" s="556"/>
      <c r="S78" s="556"/>
      <c r="T78" s="556"/>
      <c r="U78" s="556"/>
      <c r="V78" s="556"/>
      <c r="W78" s="556"/>
      <c r="X78" s="556"/>
      <c r="Y78" s="556"/>
      <c r="Z78" s="556"/>
      <c r="AA78" s="556"/>
      <c r="AB78" s="556"/>
      <c r="AC78" s="556"/>
      <c r="AD78" s="556"/>
      <c r="AE78" s="556"/>
      <c r="AF78" s="556"/>
      <c r="AG78" s="556"/>
      <c r="AH78" s="556"/>
      <c r="AI78" s="556"/>
      <c r="AJ78" s="556"/>
      <c r="AK78" s="556"/>
      <c r="AL78" s="556"/>
      <c r="AM78" s="556"/>
      <c r="AN78" s="556"/>
      <c r="AO78" s="556"/>
      <c r="AP78" s="556"/>
      <c r="AQ78" s="556"/>
      <c r="AR78" s="556"/>
      <c r="AS78" s="556"/>
      <c r="AT78" s="556"/>
      <c r="AU78" s="556"/>
      <c r="AV78" s="556"/>
      <c r="AW78" s="556"/>
      <c r="AX78" s="556"/>
      <c r="AY78" s="556"/>
      <c r="AZ78" s="556"/>
      <c r="BA78" s="556"/>
      <c r="BB78" s="556"/>
      <c r="BC78" s="556"/>
      <c r="BD78" s="556"/>
      <c r="BE78" s="556"/>
      <c r="BF78" s="556"/>
      <c r="BG78" s="556"/>
      <c r="BH78" s="556"/>
      <c r="BI78" s="556"/>
      <c r="BJ78" s="556"/>
      <c r="BK78" s="556"/>
      <c r="BL78" s="556"/>
      <c r="BM78" s="556"/>
      <c r="BN78" s="556"/>
      <c r="BO78" s="556"/>
      <c r="BP78" s="556"/>
      <c r="BQ78" s="556"/>
      <c r="BR78" s="556"/>
      <c r="BS78" s="556"/>
      <c r="BT78" s="556"/>
      <c r="BU78" s="556"/>
      <c r="BV78" s="556"/>
      <c r="BW78" s="556"/>
      <c r="BX78" s="556"/>
      <c r="BY78" s="556"/>
      <c r="BZ78" s="556"/>
      <c r="CA78" s="556"/>
      <c r="CB78" s="556"/>
      <c r="CC78" s="556"/>
      <c r="CD78" s="556"/>
      <c r="CE78" s="556"/>
      <c r="CF78" s="556"/>
      <c r="CG78" s="556"/>
      <c r="CH78" s="556"/>
      <c r="CI78" s="556"/>
      <c r="CJ78" s="556"/>
      <c r="CK78" s="556"/>
      <c r="CL78" s="556"/>
      <c r="CM78" s="556"/>
      <c r="CN78" s="556"/>
      <c r="CO78" s="556"/>
      <c r="CP78" s="556"/>
      <c r="CQ78" s="556"/>
      <c r="CR78" s="556"/>
      <c r="CS78" s="556"/>
      <c r="CT78" s="556"/>
      <c r="CU78" s="556"/>
      <c r="CV78" s="556"/>
      <c r="CW78" s="556"/>
      <c r="CX78" s="556"/>
      <c r="CY78" s="556"/>
      <c r="CZ78" s="556"/>
      <c r="DA78" s="556"/>
      <c r="DB78" s="556"/>
      <c r="DC78" s="556"/>
    </row>
    <row r="79" spans="1:107">
      <c r="A79" s="545"/>
      <c r="B79" s="546"/>
      <c r="C79" s="547"/>
      <c r="D79" s="12"/>
      <c r="E79" s="13"/>
      <c r="F79" s="14"/>
      <c r="G79" s="556"/>
      <c r="H79" s="556"/>
      <c r="I79" s="556"/>
      <c r="J79" s="556"/>
      <c r="K79" s="556"/>
      <c r="L79" s="556"/>
      <c r="M79" s="556"/>
      <c r="N79" s="556"/>
      <c r="O79" s="556"/>
      <c r="P79" s="556"/>
      <c r="Q79" s="556"/>
      <c r="R79" s="556"/>
      <c r="S79" s="556"/>
      <c r="T79" s="556"/>
      <c r="U79" s="556"/>
      <c r="V79" s="556"/>
      <c r="W79" s="556"/>
      <c r="X79" s="556"/>
      <c r="Y79" s="556"/>
      <c r="Z79" s="556"/>
      <c r="AA79" s="556"/>
      <c r="AB79" s="556"/>
      <c r="AC79" s="556"/>
      <c r="AD79" s="556"/>
      <c r="AE79" s="556"/>
      <c r="AF79" s="556"/>
      <c r="AG79" s="556"/>
      <c r="AH79" s="556"/>
      <c r="AI79" s="556"/>
      <c r="AJ79" s="556"/>
      <c r="AK79" s="556"/>
      <c r="AL79" s="556"/>
      <c r="AM79" s="556"/>
      <c r="AN79" s="556"/>
      <c r="AO79" s="556"/>
      <c r="AP79" s="556"/>
      <c r="AQ79" s="556"/>
      <c r="AR79" s="556"/>
      <c r="AS79" s="556"/>
      <c r="AT79" s="556"/>
      <c r="AU79" s="556"/>
      <c r="AV79" s="556"/>
      <c r="AW79" s="556"/>
      <c r="AX79" s="556"/>
      <c r="AY79" s="556"/>
      <c r="AZ79" s="556"/>
      <c r="BA79" s="556"/>
      <c r="BB79" s="556"/>
      <c r="BC79" s="556"/>
      <c r="BD79" s="556"/>
      <c r="BE79" s="556"/>
      <c r="BF79" s="556"/>
      <c r="BG79" s="556"/>
      <c r="BH79" s="556"/>
      <c r="BI79" s="556"/>
      <c r="BJ79" s="556"/>
      <c r="BK79" s="556"/>
      <c r="BL79" s="556"/>
      <c r="BM79" s="556"/>
      <c r="BN79" s="556"/>
      <c r="BO79" s="556"/>
      <c r="BP79" s="556"/>
      <c r="BQ79" s="556"/>
      <c r="BR79" s="556"/>
      <c r="BS79" s="556"/>
      <c r="BT79" s="556"/>
      <c r="BU79" s="556"/>
      <c r="BV79" s="556"/>
      <c r="BW79" s="556"/>
      <c r="BX79" s="556"/>
      <c r="BY79" s="556"/>
      <c r="BZ79" s="556"/>
      <c r="CA79" s="556"/>
      <c r="CB79" s="556"/>
      <c r="CC79" s="556"/>
      <c r="CD79" s="556"/>
      <c r="CE79" s="556"/>
      <c r="CF79" s="556"/>
      <c r="CG79" s="556"/>
      <c r="CH79" s="556"/>
      <c r="CI79" s="556"/>
      <c r="CJ79" s="556"/>
      <c r="CK79" s="556"/>
      <c r="CL79" s="556"/>
      <c r="CM79" s="556"/>
      <c r="CN79" s="556"/>
      <c r="CO79" s="556"/>
      <c r="CP79" s="556"/>
      <c r="CQ79" s="556"/>
      <c r="CR79" s="556"/>
      <c r="CS79" s="556"/>
      <c r="CT79" s="556"/>
      <c r="CU79" s="556"/>
      <c r="CV79" s="556"/>
      <c r="CW79" s="556"/>
      <c r="CX79" s="556"/>
      <c r="CY79" s="556"/>
      <c r="CZ79" s="556"/>
      <c r="DA79" s="556"/>
      <c r="DB79" s="556"/>
      <c r="DC79" s="556"/>
    </row>
    <row r="80" spans="1:107">
      <c r="A80" s="545"/>
      <c r="B80" s="546"/>
      <c r="C80" s="547"/>
      <c r="D80" s="12"/>
      <c r="E80" s="13"/>
      <c r="F80" s="14"/>
      <c r="G80" s="556"/>
      <c r="H80" s="556"/>
      <c r="I80" s="556"/>
      <c r="J80" s="556"/>
      <c r="K80" s="556"/>
      <c r="L80" s="556"/>
      <c r="M80" s="556"/>
      <c r="N80" s="556"/>
      <c r="O80" s="556"/>
      <c r="P80" s="556"/>
      <c r="Q80" s="556"/>
      <c r="R80" s="556"/>
      <c r="S80" s="556"/>
      <c r="T80" s="556"/>
      <c r="U80" s="556"/>
      <c r="V80" s="556"/>
      <c r="W80" s="556"/>
      <c r="X80" s="556"/>
      <c r="Y80" s="556"/>
      <c r="Z80" s="556"/>
      <c r="AA80" s="556"/>
      <c r="AB80" s="556"/>
      <c r="AC80" s="556"/>
      <c r="AD80" s="556"/>
      <c r="AE80" s="556"/>
      <c r="AF80" s="556"/>
      <c r="AG80" s="556"/>
      <c r="AH80" s="556"/>
      <c r="AI80" s="556"/>
      <c r="AJ80" s="556"/>
      <c r="AK80" s="556"/>
      <c r="AL80" s="556"/>
      <c r="AM80" s="556"/>
      <c r="AN80" s="556"/>
      <c r="AO80" s="556"/>
      <c r="AP80" s="556"/>
      <c r="AQ80" s="556"/>
      <c r="AR80" s="556"/>
      <c r="AS80" s="556"/>
      <c r="AT80" s="556"/>
      <c r="AU80" s="556"/>
      <c r="AV80" s="556"/>
      <c r="AW80" s="556"/>
      <c r="AX80" s="556"/>
      <c r="AY80" s="556"/>
      <c r="AZ80" s="556"/>
      <c r="BA80" s="556"/>
      <c r="BB80" s="556"/>
      <c r="BC80" s="556"/>
      <c r="BD80" s="556"/>
      <c r="BE80" s="556"/>
      <c r="BF80" s="556"/>
      <c r="BG80" s="556"/>
      <c r="BH80" s="556"/>
      <c r="BI80" s="556"/>
      <c r="BJ80" s="556"/>
      <c r="BK80" s="556"/>
      <c r="BL80" s="556"/>
      <c r="BM80" s="556"/>
      <c r="BN80" s="556"/>
      <c r="BO80" s="556"/>
      <c r="BP80" s="556"/>
      <c r="BQ80" s="556"/>
      <c r="BR80" s="556"/>
      <c r="BS80" s="556"/>
      <c r="BT80" s="556"/>
      <c r="BU80" s="556"/>
      <c r="BV80" s="556"/>
      <c r="BW80" s="556"/>
      <c r="BX80" s="556"/>
      <c r="BY80" s="556"/>
      <c r="BZ80" s="556"/>
      <c r="CA80" s="556"/>
      <c r="CB80" s="556"/>
      <c r="CC80" s="556"/>
      <c r="CD80" s="556"/>
      <c r="CE80" s="556"/>
      <c r="CF80" s="556"/>
      <c r="CG80" s="556"/>
      <c r="CH80" s="556"/>
      <c r="CI80" s="556"/>
      <c r="CJ80" s="556"/>
      <c r="CK80" s="556"/>
      <c r="CL80" s="556"/>
      <c r="CM80" s="556"/>
      <c r="CN80" s="556"/>
      <c r="CO80" s="556"/>
      <c r="CP80" s="556"/>
      <c r="CQ80" s="556"/>
      <c r="CR80" s="556"/>
      <c r="CS80" s="556"/>
      <c r="CT80" s="556"/>
      <c r="CU80" s="556"/>
      <c r="CV80" s="556"/>
      <c r="CW80" s="556"/>
      <c r="CX80" s="556"/>
      <c r="CY80" s="556"/>
      <c r="CZ80" s="556"/>
      <c r="DA80" s="556"/>
      <c r="DB80" s="556"/>
      <c r="DC80" s="556"/>
    </row>
    <row r="81" spans="1:107">
      <c r="A81" s="545"/>
      <c r="B81" s="546"/>
      <c r="C81" s="547"/>
      <c r="D81" s="12"/>
      <c r="E81" s="13"/>
      <c r="F81" s="14"/>
      <c r="G81" s="556"/>
      <c r="H81" s="556"/>
      <c r="I81" s="556"/>
      <c r="J81" s="556"/>
      <c r="K81" s="556"/>
      <c r="L81" s="556"/>
      <c r="M81" s="556"/>
      <c r="N81" s="556"/>
      <c r="O81" s="556"/>
      <c r="P81" s="556"/>
      <c r="Q81" s="556"/>
      <c r="R81" s="556"/>
      <c r="S81" s="556"/>
      <c r="T81" s="556"/>
      <c r="U81" s="556"/>
      <c r="V81" s="556"/>
      <c r="W81" s="556"/>
      <c r="X81" s="556"/>
      <c r="Y81" s="556"/>
      <c r="Z81" s="556"/>
      <c r="AA81" s="556"/>
      <c r="AB81" s="556"/>
      <c r="AC81" s="556"/>
      <c r="AD81" s="556"/>
      <c r="AE81" s="556"/>
      <c r="AF81" s="556"/>
      <c r="AG81" s="556"/>
      <c r="AH81" s="556"/>
      <c r="AI81" s="556"/>
      <c r="AJ81" s="556"/>
      <c r="AK81" s="556"/>
      <c r="AL81" s="556"/>
      <c r="AM81" s="556"/>
      <c r="AN81" s="556"/>
      <c r="AO81" s="556"/>
      <c r="AP81" s="556"/>
      <c r="AQ81" s="556"/>
      <c r="AR81" s="556"/>
      <c r="AS81" s="556"/>
      <c r="AT81" s="556"/>
      <c r="AU81" s="556"/>
      <c r="AV81" s="556"/>
      <c r="AW81" s="556"/>
      <c r="AX81" s="556"/>
      <c r="AY81" s="556"/>
      <c r="AZ81" s="556"/>
      <c r="BA81" s="556"/>
      <c r="BB81" s="556"/>
      <c r="BC81" s="556"/>
      <c r="BD81" s="556"/>
      <c r="BE81" s="556"/>
      <c r="BF81" s="556"/>
      <c r="BG81" s="556"/>
      <c r="BH81" s="556"/>
      <c r="BI81" s="556"/>
      <c r="BJ81" s="556"/>
      <c r="BK81" s="556"/>
      <c r="BL81" s="556"/>
      <c r="BM81" s="556"/>
      <c r="BN81" s="556"/>
      <c r="BO81" s="556"/>
      <c r="BP81" s="556"/>
      <c r="BQ81" s="556"/>
      <c r="BR81" s="556"/>
      <c r="BS81" s="556"/>
      <c r="BT81" s="556"/>
      <c r="BU81" s="556"/>
      <c r="BV81" s="556"/>
      <c r="BW81" s="556"/>
      <c r="BX81" s="556"/>
      <c r="BY81" s="556"/>
      <c r="BZ81" s="556"/>
      <c r="CA81" s="556"/>
      <c r="CB81" s="556"/>
      <c r="CC81" s="556"/>
      <c r="CD81" s="556"/>
      <c r="CE81" s="556"/>
      <c r="CF81" s="556"/>
      <c r="CG81" s="556"/>
      <c r="CH81" s="556"/>
      <c r="CI81" s="556"/>
      <c r="CJ81" s="556"/>
      <c r="CK81" s="556"/>
      <c r="CL81" s="556"/>
      <c r="CM81" s="556"/>
      <c r="CN81" s="556"/>
      <c r="CO81" s="556"/>
      <c r="CP81" s="556"/>
      <c r="CQ81" s="556"/>
      <c r="CR81" s="556"/>
      <c r="CS81" s="556"/>
      <c r="CT81" s="556"/>
      <c r="CU81" s="556"/>
      <c r="CV81" s="556"/>
      <c r="CW81" s="556"/>
      <c r="CX81" s="556"/>
      <c r="CY81" s="556"/>
      <c r="CZ81" s="556"/>
      <c r="DA81" s="556"/>
      <c r="DB81" s="556"/>
      <c r="DC81" s="556"/>
    </row>
    <row r="82" spans="1:107">
      <c r="A82" s="545"/>
      <c r="B82" s="546"/>
      <c r="C82" s="547"/>
      <c r="D82" s="12"/>
      <c r="E82" s="13"/>
      <c r="F82" s="14"/>
      <c r="G82" s="556"/>
      <c r="H82" s="556"/>
      <c r="I82" s="556"/>
      <c r="J82" s="556"/>
      <c r="K82" s="556"/>
      <c r="L82" s="556"/>
      <c r="M82" s="556"/>
      <c r="N82" s="556"/>
      <c r="O82" s="556"/>
      <c r="P82" s="556"/>
      <c r="Q82" s="556"/>
      <c r="R82" s="556"/>
      <c r="S82" s="556"/>
      <c r="T82" s="556"/>
      <c r="U82" s="556"/>
      <c r="V82" s="556"/>
      <c r="W82" s="556"/>
      <c r="X82" s="556"/>
      <c r="Y82" s="556"/>
      <c r="Z82" s="556"/>
      <c r="AA82" s="556"/>
      <c r="AB82" s="556"/>
      <c r="AC82" s="556"/>
      <c r="AD82" s="556"/>
      <c r="AE82" s="556"/>
      <c r="AF82" s="556"/>
      <c r="AG82" s="556"/>
      <c r="AH82" s="556"/>
      <c r="AI82" s="556"/>
      <c r="AJ82" s="556"/>
      <c r="AK82" s="556"/>
      <c r="AL82" s="556"/>
      <c r="AM82" s="556"/>
      <c r="AN82" s="556"/>
      <c r="AO82" s="556"/>
      <c r="AP82" s="556"/>
      <c r="AQ82" s="556"/>
      <c r="AR82" s="556"/>
      <c r="AS82" s="556"/>
      <c r="AT82" s="556"/>
      <c r="AU82" s="556"/>
      <c r="AV82" s="556"/>
      <c r="AW82" s="556"/>
      <c r="AX82" s="556"/>
      <c r="AY82" s="556"/>
      <c r="AZ82" s="556"/>
      <c r="BA82" s="556"/>
      <c r="BB82" s="556"/>
      <c r="BC82" s="556"/>
      <c r="BD82" s="556"/>
      <c r="BE82" s="556"/>
      <c r="BF82" s="556"/>
      <c r="BG82" s="556"/>
      <c r="BH82" s="556"/>
      <c r="BI82" s="556"/>
      <c r="BJ82" s="556"/>
      <c r="BK82" s="556"/>
      <c r="BL82" s="556"/>
      <c r="BM82" s="556"/>
      <c r="BN82" s="556"/>
      <c r="BO82" s="556"/>
      <c r="BP82" s="556"/>
      <c r="BQ82" s="556"/>
      <c r="BR82" s="556"/>
      <c r="BS82" s="556"/>
      <c r="BT82" s="556"/>
      <c r="BU82" s="556"/>
      <c r="BV82" s="556"/>
      <c r="BW82" s="556"/>
      <c r="BX82" s="556"/>
      <c r="BY82" s="556"/>
      <c r="BZ82" s="556"/>
      <c r="CA82" s="556"/>
      <c r="CB82" s="556"/>
      <c r="CC82" s="556"/>
      <c r="CD82" s="556"/>
      <c r="CE82" s="556"/>
      <c r="CF82" s="556"/>
      <c r="CG82" s="556"/>
      <c r="CH82" s="556"/>
      <c r="CI82" s="556"/>
      <c r="CJ82" s="556"/>
      <c r="CK82" s="556"/>
      <c r="CL82" s="556"/>
      <c r="CM82" s="556"/>
      <c r="CN82" s="556"/>
      <c r="CO82" s="556"/>
      <c r="CP82" s="556"/>
      <c r="CQ82" s="556"/>
      <c r="CR82" s="556"/>
      <c r="CS82" s="556"/>
      <c r="CT82" s="556"/>
      <c r="CU82" s="556"/>
      <c r="CV82" s="556"/>
      <c r="CW82" s="556"/>
      <c r="CX82" s="556"/>
      <c r="CY82" s="556"/>
      <c r="CZ82" s="556"/>
      <c r="DA82" s="556"/>
      <c r="DB82" s="556"/>
      <c r="DC82" s="556"/>
    </row>
    <row r="83" spans="1:107">
      <c r="A83" s="545"/>
      <c r="B83" s="546"/>
      <c r="C83" s="547"/>
      <c r="D83" s="12"/>
      <c r="E83" s="13"/>
      <c r="F83" s="14"/>
      <c r="G83" s="556"/>
      <c r="H83" s="556"/>
      <c r="I83" s="556"/>
      <c r="J83" s="556"/>
      <c r="K83" s="556"/>
      <c r="L83" s="556"/>
      <c r="M83" s="556"/>
      <c r="N83" s="556"/>
      <c r="O83" s="556"/>
      <c r="P83" s="556"/>
      <c r="Q83" s="556"/>
      <c r="R83" s="556"/>
      <c r="S83" s="556"/>
      <c r="T83" s="556"/>
      <c r="U83" s="556"/>
      <c r="V83" s="556"/>
      <c r="W83" s="556"/>
      <c r="X83" s="556"/>
      <c r="Y83" s="556"/>
      <c r="Z83" s="556"/>
      <c r="AA83" s="556"/>
      <c r="AB83" s="556"/>
      <c r="AC83" s="556"/>
      <c r="AD83" s="556"/>
      <c r="AE83" s="556"/>
      <c r="AF83" s="556"/>
      <c r="AG83" s="556"/>
      <c r="AH83" s="556"/>
      <c r="AI83" s="556"/>
      <c r="AJ83" s="556"/>
      <c r="AK83" s="556"/>
      <c r="AL83" s="556"/>
      <c r="AM83" s="556"/>
      <c r="AN83" s="556"/>
      <c r="AO83" s="556"/>
      <c r="AP83" s="556"/>
      <c r="AQ83" s="556"/>
      <c r="AR83" s="556"/>
      <c r="AS83" s="556"/>
      <c r="AT83" s="556"/>
      <c r="AU83" s="556"/>
      <c r="AV83" s="556"/>
      <c r="AW83" s="556"/>
      <c r="AX83" s="556"/>
      <c r="AY83" s="556"/>
      <c r="AZ83" s="556"/>
      <c r="BA83" s="556"/>
      <c r="BB83" s="556"/>
      <c r="BC83" s="556"/>
      <c r="BD83" s="556"/>
      <c r="BE83" s="556"/>
      <c r="BF83" s="556"/>
      <c r="BG83" s="556"/>
      <c r="BH83" s="556"/>
      <c r="BI83" s="556"/>
      <c r="BJ83" s="556"/>
      <c r="BK83" s="556"/>
      <c r="BL83" s="556"/>
      <c r="BM83" s="556"/>
      <c r="BN83" s="556"/>
      <c r="BO83" s="556"/>
      <c r="BP83" s="556"/>
      <c r="BQ83" s="556"/>
      <c r="BR83" s="556"/>
      <c r="BS83" s="556"/>
      <c r="BT83" s="556"/>
      <c r="BU83" s="556"/>
      <c r="BV83" s="556"/>
      <c r="BW83" s="556"/>
      <c r="BX83" s="556"/>
      <c r="BY83" s="556"/>
      <c r="BZ83" s="556"/>
      <c r="CA83" s="556"/>
      <c r="CB83" s="556"/>
      <c r="CC83" s="556"/>
      <c r="CD83" s="556"/>
      <c r="CE83" s="556"/>
      <c r="CF83" s="556"/>
      <c r="CG83" s="556"/>
      <c r="CH83" s="556"/>
      <c r="CI83" s="556"/>
      <c r="CJ83" s="556"/>
      <c r="CK83" s="556"/>
      <c r="CL83" s="556"/>
      <c r="CM83" s="556"/>
      <c r="CN83" s="556"/>
      <c r="CO83" s="556"/>
      <c r="CP83" s="556"/>
      <c r="CQ83" s="556"/>
      <c r="CR83" s="556"/>
      <c r="CS83" s="556"/>
      <c r="CT83" s="556"/>
      <c r="CU83" s="556"/>
      <c r="CV83" s="556"/>
      <c r="CW83" s="556"/>
      <c r="CX83" s="556"/>
      <c r="CY83" s="556"/>
      <c r="CZ83" s="556"/>
      <c r="DA83" s="556"/>
      <c r="DB83" s="556"/>
      <c r="DC83" s="556"/>
    </row>
    <row r="84" spans="1:107">
      <c r="A84" s="545"/>
      <c r="B84" s="546"/>
      <c r="C84" s="547"/>
      <c r="D84" s="12"/>
      <c r="E84" s="13"/>
      <c r="F84" s="14"/>
      <c r="G84" s="556"/>
      <c r="H84" s="556"/>
      <c r="I84" s="556"/>
      <c r="J84" s="556"/>
      <c r="K84" s="556"/>
      <c r="L84" s="556"/>
      <c r="M84" s="556"/>
      <c r="N84" s="556"/>
      <c r="O84" s="556"/>
      <c r="P84" s="556"/>
      <c r="Q84" s="556"/>
      <c r="R84" s="556"/>
      <c r="S84" s="556"/>
      <c r="T84" s="556"/>
      <c r="U84" s="556"/>
      <c r="V84" s="556"/>
      <c r="W84" s="556"/>
      <c r="X84" s="556"/>
      <c r="Y84" s="556"/>
      <c r="Z84" s="556"/>
      <c r="AA84" s="556"/>
      <c r="AB84" s="556"/>
      <c r="AC84" s="556"/>
      <c r="AD84" s="556"/>
      <c r="AE84" s="556"/>
      <c r="AF84" s="556"/>
      <c r="AG84" s="556"/>
      <c r="AH84" s="556"/>
      <c r="AI84" s="556"/>
      <c r="AJ84" s="556"/>
      <c r="AK84" s="556"/>
      <c r="AL84" s="556"/>
      <c r="AM84" s="556"/>
      <c r="AN84" s="556"/>
      <c r="AO84" s="556"/>
      <c r="AP84" s="556"/>
      <c r="AQ84" s="556"/>
      <c r="AR84" s="556"/>
      <c r="AS84" s="556"/>
      <c r="AT84" s="556"/>
      <c r="AU84" s="556"/>
      <c r="AV84" s="556"/>
      <c r="AW84" s="556"/>
      <c r="AX84" s="556"/>
      <c r="AY84" s="556"/>
      <c r="AZ84" s="556"/>
      <c r="BA84" s="556"/>
      <c r="BB84" s="556"/>
      <c r="BC84" s="556"/>
      <c r="BD84" s="556"/>
      <c r="BE84" s="556"/>
      <c r="BF84" s="556"/>
      <c r="BG84" s="556"/>
      <c r="BH84" s="556"/>
      <c r="BI84" s="556"/>
      <c r="BJ84" s="556"/>
      <c r="BK84" s="556"/>
      <c r="BL84" s="556"/>
      <c r="BM84" s="556"/>
      <c r="BN84" s="556"/>
      <c r="BO84" s="556"/>
      <c r="BP84" s="556"/>
      <c r="BQ84" s="556"/>
      <c r="BR84" s="556"/>
      <c r="BS84" s="556"/>
      <c r="BT84" s="556"/>
      <c r="BU84" s="556"/>
      <c r="BV84" s="556"/>
      <c r="BW84" s="556"/>
      <c r="BX84" s="556"/>
      <c r="BY84" s="556"/>
      <c r="BZ84" s="556"/>
      <c r="CA84" s="556"/>
      <c r="CB84" s="556"/>
      <c r="CC84" s="556"/>
      <c r="CD84" s="556"/>
      <c r="CE84" s="556"/>
      <c r="CF84" s="556"/>
      <c r="CG84" s="556"/>
      <c r="CH84" s="556"/>
      <c r="CI84" s="556"/>
      <c r="CJ84" s="556"/>
      <c r="CK84" s="556"/>
      <c r="CL84" s="556"/>
      <c r="CM84" s="556"/>
      <c r="CN84" s="556"/>
      <c r="CO84" s="556"/>
      <c r="CP84" s="556"/>
      <c r="CQ84" s="556"/>
      <c r="CR84" s="556"/>
      <c r="CS84" s="556"/>
      <c r="CT84" s="556"/>
      <c r="CU84" s="556"/>
      <c r="CV84" s="556"/>
      <c r="CW84" s="556"/>
      <c r="CX84" s="556"/>
      <c r="CY84" s="556"/>
      <c r="CZ84" s="556"/>
      <c r="DA84" s="556"/>
      <c r="DB84" s="556"/>
      <c r="DC84" s="556"/>
    </row>
    <row r="85" spans="1:107">
      <c r="A85" s="545"/>
      <c r="B85" s="546"/>
      <c r="C85" s="547"/>
      <c r="D85" s="12"/>
      <c r="E85" s="13"/>
      <c r="F85" s="14"/>
      <c r="G85" s="556"/>
      <c r="H85" s="556"/>
      <c r="I85" s="556"/>
      <c r="J85" s="556"/>
      <c r="K85" s="556"/>
      <c r="L85" s="556"/>
      <c r="M85" s="556"/>
      <c r="N85" s="556"/>
      <c r="O85" s="556"/>
      <c r="P85" s="556"/>
      <c r="Q85" s="556"/>
      <c r="R85" s="556"/>
      <c r="S85" s="556"/>
      <c r="T85" s="556"/>
      <c r="U85" s="556"/>
      <c r="V85" s="556"/>
      <c r="W85" s="556"/>
      <c r="X85" s="556"/>
      <c r="Y85" s="556"/>
      <c r="Z85" s="556"/>
      <c r="AA85" s="556"/>
      <c r="AB85" s="556"/>
      <c r="AC85" s="556"/>
      <c r="AD85" s="556"/>
      <c r="AE85" s="556"/>
      <c r="AF85" s="556"/>
      <c r="AG85" s="556"/>
      <c r="AH85" s="556"/>
      <c r="AI85" s="556"/>
      <c r="AJ85" s="556"/>
      <c r="AK85" s="556"/>
      <c r="AL85" s="556"/>
      <c r="AM85" s="556"/>
      <c r="AN85" s="556"/>
      <c r="AO85" s="556"/>
      <c r="AP85" s="556"/>
      <c r="AQ85" s="556"/>
      <c r="AR85" s="556"/>
      <c r="AS85" s="556"/>
      <c r="AT85" s="556"/>
      <c r="AU85" s="556"/>
      <c r="AV85" s="556"/>
      <c r="AW85" s="556"/>
      <c r="AX85" s="556"/>
      <c r="AY85" s="556"/>
      <c r="AZ85" s="556"/>
      <c r="BA85" s="556"/>
      <c r="BB85" s="556"/>
      <c r="BC85" s="556"/>
      <c r="BD85" s="556"/>
      <c r="BE85" s="556"/>
      <c r="BF85" s="556"/>
      <c r="BG85" s="556"/>
      <c r="BH85" s="556"/>
      <c r="BI85" s="556"/>
      <c r="BJ85" s="556"/>
      <c r="BK85" s="556"/>
      <c r="BL85" s="556"/>
      <c r="BM85" s="556"/>
      <c r="BN85" s="556"/>
      <c r="BO85" s="556"/>
      <c r="BP85" s="556"/>
      <c r="BQ85" s="556"/>
      <c r="BR85" s="556"/>
      <c r="BS85" s="556"/>
      <c r="BT85" s="556"/>
      <c r="BU85" s="556"/>
      <c r="BV85" s="556"/>
      <c r="BW85" s="556"/>
      <c r="BX85" s="556"/>
      <c r="BY85" s="556"/>
      <c r="BZ85" s="556"/>
      <c r="CA85" s="556"/>
      <c r="CB85" s="556"/>
      <c r="CC85" s="556"/>
      <c r="CD85" s="556"/>
      <c r="CE85" s="556"/>
      <c r="CF85" s="556"/>
      <c r="CG85" s="556"/>
      <c r="CH85" s="556"/>
      <c r="CI85" s="556"/>
      <c r="CJ85" s="556"/>
      <c r="CK85" s="556"/>
      <c r="CL85" s="556"/>
      <c r="CM85" s="556"/>
      <c r="CN85" s="556"/>
      <c r="CO85" s="556"/>
      <c r="CP85" s="556"/>
      <c r="CQ85" s="556"/>
      <c r="CR85" s="556"/>
      <c r="CS85" s="556"/>
      <c r="CT85" s="556"/>
      <c r="CU85" s="556"/>
      <c r="CV85" s="556"/>
      <c r="CW85" s="556"/>
      <c r="CX85" s="556"/>
      <c r="CY85" s="556"/>
      <c r="CZ85" s="556"/>
      <c r="DA85" s="556"/>
      <c r="DB85" s="556"/>
      <c r="DC85" s="556"/>
    </row>
    <row r="86" spans="1:107">
      <c r="A86" s="545"/>
      <c r="B86" s="546"/>
      <c r="C86" s="547"/>
      <c r="D86" s="12"/>
      <c r="E86" s="13"/>
      <c r="F86" s="14"/>
      <c r="G86" s="556"/>
      <c r="H86" s="556"/>
      <c r="I86" s="556"/>
      <c r="J86" s="556"/>
      <c r="K86" s="556"/>
      <c r="L86" s="556"/>
      <c r="M86" s="556"/>
      <c r="N86" s="556"/>
      <c r="O86" s="556"/>
      <c r="P86" s="556"/>
      <c r="Q86" s="556"/>
      <c r="R86" s="556"/>
      <c r="S86" s="556"/>
      <c r="T86" s="556"/>
      <c r="U86" s="556"/>
      <c r="V86" s="556"/>
      <c r="W86" s="556"/>
      <c r="X86" s="556"/>
      <c r="Y86" s="556"/>
      <c r="Z86" s="556"/>
      <c r="AA86" s="556"/>
      <c r="AB86" s="556"/>
      <c r="AC86" s="556"/>
      <c r="AD86" s="556"/>
      <c r="AE86" s="556"/>
      <c r="AF86" s="556"/>
      <c r="AG86" s="556"/>
      <c r="AH86" s="556"/>
      <c r="AI86" s="556"/>
      <c r="AJ86" s="556"/>
      <c r="AK86" s="556"/>
      <c r="AL86" s="556"/>
      <c r="AM86" s="556"/>
      <c r="AN86" s="556"/>
      <c r="AO86" s="556"/>
      <c r="AP86" s="556"/>
      <c r="AQ86" s="556"/>
      <c r="AR86" s="556"/>
      <c r="AS86" s="556"/>
      <c r="AT86" s="556"/>
      <c r="AU86" s="556"/>
      <c r="AV86" s="556"/>
      <c r="AW86" s="556"/>
      <c r="AX86" s="556"/>
      <c r="AY86" s="556"/>
      <c r="AZ86" s="556"/>
      <c r="BA86" s="556"/>
      <c r="BB86" s="556"/>
      <c r="BC86" s="556"/>
      <c r="BD86" s="556"/>
      <c r="BE86" s="556"/>
      <c r="BF86" s="556"/>
      <c r="BG86" s="556"/>
      <c r="BH86" s="556"/>
      <c r="BI86" s="556"/>
      <c r="BJ86" s="556"/>
      <c r="BK86" s="556"/>
      <c r="BL86" s="556"/>
      <c r="BM86" s="556"/>
      <c r="BN86" s="556"/>
      <c r="BO86" s="556"/>
      <c r="BP86" s="556"/>
      <c r="BQ86" s="556"/>
      <c r="BR86" s="556"/>
      <c r="BS86" s="556"/>
      <c r="BT86" s="556"/>
      <c r="BU86" s="556"/>
      <c r="BV86" s="556"/>
      <c r="BW86" s="556"/>
      <c r="BX86" s="556"/>
      <c r="BY86" s="556"/>
      <c r="BZ86" s="556"/>
      <c r="CA86" s="556"/>
      <c r="CB86" s="556"/>
      <c r="CC86" s="556"/>
      <c r="CD86" s="556"/>
      <c r="CE86" s="556"/>
      <c r="CF86" s="556"/>
      <c r="CG86" s="556"/>
      <c r="CH86" s="556"/>
      <c r="CI86" s="556"/>
      <c r="CJ86" s="556"/>
      <c r="CK86" s="556"/>
      <c r="CL86" s="556"/>
      <c r="CM86" s="556"/>
      <c r="CN86" s="556"/>
      <c r="CO86" s="556"/>
      <c r="CP86" s="556"/>
      <c r="CQ86" s="556"/>
      <c r="CR86" s="556"/>
      <c r="CS86" s="556"/>
      <c r="CT86" s="556"/>
      <c r="CU86" s="556"/>
      <c r="CV86" s="556"/>
      <c r="CW86" s="556"/>
      <c r="CX86" s="556"/>
      <c r="CY86" s="556"/>
      <c r="CZ86" s="556"/>
      <c r="DA86" s="556"/>
      <c r="DB86" s="556"/>
      <c r="DC86" s="556"/>
    </row>
    <row r="87" spans="1:107">
      <c r="A87" s="545"/>
      <c r="B87" s="546"/>
      <c r="C87" s="547"/>
      <c r="D87" s="12"/>
      <c r="E87" s="13"/>
      <c r="F87" s="14"/>
      <c r="G87" s="556"/>
      <c r="H87" s="556"/>
      <c r="I87" s="556"/>
      <c r="J87" s="556"/>
      <c r="K87" s="556"/>
      <c r="L87" s="556"/>
      <c r="M87" s="556"/>
      <c r="N87" s="556"/>
      <c r="O87" s="556"/>
      <c r="P87" s="556"/>
      <c r="Q87" s="556"/>
      <c r="R87" s="556"/>
      <c r="S87" s="556"/>
      <c r="T87" s="556"/>
      <c r="U87" s="556"/>
      <c r="V87" s="556"/>
      <c r="W87" s="556"/>
      <c r="X87" s="556"/>
      <c r="Y87" s="556"/>
      <c r="Z87" s="556"/>
      <c r="AA87" s="556"/>
      <c r="AB87" s="556"/>
      <c r="AC87" s="556"/>
      <c r="AD87" s="556"/>
      <c r="AE87" s="556"/>
      <c r="AF87" s="556"/>
      <c r="AG87" s="556"/>
      <c r="AH87" s="556"/>
      <c r="AI87" s="556"/>
      <c r="AJ87" s="556"/>
      <c r="AK87" s="556"/>
      <c r="AL87" s="556"/>
      <c r="AM87" s="556"/>
      <c r="AN87" s="556"/>
      <c r="AO87" s="556"/>
      <c r="AP87" s="556"/>
      <c r="AQ87" s="556"/>
      <c r="AR87" s="556"/>
      <c r="AS87" s="556"/>
      <c r="AT87" s="556"/>
      <c r="AU87" s="556"/>
      <c r="AV87" s="556"/>
      <c r="AW87" s="556"/>
      <c r="AX87" s="556"/>
      <c r="AY87" s="556"/>
      <c r="AZ87" s="556"/>
      <c r="BA87" s="556"/>
      <c r="BB87" s="556"/>
      <c r="BC87" s="556"/>
      <c r="BD87" s="556"/>
      <c r="BE87" s="556"/>
      <c r="BF87" s="556"/>
      <c r="BG87" s="556"/>
      <c r="BH87" s="556"/>
      <c r="BI87" s="556"/>
      <c r="BJ87" s="556"/>
      <c r="BK87" s="556"/>
      <c r="BL87" s="556"/>
      <c r="BM87" s="556"/>
      <c r="BN87" s="556"/>
      <c r="BO87" s="556"/>
      <c r="BP87" s="556"/>
      <c r="BQ87" s="556"/>
      <c r="BR87" s="556"/>
      <c r="BS87" s="556"/>
      <c r="BT87" s="556"/>
      <c r="BU87" s="556"/>
      <c r="BV87" s="556"/>
      <c r="BW87" s="556"/>
      <c r="BX87" s="556"/>
      <c r="BY87" s="556"/>
      <c r="BZ87" s="556"/>
      <c r="CA87" s="556"/>
      <c r="CB87" s="556"/>
      <c r="CC87" s="556"/>
      <c r="CD87" s="556"/>
      <c r="CE87" s="556"/>
      <c r="CF87" s="556"/>
      <c r="CG87" s="556"/>
      <c r="CH87" s="556"/>
      <c r="CI87" s="556"/>
      <c r="CJ87" s="556"/>
      <c r="CK87" s="556"/>
      <c r="CL87" s="556"/>
      <c r="CM87" s="556"/>
      <c r="CN87" s="556"/>
      <c r="CO87" s="556"/>
      <c r="CP87" s="556"/>
      <c r="CQ87" s="556"/>
      <c r="CR87" s="556"/>
      <c r="CS87" s="556"/>
      <c r="CT87" s="556"/>
      <c r="CU87" s="556"/>
      <c r="CV87" s="556"/>
      <c r="CW87" s="556"/>
      <c r="CX87" s="556"/>
      <c r="CY87" s="556"/>
      <c r="CZ87" s="556"/>
      <c r="DA87" s="556"/>
      <c r="DB87" s="556"/>
      <c r="DC87" s="556"/>
    </row>
    <row r="88" spans="1:107">
      <c r="A88" s="545"/>
      <c r="B88" s="546"/>
      <c r="C88" s="547"/>
      <c r="D88" s="12"/>
      <c r="E88" s="13"/>
      <c r="F88" s="14"/>
      <c r="G88" s="556"/>
      <c r="H88" s="556"/>
      <c r="I88" s="556"/>
      <c r="J88" s="556"/>
      <c r="K88" s="556"/>
      <c r="L88" s="556"/>
      <c r="M88" s="556"/>
      <c r="N88" s="556"/>
      <c r="O88" s="556"/>
      <c r="P88" s="556"/>
      <c r="Q88" s="556"/>
      <c r="R88" s="556"/>
      <c r="S88" s="556"/>
      <c r="T88" s="556"/>
      <c r="U88" s="556"/>
      <c r="V88" s="556"/>
      <c r="W88" s="556"/>
      <c r="X88" s="556"/>
      <c r="Y88" s="556"/>
      <c r="Z88" s="556"/>
      <c r="AA88" s="556"/>
      <c r="AB88" s="556"/>
      <c r="AC88" s="556"/>
      <c r="AD88" s="556"/>
      <c r="AE88" s="556"/>
      <c r="AF88" s="556"/>
      <c r="AG88" s="556"/>
      <c r="AH88" s="556"/>
      <c r="AI88" s="556"/>
      <c r="AJ88" s="556"/>
      <c r="AK88" s="556"/>
      <c r="AL88" s="556"/>
      <c r="AM88" s="556"/>
      <c r="AN88" s="556"/>
      <c r="AO88" s="556"/>
      <c r="AP88" s="556"/>
      <c r="AQ88" s="556"/>
      <c r="AR88" s="556"/>
      <c r="AS88" s="556"/>
      <c r="AT88" s="556"/>
      <c r="AU88" s="556"/>
      <c r="AV88" s="556"/>
      <c r="AW88" s="556"/>
      <c r="AX88" s="556"/>
      <c r="AY88" s="556"/>
      <c r="AZ88" s="556"/>
      <c r="BA88" s="556"/>
      <c r="BB88" s="556"/>
      <c r="BC88" s="556"/>
      <c r="BD88" s="556"/>
      <c r="BE88" s="556"/>
      <c r="BF88" s="556"/>
      <c r="BG88" s="556"/>
      <c r="BH88" s="556"/>
      <c r="BI88" s="556"/>
      <c r="BJ88" s="556"/>
      <c r="BK88" s="556"/>
      <c r="BL88" s="556"/>
      <c r="BM88" s="556"/>
      <c r="BN88" s="556"/>
      <c r="BO88" s="556"/>
      <c r="BP88" s="556"/>
      <c r="BQ88" s="556"/>
      <c r="BR88" s="556"/>
      <c r="BS88" s="556"/>
      <c r="BT88" s="556"/>
      <c r="BU88" s="556"/>
      <c r="BV88" s="556"/>
      <c r="BW88" s="556"/>
      <c r="BX88" s="556"/>
      <c r="BY88" s="556"/>
      <c r="BZ88" s="556"/>
      <c r="CA88" s="556"/>
      <c r="CB88" s="556"/>
      <c r="CC88" s="556"/>
      <c r="CD88" s="556"/>
      <c r="CE88" s="556"/>
      <c r="CF88" s="556"/>
      <c r="CG88" s="556"/>
      <c r="CH88" s="556"/>
      <c r="CI88" s="556"/>
      <c r="CJ88" s="556"/>
      <c r="CK88" s="556"/>
      <c r="CL88" s="556"/>
      <c r="CM88" s="556"/>
      <c r="CN88" s="556"/>
      <c r="CO88" s="556"/>
      <c r="CP88" s="556"/>
      <c r="CQ88" s="556"/>
      <c r="CR88" s="556"/>
      <c r="CS88" s="556"/>
      <c r="CT88" s="556"/>
      <c r="CU88" s="556"/>
      <c r="CV88" s="556"/>
      <c r="CW88" s="556"/>
      <c r="CX88" s="556"/>
      <c r="CY88" s="556"/>
      <c r="CZ88" s="556"/>
      <c r="DA88" s="556"/>
      <c r="DB88" s="556"/>
      <c r="DC88" s="556"/>
    </row>
  </sheetData>
  <mergeCells count="1">
    <mergeCell ref="A1:F1"/>
  </mergeCells>
  <phoneticPr fontId="76" type="noConversion"/>
  <pageMargins left="0.75" right="0.75" top="1" bottom="1" header="0.5" footer="0.5"/>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
    <tabColor indexed="44"/>
  </sheetPr>
  <dimension ref="A1:AF297"/>
  <sheetViews>
    <sheetView showGridLines="0" workbookViewId="0">
      <pane xSplit="6" ySplit="3" topLeftCell="AA188" activePane="bottomRight" state="frozen"/>
      <selection pane="topRight" activeCell="G1" sqref="G1"/>
      <selection pane="bottomLeft" activeCell="A4" sqref="A4"/>
      <selection pane="bottomRight" activeCell="AD272" sqref="AD272"/>
    </sheetView>
  </sheetViews>
  <sheetFormatPr defaultColWidth="9.109375" defaultRowHeight="13.2"/>
  <cols>
    <col min="1" max="1" width="4.5546875" style="3" customWidth="1"/>
    <col min="2" max="2" width="14" style="2" customWidth="1"/>
    <col min="3" max="3" width="13.44140625" style="1" customWidth="1"/>
    <col min="4" max="4" width="10.6640625" style="1" customWidth="1"/>
    <col min="5" max="5" width="6.5546875" style="1" customWidth="1"/>
    <col min="6" max="6" width="43.6640625" style="1" customWidth="1"/>
    <col min="7" max="32" width="9" style="554" customWidth="1"/>
    <col min="33" max="37" width="9" style="1" customWidth="1"/>
    <col min="38" max="16384" width="9.109375" style="1"/>
  </cols>
  <sheetData>
    <row r="1" spans="1:32" ht="42" customHeight="1" thickBot="1">
      <c r="A1" s="4087" t="s">
        <v>318</v>
      </c>
      <c r="B1" s="4088"/>
      <c r="C1" s="4088"/>
      <c r="D1" s="4088"/>
      <c r="E1" s="4088"/>
      <c r="F1" s="4088"/>
      <c r="G1" s="553"/>
      <c r="H1" s="553"/>
      <c r="I1" s="553"/>
    </row>
    <row r="2" spans="1:32" ht="12" customHeight="1">
      <c r="A2" s="8" t="s">
        <v>2082</v>
      </c>
      <c r="B2" s="4"/>
      <c r="C2" s="4"/>
      <c r="D2" s="5"/>
      <c r="E2" s="6"/>
      <c r="F2" s="7"/>
      <c r="G2" s="532"/>
      <c r="H2" s="532"/>
      <c r="I2" s="532"/>
      <c r="J2" s="532"/>
      <c r="K2" s="532"/>
      <c r="L2" s="532"/>
      <c r="M2" s="532"/>
      <c r="N2" s="532"/>
      <c r="O2" s="532"/>
      <c r="P2" s="532"/>
      <c r="Q2" s="532"/>
      <c r="R2" s="532"/>
      <c r="S2" s="532"/>
      <c r="T2" s="532"/>
      <c r="U2" s="532"/>
      <c r="V2" s="532"/>
      <c r="W2" s="532"/>
      <c r="X2" s="532"/>
      <c r="Y2" s="532"/>
      <c r="Z2" s="532"/>
      <c r="AA2" s="532"/>
      <c r="AB2" s="532"/>
      <c r="AC2" s="532"/>
      <c r="AD2" s="532"/>
      <c r="AE2" s="532"/>
      <c r="AF2" s="532"/>
    </row>
    <row r="3" spans="1:32" s="539" customFormat="1" ht="24.75" customHeight="1">
      <c r="A3" s="533" t="s">
        <v>2083</v>
      </c>
      <c r="B3" s="534" t="s">
        <v>1162</v>
      </c>
      <c r="C3" s="534" t="s">
        <v>114</v>
      </c>
      <c r="D3" s="535" t="s">
        <v>1774</v>
      </c>
      <c r="E3" s="536" t="s">
        <v>1775</v>
      </c>
      <c r="F3" s="537" t="s">
        <v>1776</v>
      </c>
      <c r="G3" s="1764">
        <v>1995</v>
      </c>
      <c r="H3" s="538">
        <f>G3+1</f>
        <v>1996</v>
      </c>
      <c r="I3" s="538">
        <f t="shared" ref="I3:AF3" si="0">H3+1</f>
        <v>1997</v>
      </c>
      <c r="J3" s="538">
        <f t="shared" si="0"/>
        <v>1998</v>
      </c>
      <c r="K3" s="538">
        <f t="shared" si="0"/>
        <v>1999</v>
      </c>
      <c r="L3" s="538">
        <f t="shared" si="0"/>
        <v>2000</v>
      </c>
      <c r="M3" s="538">
        <f t="shared" si="0"/>
        <v>2001</v>
      </c>
      <c r="N3" s="538">
        <f t="shared" si="0"/>
        <v>2002</v>
      </c>
      <c r="O3" s="538">
        <f t="shared" si="0"/>
        <v>2003</v>
      </c>
      <c r="P3" s="538">
        <f t="shared" si="0"/>
        <v>2004</v>
      </c>
      <c r="Q3" s="538">
        <f t="shared" si="0"/>
        <v>2005</v>
      </c>
      <c r="R3" s="538">
        <f t="shared" si="0"/>
        <v>2006</v>
      </c>
      <c r="S3" s="538">
        <f t="shared" si="0"/>
        <v>2007</v>
      </c>
      <c r="T3" s="538">
        <f t="shared" si="0"/>
        <v>2008</v>
      </c>
      <c r="U3" s="538">
        <f t="shared" si="0"/>
        <v>2009</v>
      </c>
      <c r="V3" s="538">
        <f t="shared" si="0"/>
        <v>2010</v>
      </c>
      <c r="W3" s="538">
        <f t="shared" si="0"/>
        <v>2011</v>
      </c>
      <c r="X3" s="538">
        <f t="shared" si="0"/>
        <v>2012</v>
      </c>
      <c r="Y3" s="538">
        <f t="shared" si="0"/>
        <v>2013</v>
      </c>
      <c r="Z3" s="538">
        <f t="shared" si="0"/>
        <v>2014</v>
      </c>
      <c r="AA3" s="538">
        <f t="shared" si="0"/>
        <v>2015</v>
      </c>
      <c r="AB3" s="538">
        <f t="shared" si="0"/>
        <v>2016</v>
      </c>
      <c r="AC3" s="538">
        <f t="shared" si="0"/>
        <v>2017</v>
      </c>
      <c r="AD3" s="538">
        <f t="shared" si="0"/>
        <v>2018</v>
      </c>
      <c r="AE3" s="538">
        <f t="shared" si="0"/>
        <v>2019</v>
      </c>
      <c r="AF3" s="538">
        <f t="shared" si="0"/>
        <v>2020</v>
      </c>
    </row>
    <row r="4" spans="1:32">
      <c r="A4" s="542">
        <v>75</v>
      </c>
      <c r="B4" s="543" t="s">
        <v>1163</v>
      </c>
      <c r="C4" s="544"/>
      <c r="D4" s="9" t="s">
        <v>1165</v>
      </c>
      <c r="E4" s="10">
        <v>20</v>
      </c>
      <c r="F4" s="11" t="str">
        <f>VLOOKUP($E$4,[1]NP!$A$2:$FA$301, 3, FALSE)</f>
        <v xml:space="preserve">20  Population; total (National Accounts)       </v>
      </c>
      <c r="G4" s="555">
        <f ca="1">IF(VLOOKUP($E$4,[1]NP!$A$2:$FA$301, 6, FALSE)="",":",VLOOKUP($E$4,[1]NP!$A$2:$FA$301, 6, FALSE))</f>
        <v>10137</v>
      </c>
      <c r="H4" s="555">
        <f>IF(VLOOKUP($E$4,[1]NP!$A$2:$FA$301, 7, FALSE)="",":",VLOOKUP($E$4,[1]NP!$A$2:$FA$301, 7, FALSE))</f>
        <v>10157</v>
      </c>
      <c r="I4" s="555">
        <f>IF(VLOOKUP($E$4,[1]NP!$A$2:$FA$301, 8, FALSE)="",":",VLOOKUP($E$4,[1]NP!$A$2:$FA$301, 8, FALSE))</f>
        <v>10181</v>
      </c>
      <c r="J4" s="555">
        <f>IF(VLOOKUP($E$4,[1]NP!$A$2:$FA$301, 9, FALSE)="",":",VLOOKUP($E$4,[1]NP!$A$2:$FA$301, 9, FALSE))</f>
        <v>10203</v>
      </c>
      <c r="K4" s="555">
        <f>IF(VLOOKUP($E$4,[1]NP!$A$2:$FA$301, 10, FALSE)="",":",VLOOKUP($E$4,[1]NP!$A$2:$FA$301, 10, FALSE))</f>
        <v>10226</v>
      </c>
      <c r="L4" s="555">
        <f>IF(VLOOKUP($E$4,[1]NP!$A$2:$FA$301, 11, FALSE)="",":",VLOOKUP($E$4,[1]NP!$A$2:$FA$301, 11, FALSE))</f>
        <v>10251</v>
      </c>
      <c r="M4" s="555">
        <f>IF(VLOOKUP($E$4,[1]NP!$A$2:$FA$301, 12, FALSE)="",":",VLOOKUP($E$4,[1]NP!$A$2:$FA$301, 12, FALSE))</f>
        <v>10287</v>
      </c>
      <c r="N4" s="555">
        <f>IF(VLOOKUP($E$4,[1]NP!$A$2:$FA$301, 13, FALSE)="",":",VLOOKUP($E$4,[1]NP!$A$2:$FA$301, 13, FALSE))</f>
        <v>10333</v>
      </c>
      <c r="O4" s="555">
        <f>IF(VLOOKUP($E$4,[1]NP!$A$2:$FA$301, 14, FALSE)="",":",VLOOKUP($E$4,[1]NP!$A$2:$FA$301, 14, FALSE))</f>
        <v>10376</v>
      </c>
      <c r="P4" s="555">
        <f>IF(VLOOKUP($E$4,[1]NP!$A$2:$FA$301, 15, FALSE)="",":",VLOOKUP($E$4,[1]NP!$A$2:$FA$301, 15, FALSE))</f>
        <v>10421</v>
      </c>
      <c r="Q4" s="555">
        <f>IF(VLOOKUP($E$4,[1]NP!$A$2:$FA$301, 16, FALSE)="",":",VLOOKUP($E$4,[1]NP!$A$2:$FA$301, 16, FALSE))</f>
        <v>10479</v>
      </c>
      <c r="R4" s="555">
        <f>IF(VLOOKUP($E$4,[1]NP!$A$2:$FA$301, 17, FALSE)="",":",VLOOKUP($E$4,[1]NP!$A$2:$FA$301, 17, FALSE))</f>
        <v>10548</v>
      </c>
      <c r="S4" s="555">
        <f>IF(VLOOKUP($E$4,[1]NP!$A$2:$FA$301, 18, FALSE)="",":",VLOOKUP($E$4,[1]NP!$A$2:$FA$301, 18, FALSE))</f>
        <v>10626</v>
      </c>
      <c r="T4" s="555">
        <f>IF(VLOOKUP($E$4,[1]NP!$A$2:$FA$301, 19, FALSE)="",":",VLOOKUP($E$4,[1]NP!$A$2:$FA$301, 19, FALSE))</f>
        <v>10710</v>
      </c>
      <c r="U4" s="555">
        <f>IF(VLOOKUP($E$4,[1]NP!$A$2:$FA$301, 20, FALSE)="",":",VLOOKUP($E$4,[1]NP!$A$2:$FA$301, 20, FALSE))</f>
        <v>10796</v>
      </c>
      <c r="V4" s="555">
        <f>IF(VLOOKUP($E$4,[1]NP!$A$2:$FA$301, 21, FALSE)="",":",VLOOKUP($E$4,[1]NP!$A$2:$FA$301, 21, FALSE))</f>
        <v>10896</v>
      </c>
      <c r="W4" s="555">
        <f>IF(VLOOKUP($E$4,[1]NP!$A$2:$FA$301, 22, FALSE)="",":",VLOOKUP($E$4,[1]NP!$A$2:$FA$301, 22, FALSE))</f>
        <v>10994</v>
      </c>
      <c r="X4" s="555">
        <f>IF(VLOOKUP($E$4,[1]NP!$A$2:$FA$301, 23, FALSE)="",":",VLOOKUP($E$4,[1]NP!$A$2:$FA$301, 23, FALSE))</f>
        <v>11068</v>
      </c>
      <c r="Y4" s="555">
        <f>IF(VLOOKUP($E$4,[1]NP!$A$2:$FA$301, 24, FALSE)="",":",VLOOKUP($E$4,[1]NP!$A$2:$FA$301, 24, FALSE))</f>
        <v>11125</v>
      </c>
      <c r="Z4" s="555">
        <f>IF(VLOOKUP($E$4,[1]NP!$A$2:$FA$301, 25, FALSE)="",":",VLOOKUP($E$4,[1]NP!$A$2:$FA$301, 25, FALSE))</f>
        <v>11180</v>
      </c>
      <c r="AA4" s="555">
        <f>IF(VLOOKUP($E$4,[1]NP!$A$2:$FA$301, 26, FALSE)="",":",VLOOKUP($E$4,[1]NP!$A$2:$FA$301, 26, FALSE))</f>
        <v>11238</v>
      </c>
      <c r="AB4" s="555">
        <f>IF(VLOOKUP($E$4,[1]NP!$A$2:$FA$301, 27, FALSE)="",":",VLOOKUP($E$4,[1]NP!$A$2:$FA$301, 27, FALSE))</f>
        <v>11295</v>
      </c>
      <c r="AC4" s="555">
        <f>IF(VLOOKUP($E$4,[1]NP!$A$2:$FA$301, 28, FALSE)="",":",VLOOKUP($E$4,[1]NP!$A$2:$FA$301, 28, FALSE))</f>
        <v>11348</v>
      </c>
      <c r="AD4" s="555" t="str">
        <f>IF(VLOOKUP($E$4,[1]NP!$A$2:$FA$301, 29, FALSE)="",":",VLOOKUP($E$4,[1]NP!$A$2:$FA$301, 29, FALSE))</f>
        <v>:</v>
      </c>
      <c r="AE4" s="555">
        <f>IF(VLOOKUP($E$4,[1]NP!$A$2:$FA$301, 30, FALSE)="",":",VLOOKUP($E$4,[1]NP!$A$2:$FA$301, 30, FALSE))</f>
        <v>0.4613714492491372</v>
      </c>
      <c r="AF4" s="555" t="str">
        <f>IF(VLOOKUP($E$4,[1]NP!$A$2:$FA$301, 31, FALSE)="",":",VLOOKUP($E$4,[1]NP!$A$2:$FA$301, 31, FALSE))</f>
        <v>:</v>
      </c>
    </row>
    <row r="5" spans="1:32">
      <c r="A5" s="545">
        <v>76</v>
      </c>
      <c r="B5" s="546" t="s">
        <v>1164</v>
      </c>
      <c r="C5" s="547"/>
      <c r="D5" s="12" t="s">
        <v>1165</v>
      </c>
      <c r="E5" s="13">
        <v>12</v>
      </c>
      <c r="F5" s="14" t="str">
        <f>VLOOKUP($E$5,[1]NP!$A$2:$FA$301, 3, FALSE)</f>
        <v xml:space="preserve">12  Population; 15 to 64 years   </v>
      </c>
      <c r="G5" s="556">
        <f>IF(VLOOKUP($E$5,[1]NP!$A$2:$FA$301, 6, FALSE)="",":",VLOOKUP($E$5,[1]NP!$A$2:$FA$301, 6, FALSE))</f>
        <v>6703.817</v>
      </c>
      <c r="H5" s="556">
        <f>IF(VLOOKUP($E$5,[1]NP!$A$2:$FA$301, 7, FALSE)="",":",VLOOKUP($E$5,[1]NP!$A$2:$FA$301, 7, FALSE))</f>
        <v>6703.1814999999997</v>
      </c>
      <c r="I5" s="556">
        <f>IF(VLOOKUP($E$5,[1]NP!$A$2:$FA$301, 8, FALSE)="",":",VLOOKUP($E$5,[1]NP!$A$2:$FA$301, 8, FALSE))</f>
        <v>6706.1490000000003</v>
      </c>
      <c r="J5" s="556">
        <f>IF(VLOOKUP($E$5,[1]NP!$A$2:$FA$301, 9, FALSE)="",":",VLOOKUP($E$5,[1]NP!$A$2:$FA$301, 9, FALSE))</f>
        <v>6708.7094999999999</v>
      </c>
      <c r="K5" s="556">
        <f>IF(VLOOKUP($E$5,[1]NP!$A$2:$FA$301, 10, FALSE)="",":",VLOOKUP($E$5,[1]NP!$A$2:$FA$301, 10, FALSE))</f>
        <v>6715.1279999999997</v>
      </c>
      <c r="L5" s="556">
        <f>IF(VLOOKUP($E$5,[1]NP!$A$2:$FA$301, 11, FALSE)="",":",VLOOKUP($E$5,[1]NP!$A$2:$FA$301, 11, FALSE))</f>
        <v>6723.8980000000001</v>
      </c>
      <c r="M5" s="556">
        <f>IF(VLOOKUP($E$5,[1]NP!$A$2:$FA$301, 12, FALSE)="",":",VLOOKUP($E$5,[1]NP!$A$2:$FA$301, 12, FALSE))</f>
        <v>6743.3384999999998</v>
      </c>
      <c r="N5" s="556">
        <f>IF(VLOOKUP($E$5,[1]NP!$A$2:$FA$301, 13, FALSE)="",":",VLOOKUP($E$5,[1]NP!$A$2:$FA$301, 13, FALSE))</f>
        <v>6774.4215000000004</v>
      </c>
      <c r="O5" s="556">
        <f>IF(VLOOKUP($E$5,[1]NP!$A$2:$FA$301, 14, FALSE)="",":",VLOOKUP($E$5,[1]NP!$A$2:$FA$301, 14, FALSE))</f>
        <v>6804.8085000000001</v>
      </c>
      <c r="P5" s="556">
        <f>IF(VLOOKUP($E$5,[1]NP!$A$2:$FA$301, 15, FALSE)="",":",VLOOKUP($E$5,[1]NP!$A$2:$FA$301, 15, FALSE))</f>
        <v>6835.1779999999999</v>
      </c>
      <c r="Q5" s="556">
        <f>IF(VLOOKUP($E$5,[1]NP!$A$2:$FA$301, 16, FALSE)="",":",VLOOKUP($E$5,[1]NP!$A$2:$FA$301, 16, FALSE))</f>
        <v>6878.8784999999998</v>
      </c>
      <c r="R5" s="556">
        <f>IF(VLOOKUP($E$5,[1]NP!$A$2:$FA$301, 17, FALSE)="",":",VLOOKUP($E$5,[1]NP!$A$2:$FA$301, 17, FALSE))</f>
        <v>6941.5029999999997</v>
      </c>
      <c r="S5" s="556">
        <f>IF(VLOOKUP($E$5,[1]NP!$A$2:$FA$301, 18, FALSE)="",":",VLOOKUP($E$5,[1]NP!$A$2:$FA$301, 18, FALSE))</f>
        <v>7011.7139999999999</v>
      </c>
      <c r="T5" s="556">
        <f>IF(VLOOKUP($E$5,[1]NP!$A$2:$FA$301, 19, FALSE)="",":",VLOOKUP($E$5,[1]NP!$A$2:$FA$301, 19, FALSE))</f>
        <v>7074.0555000000004</v>
      </c>
      <c r="U5" s="556">
        <f>IF(VLOOKUP($E$5,[1]NP!$A$2:$FA$301, 20, FALSE)="",":",VLOOKUP($E$5,[1]NP!$A$2:$FA$301, 20, FALSE))</f>
        <v>7124.4690000000001</v>
      </c>
      <c r="V5" s="556">
        <f>IF(VLOOKUP($E$5,[1]NP!$A$2:$FA$301, 21, FALSE)="",":",VLOOKUP($E$5,[1]NP!$A$2:$FA$301, 21, FALSE))</f>
        <v>7198.8355000000001</v>
      </c>
      <c r="W5" s="556">
        <f>IF(VLOOKUP($E$5,[1]NP!$A$2:$FA$301, 22, FALSE)="",":",VLOOKUP($E$5,[1]NP!$A$2:$FA$301, 22, FALSE))</f>
        <v>7260.2195000000002</v>
      </c>
      <c r="X5" s="556">
        <f>IF(VLOOKUP($E$5,[1]NP!$A$2:$FA$301, 23, FALSE)="",":",VLOOKUP($E$5,[1]NP!$A$2:$FA$301, 23, FALSE))</f>
        <v>7278.5910000000003</v>
      </c>
      <c r="Y5" s="556">
        <f>IF(VLOOKUP($E$5,[1]NP!$A$2:$FA$301, 24, FALSE)="",":",VLOOKUP($E$5,[1]NP!$A$2:$FA$301, 24, FALSE))</f>
        <v>7286.6260000000002</v>
      </c>
      <c r="Z5" s="556">
        <f>IF(VLOOKUP($E$5,[1]NP!$A$2:$FA$301, 25, FALSE)="",":",VLOOKUP($E$5,[1]NP!$A$2:$FA$301, 25, FALSE))</f>
        <v>7290.9669999999996</v>
      </c>
      <c r="AA5" s="556">
        <f>IF(VLOOKUP($E$5,[1]NP!$A$2:$FA$301, 26, FALSE)="",":",VLOOKUP($E$5,[1]NP!$A$2:$FA$301, 26, FALSE))</f>
        <v>7311.2285000000002</v>
      </c>
      <c r="AB5" s="556">
        <f>IF(VLOOKUP($E$5,[1]NP!$A$2:$FA$301, 27, FALSE)="",":",VLOOKUP($E$5,[1]NP!$A$2:$FA$301, 27, FALSE))</f>
        <v>7327.7685000000001</v>
      </c>
      <c r="AC5" s="556" t="str">
        <f>IF(VLOOKUP($E$5,[1]NP!$A$2:$FA$301, 28, FALSE)="",":",VLOOKUP($E$5,[1]NP!$A$2:$FA$301, 28, FALSE))</f>
        <v>:</v>
      </c>
      <c r="AD5" s="556" t="str">
        <f>IF(VLOOKUP($E$5,[1]NP!$A$2:$FA$301, 29, FALSE)="",":",VLOOKUP($E$5,[1]NP!$A$2:$FA$301, 29, FALSE))</f>
        <v>:</v>
      </c>
      <c r="AE5" s="556">
        <f>IF(VLOOKUP($E$5,[1]NP!$A$2:$FA$301, 30, FALSE)="",":",VLOOKUP($E$5,[1]NP!$A$2:$FA$301, 30, FALSE))</f>
        <v>0.20385925783692471</v>
      </c>
      <c r="AF5" s="556" t="str">
        <f>IF(VLOOKUP($E$5,[1]NP!$A$2:$FA$301, 31, FALSE)="",":",VLOOKUP($E$5,[1]NP!$A$2:$FA$301, 31, FALSE))</f>
        <v>:</v>
      </c>
    </row>
    <row r="6" spans="1:32">
      <c r="A6" s="545">
        <v>77</v>
      </c>
      <c r="B6" s="546" t="s">
        <v>1164</v>
      </c>
      <c r="C6" s="547"/>
      <c r="D6" s="12" t="s">
        <v>1165</v>
      </c>
      <c r="E6" s="13">
        <v>14</v>
      </c>
      <c r="F6" s="14" t="str">
        <f>VLOOKUP($E$6,[1]NP!$A$2:$FA$301, 3, FALSE)</f>
        <v xml:space="preserve">14  Population; 15 to 74 years   </v>
      </c>
      <c r="G6" s="556">
        <f>IF(VLOOKUP($E$6,[1]NP!$A$2:$FA$301, 6, FALSE)="",":",VLOOKUP($E$6,[1]NP!$A$2:$FA$301, 6, FALSE))</f>
        <v>7680.6224999999995</v>
      </c>
      <c r="H6" s="556">
        <f>IF(VLOOKUP($E$6,[1]NP!$A$2:$FA$301, 7, FALSE)="",":",VLOOKUP($E$6,[1]NP!$A$2:$FA$301, 7, FALSE))</f>
        <v>7684.2855</v>
      </c>
      <c r="I6" s="556">
        <f>IF(VLOOKUP($E$6,[1]NP!$A$2:$FA$301, 8, FALSE)="",":",VLOOKUP($E$6,[1]NP!$A$2:$FA$301, 8, FALSE))</f>
        <v>7691.1674999999996</v>
      </c>
      <c r="J6" s="556">
        <f>IF(VLOOKUP($E$6,[1]NP!$A$2:$FA$301, 9, FALSE)="",":",VLOOKUP($E$6,[1]NP!$A$2:$FA$301, 9, FALSE))</f>
        <v>7693.7815000000001</v>
      </c>
      <c r="K6" s="556">
        <f>IF(VLOOKUP($E$6,[1]NP!$A$2:$FA$301, 10, FALSE)="",":",VLOOKUP($E$6,[1]NP!$A$2:$FA$301, 10, FALSE))</f>
        <v>7696.3125</v>
      </c>
      <c r="L6" s="556">
        <f>IF(VLOOKUP($E$6,[1]NP!$A$2:$FA$301, 11, FALSE)="",":",VLOOKUP($E$6,[1]NP!$A$2:$FA$301, 11, FALSE))</f>
        <v>7699.7219999999998</v>
      </c>
      <c r="M6" s="556">
        <f>IF(VLOOKUP($E$6,[1]NP!$A$2:$FA$301, 12, FALSE)="",":",VLOOKUP($E$6,[1]NP!$A$2:$FA$301, 12, FALSE))</f>
        <v>7713.5135</v>
      </c>
      <c r="N6" s="556">
        <f>IF(VLOOKUP($E$6,[1]NP!$A$2:$FA$301, 13, FALSE)="",":",VLOOKUP($E$6,[1]NP!$A$2:$FA$301, 13, FALSE))</f>
        <v>7741.5375000000004</v>
      </c>
      <c r="O6" s="556">
        <f>IF(VLOOKUP($E$6,[1]NP!$A$2:$FA$301, 14, FALSE)="",":",VLOOKUP($E$6,[1]NP!$A$2:$FA$301, 14, FALSE))</f>
        <v>7771.5225</v>
      </c>
      <c r="P6" s="556">
        <f>IF(VLOOKUP($E$6,[1]NP!$A$2:$FA$301, 15, FALSE)="",":",VLOOKUP($E$6,[1]NP!$A$2:$FA$301, 15, FALSE))</f>
        <v>7801.6135000000004</v>
      </c>
      <c r="Q6" s="556">
        <f>IF(VLOOKUP($E$6,[1]NP!$A$2:$FA$301, 16, FALSE)="",":",VLOOKUP($E$6,[1]NP!$A$2:$FA$301, 16, FALSE))</f>
        <v>7836.9844999999996</v>
      </c>
      <c r="R6" s="556">
        <f>IF(VLOOKUP($E$6,[1]NP!$A$2:$FA$301, 17, FALSE)="",":",VLOOKUP($E$6,[1]NP!$A$2:$FA$301, 17, FALSE))</f>
        <v>7880.1895000000004</v>
      </c>
      <c r="S6" s="556">
        <f>IF(VLOOKUP($E$6,[1]NP!$A$2:$FA$301, 18, FALSE)="",":",VLOOKUP($E$6,[1]NP!$A$2:$FA$301, 18, FALSE))</f>
        <v>7931.2439999999997</v>
      </c>
      <c r="T6" s="556">
        <f>IF(VLOOKUP($E$6,[1]NP!$A$2:$FA$301, 19, FALSE)="",":",VLOOKUP($E$6,[1]NP!$A$2:$FA$301, 19, FALSE))</f>
        <v>7986.5704999999998</v>
      </c>
      <c r="U6" s="556">
        <f>IF(VLOOKUP($E$6,[1]NP!$A$2:$FA$301, 20, FALSE)="",":",VLOOKUP($E$6,[1]NP!$A$2:$FA$301, 20, FALSE))</f>
        <v>8040.6215000000002</v>
      </c>
      <c r="V6" s="556">
        <f>IF(VLOOKUP($E$6,[1]NP!$A$2:$FA$301, 21, FALSE)="",":",VLOOKUP($E$6,[1]NP!$A$2:$FA$301, 21, FALSE))</f>
        <v>8122.8389999999999</v>
      </c>
      <c r="W6" s="556">
        <f>IF(VLOOKUP($E$6,[1]NP!$A$2:$FA$301, 22, FALSE)="",":",VLOOKUP($E$6,[1]NP!$A$2:$FA$301, 22, FALSE))</f>
        <v>8202.2945</v>
      </c>
      <c r="X6" s="556">
        <f>IF(VLOOKUP($E$6,[1]NP!$A$2:$FA$301, 23, FALSE)="",":",VLOOKUP($E$6,[1]NP!$A$2:$FA$301, 23, FALSE))</f>
        <v>8245.86</v>
      </c>
      <c r="Y6" s="556">
        <f>IF(VLOOKUP($E$6,[1]NP!$A$2:$FA$301, 24, FALSE)="",":",VLOOKUP($E$6,[1]NP!$A$2:$FA$301, 24, FALSE))</f>
        <v>8276.3130000000001</v>
      </c>
      <c r="Z6" s="556">
        <f>IF(VLOOKUP($E$6,[1]NP!$A$2:$FA$301, 25, FALSE)="",":",VLOOKUP($E$6,[1]NP!$A$2:$FA$301, 25, FALSE))</f>
        <v>8302.3369999999995</v>
      </c>
      <c r="AA6" s="556">
        <f>IF(VLOOKUP($E$6,[1]NP!$A$2:$FA$301, 26, FALSE)="",":",VLOOKUP($E$6,[1]NP!$A$2:$FA$301, 26, FALSE))</f>
        <v>8348.2209999999995</v>
      </c>
      <c r="AB6" s="556">
        <f>IF(VLOOKUP($E$6,[1]NP!$A$2:$FA$301, 27, FALSE)="",":",VLOOKUP($E$6,[1]NP!$A$2:$FA$301, 27, FALSE))</f>
        <v>8397.6054999999997</v>
      </c>
      <c r="AC6" s="556" t="str">
        <f>IF(VLOOKUP($E$6,[1]NP!$A$2:$FA$301, 28, FALSE)="",":",VLOOKUP($E$6,[1]NP!$A$2:$FA$301, 28, FALSE))</f>
        <v>:</v>
      </c>
      <c r="AD6" s="556" t="str">
        <f>IF(VLOOKUP($E$6,[1]NP!$A$2:$FA$301, 29, FALSE)="",":",VLOOKUP($E$6,[1]NP!$A$2:$FA$301, 29, FALSE))</f>
        <v>:</v>
      </c>
      <c r="AE6" s="556">
        <f>IF(VLOOKUP($E$6,[1]NP!$A$2:$FA$301, 30, FALSE)="",":",VLOOKUP($E$6,[1]NP!$A$2:$FA$301, 30, FALSE))</f>
        <v>0.46411451972816486</v>
      </c>
      <c r="AF6" s="556" t="str">
        <f>IF(VLOOKUP($E$6,[1]NP!$A$2:$FA$301, 31, FALSE)="",":",VLOOKUP($E$6,[1]NP!$A$2:$FA$301, 31, FALSE))</f>
        <v>:</v>
      </c>
    </row>
    <row r="7" spans="1:32">
      <c r="A7" s="545"/>
      <c r="B7" s="546"/>
      <c r="C7" s="547"/>
      <c r="D7" s="12" t="s">
        <v>1999</v>
      </c>
      <c r="E7" s="13"/>
      <c r="F7" s="14"/>
      <c r="G7" s="556"/>
      <c r="H7" s="556"/>
      <c r="I7" s="556"/>
      <c r="J7" s="556"/>
      <c r="K7" s="556"/>
      <c r="L7" s="556"/>
      <c r="M7" s="556"/>
      <c r="N7" s="556"/>
      <c r="O7" s="556"/>
      <c r="P7" s="556"/>
      <c r="Q7" s="556"/>
      <c r="R7" s="556"/>
      <c r="S7" s="556"/>
      <c r="T7" s="556"/>
      <c r="U7" s="556"/>
      <c r="V7" s="556"/>
      <c r="W7" s="556"/>
      <c r="X7" s="556"/>
      <c r="Y7" s="556"/>
      <c r="Z7" s="556"/>
      <c r="AA7" s="556"/>
      <c r="AB7" s="556"/>
      <c r="AC7" s="556"/>
      <c r="AD7" s="556"/>
      <c r="AE7" s="556"/>
      <c r="AF7" s="556"/>
    </row>
    <row r="8" spans="1:32">
      <c r="A8" s="545">
        <v>59</v>
      </c>
      <c r="B8" s="546" t="s">
        <v>932</v>
      </c>
      <c r="C8" s="547"/>
      <c r="D8" s="12" t="s">
        <v>1166</v>
      </c>
      <c r="E8" s="13">
        <v>10</v>
      </c>
      <c r="F8" s="14" t="str">
        <f>VLOOKUP($E$8,[1]NN!$A$2:$FA$301, 3, FALSE)</f>
        <v xml:space="preserve">10  Employment - Total economy                                    </v>
      </c>
      <c r="G8" s="556">
        <f>IF(VLOOKUP($E$8,[1]NN!$A$2:$FA$301, 6, FALSE)="",":",VLOOKUP($E$8,[1]NN!$A$2:$FA$301, 6, FALSE))</f>
        <v>3867.9</v>
      </c>
      <c r="H8" s="556">
        <f>IF(VLOOKUP($E$8,[1]NN!$A$2:$FA$301, 7, FALSE)="",":",VLOOKUP($E$8,[1]NN!$A$2:$FA$301, 7, FALSE))</f>
        <v>3878.1</v>
      </c>
      <c r="I8" s="556">
        <f>IF(VLOOKUP($E$8,[1]NN!$A$2:$FA$301, 8, FALSE)="",":",VLOOKUP($E$8,[1]NN!$A$2:$FA$301, 8, FALSE))</f>
        <v>3904.5</v>
      </c>
      <c r="J8" s="556">
        <f>IF(VLOOKUP($E$8,[1]NN!$A$2:$FA$301, 9, FALSE)="",":",VLOOKUP($E$8,[1]NN!$A$2:$FA$301, 9, FALSE))</f>
        <v>3973</v>
      </c>
      <c r="K8" s="556">
        <f>IF(VLOOKUP($E$8,[1]NN!$A$2:$FA$301, 10, FALSE)="",":",VLOOKUP($E$8,[1]NN!$A$2:$FA$301, 10, FALSE))</f>
        <v>4027.8</v>
      </c>
      <c r="L8" s="556">
        <f>IF(VLOOKUP($E$8,[1]NN!$A$2:$FA$301, 11, FALSE)="",":",VLOOKUP($E$8,[1]NN!$A$2:$FA$301, 11, FALSE))</f>
        <v>4108.8999999999996</v>
      </c>
      <c r="M8" s="556">
        <f>IF(VLOOKUP($E$8,[1]NN!$A$2:$FA$301, 12, FALSE)="",":",VLOOKUP($E$8,[1]NN!$A$2:$FA$301, 12, FALSE))</f>
        <v>4165.2</v>
      </c>
      <c r="N8" s="556">
        <f>IF(VLOOKUP($E$8,[1]NN!$A$2:$FA$301, 13, FALSE)="",":",VLOOKUP($E$8,[1]NN!$A$2:$FA$301, 13, FALSE))</f>
        <v>4157.3</v>
      </c>
      <c r="O8" s="556">
        <f>IF(VLOOKUP($E$8,[1]NN!$A$2:$FA$301, 14, FALSE)="",":",VLOOKUP($E$8,[1]NN!$A$2:$FA$301, 14, FALSE))</f>
        <v>4153.8999999999996</v>
      </c>
      <c r="P8" s="556">
        <f>IF(VLOOKUP($E$8,[1]NN!$A$2:$FA$301, 15, FALSE)="",":",VLOOKUP($E$8,[1]NN!$A$2:$FA$301, 15, FALSE))</f>
        <v>4194.7</v>
      </c>
      <c r="Q8" s="556">
        <f>IF(VLOOKUP($E$8,[1]NN!$A$2:$FA$301, 16, FALSE)="",":",VLOOKUP($E$8,[1]NN!$A$2:$FA$301, 16, FALSE))</f>
        <v>4255.2</v>
      </c>
      <c r="R8" s="556">
        <f>IF(VLOOKUP($E$8,[1]NN!$A$2:$FA$301, 17, FALSE)="",":",VLOOKUP($E$8,[1]NN!$A$2:$FA$301, 17, FALSE))</f>
        <v>4302.8999999999996</v>
      </c>
      <c r="S8" s="556">
        <f>IF(VLOOKUP($E$8,[1]NN!$A$2:$FA$301, 18, FALSE)="",":",VLOOKUP($E$8,[1]NN!$A$2:$FA$301, 18, FALSE))</f>
        <v>4373.8999999999996</v>
      </c>
      <c r="T8" s="556">
        <f>IF(VLOOKUP($E$8,[1]NN!$A$2:$FA$301, 19, FALSE)="",":",VLOOKUP($E$8,[1]NN!$A$2:$FA$301, 19, FALSE))</f>
        <v>4452.8999999999996</v>
      </c>
      <c r="U8" s="556">
        <f>IF(VLOOKUP($E$8,[1]NN!$A$2:$FA$301, 20, FALSE)="",":",VLOOKUP($E$8,[1]NN!$A$2:$FA$301, 20, FALSE))</f>
        <v>4445.5</v>
      </c>
      <c r="V8" s="556">
        <f>IF(VLOOKUP($E$8,[1]NN!$A$2:$FA$301, 21, FALSE)="",":",VLOOKUP($E$8,[1]NN!$A$2:$FA$301, 21, FALSE))</f>
        <v>4474</v>
      </c>
      <c r="W8" s="556">
        <f>IF(VLOOKUP($E$8,[1]NN!$A$2:$FA$301, 22, FALSE)="",":",VLOOKUP($E$8,[1]NN!$A$2:$FA$301, 22, FALSE))</f>
        <v>4535.3</v>
      </c>
      <c r="X8" s="556">
        <f>IF(VLOOKUP($E$8,[1]NN!$A$2:$FA$301, 23, FALSE)="",":",VLOOKUP($E$8,[1]NN!$A$2:$FA$301, 23, FALSE))</f>
        <v>4555</v>
      </c>
      <c r="Y8" s="556">
        <f>IF(VLOOKUP($E$8,[1]NN!$A$2:$FA$301, 24, FALSE)="",":",VLOOKUP($E$8,[1]NN!$A$2:$FA$301, 24, FALSE))</f>
        <v>4540.1000000000004</v>
      </c>
      <c r="Z8" s="556">
        <f>IF(VLOOKUP($E$8,[1]NN!$A$2:$FA$301, 25, FALSE)="",":",VLOOKUP($E$8,[1]NN!$A$2:$FA$301, 25, FALSE))</f>
        <v>4559.8999999999996</v>
      </c>
      <c r="AA8" s="556">
        <f>IF(VLOOKUP($E$8,[1]NN!$A$2:$FA$301, 26, FALSE)="",":",VLOOKUP($E$8,[1]NN!$A$2:$FA$301, 26, FALSE))</f>
        <v>4600.3999999999996</v>
      </c>
      <c r="AB8" s="556">
        <f>IF(VLOOKUP($E$8,[1]NN!$A$2:$FA$301, 27, FALSE)="",":",VLOOKUP($E$8,[1]NN!$A$2:$FA$301, 27, FALSE))</f>
        <v>4658.1000000000004</v>
      </c>
      <c r="AC8" s="556">
        <f>IF(VLOOKUP($E$8,[1]NN!$A$2:$FA$301, 28, FALSE)="",":",VLOOKUP($E$8,[1]NN!$A$2:$FA$301, 28, FALSE))</f>
        <v>4723.7</v>
      </c>
      <c r="AD8" s="556" t="str">
        <f>IF(VLOOKUP($E$8,[1]NN!$A$2:$FA$301, 29, FALSE)="",":",VLOOKUP($E$8,[1]NN!$A$2:$FA$301, 29, FALSE))</f>
        <v>:</v>
      </c>
      <c r="AE8" s="556" t="str">
        <f>IF(VLOOKUP($E$8,[1]NN!$A$2:$FA$301, 30, FALSE)="",":",VLOOKUP($E$8,[1]NN!$A$2:$FA$301, 30, FALSE))</f>
        <v>:</v>
      </c>
      <c r="AF8" s="556" t="str">
        <f>IF(VLOOKUP($E$8,[1]NN!$A$2:$FA$301, 31, FALSE)="",":",VLOOKUP($E$8,[1]NN!$A$2:$FA$301, 31, FALSE))</f>
        <v>:</v>
      </c>
    </row>
    <row r="9" spans="1:32">
      <c r="A9" s="545">
        <v>63</v>
      </c>
      <c r="B9" s="546" t="s">
        <v>936</v>
      </c>
      <c r="C9" s="547"/>
      <c r="D9" s="12" t="s">
        <v>1166</v>
      </c>
      <c r="E9" s="13">
        <v>20</v>
      </c>
      <c r="F9" s="14" t="str">
        <f>VLOOKUP($E$9,[1]NN!$A$2:$FA$301, 3, FALSE)</f>
        <v xml:space="preserve">20  Wage and salary earners - Total economy                                   </v>
      </c>
      <c r="G9" s="556">
        <f>IF(VLOOKUP($E$9,[1]NN!$A$2:$FA$301, 6, FALSE)="",":",VLOOKUP($E$9,[1]NN!$A$2:$FA$301, 6, FALSE))</f>
        <v>3169.6</v>
      </c>
      <c r="H9" s="556">
        <f>IF(VLOOKUP($E$9,[1]NN!$A$2:$FA$301, 7, FALSE)="",":",VLOOKUP($E$9,[1]NN!$A$2:$FA$301, 7, FALSE))</f>
        <v>3173.7</v>
      </c>
      <c r="I9" s="556">
        <f>IF(VLOOKUP($E$9,[1]NN!$A$2:$FA$301, 8, FALSE)="",":",VLOOKUP($E$9,[1]NN!$A$2:$FA$301, 8, FALSE))</f>
        <v>3198.8</v>
      </c>
      <c r="J9" s="556">
        <f>IF(VLOOKUP($E$9,[1]NN!$A$2:$FA$301, 9, FALSE)="",":",VLOOKUP($E$9,[1]NN!$A$2:$FA$301, 9, FALSE))</f>
        <v>3268.1</v>
      </c>
      <c r="K9" s="556">
        <f>IF(VLOOKUP($E$9,[1]NN!$A$2:$FA$301, 10, FALSE)="",":",VLOOKUP($E$9,[1]NN!$A$2:$FA$301, 10, FALSE))</f>
        <v>3322.8</v>
      </c>
      <c r="L9" s="556">
        <f>IF(VLOOKUP($E$9,[1]NN!$A$2:$FA$301, 11, FALSE)="",":",VLOOKUP($E$9,[1]NN!$A$2:$FA$301, 11, FALSE))</f>
        <v>3407.1</v>
      </c>
      <c r="M9" s="556">
        <f>IF(VLOOKUP($E$9,[1]NN!$A$2:$FA$301, 12, FALSE)="",":",VLOOKUP($E$9,[1]NN!$A$2:$FA$301, 12, FALSE))</f>
        <v>3469.4</v>
      </c>
      <c r="N9" s="556">
        <f>IF(VLOOKUP($E$9,[1]NN!$A$2:$FA$301, 13, FALSE)="",":",VLOOKUP($E$9,[1]NN!$A$2:$FA$301, 13, FALSE))</f>
        <v>3468.2</v>
      </c>
      <c r="O9" s="556">
        <f>IF(VLOOKUP($E$9,[1]NN!$A$2:$FA$301, 14, FALSE)="",":",VLOOKUP($E$9,[1]NN!$A$2:$FA$301, 14, FALSE))</f>
        <v>3465.1</v>
      </c>
      <c r="P9" s="556">
        <f>IF(VLOOKUP($E$9,[1]NN!$A$2:$FA$301, 15, FALSE)="",":",VLOOKUP($E$9,[1]NN!$A$2:$FA$301, 15, FALSE))</f>
        <v>3503</v>
      </c>
      <c r="Q9" s="556">
        <f>IF(VLOOKUP($E$9,[1]NN!$A$2:$FA$301, 16, FALSE)="",":",VLOOKUP($E$9,[1]NN!$A$2:$FA$301, 16, FALSE))</f>
        <v>3560.6</v>
      </c>
      <c r="R9" s="556">
        <f>IF(VLOOKUP($E$9,[1]NN!$A$2:$FA$301, 17, FALSE)="",":",VLOOKUP($E$9,[1]NN!$A$2:$FA$301, 17, FALSE))</f>
        <v>3603.8</v>
      </c>
      <c r="S9" s="556">
        <f>IF(VLOOKUP($E$9,[1]NN!$A$2:$FA$301, 18, FALSE)="",":",VLOOKUP($E$9,[1]NN!$A$2:$FA$301, 18, FALSE))</f>
        <v>3668.3</v>
      </c>
      <c r="T9" s="556">
        <f>IF(VLOOKUP($E$9,[1]NN!$A$2:$FA$301, 19, FALSE)="",":",VLOOKUP($E$9,[1]NN!$A$2:$FA$301, 19, FALSE))</f>
        <v>3737.3</v>
      </c>
      <c r="U9" s="556">
        <f>IF(VLOOKUP($E$9,[1]NN!$A$2:$FA$301, 20, FALSE)="",":",VLOOKUP($E$9,[1]NN!$A$2:$FA$301, 20, FALSE))</f>
        <v>3723.9</v>
      </c>
      <c r="V9" s="556">
        <f>IF(VLOOKUP($E$9,[1]NN!$A$2:$FA$301, 21, FALSE)="",":",VLOOKUP($E$9,[1]NN!$A$2:$FA$301, 21, FALSE))</f>
        <v>3747.1</v>
      </c>
      <c r="W9" s="556">
        <f>IF(VLOOKUP($E$9,[1]NN!$A$2:$FA$301, 22, FALSE)="",":",VLOOKUP($E$9,[1]NN!$A$2:$FA$301, 22, FALSE))</f>
        <v>3800.4</v>
      </c>
      <c r="X9" s="556">
        <f>IF(VLOOKUP($E$9,[1]NN!$A$2:$FA$301, 23, FALSE)="",":",VLOOKUP($E$9,[1]NN!$A$2:$FA$301, 23, FALSE))</f>
        <v>3812.3</v>
      </c>
      <c r="Y9" s="556">
        <f>IF(VLOOKUP($E$9,[1]NN!$A$2:$FA$301, 24, FALSE)="",":",VLOOKUP($E$9,[1]NN!$A$2:$FA$301, 24, FALSE))</f>
        <v>3791.5</v>
      </c>
      <c r="Z9" s="556">
        <f>IF(VLOOKUP($E$9,[1]NN!$A$2:$FA$301, 25, FALSE)="",":",VLOOKUP($E$9,[1]NN!$A$2:$FA$301, 25, FALSE))</f>
        <v>3805.2</v>
      </c>
      <c r="AA9" s="556">
        <f>IF(VLOOKUP($E$9,[1]NN!$A$2:$FA$301, 26, FALSE)="",":",VLOOKUP($E$9,[1]NN!$A$2:$FA$301, 26, FALSE))</f>
        <v>3835.3</v>
      </c>
      <c r="AB9" s="556">
        <f>IF(VLOOKUP($E$9,[1]NN!$A$2:$FA$301, 27, FALSE)="",":",VLOOKUP($E$9,[1]NN!$A$2:$FA$301, 27, FALSE))</f>
        <v>3879.8</v>
      </c>
      <c r="AC9" s="556">
        <f>IF(VLOOKUP($E$9,[1]NN!$A$2:$FA$301, 28, FALSE)="",":",VLOOKUP($E$9,[1]NN!$A$2:$FA$301, 28, FALSE))</f>
        <v>3934.5</v>
      </c>
      <c r="AD9" s="556" t="str">
        <f>IF(VLOOKUP($E$9,[1]NN!$A$2:$FA$301, 29, FALSE)="",":",VLOOKUP($E$9,[1]NN!$A$2:$FA$301, 29, FALSE))</f>
        <v>:</v>
      </c>
      <c r="AE9" s="556" t="str">
        <f>IF(VLOOKUP($E$9,[1]NN!$A$2:$FA$301, 30, FALSE)="",":",VLOOKUP($E$9,[1]NN!$A$2:$FA$301, 30, FALSE))</f>
        <v>:</v>
      </c>
      <c r="AF9" s="556" t="str">
        <f>IF(VLOOKUP($E$9,[1]NN!$A$2:$FA$301, 31, FALSE)="",":",VLOOKUP($E$9,[1]NN!$A$2:$FA$301, 31, FALSE))</f>
        <v>:</v>
      </c>
    </row>
    <row r="10" spans="1:32">
      <c r="A10" s="545">
        <v>60</v>
      </c>
      <c r="B10" s="546" t="s">
        <v>1109</v>
      </c>
      <c r="C10" s="547"/>
      <c r="D10" s="12"/>
      <c r="E10" s="13"/>
      <c r="F10" s="14"/>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row>
    <row r="11" spans="1:32">
      <c r="A11" s="545">
        <v>64</v>
      </c>
      <c r="B11" s="546" t="s">
        <v>1167</v>
      </c>
      <c r="C11" s="547"/>
      <c r="D11" s="12"/>
      <c r="E11" s="13"/>
      <c r="F11" s="14"/>
      <c r="G11" s="556"/>
      <c r="H11" s="556"/>
      <c r="I11" s="556"/>
      <c r="J11" s="556"/>
      <c r="K11" s="556"/>
      <c r="L11" s="556"/>
      <c r="M11" s="556"/>
      <c r="N11" s="556"/>
      <c r="O11" s="556"/>
      <c r="P11" s="556"/>
      <c r="Q11" s="556"/>
      <c r="R11" s="556"/>
      <c r="S11" s="556"/>
      <c r="T11" s="556"/>
      <c r="U11" s="556"/>
      <c r="V11" s="556"/>
      <c r="W11" s="556"/>
      <c r="X11" s="556"/>
      <c r="Y11" s="556"/>
      <c r="Z11" s="556"/>
      <c r="AA11" s="556"/>
      <c r="AB11" s="556"/>
      <c r="AC11" s="556"/>
      <c r="AD11" s="556"/>
      <c r="AE11" s="556"/>
      <c r="AF11" s="556"/>
    </row>
    <row r="12" spans="1:32">
      <c r="A12" s="547"/>
      <c r="B12" s="547"/>
      <c r="C12" s="547"/>
      <c r="D12" s="12"/>
      <c r="E12" s="13"/>
      <c r="F12" s="14"/>
      <c r="G12" s="556"/>
      <c r="H12" s="556"/>
      <c r="I12" s="556"/>
      <c r="J12" s="556"/>
      <c r="K12" s="556"/>
      <c r="L12" s="556"/>
      <c r="M12" s="556"/>
      <c r="N12" s="556"/>
      <c r="O12" s="556"/>
      <c r="P12" s="556"/>
      <c r="Q12" s="556"/>
      <c r="R12" s="556"/>
      <c r="S12" s="556"/>
      <c r="T12" s="556"/>
      <c r="U12" s="556"/>
      <c r="V12" s="556"/>
      <c r="W12" s="556"/>
      <c r="X12" s="556"/>
      <c r="Y12" s="556"/>
      <c r="Z12" s="556"/>
      <c r="AA12" s="556"/>
      <c r="AB12" s="556"/>
      <c r="AC12" s="556"/>
      <c r="AD12" s="556"/>
      <c r="AE12" s="556"/>
      <c r="AF12" s="556"/>
    </row>
    <row r="13" spans="1:32">
      <c r="A13" s="545">
        <v>67</v>
      </c>
      <c r="B13" s="546" t="s">
        <v>105</v>
      </c>
      <c r="C13" s="547"/>
      <c r="D13" s="12" t="s">
        <v>1166</v>
      </c>
      <c r="E13" s="13">
        <v>13</v>
      </c>
      <c r="F13" s="14" t="str">
        <f>VLOOKUP($E$13,[1]NN!$A$2:$FA$301, 3, FALSE)</f>
        <v xml:space="preserve">13  Employment - Manufacturing industry                          </v>
      </c>
      <c r="G13" s="556">
        <f>IF(VLOOKUP($E$13,[1]NN!$A$2:$FA$301, 6, FALSE)="",":",VLOOKUP($E$13,[1]NN!$A$2:$FA$301, 6, FALSE))</f>
        <v>677.7</v>
      </c>
      <c r="H13" s="556">
        <f>IF(VLOOKUP($E$13,[1]NN!$A$2:$FA$301, 7, FALSE)="",":",VLOOKUP($E$13,[1]NN!$A$2:$FA$301, 7, FALSE))</f>
        <v>666.9</v>
      </c>
      <c r="I13" s="556">
        <f>IF(VLOOKUP($E$13,[1]NN!$A$2:$FA$301, 8, FALSE)="",":",VLOOKUP($E$13,[1]NN!$A$2:$FA$301, 8, FALSE))</f>
        <v>657.4</v>
      </c>
      <c r="J13" s="556">
        <f>IF(VLOOKUP($E$13,[1]NN!$A$2:$FA$301, 9, FALSE)="",":",VLOOKUP($E$13,[1]NN!$A$2:$FA$301, 9, FALSE))</f>
        <v>656.6</v>
      </c>
      <c r="K13" s="556">
        <f>IF(VLOOKUP($E$13,[1]NN!$A$2:$FA$301, 10, FALSE)="",":",VLOOKUP($E$13,[1]NN!$A$2:$FA$301, 10, FALSE))</f>
        <v>648.4</v>
      </c>
      <c r="L13" s="556">
        <f>IF(VLOOKUP($E$13,[1]NN!$A$2:$FA$301, 11, FALSE)="",":",VLOOKUP($E$13,[1]NN!$A$2:$FA$301, 11, FALSE))</f>
        <v>655.20000000000005</v>
      </c>
      <c r="M13" s="556">
        <f>IF(VLOOKUP($E$13,[1]NN!$A$2:$FA$301, 12, FALSE)="",":",VLOOKUP($E$13,[1]NN!$A$2:$FA$301, 12, FALSE))</f>
        <v>662</v>
      </c>
      <c r="N13" s="556">
        <f>IF(VLOOKUP($E$13,[1]NN!$A$2:$FA$301, 13, FALSE)="",":",VLOOKUP($E$13,[1]NN!$A$2:$FA$301, 13, FALSE))</f>
        <v>638.4</v>
      </c>
      <c r="O13" s="556">
        <f>IF(VLOOKUP($E$13,[1]NN!$A$2:$FA$301, 14, FALSE)="",":",VLOOKUP($E$13,[1]NN!$A$2:$FA$301, 14, FALSE))</f>
        <v>618.9</v>
      </c>
      <c r="P13" s="556">
        <f>IF(VLOOKUP($E$13,[1]NN!$A$2:$FA$301, 15, FALSE)="",":",VLOOKUP($E$13,[1]NN!$A$2:$FA$301, 15, FALSE))</f>
        <v>607.1</v>
      </c>
      <c r="Q13" s="556">
        <f>IF(VLOOKUP($E$13,[1]NN!$A$2:$FA$301, 16, FALSE)="",":",VLOOKUP($E$13,[1]NN!$A$2:$FA$301, 16, FALSE))</f>
        <v>601.79999999999995</v>
      </c>
      <c r="R13" s="556">
        <f>IF(VLOOKUP($E$13,[1]NN!$A$2:$FA$301, 17, FALSE)="",":",VLOOKUP($E$13,[1]NN!$A$2:$FA$301, 17, FALSE))</f>
        <v>596.29999999999995</v>
      </c>
      <c r="S13" s="556">
        <f>IF(VLOOKUP($E$13,[1]NN!$A$2:$FA$301, 18, FALSE)="",":",VLOOKUP($E$13,[1]NN!$A$2:$FA$301, 18, FALSE))</f>
        <v>592.6</v>
      </c>
      <c r="T13" s="556">
        <f>IF(VLOOKUP($E$13,[1]NN!$A$2:$FA$301, 19, FALSE)="",":",VLOOKUP($E$13,[1]NN!$A$2:$FA$301, 19, FALSE))</f>
        <v>591.9</v>
      </c>
      <c r="U13" s="556">
        <f>IF(VLOOKUP($E$13,[1]NN!$A$2:$FA$301, 20, FALSE)="",":",VLOOKUP($E$13,[1]NN!$A$2:$FA$301, 20, FALSE))</f>
        <v>559.9</v>
      </c>
      <c r="V13" s="556">
        <f>IF(VLOOKUP($E$13,[1]NN!$A$2:$FA$301, 21, FALSE)="",":",VLOOKUP($E$13,[1]NN!$A$2:$FA$301, 21, FALSE))</f>
        <v>541.6</v>
      </c>
      <c r="W13" s="556">
        <f>IF(VLOOKUP($E$13,[1]NN!$A$2:$FA$301, 22, FALSE)="",":",VLOOKUP($E$13,[1]NN!$A$2:$FA$301, 22, FALSE))</f>
        <v>543.1</v>
      </c>
      <c r="X13" s="556">
        <f>IF(VLOOKUP($E$13,[1]NN!$A$2:$FA$301, 23, FALSE)="",":",VLOOKUP($E$13,[1]NN!$A$2:$FA$301, 23, FALSE))</f>
        <v>535.29999999999995</v>
      </c>
      <c r="Y13" s="556">
        <f>IF(VLOOKUP($E$13,[1]NN!$A$2:$FA$301, 24, FALSE)="",":",VLOOKUP($E$13,[1]NN!$A$2:$FA$301, 24, FALSE))</f>
        <v>523</v>
      </c>
      <c r="Z13" s="556">
        <f>IF(VLOOKUP($E$13,[1]NN!$A$2:$FA$301, 25, FALSE)="",":",VLOOKUP($E$13,[1]NN!$A$2:$FA$301, 25, FALSE))</f>
        <v>509.6</v>
      </c>
      <c r="AA13" s="556">
        <f>IF(VLOOKUP($E$13,[1]NN!$A$2:$FA$301, 26, FALSE)="",":",VLOOKUP($E$13,[1]NN!$A$2:$FA$301, 26, FALSE))</f>
        <v>498.5</v>
      </c>
      <c r="AB13" s="556">
        <f>IF(VLOOKUP($E$13,[1]NN!$A$2:$FA$301, 27, FALSE)="",":",VLOOKUP($E$13,[1]NN!$A$2:$FA$301, 27, FALSE))</f>
        <v>499.1</v>
      </c>
      <c r="AC13" s="556">
        <f>IF(VLOOKUP($E$13,[1]NN!$A$2:$FA$301, 28, FALSE)="",":",VLOOKUP($E$13,[1]NN!$A$2:$FA$301, 28, FALSE))</f>
        <v>501</v>
      </c>
      <c r="AD13" s="556" t="str">
        <f>IF(VLOOKUP($E$13,[1]NN!$A$2:$FA$301, 29, FALSE)="",":",VLOOKUP($E$13,[1]NN!$A$2:$FA$301, 29, FALSE))</f>
        <v>:</v>
      </c>
      <c r="AE13" s="556" t="str">
        <f>IF(VLOOKUP($E$13,[1]NN!$A$2:$FA$301, 30, FALSE)="",":",VLOOKUP($E$13,[1]NN!$A$2:$FA$301, 30, FALSE))</f>
        <v>:</v>
      </c>
      <c r="AF13" s="556" t="str">
        <f>IF(VLOOKUP($E$13,[1]NN!$A$2:$FA$301, 31, FALSE)="",":",VLOOKUP($E$13,[1]NN!$A$2:$FA$301, 31, FALSE))</f>
        <v>:</v>
      </c>
    </row>
    <row r="14" spans="1:32">
      <c r="A14" s="545">
        <v>68</v>
      </c>
      <c r="B14" s="546" t="s">
        <v>1110</v>
      </c>
      <c r="C14" s="547"/>
      <c r="D14" s="12"/>
      <c r="E14" s="13"/>
      <c r="F14" s="14"/>
      <c r="G14" s="556"/>
      <c r="H14" s="556"/>
      <c r="I14" s="556"/>
      <c r="J14" s="556"/>
      <c r="K14" s="556"/>
      <c r="L14" s="556"/>
      <c r="M14" s="556"/>
      <c r="N14" s="556"/>
      <c r="O14" s="556"/>
      <c r="P14" s="556"/>
      <c r="Q14" s="556"/>
      <c r="R14" s="556"/>
      <c r="S14" s="556"/>
      <c r="T14" s="556"/>
      <c r="U14" s="556"/>
      <c r="V14" s="556"/>
      <c r="W14" s="556"/>
      <c r="X14" s="556"/>
      <c r="Y14" s="556"/>
      <c r="Z14" s="556"/>
      <c r="AA14" s="556"/>
      <c r="AB14" s="556"/>
      <c r="AC14" s="556"/>
      <c r="AD14" s="556"/>
      <c r="AE14" s="556"/>
      <c r="AF14" s="556"/>
    </row>
    <row r="15" spans="1:32">
      <c r="A15" s="545">
        <v>71</v>
      </c>
      <c r="B15" s="546" t="s">
        <v>1313</v>
      </c>
      <c r="C15" s="547"/>
      <c r="D15" s="12" t="s">
        <v>1166</v>
      </c>
      <c r="E15" s="13">
        <v>23</v>
      </c>
      <c r="F15" s="14" t="str">
        <f>VLOOKUP($E$15,[1]NN!$A$2:$FA$301, 3, FALSE)</f>
        <v xml:space="preserve">23  Wage and salary earners - Manufacturing industry                          </v>
      </c>
      <c r="G15" s="556">
        <f>IF(VLOOKUP($E$15,[1]NN!$A$2:$FA$301, 6, FALSE)="",":",VLOOKUP($E$15,[1]NN!$A$2:$FA$301, 6, FALSE))</f>
        <v>645.29999999999995</v>
      </c>
      <c r="H15" s="556">
        <f>IF(VLOOKUP($E$15,[1]NN!$A$2:$FA$301, 7, FALSE)="",":",VLOOKUP($E$15,[1]NN!$A$2:$FA$301, 7, FALSE))</f>
        <v>634.79999999999995</v>
      </c>
      <c r="I15" s="556">
        <f>IF(VLOOKUP($E$15,[1]NN!$A$2:$FA$301, 8, FALSE)="",":",VLOOKUP($E$15,[1]NN!$A$2:$FA$301, 8, FALSE))</f>
        <v>626.1</v>
      </c>
      <c r="J15" s="556">
        <f>IF(VLOOKUP($E$15,[1]NN!$A$2:$FA$301, 9, FALSE)="",":",VLOOKUP($E$15,[1]NN!$A$2:$FA$301, 9, FALSE))</f>
        <v>626.29999999999995</v>
      </c>
      <c r="K15" s="556">
        <f>IF(VLOOKUP($E$15,[1]NN!$A$2:$FA$301, 10, FALSE)="",":",VLOOKUP($E$15,[1]NN!$A$2:$FA$301, 10, FALSE))</f>
        <v>618.6</v>
      </c>
      <c r="L15" s="556">
        <f>IF(VLOOKUP($E$15,[1]NN!$A$2:$FA$301, 11, FALSE)="",":",VLOOKUP($E$15,[1]NN!$A$2:$FA$301, 11, FALSE))</f>
        <v>625.79999999999995</v>
      </c>
      <c r="M15" s="556">
        <f>IF(VLOOKUP($E$15,[1]NN!$A$2:$FA$301, 12, FALSE)="",":",VLOOKUP($E$15,[1]NN!$A$2:$FA$301, 12, FALSE))</f>
        <v>633.20000000000005</v>
      </c>
      <c r="N15" s="556">
        <f>IF(VLOOKUP($E$15,[1]NN!$A$2:$FA$301, 13, FALSE)="",":",VLOOKUP($E$15,[1]NN!$A$2:$FA$301, 13, FALSE))</f>
        <v>610.29999999999995</v>
      </c>
      <c r="O15" s="556">
        <f>IF(VLOOKUP($E$15,[1]NN!$A$2:$FA$301, 14, FALSE)="",":",VLOOKUP($E$15,[1]NN!$A$2:$FA$301, 14, FALSE))</f>
        <v>591.29999999999995</v>
      </c>
      <c r="P15" s="556">
        <f>IF(VLOOKUP($E$15,[1]NN!$A$2:$FA$301, 15, FALSE)="",":",VLOOKUP($E$15,[1]NN!$A$2:$FA$301, 15, FALSE))</f>
        <v>580.1</v>
      </c>
      <c r="Q15" s="556">
        <f>IF(VLOOKUP($E$15,[1]NN!$A$2:$FA$301, 16, FALSE)="",":",VLOOKUP($E$15,[1]NN!$A$2:$FA$301, 16, FALSE))</f>
        <v>575.29999999999995</v>
      </c>
      <c r="R15" s="556">
        <f>IF(VLOOKUP($E$15,[1]NN!$A$2:$FA$301, 17, FALSE)="",":",VLOOKUP($E$15,[1]NN!$A$2:$FA$301, 17, FALSE))</f>
        <v>570</v>
      </c>
      <c r="S15" s="556">
        <f>IF(VLOOKUP($E$15,[1]NN!$A$2:$FA$301, 18, FALSE)="",":",VLOOKUP($E$15,[1]NN!$A$2:$FA$301, 18, FALSE))</f>
        <v>566.6</v>
      </c>
      <c r="T15" s="556">
        <f>IF(VLOOKUP($E$15,[1]NN!$A$2:$FA$301, 19, FALSE)="",":",VLOOKUP($E$15,[1]NN!$A$2:$FA$301, 19, FALSE))</f>
        <v>565.9</v>
      </c>
      <c r="U15" s="556">
        <f>IF(VLOOKUP($E$15,[1]NN!$A$2:$FA$301, 20, FALSE)="",":",VLOOKUP($E$15,[1]NN!$A$2:$FA$301, 20, FALSE))</f>
        <v>534.9</v>
      </c>
      <c r="V15" s="556">
        <f>IF(VLOOKUP($E$15,[1]NN!$A$2:$FA$301, 21, FALSE)="",":",VLOOKUP($E$15,[1]NN!$A$2:$FA$301, 21, FALSE))</f>
        <v>517</v>
      </c>
      <c r="W15" s="556">
        <f>IF(VLOOKUP($E$15,[1]NN!$A$2:$FA$301, 22, FALSE)="",":",VLOOKUP($E$15,[1]NN!$A$2:$FA$301, 22, FALSE))</f>
        <v>518.6</v>
      </c>
      <c r="X15" s="556">
        <f>IF(VLOOKUP($E$15,[1]NN!$A$2:$FA$301, 23, FALSE)="",":",VLOOKUP($E$15,[1]NN!$A$2:$FA$301, 23, FALSE))</f>
        <v>511.1</v>
      </c>
      <c r="Y15" s="556">
        <f>IF(VLOOKUP($E$15,[1]NN!$A$2:$FA$301, 24, FALSE)="",":",VLOOKUP($E$15,[1]NN!$A$2:$FA$301, 24, FALSE))</f>
        <v>499</v>
      </c>
      <c r="Z15" s="556">
        <f>IF(VLOOKUP($E$15,[1]NN!$A$2:$FA$301, 25, FALSE)="",":",VLOOKUP($E$15,[1]NN!$A$2:$FA$301, 25, FALSE))</f>
        <v>485.5</v>
      </c>
      <c r="AA15" s="556">
        <f>IF(VLOOKUP($E$15,[1]NN!$A$2:$FA$301, 26, FALSE)="",":",VLOOKUP($E$15,[1]NN!$A$2:$FA$301, 26, FALSE))</f>
        <v>474</v>
      </c>
      <c r="AB15" s="556">
        <f>IF(VLOOKUP($E$15,[1]NN!$A$2:$FA$301, 27, FALSE)="",":",VLOOKUP($E$15,[1]NN!$A$2:$FA$301, 27, FALSE))</f>
        <v>474.5</v>
      </c>
      <c r="AC15" s="556">
        <f>IF(VLOOKUP($E$15,[1]NN!$A$2:$FA$301, 28, FALSE)="",":",VLOOKUP($E$15,[1]NN!$A$2:$FA$301, 28, FALSE))</f>
        <v>476.2</v>
      </c>
      <c r="AD15" s="556" t="str">
        <f>IF(VLOOKUP($E$15,[1]NN!$A$2:$FA$301, 29, FALSE)="",":",VLOOKUP($E$15,[1]NN!$A$2:$FA$301, 29, FALSE))</f>
        <v>:</v>
      </c>
      <c r="AE15" s="556" t="str">
        <f>IF(VLOOKUP($E$15,[1]NN!$A$2:$FA$301, 30, FALSE)="",":",VLOOKUP($E$15,[1]NN!$A$2:$FA$301, 30, FALSE))</f>
        <v>:</v>
      </c>
      <c r="AF15" s="556" t="str">
        <f>IF(VLOOKUP($E$15,[1]NN!$A$2:$FA$301, 31, FALSE)="",":",VLOOKUP($E$15,[1]NN!$A$2:$FA$301, 31, FALSE))</f>
        <v>:</v>
      </c>
    </row>
    <row r="16" spans="1:32">
      <c r="A16" s="545">
        <v>72</v>
      </c>
      <c r="B16" s="546" t="s">
        <v>287</v>
      </c>
      <c r="C16" s="547"/>
      <c r="D16" s="12"/>
      <c r="E16" s="13"/>
      <c r="F16" s="14"/>
      <c r="G16" s="556"/>
      <c r="H16" s="556"/>
      <c r="I16" s="556"/>
      <c r="J16" s="556"/>
      <c r="K16" s="556"/>
      <c r="L16" s="556"/>
      <c r="M16" s="556"/>
      <c r="N16" s="556"/>
      <c r="O16" s="556"/>
      <c r="P16" s="556"/>
      <c r="Q16" s="556"/>
      <c r="R16" s="556"/>
      <c r="S16" s="556"/>
      <c r="T16" s="556"/>
      <c r="U16" s="556"/>
      <c r="V16" s="556"/>
      <c r="W16" s="556"/>
      <c r="X16" s="556"/>
      <c r="Y16" s="556"/>
      <c r="Z16" s="556"/>
      <c r="AA16" s="556"/>
      <c r="AB16" s="556"/>
      <c r="AC16" s="556"/>
      <c r="AD16" s="556"/>
      <c r="AE16" s="556"/>
      <c r="AF16" s="556"/>
    </row>
    <row r="17" spans="1:32">
      <c r="A17" s="547"/>
      <c r="B17" s="546"/>
      <c r="C17" s="547"/>
      <c r="D17" s="12"/>
      <c r="E17" s="13"/>
      <c r="F17" s="14"/>
      <c r="G17" s="556"/>
      <c r="H17" s="556"/>
      <c r="I17" s="556"/>
      <c r="J17" s="556"/>
      <c r="K17" s="556"/>
      <c r="L17" s="556"/>
      <c r="M17" s="556"/>
      <c r="N17" s="556"/>
      <c r="O17" s="556"/>
      <c r="P17" s="556"/>
      <c r="Q17" s="556"/>
      <c r="R17" s="556"/>
      <c r="S17" s="556"/>
      <c r="T17" s="556"/>
      <c r="U17" s="556"/>
      <c r="V17" s="556"/>
      <c r="W17" s="556"/>
      <c r="X17" s="556"/>
      <c r="Y17" s="556"/>
      <c r="Z17" s="556"/>
      <c r="AA17" s="556"/>
      <c r="AB17" s="556"/>
      <c r="AC17" s="556"/>
      <c r="AD17" s="556"/>
      <c r="AE17" s="556"/>
      <c r="AF17" s="556"/>
    </row>
    <row r="18" spans="1:32">
      <c r="A18" s="545">
        <v>74</v>
      </c>
      <c r="B18" s="546" t="s">
        <v>1001</v>
      </c>
      <c r="C18" s="547"/>
      <c r="D18" s="12" t="s">
        <v>1166</v>
      </c>
      <c r="E18" s="13">
        <v>41</v>
      </c>
      <c r="F18" s="14" t="str">
        <f>VLOOKUP($E$18,[1]NN!$A$2:$FA$301, 3, FALSE)</f>
        <v xml:space="preserve">41  Unemployed persons   </v>
      </c>
      <c r="G18" s="556">
        <f>IF(VLOOKUP($E$18,[1]NN!$A$2:$FA$301, 6, FALSE)="",":",VLOOKUP($E$18,[1]NN!$A$2:$FA$301, 6, FALSE))</f>
        <v>406.70000000000005</v>
      </c>
      <c r="H18" s="556">
        <f>IF(VLOOKUP($E$18,[1]NN!$A$2:$FA$301, 7, FALSE)="",":",VLOOKUP($E$18,[1]NN!$A$2:$FA$301, 7, FALSE))</f>
        <v>400.70000000000005</v>
      </c>
      <c r="I18" s="556">
        <f>IF(VLOOKUP($E$18,[1]NN!$A$2:$FA$301, 8, FALSE)="",":",VLOOKUP($E$18,[1]NN!$A$2:$FA$301, 8, FALSE))</f>
        <v>390.1</v>
      </c>
      <c r="J18" s="556">
        <f>IF(VLOOKUP($E$18,[1]NN!$A$2:$FA$301, 9, FALSE)="",":",VLOOKUP($E$18,[1]NN!$A$2:$FA$301, 9, FALSE))</f>
        <v>399.70000000000005</v>
      </c>
      <c r="K18" s="556">
        <f>IF(VLOOKUP($E$18,[1]NN!$A$2:$FA$301, 10, FALSE)="",":",VLOOKUP($E$18,[1]NN!$A$2:$FA$301, 10, FALSE))</f>
        <v>367</v>
      </c>
      <c r="L18" s="556">
        <f>IF(VLOOKUP($E$18,[1]NN!$A$2:$FA$301, 11, FALSE)="",":",VLOOKUP($E$18,[1]NN!$A$2:$FA$301, 11, FALSE))</f>
        <v>301.90000000000003</v>
      </c>
      <c r="M18" s="556">
        <f>IF(VLOOKUP($E$18,[1]NN!$A$2:$FA$301, 12, FALSE)="",":",VLOOKUP($E$18,[1]NN!$A$2:$FA$301, 12, FALSE))</f>
        <v>285.60000000000002</v>
      </c>
      <c r="N18" s="556">
        <f>IF(VLOOKUP($E$18,[1]NN!$A$2:$FA$301, 13, FALSE)="",":",VLOOKUP($E$18,[1]NN!$A$2:$FA$301, 13, FALSE))</f>
        <v>330.6</v>
      </c>
      <c r="O18" s="556">
        <f>IF(VLOOKUP($E$18,[1]NN!$A$2:$FA$301, 14, FALSE)="",":",VLOOKUP($E$18,[1]NN!$A$2:$FA$301, 14, FALSE))</f>
        <v>362.3</v>
      </c>
      <c r="P18" s="556">
        <f>IF(VLOOKUP($E$18,[1]NN!$A$2:$FA$301, 15, FALSE)="",":",VLOOKUP($E$18,[1]NN!$A$2:$FA$301, 15, FALSE))</f>
        <v>379.1</v>
      </c>
      <c r="Q18" s="556">
        <f>IF(VLOOKUP($E$18,[1]NN!$A$2:$FA$301, 16, FALSE)="",":",VLOOKUP($E$18,[1]NN!$A$2:$FA$301, 16, FALSE))</f>
        <v>390.40000000000003</v>
      </c>
      <c r="R18" s="556">
        <f>IF(VLOOKUP($E$18,[1]NN!$A$2:$FA$301, 17, FALSE)="",":",VLOOKUP($E$18,[1]NN!$A$2:$FA$301, 17, FALSE))</f>
        <v>383.20000000000005</v>
      </c>
      <c r="S18" s="556">
        <f>IF(VLOOKUP($E$18,[1]NN!$A$2:$FA$301, 18, FALSE)="",":",VLOOKUP($E$18,[1]NN!$A$2:$FA$301, 18, FALSE))</f>
        <v>353</v>
      </c>
      <c r="T18" s="556">
        <f>IF(VLOOKUP($E$18,[1]NN!$A$2:$FA$301, 19, FALSE)="",":",VLOOKUP($E$18,[1]NN!$A$2:$FA$301, 19, FALSE))</f>
        <v>333.40000000000003</v>
      </c>
      <c r="U18" s="556">
        <f>IF(VLOOKUP($E$18,[1]NN!$A$2:$FA$301, 20, FALSE)="",":",VLOOKUP($E$18,[1]NN!$A$2:$FA$301, 20, FALSE))</f>
        <v>379.6</v>
      </c>
      <c r="V18" s="556">
        <f>IF(VLOOKUP($E$18,[1]NN!$A$2:$FA$301, 21, FALSE)="",":",VLOOKUP($E$18,[1]NN!$A$2:$FA$301, 21, FALSE))</f>
        <v>405.90000000000003</v>
      </c>
      <c r="W18" s="556">
        <f>IF(VLOOKUP($E$18,[1]NN!$A$2:$FA$301, 22, FALSE)="",":",VLOOKUP($E$18,[1]NN!$A$2:$FA$301, 22, FALSE))</f>
        <v>347</v>
      </c>
      <c r="X18" s="556">
        <f>IF(VLOOKUP($E$18,[1]NN!$A$2:$FA$301, 23, FALSE)="",":",VLOOKUP($E$18,[1]NN!$A$2:$FA$301, 23, FALSE))</f>
        <v>369</v>
      </c>
      <c r="Y18" s="556">
        <f>IF(VLOOKUP($E$18,[1]NN!$A$2:$FA$301, 24, FALSE)="",":",VLOOKUP($E$18,[1]NN!$A$2:$FA$301, 24, FALSE))</f>
        <v>417</v>
      </c>
      <c r="Z18" s="556">
        <f>IF(VLOOKUP($E$18,[1]NN!$A$2:$FA$301, 25, FALSE)="",":",VLOOKUP($E$18,[1]NN!$A$2:$FA$301, 25, FALSE))</f>
        <v>423</v>
      </c>
      <c r="AA18" s="556">
        <f>IF(VLOOKUP($E$18,[1]NN!$A$2:$FA$301, 26, FALSE)="",":",VLOOKUP($E$18,[1]NN!$A$2:$FA$301, 26, FALSE))</f>
        <v>422</v>
      </c>
      <c r="AB18" s="556">
        <f>IF(VLOOKUP($E$18,[1]NN!$A$2:$FA$301, 27, FALSE)="",":",VLOOKUP($E$18,[1]NN!$A$2:$FA$301, 27, FALSE))</f>
        <v>390</v>
      </c>
      <c r="AC18" s="556">
        <f>IF(VLOOKUP($E$18,[1]NN!$A$2:$FA$301, 28, FALSE)="",":",VLOOKUP($E$18,[1]NN!$A$2:$FA$301, 28, FALSE))</f>
        <v>354</v>
      </c>
      <c r="AD18" s="556" t="str">
        <f>IF(VLOOKUP($E$18,[1]NN!$A$2:$FA$301, 29, FALSE)="",":",VLOOKUP($E$18,[1]NN!$A$2:$FA$301, 29, FALSE))</f>
        <v>:</v>
      </c>
      <c r="AE18" s="556" t="str">
        <f>IF(VLOOKUP($E$18,[1]NN!$A$2:$FA$301, 30, FALSE)="",":",VLOOKUP($E$18,[1]NN!$A$2:$FA$301, 30, FALSE))</f>
        <v>:</v>
      </c>
      <c r="AF18" s="556" t="str">
        <f>IF(VLOOKUP($E$18,[1]NN!$A$2:$FA$301, 31, FALSE)="",":",VLOOKUP($E$18,[1]NN!$A$2:$FA$301, 31, FALSE))</f>
        <v>:</v>
      </c>
    </row>
    <row r="19" spans="1:32">
      <c r="A19" s="545"/>
      <c r="B19" s="546" t="s">
        <v>1250</v>
      </c>
      <c r="C19" s="547"/>
      <c r="D19" s="12" t="s">
        <v>1166</v>
      </c>
      <c r="E19" s="13">
        <v>42</v>
      </c>
      <c r="F19" s="14" t="str">
        <f>VLOOKUP($E$19,[1]NN!$A$2:$FA$301, 3, FALSE)</f>
        <v>42 Unemployment rate (Eurostat)</v>
      </c>
      <c r="G19" s="556">
        <f>IF(VLOOKUP($E$19,[1]NN!$A$2:$FA$301, 6, FALSE)="",":",VLOOKUP($E$19,[1]NN!$A$2:$FA$301, 6, FALSE))</f>
        <v>9.6999999999999993</v>
      </c>
      <c r="H19" s="556">
        <f>IF(VLOOKUP($E$19,[1]NN!$A$2:$FA$301, 7, FALSE)="",":",VLOOKUP($E$19,[1]NN!$A$2:$FA$301, 7, FALSE))</f>
        <v>9.5</v>
      </c>
      <c r="I19" s="556">
        <f>IF(VLOOKUP($E$19,[1]NN!$A$2:$FA$301, 8, FALSE)="",":",VLOOKUP($E$19,[1]NN!$A$2:$FA$301, 8, FALSE))</f>
        <v>9.1999999999999993</v>
      </c>
      <c r="J19" s="556">
        <f>IF(VLOOKUP($E$19,[1]NN!$A$2:$FA$301, 9, FALSE)="",":",VLOOKUP($E$19,[1]NN!$A$2:$FA$301, 9, FALSE))</f>
        <v>9.3000000000000007</v>
      </c>
      <c r="K19" s="556">
        <f>IF(VLOOKUP($E$19,[1]NN!$A$2:$FA$301, 10, FALSE)="",":",VLOOKUP($E$19,[1]NN!$A$2:$FA$301, 10, FALSE))</f>
        <v>8.4</v>
      </c>
      <c r="L19" s="556">
        <f>IF(VLOOKUP($E$19,[1]NN!$A$2:$FA$301, 11, FALSE)="",":",VLOOKUP($E$19,[1]NN!$A$2:$FA$301, 11, FALSE))</f>
        <v>6.9</v>
      </c>
      <c r="M19" s="556">
        <f>IF(VLOOKUP($E$19,[1]NN!$A$2:$FA$301, 12, FALSE)="",":",VLOOKUP($E$19,[1]NN!$A$2:$FA$301, 12, FALSE))</f>
        <v>6.6</v>
      </c>
      <c r="N19" s="556">
        <f>IF(VLOOKUP($E$19,[1]NN!$A$2:$FA$301, 13, FALSE)="",":",VLOOKUP($E$19,[1]NN!$A$2:$FA$301, 13, FALSE))</f>
        <v>7.5</v>
      </c>
      <c r="O19" s="556">
        <f>IF(VLOOKUP($E$19,[1]NN!$A$2:$FA$301, 14, FALSE)="",":",VLOOKUP($E$19,[1]NN!$A$2:$FA$301, 14, FALSE))</f>
        <v>8.1999999999999993</v>
      </c>
      <c r="P19" s="556">
        <f>IF(VLOOKUP($E$19,[1]NN!$A$2:$FA$301, 15, FALSE)="",":",VLOOKUP($E$19,[1]NN!$A$2:$FA$301, 15, FALSE))</f>
        <v>8.4</v>
      </c>
      <c r="Q19" s="556">
        <f>IF(VLOOKUP($E$19,[1]NN!$A$2:$FA$301, 16, FALSE)="",":",VLOOKUP($E$19,[1]NN!$A$2:$FA$301, 16, FALSE))</f>
        <v>8.5</v>
      </c>
      <c r="R19" s="556">
        <f>IF(VLOOKUP($E$19,[1]NN!$A$2:$FA$301, 17, FALSE)="",":",VLOOKUP($E$19,[1]NN!$A$2:$FA$301, 17, FALSE))</f>
        <v>8.3000000000000007</v>
      </c>
      <c r="S19" s="556">
        <f>IF(VLOOKUP($E$19,[1]NN!$A$2:$FA$301, 18, FALSE)="",":",VLOOKUP($E$19,[1]NN!$A$2:$FA$301, 18, FALSE))</f>
        <v>7.5</v>
      </c>
      <c r="T19" s="556">
        <f>IF(VLOOKUP($E$19,[1]NN!$A$2:$FA$301, 19, FALSE)="",":",VLOOKUP($E$19,[1]NN!$A$2:$FA$301, 19, FALSE))</f>
        <v>7</v>
      </c>
      <c r="U19" s="556">
        <f>IF(VLOOKUP($E$19,[1]NN!$A$2:$FA$301, 20, FALSE)="",":",VLOOKUP($E$19,[1]NN!$A$2:$FA$301, 20, FALSE))</f>
        <v>7.9</v>
      </c>
      <c r="V19" s="556">
        <f>IF(VLOOKUP($E$19,[1]NN!$A$2:$FA$301, 21, FALSE)="",":",VLOOKUP($E$19,[1]NN!$A$2:$FA$301, 21, FALSE))</f>
        <v>8.3000000000000007</v>
      </c>
      <c r="W19" s="556">
        <f>IF(VLOOKUP($E$19,[1]NN!$A$2:$FA$301, 22, FALSE)="",":",VLOOKUP($E$19,[1]NN!$A$2:$FA$301, 22, FALSE))</f>
        <v>7.2</v>
      </c>
      <c r="X19" s="556">
        <f>IF(VLOOKUP($E$19,[1]NN!$A$2:$FA$301, 23, FALSE)="",":",VLOOKUP($E$19,[1]NN!$A$2:$FA$301, 23, FALSE))</f>
        <v>7.6</v>
      </c>
      <c r="Y19" s="556">
        <f>IF(VLOOKUP($E$19,[1]NN!$A$2:$FA$301, 24, FALSE)="",":",VLOOKUP($E$19,[1]NN!$A$2:$FA$301, 24, FALSE))</f>
        <v>8.4</v>
      </c>
      <c r="Z19" s="556">
        <f>IF(VLOOKUP($E$19,[1]NN!$A$2:$FA$301, 25, FALSE)="",":",VLOOKUP($E$19,[1]NN!$A$2:$FA$301, 25, FALSE))</f>
        <v>8.5</v>
      </c>
      <c r="AA19" s="556">
        <f>IF(VLOOKUP($E$19,[1]NN!$A$2:$FA$301, 26, FALSE)="",":",VLOOKUP($E$19,[1]NN!$A$2:$FA$301, 26, FALSE))</f>
        <v>8.5</v>
      </c>
      <c r="AB19" s="556">
        <f>IF(VLOOKUP($E$19,[1]NN!$A$2:$FA$301, 27, FALSE)="",":",VLOOKUP($E$19,[1]NN!$A$2:$FA$301, 27, FALSE))</f>
        <v>7.8</v>
      </c>
      <c r="AC19" s="556">
        <f>IF(VLOOKUP($E$19,[1]NN!$A$2:$FA$301, 28, FALSE)="",":",VLOOKUP($E$19,[1]NN!$A$2:$FA$301, 28, FALSE))</f>
        <v>7.1</v>
      </c>
      <c r="AD19" s="556" t="str">
        <f>IF(VLOOKUP($E$19,[1]NN!$A$2:$FA$301, 29, FALSE)="",":",VLOOKUP($E$19,[1]NN!$A$2:$FA$301, 29, FALSE))</f>
        <v>:</v>
      </c>
      <c r="AE19" s="556" t="str">
        <f>IF(VLOOKUP($E$19,[1]NN!$A$2:$FA$301, 30, FALSE)="",":",VLOOKUP($E$19,[1]NN!$A$2:$FA$301, 30, FALSE))</f>
        <v>:</v>
      </c>
      <c r="AF19" s="556" t="str">
        <f>IF(VLOOKUP($E$19,[1]NN!$A$2:$FA$301, 31, FALSE)="",":",VLOOKUP($E$19,[1]NN!$A$2:$FA$301, 31, FALSE))</f>
        <v>:</v>
      </c>
    </row>
    <row r="20" spans="1:32">
      <c r="A20" s="545"/>
      <c r="B20" s="546"/>
      <c r="C20" s="547"/>
      <c r="D20" s="12"/>
      <c r="E20" s="13"/>
      <c r="F20" s="14"/>
      <c r="G20" s="556"/>
      <c r="H20" s="556"/>
      <c r="I20" s="556"/>
      <c r="J20" s="556"/>
      <c r="K20" s="556"/>
      <c r="L20" s="556"/>
      <c r="M20" s="556"/>
      <c r="N20" s="556"/>
      <c r="O20" s="556"/>
      <c r="P20" s="556"/>
      <c r="Q20" s="556"/>
      <c r="R20" s="556"/>
      <c r="S20" s="556"/>
      <c r="T20" s="556"/>
      <c r="U20" s="556"/>
      <c r="V20" s="556"/>
      <c r="W20" s="556"/>
      <c r="X20" s="556"/>
      <c r="Y20" s="556"/>
      <c r="Z20" s="556"/>
      <c r="AA20" s="556"/>
      <c r="AB20" s="556"/>
      <c r="AC20" s="556"/>
      <c r="AD20" s="556"/>
      <c r="AE20" s="556"/>
      <c r="AF20" s="556"/>
    </row>
    <row r="21" spans="1:32">
      <c r="A21" s="545">
        <v>1</v>
      </c>
      <c r="B21" s="546" t="s">
        <v>511</v>
      </c>
      <c r="C21" s="547" t="s">
        <v>338</v>
      </c>
      <c r="D21" s="12" t="s">
        <v>1457</v>
      </c>
      <c r="E21" s="13">
        <v>200</v>
      </c>
      <c r="F21" s="14" t="str">
        <f>VLOOKUP($E$21,[1]ON!$A$2:$FC$301, 3, FALSE)</f>
        <v xml:space="preserve">200  Household final consumption expenditure (national)                              </v>
      </c>
      <c r="G21" s="556">
        <f ca="1">IF(VLOOKUP($E$21,[1]ON!$A$2:$FC$301, 6, FALSE)="",":",VLOOKUP($E$21,[1]ON!$A$2:$FC$301, 6, FALSE))</f>
        <v>155766.29999999999</v>
      </c>
      <c r="H21" s="556">
        <f>IF(VLOOKUP($E$21,[1]ON!$A$2:$FC$301, 7, FALSE)="",":",VLOOKUP($E$21,[1]ON!$A$2:$FC$301, 7, FALSE))</f>
        <v>152521.07</v>
      </c>
      <c r="I21" s="556">
        <f>IF(VLOOKUP($E$21,[1]ON!$A$2:$FC$301, 8, FALSE)="",":",VLOOKUP($E$21,[1]ON!$A$2:$FC$301, 8, FALSE))</f>
        <v>155246.49</v>
      </c>
      <c r="J21" s="556">
        <f>IF(VLOOKUP($E$21,[1]ON!$A$2:$FC$301, 9, FALSE)="",":",VLOOKUP($E$21,[1]ON!$A$2:$FC$301, 9, FALSE))</f>
        <v>159469.93</v>
      </c>
      <c r="K21" s="556">
        <f>IF(VLOOKUP($E$21,[1]ON!$A$2:$FC$301, 10, FALSE)="",":",VLOOKUP($E$21,[1]ON!$A$2:$FC$301, 10, FALSE))</f>
        <v>162142.64000000001</v>
      </c>
      <c r="L21" s="556">
        <f>IF(VLOOKUP($E$21,[1]ON!$A$2:$FC$301, 11, FALSE)="",":",VLOOKUP($E$21,[1]ON!$A$2:$FC$301, 11, FALSE))</f>
        <v>166850.23999999999</v>
      </c>
      <c r="M21" s="556">
        <f>IF(VLOOKUP($E$21,[1]ON!$A$2:$FC$301, 12, FALSE)="",":",VLOOKUP($E$21,[1]ON!$A$2:$FC$301, 12, FALSE))</f>
        <v>168542.12</v>
      </c>
      <c r="N21" s="556">
        <f>IF(VLOOKUP($E$21,[1]ON!$A$2:$FC$301, 13, FALSE)="",":",VLOOKUP($E$21,[1]ON!$A$2:$FC$301, 13, FALSE))</f>
        <v>169212.3</v>
      </c>
      <c r="O21" s="556">
        <f>IF(VLOOKUP($E$21,[1]ON!$A$2:$FC$301, 14, FALSE)="",":",VLOOKUP($E$21,[1]ON!$A$2:$FC$301, 14, FALSE))</f>
        <v>170087.07</v>
      </c>
      <c r="P21" s="556">
        <f>IF(VLOOKUP($E$21,[1]ON!$A$2:$FC$301, 15, FALSE)="",":",VLOOKUP($E$21,[1]ON!$A$2:$FC$301, 15, FALSE))</f>
        <v>172740.56</v>
      </c>
      <c r="Q21" s="556">
        <f>IF(VLOOKUP($E$21,[1]ON!$A$2:$FC$301, 16, FALSE)="",":",VLOOKUP($E$21,[1]ON!$A$2:$FC$301, 16, FALSE))</f>
        <v>174865.2</v>
      </c>
      <c r="R21" s="556">
        <f>IF(VLOOKUP($E$21,[1]ON!$A$2:$FC$301, 17, FALSE)="",":",VLOOKUP($E$21,[1]ON!$A$2:$FC$301, 17, FALSE))</f>
        <v>177436.78</v>
      </c>
      <c r="S21" s="556">
        <f>IF(VLOOKUP($E$21,[1]ON!$A$2:$FC$301, 18, FALSE)="",":",VLOOKUP($E$21,[1]ON!$A$2:$FC$301, 18, FALSE))</f>
        <v>180725.38</v>
      </c>
      <c r="T21" s="556">
        <f>IF(VLOOKUP($E$21,[1]ON!$A$2:$FC$301, 19, FALSE)="",":",VLOOKUP($E$21,[1]ON!$A$2:$FC$301, 19, FALSE))</f>
        <v>183788.97</v>
      </c>
      <c r="U21" s="556">
        <f>IF(VLOOKUP($E$21,[1]ON!$A$2:$FC$301, 20, FALSE)="",":",VLOOKUP($E$21,[1]ON!$A$2:$FC$301, 20, FALSE))</f>
        <v>184694.89</v>
      </c>
      <c r="V21" s="556">
        <f>IF(VLOOKUP($E$21,[1]ON!$A$2:$FC$301, 21, FALSE)="",":",VLOOKUP($E$21,[1]ON!$A$2:$FC$301, 21, FALSE))</f>
        <v>189692.9</v>
      </c>
      <c r="W21" s="556">
        <f>IF(VLOOKUP($E$21,[1]ON!$A$2:$FC$301, 22, FALSE)="",":",VLOOKUP($E$21,[1]ON!$A$2:$FC$301, 22, FALSE))</f>
        <v>190345.64</v>
      </c>
      <c r="X21" s="556">
        <f>IF(VLOOKUP($E$21,[1]ON!$A$2:$FC$301, 23, FALSE)="",":",VLOOKUP($E$21,[1]ON!$A$2:$FC$301, 23, FALSE))</f>
        <v>191458.01</v>
      </c>
      <c r="Y21" s="556">
        <f>IF(VLOOKUP($E$21,[1]ON!$A$2:$FC$301, 24, FALSE)="",":",VLOOKUP($E$21,[1]ON!$A$2:$FC$301, 24, FALSE))</f>
        <v>192886.81</v>
      </c>
      <c r="Z21" s="556">
        <f>IF(VLOOKUP($E$21,[1]ON!$A$2:$FC$301, 25, FALSE)="",":",VLOOKUP($E$21,[1]ON!$A$2:$FC$301, 25, FALSE))</f>
        <v>194064.85</v>
      </c>
      <c r="AA21" s="556">
        <f>IF(VLOOKUP($E$21,[1]ON!$A$2:$FC$301, 26, FALSE)="",":",VLOOKUP($E$21,[1]ON!$A$2:$FC$301, 26, FALSE))</f>
        <v>195800.95</v>
      </c>
      <c r="AB21" s="556">
        <f>IF(VLOOKUP($E$21,[1]ON!$A$2:$FC$301, 27, FALSE)="",":",VLOOKUP($E$21,[1]ON!$A$2:$FC$301, 27, FALSE))</f>
        <v>199044.86</v>
      </c>
      <c r="AC21" s="556">
        <f>IF(VLOOKUP($E$21,[1]ON!$A$2:$FC$301, 28, FALSE)="",":",VLOOKUP($E$21,[1]ON!$A$2:$FC$301, 28, FALSE))</f>
        <v>201286.48</v>
      </c>
      <c r="AD21" s="556" t="str">
        <f>IF(VLOOKUP($E$21,[1]ON!$A$2:$FC$301, 29, FALSE)="",":",VLOOKUP($E$21,[1]ON!$A$2:$FC$301, 29, FALSE))</f>
        <v>:</v>
      </c>
      <c r="AE21" s="556" t="str">
        <f>IF(VLOOKUP($E$21,[1]ON!$A$2:$FC$301, 30, FALSE)="",":",VLOOKUP($E$21,[1]ON!$A$2:$FC$301, 30, FALSE))</f>
        <v>:</v>
      </c>
      <c r="AF21" s="556" t="str">
        <f>IF(VLOOKUP($E$21,[1]ON!$A$2:$FC$301, 31, FALSE)="",":",VLOOKUP($E$21,[1]ON!$A$2:$FC$301, 31, FALSE))</f>
        <v>:</v>
      </c>
    </row>
    <row r="22" spans="1:32">
      <c r="A22" s="545"/>
      <c r="B22" s="546" t="s">
        <v>288</v>
      </c>
      <c r="C22" s="547" t="s">
        <v>339</v>
      </c>
      <c r="D22" s="12" t="s">
        <v>1457</v>
      </c>
      <c r="E22" s="13">
        <v>110</v>
      </c>
      <c r="F22" s="14" t="str">
        <f>VLOOKUP($E$22,[1]ON!$A$2:$FC$301, 3, FALSE)</f>
        <v xml:space="preserve">110  Individual consumption expenditure                                              </v>
      </c>
      <c r="G22" s="556">
        <f ca="1">IF(VLOOKUP($E$22,[1]ON!$A$2:$FC$301, 6, FALSE)="",":",VLOOKUP($E$22,[1]ON!$A$2:$FC$301, 6, FALSE))</f>
        <v>45303.9</v>
      </c>
      <c r="H22" s="556">
        <f>IF(VLOOKUP($E$22,[1]ON!$A$2:$FC$301, 7, FALSE)="",":",VLOOKUP($E$22,[1]ON!$A$2:$FC$301, 7, FALSE))</f>
        <v>43707.9</v>
      </c>
      <c r="I22" s="556">
        <f>IF(VLOOKUP($E$22,[1]ON!$A$2:$FC$301, 8, FALSE)="",":",VLOOKUP($E$22,[1]ON!$A$2:$FC$301, 8, FALSE))</f>
        <v>44054.78</v>
      </c>
      <c r="J22" s="556">
        <f>IF(VLOOKUP($E$22,[1]ON!$A$2:$FC$301, 9, FALSE)="",":",VLOOKUP($E$22,[1]ON!$A$2:$FC$301, 9, FALSE))</f>
        <v>44891.75</v>
      </c>
      <c r="K22" s="556">
        <f>IF(VLOOKUP($E$22,[1]ON!$A$2:$FC$301, 10, FALSE)="",":",VLOOKUP($E$22,[1]ON!$A$2:$FC$301, 10, FALSE))</f>
        <v>45442.93</v>
      </c>
      <c r="L22" s="556">
        <f>IF(VLOOKUP($E$22,[1]ON!$A$2:$FC$301, 11, FALSE)="",":",VLOOKUP($E$22,[1]ON!$A$2:$FC$301, 11, FALSE))</f>
        <v>46371.39</v>
      </c>
      <c r="M22" s="556">
        <f>IF(VLOOKUP($E$22,[1]ON!$A$2:$FC$301, 12, FALSE)="",":",VLOOKUP($E$22,[1]ON!$A$2:$FC$301, 12, FALSE))</f>
        <v>46911.27</v>
      </c>
      <c r="N22" s="556">
        <f>IF(VLOOKUP($E$22,[1]ON!$A$2:$FC$301, 13, FALSE)="",":",VLOOKUP($E$22,[1]ON!$A$2:$FC$301, 13, FALSE))</f>
        <v>47833.58</v>
      </c>
      <c r="O22" s="556">
        <f>IF(VLOOKUP($E$22,[1]ON!$A$2:$FC$301, 14, FALSE)="",":",VLOOKUP($E$22,[1]ON!$A$2:$FC$301, 14, FALSE))</f>
        <v>48739.73</v>
      </c>
      <c r="P22" s="556">
        <f>IF(VLOOKUP($E$22,[1]ON!$A$2:$FC$301, 15, FALSE)="",":",VLOOKUP($E$22,[1]ON!$A$2:$FC$301, 15, FALSE))</f>
        <v>49646.51</v>
      </c>
      <c r="Q22" s="556">
        <f>IF(VLOOKUP($E$22,[1]ON!$A$2:$FC$301, 16, FALSE)="",":",VLOOKUP($E$22,[1]ON!$A$2:$FC$301, 16, FALSE))</f>
        <v>50148.27</v>
      </c>
      <c r="R22" s="556">
        <f>IF(VLOOKUP($E$22,[1]ON!$A$2:$FC$301, 17, FALSE)="",":",VLOOKUP($E$22,[1]ON!$A$2:$FC$301, 17, FALSE))</f>
        <v>50799.58</v>
      </c>
      <c r="S22" s="556">
        <f>IF(VLOOKUP($E$22,[1]ON!$A$2:$FC$301, 18, FALSE)="",":",VLOOKUP($E$22,[1]ON!$A$2:$FC$301, 18, FALSE))</f>
        <v>51687.44</v>
      </c>
      <c r="T22" s="556">
        <f>IF(VLOOKUP($E$22,[1]ON!$A$2:$FC$301, 19, FALSE)="",":",VLOOKUP($E$22,[1]ON!$A$2:$FC$301, 19, FALSE))</f>
        <v>53003.57</v>
      </c>
      <c r="U22" s="556">
        <f>IF(VLOOKUP($E$22,[1]ON!$A$2:$FC$301, 20, FALSE)="",":",VLOOKUP($E$22,[1]ON!$A$2:$FC$301, 20, FALSE))</f>
        <v>53754.46</v>
      </c>
      <c r="V22" s="556">
        <f>IF(VLOOKUP($E$22,[1]ON!$A$2:$FC$301, 21, FALSE)="",":",VLOOKUP($E$22,[1]ON!$A$2:$FC$301, 21, FALSE))</f>
        <v>54753.2</v>
      </c>
      <c r="W22" s="556">
        <f>IF(VLOOKUP($E$22,[1]ON!$A$2:$FC$301, 22, FALSE)="",":",VLOOKUP($E$22,[1]ON!$A$2:$FC$301, 22, FALSE))</f>
        <v>55735.59</v>
      </c>
      <c r="X22" s="556">
        <f>IF(VLOOKUP($E$22,[1]ON!$A$2:$FC$301, 23, FALSE)="",":",VLOOKUP($E$22,[1]ON!$A$2:$FC$301, 23, FALSE))</f>
        <v>56685.55</v>
      </c>
      <c r="Y22" s="556">
        <f>IF(VLOOKUP($E$22,[1]ON!$A$2:$FC$301, 24, FALSE)="",":",VLOOKUP($E$22,[1]ON!$A$2:$FC$301, 24, FALSE))</f>
        <v>56726.06</v>
      </c>
      <c r="Z22" s="556">
        <f>IF(VLOOKUP($E$22,[1]ON!$A$2:$FC$301, 25, FALSE)="",":",VLOOKUP($E$22,[1]ON!$A$2:$FC$301, 25, FALSE))</f>
        <v>57993.5</v>
      </c>
      <c r="AA22" s="556">
        <f>IF(VLOOKUP($E$22,[1]ON!$A$2:$FC$301, 26, FALSE)="",":",VLOOKUP($E$22,[1]ON!$A$2:$FC$301, 26, FALSE))</f>
        <v>58761.85</v>
      </c>
      <c r="AB22" s="556">
        <f>IF(VLOOKUP($E$22,[1]ON!$A$2:$FC$301, 27, FALSE)="",":",VLOOKUP($E$22,[1]ON!$A$2:$FC$301, 27, FALSE))</f>
        <v>59336.45</v>
      </c>
      <c r="AC22" s="556">
        <f>IF(VLOOKUP($E$22,[1]ON!$A$2:$FC$301, 28, FALSE)="",":",VLOOKUP($E$22,[1]ON!$A$2:$FC$301, 28, FALSE))</f>
        <v>60512.03</v>
      </c>
      <c r="AD22" s="556" t="str">
        <f>IF(VLOOKUP($E$22,[1]ON!$A$2:$FC$301, 29, FALSE)="",":",VLOOKUP($E$22,[1]ON!$A$2:$FC$301, 29, FALSE))</f>
        <v>:</v>
      </c>
      <c r="AE22" s="556" t="str">
        <f>IF(VLOOKUP($E$22,[1]ON!$A$2:$FC$301, 30, FALSE)="",":",VLOOKUP($E$22,[1]ON!$A$2:$FC$301, 30, FALSE))</f>
        <v>:</v>
      </c>
      <c r="AF22" s="556" t="str">
        <f>IF(VLOOKUP($E$22,[1]ON!$A$2:$FC$301, 31, FALSE)="",":",VLOOKUP($E$22,[1]ON!$A$2:$FC$301, 31, FALSE))</f>
        <v>:</v>
      </c>
    </row>
    <row r="23" spans="1:32">
      <c r="A23" s="545"/>
      <c r="B23" s="546" t="s">
        <v>289</v>
      </c>
      <c r="C23" s="547" t="s">
        <v>340</v>
      </c>
      <c r="D23" s="12" t="s">
        <v>1457</v>
      </c>
      <c r="E23" s="13">
        <v>120</v>
      </c>
      <c r="F23" s="14" t="str">
        <f>VLOOKUP($E$23,[1]ON!$A$2:$FC$301, 3, FALSE)</f>
        <v xml:space="preserve">120  Collective consumption expenditure                                              </v>
      </c>
      <c r="G23" s="556">
        <f ca="1">IF(VLOOKUP($E$23,[1]ON!$A$2:$FC$301, 6, FALSE)="",":",VLOOKUP($E$23,[1]ON!$A$2:$FC$301, 6, FALSE))</f>
        <v>26155.599999999999</v>
      </c>
      <c r="H23" s="556">
        <f>IF(VLOOKUP($E$23,[1]ON!$A$2:$FC$301, 7, FALSE)="",":",VLOOKUP($E$23,[1]ON!$A$2:$FC$301, 7, FALSE))</f>
        <v>24689.68</v>
      </c>
      <c r="I23" s="556">
        <f>IF(VLOOKUP($E$23,[1]ON!$A$2:$FC$301, 8, FALSE)="",":",VLOOKUP($E$23,[1]ON!$A$2:$FC$301, 8, FALSE))</f>
        <v>24790.54</v>
      </c>
      <c r="J23" s="556">
        <f>IF(VLOOKUP($E$23,[1]ON!$A$2:$FC$301, 9, FALSE)="",":",VLOOKUP($E$23,[1]ON!$A$2:$FC$301, 9, FALSE))</f>
        <v>25229.03</v>
      </c>
      <c r="K23" s="556">
        <f>IF(VLOOKUP($E$23,[1]ON!$A$2:$FC$301, 10, FALSE)="",":",VLOOKUP($E$23,[1]ON!$A$2:$FC$301, 10, FALSE))</f>
        <v>26470.39</v>
      </c>
      <c r="L23" s="556">
        <f>IF(VLOOKUP($E$23,[1]ON!$A$2:$FC$301, 11, FALSE)="",":",VLOOKUP($E$23,[1]ON!$A$2:$FC$301, 11, FALSE))</f>
        <v>27639.07</v>
      </c>
      <c r="M23" s="556">
        <f>IF(VLOOKUP($E$23,[1]ON!$A$2:$FC$301, 12, FALSE)="",":",VLOOKUP($E$23,[1]ON!$A$2:$FC$301, 12, FALSE))</f>
        <v>27850.7</v>
      </c>
      <c r="N23" s="556">
        <f>IF(VLOOKUP($E$23,[1]ON!$A$2:$FC$301, 13, FALSE)="",":",VLOOKUP($E$23,[1]ON!$A$2:$FC$301, 13, FALSE))</f>
        <v>28896.63</v>
      </c>
      <c r="O23" s="556">
        <f>IF(VLOOKUP($E$23,[1]ON!$A$2:$FC$301, 14, FALSE)="",":",VLOOKUP($E$23,[1]ON!$A$2:$FC$301, 14, FALSE))</f>
        <v>29082.78</v>
      </c>
      <c r="P23" s="556">
        <f>IF(VLOOKUP($E$23,[1]ON!$A$2:$FC$301, 15, FALSE)="",":",VLOOKUP($E$23,[1]ON!$A$2:$FC$301, 15, FALSE))</f>
        <v>29424.37</v>
      </c>
      <c r="Q23" s="556">
        <f>IF(VLOOKUP($E$23,[1]ON!$A$2:$FC$301, 16, FALSE)="",":",VLOOKUP($E$23,[1]ON!$A$2:$FC$301, 16, FALSE))</f>
        <v>29441.48</v>
      </c>
      <c r="R23" s="556">
        <f>IF(VLOOKUP($E$23,[1]ON!$A$2:$FC$301, 17, FALSE)="",":",VLOOKUP($E$23,[1]ON!$A$2:$FC$301, 17, FALSE))</f>
        <v>29555.95</v>
      </c>
      <c r="S23" s="556">
        <f>IF(VLOOKUP($E$23,[1]ON!$A$2:$FC$301, 18, FALSE)="",":",VLOOKUP($E$23,[1]ON!$A$2:$FC$301, 18, FALSE))</f>
        <v>30206.79</v>
      </c>
      <c r="T23" s="556">
        <f>IF(VLOOKUP($E$23,[1]ON!$A$2:$FC$301, 19, FALSE)="",":",VLOOKUP($E$23,[1]ON!$A$2:$FC$301, 19, FALSE))</f>
        <v>31224.9</v>
      </c>
      <c r="U23" s="556">
        <f>IF(VLOOKUP($E$23,[1]ON!$A$2:$FC$301, 20, FALSE)="",":",VLOOKUP($E$23,[1]ON!$A$2:$FC$301, 20, FALSE))</f>
        <v>31419.78</v>
      </c>
      <c r="V23" s="556">
        <f>IF(VLOOKUP($E$23,[1]ON!$A$2:$FC$301, 21, FALSE)="",":",VLOOKUP($E$23,[1]ON!$A$2:$FC$301, 21, FALSE))</f>
        <v>31245.7</v>
      </c>
      <c r="W23" s="556">
        <f>IF(VLOOKUP($E$23,[1]ON!$A$2:$FC$301, 22, FALSE)="",":",VLOOKUP($E$23,[1]ON!$A$2:$FC$301, 22, FALSE))</f>
        <v>31324.23</v>
      </c>
      <c r="X23" s="556">
        <f>IF(VLOOKUP($E$23,[1]ON!$A$2:$FC$301, 23, FALSE)="",":",VLOOKUP($E$23,[1]ON!$A$2:$FC$301, 23, FALSE))</f>
        <v>31601.61</v>
      </c>
      <c r="Y23" s="556">
        <f>IF(VLOOKUP($E$23,[1]ON!$A$2:$FC$301, 24, FALSE)="",":",VLOOKUP($E$23,[1]ON!$A$2:$FC$301, 24, FALSE))</f>
        <v>31838.01</v>
      </c>
      <c r="Z23" s="556">
        <f>IF(VLOOKUP($E$23,[1]ON!$A$2:$FC$301, 25, FALSE)="",":",VLOOKUP($E$23,[1]ON!$A$2:$FC$301, 25, FALSE))</f>
        <v>31170.59</v>
      </c>
      <c r="AA23" s="556">
        <f>IF(VLOOKUP($E$23,[1]ON!$A$2:$FC$301, 26, FALSE)="",":",VLOOKUP($E$23,[1]ON!$A$2:$FC$301, 26, FALSE))</f>
        <v>30838.46</v>
      </c>
      <c r="AB23" s="556">
        <f>IF(VLOOKUP($E$23,[1]ON!$A$2:$FC$301, 27, FALSE)="",":",VLOOKUP($E$23,[1]ON!$A$2:$FC$301, 27, FALSE))</f>
        <v>30739.040000000001</v>
      </c>
      <c r="AC23" s="556">
        <f>IF(VLOOKUP($E$23,[1]ON!$A$2:$FC$301, 28, FALSE)="",":",VLOOKUP($E$23,[1]ON!$A$2:$FC$301, 28, FALSE))</f>
        <v>30523.8</v>
      </c>
      <c r="AD23" s="556" t="str">
        <f>IF(VLOOKUP($E$23,[1]ON!$A$2:$FC$301, 29, FALSE)="",":",VLOOKUP($E$23,[1]ON!$A$2:$FC$301, 29, FALSE))</f>
        <v>:</v>
      </c>
      <c r="AE23" s="556" t="str">
        <f>IF(VLOOKUP($E$23,[1]ON!$A$2:$FC$301, 30, FALSE)="",":",VLOOKUP($E$23,[1]ON!$A$2:$FC$301, 30, FALSE))</f>
        <v>:</v>
      </c>
      <c r="AF23" s="556" t="str">
        <f>IF(VLOOKUP($E$23,[1]ON!$A$2:$FC$301, 31, FALSE)="",":",VLOOKUP($E$23,[1]ON!$A$2:$FC$301, 31, FALSE))</f>
        <v>:</v>
      </c>
    </row>
    <row r="24" spans="1:32">
      <c r="A24" s="545">
        <v>2</v>
      </c>
      <c r="B24" s="546" t="s">
        <v>39</v>
      </c>
      <c r="C24" s="547" t="s">
        <v>341</v>
      </c>
      <c r="D24" s="12" t="s">
        <v>1457</v>
      </c>
      <c r="E24" s="13">
        <v>100</v>
      </c>
      <c r="F24" s="14" t="str">
        <f>VLOOKUP($E$24,[1]ON!$A$2:$FC$301, 3, FALSE)</f>
        <v xml:space="preserve">100  Government final consumption expenditure                                        </v>
      </c>
      <c r="G24" s="556">
        <f ca="1">IF(VLOOKUP($E$24,[1]ON!$A$2:$FC$301, 6, FALSE)="",":",VLOOKUP($E$24,[1]ON!$A$2:$FC$301, 6, FALSE))</f>
        <v>71405.600000000006</v>
      </c>
      <c r="H24" s="556">
        <f>IF(VLOOKUP($E$24,[1]ON!$A$2:$FC$301, 7, FALSE)="",":",VLOOKUP($E$24,[1]ON!$A$2:$FC$301, 7, FALSE))</f>
        <v>68306.149999999994</v>
      </c>
      <c r="I24" s="556">
        <f>IF(VLOOKUP($E$24,[1]ON!$A$2:$FC$301, 8, FALSE)="",":",VLOOKUP($E$24,[1]ON!$A$2:$FC$301, 8, FALSE))</f>
        <v>68744.31</v>
      </c>
      <c r="J24" s="556">
        <f>IF(VLOOKUP($E$24,[1]ON!$A$2:$FC$301, 9, FALSE)="",":",VLOOKUP($E$24,[1]ON!$A$2:$FC$301, 9, FALSE))</f>
        <v>70014.710000000006</v>
      </c>
      <c r="K24" s="556">
        <f>IF(VLOOKUP($E$24,[1]ON!$A$2:$FC$301, 10, FALSE)="",":",VLOOKUP($E$24,[1]ON!$A$2:$FC$301, 10, FALSE))</f>
        <v>71890.27</v>
      </c>
      <c r="L24" s="556">
        <f>IF(VLOOKUP($E$24,[1]ON!$A$2:$FC$301, 11, FALSE)="",":",VLOOKUP($E$24,[1]ON!$A$2:$FC$301, 11, FALSE))</f>
        <v>74035.61</v>
      </c>
      <c r="M24" s="556">
        <f>IF(VLOOKUP($E$24,[1]ON!$A$2:$FC$301, 12, FALSE)="",":",VLOOKUP($E$24,[1]ON!$A$2:$FC$301, 12, FALSE))</f>
        <v>74779.399999999994</v>
      </c>
      <c r="N24" s="556">
        <f>IF(VLOOKUP($E$24,[1]ON!$A$2:$FC$301, 13, FALSE)="",":",VLOOKUP($E$24,[1]ON!$A$2:$FC$301, 13, FALSE))</f>
        <v>76772.33</v>
      </c>
      <c r="O24" s="556">
        <f>IF(VLOOKUP($E$24,[1]ON!$A$2:$FC$301, 14, FALSE)="",":",VLOOKUP($E$24,[1]ON!$A$2:$FC$301, 14, FALSE))</f>
        <v>77844.28</v>
      </c>
      <c r="P24" s="556">
        <f>IF(VLOOKUP($E$24,[1]ON!$A$2:$FC$301, 15, FALSE)="",":",VLOOKUP($E$24,[1]ON!$A$2:$FC$301, 15, FALSE))</f>
        <v>79085.13</v>
      </c>
      <c r="Q24" s="556">
        <f>IF(VLOOKUP($E$24,[1]ON!$A$2:$FC$301, 16, FALSE)="",":",VLOOKUP($E$24,[1]ON!$A$2:$FC$301, 16, FALSE))</f>
        <v>79596.160000000003</v>
      </c>
      <c r="R24" s="556">
        <f>IF(VLOOKUP($E$24,[1]ON!$A$2:$FC$301, 17, FALSE)="",":",VLOOKUP($E$24,[1]ON!$A$2:$FC$301, 17, FALSE))</f>
        <v>80353.08</v>
      </c>
      <c r="S24" s="556">
        <f>IF(VLOOKUP($E$24,[1]ON!$A$2:$FC$301, 18, FALSE)="",":",VLOOKUP($E$24,[1]ON!$A$2:$FC$301, 18, FALSE))</f>
        <v>81897.19</v>
      </c>
      <c r="T24" s="556">
        <f>IF(VLOOKUP($E$24,[1]ON!$A$2:$FC$301, 19, FALSE)="",":",VLOOKUP($E$24,[1]ON!$A$2:$FC$301, 19, FALSE))</f>
        <v>84240.36</v>
      </c>
      <c r="U24" s="556">
        <f>IF(VLOOKUP($E$24,[1]ON!$A$2:$FC$301, 20, FALSE)="",":",VLOOKUP($E$24,[1]ON!$A$2:$FC$301, 20, FALSE))</f>
        <v>85181.97</v>
      </c>
      <c r="V24" s="556">
        <f>IF(VLOOKUP($E$24,[1]ON!$A$2:$FC$301, 21, FALSE)="",":",VLOOKUP($E$24,[1]ON!$A$2:$FC$301, 21, FALSE))</f>
        <v>85998.9</v>
      </c>
      <c r="W24" s="556">
        <f>IF(VLOOKUP($E$24,[1]ON!$A$2:$FC$301, 22, FALSE)="",":",VLOOKUP($E$24,[1]ON!$A$2:$FC$301, 22, FALSE))</f>
        <v>87059.9</v>
      </c>
      <c r="X24" s="556">
        <f>IF(VLOOKUP($E$24,[1]ON!$A$2:$FC$301, 23, FALSE)="",":",VLOOKUP($E$24,[1]ON!$A$2:$FC$301, 23, FALSE))</f>
        <v>88287.8</v>
      </c>
      <c r="Y24" s="556">
        <f>IF(VLOOKUP($E$24,[1]ON!$A$2:$FC$301, 24, FALSE)="",":",VLOOKUP($E$24,[1]ON!$A$2:$FC$301, 24, FALSE))</f>
        <v>88565.16</v>
      </c>
      <c r="Z24" s="556">
        <f>IF(VLOOKUP($E$24,[1]ON!$A$2:$FC$301, 25, FALSE)="",":",VLOOKUP($E$24,[1]ON!$A$2:$FC$301, 25, FALSE))</f>
        <v>89150.43</v>
      </c>
      <c r="AA24" s="556">
        <f>IF(VLOOKUP($E$24,[1]ON!$A$2:$FC$301, 26, FALSE)="",":",VLOOKUP($E$24,[1]ON!$A$2:$FC$301, 26, FALSE))</f>
        <v>89572.800000000003</v>
      </c>
      <c r="AB24" s="556">
        <f>IF(VLOOKUP($E$24,[1]ON!$A$2:$FC$301, 27, FALSE)="",":",VLOOKUP($E$24,[1]ON!$A$2:$FC$301, 27, FALSE))</f>
        <v>90042.6</v>
      </c>
      <c r="AC24" s="556">
        <f>IF(VLOOKUP($E$24,[1]ON!$A$2:$FC$301, 28, FALSE)="",":",VLOOKUP($E$24,[1]ON!$A$2:$FC$301, 28, FALSE))</f>
        <v>90996.25</v>
      </c>
      <c r="AD24" s="556" t="str">
        <f>IF(VLOOKUP($E$24,[1]ON!$A$2:$FC$301, 29, FALSE)="",":",VLOOKUP($E$24,[1]ON!$A$2:$FC$301, 29, FALSE))</f>
        <v>:</v>
      </c>
      <c r="AE24" s="556" t="str">
        <f>IF(VLOOKUP($E$24,[1]ON!$A$2:$FC$301, 30, FALSE)="",":",VLOOKUP($E$24,[1]ON!$A$2:$FC$301, 30, FALSE))</f>
        <v>:</v>
      </c>
      <c r="AF24" s="556" t="str">
        <f>IF(VLOOKUP($E$24,[1]ON!$A$2:$FC$301, 31, FALSE)="",":",VLOOKUP($E$24,[1]ON!$A$2:$FC$301, 31, FALSE))</f>
        <v>:</v>
      </c>
    </row>
    <row r="25" spans="1:32">
      <c r="A25" s="545"/>
      <c r="B25" s="546"/>
      <c r="C25" s="547"/>
      <c r="D25" s="12"/>
      <c r="E25" s="13"/>
      <c r="F25" s="14"/>
      <c r="G25" s="556"/>
      <c r="H25" s="556"/>
      <c r="I25" s="556"/>
      <c r="J25" s="556"/>
      <c r="K25" s="556"/>
      <c r="L25" s="556"/>
      <c r="M25" s="556"/>
      <c r="N25" s="556"/>
      <c r="O25" s="556"/>
      <c r="P25" s="556"/>
      <c r="Q25" s="556"/>
      <c r="R25" s="556"/>
      <c r="S25" s="556"/>
      <c r="T25" s="556"/>
      <c r="U25" s="556"/>
      <c r="V25" s="556"/>
      <c r="W25" s="556"/>
      <c r="X25" s="556"/>
      <c r="Y25" s="556"/>
      <c r="Z25" s="556"/>
      <c r="AA25" s="556"/>
      <c r="AB25" s="556"/>
      <c r="AC25" s="556"/>
      <c r="AD25" s="556"/>
      <c r="AE25" s="556"/>
      <c r="AF25" s="556"/>
    </row>
    <row r="26" spans="1:32">
      <c r="A26" s="545"/>
      <c r="B26" s="546" t="s">
        <v>1728</v>
      </c>
      <c r="C26" s="547"/>
      <c r="D26" s="12"/>
      <c r="E26" s="13"/>
      <c r="F26" s="14"/>
      <c r="G26" s="556"/>
      <c r="H26" s="556"/>
      <c r="I26" s="556"/>
      <c r="J26" s="556"/>
      <c r="K26" s="556"/>
      <c r="L26" s="556"/>
      <c r="M26" s="556"/>
      <c r="N26" s="556"/>
      <c r="O26" s="556"/>
      <c r="P26" s="556"/>
      <c r="Q26" s="556"/>
      <c r="R26" s="556"/>
      <c r="S26" s="556"/>
      <c r="T26" s="556"/>
      <c r="U26" s="556"/>
      <c r="V26" s="556"/>
      <c r="W26" s="556"/>
      <c r="X26" s="556"/>
      <c r="Y26" s="556"/>
      <c r="Z26" s="556"/>
      <c r="AA26" s="556"/>
      <c r="AB26" s="556"/>
      <c r="AC26" s="556"/>
      <c r="AD26" s="556"/>
      <c r="AE26" s="556"/>
      <c r="AF26" s="556"/>
    </row>
    <row r="27" spans="1:32">
      <c r="A27" s="545"/>
      <c r="B27" s="546" t="s">
        <v>1729</v>
      </c>
      <c r="C27" s="547"/>
      <c r="D27" s="12"/>
      <c r="E27" s="13"/>
      <c r="F27" s="14"/>
      <c r="G27" s="556"/>
      <c r="H27" s="556"/>
      <c r="I27" s="556"/>
      <c r="J27" s="556"/>
      <c r="K27" s="556"/>
      <c r="L27" s="556"/>
      <c r="M27" s="556"/>
      <c r="N27" s="556"/>
      <c r="O27" s="556"/>
      <c r="P27" s="556"/>
      <c r="Q27" s="556"/>
      <c r="R27" s="556"/>
      <c r="S27" s="556"/>
      <c r="T27" s="556"/>
      <c r="U27" s="556"/>
      <c r="V27" s="556"/>
      <c r="W27" s="556"/>
      <c r="X27" s="556"/>
      <c r="Y27" s="556"/>
      <c r="Z27" s="556"/>
      <c r="AA27" s="556"/>
      <c r="AB27" s="556"/>
      <c r="AC27" s="556"/>
      <c r="AD27" s="556"/>
      <c r="AE27" s="556"/>
      <c r="AF27" s="556"/>
    </row>
    <row r="28" spans="1:32">
      <c r="A28" s="545"/>
      <c r="B28" s="546" t="s">
        <v>1730</v>
      </c>
      <c r="C28" s="547"/>
      <c r="D28" s="12" t="s">
        <v>1457</v>
      </c>
      <c r="E28" s="13">
        <v>317</v>
      </c>
      <c r="F28" s="14" t="str">
        <f>VLOOKUP($E$28,[1]ON!$A$2:$FC$301, 3, FALSE)</f>
        <v xml:space="preserve">317  Non-residential construction and civil engineering                              </v>
      </c>
      <c r="G28" s="556">
        <f ca="1">IF(VLOOKUP($E$28,[1]ON!$A$2:$FC$301, 6, FALSE)="",":",VLOOKUP($E$28,[1]ON!$A$2:$FC$301, 6, FALSE))</f>
        <v>14719.1</v>
      </c>
      <c r="H28" s="556">
        <f>IF(VLOOKUP($E$28,[1]ON!$A$2:$FC$301, 7, FALSE)="",":",VLOOKUP($E$28,[1]ON!$A$2:$FC$301, 7, FALSE))</f>
        <v>14286.07</v>
      </c>
      <c r="I28" s="556">
        <f>IF(VLOOKUP($E$28,[1]ON!$A$2:$FC$301, 8, FALSE)="",":",VLOOKUP($E$28,[1]ON!$A$2:$FC$301, 8, FALSE))</f>
        <v>14249.84</v>
      </c>
      <c r="J28" s="556">
        <f>IF(VLOOKUP($E$28,[1]ON!$A$2:$FC$301, 9, FALSE)="",":",VLOOKUP($E$28,[1]ON!$A$2:$FC$301, 9, FALSE))</f>
        <v>14906.04</v>
      </c>
      <c r="K28" s="556">
        <f>IF(VLOOKUP($E$28,[1]ON!$A$2:$FC$301, 10, FALSE)="",":",VLOOKUP($E$28,[1]ON!$A$2:$FC$301, 10, FALSE))</f>
        <v>14366.15</v>
      </c>
      <c r="L28" s="556">
        <f>IF(VLOOKUP($E$28,[1]ON!$A$2:$FC$301, 11, FALSE)="",":",VLOOKUP($E$28,[1]ON!$A$2:$FC$301, 11, FALSE))</f>
        <v>14155.37</v>
      </c>
      <c r="M28" s="556">
        <f>IF(VLOOKUP($E$28,[1]ON!$A$2:$FC$301, 12, FALSE)="",":",VLOOKUP($E$28,[1]ON!$A$2:$FC$301, 12, FALSE))</f>
        <v>14120.59</v>
      </c>
      <c r="N28" s="556">
        <f>IF(VLOOKUP($E$28,[1]ON!$A$2:$FC$301, 13, FALSE)="",":",VLOOKUP($E$28,[1]ON!$A$2:$FC$301, 13, FALSE))</f>
        <v>13276.41</v>
      </c>
      <c r="O28" s="556">
        <f>IF(VLOOKUP($E$28,[1]ON!$A$2:$FC$301, 14, FALSE)="",":",VLOOKUP($E$28,[1]ON!$A$2:$FC$301, 14, FALSE))</f>
        <v>13287.13</v>
      </c>
      <c r="P28" s="556">
        <f>IF(VLOOKUP($E$28,[1]ON!$A$2:$FC$301, 15, FALSE)="",":",VLOOKUP($E$28,[1]ON!$A$2:$FC$301, 15, FALSE))</f>
        <v>14640.1</v>
      </c>
      <c r="Q28" s="556">
        <f>IF(VLOOKUP($E$28,[1]ON!$A$2:$FC$301, 16, FALSE)="",":",VLOOKUP($E$28,[1]ON!$A$2:$FC$301, 16, FALSE))</f>
        <v>14592.19</v>
      </c>
      <c r="R28" s="556">
        <f>IF(VLOOKUP($E$28,[1]ON!$A$2:$FC$301, 17, FALSE)="",":",VLOOKUP($E$28,[1]ON!$A$2:$FC$301, 17, FALSE))</f>
        <v>14439.56</v>
      </c>
      <c r="S28" s="556">
        <f>IF(VLOOKUP($E$28,[1]ON!$A$2:$FC$301, 18, FALSE)="",":",VLOOKUP($E$28,[1]ON!$A$2:$FC$301, 18, FALSE))</f>
        <v>15526.69</v>
      </c>
      <c r="T28" s="556">
        <f>IF(VLOOKUP($E$28,[1]ON!$A$2:$FC$301, 19, FALSE)="",":",VLOOKUP($E$28,[1]ON!$A$2:$FC$301, 19, FALSE))</f>
        <v>16409.71</v>
      </c>
      <c r="U28" s="556">
        <f>IF(VLOOKUP($E$28,[1]ON!$A$2:$FC$301, 20, FALSE)="",":",VLOOKUP($E$28,[1]ON!$A$2:$FC$301, 20, FALSE))</f>
        <v>17719.88</v>
      </c>
      <c r="V28" s="556">
        <f>IF(VLOOKUP($E$28,[1]ON!$A$2:$FC$301, 21, FALSE)="",":",VLOOKUP($E$28,[1]ON!$A$2:$FC$301, 21, FALSE))</f>
        <v>16676.900000000001</v>
      </c>
      <c r="W28" s="556">
        <f>IF(VLOOKUP($E$28,[1]ON!$A$2:$FC$301, 22, FALSE)="",":",VLOOKUP($E$28,[1]ON!$A$2:$FC$301, 22, FALSE))</f>
        <v>18865.45</v>
      </c>
      <c r="X28" s="556">
        <f>IF(VLOOKUP($E$28,[1]ON!$A$2:$FC$301, 23, FALSE)="",":",VLOOKUP($E$28,[1]ON!$A$2:$FC$301, 23, FALSE))</f>
        <v>20190.8</v>
      </c>
      <c r="Y28" s="556">
        <f>IF(VLOOKUP($E$28,[1]ON!$A$2:$FC$301, 24, FALSE)="",":",VLOOKUP($E$28,[1]ON!$A$2:$FC$301, 24, FALSE))</f>
        <v>20016.72</v>
      </c>
      <c r="Z28" s="556">
        <f>IF(VLOOKUP($E$28,[1]ON!$A$2:$FC$301, 25, FALSE)="",":",VLOOKUP($E$28,[1]ON!$A$2:$FC$301, 25, FALSE))</f>
        <v>19845.740000000002</v>
      </c>
      <c r="AA28" s="556">
        <f>IF(VLOOKUP($E$28,[1]ON!$A$2:$FC$301, 26, FALSE)="",":",VLOOKUP($E$28,[1]ON!$A$2:$FC$301, 26, FALSE))</f>
        <v>19562.419999999998</v>
      </c>
      <c r="AB28" s="556">
        <f>IF(VLOOKUP($E$28,[1]ON!$A$2:$FC$301, 27, FALSE)="",":",VLOOKUP($E$28,[1]ON!$A$2:$FC$301, 27, FALSE))</f>
        <v>19890.759999999998</v>
      </c>
      <c r="AC28" s="556">
        <f>IF(VLOOKUP($E$28,[1]ON!$A$2:$FC$301, 28, FALSE)="",":",VLOOKUP($E$28,[1]ON!$A$2:$FC$301, 28, FALSE))</f>
        <v>20827.189999999999</v>
      </c>
      <c r="AD28" s="556" t="str">
        <f>IF(VLOOKUP($E$28,[1]ON!$A$2:$FC$301, 29, FALSE)="",":",VLOOKUP($E$28,[1]ON!$A$2:$FC$301, 29, FALSE))</f>
        <v>:</v>
      </c>
      <c r="AE28" s="556" t="str">
        <f>IF(VLOOKUP($E$28,[1]ON!$A$2:$FC$301, 30, FALSE)="",":",VLOOKUP($E$28,[1]ON!$A$2:$FC$301, 30, FALSE))</f>
        <v>:</v>
      </c>
      <c r="AF28" s="556" t="str">
        <f>IF(VLOOKUP($E$28,[1]ON!$A$2:$FC$301, 31, FALSE)="",":",VLOOKUP($E$28,[1]ON!$A$2:$FC$301, 31, FALSE))</f>
        <v>:</v>
      </c>
    </row>
    <row r="29" spans="1:32">
      <c r="A29" s="545">
        <v>31</v>
      </c>
      <c r="B29" s="546" t="s">
        <v>1731</v>
      </c>
      <c r="C29" s="547"/>
      <c r="D29" s="12" t="s">
        <v>1457</v>
      </c>
      <c r="E29" s="13">
        <v>316</v>
      </c>
      <c r="F29" s="14" t="str">
        <f>VLOOKUP($E$29,[1]ON!$A$2:$FC$301, 3, FALSE)</f>
        <v xml:space="preserve">316  Dwellings                                                                       </v>
      </c>
      <c r="G29" s="556">
        <f ca="1">IF(VLOOKUP($E$29,[1]ON!$A$2:$FC$301, 6, FALSE)="",":",VLOOKUP($E$29,[1]ON!$A$2:$FC$301, 6, FALSE))</f>
        <v>21340.1</v>
      </c>
      <c r="H29" s="556">
        <f>IF(VLOOKUP($E$29,[1]ON!$A$2:$FC$301, 7, FALSE)="",":",VLOOKUP($E$29,[1]ON!$A$2:$FC$301, 7, FALSE))</f>
        <v>18295.150000000001</v>
      </c>
      <c r="I29" s="556">
        <f>IF(VLOOKUP($E$29,[1]ON!$A$2:$FC$301, 8, FALSE)="",":",VLOOKUP($E$29,[1]ON!$A$2:$FC$301, 8, FALSE))</f>
        <v>19705.71</v>
      </c>
      <c r="J29" s="556">
        <f>IF(VLOOKUP($E$29,[1]ON!$A$2:$FC$301, 9, FALSE)="",":",VLOOKUP($E$29,[1]ON!$A$2:$FC$301, 9, FALSE))</f>
        <v>18802.77</v>
      </c>
      <c r="K29" s="556">
        <f>IF(VLOOKUP($E$29,[1]ON!$A$2:$FC$301, 10, FALSE)="",":",VLOOKUP($E$29,[1]ON!$A$2:$FC$301, 10, FALSE))</f>
        <v>19288.98</v>
      </c>
      <c r="L29" s="556">
        <f>IF(VLOOKUP($E$29,[1]ON!$A$2:$FC$301, 11, FALSE)="",":",VLOOKUP($E$29,[1]ON!$A$2:$FC$301, 11, FALSE))</f>
        <v>19297.21</v>
      </c>
      <c r="M29" s="556">
        <f>IF(VLOOKUP($E$29,[1]ON!$A$2:$FC$301, 12, FALSE)="",":",VLOOKUP($E$29,[1]ON!$A$2:$FC$301, 12, FALSE))</f>
        <v>18883.57</v>
      </c>
      <c r="N29" s="3296">
        <f>IF(VLOOKUP($E$29,[1]ON!$A$2:$FC$301, 13, FALSE)="",":",VLOOKUP($E$29,[1]ON!$A$2:$FC$301, 13, FALSE))</f>
        <v>17952.86</v>
      </c>
      <c r="O29" s="556">
        <f>IF(VLOOKUP($E$29,[1]ON!$A$2:$FC$301, 14, FALSE)="",":",VLOOKUP($E$29,[1]ON!$A$2:$FC$301, 14, FALSE))</f>
        <v>18541.849999999999</v>
      </c>
      <c r="P29" s="556">
        <f>IF(VLOOKUP($E$29,[1]ON!$A$2:$FC$301, 15, FALSE)="",":",VLOOKUP($E$29,[1]ON!$A$2:$FC$301, 15, FALSE))</f>
        <v>19928.099999999999</v>
      </c>
      <c r="Q29" s="556">
        <f>IF(VLOOKUP($E$29,[1]ON!$A$2:$FC$301, 16, FALSE)="",":",VLOOKUP($E$29,[1]ON!$A$2:$FC$301, 16, FALSE))</f>
        <v>21951.5</v>
      </c>
      <c r="R29" s="556">
        <f>IF(VLOOKUP($E$29,[1]ON!$A$2:$FC$301, 17, FALSE)="",":",VLOOKUP($E$29,[1]ON!$A$2:$FC$301, 17, FALSE))</f>
        <v>23473.63</v>
      </c>
      <c r="S29" s="556">
        <f>IF(VLOOKUP($E$29,[1]ON!$A$2:$FC$301, 18, FALSE)="",":",VLOOKUP($E$29,[1]ON!$A$2:$FC$301, 18, FALSE))</f>
        <v>24164.09</v>
      </c>
      <c r="T29" s="556">
        <f>IF(VLOOKUP($E$29,[1]ON!$A$2:$FC$301, 19, FALSE)="",":",VLOOKUP($E$29,[1]ON!$A$2:$FC$301, 19, FALSE))</f>
        <v>23821.34</v>
      </c>
      <c r="U29" s="556">
        <f>IF(VLOOKUP($E$29,[1]ON!$A$2:$FC$301, 20, FALSE)="",":",VLOOKUP($E$29,[1]ON!$A$2:$FC$301, 20, FALSE))</f>
        <v>21763.53</v>
      </c>
      <c r="V29" s="556">
        <f>IF(VLOOKUP($E$29,[1]ON!$A$2:$FC$301, 21, FALSE)="",":",VLOOKUP($E$29,[1]ON!$A$2:$FC$301, 21, FALSE))</f>
        <v>22338.3</v>
      </c>
      <c r="W29" s="556">
        <f>IF(VLOOKUP($E$29,[1]ON!$A$2:$FC$301, 22, FALSE)="",":",VLOOKUP($E$29,[1]ON!$A$2:$FC$301, 22, FALSE))</f>
        <v>21812.34</v>
      </c>
      <c r="X29" s="556">
        <f>IF(VLOOKUP($E$29,[1]ON!$A$2:$FC$301, 23, FALSE)="",":",VLOOKUP($E$29,[1]ON!$A$2:$FC$301, 23, FALSE))</f>
        <v>21860.04</v>
      </c>
      <c r="Y29" s="556">
        <f>IF(VLOOKUP($E$29,[1]ON!$A$2:$FC$301, 24, FALSE)="",":",VLOOKUP($E$29,[1]ON!$A$2:$FC$301, 24, FALSE))</f>
        <v>21130.3</v>
      </c>
      <c r="Z29" s="556">
        <f>IF(VLOOKUP($E$29,[1]ON!$A$2:$FC$301, 25, FALSE)="",":",VLOOKUP($E$29,[1]ON!$A$2:$FC$301, 25, FALSE))</f>
        <v>22305.1</v>
      </c>
      <c r="AA29" s="556">
        <f>IF(VLOOKUP($E$29,[1]ON!$A$2:$FC$301, 26, FALSE)="",":",VLOOKUP($E$29,[1]ON!$A$2:$FC$301, 26, FALSE))</f>
        <v>22426.21</v>
      </c>
      <c r="AB29" s="556">
        <f>IF(VLOOKUP($E$29,[1]ON!$A$2:$FC$301, 27, FALSE)="",":",VLOOKUP($E$29,[1]ON!$A$2:$FC$301, 27, FALSE))</f>
        <v>23118.07</v>
      </c>
      <c r="AC29" s="556">
        <f>IF(VLOOKUP($E$29,[1]ON!$A$2:$FC$301, 28, FALSE)="",":",VLOOKUP($E$29,[1]ON!$A$2:$FC$301, 28, FALSE))</f>
        <v>23223.09</v>
      </c>
      <c r="AD29" s="556" t="str">
        <f>IF(VLOOKUP($E$29,[1]ON!$A$2:$FC$301, 29, FALSE)="",":",VLOOKUP($E$29,[1]ON!$A$2:$FC$301, 29, FALSE))</f>
        <v>:</v>
      </c>
      <c r="AE29" s="556" t="str">
        <f>IF(VLOOKUP($E$29,[1]ON!$A$2:$FC$301, 30, FALSE)="",":",VLOOKUP($E$29,[1]ON!$A$2:$FC$301, 30, FALSE))</f>
        <v>:</v>
      </c>
      <c r="AF29" s="556" t="str">
        <f>IF(VLOOKUP($E$29,[1]ON!$A$2:$FC$301, 31, FALSE)="",":",VLOOKUP($E$29,[1]ON!$A$2:$FC$301, 31, FALSE))</f>
        <v>:</v>
      </c>
    </row>
    <row r="30" spans="1:32">
      <c r="A30" s="545">
        <v>4</v>
      </c>
      <c r="B30" s="546" t="s">
        <v>42</v>
      </c>
      <c r="C30" s="547"/>
      <c r="D30" s="12" t="s">
        <v>1457</v>
      </c>
      <c r="E30" s="13">
        <v>315</v>
      </c>
      <c r="F30" s="14" t="str">
        <f>VLOOKUP($E$30,[1]ON!$A$2:$FC$301, 3, FALSE)</f>
        <v xml:space="preserve">315  Construction                                                                    </v>
      </c>
      <c r="G30" s="556">
        <f ca="1">IF(VLOOKUP($E$30,[1]ON!$A$2:$FC$301, 6, FALSE)="",":",VLOOKUP($E$30,[1]ON!$A$2:$FC$301, 6, FALSE))</f>
        <v>36059.199999999997</v>
      </c>
      <c r="H30" s="556">
        <f>IF(VLOOKUP($E$30,[1]ON!$A$2:$FC$301, 7, FALSE)="",":",VLOOKUP($E$30,[1]ON!$A$2:$FC$301, 7, FALSE))</f>
        <v>32696.01223</v>
      </c>
      <c r="I30" s="556">
        <f>IF(VLOOKUP($E$30,[1]ON!$A$2:$FC$301, 8, FALSE)="",":",VLOOKUP($E$30,[1]ON!$A$2:$FC$301, 8, FALSE))</f>
        <v>33962.623670000001</v>
      </c>
      <c r="J30" s="556">
        <f>IF(VLOOKUP($E$30,[1]ON!$A$2:$FC$301, 9, FALSE)="",":",VLOOKUP($E$30,[1]ON!$A$2:$FC$301, 9, FALSE))</f>
        <v>33850.603130000003</v>
      </c>
      <c r="K30" s="556">
        <f>IF(VLOOKUP($E$30,[1]ON!$A$2:$FC$301, 10, FALSE)="",":",VLOOKUP($E$30,[1]ON!$A$2:$FC$301, 10, FALSE))</f>
        <v>33701.76945</v>
      </c>
      <c r="L30" s="556">
        <f>IF(VLOOKUP($E$30,[1]ON!$A$2:$FC$301, 11, FALSE)="",":",VLOOKUP($E$30,[1]ON!$A$2:$FC$301, 11, FALSE))</f>
        <v>33474.456310000001</v>
      </c>
      <c r="M30" s="556">
        <f>IF(VLOOKUP($E$30,[1]ON!$A$2:$FC$301, 12, FALSE)="",":",VLOOKUP($E$30,[1]ON!$A$2:$FC$301, 12, FALSE))</f>
        <v>33053.735359999999</v>
      </c>
      <c r="N30" s="556">
        <f>IF(VLOOKUP($E$30,[1]ON!$A$2:$FC$301, 13, FALSE)="",":",VLOOKUP($E$30,[1]ON!$A$2:$FC$301, 13, FALSE))</f>
        <v>31262.894499999999</v>
      </c>
      <c r="O30" s="556">
        <f>IF(VLOOKUP($E$30,[1]ON!$A$2:$FC$301, 14, FALSE)="",":",VLOOKUP($E$30,[1]ON!$A$2:$FC$301, 14, FALSE))</f>
        <v>31830.456920000001</v>
      </c>
      <c r="P30" s="556">
        <f>IF(VLOOKUP($E$30,[1]ON!$A$2:$FC$301, 15, FALSE)="",":",VLOOKUP($E$30,[1]ON!$A$2:$FC$301, 15, FALSE))</f>
        <v>34599.926780000002</v>
      </c>
      <c r="Q30" s="556">
        <f>IF(VLOOKUP($E$30,[1]ON!$A$2:$FC$301, 16, FALSE)="",":",VLOOKUP($E$30,[1]ON!$A$2:$FC$301, 16, FALSE))</f>
        <v>36478.348769999997</v>
      </c>
      <c r="R30" s="556">
        <f>IF(VLOOKUP($E$30,[1]ON!$A$2:$FC$301, 17, FALSE)="",":",VLOOKUP($E$30,[1]ON!$A$2:$FC$301, 17, FALSE))</f>
        <v>37787.091610000003</v>
      </c>
      <c r="S30" s="556">
        <f>IF(VLOOKUP($E$30,[1]ON!$A$2:$FC$301, 18, FALSE)="",":",VLOOKUP($E$30,[1]ON!$A$2:$FC$301, 18, FALSE))</f>
        <v>39591.07243</v>
      </c>
      <c r="T30" s="556">
        <f>IF(VLOOKUP($E$30,[1]ON!$A$2:$FC$301, 19, FALSE)="",":",VLOOKUP($E$30,[1]ON!$A$2:$FC$301, 19, FALSE))</f>
        <v>40176.084369999997</v>
      </c>
      <c r="U30" s="556">
        <f>IF(VLOOKUP($E$30,[1]ON!$A$2:$FC$301, 20, FALSE)="",":",VLOOKUP($E$30,[1]ON!$A$2:$FC$301, 20, FALSE))</f>
        <v>39466.038419999997</v>
      </c>
      <c r="V30" s="556">
        <f>IF(VLOOKUP($E$30,[1]ON!$A$2:$FC$301, 21, FALSE)="",":",VLOOKUP($E$30,[1]ON!$A$2:$FC$301, 21, FALSE))</f>
        <v>39015.199999999997</v>
      </c>
      <c r="W30" s="556">
        <f>IF(VLOOKUP($E$30,[1]ON!$A$2:$FC$301, 22, FALSE)="",":",VLOOKUP($E$30,[1]ON!$A$2:$FC$301, 22, FALSE))</f>
        <v>40677.79</v>
      </c>
      <c r="X30" s="556">
        <f>IF(VLOOKUP($E$30,[1]ON!$A$2:$FC$301, 23, FALSE)="",":",VLOOKUP($E$30,[1]ON!$A$2:$FC$301, 23, FALSE))</f>
        <v>42070.576260000002</v>
      </c>
      <c r="Y30" s="556">
        <f>IF(VLOOKUP($E$30,[1]ON!$A$2:$FC$301, 24, FALSE)="",":",VLOOKUP($E$30,[1]ON!$A$2:$FC$301, 24, FALSE))</f>
        <v>41168.890769999998</v>
      </c>
      <c r="Z30" s="556">
        <f>IF(VLOOKUP($E$30,[1]ON!$A$2:$FC$301, 25, FALSE)="",":",VLOOKUP($E$30,[1]ON!$A$2:$FC$301, 25, FALSE))</f>
        <v>42180.293250000002</v>
      </c>
      <c r="AA30" s="556">
        <f>IF(VLOOKUP($E$30,[1]ON!$A$2:$FC$301, 26, FALSE)="",":",VLOOKUP($E$30,[1]ON!$A$2:$FC$301, 26, FALSE))</f>
        <v>42021.132100000003</v>
      </c>
      <c r="AB30" s="556">
        <f>IF(VLOOKUP($E$30,[1]ON!$A$2:$FC$301, 27, FALSE)="",":",VLOOKUP($E$30,[1]ON!$A$2:$FC$301, 27, FALSE))</f>
        <v>43046.880920000003</v>
      </c>
      <c r="AC30" s="556">
        <f>IF(VLOOKUP($E$30,[1]ON!$A$2:$FC$301, 28, FALSE)="",":",VLOOKUP($E$30,[1]ON!$A$2:$FC$301, 28, FALSE))</f>
        <v>44076.303019999999</v>
      </c>
      <c r="AD30" s="556" t="str">
        <f>IF(VLOOKUP($E$30,[1]ON!$A$2:$FC$301, 29, FALSE)="",":",VLOOKUP($E$30,[1]ON!$A$2:$FC$301, 29, FALSE))</f>
        <v>:</v>
      </c>
      <c r="AE30" s="556" t="str">
        <f>IF(VLOOKUP($E$30,[1]ON!$A$2:$FC$301, 30, FALSE)="",":",VLOOKUP($E$30,[1]ON!$A$2:$FC$301, 30, FALSE))</f>
        <v>:</v>
      </c>
      <c r="AF30" s="556" t="str">
        <f>IF(VLOOKUP($E$30,[1]ON!$A$2:$FC$301, 31, FALSE)="",":",VLOOKUP($E$30,[1]ON!$A$2:$FC$301, 31, FALSE))</f>
        <v>:</v>
      </c>
    </row>
    <row r="31" spans="1:32">
      <c r="A31" s="545"/>
      <c r="B31" s="546"/>
      <c r="C31" s="547"/>
      <c r="D31" s="12"/>
      <c r="E31" s="13"/>
      <c r="F31" s="14"/>
      <c r="G31" s="556"/>
      <c r="H31" s="556"/>
      <c r="I31" s="556"/>
      <c r="J31" s="556"/>
      <c r="K31" s="556"/>
      <c r="L31" s="556"/>
      <c r="M31" s="556"/>
      <c r="N31" s="556"/>
      <c r="O31" s="556"/>
      <c r="P31" s="556"/>
      <c r="Q31" s="556"/>
      <c r="R31" s="556"/>
      <c r="S31" s="556"/>
      <c r="T31" s="556"/>
      <c r="U31" s="556"/>
      <c r="V31" s="556"/>
      <c r="W31" s="556"/>
      <c r="X31" s="556"/>
      <c r="Y31" s="556"/>
      <c r="Z31" s="556"/>
      <c r="AA31" s="556"/>
      <c r="AB31" s="556"/>
      <c r="AC31" s="556"/>
      <c r="AD31" s="556"/>
      <c r="AE31" s="556"/>
      <c r="AF31" s="556"/>
    </row>
    <row r="32" spans="1:32">
      <c r="A32" s="545"/>
      <c r="B32" s="546" t="s">
        <v>1732</v>
      </c>
      <c r="C32" s="547"/>
      <c r="D32" s="12"/>
      <c r="E32" s="13"/>
      <c r="F32" s="14"/>
      <c r="G32" s="556"/>
      <c r="H32" s="556"/>
      <c r="I32" s="556"/>
      <c r="J32" s="556"/>
      <c r="K32" s="556"/>
      <c r="L32" s="556"/>
      <c r="M32" s="556"/>
      <c r="N32" s="556"/>
      <c r="O32" s="556"/>
      <c r="P32" s="556"/>
      <c r="Q32" s="556"/>
      <c r="R32" s="556"/>
      <c r="S32" s="556"/>
      <c r="T32" s="556"/>
      <c r="U32" s="556"/>
      <c r="V32" s="556"/>
      <c r="W32" s="556"/>
      <c r="X32" s="556"/>
      <c r="Y32" s="556"/>
      <c r="Z32" s="556"/>
      <c r="AA32" s="556"/>
      <c r="AB32" s="556"/>
      <c r="AC32" s="556"/>
      <c r="AD32" s="556"/>
      <c r="AE32" s="556"/>
      <c r="AF32" s="556"/>
    </row>
    <row r="33" spans="1:32">
      <c r="A33" s="545"/>
      <c r="B33" s="546" t="s">
        <v>1733</v>
      </c>
      <c r="C33" s="547"/>
      <c r="D33" s="12"/>
      <c r="E33" s="13"/>
      <c r="F33" s="14"/>
      <c r="G33" s="556"/>
      <c r="H33" s="556"/>
      <c r="I33" s="556"/>
      <c r="J33" s="556"/>
      <c r="K33" s="556"/>
      <c r="L33" s="556"/>
      <c r="M33" s="556"/>
      <c r="N33" s="556"/>
      <c r="O33" s="556"/>
      <c r="P33" s="556"/>
      <c r="Q33" s="556"/>
      <c r="R33" s="556"/>
      <c r="S33" s="556"/>
      <c r="T33" s="556"/>
      <c r="U33" s="556"/>
      <c r="V33" s="556"/>
      <c r="W33" s="556"/>
      <c r="X33" s="556"/>
      <c r="Y33" s="556"/>
      <c r="Z33" s="556"/>
      <c r="AA33" s="556"/>
      <c r="AB33" s="556"/>
      <c r="AC33" s="556"/>
      <c r="AD33" s="556"/>
      <c r="AE33" s="556"/>
      <c r="AF33" s="556"/>
    </row>
    <row r="34" spans="1:32">
      <c r="A34" s="545">
        <v>5</v>
      </c>
      <c r="B34" s="546" t="s">
        <v>1734</v>
      </c>
      <c r="C34" s="547"/>
      <c r="D34" s="12" t="s">
        <v>1457</v>
      </c>
      <c r="E34" s="13">
        <v>312</v>
      </c>
      <c r="F34" s="14" t="str">
        <f>VLOOKUP($E$34,[1]ON!$A$2:$FC$301, 3, FALSE)</f>
        <v xml:space="preserve">312  Equipment                                                                       </v>
      </c>
      <c r="G34" s="556">
        <f ca="1">IF(VLOOKUP($E$34,[1]ON!$A$2:$FC$301, 6, FALSE)="",":",VLOOKUP($E$34,[1]ON!$A$2:$FC$301, 6, FALSE))</f>
        <v>20614.8</v>
      </c>
      <c r="H34" s="556">
        <f>IF(VLOOKUP($E$34,[1]ON!$A$2:$FC$301, 7, FALSE)="",":",VLOOKUP($E$34,[1]ON!$A$2:$FC$301, 7, FALSE))</f>
        <v>19891.830000000002</v>
      </c>
      <c r="I34" s="556">
        <f>IF(VLOOKUP($E$34,[1]ON!$A$2:$FC$301, 8, FALSE)="",":",VLOOKUP($E$34,[1]ON!$A$2:$FC$301, 8, FALSE))</f>
        <v>21928.639999999999</v>
      </c>
      <c r="J34" s="556">
        <f>IF(VLOOKUP($E$34,[1]ON!$A$2:$FC$301, 9, FALSE)="",":",VLOOKUP($E$34,[1]ON!$A$2:$FC$301, 9, FALSE))</f>
        <v>22651.34</v>
      </c>
      <c r="K34" s="556">
        <f>IF(VLOOKUP($E$34,[1]ON!$A$2:$FC$301, 10, FALSE)="",":",VLOOKUP($E$34,[1]ON!$A$2:$FC$301, 10, FALSE))</f>
        <v>24557.16</v>
      </c>
      <c r="L34" s="556">
        <f>IF(VLOOKUP($E$34,[1]ON!$A$2:$FC$301, 11, FALSE)="",":",VLOOKUP($E$34,[1]ON!$A$2:$FC$301, 11, FALSE))</f>
        <v>27495.54</v>
      </c>
      <c r="M34" s="556">
        <f>IF(VLOOKUP($E$34,[1]ON!$A$2:$FC$301, 12, FALSE)="",":",VLOOKUP($E$34,[1]ON!$A$2:$FC$301, 12, FALSE))</f>
        <v>28029.57</v>
      </c>
      <c r="N34" s="556">
        <f>IF(VLOOKUP($E$34,[1]ON!$A$2:$FC$301, 13, FALSE)="",":",VLOOKUP($E$34,[1]ON!$A$2:$FC$301, 13, FALSE))</f>
        <v>26477.41</v>
      </c>
      <c r="O34" s="556">
        <f>IF(VLOOKUP($E$34,[1]ON!$A$2:$FC$301, 14, FALSE)="",":",VLOOKUP($E$34,[1]ON!$A$2:$FC$301, 14, FALSE))</f>
        <v>25307.43</v>
      </c>
      <c r="P34" s="556">
        <f>IF(VLOOKUP($E$34,[1]ON!$A$2:$FC$301, 15, FALSE)="",":",VLOOKUP($E$34,[1]ON!$A$2:$FC$301, 15, FALSE))</f>
        <v>27632.77</v>
      </c>
      <c r="Q34" s="556">
        <f>IF(VLOOKUP($E$34,[1]ON!$A$2:$FC$301, 16, FALSE)="",":",VLOOKUP($E$34,[1]ON!$A$2:$FC$301, 16, FALSE))</f>
        <v>29677.69</v>
      </c>
      <c r="R34" s="556">
        <f>IF(VLOOKUP($E$34,[1]ON!$A$2:$FC$301, 17, FALSE)="",":",VLOOKUP($E$34,[1]ON!$A$2:$FC$301, 17, FALSE))</f>
        <v>29882.75</v>
      </c>
      <c r="S34" s="556">
        <f>IF(VLOOKUP($E$34,[1]ON!$A$2:$FC$301, 18, FALSE)="",":",VLOOKUP($E$34,[1]ON!$A$2:$FC$301, 18, FALSE))</f>
        <v>32854.019999999997</v>
      </c>
      <c r="T34" s="556">
        <f>IF(VLOOKUP($E$34,[1]ON!$A$2:$FC$301, 19, FALSE)="",":",VLOOKUP($E$34,[1]ON!$A$2:$FC$301, 19, FALSE))</f>
        <v>33323.4</v>
      </c>
      <c r="U34" s="556">
        <f>IF(VLOOKUP($E$34,[1]ON!$A$2:$FC$301, 20, FALSE)="",":",VLOOKUP($E$34,[1]ON!$A$2:$FC$301, 20, FALSE))</f>
        <v>27758.92</v>
      </c>
      <c r="V34" s="556">
        <f>IF(VLOOKUP($E$34,[1]ON!$A$2:$FC$301, 21, FALSE)="",":",VLOOKUP($E$34,[1]ON!$A$2:$FC$301, 21, FALSE))</f>
        <v>27309.3</v>
      </c>
      <c r="W34" s="556">
        <f>IF(VLOOKUP($E$34,[1]ON!$A$2:$FC$301, 22, FALSE)="",":",VLOOKUP($E$34,[1]ON!$A$2:$FC$301, 22, FALSE))</f>
        <v>28274.880000000001</v>
      </c>
      <c r="X34" s="556">
        <f>IF(VLOOKUP($E$34,[1]ON!$A$2:$FC$301, 23, FALSE)="",":",VLOOKUP($E$34,[1]ON!$A$2:$FC$301, 23, FALSE))</f>
        <v>26918.37</v>
      </c>
      <c r="Y34" s="556">
        <f>IF(VLOOKUP($E$34,[1]ON!$A$2:$FC$301, 24, FALSE)="",":",VLOOKUP($E$34,[1]ON!$A$2:$FC$301, 24, FALSE))</f>
        <v>26485.05</v>
      </c>
      <c r="Z34" s="556">
        <f>IF(VLOOKUP($E$34,[1]ON!$A$2:$FC$301, 25, FALSE)="",":",VLOOKUP($E$34,[1]ON!$A$2:$FC$301, 25, FALSE))</f>
        <v>28587.64</v>
      </c>
      <c r="AA34" s="556">
        <f>IF(VLOOKUP($E$34,[1]ON!$A$2:$FC$301, 26, FALSE)="",":",VLOOKUP($E$34,[1]ON!$A$2:$FC$301, 26, FALSE))</f>
        <v>29050.59</v>
      </c>
      <c r="AB34" s="556">
        <f>IF(VLOOKUP($E$34,[1]ON!$A$2:$FC$301, 27, FALSE)="",":",VLOOKUP($E$34,[1]ON!$A$2:$FC$301, 27, FALSE))</f>
        <v>32851.79</v>
      </c>
      <c r="AC34" s="556">
        <f>IF(VLOOKUP($E$34,[1]ON!$A$2:$FC$301, 28, FALSE)="",":",VLOOKUP($E$34,[1]ON!$A$2:$FC$301, 28, FALSE))</f>
        <v>32465.8</v>
      </c>
      <c r="AD34" s="556" t="str">
        <f>IF(VLOOKUP($E$34,[1]ON!$A$2:$FC$301, 29, FALSE)="",":",VLOOKUP($E$34,[1]ON!$A$2:$FC$301, 29, FALSE))</f>
        <v>:</v>
      </c>
      <c r="AE34" s="556" t="str">
        <f>IF(VLOOKUP($E$34,[1]ON!$A$2:$FC$301, 30, FALSE)="",":",VLOOKUP($E$34,[1]ON!$A$2:$FC$301, 30, FALSE))</f>
        <v>:</v>
      </c>
      <c r="AF34" s="556" t="str">
        <f>IF(VLOOKUP($E$34,[1]ON!$A$2:$FC$301, 31, FALSE)="",":",VLOOKUP($E$34,[1]ON!$A$2:$FC$301, 31, FALSE))</f>
        <v>:</v>
      </c>
    </row>
    <row r="35" spans="1:32">
      <c r="A35" s="545"/>
      <c r="B35" s="546"/>
      <c r="C35" s="547"/>
      <c r="D35" s="12"/>
      <c r="E35" s="13"/>
      <c r="F35" s="14"/>
      <c r="G35" s="556"/>
      <c r="H35" s="556"/>
      <c r="I35" s="556"/>
      <c r="J35" s="556"/>
      <c r="K35" s="556"/>
      <c r="L35" s="556"/>
      <c r="M35" s="556"/>
      <c r="N35" s="556"/>
      <c r="O35" s="556"/>
      <c r="P35" s="556"/>
      <c r="Q35" s="556"/>
      <c r="R35" s="556"/>
      <c r="S35" s="556"/>
      <c r="T35" s="556"/>
      <c r="U35" s="556"/>
      <c r="V35" s="556"/>
      <c r="W35" s="556"/>
      <c r="X35" s="556"/>
      <c r="Y35" s="556"/>
      <c r="Z35" s="556"/>
      <c r="AA35" s="556"/>
      <c r="AB35" s="556"/>
      <c r="AC35" s="556"/>
      <c r="AD35" s="556"/>
      <c r="AE35" s="556"/>
      <c r="AF35" s="556"/>
    </row>
    <row r="36" spans="1:32">
      <c r="A36" s="545"/>
      <c r="B36" s="546" t="s">
        <v>1735</v>
      </c>
      <c r="C36" s="547"/>
      <c r="D36" s="12" t="s">
        <v>1457</v>
      </c>
      <c r="E36" s="13">
        <v>311</v>
      </c>
      <c r="F36" s="14" t="str">
        <f>VLOOKUP($E$36,[1]ON!$A$2:$FC$301, 3, FALSE)</f>
        <v xml:space="preserve">311  Agricultural, forestry and fishery products                                     </v>
      </c>
      <c r="G36" s="556">
        <f ca="1">IF(VLOOKUP($E$36,[1]ON!$A$2:$FC$301, 6, FALSE)="",":",VLOOKUP($E$36,[1]ON!$A$2:$FC$301, 6, FALSE))</f>
        <v>120.2</v>
      </c>
      <c r="H36" s="556">
        <f>IF(VLOOKUP($E$36,[1]ON!$A$2:$FC$301, 7, FALSE)="",":",VLOOKUP($E$36,[1]ON!$A$2:$FC$301, 7, FALSE))</f>
        <v>123.95</v>
      </c>
      <c r="I36" s="556">
        <f>IF(VLOOKUP($E$36,[1]ON!$A$2:$FC$301, 8, FALSE)="",":",VLOOKUP($E$36,[1]ON!$A$2:$FC$301, 8, FALSE))</f>
        <v>107.38</v>
      </c>
      <c r="J36" s="556">
        <f>IF(VLOOKUP($E$36,[1]ON!$A$2:$FC$301, 9, FALSE)="",":",VLOOKUP($E$36,[1]ON!$A$2:$FC$301, 9, FALSE))</f>
        <v>134.93</v>
      </c>
      <c r="K36" s="556">
        <f>IF(VLOOKUP($E$36,[1]ON!$A$2:$FC$301, 10, FALSE)="",":",VLOOKUP($E$36,[1]ON!$A$2:$FC$301, 10, FALSE))</f>
        <v>112.16</v>
      </c>
      <c r="L36" s="556">
        <f>IF(VLOOKUP($E$36,[1]ON!$A$2:$FC$301, 11, FALSE)="",":",VLOOKUP($E$36,[1]ON!$A$2:$FC$301, 11, FALSE))</f>
        <v>79.52</v>
      </c>
      <c r="M36" s="556">
        <f>IF(VLOOKUP($E$36,[1]ON!$A$2:$FC$301, 12, FALSE)="",":",VLOOKUP($E$36,[1]ON!$A$2:$FC$301, 12, FALSE))</f>
        <v>86.33</v>
      </c>
      <c r="N36" s="556">
        <f>IF(VLOOKUP($E$36,[1]ON!$A$2:$FC$301, 13, FALSE)="",":",VLOOKUP($E$36,[1]ON!$A$2:$FC$301, 13, FALSE))</f>
        <v>100.77</v>
      </c>
      <c r="O36" s="556">
        <f>IF(VLOOKUP($E$36,[1]ON!$A$2:$FC$301, 14, FALSE)="",":",VLOOKUP($E$36,[1]ON!$A$2:$FC$301, 14, FALSE))</f>
        <v>100.26</v>
      </c>
      <c r="P36" s="556">
        <f>IF(VLOOKUP($E$36,[1]ON!$A$2:$FC$301, 15, FALSE)="",":",VLOOKUP($E$36,[1]ON!$A$2:$FC$301, 15, FALSE))</f>
        <v>102.6</v>
      </c>
      <c r="Q36" s="556">
        <f>IF(VLOOKUP($E$36,[1]ON!$A$2:$FC$301, 16, FALSE)="",":",VLOOKUP($E$36,[1]ON!$A$2:$FC$301, 16, FALSE))</f>
        <v>128.22</v>
      </c>
      <c r="R36" s="556">
        <f>IF(VLOOKUP($E$36,[1]ON!$A$2:$FC$301, 17, FALSE)="",":",VLOOKUP($E$36,[1]ON!$A$2:$FC$301, 17, FALSE))</f>
        <v>165.95</v>
      </c>
      <c r="S36" s="556">
        <f>IF(VLOOKUP($E$36,[1]ON!$A$2:$FC$301, 18, FALSE)="",":",VLOOKUP($E$36,[1]ON!$A$2:$FC$301, 18, FALSE))</f>
        <v>189.33</v>
      </c>
      <c r="T36" s="556">
        <f>IF(VLOOKUP($E$36,[1]ON!$A$2:$FC$301, 19, FALSE)="",":",VLOOKUP($E$36,[1]ON!$A$2:$FC$301, 19, FALSE))</f>
        <v>207.53</v>
      </c>
      <c r="U36" s="556">
        <f>IF(VLOOKUP($E$36,[1]ON!$A$2:$FC$301, 20, FALSE)="",":",VLOOKUP($E$36,[1]ON!$A$2:$FC$301, 20, FALSE))</f>
        <v>162.08000000000001</v>
      </c>
      <c r="V36" s="556">
        <v>0</v>
      </c>
      <c r="W36" s="556">
        <f>IF(VLOOKUP($E$36,[1]ON!$A$2:$FC$301, 22, FALSE)="",":",VLOOKUP($E$36,[1]ON!$A$2:$FC$301, 22, FALSE))</f>
        <v>177.64</v>
      </c>
      <c r="X36" s="556">
        <f>IF(VLOOKUP($E$36,[1]ON!$A$2:$FC$301, 23, FALSE)="",":",VLOOKUP($E$36,[1]ON!$A$2:$FC$301, 23, FALSE))</f>
        <v>176.52</v>
      </c>
      <c r="Y36" s="556">
        <f>IF(VLOOKUP($E$36,[1]ON!$A$2:$FC$301, 24, FALSE)="",":",VLOOKUP($E$36,[1]ON!$A$2:$FC$301, 24, FALSE))</f>
        <v>163.61000000000001</v>
      </c>
      <c r="Z36" s="556">
        <f>IF(VLOOKUP($E$36,[1]ON!$A$2:$FC$301, 25, FALSE)="",":",VLOOKUP($E$36,[1]ON!$A$2:$FC$301, 25, FALSE))</f>
        <v>183.74</v>
      </c>
      <c r="AA36" s="556">
        <f>IF(VLOOKUP($E$36,[1]ON!$A$2:$FC$301, 26, FALSE)="",":",VLOOKUP($E$36,[1]ON!$A$2:$FC$301, 26, FALSE))</f>
        <v>194.01</v>
      </c>
      <c r="AB36" s="556">
        <f>IF(VLOOKUP($E$36,[1]ON!$A$2:$FC$301, 27, FALSE)="",":",VLOOKUP($E$36,[1]ON!$A$2:$FC$301, 27, FALSE))</f>
        <v>186.99</v>
      </c>
      <c r="AC36" s="556">
        <f>IF(VLOOKUP($E$36,[1]ON!$A$2:$FC$301, 28, FALSE)="",":",VLOOKUP($E$36,[1]ON!$A$2:$FC$301, 28, FALSE))</f>
        <v>196.15</v>
      </c>
      <c r="AD36" s="556" t="str">
        <f>IF(VLOOKUP($E$36,[1]ON!$A$2:$FC$301, 29, FALSE)="",":",VLOOKUP($E$36,[1]ON!$A$2:$FC$301, 29, FALSE))</f>
        <v>:</v>
      </c>
      <c r="AE36" s="556" t="str">
        <f>IF(VLOOKUP($E$36,[1]ON!$A$2:$FC$301, 30, FALSE)="",":",VLOOKUP($E$36,[1]ON!$A$2:$FC$301, 30, FALSE))</f>
        <v>:</v>
      </c>
      <c r="AF36" s="556" t="str">
        <f>IF(VLOOKUP($E$36,[1]ON!$A$2:$FC$301, 31, FALSE)="",":",VLOOKUP($E$36,[1]ON!$A$2:$FC$301, 31, FALSE))</f>
        <v>:</v>
      </c>
    </row>
    <row r="37" spans="1:32">
      <c r="A37" s="545"/>
      <c r="B37" s="546" t="s">
        <v>1748</v>
      </c>
      <c r="C37" s="547"/>
      <c r="D37" s="12" t="s">
        <v>1457</v>
      </c>
      <c r="E37" s="13">
        <v>318</v>
      </c>
      <c r="F37" s="14" t="str">
        <f>VLOOKUP($E$37,[1]ON!$A$2:$FC$301, 3, FALSE)</f>
        <v xml:space="preserve">318  Other products                                                                  </v>
      </c>
      <c r="G37" s="556">
        <f ca="1">IF(VLOOKUP($E$37,[1]ON!$A$2:$FC$301, 6, FALSE)="",":",VLOOKUP($E$37,[1]ON!$A$2:$FC$301, 6, FALSE))</f>
        <v>5581.4</v>
      </c>
      <c r="H37" s="556">
        <f>IF(VLOOKUP($E$37,[1]ON!$A$2:$FC$301, 7, FALSE)="",":",VLOOKUP($E$37,[1]ON!$A$2:$FC$301, 7, FALSE))</f>
        <v>6808.86</v>
      </c>
      <c r="I37" s="556">
        <f>IF(VLOOKUP($E$37,[1]ON!$A$2:$FC$301, 8, FALSE)="",":",VLOOKUP($E$37,[1]ON!$A$2:$FC$301, 8, FALSE))</f>
        <v>7283.68</v>
      </c>
      <c r="J37" s="556">
        <f>IF(VLOOKUP($E$37,[1]ON!$A$2:$FC$301, 9, FALSE)="",":",VLOOKUP($E$37,[1]ON!$A$2:$FC$301, 9, FALSE))</f>
        <v>8032.37</v>
      </c>
      <c r="K37" s="556">
        <f>IF(VLOOKUP($E$37,[1]ON!$A$2:$FC$301, 10, FALSE)="",":",VLOOKUP($E$37,[1]ON!$A$2:$FC$301, 10, FALSE))</f>
        <v>8449.94</v>
      </c>
      <c r="L37" s="556">
        <f>IF(VLOOKUP($E$37,[1]ON!$A$2:$FC$301, 11, FALSE)="",":",VLOOKUP($E$37,[1]ON!$A$2:$FC$301, 11, FALSE))</f>
        <v>8316.15</v>
      </c>
      <c r="M37" s="556">
        <f>IF(VLOOKUP($E$37,[1]ON!$A$2:$FC$301, 12, FALSE)="",":",VLOOKUP($E$37,[1]ON!$A$2:$FC$301, 12, FALSE))</f>
        <v>9180.24</v>
      </c>
      <c r="N37" s="556">
        <f>IF(VLOOKUP($E$37,[1]ON!$A$2:$FC$301, 13, FALSE)="",":",VLOOKUP($E$37,[1]ON!$A$2:$FC$301, 13, FALSE))</f>
        <v>9437.7199999999993</v>
      </c>
      <c r="O37" s="556">
        <f>IF(VLOOKUP($E$37,[1]ON!$A$2:$FC$301, 14, FALSE)="",":",VLOOKUP($E$37,[1]ON!$A$2:$FC$301, 14, FALSE))</f>
        <v>9893.61</v>
      </c>
      <c r="P37" s="556">
        <f>IF(VLOOKUP($E$37,[1]ON!$A$2:$FC$301, 15, FALSE)="",":",VLOOKUP($E$37,[1]ON!$A$2:$FC$301, 15, FALSE))</f>
        <v>10750.23</v>
      </c>
      <c r="Q37" s="556">
        <f>IF(VLOOKUP($E$37,[1]ON!$A$2:$FC$301, 16, FALSE)="",":",VLOOKUP($E$37,[1]ON!$A$2:$FC$301, 16, FALSE))</f>
        <v>11193.11</v>
      </c>
      <c r="R37" s="556">
        <f>IF(VLOOKUP($E$37,[1]ON!$A$2:$FC$301, 17, FALSE)="",":",VLOOKUP($E$37,[1]ON!$A$2:$FC$301, 17, FALSE))</f>
        <v>11204.67</v>
      </c>
      <c r="S37" s="556">
        <f>IF(VLOOKUP($E$37,[1]ON!$A$2:$FC$301, 18, FALSE)="",":",VLOOKUP($E$37,[1]ON!$A$2:$FC$301, 18, FALSE))</f>
        <v>11669.75</v>
      </c>
      <c r="T37" s="556">
        <f>IF(VLOOKUP($E$37,[1]ON!$A$2:$FC$301, 19, FALSE)="",":",VLOOKUP($E$37,[1]ON!$A$2:$FC$301, 19, FALSE))</f>
        <v>12203.55</v>
      </c>
      <c r="U37" s="556">
        <f>IF(VLOOKUP($E$37,[1]ON!$A$2:$FC$301, 20, FALSE)="",":",VLOOKUP($E$37,[1]ON!$A$2:$FC$301, 20, FALSE))</f>
        <v>12937.76</v>
      </c>
      <c r="V37" s="556">
        <f>IF(VLOOKUP($E$37,[1]ON!$A$2:$FC$301, 21, FALSE)="",":",VLOOKUP($E$37,[1]ON!$A$2:$FC$301, 21, FALSE))</f>
        <v>13179.4</v>
      </c>
      <c r="W37" s="556">
        <f>IF(VLOOKUP($E$37,[1]ON!$A$2:$FC$301, 22, FALSE)="",":",VLOOKUP($E$37,[1]ON!$A$2:$FC$301, 22, FALSE))</f>
        <v>13892.41</v>
      </c>
      <c r="X37" s="556">
        <f>IF(VLOOKUP($E$37,[1]ON!$A$2:$FC$301, 23, FALSE)="",":",VLOOKUP($E$37,[1]ON!$A$2:$FC$301, 23, FALSE))</f>
        <v>14027.02</v>
      </c>
      <c r="Y37" s="556">
        <f>IF(VLOOKUP($E$37,[1]ON!$A$2:$FC$301, 24, FALSE)="",":",VLOOKUP($E$37,[1]ON!$A$2:$FC$301, 24, FALSE))</f>
        <v>14132.68</v>
      </c>
      <c r="Z37" s="556">
        <f>IF(VLOOKUP($E$37,[1]ON!$A$2:$FC$301, 25, FALSE)="",":",VLOOKUP($E$37,[1]ON!$A$2:$FC$301, 25, FALSE))</f>
        <v>15861.77</v>
      </c>
      <c r="AA37" s="556">
        <f>IF(VLOOKUP($E$37,[1]ON!$A$2:$FC$301, 26, FALSE)="",":",VLOOKUP($E$37,[1]ON!$A$2:$FC$301, 26, FALSE))</f>
        <v>17823.13</v>
      </c>
      <c r="AB37" s="556">
        <f>IF(VLOOKUP($E$37,[1]ON!$A$2:$FC$301, 27, FALSE)="",":",VLOOKUP($E$37,[1]ON!$A$2:$FC$301, 27, FALSE))</f>
        <v>16254.04</v>
      </c>
      <c r="AC37" s="556">
        <f>IF(VLOOKUP($E$37,[1]ON!$A$2:$FC$301, 28, FALSE)="",":",VLOOKUP($E$37,[1]ON!$A$2:$FC$301, 28, FALSE))</f>
        <v>16523.990000000002</v>
      </c>
      <c r="AD37" s="556" t="str">
        <f>IF(VLOOKUP($E$37,[1]ON!$A$2:$FC$301, 29, FALSE)="",":",VLOOKUP($E$37,[1]ON!$A$2:$FC$301, 29, FALSE))</f>
        <v>:</v>
      </c>
      <c r="AE37" s="556" t="str">
        <f>IF(VLOOKUP($E$37,[1]ON!$A$2:$FC$301, 30, FALSE)="",":",VLOOKUP($E$37,[1]ON!$A$2:$FC$301, 30, FALSE))</f>
        <v>:</v>
      </c>
      <c r="AF37" s="556" t="str">
        <f>IF(VLOOKUP($E$37,[1]ON!$A$2:$FC$301, 31, FALSE)="",":",VLOOKUP($E$37,[1]ON!$A$2:$FC$301, 31, FALSE))</f>
        <v>:</v>
      </c>
    </row>
    <row r="38" spans="1:32" s="552" customFormat="1">
      <c r="A38" s="1374">
        <v>6</v>
      </c>
      <c r="B38" s="549" t="s">
        <v>1458</v>
      </c>
      <c r="C38" s="550"/>
      <c r="D38" s="540" t="s">
        <v>1457</v>
      </c>
      <c r="E38" s="541">
        <v>319</v>
      </c>
      <c r="F38" s="551" t="str">
        <f>VLOOKUP($E$38,[1]ON!$A$2:$FC$301, 3, FALSE)</f>
        <v>319 Other investment</v>
      </c>
      <c r="G38" s="557">
        <f ca="1">IF(VLOOKUP($E$38,[1]ON!$A$2:$FA$300, 6, FALSE)="",":",VLOOKUP($E$38,[1]ON!$A$2:$FA$300, 6, FALSE))</f>
        <v>7244.5</v>
      </c>
      <c r="H38" s="557">
        <f>IF(VLOOKUP($E$38,[1]ON!$A$2:$FA$300, 7, FALSE)="",":",VLOOKUP($E$38,[1]ON!$A$2:$FA$300, 7, FALSE))</f>
        <v>6936.93091</v>
      </c>
      <c r="I38" s="557">
        <f>IF(VLOOKUP($E$38,[1]ON!$A$2:$FA$300, 8, FALSE)="",":",VLOOKUP($E$38,[1]ON!$A$2:$FA$300, 8, FALSE))</f>
        <v>7387.5164599999998</v>
      </c>
      <c r="J38" s="557">
        <f>IF(VLOOKUP($E$38,[1]ON!$A$2:$FA$300, 9, FALSE)="",":",VLOOKUP($E$38,[1]ON!$A$2:$FA$300, 9, FALSE))</f>
        <v>8169.7440999999999</v>
      </c>
      <c r="K38" s="557">
        <f>IF(VLOOKUP($E$38,[1]ON!$A$2:$FA$300, 10, FALSE)="",":",VLOOKUP($E$38,[1]ON!$A$2:$FA$300, 10, FALSE))</f>
        <v>8558.3322800000005</v>
      </c>
      <c r="L38" s="557">
        <f>IF(VLOOKUP($E$38,[1]ON!$A$2:$FA$300, 11, FALSE)="",":",VLOOKUP($E$38,[1]ON!$A$2:$FA$300, 11, FALSE))</f>
        <v>8390.0885500000004</v>
      </c>
      <c r="M38" s="557">
        <f>IF(VLOOKUP($E$38,[1]ON!$A$2:$FA$300, 12, FALSE)="",":",VLOOKUP($E$38,[1]ON!$A$2:$FA$300, 12, FALSE))</f>
        <v>9260.1787999999997</v>
      </c>
      <c r="N38" s="557">
        <f>IF(VLOOKUP($E$38,[1]ON!$A$2:$FA$300, 13, FALSE)="",":",VLOOKUP($E$38,[1]ON!$A$2:$FA$300, 13, FALSE))</f>
        <v>9533.7724500000004</v>
      </c>
      <c r="O38" s="557">
        <f>IF(VLOOKUP($E$38,[1]ON!$A$2:$FA$300, 14, FALSE)="",":",VLOOKUP($E$38,[1]ON!$A$2:$FA$300, 14, FALSE))</f>
        <v>9988.5753000000004</v>
      </c>
      <c r="P38" s="557">
        <f>IF(VLOOKUP($E$38,[1]ON!$A$2:$FA$300, 15, FALSE)="",":",VLOOKUP($E$38,[1]ON!$A$2:$FA$300, 15, FALSE))</f>
        <v>10846.063910000001</v>
      </c>
      <c r="Q38" s="557">
        <f>IF(VLOOKUP($E$38,[1]ON!$A$2:$FA$300, 16, FALSE)="",":",VLOOKUP($E$38,[1]ON!$A$2:$FA$300, 16, FALSE))</f>
        <v>11320.01324</v>
      </c>
      <c r="R38" s="557">
        <f>IF(VLOOKUP($E$38,[1]ON!$A$2:$FA$300, 17, FALSE)="",":",VLOOKUP($E$38,[1]ON!$A$2:$FA$300, 17, FALSE))</f>
        <v>11375.192789999999</v>
      </c>
      <c r="S38" s="557">
        <f>IF(VLOOKUP($E$38,[1]ON!$A$2:$FA$300, 18, FALSE)="",":",VLOOKUP($E$38,[1]ON!$A$2:$FA$300, 18, FALSE))</f>
        <v>11866.76158</v>
      </c>
      <c r="T38" s="557">
        <f>IF(VLOOKUP($E$38,[1]ON!$A$2:$FA$300, 19, FALSE)="",":",VLOOKUP($E$38,[1]ON!$A$2:$FA$300, 19, FALSE))</f>
        <v>12420.159970000001</v>
      </c>
      <c r="U38" s="557">
        <f>IF(VLOOKUP($E$38,[1]ON!$A$2:$FA$300, 20, FALSE)="",":",VLOOKUP($E$38,[1]ON!$A$2:$FA$300, 20, FALSE))</f>
        <v>13100.421560000001</v>
      </c>
      <c r="V38" s="557">
        <f>IF(VLOOKUP($E$38,[1]ON!$A$2:$FA$300, 21, FALSE)="",":",VLOOKUP($E$38,[1]ON!$A$2:$FA$300, 21, FALSE))</f>
        <v>13336.5</v>
      </c>
      <c r="W38" s="557">
        <f>IF(VLOOKUP($E$38,[1]ON!$A$2:$FA$300, 22, FALSE)="",":",VLOOKUP($E$38,[1]ON!$A$2:$FA$300, 22, FALSE))</f>
        <v>14070.05</v>
      </c>
      <c r="X38" s="557">
        <f>IF(VLOOKUP($E$38,[1]ON!$A$2:$FA$300, 23, FALSE)="",":",VLOOKUP($E$38,[1]ON!$A$2:$FA$300, 23, FALSE))</f>
        <v>14203.46521</v>
      </c>
      <c r="Y38" s="557">
        <f>IF(VLOOKUP($E$38,[1]ON!$A$2:$FA$300, 24, FALSE)="",":",VLOOKUP($E$38,[1]ON!$A$2:$FA$300, 24, FALSE))</f>
        <v>14295.12075</v>
      </c>
      <c r="Z38" s="557">
        <f>IF(VLOOKUP($E$38,[1]ON!$A$2:$FA$300, 25, FALSE)="",":",VLOOKUP($E$38,[1]ON!$A$2:$FA$300, 25, FALSE))</f>
        <v>16044.20434</v>
      </c>
      <c r="AA38" s="557">
        <f>IF(VLOOKUP($E$38,[1]ON!$A$2:$FA$300, 26, FALSE)="",":",VLOOKUP($E$38,[1]ON!$A$2:$FA$300, 26, FALSE))</f>
        <v>18015.858520000002</v>
      </c>
      <c r="AB38" s="557">
        <f>IF(VLOOKUP($E$38,[1]ON!$A$2:$FA$300, 27, FALSE)="",":",VLOOKUP($E$38,[1]ON!$A$2:$FA$300, 27, FALSE))</f>
        <v>16438.815419999999</v>
      </c>
      <c r="AC38" s="557">
        <f>IF(VLOOKUP($E$38,[1]ON!$A$2:$FA$300, 28, FALSE)="",":",VLOOKUP($E$38,[1]ON!$A$2:$FA$300, 28, FALSE))</f>
        <v>16717.245180000002</v>
      </c>
      <c r="AD38" s="557" t="str">
        <f>IF(VLOOKUP($E$38,[1]ON!$A$2:$FA$300, 29, FALSE)="",":",VLOOKUP($E$38,[1]ON!$A$2:$FA$300, 29, FALSE))</f>
        <v>:</v>
      </c>
      <c r="AE38" s="557" t="str">
        <f>IF(VLOOKUP($E$38,[1]ON!$A$2:$FA$300, 30, FALSE)="",":",VLOOKUP($E$38,[1]ON!$A$2:$FA$300, 30, FALSE))</f>
        <v>:</v>
      </c>
      <c r="AF38" s="557" t="str">
        <f>IF(VLOOKUP($E$38,[1]ON!$A$2:$FA$300, 31, FALSE)="",":",VLOOKUP($E$38,[1]ON!$A$2:$FA$300, 31, FALSE))</f>
        <v>:</v>
      </c>
    </row>
    <row r="39" spans="1:32">
      <c r="A39" s="545"/>
      <c r="B39" s="546"/>
      <c r="C39" s="547"/>
      <c r="D39" s="12"/>
      <c r="E39" s="13"/>
      <c r="F39" s="14"/>
      <c r="G39" s="556"/>
      <c r="H39" s="556"/>
      <c r="I39" s="556"/>
      <c r="J39" s="556"/>
      <c r="K39" s="556"/>
      <c r="L39" s="556"/>
      <c r="M39" s="556"/>
      <c r="N39" s="556"/>
      <c r="O39" s="556"/>
      <c r="P39" s="556"/>
      <c r="Q39" s="556"/>
      <c r="R39" s="556"/>
      <c r="S39" s="556"/>
      <c r="T39" s="556"/>
      <c r="U39" s="556"/>
      <c r="V39" s="556"/>
      <c r="W39" s="556"/>
      <c r="X39" s="556"/>
      <c r="Y39" s="556"/>
      <c r="Z39" s="556"/>
      <c r="AA39" s="556"/>
      <c r="AB39" s="556"/>
      <c r="AC39" s="556"/>
      <c r="AD39" s="556"/>
      <c r="AE39" s="556"/>
      <c r="AF39" s="556"/>
    </row>
    <row r="40" spans="1:32" s="221" customFormat="1">
      <c r="A40" s="545">
        <v>3</v>
      </c>
      <c r="B40" s="546" t="s">
        <v>2048</v>
      </c>
      <c r="C40" s="1288" t="s">
        <v>1896</v>
      </c>
      <c r="D40" s="1289" t="s">
        <v>1457</v>
      </c>
      <c r="E40" s="1290">
        <v>310</v>
      </c>
      <c r="F40" s="14" t="str">
        <f>VLOOKUP($E$40,[1]ON!$A$2:$FC$301, 3, FALSE)</f>
        <v xml:space="preserve">310  Gross fixed capital formation                                                   </v>
      </c>
      <c r="G40" s="556">
        <f ca="1">IF(VLOOKUP($E$40,[1]ON!$A$2:$FC$301, 6, FALSE)="",":",VLOOKUP($E$40,[1]ON!$A$2:$FC$301, 6, FALSE))</f>
        <v>62320.1</v>
      </c>
      <c r="H40" s="556">
        <f>IF(VLOOKUP($E$40,[1]ON!$A$2:$FC$301, 7, FALSE)="",":",VLOOKUP($E$40,[1]ON!$A$2:$FC$301, 7, FALSE))</f>
        <v>58605.17</v>
      </c>
      <c r="I40" s="556">
        <f>IF(VLOOKUP($E$40,[1]ON!$A$2:$FC$301, 8, FALSE)="",":",VLOOKUP($E$40,[1]ON!$A$2:$FC$301, 8, FALSE))</f>
        <v>62498.79</v>
      </c>
      <c r="J40" s="556">
        <f>IF(VLOOKUP($E$40,[1]ON!$A$2:$FC$301, 9, FALSE)="",":",VLOOKUP($E$40,[1]ON!$A$2:$FC$301, 9, FALSE))</f>
        <v>64033.51</v>
      </c>
      <c r="K40" s="556">
        <f>IF(VLOOKUP($E$40,[1]ON!$A$2:$FC$301, 10, FALSE)="",":",VLOOKUP($E$40,[1]ON!$A$2:$FC$301, 10, FALSE))</f>
        <v>66448.98</v>
      </c>
      <c r="L40" s="556">
        <f>IF(VLOOKUP($E$40,[1]ON!$A$2:$FC$301, 11, FALSE)="",":",VLOOKUP($E$40,[1]ON!$A$2:$FC$301, 11, FALSE))</f>
        <v>69348.61</v>
      </c>
      <c r="M40" s="556">
        <f>IF(VLOOKUP($E$40,[1]ON!$A$2:$FC$301, 12, FALSE)="",":",VLOOKUP($E$40,[1]ON!$A$2:$FC$301, 12, FALSE))</f>
        <v>70478.97</v>
      </c>
      <c r="N40" s="556">
        <f>IF(VLOOKUP($E$40,[1]ON!$A$2:$FC$301, 13, FALSE)="",":",VLOOKUP($E$40,[1]ON!$A$2:$FC$301, 13, FALSE))</f>
        <v>67439.03</v>
      </c>
      <c r="O40" s="556">
        <f>IF(VLOOKUP($E$40,[1]ON!$A$2:$FC$301, 14, FALSE)="",":",VLOOKUP($E$40,[1]ON!$A$2:$FC$301, 14, FALSE))</f>
        <v>67167.02</v>
      </c>
      <c r="P40" s="556">
        <f>IF(VLOOKUP($E$40,[1]ON!$A$2:$FC$301, 15, FALSE)="",":",VLOOKUP($E$40,[1]ON!$A$2:$FC$301, 15, FALSE))</f>
        <v>73133.009999999995</v>
      </c>
      <c r="Q40" s="556">
        <f>IF(VLOOKUP($E$40,[1]ON!$A$2:$FC$301, 16, FALSE)="",":",VLOOKUP($E$40,[1]ON!$A$2:$FC$301, 16, FALSE))</f>
        <v>77572.509999999995</v>
      </c>
      <c r="R40" s="556">
        <f>IF(VLOOKUP($E$40,[1]ON!$A$2:$FC$301, 17, FALSE)="",":",VLOOKUP($E$40,[1]ON!$A$2:$FC$301, 17, FALSE))</f>
        <v>79090.570000000007</v>
      </c>
      <c r="S40" s="556">
        <f>IF(VLOOKUP($E$40,[1]ON!$A$2:$FC$301, 18, FALSE)="",":",VLOOKUP($E$40,[1]ON!$A$2:$FC$301, 18, FALSE))</f>
        <v>84433.11</v>
      </c>
      <c r="T40" s="556">
        <f>IF(VLOOKUP($E$40,[1]ON!$A$2:$FC$301, 19, FALSE)="",":",VLOOKUP($E$40,[1]ON!$A$2:$FC$301, 19, FALSE))</f>
        <v>86030.96</v>
      </c>
      <c r="U40" s="556">
        <f>IF(VLOOKUP($E$40,[1]ON!$A$2:$FC$301, 20, FALSE)="",":",VLOOKUP($E$40,[1]ON!$A$2:$FC$301, 20, FALSE))</f>
        <v>80326.87</v>
      </c>
      <c r="V40" s="556">
        <f>IF(VLOOKUP($E$40,[1]ON!$A$2:$FC$301, 21, FALSE)="",":",VLOOKUP($E$40,[1]ON!$A$2:$FC$301, 21, FALSE))</f>
        <v>79660.899999999994</v>
      </c>
      <c r="W40" s="556">
        <f>IF(VLOOKUP($E$40,[1]ON!$A$2:$FC$301, 22, FALSE)="",":",VLOOKUP($E$40,[1]ON!$A$2:$FC$301, 22, FALSE))</f>
        <v>83022.02</v>
      </c>
      <c r="X40" s="556">
        <f>IF(VLOOKUP($E$40,[1]ON!$A$2:$FC$301, 23, FALSE)="",":",VLOOKUP($E$40,[1]ON!$A$2:$FC$301, 23, FALSE))</f>
        <v>83185.38</v>
      </c>
      <c r="Y40" s="556">
        <f>IF(VLOOKUP($E$40,[1]ON!$A$2:$FC$301, 24, FALSE)="",":",VLOOKUP($E$40,[1]ON!$A$2:$FC$301, 24, FALSE))</f>
        <v>81946.83</v>
      </c>
      <c r="Z40" s="556">
        <f>IF(VLOOKUP($E$40,[1]ON!$A$2:$FC$301, 25, FALSE)="",":",VLOOKUP($E$40,[1]ON!$A$2:$FC$301, 25, FALSE))</f>
        <v>86833.31</v>
      </c>
      <c r="AA40" s="556">
        <f>IF(VLOOKUP($E$40,[1]ON!$A$2:$FC$301, 26, FALSE)="",":",VLOOKUP($E$40,[1]ON!$A$2:$FC$301, 26, FALSE))</f>
        <v>89157.36</v>
      </c>
      <c r="AB40" s="556">
        <f>IF(VLOOKUP($E$40,[1]ON!$A$2:$FC$301, 27, FALSE)="",":",VLOOKUP($E$40,[1]ON!$A$2:$FC$301, 27, FALSE))</f>
        <v>92368.99</v>
      </c>
      <c r="AC40" s="556">
        <f>IF(VLOOKUP($E$40,[1]ON!$A$2:$FC$301, 28, FALSE)="",":",VLOOKUP($E$40,[1]ON!$A$2:$FC$301, 28, FALSE))</f>
        <v>93282.61</v>
      </c>
      <c r="AD40" s="556" t="str">
        <f>IF(VLOOKUP($E$40,[1]ON!$A$2:$FC$301, 29, FALSE)="",":",VLOOKUP($E$40,[1]ON!$A$2:$FC$301, 29, FALSE))</f>
        <v>:</v>
      </c>
      <c r="AE40" s="556" t="str">
        <f>IF(VLOOKUP($E$40,[1]ON!$A$2:$FC$301, 30, FALSE)="",":",VLOOKUP($E$40,[1]ON!$A$2:$FC$301, 30, FALSE))</f>
        <v>:</v>
      </c>
      <c r="AF40" s="556" t="str">
        <f>IF(VLOOKUP($E$40,[1]ON!$A$2:$FC$301, 31, FALSE)="",":",VLOOKUP($E$40,[1]ON!$A$2:$FC$301, 31, FALSE))</f>
        <v>:</v>
      </c>
    </row>
    <row r="41" spans="1:32">
      <c r="A41" s="545">
        <v>7</v>
      </c>
      <c r="B41" s="546" t="s">
        <v>1749</v>
      </c>
      <c r="C41" s="547" t="s">
        <v>1085</v>
      </c>
      <c r="D41" s="12" t="s">
        <v>1457</v>
      </c>
      <c r="E41" s="13">
        <v>320</v>
      </c>
      <c r="F41" s="14" t="str">
        <f>VLOOKUP($E$41,[1]ON!$A$2:$FC$301, 3, FALSE)</f>
        <v xml:space="preserve">320  Changes in inventories and net acquisition of valuables                         </v>
      </c>
      <c r="G41" s="556">
        <f ca="1">IF(VLOOKUP($E$41,[1]ON!$A$2:$FC$301, 6, FALSE)="",":",VLOOKUP($E$41,[1]ON!$A$2:$FC$301, 6, FALSE))</f>
        <v>2106</v>
      </c>
      <c r="H41" s="556">
        <f>IF(VLOOKUP($E$41,[1]ON!$A$2:$FC$301, 7, FALSE)="",":",VLOOKUP($E$41,[1]ON!$A$2:$FC$301, 7, FALSE))</f>
        <v>-20293.560000000001</v>
      </c>
      <c r="I41" s="556">
        <f>IF(VLOOKUP($E$41,[1]ON!$A$2:$FC$301, 8, FALSE)="",":",VLOOKUP($E$41,[1]ON!$A$2:$FC$301, 8, FALSE))</f>
        <v>-17282.03</v>
      </c>
      <c r="J41" s="556">
        <f>IF(VLOOKUP($E$41,[1]ON!$A$2:$FC$301, 9, FALSE)="",":",VLOOKUP($E$41,[1]ON!$A$2:$FC$301, 9, FALSE))</f>
        <v>-18921.099999999999</v>
      </c>
      <c r="K41" s="556">
        <f>IF(VLOOKUP($E$41,[1]ON!$A$2:$FC$301, 10, FALSE)="",":",VLOOKUP($E$41,[1]ON!$A$2:$FC$301, 10, FALSE))</f>
        <v>-17760.259999999998</v>
      </c>
      <c r="L41" s="556">
        <f>IF(VLOOKUP($E$41,[1]ON!$A$2:$FC$301, 11, FALSE)="",":",VLOOKUP($E$41,[1]ON!$A$2:$FC$301, 11, FALSE))</f>
        <v>-11127.69</v>
      </c>
      <c r="M41" s="556">
        <f>IF(VLOOKUP($E$41,[1]ON!$A$2:$FC$301, 12, FALSE)="",":",VLOOKUP($E$41,[1]ON!$A$2:$FC$301, 12, FALSE))</f>
        <v>-25930.13</v>
      </c>
      <c r="N41" s="556">
        <f>IF(VLOOKUP($E$41,[1]ON!$A$2:$FC$301, 13, FALSE)="",":",VLOOKUP($E$41,[1]ON!$A$2:$FC$301, 13, FALSE))</f>
        <v>-25984.32</v>
      </c>
      <c r="O41" s="556">
        <f>IF(VLOOKUP($E$41,[1]ON!$A$2:$FC$301, 14, FALSE)="",":",VLOOKUP($E$41,[1]ON!$A$2:$FC$301, 14, FALSE))</f>
        <v>-23801.33</v>
      </c>
      <c r="P41" s="556">
        <f>IF(VLOOKUP($E$41,[1]ON!$A$2:$FC$301, 15, FALSE)="",":",VLOOKUP($E$41,[1]ON!$A$2:$FC$301, 15, FALSE))</f>
        <v>-17973.349999999999</v>
      </c>
      <c r="Q41" s="556">
        <f>IF(VLOOKUP($E$41,[1]ON!$A$2:$FC$301, 16, FALSE)="",":",VLOOKUP($E$41,[1]ON!$A$2:$FC$301, 16, FALSE))</f>
        <v>-9311.68</v>
      </c>
      <c r="R41" s="556">
        <f>IF(VLOOKUP($E$41,[1]ON!$A$2:$FC$301, 17, FALSE)="",":",VLOOKUP($E$41,[1]ON!$A$2:$FC$301, 17, FALSE))</f>
        <v>-2386.63</v>
      </c>
      <c r="S41" s="556">
        <f>IF(VLOOKUP($E$41,[1]ON!$A$2:$FC$301, 18, FALSE)="",":",VLOOKUP($E$41,[1]ON!$A$2:$FC$301, 18, FALSE))</f>
        <v>5560.4</v>
      </c>
      <c r="T41" s="556">
        <f>IF(VLOOKUP($E$41,[1]ON!$A$2:$FC$301, 19, FALSE)="",":",VLOOKUP($E$41,[1]ON!$A$2:$FC$301, 19, FALSE))</f>
        <v>8352.1</v>
      </c>
      <c r="U41" s="556">
        <f>IF(VLOOKUP($E$41,[1]ON!$A$2:$FC$301, 20, FALSE)="",":",VLOOKUP($E$41,[1]ON!$A$2:$FC$301, 20, FALSE))</f>
        <v>-6483.05</v>
      </c>
      <c r="V41" s="556">
        <f>IF(VLOOKUP($E$41,[1]ON!$A$2:$FC$301, 21, FALSE)="",":",VLOOKUP($E$41,[1]ON!$A$2:$FC$301, 21, FALSE))</f>
        <v>3187.9</v>
      </c>
      <c r="W41" s="556">
        <f>IF(VLOOKUP($E$41,[1]ON!$A$2:$FC$301, 22, FALSE)="",":",VLOOKUP($E$41,[1]ON!$A$2:$FC$301, 22, FALSE))</f>
        <v>15639.18</v>
      </c>
      <c r="X41" s="556">
        <f>IF(VLOOKUP($E$41,[1]ON!$A$2:$FC$301, 23, FALSE)="",":",VLOOKUP($E$41,[1]ON!$A$2:$FC$301, 23, FALSE))</f>
        <v>4580.68</v>
      </c>
      <c r="Y41" s="556">
        <f>IF(VLOOKUP($E$41,[1]ON!$A$2:$FC$301, 24, FALSE)="",":",VLOOKUP($E$41,[1]ON!$A$2:$FC$301, 24, FALSE))</f>
        <v>-2123.2399999999998</v>
      </c>
      <c r="Z41" s="556">
        <f>IF(VLOOKUP($E$41,[1]ON!$A$2:$FC$301, 25, FALSE)="",":",VLOOKUP($E$41,[1]ON!$A$2:$FC$301, 25, FALSE))</f>
        <v>3455.78</v>
      </c>
      <c r="AA41" s="556">
        <f>IF(VLOOKUP($E$41,[1]ON!$A$2:$FC$301, 26, FALSE)="",":",VLOOKUP($E$41,[1]ON!$A$2:$FC$301, 26, FALSE))</f>
        <v>6794.85</v>
      </c>
      <c r="AB41" s="556">
        <f>IF(VLOOKUP($E$41,[1]ON!$A$2:$FC$301, 27, FALSE)="",":",VLOOKUP($E$41,[1]ON!$A$2:$FC$301, 27, FALSE))</f>
        <v>11017.52</v>
      </c>
      <c r="AC41" s="556" t="str">
        <f>IF(VLOOKUP($E$41,[1]ON!$A$2:$FC$301, 28, FALSE)="",":",VLOOKUP($E$41,[1]ON!$A$2:$FC$301, 28, FALSE))</f>
        <v>:</v>
      </c>
      <c r="AD41" s="556" t="str">
        <f>IF(VLOOKUP($E$41,[1]ON!$A$2:$FC$301, 29, FALSE)="",":",VLOOKUP($E$41,[1]ON!$A$2:$FC$301, 29, FALSE))</f>
        <v>:</v>
      </c>
      <c r="AE41" s="556" t="str">
        <f>IF(VLOOKUP($E$41,[1]ON!$A$2:$FC$301, 30, FALSE)="",":",VLOOKUP($E$41,[1]ON!$A$2:$FC$301, 30, FALSE))</f>
        <v>:</v>
      </c>
      <c r="AF41" s="556" t="str">
        <f>IF(VLOOKUP($E$41,[1]ON!$A$2:$FC$301, 31, FALSE)="",":",VLOOKUP($E$41,[1]ON!$A$2:$FC$301, 31, FALSE))</f>
        <v>:</v>
      </c>
    </row>
    <row r="42" spans="1:32">
      <c r="A42" s="545"/>
      <c r="B42" s="546"/>
      <c r="C42" s="547"/>
      <c r="D42" s="12"/>
      <c r="E42" s="13"/>
      <c r="F42" s="14"/>
      <c r="G42" s="556"/>
      <c r="H42" s="556"/>
      <c r="I42" s="556"/>
      <c r="J42" s="556"/>
      <c r="K42" s="556"/>
      <c r="L42" s="556"/>
      <c r="M42" s="556"/>
      <c r="N42" s="556"/>
      <c r="O42" s="556"/>
      <c r="P42" s="556"/>
      <c r="Q42" s="556"/>
      <c r="R42" s="556"/>
      <c r="S42" s="556"/>
      <c r="T42" s="556"/>
      <c r="U42" s="556"/>
      <c r="V42" s="556"/>
      <c r="W42" s="556"/>
      <c r="X42" s="556"/>
      <c r="Y42" s="556"/>
      <c r="Z42" s="556"/>
      <c r="AA42" s="556"/>
      <c r="AB42" s="556"/>
      <c r="AC42" s="556"/>
      <c r="AD42" s="556"/>
      <c r="AE42" s="556"/>
      <c r="AF42" s="556"/>
    </row>
    <row r="43" spans="1:32">
      <c r="A43" s="1374"/>
      <c r="B43" s="546"/>
      <c r="C43" s="547"/>
      <c r="D43" s="12" t="s">
        <v>1457</v>
      </c>
      <c r="E43" s="13">
        <v>401</v>
      </c>
      <c r="F43" s="14" t="str">
        <f>VLOOKUP($E$43,[1]ON!$A$2:$FC$301, 3, FALSE)</f>
        <v>401  Domestic demand excluding change in inventories and net acquisition of valuables</v>
      </c>
      <c r="G43" s="556">
        <f>IF(VLOOKUP($E$43,[1]ON!$A$2:$FC$301, 6, FALSE)="",":",VLOOKUP($E$43,[1]ON!$A$2:$FC$301, 6, FALSE))</f>
        <v>274611.00578000001</v>
      </c>
      <c r="H43" s="556">
        <f>IF(VLOOKUP($E$43,[1]ON!$A$2:$FC$301, 7, FALSE)="",":",VLOOKUP($E$43,[1]ON!$A$2:$FC$301, 7, FALSE))</f>
        <v>279335.42229000002</v>
      </c>
      <c r="I43" s="556">
        <f>IF(VLOOKUP($E$43,[1]ON!$A$2:$FC$301, 8, FALSE)="",":",VLOOKUP($E$43,[1]ON!$A$2:$FC$301, 8, FALSE))</f>
        <v>286601.15447000001</v>
      </c>
      <c r="J43" s="556">
        <f>IF(VLOOKUP($E$43,[1]ON!$A$2:$FC$301, 9, FALSE)="",":",VLOOKUP($E$43,[1]ON!$A$2:$FC$301, 9, FALSE))</f>
        <v>293680.36206000001</v>
      </c>
      <c r="K43" s="556">
        <f>IF(VLOOKUP($E$43,[1]ON!$A$2:$FC$301, 10, FALSE)="",":",VLOOKUP($E$43,[1]ON!$A$2:$FC$301, 10, FALSE))</f>
        <v>300644.50001999998</v>
      </c>
      <c r="L43" s="556">
        <f>IF(VLOOKUP($E$43,[1]ON!$A$2:$FC$301, 11, FALSE)="",":",VLOOKUP($E$43,[1]ON!$A$2:$FC$301, 11, FALSE))</f>
        <v>310447.41067999997</v>
      </c>
      <c r="M43" s="556">
        <f>IF(VLOOKUP($E$43,[1]ON!$A$2:$FC$301, 12, FALSE)="",":",VLOOKUP($E$43,[1]ON!$A$2:$FC$301, 12, FALSE))</f>
        <v>314036.70165</v>
      </c>
      <c r="N43" s="556">
        <f>IF(VLOOKUP($E$43,[1]ON!$A$2:$FC$301, 13, FALSE)="",":",VLOOKUP($E$43,[1]ON!$A$2:$FC$301, 13, FALSE))</f>
        <v>313418.72444999998</v>
      </c>
      <c r="O43" s="556">
        <f>IF(VLOOKUP($E$43,[1]ON!$A$2:$FC$301, 14, FALSE)="",":",VLOOKUP($E$43,[1]ON!$A$2:$FC$301, 14, FALSE))</f>
        <v>315047.48813999997</v>
      </c>
      <c r="P43" s="556">
        <f>IF(VLOOKUP($E$43,[1]ON!$A$2:$FC$301, 15, FALSE)="",":",VLOOKUP($E$43,[1]ON!$A$2:$FC$301, 15, FALSE))</f>
        <v>324983.82046999998</v>
      </c>
      <c r="Q43" s="556">
        <f>IF(VLOOKUP($E$43,[1]ON!$A$2:$FC$301, 16, FALSE)="",":",VLOOKUP($E$43,[1]ON!$A$2:$FC$301, 16, FALSE))</f>
        <v>332104.3247</v>
      </c>
      <c r="R43" s="556">
        <f>IF(VLOOKUP($E$43,[1]ON!$A$2:$FC$301, 17, FALSE)="",":",VLOOKUP($E$43,[1]ON!$A$2:$FC$301, 17, FALSE))</f>
        <v>336963.34538999997</v>
      </c>
      <c r="S43" s="556">
        <f>IF(VLOOKUP($E$43,[1]ON!$A$2:$FC$301, 18, FALSE)="",":",VLOOKUP($E$43,[1]ON!$A$2:$FC$301, 18, FALSE))</f>
        <v>347157.59299999999</v>
      </c>
      <c r="T43" s="556">
        <f>IF(VLOOKUP($E$43,[1]ON!$A$2:$FC$301, 19, FALSE)="",":",VLOOKUP($E$43,[1]ON!$A$2:$FC$301, 19, FALSE))</f>
        <v>354130.07941000001</v>
      </c>
      <c r="U43" s="556">
        <f>IF(VLOOKUP($E$43,[1]ON!$A$2:$FC$301, 20, FALSE)="",":",VLOOKUP($E$43,[1]ON!$A$2:$FC$301, 20, FALSE))</f>
        <v>350199.91751</v>
      </c>
      <c r="V43" s="556">
        <f>IF(VLOOKUP($E$43,[1]ON!$A$2:$FC$301, 21, FALSE)="",":",VLOOKUP($E$43,[1]ON!$A$2:$FC$301, 21, FALSE))</f>
        <v>355352.7</v>
      </c>
      <c r="W43" s="556">
        <f>IF(VLOOKUP($E$43,[1]ON!$A$2:$FC$301, 22, FALSE)="",":",VLOOKUP($E$43,[1]ON!$A$2:$FC$301, 22, FALSE))</f>
        <v>360427.56</v>
      </c>
      <c r="X43" s="556">
        <f>IF(VLOOKUP($E$43,[1]ON!$A$2:$FC$301, 23, FALSE)="",":",VLOOKUP($E$43,[1]ON!$A$2:$FC$301, 23, FALSE))</f>
        <v>362933.87182</v>
      </c>
      <c r="Y43" s="556">
        <f>IF(VLOOKUP($E$43,[1]ON!$A$2:$FC$301, 24, FALSE)="",":",VLOOKUP($E$43,[1]ON!$A$2:$FC$301, 24, FALSE))</f>
        <v>363399.65220999997</v>
      </c>
      <c r="Z43" s="556">
        <f>IF(VLOOKUP($E$43,[1]ON!$A$2:$FC$301, 25, FALSE)="",":",VLOOKUP($E$43,[1]ON!$A$2:$FC$301, 25, FALSE))</f>
        <v>370029.20895</v>
      </c>
      <c r="AA43" s="556">
        <f>IF(VLOOKUP($E$43,[1]ON!$A$2:$FC$301, 26, FALSE)="",":",VLOOKUP($E$43,[1]ON!$A$2:$FC$301, 26, FALSE))</f>
        <v>374491.72353000002</v>
      </c>
      <c r="AB43" s="556">
        <f>IF(VLOOKUP($E$43,[1]ON!$A$2:$FC$301, 27, FALSE)="",":",VLOOKUP($E$43,[1]ON!$A$2:$FC$301, 27, FALSE))</f>
        <v>381383.08932000003</v>
      </c>
      <c r="AC43" s="556">
        <f>IF(VLOOKUP($E$43,[1]ON!$A$2:$FC$301, 28, FALSE)="",":",VLOOKUP($E$43,[1]ON!$A$2:$FC$301, 28, FALSE))</f>
        <v>385491.99209000001</v>
      </c>
      <c r="AD43" s="556" t="str">
        <f>IF(VLOOKUP($E$43,[1]ON!$A$2:$FC$301, 29, FALSE)="",":",VLOOKUP($E$43,[1]ON!$A$2:$FC$301, 29, FALSE))</f>
        <v>:</v>
      </c>
      <c r="AE43" s="556" t="str">
        <f>IF(VLOOKUP($E$43,[1]ON!$A$2:$FC$301, 30, FALSE)="",":",VLOOKUP($E$43,[1]ON!$A$2:$FC$301, 30, FALSE))</f>
        <v>:</v>
      </c>
      <c r="AF43" s="556" t="str">
        <f>IF(VLOOKUP($E$43,[1]ON!$A$2:$FC$301, 31, FALSE)="",":",VLOOKUP($E$43,[1]ON!$A$2:$FC$301, 31, FALSE))</f>
        <v>:</v>
      </c>
    </row>
    <row r="44" spans="1:32">
      <c r="A44" s="545"/>
      <c r="B44" s="546"/>
      <c r="C44" s="547"/>
      <c r="D44" s="12" t="s">
        <v>1457</v>
      </c>
      <c r="E44" s="13">
        <v>402</v>
      </c>
      <c r="F44" s="14" t="str">
        <f>VLOOKUP($E$44,[1]ON!$A$2:$FC$301, 3, FALSE)</f>
        <v>402  Domestic demand including change in inventories and net acquisition of valuables</v>
      </c>
      <c r="G44" s="556">
        <f ca="1">IF(VLOOKUP($E$44,[1]ON!$A$2:$FC$301, 6, FALSE)="",":",VLOOKUP($E$44,[1]ON!$A$2:$FC$301, 6, FALSE))</f>
        <v>289229.09999999998</v>
      </c>
      <c r="H44" s="556">
        <f>IF(VLOOKUP($E$44,[1]ON!$A$2:$FC$301, 7, FALSE)="",":",VLOOKUP($E$44,[1]ON!$A$2:$FC$301, 7, FALSE))</f>
        <v>277921.48135000002</v>
      </c>
      <c r="I44" s="556">
        <f>IF(VLOOKUP($E$44,[1]ON!$A$2:$FC$301, 8, FALSE)="",":",VLOOKUP($E$44,[1]ON!$A$2:$FC$301, 8, FALSE))</f>
        <v>285790.19574</v>
      </c>
      <c r="J44" s="556">
        <f>IF(VLOOKUP($E$44,[1]ON!$A$2:$FC$301, 9, FALSE)="",":",VLOOKUP($E$44,[1]ON!$A$2:$FC$301, 9, FALSE))</f>
        <v>292481.86105000001</v>
      </c>
      <c r="K44" s="556">
        <f>IF(VLOOKUP($E$44,[1]ON!$A$2:$FC$301, 10, FALSE)="",":",VLOOKUP($E$44,[1]ON!$A$2:$FC$301, 10, FALSE))</f>
        <v>299598.85966999998</v>
      </c>
      <c r="L44" s="556">
        <f>IF(VLOOKUP($E$44,[1]ON!$A$2:$FC$301, 11, FALSE)="",":",VLOOKUP($E$44,[1]ON!$A$2:$FC$301, 11, FALSE))</f>
        <v>310812.20347000001</v>
      </c>
      <c r="M44" s="556">
        <f>IF(VLOOKUP($E$44,[1]ON!$A$2:$FC$301, 12, FALSE)="",":",VLOOKUP($E$44,[1]ON!$A$2:$FC$301, 12, FALSE))</f>
        <v>311106.12871999998</v>
      </c>
      <c r="N44" s="556">
        <f>IF(VLOOKUP($E$44,[1]ON!$A$2:$FC$301, 13, FALSE)="",":",VLOOKUP($E$44,[1]ON!$A$2:$FC$301, 13, FALSE))</f>
        <v>310480.03388</v>
      </c>
      <c r="O44" s="556">
        <f>IF(VLOOKUP($E$44,[1]ON!$A$2:$FC$301, 14, FALSE)="",":",VLOOKUP($E$44,[1]ON!$A$2:$FC$301, 14, FALSE))</f>
        <v>312571.43439000001</v>
      </c>
      <c r="P44" s="556">
        <f>IF(VLOOKUP($E$44,[1]ON!$A$2:$FC$301, 15, FALSE)="",":",VLOOKUP($E$44,[1]ON!$A$2:$FC$301, 15, FALSE))</f>
        <v>323650.54015000002</v>
      </c>
      <c r="Q44" s="556">
        <f>IF(VLOOKUP($E$44,[1]ON!$A$2:$FC$301, 16, FALSE)="",":",VLOOKUP($E$44,[1]ON!$A$2:$FC$301, 16, FALSE))</f>
        <v>332555.90175000002</v>
      </c>
      <c r="R44" s="556">
        <f>IF(VLOOKUP($E$44,[1]ON!$A$2:$FC$301, 17, FALSE)="",":",VLOOKUP($E$44,[1]ON!$A$2:$FC$301, 17, FALSE))</f>
        <v>338911.71392000001</v>
      </c>
      <c r="S44" s="556">
        <f>IF(VLOOKUP($E$44,[1]ON!$A$2:$FC$301, 18, FALSE)="",":",VLOOKUP($E$44,[1]ON!$A$2:$FC$301, 18, FALSE))</f>
        <v>350704.55543000001</v>
      </c>
      <c r="T44" s="556">
        <f>IF(VLOOKUP($E$44,[1]ON!$A$2:$FC$301, 19, FALSE)="",":",VLOOKUP($E$44,[1]ON!$A$2:$FC$301, 19, FALSE))</f>
        <v>358278.71506000002</v>
      </c>
      <c r="U44" s="556">
        <f>IF(VLOOKUP($E$44,[1]ON!$A$2:$FC$301, 20, FALSE)="",":",VLOOKUP($E$44,[1]ON!$A$2:$FC$301, 20, FALSE))</f>
        <v>351225.82442999998</v>
      </c>
      <c r="V44" s="556">
        <f>IF(VLOOKUP($E$44,[1]ON!$A$2:$FC$301, 21, FALSE)="",":",VLOOKUP($E$44,[1]ON!$A$2:$FC$301, 21, FALSE))</f>
        <v>358540.6</v>
      </c>
      <c r="W44" s="556">
        <f>IF(VLOOKUP($E$44,[1]ON!$A$2:$FC$301, 22, FALSE)="",":",VLOOKUP($E$44,[1]ON!$A$2:$FC$301, 22, FALSE))</f>
        <v>366281.36</v>
      </c>
      <c r="X44" s="556">
        <f>IF(VLOOKUP($E$44,[1]ON!$A$2:$FC$301, 23, FALSE)="",":",VLOOKUP($E$44,[1]ON!$A$2:$FC$301, 23, FALSE))</f>
        <v>366415.28463000001</v>
      </c>
      <c r="Y44" s="556">
        <f>IF(VLOOKUP($E$44,[1]ON!$A$2:$FC$301, 23, FALSE)="",":",VLOOKUP($E$44,[1]ON!$A$2:$FC$301, 23, FALSE))</f>
        <v>366415.28463000001</v>
      </c>
      <c r="Z44" s="556">
        <f>IF(VLOOKUP($E$44,[1]ON!$A$2:$FC$301, 25, FALSE)="",":",VLOOKUP($E$44,[1]ON!$A$2:$FC$301, 25, FALSE))</f>
        <v>373293.03947000002</v>
      </c>
      <c r="AA44" s="556">
        <f>IF(VLOOKUP($E$44,[1]ON!$A$2:$FC$301, 26, FALSE)="",":",VLOOKUP($E$44,[1]ON!$A$2:$FC$301, 26, FALSE))</f>
        <v>378481.53022999997</v>
      </c>
      <c r="AB44" s="4010">
        <f>IF(VLOOKUP($E$44,[1]ON!$A$2:$FC$301, 27, FALSE)="",":",VLOOKUP($E$44,[1]ON!$A$2:$FC$301, 27, FALSE))</f>
        <v>386524.98043</v>
      </c>
      <c r="AC44" s="556">
        <f>IF(VLOOKUP($E$44,[1]ON!$A$2:$FC$301, 28, FALSE)="",":",VLOOKUP($E$44,[1]ON!$A$2:$FC$301, 28, FALSE))</f>
        <v>391324.94335999998</v>
      </c>
      <c r="AD44" s="556" t="str">
        <f>IF(VLOOKUP($E$44,[1]ON!$A$2:$FC$301, 29, FALSE)="",":",VLOOKUP($E$44,[1]ON!$A$2:$FC$301, 29, FALSE))</f>
        <v>:</v>
      </c>
      <c r="AE44" s="556" t="str">
        <f>IF(VLOOKUP($E$44,[1]ON!$A$2:$FC$301, 30, FALSE)="",":",VLOOKUP($E$44,[1]ON!$A$2:$FC$301, 30, FALSE))</f>
        <v>:</v>
      </c>
      <c r="AF44" s="556" t="str">
        <f>IF(VLOOKUP($E$44,[1]ON!$A$2:$FC$301, 31, FALSE)="",":",VLOOKUP($E$44,[1]ON!$A$2:$FC$301, 31, FALSE))</f>
        <v>:</v>
      </c>
    </row>
    <row r="45" spans="1:32">
      <c r="A45" s="545"/>
      <c r="B45" s="546"/>
      <c r="C45" s="547"/>
      <c r="D45" s="12" t="s">
        <v>1457</v>
      </c>
      <c r="E45" s="13">
        <v>403</v>
      </c>
      <c r="F45" s="14" t="str">
        <f>VLOOKUP($E$45,[1]ON!$A$2:$FC$301, 3, FALSE)</f>
        <v xml:space="preserve">403  Final demand                                                                    </v>
      </c>
      <c r="G45" s="556">
        <f ca="1">IF(VLOOKUP($E$45,[1]ON!$A$2:$FC$301, 6, FALSE)="",":",VLOOKUP($E$45,[1]ON!$A$2:$FC$301, 6, FALSE))</f>
        <v>444585.3</v>
      </c>
      <c r="H45" s="556">
        <f>IF(VLOOKUP($E$45,[1]ON!$A$2:$FC$301, 7, FALSE)="",":",VLOOKUP($E$45,[1]ON!$A$2:$FC$301, 7, FALSE))</f>
        <v>431527.42309</v>
      </c>
      <c r="I45" s="556">
        <f>IF(VLOOKUP($E$45,[1]ON!$A$2:$FC$301, 8, FALSE)="",":",VLOOKUP($E$45,[1]ON!$A$2:$FC$301, 8, FALSE))</f>
        <v>454648.82919000002</v>
      </c>
      <c r="J45" s="556">
        <f>IF(VLOOKUP($E$45,[1]ON!$A$2:$FC$301, 9, FALSE)="",":",VLOOKUP($E$45,[1]ON!$A$2:$FC$301, 9, FALSE))</f>
        <v>468799.55521000002</v>
      </c>
      <c r="K45" s="556">
        <f>IF(VLOOKUP($E$45,[1]ON!$A$2:$FC$301, 10, FALSE)="",":",VLOOKUP($E$45,[1]ON!$A$2:$FC$301, 10, FALSE))</f>
        <v>484971.32405</v>
      </c>
      <c r="L45" s="556">
        <f>IF(VLOOKUP($E$45,[1]ON!$A$2:$FC$301, 11, FALSE)="",":",VLOOKUP($E$45,[1]ON!$A$2:$FC$301, 11, FALSE))</f>
        <v>519895.44149</v>
      </c>
      <c r="M45" s="556">
        <f>IF(VLOOKUP($E$45,[1]ON!$A$2:$FC$301, 12, FALSE)="",":",VLOOKUP($E$45,[1]ON!$A$2:$FC$301, 12, FALSE))</f>
        <v>520923.36335</v>
      </c>
      <c r="N45" s="556">
        <f>IF(VLOOKUP($E$45,[1]ON!$A$2:$FC$301, 13, FALSE)="",":",VLOOKUP($E$45,[1]ON!$A$2:$FC$301, 13, FALSE))</f>
        <v>528373.00546000001</v>
      </c>
      <c r="O45" s="556">
        <f>IF(VLOOKUP($E$45,[1]ON!$A$2:$FC$301, 14, FALSE)="",":",VLOOKUP($E$45,[1]ON!$A$2:$FC$301, 14, FALSE))</f>
        <v>533928.245</v>
      </c>
      <c r="P45" s="556">
        <f>IF(VLOOKUP($E$45,[1]ON!$A$2:$FC$301, 15, FALSE)="",":",VLOOKUP($E$45,[1]ON!$A$2:$FC$301, 15, FALSE))</f>
        <v>558814.00853999995</v>
      </c>
      <c r="Q45" s="556">
        <f>IF(VLOOKUP($E$45,[1]ON!$A$2:$FC$301, 16, FALSE)="",":",VLOOKUP($E$45,[1]ON!$A$2:$FC$301, 16, FALSE))</f>
        <v>579632.32594999997</v>
      </c>
      <c r="R45" s="556">
        <f>IF(VLOOKUP($E$45,[1]ON!$A$2:$FC$301, 17, FALSE)="",":",VLOOKUP($E$45,[1]ON!$A$2:$FC$301, 17, FALSE))</f>
        <v>599150.66882999998</v>
      </c>
      <c r="S45" s="556">
        <f>IF(VLOOKUP($E$45,[1]ON!$A$2:$FC$301, 18, FALSE)="",":",VLOOKUP($E$45,[1]ON!$A$2:$FC$301, 18, FALSE))</f>
        <v>625847.00185</v>
      </c>
      <c r="T45" s="556">
        <f>IF(VLOOKUP($E$45,[1]ON!$A$2:$FC$301, 19, FALSE)="",":",VLOOKUP($E$45,[1]ON!$A$2:$FC$301, 19, FALSE))</f>
        <v>638109.73161000002</v>
      </c>
      <c r="U45" s="556">
        <f>IF(VLOOKUP($E$45,[1]ON!$A$2:$FC$301, 20, FALSE)="",":",VLOOKUP($E$45,[1]ON!$A$2:$FC$301, 20, FALSE))</f>
        <v>604378.30790000001</v>
      </c>
      <c r="V45" s="556">
        <f>IF(VLOOKUP($E$45,[1]ON!$A$2:$FC$301, 21, FALSE)="",":",VLOOKUP($E$45,[1]ON!$A$2:$FC$301, 21, FALSE))</f>
        <v>637654.30000000005</v>
      </c>
      <c r="W45" s="556">
        <f>IF(VLOOKUP($E$45,[1]ON!$A$2:$FC$301, 22, FALSE)="",":",VLOOKUP($E$45,[1]ON!$A$2:$FC$301, 22, FALSE))</f>
        <v>664145.81999999995</v>
      </c>
      <c r="X45" s="556">
        <f>IF(VLOOKUP($E$45,[1]ON!$A$2:$FC$301, 23, FALSE)="",":",VLOOKUP($E$45,[1]ON!$A$2:$FC$301, 23, FALSE))</f>
        <v>665290.77472999995</v>
      </c>
      <c r="Y45" s="556">
        <f>IF(VLOOKUP($E$45,[1]ON!$A$2:$FC$301, 24, FALSE)="",":",VLOOKUP($E$45,[1]ON!$A$2:$FC$301, 24, FALSE))</f>
        <v>667049.42864000006</v>
      </c>
      <c r="Z45" s="556">
        <f>IF(VLOOKUP($E$45,[1]ON!$A$2:$FC$301, 25, FALSE)="",":",VLOOKUP($E$45,[1]ON!$A$2:$FC$301, 25, FALSE))</f>
        <v>690503.15867999999</v>
      </c>
      <c r="AA45" s="556">
        <f>IF(VLOOKUP($E$45,[1]ON!$A$2:$FC$301, 26, FALSE)="",":",VLOOKUP($E$45,[1]ON!$A$2:$FC$301, 26, FALSE))</f>
        <v>706030.17049000005</v>
      </c>
      <c r="AB45" s="4010">
        <f>IF(VLOOKUP($E$45,[1]ON!$A$2:$FC$301, 27, FALSE)="",":",VLOOKUP($E$45,[1]ON!$A$2:$FC$301, 27, FALSE))</f>
        <v>738172.76752999995</v>
      </c>
      <c r="AC45" s="556">
        <f>IF(VLOOKUP($E$45,[1]ON!$A$2:$FC$301, 28, FALSE)="",":",VLOOKUP($E$45,[1]ON!$A$2:$FC$301, 28, FALSE))</f>
        <v>758351.75323999999</v>
      </c>
      <c r="AD45" s="556" t="str">
        <f>IF(VLOOKUP($E$45,[1]ON!$A$2:$FC$301, 29, FALSE)="",":",VLOOKUP($E$45,[1]ON!$A$2:$FC$301, 29, FALSE))</f>
        <v>:</v>
      </c>
      <c r="AE45" s="556" t="str">
        <f>IF(VLOOKUP($E$45,[1]ON!$A$2:$FC$301, 30, FALSE)="",":",VLOOKUP($E$45,[1]ON!$A$2:$FC$301, 30, FALSE))</f>
        <v>:</v>
      </c>
      <c r="AF45" s="556" t="str">
        <f>IF(VLOOKUP($E$45,[1]ON!$A$2:$FC$301, 31, FALSE)="",":",VLOOKUP($E$45,[1]ON!$A$2:$FC$301, 31, FALSE))</f>
        <v>:</v>
      </c>
    </row>
    <row r="46" spans="1:32">
      <c r="A46" s="545"/>
      <c r="B46" s="546"/>
      <c r="C46" s="547"/>
      <c r="D46" s="12"/>
      <c r="E46" s="13"/>
      <c r="F46" s="14"/>
      <c r="G46" s="556"/>
      <c r="H46" s="556"/>
      <c r="I46" s="556"/>
      <c r="J46" s="556"/>
      <c r="K46" s="556"/>
      <c r="L46" s="556"/>
      <c r="M46" s="556"/>
      <c r="N46" s="556"/>
      <c r="O46" s="556"/>
      <c r="P46" s="556"/>
      <c r="Q46" s="556"/>
      <c r="R46" s="556"/>
      <c r="S46" s="556"/>
      <c r="T46" s="556"/>
      <c r="U46" s="556"/>
      <c r="V46" s="556"/>
      <c r="W46" s="556"/>
      <c r="X46" s="556"/>
      <c r="Y46" s="556"/>
      <c r="Z46" s="556"/>
      <c r="AA46" s="556"/>
      <c r="AB46" s="556"/>
      <c r="AC46" s="556"/>
      <c r="AD46" s="556"/>
      <c r="AE46" s="556"/>
      <c r="AF46" s="556"/>
    </row>
    <row r="47" spans="1:32">
      <c r="A47" s="545">
        <v>8</v>
      </c>
      <c r="B47" s="546" t="s">
        <v>494</v>
      </c>
      <c r="C47" s="547" t="s">
        <v>1451</v>
      </c>
      <c r="D47" s="12" t="s">
        <v>1457</v>
      </c>
      <c r="E47" s="13">
        <v>511</v>
      </c>
      <c r="F47" s="14" t="str">
        <f>VLOOKUP($E$47,[1]ON!$A$2:$FC$301, 3, FALSE)</f>
        <v xml:space="preserve">511  Exports of goods                                                                </v>
      </c>
      <c r="G47" s="556">
        <f>IF(VLOOKUP($E$47,[1]ON!$A$2:$FC$301, 6, FALSE)="",":",VLOOKUP($E$47,[1]ON!$A$2:$FC$301, 6, FALSE))</f>
        <v>113884.2</v>
      </c>
      <c r="H47" s="556">
        <f>IF(VLOOKUP($E$47,[1]ON!$A$2:$FC$301, 7, FALSE)="",":",VLOOKUP($E$47,[1]ON!$A$2:$FC$301, 7, FALSE))</f>
        <v>120157.71</v>
      </c>
      <c r="I47" s="556">
        <f>IF(VLOOKUP($E$47,[1]ON!$A$2:$FC$301, 8, FALSE)="",":",VLOOKUP($E$47,[1]ON!$A$2:$FC$301, 8, FALSE))</f>
        <v>131747.54999999999</v>
      </c>
      <c r="J47" s="556">
        <f>IF(VLOOKUP($E$47,[1]ON!$A$2:$FC$301, 9, FALSE)="",":",VLOOKUP($E$47,[1]ON!$A$2:$FC$301, 9, FALSE))</f>
        <v>136495.09</v>
      </c>
      <c r="K47" s="556">
        <f>IF(VLOOKUP($E$47,[1]ON!$A$2:$FC$301, 10, FALSE)="",":",VLOOKUP($E$47,[1]ON!$A$2:$FC$301, 10, FALSE))</f>
        <v>142297.60999999999</v>
      </c>
      <c r="L47" s="556">
        <f>IF(VLOOKUP($E$47,[1]ON!$A$2:$FC$301, 11, FALSE)="",":",VLOOKUP($E$47,[1]ON!$A$2:$FC$301, 11, FALSE))</f>
        <v>160257.88</v>
      </c>
      <c r="M47" s="556">
        <f>IF(VLOOKUP($E$47,[1]ON!$A$2:$FC$301, 12, FALSE)="",":",VLOOKUP($E$47,[1]ON!$A$2:$FC$301, 12, FALSE))</f>
        <v>158551.88</v>
      </c>
      <c r="N47" s="556">
        <f>IF(VLOOKUP($E$47,[1]ON!$A$2:$FC$301, 13, FALSE)="",":",VLOOKUP($E$47,[1]ON!$A$2:$FC$301, 13, FALSE))</f>
        <v>167159.6</v>
      </c>
      <c r="O47" s="556">
        <f>IF(VLOOKUP($E$47,[1]ON!$A$2:$FC$301, 14, FALSE)="",":",VLOOKUP($E$47,[1]ON!$A$2:$FC$301, 14, FALSE))</f>
        <v>171446.36</v>
      </c>
      <c r="P47" s="556">
        <f>IF(VLOOKUP($E$47,[1]ON!$A$2:$FC$301, 15, FALSE)="",":",VLOOKUP($E$47,[1]ON!$A$2:$FC$301, 15, FALSE))</f>
        <v>184208.11</v>
      </c>
      <c r="Q47" s="556">
        <f>IF(VLOOKUP($E$47,[1]ON!$A$2:$FC$301, 16, FALSE)="",":",VLOOKUP($E$47,[1]ON!$A$2:$FC$301, 16, FALSE))</f>
        <v>193088.38</v>
      </c>
      <c r="R47" s="556">
        <f>IF(VLOOKUP($E$47,[1]ON!$A$2:$FC$301, 17, FALSE)="",":",VLOOKUP($E$47,[1]ON!$A$2:$FC$301, 17, FALSE))</f>
        <v>204499.39</v>
      </c>
      <c r="S47" s="556">
        <f>IF(VLOOKUP($E$47,[1]ON!$A$2:$FC$301, 18, FALSE)="",":",VLOOKUP($E$47,[1]ON!$A$2:$FC$301, 18, FALSE))</f>
        <v>214101.19</v>
      </c>
      <c r="T47" s="556">
        <f>IF(VLOOKUP($E$47,[1]ON!$A$2:$FC$301, 19, FALSE)="",":",VLOOKUP($E$47,[1]ON!$A$2:$FC$301, 19, FALSE))</f>
        <v>211551.94</v>
      </c>
      <c r="U47" s="556">
        <f>IF(VLOOKUP($E$47,[1]ON!$A$2:$FC$301, 20, FALSE)="",":",VLOOKUP($E$47,[1]ON!$A$2:$FC$301, 20, FALSE))</f>
        <v>184245.52</v>
      </c>
      <c r="V47" s="556">
        <f>IF(VLOOKUP($E$47,[1]ON!$A$2:$FC$301, 21, FALSE)="",":",VLOOKUP($E$47,[1]ON!$A$2:$FC$301, 21, FALSE))</f>
        <v>204549.3</v>
      </c>
      <c r="W47" s="556">
        <f>IF(VLOOKUP($E$47,[1]ON!$A$2:$FC$301, 22, FALSE)="",":",VLOOKUP($E$47,[1]ON!$A$2:$FC$301, 22, FALSE))</f>
        <v>223315.71</v>
      </c>
      <c r="X47" s="556">
        <f>IF(VLOOKUP($E$47,[1]ON!$A$2:$FC$301, 23, FALSE)="",":",VLOOKUP($E$47,[1]ON!$A$2:$FC$301, 23, FALSE))</f>
        <v>218465.76</v>
      </c>
      <c r="Y47" s="556">
        <f>IF(VLOOKUP($E$47,[1]ON!$A$2:$FC$301, 24, FALSE)="",":",VLOOKUP($E$47,[1]ON!$A$2:$FC$301, 24, FALSE))</f>
        <v>219828.4</v>
      </c>
      <c r="Z47" s="556">
        <f>IF(VLOOKUP($E$47,[1]ON!$A$2:$FC$301, 25, FALSE)="",":",VLOOKUP($E$47,[1]ON!$A$2:$FC$301, 25, FALSE))</f>
        <v>227637.57</v>
      </c>
      <c r="AA47" s="556">
        <f>IF(VLOOKUP($E$47,[1]ON!$A$2:$FC$301, 26, FALSE)="",":",VLOOKUP($E$47,[1]ON!$A$2:$FC$301, 26, FALSE))</f>
        <v>229962.19</v>
      </c>
      <c r="AB47" s="556">
        <f>IF(VLOOKUP($E$47,[1]ON!$A$2:$FC$301, 27, FALSE)="",":",VLOOKUP($E$47,[1]ON!$A$2:$FC$301, 27, FALSE))</f>
        <v>254672.45</v>
      </c>
      <c r="AC47" s="556">
        <f>IF(VLOOKUP($E$47,[1]ON!$A$2:$FC$301, 28, FALSE)="",":",VLOOKUP($E$47,[1]ON!$A$2:$FC$301, 28, FALSE))</f>
        <v>271828.27</v>
      </c>
      <c r="AD47" s="556" t="str">
        <f>IF(VLOOKUP($E$47,[1]ON!$A$2:$FC$301, 29, FALSE)="",":",VLOOKUP($E$47,[1]ON!$A$2:$FC$301, 29, FALSE))</f>
        <v>:</v>
      </c>
      <c r="AE47" s="556" t="str">
        <f>IF(VLOOKUP($E$47,[1]ON!$A$2:$FC$301, 30, FALSE)="",":",VLOOKUP($E$47,[1]ON!$A$2:$FC$301, 30, FALSE))</f>
        <v>:</v>
      </c>
      <c r="AF47" s="556" t="str">
        <f>IF(VLOOKUP($E$47,[1]ON!$A$2:$FC$301, 31, FALSE)="",":",VLOOKUP($E$47,[1]ON!$A$2:$FC$301, 31, FALSE))</f>
        <v>:</v>
      </c>
    </row>
    <row r="48" spans="1:32">
      <c r="A48" s="545">
        <v>9</v>
      </c>
      <c r="B48" s="546" t="s">
        <v>860</v>
      </c>
      <c r="C48" s="547" t="s">
        <v>1452</v>
      </c>
      <c r="D48" s="12" t="s">
        <v>1457</v>
      </c>
      <c r="E48" s="13">
        <v>512</v>
      </c>
      <c r="F48" s="14" t="str">
        <f>VLOOKUP($E$48,[1]ON!$A$2:$FC$301, 3, FALSE)</f>
        <v xml:space="preserve">512  Exports of services </v>
      </c>
      <c r="G48" s="556">
        <f>IF(VLOOKUP($E$48,[1]ON!$A$2:$FC$301, 6, FALSE)="",":",VLOOKUP($E$48,[1]ON!$A$2:$FC$301, 6, FALSE))</f>
        <v>33835.68</v>
      </c>
      <c r="H48" s="556">
        <f>IF(VLOOKUP($E$48,[1]ON!$A$2:$FC$301, 7, FALSE)="",":",VLOOKUP($E$48,[1]ON!$A$2:$FC$301, 7, FALSE))</f>
        <v>34901.03</v>
      </c>
      <c r="I48" s="556">
        <f>IF(VLOOKUP($E$48,[1]ON!$A$2:$FC$301, 8, FALSE)="",":",VLOOKUP($E$48,[1]ON!$A$2:$FC$301, 8, FALSE))</f>
        <v>37880.86</v>
      </c>
      <c r="J48" s="556">
        <f>IF(VLOOKUP($E$48,[1]ON!$A$2:$FC$301, 9, FALSE)="",":",VLOOKUP($E$48,[1]ON!$A$2:$FC$301, 9, FALSE))</f>
        <v>40511.83</v>
      </c>
      <c r="K48" s="556">
        <f>IF(VLOOKUP($E$48,[1]ON!$A$2:$FC$301, 10, FALSE)="",":",VLOOKUP($E$48,[1]ON!$A$2:$FC$301, 10, FALSE))</f>
        <v>43702.96</v>
      </c>
      <c r="L48" s="556">
        <f>IF(VLOOKUP($E$48,[1]ON!$A$2:$FC$301, 11, FALSE)="",":",VLOOKUP($E$48,[1]ON!$A$2:$FC$301, 11, FALSE))</f>
        <v>48778.35</v>
      </c>
      <c r="M48" s="556">
        <f>IF(VLOOKUP($E$48,[1]ON!$A$2:$FC$301, 12, FALSE)="",":",VLOOKUP($E$48,[1]ON!$A$2:$FC$301, 12, FALSE))</f>
        <v>51435.22</v>
      </c>
      <c r="N48" s="556">
        <f>IF(VLOOKUP($E$48,[1]ON!$A$2:$FC$301, 13, FALSE)="",":",VLOOKUP($E$48,[1]ON!$A$2:$FC$301, 13, FALSE))</f>
        <v>50203.24</v>
      </c>
      <c r="O48" s="556">
        <f>IF(VLOOKUP($E$48,[1]ON!$A$2:$FC$301, 14, FALSE)="",":",VLOOKUP($E$48,[1]ON!$A$2:$FC$301, 14, FALSE))</f>
        <v>49171.39</v>
      </c>
      <c r="P48" s="556">
        <f>IF(VLOOKUP($E$48,[1]ON!$A$2:$FC$301, 15, FALSE)="",":",VLOOKUP($E$48,[1]ON!$A$2:$FC$301, 15, FALSE))</f>
        <v>50000.6</v>
      </c>
      <c r="Q48" s="556">
        <f>IF(VLOOKUP($E$48,[1]ON!$A$2:$FC$301, 16, FALSE)="",":",VLOOKUP($E$48,[1]ON!$A$2:$FC$301, 16, FALSE))</f>
        <v>52939.43</v>
      </c>
      <c r="R48" s="556">
        <f>IF(VLOOKUP($E$48,[1]ON!$A$2:$FC$301, 17, FALSE)="",":",VLOOKUP($E$48,[1]ON!$A$2:$FC$301, 17, FALSE))</f>
        <v>54437.67</v>
      </c>
      <c r="S48" s="556">
        <f>IF(VLOOKUP($E$48,[1]ON!$A$2:$FC$301, 18, FALSE)="",":",VLOOKUP($E$48,[1]ON!$A$2:$FC$301, 18, FALSE))</f>
        <v>59752.94</v>
      </c>
      <c r="T48" s="556">
        <f>IF(VLOOKUP($E$48,[1]ON!$A$2:$FC$301, 19, FALSE)="",":",VLOOKUP($E$48,[1]ON!$A$2:$FC$301, 19, FALSE))</f>
        <v>67365.45</v>
      </c>
      <c r="U48" s="556">
        <f>IF(VLOOKUP($E$48,[1]ON!$A$2:$FC$301, 20, FALSE)="",":",VLOOKUP($E$48,[1]ON!$A$2:$FC$301, 20, FALSE))</f>
        <v>68718.52</v>
      </c>
      <c r="V48" s="556">
        <f>IF(VLOOKUP($E$48,[1]ON!$A$2:$FC$301, 21, FALSE)="",":",VLOOKUP($E$48,[1]ON!$A$2:$FC$301, 21, FALSE))</f>
        <v>74564.399999999994</v>
      </c>
      <c r="W48" s="556">
        <f>IF(VLOOKUP($E$48,[1]ON!$A$2:$FC$301, 22, FALSE)="",":",VLOOKUP($E$48,[1]ON!$A$2:$FC$301, 22, FALSE))</f>
        <v>74548.710000000006</v>
      </c>
      <c r="X48" s="556">
        <f>IF(VLOOKUP($E$48,[1]ON!$A$2:$FC$301, 23, FALSE)="",":",VLOOKUP($E$48,[1]ON!$A$2:$FC$301, 23, FALSE))</f>
        <v>80547.649999999994</v>
      </c>
      <c r="Y48" s="556">
        <f>IF(VLOOKUP($E$48,[1]ON!$A$2:$FC$301, 24, FALSE)="",":",VLOOKUP($E$48,[1]ON!$A$2:$FC$301, 24, FALSE))</f>
        <v>81860.87</v>
      </c>
      <c r="Z48" s="556">
        <f>IF(VLOOKUP($E$48,[1]ON!$A$2:$FC$301, 25, FALSE)="",":",VLOOKUP($E$48,[1]ON!$A$2:$FC$301, 25, FALSE))</f>
        <v>89750.8</v>
      </c>
      <c r="AA48" s="556">
        <f>IF(VLOOKUP($E$48,[1]ON!$A$2:$FC$301, 26, FALSE)="",":",VLOOKUP($E$48,[1]ON!$A$2:$FC$301, 26, FALSE))</f>
        <v>97774.64</v>
      </c>
      <c r="AB48" s="556">
        <f>IF(VLOOKUP($E$48,[1]ON!$A$2:$FC$301, 27, FALSE)="",":",VLOOKUP($E$48,[1]ON!$A$2:$FC$301, 27, FALSE))</f>
        <v>97979.68</v>
      </c>
      <c r="AC48" s="556">
        <f>IF(VLOOKUP($E$48,[1]ON!$A$2:$FC$301, 28, FALSE)="",":",VLOOKUP($E$48,[1]ON!$A$2:$FC$301, 28, FALSE))</f>
        <v>97111.58</v>
      </c>
      <c r="AD48" s="556" t="str">
        <f>IF(VLOOKUP($E$48,[1]ON!$A$2:$FC$301, 29, FALSE)="",":",VLOOKUP($E$48,[1]ON!$A$2:$FC$301, 29, FALSE))</f>
        <v>:</v>
      </c>
      <c r="AE48" s="556" t="str">
        <f>IF(VLOOKUP($E$48,[1]ON!$A$2:$FC$301, 30, FALSE)="",":",VLOOKUP($E$48,[1]ON!$A$2:$FC$301, 30, FALSE))</f>
        <v>:</v>
      </c>
      <c r="AF48" s="556" t="str">
        <f>IF(VLOOKUP($E$48,[1]ON!$A$2:$FC$301, 31, FALSE)="",":",VLOOKUP($E$48,[1]ON!$A$2:$FC$301, 31, FALSE))</f>
        <v>:</v>
      </c>
    </row>
    <row r="49" spans="1:32">
      <c r="A49" s="545"/>
      <c r="B49" s="546" t="s">
        <v>1750</v>
      </c>
      <c r="C49" s="547" t="s">
        <v>1453</v>
      </c>
      <c r="D49" s="12" t="s">
        <v>1457</v>
      </c>
      <c r="E49" s="13">
        <v>510</v>
      </c>
      <c r="F49" s="14" t="str">
        <f>VLOOKUP($E$49,[1]ON!$A$2:$FC$301, 3, FALSE)</f>
        <v xml:space="preserve">510  Exports of goods and services                                                   </v>
      </c>
      <c r="G49" s="556">
        <f ca="1">IF(VLOOKUP($E$49,[1]ON!$A$2:$FC$301, 6, FALSE)="",":",VLOOKUP($E$49,[1]ON!$A$2:$FC$301, 6, FALSE))</f>
        <v>157675</v>
      </c>
      <c r="H49" s="556">
        <f>IF(VLOOKUP($E$49,[1]ON!$A$2:$FC$301, 7, FALSE)="",":",VLOOKUP($E$49,[1]ON!$A$2:$FC$301, 7, FALSE))</f>
        <v>155521.64000000001</v>
      </c>
      <c r="I49" s="556">
        <f>IF(VLOOKUP($E$49,[1]ON!$A$2:$FC$301, 8, FALSE)="",":",VLOOKUP($E$49,[1]ON!$A$2:$FC$301, 8, FALSE))</f>
        <v>170172.32</v>
      </c>
      <c r="J49" s="556">
        <f>IF(VLOOKUP($E$49,[1]ON!$A$2:$FC$301, 9, FALSE)="",":",VLOOKUP($E$49,[1]ON!$A$2:$FC$301, 9, FALSE))</f>
        <v>177451.82</v>
      </c>
      <c r="K49" s="556">
        <f>IF(VLOOKUP($E$49,[1]ON!$A$2:$FC$301, 10, FALSE)="",":",VLOOKUP($E$49,[1]ON!$A$2:$FC$301, 10, FALSE))</f>
        <v>186323.73</v>
      </c>
      <c r="L49" s="556">
        <f>IF(VLOOKUP($E$49,[1]ON!$A$2:$FC$301, 11, FALSE)="",":",VLOOKUP($E$49,[1]ON!$A$2:$FC$301, 11, FALSE))</f>
        <v>209442.86</v>
      </c>
      <c r="M49" s="556">
        <f>IF(VLOOKUP($E$49,[1]ON!$A$2:$FC$301, 12, FALSE)="",":",VLOOKUP($E$49,[1]ON!$A$2:$FC$301, 12, FALSE))</f>
        <v>210149.69</v>
      </c>
      <c r="N49" s="556">
        <f>IF(VLOOKUP($E$49,[1]ON!$A$2:$FC$301, 13, FALSE)="",":",VLOOKUP($E$49,[1]ON!$A$2:$FC$301, 13, FALSE))</f>
        <v>217820.6</v>
      </c>
      <c r="O49" s="556">
        <f>IF(VLOOKUP($E$49,[1]ON!$A$2:$FC$301, 14, FALSE)="",":",VLOOKUP($E$49,[1]ON!$A$2:$FC$301, 14, FALSE))</f>
        <v>221216.61</v>
      </c>
      <c r="P49" s="556">
        <f>IF(VLOOKUP($E$49,[1]ON!$A$2:$FC$301, 15, FALSE)="",":",VLOOKUP($E$49,[1]ON!$A$2:$FC$301, 15, FALSE))</f>
        <v>234940.2</v>
      </c>
      <c r="Q49" s="556">
        <f>IF(VLOOKUP($E$49,[1]ON!$A$2:$FC$301, 16, FALSE)="",":",VLOOKUP($E$49,[1]ON!$A$2:$FC$301, 16, FALSE))</f>
        <v>246791.42</v>
      </c>
      <c r="R49" s="556">
        <f>IF(VLOOKUP($E$49,[1]ON!$A$2:$FC$301, 17, FALSE)="",":",VLOOKUP($E$49,[1]ON!$A$2:$FC$301, 17, FALSE))</f>
        <v>259810.55</v>
      </c>
      <c r="S49" s="556">
        <f>IF(VLOOKUP($E$49,[1]ON!$A$2:$FC$301, 18, FALSE)="",":",VLOOKUP($E$49,[1]ON!$A$2:$FC$301, 18, FALSE))</f>
        <v>274611.53999999998</v>
      </c>
      <c r="T49" s="556">
        <f>IF(VLOOKUP($E$49,[1]ON!$A$2:$FC$301, 19, FALSE)="",":",VLOOKUP($E$49,[1]ON!$A$2:$FC$301, 19, FALSE))</f>
        <v>279309.45</v>
      </c>
      <c r="U49" s="556">
        <f>IF(VLOOKUP($E$49,[1]ON!$A$2:$FC$301, 20, FALSE)="",":",VLOOKUP($E$49,[1]ON!$A$2:$FC$301, 20, FALSE))</f>
        <v>252973.86</v>
      </c>
      <c r="V49" s="556">
        <f>IF(VLOOKUP($E$49,[1]ON!$A$2:$FC$301, 21, FALSE)="",":",VLOOKUP($E$49,[1]ON!$A$2:$FC$301, 21, FALSE))</f>
        <v>279113.7</v>
      </c>
      <c r="W49" s="556">
        <f>IF(VLOOKUP($E$49,[1]ON!$A$2:$FC$301, 22, FALSE)="",":",VLOOKUP($E$49,[1]ON!$A$2:$FC$301, 22, FALSE))</f>
        <v>297864.46000000002</v>
      </c>
      <c r="X49" s="556">
        <f>IF(VLOOKUP($E$49,[1]ON!$A$2:$FC$301, 23, FALSE)="",":",VLOOKUP($E$49,[1]ON!$A$2:$FC$301, 23, FALSE))</f>
        <v>298871.01</v>
      </c>
      <c r="Y49" s="556">
        <f>IF(VLOOKUP($E$49,[1]ON!$A$2:$FC$301, 24, FALSE)="",":",VLOOKUP($E$49,[1]ON!$A$2:$FC$301, 24, FALSE))</f>
        <v>301527.58</v>
      </c>
      <c r="Z49" s="556">
        <f>IF(VLOOKUP($E$49,[1]ON!$A$2:$FC$301, 25, FALSE)="",":",VLOOKUP($E$49,[1]ON!$A$2:$FC$301, 25, FALSE))</f>
        <v>317160.09999999998</v>
      </c>
      <c r="AA49" s="556">
        <f>IF(VLOOKUP($E$49,[1]ON!$A$2:$FC$301, 26, FALSE)="",":",VLOOKUP($E$49,[1]ON!$A$2:$FC$301, 26, FALSE))</f>
        <v>327567.32</v>
      </c>
      <c r="AB49" s="4010">
        <f>IF(VLOOKUP($E$49,[1]ON!$A$2:$FC$301, 27, FALSE)="",":",VLOOKUP($E$49,[1]ON!$A$2:$FC$301, 27, FALSE))</f>
        <v>352191.23</v>
      </c>
      <c r="AC49" s="556">
        <f>IF(VLOOKUP($E$49,[1]ON!$A$2:$FC$301, 28, FALSE)="",":",VLOOKUP($E$49,[1]ON!$A$2:$FC$301, 28, FALSE))</f>
        <v>368075.04</v>
      </c>
      <c r="AD49" s="556" t="str">
        <f>IF(VLOOKUP($E$49,[1]ON!$A$2:$FC$301, 29, FALSE)="",":",VLOOKUP($E$49,[1]ON!$A$2:$FC$301, 29, FALSE))</f>
        <v>:</v>
      </c>
      <c r="AE49" s="556" t="str">
        <f>IF(VLOOKUP($E$49,[1]ON!$A$2:$FC$301, 30, FALSE)="",":",VLOOKUP($E$49,[1]ON!$A$2:$FC$301, 30, FALSE))</f>
        <v>:</v>
      </c>
      <c r="AF49" s="556" t="str">
        <f>IF(VLOOKUP($E$49,[1]ON!$A$2:$FC$301, 31, FALSE)="",":",VLOOKUP($E$49,[1]ON!$A$2:$FC$301, 31, FALSE))</f>
        <v>:</v>
      </c>
    </row>
    <row r="50" spans="1:32">
      <c r="A50" s="545"/>
      <c r="B50" s="546"/>
      <c r="C50" s="547"/>
      <c r="D50" s="12"/>
      <c r="E50" s="13"/>
      <c r="F50" s="14"/>
      <c r="G50" s="556"/>
      <c r="H50" s="556"/>
      <c r="I50" s="556"/>
      <c r="J50" s="556"/>
      <c r="K50" s="556"/>
      <c r="L50" s="556"/>
      <c r="M50" s="556"/>
      <c r="N50" s="556"/>
      <c r="O50" s="556"/>
      <c r="P50" s="556"/>
      <c r="Q50" s="556"/>
      <c r="R50" s="556"/>
      <c r="S50" s="556"/>
      <c r="T50" s="556"/>
      <c r="U50" s="556"/>
      <c r="V50" s="556"/>
      <c r="W50" s="556"/>
      <c r="X50" s="556"/>
      <c r="Y50" s="556"/>
      <c r="Z50" s="556"/>
      <c r="AA50" s="556"/>
      <c r="AB50" s="556"/>
      <c r="AC50" s="556"/>
      <c r="AD50" s="556"/>
      <c r="AE50" s="556"/>
      <c r="AF50" s="556"/>
    </row>
    <row r="51" spans="1:32">
      <c r="A51" s="545">
        <v>10</v>
      </c>
      <c r="B51" s="546" t="s">
        <v>82</v>
      </c>
      <c r="C51" s="547" t="s">
        <v>1454</v>
      </c>
      <c r="D51" s="12" t="s">
        <v>1457</v>
      </c>
      <c r="E51" s="13">
        <v>521</v>
      </c>
      <c r="F51" s="14" t="str">
        <f>VLOOKUP($E$51,[1]ON!$A$2:$FC$301, 3, FALSE)</f>
        <v xml:space="preserve">521  Imports of goods                                                                </v>
      </c>
      <c r="G51" s="556">
        <f>IF(VLOOKUP($E$51,[1]ON!$A$2:$FC$301, 6, FALSE)="",":",VLOOKUP($E$51,[1]ON!$A$2:$FC$301, 6, FALSE))</f>
        <v>117718.26</v>
      </c>
      <c r="H51" s="556">
        <f>IF(VLOOKUP($E$51,[1]ON!$A$2:$FC$301, 7, FALSE)="",":",VLOOKUP($E$51,[1]ON!$A$2:$FC$301, 7, FALSE))</f>
        <v>124887.42</v>
      </c>
      <c r="I51" s="556">
        <f>IF(VLOOKUP($E$51,[1]ON!$A$2:$FC$301, 8, FALSE)="",":",VLOOKUP($E$51,[1]ON!$A$2:$FC$301, 8, FALSE))</f>
        <v>135137.19</v>
      </c>
      <c r="J51" s="556">
        <f>IF(VLOOKUP($E$51,[1]ON!$A$2:$FC$301, 9, FALSE)="",":",VLOOKUP($E$51,[1]ON!$A$2:$FC$301, 9, FALSE))</f>
        <v>141197.25</v>
      </c>
      <c r="K51" s="556">
        <f>IF(VLOOKUP($E$51,[1]ON!$A$2:$FC$301, 10, FALSE)="",":",VLOOKUP($E$51,[1]ON!$A$2:$FC$301, 10, FALSE))</f>
        <v>143203.51999999999</v>
      </c>
      <c r="L51" s="556">
        <f>IF(VLOOKUP($E$51,[1]ON!$A$2:$FC$301, 11, FALSE)="",":",VLOOKUP($E$51,[1]ON!$A$2:$FC$301, 11, FALSE))</f>
        <v>162100.9</v>
      </c>
      <c r="M51" s="556">
        <f>IF(VLOOKUP($E$51,[1]ON!$A$2:$FC$301, 12, FALSE)="",":",VLOOKUP($E$51,[1]ON!$A$2:$FC$301, 12, FALSE))</f>
        <v>157666.75</v>
      </c>
      <c r="N51" s="556">
        <f>IF(VLOOKUP($E$51,[1]ON!$A$2:$FC$301, 13, FALSE)="",":",VLOOKUP($E$51,[1]ON!$A$2:$FC$301, 13, FALSE))</f>
        <v>159997.74</v>
      </c>
      <c r="O51" s="556">
        <f>IF(VLOOKUP($E$51,[1]ON!$A$2:$FC$301, 14, FALSE)="",":",VLOOKUP($E$51,[1]ON!$A$2:$FC$301, 14, FALSE))</f>
        <v>164144.13</v>
      </c>
      <c r="P51" s="556">
        <f>IF(VLOOKUP($E$51,[1]ON!$A$2:$FC$301, 15, FALSE)="",":",VLOOKUP($E$51,[1]ON!$A$2:$FC$301, 15, FALSE))</f>
        <v>177402.96</v>
      </c>
      <c r="Q51" s="556">
        <f>IF(VLOOKUP($E$51,[1]ON!$A$2:$FC$301, 16, FALSE)="",":",VLOOKUP($E$51,[1]ON!$A$2:$FC$301, 16, FALSE))</f>
        <v>190717.04</v>
      </c>
      <c r="R51" s="556">
        <f>IF(VLOOKUP($E$51,[1]ON!$A$2:$FC$301, 17, FALSE)="",":",VLOOKUP($E$51,[1]ON!$A$2:$FC$301, 17, FALSE))</f>
        <v>200522.45</v>
      </c>
      <c r="S51" s="556">
        <f>IF(VLOOKUP($E$51,[1]ON!$A$2:$FC$301, 18, FALSE)="",":",VLOOKUP($E$51,[1]ON!$A$2:$FC$301, 18, FALSE))</f>
        <v>210879.63</v>
      </c>
      <c r="T51" s="556">
        <f>IF(VLOOKUP($E$51,[1]ON!$A$2:$FC$301, 19, FALSE)="",":",VLOOKUP($E$51,[1]ON!$A$2:$FC$301, 19, FALSE))</f>
        <v>214066.85</v>
      </c>
      <c r="U51" s="556">
        <f>IF(VLOOKUP($E$51,[1]ON!$A$2:$FC$301, 20, FALSE)="",":",VLOOKUP($E$51,[1]ON!$A$2:$FC$301, 20, FALSE))</f>
        <v>188537.67</v>
      </c>
      <c r="V51" s="556">
        <f>IF(VLOOKUP($E$51,[1]ON!$A$2:$FC$301, 21, FALSE)="",":",VLOOKUP($E$51,[1]ON!$A$2:$FC$301, 21, FALSE))</f>
        <v>206660.7</v>
      </c>
      <c r="W51" s="556">
        <f>IF(VLOOKUP($E$51,[1]ON!$A$2:$FC$301, 22, FALSE)="",":",VLOOKUP($E$51,[1]ON!$A$2:$FC$301, 22, FALSE))</f>
        <v>224114.51</v>
      </c>
      <c r="X51" s="556">
        <f>IF(VLOOKUP($E$51,[1]ON!$A$2:$FC$301, 23, FALSE)="",":",VLOOKUP($E$51,[1]ON!$A$2:$FC$301, 23, FALSE))</f>
        <v>217263.51</v>
      </c>
      <c r="Y51" s="556">
        <f>IF(VLOOKUP($E$51,[1]ON!$A$2:$FC$301, 24, FALSE)="",":",VLOOKUP($E$51,[1]ON!$A$2:$FC$301, 24, FALSE))</f>
        <v>216497.81</v>
      </c>
      <c r="Z51" s="556">
        <f>IF(VLOOKUP($E$51,[1]ON!$A$2:$FC$301, 25, FALSE)="",":",VLOOKUP($E$51,[1]ON!$A$2:$FC$301, 25, FALSE))</f>
        <v>225031.54</v>
      </c>
      <c r="AA51" s="556">
        <f>IF(VLOOKUP($E$51,[1]ON!$A$2:$FC$301, 26, FALSE)="",":",VLOOKUP($E$51,[1]ON!$A$2:$FC$301, 26, FALSE))</f>
        <v>228173.36</v>
      </c>
      <c r="AB51" s="556">
        <f>IF(VLOOKUP($E$51,[1]ON!$A$2:$FC$301, 27, FALSE)="",":",VLOOKUP($E$51,[1]ON!$A$2:$FC$301, 27, FALSE))</f>
        <v>253578.83</v>
      </c>
      <c r="AC51" s="556">
        <f>IF(VLOOKUP($E$51,[1]ON!$A$2:$FC$301, 28, FALSE)="",":",VLOOKUP($E$51,[1]ON!$A$2:$FC$301, 28, FALSE))</f>
        <v>266513.73</v>
      </c>
      <c r="AD51" s="556" t="str">
        <f>IF(VLOOKUP($E$51,[1]ON!$A$2:$FC$301, 29, FALSE)="",":",VLOOKUP($E$51,[1]ON!$A$2:$FC$301, 29, FALSE))</f>
        <v>:</v>
      </c>
      <c r="AE51" s="556" t="str">
        <f>IF(VLOOKUP($E$51,[1]ON!$A$2:$FC$301, 30, FALSE)="",":",VLOOKUP($E$51,[1]ON!$A$2:$FC$301, 30, FALSE))</f>
        <v>:</v>
      </c>
      <c r="AF51" s="556" t="str">
        <f>IF(VLOOKUP($E$51,[1]ON!$A$2:$FC$301, 31, FALSE)="",":",VLOOKUP($E$51,[1]ON!$A$2:$FC$301, 31, FALSE))</f>
        <v>:</v>
      </c>
    </row>
    <row r="52" spans="1:32">
      <c r="A52" s="545">
        <v>11</v>
      </c>
      <c r="B52" s="546" t="s">
        <v>1996</v>
      </c>
      <c r="C52" s="547" t="s">
        <v>1455</v>
      </c>
      <c r="D52" s="12" t="s">
        <v>1457</v>
      </c>
      <c r="E52" s="13">
        <v>522</v>
      </c>
      <c r="F52" s="14" t="str">
        <f>VLOOKUP($E$52,[1]ON!$A$2:$FC$301, 3, FALSE)</f>
        <v xml:space="preserve">522  Imports of services </v>
      </c>
      <c r="G52" s="556">
        <f>IF(VLOOKUP($E$52,[1]ON!$A$2:$FC$301, 6, FALSE)="",":",VLOOKUP($E$52,[1]ON!$A$2:$FC$301, 6, FALSE))</f>
        <v>30531.22</v>
      </c>
      <c r="H52" s="556">
        <f>IF(VLOOKUP($E$52,[1]ON!$A$2:$FC$301, 7, FALSE)="",":",VLOOKUP($E$52,[1]ON!$A$2:$FC$301, 7, FALSE))</f>
        <v>31452.959999999999</v>
      </c>
      <c r="I52" s="556">
        <f>IF(VLOOKUP($E$52,[1]ON!$A$2:$FC$301, 8, FALSE)="",":",VLOOKUP($E$52,[1]ON!$A$2:$FC$301, 8, FALSE))</f>
        <v>34051.01</v>
      </c>
      <c r="J52" s="556">
        <f>IF(VLOOKUP($E$52,[1]ON!$A$2:$FC$301, 9, FALSE)="",":",VLOOKUP($E$52,[1]ON!$A$2:$FC$301, 9, FALSE))</f>
        <v>36458.71</v>
      </c>
      <c r="K52" s="556">
        <f>IF(VLOOKUP($E$52,[1]ON!$A$2:$FC$301, 10, FALSE)="",":",VLOOKUP($E$52,[1]ON!$A$2:$FC$301, 10, FALSE))</f>
        <v>40247.129999999997</v>
      </c>
      <c r="L52" s="556">
        <f>IF(VLOOKUP($E$52,[1]ON!$A$2:$FC$301, 11, FALSE)="",":",VLOOKUP($E$52,[1]ON!$A$2:$FC$301, 11, FALSE))</f>
        <v>45447.69</v>
      </c>
      <c r="M52" s="556">
        <f>IF(VLOOKUP($E$52,[1]ON!$A$2:$FC$301, 12, FALSE)="",":",VLOOKUP($E$52,[1]ON!$A$2:$FC$301, 12, FALSE))</f>
        <v>48628.49</v>
      </c>
      <c r="N52" s="556">
        <f>IF(VLOOKUP($E$52,[1]ON!$A$2:$FC$301, 13, FALSE)="",":",VLOOKUP($E$52,[1]ON!$A$2:$FC$301, 13, FALSE))</f>
        <v>48120.55</v>
      </c>
      <c r="O52" s="556">
        <f>IF(VLOOKUP($E$52,[1]ON!$A$2:$FC$301, 14, FALSE)="",":",VLOOKUP($E$52,[1]ON!$A$2:$FC$301, 14, FALSE))</f>
        <v>47020.55</v>
      </c>
      <c r="P52" s="556">
        <f>IF(VLOOKUP($E$52,[1]ON!$A$2:$FC$301, 15, FALSE)="",":",VLOOKUP($E$52,[1]ON!$A$2:$FC$301, 15, FALSE))</f>
        <v>47009.95</v>
      </c>
      <c r="Q52" s="556">
        <f>IF(VLOOKUP($E$52,[1]ON!$A$2:$FC$301, 16, FALSE)="",":",VLOOKUP($E$52,[1]ON!$A$2:$FC$301, 16, FALSE))</f>
        <v>47607.96</v>
      </c>
      <c r="R52" s="556">
        <f>IF(VLOOKUP($E$52,[1]ON!$A$2:$FC$301, 17, FALSE)="",":",VLOOKUP($E$52,[1]ON!$A$2:$FC$301, 17, FALSE))</f>
        <v>48732.24</v>
      </c>
      <c r="S52" s="556">
        <f>IF(VLOOKUP($E$52,[1]ON!$A$2:$FC$301, 18, FALSE)="",":",VLOOKUP($E$52,[1]ON!$A$2:$FC$301, 18, FALSE))</f>
        <v>53034.54</v>
      </c>
      <c r="T52" s="556">
        <f>IF(VLOOKUP($E$52,[1]ON!$A$2:$FC$301, 19, FALSE)="",":",VLOOKUP($E$52,[1]ON!$A$2:$FC$301, 19, FALSE))</f>
        <v>59325.79</v>
      </c>
      <c r="U52" s="556">
        <f>IF(VLOOKUP($E$52,[1]ON!$A$2:$FC$301, 20, FALSE)="",":",VLOOKUP($E$52,[1]ON!$A$2:$FC$301, 20, FALSE))</f>
        <v>60087.5</v>
      </c>
      <c r="V52" s="556">
        <f>IF(VLOOKUP($E$52,[1]ON!$A$2:$FC$301, 21, FALSE)="",":",VLOOKUP($E$52,[1]ON!$A$2:$FC$301, 21, FALSE))</f>
        <v>65893.100000000006</v>
      </c>
      <c r="W52" s="556">
        <f>IF(VLOOKUP($E$52,[1]ON!$A$2:$FC$301, 22, FALSE)="",":",VLOOKUP($E$52,[1]ON!$A$2:$FC$301, 22, FALSE))</f>
        <v>68365.11</v>
      </c>
      <c r="X52" s="556">
        <f>IF(VLOOKUP($E$52,[1]ON!$A$2:$FC$301, 23, FALSE)="",":",VLOOKUP($E$52,[1]ON!$A$2:$FC$301, 23, FALSE))</f>
        <v>75973.36</v>
      </c>
      <c r="Y52" s="556">
        <f>IF(VLOOKUP($E$52,[1]ON!$A$2:$FC$301, 24, FALSE)="",":",VLOOKUP($E$52,[1]ON!$A$2:$FC$301, 24, FALSE))</f>
        <v>77884.02</v>
      </c>
      <c r="Z52" s="556">
        <f>IF(VLOOKUP($E$52,[1]ON!$A$2:$FC$301, 25, FALSE)="",":",VLOOKUP($E$52,[1]ON!$A$2:$FC$301, 25, FALSE))</f>
        <v>88050.69</v>
      </c>
      <c r="AA52" s="556">
        <f>IF(VLOOKUP($E$52,[1]ON!$A$2:$FC$301, 26, FALSE)="",":",VLOOKUP($E$52,[1]ON!$A$2:$FC$301, 26, FALSE))</f>
        <v>95406.07</v>
      </c>
      <c r="AB52" s="556">
        <f>IF(VLOOKUP($E$52,[1]ON!$A$2:$FC$301, 27, FALSE)="",":",VLOOKUP($E$52,[1]ON!$A$2:$FC$301, 27, FALSE))</f>
        <v>97082.98</v>
      </c>
      <c r="AC52" s="556">
        <f>IF(VLOOKUP($E$52,[1]ON!$A$2:$FC$301, 28, FALSE)="",":",VLOOKUP($E$52,[1]ON!$A$2:$FC$301, 28, FALSE))</f>
        <v>98578.35</v>
      </c>
      <c r="AD52" s="556" t="str">
        <f>IF(VLOOKUP($E$52,[1]ON!$A$2:$FC$301, 29, FALSE)="",":",VLOOKUP($E$52,[1]ON!$A$2:$FC$301, 29, FALSE))</f>
        <v>:</v>
      </c>
      <c r="AE52" s="556" t="str">
        <f>IF(VLOOKUP($E$52,[1]ON!$A$2:$FC$301, 30, FALSE)="",":",VLOOKUP($E$52,[1]ON!$A$2:$FC$301, 30, FALSE))</f>
        <v>:</v>
      </c>
      <c r="AF52" s="556" t="str">
        <f>IF(VLOOKUP($E$52,[1]ON!$A$2:$FC$301, 31, FALSE)="",":",VLOOKUP($E$52,[1]ON!$A$2:$FC$301, 31, FALSE))</f>
        <v>:</v>
      </c>
    </row>
    <row r="53" spans="1:32">
      <c r="A53" s="545"/>
      <c r="B53" s="546" t="s">
        <v>336</v>
      </c>
      <c r="C53" s="547" t="s">
        <v>1456</v>
      </c>
      <c r="D53" s="12" t="s">
        <v>1457</v>
      </c>
      <c r="E53" s="13">
        <v>520</v>
      </c>
      <c r="F53" s="14" t="str">
        <f>VLOOKUP($E$53,[1]ON!$A$2:$FC$301, 3, FALSE)</f>
        <v xml:space="preserve">520  Imports of goods and services                                                   </v>
      </c>
      <c r="G53" s="556">
        <f ca="1">IF(VLOOKUP($E$53,[1]ON!$A$2:$FC$301, 6, FALSE)="",":",VLOOKUP($E$53,[1]ON!$A$2:$FC$301, 6, FALSE))</f>
        <v>158299.29999999999</v>
      </c>
      <c r="H53" s="556">
        <f>IF(VLOOKUP($E$53,[1]ON!$A$2:$FC$301, 7, FALSE)="",":",VLOOKUP($E$53,[1]ON!$A$2:$FC$301, 7, FALSE))</f>
        <v>156569.97</v>
      </c>
      <c r="I53" s="556">
        <f>IF(VLOOKUP($E$53,[1]ON!$A$2:$FC$301, 8, FALSE)="",":",VLOOKUP($E$53,[1]ON!$A$2:$FC$301, 8, FALSE))</f>
        <v>169436.37</v>
      </c>
      <c r="J53" s="556">
        <f>IF(VLOOKUP($E$53,[1]ON!$A$2:$FC$301, 9, FALSE)="",":",VLOOKUP($E$53,[1]ON!$A$2:$FC$301, 9, FALSE))</f>
        <v>177896.33</v>
      </c>
      <c r="K53" s="556">
        <f>IF(VLOOKUP($E$53,[1]ON!$A$2:$FC$301, 10, FALSE)="",":",VLOOKUP($E$53,[1]ON!$A$2:$FC$301, 10, FALSE))</f>
        <v>183696.39</v>
      </c>
      <c r="L53" s="556">
        <f>IF(VLOOKUP($E$53,[1]ON!$A$2:$FC$301, 11, FALSE)="",":",VLOOKUP($E$53,[1]ON!$A$2:$FC$301, 11, FALSE))</f>
        <v>207829.76000000001</v>
      </c>
      <c r="M53" s="556">
        <f>IF(VLOOKUP($E$53,[1]ON!$A$2:$FC$301, 12, FALSE)="",":",VLOOKUP($E$53,[1]ON!$A$2:$FC$301, 12, FALSE))</f>
        <v>206397.59</v>
      </c>
      <c r="N53" s="556">
        <f>IF(VLOOKUP($E$53,[1]ON!$A$2:$FC$301, 13, FALSE)="",":",VLOOKUP($E$53,[1]ON!$A$2:$FC$301, 13, FALSE))</f>
        <v>208280.49</v>
      </c>
      <c r="O53" s="556">
        <f>IF(VLOOKUP($E$53,[1]ON!$A$2:$FC$301, 14, FALSE)="",":",VLOOKUP($E$53,[1]ON!$A$2:$FC$301, 14, FALSE))</f>
        <v>211360.56</v>
      </c>
      <c r="P53" s="556">
        <f>IF(VLOOKUP($E$53,[1]ON!$A$2:$FC$301, 15, FALSE)="",":",VLOOKUP($E$53,[1]ON!$A$2:$FC$301, 15, FALSE))</f>
        <v>224632.81</v>
      </c>
      <c r="Q53" s="556">
        <f>IF(VLOOKUP($E$53,[1]ON!$A$2:$FC$301, 16, FALSE)="",":",VLOOKUP($E$53,[1]ON!$A$2:$FC$301, 16, FALSE))</f>
        <v>238580.91</v>
      </c>
      <c r="R53" s="556">
        <f>IF(VLOOKUP($E$53,[1]ON!$A$2:$FC$301, 17, FALSE)="",":",VLOOKUP($E$53,[1]ON!$A$2:$FC$301, 17, FALSE))</f>
        <v>249556.41</v>
      </c>
      <c r="S53" s="556">
        <f>IF(VLOOKUP($E$53,[1]ON!$A$2:$FC$301, 18, FALSE)="",":",VLOOKUP($E$53,[1]ON!$A$2:$FC$301, 18, FALSE))</f>
        <v>264165.92</v>
      </c>
      <c r="T53" s="556">
        <f>IF(VLOOKUP($E$53,[1]ON!$A$2:$FC$301, 19, FALSE)="",":",VLOOKUP($E$53,[1]ON!$A$2:$FC$301, 19, FALSE))</f>
        <v>273559.56</v>
      </c>
      <c r="U53" s="556">
        <f>IF(VLOOKUP($E$53,[1]ON!$A$2:$FC$301, 20, FALSE)="",":",VLOOKUP($E$53,[1]ON!$A$2:$FC$301, 20, FALSE))</f>
        <v>248624.3</v>
      </c>
      <c r="V53" s="556">
        <f>IF(VLOOKUP($E$53,[1]ON!$A$2:$FC$301, 21, FALSE)="",":",VLOOKUP($E$53,[1]ON!$A$2:$FC$301, 21, FALSE))</f>
        <v>272553.8</v>
      </c>
      <c r="W53" s="556">
        <f>IF(VLOOKUP($E$53,[1]ON!$A$2:$FC$301, 22, FALSE)="",":",VLOOKUP($E$53,[1]ON!$A$2:$FC$301, 22, FALSE))</f>
        <v>292479.63</v>
      </c>
      <c r="X53" s="556">
        <f>IF(VLOOKUP($E$53,[1]ON!$A$2:$FC$301, 23, FALSE)="",":",VLOOKUP($E$53,[1]ON!$A$2:$FC$301, 23, FALSE))</f>
        <v>292758.92</v>
      </c>
      <c r="Y53" s="556">
        <f>IF(VLOOKUP($E$53,[1]ON!$A$2:$FC$301, 24, FALSE)="",":",VLOOKUP($E$53,[1]ON!$A$2:$FC$301, 24, FALSE))</f>
        <v>293761.13</v>
      </c>
      <c r="Z53" s="556">
        <f>IF(VLOOKUP($E$53,[1]ON!$A$2:$FC$301, 25, FALSE)="",":",VLOOKUP($E$53,[1]ON!$A$2:$FC$301, 25, FALSE))</f>
        <v>311990.21999999997</v>
      </c>
      <c r="AA53" s="556">
        <f>IF(VLOOKUP($E$53,[1]ON!$A$2:$FC$301, 26, FALSE)="",":",VLOOKUP($E$53,[1]ON!$A$2:$FC$301, 26, FALSE))</f>
        <v>322217.90000000002</v>
      </c>
      <c r="AB53" s="556">
        <f>IF(VLOOKUP($E$53,[1]ON!$A$2:$FC$301, 27, FALSE)="",":",VLOOKUP($E$53,[1]ON!$A$2:$FC$301, 27, FALSE))</f>
        <v>349168.94</v>
      </c>
      <c r="AC53" s="556">
        <f>IF(VLOOKUP($E$53,[1]ON!$A$2:$FC$301, 28, FALSE)="",":",VLOOKUP($E$53,[1]ON!$A$2:$FC$301, 28, FALSE))</f>
        <v>363451.2</v>
      </c>
      <c r="AD53" s="556" t="str">
        <f>IF(VLOOKUP($E$53,[1]ON!$A$2:$FC$301, 29, FALSE)="",":",VLOOKUP($E$53,[1]ON!$A$2:$FC$301, 29, FALSE))</f>
        <v>:</v>
      </c>
      <c r="AE53" s="556" t="str">
        <f>IF(VLOOKUP($E$53,[1]ON!$A$2:$FC$301, 30, FALSE)="",":",VLOOKUP($E$53,[1]ON!$A$2:$FC$301, 30, FALSE))</f>
        <v>:</v>
      </c>
      <c r="AF53" s="556" t="str">
        <f>IF(VLOOKUP($E$53,[1]ON!$A$2:$FC$301, 31, FALSE)="",":",VLOOKUP($E$53,[1]ON!$A$2:$FC$301, 31, FALSE))</f>
        <v>:</v>
      </c>
    </row>
    <row r="54" spans="1:32">
      <c r="A54" s="545"/>
      <c r="B54" s="546"/>
      <c r="C54" s="547"/>
      <c r="D54" s="12"/>
      <c r="E54" s="13"/>
      <c r="F54" s="14"/>
      <c r="G54" s="556"/>
      <c r="H54" s="556"/>
      <c r="I54" s="556"/>
      <c r="J54" s="556"/>
      <c r="K54" s="556"/>
      <c r="L54" s="556"/>
      <c r="M54" s="556"/>
      <c r="N54" s="556"/>
      <c r="O54" s="556"/>
      <c r="P54" s="556"/>
      <c r="Q54" s="556"/>
      <c r="R54" s="556"/>
      <c r="S54" s="556"/>
      <c r="T54" s="556"/>
      <c r="U54" s="556"/>
      <c r="V54" s="556"/>
      <c r="W54" s="556"/>
      <c r="X54" s="556"/>
      <c r="Y54" s="556"/>
      <c r="Z54" s="556"/>
      <c r="AA54" s="556"/>
      <c r="AB54" s="556"/>
      <c r="AC54" s="556"/>
      <c r="AD54" s="556"/>
      <c r="AE54" s="556"/>
      <c r="AF54" s="556"/>
    </row>
    <row r="55" spans="1:32">
      <c r="A55" s="545">
        <v>58</v>
      </c>
      <c r="B55" s="546" t="s">
        <v>337</v>
      </c>
      <c r="C55" s="547"/>
      <c r="D55" s="12" t="s">
        <v>1457</v>
      </c>
      <c r="E55" s="13">
        <v>601</v>
      </c>
      <c r="F55" s="14" t="str">
        <f>VLOOKUP($E$55,[1]ON!$A$2:$FC$301, 3, FALSE)</f>
        <v xml:space="preserve">601  Gross value added at basic prices (net of FISIM)                                </v>
      </c>
      <c r="G55" s="556">
        <f ca="1">IF(VLOOKUP($E$55,[1]ON!$A$2:$FC$301, 6, FALSE)="",":",VLOOKUP($E$55,[1]ON!$A$2:$FC$301, 6, FALSE))</f>
        <v>255937</v>
      </c>
      <c r="H55" s="556">
        <f>IF(VLOOKUP($E$55,[1]ON!$A$2:$FC$301, 7, FALSE)="",":",VLOOKUP($E$55,[1]ON!$A$2:$FC$301, 7, FALSE))</f>
        <v>245602.26</v>
      </c>
      <c r="I55" s="556">
        <f>IF(VLOOKUP($E$55,[1]ON!$A$2:$FC$301, 8, FALSE)="",":",VLOOKUP($E$55,[1]ON!$A$2:$FC$301, 8, FALSE))</f>
        <v>254171.76</v>
      </c>
      <c r="J55" s="556">
        <f>IF(VLOOKUP($E$55,[1]ON!$A$2:$FC$301, 9, FALSE)="",":",VLOOKUP($E$55,[1]ON!$A$2:$FC$301, 9, FALSE))</f>
        <v>259100.92</v>
      </c>
      <c r="K55" s="556">
        <f>IF(VLOOKUP($E$55,[1]ON!$A$2:$FC$301, 10, FALSE)="",":",VLOOKUP($E$55,[1]ON!$A$2:$FC$301, 10, FALSE))</f>
        <v>267642</v>
      </c>
      <c r="L55" s="556">
        <f>IF(VLOOKUP($E$55,[1]ON!$A$2:$FC$301, 11, FALSE)="",":",VLOOKUP($E$55,[1]ON!$A$2:$FC$301, 11, FALSE))</f>
        <v>276956.48</v>
      </c>
      <c r="M55" s="556">
        <f>IF(VLOOKUP($E$55,[1]ON!$A$2:$FC$301, 12, FALSE)="",":",VLOOKUP($E$55,[1]ON!$A$2:$FC$301, 12, FALSE))</f>
        <v>280645.40000000002</v>
      </c>
      <c r="N55" s="556">
        <f>IF(VLOOKUP($E$55,[1]ON!$A$2:$FC$301, 13, FALSE)="",":",VLOOKUP($E$55,[1]ON!$A$2:$FC$301, 13, FALSE))</f>
        <v>285306.82</v>
      </c>
      <c r="O55" s="556">
        <f>IF(VLOOKUP($E$55,[1]ON!$A$2:$FC$301, 14, FALSE)="",":",VLOOKUP($E$55,[1]ON!$A$2:$FC$301, 14, FALSE))</f>
        <v>287966.96999999997</v>
      </c>
      <c r="P55" s="556">
        <f>IF(VLOOKUP($E$55,[1]ON!$A$2:$FC$301, 15, FALSE)="",":",VLOOKUP($E$55,[1]ON!$A$2:$FC$301, 15, FALSE))</f>
        <v>297056.67</v>
      </c>
      <c r="Q55" s="556">
        <f>IF(VLOOKUP($E$55,[1]ON!$A$2:$FC$301, 16, FALSE)="",":",VLOOKUP($E$55,[1]ON!$A$2:$FC$301, 16, FALSE))</f>
        <v>303455.17</v>
      </c>
      <c r="R55" s="556">
        <f>IF(VLOOKUP($E$55,[1]ON!$A$2:$FC$301, 17, FALSE)="",":",VLOOKUP($E$55,[1]ON!$A$2:$FC$301, 17, FALSE))</f>
        <v>310798.21000000002</v>
      </c>
      <c r="S55" s="556">
        <f>IF(VLOOKUP($E$55,[1]ON!$A$2:$FC$301, 18, FALSE)="",":",VLOOKUP($E$55,[1]ON!$A$2:$FC$301, 18, FALSE))</f>
        <v>321561.31</v>
      </c>
      <c r="T55" s="556">
        <f>IF(VLOOKUP($E$55,[1]ON!$A$2:$FC$301, 19, FALSE)="",":",VLOOKUP($E$55,[1]ON!$A$2:$FC$301, 19, FALSE))</f>
        <v>325703.65999999997</v>
      </c>
      <c r="U55" s="556">
        <f>IF(VLOOKUP($E$55,[1]ON!$A$2:$FC$301, 20, FALSE)="",":",VLOOKUP($E$55,[1]ON!$A$2:$FC$301, 20, FALSE))</f>
        <v>318366.24</v>
      </c>
      <c r="V55" s="556">
        <f>IF(VLOOKUP($E$55,[1]ON!$A$2:$FC$301, 21, FALSE)="",":",VLOOKUP($E$55,[1]ON!$A$2:$FC$301, 21, FALSE))</f>
        <v>326533.7</v>
      </c>
      <c r="W55" s="556">
        <f>IF(VLOOKUP($E$55,[1]ON!$A$2:$FC$301, 22, FALSE)="",":",VLOOKUP($E$55,[1]ON!$A$2:$FC$301, 22, FALSE))</f>
        <v>333538.48</v>
      </c>
      <c r="X55" s="556">
        <f>IF(VLOOKUP($E$55,[1]ON!$A$2:$FC$301, 23, FALSE)="",":",VLOOKUP($E$55,[1]ON!$A$2:$FC$301, 23, FALSE))</f>
        <v>334188.28000000003</v>
      </c>
      <c r="Y55" s="556">
        <f>IF(VLOOKUP($E$55,[1]ON!$A$2:$FC$301, 24, FALSE)="",":",VLOOKUP($E$55,[1]ON!$A$2:$FC$301, 24, FALSE))</f>
        <v>334735.02</v>
      </c>
      <c r="Z55" s="556">
        <f>IF(VLOOKUP($E$55,[1]ON!$A$2:$FC$301, 25, FALSE)="",":",VLOOKUP($E$55,[1]ON!$A$2:$FC$301, 25, FALSE))</f>
        <v>339255.48</v>
      </c>
      <c r="AA55" s="556">
        <f>IF(VLOOKUP($E$55,[1]ON!$A$2:$FC$301, 26, FALSE)="",":",VLOOKUP($E$55,[1]ON!$A$2:$FC$301, 26, FALSE))</f>
        <v>344613.87</v>
      </c>
      <c r="AB55" s="556">
        <f>IF(VLOOKUP($E$55,[1]ON!$A$2:$FC$301, 27, FALSE)="",":",VLOOKUP($E$55,[1]ON!$A$2:$FC$301, 27, FALSE))</f>
        <v>348794.76</v>
      </c>
      <c r="AC55" s="556">
        <f>IF(VLOOKUP($E$55,[1]ON!$A$2:$FC$301, 28, FALSE)="",":",VLOOKUP($E$55,[1]ON!$A$2:$FC$301, 28, FALSE))</f>
        <v>354555.36</v>
      </c>
      <c r="AD55" s="556" t="str">
        <f>IF(VLOOKUP($E$55,[1]ON!$A$2:$FC$301, 29, FALSE)="",":",VLOOKUP($E$55,[1]ON!$A$2:$FC$301, 29, FALSE))</f>
        <v>:</v>
      </c>
      <c r="AE55" s="556" t="str">
        <f>IF(VLOOKUP($E$55,[1]ON!$A$2:$FC$301, 30, FALSE)="",":",VLOOKUP($E$55,[1]ON!$A$2:$FC$301, 30, FALSE))</f>
        <v>:</v>
      </c>
      <c r="AF55" s="556" t="str">
        <f>IF(VLOOKUP($E$55,[1]ON!$A$2:$FC$301, 31, FALSE)="",":",VLOOKUP($E$55,[1]ON!$A$2:$FC$301, 31, FALSE))</f>
        <v>:</v>
      </c>
    </row>
    <row r="56" spans="1:32">
      <c r="A56" s="545"/>
      <c r="B56" s="546"/>
      <c r="C56" s="547"/>
      <c r="D56" s="12"/>
      <c r="E56" s="13"/>
      <c r="F56" s="14"/>
      <c r="G56" s="556"/>
      <c r="H56" s="556"/>
      <c r="I56" s="556"/>
      <c r="J56" s="556"/>
      <c r="K56" s="556"/>
      <c r="L56" s="556"/>
      <c r="M56" s="556"/>
      <c r="N56" s="556"/>
      <c r="O56" s="556"/>
      <c r="P56" s="556"/>
      <c r="Q56" s="556"/>
      <c r="R56" s="556"/>
      <c r="S56" s="556"/>
      <c r="T56" s="556"/>
      <c r="U56" s="556"/>
      <c r="V56" s="556"/>
      <c r="W56" s="556"/>
      <c r="X56" s="556"/>
      <c r="Y56" s="556"/>
      <c r="Z56" s="556"/>
      <c r="AA56" s="556"/>
      <c r="AB56" s="556"/>
      <c r="AC56" s="556"/>
      <c r="AD56" s="556"/>
      <c r="AE56" s="556"/>
      <c r="AF56" s="556"/>
    </row>
    <row r="57" spans="1:32">
      <c r="A57" s="545">
        <v>12</v>
      </c>
      <c r="B57" s="546" t="s">
        <v>467</v>
      </c>
      <c r="C57" s="547" t="s">
        <v>1062</v>
      </c>
      <c r="D57" s="12" t="s">
        <v>1457</v>
      </c>
      <c r="E57" s="13">
        <v>600</v>
      </c>
      <c r="F57" s="14" t="str">
        <f>VLOOKUP($E$57,[1]ON!$A$2:$FC$301, 3, FALSE)</f>
        <v xml:space="preserve">600  Gross domestic product at market prices                                         </v>
      </c>
      <c r="G57" s="556">
        <f ca="1">IF(VLOOKUP($E$57,[1]ON!$A$2:$FC$301, 6, FALSE)="",":",VLOOKUP($E$57,[1]ON!$A$2:$FC$301, 6, FALSE))</f>
        <v>284814.2</v>
      </c>
      <c r="H57" s="556">
        <f>IF(VLOOKUP($E$57,[1]ON!$A$2:$FC$301, 7, FALSE)="",":",VLOOKUP($E$57,[1]ON!$A$2:$FC$301, 7, FALSE))</f>
        <v>273925.13</v>
      </c>
      <c r="I57" s="556">
        <f>IF(VLOOKUP($E$57,[1]ON!$A$2:$FC$301, 8, FALSE)="",":",VLOOKUP($E$57,[1]ON!$A$2:$FC$301, 8, FALSE))</f>
        <v>284088.98</v>
      </c>
      <c r="J57" s="556">
        <f>IF(VLOOKUP($E$57,[1]ON!$A$2:$FC$301, 9, FALSE)="",":",VLOOKUP($E$57,[1]ON!$A$2:$FC$301, 9, FALSE))</f>
        <v>289700.51</v>
      </c>
      <c r="K57" s="556">
        <f>IF(VLOOKUP($E$57,[1]ON!$A$2:$FC$301, 10, FALSE)="",":",VLOOKUP($E$57,[1]ON!$A$2:$FC$301, 10, FALSE))</f>
        <v>300023.44</v>
      </c>
      <c r="L57" s="556">
        <f>IF(VLOOKUP($E$57,[1]ON!$A$2:$FC$301, 11, FALSE)="",":",VLOOKUP($E$57,[1]ON!$A$2:$FC$301, 11, FALSE))</f>
        <v>310925.25</v>
      </c>
      <c r="M57" s="556">
        <f>IF(VLOOKUP($E$57,[1]ON!$A$2:$FC$301, 12, FALSE)="",":",VLOOKUP($E$57,[1]ON!$A$2:$FC$301, 12, FALSE))</f>
        <v>313448.55</v>
      </c>
      <c r="N57" s="556">
        <f>IF(VLOOKUP($E$57,[1]ON!$A$2:$FC$301, 13, FALSE)="",":",VLOOKUP($E$57,[1]ON!$A$2:$FC$301, 13, FALSE))</f>
        <v>319029.52</v>
      </c>
      <c r="O57" s="556">
        <f>IF(VLOOKUP($E$57,[1]ON!$A$2:$FC$301, 14, FALSE)="",":",VLOOKUP($E$57,[1]ON!$A$2:$FC$301, 14, FALSE))</f>
        <v>321500.09000000003</v>
      </c>
      <c r="P57" s="556">
        <f>IF(VLOOKUP($E$57,[1]ON!$A$2:$FC$301, 15, FALSE)="",":",VLOOKUP($E$57,[1]ON!$A$2:$FC$301, 15, FALSE))</f>
        <v>333186.14</v>
      </c>
      <c r="Q57" s="556">
        <f>IF(VLOOKUP($E$57,[1]ON!$A$2:$FC$301, 16, FALSE)="",":",VLOOKUP($E$57,[1]ON!$A$2:$FC$301, 16, FALSE))</f>
        <v>340163.96</v>
      </c>
      <c r="R57" s="556">
        <f>IF(VLOOKUP($E$57,[1]ON!$A$2:$FC$301, 17, FALSE)="",":",VLOOKUP($E$57,[1]ON!$A$2:$FC$301, 17, FALSE))</f>
        <v>348688.95</v>
      </c>
      <c r="S57" s="556">
        <f>IF(VLOOKUP($E$57,[1]ON!$A$2:$FC$301, 18, FALSE)="",":",VLOOKUP($E$57,[1]ON!$A$2:$FC$301, 18, FALSE))</f>
        <v>360715.14</v>
      </c>
      <c r="T57" s="556">
        <f>IF(VLOOKUP($E$57,[1]ON!$A$2:$FC$301, 19, FALSE)="",":",VLOOKUP($E$57,[1]ON!$A$2:$FC$301, 19, FALSE))</f>
        <v>363540.16</v>
      </c>
      <c r="U57" s="556">
        <f>IF(VLOOKUP($E$57,[1]ON!$A$2:$FC$301, 20, FALSE)="",":",VLOOKUP($E$57,[1]ON!$A$2:$FC$301, 20, FALSE))</f>
        <v>355348.97</v>
      </c>
      <c r="V57" s="556">
        <f>IF(VLOOKUP($E$57,[1]ON!$A$2:$FC$301, 21, FALSE)="",":",VLOOKUP($E$57,[1]ON!$A$2:$FC$301, 21, FALSE))</f>
        <v>365100.5</v>
      </c>
      <c r="W57" s="556">
        <f>IF(VLOOKUP($E$57,[1]ON!$A$2:$FC$301, 22, FALSE)="",":",VLOOKUP($E$57,[1]ON!$A$2:$FC$301, 22, FALSE))</f>
        <v>371666.11</v>
      </c>
      <c r="X57" s="556">
        <f>IF(VLOOKUP($E$57,[1]ON!$A$2:$FC$301, 23, FALSE)="",":",VLOOKUP($E$57,[1]ON!$A$2:$FC$301, 23, FALSE))</f>
        <v>372538.77</v>
      </c>
      <c r="Y57" s="556">
        <f>IF(VLOOKUP($E$57,[1]ON!$A$2:$FC$301, 24, FALSE)="",":",VLOOKUP($E$57,[1]ON!$A$2:$FC$301, 24, FALSE))</f>
        <v>373286.27</v>
      </c>
      <c r="Z57" s="556">
        <f>IF(VLOOKUP($E$57,[1]ON!$A$2:$FC$301, 25, FALSE)="",":",VLOOKUP($E$57,[1]ON!$A$2:$FC$301, 25, FALSE))</f>
        <v>378330.99</v>
      </c>
      <c r="AA57" s="556">
        <f>IF(VLOOKUP($E$57,[1]ON!$A$2:$FC$301, 26, FALSE)="",":",VLOOKUP($E$57,[1]ON!$A$2:$FC$301, 26, FALSE))</f>
        <v>383644.63</v>
      </c>
      <c r="AB57" s="556">
        <f>IF(VLOOKUP($E$57,[1]ON!$A$2:$FC$301, 27, FALSE)="",":",VLOOKUP($E$57,[1]ON!$A$2:$FC$301, 27, FALSE))</f>
        <v>389268.88</v>
      </c>
      <c r="AC57" s="556">
        <f>IF(VLOOKUP($E$57,[1]ON!$A$2:$FC$301, 28, FALSE)="",":",VLOOKUP($E$57,[1]ON!$A$2:$FC$301, 28, FALSE))</f>
        <v>395833.93</v>
      </c>
      <c r="AD57" s="556" t="str">
        <f>IF(VLOOKUP($E$57,[1]ON!$A$2:$FC$301, 29, FALSE)="",":",VLOOKUP($E$57,[1]ON!$A$2:$FC$301, 29, FALSE))</f>
        <v>:</v>
      </c>
      <c r="AE57" s="556" t="str">
        <f>IF(VLOOKUP($E$57,[1]ON!$A$2:$FC$301, 30, FALSE)="",":",VLOOKUP($E$57,[1]ON!$A$2:$FC$301, 30, FALSE))</f>
        <v>:</v>
      </c>
      <c r="AF57" s="556" t="str">
        <f>IF(VLOOKUP($E$57,[1]ON!$A$2:$FC$301, 31, FALSE)="",":",VLOOKUP($E$57,[1]ON!$A$2:$FC$301, 31, FALSE))</f>
        <v>:</v>
      </c>
    </row>
    <row r="58" spans="1:32">
      <c r="A58" s="545"/>
      <c r="B58" s="546"/>
      <c r="C58" s="547"/>
      <c r="D58" s="12"/>
      <c r="E58" s="13"/>
      <c r="F58" s="14"/>
      <c r="G58" s="556"/>
      <c r="H58" s="556"/>
      <c r="I58" s="556"/>
      <c r="J58" s="556"/>
      <c r="K58" s="556"/>
      <c r="L58" s="556"/>
      <c r="M58" s="556"/>
      <c r="N58" s="556"/>
      <c r="O58" s="556"/>
      <c r="P58" s="556"/>
      <c r="Q58" s="556"/>
      <c r="R58" s="556"/>
      <c r="S58" s="556"/>
      <c r="T58" s="556"/>
      <c r="U58" s="556"/>
      <c r="V58" s="556"/>
      <c r="W58" s="556"/>
      <c r="X58" s="556"/>
      <c r="Y58" s="556"/>
      <c r="Z58" s="556"/>
      <c r="AA58" s="556"/>
      <c r="AB58" s="556"/>
      <c r="AC58" s="556"/>
      <c r="AD58" s="556"/>
      <c r="AE58" s="556"/>
      <c r="AF58" s="556"/>
    </row>
    <row r="59" spans="1:32">
      <c r="A59" s="887"/>
      <c r="B59" s="546" t="s">
        <v>1459</v>
      </c>
      <c r="C59" s="547"/>
      <c r="D59" s="12"/>
      <c r="E59" s="13"/>
      <c r="F59" s="14"/>
      <c r="G59" s="556"/>
      <c r="H59" s="556"/>
      <c r="I59" s="556"/>
      <c r="J59" s="556"/>
      <c r="K59" s="556"/>
      <c r="L59" s="556"/>
      <c r="M59" s="556"/>
      <c r="N59" s="556"/>
      <c r="O59" s="556"/>
      <c r="P59" s="556"/>
      <c r="Q59" s="556"/>
      <c r="R59" s="556"/>
      <c r="S59" s="556"/>
      <c r="T59" s="556"/>
      <c r="U59" s="556"/>
      <c r="V59" s="556"/>
      <c r="W59" s="556"/>
      <c r="X59" s="556"/>
      <c r="Y59" s="556"/>
      <c r="Z59" s="556"/>
      <c r="AA59" s="556"/>
      <c r="AB59" s="556"/>
      <c r="AC59" s="556"/>
      <c r="AD59" s="556"/>
      <c r="AE59" s="556"/>
      <c r="AF59" s="556"/>
    </row>
    <row r="60" spans="1:32">
      <c r="A60" s="887"/>
      <c r="B60" s="546" t="s">
        <v>1460</v>
      </c>
      <c r="C60" s="547"/>
      <c r="D60" s="12"/>
      <c r="E60" s="13"/>
      <c r="F60" s="14"/>
      <c r="G60" s="556"/>
      <c r="H60" s="556"/>
      <c r="I60" s="556"/>
      <c r="J60" s="556"/>
      <c r="K60" s="556"/>
      <c r="L60" s="556"/>
      <c r="M60" s="556"/>
      <c r="N60" s="556"/>
      <c r="O60" s="556"/>
      <c r="P60" s="556"/>
      <c r="Q60" s="556"/>
      <c r="R60" s="556"/>
      <c r="S60" s="556"/>
      <c r="T60" s="556"/>
      <c r="U60" s="556"/>
      <c r="V60" s="556"/>
      <c r="W60" s="556"/>
      <c r="X60" s="556"/>
      <c r="Y60" s="556"/>
      <c r="Z60" s="556"/>
      <c r="AA60" s="556"/>
      <c r="AB60" s="556"/>
      <c r="AC60" s="556"/>
      <c r="AD60" s="556"/>
      <c r="AE60" s="556"/>
      <c r="AF60" s="556"/>
    </row>
    <row r="61" spans="1:32">
      <c r="A61" s="546"/>
      <c r="B61" s="546"/>
      <c r="C61" s="547"/>
      <c r="D61" s="12"/>
      <c r="E61" s="13"/>
      <c r="F61" s="14"/>
      <c r="G61" s="556"/>
      <c r="H61" s="556"/>
      <c r="I61" s="556"/>
      <c r="J61" s="556"/>
      <c r="K61" s="556"/>
      <c r="L61" s="556"/>
      <c r="M61" s="556"/>
      <c r="N61" s="556"/>
      <c r="O61" s="556"/>
      <c r="P61" s="556"/>
      <c r="Q61" s="556"/>
      <c r="R61" s="556"/>
      <c r="S61" s="556"/>
      <c r="T61" s="556"/>
      <c r="U61" s="556"/>
      <c r="V61" s="556"/>
      <c r="W61" s="556"/>
      <c r="X61" s="556"/>
      <c r="Y61" s="556"/>
      <c r="Z61" s="556"/>
      <c r="AA61" s="556"/>
      <c r="AB61" s="556"/>
      <c r="AC61" s="556"/>
      <c r="AD61" s="556"/>
      <c r="AE61" s="556"/>
      <c r="AF61" s="556"/>
    </row>
    <row r="62" spans="1:32">
      <c r="A62" s="545">
        <v>36</v>
      </c>
      <c r="B62" s="546" t="s">
        <v>876</v>
      </c>
      <c r="C62" s="547" t="s">
        <v>338</v>
      </c>
      <c r="D62" s="12" t="s">
        <v>1084</v>
      </c>
      <c r="E62" s="13">
        <v>200</v>
      </c>
      <c r="F62" s="14" t="str">
        <f>VLOOKUP($E$62,[1]UN!$A$2:$FA$303, 3, FALSE)</f>
        <v xml:space="preserve">200  Household final consumption expenditure (national)                           </v>
      </c>
      <c r="G62" s="556">
        <f ca="1">IF(VLOOKUP($E$62,[1]UN!$A$2:$FA$303, 6, FALSE)="",":",VLOOKUP($E$62,[1]UN!$A$2:$FA$303, 6, FALSE))</f>
        <v>112967.9</v>
      </c>
      <c r="H62" s="556">
        <f>IF(VLOOKUP($E$62,[1]UN!$A$2:$FA$303, 7, FALSE)="",":",VLOOKUP($E$62,[1]UN!$A$2:$FA$303, 7, FALSE))</f>
        <v>116606.9</v>
      </c>
      <c r="I62" s="556">
        <f>IF(VLOOKUP($E$62,[1]UN!$A$2:$FA$303, 8, FALSE)="",":",VLOOKUP($E$62,[1]UN!$A$2:$FA$303, 8, FALSE))</f>
        <v>120491.2</v>
      </c>
      <c r="J62" s="556">
        <f>IF(VLOOKUP($E$62,[1]UN!$A$2:$FA$303, 9, FALSE)="",":",VLOOKUP($E$62,[1]UN!$A$2:$FA$303, 9, FALSE))</f>
        <v>125256.8</v>
      </c>
      <c r="K62" s="556">
        <f>IF(VLOOKUP($E$62,[1]UN!$A$2:$FA$303, 10, FALSE)="",":",VLOOKUP($E$62,[1]UN!$A$2:$FA$303, 10, FALSE))</f>
        <v>128148.4</v>
      </c>
      <c r="L62" s="556">
        <f>IF(VLOOKUP($E$62,[1]UN!$A$2:$FA$303, 11, FALSE)="",":",VLOOKUP($E$62,[1]UN!$A$2:$FA$303, 11, FALSE))</f>
        <v>136102.79999999999</v>
      </c>
      <c r="M62" s="556">
        <f>IF(VLOOKUP($E$62,[1]UN!$A$2:$FA$303, 12, FALSE)="",":",VLOOKUP($E$62,[1]UN!$A$2:$FA$303, 12, FALSE))</f>
        <v>140290.9</v>
      </c>
      <c r="N62" s="556">
        <f>IF(VLOOKUP($E$62,[1]UN!$A$2:$FA$303, 13, FALSE)="",":",VLOOKUP($E$62,[1]UN!$A$2:$FA$303, 13, FALSE))</f>
        <v>142798.29999999999</v>
      </c>
      <c r="O62" s="556">
        <f>IF(VLOOKUP($E$62,[1]UN!$A$2:$FA$303, 14, FALSE)="",":",VLOOKUP($E$62,[1]UN!$A$2:$FA$303, 14, FALSE))</f>
        <v>145800.4</v>
      </c>
      <c r="P62" s="556">
        <f>IF(VLOOKUP($E$62,[1]UN!$A$2:$FA$303, 15, FALSE)="",":",VLOOKUP($E$62,[1]UN!$A$2:$FA$303, 15, FALSE))</f>
        <v>151649</v>
      </c>
      <c r="Q62" s="556">
        <f>IF(VLOOKUP($E$62,[1]UN!$A$2:$FA$303, 16, FALSE)="",":",VLOOKUP($E$62,[1]UN!$A$2:$FA$303, 16, FALSE))</f>
        <v>157661.20000000001</v>
      </c>
      <c r="R62" s="556">
        <f>IF(VLOOKUP($E$62,[1]UN!$A$2:$FA$303, 17, FALSE)="",":",VLOOKUP($E$62,[1]UN!$A$2:$FA$303, 17, FALSE))</f>
        <v>164948.70000000001</v>
      </c>
      <c r="S62" s="556">
        <f>IF(VLOOKUP($E$62,[1]UN!$A$2:$FA$303, 18, FALSE)="",":",VLOOKUP($E$62,[1]UN!$A$2:$FA$303, 18, FALSE))</f>
        <v>172866.1</v>
      </c>
      <c r="T62" s="556">
        <f>IF(VLOOKUP($E$62,[1]UN!$A$2:$FA$303, 19, FALSE)="",":",VLOOKUP($E$62,[1]UN!$A$2:$FA$303, 19, FALSE))</f>
        <v>181392.3</v>
      </c>
      <c r="U62" s="556">
        <f>IF(VLOOKUP($E$62,[1]UN!$A$2:$FA$303, 20, FALSE)="",":",VLOOKUP($E$62,[1]UN!$A$2:$FA$303, 20, FALSE))</f>
        <v>181545.7</v>
      </c>
      <c r="V62" s="556">
        <f>IF(VLOOKUP($E$62,[1]UN!$A$2:$FA$303, 21, FALSE)="",":",VLOOKUP($E$62,[1]UN!$A$2:$FA$303, 21, FALSE))</f>
        <v>189692.9</v>
      </c>
      <c r="W62" s="556">
        <f>IF(VLOOKUP($E$62,[1]UN!$A$2:$FA$303, 22, FALSE)="",":",VLOOKUP($E$62,[1]UN!$A$2:$FA$303, 22, FALSE))</f>
        <v>196069.2</v>
      </c>
      <c r="X62" s="556">
        <f>IF(VLOOKUP($E$62,[1]UN!$A$2:$FA$303, 23, FALSE)="",":",VLOOKUP($E$62,[1]UN!$A$2:$FA$303, 23, FALSE))</f>
        <v>201182.2</v>
      </c>
      <c r="Y62" s="556">
        <f>IF(VLOOKUP($E$62,[1]UN!$A$2:$FA$303, 24, FALSE)="",":",VLOOKUP($E$62,[1]UN!$A$2:$FA$303, 24, FALSE))</f>
        <v>204384.8</v>
      </c>
      <c r="Z62" s="556">
        <f>IF(VLOOKUP($E$62,[1]UN!$A$2:$FA$303, 25, FALSE)="",":",VLOOKUP($E$62,[1]UN!$A$2:$FA$303, 25, FALSE))</f>
        <v>206889</v>
      </c>
      <c r="AA62" s="556">
        <f>IF(VLOOKUP($E$62,[1]UN!$A$2:$FA$303, 26, FALSE)="",":",VLOOKUP($E$62,[1]UN!$A$2:$FA$303, 26, FALSE))</f>
        <v>209888.1</v>
      </c>
      <c r="AB62" s="556">
        <f>IF(VLOOKUP($E$62,[1]UN!$A$2:$FA$303, 27, FALSE)="",":",VLOOKUP($E$62,[1]UN!$A$2:$FA$303, 27, FALSE))</f>
        <v>216574.3</v>
      </c>
      <c r="AC62" s="556">
        <f>IF(VLOOKUP($E$62,[1]UN!$A$2:$FA$303, 28, FALSE)="",":",VLOOKUP($E$62,[1]UN!$A$2:$FA$303, 28, FALSE))</f>
        <v>222723</v>
      </c>
      <c r="AD62" s="556" t="str">
        <f>IF(VLOOKUP($E$62,[1]UN!$A$2:$FA$303, 29, FALSE)="",":",VLOOKUP($E$62,[1]UN!$A$2:$FA$303, 29, FALSE))</f>
        <v>:</v>
      </c>
      <c r="AE62" s="556" t="str">
        <f>IF(VLOOKUP($E$62,[1]UN!$A$2:$FA$303, 30, FALSE)="",":",VLOOKUP($E$62,[1]UN!$A$2:$FA$303, 30, FALSE))</f>
        <v>:</v>
      </c>
      <c r="AF62" s="556" t="str">
        <f>IF(VLOOKUP($E$62,[1]UN!$A$2:$FA$303, 31, FALSE)="",":",VLOOKUP($E$62,[1]UN!$A$2:$FA$303, 31, FALSE))</f>
        <v>:</v>
      </c>
    </row>
    <row r="63" spans="1:32">
      <c r="A63" s="545">
        <v>119</v>
      </c>
      <c r="B63" s="546" t="s">
        <v>1461</v>
      </c>
      <c r="C63" s="547" t="s">
        <v>339</v>
      </c>
      <c r="D63" s="12" t="s">
        <v>1932</v>
      </c>
      <c r="E63" s="13">
        <v>34</v>
      </c>
      <c r="F63" s="14" t="str">
        <f>VLOOKUP($E$63,[1]UG!$A$2:$FA$300, 3, FALSE)</f>
        <v>34. Individual consumption expenditure P.31</v>
      </c>
      <c r="G63" s="556">
        <f>IF(VLOOKUP($E$63,[1]UG!$A$2:$FA$300, 6, FALSE)="",":",VLOOKUP($E$63,[1]UG!$A$2:$FA$300, 6, FALSE))</f>
        <v>26657.7</v>
      </c>
      <c r="H63" s="556">
        <f>IF(VLOOKUP($E$63,[1]UG!$A$2:$FA$300, 7, FALSE)="",":",VLOOKUP($E$63,[1]UG!$A$2:$FA$300, 7, FALSE))</f>
        <v>28097.55</v>
      </c>
      <c r="I63" s="556">
        <f>IF(VLOOKUP($E$63,[1]UG!$A$2:$FA$300, 8, FALSE)="",":",VLOOKUP($E$63,[1]UG!$A$2:$FA$300, 8, FALSE))</f>
        <v>28597.42</v>
      </c>
      <c r="J63" s="556">
        <f>IF(VLOOKUP($E$63,[1]UG!$A$2:$FA$300, 9, FALSE)="",":",VLOOKUP($E$63,[1]UG!$A$2:$FA$300, 9, FALSE))</f>
        <v>29687.4</v>
      </c>
      <c r="K63" s="556">
        <f>IF(VLOOKUP($E$63,[1]UG!$A$2:$FA$300, 10, FALSE)="",":",VLOOKUP($E$63,[1]UG!$A$2:$FA$300, 10, FALSE))</f>
        <v>30962.94</v>
      </c>
      <c r="L63" s="556">
        <f>IF(VLOOKUP($E$63,[1]UG!$A$2:$FA$300, 11, FALSE)="",":",VLOOKUP($E$63,[1]UG!$A$2:$FA$300, 11, FALSE))</f>
        <v>32323.07</v>
      </c>
      <c r="M63" s="556">
        <f>IF(VLOOKUP($E$63,[1]UG!$A$2:$FA$300, 12, FALSE)="",":",VLOOKUP($E$63,[1]UG!$A$2:$FA$300, 12, FALSE))</f>
        <v>34466.67</v>
      </c>
      <c r="N63" s="556">
        <f>IF(VLOOKUP($E$63,[1]UG!$A$2:$FA$300, 13, FALSE)="",":",VLOOKUP($E$63,[1]UG!$A$2:$FA$300, 13, FALSE))</f>
        <v>36268.269999999997</v>
      </c>
      <c r="O63" s="556">
        <f>IF(VLOOKUP($E$63,[1]UG!$A$2:$FA$300, 14, FALSE)="",":",VLOOKUP($E$63,[1]UG!$A$2:$FA$300, 14, FALSE))</f>
        <v>38633.26</v>
      </c>
      <c r="P63" s="556">
        <f>IF(VLOOKUP($E$63,[1]UG!$A$2:$FA$300, 15, FALSE)="",":",VLOOKUP($E$63,[1]UG!$A$2:$FA$300, 15, FALSE))</f>
        <v>40629.910000000003</v>
      </c>
      <c r="Q63" s="556">
        <f>IF(VLOOKUP($E$63,[1]UG!$A$2:$FA$300, 16, FALSE)="",":",VLOOKUP($E$63,[1]UG!$A$2:$FA$300, 16, FALSE))</f>
        <v>42544.31</v>
      </c>
      <c r="R63" s="556">
        <f>IF(VLOOKUP($E$63,[1]UG!$A$2:$FA$300, 17, FALSE)="",":",VLOOKUP($E$63,[1]UG!$A$2:$FA$300, 17, FALSE))</f>
        <v>44138.94</v>
      </c>
      <c r="S63" s="556">
        <f>IF(VLOOKUP($E$63,[1]UG!$A$2:$FA$300, 18, FALSE)="",":",VLOOKUP($E$63,[1]UG!$A$2:$FA$300, 18, FALSE))</f>
        <v>45990.64</v>
      </c>
      <c r="T63" s="556">
        <f>IF(VLOOKUP($E$63,[1]UG!$A$2:$FA$300, 19, FALSE)="",":",VLOOKUP($E$63,[1]UG!$A$2:$FA$300, 19, FALSE))</f>
        <v>49736.43</v>
      </c>
      <c r="U63" s="556">
        <f>IF(VLOOKUP($E$63,[1]UG!$A$2:$FA$300, 20, FALSE)="",":",VLOOKUP($E$63,[1]UG!$A$2:$FA$300, 20, FALSE))</f>
        <v>52559.28</v>
      </c>
      <c r="V63" s="556">
        <f>IF(VLOOKUP($E$63,[1]UG!$A$2:$FA$300, 21, FALSE)="",":",VLOOKUP($E$63,[1]UG!$A$2:$FA$300, 21, FALSE))</f>
        <v>54753.22</v>
      </c>
      <c r="W63" s="556">
        <f>IF(VLOOKUP($E$63,[1]UG!$A$2:$FA$300, 22, FALSE)="",":",VLOOKUP($E$63,[1]UG!$A$2:$FA$300, 22, FALSE))</f>
        <v>57776.78</v>
      </c>
      <c r="X63" s="556">
        <f>IF(VLOOKUP($E$63,[1]UG!$A$2:$FA$300, 23, FALSE)="",":",VLOOKUP($E$63,[1]UG!$A$2:$FA$300, 23, FALSE))</f>
        <v>60306.67</v>
      </c>
      <c r="Y63" s="556">
        <f>IF(VLOOKUP($E$63,[1]UG!$A$2:$FA$300, 24, FALSE)="",":",VLOOKUP($E$63,[1]UG!$A$2:$FA$300, 24, FALSE))</f>
        <v>61176.91</v>
      </c>
      <c r="Z63" s="556">
        <f>IF(VLOOKUP($E$63,[1]UG!$A$2:$FA$300, 25, FALSE)="",":",VLOOKUP($E$63,[1]UG!$A$2:$FA$300, 25, FALSE))</f>
        <v>62885.58</v>
      </c>
      <c r="AA63" s="556">
        <f>IF(VLOOKUP($E$63,[1]UG!$A$2:$FA$300, 26, FALSE)="",":",VLOOKUP($E$63,[1]UG!$A$2:$FA$300, 26, FALSE))</f>
        <v>64084.6</v>
      </c>
      <c r="AB63" s="556">
        <f>IF(VLOOKUP($E$63,[1]UG!$A$2:$FA$300, 27, FALSE)="",":",VLOOKUP($E$63,[1]UG!$A$2:$FA$300, 27, FALSE))</f>
        <v>65977.19</v>
      </c>
      <c r="AC63" s="556">
        <f>IF(VLOOKUP($E$63,[1]UG!$A$2:$FA$300, 28, FALSE)="",":",VLOOKUP($E$63,[1]UG!$A$2:$FA$300, 28, FALSE))</f>
        <v>68266.03</v>
      </c>
      <c r="AD63" s="556" t="str">
        <f>IF(VLOOKUP($E$63,[1]UG!$A$2:$FA$300, 29, FALSE)="",":",VLOOKUP($E$63,[1]UG!$A$2:$FA$300, 29, FALSE))</f>
        <v>:</v>
      </c>
      <c r="AE63" s="556" t="str">
        <f>IF(VLOOKUP($E$63,[1]UG!$A$2:$FA$300, 30, FALSE)="",":",VLOOKUP($E$63,[1]UG!$A$2:$FA$300, 30, FALSE))</f>
        <v>:</v>
      </c>
      <c r="AF63" s="556" t="str">
        <f>IF(VLOOKUP($E$63,[1]UG!$A$2:$FA$300, 31, FALSE)="",":",VLOOKUP($E$63,[1]UG!$A$2:$FA$300, 31, FALSE))</f>
        <v>:</v>
      </c>
    </row>
    <row r="64" spans="1:32">
      <c r="A64" s="545">
        <v>118</v>
      </c>
      <c r="B64" s="546" t="s">
        <v>1462</v>
      </c>
      <c r="C64" s="547" t="s">
        <v>340</v>
      </c>
      <c r="D64" s="12" t="s">
        <v>1932</v>
      </c>
      <c r="E64" s="13">
        <v>35</v>
      </c>
      <c r="F64" s="14" t="str">
        <f>VLOOKUP($E$64,[1]UG!$A$2:$FA$300, 3, FALSE)</f>
        <v>35 Collective consumption expenditure P.32</v>
      </c>
      <c r="G64" s="556">
        <f>IF(VLOOKUP($E$64,[1]UG!$A$2:$FA$300, 6, FALSE)="",":",VLOOKUP($E$64,[1]UG!$A$2:$FA$300, 6, FALSE))</f>
        <v>18110.8</v>
      </c>
      <c r="H64" s="556">
        <f>IF(VLOOKUP($E$64,[1]UG!$A$2:$FA$300, 7, FALSE)="",":",VLOOKUP($E$64,[1]UG!$A$2:$FA$300, 7, FALSE))</f>
        <v>18340.45</v>
      </c>
      <c r="I64" s="556">
        <f>IF(VLOOKUP($E$64,[1]UG!$A$2:$FA$300, 8, FALSE)="",":",VLOOKUP($E$64,[1]UG!$A$2:$FA$300, 8, FALSE))</f>
        <v>18756.080000000002</v>
      </c>
      <c r="J64" s="556">
        <f>IF(VLOOKUP($E$64,[1]UG!$A$2:$FA$300, 9, FALSE)="",":",VLOOKUP($E$64,[1]UG!$A$2:$FA$300, 9, FALSE))</f>
        <v>19219.400000000001</v>
      </c>
      <c r="K64" s="556">
        <f>IF(VLOOKUP($E$64,[1]UG!$A$2:$FA$300, 10, FALSE)="",":",VLOOKUP($E$64,[1]UG!$A$2:$FA$300, 10, FALSE))</f>
        <v>20363.259999999998</v>
      </c>
      <c r="L64" s="556">
        <f>IF(VLOOKUP($E$64,[1]UG!$A$2:$FA$300, 11, FALSE)="",":",VLOOKUP($E$64,[1]UG!$A$2:$FA$300, 11, FALSE))</f>
        <v>21579.23</v>
      </c>
      <c r="M64" s="556">
        <f>IF(VLOOKUP($E$64,[1]UG!$A$2:$FA$300, 12, FALSE)="",":",VLOOKUP($E$64,[1]UG!$A$2:$FA$300, 12, FALSE))</f>
        <v>22089.63</v>
      </c>
      <c r="N64" s="556">
        <f>IF(VLOOKUP($E$64,[1]UG!$A$2:$FA$300, 13, FALSE)="",":",VLOOKUP($E$64,[1]UG!$A$2:$FA$300, 13, FALSE))</f>
        <v>24016.03</v>
      </c>
      <c r="O64" s="556">
        <f>IF(VLOOKUP($E$64,[1]UG!$A$2:$FA$300, 14, FALSE)="",":",VLOOKUP($E$64,[1]UG!$A$2:$FA$300, 14, FALSE))</f>
        <v>24540.54</v>
      </c>
      <c r="P64" s="556">
        <f>IF(VLOOKUP($E$64,[1]UG!$A$2:$FA$300, 15, FALSE)="",":",VLOOKUP($E$64,[1]UG!$A$2:$FA$300, 15, FALSE))</f>
        <v>25191.79</v>
      </c>
      <c r="Q64" s="556">
        <f>IF(VLOOKUP($E$64,[1]UG!$A$2:$FA$300, 16, FALSE)="",":",VLOOKUP($E$64,[1]UG!$A$2:$FA$300, 16, FALSE))</f>
        <v>26317.39</v>
      </c>
      <c r="R64" s="556">
        <f>IF(VLOOKUP($E$64,[1]UG!$A$2:$FA$300, 17, FALSE)="",":",VLOOKUP($E$64,[1]UG!$A$2:$FA$300, 17, FALSE))</f>
        <v>27374.76</v>
      </c>
      <c r="S64" s="556">
        <f>IF(VLOOKUP($E$64,[1]UG!$A$2:$FA$300, 18, FALSE)="",":",VLOOKUP($E$64,[1]UG!$A$2:$FA$300, 18, FALSE))</f>
        <v>28421.06</v>
      </c>
      <c r="T64" s="556">
        <f>IF(VLOOKUP($E$64,[1]UG!$A$2:$FA$300, 19, FALSE)="",":",VLOOKUP($E$64,[1]UG!$A$2:$FA$300, 19, FALSE))</f>
        <v>30120.97</v>
      </c>
      <c r="U64" s="556">
        <f>IF(VLOOKUP($E$64,[1]UG!$A$2:$FA$300, 20, FALSE)="",":",VLOOKUP($E$64,[1]UG!$A$2:$FA$300, 20, FALSE))</f>
        <v>31222.52</v>
      </c>
      <c r="V64" s="556">
        <f>IF(VLOOKUP($E$64,[1]UG!$A$2:$FA$300, 21, FALSE)="",":",VLOOKUP($E$64,[1]UG!$A$2:$FA$300, 21, FALSE))</f>
        <v>31245.68</v>
      </c>
      <c r="W64" s="556">
        <f>IF(VLOOKUP($E$64,[1]UG!$A$2:$FA$300, 22, FALSE)="",":",VLOOKUP($E$64,[1]UG!$A$2:$FA$300, 22, FALSE))</f>
        <v>32350.720000000001</v>
      </c>
      <c r="X64" s="556">
        <f>IF(VLOOKUP($E$64,[1]UG!$A$2:$FA$300, 23, FALSE)="",":",VLOOKUP($E$64,[1]UG!$A$2:$FA$300, 23, FALSE))</f>
        <v>33703.93</v>
      </c>
      <c r="Y64" s="556">
        <f>IF(VLOOKUP($E$64,[1]UG!$A$2:$FA$300, 24, FALSE)="",":",VLOOKUP($E$64,[1]UG!$A$2:$FA$300, 24, FALSE))</f>
        <v>34910.19</v>
      </c>
      <c r="Z64" s="556">
        <f>IF(VLOOKUP($E$64,[1]UG!$A$2:$FA$300, 25, FALSE)="",":",VLOOKUP($E$64,[1]UG!$A$2:$FA$300, 25, FALSE))</f>
        <v>34472.120000000003</v>
      </c>
      <c r="AA64" s="556">
        <f>IF(VLOOKUP($E$64,[1]UG!$A$2:$FA$300, 26, FALSE)="",":",VLOOKUP($E$64,[1]UG!$A$2:$FA$300, 26, FALSE))</f>
        <v>34003</v>
      </c>
      <c r="AB64" s="556">
        <f>IF(VLOOKUP($E$64,[1]UG!$A$2:$FA$300, 27, FALSE)="",":",VLOOKUP($E$64,[1]UG!$A$2:$FA$300, 27, FALSE))</f>
        <v>33262.910000000003</v>
      </c>
      <c r="AC64" s="556">
        <f>IF(VLOOKUP($E$64,[1]UG!$A$2:$FA$300, 28, FALSE)="",":",VLOOKUP($E$64,[1]UG!$A$2:$FA$300, 28, FALSE))</f>
        <v>34146.269999999997</v>
      </c>
      <c r="AD64" s="556" t="str">
        <f>IF(VLOOKUP($E$64,[1]UG!$A$2:$FA$300, 29, FALSE)="",":",VLOOKUP($E$64,[1]UG!$A$2:$FA$300, 29, FALSE))</f>
        <v>:</v>
      </c>
      <c r="AE64" s="556" t="str">
        <f>IF(VLOOKUP($E$64,[1]UG!$A$2:$FA$300, 30, FALSE)="",":",VLOOKUP($E$64,[1]UG!$A$2:$FA$300, 30, FALSE))</f>
        <v>:</v>
      </c>
      <c r="AF64" s="556" t="str">
        <f>IF(VLOOKUP($E$64,[1]UG!$A$2:$FA$300, 31, FALSE)="",":",VLOOKUP($E$64,[1]UG!$A$2:$FA$300, 31, FALSE))</f>
        <v>:</v>
      </c>
    </row>
    <row r="65" spans="1:32">
      <c r="A65" s="545">
        <v>37</v>
      </c>
      <c r="B65" s="546" t="s">
        <v>1382</v>
      </c>
      <c r="C65" s="547" t="s">
        <v>341</v>
      </c>
      <c r="D65" s="12" t="s">
        <v>1084</v>
      </c>
      <c r="E65" s="13">
        <v>100</v>
      </c>
      <c r="F65" s="14" t="str">
        <f>VLOOKUP($E$65,[1]UN!$A$2:$FA$303, 3, FALSE)</f>
        <v xml:space="preserve">100  Government final consumption expenditure                                     </v>
      </c>
      <c r="G65" s="556">
        <f ca="1">IF(VLOOKUP($E$65,[1]UN!$A$2:$FA$303, 6, FALSE)="",":",VLOOKUP($E$65,[1]UN!$A$2:$FA$303, 6, FALSE))</f>
        <v>44768.5</v>
      </c>
      <c r="H65" s="556">
        <f>IF(VLOOKUP($E$65,[1]UN!$A$2:$FA$303, 7, FALSE)="",":",VLOOKUP($E$65,[1]UN!$A$2:$FA$303, 7, FALSE))</f>
        <v>46438</v>
      </c>
      <c r="I65" s="556">
        <f>IF(VLOOKUP($E$65,[1]UN!$A$2:$FA$303, 8, FALSE)="",":",VLOOKUP($E$65,[1]UN!$A$2:$FA$303, 8, FALSE))</f>
        <v>47353.5</v>
      </c>
      <c r="J65" s="556">
        <f>IF(VLOOKUP($E$65,[1]UN!$A$2:$FA$303, 9, FALSE)="",":",VLOOKUP($E$65,[1]UN!$A$2:$FA$303, 9, FALSE))</f>
        <v>48906.8</v>
      </c>
      <c r="K65" s="556">
        <f>IF(VLOOKUP($E$65,[1]UN!$A$2:$FA$303, 10, FALSE)="",":",VLOOKUP($E$65,[1]UN!$A$2:$FA$303, 10, FALSE))</f>
        <v>51326.2</v>
      </c>
      <c r="L65" s="556">
        <f>IF(VLOOKUP($E$65,[1]UN!$A$2:$FA$303, 11, FALSE)="",":",VLOOKUP($E$65,[1]UN!$A$2:$FA$303, 11, FALSE))</f>
        <v>53902.3</v>
      </c>
      <c r="M65" s="556">
        <f>IF(VLOOKUP($E$65,[1]UN!$A$2:$FA$303, 12, FALSE)="",":",VLOOKUP($E$65,[1]UN!$A$2:$FA$303, 12, FALSE))</f>
        <v>56556.3</v>
      </c>
      <c r="N65" s="556">
        <f>IF(VLOOKUP($E$65,[1]UN!$A$2:$FA$303, 13, FALSE)="",":",VLOOKUP($E$65,[1]UN!$A$2:$FA$303, 13, FALSE))</f>
        <v>60284.3</v>
      </c>
      <c r="O65" s="556">
        <f>IF(VLOOKUP($E$65,[1]UN!$A$2:$FA$303, 14, FALSE)="",":",VLOOKUP($E$65,[1]UN!$A$2:$FA$303, 14, FALSE))</f>
        <v>63173.8</v>
      </c>
      <c r="P65" s="556">
        <f>IF(VLOOKUP($E$65,[1]UN!$A$2:$FA$303, 15, FALSE)="",":",VLOOKUP($E$65,[1]UN!$A$2:$FA$303, 15, FALSE))</f>
        <v>65821.7</v>
      </c>
      <c r="Q65" s="556">
        <f>IF(VLOOKUP($E$65,[1]UN!$A$2:$FA$303, 16, FALSE)="",":",VLOOKUP($E$65,[1]UN!$A$2:$FA$303, 16, FALSE))</f>
        <v>68861.7</v>
      </c>
      <c r="R65" s="556">
        <f>IF(VLOOKUP($E$65,[1]UN!$A$2:$FA$303, 17, FALSE)="",":",VLOOKUP($E$65,[1]UN!$A$2:$FA$303, 17, FALSE))</f>
        <v>71513.7</v>
      </c>
      <c r="S65" s="556">
        <f>IF(VLOOKUP($E$65,[1]UN!$A$2:$FA$303, 18, FALSE)="",":",VLOOKUP($E$65,[1]UN!$A$2:$FA$303, 18, FALSE))</f>
        <v>74411.7</v>
      </c>
      <c r="T65" s="556">
        <f>IF(VLOOKUP($E$65,[1]UN!$A$2:$FA$303, 19, FALSE)="",":",VLOOKUP($E$65,[1]UN!$A$2:$FA$303, 19, FALSE))</f>
        <v>79857.399999999994</v>
      </c>
      <c r="U65" s="556">
        <f>IF(VLOOKUP($E$65,[1]UN!$A$2:$FA$303, 20, FALSE)="",":",VLOOKUP($E$65,[1]UN!$A$2:$FA$303, 20, FALSE))</f>
        <v>83781.8</v>
      </c>
      <c r="V65" s="556">
        <f>IF(VLOOKUP($E$65,[1]UN!$A$2:$FA$303, 21, FALSE)="",":",VLOOKUP($E$65,[1]UN!$A$2:$FA$303, 21, FALSE))</f>
        <v>85998.9</v>
      </c>
      <c r="W65" s="556">
        <f>IF(VLOOKUP($E$65,[1]UN!$A$2:$FA$303, 22, FALSE)="",":",VLOOKUP($E$65,[1]UN!$A$2:$FA$303, 22, FALSE))</f>
        <v>90127.5</v>
      </c>
      <c r="X65" s="556">
        <f>IF(VLOOKUP($E$65,[1]UN!$A$2:$FA$303, 23, FALSE)="",":",VLOOKUP($E$65,[1]UN!$A$2:$FA$303, 23, FALSE))</f>
        <v>94010.6</v>
      </c>
      <c r="Y65" s="556">
        <f>IF(VLOOKUP($E$65,[1]UN!$A$2:$FA$303, 24, FALSE)="",":",VLOOKUP($E$65,[1]UN!$A$2:$FA$303, 24, FALSE))</f>
        <v>96087.1</v>
      </c>
      <c r="Z65" s="556">
        <f>IF(VLOOKUP($E$65,[1]UN!$A$2:$FA$303, 25, FALSE)="",":",VLOOKUP($E$65,[1]UN!$A$2:$FA$303, 25, FALSE))</f>
        <v>97404.2</v>
      </c>
      <c r="AA65" s="556">
        <f>IF(VLOOKUP($E$65,[1]UN!$A$2:$FA$303, 26, FALSE)="",":",VLOOKUP($E$65,[1]UN!$A$2:$FA$303, 26, FALSE))</f>
        <v>98209.5</v>
      </c>
      <c r="AB65" s="556">
        <f>IF(VLOOKUP($E$65,[1]UN!$A$2:$FA$303, 27, FALSE)="",":",VLOOKUP($E$65,[1]UN!$A$2:$FA$303, 27, FALSE))</f>
        <v>99713.5</v>
      </c>
      <c r="AC65" s="556">
        <f>IF(VLOOKUP($E$65,[1]UN!$A$2:$FA$303, 28, FALSE)="",":",VLOOKUP($E$65,[1]UN!$A$2:$FA$303, 28, FALSE))</f>
        <v>102576.5</v>
      </c>
      <c r="AD65" s="556" t="str">
        <f>IF(VLOOKUP($E$65,[1]UN!$A$2:$FA$303, 29, FALSE)="",":",VLOOKUP($E$65,[1]UN!$A$2:$FA$303, 29, FALSE))</f>
        <v>:</v>
      </c>
      <c r="AE65" s="556" t="str">
        <f>IF(VLOOKUP($E$65,[1]UN!$A$2:$FA$303, 30, FALSE)="",":",VLOOKUP($E$65,[1]UN!$A$2:$FA$303, 30, FALSE))</f>
        <v>:</v>
      </c>
      <c r="AF65" s="556" t="str">
        <f>IF(VLOOKUP($E$65,[1]UN!$A$2:$FA$303, 31, FALSE)="",":",VLOOKUP($E$65,[1]UN!$A$2:$FA$303, 31, FALSE))</f>
        <v>:</v>
      </c>
    </row>
    <row r="66" spans="1:32">
      <c r="A66" s="545"/>
      <c r="B66" s="546"/>
      <c r="C66" s="547"/>
      <c r="D66" s="12"/>
      <c r="E66" s="13"/>
      <c r="F66" s="14"/>
      <c r="G66" s="556"/>
      <c r="H66" s="556"/>
      <c r="I66" s="556"/>
      <c r="J66" s="556"/>
      <c r="K66" s="556"/>
      <c r="L66" s="556"/>
      <c r="M66" s="556"/>
      <c r="N66" s="556"/>
      <c r="O66" s="556"/>
      <c r="P66" s="556"/>
      <c r="Q66" s="556"/>
      <c r="R66" s="556"/>
      <c r="S66" s="556"/>
      <c r="T66" s="556"/>
      <c r="U66" s="556"/>
      <c r="V66" s="556"/>
      <c r="W66" s="556"/>
      <c r="X66" s="556"/>
      <c r="Y66" s="556"/>
      <c r="Z66" s="556"/>
      <c r="AA66" s="556"/>
      <c r="AB66" s="556"/>
      <c r="AC66" s="556"/>
      <c r="AD66" s="556"/>
      <c r="AE66" s="556"/>
      <c r="AF66" s="556"/>
    </row>
    <row r="67" spans="1:32">
      <c r="A67" s="545"/>
      <c r="B67" s="546" t="s">
        <v>1463</v>
      </c>
      <c r="C67" s="547"/>
      <c r="D67" s="12"/>
      <c r="E67" s="13"/>
      <c r="F67" s="14"/>
      <c r="G67" s="556"/>
      <c r="H67" s="556"/>
      <c r="I67" s="556"/>
      <c r="J67" s="556"/>
      <c r="K67" s="556"/>
      <c r="L67" s="556"/>
      <c r="M67" s="556"/>
      <c r="N67" s="556"/>
      <c r="O67" s="556"/>
      <c r="P67" s="556"/>
      <c r="Q67" s="556"/>
      <c r="R67" s="556"/>
      <c r="S67" s="556"/>
      <c r="T67" s="556"/>
      <c r="U67" s="556"/>
      <c r="V67" s="556"/>
      <c r="W67" s="556"/>
      <c r="X67" s="556"/>
      <c r="Y67" s="556"/>
      <c r="Z67" s="556"/>
      <c r="AA67" s="556"/>
      <c r="AB67" s="556"/>
      <c r="AC67" s="556"/>
      <c r="AD67" s="556"/>
      <c r="AE67" s="556"/>
      <c r="AF67" s="556"/>
    </row>
    <row r="68" spans="1:32">
      <c r="A68" s="545"/>
      <c r="B68" s="546" t="s">
        <v>1464</v>
      </c>
      <c r="C68" s="547"/>
      <c r="D68" s="12"/>
      <c r="E68" s="13"/>
      <c r="F68" s="14"/>
      <c r="G68" s="556"/>
      <c r="H68" s="556"/>
      <c r="I68" s="556"/>
      <c r="J68" s="556"/>
      <c r="K68" s="556"/>
      <c r="L68" s="556"/>
      <c r="M68" s="556"/>
      <c r="N68" s="556"/>
      <c r="O68" s="556"/>
      <c r="P68" s="556"/>
      <c r="Q68" s="556"/>
      <c r="R68" s="556"/>
      <c r="S68" s="556"/>
      <c r="T68" s="556"/>
      <c r="U68" s="556"/>
      <c r="V68" s="556"/>
      <c r="W68" s="556"/>
      <c r="X68" s="556"/>
      <c r="Y68" s="556"/>
      <c r="Z68" s="556"/>
      <c r="AA68" s="556"/>
      <c r="AB68" s="556"/>
      <c r="AC68" s="556"/>
      <c r="AD68" s="556"/>
      <c r="AE68" s="556"/>
      <c r="AF68" s="556"/>
    </row>
    <row r="69" spans="1:32">
      <c r="A69" s="545"/>
      <c r="B69" s="546" t="s">
        <v>1465</v>
      </c>
      <c r="C69" s="547"/>
      <c r="D69" s="12" t="s">
        <v>1084</v>
      </c>
      <c r="E69" s="13">
        <v>317</v>
      </c>
      <c r="F69" s="14" t="str">
        <f>VLOOKUP($E$69,[1]UN!$A$2:$FA$303, 3, FALSE)</f>
        <v xml:space="preserve">317  Non-residential construction and civil engineering                           </v>
      </c>
      <c r="G69" s="556">
        <f ca="1">IF(VLOOKUP($E$69,[1]UN!$A$2:$FA$303, 6, FALSE)="",":",VLOOKUP($E$69,[1]UN!$A$2:$FA$303, 6, FALSE))</f>
        <v>10198.200000000001</v>
      </c>
      <c r="H69" s="556">
        <f>IF(VLOOKUP($E$69,[1]UN!$A$2:$FA$303, 7, FALSE)="",":",VLOOKUP($E$69,[1]UN!$A$2:$FA$303, 7, FALSE))</f>
        <v>10917.8</v>
      </c>
      <c r="I69" s="556">
        <f>IF(VLOOKUP($E$69,[1]UN!$A$2:$FA$303, 8, FALSE)="",":",VLOOKUP($E$69,[1]UN!$A$2:$FA$303, 8, FALSE))</f>
        <v>11037.1</v>
      </c>
      <c r="J69" s="556">
        <f>IF(VLOOKUP($E$69,[1]UN!$A$2:$FA$303, 9, FALSE)="",":",VLOOKUP($E$69,[1]UN!$A$2:$FA$303, 9, FALSE))</f>
        <v>11754.2</v>
      </c>
      <c r="K69" s="556">
        <f>IF(VLOOKUP($E$69,[1]UN!$A$2:$FA$303, 10, FALSE)="",":",VLOOKUP($E$69,[1]UN!$A$2:$FA$303, 10, FALSE))</f>
        <v>11689.7</v>
      </c>
      <c r="L69" s="556">
        <f>IF(VLOOKUP($E$69,[1]UN!$A$2:$FA$303, 11, FALSE)="",":",VLOOKUP($E$69,[1]UN!$A$2:$FA$303, 11, FALSE))</f>
        <v>11673.8</v>
      </c>
      <c r="M69" s="556">
        <f>IF(VLOOKUP($E$69,[1]UN!$A$2:$FA$303, 12, FALSE)="",":",VLOOKUP($E$69,[1]UN!$A$2:$FA$303, 12, FALSE))</f>
        <v>11690.4</v>
      </c>
      <c r="N69" s="556">
        <f>IF(VLOOKUP($E$69,[1]UN!$A$2:$FA$303, 13, FALSE)="",":",VLOOKUP($E$69,[1]UN!$A$2:$FA$303, 13, FALSE))</f>
        <v>10985</v>
      </c>
      <c r="O69" s="556">
        <f>IF(VLOOKUP($E$69,[1]UN!$A$2:$FA$303, 14, FALSE)="",":",VLOOKUP($E$69,[1]UN!$A$2:$FA$303, 14, FALSE))</f>
        <v>11381.7</v>
      </c>
      <c r="P69" s="556">
        <f>IF(VLOOKUP($E$69,[1]UN!$A$2:$FA$303, 15, FALSE)="",":",VLOOKUP($E$69,[1]UN!$A$2:$FA$303, 15, FALSE))</f>
        <v>12778.2</v>
      </c>
      <c r="Q69" s="556">
        <f>IF(VLOOKUP($E$69,[1]UN!$A$2:$FA$303, 16, FALSE)="",":",VLOOKUP($E$69,[1]UN!$A$2:$FA$303, 16, FALSE))</f>
        <v>12963.6</v>
      </c>
      <c r="R69" s="556">
        <f>IF(VLOOKUP($E$69,[1]UN!$A$2:$FA$303, 17, FALSE)="",":",VLOOKUP($E$69,[1]UN!$A$2:$FA$303, 17, FALSE))</f>
        <v>13491.1</v>
      </c>
      <c r="S69" s="556">
        <f>IF(VLOOKUP($E$69,[1]UN!$A$2:$FA$303, 18, FALSE)="",":",VLOOKUP($E$69,[1]UN!$A$2:$FA$303, 18, FALSE))</f>
        <v>15005.2</v>
      </c>
      <c r="T69" s="556">
        <f>IF(VLOOKUP($E$69,[1]UN!$A$2:$FA$303, 19, FALSE)="",":",VLOOKUP($E$69,[1]UN!$A$2:$FA$303, 19, FALSE))</f>
        <v>16325.4</v>
      </c>
      <c r="U69" s="556">
        <f>IF(VLOOKUP($E$69,[1]UN!$A$2:$FA$303, 20, FALSE)="",":",VLOOKUP($E$69,[1]UN!$A$2:$FA$303, 20, FALSE))</f>
        <v>17091.599999999999</v>
      </c>
      <c r="V69" s="556">
        <f>IF(VLOOKUP($E$69,[1]UN!$A$2:$FA$303, 21, FALSE)="",":",VLOOKUP($E$69,[1]UN!$A$2:$FA$303, 21, FALSE))</f>
        <v>16676.900000000001</v>
      </c>
      <c r="W69" s="556">
        <f>IF(VLOOKUP($E$69,[1]UN!$A$2:$FA$303, 22, FALSE)="",":",VLOOKUP($E$69,[1]UN!$A$2:$FA$303, 22, FALSE))</f>
        <v>19703.5</v>
      </c>
      <c r="X69" s="556">
        <f>IF(VLOOKUP($E$69,[1]UN!$A$2:$FA$303, 23, FALSE)="",":",VLOOKUP($E$69,[1]UN!$A$2:$FA$303, 23, FALSE))</f>
        <v>21317.200000000001</v>
      </c>
      <c r="Y69" s="556">
        <f>IF(VLOOKUP($E$69,[1]UN!$A$2:$FA$303, 24, FALSE)="",":",VLOOKUP($E$69,[1]UN!$A$2:$FA$303, 24, FALSE))</f>
        <v>21042.2</v>
      </c>
      <c r="Z69" s="556">
        <f>IF(VLOOKUP($E$69,[1]UN!$A$2:$FA$303, 25, FALSE)="",":",VLOOKUP($E$69,[1]UN!$A$2:$FA$303, 25, FALSE))</f>
        <v>20846.099999999999</v>
      </c>
      <c r="AA69" s="556">
        <f>IF(VLOOKUP($E$69,[1]UN!$A$2:$FA$303, 26, FALSE)="",":",VLOOKUP($E$69,[1]UN!$A$2:$FA$303, 26, FALSE))</f>
        <v>20251.099999999999</v>
      </c>
      <c r="AB69" s="556">
        <f>IF(VLOOKUP($E$69,[1]UN!$A$2:$FA$303, 27, FALSE)="",":",VLOOKUP($E$69,[1]UN!$A$2:$FA$303, 27, FALSE))</f>
        <v>20727.2</v>
      </c>
      <c r="AC69" s="556">
        <f>IF(VLOOKUP($E$69,[1]UN!$A$2:$FA$303, 28, FALSE)="",":",VLOOKUP($E$69,[1]UN!$A$2:$FA$303, 28, FALSE))</f>
        <v>22134.3</v>
      </c>
      <c r="AD69" s="556" t="str">
        <f>IF(VLOOKUP($E$69,[1]UN!$A$2:$FA$303, 29, FALSE)="",":",VLOOKUP($E$69,[1]UN!$A$2:$FA$303, 29, FALSE))</f>
        <v>:</v>
      </c>
      <c r="AE69" s="556" t="str">
        <f>IF(VLOOKUP($E$69,[1]UN!$A$2:$FA$303, 30, FALSE)="",":",VLOOKUP($E$69,[1]UN!$A$2:$FA$303, 30, FALSE))</f>
        <v>:</v>
      </c>
      <c r="AF69" s="556" t="str">
        <f>IF(VLOOKUP($E$69,[1]UN!$A$2:$FA$303, 31, FALSE)="",":",VLOOKUP($E$69,[1]UN!$A$2:$FA$303, 31, FALSE))</f>
        <v>:</v>
      </c>
    </row>
    <row r="70" spans="1:32">
      <c r="A70" s="545"/>
      <c r="B70" s="546"/>
      <c r="C70" s="547"/>
      <c r="D70" s="12"/>
      <c r="E70" s="13"/>
      <c r="F70" s="14"/>
      <c r="G70" s="556"/>
      <c r="H70" s="556"/>
      <c r="I70" s="556"/>
      <c r="J70" s="556"/>
      <c r="K70" s="556"/>
      <c r="L70" s="556"/>
      <c r="M70" s="556"/>
      <c r="N70" s="556"/>
      <c r="O70" s="556"/>
      <c r="P70" s="556"/>
      <c r="Q70" s="556"/>
      <c r="R70" s="556"/>
      <c r="S70" s="556"/>
      <c r="T70" s="556"/>
      <c r="U70" s="556"/>
      <c r="V70" s="556"/>
      <c r="W70" s="556"/>
      <c r="X70" s="556"/>
      <c r="Y70" s="556"/>
      <c r="Z70" s="556"/>
      <c r="AA70" s="556"/>
      <c r="AB70" s="556"/>
      <c r="AC70" s="556"/>
      <c r="AD70" s="556"/>
      <c r="AE70" s="556"/>
      <c r="AF70" s="556"/>
    </row>
    <row r="71" spans="1:32">
      <c r="A71" s="545">
        <v>33</v>
      </c>
      <c r="B71" s="546" t="s">
        <v>1466</v>
      </c>
      <c r="C71" s="547"/>
      <c r="D71" s="12" t="s">
        <v>1084</v>
      </c>
      <c r="E71" s="13">
        <v>316</v>
      </c>
      <c r="F71" s="14" t="str">
        <f>VLOOKUP($E$71,[1]UN!$A$2:$FA$303, 3, FALSE)</f>
        <v xml:space="preserve">316  Dwellings                                                                    </v>
      </c>
      <c r="G71" s="556">
        <f ca="1">IF(VLOOKUP($E$71,[1]UN!$A$2:$FA$303, 6, FALSE)="",":",VLOOKUP($E$71,[1]UN!$A$2:$FA$303, 6, FALSE))</f>
        <v>12551.3</v>
      </c>
      <c r="H71" s="556">
        <f>IF(VLOOKUP($E$71,[1]UN!$A$2:$FA$303, 7, FALSE)="",":",VLOOKUP($E$71,[1]UN!$A$2:$FA$303, 7, FALSE))</f>
        <v>11747.1</v>
      </c>
      <c r="I71" s="556">
        <f>IF(VLOOKUP($E$71,[1]UN!$A$2:$FA$303, 8, FALSE)="",":",VLOOKUP($E$71,[1]UN!$A$2:$FA$303, 8, FALSE))</f>
        <v>12808.6</v>
      </c>
      <c r="J71" s="556">
        <f>IF(VLOOKUP($E$71,[1]UN!$A$2:$FA$303, 9, FALSE)="",":",VLOOKUP($E$71,[1]UN!$A$2:$FA$303, 9, FALSE))</f>
        <v>12363.2</v>
      </c>
      <c r="K71" s="556">
        <f>IF(VLOOKUP($E$71,[1]UN!$A$2:$FA$303, 10, FALSE)="",":",VLOOKUP($E$71,[1]UN!$A$2:$FA$303, 10, FALSE))</f>
        <v>12921.4</v>
      </c>
      <c r="L71" s="556">
        <f>IF(VLOOKUP($E$71,[1]UN!$A$2:$FA$303, 11, FALSE)="",":",VLOOKUP($E$71,[1]UN!$A$2:$FA$303, 11, FALSE))</f>
        <v>13312.4</v>
      </c>
      <c r="M71" s="556">
        <f>IF(VLOOKUP($E$71,[1]UN!$A$2:$FA$303, 12, FALSE)="",":",VLOOKUP($E$71,[1]UN!$A$2:$FA$303, 12, FALSE))</f>
        <v>13389.2</v>
      </c>
      <c r="N71" s="556">
        <f>IF(VLOOKUP($E$71,[1]UN!$A$2:$FA$303, 13, FALSE)="",":",VLOOKUP($E$71,[1]UN!$A$2:$FA$303, 13, FALSE))</f>
        <v>13004.6</v>
      </c>
      <c r="O71" s="556">
        <f>IF(VLOOKUP($E$71,[1]UN!$A$2:$FA$303, 14, FALSE)="",":",VLOOKUP($E$71,[1]UN!$A$2:$FA$303, 14, FALSE))</f>
        <v>13775.5</v>
      </c>
      <c r="P71" s="556">
        <f>IF(VLOOKUP($E$71,[1]UN!$A$2:$FA$303, 15, FALSE)="",":",VLOOKUP($E$71,[1]UN!$A$2:$FA$303, 15, FALSE))</f>
        <v>15568.6</v>
      </c>
      <c r="Q71" s="556">
        <f>IF(VLOOKUP($E$71,[1]UN!$A$2:$FA$303, 16, FALSE)="",":",VLOOKUP($E$71,[1]UN!$A$2:$FA$303, 16, FALSE))</f>
        <v>17950.8</v>
      </c>
      <c r="R71" s="556">
        <f>IF(VLOOKUP($E$71,[1]UN!$A$2:$FA$303, 17, FALSE)="",":",VLOOKUP($E$71,[1]UN!$A$2:$FA$303, 17, FALSE))</f>
        <v>20279.400000000001</v>
      </c>
      <c r="S71" s="556">
        <f>IF(VLOOKUP($E$71,[1]UN!$A$2:$FA$303, 18, FALSE)="",":",VLOOKUP($E$71,[1]UN!$A$2:$FA$303, 18, FALSE))</f>
        <v>21810.3</v>
      </c>
      <c r="T71" s="556">
        <f>IF(VLOOKUP($E$71,[1]UN!$A$2:$FA$303, 19, FALSE)="",":",VLOOKUP($E$71,[1]UN!$A$2:$FA$303, 19, FALSE))</f>
        <v>23168.7</v>
      </c>
      <c r="U71" s="556">
        <f>IF(VLOOKUP($E$71,[1]UN!$A$2:$FA$303, 20, FALSE)="",":",VLOOKUP($E$71,[1]UN!$A$2:$FA$303, 20, FALSE))</f>
        <v>21429.7</v>
      </c>
      <c r="V71" s="556">
        <f>IF(VLOOKUP($E$71,[1]UN!$A$2:$FA$303, 21, FALSE)="",":",VLOOKUP($E$71,[1]UN!$A$2:$FA$303, 21, FALSE))</f>
        <v>22338.3</v>
      </c>
      <c r="W71" s="556">
        <f>IF(VLOOKUP($E$71,[1]UN!$A$2:$FA$303, 22, FALSE)="",":",VLOOKUP($E$71,[1]UN!$A$2:$FA$303, 22, FALSE))</f>
        <v>22138.2</v>
      </c>
      <c r="X71" s="556">
        <f>IF(VLOOKUP($E$71,[1]UN!$A$2:$FA$303, 23, FALSE)="",":",VLOOKUP($E$71,[1]UN!$A$2:$FA$303, 23, FALSE))</f>
        <v>22853.599999999999</v>
      </c>
      <c r="Y71" s="556">
        <f>IF(VLOOKUP($E$71,[1]UN!$A$2:$FA$303, 24, FALSE)="",":",VLOOKUP($E$71,[1]UN!$A$2:$FA$303, 24, FALSE))</f>
        <v>22451.5</v>
      </c>
      <c r="Z71" s="556">
        <f>IF(VLOOKUP($E$71,[1]UN!$A$2:$FA$303, 25, FALSE)="",":",VLOOKUP($E$71,[1]UN!$A$2:$FA$303, 25, FALSE))</f>
        <v>23790.1</v>
      </c>
      <c r="AA71" s="556">
        <f>IF(VLOOKUP($E$71,[1]UN!$A$2:$FA$303, 26, FALSE)="",":",VLOOKUP($E$71,[1]UN!$A$2:$FA$303, 26, FALSE))</f>
        <v>23980.1</v>
      </c>
      <c r="AB71" s="556">
        <f>IF(VLOOKUP($E$71,[1]UN!$A$2:$FA$303, 27, FALSE)="",":",VLOOKUP($E$71,[1]UN!$A$2:$FA$303, 27, FALSE))</f>
        <v>24786.2</v>
      </c>
      <c r="AC71" s="556">
        <f>IF(VLOOKUP($E$71,[1]UN!$A$2:$FA$303, 28, FALSE)="",":",VLOOKUP($E$71,[1]UN!$A$2:$FA$303, 28, FALSE))</f>
        <v>25237</v>
      </c>
      <c r="AD71" s="556" t="str">
        <f>IF(VLOOKUP($E$71,[1]UN!$A$2:$FA$303, 29, FALSE)="",":",VLOOKUP($E$71,[1]UN!$A$2:$FA$303, 29, FALSE))</f>
        <v>:</v>
      </c>
      <c r="AE71" s="556" t="str">
        <f>IF(VLOOKUP($E$71,[1]UN!$A$2:$FA$303, 30, FALSE)="",":",VLOOKUP($E$71,[1]UN!$A$2:$FA$303, 30, FALSE))</f>
        <v>:</v>
      </c>
      <c r="AF71" s="556" t="str">
        <f>IF(VLOOKUP($E$71,[1]UN!$A$2:$FA$303, 31, FALSE)="",":",VLOOKUP($E$71,[1]UN!$A$2:$FA$303, 31, FALSE))</f>
        <v>:</v>
      </c>
    </row>
    <row r="72" spans="1:32">
      <c r="A72" s="545"/>
      <c r="B72" s="546" t="s">
        <v>1782</v>
      </c>
      <c r="C72" s="547"/>
      <c r="D72" s="12"/>
      <c r="E72" s="13"/>
      <c r="F72" s="14"/>
      <c r="G72" s="556"/>
      <c r="H72" s="556"/>
      <c r="I72" s="556"/>
      <c r="J72" s="556"/>
      <c r="K72" s="556"/>
      <c r="L72" s="556"/>
      <c r="M72" s="556"/>
      <c r="N72" s="556"/>
      <c r="O72" s="556"/>
      <c r="P72" s="556"/>
      <c r="Q72" s="556"/>
      <c r="R72" s="556"/>
      <c r="S72" s="556"/>
      <c r="T72" s="556"/>
      <c r="U72" s="556"/>
      <c r="V72" s="556"/>
      <c r="W72" s="556"/>
      <c r="X72" s="556"/>
      <c r="Y72" s="556"/>
      <c r="Z72" s="556"/>
      <c r="AA72" s="556"/>
      <c r="AB72" s="556"/>
      <c r="AC72" s="556"/>
      <c r="AD72" s="556"/>
      <c r="AE72" s="556"/>
      <c r="AF72" s="556"/>
    </row>
    <row r="73" spans="1:32">
      <c r="A73" s="545"/>
      <c r="B73" s="546" t="s">
        <v>1783</v>
      </c>
      <c r="C73" s="547"/>
      <c r="D73" s="12"/>
      <c r="E73" s="13"/>
      <c r="F73" s="14"/>
      <c r="G73" s="556"/>
      <c r="H73" s="556"/>
      <c r="I73" s="556"/>
      <c r="J73" s="556"/>
      <c r="K73" s="556"/>
      <c r="L73" s="556"/>
      <c r="M73" s="556"/>
      <c r="N73" s="556"/>
      <c r="O73" s="556"/>
      <c r="P73" s="556"/>
      <c r="Q73" s="556"/>
      <c r="R73" s="556"/>
      <c r="S73" s="556"/>
      <c r="T73" s="556"/>
      <c r="U73" s="556"/>
      <c r="V73" s="556"/>
      <c r="W73" s="556"/>
      <c r="X73" s="556"/>
      <c r="Y73" s="556"/>
      <c r="Z73" s="556"/>
      <c r="AA73" s="556"/>
      <c r="AB73" s="556"/>
      <c r="AC73" s="556"/>
      <c r="AD73" s="556"/>
      <c r="AE73" s="556"/>
      <c r="AF73" s="556"/>
    </row>
    <row r="74" spans="1:32">
      <c r="A74" s="545">
        <v>14</v>
      </c>
      <c r="B74" s="546" t="s">
        <v>1784</v>
      </c>
      <c r="C74" s="547"/>
      <c r="D74" s="12" t="s">
        <v>1084</v>
      </c>
      <c r="E74" s="13">
        <v>312</v>
      </c>
      <c r="F74" s="14" t="str">
        <f>VLOOKUP($E$74,[1]UN!$A$2:$FA$303, 3, FALSE)</f>
        <v xml:space="preserve">312  Equipment                                                                    </v>
      </c>
      <c r="G74" s="556">
        <f ca="1">IF(VLOOKUP($E$74,[1]UN!$A$2:$FA$303, 6, FALSE)="",":",VLOOKUP($E$74,[1]UN!$A$2:$FA$303, 6, FALSE))</f>
        <v>17113.099999999999</v>
      </c>
      <c r="H74" s="556">
        <f>IF(VLOOKUP($E$74,[1]UN!$A$2:$FA$303, 7, FALSE)="",":",VLOOKUP($E$74,[1]UN!$A$2:$FA$303, 7, FALSE))</f>
        <v>17690.599999999999</v>
      </c>
      <c r="I74" s="556">
        <f>IF(VLOOKUP($E$74,[1]UN!$A$2:$FA$303, 8, FALSE)="",":",VLOOKUP($E$74,[1]UN!$A$2:$FA$303, 8, FALSE))</f>
        <v>19615.099999999999</v>
      </c>
      <c r="J74" s="556">
        <f>IF(VLOOKUP($E$74,[1]UN!$A$2:$FA$303, 9, FALSE)="",":",VLOOKUP($E$74,[1]UN!$A$2:$FA$303, 9, FALSE))</f>
        <v>20436.3</v>
      </c>
      <c r="K74" s="556">
        <f>IF(VLOOKUP($E$74,[1]UN!$A$2:$FA$303, 10, FALSE)="",":",VLOOKUP($E$74,[1]UN!$A$2:$FA$303, 10, FALSE))</f>
        <v>22426.5</v>
      </c>
      <c r="L74" s="556">
        <f>IF(VLOOKUP($E$74,[1]UN!$A$2:$FA$303, 11, FALSE)="",":",VLOOKUP($E$74,[1]UN!$A$2:$FA$303, 11, FALSE))</f>
        <v>25736.5</v>
      </c>
      <c r="M74" s="556">
        <f>IF(VLOOKUP($E$74,[1]UN!$A$2:$FA$303, 12, FALSE)="",":",VLOOKUP($E$74,[1]UN!$A$2:$FA$303, 12, FALSE))</f>
        <v>26244.799999999999</v>
      </c>
      <c r="N74" s="556">
        <f>IF(VLOOKUP($E$74,[1]UN!$A$2:$FA$303, 13, FALSE)="",":",VLOOKUP($E$74,[1]UN!$A$2:$FA$303, 13, FALSE))</f>
        <v>24270.2</v>
      </c>
      <c r="O74" s="556">
        <f>IF(VLOOKUP($E$74,[1]UN!$A$2:$FA$303, 14, FALSE)="",":",VLOOKUP($E$74,[1]UN!$A$2:$FA$303, 14, FALSE))</f>
        <v>23807.1</v>
      </c>
      <c r="P74" s="556">
        <f>IF(VLOOKUP($E$74,[1]UN!$A$2:$FA$303, 15, FALSE)="",":",VLOOKUP($E$74,[1]UN!$A$2:$FA$303, 15, FALSE))</f>
        <v>25936.2</v>
      </c>
      <c r="Q74" s="556">
        <f>IF(VLOOKUP($E$74,[1]UN!$A$2:$FA$303, 16, FALSE)="",":",VLOOKUP($E$74,[1]UN!$A$2:$FA$303, 16, FALSE))</f>
        <v>28057.200000000001</v>
      </c>
      <c r="R74" s="556">
        <f>IF(VLOOKUP($E$74,[1]UN!$A$2:$FA$303, 17, FALSE)="",":",VLOOKUP($E$74,[1]UN!$A$2:$FA$303, 17, FALSE))</f>
        <v>28896.799999999999</v>
      </c>
      <c r="S74" s="556">
        <f>IF(VLOOKUP($E$74,[1]UN!$A$2:$FA$303, 18, FALSE)="",":",VLOOKUP($E$74,[1]UN!$A$2:$FA$303, 18, FALSE))</f>
        <v>32214.400000000001</v>
      </c>
      <c r="T74" s="556">
        <f>IF(VLOOKUP($E$74,[1]UN!$A$2:$FA$303, 19, FALSE)="",":",VLOOKUP($E$74,[1]UN!$A$2:$FA$303, 19, FALSE))</f>
        <v>33444.300000000003</v>
      </c>
      <c r="U74" s="556">
        <f>IF(VLOOKUP($E$74,[1]UN!$A$2:$FA$303, 20, FALSE)="",":",VLOOKUP($E$74,[1]UN!$A$2:$FA$303, 20, FALSE))</f>
        <v>27434.799999999999</v>
      </c>
      <c r="V74" s="556">
        <f>IF(VLOOKUP($E$74,[1]UN!$A$2:$FA$303, 21, FALSE)="",":",VLOOKUP($E$74,[1]UN!$A$2:$FA$303, 21, FALSE))</f>
        <v>27309.3</v>
      </c>
      <c r="W74" s="556">
        <f>IF(VLOOKUP($E$74,[1]UN!$A$2:$FA$303, 22, FALSE)="",":",VLOOKUP($E$74,[1]UN!$A$2:$FA$303, 22, FALSE))</f>
        <v>29220.3</v>
      </c>
      <c r="X74" s="556">
        <f>IF(VLOOKUP($E$74,[1]UN!$A$2:$FA$303, 23, FALSE)="",":",VLOOKUP($E$74,[1]UN!$A$2:$FA$303, 23, FALSE))</f>
        <v>28369.8</v>
      </c>
      <c r="Y74" s="556">
        <f>IF(VLOOKUP($E$74,[1]UN!$A$2:$FA$303, 24, FALSE)="",":",VLOOKUP($E$74,[1]UN!$A$2:$FA$303, 24, FALSE))</f>
        <v>27937.599999999999</v>
      </c>
      <c r="Z74" s="556">
        <f>IF(VLOOKUP($E$74,[1]UN!$A$2:$FA$303, 25, FALSE)="",":",VLOOKUP($E$74,[1]UN!$A$2:$FA$303, 25, FALSE))</f>
        <v>30180.3</v>
      </c>
      <c r="AA74" s="556">
        <f>IF(VLOOKUP($E$74,[1]UN!$A$2:$FA$303, 26, FALSE)="",":",VLOOKUP($E$74,[1]UN!$A$2:$FA$303, 26, FALSE))</f>
        <v>31181.3</v>
      </c>
      <c r="AB74" s="556">
        <f>IF(VLOOKUP($E$74,[1]UN!$A$2:$FA$303, 27, FALSE)="",":",VLOOKUP($E$74,[1]UN!$A$2:$FA$303, 27, FALSE))</f>
        <v>35422.5</v>
      </c>
      <c r="AC74" s="556">
        <f>IF(VLOOKUP($E$74,[1]UN!$A$2:$FA$303, 28, FALSE)="",":",VLOOKUP($E$74,[1]UN!$A$2:$FA$303, 28, FALSE))</f>
        <v>35593.4</v>
      </c>
      <c r="AD74" s="556" t="str">
        <f>IF(VLOOKUP($E$74,[1]UN!$A$2:$FA$303, 29, FALSE)="",":",VLOOKUP($E$74,[1]UN!$A$2:$FA$303, 29, FALSE))</f>
        <v>:</v>
      </c>
      <c r="AE74" s="556" t="str">
        <f>IF(VLOOKUP($E$74,[1]UN!$A$2:$FA$303, 30, FALSE)="",":",VLOOKUP($E$74,[1]UN!$A$2:$FA$303, 30, FALSE))</f>
        <v>:</v>
      </c>
      <c r="AF74" s="556" t="str">
        <f>IF(VLOOKUP($E$74,[1]UN!$A$2:$FA$303, 31, FALSE)="",":",VLOOKUP($E$74,[1]UN!$A$2:$FA$303, 31, FALSE))</f>
        <v>:</v>
      </c>
    </row>
    <row r="75" spans="1:32">
      <c r="A75" s="545">
        <v>39</v>
      </c>
      <c r="B75" s="546"/>
      <c r="C75" s="547"/>
      <c r="D75" s="12" t="s">
        <v>1084</v>
      </c>
      <c r="E75" s="13">
        <v>315</v>
      </c>
      <c r="F75" s="14" t="str">
        <f>VLOOKUP($E$75,[1]UN!$A$2:$FA$303, 3, FALSE)</f>
        <v xml:space="preserve">315  Construction                                                                 </v>
      </c>
      <c r="G75" s="556">
        <f ca="1">IF(VLOOKUP($E$75,[1]UN!$A$2:$FA$303, 6, FALSE)="",":",VLOOKUP($E$75,[1]UN!$A$2:$FA$303, 6, FALSE))</f>
        <v>22749.5</v>
      </c>
      <c r="H75" s="556">
        <f>IF(VLOOKUP($E$75,[1]UN!$A$2:$FA$303, 7, FALSE)="",":",VLOOKUP($E$75,[1]UN!$A$2:$FA$303, 7, FALSE))</f>
        <v>22664.9</v>
      </c>
      <c r="I75" s="556">
        <f>IF(VLOOKUP($E$75,[1]UN!$A$2:$FA$303, 8, FALSE)="",":",VLOOKUP($E$75,[1]UN!$A$2:$FA$303, 8, FALSE))</f>
        <v>23845.7</v>
      </c>
      <c r="J75" s="556">
        <f>IF(VLOOKUP($E$75,[1]UN!$A$2:$FA$303, 9, FALSE)="",":",VLOOKUP($E$75,[1]UN!$A$2:$FA$303, 9, FALSE))</f>
        <v>24117.4</v>
      </c>
      <c r="K75" s="556">
        <f>IF(VLOOKUP($E$75,[1]UN!$A$2:$FA$303, 10, FALSE)="",":",VLOOKUP($E$75,[1]UN!$A$2:$FA$303, 10, FALSE))</f>
        <v>24611.1</v>
      </c>
      <c r="L75" s="556">
        <f>IF(VLOOKUP($E$75,[1]UN!$A$2:$FA$303, 11, FALSE)="",":",VLOOKUP($E$75,[1]UN!$A$2:$FA$303, 11, FALSE))</f>
        <v>24986.2</v>
      </c>
      <c r="M75" s="556">
        <f>IF(VLOOKUP($E$75,[1]UN!$A$2:$FA$303, 12, FALSE)="",":",VLOOKUP($E$75,[1]UN!$A$2:$FA$303, 12, FALSE))</f>
        <v>25079.599999999999</v>
      </c>
      <c r="N75" s="556">
        <f>IF(VLOOKUP($E$75,[1]UN!$A$2:$FA$303, 13, FALSE)="",":",VLOOKUP($E$75,[1]UN!$A$2:$FA$303, 13, FALSE))</f>
        <v>23989.599999999999</v>
      </c>
      <c r="O75" s="556">
        <f>IF(VLOOKUP($E$75,[1]UN!$A$2:$FA$303, 14, FALSE)="",":",VLOOKUP($E$75,[1]UN!$A$2:$FA$303, 14, FALSE))</f>
        <v>25157.200000000001</v>
      </c>
      <c r="P75" s="556">
        <f>IF(VLOOKUP($E$75,[1]UN!$A$2:$FA$303, 15, FALSE)="",":",VLOOKUP($E$75,[1]UN!$A$2:$FA$303, 15, FALSE))</f>
        <v>28346.799999999999</v>
      </c>
      <c r="Q75" s="556">
        <f>IF(VLOOKUP($E$75,[1]UN!$A$2:$FA$303, 16, FALSE)="",":",VLOOKUP($E$75,[1]UN!$A$2:$FA$303, 16, FALSE))</f>
        <v>30914.400000000001</v>
      </c>
      <c r="R75" s="556">
        <f>IF(VLOOKUP($E$75,[1]UN!$A$2:$FA$303, 17, FALSE)="",":",VLOOKUP($E$75,[1]UN!$A$2:$FA$303, 17, FALSE))</f>
        <v>33770.5</v>
      </c>
      <c r="S75" s="556">
        <f>IF(VLOOKUP($E$75,[1]UN!$A$2:$FA$303, 18, FALSE)="",":",VLOOKUP($E$75,[1]UN!$A$2:$FA$303, 18, FALSE))</f>
        <v>36815.5</v>
      </c>
      <c r="T75" s="556">
        <f>IF(VLOOKUP($E$75,[1]UN!$A$2:$FA$303, 19, FALSE)="",":",VLOOKUP($E$75,[1]UN!$A$2:$FA$303, 19, FALSE))</f>
        <v>39494.1</v>
      </c>
      <c r="U75" s="556">
        <f>IF(VLOOKUP($E$75,[1]UN!$A$2:$FA$303, 20, FALSE)="",":",VLOOKUP($E$75,[1]UN!$A$2:$FA$303, 20, FALSE))</f>
        <v>38521.300000000003</v>
      </c>
      <c r="V75" s="556">
        <f>IF(VLOOKUP($E$75,[1]UN!$A$2:$FA$303, 21, FALSE)="",":",VLOOKUP($E$75,[1]UN!$A$2:$FA$303, 21, FALSE))</f>
        <v>39015.199999999997</v>
      </c>
      <c r="W75" s="556">
        <f>IF(VLOOKUP($E$75,[1]UN!$A$2:$FA$303, 22, FALSE)="",":",VLOOKUP($E$75,[1]UN!$A$2:$FA$303, 22, FALSE))</f>
        <v>41841.699999999997</v>
      </c>
      <c r="X75" s="556">
        <f>IF(VLOOKUP($E$75,[1]UN!$A$2:$FA$303, 23, FALSE)="",":",VLOOKUP($E$75,[1]UN!$A$2:$FA$303, 23, FALSE))</f>
        <v>44170.8</v>
      </c>
      <c r="Y75" s="556">
        <f>IF(VLOOKUP($E$75,[1]UN!$A$2:$FA$303, 24, FALSE)="",":",VLOOKUP($E$75,[1]UN!$A$2:$FA$303, 24, FALSE))</f>
        <v>43493.7</v>
      </c>
      <c r="Z75" s="556">
        <f>IF(VLOOKUP($E$75,[1]UN!$A$2:$FA$303, 25, FALSE)="",":",VLOOKUP($E$75,[1]UN!$A$2:$FA$303, 25, FALSE))</f>
        <v>44636.2</v>
      </c>
      <c r="AA75" s="556">
        <f>IF(VLOOKUP($E$75,[1]UN!$A$2:$FA$303, 26, FALSE)="",":",VLOOKUP($E$75,[1]UN!$A$2:$FA$303, 26, FALSE))</f>
        <v>44231.199999999997</v>
      </c>
      <c r="AB75" s="556">
        <f>IF(VLOOKUP($E$75,[1]UN!$A$2:$FA$303, 27, FALSE)="",":",VLOOKUP($E$75,[1]UN!$A$2:$FA$303, 27, FALSE))</f>
        <v>45513.4</v>
      </c>
      <c r="AC75" s="556">
        <f>IF(VLOOKUP($E$75,[1]UN!$A$2:$FA$303, 28, FALSE)="",":",VLOOKUP($E$75,[1]UN!$A$2:$FA$303, 28, FALSE))</f>
        <v>47371.3</v>
      </c>
      <c r="AD75" s="556" t="str">
        <f>IF(VLOOKUP($E$75,[1]UN!$A$2:$FA$303, 29, FALSE)="",":",VLOOKUP($E$75,[1]UN!$A$2:$FA$303, 29, FALSE))</f>
        <v>:</v>
      </c>
      <c r="AE75" s="556" t="str">
        <f>IF(VLOOKUP($E$75,[1]UN!$A$2:$FA$303, 30, FALSE)="",":",VLOOKUP($E$75,[1]UN!$A$2:$FA$303, 30, FALSE))</f>
        <v>:</v>
      </c>
      <c r="AF75" s="556" t="str">
        <f>IF(VLOOKUP($E$75,[1]UN!$A$2:$FA$303, 31, FALSE)="",":",VLOOKUP($E$75,[1]UN!$A$2:$FA$303, 31, FALSE))</f>
        <v>:</v>
      </c>
    </row>
    <row r="76" spans="1:32">
      <c r="A76" s="545"/>
      <c r="B76" s="546" t="s">
        <v>802</v>
      </c>
      <c r="C76" s="547"/>
      <c r="D76" s="12" t="s">
        <v>1084</v>
      </c>
      <c r="E76" s="13">
        <v>311</v>
      </c>
      <c r="F76" s="14" t="str">
        <f>VLOOKUP($E$76,[1]UN!$A$2:$FA$303, 3, FALSE)</f>
        <v xml:space="preserve">311  Agricultural, forestry and fishery products                                  </v>
      </c>
      <c r="G76" s="556">
        <f ca="1">IF(VLOOKUP($E$76,[1]UN!$A$2:$FA$303, 6, FALSE)="",":",VLOOKUP($E$76,[1]UN!$A$2:$FA$303, 6, FALSE))</f>
        <v>106.7</v>
      </c>
      <c r="H76" s="556">
        <f>IF(VLOOKUP($E$76,[1]UN!$A$2:$FA$303, 7, FALSE)="",":",VLOOKUP($E$76,[1]UN!$A$2:$FA$303, 7, FALSE))</f>
        <v>132.5</v>
      </c>
      <c r="I76" s="556">
        <f>IF(VLOOKUP($E$76,[1]UN!$A$2:$FA$303, 8, FALSE)="",":",VLOOKUP($E$76,[1]UN!$A$2:$FA$303, 8, FALSE))</f>
        <v>123.6</v>
      </c>
      <c r="J76" s="556">
        <f>IF(VLOOKUP($E$76,[1]UN!$A$2:$FA$303, 9, FALSE)="",":",VLOOKUP($E$76,[1]UN!$A$2:$FA$303, 9, FALSE))</f>
        <v>137.9</v>
      </c>
      <c r="K76" s="556">
        <f>IF(VLOOKUP($E$76,[1]UN!$A$2:$FA$303, 10, FALSE)="",":",VLOOKUP($E$76,[1]UN!$A$2:$FA$303, 10, FALSE))</f>
        <v>101.9</v>
      </c>
      <c r="L76" s="556">
        <f>IF(VLOOKUP($E$76,[1]UN!$A$2:$FA$303, 11, FALSE)="",":",VLOOKUP($E$76,[1]UN!$A$2:$FA$303, 11, FALSE))</f>
        <v>80.7</v>
      </c>
      <c r="M76" s="556">
        <f>IF(VLOOKUP($E$76,[1]UN!$A$2:$FA$303, 12, FALSE)="",":",VLOOKUP($E$76,[1]UN!$A$2:$FA$303, 12, FALSE))</f>
        <v>88.8</v>
      </c>
      <c r="N76" s="556">
        <f>IF(VLOOKUP($E$76,[1]UN!$A$2:$FA$303, 13, FALSE)="",":",VLOOKUP($E$76,[1]UN!$A$2:$FA$303, 13, FALSE))</f>
        <v>96.5</v>
      </c>
      <c r="O76" s="556">
        <f>IF(VLOOKUP($E$76,[1]UN!$A$2:$FA$303, 14, FALSE)="",":",VLOOKUP($E$76,[1]UN!$A$2:$FA$303, 14, FALSE))</f>
        <v>102.5</v>
      </c>
      <c r="P76" s="556">
        <f>IF(VLOOKUP($E$76,[1]UN!$A$2:$FA$303, 15, FALSE)="",":",VLOOKUP($E$76,[1]UN!$A$2:$FA$303, 15, FALSE))</f>
        <v>113.9</v>
      </c>
      <c r="Q76" s="556">
        <f>IF(VLOOKUP($E$76,[1]UN!$A$2:$FA$303, 16, FALSE)="",":",VLOOKUP($E$76,[1]UN!$A$2:$FA$303, 16, FALSE))</f>
        <v>131.6</v>
      </c>
      <c r="R76" s="556">
        <f>IF(VLOOKUP($E$76,[1]UN!$A$2:$FA$303, 17, FALSE)="",":",VLOOKUP($E$76,[1]UN!$A$2:$FA$303, 17, FALSE))</f>
        <v>177.3</v>
      </c>
      <c r="S76" s="556">
        <f>IF(VLOOKUP($E$76,[1]UN!$A$2:$FA$303, 18, FALSE)="",":",VLOOKUP($E$76,[1]UN!$A$2:$FA$303, 18, FALSE))</f>
        <v>195.9</v>
      </c>
      <c r="T76" s="556">
        <f>IF(VLOOKUP($E$76,[1]UN!$A$2:$FA$303, 19, FALSE)="",":",VLOOKUP($E$76,[1]UN!$A$2:$FA$303, 19, FALSE))</f>
        <v>230.8</v>
      </c>
      <c r="U76" s="556">
        <f>IF(VLOOKUP($E$76,[1]UN!$A$2:$FA$303, 20, FALSE)="",":",VLOOKUP($E$76,[1]UN!$A$2:$FA$303, 20, FALSE))</f>
        <v>170.4</v>
      </c>
      <c r="V76" s="556">
        <f>IF(VLOOKUP($E$76,[1]UN!$A$2:$FA$303, 21, FALSE)="",":",VLOOKUP($E$76,[1]UN!$A$2:$FA$303, 21, FALSE))</f>
        <v>157.1</v>
      </c>
      <c r="W76" s="556">
        <f>IF(VLOOKUP($E$76,[1]UN!$A$2:$FA$303, 22, FALSE)="",":",VLOOKUP($E$76,[1]UN!$A$2:$FA$303, 22, FALSE))</f>
        <v>188.5</v>
      </c>
      <c r="X76" s="556">
        <f>IF(VLOOKUP($E$76,[1]UN!$A$2:$FA$303, 23, FALSE)="",":",VLOOKUP($E$76,[1]UN!$A$2:$FA$303, 23, FALSE))</f>
        <v>202.5</v>
      </c>
      <c r="Y76" s="556">
        <f>IF(VLOOKUP($E$76,[1]UN!$A$2:$FA$303, 24, FALSE)="",":",VLOOKUP($E$76,[1]UN!$A$2:$FA$303, 24, FALSE))</f>
        <v>188</v>
      </c>
      <c r="Z76" s="556">
        <f>IF(VLOOKUP($E$76,[1]UN!$A$2:$FA$303, 25, FALSE)="",":",VLOOKUP($E$76,[1]UN!$A$2:$FA$303, 25, FALSE))</f>
        <v>197.4</v>
      </c>
      <c r="AA76" s="556">
        <f>IF(VLOOKUP($E$76,[1]UN!$A$2:$FA$303, 26, FALSE)="",":",VLOOKUP($E$76,[1]UN!$A$2:$FA$303, 26, FALSE))</f>
        <v>190.8</v>
      </c>
      <c r="AB76" s="556">
        <f>IF(VLOOKUP($E$76,[1]UN!$A$2:$FA$303, 27, FALSE)="",":",VLOOKUP($E$76,[1]UN!$A$2:$FA$303, 27, FALSE))</f>
        <v>185.2</v>
      </c>
      <c r="AC76" s="556">
        <f>IF(VLOOKUP($E$76,[1]UN!$A$2:$FA$303, 28, FALSE)="",":",VLOOKUP($E$76,[1]UN!$A$2:$FA$303, 28, FALSE))</f>
        <v>197.8</v>
      </c>
      <c r="AD76" s="556" t="str">
        <f>IF(VLOOKUP($E$76,[1]UN!$A$2:$FA$303, 29, FALSE)="",":",VLOOKUP($E$76,[1]UN!$A$2:$FA$303, 29, FALSE))</f>
        <v>:</v>
      </c>
      <c r="AE76" s="556" t="str">
        <f>IF(VLOOKUP($E$76,[1]UN!$A$2:$FA$303, 30, FALSE)="",":",VLOOKUP($E$76,[1]UN!$A$2:$FA$303, 30, FALSE))</f>
        <v>:</v>
      </c>
      <c r="AF76" s="556" t="str">
        <f>IF(VLOOKUP($E$76,[1]UN!$A$2:$FA$303, 31, FALSE)="",":",VLOOKUP($E$76,[1]UN!$A$2:$FA$303, 31, FALSE))</f>
        <v>:</v>
      </c>
    </row>
    <row r="77" spans="1:32">
      <c r="A77" s="545"/>
      <c r="B77" s="546" t="s">
        <v>803</v>
      </c>
      <c r="C77" s="547"/>
      <c r="D77" s="12" t="s">
        <v>1084</v>
      </c>
      <c r="E77" s="13">
        <v>318</v>
      </c>
      <c r="F77" s="14" t="str">
        <f>VLOOKUP($E$77,[1]UN!$A$2:$FA$303, 3, FALSE)</f>
        <v xml:space="preserve">318  Other products                                                               </v>
      </c>
      <c r="G77" s="556">
        <f ca="1">IF(VLOOKUP($E$77,[1]UN!$A$2:$FA$303, 6, FALSE)="",":",VLOOKUP($E$77,[1]UN!$A$2:$FA$303, 6, FALSE))</f>
        <v>5174.1000000000004</v>
      </c>
      <c r="H77" s="556">
        <f>IF(VLOOKUP($E$77,[1]UN!$A$2:$FA$303, 7, FALSE)="",":",VLOOKUP($E$77,[1]UN!$A$2:$FA$303, 7, FALSE))</f>
        <v>5505</v>
      </c>
      <c r="I77" s="556">
        <f>IF(VLOOKUP($E$77,[1]UN!$A$2:$FA$303, 8, FALSE)="",":",VLOOKUP($E$77,[1]UN!$A$2:$FA$303, 8, FALSE))</f>
        <v>6017.5</v>
      </c>
      <c r="J77" s="556">
        <f>IF(VLOOKUP($E$77,[1]UN!$A$2:$FA$303, 9, FALSE)="",":",VLOOKUP($E$77,[1]UN!$A$2:$FA$303, 9, FALSE))</f>
        <v>6746.5</v>
      </c>
      <c r="K77" s="556">
        <f>IF(VLOOKUP($E$77,[1]UN!$A$2:$FA$303, 10, FALSE)="",":",VLOOKUP($E$77,[1]UN!$A$2:$FA$303, 10, FALSE))</f>
        <v>7228.6</v>
      </c>
      <c r="L77" s="556">
        <f>IF(VLOOKUP($E$77,[1]UN!$A$2:$FA$303, 11, FALSE)="",":",VLOOKUP($E$77,[1]UN!$A$2:$FA$303, 11, FALSE))</f>
        <v>7270.8</v>
      </c>
      <c r="M77" s="556">
        <f>IF(VLOOKUP($E$77,[1]UN!$A$2:$FA$303, 12, FALSE)="",":",VLOOKUP($E$77,[1]UN!$A$2:$FA$303, 12, FALSE))</f>
        <v>8164</v>
      </c>
      <c r="N77" s="556">
        <f>IF(VLOOKUP($E$77,[1]UN!$A$2:$FA$303, 13, FALSE)="",":",VLOOKUP($E$77,[1]UN!$A$2:$FA$303, 13, FALSE))</f>
        <v>8476.5</v>
      </c>
      <c r="O77" s="556">
        <f>IF(VLOOKUP($E$77,[1]UN!$A$2:$FA$303, 14, FALSE)="",":",VLOOKUP($E$77,[1]UN!$A$2:$FA$303, 14, FALSE))</f>
        <v>8702.6</v>
      </c>
      <c r="P77" s="556">
        <f>IF(VLOOKUP($E$77,[1]UN!$A$2:$FA$303, 15, FALSE)="",":",VLOOKUP($E$77,[1]UN!$A$2:$FA$303, 15, FALSE))</f>
        <v>9383.7000000000007</v>
      </c>
      <c r="Q77" s="556">
        <f>IF(VLOOKUP($E$77,[1]UN!$A$2:$FA$303, 16, FALSE)="",":",VLOOKUP($E$77,[1]UN!$A$2:$FA$303, 16, FALSE))</f>
        <v>9913</v>
      </c>
      <c r="R77" s="556">
        <f>IF(VLOOKUP($E$77,[1]UN!$A$2:$FA$303, 17, FALSE)="",":",VLOOKUP($E$77,[1]UN!$A$2:$FA$303, 17, FALSE))</f>
        <v>10148.299999999999</v>
      </c>
      <c r="S77" s="556">
        <f>IF(VLOOKUP($E$77,[1]UN!$A$2:$FA$303, 18, FALSE)="",":",VLOOKUP($E$77,[1]UN!$A$2:$FA$303, 18, FALSE))</f>
        <v>10868.3</v>
      </c>
      <c r="T77" s="556">
        <f>IF(VLOOKUP($E$77,[1]UN!$A$2:$FA$303, 19, FALSE)="",":",VLOOKUP($E$77,[1]UN!$A$2:$FA$303, 19, FALSE))</f>
        <v>11716.8</v>
      </c>
      <c r="U77" s="556">
        <f>IF(VLOOKUP($E$77,[1]UN!$A$2:$FA$303, 20, FALSE)="",":",VLOOKUP($E$77,[1]UN!$A$2:$FA$303, 20, FALSE))</f>
        <v>12653.7</v>
      </c>
      <c r="V77" s="556">
        <f>IF(VLOOKUP($E$77,[1]UN!$A$2:$FA$303, 21, FALSE)="",":",VLOOKUP($E$77,[1]UN!$A$2:$FA$303, 21, FALSE))</f>
        <v>13179.4</v>
      </c>
      <c r="W77" s="556">
        <f>IF(VLOOKUP($E$77,[1]UN!$A$2:$FA$303, 22, FALSE)="",":",VLOOKUP($E$77,[1]UN!$A$2:$FA$303, 22, FALSE))</f>
        <v>14358.8</v>
      </c>
      <c r="X77" s="556">
        <f>IF(VLOOKUP($E$77,[1]UN!$A$2:$FA$303, 23, FALSE)="",":",VLOOKUP($E$77,[1]UN!$A$2:$FA$303, 23, FALSE))</f>
        <v>14929</v>
      </c>
      <c r="Y77" s="556">
        <f>IF(VLOOKUP($E$77,[1]UN!$A$2:$FA$303, 24, FALSE)="",":",VLOOKUP($E$77,[1]UN!$A$2:$FA$303, 24, FALSE))</f>
        <v>15324.4</v>
      </c>
      <c r="Z77" s="556">
        <f>IF(VLOOKUP($E$77,[1]UN!$A$2:$FA$303, 25, FALSE)="",":",VLOOKUP($E$77,[1]UN!$A$2:$FA$303, 25, FALSE))</f>
        <v>17300.5</v>
      </c>
      <c r="AA77" s="556">
        <f>IF(VLOOKUP($E$77,[1]UN!$A$2:$FA$303, 26, FALSE)="",":",VLOOKUP($E$77,[1]UN!$A$2:$FA$303, 26, FALSE))</f>
        <v>19582.8</v>
      </c>
      <c r="AB77" s="556">
        <f>IF(VLOOKUP($E$77,[1]UN!$A$2:$FA$303, 27, FALSE)="",":",VLOOKUP($E$77,[1]UN!$A$2:$FA$303, 27, FALSE))</f>
        <v>18032.400000000001</v>
      </c>
      <c r="AC77" s="556">
        <f>IF(VLOOKUP($E$77,[1]UN!$A$2:$FA$303, 28, FALSE)="",":",VLOOKUP($E$77,[1]UN!$A$2:$FA$303, 28, FALSE))</f>
        <v>18749.599999999999</v>
      </c>
      <c r="AD77" s="556" t="str">
        <f>IF(VLOOKUP($E$77,[1]UN!$A$2:$FA$303, 29, FALSE)="",":",VLOOKUP($E$77,[1]UN!$A$2:$FA$303, 29, FALSE))</f>
        <v>:</v>
      </c>
      <c r="AE77" s="556" t="str">
        <f>IF(VLOOKUP($E$77,[1]UN!$A$2:$FA$303, 30, FALSE)="",":",VLOOKUP($E$77,[1]UN!$A$2:$FA$303, 30, FALSE))</f>
        <v>:</v>
      </c>
      <c r="AF77" s="556" t="str">
        <f>IF(VLOOKUP($E$77,[1]UN!$A$2:$FA$303, 31, FALSE)="",":",VLOOKUP($E$77,[1]UN!$A$2:$FA$303, 31, FALSE))</f>
        <v>:</v>
      </c>
    </row>
    <row r="78" spans="1:32">
      <c r="A78" s="545"/>
      <c r="B78" s="546"/>
      <c r="C78" s="547"/>
      <c r="D78" s="12" t="s">
        <v>1084</v>
      </c>
      <c r="E78" s="13">
        <v>319</v>
      </c>
      <c r="F78" s="14" t="str">
        <f>VLOOKUP($E$78,[1]UN!$A$2:$FA$301, 3, FALSE)</f>
        <v>319 Other investment</v>
      </c>
      <c r="G78" s="556">
        <f ca="1">IF(VLOOKUP($E$78,[1]UN!$A$2:$FA$301, 6, FALSE)="",":",VLOOKUP($E$78,[1]UN!$A$2:$FA$301, 6, FALSE))</f>
        <v>5280.8</v>
      </c>
      <c r="H78" s="556">
        <f>IF(VLOOKUP($E$78,[1]UN!$A$2:$FA$301, 7, FALSE)="",":",VLOOKUP($E$78,[1]UN!$A$2:$FA$301, 7, FALSE))</f>
        <v>5637.5</v>
      </c>
      <c r="I78" s="556">
        <f>IF(VLOOKUP($E$78,[1]UN!$A$2:$FA$301, 8, FALSE)="",":",VLOOKUP($E$78,[1]UN!$A$2:$FA$301, 8, FALSE))</f>
        <v>6141.1</v>
      </c>
      <c r="J78" s="556">
        <f>IF(VLOOKUP($E$78,[1]UN!$A$2:$FA$301, 9, FALSE)="",":",VLOOKUP($E$78,[1]UN!$A$2:$FA$301, 9, FALSE))</f>
        <v>6884.4</v>
      </c>
      <c r="K78" s="556">
        <f>IF(VLOOKUP($E$78,[1]UN!$A$2:$FA$301, 10, FALSE)="",":",VLOOKUP($E$78,[1]UN!$A$2:$FA$301, 10, FALSE))</f>
        <v>7330.5</v>
      </c>
      <c r="L78" s="556">
        <f>IF(VLOOKUP($E$78,[1]UN!$A$2:$FA$301, 11, FALSE)="",":",VLOOKUP($E$78,[1]UN!$A$2:$FA$301, 11, FALSE))</f>
        <v>7351.5</v>
      </c>
      <c r="M78" s="556">
        <f>IF(VLOOKUP($E$78,[1]UN!$A$2:$FA$301, 12, FALSE)="",":",VLOOKUP($E$78,[1]UN!$A$2:$FA$301, 12, FALSE))</f>
        <v>8252.7999999999993</v>
      </c>
      <c r="N78" s="556">
        <f>IF(VLOOKUP($E$78,[1]UN!$A$2:$FA$301, 13, FALSE)="",":",VLOOKUP($E$78,[1]UN!$A$2:$FA$301, 13, FALSE))</f>
        <v>8573</v>
      </c>
      <c r="O78" s="556">
        <f>IF(VLOOKUP($E$78,[1]UN!$A$2:$FA$301, 14, FALSE)="",":",VLOOKUP($E$78,[1]UN!$A$2:$FA$301, 14, FALSE))</f>
        <v>8805.1</v>
      </c>
      <c r="P78" s="556">
        <f>IF(VLOOKUP($E$78,[1]UN!$A$2:$FA$301, 15, FALSE)="",":",VLOOKUP($E$78,[1]UN!$A$2:$FA$301, 15, FALSE))</f>
        <v>9497.6</v>
      </c>
      <c r="Q78" s="556">
        <f>IF(VLOOKUP($E$78,[1]UN!$A$2:$FA$301, 16, FALSE)="",":",VLOOKUP($E$78,[1]UN!$A$2:$FA$301, 16, FALSE))</f>
        <v>10044.6</v>
      </c>
      <c r="R78" s="556">
        <f>IF(VLOOKUP($E$78,[1]UN!$A$2:$FA$301, 17, FALSE)="",":",VLOOKUP($E$78,[1]UN!$A$2:$FA$301, 17, FALSE))</f>
        <v>10325.6</v>
      </c>
      <c r="S78" s="556">
        <f>IF(VLOOKUP($E$78,[1]UN!$A$2:$FA$301, 18, FALSE)="",":",VLOOKUP($E$78,[1]UN!$A$2:$FA$301, 18, FALSE))</f>
        <v>11064.2</v>
      </c>
      <c r="T78" s="556">
        <f>IF(VLOOKUP($E$78,[1]UN!$A$2:$FA$301, 19, FALSE)="",":",VLOOKUP($E$78,[1]UN!$A$2:$FA$301, 19, FALSE))</f>
        <v>11947.6</v>
      </c>
      <c r="U78" s="556">
        <f>IF(VLOOKUP($E$78,[1]UN!$A$2:$FA$301, 20, FALSE)="",":",VLOOKUP($E$78,[1]UN!$A$2:$FA$301, 20, FALSE))</f>
        <v>12824.1</v>
      </c>
      <c r="V78" s="556">
        <f>IF(VLOOKUP($E$78,[1]UN!$A$2:$FA$301, 21, FALSE)="",":",VLOOKUP($E$78,[1]UN!$A$2:$FA$301, 21, FALSE))</f>
        <v>13336.5</v>
      </c>
      <c r="W78" s="556">
        <f>IF(VLOOKUP($E$78,[1]UN!$A$2:$FA$301, 22, FALSE)="",":",VLOOKUP($E$78,[1]UN!$A$2:$FA$301, 22, FALSE))</f>
        <v>14547.3</v>
      </c>
      <c r="X78" s="556">
        <f>IF(VLOOKUP($E$78,[1]UN!$A$2:$FA$301, 23, FALSE)="",":",VLOOKUP($E$78,[1]UN!$A$2:$FA$301, 23, FALSE))</f>
        <v>15131.5</v>
      </c>
      <c r="Y78" s="556">
        <f>IF(VLOOKUP($E$78,[1]UN!$A$2:$FA$301, 24, FALSE)="",":",VLOOKUP($E$78,[1]UN!$A$2:$FA$301, 24, FALSE))</f>
        <v>15512.4</v>
      </c>
      <c r="Z78" s="556">
        <f>IF(VLOOKUP($E$78,[1]UN!$A$2:$FA$301, 25, FALSE)="",":",VLOOKUP($E$78,[1]UN!$A$2:$FA$301, 25, FALSE))</f>
        <v>17497.900000000001</v>
      </c>
      <c r="AA78" s="556">
        <f>IF(VLOOKUP($E$78,[1]UN!$A$2:$FA$301, 26, FALSE)="",":",VLOOKUP($E$78,[1]UN!$A$2:$FA$301, 26, FALSE))</f>
        <v>19773.599999999999</v>
      </c>
      <c r="AB78" s="556">
        <f>IF(VLOOKUP($E$78,[1]UN!$A$2:$FA$301, 27, FALSE)="",":",VLOOKUP($E$78,[1]UN!$A$2:$FA$301, 27, FALSE))</f>
        <v>18217.599999999999</v>
      </c>
      <c r="AC78" s="556">
        <f>IF(VLOOKUP($E$78,[1]UN!$A$2:$FA$301, 28, FALSE)="",":",VLOOKUP($E$78,[1]UN!$A$2:$FA$301, 28, FALSE))</f>
        <v>18947.400000000001</v>
      </c>
      <c r="AD78" s="556" t="str">
        <f>IF(VLOOKUP($E$78,[1]UN!$A$2:$FA$301, 29, FALSE)="",":",VLOOKUP($E$78,[1]UN!$A$2:$FA$301, 29, FALSE))</f>
        <v>:</v>
      </c>
      <c r="AE78" s="556" t="str">
        <f>IF(VLOOKUP($E$78,[1]UN!$A$2:$FA$301, 30, FALSE)="",":",VLOOKUP($E$78,[1]UN!$A$2:$FA$301, 30, FALSE))</f>
        <v>:</v>
      </c>
      <c r="AF78" s="556" t="str">
        <f>IF(VLOOKUP($E$78,[1]UN!$A$2:$FA$301, 31, FALSE)="",":",VLOOKUP($E$78,[1]UN!$A$2:$FA$301, 31, FALSE))</f>
        <v>:</v>
      </c>
    </row>
    <row r="79" spans="1:32" s="552" customFormat="1">
      <c r="A79" s="548">
        <v>41</v>
      </c>
      <c r="B79" s="549" t="s">
        <v>1098</v>
      </c>
      <c r="C79" s="550"/>
      <c r="D79" s="540" t="s">
        <v>1084</v>
      </c>
      <c r="E79" s="541">
        <v>310</v>
      </c>
      <c r="F79" s="551" t="str">
        <f>VLOOKUP($E$79,[1]UN!$A$2:$FA$303, 3, FALSE)</f>
        <v xml:space="preserve">310  Gross fixed capital formation                                                </v>
      </c>
      <c r="G79" s="557">
        <f ca="1">IF(VLOOKUP($E$79,[1]UN!$A$2:$FA$303, 6, FALSE)="",":",VLOOKUP($E$79,[1]UN!$A$2:$FA$303, 6, FALSE))</f>
        <v>44869</v>
      </c>
      <c r="H79" s="557">
        <f>IF(VLOOKUP($E$79,[1]UN!$A$2:$FA$303, 7, FALSE)="",":",VLOOKUP($E$79,[1]UN!$A$2:$FA$303, 7, FALSE))</f>
        <v>45993</v>
      </c>
      <c r="I79" s="557">
        <f>IF(VLOOKUP($E$79,[1]UN!$A$2:$FA$303, 8, FALSE)="",":",VLOOKUP($E$79,[1]UN!$A$2:$FA$303, 8, FALSE))</f>
        <v>49601.9</v>
      </c>
      <c r="J79" s="557">
        <f>IF(VLOOKUP($E$79,[1]UN!$A$2:$FA$303, 9, FALSE)="",":",VLOOKUP($E$79,[1]UN!$A$2:$FA$303, 9, FALSE))</f>
        <v>51438.2</v>
      </c>
      <c r="K79" s="557">
        <f>IF(VLOOKUP($E$79,[1]UN!$A$2:$FA$303, 10, FALSE)="",":",VLOOKUP($E$79,[1]UN!$A$2:$FA$303, 10, FALSE))</f>
        <v>54368.2</v>
      </c>
      <c r="L79" s="557">
        <f>IF(VLOOKUP($E$79,[1]UN!$A$2:$FA$303, 11, FALSE)="",":",VLOOKUP($E$79,[1]UN!$A$2:$FA$303, 11, FALSE))</f>
        <v>58074.2</v>
      </c>
      <c r="M79" s="557">
        <f>IF(VLOOKUP($E$79,[1]UN!$A$2:$FA$303, 12, FALSE)="",":",VLOOKUP($E$79,[1]UN!$A$2:$FA$303, 12, FALSE))</f>
        <v>59577.2</v>
      </c>
      <c r="N79" s="557">
        <f>IF(VLOOKUP($E$79,[1]UN!$A$2:$FA$303, 13, FALSE)="",":",VLOOKUP($E$79,[1]UN!$A$2:$FA$303, 13, FALSE))</f>
        <v>56832.9</v>
      </c>
      <c r="O79" s="557">
        <f>IF(VLOOKUP($E$79,[1]UN!$A$2:$FA$303, 14, FALSE)="",":",VLOOKUP($E$79,[1]UN!$A$2:$FA$303, 14, FALSE))</f>
        <v>57769.5</v>
      </c>
      <c r="P79" s="557">
        <f>IF(VLOOKUP($E$79,[1]UN!$A$2:$FA$303, 15, FALSE)="",":",VLOOKUP($E$79,[1]UN!$A$2:$FA$303, 15, FALSE))</f>
        <v>63780.5</v>
      </c>
      <c r="Q79" s="557">
        <f>IF(VLOOKUP($E$79,[1]UN!$A$2:$FA$303, 16, FALSE)="",":",VLOOKUP($E$79,[1]UN!$A$2:$FA$303, 16, FALSE))</f>
        <v>69016.3</v>
      </c>
      <c r="R79" s="557">
        <f>IF(VLOOKUP($E$79,[1]UN!$A$2:$FA$303, 17, FALSE)="",":",VLOOKUP($E$79,[1]UN!$A$2:$FA$303, 17, FALSE))</f>
        <v>72992.899999999994</v>
      </c>
      <c r="S79" s="557">
        <f>IF(VLOOKUP($E$79,[1]UN!$A$2:$FA$303, 18, FALSE)="",":",VLOOKUP($E$79,[1]UN!$A$2:$FA$303, 18, FALSE))</f>
        <v>80094.2</v>
      </c>
      <c r="T79" s="557">
        <f>IF(VLOOKUP($E$79,[1]UN!$A$2:$FA$303, 19, FALSE)="",":",VLOOKUP($E$79,[1]UN!$A$2:$FA$303, 19, FALSE))</f>
        <v>84885.8</v>
      </c>
      <c r="U79" s="557">
        <f>IF(VLOOKUP($E$79,[1]UN!$A$2:$FA$303, 20, FALSE)="",":",VLOOKUP($E$79,[1]UN!$A$2:$FA$303, 20, FALSE))</f>
        <v>78780.3</v>
      </c>
      <c r="V79" s="557">
        <f>IF(VLOOKUP($E$79,[1]UN!$A$2:$FA$303, 21, FALSE)="",":",VLOOKUP($E$79,[1]UN!$A$2:$FA$303, 21, FALSE))</f>
        <v>79660.899999999994</v>
      </c>
      <c r="W79" s="557">
        <f>IF(VLOOKUP($E$79,[1]UN!$A$2:$FA$303, 22, FALSE)="",":",VLOOKUP($E$79,[1]UN!$A$2:$FA$303, 22, FALSE))</f>
        <v>85609.4</v>
      </c>
      <c r="X79" s="557">
        <f>IF(VLOOKUP($E$79,[1]UN!$A$2:$FA$303, 23, FALSE)="",":",VLOOKUP($E$79,[1]UN!$A$2:$FA$303, 23, FALSE))</f>
        <v>87671.8</v>
      </c>
      <c r="Y79" s="557">
        <f>IF(VLOOKUP($E$79,[1]UN!$A$2:$FA$303, 24, FALSE)="",":",VLOOKUP($E$79,[1]UN!$A$2:$FA$303, 24, FALSE))</f>
        <v>86943.7</v>
      </c>
      <c r="Z79" s="557">
        <f>IF(VLOOKUP($E$79,[1]UN!$A$2:$FA$303, 25, FALSE)="",":",VLOOKUP($E$79,[1]UN!$A$2:$FA$303, 25, FALSE))</f>
        <v>92314.4</v>
      </c>
      <c r="AA79" s="557">
        <f>IF(VLOOKUP($E$79,[1]UN!$A$2:$FA$303, 26, FALSE)="",":",VLOOKUP($E$79,[1]UN!$A$2:$FA$303, 26, FALSE))</f>
        <v>95186.1</v>
      </c>
      <c r="AB79" s="557">
        <f>IF(VLOOKUP($E$79,[1]UN!$A$2:$FA$303, 27, FALSE)="",":",VLOOKUP($E$79,[1]UN!$A$2:$FA$303, 27, FALSE))</f>
        <v>99153.600000000006</v>
      </c>
      <c r="AC79" s="557">
        <f>IF(VLOOKUP($E$79,[1]UN!$A$2:$FA$303, 28, FALSE)="",":",VLOOKUP($E$79,[1]UN!$A$2:$FA$303, 28, FALSE))</f>
        <v>101912.1</v>
      </c>
      <c r="AD79" s="557" t="str">
        <f>IF(VLOOKUP($E$79,[1]UN!$A$2:$FA$303, 29, FALSE)="",":",VLOOKUP($E$79,[1]UN!$A$2:$FA$303, 29, FALSE))</f>
        <v>:</v>
      </c>
      <c r="AE79" s="557" t="str">
        <f>IF(VLOOKUP($E$79,[1]UN!$A$2:$FA$303, 30, FALSE)="",":",VLOOKUP($E$79,[1]UN!$A$2:$FA$303, 30, FALSE))</f>
        <v>:</v>
      </c>
      <c r="AF79" s="557" t="str">
        <f>IF(VLOOKUP($E$79,[1]UN!$A$2:$FA$303, 31, FALSE)="",":",VLOOKUP($E$79,[1]UN!$A$2:$FA$303, 31, FALSE))</f>
        <v>:</v>
      </c>
    </row>
    <row r="80" spans="1:32">
      <c r="A80" s="545"/>
      <c r="B80" s="546"/>
      <c r="C80" s="547"/>
      <c r="D80" s="12"/>
      <c r="E80" s="13"/>
      <c r="F80" s="14"/>
      <c r="G80" s="556"/>
      <c r="H80" s="556"/>
      <c r="I80" s="556"/>
      <c r="J80" s="556"/>
      <c r="K80" s="556"/>
      <c r="L80" s="556"/>
      <c r="M80" s="556"/>
      <c r="N80" s="556"/>
      <c r="O80" s="556"/>
      <c r="P80" s="556"/>
      <c r="Q80" s="556"/>
      <c r="R80" s="556"/>
      <c r="S80" s="556"/>
      <c r="T80" s="556"/>
      <c r="U80" s="556"/>
      <c r="V80" s="556"/>
      <c r="W80" s="556"/>
      <c r="X80" s="556"/>
      <c r="Y80" s="556"/>
      <c r="Z80" s="556"/>
      <c r="AA80" s="556"/>
      <c r="AB80" s="556"/>
      <c r="AC80" s="556"/>
      <c r="AD80" s="556"/>
      <c r="AE80" s="556"/>
      <c r="AF80" s="556"/>
    </row>
    <row r="81" spans="1:32">
      <c r="A81" s="545">
        <v>42</v>
      </c>
      <c r="B81" s="546" t="s">
        <v>1100</v>
      </c>
      <c r="C81" s="547" t="s">
        <v>1085</v>
      </c>
      <c r="D81" s="12" t="s">
        <v>1084</v>
      </c>
      <c r="E81" s="13">
        <v>320</v>
      </c>
      <c r="F81" s="14" t="str">
        <f>VLOOKUP($E$81,[1]UN!$A$2:$FA$303, 3, FALSE)</f>
        <v xml:space="preserve">320  Changes in inventories and net acquisition of valuables                      </v>
      </c>
      <c r="G81" s="556">
        <f ca="1">IF(VLOOKUP($E$81,[1]UN!$A$2:$FA$303, 6, FALSE)="",":",VLOOKUP($E$81,[1]UN!$A$2:$FA$303, 6, FALSE))</f>
        <v>1345.4</v>
      </c>
      <c r="H81" s="556">
        <f>IF(VLOOKUP($E$81,[1]UN!$A$2:$FA$303, 7, FALSE)="",":",VLOOKUP($E$81,[1]UN!$A$2:$FA$303, 7, FALSE))</f>
        <v>803.1</v>
      </c>
      <c r="I81" s="556">
        <f>IF(VLOOKUP($E$81,[1]UN!$A$2:$FA$303, 8, FALSE)="",":",VLOOKUP($E$81,[1]UN!$A$2:$FA$303, 8, FALSE))</f>
        <v>778.5</v>
      </c>
      <c r="J81" s="556">
        <f>IF(VLOOKUP($E$81,[1]UN!$A$2:$FA$303, 9, FALSE)="",":",VLOOKUP($E$81,[1]UN!$A$2:$FA$303, 9, FALSE))</f>
        <v>1126.0999999999999</v>
      </c>
      <c r="K81" s="556">
        <f>IF(VLOOKUP($E$81,[1]UN!$A$2:$FA$303, 10, FALSE)="",":",VLOOKUP($E$81,[1]UN!$A$2:$FA$303, 10, FALSE))</f>
        <v>1102.0999999999999</v>
      </c>
      <c r="L81" s="556">
        <f>IF(VLOOKUP($E$81,[1]UN!$A$2:$FA$303, 11, FALSE)="",":",VLOOKUP($E$81,[1]UN!$A$2:$FA$303, 11, FALSE))</f>
        <v>3335.7</v>
      </c>
      <c r="M81" s="556">
        <f>IF(VLOOKUP($E$81,[1]UN!$A$2:$FA$303, 12, FALSE)="",":",VLOOKUP($E$81,[1]UN!$A$2:$FA$303, 12, FALSE))</f>
        <v>470</v>
      </c>
      <c r="N81" s="556">
        <f>IF(VLOOKUP($E$81,[1]UN!$A$2:$FA$303, 13, FALSE)="",":",VLOOKUP($E$81,[1]UN!$A$2:$FA$303, 13, FALSE))</f>
        <v>8.1999999999999993</v>
      </c>
      <c r="O81" s="556">
        <f>IF(VLOOKUP($E$81,[1]UN!$A$2:$FA$303, 14, FALSE)="",":",VLOOKUP($E$81,[1]UN!$A$2:$FA$303, 14, FALSE))</f>
        <v>1190.4000000000001</v>
      </c>
      <c r="P81" s="556">
        <f>IF(VLOOKUP($E$81,[1]UN!$A$2:$FA$303, 15, FALSE)="",":",VLOOKUP($E$81,[1]UN!$A$2:$FA$303, 15, FALSE))</f>
        <v>3413.9</v>
      </c>
      <c r="Q81" s="556">
        <f>IF(VLOOKUP($E$81,[1]UN!$A$2:$FA$303, 16, FALSE)="",":",VLOOKUP($E$81,[1]UN!$A$2:$FA$303, 16, FALSE))</f>
        <v>4522</v>
      </c>
      <c r="R81" s="556">
        <f>IF(VLOOKUP($E$81,[1]UN!$A$2:$FA$303, 17, FALSE)="",":",VLOOKUP($E$81,[1]UN!$A$2:$FA$303, 17, FALSE))</f>
        <v>5027.6000000000004</v>
      </c>
      <c r="S81" s="556">
        <f>IF(VLOOKUP($E$81,[1]UN!$A$2:$FA$303, 18, FALSE)="",":",VLOOKUP($E$81,[1]UN!$A$2:$FA$303, 18, FALSE))</f>
        <v>4179.2</v>
      </c>
      <c r="T81" s="556">
        <f>IF(VLOOKUP($E$81,[1]UN!$A$2:$FA$303, 19, FALSE)="",":",VLOOKUP($E$81,[1]UN!$A$2:$FA$303, 19, FALSE))</f>
        <v>6217</v>
      </c>
      <c r="U81" s="556">
        <f>IF(VLOOKUP($E$81,[1]UN!$A$2:$FA$303, 20, FALSE)="",":",VLOOKUP($E$81,[1]UN!$A$2:$FA$303, 20, FALSE))</f>
        <v>-3218.9</v>
      </c>
      <c r="V81" s="556">
        <f>IF(VLOOKUP($E$81,[1]UN!$A$2:$FA$303, 21, FALSE)="",":",VLOOKUP($E$81,[1]UN!$A$2:$FA$303, 21, FALSE))</f>
        <v>3187.9</v>
      </c>
      <c r="W81" s="556">
        <f>IF(VLOOKUP($E$81,[1]UN!$A$2:$FA$303, 22, FALSE)="",":",VLOOKUP($E$81,[1]UN!$A$2:$FA$303, 22, FALSE))</f>
        <v>5338.6</v>
      </c>
      <c r="X81" s="556">
        <f>IF(VLOOKUP($E$81,[1]UN!$A$2:$FA$303, 23, FALSE)="",":",VLOOKUP($E$81,[1]UN!$A$2:$FA$303, 23, FALSE))</f>
        <v>2245.8000000000002</v>
      </c>
      <c r="Y81" s="556">
        <f>IF(VLOOKUP($E$81,[1]UN!$A$2:$FA$303, 24, FALSE)="",":",VLOOKUP($E$81,[1]UN!$A$2:$FA$303, 24, FALSE))</f>
        <v>51.5</v>
      </c>
      <c r="Z81" s="556">
        <f>IF(VLOOKUP($E$81,[1]UN!$A$2:$FA$303, 25, FALSE)="",":",VLOOKUP($E$81,[1]UN!$A$2:$FA$303, 25, FALSE))</f>
        <v>1143.8</v>
      </c>
      <c r="AA81" s="556">
        <f>IF(VLOOKUP($E$81,[1]UN!$A$2:$FA$303, 26, FALSE)="",":",VLOOKUP($E$81,[1]UN!$A$2:$FA$303, 26, FALSE))</f>
        <v>1574</v>
      </c>
      <c r="AB81" s="556">
        <f>IF(VLOOKUP($E$81,[1]UN!$A$2:$FA$303, 27, FALSE)="",":",VLOOKUP($E$81,[1]UN!$A$2:$FA$303, 27, FALSE))</f>
        <v>1981.8</v>
      </c>
      <c r="AC81" s="556">
        <f>IF(VLOOKUP($E$81,[1]UN!$A$2:$FA$303, 28, FALSE)="",":",VLOOKUP($E$81,[1]UN!$A$2:$FA$303, 28, FALSE))</f>
        <v>5585.1</v>
      </c>
      <c r="AD81" s="556" t="str">
        <f>IF(VLOOKUP($E$81,[1]UN!$A$2:$FA$303, 29, FALSE)="",":",VLOOKUP($E$81,[1]UN!$A$2:$FA$303, 29, FALSE))</f>
        <v>:</v>
      </c>
      <c r="AE81" s="556" t="str">
        <f>IF(VLOOKUP($E$81,[1]UN!$A$2:$FA$303, 30, FALSE)="",":",VLOOKUP($E$81,[1]UN!$A$2:$FA$303, 30, FALSE))</f>
        <v>:</v>
      </c>
      <c r="AF81" s="556" t="str">
        <f>IF(VLOOKUP($E$81,[1]UN!$A$2:$FA$303, 31, FALSE)="",":",VLOOKUP($E$81,[1]UN!$A$2:$FA$303, 31, FALSE))</f>
        <v>:</v>
      </c>
    </row>
    <row r="82" spans="1:32">
      <c r="A82" s="545"/>
      <c r="B82" s="546"/>
      <c r="C82" s="547"/>
      <c r="D82" s="12"/>
      <c r="E82" s="13"/>
      <c r="F82" s="14"/>
      <c r="G82" s="556"/>
      <c r="H82" s="556"/>
      <c r="I82" s="556"/>
      <c r="J82" s="556"/>
      <c r="K82" s="556"/>
      <c r="L82" s="556"/>
      <c r="M82" s="556"/>
      <c r="N82" s="556"/>
      <c r="O82" s="556"/>
      <c r="P82" s="556"/>
      <c r="Q82" s="556"/>
      <c r="R82" s="556"/>
      <c r="S82" s="556"/>
      <c r="T82" s="556"/>
      <c r="U82" s="556"/>
      <c r="V82" s="556"/>
      <c r="W82" s="556"/>
      <c r="X82" s="556"/>
      <c r="Y82" s="556"/>
      <c r="Z82" s="556"/>
      <c r="AA82" s="556"/>
      <c r="AB82" s="556"/>
      <c r="AC82" s="556"/>
      <c r="AD82" s="556"/>
      <c r="AE82" s="556"/>
      <c r="AF82" s="556"/>
    </row>
    <row r="83" spans="1:32">
      <c r="A83" s="1870"/>
      <c r="B83" s="546"/>
      <c r="C83" s="547"/>
      <c r="D83" s="12" t="s">
        <v>1084</v>
      </c>
      <c r="E83" s="13">
        <v>500</v>
      </c>
      <c r="F83" s="14" t="str">
        <f>VLOOKUP($E$83,[1]UN!$A$2:$FA$303, 3, FALSE)</f>
        <v xml:space="preserve">500  Net lending (+) or net borrowing (-) of the nation                           </v>
      </c>
      <c r="G83" s="556">
        <f ca="1">IF(VLOOKUP($E$83,[1]UN!$A$2:$FA$303, 6, FALSE)="",":",VLOOKUP($E$83,[1]UN!$A$2:$FA$303, 6, FALSE))</f>
        <v>9025.5</v>
      </c>
      <c r="H83" s="556">
        <f>IF(VLOOKUP($E$83,[1]UN!$A$2:$FA$303, 7, FALSE)="",":",VLOOKUP($E$83,[1]UN!$A$2:$FA$303, 7, FALSE))</f>
        <v>8040</v>
      </c>
      <c r="I83" s="556">
        <f>IF(VLOOKUP($E$83,[1]UN!$A$2:$FA$303, 8, FALSE)="",":",VLOOKUP($E$83,[1]UN!$A$2:$FA$303, 8, FALSE))</f>
        <v>10661.4</v>
      </c>
      <c r="J83" s="556">
        <f>IF(VLOOKUP($E$83,[1]UN!$A$2:$FA$303, 9, FALSE)="",":",VLOOKUP($E$83,[1]UN!$A$2:$FA$303, 9, FALSE))</f>
        <v>10115.799999999999</v>
      </c>
      <c r="K83" s="556">
        <f>IF(VLOOKUP($E$83,[1]UN!$A$2:$FA$303, 10, FALSE)="",":",VLOOKUP($E$83,[1]UN!$A$2:$FA$303, 10, FALSE))</f>
        <v>11731.7</v>
      </c>
      <c r="L83" s="556">
        <f>IF(VLOOKUP($E$83,[1]UN!$A$2:$FA$303, 11, FALSE)="",":",VLOOKUP($E$83,[1]UN!$A$2:$FA$303, 11, FALSE))</f>
        <v>9937.6</v>
      </c>
      <c r="M83" s="556">
        <f>IF(VLOOKUP($E$83,[1]UN!$A$2:$FA$303, 12, FALSE)="",":",VLOOKUP($E$83,[1]UN!$A$2:$FA$303, 12, FALSE))</f>
        <v>10518.7</v>
      </c>
      <c r="N83" s="556">
        <f>IF(VLOOKUP($E$83,[1]UN!$A$2:$FA$303, 13, FALSE)="",":",VLOOKUP($E$83,[1]UN!$A$2:$FA$303, 13, FALSE))</f>
        <v>16079.2</v>
      </c>
      <c r="O83" s="556">
        <f>IF(VLOOKUP($E$83,[1]UN!$A$2:$FA$303, 14, FALSE)="",":",VLOOKUP($E$83,[1]UN!$A$2:$FA$303, 14, FALSE))</f>
        <v>15799.2</v>
      </c>
      <c r="P83" s="556">
        <f>IF(VLOOKUP($E$83,[1]UN!$A$2:$FA$303, 15, FALSE)="",":",VLOOKUP($E$83,[1]UN!$A$2:$FA$303, 15, FALSE))</f>
        <v>13415.8</v>
      </c>
      <c r="Q83" s="556">
        <f>IF(VLOOKUP($E$83,[1]UN!$A$2:$FA$303, 16, FALSE)="",":",VLOOKUP($E$83,[1]UN!$A$2:$FA$303, 16, FALSE))</f>
        <v>10246.700000000001</v>
      </c>
      <c r="R83" s="556">
        <f>IF(VLOOKUP($E$83,[1]UN!$A$2:$FA$303, 17, FALSE)="",":",VLOOKUP($E$83,[1]UN!$A$2:$FA$303, 17, FALSE))</f>
        <v>12015.7</v>
      </c>
      <c r="S83" s="556">
        <f>IF(VLOOKUP($E$83,[1]UN!$A$2:$FA$303, 18, FALSE)="",":",VLOOKUP($E$83,[1]UN!$A$2:$FA$303, 18, FALSE))</f>
        <v>12758.3</v>
      </c>
      <c r="T83" s="556">
        <f>IF(VLOOKUP($E$83,[1]UN!$A$2:$FA$303, 19, FALSE)="",":",VLOOKUP($E$83,[1]UN!$A$2:$FA$303, 19, FALSE))</f>
        <v>3500.5</v>
      </c>
      <c r="U83" s="556">
        <f>IF(VLOOKUP($E$83,[1]UN!$A$2:$FA$303, 20, FALSE)="",":",VLOOKUP($E$83,[1]UN!$A$2:$FA$303, 20, FALSE))</f>
        <v>2554.1</v>
      </c>
      <c r="V83" s="556">
        <f>IF(VLOOKUP($E$83,[1]UN!$A$2:$FA$303, 21, FALSE)="",":",VLOOKUP($E$83,[1]UN!$A$2:$FA$303, 21, FALSE))</f>
        <v>13208.1</v>
      </c>
      <c r="W83" s="556">
        <f>IF(VLOOKUP($E$83,[1]UN!$A$2:$FA$303, 22, FALSE)="",":",VLOOKUP($E$83,[1]UN!$A$2:$FA$303, 22, FALSE))</f>
        <v>504.9</v>
      </c>
      <c r="X83" s="556">
        <f>IF(VLOOKUP($E$83,[1]UN!$A$2:$FA$303, 23, FALSE)="",":",VLOOKUP($E$83,[1]UN!$A$2:$FA$303, 23, FALSE))</f>
        <v>8544.9</v>
      </c>
      <c r="Y83" s="556">
        <f>IF(VLOOKUP($E$83,[1]UN!$A$2:$FA$303, 24, FALSE)="",":",VLOOKUP($E$83,[1]UN!$A$2:$FA$303, 24, FALSE))</f>
        <v>4316.6000000000004</v>
      </c>
      <c r="Z83" s="556">
        <f>IF(VLOOKUP($E$83,[1]UN!$A$2:$FA$303, 25, FALSE)="",":",VLOOKUP($E$83,[1]UN!$A$2:$FA$303, 25, FALSE))</f>
        <v>-1939.6</v>
      </c>
      <c r="AA83" s="556">
        <f>IF(VLOOKUP($E$83,[1]UN!$A$2:$FA$303, 26, FALSE)="",":",VLOOKUP($E$83,[1]UN!$A$2:$FA$303, 26, FALSE))</f>
        <v>-1681.8</v>
      </c>
      <c r="AB83" s="556">
        <f>IF(VLOOKUP($E$83,[1]UN!$A$2:$FA$303, 27, FALSE)="",":",VLOOKUP($E$83,[1]UN!$A$2:$FA$303, 27, FALSE))</f>
        <v>877</v>
      </c>
      <c r="AC83" s="556" t="str">
        <f>IF(VLOOKUP($E$83,[1]UN!$A$2:$FA$303, 28, FALSE)="",":",VLOOKUP($E$83,[1]UN!$A$2:$FA$303, 28, FALSE))</f>
        <v>:</v>
      </c>
      <c r="AD83" s="556" t="str">
        <f>IF(VLOOKUP($E$83,[1]UN!$A$2:$FA$303, 29, FALSE)="",":",VLOOKUP($E$83,[1]UN!$A$2:$FA$303, 29, FALSE))</f>
        <v>:</v>
      </c>
      <c r="AE83" s="556" t="str">
        <f>IF(VLOOKUP($E$83,[1]UN!$A$2:$FA$303, 30, FALSE)="",":",VLOOKUP($E$83,[1]UN!$A$2:$FA$303, 30, FALSE))</f>
        <v>:</v>
      </c>
      <c r="AF83" s="556" t="str">
        <f>IF(VLOOKUP($E$83,[1]UN!$A$2:$FA$303, 31, FALSE)="",":",VLOOKUP($E$83,[1]UN!$A$2:$FA$303, 31, FALSE))</f>
        <v>:</v>
      </c>
    </row>
    <row r="84" spans="1:32">
      <c r="A84" s="545"/>
      <c r="B84" s="546"/>
      <c r="C84" s="547"/>
      <c r="D84" s="12" t="s">
        <v>1084</v>
      </c>
      <c r="E84" s="13">
        <v>502</v>
      </c>
      <c r="F84" s="14" t="str">
        <f>VLOOKUP($E$84,[1]UN!$A$2:$FA$301, 3, FALSE)</f>
        <v>502 Current account balance (BPM6 - Balance of payments statistics)</v>
      </c>
      <c r="G84" s="556" t="str">
        <f>IF(VLOOKUP($E$84,[1]UN!$A$2:$FA$301, 6, FALSE)="",":",VLOOKUP($E$84,[1]UN!$A$2:$FA$301, 6, FALSE))</f>
        <v>:</v>
      </c>
      <c r="H84" s="556" t="str">
        <f>IF(VLOOKUP($E$84,[1]UN!$A$2:$FA$301, 7, FALSE)="",":",VLOOKUP($E$84,[1]UN!$A$2:$FA$301, 7, FALSE))</f>
        <v>:</v>
      </c>
      <c r="I84" s="556" t="str">
        <f>IF(VLOOKUP($E$84,[1]UN!$A$2:$FA$301, 8, FALSE)="",":",VLOOKUP($E$84,[1]UN!$A$2:$FA$301, 8, FALSE))</f>
        <v>:</v>
      </c>
      <c r="J84" s="556" t="str">
        <f>IF(VLOOKUP($E$84,[1]UN!$A$2:$FA$301, 9, FALSE)="",":",VLOOKUP($E$84,[1]UN!$A$2:$FA$301, 9, FALSE))</f>
        <v>:</v>
      </c>
      <c r="K84" s="556" t="str">
        <f>IF(VLOOKUP($E$84,[1]UN!$A$2:$FA$301, 10, FALSE)="",":",VLOOKUP($E$84,[1]UN!$A$2:$FA$301, 10, FALSE))</f>
        <v>:</v>
      </c>
      <c r="L84" s="556" t="str">
        <f>IF(VLOOKUP($E$84,[1]UN!$A$2:$FA$301, 11, FALSE)="",":",VLOOKUP($E$84,[1]UN!$A$2:$FA$301, 11, FALSE))</f>
        <v>:</v>
      </c>
      <c r="M84" s="556" t="str">
        <f>IF(VLOOKUP($E$84,[1]UN!$A$2:$FA$301, 12, FALSE)="",":",VLOOKUP($E$84,[1]UN!$A$2:$FA$301, 12, FALSE))</f>
        <v>:</v>
      </c>
      <c r="N84" s="556" t="str">
        <f>IF(VLOOKUP($E$84,[1]UN!$A$2:$FA$301, 13, FALSE)="",":",VLOOKUP($E$84,[1]UN!$A$2:$FA$301, 13, FALSE))</f>
        <v>:</v>
      </c>
      <c r="O84" s="556" t="str">
        <f>IF(VLOOKUP($E$84,[1]UN!$A$2:$FA$301, 14, FALSE)="",":",VLOOKUP($E$84,[1]UN!$A$2:$FA$301, 14, FALSE))</f>
        <v>:</v>
      </c>
      <c r="P84" s="556" t="str">
        <f>IF(VLOOKUP($E$84,[1]UN!$A$2:$FA$301, 15, FALSE)="",":",VLOOKUP($E$84,[1]UN!$A$2:$FA$301, 15, FALSE))</f>
        <v>:</v>
      </c>
      <c r="Q84" s="556" t="str">
        <f>IF(VLOOKUP($E$84,[1]UN!$A$2:$FA$301, 16, FALSE)="",":",VLOOKUP($E$84,[1]UN!$A$2:$FA$301, 16, FALSE))</f>
        <v>:</v>
      </c>
      <c r="R84" s="556" t="str">
        <f>IF(VLOOKUP($E$84,[1]UN!$A$2:$FA$301, 17, FALSE)="",":",VLOOKUP($E$84,[1]UN!$A$2:$FA$301, 17, FALSE))</f>
        <v>:</v>
      </c>
      <c r="S84" s="556" t="str">
        <f>IF(VLOOKUP($E$84,[1]UN!$A$2:$FA$301, 18, FALSE)="",":",VLOOKUP($E$84,[1]UN!$A$2:$FA$301, 18, FALSE))</f>
        <v>:</v>
      </c>
      <c r="T84" s="556">
        <f>IF(VLOOKUP($E$84,[1]UN!$A$2:$FA$301, 19, FALSE)="",":",VLOOKUP($E$84,[1]UN!$A$2:$FA$301, 19, FALSE))</f>
        <v>-3535</v>
      </c>
      <c r="U84" s="556">
        <f>IF(VLOOKUP($E$84,[1]UN!$A$2:$FA$301, 20, FALSE)="",":",VLOOKUP($E$84,[1]UN!$A$2:$FA$301, 20, FALSE))</f>
        <v>-3755</v>
      </c>
      <c r="V84" s="556">
        <f>IF(VLOOKUP($E$84,[1]UN!$A$2:$FA$301, 21, FALSE)="",":",VLOOKUP($E$84,[1]UN!$A$2:$FA$301, 21, FALSE))</f>
        <v>6441</v>
      </c>
      <c r="W84" s="556">
        <f>IF(VLOOKUP($E$84,[1]UN!$A$2:$FA$301, 22, FALSE)="",":",VLOOKUP($E$84,[1]UN!$A$2:$FA$301, 22, FALSE))</f>
        <v>-4067</v>
      </c>
      <c r="X84" s="556">
        <f>IF(VLOOKUP($E$84,[1]UN!$A$2:$FA$301, 23, FALSE)="",":",VLOOKUP($E$84,[1]UN!$A$2:$FA$301, 23, FALSE))</f>
        <v>-210</v>
      </c>
      <c r="Y84" s="556">
        <f>IF(VLOOKUP($E$84,[1]UN!$A$2:$FA$301, 24, FALSE)="",":",VLOOKUP($E$84,[1]UN!$A$2:$FA$301, 24, FALSE))</f>
        <v>-1247</v>
      </c>
      <c r="Z84" s="556">
        <f>IF(VLOOKUP($E$84,[1]UN!$A$2:$FA$301, 25, FALSE)="",":",VLOOKUP($E$84,[1]UN!$A$2:$FA$301, 25, FALSE))</f>
        <v>-3482</v>
      </c>
      <c r="AA84" s="556">
        <f>IF(VLOOKUP($E$84,[1]UN!$A$2:$FA$301, 26, FALSE)="",":",VLOOKUP($E$84,[1]UN!$A$2:$FA$301, 26, FALSE))</f>
        <v>-584</v>
      </c>
      <c r="AB84" s="556">
        <f>IF(VLOOKUP($E$84,[1]UN!$A$2:$FA$301, 27, FALSE)="",":",VLOOKUP($E$84,[1]UN!$A$2:$FA$301, 27, FALSE))</f>
        <v>409</v>
      </c>
      <c r="AC84" s="556">
        <f>IF(VLOOKUP($E$84,[1]UN!$A$2:$FA$301, 28, FALSE)="",":",VLOOKUP($E$84,[1]UN!$A$2:$FA$301, 28, FALSE))</f>
        <v>-715</v>
      </c>
      <c r="AD84" s="556" t="str">
        <f>IF(VLOOKUP($E$84,[1]UN!$A$2:$FA$301, 29, FALSE)="",":",VLOOKUP($E$84,[1]UN!$A$2:$FA$301, 29, FALSE))</f>
        <v>:</v>
      </c>
      <c r="AE84" s="556" t="str">
        <f>IF(VLOOKUP($E$84,[1]UN!$A$2:$FA$301, 30, FALSE)="",":",VLOOKUP($E$84,[1]UN!$A$2:$FA$301, 30, FALSE))</f>
        <v>:</v>
      </c>
      <c r="AF84" s="556" t="str">
        <f>IF(VLOOKUP($E$84,[1]UN!$A$2:$FA$301, 31, FALSE)="",":",VLOOKUP($E$84,[1]UN!$A$2:$FA$301, 31, FALSE))</f>
        <v>:</v>
      </c>
    </row>
    <row r="85" spans="1:32">
      <c r="A85" s="545">
        <v>43</v>
      </c>
      <c r="B85" s="546" t="s">
        <v>83</v>
      </c>
      <c r="C85" s="547" t="s">
        <v>1451</v>
      </c>
      <c r="D85" s="12" t="s">
        <v>1084</v>
      </c>
      <c r="E85" s="13">
        <v>511</v>
      </c>
      <c r="F85" s="14" t="str">
        <f>VLOOKUP($E$85,[1]UN!$A$2:$FA$303, 3, FALSE)</f>
        <v xml:space="preserve">511  Exports of goods                                                             </v>
      </c>
      <c r="G85" s="556">
        <f ca="1">IF(VLOOKUP($E$85,[1]UN!$A$2:$FA$303, 6, FALSE)="",":",VLOOKUP($E$85,[1]UN!$A$2:$FA$303, 6, FALSE))</f>
        <v>100414.5</v>
      </c>
      <c r="H85" s="556">
        <f>IF(VLOOKUP($E$85,[1]UN!$A$2:$FA$303, 7, FALSE)="",":",VLOOKUP($E$85,[1]UN!$A$2:$FA$303, 7, FALSE))</f>
        <v>103979.3</v>
      </c>
      <c r="I85" s="556">
        <f>IF(VLOOKUP($E$85,[1]UN!$A$2:$FA$303, 8, FALSE)="",":",VLOOKUP($E$85,[1]UN!$A$2:$FA$303, 8, FALSE))</f>
        <v>115254.9</v>
      </c>
      <c r="J85" s="556">
        <f>IF(VLOOKUP($E$85,[1]UN!$A$2:$FA$303, 9, FALSE)="",":",VLOOKUP($E$85,[1]UN!$A$2:$FA$303, 9, FALSE))</f>
        <v>117972.7</v>
      </c>
      <c r="K85" s="556">
        <f>IF(VLOOKUP($E$85,[1]UN!$A$2:$FA$303, 10, FALSE)="",":",VLOOKUP($E$85,[1]UN!$A$2:$FA$303, 10, FALSE))</f>
        <v>122997.9</v>
      </c>
      <c r="L85" s="556">
        <f>IF(VLOOKUP($E$85,[1]UN!$A$2:$FA$303, 11, FALSE)="",":",VLOOKUP($E$85,[1]UN!$A$2:$FA$303, 11, FALSE))</f>
        <v>145598.20000000001</v>
      </c>
      <c r="M85" s="556">
        <f>IF(VLOOKUP($E$85,[1]UN!$A$2:$FA$303, 12, FALSE)="",":",VLOOKUP($E$85,[1]UN!$A$2:$FA$303, 12, FALSE))</f>
        <v>145848.79999999999</v>
      </c>
      <c r="N85" s="556">
        <f>IF(VLOOKUP($E$85,[1]UN!$A$2:$FA$303, 13, FALSE)="",":",VLOOKUP($E$85,[1]UN!$A$2:$FA$303, 13, FALSE))</f>
        <v>151322.1</v>
      </c>
      <c r="O85" s="556">
        <f>IF(VLOOKUP($E$85,[1]UN!$A$2:$FA$303, 14, FALSE)="",":",VLOOKUP($E$85,[1]UN!$A$2:$FA$303, 14, FALSE))</f>
        <v>152124</v>
      </c>
      <c r="P85" s="556">
        <f>IF(VLOOKUP($E$85,[1]UN!$A$2:$FA$303, 15, FALSE)="",":",VLOOKUP($E$85,[1]UN!$A$2:$FA$303, 15, FALSE))</f>
        <v>165746.29999999999</v>
      </c>
      <c r="Q85" s="556">
        <f>IF(VLOOKUP($E$85,[1]UN!$A$2:$FA$303, 16, FALSE)="",":",VLOOKUP($E$85,[1]UN!$A$2:$FA$303, 16, FALSE))</f>
        <v>181832.3</v>
      </c>
      <c r="R85" s="556">
        <f>IF(VLOOKUP($E$85,[1]UN!$A$2:$FA$303, 17, FALSE)="",":",VLOOKUP($E$85,[1]UN!$A$2:$FA$303, 17, FALSE))</f>
        <v>198449.5</v>
      </c>
      <c r="S85" s="556">
        <f>IF(VLOOKUP($E$85,[1]UN!$A$2:$FA$303, 18, FALSE)="",":",VLOOKUP($E$85,[1]UN!$A$2:$FA$303, 18, FALSE))</f>
        <v>211484.9</v>
      </c>
      <c r="T85" s="556">
        <f>IF(VLOOKUP($E$85,[1]UN!$A$2:$FA$303, 19, FALSE)="",":",VLOOKUP($E$85,[1]UN!$A$2:$FA$303, 19, FALSE))</f>
        <v>216366.3</v>
      </c>
      <c r="U85" s="556">
        <f>IF(VLOOKUP($E$85,[1]UN!$A$2:$FA$303, 20, FALSE)="",":",VLOOKUP($E$85,[1]UN!$A$2:$FA$303, 20, FALSE))</f>
        <v>175662.4</v>
      </c>
      <c r="V85" s="556">
        <f>IF(VLOOKUP($E$85,[1]UN!$A$2:$FA$303, 21, FALSE)="",":",VLOOKUP($E$85,[1]UN!$A$2:$FA$303, 21, FALSE))</f>
        <v>204549.3</v>
      </c>
      <c r="W85" s="556">
        <f>IF(VLOOKUP($E$85,[1]UN!$A$2:$FA$303, 22, FALSE)="",":",VLOOKUP($E$85,[1]UN!$A$2:$FA$303, 22, FALSE))</f>
        <v>233476.6</v>
      </c>
      <c r="X85" s="556">
        <f>IF(VLOOKUP($E$85,[1]UN!$A$2:$FA$303, 23, FALSE)="",":",VLOOKUP($E$85,[1]UN!$A$2:$FA$303, 23, FALSE))</f>
        <v>234927.8</v>
      </c>
      <c r="Y85" s="556">
        <f>IF(VLOOKUP($E$85,[1]UN!$A$2:$FA$303, 24, FALSE)="",":",VLOOKUP($E$85,[1]UN!$A$2:$FA$303, 24, FALSE))</f>
        <v>234668.3</v>
      </c>
      <c r="Z85" s="556">
        <f>IF(VLOOKUP($E$85,[1]UN!$A$2:$FA$303, 25, FALSE)="",":",VLOOKUP($E$85,[1]UN!$A$2:$FA$303, 25, FALSE))</f>
        <v>236339.6</v>
      </c>
      <c r="AA85" s="556">
        <f>IF(VLOOKUP($E$85,[1]UN!$A$2:$FA$303, 26, FALSE)="",":",VLOOKUP($E$85,[1]UN!$A$2:$FA$303, 26, FALSE))</f>
        <v>229921.6</v>
      </c>
      <c r="AB85" s="556">
        <f>IF(VLOOKUP($E$85,[1]UN!$A$2:$FA$303, 27, FALSE)="",":",VLOOKUP($E$85,[1]UN!$A$2:$FA$303, 27, FALSE))</f>
        <v>248165.1</v>
      </c>
      <c r="AC85" s="556">
        <f>IF(VLOOKUP($E$85,[1]UN!$A$2:$FA$303, 28, FALSE)="",":",VLOOKUP($E$85,[1]UN!$A$2:$FA$303, 28, FALSE))</f>
        <v>268406.09999999998</v>
      </c>
      <c r="AD85" s="556" t="str">
        <f>IF(VLOOKUP($E$85,[1]UN!$A$2:$FA$303, 29, FALSE)="",":",VLOOKUP($E$85,[1]UN!$A$2:$FA$303, 29, FALSE))</f>
        <v>:</v>
      </c>
      <c r="AE85" s="556" t="str">
        <f>IF(VLOOKUP($E$85,[1]UN!$A$2:$FA$303, 30, FALSE)="",":",VLOOKUP($E$85,[1]UN!$A$2:$FA$303, 30, FALSE))</f>
        <v>:</v>
      </c>
      <c r="AF85" s="556" t="str">
        <f>IF(VLOOKUP($E$85,[1]UN!$A$2:$FA$303, 31, FALSE)="",":",VLOOKUP($E$85,[1]UN!$A$2:$FA$303, 31, FALSE))</f>
        <v>:</v>
      </c>
    </row>
    <row r="86" spans="1:32">
      <c r="A86" s="545">
        <v>44</v>
      </c>
      <c r="B86" s="546" t="s">
        <v>1320</v>
      </c>
      <c r="C86" s="547" t="s">
        <v>1452</v>
      </c>
      <c r="D86" s="12" t="s">
        <v>1084</v>
      </c>
      <c r="E86" s="13">
        <v>512</v>
      </c>
      <c r="F86" s="14" t="str">
        <f>VLOOKUP($E$86,[1]UN!$A$2:$FA$303, 3, FALSE)</f>
        <v xml:space="preserve">512  Exports of services </v>
      </c>
      <c r="G86" s="556">
        <f ca="1">IF(VLOOKUP($E$86,[1]UN!$A$2:$FA$303, 6, FALSE)="",":",VLOOKUP($E$86,[1]UN!$A$2:$FA$303, 6, FALSE))</f>
        <v>25457.200000000001</v>
      </c>
      <c r="H86" s="556">
        <f>IF(VLOOKUP($E$86,[1]UN!$A$2:$FA$303, 7, FALSE)="",":",VLOOKUP($E$86,[1]UN!$A$2:$FA$303, 7, FALSE))</f>
        <v>26542.3</v>
      </c>
      <c r="I86" s="556">
        <f>IF(VLOOKUP($E$86,[1]UN!$A$2:$FA$303, 8, FALSE)="",":",VLOOKUP($E$86,[1]UN!$A$2:$FA$303, 8, FALSE))</f>
        <v>29131.8</v>
      </c>
      <c r="J86" s="556">
        <f>IF(VLOOKUP($E$86,[1]UN!$A$2:$FA$303, 9, FALSE)="",":",VLOOKUP($E$86,[1]UN!$A$2:$FA$303, 9, FALSE))</f>
        <v>30687.3</v>
      </c>
      <c r="K86" s="556">
        <f>IF(VLOOKUP($E$86,[1]UN!$A$2:$FA$303, 10, FALSE)="",":",VLOOKUP($E$86,[1]UN!$A$2:$FA$303, 10, FALSE))</f>
        <v>33059.4</v>
      </c>
      <c r="L86" s="556">
        <f>IF(VLOOKUP($E$86,[1]UN!$A$2:$FA$303, 11, FALSE)="",":",VLOOKUP($E$86,[1]UN!$A$2:$FA$303, 11, FALSE))</f>
        <v>39953.9</v>
      </c>
      <c r="M86" s="556">
        <f>IF(VLOOKUP($E$86,[1]UN!$A$2:$FA$303, 12, FALSE)="",":",VLOOKUP($E$86,[1]UN!$A$2:$FA$303, 12, FALSE))</f>
        <v>42915.1</v>
      </c>
      <c r="N86" s="556">
        <f>IF(VLOOKUP($E$86,[1]UN!$A$2:$FA$303, 13, FALSE)="",":",VLOOKUP($E$86,[1]UN!$A$2:$FA$303, 13, FALSE))</f>
        <v>42089.3</v>
      </c>
      <c r="O86" s="556">
        <f>IF(VLOOKUP($E$86,[1]UN!$A$2:$FA$303, 14, FALSE)="",":",VLOOKUP($E$86,[1]UN!$A$2:$FA$303, 14, FALSE))</f>
        <v>41753.599999999999</v>
      </c>
      <c r="P86" s="556">
        <f>IF(VLOOKUP($E$86,[1]UN!$A$2:$FA$303, 15, FALSE)="",":",VLOOKUP($E$86,[1]UN!$A$2:$FA$303, 15, FALSE))</f>
        <v>44456.4</v>
      </c>
      <c r="Q86" s="556">
        <f>IF(VLOOKUP($E$86,[1]UN!$A$2:$FA$303, 16, FALSE)="",":",VLOOKUP($E$86,[1]UN!$A$2:$FA$303, 16, FALSE))</f>
        <v>47172.2</v>
      </c>
      <c r="R86" s="556">
        <f>IF(VLOOKUP($E$86,[1]UN!$A$2:$FA$303, 17, FALSE)="",":",VLOOKUP($E$86,[1]UN!$A$2:$FA$303, 17, FALSE))</f>
        <v>48870.1</v>
      </c>
      <c r="S86" s="556">
        <f>IF(VLOOKUP($E$86,[1]UN!$A$2:$FA$303, 18, FALSE)="",":",VLOOKUP($E$86,[1]UN!$A$2:$FA$303, 18, FALSE))</f>
        <v>55635.7</v>
      </c>
      <c r="T86" s="556">
        <f>IF(VLOOKUP($E$86,[1]UN!$A$2:$FA$303, 19, FALSE)="",":",VLOOKUP($E$86,[1]UN!$A$2:$FA$303, 19, FALSE))</f>
        <v>65810</v>
      </c>
      <c r="U86" s="556">
        <f>IF(VLOOKUP($E$86,[1]UN!$A$2:$FA$303, 20, FALSE)="",":",VLOOKUP($E$86,[1]UN!$A$2:$FA$303, 20, FALSE))</f>
        <v>66077</v>
      </c>
      <c r="V86" s="556">
        <f>IF(VLOOKUP($E$86,[1]UN!$A$2:$FA$303, 21, FALSE)="",":",VLOOKUP($E$86,[1]UN!$A$2:$FA$303, 21, FALSE))</f>
        <v>74564.399999999994</v>
      </c>
      <c r="W86" s="556">
        <f>IF(VLOOKUP($E$86,[1]UN!$A$2:$FA$303, 22, FALSE)="",":",VLOOKUP($E$86,[1]UN!$A$2:$FA$303, 22, FALSE))</f>
        <v>76008.899999999994</v>
      </c>
      <c r="X86" s="556">
        <f>IF(VLOOKUP($E$86,[1]UN!$A$2:$FA$303, 23, FALSE)="",":",VLOOKUP($E$86,[1]UN!$A$2:$FA$303, 23, FALSE))</f>
        <v>84007.4</v>
      </c>
      <c r="Y86" s="556">
        <f>IF(VLOOKUP($E$86,[1]UN!$A$2:$FA$303, 24, FALSE)="",":",VLOOKUP($E$86,[1]UN!$A$2:$FA$303, 24, FALSE))</f>
        <v>85992.2</v>
      </c>
      <c r="Z86" s="556">
        <f>IF(VLOOKUP($E$86,[1]UN!$A$2:$FA$303, 25, FALSE)="",":",VLOOKUP($E$86,[1]UN!$A$2:$FA$303, 25, FALSE))</f>
        <v>94396.9</v>
      </c>
      <c r="AA86" s="556">
        <f>IF(VLOOKUP($E$86,[1]UN!$A$2:$FA$303, 26, FALSE)="",":",VLOOKUP($E$86,[1]UN!$A$2:$FA$303, 26, FALSE))</f>
        <v>101570</v>
      </c>
      <c r="AB86" s="556">
        <f>IF(VLOOKUP($E$86,[1]UN!$A$2:$FA$303, 27, FALSE)="",":",VLOOKUP($E$86,[1]UN!$A$2:$FA$303, 27, FALSE))</f>
        <v>102394.3</v>
      </c>
      <c r="AC86" s="556">
        <f>IF(VLOOKUP($E$86,[1]UN!$A$2:$FA$303, 28, FALSE)="",":",VLOOKUP($E$86,[1]UN!$A$2:$FA$303, 28, FALSE))</f>
        <v>102979.7</v>
      </c>
      <c r="AD86" s="556" t="str">
        <f>IF(VLOOKUP($E$86,[1]UN!$A$2:$FA$303, 29, FALSE)="",":",VLOOKUP($E$86,[1]UN!$A$2:$FA$303, 29, FALSE))</f>
        <v>:</v>
      </c>
      <c r="AE86" s="556" t="str">
        <f>IF(VLOOKUP($E$86,[1]UN!$A$2:$FA$303, 30, FALSE)="",":",VLOOKUP($E$86,[1]UN!$A$2:$FA$303, 30, FALSE))</f>
        <v>:</v>
      </c>
      <c r="AF86" s="556" t="str">
        <f>IF(VLOOKUP($E$86,[1]UN!$A$2:$FA$303, 31, FALSE)="",":",VLOOKUP($E$86,[1]UN!$A$2:$FA$303, 31, FALSE))</f>
        <v>:</v>
      </c>
    </row>
    <row r="87" spans="1:32">
      <c r="A87" s="545"/>
      <c r="B87" s="546" t="s">
        <v>1785</v>
      </c>
      <c r="C87" s="547" t="s">
        <v>1453</v>
      </c>
      <c r="D87" s="12" t="s">
        <v>1084</v>
      </c>
      <c r="E87" s="13">
        <v>510</v>
      </c>
      <c r="F87" s="14" t="str">
        <f>VLOOKUP($E$87,[1]UN!$A$2:$FA$303, 3, FALSE)</f>
        <v xml:space="preserve">510  Exports of goods and services                                                </v>
      </c>
      <c r="G87" s="556">
        <f ca="1">IF(VLOOKUP($E$87,[1]UN!$A$2:$FA$303, 6, FALSE)="",":",VLOOKUP($E$87,[1]UN!$A$2:$FA$303, 6, FALSE))</f>
        <v>125871.7</v>
      </c>
      <c r="H87" s="556">
        <f>IF(VLOOKUP($E$87,[1]UN!$A$2:$FA$303, 7, FALSE)="",":",VLOOKUP($E$87,[1]UN!$A$2:$FA$303, 7, FALSE))</f>
        <v>130521.60000000001</v>
      </c>
      <c r="I87" s="556">
        <f>IF(VLOOKUP($E$87,[1]UN!$A$2:$FA$303, 8, FALSE)="",":",VLOOKUP($E$87,[1]UN!$A$2:$FA$303, 8, FALSE))</f>
        <v>144386.70000000001</v>
      </c>
      <c r="J87" s="556">
        <f>IF(VLOOKUP($E$87,[1]UN!$A$2:$FA$303, 9, FALSE)="",":",VLOOKUP($E$87,[1]UN!$A$2:$FA$303, 9, FALSE))</f>
        <v>148660</v>
      </c>
      <c r="K87" s="556">
        <f>IF(VLOOKUP($E$87,[1]UN!$A$2:$FA$303, 10, FALSE)="",":",VLOOKUP($E$87,[1]UN!$A$2:$FA$303, 10, FALSE))</f>
        <v>156057.29999999999</v>
      </c>
      <c r="L87" s="556">
        <f>IF(VLOOKUP($E$87,[1]UN!$A$2:$FA$303, 11, FALSE)="",":",VLOOKUP($E$87,[1]UN!$A$2:$FA$303, 11, FALSE))</f>
        <v>185552.1</v>
      </c>
      <c r="M87" s="556">
        <f>IF(VLOOKUP($E$87,[1]UN!$A$2:$FA$303, 12, FALSE)="",":",VLOOKUP($E$87,[1]UN!$A$2:$FA$303, 12, FALSE))</f>
        <v>188763.9</v>
      </c>
      <c r="N87" s="556">
        <f>IF(VLOOKUP($E$87,[1]UN!$A$2:$FA$303, 13, FALSE)="",":",VLOOKUP($E$87,[1]UN!$A$2:$FA$303, 13, FALSE))</f>
        <v>193411.4</v>
      </c>
      <c r="O87" s="556">
        <f>IF(VLOOKUP($E$87,[1]UN!$A$2:$FA$303, 14, FALSE)="",":",VLOOKUP($E$87,[1]UN!$A$2:$FA$303, 14, FALSE))</f>
        <v>193877.6</v>
      </c>
      <c r="P87" s="556">
        <f>IF(VLOOKUP($E$87,[1]UN!$A$2:$FA$303, 15, FALSE)="",":",VLOOKUP($E$87,[1]UN!$A$2:$FA$303, 15, FALSE))</f>
        <v>210202.7</v>
      </c>
      <c r="Q87" s="556">
        <f>IF(VLOOKUP($E$87,[1]UN!$A$2:$FA$303, 16, FALSE)="",":",VLOOKUP($E$87,[1]UN!$A$2:$FA$303, 16, FALSE))</f>
        <v>229004.5</v>
      </c>
      <c r="R87" s="556">
        <f>IF(VLOOKUP($E$87,[1]UN!$A$2:$FA$303, 17, FALSE)="",":",VLOOKUP($E$87,[1]UN!$A$2:$FA$303, 17, FALSE))</f>
        <v>247319.6</v>
      </c>
      <c r="S87" s="556">
        <f>IF(VLOOKUP($E$87,[1]UN!$A$2:$FA$303, 18, FALSE)="",":",VLOOKUP($E$87,[1]UN!$A$2:$FA$303, 18, FALSE))</f>
        <v>267120.59999999998</v>
      </c>
      <c r="T87" s="556">
        <f>IF(VLOOKUP($E$87,[1]UN!$A$2:$FA$303, 19, FALSE)="",":",VLOOKUP($E$87,[1]UN!$A$2:$FA$303, 19, FALSE))</f>
        <v>282176.3</v>
      </c>
      <c r="U87" s="556">
        <f>IF(VLOOKUP($E$87,[1]UN!$A$2:$FA$303, 20, FALSE)="",":",VLOOKUP($E$87,[1]UN!$A$2:$FA$303, 20, FALSE))</f>
        <v>241739.4</v>
      </c>
      <c r="V87" s="556">
        <f>IF(VLOOKUP($E$87,[1]UN!$A$2:$FA$303, 21, FALSE)="",":",VLOOKUP($E$87,[1]UN!$A$2:$FA$303, 21, FALSE))</f>
        <v>279113.7</v>
      </c>
      <c r="W87" s="556">
        <f>IF(VLOOKUP($E$87,[1]UN!$A$2:$FA$303, 22, FALSE)="",":",VLOOKUP($E$87,[1]UN!$A$2:$FA$303, 22, FALSE))</f>
        <v>309485.5</v>
      </c>
      <c r="X87" s="556">
        <f>IF(VLOOKUP($E$87,[1]UN!$A$2:$FA$303, 23, FALSE)="",":",VLOOKUP($E$87,[1]UN!$A$2:$FA$303, 23, FALSE))</f>
        <v>318935.2</v>
      </c>
      <c r="Y87" s="556">
        <f>IF(VLOOKUP($E$87,[1]UN!$A$2:$FA$303, 24, FALSE)="",":",VLOOKUP($E$87,[1]UN!$A$2:$FA$303, 24, FALSE))</f>
        <v>320660.5</v>
      </c>
      <c r="Z87" s="556">
        <f>IF(VLOOKUP($E$87,[1]UN!$A$2:$FA$303, 25, FALSE)="",":",VLOOKUP($E$87,[1]UN!$A$2:$FA$303, 25, FALSE))</f>
        <v>330736.5</v>
      </c>
      <c r="AA87" s="556">
        <f>IF(VLOOKUP($E$87,[1]UN!$A$2:$FA$303, 26, FALSE)="",":",VLOOKUP($E$87,[1]UN!$A$2:$FA$303, 26, FALSE))</f>
        <v>331491.59999999998</v>
      </c>
      <c r="AB87" s="556">
        <f>IF(VLOOKUP($E$87,[1]UN!$A$2:$FA$303, 27, FALSE)="",":",VLOOKUP($E$87,[1]UN!$A$2:$FA$303, 27, FALSE))</f>
        <v>350559.4</v>
      </c>
      <c r="AC87" s="556">
        <f>IF(VLOOKUP($E$87,[1]UN!$A$2:$FA$303, 28, FALSE)="",":",VLOOKUP($E$87,[1]UN!$A$2:$FA$303, 28, FALSE))</f>
        <v>371385.9</v>
      </c>
      <c r="AD87" s="556" t="str">
        <f>IF(VLOOKUP($E$87,[1]UN!$A$2:$FA$303, 29, FALSE)="",":",VLOOKUP($E$87,[1]UN!$A$2:$FA$303, 29, FALSE))</f>
        <v>:</v>
      </c>
      <c r="AE87" s="556" t="str">
        <f>IF(VLOOKUP($E$87,[1]UN!$A$2:$FA$303, 30, FALSE)="",":",VLOOKUP($E$87,[1]UN!$A$2:$FA$303, 30, FALSE))</f>
        <v>:</v>
      </c>
      <c r="AF87" s="556" t="str">
        <f>IF(VLOOKUP($E$87,[1]UN!$A$2:$FA$303, 31, FALSE)="",":",VLOOKUP($E$87,[1]UN!$A$2:$FA$303, 31, FALSE))</f>
        <v>:</v>
      </c>
    </row>
    <row r="88" spans="1:32">
      <c r="A88" s="545"/>
      <c r="B88" s="546"/>
      <c r="C88" s="547"/>
      <c r="D88" s="12"/>
      <c r="E88" s="13"/>
      <c r="F88" s="14"/>
      <c r="G88" s="556"/>
      <c r="H88" s="556"/>
      <c r="I88" s="556"/>
      <c r="J88" s="556"/>
      <c r="K88" s="556"/>
      <c r="L88" s="556"/>
      <c r="M88" s="556"/>
      <c r="N88" s="556"/>
      <c r="O88" s="556"/>
      <c r="P88" s="556"/>
      <c r="Q88" s="556"/>
      <c r="R88" s="556"/>
      <c r="S88" s="556"/>
      <c r="T88" s="556"/>
      <c r="U88" s="556"/>
      <c r="V88" s="556"/>
      <c r="W88" s="556"/>
      <c r="X88" s="556"/>
      <c r="Y88" s="556"/>
      <c r="Z88" s="556"/>
      <c r="AA88" s="556"/>
      <c r="AB88" s="556"/>
      <c r="AC88" s="556"/>
      <c r="AD88" s="556"/>
      <c r="AE88" s="556"/>
      <c r="AF88" s="556"/>
    </row>
    <row r="89" spans="1:32">
      <c r="A89" s="545">
        <v>45</v>
      </c>
      <c r="B89" s="546" t="s">
        <v>1097</v>
      </c>
      <c r="C89" s="547" t="s">
        <v>1454</v>
      </c>
      <c r="D89" s="12" t="s">
        <v>1084</v>
      </c>
      <c r="E89" s="13">
        <v>521</v>
      </c>
      <c r="F89" s="14" t="str">
        <f>VLOOKUP($E$89,[1]UN!$A$2:$FA$303, 3, FALSE)</f>
        <v xml:space="preserve">521  Imports of goods                                                             </v>
      </c>
      <c r="G89" s="556">
        <f ca="1">IF(VLOOKUP($E$89,[1]UN!$A$2:$FA$303, 6, FALSE)="",":",VLOOKUP($E$89,[1]UN!$A$2:$FA$303, 6, FALSE))</f>
        <v>94820.800000000003</v>
      </c>
      <c r="H89" s="556">
        <f>IF(VLOOKUP($E$89,[1]UN!$A$2:$FA$303, 7, FALSE)="",":",VLOOKUP($E$89,[1]UN!$A$2:$FA$303, 7, FALSE))</f>
        <v>99795.3</v>
      </c>
      <c r="I89" s="556">
        <f>IF(VLOOKUP($E$89,[1]UN!$A$2:$FA$303, 8, FALSE)="",":",VLOOKUP($E$89,[1]UN!$A$2:$FA$303, 8, FALSE))</f>
        <v>109771.9</v>
      </c>
      <c r="J89" s="556">
        <f>IF(VLOOKUP($E$89,[1]UN!$A$2:$FA$303, 9, FALSE)="",":",VLOOKUP($E$89,[1]UN!$A$2:$FA$303, 9, FALSE))</f>
        <v>112005.1</v>
      </c>
      <c r="K89" s="556">
        <f>IF(VLOOKUP($E$89,[1]UN!$A$2:$FA$303, 10, FALSE)="",":",VLOOKUP($E$89,[1]UN!$A$2:$FA$303, 10, FALSE))</f>
        <v>115486.8</v>
      </c>
      <c r="L89" s="556">
        <f>IF(VLOOKUP($E$89,[1]UN!$A$2:$FA$303, 11, FALSE)="",":",VLOOKUP($E$89,[1]UN!$A$2:$FA$303, 11, FALSE))</f>
        <v>141168.79999999999</v>
      </c>
      <c r="M89" s="556">
        <f>IF(VLOOKUP($E$89,[1]UN!$A$2:$FA$303, 12, FALSE)="",":",VLOOKUP($E$89,[1]UN!$A$2:$FA$303, 12, FALSE))</f>
        <v>139504.1</v>
      </c>
      <c r="N89" s="556">
        <f>IF(VLOOKUP($E$89,[1]UN!$A$2:$FA$303, 13, FALSE)="",":",VLOOKUP($E$89,[1]UN!$A$2:$FA$303, 13, FALSE))</f>
        <v>137599</v>
      </c>
      <c r="O89" s="556">
        <f>IF(VLOOKUP($E$89,[1]UN!$A$2:$FA$303, 14, FALSE)="",":",VLOOKUP($E$89,[1]UN!$A$2:$FA$303, 14, FALSE))</f>
        <v>139400.29999999999</v>
      </c>
      <c r="P89" s="556">
        <f>IF(VLOOKUP($E$89,[1]UN!$A$2:$FA$303, 15, FALSE)="",":",VLOOKUP($E$89,[1]UN!$A$2:$FA$303, 15, FALSE))</f>
        <v>155381.6</v>
      </c>
      <c r="Q89" s="556">
        <f>IF(VLOOKUP($E$89,[1]UN!$A$2:$FA$303, 16, FALSE)="",":",VLOOKUP($E$89,[1]UN!$A$2:$FA$303, 16, FALSE))</f>
        <v>175232.9</v>
      </c>
      <c r="R89" s="556">
        <f>IF(VLOOKUP($E$89,[1]UN!$A$2:$FA$303, 17, FALSE)="",":",VLOOKUP($E$89,[1]UN!$A$2:$FA$303, 17, FALSE))</f>
        <v>190905.5</v>
      </c>
      <c r="S89" s="556">
        <f>IF(VLOOKUP($E$89,[1]UN!$A$2:$FA$303, 18, FALSE)="",":",VLOOKUP($E$89,[1]UN!$A$2:$FA$303, 18, FALSE))</f>
        <v>203797</v>
      </c>
      <c r="T89" s="556">
        <f>IF(VLOOKUP($E$89,[1]UN!$A$2:$FA$303, 19, FALSE)="",":",VLOOKUP($E$89,[1]UN!$A$2:$FA$303, 19, FALSE))</f>
        <v>220787.7</v>
      </c>
      <c r="U89" s="556">
        <f>IF(VLOOKUP($E$89,[1]UN!$A$2:$FA$303, 20, FALSE)="",":",VLOOKUP($E$89,[1]UN!$A$2:$FA$303, 20, FALSE))</f>
        <v>175789.1</v>
      </c>
      <c r="V89" s="556">
        <f>IF(VLOOKUP($E$89,[1]UN!$A$2:$FA$303, 21, FALSE)="",":",VLOOKUP($E$89,[1]UN!$A$2:$FA$303, 21, FALSE))</f>
        <v>206660.7</v>
      </c>
      <c r="W89" s="556">
        <f>IF(VLOOKUP($E$89,[1]UN!$A$2:$FA$303, 22, FALSE)="",":",VLOOKUP($E$89,[1]UN!$A$2:$FA$303, 22, FALSE))</f>
        <v>239184</v>
      </c>
      <c r="X89" s="556">
        <f>IF(VLOOKUP($E$89,[1]UN!$A$2:$FA$303, 23, FALSE)="",":",VLOOKUP($E$89,[1]UN!$A$2:$FA$303, 23, FALSE))</f>
        <v>239849</v>
      </c>
      <c r="Y89" s="556">
        <f>IF(VLOOKUP($E$89,[1]UN!$A$2:$FA$303, 24, FALSE)="",":",VLOOKUP($E$89,[1]UN!$A$2:$FA$303, 24, FALSE))</f>
        <v>237335.4</v>
      </c>
      <c r="Z89" s="556">
        <f>IF(VLOOKUP($E$89,[1]UN!$A$2:$FA$303, 25, FALSE)="",":",VLOOKUP($E$89,[1]UN!$A$2:$FA$303, 25, FALSE))</f>
        <v>239418.7</v>
      </c>
      <c r="AA89" s="556">
        <f>IF(VLOOKUP($E$89,[1]UN!$A$2:$FA$303, 26, FALSE)="",":",VLOOKUP($E$89,[1]UN!$A$2:$FA$303, 26, FALSE))</f>
        <v>229632.2</v>
      </c>
      <c r="AB89" s="556">
        <f>IF(VLOOKUP($E$89,[1]UN!$A$2:$FA$303, 27, FALSE)="",":",VLOOKUP($E$89,[1]UN!$A$2:$FA$303, 27, FALSE))</f>
        <v>247033.7</v>
      </c>
      <c r="AC89" s="556">
        <f>IF(VLOOKUP($E$89,[1]UN!$A$2:$FA$303, 28, FALSE)="",":",VLOOKUP($E$89,[1]UN!$A$2:$FA$303, 28, FALSE))</f>
        <v>264521.90000000002</v>
      </c>
      <c r="AD89" s="556" t="str">
        <f>IF(VLOOKUP($E$89,[1]UN!$A$2:$FA$303, 29, FALSE)="",":",VLOOKUP($E$89,[1]UN!$A$2:$FA$303, 29, FALSE))</f>
        <v>:</v>
      </c>
      <c r="AE89" s="556" t="str">
        <f>IF(VLOOKUP($E$89,[1]UN!$A$2:$FA$303, 30, FALSE)="",":",VLOOKUP($E$89,[1]UN!$A$2:$FA$303, 30, FALSE))</f>
        <v>:</v>
      </c>
      <c r="AF89" s="556" t="str">
        <f>IF(VLOOKUP($E$89,[1]UN!$A$2:$FA$303, 31, FALSE)="",":",VLOOKUP($E$89,[1]UN!$A$2:$FA$303, 31, FALSE))</f>
        <v>:</v>
      </c>
    </row>
    <row r="90" spans="1:32">
      <c r="A90" s="545">
        <v>46</v>
      </c>
      <c r="B90" s="546" t="s">
        <v>1554</v>
      </c>
      <c r="C90" s="547" t="s">
        <v>1455</v>
      </c>
      <c r="D90" s="12" t="s">
        <v>1084</v>
      </c>
      <c r="E90" s="13">
        <v>522</v>
      </c>
      <c r="F90" s="14" t="str">
        <f>VLOOKUP($E$90,[1]UN!$A$2:$FA$303, 3, FALSE)</f>
        <v xml:space="preserve">522  Imports of services </v>
      </c>
      <c r="G90" s="556">
        <f ca="1">IF(VLOOKUP($E$90,[1]UN!$A$2:$FA$303, 6, FALSE)="",":",VLOOKUP($E$90,[1]UN!$A$2:$FA$303, 6, FALSE))</f>
        <v>23710.9</v>
      </c>
      <c r="H90" s="556">
        <f>IF(VLOOKUP($E$90,[1]UN!$A$2:$FA$303, 7, FALSE)="",":",VLOOKUP($E$90,[1]UN!$A$2:$FA$303, 7, FALSE))</f>
        <v>24624.9</v>
      </c>
      <c r="I90" s="556">
        <f>IF(VLOOKUP($E$90,[1]UN!$A$2:$FA$303, 8, FALSE)="",":",VLOOKUP($E$90,[1]UN!$A$2:$FA$303, 8, FALSE))</f>
        <v>26871.200000000001</v>
      </c>
      <c r="J90" s="556">
        <f>IF(VLOOKUP($E$90,[1]UN!$A$2:$FA$303, 9, FALSE)="",":",VLOOKUP($E$90,[1]UN!$A$2:$FA$303, 9, FALSE))</f>
        <v>28893.200000000001</v>
      </c>
      <c r="K90" s="556">
        <f>IF(VLOOKUP($E$90,[1]UN!$A$2:$FA$303, 10, FALSE)="",":",VLOOKUP($E$90,[1]UN!$A$2:$FA$303, 10, FALSE))</f>
        <v>31289.4</v>
      </c>
      <c r="L90" s="556">
        <f>IF(VLOOKUP($E$90,[1]UN!$A$2:$FA$303, 11, FALSE)="",":",VLOOKUP($E$90,[1]UN!$A$2:$FA$303, 11, FALSE))</f>
        <v>37576.300000000003</v>
      </c>
      <c r="M90" s="556">
        <f>IF(VLOOKUP($E$90,[1]UN!$A$2:$FA$303, 12, FALSE)="",":",VLOOKUP($E$90,[1]UN!$A$2:$FA$303, 12, FALSE))</f>
        <v>40365.800000000003</v>
      </c>
      <c r="N90" s="556">
        <f>IF(VLOOKUP($E$90,[1]UN!$A$2:$FA$303, 13, FALSE)="",":",VLOOKUP($E$90,[1]UN!$A$2:$FA$303, 13, FALSE))</f>
        <v>40671</v>
      </c>
      <c r="O90" s="556">
        <f>IF(VLOOKUP($E$90,[1]UN!$A$2:$FA$303, 14, FALSE)="",":",VLOOKUP($E$90,[1]UN!$A$2:$FA$303, 14, FALSE))</f>
        <v>39774.9</v>
      </c>
      <c r="P90" s="556">
        <f>IF(VLOOKUP($E$90,[1]UN!$A$2:$FA$303, 15, FALSE)="",":",VLOOKUP($E$90,[1]UN!$A$2:$FA$303, 15, FALSE))</f>
        <v>40775.4</v>
      </c>
      <c r="Q90" s="556">
        <f>IF(VLOOKUP($E$90,[1]UN!$A$2:$FA$303, 16, FALSE)="",":",VLOOKUP($E$90,[1]UN!$A$2:$FA$303, 16, FALSE))</f>
        <v>42352</v>
      </c>
      <c r="R90" s="556">
        <f>IF(VLOOKUP($E$90,[1]UN!$A$2:$FA$303, 17, FALSE)="",":",VLOOKUP($E$90,[1]UN!$A$2:$FA$303, 17, FALSE))</f>
        <v>44234.9</v>
      </c>
      <c r="S90" s="556">
        <f>IF(VLOOKUP($E$90,[1]UN!$A$2:$FA$303, 18, FALSE)="",":",VLOOKUP($E$90,[1]UN!$A$2:$FA$303, 18, FALSE))</f>
        <v>50162.3</v>
      </c>
      <c r="T90" s="556">
        <f>IF(VLOOKUP($E$90,[1]UN!$A$2:$FA$303, 19, FALSE)="",":",VLOOKUP($E$90,[1]UN!$A$2:$FA$303, 19, FALSE))</f>
        <v>59675.199999999997</v>
      </c>
      <c r="U90" s="556">
        <f>IF(VLOOKUP($E$90,[1]UN!$A$2:$FA$303, 20, FALSE)="",":",VLOOKUP($E$90,[1]UN!$A$2:$FA$303, 20, FALSE))</f>
        <v>58058.1</v>
      </c>
      <c r="V90" s="556">
        <f>IF(VLOOKUP($E$90,[1]UN!$A$2:$FA$303, 21, FALSE)="",":",VLOOKUP($E$90,[1]UN!$A$2:$FA$303, 21, FALSE))</f>
        <v>65893.100000000006</v>
      </c>
      <c r="W90" s="556">
        <f>IF(VLOOKUP($E$90,[1]UN!$A$2:$FA$303, 22, FALSE)="",":",VLOOKUP($E$90,[1]UN!$A$2:$FA$303, 22, FALSE))</f>
        <v>68339.899999999994</v>
      </c>
      <c r="X90" s="556">
        <f>IF(VLOOKUP($E$90,[1]UN!$A$2:$FA$303, 23, FALSE)="",":",VLOOKUP($E$90,[1]UN!$A$2:$FA$303, 23, FALSE))</f>
        <v>76696.5</v>
      </c>
      <c r="Y90" s="556">
        <f>IF(VLOOKUP($E$90,[1]UN!$A$2:$FA$303, 24, FALSE)="",":",VLOOKUP($E$90,[1]UN!$A$2:$FA$303, 24, FALSE))</f>
        <v>78452.399999999994</v>
      </c>
      <c r="Z90" s="556">
        <f>IF(VLOOKUP($E$90,[1]UN!$A$2:$FA$303, 25, FALSE)="",":",VLOOKUP($E$90,[1]UN!$A$2:$FA$303, 25, FALSE))</f>
        <v>88781</v>
      </c>
      <c r="AA90" s="556">
        <f>IF(VLOOKUP($E$90,[1]UN!$A$2:$FA$303, 26, FALSE)="",":",VLOOKUP($E$90,[1]UN!$A$2:$FA$303, 26, FALSE))</f>
        <v>96281.9</v>
      </c>
      <c r="AB90" s="556">
        <f>IF(VLOOKUP($E$90,[1]UN!$A$2:$FA$303, 27, FALSE)="",":",VLOOKUP($E$90,[1]UN!$A$2:$FA$303, 27, FALSE))</f>
        <v>97900.5</v>
      </c>
      <c r="AC90" s="556">
        <f>IF(VLOOKUP($E$90,[1]UN!$A$2:$FA$303, 28, FALSE)="",":",VLOOKUP($E$90,[1]UN!$A$2:$FA$303, 28, FALSE))</f>
        <v>101176.1</v>
      </c>
      <c r="AD90" s="556" t="str">
        <f>IF(VLOOKUP($E$90,[1]UN!$A$2:$FA$303, 29, FALSE)="",":",VLOOKUP($E$90,[1]UN!$A$2:$FA$303, 29, FALSE))</f>
        <v>:</v>
      </c>
      <c r="AE90" s="556" t="str">
        <f>IF(VLOOKUP($E$90,[1]UN!$A$2:$FA$303, 30, FALSE)="",":",VLOOKUP($E$90,[1]UN!$A$2:$FA$303, 30, FALSE))</f>
        <v>:</v>
      </c>
      <c r="AF90" s="556" t="str">
        <f>IF(VLOOKUP($E$90,[1]UN!$A$2:$FA$303, 31, FALSE)="",":",VLOOKUP($E$90,[1]UN!$A$2:$FA$303, 31, FALSE))</f>
        <v>:</v>
      </c>
    </row>
    <row r="91" spans="1:32">
      <c r="A91" s="545"/>
      <c r="B91" s="546" t="s">
        <v>1786</v>
      </c>
      <c r="C91" s="547" t="s">
        <v>1456</v>
      </c>
      <c r="D91" s="12" t="s">
        <v>1084</v>
      </c>
      <c r="E91" s="13">
        <v>520</v>
      </c>
      <c r="F91" s="14" t="str">
        <f>VLOOKUP($E$91,[1]UN!$A$2:$FA$303, 3, FALSE)</f>
        <v xml:space="preserve">520  Imports of goods and services                                                </v>
      </c>
      <c r="G91" s="556">
        <f ca="1">IF(VLOOKUP($E$91,[1]UN!$A$2:$FA$303, 6, FALSE)="",":",VLOOKUP($E$91,[1]UN!$A$2:$FA$303, 6, FALSE))</f>
        <v>118531.7</v>
      </c>
      <c r="H91" s="556">
        <f>IF(VLOOKUP($E$91,[1]UN!$A$2:$FA$303, 7, FALSE)="",":",VLOOKUP($E$91,[1]UN!$A$2:$FA$303, 7, FALSE))</f>
        <v>124420.2</v>
      </c>
      <c r="I91" s="556">
        <f>IF(VLOOKUP($E$91,[1]UN!$A$2:$FA$303, 8, FALSE)="",":",VLOOKUP($E$91,[1]UN!$A$2:$FA$303, 8, FALSE))</f>
        <v>136643.1</v>
      </c>
      <c r="J91" s="556">
        <f>IF(VLOOKUP($E$91,[1]UN!$A$2:$FA$303, 9, FALSE)="",":",VLOOKUP($E$91,[1]UN!$A$2:$FA$303, 9, FALSE))</f>
        <v>140898.29999999999</v>
      </c>
      <c r="K91" s="556">
        <f>IF(VLOOKUP($E$91,[1]UN!$A$2:$FA$303, 10, FALSE)="",":",VLOOKUP($E$91,[1]UN!$A$2:$FA$303, 10, FALSE))</f>
        <v>146776.20000000001</v>
      </c>
      <c r="L91" s="556">
        <f>IF(VLOOKUP($E$91,[1]UN!$A$2:$FA$303, 11, FALSE)="",":",VLOOKUP($E$91,[1]UN!$A$2:$FA$303, 11, FALSE))</f>
        <v>178745.1</v>
      </c>
      <c r="M91" s="556">
        <f>IF(VLOOKUP($E$91,[1]UN!$A$2:$FA$303, 12, FALSE)="",":",VLOOKUP($E$91,[1]UN!$A$2:$FA$303, 12, FALSE))</f>
        <v>179869.9</v>
      </c>
      <c r="N91" s="556">
        <f>IF(VLOOKUP($E$91,[1]UN!$A$2:$FA$303, 13, FALSE)="",":",VLOOKUP($E$91,[1]UN!$A$2:$FA$303, 13, FALSE))</f>
        <v>178270</v>
      </c>
      <c r="O91" s="556">
        <f>IF(VLOOKUP($E$91,[1]UN!$A$2:$FA$303, 14, FALSE)="",":",VLOOKUP($E$91,[1]UN!$A$2:$FA$303, 14, FALSE))</f>
        <v>179175.2</v>
      </c>
      <c r="P91" s="556">
        <f>IF(VLOOKUP($E$91,[1]UN!$A$2:$FA$303, 15, FALSE)="",":",VLOOKUP($E$91,[1]UN!$A$2:$FA$303, 15, FALSE))</f>
        <v>196157</v>
      </c>
      <c r="Q91" s="556">
        <f>IF(VLOOKUP($E$91,[1]UN!$A$2:$FA$303, 16, FALSE)="",":",VLOOKUP($E$91,[1]UN!$A$2:$FA$303, 16, FALSE))</f>
        <v>217584.9</v>
      </c>
      <c r="R91" s="556">
        <f>IF(VLOOKUP($E$91,[1]UN!$A$2:$FA$303, 17, FALSE)="",":",VLOOKUP($E$91,[1]UN!$A$2:$FA$303, 17, FALSE))</f>
        <v>235140.4</v>
      </c>
      <c r="S91" s="556">
        <f>IF(VLOOKUP($E$91,[1]UN!$A$2:$FA$303, 18, FALSE)="",":",VLOOKUP($E$91,[1]UN!$A$2:$FA$303, 18, FALSE))</f>
        <v>253959.3</v>
      </c>
      <c r="T91" s="556">
        <f>IF(VLOOKUP($E$91,[1]UN!$A$2:$FA$303, 19, FALSE)="",":",VLOOKUP($E$91,[1]UN!$A$2:$FA$303, 19, FALSE))</f>
        <v>280462.90000000002</v>
      </c>
      <c r="U91" s="556">
        <f>IF(VLOOKUP($E$91,[1]UN!$A$2:$FA$303, 20, FALSE)="",":",VLOOKUP($E$91,[1]UN!$A$2:$FA$303, 20, FALSE))</f>
        <v>233847.2</v>
      </c>
      <c r="V91" s="556">
        <f>IF(VLOOKUP($E$91,[1]UN!$A$2:$FA$303, 21, FALSE)="",":",VLOOKUP($E$91,[1]UN!$A$2:$FA$303, 21, FALSE))</f>
        <v>272553.8</v>
      </c>
      <c r="W91" s="556">
        <f>IF(VLOOKUP($E$91,[1]UN!$A$2:$FA$303, 22, FALSE)="",":",VLOOKUP($E$91,[1]UN!$A$2:$FA$303, 22, FALSE))</f>
        <v>307523.90000000002</v>
      </c>
      <c r="X91" s="556">
        <f>IF(VLOOKUP($E$91,[1]UN!$A$2:$FA$303, 23, FALSE)="",":",VLOOKUP($E$91,[1]UN!$A$2:$FA$303, 23, FALSE))</f>
        <v>316545.5</v>
      </c>
      <c r="Y91" s="556">
        <f>IF(VLOOKUP($E$91,[1]UN!$A$2:$FA$303, 24, FALSE)="",":",VLOOKUP($E$91,[1]UN!$A$2:$FA$303, 24, FALSE))</f>
        <v>315787.8</v>
      </c>
      <c r="Z91" s="556">
        <f>IF(VLOOKUP($E$91,[1]UN!$A$2:$FA$303, 25, FALSE)="",":",VLOOKUP($E$91,[1]UN!$A$2:$FA$303, 25, FALSE))</f>
        <v>328199.7</v>
      </c>
      <c r="AA91" s="556">
        <f>IF(VLOOKUP($E$91,[1]UN!$A$2:$FA$303, 26, FALSE)="",":",VLOOKUP($E$91,[1]UN!$A$2:$FA$303, 26, FALSE))</f>
        <v>325914.09999999998</v>
      </c>
      <c r="AB91" s="556">
        <f>IF(VLOOKUP($E$91,[1]UN!$A$2:$FA$303, 27, FALSE)="",":",VLOOKUP($E$91,[1]UN!$A$2:$FA$303, 27, FALSE))</f>
        <v>344934.2</v>
      </c>
      <c r="AC91" s="556">
        <f>IF(VLOOKUP($E$91,[1]UN!$A$2:$FA$303, 28, FALSE)="",":",VLOOKUP($E$91,[1]UN!$A$2:$FA$303, 28, FALSE))</f>
        <v>365698</v>
      </c>
      <c r="AD91" s="556" t="str">
        <f>IF(VLOOKUP($E$91,[1]UN!$A$2:$FA$303, 29, FALSE)="",":",VLOOKUP($E$91,[1]UN!$A$2:$FA$303, 29, FALSE))</f>
        <v>:</v>
      </c>
      <c r="AE91" s="556" t="str">
        <f>IF(VLOOKUP($E$91,[1]UN!$A$2:$FA$303, 30, FALSE)="",":",VLOOKUP($E$91,[1]UN!$A$2:$FA$303, 30, FALSE))</f>
        <v>:</v>
      </c>
      <c r="AF91" s="556" t="str">
        <f>IF(VLOOKUP($E$91,[1]UN!$A$2:$FA$303, 31, FALSE)="",":",VLOOKUP($E$91,[1]UN!$A$2:$FA$303, 31, FALSE))</f>
        <v>:</v>
      </c>
    </row>
    <row r="92" spans="1:32">
      <c r="A92" s="1870"/>
      <c r="B92" s="546"/>
      <c r="C92" s="547"/>
      <c r="D92" s="12" t="s">
        <v>1084</v>
      </c>
      <c r="E92" s="13">
        <v>530</v>
      </c>
      <c r="F92" s="14" t="str">
        <f>VLOOKUP($E$92,[1]UN!$A$2:$FA$303, 3, FALSE)</f>
        <v xml:space="preserve">530  Balance of primary income with the r.o.w.                                    </v>
      </c>
      <c r="G92" s="556">
        <f>IF(VLOOKUP($E$92,[1]UN!$A$2:$FA$303, 6, FALSE)="",":",VLOOKUP($E$92,[1]UN!$A$2:$FA$303, 6, FALSE))</f>
        <v>4526.8000000000011</v>
      </c>
      <c r="H92" s="556">
        <f>IF(VLOOKUP($E$92,[1]UN!$A$2:$FA$303, 7, FALSE)="",":",VLOOKUP($E$92,[1]UN!$A$2:$FA$303, 7, FALSE))</f>
        <v>4883.2</v>
      </c>
      <c r="I92" s="556">
        <f>IF(VLOOKUP($E$92,[1]UN!$A$2:$FA$303, 8, FALSE)="",":",VLOOKUP($E$92,[1]UN!$A$2:$FA$303, 8, FALSE))</f>
        <v>5349.8</v>
      </c>
      <c r="J92" s="556">
        <f>IF(VLOOKUP($E$92,[1]UN!$A$2:$FA$303, 9, FALSE)="",":",VLOOKUP($E$92,[1]UN!$A$2:$FA$303, 9, FALSE))</f>
        <v>5543.1</v>
      </c>
      <c r="K92" s="556">
        <f>IF(VLOOKUP($E$92,[1]UN!$A$2:$FA$303, 10, FALSE)="",":",VLOOKUP($E$92,[1]UN!$A$2:$FA$303, 10, FALSE))</f>
        <v>5533.6</v>
      </c>
      <c r="L92" s="556">
        <f>IF(VLOOKUP($E$92,[1]UN!$A$2:$FA$303, 11, FALSE)="",":",VLOOKUP($E$92,[1]UN!$A$2:$FA$303, 11, FALSE))</f>
        <v>6491.5</v>
      </c>
      <c r="M92" s="556">
        <f>IF(VLOOKUP($E$92,[1]UN!$A$2:$FA$303, 12, FALSE)="",":",VLOOKUP($E$92,[1]UN!$A$2:$FA$303, 12, FALSE))</f>
        <v>4823.7</v>
      </c>
      <c r="N92" s="556">
        <f>IF(VLOOKUP($E$92,[1]UN!$A$2:$FA$303, 13, FALSE)="",":",VLOOKUP($E$92,[1]UN!$A$2:$FA$303, 13, FALSE))</f>
        <v>4573.8</v>
      </c>
      <c r="O92" s="556">
        <f>IF(VLOOKUP($E$92,[1]UN!$A$2:$FA$303, 14, FALSE)="",":",VLOOKUP($E$92,[1]UN!$A$2:$FA$303, 14, FALSE))</f>
        <v>5213</v>
      </c>
      <c r="P92" s="556">
        <f>IF(VLOOKUP($E$92,[1]UN!$A$2:$FA$303, 15, FALSE)="",":",VLOOKUP($E$92,[1]UN!$A$2:$FA$303, 15, FALSE))</f>
        <v>3955.3</v>
      </c>
      <c r="Q92" s="556">
        <f>IF(VLOOKUP($E$92,[1]UN!$A$2:$FA$303, 16, FALSE)="",":",VLOOKUP($E$92,[1]UN!$A$2:$FA$303, 16, FALSE))</f>
        <v>3653.7</v>
      </c>
      <c r="R92" s="556">
        <f>IF(VLOOKUP($E$92,[1]UN!$A$2:$FA$303, 17, FALSE)="",":",VLOOKUP($E$92,[1]UN!$A$2:$FA$303, 17, FALSE))</f>
        <v>4431.7</v>
      </c>
      <c r="S92" s="556">
        <f>IF(VLOOKUP($E$92,[1]UN!$A$2:$FA$303, 18, FALSE)="",":",VLOOKUP($E$92,[1]UN!$A$2:$FA$303, 18, FALSE))</f>
        <v>4522.8999999999996</v>
      </c>
      <c r="T92" s="556">
        <f>IF(VLOOKUP($E$92,[1]UN!$A$2:$FA$303, 19, FALSE)="",":",VLOOKUP($E$92,[1]UN!$A$2:$FA$303, 19, FALSE))</f>
        <v>8300.6</v>
      </c>
      <c r="U92" s="556">
        <f>IF(VLOOKUP($E$92,[1]UN!$A$2:$FA$303, 20, FALSE)="",":",VLOOKUP($E$92,[1]UN!$A$2:$FA$303, 20, FALSE))</f>
        <v>429.8</v>
      </c>
      <c r="V92" s="556">
        <f>IF(VLOOKUP($E$92,[1]UN!$A$2:$FA$303, 21, FALSE)="",":",VLOOKUP($E$92,[1]UN!$A$2:$FA$303, 21, FALSE))</f>
        <v>11507.6</v>
      </c>
      <c r="W92" s="556">
        <f>IF(VLOOKUP($E$92,[1]UN!$A$2:$FA$303, 22, FALSE)="",":",VLOOKUP($E$92,[1]UN!$A$2:$FA$303, 22, FALSE))</f>
        <v>3822.7</v>
      </c>
      <c r="X92" s="556">
        <f>IF(VLOOKUP($E$92,[1]UN!$A$2:$FA$303, 23, FALSE)="",":",VLOOKUP($E$92,[1]UN!$A$2:$FA$303, 23, FALSE))</f>
        <v>9482.4</v>
      </c>
      <c r="Y92" s="556">
        <f>IF(VLOOKUP($E$92,[1]UN!$A$2:$FA$303, 24, FALSE)="",":",VLOOKUP($E$92,[1]UN!$A$2:$FA$303, 24, FALSE))</f>
        <v>6468.3</v>
      </c>
      <c r="Z92" s="556">
        <f>IF(VLOOKUP($E$92,[1]UN!$A$2:$FA$303, 25, FALSE)="",":",VLOOKUP($E$92,[1]UN!$A$2:$FA$303, 25, FALSE))</f>
        <v>2823.1</v>
      </c>
      <c r="AA92" s="556">
        <f>IF(VLOOKUP($E$92,[1]UN!$A$2:$FA$303, 26, FALSE)="",":",VLOOKUP($E$92,[1]UN!$A$2:$FA$303, 26, FALSE))</f>
        <v>-934.4</v>
      </c>
      <c r="AB92" s="556">
        <f>IF(VLOOKUP($E$92,[1]UN!$A$2:$FA$303, 27, FALSE)="",":",VLOOKUP($E$92,[1]UN!$A$2:$FA$303, 27, FALSE))</f>
        <v>2692.9</v>
      </c>
      <c r="AC92" s="556" t="str">
        <f>IF(VLOOKUP($E$92,[1]UN!$A$2:$FA$303, 28, FALSE)="",":",VLOOKUP($E$92,[1]UN!$A$2:$FA$303, 28, FALSE))</f>
        <v>:</v>
      </c>
      <c r="AD92" s="556" t="str">
        <f>IF(VLOOKUP($E$92,[1]UN!$A$2:$FA$303, 29, FALSE)="",":",VLOOKUP($E$92,[1]UN!$A$2:$FA$303, 29, FALSE))</f>
        <v>:</v>
      </c>
      <c r="AE92" s="556" t="str">
        <f>IF(VLOOKUP($E$92,[1]UN!$A$2:$FA$303, 30, FALSE)="",":",VLOOKUP($E$92,[1]UN!$A$2:$FA$303, 30, FALSE))</f>
        <v>:</v>
      </c>
      <c r="AF92" s="556" t="str">
        <f>IF(VLOOKUP($E$92,[1]UN!$A$2:$FA$303, 31, FALSE)="",":",VLOOKUP($E$92,[1]UN!$A$2:$FA$303, 31, FALSE))</f>
        <v>:</v>
      </c>
    </row>
    <row r="93" spans="1:32">
      <c r="A93" s="1870"/>
      <c r="B93" s="546"/>
      <c r="C93" s="547"/>
      <c r="D93" s="12" t="s">
        <v>1084</v>
      </c>
      <c r="E93" s="13">
        <v>540</v>
      </c>
      <c r="F93" s="14" t="str">
        <f>VLOOKUP($E$93,[1]UN!$A$2:$FA$303, 3, FALSE)</f>
        <v xml:space="preserve">540  Net current transfers with the r.o.w.                                        </v>
      </c>
      <c r="G93" s="556">
        <f>IF(VLOOKUP($E$93,[1]UN!$A$2:$FA$303, 6, FALSE)="",":",VLOOKUP($E$93,[1]UN!$A$2:$FA$303, 6, FALSE))</f>
        <v>-2297.8000000000006</v>
      </c>
      <c r="H93" s="556">
        <f>IF(VLOOKUP($E$93,[1]UN!$A$2:$FA$303, 7, FALSE)="",":",VLOOKUP($E$93,[1]UN!$A$2:$FA$303, 7, FALSE))</f>
        <v>-2821.9</v>
      </c>
      <c r="I93" s="556">
        <f>IF(VLOOKUP($E$93,[1]UN!$A$2:$FA$303, 8, FALSE)="",":",VLOOKUP($E$93,[1]UN!$A$2:$FA$303, 8, FALSE))</f>
        <v>-2773</v>
      </c>
      <c r="J93" s="556">
        <f>IF(VLOOKUP($E$93,[1]UN!$A$2:$FA$303, 9, FALSE)="",":",VLOOKUP($E$93,[1]UN!$A$2:$FA$303, 9, FALSE))</f>
        <v>-3030.5</v>
      </c>
      <c r="K93" s="556">
        <f>IF(VLOOKUP($E$93,[1]UN!$A$2:$FA$303, 10, FALSE)="",":",VLOOKUP($E$93,[1]UN!$A$2:$FA$303, 10, FALSE))</f>
        <v>-3075</v>
      </c>
      <c r="L93" s="556">
        <f>IF(VLOOKUP($E$93,[1]UN!$A$2:$FA$303, 11, FALSE)="",":",VLOOKUP($E$93,[1]UN!$A$2:$FA$303, 11, FALSE))</f>
        <v>-3074.8</v>
      </c>
      <c r="M93" s="556">
        <f>IF(VLOOKUP($E$93,[1]UN!$A$2:$FA$303, 12, FALSE)="",":",VLOOKUP($E$93,[1]UN!$A$2:$FA$303, 12, FALSE))</f>
        <v>-2742.5</v>
      </c>
      <c r="N93" s="556">
        <f>IF(VLOOKUP($E$93,[1]UN!$A$2:$FA$303, 13, FALSE)="",":",VLOOKUP($E$93,[1]UN!$A$2:$FA$303, 13, FALSE))</f>
        <v>-3198.2</v>
      </c>
      <c r="O93" s="556">
        <f>IF(VLOOKUP($E$93,[1]UN!$A$2:$FA$303, 14, FALSE)="",":",VLOOKUP($E$93,[1]UN!$A$2:$FA$303, 14, FALSE))</f>
        <v>-3989.5</v>
      </c>
      <c r="P93" s="556">
        <f>IF(VLOOKUP($E$93,[1]UN!$A$2:$FA$303, 15, FALSE)="",":",VLOOKUP($E$93,[1]UN!$A$2:$FA$303, 15, FALSE))</f>
        <v>-4468.3</v>
      </c>
      <c r="Q93" s="556">
        <f>IF(VLOOKUP($E$93,[1]UN!$A$2:$FA$303, 16, FALSE)="",":",VLOOKUP($E$93,[1]UN!$A$2:$FA$303, 16, FALSE))</f>
        <v>-4510.7</v>
      </c>
      <c r="R93" s="556">
        <f>IF(VLOOKUP($E$93,[1]UN!$A$2:$FA$303, 17, FALSE)="",":",VLOOKUP($E$93,[1]UN!$A$2:$FA$303, 17, FALSE))</f>
        <v>-4589.6000000000004</v>
      </c>
      <c r="S93" s="556">
        <f>IF(VLOOKUP($E$93,[1]UN!$A$2:$FA$303, 18, FALSE)="",":",VLOOKUP($E$93,[1]UN!$A$2:$FA$303, 18, FALSE))</f>
        <v>-3944.4</v>
      </c>
      <c r="T93" s="556">
        <f>IF(VLOOKUP($E$93,[1]UN!$A$2:$FA$303, 19, FALSE)="",":",VLOOKUP($E$93,[1]UN!$A$2:$FA$303, 19, FALSE))</f>
        <v>-5208.7</v>
      </c>
      <c r="U93" s="556">
        <f>IF(VLOOKUP($E$93,[1]UN!$A$2:$FA$303, 20, FALSE)="",":",VLOOKUP($E$93,[1]UN!$A$2:$FA$303, 20, FALSE))</f>
        <v>-5302.3</v>
      </c>
      <c r="V93" s="556">
        <f>IF(VLOOKUP($E$93,[1]UN!$A$2:$FA$303, 21, FALSE)="",":",VLOOKUP($E$93,[1]UN!$A$2:$FA$303, 21, FALSE))</f>
        <v>-4550.8</v>
      </c>
      <c r="W93" s="556">
        <f>IF(VLOOKUP($E$93,[1]UN!$A$2:$FA$303, 22, FALSE)="",":",VLOOKUP($E$93,[1]UN!$A$2:$FA$303, 22, FALSE))</f>
        <v>-4903.8</v>
      </c>
      <c r="X93" s="556">
        <f>IF(VLOOKUP($E$93,[1]UN!$A$2:$FA$303, 23, FALSE)="",":",VLOOKUP($E$93,[1]UN!$A$2:$FA$303, 23, FALSE))</f>
        <v>-6011.2</v>
      </c>
      <c r="Y93" s="556">
        <f>IF(VLOOKUP($E$93,[1]UN!$A$2:$FA$303, 24, FALSE)="",":",VLOOKUP($E$93,[1]UN!$A$2:$FA$303, 24, FALSE))</f>
        <v>-6763.1</v>
      </c>
      <c r="Z93" s="556">
        <f>IF(VLOOKUP($E$93,[1]UN!$A$2:$FA$303, 25, FALSE)="",":",VLOOKUP($E$93,[1]UN!$A$2:$FA$303, 25, FALSE))</f>
        <v>-6384.5</v>
      </c>
      <c r="AA93" s="556">
        <f>IF(VLOOKUP($E$93,[1]UN!$A$2:$FA$303, 26, FALSE)="",":",VLOOKUP($E$93,[1]UN!$A$2:$FA$303, 26, FALSE))</f>
        <v>-6436.1</v>
      </c>
      <c r="AB93" s="556">
        <f>IF(VLOOKUP($E$93,[1]UN!$A$2:$FA$303, 27, FALSE)="",":",VLOOKUP($E$93,[1]UN!$A$2:$FA$303, 27, FALSE))</f>
        <v>-7910.1</v>
      </c>
      <c r="AC93" s="556" t="str">
        <f>IF(VLOOKUP($E$93,[1]UN!$A$2:$FA$303, 28, FALSE)="",":",VLOOKUP($E$93,[1]UN!$A$2:$FA$303, 28, FALSE))</f>
        <v>:</v>
      </c>
      <c r="AD93" s="556" t="str">
        <f>IF(VLOOKUP($E$93,[1]UN!$A$2:$FA$303, 29, FALSE)="",":",VLOOKUP($E$93,[1]UN!$A$2:$FA$303, 29, FALSE))</f>
        <v>:</v>
      </c>
      <c r="AE93" s="556" t="str">
        <f>IF(VLOOKUP($E$93,[1]UN!$A$2:$FA$303, 30, FALSE)="",":",VLOOKUP($E$93,[1]UN!$A$2:$FA$303, 30, FALSE))</f>
        <v>:</v>
      </c>
      <c r="AF93" s="556" t="str">
        <f>IF(VLOOKUP($E$93,[1]UN!$A$2:$FA$303, 31, FALSE)="",":",VLOOKUP($E$93,[1]UN!$A$2:$FA$303, 31, FALSE))</f>
        <v>:</v>
      </c>
    </row>
    <row r="94" spans="1:32">
      <c r="A94" s="1870"/>
      <c r="B94" s="546"/>
      <c r="C94" s="547"/>
      <c r="D94" s="12" t="s">
        <v>1084</v>
      </c>
      <c r="E94" s="13">
        <v>550</v>
      </c>
      <c r="F94" s="14" t="str">
        <f>VLOOKUP($E$94,[1]UN!$A$2:$FA$303, 3, FALSE)</f>
        <v xml:space="preserve">550  Net capital transfers with the r.o.w.                                        </v>
      </c>
      <c r="G94" s="556">
        <f ca="1">IF(VLOOKUP($E$94,[1]UN!$A$2:$FA$303, 6, FALSE)="",":",VLOOKUP($E$94,[1]UN!$A$2:$FA$303, 6, FALSE))</f>
        <v>-235.99999999999994</v>
      </c>
      <c r="H94" s="556">
        <f>IF(VLOOKUP($E$94,[1]UN!$A$2:$FA$303, 7, FALSE)="",":",VLOOKUP($E$94,[1]UN!$A$2:$FA$303, 7, FALSE))</f>
        <v>-122.7</v>
      </c>
      <c r="I94" s="556">
        <f>IF(VLOOKUP($E$94,[1]UN!$A$2:$FA$303, 8, FALSE)="",":",VLOOKUP($E$94,[1]UN!$A$2:$FA$303, 8, FALSE))</f>
        <v>341</v>
      </c>
      <c r="J94" s="556">
        <f>IF(VLOOKUP($E$94,[1]UN!$A$2:$FA$303, 9, FALSE)="",":",VLOOKUP($E$94,[1]UN!$A$2:$FA$303, 9, FALSE))</f>
        <v>-158.5</v>
      </c>
      <c r="K94" s="556">
        <f>IF(VLOOKUP($E$94,[1]UN!$A$2:$FA$303, 10, FALSE)="",":",VLOOKUP($E$94,[1]UN!$A$2:$FA$303, 10, FALSE))</f>
        <v>-8</v>
      </c>
      <c r="L94" s="556">
        <f>IF(VLOOKUP($E$94,[1]UN!$A$2:$FA$303, 11, FALSE)="",":",VLOOKUP($E$94,[1]UN!$A$2:$FA$303, 11, FALSE))</f>
        <v>-286.10000000000002</v>
      </c>
      <c r="M94" s="556">
        <f>IF(VLOOKUP($E$94,[1]UN!$A$2:$FA$303, 12, FALSE)="",":",VLOOKUP($E$94,[1]UN!$A$2:$FA$303, 12, FALSE))</f>
        <v>-456.5</v>
      </c>
      <c r="N94" s="556">
        <f>IF(VLOOKUP($E$94,[1]UN!$A$2:$FA$303, 13, FALSE)="",":",VLOOKUP($E$94,[1]UN!$A$2:$FA$303, 13, FALSE))</f>
        <v>-437.8</v>
      </c>
      <c r="O94" s="556">
        <f>IF(VLOOKUP($E$94,[1]UN!$A$2:$FA$303, 14, FALSE)="",":",VLOOKUP($E$94,[1]UN!$A$2:$FA$303, 14, FALSE))</f>
        <v>-126.7</v>
      </c>
      <c r="P94" s="556">
        <f>IF(VLOOKUP($E$94,[1]UN!$A$2:$FA$303, 15, FALSE)="",":",VLOOKUP($E$94,[1]UN!$A$2:$FA$303, 15, FALSE))</f>
        <v>-116.9</v>
      </c>
      <c r="Q94" s="556">
        <f>IF(VLOOKUP($E$94,[1]UN!$A$2:$FA$303, 16, FALSE)="",":",VLOOKUP($E$94,[1]UN!$A$2:$FA$303, 16, FALSE))</f>
        <v>-315.89999999999998</v>
      </c>
      <c r="R94" s="556">
        <f>IF(VLOOKUP($E$94,[1]UN!$A$2:$FA$303, 17, FALSE)="",":",VLOOKUP($E$94,[1]UN!$A$2:$FA$303, 17, FALSE))</f>
        <v>-5.6</v>
      </c>
      <c r="S94" s="556">
        <f>IF(VLOOKUP($E$94,[1]UN!$A$2:$FA$303, 18, FALSE)="",":",VLOOKUP($E$94,[1]UN!$A$2:$FA$303, 18, FALSE))</f>
        <v>-981.5</v>
      </c>
      <c r="T94" s="556">
        <f>IF(VLOOKUP($E$94,[1]UN!$A$2:$FA$303, 19, FALSE)="",":",VLOOKUP($E$94,[1]UN!$A$2:$FA$303, 19, FALSE))</f>
        <v>-1304.8</v>
      </c>
      <c r="U94" s="556">
        <f>IF(VLOOKUP($E$94,[1]UN!$A$2:$FA$303, 20, FALSE)="",":",VLOOKUP($E$94,[1]UN!$A$2:$FA$303, 20, FALSE))</f>
        <v>-465.6</v>
      </c>
      <c r="V94" s="556">
        <f>IF(VLOOKUP($E$94,[1]UN!$A$2:$FA$303, 21, FALSE)="",":",VLOOKUP($E$94,[1]UN!$A$2:$FA$303, 21, FALSE))</f>
        <v>-308.60000000000002</v>
      </c>
      <c r="W94" s="556">
        <f>IF(VLOOKUP($E$94,[1]UN!$A$2:$FA$303, 22, FALSE)="",":",VLOOKUP($E$94,[1]UN!$A$2:$FA$303, 22, FALSE))</f>
        <v>-375.6</v>
      </c>
      <c r="X94" s="556">
        <f>IF(VLOOKUP($E$94,[1]UN!$A$2:$FA$303, 23, FALSE)="",":",VLOOKUP($E$94,[1]UN!$A$2:$FA$303, 23, FALSE))</f>
        <v>2684</v>
      </c>
      <c r="Y94" s="556">
        <f>IF(VLOOKUP($E$94,[1]UN!$A$2:$FA$303, 24, FALSE)="",":",VLOOKUP($E$94,[1]UN!$A$2:$FA$303, 24, FALSE))</f>
        <v>-261.3</v>
      </c>
      <c r="Z94" s="556">
        <f>IF(VLOOKUP($E$94,[1]UN!$A$2:$FA$303, 25, FALSE)="",":",VLOOKUP($E$94,[1]UN!$A$2:$FA$303, 25, FALSE))</f>
        <v>-915</v>
      </c>
      <c r="AA94" s="556">
        <f>IF(VLOOKUP($E$94,[1]UN!$A$2:$FA$303, 26, FALSE)="",":",VLOOKUP($E$94,[1]UN!$A$2:$FA$303, 26, FALSE))</f>
        <v>111.2</v>
      </c>
      <c r="AB94" s="556">
        <f>IF(VLOOKUP($E$94,[1]UN!$A$2:$FA$303, 27, FALSE)="",":",VLOOKUP($E$94,[1]UN!$A$2:$FA$303, 27, FALSE))</f>
        <v>469</v>
      </c>
      <c r="AC94" s="556" t="str">
        <f>IF(VLOOKUP($E$94,[1]UN!$A$2:$FA$303, 28, FALSE)="",":",VLOOKUP($E$94,[1]UN!$A$2:$FA$303, 28, FALSE))</f>
        <v>:</v>
      </c>
      <c r="AD94" s="556" t="str">
        <f>IF(VLOOKUP($E$94,[1]UN!$A$2:$FA$303, 29, FALSE)="",":",VLOOKUP($E$94,[1]UN!$A$2:$FA$303, 29, FALSE))</f>
        <v>:</v>
      </c>
      <c r="AE94" s="556" t="str">
        <f>IF(VLOOKUP($E$94,[1]UN!$A$2:$FA$303, 30, FALSE)="",":",VLOOKUP($E$94,[1]UN!$A$2:$FA$303, 30, FALSE))</f>
        <v>:</v>
      </c>
      <c r="AF94" s="556" t="str">
        <f>IF(VLOOKUP($E$94,[1]UN!$A$2:$FA$303, 31, FALSE)="",":",VLOOKUP($E$94,[1]UN!$A$2:$FA$303, 31, FALSE))</f>
        <v>:</v>
      </c>
    </row>
    <row r="95" spans="1:32">
      <c r="A95" s="545"/>
      <c r="B95" s="546"/>
      <c r="C95" s="547"/>
      <c r="D95" s="12"/>
      <c r="E95" s="13"/>
      <c r="F95" s="14"/>
      <c r="G95" s="556"/>
      <c r="H95" s="556"/>
      <c r="I95" s="556"/>
      <c r="J95" s="556"/>
      <c r="K95" s="556"/>
      <c r="L95" s="556"/>
      <c r="M95" s="556"/>
      <c r="N95" s="556"/>
      <c r="O95" s="556"/>
      <c r="P95" s="556"/>
      <c r="Q95" s="556"/>
      <c r="R95" s="556"/>
      <c r="S95" s="556"/>
      <c r="T95" s="556"/>
      <c r="U95" s="556"/>
      <c r="V95" s="556"/>
      <c r="W95" s="556"/>
      <c r="X95" s="556"/>
      <c r="Y95" s="556"/>
      <c r="Z95" s="556"/>
      <c r="AA95" s="556"/>
      <c r="AB95" s="556"/>
      <c r="AC95" s="556"/>
      <c r="AD95" s="556"/>
      <c r="AE95" s="556"/>
      <c r="AF95" s="556"/>
    </row>
    <row r="96" spans="1:32">
      <c r="A96" s="545"/>
      <c r="B96" s="546" t="s">
        <v>1983</v>
      </c>
      <c r="C96" s="547" t="s">
        <v>1062</v>
      </c>
      <c r="D96" s="12" t="s">
        <v>1084</v>
      </c>
      <c r="E96" s="13">
        <v>600</v>
      </c>
      <c r="F96" s="14" t="str">
        <f>VLOOKUP($E$96,[1]UN!$A$2:$FA$303, 3, FALSE)</f>
        <v xml:space="preserve">600  Gross domestic product at market prices                                      </v>
      </c>
      <c r="G96" s="556">
        <f ca="1">IF(VLOOKUP($E$96,[1]UN!$A$2:$FA$303, 6, FALSE)="",":",VLOOKUP($E$96,[1]UN!$A$2:$FA$303, 6, FALSE))</f>
        <v>211290.8</v>
      </c>
      <c r="H96" s="556">
        <f>IF(VLOOKUP($E$96,[1]UN!$A$2:$FA$303, 7, FALSE)="",":",VLOOKUP($E$96,[1]UN!$A$2:$FA$303, 7, FALSE))</f>
        <v>215942.39999999999</v>
      </c>
      <c r="I96" s="556">
        <f>IF(VLOOKUP($E$96,[1]UN!$A$2:$FA$303, 8, FALSE)="",":",VLOOKUP($E$96,[1]UN!$A$2:$FA$303, 8, FALSE))</f>
        <v>225968.7</v>
      </c>
      <c r="J96" s="556">
        <f>IF(VLOOKUP($E$96,[1]UN!$A$2:$FA$303, 9, FALSE)="",":",VLOOKUP($E$96,[1]UN!$A$2:$FA$303, 9, FALSE))</f>
        <v>234489.60000000001</v>
      </c>
      <c r="K96" s="556">
        <f>IF(VLOOKUP($E$96,[1]UN!$A$2:$FA$303, 10, FALSE)="",":",VLOOKUP($E$96,[1]UN!$A$2:$FA$303, 10, FALSE))</f>
        <v>244226</v>
      </c>
      <c r="L96" s="556">
        <f>IF(VLOOKUP($E$96,[1]UN!$A$2:$FA$303, 11, FALSE)="",":",VLOOKUP($E$96,[1]UN!$A$2:$FA$303, 11, FALSE))</f>
        <v>258222</v>
      </c>
      <c r="M96" s="556">
        <f>IF(VLOOKUP($E$96,[1]UN!$A$2:$FA$303, 12, FALSE)="",":",VLOOKUP($E$96,[1]UN!$A$2:$FA$303, 12, FALSE))</f>
        <v>265788.40000000002</v>
      </c>
      <c r="N96" s="556">
        <f>IF(VLOOKUP($E$96,[1]UN!$A$2:$FA$303, 13, FALSE)="",":",VLOOKUP($E$96,[1]UN!$A$2:$FA$303, 13, FALSE))</f>
        <v>275065.09999999998</v>
      </c>
      <c r="O96" s="556">
        <f>IF(VLOOKUP($E$96,[1]UN!$A$2:$FA$303, 14, FALSE)="",":",VLOOKUP($E$96,[1]UN!$A$2:$FA$303, 14, FALSE))</f>
        <v>282636.5</v>
      </c>
      <c r="P96" s="556">
        <f>IF(VLOOKUP($E$96,[1]UN!$A$2:$FA$303, 15, FALSE)="",":",VLOOKUP($E$96,[1]UN!$A$2:$FA$303, 15, FALSE))</f>
        <v>298710.8</v>
      </c>
      <c r="Q96" s="556">
        <f>IF(VLOOKUP($E$96,[1]UN!$A$2:$FA$303, 16, FALSE)="",":",VLOOKUP($E$96,[1]UN!$A$2:$FA$303, 16, FALSE))</f>
        <v>311480.8</v>
      </c>
      <c r="R96" s="556">
        <f>IF(VLOOKUP($E$96,[1]UN!$A$2:$FA$303, 17, FALSE)="",":",VLOOKUP($E$96,[1]UN!$A$2:$FA$303, 17, FALSE))</f>
        <v>326662.09999999998</v>
      </c>
      <c r="S96" s="556">
        <f>IF(VLOOKUP($E$96,[1]UN!$A$2:$FA$303, 18, FALSE)="",":",VLOOKUP($E$96,[1]UN!$A$2:$FA$303, 18, FALSE))</f>
        <v>344712.5</v>
      </c>
      <c r="T96" s="556">
        <f>IF(VLOOKUP($E$96,[1]UN!$A$2:$FA$303, 19, FALSE)="",":",VLOOKUP($E$96,[1]UN!$A$2:$FA$303, 19, FALSE))</f>
        <v>354065.9</v>
      </c>
      <c r="U96" s="556">
        <f>IF(VLOOKUP($E$96,[1]UN!$A$2:$FA$303, 20, FALSE)="",":",VLOOKUP($E$96,[1]UN!$A$2:$FA$303, 20, FALSE))</f>
        <v>348781.1</v>
      </c>
      <c r="V96" s="556">
        <f>IF(VLOOKUP($E$96,[1]UN!$A$2:$FA$303, 21, FALSE)="",":",VLOOKUP($E$96,[1]UN!$A$2:$FA$303, 21, FALSE))</f>
        <v>365100.5</v>
      </c>
      <c r="W96" s="556">
        <f>IF(VLOOKUP($E$96,[1]UN!$A$2:$FA$303, 22, FALSE)="",":",VLOOKUP($E$96,[1]UN!$A$2:$FA$303, 22, FALSE))</f>
        <v>379106.3</v>
      </c>
      <c r="X96" s="556">
        <f>IF(VLOOKUP($E$96,[1]UN!$A$2:$FA$303, 23, FALSE)="",":",VLOOKUP($E$96,[1]UN!$A$2:$FA$303, 23, FALSE))</f>
        <v>387500.1</v>
      </c>
      <c r="Y96" s="556">
        <f>IF(VLOOKUP($E$96,[1]UN!$A$2:$FA$303, 24, FALSE)="",":",VLOOKUP($E$96,[1]UN!$A$2:$FA$303, 24, FALSE))</f>
        <v>392339.8</v>
      </c>
      <c r="Z96" s="556">
        <f>IF(VLOOKUP($E$96,[1]UN!$A$2:$FA$303, 25, FALSE)="",":",VLOOKUP($E$96,[1]UN!$A$2:$FA$303, 25, FALSE))</f>
        <v>400288.2</v>
      </c>
      <c r="AA96" s="556">
        <f>IF(VLOOKUP($E$96,[1]UN!$A$2:$FA$303, 26, FALSE)="",":",VLOOKUP($E$96,[1]UN!$A$2:$FA$303, 26, FALSE))</f>
        <v>410435.2</v>
      </c>
      <c r="AB96" s="556">
        <f>IF(VLOOKUP($E$96,[1]UN!$A$2:$FA$303, 27, FALSE)="",":",VLOOKUP($E$96,[1]UN!$A$2:$FA$303, 27, FALSE))</f>
        <v>423048.4</v>
      </c>
      <c r="AC96" s="556">
        <f>IF(VLOOKUP($E$96,[1]UN!$A$2:$FA$303, 28, FALSE)="",":",VLOOKUP($E$96,[1]UN!$A$2:$FA$303, 28, FALSE))</f>
        <v>438484.6</v>
      </c>
      <c r="AD96" s="556" t="str">
        <f>IF(VLOOKUP($E$96,[1]UN!$A$2:$FA$303, 29, FALSE)="",":",VLOOKUP($E$96,[1]UN!$A$2:$FA$303, 29, FALSE))</f>
        <v>:</v>
      </c>
      <c r="AE96" s="556" t="str">
        <f>IF(VLOOKUP($E$96,[1]UN!$A$2:$FA$303, 30, FALSE)="",":",VLOOKUP($E$96,[1]UN!$A$2:$FA$303, 30, FALSE))</f>
        <v>:</v>
      </c>
      <c r="AF96" s="556" t="str">
        <f>IF(VLOOKUP($E$96,[1]UN!$A$2:$FA$303, 31, FALSE)="",":",VLOOKUP($E$96,[1]UN!$A$2:$FA$303, 31, FALSE))</f>
        <v>:</v>
      </c>
    </row>
    <row r="97" spans="1:32">
      <c r="A97" s="545"/>
      <c r="B97" s="546"/>
      <c r="C97" s="547"/>
      <c r="D97" s="12"/>
      <c r="E97" s="13"/>
      <c r="F97" s="14"/>
      <c r="G97" s="556"/>
      <c r="H97" s="556"/>
      <c r="I97" s="556"/>
      <c r="J97" s="556"/>
      <c r="K97" s="556"/>
      <c r="L97" s="556"/>
      <c r="M97" s="556"/>
      <c r="N97" s="556"/>
      <c r="O97" s="556"/>
      <c r="P97" s="556"/>
      <c r="Q97" s="556"/>
      <c r="R97" s="556"/>
      <c r="S97" s="556"/>
      <c r="T97" s="556"/>
      <c r="U97" s="556"/>
      <c r="V97" s="556"/>
      <c r="W97" s="556"/>
      <c r="X97" s="556"/>
      <c r="Y97" s="556"/>
      <c r="Z97" s="556"/>
      <c r="AA97" s="556"/>
      <c r="AB97" s="556"/>
      <c r="AC97" s="556"/>
      <c r="AD97" s="556"/>
      <c r="AE97" s="556"/>
      <c r="AF97" s="556"/>
    </row>
    <row r="98" spans="1:32">
      <c r="A98" s="1870"/>
      <c r="B98" s="546"/>
      <c r="C98" s="547"/>
      <c r="D98" s="12" t="s">
        <v>1084</v>
      </c>
      <c r="E98" s="13">
        <v>601</v>
      </c>
      <c r="F98" s="14" t="str">
        <f>VLOOKUP($E$98,[1]UN!$A$2:$FA$303, 3, FALSE)</f>
        <v xml:space="preserve">601  Gross value added at current basic prices (net of FISIM)                             </v>
      </c>
      <c r="G98" s="556">
        <f ca="1">IF(VLOOKUP($E$98,[1]UN!$A$2:$FA$303, 6, FALSE)="",":",VLOOKUP($E$98,[1]UN!$A$2:$FA$303, 6, FALSE))</f>
        <v>190700.6</v>
      </c>
      <c r="H98" s="556">
        <f>IF(VLOOKUP($E$98,[1]UN!$A$2:$FA$303, 7, FALSE)="",":",VLOOKUP($E$98,[1]UN!$A$2:$FA$303, 7, FALSE))</f>
        <v>194046.6</v>
      </c>
      <c r="I98" s="556">
        <f>IF(VLOOKUP($E$98,[1]UN!$A$2:$FA$303, 8, FALSE)="",":",VLOOKUP($E$98,[1]UN!$A$2:$FA$303, 8, FALSE))</f>
        <v>202523.6</v>
      </c>
      <c r="J98" s="556">
        <f>IF(VLOOKUP($E$98,[1]UN!$A$2:$FA$303, 9, FALSE)="",":",VLOOKUP($E$98,[1]UN!$A$2:$FA$303, 9, FALSE))</f>
        <v>210137.1</v>
      </c>
      <c r="K98" s="556">
        <f>IF(VLOOKUP($E$98,[1]UN!$A$2:$FA$303, 10, FALSE)="",":",VLOOKUP($E$98,[1]UN!$A$2:$FA$303, 10, FALSE))</f>
        <v>218142.6</v>
      </c>
      <c r="L98" s="556">
        <f>IF(VLOOKUP($E$98,[1]UN!$A$2:$FA$303, 11, FALSE)="",":",VLOOKUP($E$98,[1]UN!$A$2:$FA$303, 11, FALSE))</f>
        <v>230488.9</v>
      </c>
      <c r="M98" s="556">
        <f>IF(VLOOKUP($E$98,[1]UN!$A$2:$FA$303, 12, FALSE)="",":",VLOOKUP($E$98,[1]UN!$A$2:$FA$303, 12, FALSE))</f>
        <v>238598.7</v>
      </c>
      <c r="N98" s="556">
        <f>IF(VLOOKUP($E$98,[1]UN!$A$2:$FA$303, 13, FALSE)="",":",VLOOKUP($E$98,[1]UN!$A$2:$FA$303, 13, FALSE))</f>
        <v>246590.6</v>
      </c>
      <c r="O98" s="556">
        <f>IF(VLOOKUP($E$98,[1]UN!$A$2:$FA$303, 14, FALSE)="",":",VLOOKUP($E$98,[1]UN!$A$2:$FA$303, 14, FALSE))</f>
        <v>253812.7</v>
      </c>
      <c r="P98" s="556">
        <f>IF(VLOOKUP($E$98,[1]UN!$A$2:$FA$303, 15, FALSE)="",":",VLOOKUP($E$98,[1]UN!$A$2:$FA$303, 15, FALSE))</f>
        <v>267044.2</v>
      </c>
      <c r="Q98" s="556">
        <f>IF(VLOOKUP($E$98,[1]UN!$A$2:$FA$303, 16, FALSE)="",":",VLOOKUP($E$98,[1]UN!$A$2:$FA$303, 16, FALSE))</f>
        <v>278494.8</v>
      </c>
      <c r="R98" s="556">
        <f>IF(VLOOKUP($E$98,[1]UN!$A$2:$FA$303, 17, FALSE)="",":",VLOOKUP($E$98,[1]UN!$A$2:$FA$303, 17, FALSE))</f>
        <v>291825.8</v>
      </c>
      <c r="S98" s="556">
        <f>IF(VLOOKUP($E$98,[1]UN!$A$2:$FA$303, 18, FALSE)="",":",VLOOKUP($E$98,[1]UN!$A$2:$FA$303, 18, FALSE))</f>
        <v>307959.90000000002</v>
      </c>
      <c r="T98" s="556">
        <f>IF(VLOOKUP($E$98,[1]UN!$A$2:$FA$303, 19, FALSE)="",":",VLOOKUP($E$98,[1]UN!$A$2:$FA$303, 19, FALSE))</f>
        <v>317008.8</v>
      </c>
      <c r="U98" s="556">
        <f>IF(VLOOKUP($E$98,[1]UN!$A$2:$FA$303, 20, FALSE)="",":",VLOOKUP($E$98,[1]UN!$A$2:$FA$303, 20, FALSE))</f>
        <v>312596.40000000002</v>
      </c>
      <c r="V98" s="556">
        <f>IF(VLOOKUP($E$98,[1]UN!$A$2:$FA$303, 21, FALSE)="",":",VLOOKUP($E$98,[1]UN!$A$2:$FA$303, 21, FALSE))</f>
        <v>326533.7</v>
      </c>
      <c r="W98" s="556">
        <f>IF(VLOOKUP($E$98,[1]UN!$A$2:$FA$303, 22, FALSE)="",":",VLOOKUP($E$98,[1]UN!$A$2:$FA$303, 22, FALSE))</f>
        <v>339644.3</v>
      </c>
      <c r="X98" s="556">
        <f>IF(VLOOKUP($E$98,[1]UN!$A$2:$FA$303, 23, FALSE)="",":",VLOOKUP($E$98,[1]UN!$A$2:$FA$303, 23, FALSE))</f>
        <v>346698.4</v>
      </c>
      <c r="Y98" s="556">
        <f>IF(VLOOKUP($E$98,[1]UN!$A$2:$FA$303, 24, FALSE)="",":",VLOOKUP($E$98,[1]UN!$A$2:$FA$303, 24, FALSE))</f>
        <v>350876.6</v>
      </c>
      <c r="Z98" s="556">
        <f>IF(VLOOKUP($E$98,[1]UN!$A$2:$FA$303, 25, FALSE)="",":",VLOOKUP($E$98,[1]UN!$A$2:$FA$303, 25, FALSE))</f>
        <v>358051</v>
      </c>
      <c r="AA98" s="556">
        <f>IF(VLOOKUP($E$98,[1]UN!$A$2:$FA$303, 26, FALSE)="",":",VLOOKUP($E$98,[1]UN!$A$2:$FA$303, 26, FALSE))</f>
        <v>367471.6</v>
      </c>
      <c r="AB98" s="556">
        <f>IF(VLOOKUP($E$98,[1]UN!$A$2:$FA$303, 27, FALSE)="",":",VLOOKUP($E$98,[1]UN!$A$2:$FA$303, 27, FALSE))</f>
        <v>377635.6</v>
      </c>
      <c r="AC98" s="556">
        <f>IF(VLOOKUP($E$98,[1]UN!$A$2:$FA$303, 28, FALSE)="",":",VLOOKUP($E$98,[1]UN!$A$2:$FA$303, 28, FALSE))</f>
        <v>390746.3</v>
      </c>
      <c r="AD98" s="556" t="str">
        <f>IF(VLOOKUP($E$98,[1]UN!$A$2:$FA$303, 29, FALSE)="",":",VLOOKUP($E$98,[1]UN!$A$2:$FA$303, 29, FALSE))</f>
        <v>:</v>
      </c>
      <c r="AE98" s="556" t="str">
        <f>IF(VLOOKUP($E$98,[1]UN!$A$2:$FA$303, 30, FALSE)="",":",VLOOKUP($E$98,[1]UN!$A$2:$FA$303, 30, FALSE))</f>
        <v>:</v>
      </c>
      <c r="AF98" s="556" t="str">
        <f>IF(VLOOKUP($E$98,[1]UN!$A$2:$FA$303, 31, FALSE)="",":",VLOOKUP($E$98,[1]UN!$A$2:$FA$303, 31, FALSE))</f>
        <v>:</v>
      </c>
    </row>
    <row r="99" spans="1:32">
      <c r="A99" s="1870"/>
      <c r="B99" s="546" t="s">
        <v>1787</v>
      </c>
      <c r="C99" s="547"/>
      <c r="D99" s="12" t="s">
        <v>1084</v>
      </c>
      <c r="E99" s="13">
        <v>610</v>
      </c>
      <c r="F99" s="14" t="str">
        <f>VLOOKUP($E$99,[1]UN!$A$2:$FA$303, 3, FALSE)</f>
        <v xml:space="preserve">610  Compensation of employees                                                    </v>
      </c>
      <c r="G99" s="556">
        <f ca="1">IF(VLOOKUP($E$99,[1]UN!$A$2:$FA$303, 6, FALSE)="",":",VLOOKUP($E$99,[1]UN!$A$2:$FA$303, 6, FALSE))</f>
        <v>106264.1</v>
      </c>
      <c r="H99" s="556">
        <f>IF(VLOOKUP($E$99,[1]UN!$A$2:$FA$303, 7, FALSE)="",":",VLOOKUP($E$99,[1]UN!$A$2:$FA$303, 7, FALSE))</f>
        <v>108639</v>
      </c>
      <c r="I99" s="556">
        <f>IF(VLOOKUP($E$99,[1]UN!$A$2:$FA$303, 8, FALSE)="",":",VLOOKUP($E$99,[1]UN!$A$2:$FA$303, 8, FALSE))</f>
        <v>112863</v>
      </c>
      <c r="J99" s="556">
        <f>IF(VLOOKUP($E$99,[1]UN!$A$2:$FA$303, 9, FALSE)="",":",VLOOKUP($E$99,[1]UN!$A$2:$FA$303, 9, FALSE))</f>
        <v>116876</v>
      </c>
      <c r="K99" s="556">
        <f>IF(VLOOKUP($E$99,[1]UN!$A$2:$FA$303, 10, FALSE)="",":",VLOOKUP($E$99,[1]UN!$A$2:$FA$303, 10, FALSE))</f>
        <v>122963.8</v>
      </c>
      <c r="L99" s="556">
        <f>IF(VLOOKUP($E$99,[1]UN!$A$2:$FA$303, 11, FALSE)="",":",VLOOKUP($E$99,[1]UN!$A$2:$FA$303, 11, FALSE))</f>
        <v>128521.4</v>
      </c>
      <c r="M99" s="556">
        <f>IF(VLOOKUP($E$99,[1]UN!$A$2:$FA$303, 12, FALSE)="",":",VLOOKUP($E$99,[1]UN!$A$2:$FA$303, 12, FALSE))</f>
        <v>135664.20000000001</v>
      </c>
      <c r="N99" s="556">
        <f>IF(VLOOKUP($E$99,[1]UN!$A$2:$FA$303, 13, FALSE)="",":",VLOOKUP($E$99,[1]UN!$A$2:$FA$303, 13, FALSE))</f>
        <v>140912.5</v>
      </c>
      <c r="O99" s="556">
        <f>IF(VLOOKUP($E$99,[1]UN!$A$2:$FA$303, 14, FALSE)="",":",VLOOKUP($E$99,[1]UN!$A$2:$FA$303, 14, FALSE))</f>
        <v>143567.4</v>
      </c>
      <c r="P99" s="556">
        <f>IF(VLOOKUP($E$99,[1]UN!$A$2:$FA$303, 15, FALSE)="",":",VLOOKUP($E$99,[1]UN!$A$2:$FA$303, 15, FALSE))</f>
        <v>147734</v>
      </c>
      <c r="Q99" s="556">
        <f>IF(VLOOKUP($E$99,[1]UN!$A$2:$FA$303, 16, FALSE)="",":",VLOOKUP($E$99,[1]UN!$A$2:$FA$303, 16, FALSE))</f>
        <v>152853.70000000001</v>
      </c>
      <c r="R99" s="556">
        <f>IF(VLOOKUP($E$99,[1]UN!$A$2:$FA$303, 17, FALSE)="",":",VLOOKUP($E$99,[1]UN!$A$2:$FA$303, 17, FALSE))</f>
        <v>160240</v>
      </c>
      <c r="S99" s="556">
        <f>IF(VLOOKUP($E$99,[1]UN!$A$2:$FA$303, 18, FALSE)="",":",VLOOKUP($E$99,[1]UN!$A$2:$FA$303, 18, FALSE))</f>
        <v>168895.2</v>
      </c>
      <c r="T99" s="556">
        <f>IF(VLOOKUP($E$99,[1]UN!$A$2:$FA$303, 19, FALSE)="",":",VLOOKUP($E$99,[1]UN!$A$2:$FA$303, 19, FALSE))</f>
        <v>178361.3</v>
      </c>
      <c r="U99" s="556">
        <f>IF(VLOOKUP($E$99,[1]UN!$A$2:$FA$303, 20, FALSE)="",":",VLOOKUP($E$99,[1]UN!$A$2:$FA$303, 20, FALSE))</f>
        <v>179623.3</v>
      </c>
      <c r="V99" s="556">
        <f>IF(VLOOKUP($E$99,[1]UN!$A$2:$FA$303, 21, FALSE)="",":",VLOOKUP($E$99,[1]UN!$A$2:$FA$303, 21, FALSE))</f>
        <v>183229</v>
      </c>
      <c r="W99" s="556">
        <f>IF(VLOOKUP($E$99,[1]UN!$A$2:$FA$303, 22, FALSE)="",":",VLOOKUP($E$99,[1]UN!$A$2:$FA$303, 22, FALSE))</f>
        <v>191626.1</v>
      </c>
      <c r="X99" s="556">
        <f>IF(VLOOKUP($E$99,[1]UN!$A$2:$FA$303, 23, FALSE)="",":",VLOOKUP($E$99,[1]UN!$A$2:$FA$303, 23, FALSE))</f>
        <v>198305.5</v>
      </c>
      <c r="Y99" s="556">
        <f>IF(VLOOKUP($E$99,[1]UN!$A$2:$FA$303, 24, FALSE)="",":",VLOOKUP($E$99,[1]UN!$A$2:$FA$303, 24, FALSE))</f>
        <v>202271.4</v>
      </c>
      <c r="Z99" s="556">
        <f>IF(VLOOKUP($E$99,[1]UN!$A$2:$FA$303, 25, FALSE)="",":",VLOOKUP($E$99,[1]UN!$A$2:$FA$303, 25, FALSE))</f>
        <v>204849.7</v>
      </c>
      <c r="AA99" s="556">
        <f>IF(VLOOKUP($E$99,[1]UN!$A$2:$FA$303, 26, FALSE)="",":",VLOOKUP($E$99,[1]UN!$A$2:$FA$303, 26, FALSE))</f>
        <v>206541.8</v>
      </c>
      <c r="AB99" s="556">
        <f>IF(VLOOKUP($E$99,[1]UN!$A$2:$FA$303, 27, FALSE)="",":",VLOOKUP($E$99,[1]UN!$A$2:$FA$303, 27, FALSE))</f>
        <v>209145</v>
      </c>
      <c r="AC99" s="556">
        <f>IF(VLOOKUP($E$99,[1]UN!$A$2:$FA$303, 28, FALSE)="",":",VLOOKUP($E$99,[1]UN!$A$2:$FA$303, 28, FALSE))</f>
        <v>215741.8</v>
      </c>
      <c r="AD99" s="556" t="str">
        <f>IF(VLOOKUP($E$99,[1]UN!$A$2:$FA$303, 29, FALSE)="",":",VLOOKUP($E$99,[1]UN!$A$2:$FA$303, 29, FALSE))</f>
        <v>:</v>
      </c>
      <c r="AE99" s="556" t="str">
        <f>IF(VLOOKUP($E$99,[1]UN!$A$2:$FA$303, 30, FALSE)="",":",VLOOKUP($E$99,[1]UN!$A$2:$FA$303, 30, FALSE))</f>
        <v>:</v>
      </c>
      <c r="AF99" s="556" t="str">
        <f>IF(VLOOKUP($E$99,[1]UN!$A$2:$FA$303, 31, FALSE)="",":",VLOOKUP($E$99,[1]UN!$A$2:$FA$303, 31, FALSE))</f>
        <v>:</v>
      </c>
    </row>
    <row r="100" spans="1:32">
      <c r="A100" s="545"/>
      <c r="B100" s="546"/>
      <c r="C100" s="547"/>
      <c r="D100" s="12"/>
      <c r="E100" s="13"/>
      <c r="F100" s="14"/>
      <c r="G100" s="556"/>
      <c r="H100" s="556"/>
      <c r="I100" s="556"/>
      <c r="J100" s="556"/>
      <c r="K100" s="556"/>
      <c r="L100" s="556"/>
      <c r="M100" s="556"/>
      <c r="N100" s="556"/>
      <c r="O100" s="556"/>
      <c r="P100" s="556"/>
      <c r="Q100" s="556"/>
      <c r="R100" s="556"/>
      <c r="S100" s="556"/>
      <c r="T100" s="556"/>
      <c r="U100" s="556"/>
      <c r="V100" s="556"/>
      <c r="W100" s="556"/>
      <c r="X100" s="556"/>
      <c r="Y100" s="556"/>
      <c r="Z100" s="556"/>
      <c r="AA100" s="556"/>
      <c r="AB100" s="556"/>
      <c r="AC100" s="556"/>
      <c r="AD100" s="556"/>
      <c r="AE100" s="556"/>
      <c r="AF100" s="556"/>
    </row>
    <row r="101" spans="1:32">
      <c r="A101" s="545">
        <v>50</v>
      </c>
      <c r="B101" s="546" t="s">
        <v>485</v>
      </c>
      <c r="C101" s="547" t="s">
        <v>215</v>
      </c>
      <c r="D101" s="12" t="s">
        <v>1084</v>
      </c>
      <c r="E101" s="13">
        <v>634</v>
      </c>
      <c r="F101" s="14" t="str">
        <f>VLOOKUP($E$101,[1]UN!$A$2:$FA$303, 3, FALSE)</f>
        <v>634  Taxes on products (D.21)</v>
      </c>
      <c r="G101" s="556">
        <f ca="1">IF(VLOOKUP($E$101,[1]UN!$A$2:$FA$303, 6, FALSE)="",":",VLOOKUP($E$101,[1]UN!$A$2:$FA$303, 6, FALSE))</f>
        <v>22749.4</v>
      </c>
      <c r="H101" s="556">
        <f>IF(VLOOKUP($E$101,[1]UN!$A$2:$FA$303, 7, FALSE)="",":",VLOOKUP($E$101,[1]UN!$A$2:$FA$303, 7, FALSE))</f>
        <v>23991.3</v>
      </c>
      <c r="I101" s="556">
        <f>IF(VLOOKUP($E$101,[1]UN!$A$2:$FA$303, 8, FALSE)="",":",VLOOKUP($E$101,[1]UN!$A$2:$FA$303, 8, FALSE))</f>
        <v>25373.8</v>
      </c>
      <c r="J101" s="556">
        <f>IF(VLOOKUP($E$101,[1]UN!$A$2:$FA$303, 9, FALSE)="",":",VLOOKUP($E$101,[1]UN!$A$2:$FA$303, 9, FALSE))</f>
        <v>26328.6</v>
      </c>
      <c r="K101" s="556">
        <f>IF(VLOOKUP($E$101,[1]UN!$A$2:$FA$303, 10, FALSE)="",":",VLOOKUP($E$101,[1]UN!$A$2:$FA$303, 10, FALSE))</f>
        <v>28176.799999999999</v>
      </c>
      <c r="L101" s="556">
        <f>IF(VLOOKUP($E$101,[1]UN!$A$2:$FA$303, 11, FALSE)="",":",VLOOKUP($E$101,[1]UN!$A$2:$FA$303, 11, FALSE))</f>
        <v>29686.6</v>
      </c>
      <c r="M101" s="556">
        <f>IF(VLOOKUP($E$101,[1]UN!$A$2:$FA$303, 12, FALSE)="",":",VLOOKUP($E$101,[1]UN!$A$2:$FA$303, 12, FALSE))</f>
        <v>29275.8</v>
      </c>
      <c r="N101" s="556">
        <f>IF(VLOOKUP($E$101,[1]UN!$A$2:$FA$303, 13, FALSE)="",":",VLOOKUP($E$101,[1]UN!$A$2:$FA$303, 13, FALSE))</f>
        <v>30505</v>
      </c>
      <c r="O101" s="556">
        <f>IF(VLOOKUP($E$101,[1]UN!$A$2:$FA$303, 14, FALSE)="",":",VLOOKUP($E$101,[1]UN!$A$2:$FA$303, 14, FALSE))</f>
        <v>31298</v>
      </c>
      <c r="P101" s="556">
        <f>IF(VLOOKUP($E$101,[1]UN!$A$2:$FA$303, 15, FALSE)="",":",VLOOKUP($E$101,[1]UN!$A$2:$FA$303, 15, FALSE))</f>
        <v>33624.699999999997</v>
      </c>
      <c r="Q101" s="556">
        <f>IF(VLOOKUP($E$101,[1]UN!$A$2:$FA$303, 16, FALSE)="",":",VLOOKUP($E$101,[1]UN!$A$2:$FA$303, 16, FALSE))</f>
        <v>35670.300000000003</v>
      </c>
      <c r="R101" s="556">
        <f>IF(VLOOKUP($E$101,[1]UN!$A$2:$FA$303, 17, FALSE)="",":",VLOOKUP($E$101,[1]UN!$A$2:$FA$303, 17, FALSE))</f>
        <v>37240.800000000003</v>
      </c>
      <c r="S101" s="556">
        <f>IF(VLOOKUP($E$101,[1]UN!$A$2:$FA$303, 18, FALSE)="",":",VLOOKUP($E$101,[1]UN!$A$2:$FA$303, 18, FALSE))</f>
        <v>39244.400000000001</v>
      </c>
      <c r="T101" s="556">
        <f>IF(VLOOKUP($E$101,[1]UN!$A$2:$FA$303, 19, FALSE)="",":",VLOOKUP($E$101,[1]UN!$A$2:$FA$303, 19, FALSE))</f>
        <v>39414.199999999997</v>
      </c>
      <c r="U101" s="556">
        <f>IF(VLOOKUP($E$101,[1]UN!$A$2:$FA$303, 20, FALSE)="",":",VLOOKUP($E$101,[1]UN!$A$2:$FA$303, 20, FALSE))</f>
        <v>38091.9</v>
      </c>
      <c r="V101" s="556">
        <f>IF(VLOOKUP($E$101,[1]UN!$A$2:$FA$303, 21, FALSE)="",":",VLOOKUP($E$101,[1]UN!$A$2:$FA$303, 21, FALSE))</f>
        <v>40911.5</v>
      </c>
      <c r="W101" s="556">
        <f>IF(VLOOKUP($E$101,[1]UN!$A$2:$FA$303, 22, FALSE)="",":",VLOOKUP($E$101,[1]UN!$A$2:$FA$303, 22, FALSE))</f>
        <v>41971.7</v>
      </c>
      <c r="X101" s="556">
        <f>IF(VLOOKUP($E$101,[1]UN!$A$2:$FA$303, 23, FALSE)="",":",VLOOKUP($E$101,[1]UN!$A$2:$FA$303, 23, FALSE))</f>
        <v>42977.2</v>
      </c>
      <c r="Y101" s="556">
        <f>IF(VLOOKUP($E$101,[1]UN!$A$2:$FA$303, 24, FALSE)="",":",VLOOKUP($E$101,[1]UN!$A$2:$FA$303, 24, FALSE))</f>
        <v>43547.6</v>
      </c>
      <c r="Z101" s="556">
        <f>IF(VLOOKUP($E$101,[1]UN!$A$2:$FA$303, 25, FALSE)="",":",VLOOKUP($E$101,[1]UN!$A$2:$FA$303, 25, FALSE))</f>
        <v>44171.5</v>
      </c>
      <c r="AA101" s="556">
        <f>IF(VLOOKUP($E$101,[1]UN!$A$2:$FA$303, 26, FALSE)="",":",VLOOKUP($E$101,[1]UN!$A$2:$FA$303, 26, FALSE))</f>
        <v>45102.7</v>
      </c>
      <c r="AB101" s="556">
        <f>IF(VLOOKUP($E$101,[1]UN!$A$2:$FA$303, 27, FALSE)="",":",VLOOKUP($E$101,[1]UN!$A$2:$FA$303, 27, FALSE))</f>
        <v>47467.7</v>
      </c>
      <c r="AC101" s="556">
        <f>IF(VLOOKUP($E$101,[1]UN!$A$2:$FA$303, 28, FALSE)="",":",VLOOKUP($E$101,[1]UN!$A$2:$FA$303, 28, FALSE))</f>
        <v>49843.199999999997</v>
      </c>
      <c r="AD101" s="556" t="str">
        <f>IF(VLOOKUP($E$101,[1]UN!$A$2:$FA$303, 29, FALSE)="",":",VLOOKUP($E$101,[1]UN!$A$2:$FA$303, 29, FALSE))</f>
        <v>:</v>
      </c>
      <c r="AE101" s="556" t="str">
        <f>IF(VLOOKUP($E$101,[1]UN!$A$2:$FA$303, 30, FALSE)="",":",VLOOKUP($E$101,[1]UN!$A$2:$FA$303, 30, FALSE))</f>
        <v>:</v>
      </c>
      <c r="AF101" s="556" t="str">
        <f>IF(VLOOKUP($E$101,[1]UN!$A$2:$FA$303, 31, FALSE)="",":",VLOOKUP($E$101,[1]UN!$A$2:$FA$303, 31, FALSE))</f>
        <v>:</v>
      </c>
    </row>
    <row r="102" spans="1:32">
      <c r="A102" s="545">
        <v>51</v>
      </c>
      <c r="B102" s="546" t="s">
        <v>335</v>
      </c>
      <c r="C102" s="547" t="s">
        <v>801</v>
      </c>
      <c r="D102" s="12" t="s">
        <v>1084</v>
      </c>
      <c r="E102" s="13">
        <v>635</v>
      </c>
      <c r="F102" s="14" t="str">
        <f>VLOOKUP($E$102,[1]UN!$A$2:$FA$303, 3, FALSE)</f>
        <v>635  Subsidies on products (D.31)</v>
      </c>
      <c r="G102" s="556">
        <f ca="1">IF(VLOOKUP($E$102,[1]UN!$A$2:$FA$303, 6, FALSE)="",":",VLOOKUP($E$102,[1]UN!$A$2:$FA$303, 6, FALSE))</f>
        <v>2159.1999999999998</v>
      </c>
      <c r="H102" s="556">
        <f>IF(VLOOKUP($E$102,[1]UN!$A$2:$FA$303, 7, FALSE)="",":",VLOOKUP($E$102,[1]UN!$A$2:$FA$303, 7, FALSE))</f>
        <v>2095.5</v>
      </c>
      <c r="I102" s="556">
        <f>IF(VLOOKUP($E$102,[1]UN!$A$2:$FA$303, 8, FALSE)="",":",VLOOKUP($E$102,[1]UN!$A$2:$FA$303, 8, FALSE))</f>
        <v>1928.7</v>
      </c>
      <c r="J102" s="556">
        <f>IF(VLOOKUP($E$102,[1]UN!$A$2:$FA$303, 9, FALSE)="",":",VLOOKUP($E$102,[1]UN!$A$2:$FA$303, 9, FALSE))</f>
        <v>1976.1</v>
      </c>
      <c r="K102" s="556">
        <f>IF(VLOOKUP($E$102,[1]UN!$A$2:$FA$303, 10, FALSE)="",":",VLOOKUP($E$102,[1]UN!$A$2:$FA$303, 10, FALSE))</f>
        <v>2093.4</v>
      </c>
      <c r="L102" s="556">
        <f>IF(VLOOKUP($E$102,[1]UN!$A$2:$FA$303, 11, FALSE)="",":",VLOOKUP($E$102,[1]UN!$A$2:$FA$303, 11, FALSE))</f>
        <v>1953.5</v>
      </c>
      <c r="M102" s="556">
        <f>IF(VLOOKUP($E$102,[1]UN!$A$2:$FA$303, 12, FALSE)="",":",VLOOKUP($E$102,[1]UN!$A$2:$FA$303, 12, FALSE))</f>
        <v>2086.1</v>
      </c>
      <c r="N102" s="556">
        <f>IF(VLOOKUP($E$102,[1]UN!$A$2:$FA$303, 13, FALSE)="",":",VLOOKUP($E$102,[1]UN!$A$2:$FA$303, 13, FALSE))</f>
        <v>2030.5</v>
      </c>
      <c r="O102" s="556">
        <f>IF(VLOOKUP($E$102,[1]UN!$A$2:$FA$303, 14, FALSE)="",":",VLOOKUP($E$102,[1]UN!$A$2:$FA$303, 14, FALSE))</f>
        <v>2474.1999999999998</v>
      </c>
      <c r="P102" s="556">
        <f>IF(VLOOKUP($E$102,[1]UN!$A$2:$FA$303, 15, FALSE)="",":",VLOOKUP($E$102,[1]UN!$A$2:$FA$303, 15, FALSE))</f>
        <v>1958.1</v>
      </c>
      <c r="Q102" s="556">
        <f>IF(VLOOKUP($E$102,[1]UN!$A$2:$FA$303, 16, FALSE)="",":",VLOOKUP($E$102,[1]UN!$A$2:$FA$303, 16, FALSE))</f>
        <v>2684.3</v>
      </c>
      <c r="R102" s="556">
        <f>IF(VLOOKUP($E$102,[1]UN!$A$2:$FA$303, 17, FALSE)="",":",VLOOKUP($E$102,[1]UN!$A$2:$FA$303, 17, FALSE))</f>
        <v>2404.5</v>
      </c>
      <c r="S102" s="556">
        <f>IF(VLOOKUP($E$102,[1]UN!$A$2:$FA$303, 18, FALSE)="",":",VLOOKUP($E$102,[1]UN!$A$2:$FA$303, 18, FALSE))</f>
        <v>2491.8000000000002</v>
      </c>
      <c r="T102" s="556">
        <f>IF(VLOOKUP($E$102,[1]UN!$A$2:$FA$303, 19, FALSE)="",":",VLOOKUP($E$102,[1]UN!$A$2:$FA$303, 19, FALSE))</f>
        <v>2357.1</v>
      </c>
      <c r="U102" s="556">
        <f>IF(VLOOKUP($E$102,[1]UN!$A$2:$FA$303, 20, FALSE)="",":",VLOOKUP($E$102,[1]UN!$A$2:$FA$303, 20, FALSE))</f>
        <v>1907.2</v>
      </c>
      <c r="V102" s="556">
        <f>IF(VLOOKUP($E$102,[1]UN!$A$2:$FA$303, 21, FALSE)="",":",VLOOKUP($E$102,[1]UN!$A$2:$FA$303, 21, FALSE))</f>
        <v>2344.6999999999998</v>
      </c>
      <c r="W102" s="556">
        <f>IF(VLOOKUP($E$102,[1]UN!$A$2:$FA$303, 22, FALSE)="",":",VLOOKUP($E$102,[1]UN!$A$2:$FA$303, 22, FALSE))</f>
        <v>2509.6999999999998</v>
      </c>
      <c r="X102" s="556">
        <f>IF(VLOOKUP($E$102,[1]UN!$A$2:$FA$303, 23, FALSE)="",":",VLOOKUP($E$102,[1]UN!$A$2:$FA$303, 23, FALSE))</f>
        <v>2175.5</v>
      </c>
      <c r="Y102" s="556">
        <f>IF(VLOOKUP($E$102,[1]UN!$A$2:$FA$303, 24, FALSE)="",":",VLOOKUP($E$102,[1]UN!$A$2:$FA$303, 24, FALSE))</f>
        <v>2084.4</v>
      </c>
      <c r="Z102" s="556">
        <f>IF(VLOOKUP($E$102,[1]UN!$A$2:$FA$303, 25, FALSE)="",":",VLOOKUP($E$102,[1]UN!$A$2:$FA$303, 25, FALSE))</f>
        <v>1934.3</v>
      </c>
      <c r="AA102" s="556">
        <f>IF(VLOOKUP($E$102,[1]UN!$A$2:$FA$303, 26, FALSE)="",":",VLOOKUP($E$102,[1]UN!$A$2:$FA$303, 26, FALSE))</f>
        <v>2139.1</v>
      </c>
      <c r="AB102" s="556">
        <f>IF(VLOOKUP($E$102,[1]UN!$A$2:$FA$303, 27, FALSE)="",":",VLOOKUP($E$102,[1]UN!$A$2:$FA$303, 27, FALSE))</f>
        <v>2054.9</v>
      </c>
      <c r="AC102" s="556">
        <f>IF(VLOOKUP($E$102,[1]UN!$A$2:$FA$303, 28, FALSE)="",":",VLOOKUP($E$102,[1]UN!$A$2:$FA$303, 28, FALSE))</f>
        <v>2105</v>
      </c>
      <c r="AD102" s="556" t="str">
        <f>IF(VLOOKUP($E$102,[1]UN!$A$2:$FA$303, 29, FALSE)="",":",VLOOKUP($E$102,[1]UN!$A$2:$FA$303, 29, FALSE))</f>
        <v>:</v>
      </c>
      <c r="AE102" s="556" t="str">
        <f>IF(VLOOKUP($E$102,[1]UN!$A$2:$FA$303, 30, FALSE)="",":",VLOOKUP($E$102,[1]UN!$A$2:$FA$303, 30, FALSE))</f>
        <v>:</v>
      </c>
      <c r="AF102" s="556" t="str">
        <f>IF(VLOOKUP($E$102,[1]UN!$A$2:$FA$303, 31, FALSE)="",":",VLOOKUP($E$102,[1]UN!$A$2:$FA$303, 31, FALSE))</f>
        <v>:</v>
      </c>
    </row>
    <row r="103" spans="1:32">
      <c r="A103" s="545"/>
      <c r="B103" s="546"/>
      <c r="C103" s="547"/>
      <c r="D103" s="12"/>
      <c r="E103" s="13"/>
      <c r="F103" s="14"/>
      <c r="G103" s="556"/>
      <c r="H103" s="556"/>
      <c r="I103" s="556"/>
      <c r="J103" s="556"/>
      <c r="K103" s="556"/>
      <c r="L103" s="556"/>
      <c r="M103" s="556"/>
      <c r="N103" s="556"/>
      <c r="O103" s="556"/>
      <c r="P103" s="556"/>
      <c r="Q103" s="556"/>
      <c r="R103" s="556"/>
      <c r="S103" s="556"/>
      <c r="T103" s="556"/>
      <c r="U103" s="556"/>
      <c r="V103" s="556"/>
      <c r="W103" s="556"/>
      <c r="X103" s="556"/>
      <c r="Y103" s="556"/>
      <c r="Z103" s="556"/>
      <c r="AA103" s="556"/>
      <c r="AB103" s="556"/>
      <c r="AC103" s="556"/>
      <c r="AD103" s="556"/>
      <c r="AE103" s="556"/>
      <c r="AF103" s="556"/>
    </row>
    <row r="104" spans="1:32">
      <c r="A104" s="1870"/>
      <c r="B104" s="546"/>
      <c r="C104" s="547"/>
      <c r="D104" s="12" t="s">
        <v>1084</v>
      </c>
      <c r="E104" s="13">
        <v>640</v>
      </c>
      <c r="F104" s="14" t="str">
        <f>VLOOKUP($E$104,[1]UN!$A$2:$FA$303, 3, FALSE)</f>
        <v xml:space="preserve">640  Operating surplus/mixed income (gross)                                       </v>
      </c>
      <c r="G104" s="556">
        <f ca="1">IF(VLOOKUP($E$104,[1]UN!$A$2:$FA$303, 6, FALSE)="",":",VLOOKUP($E$104,[1]UN!$A$2:$FA$303, 6, FALSE))</f>
        <v>82371.600000000006</v>
      </c>
      <c r="H104" s="556">
        <f>IF(VLOOKUP($E$104,[1]UN!$A$2:$FA$303, 7, FALSE)="",":",VLOOKUP($E$104,[1]UN!$A$2:$FA$303, 7, FALSE))</f>
        <v>84211.8</v>
      </c>
      <c r="I104" s="556">
        <f>IF(VLOOKUP($E$104,[1]UN!$A$2:$FA$303, 8, FALSE)="",":",VLOOKUP($E$104,[1]UN!$A$2:$FA$303, 8, FALSE))</f>
        <v>87818.8</v>
      </c>
      <c r="J104" s="556">
        <f>IF(VLOOKUP($E$104,[1]UN!$A$2:$FA$303, 9, FALSE)="",":",VLOOKUP($E$104,[1]UN!$A$2:$FA$303, 9, FALSE))</f>
        <v>91509.3</v>
      </c>
      <c r="K104" s="556">
        <f>IF(VLOOKUP($E$104,[1]UN!$A$2:$FA$303, 10, FALSE)="",":",VLOOKUP($E$104,[1]UN!$A$2:$FA$303, 10, FALSE))</f>
        <v>93356.7</v>
      </c>
      <c r="L104" s="556">
        <f>IF(VLOOKUP($E$104,[1]UN!$A$2:$FA$303, 11, FALSE)="",":",VLOOKUP($E$104,[1]UN!$A$2:$FA$303, 11, FALSE))</f>
        <v>100171</v>
      </c>
      <c r="M104" s="556">
        <f>IF(VLOOKUP($E$104,[1]UN!$A$2:$FA$303, 12, FALSE)="",":",VLOOKUP($E$104,[1]UN!$A$2:$FA$303, 12, FALSE))</f>
        <v>101065.7</v>
      </c>
      <c r="N104" s="556">
        <f>IF(VLOOKUP($E$104,[1]UN!$A$2:$FA$303, 13, FALSE)="",":",VLOOKUP($E$104,[1]UN!$A$2:$FA$303, 13, FALSE))</f>
        <v>103896.7</v>
      </c>
      <c r="O104" s="556">
        <f>IF(VLOOKUP($E$104,[1]UN!$A$2:$FA$303, 14, FALSE)="",":",VLOOKUP($E$104,[1]UN!$A$2:$FA$303, 14, FALSE))</f>
        <v>108325.4</v>
      </c>
      <c r="P104" s="556">
        <f>IF(VLOOKUP($E$104,[1]UN!$A$2:$FA$303, 15, FALSE)="",":",VLOOKUP($E$104,[1]UN!$A$2:$FA$303, 15, FALSE))</f>
        <v>117676.1</v>
      </c>
      <c r="Q104" s="556">
        <f>IF(VLOOKUP($E$104,[1]UN!$A$2:$FA$303, 16, FALSE)="",":",VLOOKUP($E$104,[1]UN!$A$2:$FA$303, 16, FALSE))</f>
        <v>125028.1</v>
      </c>
      <c r="R104" s="556">
        <f>IF(VLOOKUP($E$104,[1]UN!$A$2:$FA$303, 17, FALSE)="",":",VLOOKUP($E$104,[1]UN!$A$2:$FA$303, 17, FALSE))</f>
        <v>132073.4</v>
      </c>
      <c r="S104" s="556">
        <f>IF(VLOOKUP($E$104,[1]UN!$A$2:$FA$303, 18, FALSE)="",":",VLOOKUP($E$104,[1]UN!$A$2:$FA$303, 18, FALSE))</f>
        <v>140565.9</v>
      </c>
      <c r="T104" s="556">
        <f>IF(VLOOKUP($E$104,[1]UN!$A$2:$FA$303, 19, FALSE)="",":",VLOOKUP($E$104,[1]UN!$A$2:$FA$303, 19, FALSE))</f>
        <v>140797.79999999999</v>
      </c>
      <c r="U104" s="556">
        <f>IF(VLOOKUP($E$104,[1]UN!$A$2:$FA$303, 20, FALSE)="",":",VLOOKUP($E$104,[1]UN!$A$2:$FA$303, 20, FALSE))</f>
        <v>135749.70000000001</v>
      </c>
      <c r="V104" s="556">
        <f>IF(VLOOKUP($E$104,[1]UN!$A$2:$FA$303, 21, FALSE)="",":",VLOOKUP($E$104,[1]UN!$A$2:$FA$303, 21, FALSE))</f>
        <v>147008</v>
      </c>
      <c r="W104" s="556">
        <f>IF(VLOOKUP($E$104,[1]UN!$A$2:$FA$303, 22, FALSE)="",":",VLOOKUP($E$104,[1]UN!$A$2:$FA$303, 22, FALSE))</f>
        <v>151953.20000000001</v>
      </c>
      <c r="X104" s="556">
        <f>IF(VLOOKUP($E$104,[1]UN!$A$2:$FA$303, 23, FALSE)="",":",VLOOKUP($E$104,[1]UN!$A$2:$FA$303, 23, FALSE))</f>
        <v>151201.4</v>
      </c>
      <c r="Y104" s="556">
        <f>IF(VLOOKUP($E$104,[1]UN!$A$2:$FA$303, 24, FALSE)="",":",VLOOKUP($E$104,[1]UN!$A$2:$FA$303, 24, FALSE))</f>
        <v>151886.79999999999</v>
      </c>
      <c r="Z104" s="556">
        <f>IF(VLOOKUP($E$104,[1]UN!$A$2:$FA$303, 25, FALSE)="",":",VLOOKUP($E$104,[1]UN!$A$2:$FA$303, 25, FALSE))</f>
        <v>156523.9</v>
      </c>
      <c r="AA104" s="556">
        <f>IF(VLOOKUP($E$104,[1]UN!$A$2:$FA$303, 26, FALSE)="",":",VLOOKUP($E$104,[1]UN!$A$2:$FA$303, 26, FALSE))</f>
        <v>164212.6</v>
      </c>
      <c r="AB104" s="556">
        <f>IF(VLOOKUP($E$104,[1]UN!$A$2:$FA$303, 27, FALSE)="",":",VLOOKUP($E$104,[1]UN!$A$2:$FA$303, 27, FALSE))</f>
        <v>171259.2</v>
      </c>
      <c r="AC104" s="556">
        <f>IF(VLOOKUP($E$104,[1]UN!$A$2:$FA$303, 28, FALSE)="",":",VLOOKUP($E$104,[1]UN!$A$2:$FA$303, 28, FALSE))</f>
        <v>178219.7</v>
      </c>
      <c r="AD104" s="556" t="str">
        <f>IF(VLOOKUP($E$104,[1]UN!$A$2:$FA$303, 29, FALSE)="",":",VLOOKUP($E$104,[1]UN!$A$2:$FA$303, 29, FALSE))</f>
        <v>:</v>
      </c>
      <c r="AE104" s="556" t="str">
        <f>IF(VLOOKUP($E$104,[1]UN!$A$2:$FA$303, 30, FALSE)="",":",VLOOKUP($E$104,[1]UN!$A$2:$FA$303, 30, FALSE))</f>
        <v>:</v>
      </c>
      <c r="AF104" s="556" t="str">
        <f>IF(VLOOKUP($E$104,[1]UN!$A$2:$FA$303, 31, FALSE)="",":",VLOOKUP($E$104,[1]UN!$A$2:$FA$303, 31, FALSE))</f>
        <v>:</v>
      </c>
    </row>
    <row r="105" spans="1:32">
      <c r="A105" s="545"/>
      <c r="B105" s="546"/>
      <c r="C105" s="547"/>
      <c r="D105" s="12"/>
      <c r="E105" s="13"/>
      <c r="F105" s="14"/>
      <c r="G105" s="556"/>
      <c r="H105" s="556"/>
      <c r="I105" s="556"/>
      <c r="J105" s="556"/>
      <c r="K105" s="556"/>
      <c r="L105" s="556"/>
      <c r="M105" s="556"/>
      <c r="N105" s="556"/>
      <c r="O105" s="556"/>
      <c r="P105" s="556"/>
      <c r="Q105" s="556"/>
      <c r="R105" s="556"/>
      <c r="S105" s="556"/>
      <c r="T105" s="556"/>
      <c r="U105" s="556"/>
      <c r="V105" s="556"/>
      <c r="W105" s="556"/>
      <c r="X105" s="556"/>
      <c r="Y105" s="556"/>
      <c r="Z105" s="556"/>
      <c r="AA105" s="556"/>
      <c r="AB105" s="556"/>
      <c r="AC105" s="556"/>
      <c r="AD105" s="556"/>
      <c r="AE105" s="556"/>
      <c r="AF105" s="556"/>
    </row>
    <row r="106" spans="1:32">
      <c r="A106" s="545">
        <v>66</v>
      </c>
      <c r="B106" s="546" t="s">
        <v>1690</v>
      </c>
      <c r="C106" s="547"/>
      <c r="D106" s="12" t="s">
        <v>1691</v>
      </c>
      <c r="E106" s="13">
        <v>13</v>
      </c>
      <c r="F106" s="14" t="str">
        <f>VLOOKUP($E$106,[1]OA!$A$2:$FA$300, 3, FALSE)</f>
        <v xml:space="preserve">13 Manufacturing industry                        </v>
      </c>
      <c r="G106" s="556">
        <f>IF(VLOOKUP($E$106,[1]OA!$A$2:$FA$300, 6, FALSE)="",":",VLOOKUP($E$106,[1]OA!$A$2:$FA$300, 6, FALSE))</f>
        <v>36086.480000000003</v>
      </c>
      <c r="H106" s="556">
        <f>IF(VLOOKUP($E$106,[1]OA!$A$2:$FA$300, 7, FALSE)="",":",VLOOKUP($E$106,[1]OA!$A$2:$FA$300, 7, FALSE))</f>
        <v>37098.42</v>
      </c>
      <c r="I106" s="556">
        <f>IF(VLOOKUP($E$106,[1]OA!$A$2:$FA$300, 8, FALSE)="",":",VLOOKUP($E$106,[1]OA!$A$2:$FA$300, 8, FALSE))</f>
        <v>39816.83</v>
      </c>
      <c r="J106" s="556">
        <f>IF(VLOOKUP($E$106,[1]OA!$A$2:$FA$300, 9, FALSE)="",":",VLOOKUP($E$106,[1]OA!$A$2:$FA$300, 9, FALSE))</f>
        <v>41150.019999999997</v>
      </c>
      <c r="K106" s="556">
        <f>IF(VLOOKUP($E$106,[1]OA!$A$2:$FA$300, 10, FALSE)="",":",VLOOKUP($E$106,[1]OA!$A$2:$FA$300, 10, FALSE))</f>
        <v>41738.17</v>
      </c>
      <c r="L106" s="556">
        <f>IF(VLOOKUP($E$106,[1]OA!$A$2:$FA$300, 11, FALSE)="",":",VLOOKUP($E$106,[1]OA!$A$2:$FA$300, 11, FALSE))</f>
        <v>43844.160000000003</v>
      </c>
      <c r="M106" s="556">
        <f>IF(VLOOKUP($E$106,[1]OA!$A$2:$FA$300, 12, FALSE)="",":",VLOOKUP($E$106,[1]OA!$A$2:$FA$300, 12, FALSE))</f>
        <v>44561.25</v>
      </c>
      <c r="N106" s="556">
        <f>IF(VLOOKUP($E$106,[1]OA!$A$2:$FA$300, 13, FALSE)="",":",VLOOKUP($E$106,[1]OA!$A$2:$FA$300, 13, FALSE))</f>
        <v>44972.6</v>
      </c>
      <c r="O106" s="556">
        <f>IF(VLOOKUP($E$106,[1]OA!$A$2:$FA$300, 14, FALSE)="",":",VLOOKUP($E$106,[1]OA!$A$2:$FA$300, 14, FALSE))</f>
        <v>44776.11</v>
      </c>
      <c r="P106" s="556">
        <f>IF(VLOOKUP($E$106,[1]OA!$A$2:$FA$300, 15, FALSE)="",":",VLOOKUP($E$106,[1]OA!$A$2:$FA$300, 15, FALSE))</f>
        <v>47067.67</v>
      </c>
      <c r="Q106" s="556">
        <f>IF(VLOOKUP($E$106,[1]OA!$A$2:$FA$300, 16, FALSE)="",":",VLOOKUP($E$106,[1]OA!$A$2:$FA$300, 16, FALSE))</f>
        <v>48001.05</v>
      </c>
      <c r="R106" s="556">
        <f>IF(VLOOKUP($E$106,[1]OA!$A$2:$FA$300, 17, FALSE)="",":",VLOOKUP($E$106,[1]OA!$A$2:$FA$300, 17, FALSE))</f>
        <v>48353.73</v>
      </c>
      <c r="S106" s="556">
        <f>IF(VLOOKUP($E$106,[1]OA!$A$2:$FA$300, 18, FALSE)="",":",VLOOKUP($E$106,[1]OA!$A$2:$FA$300, 18, FALSE))</f>
        <v>51226.2</v>
      </c>
      <c r="T106" s="556">
        <f>IF(VLOOKUP($E$106,[1]OA!$A$2:$FA$300, 19, FALSE)="",":",VLOOKUP($E$106,[1]OA!$A$2:$FA$300, 19, FALSE))</f>
        <v>50526.03</v>
      </c>
      <c r="U106" s="556">
        <f>IF(VLOOKUP($E$106,[1]OA!$A$2:$FA$300, 20, FALSE)="",":",VLOOKUP($E$106,[1]OA!$A$2:$FA$300, 20, FALSE))</f>
        <v>45180.31</v>
      </c>
      <c r="V106" s="556">
        <f>IF(VLOOKUP($E$106,[1]OA!$A$2:$FA$300, 21, FALSE)="",":",VLOOKUP($E$106,[1]OA!$A$2:$FA$300, 21, FALSE))</f>
        <v>48069.3</v>
      </c>
      <c r="W106" s="556">
        <f>IF(VLOOKUP($E$106,[1]OA!$A$2:$FA$300, 22, FALSE)="",":",VLOOKUP($E$106,[1]OA!$A$2:$FA$300, 22, FALSE))</f>
        <v>48943.199999999997</v>
      </c>
      <c r="X106" s="556">
        <f>IF(VLOOKUP($E$106,[1]OA!$A$2:$FA$300, 23, FALSE)="",":",VLOOKUP($E$106,[1]OA!$A$2:$FA$300, 23, FALSE))</f>
        <v>48993.09</v>
      </c>
      <c r="Y106" s="556">
        <f>IF(VLOOKUP($E$106,[1]OA!$A$2:$FA$300, 24, FALSE)="",":",VLOOKUP($E$106,[1]OA!$A$2:$FA$300, 24, FALSE))</f>
        <v>49797.72</v>
      </c>
      <c r="Z106" s="556">
        <f>IF(VLOOKUP($E$106,[1]OA!$A$2:$FA$300, 25, FALSE)="",":",VLOOKUP($E$106,[1]OA!$A$2:$FA$300, 25, FALSE))</f>
        <v>51941.45</v>
      </c>
      <c r="AA106" s="556">
        <f>IF(VLOOKUP($E$106,[1]OA!$A$2:$FA$300, 26, FALSE)="",":",VLOOKUP($E$106,[1]OA!$A$2:$FA$300, 26, FALSE))</f>
        <v>53723.53</v>
      </c>
      <c r="AB106" s="556">
        <f>IF(VLOOKUP($E$106,[1]OA!$A$2:$FA$300, 27, FALSE)="",":",VLOOKUP($E$106,[1]OA!$A$2:$FA$300, 27, FALSE))</f>
        <v>53911.25</v>
      </c>
      <c r="AC106" s="556">
        <f>IF(VLOOKUP($E$106,[1]OA!$A$2:$FA$300, 28, FALSE)="",":",VLOOKUP($E$106,[1]OA!$A$2:$FA$300, 28, FALSE))</f>
        <v>53467.26</v>
      </c>
      <c r="AD106" s="556" t="str">
        <f>IF(VLOOKUP($E$106,[1]OA!$A$2:$FA$300, 29, FALSE)="",":",VLOOKUP($E$106,[1]OA!$A$2:$FA$300, 29, FALSE))</f>
        <v>:</v>
      </c>
      <c r="AE106" s="556" t="str">
        <f>IF(VLOOKUP($E$106,[1]OA!$A$2:$FA$300, 30, FALSE)="",":",VLOOKUP($E$106,[1]OA!$A$2:$FA$300, 30, FALSE))</f>
        <v>:</v>
      </c>
      <c r="AF106" s="556" t="str">
        <f>IF(VLOOKUP($E$106,[1]OA!$A$2:$FA$300, 31, FALSE)="",":",VLOOKUP($E$106,[1]OA!$A$2:$FA$300, 31, FALSE))</f>
        <v>:</v>
      </c>
    </row>
    <row r="107" spans="1:32">
      <c r="A107" s="545"/>
      <c r="B107" s="546"/>
      <c r="C107" s="547"/>
      <c r="D107" s="12"/>
      <c r="E107" s="13"/>
      <c r="F107" s="14"/>
      <c r="G107" s="556"/>
      <c r="H107" s="556"/>
      <c r="I107" s="556"/>
      <c r="J107" s="556"/>
      <c r="K107" s="556"/>
      <c r="L107" s="556"/>
      <c r="M107" s="556"/>
      <c r="N107" s="556"/>
      <c r="O107" s="556"/>
      <c r="P107" s="556"/>
      <c r="Q107" s="556"/>
      <c r="R107" s="556"/>
      <c r="S107" s="556"/>
      <c r="T107" s="556"/>
      <c r="U107" s="556"/>
      <c r="V107" s="556"/>
      <c r="W107" s="556"/>
      <c r="X107" s="556"/>
      <c r="Y107" s="556"/>
      <c r="Z107" s="556"/>
      <c r="AA107" s="556"/>
      <c r="AB107" s="556"/>
      <c r="AC107" s="556"/>
      <c r="AD107" s="556"/>
      <c r="AE107" s="556"/>
      <c r="AF107" s="556"/>
    </row>
    <row r="108" spans="1:32">
      <c r="A108" s="545">
        <v>65</v>
      </c>
      <c r="B108" s="546" t="s">
        <v>1753</v>
      </c>
      <c r="C108" s="547"/>
      <c r="D108" s="12" t="s">
        <v>1755</v>
      </c>
      <c r="E108" s="13">
        <v>13</v>
      </c>
      <c r="F108" s="14" t="str">
        <f>VLOOKUP($E$108,[1]UA!$A$2:$FA$300, 3, FALSE)</f>
        <v xml:space="preserve">13 GVA - Manufacturing industry                        </v>
      </c>
      <c r="G108" s="556">
        <f>IF(VLOOKUP($E$108,[1]UA!$A$2:$FA$300, 6, FALSE)="",":",VLOOKUP($E$108,[1]UA!$A$2:$FA$300, 6, FALSE))</f>
        <v>39036.400000000001</v>
      </c>
      <c r="H108" s="556">
        <f>IF(VLOOKUP($E$108,[1]UA!$A$2:$FA$300, 7, FALSE)="",":",VLOOKUP($E$108,[1]UA!$A$2:$FA$300, 7, FALSE))</f>
        <v>39395.699999999997</v>
      </c>
      <c r="I108" s="556">
        <f>IF(VLOOKUP($E$108,[1]UA!$A$2:$FA$300, 8, FALSE)="",":",VLOOKUP($E$108,[1]UA!$A$2:$FA$300, 8, FALSE))</f>
        <v>41743.800000000003</v>
      </c>
      <c r="J108" s="556">
        <f>IF(VLOOKUP($E$108,[1]UA!$A$2:$FA$300, 9, FALSE)="",":",VLOOKUP($E$108,[1]UA!$A$2:$FA$300, 9, FALSE))</f>
        <v>42776.5</v>
      </c>
      <c r="K108" s="556">
        <f>IF(VLOOKUP($E$108,[1]UA!$A$2:$FA$300, 10, FALSE)="",":",VLOOKUP($E$108,[1]UA!$A$2:$FA$300, 10, FALSE))</f>
        <v>42514.6</v>
      </c>
      <c r="L108" s="556">
        <f>IF(VLOOKUP($E$108,[1]UA!$A$2:$FA$300, 11, FALSE)="",":",VLOOKUP($E$108,[1]UA!$A$2:$FA$300, 11, FALSE))</f>
        <v>45081.9</v>
      </c>
      <c r="M108" s="556">
        <f>IF(VLOOKUP($E$108,[1]UA!$A$2:$FA$300, 12, FALSE)="",":",VLOOKUP($E$108,[1]UA!$A$2:$FA$300, 12, FALSE))</f>
        <v>45242.8</v>
      </c>
      <c r="N108" s="556">
        <f>IF(VLOOKUP($E$108,[1]UA!$A$2:$FA$300, 13, FALSE)="",":",VLOOKUP($E$108,[1]UA!$A$2:$FA$300, 13, FALSE))</f>
        <v>46140.5</v>
      </c>
      <c r="O108" s="556">
        <f>IF(VLOOKUP($E$108,[1]UA!$A$2:$FA$300, 14, FALSE)="",":",VLOOKUP($E$108,[1]UA!$A$2:$FA$300, 14, FALSE))</f>
        <v>45526.400000000001</v>
      </c>
      <c r="P108" s="556">
        <f>IF(VLOOKUP($E$108,[1]UA!$A$2:$FA$300, 15, FALSE)="",":",VLOOKUP($E$108,[1]UA!$A$2:$FA$300, 15, FALSE))</f>
        <v>47785.2</v>
      </c>
      <c r="Q108" s="556">
        <f>IF(VLOOKUP($E$108,[1]UA!$A$2:$FA$300, 16, FALSE)="",":",VLOOKUP($E$108,[1]UA!$A$2:$FA$300, 16, FALSE))</f>
        <v>49129.1</v>
      </c>
      <c r="R108" s="556">
        <f>IF(VLOOKUP($E$108,[1]UA!$A$2:$FA$300, 17, FALSE)="",":",VLOOKUP($E$108,[1]UA!$A$2:$FA$300, 17, FALSE))</f>
        <v>49618.1</v>
      </c>
      <c r="S108" s="556">
        <f>IF(VLOOKUP($E$108,[1]UA!$A$2:$FA$300, 18, FALSE)="",":",VLOOKUP($E$108,[1]UA!$A$2:$FA$300, 18, FALSE))</f>
        <v>52039.3</v>
      </c>
      <c r="T108" s="556">
        <f>IF(VLOOKUP($E$108,[1]UA!$A$2:$FA$300, 19, FALSE)="",":",VLOOKUP($E$108,[1]UA!$A$2:$FA$300, 19, FALSE))</f>
        <v>50300.3</v>
      </c>
      <c r="U108" s="556">
        <f>IF(VLOOKUP($E$108,[1]UA!$A$2:$FA$300, 20, FALSE)="",":",VLOOKUP($E$108,[1]UA!$A$2:$FA$300, 20, FALSE))</f>
        <v>44651</v>
      </c>
      <c r="V108" s="556">
        <f>IF(VLOOKUP($E$108,[1]UA!$A$2:$FA$300, 21, FALSE)="",":",VLOOKUP($E$108,[1]UA!$A$2:$FA$300, 21, FALSE))</f>
        <v>48069.3</v>
      </c>
      <c r="W108" s="556">
        <f>IF(VLOOKUP($E$108,[1]UA!$A$2:$FA$300, 22, FALSE)="",":",VLOOKUP($E$108,[1]UA!$A$2:$FA$300, 22, FALSE))</f>
        <v>48401.3</v>
      </c>
      <c r="X108" s="556">
        <f>IF(VLOOKUP($E$108,[1]UA!$A$2:$FA$300, 23, FALSE)="",":",VLOOKUP($E$108,[1]UA!$A$2:$FA$300, 23, FALSE))</f>
        <v>48809.7</v>
      </c>
      <c r="Y108" s="556">
        <f>IF(VLOOKUP($E$108,[1]UA!$A$2:$FA$300, 24, FALSE)="",":",VLOOKUP($E$108,[1]UA!$A$2:$FA$300, 24, FALSE))</f>
        <v>49065.3</v>
      </c>
      <c r="Z108" s="556">
        <f>IF(VLOOKUP($E$108,[1]UA!$A$2:$FA$300, 25, FALSE)="",":",VLOOKUP($E$108,[1]UA!$A$2:$FA$300, 25, FALSE))</f>
        <v>50318.8</v>
      </c>
      <c r="AA108" s="556">
        <f>IF(VLOOKUP($E$108,[1]UA!$A$2:$FA$300, 26, FALSE)="",":",VLOOKUP($E$108,[1]UA!$A$2:$FA$300, 26, FALSE))</f>
        <v>52660</v>
      </c>
      <c r="AB108" s="556">
        <f>IF(VLOOKUP($E$108,[1]UA!$A$2:$FA$300, 27, FALSE)="",":",VLOOKUP($E$108,[1]UA!$A$2:$FA$300, 27, FALSE))</f>
        <v>53858.7</v>
      </c>
      <c r="AC108" s="556">
        <f>IF(VLOOKUP($E$108,[1]UA!$A$2:$FA$300, 28, FALSE)="",":",VLOOKUP($E$108,[1]UA!$A$2:$FA$300, 28, FALSE))</f>
        <v>54710.5</v>
      </c>
      <c r="AD108" s="556" t="str">
        <f>IF(VLOOKUP($E$108,[1]UA!$A$2:$FA$300, 29, FALSE)="",":",VLOOKUP($E$108,[1]UA!$A$2:$FA$300, 29, FALSE))</f>
        <v>:</v>
      </c>
      <c r="AE108" s="556" t="str">
        <f>IF(VLOOKUP($E$108,[1]UA!$A$2:$FA$300, 30, FALSE)="",":",VLOOKUP($E$108,[1]UA!$A$2:$FA$300, 30, FALSE))</f>
        <v>:</v>
      </c>
      <c r="AF108" s="556" t="str">
        <f>IF(VLOOKUP($E$108,[1]UA!$A$2:$FA$300, 31, FALSE)="",":",VLOOKUP($E$108,[1]UA!$A$2:$FA$300, 31, FALSE))</f>
        <v>:</v>
      </c>
    </row>
    <row r="109" spans="1:32">
      <c r="A109" s="545">
        <v>69</v>
      </c>
      <c r="B109" s="546" t="s">
        <v>1754</v>
      </c>
      <c r="C109" s="547"/>
      <c r="D109" s="12" t="s">
        <v>1755</v>
      </c>
      <c r="E109" s="13">
        <v>43</v>
      </c>
      <c r="F109" s="14" t="str">
        <f>VLOOKUP($E$109,[1]UA!$A$2:$FA$300, 3, FALSE)</f>
        <v xml:space="preserve">43  Compensation of employees - Manufacturing industry                                                  </v>
      </c>
      <c r="G109" s="556">
        <f>IF(VLOOKUP($E$109,[1]UA!$A$2:$FA$300, 6, FALSE)="",":",VLOOKUP($E$109,[1]UA!$A$2:$FA$300, 6, FALSE))</f>
        <v>24553.5</v>
      </c>
      <c r="H109" s="556">
        <f>IF(VLOOKUP($E$109,[1]UA!$A$2:$FA$300, 7, FALSE)="",":",VLOOKUP($E$109,[1]UA!$A$2:$FA$300, 7, FALSE))</f>
        <v>24766.7</v>
      </c>
      <c r="I109" s="556">
        <f>IF(VLOOKUP($E$109,[1]UA!$A$2:$FA$300, 8, FALSE)="",":",VLOOKUP($E$109,[1]UA!$A$2:$FA$300, 8, FALSE))</f>
        <v>25316.799999999999</v>
      </c>
      <c r="J109" s="556">
        <f>IF(VLOOKUP($E$109,[1]UA!$A$2:$FA$300, 9, FALSE)="",":",VLOOKUP($E$109,[1]UA!$A$2:$FA$300, 9, FALSE))</f>
        <v>25788.1</v>
      </c>
      <c r="K109" s="556">
        <f>IF(VLOOKUP($E$109,[1]UA!$A$2:$FA$300, 10, FALSE)="",":",VLOOKUP($E$109,[1]UA!$A$2:$FA$300, 10, FALSE))</f>
        <v>26413.5</v>
      </c>
      <c r="L109" s="556">
        <f>IF(VLOOKUP($E$109,[1]UA!$A$2:$FA$300, 11, FALSE)="",":",VLOOKUP($E$109,[1]UA!$A$2:$FA$300, 11, FALSE))</f>
        <v>27071.3</v>
      </c>
      <c r="M109" s="556">
        <f>IF(VLOOKUP($E$109,[1]UA!$A$2:$FA$300, 12, FALSE)="",":",VLOOKUP($E$109,[1]UA!$A$2:$FA$300, 12, FALSE))</f>
        <v>28238.1</v>
      </c>
      <c r="N109" s="556">
        <f>IF(VLOOKUP($E$109,[1]UA!$A$2:$FA$300, 13, FALSE)="",":",VLOOKUP($E$109,[1]UA!$A$2:$FA$300, 13, FALSE))</f>
        <v>28325.1</v>
      </c>
      <c r="O109" s="556">
        <f>IF(VLOOKUP($E$109,[1]UA!$A$2:$FA$300, 14, FALSE)="",":",VLOOKUP($E$109,[1]UA!$A$2:$FA$300, 14, FALSE))</f>
        <v>28102.7</v>
      </c>
      <c r="P109" s="556">
        <f>IF(VLOOKUP($E$109,[1]UA!$A$2:$FA$300, 15, FALSE)="",":",VLOOKUP($E$109,[1]UA!$A$2:$FA$300, 15, FALSE))</f>
        <v>28493.200000000001</v>
      </c>
      <c r="Q109" s="556">
        <f>IF(VLOOKUP($E$109,[1]UA!$A$2:$FA$300, 16, FALSE)="",":",VLOOKUP($E$109,[1]UA!$A$2:$FA$300, 16, FALSE))</f>
        <v>28571.8</v>
      </c>
      <c r="R109" s="556">
        <f>IF(VLOOKUP($E$109,[1]UA!$A$2:$FA$300, 17, FALSE)="",":",VLOOKUP($E$109,[1]UA!$A$2:$FA$300, 17, FALSE))</f>
        <v>29345.9</v>
      </c>
      <c r="S109" s="556">
        <f>IF(VLOOKUP($E$109,[1]UA!$A$2:$FA$300, 18, FALSE)="",":",VLOOKUP($E$109,[1]UA!$A$2:$FA$300, 18, FALSE))</f>
        <v>30554.7</v>
      </c>
      <c r="T109" s="556">
        <f>IF(VLOOKUP($E$109,[1]UA!$A$2:$FA$300, 19, FALSE)="",":",VLOOKUP($E$109,[1]UA!$A$2:$FA$300, 19, FALSE))</f>
        <v>31204.7</v>
      </c>
      <c r="U109" s="556">
        <f>IF(VLOOKUP($E$109,[1]UA!$A$2:$FA$300, 20, FALSE)="",":",VLOOKUP($E$109,[1]UA!$A$2:$FA$300, 20, FALSE))</f>
        <v>29050.6</v>
      </c>
      <c r="V109" s="556">
        <f>IF(VLOOKUP($E$109,[1]UA!$A$2:$FA$300, 21, FALSE)="",":",VLOOKUP($E$109,[1]UA!$A$2:$FA$300, 21, FALSE))</f>
        <v>29062.5</v>
      </c>
      <c r="W109" s="556">
        <f>IF(VLOOKUP($E$109,[1]UA!$A$2:$FA$300, 22, FALSE)="",":",VLOOKUP($E$109,[1]UA!$A$2:$FA$300, 22, FALSE))</f>
        <v>30227.4</v>
      </c>
      <c r="X109" s="556">
        <f>IF(VLOOKUP($E$109,[1]UA!$A$2:$FA$300, 23, FALSE)="",":",VLOOKUP($E$109,[1]UA!$A$2:$FA$300, 23, FALSE))</f>
        <v>30927.8</v>
      </c>
      <c r="Y109" s="556">
        <f>IF(VLOOKUP($E$109,[1]UA!$A$2:$FA$300, 24, FALSE)="",":",VLOOKUP($E$109,[1]UA!$A$2:$FA$300, 24, FALSE))</f>
        <v>31198.2</v>
      </c>
      <c r="Z109" s="556">
        <f>IF(VLOOKUP($E$109,[1]UA!$A$2:$FA$300, 25, FALSE)="",":",VLOOKUP($E$109,[1]UA!$A$2:$FA$300, 25, FALSE))</f>
        <v>31161.200000000001</v>
      </c>
      <c r="AA109" s="556">
        <f>IF(VLOOKUP($E$109,[1]UA!$A$2:$FA$300, 26, FALSE)="",":",VLOOKUP($E$109,[1]UA!$A$2:$FA$300, 26, FALSE))</f>
        <v>30526.9</v>
      </c>
      <c r="AB109" s="556">
        <f>IF(VLOOKUP($E$109,[1]UA!$A$2:$FA$300, 27, FALSE)="",":",VLOOKUP($E$109,[1]UA!$A$2:$FA$300, 27, FALSE))</f>
        <v>30520.9</v>
      </c>
      <c r="AC109" s="556">
        <f>IF(VLOOKUP($E$109,[1]UA!$A$2:$FA$300, 28, FALSE)="",":",VLOOKUP($E$109,[1]UA!$A$2:$FA$300, 28, FALSE))</f>
        <v>31491.4</v>
      </c>
      <c r="AD109" s="556" t="str">
        <f>IF(VLOOKUP($E$109,[1]UA!$A$2:$FA$300, 29, FALSE)="",":",VLOOKUP($E$109,[1]UA!$A$2:$FA$300, 29, FALSE))</f>
        <v>:</v>
      </c>
      <c r="AE109" s="556" t="str">
        <f>IF(VLOOKUP($E$109,[1]UA!$A$2:$FA$300, 30, FALSE)="",":",VLOOKUP($E$109,[1]UA!$A$2:$FA$300, 30, FALSE))</f>
        <v>:</v>
      </c>
      <c r="AF109" s="556" t="str">
        <f>IF(VLOOKUP($E$109,[1]UA!$A$2:$FA$300, 31, FALSE)="",":",VLOOKUP($E$109,[1]UA!$A$2:$FA$300, 31, FALSE))</f>
        <v>:</v>
      </c>
    </row>
    <row r="110" spans="1:32">
      <c r="A110" s="545"/>
      <c r="B110" s="546"/>
      <c r="C110" s="547"/>
      <c r="D110" s="12"/>
      <c r="E110" s="13"/>
      <c r="F110" s="14"/>
      <c r="G110" s="556"/>
      <c r="H110" s="556"/>
      <c r="I110" s="556"/>
      <c r="J110" s="556"/>
      <c r="K110" s="556"/>
      <c r="L110" s="556"/>
      <c r="M110" s="556"/>
      <c r="N110" s="556"/>
      <c r="O110" s="556"/>
      <c r="P110" s="556"/>
      <c r="Q110" s="556"/>
      <c r="R110" s="556"/>
      <c r="S110" s="556"/>
      <c r="T110" s="556"/>
      <c r="U110" s="556"/>
      <c r="V110" s="556"/>
      <c r="W110" s="556"/>
      <c r="X110" s="556"/>
      <c r="Y110" s="556"/>
      <c r="Z110" s="556"/>
      <c r="AA110" s="556"/>
      <c r="AB110" s="556"/>
      <c r="AC110" s="556"/>
      <c r="AD110" s="556"/>
      <c r="AE110" s="556"/>
      <c r="AF110" s="556"/>
    </row>
    <row r="111" spans="1:32">
      <c r="A111" s="545">
        <v>100</v>
      </c>
      <c r="B111" s="546" t="s">
        <v>1756</v>
      </c>
      <c r="C111" s="547" t="s">
        <v>1063</v>
      </c>
      <c r="D111" s="12" t="s">
        <v>1892</v>
      </c>
      <c r="E111" s="13">
        <v>3</v>
      </c>
      <c r="F111" s="14" t="str">
        <f>VLOOKUP($E$111,[1]UC!$A$2:$FA$300, 3, FALSE)</f>
        <v xml:space="preserve">3   Gross value added at basic prices  B1g                                               </v>
      </c>
      <c r="G111" s="556">
        <f ca="1">IF(VLOOKUP($E$111,[1]UC!$A$2:$FA$300, 6, FALSE)="",":",VLOOKUP($E$111,[1]UC!$A$2:$FA$300, 6, FALSE))</f>
        <v>124209.59999999999</v>
      </c>
      <c r="H111" s="556">
        <f>IF(VLOOKUP($E$111,[1]UC!$A$2:$FA$300, 7, FALSE)="",":",VLOOKUP($E$111,[1]UC!$A$2:$FA$300, 7, FALSE))</f>
        <v>125805.9</v>
      </c>
      <c r="I111" s="556">
        <f>IF(VLOOKUP($E$111,[1]UC!$A$2:$FA$300, 8, FALSE)="",":",VLOOKUP($E$111,[1]UC!$A$2:$FA$300, 8, FALSE))</f>
        <v>131941.70000000001</v>
      </c>
      <c r="J111" s="556">
        <f>IF(VLOOKUP($E$111,[1]UC!$A$2:$FA$300, 9, FALSE)="",":",VLOOKUP($E$111,[1]UC!$A$2:$FA$300, 9, FALSE))</f>
        <v>137519.70000000001</v>
      </c>
      <c r="K111" s="556">
        <f>IF(VLOOKUP($E$111,[1]UC!$A$2:$FA$300, 10, FALSE)="",":",VLOOKUP($E$111,[1]UC!$A$2:$FA$300, 10, FALSE))</f>
        <v>143270.79999999999</v>
      </c>
      <c r="L111" s="556">
        <f>IF(VLOOKUP($E$111,[1]UC!$A$2:$FA$300, 11, FALSE)="",":",VLOOKUP($E$111,[1]UC!$A$2:$FA$300, 11, FALSE))</f>
        <v>152418</v>
      </c>
      <c r="M111" s="556">
        <f>IF(VLOOKUP($E$111,[1]UC!$A$2:$FA$300, 12, FALSE)="",":",VLOOKUP($E$111,[1]UC!$A$2:$FA$300, 12, FALSE))</f>
        <v>157895.70000000001</v>
      </c>
      <c r="N111" s="556">
        <f>IF(VLOOKUP($E$111,[1]UC!$A$2:$FA$300, 13, FALSE)="",":",VLOOKUP($E$111,[1]UC!$A$2:$FA$300, 13, FALSE))</f>
        <v>163678.79999999999</v>
      </c>
      <c r="O111" s="556">
        <f>IF(VLOOKUP($E$111,[1]UC!$A$2:$FA$300, 14, FALSE)="",":",VLOOKUP($E$111,[1]UC!$A$2:$FA$300, 14, FALSE))</f>
        <v>168503.5</v>
      </c>
      <c r="P111" s="556">
        <f>IF(VLOOKUP($E$111,[1]UC!$A$2:$FA$300, 15, FALSE)="",":",VLOOKUP($E$111,[1]UC!$A$2:$FA$300, 15, FALSE))</f>
        <v>179851</v>
      </c>
      <c r="Q111" s="556">
        <f>IF(VLOOKUP($E$111,[1]UC!$A$2:$FA$300, 16, FALSE)="",":",VLOOKUP($E$111,[1]UC!$A$2:$FA$300, 16, FALSE))</f>
        <v>187389.4</v>
      </c>
      <c r="R111" s="556">
        <f>IF(VLOOKUP($E$111,[1]UC!$A$2:$FA$300, 17, FALSE)="",":",VLOOKUP($E$111,[1]UC!$A$2:$FA$300, 17, FALSE))</f>
        <v>196276.7</v>
      </c>
      <c r="S111" s="556">
        <f>IF(VLOOKUP($E$111,[1]UC!$A$2:$FA$300, 18, FALSE)="",":",VLOOKUP($E$111,[1]UC!$A$2:$FA$300, 18, FALSE))</f>
        <v>208386.2</v>
      </c>
      <c r="T111" s="556">
        <f>IF(VLOOKUP($E$111,[1]UC!$A$2:$FA$300, 19, FALSE)="",":",VLOOKUP($E$111,[1]UC!$A$2:$FA$300, 19, FALSE))</f>
        <v>213525.7</v>
      </c>
      <c r="U111" s="556">
        <f>IF(VLOOKUP($E$111,[1]UC!$A$2:$FA$300, 20, FALSE)="",":",VLOOKUP($E$111,[1]UC!$A$2:$FA$300, 20, FALSE))</f>
        <v>208893.8</v>
      </c>
      <c r="V111" s="556">
        <f>IF(VLOOKUP($E$111,[1]UC!$A$2:$FA$300, 21, FALSE)="",":",VLOOKUP($E$111,[1]UC!$A$2:$FA$300, 21, FALSE))</f>
        <v>220537.7</v>
      </c>
      <c r="W111" s="556">
        <f>IF(VLOOKUP($E$111,[1]UC!$A$2:$FA$300, 22, FALSE)="",":",VLOOKUP($E$111,[1]UC!$A$2:$FA$300, 22, FALSE))</f>
        <v>230051.5</v>
      </c>
      <c r="X111" s="556">
        <f>IF(VLOOKUP($E$111,[1]UC!$A$2:$FA$300, 23, FALSE)="",":",VLOOKUP($E$111,[1]UC!$A$2:$FA$300, 23, FALSE))</f>
        <v>234214.39999999999</v>
      </c>
      <c r="Y111" s="556">
        <f>IF(VLOOKUP($E$111,[1]UC!$A$2:$FA$300, 24, FALSE)="",":",VLOOKUP($E$111,[1]UC!$A$2:$FA$300, 24, FALSE))</f>
        <v>236700.3</v>
      </c>
      <c r="Z111" s="556">
        <f>IF(VLOOKUP($E$111,[1]UC!$A$2:$FA$300, 25, FALSE)="",":",VLOOKUP($E$111,[1]UC!$A$2:$FA$300, 25, FALSE))</f>
        <v>241480.1</v>
      </c>
      <c r="AA111" s="556">
        <f>IF(VLOOKUP($E$111,[1]UC!$A$2:$FA$300, 26, FALSE)="",":",VLOOKUP($E$111,[1]UC!$A$2:$FA$300, 26, FALSE))</f>
        <v>249842.5</v>
      </c>
      <c r="AB111" s="556">
        <f>IF(VLOOKUP($E$111,[1]UC!$A$2:$FA$300, 27, FALSE)="",":",VLOOKUP($E$111,[1]UC!$A$2:$FA$300, 27, FALSE))</f>
        <v>257621</v>
      </c>
      <c r="AC111" s="556">
        <f>IF(VLOOKUP($E$111,[1]UC!$A$2:$FA$300, 27, FALSE)="",":",VLOOKUP($E$111,[1]UC!$A$2:$FA$300, 28, FALSE))</f>
        <v>0</v>
      </c>
      <c r="AD111" s="556" t="str">
        <f>IF(VLOOKUP($E$111,[1]UC!$A$2:$FA$300, 29, FALSE)="",":",VLOOKUP($E$111,[1]UC!$A$2:$FA$300, 29, FALSE))</f>
        <v>:</v>
      </c>
      <c r="AE111" s="556" t="str">
        <f>IF(VLOOKUP($E$111,[1]UC!$A$2:$FA$300, 30, FALSE)="",":",VLOOKUP($E$111,[1]UC!$A$2:$FA$300, 30, FALSE))</f>
        <v>:</v>
      </c>
      <c r="AF111" s="556" t="str">
        <f>IF(VLOOKUP($E$111,[1]UC!$A$2:$FA$300, 31, FALSE)="",":",VLOOKUP($E$111,[1]UC!$A$2:$FA$300, 31, FALSE))</f>
        <v>:</v>
      </c>
    </row>
    <row r="112" spans="1:32">
      <c r="A112" s="545">
        <v>102</v>
      </c>
      <c r="B112" s="546" t="s">
        <v>1352</v>
      </c>
      <c r="C112" s="547" t="s">
        <v>1064</v>
      </c>
      <c r="D112" s="12" t="s">
        <v>1892</v>
      </c>
      <c r="E112" s="13">
        <v>7</v>
      </c>
      <c r="F112" s="14" t="str">
        <f>VLOOKUP($E$112,[1]UC!$A$2:$FA$300, 3, FALSE)</f>
        <v>7 Other taxes on production, payable D.29p</v>
      </c>
      <c r="G112" s="556">
        <f ca="1">IF(VLOOKUP($E$112,[1]UC!$A$2:$FA$300, 6, FALSE)="",":",VLOOKUP($E$112,[1]UC!$A$2:$FA$300, 6, FALSE))</f>
        <v>2235.5</v>
      </c>
      <c r="H112" s="556">
        <f>IF(VLOOKUP($E$112,[1]UC!$A$2:$FA$300, 7, FALSE)="",":",VLOOKUP($E$112,[1]UC!$A$2:$FA$300, 7, FALSE))</f>
        <v>2335.5</v>
      </c>
      <c r="I112" s="556">
        <f>IF(VLOOKUP($E$112,[1]UC!$A$2:$FA$300, 8, FALSE)="",":",VLOOKUP($E$112,[1]UC!$A$2:$FA$300, 8, FALSE))</f>
        <v>2639.7</v>
      </c>
      <c r="J112" s="556">
        <f>IF(VLOOKUP($E$112,[1]UC!$A$2:$FA$300, 9, FALSE)="",":",VLOOKUP($E$112,[1]UC!$A$2:$FA$300, 9, FALSE))</f>
        <v>2657</v>
      </c>
      <c r="K112" s="556">
        <f>IF(VLOOKUP($E$112,[1]UC!$A$2:$FA$300, 10, FALSE)="",":",VLOOKUP($E$112,[1]UC!$A$2:$FA$300, 10, FALSE))</f>
        <v>2857.7</v>
      </c>
      <c r="L112" s="556">
        <f>IF(VLOOKUP($E$112,[1]UC!$A$2:$FA$300, 11, FALSE)="",":",VLOOKUP($E$112,[1]UC!$A$2:$FA$300, 11, FALSE))</f>
        <v>2821.9</v>
      </c>
      <c r="M112" s="556">
        <f>IF(VLOOKUP($E$112,[1]UC!$A$2:$FA$300, 12, FALSE)="",":",VLOOKUP($E$112,[1]UC!$A$2:$FA$300, 12, FALSE))</f>
        <v>2889.1</v>
      </c>
      <c r="N112" s="556">
        <f>IF(VLOOKUP($E$112,[1]UC!$A$2:$FA$300, 13, FALSE)="",":",VLOOKUP($E$112,[1]UC!$A$2:$FA$300, 13, FALSE))</f>
        <v>2689.7</v>
      </c>
      <c r="O112" s="556">
        <f>IF(VLOOKUP($E$112,[1]UC!$A$2:$FA$300, 14, FALSE)="",":",VLOOKUP($E$112,[1]UC!$A$2:$FA$300, 14, FALSE))</f>
        <v>2889.6</v>
      </c>
      <c r="P112" s="556">
        <f>IF(VLOOKUP($E$112,[1]UC!$A$2:$FA$300, 15, FALSE)="",":",VLOOKUP($E$112,[1]UC!$A$2:$FA$300, 15, FALSE))</f>
        <v>2977.9</v>
      </c>
      <c r="Q112" s="556">
        <f>IF(VLOOKUP($E$112,[1]UC!$A$2:$FA$300, 16, FALSE)="",":",VLOOKUP($E$112,[1]UC!$A$2:$FA$300, 16, FALSE))</f>
        <v>2911.5</v>
      </c>
      <c r="R112" s="556">
        <f>IF(VLOOKUP($E$112,[1]UC!$A$2:$FA$300, 17, FALSE)="",":",VLOOKUP($E$112,[1]UC!$A$2:$FA$300, 17, FALSE))</f>
        <v>3151.7</v>
      </c>
      <c r="S112" s="556">
        <f>IF(VLOOKUP($E$112,[1]UC!$A$2:$FA$300, 18, FALSE)="",":",VLOOKUP($E$112,[1]UC!$A$2:$FA$300, 18, FALSE))</f>
        <v>3139.1</v>
      </c>
      <c r="T112" s="556">
        <f>IF(VLOOKUP($E$112,[1]UC!$A$2:$FA$300, 19, FALSE)="",":",VLOOKUP($E$112,[1]UC!$A$2:$FA$300, 19, FALSE))</f>
        <v>3539.9</v>
      </c>
      <c r="U112" s="556">
        <f>IF(VLOOKUP($E$112,[1]UC!$A$2:$FA$300, 20, FALSE)="",":",VLOOKUP($E$112,[1]UC!$A$2:$FA$300, 20, FALSE))</f>
        <v>3615.9</v>
      </c>
      <c r="V112" s="556">
        <f>IF(VLOOKUP($E$112,[1]UC!$A$2:$FA$300, 21, FALSE)="",":",VLOOKUP($E$112,[1]UC!$A$2:$FA$300, 21, FALSE))</f>
        <v>3846.3</v>
      </c>
      <c r="W112" s="556">
        <f>IF(VLOOKUP($E$112,[1]UC!$A$2:$FA$300, 22, FALSE)="",":",VLOOKUP($E$112,[1]UC!$A$2:$FA$300, 22, FALSE))</f>
        <v>4210.2</v>
      </c>
      <c r="X112" s="556">
        <f>IF(VLOOKUP($E$112,[1]UC!$A$2:$FA$300, 23, FALSE)="",":",VLOOKUP($E$112,[1]UC!$A$2:$FA$300, 23, FALSE))</f>
        <v>5629.6</v>
      </c>
      <c r="Y112" s="556">
        <f>IF(VLOOKUP($E$112,[1]UC!$A$2:$FA$300, 24, FALSE)="",":",VLOOKUP($E$112,[1]UC!$A$2:$FA$300, 24, FALSE))</f>
        <v>5343.6</v>
      </c>
      <c r="Z112" s="556">
        <f>IF(VLOOKUP($E$112,[1]UC!$A$2:$FA$300, 25, FALSE)="",":",VLOOKUP($E$112,[1]UC!$A$2:$FA$300, 25, FALSE))</f>
        <v>5534.6</v>
      </c>
      <c r="AA112" s="556">
        <f>IF(VLOOKUP($E$112,[1]UC!$A$2:$FA$300, 26, FALSE)="",":",VLOOKUP($E$112,[1]UC!$A$2:$FA$300, 26, FALSE))</f>
        <v>5643.8</v>
      </c>
      <c r="AB112" s="556">
        <f>IF(VLOOKUP($E$112,[1]UC!$A$2:$FA$300, 27, FALSE)="",":",VLOOKUP($E$112,[1]UC!$A$2:$FA$300, 27, FALSE))</f>
        <v>5863</v>
      </c>
      <c r="AC112" s="556">
        <f>IF(VLOOKUP($E$111,[1]UC!$A$2:$FA$300, 27, FALSE)="",":",VLOOKUP($E$111,[1]UC!$A$2:$FA$300, 28, FALSE))</f>
        <v>0</v>
      </c>
      <c r="AD112" s="556" t="str">
        <f>IF(VLOOKUP($E$112,[1]UC!$A$2:$FA$300, 29, FALSE)="",":",VLOOKUP($E$112,[1]UC!$A$2:$FA$300, 29, FALSE))</f>
        <v>:</v>
      </c>
      <c r="AE112" s="556" t="str">
        <f>IF(VLOOKUP($E$112,[1]UC!$A$2:$FA$300, 30, FALSE)="",":",VLOOKUP($E$112,[1]UC!$A$2:$FA$300, 30, FALSE))</f>
        <v>:</v>
      </c>
      <c r="AF112" s="556" t="str">
        <f>IF(VLOOKUP($E$112,[1]UC!$A$2:$FA$300, 31, FALSE)="",":",VLOOKUP($E$112,[1]UC!$A$2:$FA$300, 31, FALSE))</f>
        <v>:</v>
      </c>
    </row>
    <row r="113" spans="1:32">
      <c r="A113" s="545">
        <v>101</v>
      </c>
      <c r="B113" s="546" t="s">
        <v>679</v>
      </c>
      <c r="C113" s="547" t="s">
        <v>787</v>
      </c>
      <c r="D113" s="12" t="s">
        <v>1892</v>
      </c>
      <c r="E113" s="13">
        <v>8</v>
      </c>
      <c r="F113" s="14" t="str">
        <f>VLOOKUP($E$113,[1]UC!$A$2:$FA$300, 3, FALSE)</f>
        <v>8 Other subsidies on production receivable D.39r</v>
      </c>
      <c r="G113" s="556">
        <f ca="1">IF(VLOOKUP($E$113,[1]UC!$A$2:$FA$300, 6, FALSE)="",":",VLOOKUP($E$113,[1]UC!$A$2:$FA$300, 6, FALSE))</f>
        <v>2260.2999999999997</v>
      </c>
      <c r="H113" s="556">
        <f>IF(VLOOKUP($E$113,[1]UC!$A$2:$FA$300, 7, FALSE)="",":",VLOOKUP($E$113,[1]UC!$A$2:$FA$300, 7, FALSE))</f>
        <v>2574.1</v>
      </c>
      <c r="I113" s="556">
        <f>IF(VLOOKUP($E$113,[1]UC!$A$2:$FA$300, 8, FALSE)="",":",VLOOKUP($E$113,[1]UC!$A$2:$FA$300, 8, FALSE))</f>
        <v>2338</v>
      </c>
      <c r="J113" s="556">
        <f>IF(VLOOKUP($E$113,[1]UC!$A$2:$FA$300, 9, FALSE)="",":",VLOOKUP($E$113,[1]UC!$A$2:$FA$300, 9, FALSE))</f>
        <v>2503.8000000000002</v>
      </c>
      <c r="K113" s="556">
        <f>IF(VLOOKUP($E$113,[1]UC!$A$2:$FA$300, 10, FALSE)="",":",VLOOKUP($E$113,[1]UC!$A$2:$FA$300, 10, FALSE))</f>
        <v>2675.2</v>
      </c>
      <c r="L113" s="556">
        <f>IF(VLOOKUP($E$113,[1]UC!$A$2:$FA$300, 11, FALSE)="",":",VLOOKUP($E$113,[1]UC!$A$2:$FA$300, 11, FALSE))</f>
        <v>2696.5</v>
      </c>
      <c r="M113" s="556">
        <f>IF(VLOOKUP($E$113,[1]UC!$A$2:$FA$300, 12, FALSE)="",":",VLOOKUP($E$113,[1]UC!$A$2:$FA$300, 12, FALSE))</f>
        <v>2822.9</v>
      </c>
      <c r="N113" s="556">
        <f>IF(VLOOKUP($E$113,[1]UC!$A$2:$FA$300, 13, FALSE)="",":",VLOOKUP($E$113,[1]UC!$A$2:$FA$300, 13, FALSE))</f>
        <v>2932.7</v>
      </c>
      <c r="O113" s="556">
        <f>IF(VLOOKUP($E$113,[1]UC!$A$2:$FA$300, 14, FALSE)="",":",VLOOKUP($E$113,[1]UC!$A$2:$FA$300, 14, FALSE))</f>
        <v>3106.4</v>
      </c>
      <c r="P113" s="556">
        <f>IF(VLOOKUP($E$113,[1]UC!$A$2:$FA$300, 15, FALSE)="",":",VLOOKUP($E$113,[1]UC!$A$2:$FA$300, 15, FALSE))</f>
        <v>3474.7</v>
      </c>
      <c r="Q113" s="556">
        <f>IF(VLOOKUP($E$113,[1]UC!$A$2:$FA$300, 16, FALSE)="",":",VLOOKUP($E$113,[1]UC!$A$2:$FA$300, 16, FALSE))</f>
        <v>4180</v>
      </c>
      <c r="R113" s="556">
        <f>IF(VLOOKUP($E$113,[1]UC!$A$2:$FA$300, 17, FALSE)="",":",VLOOKUP($E$113,[1]UC!$A$2:$FA$300, 17, FALSE))</f>
        <v>5475.4</v>
      </c>
      <c r="S113" s="556">
        <f>IF(VLOOKUP($E$113,[1]UC!$A$2:$FA$300, 18, FALSE)="",":",VLOOKUP($E$113,[1]UC!$A$2:$FA$300, 18, FALSE))</f>
        <v>6487.9</v>
      </c>
      <c r="T113" s="556">
        <f>IF(VLOOKUP($E$113,[1]UC!$A$2:$FA$300, 19, FALSE)="",":",VLOOKUP($E$113,[1]UC!$A$2:$FA$300, 19, FALSE))</f>
        <v>7536</v>
      </c>
      <c r="U113" s="556">
        <f>IF(VLOOKUP($E$113,[1]UC!$A$2:$FA$300, 20, FALSE)="",":",VLOOKUP($E$113,[1]UC!$A$2:$FA$300, 20, FALSE))</f>
        <v>8251.4</v>
      </c>
      <c r="V113" s="556">
        <f>IF(VLOOKUP($E$113,[1]UC!$A$2:$FA$300, 21, FALSE)="",":",VLOOKUP($E$113,[1]UC!$A$2:$FA$300, 21, FALSE))</f>
        <v>9493.4</v>
      </c>
      <c r="W113" s="556">
        <f>IF(VLOOKUP($E$113,[1]UC!$A$2:$FA$300, 22, FALSE)="",":",VLOOKUP($E$113,[1]UC!$A$2:$FA$300, 22, FALSE))</f>
        <v>10234.5</v>
      </c>
      <c r="X113" s="556">
        <f>IF(VLOOKUP($E$113,[1]UC!$A$2:$FA$300, 23, FALSE)="",":",VLOOKUP($E$113,[1]UC!$A$2:$FA$300, 23, FALSE))</f>
        <v>10495.8</v>
      </c>
      <c r="Y113" s="556">
        <f>IF(VLOOKUP($E$113,[1]UC!$A$2:$FA$300, 24, FALSE)="",":",VLOOKUP($E$113,[1]UC!$A$2:$FA$300, 24, FALSE))</f>
        <v>10824.2</v>
      </c>
      <c r="Z113" s="556">
        <f>IF(VLOOKUP($E$113,[1]UC!$A$2:$FA$300, 25, FALSE)="",":",VLOOKUP($E$113,[1]UC!$A$2:$FA$300, 25, FALSE))</f>
        <v>11172.7</v>
      </c>
      <c r="AA113" s="556">
        <f>IF(VLOOKUP($E$113,[1]UC!$A$2:$FA$300, 26, FALSE)="",":",VLOOKUP($E$113,[1]UC!$A$2:$FA$300, 26, FALSE))</f>
        <v>11317.2</v>
      </c>
      <c r="AB113" s="556">
        <f>IF(VLOOKUP($E$113,[1]UC!$A$2:$FA$300, 27, FALSE)="",":",VLOOKUP($E$113,[1]UC!$A$2:$FA$300, 27, FALSE))</f>
        <v>11265.3</v>
      </c>
      <c r="AC113" s="556">
        <f>IF(VLOOKUP($E$111,[1]UC!$A$2:$FA$300, 27, FALSE)="",":",VLOOKUP($E$111,[1]UC!$A$2:$FA$300, 28, FALSE))</f>
        <v>0</v>
      </c>
      <c r="AD113" s="556" t="str">
        <f>IF(VLOOKUP($E$113,[1]UC!$A$2:$FA$300, 29, FALSE)="",":",VLOOKUP($E$113,[1]UC!$A$2:$FA$300, 29, FALSE))</f>
        <v>:</v>
      </c>
      <c r="AE113" s="556" t="str">
        <f>IF(VLOOKUP($E$113,[1]UC!$A$2:$FA$300, 30, FALSE)="",":",VLOOKUP($E$113,[1]UC!$A$2:$FA$300, 30, FALSE))</f>
        <v>:</v>
      </c>
      <c r="AF113" s="556" t="str">
        <f>IF(VLOOKUP($E$113,[1]UC!$A$2:$FA$300, 31, FALSE)="",":",VLOOKUP($E$113,[1]UC!$A$2:$FA$300, 31, FALSE))</f>
        <v>:</v>
      </c>
    </row>
    <row r="114" spans="1:32">
      <c r="A114" s="545">
        <v>103</v>
      </c>
      <c r="B114" s="546" t="s">
        <v>1468</v>
      </c>
      <c r="C114" s="547" t="s">
        <v>1065</v>
      </c>
      <c r="D114" s="12" t="s">
        <v>1892</v>
      </c>
      <c r="E114" s="13">
        <v>6</v>
      </c>
      <c r="F114" s="14" t="str">
        <f>VLOOKUP($E$114,[1]UC!$A$2:$FA$300, 3, FALSE)</f>
        <v xml:space="preserve">6   Compensation of employees, payable  D.1p                                  </v>
      </c>
      <c r="G114" s="556">
        <f ca="1">IF(VLOOKUP($E$114,[1]UC!$A$2:$FA$300, 6, FALSE)="",":",VLOOKUP($E$114,[1]UC!$A$2:$FA$300, 6, FALSE))</f>
        <v>78024.600000000006</v>
      </c>
      <c r="H114" s="556">
        <f>IF(VLOOKUP($E$114,[1]UC!$A$2:$FA$300, 7, FALSE)="",":",VLOOKUP($E$114,[1]UC!$A$2:$FA$300, 7, FALSE))</f>
        <v>79593.600000000006</v>
      </c>
      <c r="I114" s="556">
        <f>IF(VLOOKUP($E$114,[1]UC!$A$2:$FA$300, 8, FALSE)="",":",VLOOKUP($E$114,[1]UC!$A$2:$FA$300, 8, FALSE))</f>
        <v>82994</v>
      </c>
      <c r="J114" s="556">
        <f>IF(VLOOKUP($E$114,[1]UC!$A$2:$FA$300, 9, FALSE)="",":",VLOOKUP($E$114,[1]UC!$A$2:$FA$300, 9, FALSE))</f>
        <v>86278.8</v>
      </c>
      <c r="K114" s="556">
        <f>IF(VLOOKUP($E$114,[1]UC!$A$2:$FA$300, 10, FALSE)="",":",VLOOKUP($E$114,[1]UC!$A$2:$FA$300, 10, FALSE))</f>
        <v>91028.3</v>
      </c>
      <c r="L114" s="556">
        <f>IF(VLOOKUP($E$114,[1]UC!$A$2:$FA$300, 11, FALSE)="",":",VLOOKUP($E$114,[1]UC!$A$2:$FA$300, 11, FALSE))</f>
        <v>95554.2</v>
      </c>
      <c r="M114" s="556">
        <f>IF(VLOOKUP($E$114,[1]UC!$A$2:$FA$300, 12, FALSE)="",":",VLOOKUP($E$114,[1]UC!$A$2:$FA$300, 12, FALSE))</f>
        <v>101308.2</v>
      </c>
      <c r="N114" s="556">
        <f>IF(VLOOKUP($E$114,[1]UC!$A$2:$FA$300, 13, FALSE)="",":",VLOOKUP($E$114,[1]UC!$A$2:$FA$300, 13, FALSE))</f>
        <v>104132</v>
      </c>
      <c r="O114" s="556">
        <f>IF(VLOOKUP($E$114,[1]UC!$A$2:$FA$300, 14, FALSE)="",":",VLOOKUP($E$114,[1]UC!$A$2:$FA$300, 14, FALSE))</f>
        <v>105360</v>
      </c>
      <c r="P114" s="556">
        <f>IF(VLOOKUP($E$114,[1]UC!$A$2:$FA$300, 15, FALSE)="",":",VLOOKUP($E$114,[1]UC!$A$2:$FA$300, 15, FALSE))</f>
        <v>108376.2</v>
      </c>
      <c r="Q114" s="556">
        <f>IF(VLOOKUP($E$114,[1]UC!$A$2:$FA$300, 16, FALSE)="",":",VLOOKUP($E$114,[1]UC!$A$2:$FA$300, 16, FALSE))</f>
        <v>111669.4</v>
      </c>
      <c r="R114" s="556">
        <f>IF(VLOOKUP($E$114,[1]UC!$A$2:$FA$300, 17, FALSE)="",":",VLOOKUP($E$114,[1]UC!$A$2:$FA$300, 17, FALSE))</f>
        <v>117422.3</v>
      </c>
      <c r="S114" s="556">
        <f>IF(VLOOKUP($E$114,[1]UC!$A$2:$FA$300, 18, FALSE)="",":",VLOOKUP($E$114,[1]UC!$A$2:$FA$300, 18, FALSE))</f>
        <v>124374.8</v>
      </c>
      <c r="T114" s="556">
        <f>IF(VLOOKUP($E$114,[1]UC!$A$2:$FA$300, 19, FALSE)="",":",VLOOKUP($E$114,[1]UC!$A$2:$FA$300, 19, FALSE))</f>
        <v>131408.1</v>
      </c>
      <c r="U114" s="556">
        <f>IF(VLOOKUP($E$114,[1]UC!$A$2:$FA$300, 20, FALSE)="",":",VLOOKUP($E$114,[1]UC!$A$2:$FA$300, 20, FALSE))</f>
        <v>130789.8</v>
      </c>
      <c r="V114" s="556">
        <f>IF(VLOOKUP($E$114,[1]UC!$A$2:$FA$300, 21, FALSE)="",":",VLOOKUP($E$114,[1]UC!$A$2:$FA$300, 21, FALSE))</f>
        <v>133206.6</v>
      </c>
      <c r="W114" s="556">
        <f>IF(VLOOKUP($E$114,[1]UC!$A$2:$FA$300, 22, FALSE)="",":",VLOOKUP($E$114,[1]UC!$A$2:$FA$300, 22, FALSE))</f>
        <v>139573.9</v>
      </c>
      <c r="X114" s="556">
        <f>IF(VLOOKUP($E$114,[1]UC!$A$2:$FA$300, 23, FALSE)="",":",VLOOKUP($E$114,[1]UC!$A$2:$FA$300, 23, FALSE))</f>
        <v>144225.60000000001</v>
      </c>
      <c r="Y114" s="556">
        <f>IF(VLOOKUP($E$114,[1]UC!$A$2:$FA$300, 24, FALSE)="",":",VLOOKUP($E$114,[1]UC!$A$2:$FA$300, 24, FALSE))</f>
        <v>146680.20000000001</v>
      </c>
      <c r="Z114" s="556">
        <f>IF(VLOOKUP($E$114,[1]UC!$A$2:$FA$300, 25, FALSE)="",":",VLOOKUP($E$114,[1]UC!$A$2:$FA$300, 25, FALSE))</f>
        <v>148652.79999999999</v>
      </c>
      <c r="AA114" s="556">
        <f>IF(VLOOKUP($E$114,[1]UC!$A$2:$FA$300, 26, FALSE)="",":",VLOOKUP($E$114,[1]UC!$A$2:$FA$300, 26, FALSE))</f>
        <v>150150.20000000001</v>
      </c>
      <c r="AB114" s="556">
        <f>IF(VLOOKUP($E$114,[1]UC!$A$2:$FA$300, 27, FALSE)="",":",VLOOKUP($E$114,[1]UC!$A$2:$FA$300, 27, FALSE))</f>
        <v>151216.70000000001</v>
      </c>
      <c r="AC114" s="556">
        <f>IF(VLOOKUP($E$111,[1]UC!$A$2:$FA$300, 27, FALSE)="",":",VLOOKUP($E$111,[1]UC!$A$2:$FA$300, 28, FALSE))</f>
        <v>0</v>
      </c>
      <c r="AD114" s="556" t="str">
        <f>IF(VLOOKUP($E$114,[1]UC!$A$2:$FA$300, 29, FALSE)="",":",VLOOKUP($E$114,[1]UC!$A$2:$FA$300, 29, FALSE))</f>
        <v>:</v>
      </c>
      <c r="AE114" s="556" t="str">
        <f>IF(VLOOKUP($E$114,[1]UC!$A$2:$FA$300, 30, FALSE)="",":",VLOOKUP($E$114,[1]UC!$A$2:$FA$300, 30, FALSE))</f>
        <v>:</v>
      </c>
      <c r="AF114" s="556" t="str">
        <f>IF(VLOOKUP($E$114,[1]UC!$A$2:$FA$300, 31, FALSE)="",":",VLOOKUP($E$114,[1]UC!$A$2:$FA$300, 31, FALSE))</f>
        <v>:</v>
      </c>
    </row>
    <row r="115" spans="1:32">
      <c r="A115" s="545"/>
      <c r="B115" s="546" t="s">
        <v>1897</v>
      </c>
      <c r="C115" s="547" t="s">
        <v>788</v>
      </c>
      <c r="D115" s="12" t="s">
        <v>1892</v>
      </c>
      <c r="E115" s="13">
        <v>10</v>
      </c>
      <c r="F115" s="14" t="str">
        <f>VLOOKUP($E$115,[1]UC!$A$2:$FA$300, 3, FALSE)</f>
        <v>10 Property income, receivable D.4r</v>
      </c>
      <c r="G115" s="556">
        <f ca="1">IF(VLOOKUP($E$115,[1]UC!$A$2:$FA$300, 6, FALSE)="",":",VLOOKUP($E$115,[1]UC!$A$2:$FA$300, 6, FALSE))</f>
        <v>55082.5</v>
      </c>
      <c r="H115" s="556">
        <f>IF(VLOOKUP($E$115,[1]UC!$A$2:$FA$300, 7, FALSE)="",":",VLOOKUP($E$115,[1]UC!$A$2:$FA$300, 7, FALSE))</f>
        <v>52141</v>
      </c>
      <c r="I115" s="556">
        <f>IF(VLOOKUP($E$115,[1]UC!$A$2:$FA$300, 8, FALSE)="",":",VLOOKUP($E$115,[1]UC!$A$2:$FA$300, 8, FALSE))</f>
        <v>53940.3</v>
      </c>
      <c r="J115" s="556">
        <f>IF(VLOOKUP($E$115,[1]UC!$A$2:$FA$300, 9, FALSE)="",":",VLOOKUP($E$115,[1]UC!$A$2:$FA$300, 9, FALSE))</f>
        <v>58869</v>
      </c>
      <c r="K115" s="556">
        <f>IF(VLOOKUP($E$115,[1]UC!$A$2:$FA$300, 10, FALSE)="",":",VLOOKUP($E$115,[1]UC!$A$2:$FA$300, 10, FALSE))</f>
        <v>55582.3</v>
      </c>
      <c r="L115" s="556">
        <f>IF(VLOOKUP($E$115,[1]UC!$A$2:$FA$300, 11, FALSE)="",":",VLOOKUP($E$115,[1]UC!$A$2:$FA$300, 11, FALSE))</f>
        <v>70949.7</v>
      </c>
      <c r="M115" s="556">
        <f>IF(VLOOKUP($E$115,[1]UC!$A$2:$FA$300, 12, FALSE)="",":",VLOOKUP($E$115,[1]UC!$A$2:$FA$300, 12, FALSE))</f>
        <v>74650.100000000006</v>
      </c>
      <c r="N115" s="556">
        <f>IF(VLOOKUP($E$115,[1]UC!$A$2:$FA$300, 13, FALSE)="",":",VLOOKUP($E$115,[1]UC!$A$2:$FA$300, 13, FALSE))</f>
        <v>63553.8</v>
      </c>
      <c r="O115" s="556">
        <f>IF(VLOOKUP($E$115,[1]UC!$A$2:$FA$300, 14, FALSE)="",":",VLOOKUP($E$115,[1]UC!$A$2:$FA$300, 14, FALSE))</f>
        <v>57757.9</v>
      </c>
      <c r="P115" s="556">
        <f>IF(VLOOKUP($E$115,[1]UC!$A$2:$FA$300, 15, FALSE)="",":",VLOOKUP($E$115,[1]UC!$A$2:$FA$300, 15, FALSE))</f>
        <v>63367.5</v>
      </c>
      <c r="Q115" s="556">
        <f>IF(VLOOKUP($E$115,[1]UC!$A$2:$FA$300, 16, FALSE)="",":",VLOOKUP($E$115,[1]UC!$A$2:$FA$300, 16, FALSE))</f>
        <v>74797.3</v>
      </c>
      <c r="R115" s="556">
        <f>IF(VLOOKUP($E$115,[1]UC!$A$2:$FA$300, 17, FALSE)="",":",VLOOKUP($E$115,[1]UC!$A$2:$FA$300, 17, FALSE))</f>
        <v>95972.9</v>
      </c>
      <c r="S115" s="556">
        <f>IF(VLOOKUP($E$115,[1]UC!$A$2:$FA$300, 18, FALSE)="",":",VLOOKUP($E$115,[1]UC!$A$2:$FA$300, 18, FALSE))</f>
        <v>120930</v>
      </c>
      <c r="T115" s="556">
        <f>IF(VLOOKUP($E$115,[1]UC!$A$2:$FA$300, 19, FALSE)="",":",VLOOKUP($E$115,[1]UC!$A$2:$FA$300, 19, FALSE))</f>
        <v>130331.7</v>
      </c>
      <c r="U115" s="556">
        <f>IF(VLOOKUP($E$115,[1]UC!$A$2:$FA$300, 20, FALSE)="",":",VLOOKUP($E$115,[1]UC!$A$2:$FA$300, 20, FALSE))</f>
        <v>89588.5</v>
      </c>
      <c r="V115" s="556">
        <f>IF(VLOOKUP($E$115,[1]UC!$A$2:$FA$300, 21, FALSE)="",":",VLOOKUP($E$115,[1]UC!$A$2:$FA$300, 21, FALSE))</f>
        <v>84934</v>
      </c>
      <c r="W115" s="556">
        <f>IF(VLOOKUP($E$115,[1]UC!$A$2:$FA$300, 22, FALSE)="",":",VLOOKUP($E$115,[1]UC!$A$2:$FA$300, 22, FALSE))</f>
        <v>91310.7</v>
      </c>
      <c r="X115" s="556">
        <f>IF(VLOOKUP($E$115,[1]UC!$A$2:$FA$300, 23, FALSE)="",":",VLOOKUP($E$115,[1]UC!$A$2:$FA$300, 23, FALSE))</f>
        <v>91846</v>
      </c>
      <c r="Y115" s="556">
        <f>IF(VLOOKUP($E$115,[1]UC!$A$2:$FA$300, 24, FALSE)="",":",VLOOKUP($E$115,[1]UC!$A$2:$FA$300, 24, FALSE))</f>
        <v>74083.899999999994</v>
      </c>
      <c r="Z115" s="556">
        <f>IF(VLOOKUP($E$115,[1]UC!$A$2:$FA$300, 25, FALSE)="",":",VLOOKUP($E$115,[1]UC!$A$2:$FA$300, 25, FALSE))</f>
        <v>71048.2</v>
      </c>
      <c r="AA115" s="556">
        <f>IF(VLOOKUP($E$115,[1]UC!$A$2:$FA$300, 26, FALSE)="",":",VLOOKUP($E$115,[1]UC!$A$2:$FA$300, 26, FALSE))</f>
        <v>63110.7</v>
      </c>
      <c r="AB115" s="556">
        <f>IF(VLOOKUP($E$115,[1]UC!$A$2:$FA$300, 27, FALSE)="",":",VLOOKUP($E$115,[1]UC!$A$2:$FA$300, 27, FALSE))</f>
        <v>62258.7</v>
      </c>
      <c r="AC115" s="556">
        <f>IF(VLOOKUP($E$111,[1]UC!$A$2:$FA$300, 27, FALSE)="",":",VLOOKUP($E$111,[1]UC!$A$2:$FA$300, 28, FALSE))</f>
        <v>0</v>
      </c>
      <c r="AD115" s="556" t="str">
        <f>IF(VLOOKUP($E$115,[1]UC!$A$2:$FA$300, 29, FALSE)="",":",VLOOKUP($E$115,[1]UC!$A$2:$FA$300, 29, FALSE))</f>
        <v>:</v>
      </c>
      <c r="AE115" s="556" t="str">
        <f>IF(VLOOKUP($E$115,[1]UC!$A$2:$FA$300, 30, FALSE)="",":",VLOOKUP($E$115,[1]UC!$A$2:$FA$300, 30, FALSE))</f>
        <v>:</v>
      </c>
      <c r="AF115" s="556" t="str">
        <f>IF(VLOOKUP($E$115,[1]UC!$A$2:$FA$300, 31, FALSE)="",":",VLOOKUP($E$115,[1]UC!$A$2:$FA$300, 31, FALSE))</f>
        <v>:</v>
      </c>
    </row>
    <row r="116" spans="1:32">
      <c r="A116" s="545"/>
      <c r="B116" s="546" t="s">
        <v>1898</v>
      </c>
      <c r="C116" s="547" t="s">
        <v>789</v>
      </c>
      <c r="D116" s="12" t="s">
        <v>1892</v>
      </c>
      <c r="E116" s="13">
        <v>11</v>
      </c>
      <c r="F116" s="14" t="str">
        <f>VLOOKUP($E$116,[1]UC!$A$2:$FA$300, 3, FALSE)</f>
        <v>11 Property income, payable D.4p</v>
      </c>
      <c r="G116" s="556">
        <f ca="1">IF(VLOOKUP($E$116,[1]UC!$A$2:$FA$300, 6, FALSE)="",":",VLOOKUP($E$116,[1]UC!$A$2:$FA$300, 6, FALSE))</f>
        <v>64751.899999999994</v>
      </c>
      <c r="H116" s="556">
        <f>IF(VLOOKUP($E$116,[1]UC!$A$2:$FA$300, 7, FALSE)="",":",VLOOKUP($E$116,[1]UC!$A$2:$FA$300, 7, FALSE))</f>
        <v>60461.2</v>
      </c>
      <c r="I116" s="556">
        <f>IF(VLOOKUP($E$116,[1]UC!$A$2:$FA$300, 8, FALSE)="",":",VLOOKUP($E$116,[1]UC!$A$2:$FA$300, 8, FALSE))</f>
        <v>62132.3</v>
      </c>
      <c r="J116" s="556">
        <f>IF(VLOOKUP($E$116,[1]UC!$A$2:$FA$300, 9, FALSE)="",":",VLOOKUP($E$116,[1]UC!$A$2:$FA$300, 9, FALSE))</f>
        <v>68584.800000000003</v>
      </c>
      <c r="K116" s="556">
        <f>IF(VLOOKUP($E$116,[1]UC!$A$2:$FA$300, 10, FALSE)="",":",VLOOKUP($E$116,[1]UC!$A$2:$FA$300, 10, FALSE))</f>
        <v>64646.7</v>
      </c>
      <c r="L116" s="556">
        <f>IF(VLOOKUP($E$116,[1]UC!$A$2:$FA$300, 11, FALSE)="",":",VLOOKUP($E$116,[1]UC!$A$2:$FA$300, 11, FALSE))</f>
        <v>81948.5</v>
      </c>
      <c r="M116" s="556">
        <f>IF(VLOOKUP($E$116,[1]UC!$A$2:$FA$300, 12, FALSE)="",":",VLOOKUP($E$116,[1]UC!$A$2:$FA$300, 12, FALSE))</f>
        <v>89115.7</v>
      </c>
      <c r="N116" s="556">
        <f>IF(VLOOKUP($E$116,[1]UC!$A$2:$FA$300, 13, FALSE)="",":",VLOOKUP($E$116,[1]UC!$A$2:$FA$300, 13, FALSE))</f>
        <v>77202.100000000006</v>
      </c>
      <c r="O116" s="556">
        <f>IF(VLOOKUP($E$116,[1]UC!$A$2:$FA$300, 14, FALSE)="",":",VLOOKUP($E$116,[1]UC!$A$2:$FA$300, 14, FALSE))</f>
        <v>70439.5</v>
      </c>
      <c r="P116" s="556">
        <f>IF(VLOOKUP($E$116,[1]UC!$A$2:$FA$300, 15, FALSE)="",":",VLOOKUP($E$116,[1]UC!$A$2:$FA$300, 15, FALSE))</f>
        <v>78033.7</v>
      </c>
      <c r="Q116" s="556">
        <f>IF(VLOOKUP($E$116,[1]UC!$A$2:$FA$300, 16, FALSE)="",":",VLOOKUP($E$116,[1]UC!$A$2:$FA$300, 16, FALSE))</f>
        <v>91323.8</v>
      </c>
      <c r="R116" s="556">
        <f>IF(VLOOKUP($E$116,[1]UC!$A$2:$FA$300, 17, FALSE)="",":",VLOOKUP($E$116,[1]UC!$A$2:$FA$300, 17, FALSE))</f>
        <v>113283.4</v>
      </c>
      <c r="S116" s="556">
        <f>IF(VLOOKUP($E$116,[1]UC!$A$2:$FA$300, 18, FALSE)="",":",VLOOKUP($E$116,[1]UC!$A$2:$FA$300, 18, FALSE))</f>
        <v>139944.9</v>
      </c>
      <c r="T116" s="556">
        <f>IF(VLOOKUP($E$116,[1]UC!$A$2:$FA$300, 19, FALSE)="",":",VLOOKUP($E$116,[1]UC!$A$2:$FA$300, 19, FALSE))</f>
        <v>149432.6</v>
      </c>
      <c r="U116" s="556">
        <f>IF(VLOOKUP($E$116,[1]UC!$A$2:$FA$300, 20, FALSE)="",":",VLOOKUP($E$116,[1]UC!$A$2:$FA$300, 20, FALSE))</f>
        <v>115931.7</v>
      </c>
      <c r="V116" s="556">
        <f>IF(VLOOKUP($E$116,[1]UC!$A$2:$FA$300, 21, FALSE)="",":",VLOOKUP($E$116,[1]UC!$A$2:$FA$300, 21, FALSE))</f>
        <v>101448.6</v>
      </c>
      <c r="W116" s="556">
        <f>IF(VLOOKUP($E$116,[1]UC!$A$2:$FA$300, 22, FALSE)="",":",VLOOKUP($E$116,[1]UC!$A$2:$FA$300, 22, FALSE))</f>
        <v>113914.1</v>
      </c>
      <c r="X116" s="556">
        <f>IF(VLOOKUP($E$116,[1]UC!$A$2:$FA$300, 23, FALSE)="",":",VLOOKUP($E$116,[1]UC!$A$2:$FA$300, 23, FALSE))</f>
        <v>107009.60000000001</v>
      </c>
      <c r="Y116" s="556">
        <f>IF(VLOOKUP($E$116,[1]UC!$A$2:$FA$300, 24, FALSE)="",":",VLOOKUP($E$116,[1]UC!$A$2:$FA$300, 24, FALSE))</f>
        <v>93856.9</v>
      </c>
      <c r="Z116" s="556">
        <f>IF(VLOOKUP($E$116,[1]UC!$A$2:$FA$300, 25, FALSE)="",":",VLOOKUP($E$116,[1]UC!$A$2:$FA$300, 25, FALSE))</f>
        <v>92072.3</v>
      </c>
      <c r="AA116" s="556">
        <f>IF(VLOOKUP($E$116,[1]UC!$A$2:$FA$300, 26, FALSE)="",":",VLOOKUP($E$116,[1]UC!$A$2:$FA$300, 26, FALSE))</f>
        <v>87580.1</v>
      </c>
      <c r="AB116" s="556">
        <f>IF(VLOOKUP($E$116,[1]UC!$A$2:$FA$300, 27, FALSE)="",":",VLOOKUP($E$116,[1]UC!$A$2:$FA$300, 27, FALSE))</f>
        <v>82445.3</v>
      </c>
      <c r="AC116" s="556">
        <f>IF(VLOOKUP($E$111,[1]UC!$A$2:$FA$300, 27, FALSE)="",":",VLOOKUP($E$111,[1]UC!$A$2:$FA$300, 28, FALSE))</f>
        <v>0</v>
      </c>
      <c r="AD116" s="556" t="str">
        <f>IF(VLOOKUP($E$116,[1]UC!$A$2:$FA$300, 29, FALSE)="",":",VLOOKUP($E$116,[1]UC!$A$2:$FA$300, 29, FALSE))</f>
        <v>:</v>
      </c>
      <c r="AE116" s="556" t="str">
        <f>IF(VLOOKUP($E$116,[1]UC!$A$2:$FA$300, 30, FALSE)="",":",VLOOKUP($E$116,[1]UC!$A$2:$FA$300, 30, FALSE))</f>
        <v>:</v>
      </c>
      <c r="AF116" s="556" t="str">
        <f>IF(VLOOKUP($E$116,[1]UC!$A$2:$FA$300, 31, FALSE)="",":",VLOOKUP($E$116,[1]UC!$A$2:$FA$300, 31, FALSE))</f>
        <v>:</v>
      </c>
    </row>
    <row r="117" spans="1:32" s="552" customFormat="1">
      <c r="A117" s="548">
        <v>105</v>
      </c>
      <c r="B117" s="549" t="s">
        <v>1472</v>
      </c>
      <c r="C117" s="550" t="s">
        <v>806</v>
      </c>
      <c r="D117" s="540"/>
      <c r="E117" s="541"/>
      <c r="F117" s="551"/>
      <c r="G117" s="557">
        <f ca="1">+G115-G116</f>
        <v>-9669.3999999999942</v>
      </c>
      <c r="H117" s="557">
        <f t="shared" ref="H117:AF117" si="1">+H115-H116</f>
        <v>-8320.1999999999971</v>
      </c>
      <c r="I117" s="557">
        <f t="shared" si="1"/>
        <v>-8192</v>
      </c>
      <c r="J117" s="557">
        <f t="shared" si="1"/>
        <v>-9715.8000000000029</v>
      </c>
      <c r="K117" s="557">
        <f t="shared" si="1"/>
        <v>-9064.3999999999942</v>
      </c>
      <c r="L117" s="557">
        <f t="shared" si="1"/>
        <v>-10998.800000000003</v>
      </c>
      <c r="M117" s="557">
        <f t="shared" si="1"/>
        <v>-14465.599999999991</v>
      </c>
      <c r="N117" s="557">
        <f t="shared" si="1"/>
        <v>-13648.300000000003</v>
      </c>
      <c r="O117" s="557">
        <f t="shared" si="1"/>
        <v>-12681.599999999999</v>
      </c>
      <c r="P117" s="557">
        <f t="shared" si="1"/>
        <v>-14666.199999999997</v>
      </c>
      <c r="Q117" s="557">
        <f t="shared" si="1"/>
        <v>-16526.5</v>
      </c>
      <c r="R117" s="557">
        <f t="shared" si="1"/>
        <v>-17310.5</v>
      </c>
      <c r="S117" s="557">
        <f t="shared" si="1"/>
        <v>-19014.899999999994</v>
      </c>
      <c r="T117" s="557">
        <f t="shared" si="1"/>
        <v>-19100.900000000009</v>
      </c>
      <c r="U117" s="557">
        <f t="shared" si="1"/>
        <v>-26343.199999999997</v>
      </c>
      <c r="V117" s="557">
        <f t="shared" si="1"/>
        <v>-16514.600000000006</v>
      </c>
      <c r="W117" s="557">
        <f t="shared" si="1"/>
        <v>-22603.400000000009</v>
      </c>
      <c r="X117" s="557">
        <f t="shared" si="1"/>
        <v>-15163.600000000006</v>
      </c>
      <c r="Y117" s="557">
        <f t="shared" si="1"/>
        <v>-19773</v>
      </c>
      <c r="Z117" s="557">
        <f t="shared" si="1"/>
        <v>-21024.100000000006</v>
      </c>
      <c r="AA117" s="557">
        <f t="shared" si="1"/>
        <v>-24469.400000000009</v>
      </c>
      <c r="AB117" s="557">
        <f t="shared" si="1"/>
        <v>-20186.600000000006</v>
      </c>
      <c r="AC117" s="556">
        <f>IF(VLOOKUP($E$111,[1]UC!$A$2:$FA$300, 27, FALSE)="",":",VLOOKUP($E$111,[1]UC!$A$2:$FA$300, 28, FALSE))</f>
        <v>0</v>
      </c>
      <c r="AD117" s="557" t="e">
        <f t="shared" si="1"/>
        <v>#VALUE!</v>
      </c>
      <c r="AE117" s="557" t="e">
        <f t="shared" si="1"/>
        <v>#VALUE!</v>
      </c>
      <c r="AF117" s="557" t="e">
        <f t="shared" si="1"/>
        <v>#VALUE!</v>
      </c>
    </row>
    <row r="118" spans="1:32">
      <c r="A118" s="545"/>
      <c r="B118" s="546"/>
      <c r="C118" s="547"/>
      <c r="D118" s="12"/>
      <c r="E118" s="13"/>
      <c r="F118" s="14"/>
      <c r="G118" s="556"/>
      <c r="H118" s="556"/>
      <c r="I118" s="556"/>
      <c r="J118" s="556"/>
      <c r="K118" s="556"/>
      <c r="L118" s="556"/>
      <c r="M118" s="556"/>
      <c r="N118" s="556"/>
      <c r="O118" s="556"/>
      <c r="P118" s="556"/>
      <c r="Q118" s="556"/>
      <c r="R118" s="556"/>
      <c r="S118" s="556"/>
      <c r="T118" s="556"/>
      <c r="U118" s="556"/>
      <c r="V118" s="556"/>
      <c r="W118" s="556"/>
      <c r="X118" s="556"/>
      <c r="Y118" s="556"/>
      <c r="Z118" s="556"/>
      <c r="AA118" s="556"/>
      <c r="AB118" s="556"/>
      <c r="AC118" s="556"/>
      <c r="AD118" s="556"/>
      <c r="AE118" s="556"/>
      <c r="AF118" s="556"/>
    </row>
    <row r="119" spans="1:32">
      <c r="A119" s="545">
        <v>107</v>
      </c>
      <c r="B119" s="546" t="s">
        <v>426</v>
      </c>
      <c r="C119" s="547" t="s">
        <v>1890</v>
      </c>
      <c r="D119" s="12" t="s">
        <v>1892</v>
      </c>
      <c r="E119" s="13">
        <v>16</v>
      </c>
      <c r="F119" s="14" t="str">
        <f>VLOOKUP($E$119,[1]UC!$A$2:$FA$300, 3, FALSE)</f>
        <v>16 Current taxes on income and wealth, payable D.5p</v>
      </c>
      <c r="G119" s="556">
        <f ca="1">IF(VLOOKUP($E$119,[1]UC!$A$2:$FA$300, 6, FALSE)="",":",VLOOKUP($E$119,[1]UC!$A$2:$FA$300, 6, FALSE))</f>
        <v>5026.1000000000004</v>
      </c>
      <c r="H119" s="556">
        <f>IF(VLOOKUP($E$119,[1]UC!$A$2:$FA$300, 7, FALSE)="",":",VLOOKUP($E$119,[1]UC!$A$2:$FA$300, 7, FALSE))</f>
        <v>5772.6</v>
      </c>
      <c r="I119" s="556">
        <f>IF(VLOOKUP($E$119,[1]UC!$A$2:$FA$300, 8, FALSE)="",":",VLOOKUP($E$119,[1]UC!$A$2:$FA$300, 8, FALSE))</f>
        <v>6483.8</v>
      </c>
      <c r="J119" s="556">
        <f>IF(VLOOKUP($E$119,[1]UC!$A$2:$FA$300, 9, FALSE)="",":",VLOOKUP($E$119,[1]UC!$A$2:$FA$300, 9, FALSE))</f>
        <v>7987.4</v>
      </c>
      <c r="K119" s="556">
        <f>IF(VLOOKUP($E$119,[1]UC!$A$2:$FA$300, 10, FALSE)="",":",VLOOKUP($E$119,[1]UC!$A$2:$FA$300, 10, FALSE))</f>
        <v>7911.7</v>
      </c>
      <c r="L119" s="556">
        <f>IF(VLOOKUP($E$119,[1]UC!$A$2:$FA$300, 11, FALSE)="",":",VLOOKUP($E$119,[1]UC!$A$2:$FA$300, 11, FALSE))</f>
        <v>8265.2000000000007</v>
      </c>
      <c r="M119" s="556">
        <f>IF(VLOOKUP($E$119,[1]UC!$A$2:$FA$300, 12, FALSE)="",":",VLOOKUP($E$119,[1]UC!$A$2:$FA$300, 12, FALSE))</f>
        <v>8267.6</v>
      </c>
      <c r="N119" s="556">
        <f>IF(VLOOKUP($E$119,[1]UC!$A$2:$FA$300, 13, FALSE)="",":",VLOOKUP($E$119,[1]UC!$A$2:$FA$300, 13, FALSE))</f>
        <v>8340</v>
      </c>
      <c r="O119" s="556">
        <f>IF(VLOOKUP($E$119,[1]UC!$A$2:$FA$300, 14, FALSE)="",":",VLOOKUP($E$119,[1]UC!$A$2:$FA$300, 14, FALSE))</f>
        <v>8106.7</v>
      </c>
      <c r="P119" s="556">
        <f>IF(VLOOKUP($E$119,[1]UC!$A$2:$FA$300, 15, FALSE)="",":",VLOOKUP($E$119,[1]UC!$A$2:$FA$300, 15, FALSE))</f>
        <v>9216.9</v>
      </c>
      <c r="Q119" s="556">
        <f>IF(VLOOKUP($E$119,[1]UC!$A$2:$FA$300, 16, FALSE)="",":",VLOOKUP($E$119,[1]UC!$A$2:$FA$300, 16, FALSE))</f>
        <v>10040</v>
      </c>
      <c r="R119" s="556">
        <f>IF(VLOOKUP($E$119,[1]UC!$A$2:$FA$300, 17, FALSE)="",":",VLOOKUP($E$119,[1]UC!$A$2:$FA$300, 17, FALSE))</f>
        <v>11685.4</v>
      </c>
      <c r="S119" s="556">
        <f>IF(VLOOKUP($E$119,[1]UC!$A$2:$FA$300, 18, FALSE)="",":",VLOOKUP($E$119,[1]UC!$A$2:$FA$300, 18, FALSE))</f>
        <v>11980.9</v>
      </c>
      <c r="T119" s="556">
        <f>IF(VLOOKUP($E$119,[1]UC!$A$2:$FA$300, 19, FALSE)="",":",VLOOKUP($E$119,[1]UC!$A$2:$FA$300, 19, FALSE))</f>
        <v>11869.9</v>
      </c>
      <c r="U119" s="556">
        <f>IF(VLOOKUP($E$119,[1]UC!$A$2:$FA$300, 20, FALSE)="",":",VLOOKUP($E$119,[1]UC!$A$2:$FA$300, 20, FALSE))</f>
        <v>8376.5</v>
      </c>
      <c r="V119" s="556">
        <f>IF(VLOOKUP($E$119,[1]UC!$A$2:$FA$300, 21, FALSE)="",":",VLOOKUP($E$119,[1]UC!$A$2:$FA$300, 21, FALSE))</f>
        <v>9542.5</v>
      </c>
      <c r="W119" s="556">
        <f>IF(VLOOKUP($E$119,[1]UC!$A$2:$FA$300, 22, FALSE)="",":",VLOOKUP($E$119,[1]UC!$A$2:$FA$300, 22, FALSE))</f>
        <v>10960.3</v>
      </c>
      <c r="X119" s="556">
        <f>IF(VLOOKUP($E$119,[1]UC!$A$2:$FA$300, 23, FALSE)="",":",VLOOKUP($E$119,[1]UC!$A$2:$FA$300, 23, FALSE))</f>
        <v>11941.5</v>
      </c>
      <c r="Y119" s="556">
        <f>IF(VLOOKUP($E$119,[1]UC!$A$2:$FA$300, 24, FALSE)="",":",VLOOKUP($E$119,[1]UC!$A$2:$FA$300, 24, FALSE))</f>
        <v>12501.5</v>
      </c>
      <c r="Z119" s="556">
        <f>IF(VLOOKUP($E$119,[1]UC!$A$2:$FA$300, 25, FALSE)="",":",VLOOKUP($E$119,[1]UC!$A$2:$FA$300, 25, FALSE))</f>
        <v>12892.7</v>
      </c>
      <c r="AA119" s="556">
        <f>IF(VLOOKUP($E$119,[1]UC!$A$2:$FA$300, 26, FALSE)="",":",VLOOKUP($E$119,[1]UC!$A$2:$FA$300, 26, FALSE))</f>
        <v>13878.1</v>
      </c>
      <c r="AB119" s="556">
        <f>IF(VLOOKUP($E$119,[1]UC!$A$2:$FA$300, 27, FALSE)="",":",VLOOKUP($E$119,[1]UC!$A$2:$FA$300, 27, FALSE))</f>
        <v>14945.5</v>
      </c>
      <c r="AC119" s="556">
        <f>IF(VLOOKUP($E$119,[1]UC!$A$2:$FA$300, 27, FALSE)="",":",VLOOKUP($E$119,[1]UC!$A$2:$FA$300, 28, FALSE))</f>
        <v>0</v>
      </c>
      <c r="AD119" s="556" t="str">
        <f>IF(VLOOKUP($E$119,[1]UC!$A$2:$FA$300, 29, FALSE)="",":",VLOOKUP($E$119,[1]UC!$A$2:$FA$300, 29, FALSE))</f>
        <v>:</v>
      </c>
      <c r="AE119" s="556" t="str">
        <f>IF(VLOOKUP($E$119,[1]UC!$A$2:$FA$300, 30, FALSE)="",":",VLOOKUP($E$119,[1]UC!$A$2:$FA$300, 30, FALSE))</f>
        <v>:</v>
      </c>
      <c r="AF119" s="556" t="str">
        <f>IF(VLOOKUP($E$119,[1]UC!$A$2:$FA$300, 31, FALSE)="",":",VLOOKUP($E$119,[1]UC!$A$2:$FA$300, 31, FALSE))</f>
        <v>:</v>
      </c>
    </row>
    <row r="120" spans="1:32">
      <c r="A120" s="545"/>
      <c r="B120" s="546" t="s">
        <v>1760</v>
      </c>
      <c r="C120" s="547" t="s">
        <v>478</v>
      </c>
      <c r="D120" s="12" t="s">
        <v>1892</v>
      </c>
      <c r="E120" s="13">
        <v>14</v>
      </c>
      <c r="F120" s="14" t="str">
        <f>VLOOKUP($E$120,[1]UC!$A$2:$FA$300, 3, FALSE)</f>
        <v>14 Social contributions, receivable D.61r</v>
      </c>
      <c r="G120" s="556">
        <f ca="1">IF(VLOOKUP($E$120,[1]UC!$A$2:$FA$300, 6, FALSE)="",":",VLOOKUP($E$120,[1]UC!$A$2:$FA$300, 6, FALSE))</f>
        <v>7091.9</v>
      </c>
      <c r="H120" s="556">
        <f>IF(VLOOKUP($E$120,[1]UC!$A$2:$FA$300, 7, FALSE)="",":",VLOOKUP($E$120,[1]UC!$A$2:$FA$300, 7, FALSE))</f>
        <v>7384</v>
      </c>
      <c r="I120" s="556">
        <f>IF(VLOOKUP($E$120,[1]UC!$A$2:$FA$300, 8, FALSE)="",":",VLOOKUP($E$120,[1]UC!$A$2:$FA$300, 8, FALSE))</f>
        <v>8155</v>
      </c>
      <c r="J120" s="556">
        <f>IF(VLOOKUP($E$120,[1]UC!$A$2:$FA$300, 9, FALSE)="",":",VLOOKUP($E$120,[1]UC!$A$2:$FA$300, 9, FALSE))</f>
        <v>8576.7000000000007</v>
      </c>
      <c r="K120" s="556">
        <f>IF(VLOOKUP($E$120,[1]UC!$A$2:$FA$300, 10, FALSE)="",":",VLOOKUP($E$120,[1]UC!$A$2:$FA$300, 10, FALSE))</f>
        <v>8856.7000000000007</v>
      </c>
      <c r="L120" s="556">
        <f>IF(VLOOKUP($E$120,[1]UC!$A$2:$FA$300, 11, FALSE)="",":",VLOOKUP($E$120,[1]UC!$A$2:$FA$300, 11, FALSE))</f>
        <v>9128</v>
      </c>
      <c r="M120" s="556">
        <f>IF(VLOOKUP($E$120,[1]UC!$A$2:$FA$300, 12, FALSE)="",":",VLOOKUP($E$120,[1]UC!$A$2:$FA$300, 12, FALSE))</f>
        <v>9736.6</v>
      </c>
      <c r="N120" s="556">
        <f>IF(VLOOKUP($E$120,[1]UC!$A$2:$FA$300, 13, FALSE)="",":",VLOOKUP($E$120,[1]UC!$A$2:$FA$300, 13, FALSE))</f>
        <v>10283.6</v>
      </c>
      <c r="O120" s="556">
        <f>IF(VLOOKUP($E$120,[1]UC!$A$2:$FA$300, 14, FALSE)="",":",VLOOKUP($E$120,[1]UC!$A$2:$FA$300, 14, FALSE))</f>
        <v>10663.8</v>
      </c>
      <c r="P120" s="556">
        <f>IF(VLOOKUP($E$120,[1]UC!$A$2:$FA$300, 15, FALSE)="",":",VLOOKUP($E$120,[1]UC!$A$2:$FA$300, 15, FALSE))</f>
        <v>10838.8</v>
      </c>
      <c r="Q120" s="556">
        <f>IF(VLOOKUP($E$120,[1]UC!$A$2:$FA$300, 16, FALSE)="",":",VLOOKUP($E$120,[1]UC!$A$2:$FA$300, 16, FALSE))</f>
        <v>10980.5</v>
      </c>
      <c r="R120" s="556">
        <f>IF(VLOOKUP($E$120,[1]UC!$A$2:$FA$300, 17, FALSE)="",":",VLOOKUP($E$120,[1]UC!$A$2:$FA$300, 17, FALSE))</f>
        <v>11375.3</v>
      </c>
      <c r="S120" s="556">
        <f>IF(VLOOKUP($E$120,[1]UC!$A$2:$FA$300, 18, FALSE)="",":",VLOOKUP($E$120,[1]UC!$A$2:$FA$300, 18, FALSE))</f>
        <v>12502</v>
      </c>
      <c r="T120" s="556">
        <f>IF(VLOOKUP($E$120,[1]UC!$A$2:$FA$300, 19, FALSE)="",":",VLOOKUP($E$120,[1]UC!$A$2:$FA$300, 19, FALSE))</f>
        <v>12946.9</v>
      </c>
      <c r="U120" s="556">
        <f>IF(VLOOKUP($E$120,[1]UC!$A$2:$FA$300, 20, FALSE)="",":",VLOOKUP($E$120,[1]UC!$A$2:$FA$300, 20, FALSE))</f>
        <v>13554.3</v>
      </c>
      <c r="V120" s="556">
        <f>IF(VLOOKUP($E$120,[1]UC!$A$2:$FA$300, 21, FALSE)="",":",VLOOKUP($E$120,[1]UC!$A$2:$FA$300, 21, FALSE))</f>
        <v>13688.6</v>
      </c>
      <c r="W120" s="556">
        <f>IF(VLOOKUP($E$120,[1]UC!$A$2:$FA$300, 22, FALSE)="",":",VLOOKUP($E$120,[1]UC!$A$2:$FA$300, 22, FALSE))</f>
        <v>13129.1</v>
      </c>
      <c r="X120" s="556">
        <f>IF(VLOOKUP($E$120,[1]UC!$A$2:$FA$300, 23, FALSE)="",":",VLOOKUP($E$120,[1]UC!$A$2:$FA$300, 23, FALSE))</f>
        <v>13734</v>
      </c>
      <c r="Y120" s="556">
        <f>IF(VLOOKUP($E$120,[1]UC!$A$2:$FA$300, 24, FALSE)="",":",VLOOKUP($E$120,[1]UC!$A$2:$FA$300, 24, FALSE))</f>
        <v>13915.9</v>
      </c>
      <c r="Z120" s="556">
        <f>IF(VLOOKUP($E$120,[1]UC!$A$2:$FA$300, 25, FALSE)="",":",VLOOKUP($E$120,[1]UC!$A$2:$FA$300, 25, FALSE))</f>
        <v>13755.7</v>
      </c>
      <c r="AA120" s="556">
        <f>IF(VLOOKUP($E$120,[1]UC!$A$2:$FA$300, 26, FALSE)="",":",VLOOKUP($E$120,[1]UC!$A$2:$FA$300, 26, FALSE))</f>
        <v>14129.8</v>
      </c>
      <c r="AB120" s="556">
        <f>IF(VLOOKUP($E$120,[1]UC!$A$2:$FA$300, 27, FALSE)="",":",VLOOKUP($E$120,[1]UC!$A$2:$FA$300, 27, FALSE))</f>
        <v>13931.8</v>
      </c>
      <c r="AC120" s="556">
        <f>IF(VLOOKUP($E$119,[1]UC!$A$2:$FA$300, 27, FALSE)="",":",VLOOKUP($E$119,[1]UC!$A$2:$FA$300, 28, FALSE))</f>
        <v>0</v>
      </c>
      <c r="AD120" s="556" t="str">
        <f>IF(VLOOKUP($E$120,[1]UC!$A$2:$FA$300, 29, FALSE)="",":",VLOOKUP($E$120,[1]UC!$A$2:$FA$300, 29, FALSE))</f>
        <v>:</v>
      </c>
      <c r="AE120" s="556" t="str">
        <f>IF(VLOOKUP($E$120,[1]UC!$A$2:$FA$300, 30, FALSE)="",":",VLOOKUP($E$120,[1]UC!$A$2:$FA$300, 30, FALSE))</f>
        <v>:</v>
      </c>
      <c r="AF120" s="556" t="str">
        <f>IF(VLOOKUP($E$120,[1]UC!$A$2:$FA$300, 31, FALSE)="",":",VLOOKUP($E$120,[1]UC!$A$2:$FA$300, 31, FALSE))</f>
        <v>:</v>
      </c>
    </row>
    <row r="121" spans="1:32">
      <c r="A121" s="545"/>
      <c r="B121" s="546" t="s">
        <v>1761</v>
      </c>
      <c r="C121" s="547" t="s">
        <v>479</v>
      </c>
      <c r="D121" s="12" t="s">
        <v>1892</v>
      </c>
      <c r="E121" s="13">
        <v>17</v>
      </c>
      <c r="F121" s="14" t="str">
        <f>VLOOKUP($E$121,[1]UC!$A$2:$FA$300, 3, FALSE)</f>
        <v>17 Social benefits other than social transfers in kind, payable D.62p</v>
      </c>
      <c r="G121" s="556">
        <f ca="1">IF(VLOOKUP($E$121,[1]UC!$A$2:$FA$300, 6, FALSE)="",":",VLOOKUP($E$121,[1]UC!$A$2:$FA$300, 6, FALSE))</f>
        <v>6764.7</v>
      </c>
      <c r="H121" s="556">
        <f>IF(VLOOKUP($E$121,[1]UC!$A$2:$FA$300, 7, FALSE)="",":",VLOOKUP($E$121,[1]UC!$A$2:$FA$300, 7, FALSE))</f>
        <v>6742.5</v>
      </c>
      <c r="I121" s="556">
        <f>IF(VLOOKUP($E$121,[1]UC!$A$2:$FA$300, 8, FALSE)="",":",VLOOKUP($E$121,[1]UC!$A$2:$FA$300, 8, FALSE))</f>
        <v>7172.8</v>
      </c>
      <c r="J121" s="556">
        <f>IF(VLOOKUP($E$121,[1]UC!$A$2:$FA$300, 9, FALSE)="",":",VLOOKUP($E$121,[1]UC!$A$2:$FA$300, 9, FALSE))</f>
        <v>7658.4</v>
      </c>
      <c r="K121" s="556">
        <f>IF(VLOOKUP($E$121,[1]UC!$A$2:$FA$300, 10, FALSE)="",":",VLOOKUP($E$121,[1]UC!$A$2:$FA$300, 10, FALSE))</f>
        <v>7909.1</v>
      </c>
      <c r="L121" s="556">
        <f>IF(VLOOKUP($E$121,[1]UC!$A$2:$FA$300, 11, FALSE)="",":",VLOOKUP($E$121,[1]UC!$A$2:$FA$300, 11, FALSE))</f>
        <v>8184.3</v>
      </c>
      <c r="M121" s="556">
        <f>IF(VLOOKUP($E$121,[1]UC!$A$2:$FA$300, 12, FALSE)="",":",VLOOKUP($E$121,[1]UC!$A$2:$FA$300, 12, FALSE))</f>
        <v>8796.4</v>
      </c>
      <c r="N121" s="556">
        <f>IF(VLOOKUP($E$121,[1]UC!$A$2:$FA$300, 13, FALSE)="",":",VLOOKUP($E$121,[1]UC!$A$2:$FA$300, 13, FALSE))</f>
        <v>9365.7000000000007</v>
      </c>
      <c r="O121" s="556">
        <f>IF(VLOOKUP($E$121,[1]UC!$A$2:$FA$300, 14, FALSE)="",":",VLOOKUP($E$121,[1]UC!$A$2:$FA$300, 14, FALSE))</f>
        <v>9596</v>
      </c>
      <c r="P121" s="556">
        <f>IF(VLOOKUP($E$121,[1]UC!$A$2:$FA$300, 15, FALSE)="",":",VLOOKUP($E$121,[1]UC!$A$2:$FA$300, 15, FALSE))</f>
        <v>9689.5</v>
      </c>
      <c r="Q121" s="556">
        <f>IF(VLOOKUP($E$121,[1]UC!$A$2:$FA$300, 16, FALSE)="",":",VLOOKUP($E$121,[1]UC!$A$2:$FA$300, 16, FALSE))</f>
        <v>9720.7000000000007</v>
      </c>
      <c r="R121" s="556">
        <f>IF(VLOOKUP($E$121,[1]UC!$A$2:$FA$300, 17, FALSE)="",":",VLOOKUP($E$121,[1]UC!$A$2:$FA$300, 17, FALSE))</f>
        <v>10067.9</v>
      </c>
      <c r="S121" s="556">
        <f>IF(VLOOKUP($E$121,[1]UC!$A$2:$FA$300, 18, FALSE)="",":",VLOOKUP($E$121,[1]UC!$A$2:$FA$300, 18, FALSE))</f>
        <v>10177.700000000001</v>
      </c>
      <c r="T121" s="556">
        <f>IF(VLOOKUP($E$121,[1]UC!$A$2:$FA$300, 19, FALSE)="",":",VLOOKUP($E$121,[1]UC!$A$2:$FA$300, 19, FALSE))</f>
        <v>10201.200000000001</v>
      </c>
      <c r="U121" s="556">
        <f>IF(VLOOKUP($E$121,[1]UC!$A$2:$FA$300, 20, FALSE)="",":",VLOOKUP($E$121,[1]UC!$A$2:$FA$300, 20, FALSE))</f>
        <v>10837.1</v>
      </c>
      <c r="V121" s="556">
        <f>IF(VLOOKUP($E$121,[1]UC!$A$2:$FA$300, 21, FALSE)="",":",VLOOKUP($E$121,[1]UC!$A$2:$FA$300, 21, FALSE))</f>
        <v>10260.4</v>
      </c>
      <c r="W121" s="556">
        <f>IF(VLOOKUP($E$121,[1]UC!$A$2:$FA$300, 22, FALSE)="",":",VLOOKUP($E$121,[1]UC!$A$2:$FA$300, 22, FALSE))</f>
        <v>10182.1</v>
      </c>
      <c r="X121" s="556">
        <f>IF(VLOOKUP($E$121,[1]UC!$A$2:$FA$300, 23, FALSE)="",":",VLOOKUP($E$121,[1]UC!$A$2:$FA$300, 23, FALSE))</f>
        <v>10827.1</v>
      </c>
      <c r="Y121" s="556">
        <f>IF(VLOOKUP($E$121,[1]UC!$A$2:$FA$300, 24, FALSE)="",":",VLOOKUP($E$121,[1]UC!$A$2:$FA$300, 24, FALSE))</f>
        <v>11136.9</v>
      </c>
      <c r="Z121" s="556">
        <f>IF(VLOOKUP($E$121,[1]UC!$A$2:$FA$300, 25, FALSE)="",":",VLOOKUP($E$121,[1]UC!$A$2:$FA$300, 25, FALSE))</f>
        <v>11058.9</v>
      </c>
      <c r="AA121" s="556">
        <f>IF(VLOOKUP($E$121,[1]UC!$A$2:$FA$300, 26, FALSE)="",":",VLOOKUP($E$121,[1]UC!$A$2:$FA$300, 26, FALSE))</f>
        <v>11359.3</v>
      </c>
      <c r="AB121" s="556">
        <f>IF(VLOOKUP($E$121,[1]UC!$A$2:$FA$300, 27, FALSE)="",":",VLOOKUP($E$121,[1]UC!$A$2:$FA$300, 27, FALSE))</f>
        <v>11133.4</v>
      </c>
      <c r="AC121" s="556">
        <f>IF(VLOOKUP($E$119,[1]UC!$A$2:$FA$300, 27, FALSE)="",":",VLOOKUP($E$119,[1]UC!$A$2:$FA$300, 28, FALSE))</f>
        <v>0</v>
      </c>
      <c r="AD121" s="556" t="str">
        <f>IF(VLOOKUP($E$121,[1]UC!$A$2:$FA$300, 29, FALSE)="",":",VLOOKUP($E$121,[1]UC!$A$2:$FA$300, 29, FALSE))</f>
        <v>:</v>
      </c>
      <c r="AE121" s="556" t="str">
        <f>IF(VLOOKUP($E$121,[1]UC!$A$2:$FA$300, 30, FALSE)="",":",VLOOKUP($E$121,[1]UC!$A$2:$FA$300, 30, FALSE))</f>
        <v>:</v>
      </c>
      <c r="AF121" s="556" t="str">
        <f>IF(VLOOKUP($E$121,[1]UC!$A$2:$FA$300, 31, FALSE)="",":",VLOOKUP($E$121,[1]UC!$A$2:$FA$300, 31, FALSE))</f>
        <v>:</v>
      </c>
    </row>
    <row r="122" spans="1:32">
      <c r="A122" s="545"/>
      <c r="B122" s="546" t="s">
        <v>1758</v>
      </c>
      <c r="C122" s="547" t="s">
        <v>1066</v>
      </c>
      <c r="D122" s="12" t="s">
        <v>1892</v>
      </c>
      <c r="E122" s="13">
        <v>15</v>
      </c>
      <c r="F122" s="14" t="str">
        <f>VLOOKUP($E$122,[1]UC!$A$2:$FA$300, 3, FALSE)</f>
        <v>15 Other current transfers, receivable D.7r</v>
      </c>
      <c r="G122" s="556">
        <f ca="1">IF(VLOOKUP($E$122,[1]UC!$A$2:$FA$300, 6, FALSE)="",":",VLOOKUP($E$122,[1]UC!$A$2:$FA$300, 6, FALSE))</f>
        <v>8198.6</v>
      </c>
      <c r="H122" s="556">
        <f>IF(VLOOKUP($E$122,[1]UC!$A$2:$FA$300, 7, FALSE)="",":",VLOOKUP($E$122,[1]UC!$A$2:$FA$300, 7, FALSE))</f>
        <v>8400.1</v>
      </c>
      <c r="I122" s="556">
        <f>IF(VLOOKUP($E$122,[1]UC!$A$2:$FA$300, 8, FALSE)="",":",VLOOKUP($E$122,[1]UC!$A$2:$FA$300, 8, FALSE))</f>
        <v>8499.5</v>
      </c>
      <c r="J122" s="556">
        <f>IF(VLOOKUP($E$122,[1]UC!$A$2:$FA$300, 9, FALSE)="",":",VLOOKUP($E$122,[1]UC!$A$2:$FA$300, 9, FALSE))</f>
        <v>8510.6</v>
      </c>
      <c r="K122" s="556">
        <f>IF(VLOOKUP($E$122,[1]UC!$A$2:$FA$300, 10, FALSE)="",":",VLOOKUP($E$122,[1]UC!$A$2:$FA$300, 10, FALSE))</f>
        <v>8992.2000000000007</v>
      </c>
      <c r="L122" s="556">
        <f>IF(VLOOKUP($E$122,[1]UC!$A$2:$FA$300, 11, FALSE)="",":",VLOOKUP($E$122,[1]UC!$A$2:$FA$300, 11, FALSE))</f>
        <v>9224.4</v>
      </c>
      <c r="M122" s="556">
        <f>IF(VLOOKUP($E$122,[1]UC!$A$2:$FA$300, 12, FALSE)="",":",VLOOKUP($E$122,[1]UC!$A$2:$FA$300, 12, FALSE))</f>
        <v>8743.7000000000007</v>
      </c>
      <c r="N122" s="556">
        <f>IF(VLOOKUP($E$122,[1]UC!$A$2:$FA$300, 13, FALSE)="",":",VLOOKUP($E$122,[1]UC!$A$2:$FA$300, 13, FALSE))</f>
        <v>9561.7000000000007</v>
      </c>
      <c r="O122" s="556">
        <f>IF(VLOOKUP($E$122,[1]UC!$A$2:$FA$300, 14, FALSE)="",":",VLOOKUP($E$122,[1]UC!$A$2:$FA$300, 14, FALSE))</f>
        <v>9430.2999999999993</v>
      </c>
      <c r="P122" s="556">
        <f>IF(VLOOKUP($E$122,[1]UC!$A$2:$FA$300, 15, FALSE)="",":",VLOOKUP($E$122,[1]UC!$A$2:$FA$300, 15, FALSE))</f>
        <v>8664.7999999999993</v>
      </c>
      <c r="Q122" s="556">
        <f>IF(VLOOKUP($E$122,[1]UC!$A$2:$FA$300, 16, FALSE)="",":",VLOOKUP($E$122,[1]UC!$A$2:$FA$300, 16, FALSE))</f>
        <v>8353.4</v>
      </c>
      <c r="R122" s="556">
        <f>IF(VLOOKUP($E$122,[1]UC!$A$2:$FA$300, 17, FALSE)="",":",VLOOKUP($E$122,[1]UC!$A$2:$FA$300, 17, FALSE))</f>
        <v>8388.2999999999993</v>
      </c>
      <c r="S122" s="556">
        <f>IF(VLOOKUP($E$122,[1]UC!$A$2:$FA$300, 18, FALSE)="",":",VLOOKUP($E$122,[1]UC!$A$2:$FA$300, 18, FALSE))</f>
        <v>9418.2000000000007</v>
      </c>
      <c r="T122" s="556">
        <f>IF(VLOOKUP($E$122,[1]UC!$A$2:$FA$300, 19, FALSE)="",":",VLOOKUP($E$122,[1]UC!$A$2:$FA$300, 19, FALSE))</f>
        <v>10241.799999999999</v>
      </c>
      <c r="U122" s="556">
        <f>IF(VLOOKUP($E$122,[1]UC!$A$2:$FA$300, 20, FALSE)="",":",VLOOKUP($E$122,[1]UC!$A$2:$FA$300, 20, FALSE))</f>
        <v>11423</v>
      </c>
      <c r="V122" s="556">
        <f>IF(VLOOKUP($E$122,[1]UC!$A$2:$FA$300, 21, FALSE)="",":",VLOOKUP($E$122,[1]UC!$A$2:$FA$300, 21, FALSE))</f>
        <v>12732.5</v>
      </c>
      <c r="W122" s="556">
        <f>IF(VLOOKUP($E$122,[1]UC!$A$2:$FA$300, 22, FALSE)="",":",VLOOKUP($E$122,[1]UC!$A$2:$FA$300, 22, FALSE))</f>
        <v>12618</v>
      </c>
      <c r="X122" s="556">
        <f>IF(VLOOKUP($E$122,[1]UC!$A$2:$FA$300, 23, FALSE)="",":",VLOOKUP($E$122,[1]UC!$A$2:$FA$300, 23, FALSE))</f>
        <v>12015.5</v>
      </c>
      <c r="Y122" s="556">
        <f>IF(VLOOKUP($E$122,[1]UC!$A$2:$FA$300, 24, FALSE)="",":",VLOOKUP($E$122,[1]UC!$A$2:$FA$300, 24, FALSE))</f>
        <v>11800.8</v>
      </c>
      <c r="Z122" s="556">
        <f>IF(VLOOKUP($E$122,[1]UC!$A$2:$FA$300, 25, FALSE)="",":",VLOOKUP($E$122,[1]UC!$A$2:$FA$300, 25, FALSE))</f>
        <v>11711.9</v>
      </c>
      <c r="AA122" s="556">
        <f>IF(VLOOKUP($E$122,[1]UC!$A$2:$FA$300, 26, FALSE)="",":",VLOOKUP($E$122,[1]UC!$A$2:$FA$300, 26, FALSE))</f>
        <v>12341.8</v>
      </c>
      <c r="AB122" s="556">
        <f>IF(VLOOKUP($E$122,[1]UC!$A$2:$FA$300, 27, FALSE)="",":",VLOOKUP($E$122,[1]UC!$A$2:$FA$300, 27, FALSE))</f>
        <v>12150.6</v>
      </c>
      <c r="AC122" s="556">
        <f>IF(VLOOKUP($E$119,[1]UC!$A$2:$FA$300, 27, FALSE)="",":",VLOOKUP($E$119,[1]UC!$A$2:$FA$300, 28, FALSE))</f>
        <v>0</v>
      </c>
      <c r="AD122" s="556" t="str">
        <f>IF(VLOOKUP($E$122,[1]UC!$A$2:$FA$300, 29, FALSE)="",":",VLOOKUP($E$122,[1]UC!$A$2:$FA$300, 29, FALSE))</f>
        <v>:</v>
      </c>
      <c r="AE122" s="556" t="str">
        <f>IF(VLOOKUP($E$122,[1]UC!$A$2:$FA$300, 30, FALSE)="",":",VLOOKUP($E$122,[1]UC!$A$2:$FA$300, 30, FALSE))</f>
        <v>:</v>
      </c>
      <c r="AF122" s="556" t="str">
        <f>IF(VLOOKUP($E$122,[1]UC!$A$2:$FA$300, 31, FALSE)="",":",VLOOKUP($E$122,[1]UC!$A$2:$FA$300, 31, FALSE))</f>
        <v>:</v>
      </c>
    </row>
    <row r="123" spans="1:32">
      <c r="A123" s="545"/>
      <c r="B123" s="546" t="s">
        <v>1759</v>
      </c>
      <c r="C123" s="547" t="s">
        <v>477</v>
      </c>
      <c r="D123" s="12" t="s">
        <v>1892</v>
      </c>
      <c r="E123" s="13">
        <v>18</v>
      </c>
      <c r="F123" s="14" t="str">
        <f>VLOOKUP($E$123,[1]UC!$A$2:$FA$300, 3, FALSE)</f>
        <v>18 Other current transfers, payable D.7p</v>
      </c>
      <c r="G123" s="556">
        <f ca="1">IF(VLOOKUP($E$123,[1]UC!$A$2:$FA$300, 6, FALSE)="",":",VLOOKUP($E$123,[1]UC!$A$2:$FA$300, 6, FALSE))</f>
        <v>7435.5</v>
      </c>
      <c r="H123" s="556">
        <f>IF(VLOOKUP($E$123,[1]UC!$A$2:$FA$300, 7, FALSE)="",":",VLOOKUP($E$123,[1]UC!$A$2:$FA$300, 7, FALSE))</f>
        <v>7816.2</v>
      </c>
      <c r="I123" s="556">
        <f>IF(VLOOKUP($E$123,[1]UC!$A$2:$FA$300, 8, FALSE)="",":",VLOOKUP($E$123,[1]UC!$A$2:$FA$300, 8, FALSE))</f>
        <v>7841.2</v>
      </c>
      <c r="J123" s="556">
        <f>IF(VLOOKUP($E$123,[1]UC!$A$2:$FA$300, 9, FALSE)="",":",VLOOKUP($E$123,[1]UC!$A$2:$FA$300, 9, FALSE))</f>
        <v>7935.9</v>
      </c>
      <c r="K123" s="556">
        <f>IF(VLOOKUP($E$123,[1]UC!$A$2:$FA$300, 10, FALSE)="",":",VLOOKUP($E$123,[1]UC!$A$2:$FA$300, 10, FALSE))</f>
        <v>8254.5</v>
      </c>
      <c r="L123" s="556">
        <f>IF(VLOOKUP($E$123,[1]UC!$A$2:$FA$300, 11, FALSE)="",":",VLOOKUP($E$123,[1]UC!$A$2:$FA$300, 11, FALSE))</f>
        <v>8304.7000000000007</v>
      </c>
      <c r="M123" s="556">
        <f>IF(VLOOKUP($E$123,[1]UC!$A$2:$FA$300, 12, FALSE)="",":",VLOOKUP($E$123,[1]UC!$A$2:$FA$300, 12, FALSE))</f>
        <v>7823.8</v>
      </c>
      <c r="N123" s="556">
        <f>IF(VLOOKUP($E$123,[1]UC!$A$2:$FA$300, 13, FALSE)="",":",VLOOKUP($E$123,[1]UC!$A$2:$FA$300, 13, FALSE))</f>
        <v>8742.7000000000007</v>
      </c>
      <c r="O123" s="556">
        <f>IF(VLOOKUP($E$123,[1]UC!$A$2:$FA$300, 14, FALSE)="",":",VLOOKUP($E$123,[1]UC!$A$2:$FA$300, 14, FALSE))</f>
        <v>8621</v>
      </c>
      <c r="P123" s="556">
        <f>IF(VLOOKUP($E$123,[1]UC!$A$2:$FA$300, 15, FALSE)="",":",VLOOKUP($E$123,[1]UC!$A$2:$FA$300, 15, FALSE))</f>
        <v>8282.1</v>
      </c>
      <c r="Q123" s="556">
        <f>IF(VLOOKUP($E$123,[1]UC!$A$2:$FA$300, 16, FALSE)="",":",VLOOKUP($E$123,[1]UC!$A$2:$FA$300, 16, FALSE))</f>
        <v>8174.6</v>
      </c>
      <c r="R123" s="556">
        <f>IF(VLOOKUP($E$123,[1]UC!$A$2:$FA$300, 17, FALSE)="",":",VLOOKUP($E$123,[1]UC!$A$2:$FA$300, 17, FALSE))</f>
        <v>8287.5</v>
      </c>
      <c r="S123" s="556">
        <f>IF(VLOOKUP($E$123,[1]UC!$A$2:$FA$300, 18, FALSE)="",":",VLOOKUP($E$123,[1]UC!$A$2:$FA$300, 18, FALSE))</f>
        <v>9303.2000000000007</v>
      </c>
      <c r="T123" s="556">
        <f>IF(VLOOKUP($E$123,[1]UC!$A$2:$FA$300, 19, FALSE)="",":",VLOOKUP($E$123,[1]UC!$A$2:$FA$300, 19, FALSE))</f>
        <v>10979.9</v>
      </c>
      <c r="U123" s="556">
        <f>IF(VLOOKUP($E$123,[1]UC!$A$2:$FA$300, 20, FALSE)="",":",VLOOKUP($E$123,[1]UC!$A$2:$FA$300, 20, FALSE))</f>
        <v>12226.3</v>
      </c>
      <c r="V123" s="556">
        <f>IF(VLOOKUP($E$123,[1]UC!$A$2:$FA$300, 21, FALSE)="",":",VLOOKUP($E$123,[1]UC!$A$2:$FA$300, 21, FALSE))</f>
        <v>13020.5</v>
      </c>
      <c r="W123" s="556">
        <f>IF(VLOOKUP($E$123,[1]UC!$A$2:$FA$300, 22, FALSE)="",":",VLOOKUP($E$123,[1]UC!$A$2:$FA$300, 22, FALSE))</f>
        <v>12914</v>
      </c>
      <c r="X123" s="556">
        <f>IF(VLOOKUP($E$123,[1]UC!$A$2:$FA$300, 23, FALSE)="",":",VLOOKUP($E$123,[1]UC!$A$2:$FA$300, 23, FALSE))</f>
        <v>13231.1</v>
      </c>
      <c r="Y123" s="556">
        <f>IF(VLOOKUP($E$123,[1]UC!$A$2:$FA$300, 24, FALSE)="",":",VLOOKUP($E$123,[1]UC!$A$2:$FA$300, 24, FALSE))</f>
        <v>13121.3</v>
      </c>
      <c r="Z123" s="556">
        <f>IF(VLOOKUP($E$123,[1]UC!$A$2:$FA$300, 25, FALSE)="",":",VLOOKUP($E$123,[1]UC!$A$2:$FA$300, 25, FALSE))</f>
        <v>13264.5</v>
      </c>
      <c r="AA123" s="556">
        <f>IF(VLOOKUP($E$123,[1]UC!$A$2:$FA$300, 26, FALSE)="",":",VLOOKUP($E$123,[1]UC!$A$2:$FA$300, 26, FALSE))</f>
        <v>13426.1</v>
      </c>
      <c r="AB123" s="556">
        <f>IF(VLOOKUP($E$123,[1]UC!$A$2:$FA$300, 27, FALSE)="",":",VLOOKUP($E$123,[1]UC!$A$2:$FA$300, 27, FALSE))</f>
        <v>13978.5</v>
      </c>
      <c r="AC123" s="556">
        <f>IF(VLOOKUP($E$119,[1]UC!$A$2:$FA$300, 27, FALSE)="",":",VLOOKUP($E$119,[1]UC!$A$2:$FA$300, 28, FALSE))</f>
        <v>0</v>
      </c>
      <c r="AD123" s="556" t="str">
        <f>IF(VLOOKUP($E$123,[1]UC!$A$2:$FA$300, 29, FALSE)="",":",VLOOKUP($E$123,[1]UC!$A$2:$FA$300, 29, FALSE))</f>
        <v>:</v>
      </c>
      <c r="AE123" s="556" t="str">
        <f>IF(VLOOKUP($E$123,[1]UC!$A$2:$FA$300, 30, FALSE)="",":",VLOOKUP($E$123,[1]UC!$A$2:$FA$300, 30, FALSE))</f>
        <v>:</v>
      </c>
      <c r="AF123" s="556" t="str">
        <f>IF(VLOOKUP($E$123,[1]UC!$A$2:$FA$300, 31, FALSE)="",":",VLOOKUP($E$123,[1]UC!$A$2:$FA$300, 31, FALSE))</f>
        <v>:</v>
      </c>
    </row>
    <row r="124" spans="1:32">
      <c r="A124" s="545"/>
      <c r="B124" s="546"/>
      <c r="C124" s="547"/>
      <c r="D124" s="12"/>
      <c r="E124" s="13"/>
      <c r="F124" s="14"/>
      <c r="G124" s="556"/>
      <c r="H124" s="556"/>
      <c r="I124" s="556"/>
      <c r="J124" s="556"/>
      <c r="K124" s="556"/>
      <c r="L124" s="556"/>
      <c r="M124" s="556"/>
      <c r="N124" s="556"/>
      <c r="O124" s="556"/>
      <c r="P124" s="556"/>
      <c r="Q124" s="556"/>
      <c r="R124" s="556"/>
      <c r="S124" s="556"/>
      <c r="T124" s="556"/>
      <c r="U124" s="556"/>
      <c r="V124" s="556"/>
      <c r="W124" s="556"/>
      <c r="X124" s="556"/>
      <c r="Y124" s="556"/>
      <c r="Z124" s="556"/>
      <c r="AA124" s="556"/>
      <c r="AB124" s="556"/>
      <c r="AC124" s="556"/>
      <c r="AD124" s="556"/>
      <c r="AE124" s="556"/>
      <c r="AF124" s="556"/>
    </row>
    <row r="125" spans="1:32">
      <c r="A125" s="545"/>
      <c r="B125" s="546" t="s">
        <v>1757</v>
      </c>
      <c r="C125" s="547" t="s">
        <v>160</v>
      </c>
      <c r="D125" s="12" t="s">
        <v>1892</v>
      </c>
      <c r="E125" s="13">
        <v>20</v>
      </c>
      <c r="F125" s="14" t="str">
        <f>VLOOKUP($E$125,[1]UC!$A$2:$FA$300, 3, FALSE)</f>
        <v>20 Adjustment for the change in net equity of households on pension funds D.8</v>
      </c>
      <c r="G125" s="556">
        <f ca="1">IF(VLOOKUP($E$125,[1]UC!$A$2:$FA$300, 6, FALSE)="",":",VLOOKUP($E$125,[1]UC!$A$2:$FA$300, 6, FALSE))</f>
        <v>1091.2</v>
      </c>
      <c r="H125" s="556">
        <f>IF(VLOOKUP($E$125,[1]UC!$A$2:$FA$300, 7, FALSE)="",":",VLOOKUP($E$125,[1]UC!$A$2:$FA$300, 7, FALSE))</f>
        <v>1328.6</v>
      </c>
      <c r="I125" s="556">
        <f>IF(VLOOKUP($E$125,[1]UC!$A$2:$FA$300, 8, FALSE)="",":",VLOOKUP($E$125,[1]UC!$A$2:$FA$300, 8, FALSE))</f>
        <v>1460.9</v>
      </c>
      <c r="J125" s="556">
        <f>IF(VLOOKUP($E$125,[1]UC!$A$2:$FA$300, 9, FALSE)="",":",VLOOKUP($E$125,[1]UC!$A$2:$FA$300, 9, FALSE))</f>
        <v>1432.6</v>
      </c>
      <c r="K125" s="556">
        <f>IF(VLOOKUP($E$125,[1]UC!$A$2:$FA$300, 10, FALSE)="",":",VLOOKUP($E$125,[1]UC!$A$2:$FA$300, 10, FALSE))</f>
        <v>1443.8</v>
      </c>
      <c r="L125" s="556">
        <f>IF(VLOOKUP($E$125,[1]UC!$A$2:$FA$300, 11, FALSE)="",":",VLOOKUP($E$125,[1]UC!$A$2:$FA$300, 11, FALSE))</f>
        <v>1389.5</v>
      </c>
      <c r="M125" s="556">
        <f>IF(VLOOKUP($E$125,[1]UC!$A$2:$FA$300, 12, FALSE)="",":",VLOOKUP($E$125,[1]UC!$A$2:$FA$300, 12, FALSE))</f>
        <v>1397.4</v>
      </c>
      <c r="N125" s="556">
        <f>IF(VLOOKUP($E$125,[1]UC!$A$2:$FA$300, 13, FALSE)="",":",VLOOKUP($E$125,[1]UC!$A$2:$FA$300, 13, FALSE))</f>
        <v>1399.2</v>
      </c>
      <c r="O125" s="556">
        <f>IF(VLOOKUP($E$125,[1]UC!$A$2:$FA$300, 14, FALSE)="",":",VLOOKUP($E$125,[1]UC!$A$2:$FA$300, 14, FALSE))</f>
        <v>1590.6</v>
      </c>
      <c r="P125" s="556">
        <f>IF(VLOOKUP($E$125,[1]UC!$A$2:$FA$300, 15, FALSE)="",":",VLOOKUP($E$125,[1]UC!$A$2:$FA$300, 15, FALSE))</f>
        <v>1700</v>
      </c>
      <c r="Q125" s="556">
        <f>IF(VLOOKUP($E$125,[1]UC!$A$2:$FA$300, 16, FALSE)="",":",VLOOKUP($E$125,[1]UC!$A$2:$FA$300, 16, FALSE))</f>
        <v>1767.1</v>
      </c>
      <c r="R125" s="556">
        <f>IF(VLOOKUP($E$125,[1]UC!$A$2:$FA$300, 17, FALSE)="",":",VLOOKUP($E$125,[1]UC!$A$2:$FA$300, 17, FALSE))</f>
        <v>1856.9</v>
      </c>
      <c r="S125" s="556">
        <f>IF(VLOOKUP($E$125,[1]UC!$A$2:$FA$300, 18, FALSE)="",":",VLOOKUP($E$125,[1]UC!$A$2:$FA$300, 18, FALSE))</f>
        <v>2233</v>
      </c>
      <c r="T125" s="556">
        <f>IF(VLOOKUP($E$125,[1]UC!$A$2:$FA$300, 19, FALSE)="",":",VLOOKUP($E$125,[1]UC!$A$2:$FA$300, 19, FALSE))</f>
        <v>2684.5</v>
      </c>
      <c r="U125" s="556">
        <f>IF(VLOOKUP($E$125,[1]UC!$A$2:$FA$300, 20, FALSE)="",":",VLOOKUP($E$125,[1]UC!$A$2:$FA$300, 20, FALSE))</f>
        <v>2674.3</v>
      </c>
      <c r="V125" s="556">
        <f>IF(VLOOKUP($E$125,[1]UC!$A$2:$FA$300, 21, FALSE)="",":",VLOOKUP($E$125,[1]UC!$A$2:$FA$300, 21, FALSE))</f>
        <v>3394.2</v>
      </c>
      <c r="W125" s="556">
        <f>IF(VLOOKUP($E$125,[1]UC!$A$2:$FA$300, 22, FALSE)="",":",VLOOKUP($E$125,[1]UC!$A$2:$FA$300, 22, FALSE))</f>
        <v>2913.2</v>
      </c>
      <c r="X125" s="556">
        <f>IF(VLOOKUP($E$125,[1]UC!$A$2:$FA$300, 23, FALSE)="",":",VLOOKUP($E$125,[1]UC!$A$2:$FA$300, 23, FALSE))</f>
        <v>2868.7</v>
      </c>
      <c r="Y125" s="556">
        <f>IF(VLOOKUP($E$125,[1]UC!$A$2:$FA$300, 24, FALSE)="",":",VLOOKUP($E$125,[1]UC!$A$2:$FA$300, 24, FALSE))</f>
        <v>2855.6</v>
      </c>
      <c r="Z125" s="556">
        <f>IF(VLOOKUP($E$125,[1]UC!$A$2:$FA$300, 25, FALSE)="",":",VLOOKUP($E$125,[1]UC!$A$2:$FA$300, 25, FALSE))</f>
        <v>2698.7</v>
      </c>
      <c r="AA125" s="556">
        <f>IF(VLOOKUP($E$125,[1]UC!$A$2:$FA$300, 26, FALSE)="",":",VLOOKUP($E$125,[1]UC!$A$2:$FA$300, 26, FALSE))</f>
        <v>2803.1</v>
      </c>
      <c r="AB125" s="556">
        <f>IF(VLOOKUP($E$125,[1]UC!$A$2:$FA$300, 27, FALSE)="",":",VLOOKUP($E$125,[1]UC!$A$2:$FA$300, 27, FALSE))</f>
        <v>2801</v>
      </c>
      <c r="AC125" s="556">
        <f>IF(VLOOKUP($E$125,[1]UC!$A$2:$FA$300, 28, FALSE)="",":",VLOOKUP($E$125,[1]UC!$A$2:$FA$300, 28, FALSE))</f>
        <v>0</v>
      </c>
      <c r="AD125" s="556" t="str">
        <f>IF(VLOOKUP($E$125,[1]UC!$A$2:$FA$300, 29, FALSE)="",":",VLOOKUP($E$125,[1]UC!$A$2:$FA$300, 29, FALSE))</f>
        <v>:</v>
      </c>
      <c r="AE125" s="556" t="str">
        <f>IF(VLOOKUP($E$125,[1]UC!$A$2:$FA$300, 30, FALSE)="",":",VLOOKUP($E$125,[1]UC!$A$2:$FA$300, 30, FALSE))</f>
        <v>:</v>
      </c>
      <c r="AF125" s="556" t="str">
        <f>IF(VLOOKUP($E$125,[1]UC!$A$2:$FA$300, 31, FALSE)="",":",VLOOKUP($E$125,[1]UC!$A$2:$FA$300, 31, FALSE))</f>
        <v>:</v>
      </c>
    </row>
    <row r="126" spans="1:32">
      <c r="A126" s="545"/>
      <c r="B126" s="546" t="s">
        <v>1893</v>
      </c>
      <c r="C126" s="547" t="s">
        <v>1891</v>
      </c>
      <c r="D126" s="12" t="s">
        <v>1892</v>
      </c>
      <c r="E126" s="13">
        <v>22</v>
      </c>
      <c r="F126" s="14" t="str">
        <f>VLOOKUP($E$126,[1]UC!$A$2:$FA$300, 3, FALSE)</f>
        <v>22 Capital transfers, receivable D.9r</v>
      </c>
      <c r="G126" s="556">
        <f ca="1">IF(VLOOKUP($E$126,[1]UC!$A$2:$FA$300, 6, FALSE)="",":",VLOOKUP($E$126,[1]UC!$A$2:$FA$300, 6, FALSE))</f>
        <v>1916.4</v>
      </c>
      <c r="H126" s="556">
        <f>IF(VLOOKUP($E$126,[1]UC!$A$2:$FA$300, 7, FALSE)="",":",VLOOKUP($E$126,[1]UC!$A$2:$FA$300, 7, FALSE))</f>
        <v>2420.5</v>
      </c>
      <c r="I126" s="556">
        <f>IF(VLOOKUP($E$126,[1]UC!$A$2:$FA$300, 8, FALSE)="",":",VLOOKUP($E$126,[1]UC!$A$2:$FA$300, 8, FALSE))</f>
        <v>3184</v>
      </c>
      <c r="J126" s="556">
        <f>IF(VLOOKUP($E$126,[1]UC!$A$2:$FA$300, 9, FALSE)="",":",VLOOKUP($E$126,[1]UC!$A$2:$FA$300, 9, FALSE))</f>
        <v>2983</v>
      </c>
      <c r="K126" s="556">
        <f>IF(VLOOKUP($E$126,[1]UC!$A$2:$FA$300, 10, FALSE)="",":",VLOOKUP($E$126,[1]UC!$A$2:$FA$300, 10, FALSE))</f>
        <v>2748.3</v>
      </c>
      <c r="L126" s="556">
        <f>IF(VLOOKUP($E$126,[1]UC!$A$2:$FA$300, 11, FALSE)="",":",VLOOKUP($E$126,[1]UC!$A$2:$FA$300, 11, FALSE))</f>
        <v>2868.4</v>
      </c>
      <c r="M126" s="556">
        <f>IF(VLOOKUP($E$126,[1]UC!$A$2:$FA$300, 12, FALSE)="",":",VLOOKUP($E$126,[1]UC!$A$2:$FA$300, 12, FALSE))</f>
        <v>2268</v>
      </c>
      <c r="N126" s="556">
        <f>IF(VLOOKUP($E$126,[1]UC!$A$2:$FA$300, 13, FALSE)="",":",VLOOKUP($E$126,[1]UC!$A$2:$FA$300, 13, FALSE))</f>
        <v>2189.1</v>
      </c>
      <c r="O126" s="556">
        <f>IF(VLOOKUP($E$126,[1]UC!$A$2:$FA$300, 14, FALSE)="",":",VLOOKUP($E$126,[1]UC!$A$2:$FA$300, 14, FALSE))</f>
        <v>3898.6</v>
      </c>
      <c r="P126" s="556">
        <f>IF(VLOOKUP($E$126,[1]UC!$A$2:$FA$300, 15, FALSE)="",":",VLOOKUP($E$126,[1]UC!$A$2:$FA$300, 15, FALSE))</f>
        <v>2549.3000000000002</v>
      </c>
      <c r="Q126" s="556">
        <f>IF(VLOOKUP($E$126,[1]UC!$A$2:$FA$300, 16, FALSE)="",":",VLOOKUP($E$126,[1]UC!$A$2:$FA$300, 16, FALSE))</f>
        <v>10736.1</v>
      </c>
      <c r="R126" s="556">
        <f>IF(VLOOKUP($E$126,[1]UC!$A$2:$FA$300, 17, FALSE)="",":",VLOOKUP($E$126,[1]UC!$A$2:$FA$300, 17, FALSE))</f>
        <v>3439.9</v>
      </c>
      <c r="S126" s="556">
        <f>IF(VLOOKUP($E$126,[1]UC!$A$2:$FA$300, 18, FALSE)="",":",VLOOKUP($E$126,[1]UC!$A$2:$FA$300, 18, FALSE))</f>
        <v>3959.5</v>
      </c>
      <c r="T126" s="556">
        <f>IF(VLOOKUP($E$126,[1]UC!$A$2:$FA$300, 19, FALSE)="",":",VLOOKUP($E$126,[1]UC!$A$2:$FA$300, 19, FALSE))</f>
        <v>4101.8</v>
      </c>
      <c r="U126" s="556">
        <f>IF(VLOOKUP($E$126,[1]UC!$A$2:$FA$300, 20, FALSE)="",":",VLOOKUP($E$126,[1]UC!$A$2:$FA$300, 20, FALSE))</f>
        <v>4114.2</v>
      </c>
      <c r="V126" s="556">
        <f>IF(VLOOKUP($E$126,[1]UC!$A$2:$FA$300, 21, FALSE)="",":",VLOOKUP($E$126,[1]UC!$A$2:$FA$300, 21, FALSE))</f>
        <v>4099.3</v>
      </c>
      <c r="W126" s="556">
        <f>IF(VLOOKUP($E$126,[1]UC!$A$2:$FA$300, 22, FALSE)="",":",VLOOKUP($E$126,[1]UC!$A$2:$FA$300, 22, FALSE))</f>
        <v>5657.3</v>
      </c>
      <c r="X126" s="556">
        <f>IF(VLOOKUP($E$126,[1]UC!$A$2:$FA$300, 23, FALSE)="",":",VLOOKUP($E$126,[1]UC!$A$2:$FA$300, 23, FALSE))</f>
        <v>10452.5</v>
      </c>
      <c r="Y126" s="556">
        <f>IF(VLOOKUP($E$126,[1]UC!$A$2:$FA$300, 24, FALSE)="",":",VLOOKUP($E$126,[1]UC!$A$2:$FA$300, 24, FALSE))</f>
        <v>5913</v>
      </c>
      <c r="Z126" s="556">
        <f>IF(VLOOKUP($E$126,[1]UC!$A$2:$FA$300, 25, FALSE)="",":",VLOOKUP($E$126,[1]UC!$A$2:$FA$300, 25, FALSE))</f>
        <v>5906.4</v>
      </c>
      <c r="AA126" s="556">
        <f>IF(VLOOKUP($E$126,[1]UC!$A$2:$FA$300, 26, FALSE)="",":",VLOOKUP($E$126,[1]UC!$A$2:$FA$300, 26, FALSE))</f>
        <v>4566.6000000000004</v>
      </c>
      <c r="AB126" s="556">
        <f>IF(VLOOKUP($E$126,[1]UC!$A$2:$FA$300, 27, FALSE)="",":",VLOOKUP($E$126,[1]UC!$A$2:$FA$300, 27, FALSE))</f>
        <v>3728</v>
      </c>
      <c r="AC126" s="556">
        <f>IF(VLOOKUP($E$126,[1]UC!$A$2:$FA$300, 28, FALSE)="",":",VLOOKUP($E$126,[1]UC!$A$2:$FA$300, 28, FALSE))</f>
        <v>0</v>
      </c>
      <c r="AD126" s="556" t="str">
        <f>IF(VLOOKUP($E$126,[1]UC!$A$2:$FA$300, 29, FALSE)="",":",VLOOKUP($E$126,[1]UC!$A$2:$FA$300, 29, FALSE))</f>
        <v>:</v>
      </c>
      <c r="AE126" s="556" t="str">
        <f>IF(VLOOKUP($E$126,[1]UC!$A$2:$FA$300, 30, FALSE)="",":",VLOOKUP($E$126,[1]UC!$A$2:$FA$300, 30, FALSE))</f>
        <v>:</v>
      </c>
      <c r="AF126" s="556" t="str">
        <f>IF(VLOOKUP($E$126,[1]UC!$A$2:$FA$300, 31, FALSE)="",":",VLOOKUP($E$126,[1]UC!$A$2:$FA$300, 31, FALSE))</f>
        <v>:</v>
      </c>
    </row>
    <row r="127" spans="1:32">
      <c r="A127" s="545"/>
      <c r="B127" s="546" t="s">
        <v>430</v>
      </c>
      <c r="C127" s="547" t="s">
        <v>1894</v>
      </c>
      <c r="D127" s="12" t="s">
        <v>1892</v>
      </c>
      <c r="E127" s="13">
        <v>23</v>
      </c>
      <c r="F127" s="14" t="str">
        <f>VLOOKUP($E$127,[1]UC!$A$2:$FA$300, 3, FALSE)</f>
        <v>23 Capital transfers, payable D.9p</v>
      </c>
      <c r="G127" s="556">
        <f ca="1">IF(VLOOKUP($E$127,[1]UC!$A$2:$FA$300, 6, FALSE)="",":",VLOOKUP($E$127,[1]UC!$A$2:$FA$300, 6, FALSE))</f>
        <v>1248.2</v>
      </c>
      <c r="H127" s="556">
        <f>IF(VLOOKUP($E$127,[1]UC!$A$2:$FA$300, 7, FALSE)="",":",VLOOKUP($E$127,[1]UC!$A$2:$FA$300, 7, FALSE))</f>
        <v>1016.2</v>
      </c>
      <c r="I127" s="556">
        <f>IF(VLOOKUP($E$127,[1]UC!$A$2:$FA$300, 8, FALSE)="",":",VLOOKUP($E$127,[1]UC!$A$2:$FA$300, 8, FALSE))</f>
        <v>803.9</v>
      </c>
      <c r="J127" s="556">
        <f>IF(VLOOKUP($E$127,[1]UC!$A$2:$FA$300, 9, FALSE)="",":",VLOOKUP($E$127,[1]UC!$A$2:$FA$300, 9, FALSE))</f>
        <v>737</v>
      </c>
      <c r="K127" s="556">
        <f>IF(VLOOKUP($E$127,[1]UC!$A$2:$FA$300, 10, FALSE)="",":",VLOOKUP($E$127,[1]UC!$A$2:$FA$300, 10, FALSE))</f>
        <v>1030.8</v>
      </c>
      <c r="L127" s="556">
        <f>IF(VLOOKUP($E$127,[1]UC!$A$2:$FA$300, 11, FALSE)="",":",VLOOKUP($E$127,[1]UC!$A$2:$FA$300, 11, FALSE))</f>
        <v>809</v>
      </c>
      <c r="M127" s="556">
        <f>IF(VLOOKUP($E$127,[1]UC!$A$2:$FA$300, 12, FALSE)="",":",VLOOKUP($E$127,[1]UC!$A$2:$FA$300, 12, FALSE))</f>
        <v>630.4</v>
      </c>
      <c r="N127" s="556">
        <f>IF(VLOOKUP($E$127,[1]UC!$A$2:$FA$300, 13, FALSE)="",":",VLOOKUP($E$127,[1]UC!$A$2:$FA$300, 13, FALSE))</f>
        <v>861.3</v>
      </c>
      <c r="O127" s="556">
        <f>IF(VLOOKUP($E$127,[1]UC!$A$2:$FA$300, 14, FALSE)="",":",VLOOKUP($E$127,[1]UC!$A$2:$FA$300, 14, FALSE))</f>
        <v>451.7</v>
      </c>
      <c r="P127" s="556">
        <f>IF(VLOOKUP($E$127,[1]UC!$A$2:$FA$300, 15, FALSE)="",":",VLOOKUP($E$127,[1]UC!$A$2:$FA$300, 15, FALSE))</f>
        <v>901.8</v>
      </c>
      <c r="Q127" s="556">
        <f>IF(VLOOKUP($E$127,[1]UC!$A$2:$FA$300, 16, FALSE)="",":",VLOOKUP($E$127,[1]UC!$A$2:$FA$300, 16, FALSE))</f>
        <v>838.6</v>
      </c>
      <c r="R127" s="556">
        <f>IF(VLOOKUP($E$127,[1]UC!$A$2:$FA$300, 17, FALSE)="",":",VLOOKUP($E$127,[1]UC!$A$2:$FA$300, 17, FALSE))</f>
        <v>295.3</v>
      </c>
      <c r="S127" s="556">
        <f>IF(VLOOKUP($E$127,[1]UC!$A$2:$FA$300, 18, FALSE)="",":",VLOOKUP($E$127,[1]UC!$A$2:$FA$300, 18, FALSE))</f>
        <v>580.79999999999995</v>
      </c>
      <c r="T127" s="556">
        <f>IF(VLOOKUP($E$127,[1]UC!$A$2:$FA$300, 19, FALSE)="",":",VLOOKUP($E$127,[1]UC!$A$2:$FA$300, 19, FALSE))</f>
        <v>682.9</v>
      </c>
      <c r="U127" s="556">
        <f>IF(VLOOKUP($E$127,[1]UC!$A$2:$FA$300, 20, FALSE)="",":",VLOOKUP($E$127,[1]UC!$A$2:$FA$300, 20, FALSE))</f>
        <v>642.79999999999995</v>
      </c>
      <c r="V127" s="556">
        <f>IF(VLOOKUP($E$127,[1]UC!$A$2:$FA$300, 21, FALSE)="",":",VLOOKUP($E$127,[1]UC!$A$2:$FA$300, 21, FALSE))</f>
        <v>310.7</v>
      </c>
      <c r="W127" s="556">
        <f>IF(VLOOKUP($E$127,[1]UC!$A$2:$FA$300, 22, FALSE)="",":",VLOOKUP($E$127,[1]UC!$A$2:$FA$300, 22, FALSE))</f>
        <v>675.4</v>
      </c>
      <c r="X127" s="556">
        <f>IF(VLOOKUP($E$127,[1]UC!$A$2:$FA$300, 23, FALSE)="",":",VLOOKUP($E$127,[1]UC!$A$2:$FA$300, 23, FALSE))</f>
        <v>1184.5</v>
      </c>
      <c r="Y127" s="556">
        <f>IF(VLOOKUP($E$127,[1]UC!$A$2:$FA$300, 24, FALSE)="",":",VLOOKUP($E$127,[1]UC!$A$2:$FA$300, 24, FALSE))</f>
        <v>475.7</v>
      </c>
      <c r="Z127" s="556">
        <f>IF(VLOOKUP($E$127,[1]UC!$A$2:$FA$300, 25, FALSE)="",":",VLOOKUP($E$127,[1]UC!$A$2:$FA$300, 25, FALSE))</f>
        <v>228.1</v>
      </c>
      <c r="AA127" s="556">
        <f>IF(VLOOKUP($E$127,[1]UC!$A$2:$FA$300, 26, FALSE)="",":",VLOOKUP($E$127,[1]UC!$A$2:$FA$300, 26, FALSE))</f>
        <v>203.5</v>
      </c>
      <c r="AB127" s="556">
        <f>IF(VLOOKUP($E$127,[1]UC!$A$2:$FA$300, 27, FALSE)="",":",VLOOKUP($E$127,[1]UC!$A$2:$FA$300, 27, FALSE))</f>
        <v>669.9</v>
      </c>
      <c r="AC127" s="556">
        <f>IF(VLOOKUP($E$127,[1]UC!$A$2:$FA$300, 28, FALSE)="",":",VLOOKUP($E$127,[1]UC!$A$2:$FA$300, 28, FALSE))</f>
        <v>0</v>
      </c>
      <c r="AD127" s="556" t="str">
        <f>IF(VLOOKUP($E$127,[1]UC!$A$2:$FA$300, 29, FALSE)="",":",VLOOKUP($E$127,[1]UC!$A$2:$FA$300, 29, FALSE))</f>
        <v>:</v>
      </c>
      <c r="AE127" s="556" t="str">
        <f>IF(VLOOKUP($E$127,[1]UC!$A$2:$FA$300, 30, FALSE)="",":",VLOOKUP($E$127,[1]UC!$A$2:$FA$300, 30, FALSE))</f>
        <v>:</v>
      </c>
      <c r="AF127" s="556" t="str">
        <f>IF(VLOOKUP($E$127,[1]UC!$A$2:$FA$300, 31, FALSE)="",":",VLOOKUP($E$127,[1]UC!$A$2:$FA$300, 31, FALSE))</f>
        <v>:</v>
      </c>
    </row>
    <row r="128" spans="1:32" s="552" customFormat="1">
      <c r="A128" s="548"/>
      <c r="B128" s="549" t="s">
        <v>804</v>
      </c>
      <c r="C128" s="550" t="s">
        <v>805</v>
      </c>
      <c r="D128" s="540"/>
      <c r="E128" s="541"/>
      <c r="F128" s="551"/>
      <c r="G128" s="557">
        <f ca="1">+G126-G127</f>
        <v>668.2</v>
      </c>
      <c r="H128" s="557">
        <f t="shared" ref="H128:AF128" si="2">+H126-H127</f>
        <v>1404.3</v>
      </c>
      <c r="I128" s="557">
        <f t="shared" si="2"/>
        <v>2380.1</v>
      </c>
      <c r="J128" s="557">
        <f t="shared" si="2"/>
        <v>2246</v>
      </c>
      <c r="K128" s="557">
        <f t="shared" si="2"/>
        <v>1717.5000000000002</v>
      </c>
      <c r="L128" s="557">
        <f t="shared" si="2"/>
        <v>2059.4</v>
      </c>
      <c r="M128" s="557">
        <f t="shared" si="2"/>
        <v>1637.6</v>
      </c>
      <c r="N128" s="557">
        <f t="shared" si="2"/>
        <v>1327.8</v>
      </c>
      <c r="O128" s="557">
        <f t="shared" si="2"/>
        <v>3446.9</v>
      </c>
      <c r="P128" s="557">
        <f t="shared" si="2"/>
        <v>1647.5000000000002</v>
      </c>
      <c r="Q128" s="557">
        <f t="shared" si="2"/>
        <v>9897.5</v>
      </c>
      <c r="R128" s="557">
        <f t="shared" si="2"/>
        <v>3144.6</v>
      </c>
      <c r="S128" s="557">
        <f t="shared" si="2"/>
        <v>3378.7</v>
      </c>
      <c r="T128" s="557">
        <f t="shared" si="2"/>
        <v>3418.9</v>
      </c>
      <c r="U128" s="557">
        <f t="shared" si="2"/>
        <v>3471.3999999999996</v>
      </c>
      <c r="V128" s="557">
        <f t="shared" si="2"/>
        <v>3788.6000000000004</v>
      </c>
      <c r="W128" s="557">
        <f t="shared" si="2"/>
        <v>4981.9000000000005</v>
      </c>
      <c r="X128" s="557">
        <f t="shared" si="2"/>
        <v>9268</v>
      </c>
      <c r="Y128" s="557">
        <f t="shared" si="2"/>
        <v>5437.3</v>
      </c>
      <c r="Z128" s="557">
        <f t="shared" si="2"/>
        <v>5678.2999999999993</v>
      </c>
      <c r="AA128" s="557">
        <f t="shared" si="2"/>
        <v>4363.1000000000004</v>
      </c>
      <c r="AB128" s="557">
        <f t="shared" si="2"/>
        <v>3058.1</v>
      </c>
      <c r="AC128" s="557">
        <f t="shared" si="2"/>
        <v>0</v>
      </c>
      <c r="AD128" s="557" t="e">
        <f t="shared" si="2"/>
        <v>#VALUE!</v>
      </c>
      <c r="AE128" s="557" t="e">
        <f t="shared" si="2"/>
        <v>#VALUE!</v>
      </c>
      <c r="AF128" s="557" t="e">
        <f t="shared" si="2"/>
        <v>#VALUE!</v>
      </c>
    </row>
    <row r="129" spans="1:32">
      <c r="A129" s="545"/>
      <c r="B129" s="546"/>
      <c r="C129" s="547"/>
      <c r="D129" s="12"/>
      <c r="E129" s="13"/>
      <c r="F129" s="14"/>
      <c r="G129" s="556"/>
      <c r="H129" s="556"/>
      <c r="I129" s="556"/>
      <c r="J129" s="556"/>
      <c r="K129" s="556"/>
      <c r="L129" s="556"/>
      <c r="M129" s="556"/>
      <c r="N129" s="556"/>
      <c r="O129" s="556"/>
      <c r="P129" s="556"/>
      <c r="Q129" s="556"/>
      <c r="R129" s="556"/>
      <c r="S129" s="556"/>
      <c r="T129" s="556"/>
      <c r="U129" s="556"/>
      <c r="V129" s="556"/>
      <c r="W129" s="556"/>
      <c r="X129" s="556"/>
      <c r="Y129" s="556"/>
      <c r="Z129" s="556"/>
      <c r="AA129" s="556"/>
      <c r="AB129" s="556"/>
      <c r="AC129" s="556"/>
      <c r="AD129" s="556"/>
      <c r="AE129" s="556"/>
      <c r="AF129" s="556"/>
    </row>
    <row r="130" spans="1:32">
      <c r="A130" s="545"/>
      <c r="B130" s="546" t="s">
        <v>1762</v>
      </c>
      <c r="C130" s="547" t="s">
        <v>1895</v>
      </c>
      <c r="D130" s="12" t="s">
        <v>1892</v>
      </c>
      <c r="E130" s="13">
        <v>28</v>
      </c>
      <c r="F130" s="14" t="str">
        <f>VLOOKUP($E$130,[1]UC!$A$2:$FA$300, 3, FALSE)</f>
        <v>28 Net acquisitions of non-produced non-financial assets K.2</v>
      </c>
      <c r="G130" s="556">
        <f ca="1">IF(VLOOKUP($E$130,[1]UC!$A$2:$FA$300, 6, FALSE)="",":",VLOOKUP($E$130,[1]UC!$A$2:$FA$300, 6, FALSE))</f>
        <v>191.2</v>
      </c>
      <c r="H130" s="556">
        <f>IF(VLOOKUP($E$130,[1]UC!$A$2:$FA$300, 7, FALSE)="",":",VLOOKUP($E$130,[1]UC!$A$2:$FA$300, 7, FALSE))</f>
        <v>191</v>
      </c>
      <c r="I130" s="556">
        <f>IF(VLOOKUP($E$130,[1]UC!$A$2:$FA$300, 8, FALSE)="",":",VLOOKUP($E$130,[1]UC!$A$2:$FA$300, 8, FALSE))</f>
        <v>255.1</v>
      </c>
      <c r="J130" s="556">
        <f>IF(VLOOKUP($E$130,[1]UC!$A$2:$FA$300, 9, FALSE)="",":",VLOOKUP($E$130,[1]UC!$A$2:$FA$300, 9, FALSE))</f>
        <v>216.6</v>
      </c>
      <c r="K130" s="556">
        <f>IF(VLOOKUP($E$130,[1]UC!$A$2:$FA$300, 10, FALSE)="",":",VLOOKUP($E$130,[1]UC!$A$2:$FA$300, 10, FALSE))</f>
        <v>158.5</v>
      </c>
      <c r="L130" s="556">
        <f>IF(VLOOKUP($E$130,[1]UC!$A$2:$FA$300, 11, FALSE)="",":",VLOOKUP($E$130,[1]UC!$A$2:$FA$300, 11, FALSE))</f>
        <v>274.7</v>
      </c>
      <c r="M130" s="556">
        <f>IF(VLOOKUP($E$130,[1]UC!$A$2:$FA$300, 12, FALSE)="",":",VLOOKUP($E$130,[1]UC!$A$2:$FA$300, 12, FALSE))</f>
        <v>153.9</v>
      </c>
      <c r="N130" s="556">
        <f>IF(VLOOKUP($E$130,[1]UC!$A$2:$FA$300, 13, FALSE)="",":",VLOOKUP($E$130,[1]UC!$A$2:$FA$300, 13, FALSE))</f>
        <v>465.4</v>
      </c>
      <c r="O130" s="556">
        <f>IF(VLOOKUP($E$130,[1]UC!$A$2:$FA$300, 14, FALSE)="",":",VLOOKUP($E$130,[1]UC!$A$2:$FA$300, 14, FALSE))</f>
        <v>256.60000000000002</v>
      </c>
      <c r="P130" s="556">
        <f>IF(VLOOKUP($E$130,[1]UC!$A$2:$FA$300, 15, FALSE)="",":",VLOOKUP($E$130,[1]UC!$A$2:$FA$300, 15, FALSE))</f>
        <v>355.3</v>
      </c>
      <c r="Q130" s="556">
        <f>IF(VLOOKUP($E$130,[1]UC!$A$2:$FA$300, 16, FALSE)="",":",VLOOKUP($E$130,[1]UC!$A$2:$FA$300, 16, FALSE))</f>
        <v>302.89999999999998</v>
      </c>
      <c r="R130" s="556">
        <f>IF(VLOOKUP($E$130,[1]UC!$A$2:$FA$300, 17, FALSE)="",":",VLOOKUP($E$130,[1]UC!$A$2:$FA$300, 17, FALSE))</f>
        <v>734.8</v>
      </c>
      <c r="S130" s="556">
        <f>IF(VLOOKUP($E$130,[1]UC!$A$2:$FA$300, 18, FALSE)="",":",VLOOKUP($E$130,[1]UC!$A$2:$FA$300, 18, FALSE))</f>
        <v>1289.9000000000001</v>
      </c>
      <c r="T130" s="556">
        <f>IF(VLOOKUP($E$130,[1]UC!$A$2:$FA$300, 19, FALSE)="",":",VLOOKUP($E$130,[1]UC!$A$2:$FA$300, 19, FALSE))</f>
        <v>1507.8</v>
      </c>
      <c r="U130" s="556">
        <f>IF(VLOOKUP($E$130,[1]UC!$A$2:$FA$300, 20, FALSE)="",":",VLOOKUP($E$130,[1]UC!$A$2:$FA$300, 20, FALSE))</f>
        <v>516.4</v>
      </c>
      <c r="V130" s="556">
        <f>IF(VLOOKUP($E$130,[1]UC!$A$2:$FA$300, 21, FALSE)="",":",VLOOKUP($E$130,[1]UC!$A$2:$FA$300, 21, FALSE))</f>
        <v>606.4</v>
      </c>
      <c r="W130" s="556">
        <f>IF(VLOOKUP($E$130,[1]UC!$A$2:$FA$300, 22, FALSE)="",":",VLOOKUP($E$130,[1]UC!$A$2:$FA$300, 22, FALSE))</f>
        <v>720.1</v>
      </c>
      <c r="X130" s="556">
        <f>IF(VLOOKUP($E$130,[1]UC!$A$2:$FA$300, 23, FALSE)="",":",VLOOKUP($E$130,[1]UC!$A$2:$FA$300, 23, FALSE))</f>
        <v>109.1</v>
      </c>
      <c r="Y130" s="556">
        <f>IF(VLOOKUP($E$130,[1]UC!$A$2:$FA$300, 24, FALSE)="",":",VLOOKUP($E$130,[1]UC!$A$2:$FA$300, 24, FALSE))</f>
        <v>778.9</v>
      </c>
      <c r="Z130" s="556">
        <f>IF(VLOOKUP($E$130,[1]UC!$A$2:$FA$300, 25, FALSE)="",":",VLOOKUP($E$130,[1]UC!$A$2:$FA$300, 25, FALSE))</f>
        <v>1380.7</v>
      </c>
      <c r="AA130" s="556">
        <f>IF(VLOOKUP($E$130,[1]UC!$A$2:$FA$300, 26, FALSE)="",":",VLOOKUP($E$130,[1]UC!$A$2:$FA$300, 26, FALSE))</f>
        <v>304</v>
      </c>
      <c r="AB130" s="556">
        <f>IF(VLOOKUP($E$130,[1]UC!$A$2:$FA$300, 27, FALSE)="",":",VLOOKUP($E$130,[1]UC!$A$2:$FA$300, 27, FALSE))</f>
        <v>-194.2</v>
      </c>
      <c r="AC130" s="556">
        <f>IF(VLOOKUP($E$130,[1]UC!$A$2:$FA$300, 28, FALSE)="",":",VLOOKUP($E$130,[1]UC!$A$2:$FA$300, 28, FALSE))</f>
        <v>0</v>
      </c>
      <c r="AD130" s="556" t="str">
        <f>IF(VLOOKUP($E$130,[1]UC!$A$2:$FA$300, 29, FALSE)="",":",VLOOKUP($E$130,[1]UC!$A$2:$FA$300, 29, FALSE))</f>
        <v>:</v>
      </c>
      <c r="AE130" s="556" t="str">
        <f>IF(VLOOKUP($E$130,[1]UC!$A$2:$FA$300, 30, FALSE)="",":",VLOOKUP($E$130,[1]UC!$A$2:$FA$300, 30, FALSE))</f>
        <v>:</v>
      </c>
      <c r="AF130" s="556" t="str">
        <f>IF(VLOOKUP($E$130,[1]UC!$A$2:$FA$300, 31, FALSE)="",":",VLOOKUP($E$130,[1]UC!$A$2:$FA$300, 31, FALSE))</f>
        <v>:</v>
      </c>
    </row>
    <row r="131" spans="1:32">
      <c r="A131" s="545"/>
      <c r="B131" s="546" t="s">
        <v>1763</v>
      </c>
      <c r="C131" s="547" t="s">
        <v>1896</v>
      </c>
      <c r="D131" s="12" t="s">
        <v>1892</v>
      </c>
      <c r="E131" s="13">
        <v>25</v>
      </c>
      <c r="F131" s="14" t="str">
        <f>VLOOKUP($E$131,[1]UC!$A$2:$FA$300, 3, FALSE)</f>
        <v>25. Gross fixed capital formation P.51</v>
      </c>
      <c r="G131" s="556">
        <f ca="1">IF(VLOOKUP($E$131,[1]UC!$A$2:$FA$300, 6, FALSE)="",":",VLOOKUP($E$131,[1]UC!$A$2:$FA$300, 6, FALSE))</f>
        <v>25807</v>
      </c>
      <c r="H131" s="556">
        <f>IF(VLOOKUP($E$131,[1]UC!$A$2:$FA$300, 7, FALSE)="",":",VLOOKUP($E$131,[1]UC!$A$2:$FA$300, 7, FALSE))</f>
        <v>27875.1</v>
      </c>
      <c r="I131" s="556">
        <f>IF(VLOOKUP($E$131,[1]UC!$A$2:$FA$300, 8, FALSE)="",":",VLOOKUP($E$131,[1]UC!$A$2:$FA$300, 8, FALSE))</f>
        <v>29753.4</v>
      </c>
      <c r="J131" s="556">
        <f>IF(VLOOKUP($E$131,[1]UC!$A$2:$FA$300, 9, FALSE)="",":",VLOOKUP($E$131,[1]UC!$A$2:$FA$300, 9, FALSE))</f>
        <v>32042.799999999999</v>
      </c>
      <c r="K131" s="556">
        <f>IF(VLOOKUP($E$131,[1]UC!$A$2:$FA$300, 10, FALSE)="",":",VLOOKUP($E$131,[1]UC!$A$2:$FA$300, 10, FALSE))</f>
        <v>33416.9</v>
      </c>
      <c r="L131" s="556">
        <f>IF(VLOOKUP($E$131,[1]UC!$A$2:$FA$300, 11, FALSE)="",":",VLOOKUP($E$131,[1]UC!$A$2:$FA$300, 11, FALSE))</f>
        <v>36666.699999999997</v>
      </c>
      <c r="M131" s="556">
        <f>IF(VLOOKUP($E$131,[1]UC!$A$2:$FA$300, 12, FALSE)="",":",VLOOKUP($E$131,[1]UC!$A$2:$FA$300, 12, FALSE))</f>
        <v>39230.199999999997</v>
      </c>
      <c r="N131" s="556">
        <f>IF(VLOOKUP($E$131,[1]UC!$A$2:$FA$300, 13, FALSE)="",":",VLOOKUP($E$131,[1]UC!$A$2:$FA$300, 13, FALSE))</f>
        <v>36600.1</v>
      </c>
      <c r="O131" s="556">
        <f>IF(VLOOKUP($E$131,[1]UC!$A$2:$FA$300, 14, FALSE)="",":",VLOOKUP($E$131,[1]UC!$A$2:$FA$300, 14, FALSE))</f>
        <v>36710</v>
      </c>
      <c r="P131" s="556">
        <f>IF(VLOOKUP($E$131,[1]UC!$A$2:$FA$300, 15, FALSE)="",":",VLOOKUP($E$131,[1]UC!$A$2:$FA$300, 15, FALSE))</f>
        <v>41126.400000000001</v>
      </c>
      <c r="Q131" s="556">
        <f>IF(VLOOKUP($E$131,[1]UC!$A$2:$FA$300, 16, FALSE)="",":",VLOOKUP($E$131,[1]UC!$A$2:$FA$300, 16, FALSE))</f>
        <v>43191.1</v>
      </c>
      <c r="R131" s="556">
        <f>IF(VLOOKUP($E$131,[1]UC!$A$2:$FA$300, 17, FALSE)="",":",VLOOKUP($E$131,[1]UC!$A$2:$FA$300, 17, FALSE))</f>
        <v>45407.199999999997</v>
      </c>
      <c r="S131" s="556">
        <f>IF(VLOOKUP($E$131,[1]UC!$A$2:$FA$300, 18, FALSE)="",":",VLOOKUP($E$131,[1]UC!$A$2:$FA$300, 18, FALSE))</f>
        <v>50039.4</v>
      </c>
      <c r="T131" s="556">
        <f>IF(VLOOKUP($E$131,[1]UC!$A$2:$FA$300, 19, FALSE)="",":",VLOOKUP($E$131,[1]UC!$A$2:$FA$300, 19, FALSE))</f>
        <v>53416.5</v>
      </c>
      <c r="U131" s="556">
        <f>IF(VLOOKUP($E$131,[1]UC!$A$2:$FA$300, 20, FALSE)="",":",VLOOKUP($E$131,[1]UC!$A$2:$FA$300, 20, FALSE))</f>
        <v>48850.9</v>
      </c>
      <c r="V131" s="556">
        <f>IF(VLOOKUP($E$131,[1]UC!$A$2:$FA$300, 21, FALSE)="",":",VLOOKUP($E$131,[1]UC!$A$2:$FA$300, 21, FALSE))</f>
        <v>48826.3</v>
      </c>
      <c r="W131" s="556">
        <f>IF(VLOOKUP($E$131,[1]UC!$A$2:$FA$300, 22, FALSE)="",":",VLOOKUP($E$131,[1]UC!$A$2:$FA$300, 22, FALSE))</f>
        <v>54003.4</v>
      </c>
      <c r="X131" s="556">
        <f>IF(VLOOKUP($E$131,[1]UC!$A$2:$FA$300, 23, FALSE)="",":",VLOOKUP($E$131,[1]UC!$A$2:$FA$300, 23, FALSE))</f>
        <v>55233.599999999999</v>
      </c>
      <c r="Y131" s="556">
        <f>IF(VLOOKUP($E$131,[1]UC!$A$2:$FA$300, 24, FALSE)="",":",VLOOKUP($E$131,[1]UC!$A$2:$FA$300, 24, FALSE))</f>
        <v>55489.599999999999</v>
      </c>
      <c r="Z131" s="556">
        <f>IF(VLOOKUP($E$131,[1]UC!$A$2:$FA$300, 25, FALSE)="",":",VLOOKUP($E$131,[1]UC!$A$2:$FA$300, 25, FALSE))</f>
        <v>59203</v>
      </c>
      <c r="AA131" s="556">
        <f>IF(VLOOKUP($E$131,[1]UC!$A$2:$FA$300, 26, FALSE)="",":",VLOOKUP($E$131,[1]UC!$A$2:$FA$300, 26, FALSE))</f>
        <v>61737.1</v>
      </c>
      <c r="AB131" s="556">
        <f>IF(VLOOKUP($E$131,[1]UC!$A$2:$FA$300, 27, FALSE)="",":",VLOOKUP($E$131,[1]UC!$A$2:$FA$300, 27, FALSE))</f>
        <v>65284.7</v>
      </c>
      <c r="AC131" s="556">
        <f>IF(VLOOKUP($E$131,[1]UC!$A$2:$FA$300, 28, FALSE)="",":",VLOOKUP($E$131,[1]UC!$A$2:$FA$300, 28, FALSE))</f>
        <v>0</v>
      </c>
      <c r="AD131" s="556" t="str">
        <f>IF(VLOOKUP($E$131,[1]UC!$A$2:$FA$300, 29, FALSE)="",":",VLOOKUP($E$131,[1]UC!$A$2:$FA$300, 29, FALSE))</f>
        <v>:</v>
      </c>
      <c r="AE131" s="556" t="str">
        <f>IF(VLOOKUP($E$131,[1]UC!$A$2:$FA$300, 30, FALSE)="",":",VLOOKUP($E$131,[1]UC!$A$2:$FA$300, 30, FALSE))</f>
        <v>:</v>
      </c>
      <c r="AF131" s="556" t="str">
        <f>IF(VLOOKUP($E$131,[1]UC!$A$2:$FA$300, 31, FALSE)="",":",VLOOKUP($E$131,[1]UC!$A$2:$FA$300, 31, FALSE))</f>
        <v>:</v>
      </c>
    </row>
    <row r="132" spans="1:32">
      <c r="A132" s="545"/>
      <c r="B132" s="546"/>
      <c r="C132" s="547" t="s">
        <v>1905</v>
      </c>
      <c r="D132" s="12" t="s">
        <v>1892</v>
      </c>
      <c r="E132" s="13">
        <v>26</v>
      </c>
      <c r="F132" s="14" t="str">
        <f>VLOOKUP($E$132,[1]UC!$A$2:$FA$300, 3, FALSE)</f>
        <v xml:space="preserve">26 Changes in inventories P.52 </v>
      </c>
      <c r="G132" s="556">
        <f ca="1">IF(VLOOKUP($E$132,[1]UC!$A$2:$FA$300, 6, FALSE)="",":",VLOOKUP($E$132,[1]UC!$A$2:$FA$300, 6, FALSE))</f>
        <v>1086.3</v>
      </c>
      <c r="H132" s="556">
        <f>IF(VLOOKUP($E$132,[1]UC!$A$2:$FA$300, 7, FALSE)="",":",VLOOKUP($E$132,[1]UC!$A$2:$FA$300, 7, FALSE))</f>
        <v>889.5</v>
      </c>
      <c r="I132" s="556">
        <f>IF(VLOOKUP($E$132,[1]UC!$A$2:$FA$300, 8, FALSE)="",":",VLOOKUP($E$132,[1]UC!$A$2:$FA$300, 8, FALSE))</f>
        <v>904.1</v>
      </c>
      <c r="J132" s="556">
        <f>IF(VLOOKUP($E$132,[1]UC!$A$2:$FA$300, 9, FALSE)="",":",VLOOKUP($E$132,[1]UC!$A$2:$FA$300, 9, FALSE))</f>
        <v>1126</v>
      </c>
      <c r="K132" s="556">
        <f>IF(VLOOKUP($E$132,[1]UC!$A$2:$FA$300, 10, FALSE)="",":",VLOOKUP($E$132,[1]UC!$A$2:$FA$300, 10, FALSE))</f>
        <v>1189.3</v>
      </c>
      <c r="L132" s="556">
        <f>IF(VLOOKUP($E$132,[1]UC!$A$2:$FA$300, 11, FALSE)="",":",VLOOKUP($E$132,[1]UC!$A$2:$FA$300, 11, FALSE))</f>
        <v>3396.9</v>
      </c>
      <c r="M132" s="556">
        <f>IF(VLOOKUP($E$132,[1]UC!$A$2:$FA$300, 12, FALSE)="",":",VLOOKUP($E$132,[1]UC!$A$2:$FA$300, 12, FALSE))</f>
        <v>577.70000000000005</v>
      </c>
      <c r="N132" s="556">
        <f>IF(VLOOKUP($E$132,[1]UC!$A$2:$FA$300, 13, FALSE)="",":",VLOOKUP($E$132,[1]UC!$A$2:$FA$300, 13, FALSE))</f>
        <v>128.9</v>
      </c>
      <c r="O132" s="556">
        <f>IF(VLOOKUP($E$132,[1]UC!$A$2:$FA$300, 14, FALSE)="",":",VLOOKUP($E$132,[1]UC!$A$2:$FA$300, 14, FALSE))</f>
        <v>1334.1</v>
      </c>
      <c r="P132" s="556">
        <f>IF(VLOOKUP($E$132,[1]UC!$A$2:$FA$300, 15, FALSE)="",":",VLOOKUP($E$132,[1]UC!$A$2:$FA$300, 15, FALSE))</f>
        <v>3563.3</v>
      </c>
      <c r="Q132" s="556">
        <f>IF(VLOOKUP($E$132,[1]UC!$A$2:$FA$300, 16, FALSE)="",":",VLOOKUP($E$132,[1]UC!$A$2:$FA$300, 16, FALSE))</f>
        <v>4662.1000000000004</v>
      </c>
      <c r="R132" s="556">
        <f>IF(VLOOKUP($E$132,[1]UC!$A$2:$FA$300, 17, FALSE)="",":",VLOOKUP($E$132,[1]UC!$A$2:$FA$300, 17, FALSE))</f>
        <v>5061</v>
      </c>
      <c r="S132" s="556">
        <f>IF(VLOOKUP($E$132,[1]UC!$A$2:$FA$300, 18, FALSE)="",":",VLOOKUP($E$132,[1]UC!$A$2:$FA$300, 18, FALSE))</f>
        <v>4261.8999999999996</v>
      </c>
      <c r="T132" s="556">
        <f>IF(VLOOKUP($E$132,[1]UC!$A$2:$FA$300, 19, FALSE)="",":",VLOOKUP($E$132,[1]UC!$A$2:$FA$300, 19, FALSE))</f>
        <v>5981.6</v>
      </c>
      <c r="U132" s="556">
        <f>IF(VLOOKUP($E$132,[1]UC!$A$2:$FA$300, 20, FALSE)="",":",VLOOKUP($E$132,[1]UC!$A$2:$FA$300, 20, FALSE))</f>
        <v>-3609.7</v>
      </c>
      <c r="V132" s="556">
        <f>IF(VLOOKUP($E$132,[1]UC!$A$2:$FA$300, 21, FALSE)="",":",VLOOKUP($E$132,[1]UC!$A$2:$FA$300, 21, FALSE))</f>
        <v>2824.3</v>
      </c>
      <c r="W132" s="556">
        <f>IF(VLOOKUP($E$132,[1]UC!$A$2:$FA$300, 22, FALSE)="",":",VLOOKUP($E$132,[1]UC!$A$2:$FA$300, 22, FALSE))</f>
        <v>4537.5</v>
      </c>
      <c r="X132" s="556">
        <f>IF(VLOOKUP($E$132,[1]UC!$A$2:$FA$300, 23, FALSE)="",":",VLOOKUP($E$132,[1]UC!$A$2:$FA$300, 23, FALSE))</f>
        <v>1631.3</v>
      </c>
      <c r="Y132" s="556">
        <f>IF(VLOOKUP($E$132,[1]UC!$A$2:$FA$300, 24, FALSE)="",":",VLOOKUP($E$132,[1]UC!$A$2:$FA$300, 24, FALSE))</f>
        <v>-291.3</v>
      </c>
      <c r="Z132" s="556">
        <f>IF(VLOOKUP($E$132,[1]UC!$A$2:$FA$300, 25, FALSE)="",":",VLOOKUP($E$132,[1]UC!$A$2:$FA$300, 25, FALSE))</f>
        <v>1270.5</v>
      </c>
      <c r="AA132" s="556">
        <f>IF(VLOOKUP($E$132,[1]UC!$A$2:$FA$300, 26, FALSE)="",":",VLOOKUP($E$132,[1]UC!$A$2:$FA$300, 26, FALSE))</f>
        <v>1761.6</v>
      </c>
      <c r="AB132" s="556">
        <f>IF(VLOOKUP($E$132,[1]UC!$A$2:$FA$300, 27, FALSE)="",":",VLOOKUP($E$132,[1]UC!$A$2:$FA$300, 27, FALSE))</f>
        <v>2044</v>
      </c>
      <c r="AC132" s="556">
        <f>IF(VLOOKUP($E$132,[1]UC!$A$2:$FA$300, 28, FALSE)="",":",VLOOKUP($E$132,[1]UC!$A$2:$FA$300, 28, FALSE))</f>
        <v>0</v>
      </c>
      <c r="AD132" s="556" t="str">
        <f>IF(VLOOKUP($E$132,[1]UC!$A$2:$FA$300, 29, FALSE)="",":",VLOOKUP($E$132,[1]UC!$A$2:$FA$300, 29, FALSE))</f>
        <v>:</v>
      </c>
      <c r="AE132" s="556" t="str">
        <f>IF(VLOOKUP($E$132,[1]UC!$A$2:$FA$300, 30, FALSE)="",":",VLOOKUP($E$132,[1]UC!$A$2:$FA$300, 30, FALSE))</f>
        <v>:</v>
      </c>
      <c r="AF132" s="556" t="str">
        <f>IF(VLOOKUP($E$132,[1]UC!$A$2:$FA$300, 31, FALSE)="",":",VLOOKUP($E$132,[1]UC!$A$2:$FA$300, 31, FALSE))</f>
        <v>:</v>
      </c>
    </row>
    <row r="133" spans="1:32">
      <c r="A133" s="545"/>
      <c r="B133" s="546"/>
      <c r="C133" s="547" t="s">
        <v>1906</v>
      </c>
      <c r="D133" s="12" t="s">
        <v>1892</v>
      </c>
      <c r="E133" s="13">
        <v>27</v>
      </c>
      <c r="F133" s="14" t="str">
        <f>VLOOKUP($E$133,[1]UC!$A$2:$FA$300, 3, FALSE)</f>
        <v>27 Net acquisitions of valuables P.53</v>
      </c>
      <c r="G133" s="556">
        <f ca="1">IF(VLOOKUP($E$133,[1]UC!$A$2:$FA$300, 6, FALSE)="",":",VLOOKUP($E$133,[1]UC!$A$2:$FA$300, 6, FALSE))</f>
        <v>1.9</v>
      </c>
      <c r="H133" s="556">
        <f>IF(VLOOKUP($E$133,[1]UC!$A$2:$FA$300, 7, FALSE)="",":",VLOOKUP($E$133,[1]UC!$A$2:$FA$300, 7, FALSE))</f>
        <v>5.3</v>
      </c>
      <c r="I133" s="556">
        <f>IF(VLOOKUP($E$133,[1]UC!$A$2:$FA$300, 8, FALSE)="",":",VLOOKUP($E$133,[1]UC!$A$2:$FA$300, 8, FALSE))</f>
        <v>6.1</v>
      </c>
      <c r="J133" s="556">
        <f>IF(VLOOKUP($E$133,[1]UC!$A$2:$FA$300, 9, FALSE)="",":",VLOOKUP($E$133,[1]UC!$A$2:$FA$300, 9, FALSE))</f>
        <v>6.5</v>
      </c>
      <c r="K133" s="556">
        <f>IF(VLOOKUP($E$133,[1]UC!$A$2:$FA$300, 10, FALSE)="",":",VLOOKUP($E$133,[1]UC!$A$2:$FA$300, 10, FALSE))</f>
        <v>1.1000000000000001</v>
      </c>
      <c r="L133" s="556">
        <f>IF(VLOOKUP($E$133,[1]UC!$A$2:$FA$300, 11, FALSE)="",":",VLOOKUP($E$133,[1]UC!$A$2:$FA$300, 11, FALSE))</f>
        <v>1.3</v>
      </c>
      <c r="M133" s="556">
        <f>IF(VLOOKUP($E$133,[1]UC!$A$2:$FA$300, 12, FALSE)="",":",VLOOKUP($E$133,[1]UC!$A$2:$FA$300, 12, FALSE))</f>
        <v>1.8</v>
      </c>
      <c r="N133" s="556">
        <f>IF(VLOOKUP($E$133,[1]UC!$A$2:$FA$300, 13, FALSE)="",":",VLOOKUP($E$133,[1]UC!$A$2:$FA$300, 13, FALSE))</f>
        <v>1.7000000000000002</v>
      </c>
      <c r="O133" s="556">
        <f>IF(VLOOKUP($E$133,[1]UC!$A$2:$FA$300, 14, FALSE)="",":",VLOOKUP($E$133,[1]UC!$A$2:$FA$300, 14, FALSE))</f>
        <v>1.5</v>
      </c>
      <c r="P133" s="556">
        <f>IF(VLOOKUP($E$133,[1]UC!$A$2:$FA$300, 15, FALSE)="",":",VLOOKUP($E$133,[1]UC!$A$2:$FA$300, 15, FALSE))</f>
        <v>1.5</v>
      </c>
      <c r="Q133" s="556">
        <f>IF(VLOOKUP($E$133,[1]UC!$A$2:$FA$300, 16, FALSE)="",":",VLOOKUP($E$133,[1]UC!$A$2:$FA$300, 16, FALSE))</f>
        <v>1.3</v>
      </c>
      <c r="R133" s="556">
        <f>IF(VLOOKUP($E$133,[1]UC!$A$2:$FA$300, 17, FALSE)="",":",VLOOKUP($E$133,[1]UC!$A$2:$FA$300, 17, FALSE))</f>
        <v>2.4</v>
      </c>
      <c r="S133" s="556">
        <f>IF(VLOOKUP($E$133,[1]UC!$A$2:$FA$300, 18, FALSE)="",":",VLOOKUP($E$133,[1]UC!$A$2:$FA$300, 18, FALSE))</f>
        <v>5.7</v>
      </c>
      <c r="T133" s="556">
        <f>IF(VLOOKUP($E$133,[1]UC!$A$2:$FA$300, 19, FALSE)="",":",VLOOKUP($E$133,[1]UC!$A$2:$FA$300, 19, FALSE))</f>
        <v>2.9</v>
      </c>
      <c r="U133" s="556">
        <f>IF(VLOOKUP($E$133,[1]UC!$A$2:$FA$300, 20, FALSE)="",":",VLOOKUP($E$133,[1]UC!$A$2:$FA$300, 20, FALSE))</f>
        <v>0.4</v>
      </c>
      <c r="V133" s="556">
        <f>IF(VLOOKUP($E$133,[1]UC!$A$2:$FA$300, 21, FALSE)="",":",VLOOKUP($E$133,[1]UC!$A$2:$FA$300, 21, FALSE))</f>
        <v>3.6</v>
      </c>
      <c r="W133" s="556">
        <f>IF(VLOOKUP($E$133,[1]UC!$A$2:$FA$300, 22, FALSE)="",":",VLOOKUP($E$133,[1]UC!$A$2:$FA$300, 22, FALSE))</f>
        <v>0.5</v>
      </c>
      <c r="X133" s="556">
        <f>IF(VLOOKUP($E$133,[1]UC!$A$2:$FA$300, 23, FALSE)="",":",VLOOKUP($E$133,[1]UC!$A$2:$FA$300, 23, FALSE))</f>
        <v>1.7000000000000002</v>
      </c>
      <c r="Y133" s="556">
        <f>IF(VLOOKUP($E$133,[1]UC!$A$2:$FA$300, 24, FALSE)="",":",VLOOKUP($E$133,[1]UC!$A$2:$FA$300, 24, FALSE))</f>
        <v>0.1</v>
      </c>
      <c r="Z133" s="556">
        <f>IF(VLOOKUP($E$133,[1]UC!$A$2:$FA$300, 25, FALSE)="",":",VLOOKUP($E$133,[1]UC!$A$2:$FA$300, 25, FALSE))</f>
        <v>1.8</v>
      </c>
      <c r="AA133" s="556">
        <f>IF(VLOOKUP($E$133,[1]UC!$A$2:$FA$300, 26, FALSE)="",":",VLOOKUP($E$133,[1]UC!$A$2:$FA$300, 26, FALSE))</f>
        <v>0.9</v>
      </c>
      <c r="AB133" s="556">
        <f>IF(VLOOKUP($E$133,[1]UC!$A$2:$FA$300, 27, FALSE)="",":",VLOOKUP($E$133,[1]UC!$A$2:$FA$300, 27, FALSE))</f>
        <v>-0.2</v>
      </c>
      <c r="AC133" s="556">
        <f>IF(VLOOKUP($E$133,[1]UC!$A$2:$FA$300, 28, FALSE)="",":",VLOOKUP($E$133,[1]UC!$A$2:$FA$300, 28, FALSE))</f>
        <v>0</v>
      </c>
      <c r="AD133" s="556" t="str">
        <f>IF(VLOOKUP($E$133,[1]UC!$A$2:$FA$300, 29, FALSE)="",":",VLOOKUP($E$133,[1]UC!$A$2:$FA$300, 29, FALSE))</f>
        <v>:</v>
      </c>
      <c r="AE133" s="556" t="str">
        <f>IF(VLOOKUP($E$133,[1]UC!$A$2:$FA$300, 30, FALSE)="",":",VLOOKUP($E$133,[1]UC!$A$2:$FA$300, 30, FALSE))</f>
        <v>:</v>
      </c>
      <c r="AF133" s="556" t="str">
        <f>IF(VLOOKUP($E$133,[1]UC!$A$2:$FA$300, 31, FALSE)="",":",VLOOKUP($E$133,[1]UC!$A$2:$FA$300, 31, FALSE))</f>
        <v>:</v>
      </c>
    </row>
    <row r="134" spans="1:32" s="552" customFormat="1">
      <c r="A134" s="548"/>
      <c r="B134" s="549" t="s">
        <v>1907</v>
      </c>
      <c r="C134" s="550" t="s">
        <v>1085</v>
      </c>
      <c r="D134" s="540"/>
      <c r="E134" s="541"/>
      <c r="F134" s="551"/>
      <c r="G134" s="557">
        <f ca="1">+G132+G133</f>
        <v>1088.2</v>
      </c>
      <c r="H134" s="557">
        <f t="shared" ref="H134:AF134" si="3">+H132+H133</f>
        <v>894.8</v>
      </c>
      <c r="I134" s="557">
        <f t="shared" si="3"/>
        <v>910.2</v>
      </c>
      <c r="J134" s="557">
        <f t="shared" si="3"/>
        <v>1132.5</v>
      </c>
      <c r="K134" s="557">
        <f t="shared" si="3"/>
        <v>1190.3999999999999</v>
      </c>
      <c r="L134" s="557">
        <f t="shared" si="3"/>
        <v>3398.2000000000003</v>
      </c>
      <c r="M134" s="557">
        <f t="shared" si="3"/>
        <v>579.5</v>
      </c>
      <c r="N134" s="557">
        <f t="shared" si="3"/>
        <v>130.6</v>
      </c>
      <c r="O134" s="557">
        <f t="shared" si="3"/>
        <v>1335.6</v>
      </c>
      <c r="P134" s="557">
        <f t="shared" si="3"/>
        <v>3564.8</v>
      </c>
      <c r="Q134" s="557">
        <f t="shared" si="3"/>
        <v>4663.4000000000005</v>
      </c>
      <c r="R134" s="557">
        <f t="shared" si="3"/>
        <v>5063.3999999999996</v>
      </c>
      <c r="S134" s="557">
        <f t="shared" si="3"/>
        <v>4267.5999999999995</v>
      </c>
      <c r="T134" s="557">
        <f t="shared" si="3"/>
        <v>5984.5</v>
      </c>
      <c r="U134" s="557">
        <f t="shared" si="3"/>
        <v>-3609.2999999999997</v>
      </c>
      <c r="V134" s="557">
        <f t="shared" si="3"/>
        <v>2827.9</v>
      </c>
      <c r="W134" s="557">
        <f t="shared" si="3"/>
        <v>4538</v>
      </c>
      <c r="X134" s="557">
        <f t="shared" si="3"/>
        <v>1633</v>
      </c>
      <c r="Y134" s="557">
        <f t="shared" si="3"/>
        <v>-291.2</v>
      </c>
      <c r="Z134" s="557">
        <f t="shared" si="3"/>
        <v>1272.3</v>
      </c>
      <c r="AA134" s="557">
        <f t="shared" si="3"/>
        <v>1762.5</v>
      </c>
      <c r="AB134" s="557">
        <f t="shared" si="3"/>
        <v>2043.8</v>
      </c>
      <c r="AC134" s="557">
        <f t="shared" si="3"/>
        <v>0</v>
      </c>
      <c r="AD134" s="557" t="e">
        <f t="shared" si="3"/>
        <v>#VALUE!</v>
      </c>
      <c r="AE134" s="557" t="e">
        <f t="shared" si="3"/>
        <v>#VALUE!</v>
      </c>
      <c r="AF134" s="557" t="e">
        <f t="shared" si="3"/>
        <v>#VALUE!</v>
      </c>
    </row>
    <row r="135" spans="1:32">
      <c r="A135" s="545"/>
      <c r="B135" s="546"/>
      <c r="C135" s="547"/>
      <c r="D135" s="12"/>
      <c r="E135" s="13"/>
      <c r="F135" s="14"/>
      <c r="G135" s="556"/>
      <c r="H135" s="556"/>
      <c r="I135" s="556"/>
      <c r="J135" s="556"/>
      <c r="K135" s="556"/>
      <c r="L135" s="556"/>
      <c r="M135" s="556"/>
      <c r="N135" s="556"/>
      <c r="O135" s="556"/>
      <c r="P135" s="556"/>
      <c r="Q135" s="556"/>
      <c r="R135" s="556"/>
      <c r="S135" s="556"/>
      <c r="T135" s="556"/>
      <c r="U135" s="556"/>
      <c r="V135" s="556"/>
      <c r="W135" s="556"/>
      <c r="X135" s="556"/>
      <c r="Y135" s="556"/>
      <c r="Z135" s="556"/>
      <c r="AA135" s="556"/>
      <c r="AB135" s="556"/>
      <c r="AC135" s="556"/>
      <c r="AD135" s="556"/>
      <c r="AE135" s="556"/>
      <c r="AF135" s="556"/>
    </row>
    <row r="136" spans="1:32">
      <c r="A136" s="545"/>
      <c r="B136" s="546"/>
      <c r="C136" s="547" t="s">
        <v>1418</v>
      </c>
      <c r="D136" s="3799" t="s">
        <v>1932</v>
      </c>
      <c r="E136" s="3800">
        <v>2</v>
      </c>
      <c r="F136" s="14" t="str">
        <f>VLOOKUP($E$136,[1]UG!$A$2:$FA$303, 3, FALSE)</f>
        <v>2 Market output  and output for own use P.11+P.12</v>
      </c>
      <c r="G136" s="556">
        <f>IF(VLOOKUP($E$136,[1]UG!$A$2:$FA$303, 6, FALSE)="",":",VLOOKUP($E$136,[1]UG!$A$2:$FA$303, 6, FALSE))</f>
        <v>2013.6</v>
      </c>
      <c r="H136" s="556">
        <f>IF(VLOOKUP($E$136,[1]UG!$A$2:$FA$303, 7, FALSE)="",":",VLOOKUP($E$136,[1]UG!$A$2:$FA$303, 7, FALSE))</f>
        <v>2134.8000000000002</v>
      </c>
      <c r="I136" s="556">
        <f>IF(VLOOKUP($E$136,[1]UG!$A$2:$FA$303, 8, FALSE)="",":",VLOOKUP($E$136,[1]UG!$A$2:$FA$303, 8, FALSE))</f>
        <v>2227.4</v>
      </c>
      <c r="J136" s="556">
        <f>IF(VLOOKUP($E$136,[1]UG!$A$2:$FA$303, 9, FALSE)="",":",VLOOKUP($E$136,[1]UG!$A$2:$FA$303, 9, FALSE))</f>
        <v>2392.1999999999998</v>
      </c>
      <c r="K136" s="556">
        <f>IF(VLOOKUP($E$136,[1]UG!$A$2:$FA$303, 10, FALSE)="",":",VLOOKUP($E$136,[1]UG!$A$2:$FA$303, 10, FALSE))</f>
        <v>2564.8000000000002</v>
      </c>
      <c r="L136" s="556">
        <f>IF(VLOOKUP($E$136,[1]UG!$A$2:$FA$303, 11, FALSE)="",":",VLOOKUP($E$136,[1]UG!$A$2:$FA$303, 11, FALSE))</f>
        <v>2495.3000000000002</v>
      </c>
      <c r="M136" s="556">
        <f>IF(VLOOKUP($E$136,[1]UG!$A$2:$FA$303, 12, FALSE)="",":",VLOOKUP($E$136,[1]UG!$A$2:$FA$303, 12, FALSE))</f>
        <v>2586.3000000000002</v>
      </c>
      <c r="N136" s="556">
        <f>IF(VLOOKUP($E$136,[1]UG!$A$2:$FA$303, 13, FALSE)="",":",VLOOKUP($E$136,[1]UG!$A$2:$FA$303, 13, FALSE))</f>
        <v>3006.8</v>
      </c>
      <c r="O136" s="556">
        <f>IF(VLOOKUP($E$136,[1]UG!$A$2:$FA$303, 14, FALSE)="",":",VLOOKUP($E$136,[1]UG!$A$2:$FA$303, 14, FALSE))</f>
        <v>3121.4</v>
      </c>
      <c r="P136" s="556">
        <f>IF(VLOOKUP($E$136,[1]UG!$A$2:$FA$303, 15, FALSE)="",":",VLOOKUP($E$136,[1]UG!$A$2:$FA$303, 15, FALSE))</f>
        <v>3269</v>
      </c>
      <c r="Q136" s="556">
        <f>IF(VLOOKUP($E$136,[1]UG!$A$2:$FA$303, 16, FALSE)="",":",VLOOKUP($E$136,[1]UG!$A$2:$FA$303, 16, FALSE))</f>
        <v>3412.9</v>
      </c>
      <c r="R136" s="556">
        <f>IF(VLOOKUP($E$136,[1]UG!$A$2:$FA$303, 17, FALSE)="",":",VLOOKUP($E$136,[1]UG!$A$2:$FA$303, 17, FALSE))</f>
        <v>3461.8</v>
      </c>
      <c r="S136" s="556">
        <f>IF(VLOOKUP($E$136,[1]UG!$A$2:$FA$303, 18, FALSE)="",":",VLOOKUP($E$136,[1]UG!$A$2:$FA$303, 18, FALSE))</f>
        <v>3620.2</v>
      </c>
      <c r="T136" s="556">
        <f>IF(VLOOKUP($E$136,[1]UG!$A$2:$FA$303, 19, FALSE)="",":",VLOOKUP($E$136,[1]UG!$A$2:$FA$303, 19, FALSE))</f>
        <v>3821.2</v>
      </c>
      <c r="U136" s="556">
        <f>IF(VLOOKUP($E$136,[1]UG!$A$2:$FA$303, 20, FALSE)="",":",VLOOKUP($E$136,[1]UG!$A$2:$FA$303, 20, FALSE))</f>
        <v>4117.2</v>
      </c>
      <c r="V136" s="556">
        <f>IF(VLOOKUP($E$136,[1]UG!$A$2:$FA$303, 21, FALSE)="",":",VLOOKUP($E$136,[1]UG!$A$2:$FA$303, 21, FALSE))</f>
        <v>4291.8999999999996</v>
      </c>
      <c r="W136" s="556">
        <f>IF(VLOOKUP($E$136,[1]UG!$A$2:$FA$303, 22, FALSE)="",":",VLOOKUP($E$136,[1]UG!$A$2:$FA$303, 22, FALSE))</f>
        <v>4532.3</v>
      </c>
      <c r="X136" s="556">
        <f>IF(VLOOKUP($E$136,[1]UG!$A$2:$FA$303, 23, FALSE)="",":",VLOOKUP($E$136,[1]UG!$A$2:$FA$303, 23, FALSE))</f>
        <v>4703.3999999999996</v>
      </c>
      <c r="Y136" s="556">
        <f>IF(VLOOKUP($E$136,[1]UG!$A$2:$FA$303, 24, FALSE)="",":",VLOOKUP($E$136,[1]UG!$A$2:$FA$303, 24, FALSE))</f>
        <v>4884</v>
      </c>
      <c r="Z136" s="556">
        <f>IF(VLOOKUP($E$136,[1]UG!$A$2:$FA$303, 25, FALSE)="",":",VLOOKUP($E$136,[1]UG!$A$2:$FA$303, 25, FALSE))</f>
        <v>4972.3</v>
      </c>
      <c r="AA136" s="556">
        <f>IF(VLOOKUP($E$136,[1]UG!$A$2:$FA$303, 26, FALSE)="",":",VLOOKUP($E$136,[1]UG!$A$2:$FA$303, 26, FALSE))</f>
        <v>5056.8999999999996</v>
      </c>
      <c r="AB136" s="556">
        <f>IF(VLOOKUP($E$136,[1]UG!$A$2:$FA$303, 27, FALSE)="",":",VLOOKUP($E$136,[1]UG!$A$2:$FA$303, 27, FALSE))</f>
        <v>5715.5</v>
      </c>
      <c r="AC136" s="556">
        <f>IF(VLOOKUP($E$136,[1]UG!$A$2:$FA$303, 28, FALSE)="",":",VLOOKUP($E$136,[1]UG!$A$2:$FA$303, 28, FALSE))</f>
        <v>5879.3</v>
      </c>
      <c r="AD136" s="556" t="str">
        <f>IF(VLOOKUP($E$136,[1]UG!$A$2:$FA$303, 29, FALSE)="",":",VLOOKUP($E$136,[1]UG!$A$2:$FA$303, 29, FALSE))</f>
        <v>:</v>
      </c>
      <c r="AE136" s="556" t="str">
        <f>IF(VLOOKUP($E$136,[1]UG!$A$2:$FA$303, 30, FALSE)="",":",VLOOKUP($E$136,[1]UG!$A$2:$FA$303, 30, FALSE))</f>
        <v>:</v>
      </c>
      <c r="AF136" s="556" t="str">
        <f>IF(VLOOKUP($E$136,[1]UG!$A$2:$FA$303, 31, FALSE)="",":",VLOOKUP($E$136,[1]UG!$A$2:$FA$303, 31, FALSE))</f>
        <v>:</v>
      </c>
    </row>
    <row r="137" spans="1:32">
      <c r="A137" s="545"/>
      <c r="B137" s="546"/>
      <c r="C137" s="547" t="s">
        <v>1419</v>
      </c>
      <c r="D137" s="3799" t="s">
        <v>1932</v>
      </c>
      <c r="E137" s="3800">
        <v>4</v>
      </c>
      <c r="F137" s="14" t="str">
        <f>VLOOKUP($E$137,[1]UG!$A$2:$FA$303, 3, FALSE)</f>
        <v>4 Payments for other non-market output P.131</v>
      </c>
      <c r="G137" s="556">
        <f>IF(VLOOKUP($E$137,[1]UG!$A$2:$FA$303, 6, FALSE)="",":",VLOOKUP($E$137,[1]UG!$A$2:$FA$303, 6, FALSE))</f>
        <v>1492.7</v>
      </c>
      <c r="H137" s="556">
        <f>IF(VLOOKUP($E$137,[1]UG!$A$2:$FA$303, 7, FALSE)="",":",VLOOKUP($E$137,[1]UG!$A$2:$FA$303, 7, FALSE))</f>
        <v>1961.2</v>
      </c>
      <c r="I137" s="556">
        <f>IF(VLOOKUP($E$137,[1]UG!$A$2:$FA$303, 8, FALSE)="",":",VLOOKUP($E$137,[1]UG!$A$2:$FA$303, 8, FALSE))</f>
        <v>2086.8000000000002</v>
      </c>
      <c r="J137" s="556">
        <f>IF(VLOOKUP($E$137,[1]UG!$A$2:$FA$303, 9, FALSE)="",":",VLOOKUP($E$137,[1]UG!$A$2:$FA$303, 9, FALSE))</f>
        <v>2215</v>
      </c>
      <c r="K137" s="556">
        <f>IF(VLOOKUP($E$137,[1]UG!$A$2:$FA$303, 10, FALSE)="",":",VLOOKUP($E$137,[1]UG!$A$2:$FA$303, 10, FALSE))</f>
        <v>2304</v>
      </c>
      <c r="L137" s="556">
        <f>IF(VLOOKUP($E$137,[1]UG!$A$2:$FA$303, 11, FALSE)="",":",VLOOKUP($E$137,[1]UG!$A$2:$FA$303, 11, FALSE))</f>
        <v>2438.6999999999998</v>
      </c>
      <c r="M137" s="556">
        <f>IF(VLOOKUP($E$137,[1]UG!$A$2:$FA$303, 12, FALSE)="",":",VLOOKUP($E$137,[1]UG!$A$2:$FA$303, 12, FALSE))</f>
        <v>2807.7</v>
      </c>
      <c r="N137" s="556">
        <f>IF(VLOOKUP($E$137,[1]UG!$A$2:$FA$303, 13, FALSE)="",":",VLOOKUP($E$137,[1]UG!$A$2:$FA$303, 13, FALSE))</f>
        <v>3092.9</v>
      </c>
      <c r="O137" s="556">
        <f>IF(VLOOKUP($E$137,[1]UG!$A$2:$FA$303, 14, FALSE)="",":",VLOOKUP($E$137,[1]UG!$A$2:$FA$303, 14, FALSE))</f>
        <v>3318.1</v>
      </c>
      <c r="P137" s="556">
        <f>IF(VLOOKUP($E$137,[1]UG!$A$2:$FA$303, 15, FALSE)="",":",VLOOKUP($E$137,[1]UG!$A$2:$FA$303, 15, FALSE))</f>
        <v>3546.9</v>
      </c>
      <c r="Q137" s="556">
        <f>IF(VLOOKUP($E$137,[1]UG!$A$2:$FA$303, 16, FALSE)="",":",VLOOKUP($E$137,[1]UG!$A$2:$FA$303, 16, FALSE))</f>
        <v>3932.1</v>
      </c>
      <c r="R137" s="556">
        <f>IF(VLOOKUP($E$137,[1]UG!$A$2:$FA$303, 17, FALSE)="",":",VLOOKUP($E$137,[1]UG!$A$2:$FA$303, 17, FALSE))</f>
        <v>4164.2</v>
      </c>
      <c r="S137" s="556">
        <f>IF(VLOOKUP($E$137,[1]UG!$A$2:$FA$303, 18, FALSE)="",":",VLOOKUP($E$137,[1]UG!$A$2:$FA$303, 18, FALSE))</f>
        <v>4246.6000000000004</v>
      </c>
      <c r="T137" s="556">
        <f>IF(VLOOKUP($E$137,[1]UG!$A$2:$FA$303, 19, FALSE)="",":",VLOOKUP($E$137,[1]UG!$A$2:$FA$303, 19, FALSE))</f>
        <v>4598.3</v>
      </c>
      <c r="U137" s="556">
        <f>IF(VLOOKUP($E$137,[1]UG!$A$2:$FA$303, 20, FALSE)="",":",VLOOKUP($E$137,[1]UG!$A$2:$FA$303, 20, FALSE))</f>
        <v>4739</v>
      </c>
      <c r="V137" s="556">
        <f>IF(VLOOKUP($E$137,[1]UG!$A$2:$FA$303, 21, FALSE)="",":",VLOOKUP($E$137,[1]UG!$A$2:$FA$303, 21, FALSE))</f>
        <v>5054.8999999999996</v>
      </c>
      <c r="W137" s="556">
        <f>IF(VLOOKUP($E$137,[1]UG!$A$2:$FA$303, 22, FALSE)="",":",VLOOKUP($E$137,[1]UG!$A$2:$FA$303, 22, FALSE))</f>
        <v>5407.1</v>
      </c>
      <c r="X137" s="556">
        <f>IF(VLOOKUP($E$137,[1]UG!$A$2:$FA$303, 23, FALSE)="",":",VLOOKUP($E$137,[1]UG!$A$2:$FA$303, 23, FALSE))</f>
        <v>5463.2</v>
      </c>
      <c r="Y137" s="556">
        <f>IF(VLOOKUP($E$137,[1]UG!$A$2:$FA$303, 24, FALSE)="",":",VLOOKUP($E$137,[1]UG!$A$2:$FA$303, 24, FALSE))</f>
        <v>5906.3</v>
      </c>
      <c r="Z137" s="556">
        <f>IF(VLOOKUP($E$137,[1]UG!$A$2:$FA$303, 25, FALSE)="",":",VLOOKUP($E$137,[1]UG!$A$2:$FA$303, 25, FALSE))</f>
        <v>6149.3</v>
      </c>
      <c r="AA137" s="556">
        <f>IF(VLOOKUP($E$137,[1]UG!$A$2:$FA$303, 26, FALSE)="",":",VLOOKUP($E$137,[1]UG!$A$2:$FA$303, 26, FALSE))</f>
        <v>6159.2</v>
      </c>
      <c r="AB137" s="556">
        <f>IF(VLOOKUP($E$137,[1]UG!$A$2:$FA$303, 27, FALSE)="",":",VLOOKUP($E$137,[1]UG!$A$2:$FA$303, 27, FALSE))</f>
        <v>6617.4</v>
      </c>
      <c r="AC137" s="556">
        <f>IF(VLOOKUP($E$137,[1]UG!$A$2:$FA$303, 28, FALSE)="",":",VLOOKUP($E$137,[1]UG!$A$2:$FA$303, 28, FALSE))</f>
        <v>6989.8</v>
      </c>
      <c r="AD137" s="556" t="str">
        <f>IF(VLOOKUP($E$137,[1]UG!$A$2:$FA$303, 29, FALSE)="",":",VLOOKUP($E$137,[1]UG!$A$2:$FA$303, 29, FALSE))</f>
        <v>:</v>
      </c>
      <c r="AE137" s="556" t="str">
        <f>IF(VLOOKUP($E$137,[1]UG!$A$2:$FA$303, 30, FALSE)="",":",VLOOKUP($E$137,[1]UG!$A$2:$FA$303, 30, FALSE))</f>
        <v>:</v>
      </c>
      <c r="AF137" s="556" t="str">
        <f>IF(VLOOKUP($E$137,[1]UG!$A$2:$FA$303, 31, FALSE)="",":",VLOOKUP($E$137,[1]UG!$A$2:$FA$303, 31, FALSE))</f>
        <v>:</v>
      </c>
    </row>
    <row r="138" spans="1:32" s="552" customFormat="1">
      <c r="A138" s="548"/>
      <c r="B138" s="549"/>
      <c r="C138" s="550" t="s">
        <v>1420</v>
      </c>
      <c r="D138" s="12"/>
      <c r="E138" s="13"/>
      <c r="F138" s="551"/>
      <c r="G138" s="557">
        <f>G136+G137</f>
        <v>3506.3</v>
      </c>
      <c r="H138" s="557">
        <f t="shared" ref="H138:AF138" si="4">H136+H137</f>
        <v>4096</v>
      </c>
      <c r="I138" s="557">
        <f t="shared" si="4"/>
        <v>4314.2000000000007</v>
      </c>
      <c r="J138" s="557">
        <f t="shared" si="4"/>
        <v>4607.2</v>
      </c>
      <c r="K138" s="557">
        <f t="shared" si="4"/>
        <v>4868.8</v>
      </c>
      <c r="L138" s="557">
        <f t="shared" si="4"/>
        <v>4934</v>
      </c>
      <c r="M138" s="557">
        <f t="shared" si="4"/>
        <v>5394</v>
      </c>
      <c r="N138" s="557">
        <f t="shared" si="4"/>
        <v>6099.7000000000007</v>
      </c>
      <c r="O138" s="557">
        <f t="shared" si="4"/>
        <v>6439.5</v>
      </c>
      <c r="P138" s="557">
        <f t="shared" si="4"/>
        <v>6815.9</v>
      </c>
      <c r="Q138" s="557">
        <f t="shared" si="4"/>
        <v>7345</v>
      </c>
      <c r="R138" s="557">
        <f t="shared" si="4"/>
        <v>7626</v>
      </c>
      <c r="S138" s="557">
        <f t="shared" si="4"/>
        <v>7866.8</v>
      </c>
      <c r="T138" s="557">
        <f t="shared" si="4"/>
        <v>8419.5</v>
      </c>
      <c r="U138" s="557">
        <f t="shared" si="4"/>
        <v>8856.2000000000007</v>
      </c>
      <c r="V138" s="557">
        <f t="shared" si="4"/>
        <v>9346.7999999999993</v>
      </c>
      <c r="W138" s="557">
        <f t="shared" si="4"/>
        <v>9939.4000000000015</v>
      </c>
      <c r="X138" s="557">
        <f t="shared" si="4"/>
        <v>10166.599999999999</v>
      </c>
      <c r="Y138" s="557">
        <f t="shared" si="4"/>
        <v>10790.3</v>
      </c>
      <c r="Z138" s="557">
        <f t="shared" si="4"/>
        <v>11121.6</v>
      </c>
      <c r="AA138" s="557">
        <f t="shared" si="4"/>
        <v>11216.099999999999</v>
      </c>
      <c r="AB138" s="557">
        <f t="shared" si="4"/>
        <v>12332.9</v>
      </c>
      <c r="AC138" s="557">
        <f t="shared" si="4"/>
        <v>12869.1</v>
      </c>
      <c r="AD138" s="557" t="e">
        <f t="shared" si="4"/>
        <v>#VALUE!</v>
      </c>
      <c r="AE138" s="557" t="e">
        <f t="shared" si="4"/>
        <v>#VALUE!</v>
      </c>
      <c r="AF138" s="557" t="e">
        <f t="shared" si="4"/>
        <v>#VALUE!</v>
      </c>
    </row>
    <row r="139" spans="1:32">
      <c r="A139" s="545"/>
      <c r="B139" s="546"/>
      <c r="C139" s="547"/>
      <c r="D139" s="12"/>
      <c r="E139" s="13"/>
      <c r="F139" s="14"/>
      <c r="G139" s="556"/>
      <c r="H139" s="556"/>
      <c r="I139" s="556"/>
      <c r="J139" s="556"/>
      <c r="K139" s="556"/>
      <c r="L139" s="556"/>
      <c r="M139" s="556"/>
      <c r="N139" s="556"/>
      <c r="O139" s="556"/>
      <c r="P139" s="556"/>
      <c r="Q139" s="556"/>
      <c r="R139" s="556"/>
      <c r="S139" s="556"/>
      <c r="T139" s="556"/>
      <c r="U139" s="556"/>
      <c r="V139" s="556"/>
      <c r="W139" s="556"/>
      <c r="X139" s="556"/>
      <c r="Y139" s="556"/>
      <c r="Z139" s="556"/>
      <c r="AA139" s="556"/>
      <c r="AB139" s="556"/>
      <c r="AC139" s="556"/>
      <c r="AD139" s="556"/>
      <c r="AE139" s="556"/>
      <c r="AF139" s="556"/>
    </row>
    <row r="140" spans="1:32">
      <c r="A140" s="545">
        <v>145</v>
      </c>
      <c r="B140" s="546"/>
      <c r="C140" s="547" t="s">
        <v>549</v>
      </c>
      <c r="D140" s="12" t="s">
        <v>1932</v>
      </c>
      <c r="E140" s="13">
        <v>7</v>
      </c>
      <c r="F140" s="14" t="str">
        <f>VLOOKUP($E$140,[1]UG!$A$2:$FA$303, 3, FALSE)</f>
        <v>7 Intermediate consumption P.2</v>
      </c>
      <c r="G140" s="556">
        <f>IF(VLOOKUP($E$140,[1]UG!$A$2:$FA$303, 6, FALSE)="",":",VLOOKUP($E$140,[1]UG!$A$2:$FA$303, 6, FALSE))</f>
        <v>7247.9</v>
      </c>
      <c r="H140" s="556">
        <f>IF(VLOOKUP($E$140,[1]UG!$A$2:$FA$303, 7, FALSE)="",":",VLOOKUP($E$140,[1]UG!$A$2:$FA$303, 7, FALSE))</f>
        <v>7976.1</v>
      </c>
      <c r="I140" s="556">
        <f>IF(VLOOKUP($E$140,[1]UG!$A$2:$FA$303, 8, FALSE)="",":",VLOOKUP($E$140,[1]UG!$A$2:$FA$303, 8, FALSE))</f>
        <v>8188</v>
      </c>
      <c r="J140" s="556">
        <f>IF(VLOOKUP($E$140,[1]UG!$A$2:$FA$303, 9, FALSE)="",":",VLOOKUP($E$140,[1]UG!$A$2:$FA$303, 9, FALSE))</f>
        <v>8556.1</v>
      </c>
      <c r="K140" s="556">
        <f>IF(VLOOKUP($E$140,[1]UG!$A$2:$FA$303, 10, FALSE)="",":",VLOOKUP($E$140,[1]UG!$A$2:$FA$303, 10, FALSE))</f>
        <v>9010.9</v>
      </c>
      <c r="L140" s="556">
        <f>IF(VLOOKUP($E$140,[1]UG!$A$2:$FA$303, 11, FALSE)="",":",VLOOKUP($E$140,[1]UG!$A$2:$FA$303, 11, FALSE))</f>
        <v>9428.4</v>
      </c>
      <c r="M140" s="556">
        <f>IF(VLOOKUP($E$140,[1]UG!$A$2:$FA$303, 12, FALSE)="",":",VLOOKUP($E$140,[1]UG!$A$2:$FA$303, 12, FALSE))</f>
        <v>9988.1</v>
      </c>
      <c r="N140" s="556">
        <f>IF(VLOOKUP($E$140,[1]UG!$A$2:$FA$303, 13, FALSE)="",":",VLOOKUP($E$140,[1]UG!$A$2:$FA$303, 13, FALSE))</f>
        <v>11490.3</v>
      </c>
      <c r="O140" s="556">
        <f>IF(VLOOKUP($E$140,[1]UG!$A$2:$FA$303, 14, FALSE)="",":",VLOOKUP($E$140,[1]UG!$A$2:$FA$303, 14, FALSE))</f>
        <v>11744.7</v>
      </c>
      <c r="P140" s="556">
        <f>IF(VLOOKUP($E$140,[1]UG!$A$2:$FA$303, 15, FALSE)="",":",VLOOKUP($E$140,[1]UG!$A$2:$FA$303, 15, FALSE))</f>
        <v>12137.9</v>
      </c>
      <c r="Q140" s="556">
        <f>IF(VLOOKUP($E$140,[1]UG!$A$2:$FA$303, 16, FALSE)="",":",VLOOKUP($E$140,[1]UG!$A$2:$FA$303, 16, FALSE))</f>
        <v>12486.2</v>
      </c>
      <c r="R140" s="556">
        <f>IF(VLOOKUP($E$140,[1]UG!$A$2:$FA$303, 17, FALSE)="",":",VLOOKUP($E$140,[1]UG!$A$2:$FA$303, 17, FALSE))</f>
        <v>12862.1</v>
      </c>
      <c r="S140" s="556">
        <f>IF(VLOOKUP($E$140,[1]UG!$A$2:$FA$303, 18, FALSE)="",":",VLOOKUP($E$140,[1]UG!$A$2:$FA$303, 18, FALSE))</f>
        <v>12917.6</v>
      </c>
      <c r="T140" s="556">
        <f>IF(VLOOKUP($E$140,[1]UG!$A$2:$FA$303, 19, FALSE)="",":",VLOOKUP($E$140,[1]UG!$A$2:$FA$303, 19, FALSE))</f>
        <v>14008.8</v>
      </c>
      <c r="U140" s="556">
        <f>IF(VLOOKUP($E$140,[1]UG!$A$2:$FA$303, 20, FALSE)="",":",VLOOKUP($E$140,[1]UG!$A$2:$FA$303, 20, FALSE))</f>
        <v>15009.3</v>
      </c>
      <c r="V140" s="556">
        <f>IF(VLOOKUP($E$140,[1]UG!$A$2:$FA$303, 21, FALSE)="",":",VLOOKUP($E$140,[1]UG!$A$2:$FA$303, 21, FALSE))</f>
        <v>15165.8</v>
      </c>
      <c r="W140" s="556">
        <f>IF(VLOOKUP($E$140,[1]UG!$A$2:$FA$303, 22, FALSE)="",":",VLOOKUP($E$140,[1]UG!$A$2:$FA$303, 22, FALSE))</f>
        <v>15870.2</v>
      </c>
      <c r="X140" s="556">
        <f>IF(VLOOKUP($E$140,[1]UG!$A$2:$FA$303, 23, FALSE)="",":",VLOOKUP($E$140,[1]UG!$A$2:$FA$303, 23, FALSE))</f>
        <v>16495.3</v>
      </c>
      <c r="Y140" s="556">
        <f>IF(VLOOKUP($E$140,[1]UG!$A$2:$FA$303, 24, FALSE)="",":",VLOOKUP($E$140,[1]UG!$A$2:$FA$303, 24, FALSE))</f>
        <v>17093.900000000001</v>
      </c>
      <c r="Z140" s="556">
        <f>IF(VLOOKUP($E$140,[1]UG!$A$2:$FA$303, 25, FALSE)="",":",VLOOKUP($E$140,[1]UG!$A$2:$FA$303, 25, FALSE))</f>
        <v>16995.5</v>
      </c>
      <c r="AA140" s="556">
        <f>IF(VLOOKUP($E$140,[1]UG!$A$2:$FA$303, 26, FALSE)="",":",VLOOKUP($E$140,[1]UG!$A$2:$FA$303, 26, FALSE))</f>
        <v>16693.099999999999</v>
      </c>
      <c r="AB140" s="556">
        <f>IF(VLOOKUP($E$140,[1]UG!$A$2:$FA$303, 27, FALSE)="",":",VLOOKUP($E$140,[1]UG!$A$2:$FA$303, 27, FALSE))</f>
        <v>16758.7</v>
      </c>
      <c r="AC140" s="556">
        <f>IF(VLOOKUP($E$140,[1]UG!$A$2:$FA$303, 28, FALSE)="",":",VLOOKUP($E$140,[1]UG!$A$2:$FA$303, 28, FALSE))</f>
        <v>17622.599999999999</v>
      </c>
      <c r="AD140" s="556" t="str">
        <f>IF(VLOOKUP($E$140,[1]UG!$A$2:$FA$303, 29, FALSE)="",":",VLOOKUP($E$140,[1]UG!$A$2:$FA$303, 29, FALSE))</f>
        <v>:</v>
      </c>
      <c r="AE140" s="556" t="str">
        <f>IF(VLOOKUP($E$140,[1]UG!$A$2:$FA$303, 30, FALSE)="",":",VLOOKUP($E$140,[1]UG!$A$2:$FA$303, 30, FALSE))</f>
        <v>:</v>
      </c>
      <c r="AF140" s="556" t="str">
        <f>IF(VLOOKUP($E$140,[1]UG!$A$2:$FA$303, 31, FALSE)="",":",VLOOKUP($E$140,[1]UG!$A$2:$FA$303, 31, FALSE))</f>
        <v>:</v>
      </c>
    </row>
    <row r="141" spans="1:32">
      <c r="A141" s="545"/>
      <c r="B141" s="546" t="s">
        <v>1649</v>
      </c>
      <c r="C141" s="547" t="s">
        <v>1062</v>
      </c>
      <c r="D141" s="12" t="s">
        <v>1932</v>
      </c>
      <c r="E141" s="13">
        <v>8</v>
      </c>
      <c r="F141" s="14" t="str">
        <f>VLOOKUP($E$141,[1]UG!$A$2:$FA$303, 3, FALSE)</f>
        <v>8 Value added, gross B.1g</v>
      </c>
      <c r="G141" s="556">
        <f>IF(VLOOKUP($E$141,[1]UG!$A$2:$FA$303, 6, FALSE)="",":",VLOOKUP($E$141,[1]UG!$A$2:$FA$303, 6, FALSE))</f>
        <v>28881.3</v>
      </c>
      <c r="H141" s="556">
        <f>IF(VLOOKUP($E$141,[1]UG!$A$2:$FA$303, 7, FALSE)="",":",VLOOKUP($E$141,[1]UG!$A$2:$FA$303, 7, FALSE))</f>
        <v>29605.5</v>
      </c>
      <c r="I141" s="556">
        <f>IF(VLOOKUP($E$141,[1]UG!$A$2:$FA$303, 8, FALSE)="",":",VLOOKUP($E$141,[1]UG!$A$2:$FA$303, 8, FALSE))</f>
        <v>30532.3</v>
      </c>
      <c r="J141" s="556">
        <f>IF(VLOOKUP($E$141,[1]UG!$A$2:$FA$303, 9, FALSE)="",":",VLOOKUP($E$141,[1]UG!$A$2:$FA$303, 9, FALSE))</f>
        <v>31447.8</v>
      </c>
      <c r="K141" s="556">
        <f>IF(VLOOKUP($E$141,[1]UG!$A$2:$FA$303, 10, FALSE)="",":",VLOOKUP($E$141,[1]UG!$A$2:$FA$303, 10, FALSE))</f>
        <v>32804.5</v>
      </c>
      <c r="L141" s="556">
        <f>IF(VLOOKUP($E$141,[1]UG!$A$2:$FA$303, 11, FALSE)="",":",VLOOKUP($E$141,[1]UG!$A$2:$FA$303, 11, FALSE))</f>
        <v>34058</v>
      </c>
      <c r="M141" s="556">
        <f>IF(VLOOKUP($E$141,[1]UG!$A$2:$FA$303, 12, FALSE)="",":",VLOOKUP($E$141,[1]UG!$A$2:$FA$303, 12, FALSE))</f>
        <v>35481.800000000003</v>
      </c>
      <c r="N141" s="556">
        <f>IF(VLOOKUP($E$141,[1]UG!$A$2:$FA$303, 13, FALSE)="",":",VLOOKUP($E$141,[1]UG!$A$2:$FA$303, 13, FALSE))</f>
        <v>37825.9</v>
      </c>
      <c r="O141" s="556">
        <f>IF(VLOOKUP($E$141,[1]UG!$A$2:$FA$303, 14, FALSE)="",":",VLOOKUP($E$141,[1]UG!$A$2:$FA$303, 14, FALSE))</f>
        <v>39356.1</v>
      </c>
      <c r="P141" s="556">
        <f>IF(VLOOKUP($E$141,[1]UG!$A$2:$FA$303, 15, FALSE)="",":",VLOOKUP($E$141,[1]UG!$A$2:$FA$303, 15, FALSE))</f>
        <v>40440.1</v>
      </c>
      <c r="Q141" s="556">
        <f>IF(VLOOKUP($E$141,[1]UG!$A$2:$FA$303, 16, FALSE)="",":",VLOOKUP($E$141,[1]UG!$A$2:$FA$303, 16, FALSE))</f>
        <v>42688.5</v>
      </c>
      <c r="R141" s="556">
        <f>IF(VLOOKUP($E$141,[1]UG!$A$2:$FA$303, 17, FALSE)="",":",VLOOKUP($E$141,[1]UG!$A$2:$FA$303, 17, FALSE))</f>
        <v>44777.5</v>
      </c>
      <c r="S141" s="556">
        <f>IF(VLOOKUP($E$141,[1]UG!$A$2:$FA$303, 18, FALSE)="",":",VLOOKUP($E$141,[1]UG!$A$2:$FA$303, 18, FALSE))</f>
        <v>46702.8</v>
      </c>
      <c r="T141" s="556">
        <f>IF(VLOOKUP($E$141,[1]UG!$A$2:$FA$303, 19, FALSE)="",":",VLOOKUP($E$141,[1]UG!$A$2:$FA$303, 19, FALSE))</f>
        <v>49287.9</v>
      </c>
      <c r="U141" s="556">
        <f>IF(VLOOKUP($E$141,[1]UG!$A$2:$FA$303, 20, FALSE)="",":",VLOOKUP($E$141,[1]UG!$A$2:$FA$303, 20, FALSE))</f>
        <v>50936</v>
      </c>
      <c r="V141" s="556">
        <f>IF(VLOOKUP($E$141,[1]UG!$A$2:$FA$303, 21, FALSE)="",":",VLOOKUP($E$141,[1]UG!$A$2:$FA$303, 21, FALSE))</f>
        <v>52451.5</v>
      </c>
      <c r="W141" s="556">
        <f>IF(VLOOKUP($E$141,[1]UG!$A$2:$FA$303, 22, FALSE)="",":",VLOOKUP($E$141,[1]UG!$A$2:$FA$303, 22, FALSE))</f>
        <v>54811.8</v>
      </c>
      <c r="X141" s="556">
        <f>IF(VLOOKUP($E$141,[1]UG!$A$2:$FA$303, 23, FALSE)="",":",VLOOKUP($E$141,[1]UG!$A$2:$FA$303, 23, FALSE))</f>
        <v>56969.3</v>
      </c>
      <c r="Y141" s="556">
        <f>IF(VLOOKUP($E$141,[1]UG!$A$2:$FA$303, 24, FALSE)="",":",VLOOKUP($E$141,[1]UG!$A$2:$FA$303, 24, FALSE))</f>
        <v>58600.800000000003</v>
      </c>
      <c r="Z141" s="556">
        <f>IF(VLOOKUP($E$141,[1]UG!$A$2:$FA$303, 25, FALSE)="",":",VLOOKUP($E$141,[1]UG!$A$2:$FA$303, 25, FALSE))</f>
        <v>59364.7</v>
      </c>
      <c r="AA141" s="556">
        <f>IF(VLOOKUP($E$141,[1]UG!$A$2:$FA$303, 26, FALSE)="",":",VLOOKUP($E$141,[1]UG!$A$2:$FA$303, 26, FALSE))</f>
        <v>59728.1</v>
      </c>
      <c r="AB141" s="556">
        <f>IF(VLOOKUP($E$141,[1]UG!$A$2:$FA$303, 27, FALSE)="",":",VLOOKUP($E$141,[1]UG!$A$2:$FA$303, 27, FALSE))</f>
        <v>61076.3</v>
      </c>
      <c r="AC141" s="556">
        <f>IF(VLOOKUP($E$141,[1]UG!$A$2:$FA$303, 28, FALSE)="",":",VLOOKUP($E$141,[1]UG!$A$2:$FA$303, 28, FALSE))</f>
        <v>62784.6</v>
      </c>
      <c r="AD141" s="556" t="str">
        <f>IF(VLOOKUP($E$141,[1]UG!$A$2:$FA$303, 29, FALSE)="",":",VLOOKUP($E$141,[1]UG!$A$2:$FA$303, 29, FALSE))</f>
        <v>:</v>
      </c>
      <c r="AE141" s="556" t="str">
        <f>IF(VLOOKUP($E$141,[1]UG!$A$2:$FA$303, 30, FALSE)="",":",VLOOKUP($E$141,[1]UG!$A$2:$FA$303, 30, FALSE))</f>
        <v>:</v>
      </c>
      <c r="AF141" s="556" t="str">
        <f>IF(VLOOKUP($E$141,[1]UG!$A$2:$FA$303, 31, FALSE)="",":",VLOOKUP($E$141,[1]UG!$A$2:$FA$303, 31, FALSE))</f>
        <v>:</v>
      </c>
    </row>
    <row r="142" spans="1:32">
      <c r="A142" s="545">
        <v>144</v>
      </c>
      <c r="B142" s="546"/>
      <c r="C142" s="547" t="s">
        <v>548</v>
      </c>
      <c r="D142" s="12" t="s">
        <v>1932</v>
      </c>
      <c r="E142" s="13">
        <v>9</v>
      </c>
      <c r="F142" s="14" t="str">
        <f>VLOOKUP($E$142,[1]UG!$A$2:$FA$303, 3, FALSE)</f>
        <v>9 Consumption of fixed capital K.1</v>
      </c>
      <c r="G142" s="556">
        <f>IF(VLOOKUP($E$142,[1]UG!$A$2:$FA$303, 6, FALSE)="",":",VLOOKUP($E$142,[1]UG!$A$2:$FA$303, 6, FALSE))</f>
        <v>4692.3</v>
      </c>
      <c r="H142" s="556">
        <f>IF(VLOOKUP($E$142,[1]UG!$A$2:$FA$303, 7, FALSE)="",":",VLOOKUP($E$142,[1]UG!$A$2:$FA$303, 7, FALSE))</f>
        <v>4823.8999999999996</v>
      </c>
      <c r="I142" s="556">
        <f>IF(VLOOKUP($E$142,[1]UG!$A$2:$FA$303, 8, FALSE)="",":",VLOOKUP($E$142,[1]UG!$A$2:$FA$303, 8, FALSE))</f>
        <v>4917.5</v>
      </c>
      <c r="J142" s="556">
        <f>IF(VLOOKUP($E$142,[1]UG!$A$2:$FA$303, 9, FALSE)="",":",VLOOKUP($E$142,[1]UG!$A$2:$FA$303, 9, FALSE))</f>
        <v>5073.8999999999996</v>
      </c>
      <c r="K142" s="556">
        <f>IF(VLOOKUP($E$142,[1]UG!$A$2:$FA$303, 10, FALSE)="",":",VLOOKUP($E$142,[1]UG!$A$2:$FA$303, 10, FALSE))</f>
        <v>5234.5</v>
      </c>
      <c r="L142" s="556">
        <f>IF(VLOOKUP($E$142,[1]UG!$A$2:$FA$303, 11, FALSE)="",":",VLOOKUP($E$142,[1]UG!$A$2:$FA$303, 11, FALSE))</f>
        <v>5487.6</v>
      </c>
      <c r="M142" s="556">
        <f>IF(VLOOKUP($E$142,[1]UG!$A$2:$FA$303, 12, FALSE)="",":",VLOOKUP($E$142,[1]UG!$A$2:$FA$303, 12, FALSE))</f>
        <v>5632.1</v>
      </c>
      <c r="N142" s="556">
        <f>IF(VLOOKUP($E$142,[1]UG!$A$2:$FA$303, 13, FALSE)="",":",VLOOKUP($E$142,[1]UG!$A$2:$FA$303, 13, FALSE))</f>
        <v>5775.5</v>
      </c>
      <c r="O142" s="556">
        <f>IF(VLOOKUP($E$142,[1]UG!$A$2:$FA$303, 14, FALSE)="",":",VLOOKUP($E$142,[1]UG!$A$2:$FA$303, 14, FALSE))</f>
        <v>5997.1</v>
      </c>
      <c r="P142" s="556">
        <f>IF(VLOOKUP($E$142,[1]UG!$A$2:$FA$303, 15, FALSE)="",":",VLOOKUP($E$142,[1]UG!$A$2:$FA$303, 15, FALSE))</f>
        <v>6110.6</v>
      </c>
      <c r="Q142" s="556">
        <f>IF(VLOOKUP($E$142,[1]UG!$A$2:$FA$303, 16, FALSE)="",":",VLOOKUP($E$142,[1]UG!$A$2:$FA$303, 16, FALSE))</f>
        <v>6616.7</v>
      </c>
      <c r="R142" s="556">
        <f>IF(VLOOKUP($E$142,[1]UG!$A$2:$FA$303, 17, FALSE)="",":",VLOOKUP($E$142,[1]UG!$A$2:$FA$303, 17, FALSE))</f>
        <v>7120</v>
      </c>
      <c r="S142" s="556">
        <f>IF(VLOOKUP($E$142,[1]UG!$A$2:$FA$303, 18, FALSE)="",":",VLOOKUP($E$142,[1]UG!$A$2:$FA$303, 18, FALSE))</f>
        <v>7470.4</v>
      </c>
      <c r="T142" s="556">
        <f>IF(VLOOKUP($E$142,[1]UG!$A$2:$FA$303, 19, FALSE)="",":",VLOOKUP($E$142,[1]UG!$A$2:$FA$303, 19, FALSE))</f>
        <v>7826.7</v>
      </c>
      <c r="U142" s="556">
        <f>IF(VLOOKUP($E$142,[1]UG!$A$2:$FA$303, 20, FALSE)="",":",VLOOKUP($E$142,[1]UG!$A$2:$FA$303, 20, FALSE))</f>
        <v>7695</v>
      </c>
      <c r="V142" s="556">
        <f>IF(VLOOKUP($E$142,[1]UG!$A$2:$FA$303, 21, FALSE)="",":",VLOOKUP($E$142,[1]UG!$A$2:$FA$303, 21, FALSE))</f>
        <v>8073.7</v>
      </c>
      <c r="W142" s="556">
        <f>IF(VLOOKUP($E$142,[1]UG!$A$2:$FA$303, 22, FALSE)="",":",VLOOKUP($E$142,[1]UG!$A$2:$FA$303, 22, FALSE))</f>
        <v>8585.1</v>
      </c>
      <c r="X142" s="556">
        <f>IF(VLOOKUP($E$142,[1]UG!$A$2:$FA$303, 23, FALSE)="",":",VLOOKUP($E$142,[1]UG!$A$2:$FA$303, 23, FALSE))</f>
        <v>8884.7999999999993</v>
      </c>
      <c r="Y142" s="556">
        <f>IF(VLOOKUP($E$142,[1]UG!$A$2:$FA$303, 24, FALSE)="",":",VLOOKUP($E$142,[1]UG!$A$2:$FA$303, 24, FALSE))</f>
        <v>8992.6</v>
      </c>
      <c r="Z142" s="556">
        <f>IF(VLOOKUP($E$142,[1]UG!$A$2:$FA$303, 25, FALSE)="",":",VLOOKUP($E$142,[1]UG!$A$2:$FA$303, 25, FALSE))</f>
        <v>9064.2000000000007</v>
      </c>
      <c r="AA142" s="556">
        <f>IF(VLOOKUP($E$142,[1]UG!$A$2:$FA$303, 26, FALSE)="",":",VLOOKUP($E$142,[1]UG!$A$2:$FA$303, 26, FALSE))</f>
        <v>9132.7000000000007</v>
      </c>
      <c r="AB142" s="556">
        <f>IF(VLOOKUP($E$142,[1]UG!$A$2:$FA$303, 27, FALSE)="",":",VLOOKUP($E$142,[1]UG!$A$2:$FA$303, 27, FALSE))</f>
        <v>9266.9</v>
      </c>
      <c r="AC142" s="556">
        <f>IF(VLOOKUP($E$142,[1]UG!$A$2:$FA$303, 28, FALSE)="",":",VLOOKUP($E$142,[1]UG!$A$2:$FA$303, 28, FALSE))</f>
        <v>9507</v>
      </c>
      <c r="AD142" s="556" t="str">
        <f>IF(VLOOKUP($E$142,[1]UG!$A$2:$FA$303, 29, FALSE)="",":",VLOOKUP($E$142,[1]UG!$A$2:$FA$303, 29, FALSE))</f>
        <v>:</v>
      </c>
      <c r="AE142" s="556" t="str">
        <f>IF(VLOOKUP($E$142,[1]UG!$A$2:$FA$303, 30, FALSE)="",":",VLOOKUP($E$142,[1]UG!$A$2:$FA$303, 30, FALSE))</f>
        <v>:</v>
      </c>
      <c r="AF142" s="556" t="str">
        <f>IF(VLOOKUP($E$142,[1]UG!$A$2:$FA$303, 31, FALSE)="",":",VLOOKUP($E$142,[1]UG!$A$2:$FA$303, 31, FALSE))</f>
        <v>:</v>
      </c>
    </row>
    <row r="143" spans="1:32">
      <c r="A143" s="545">
        <v>120</v>
      </c>
      <c r="B143" s="546" t="s">
        <v>1081</v>
      </c>
      <c r="C143" s="547" t="s">
        <v>1928</v>
      </c>
      <c r="D143" s="12" t="s">
        <v>1932</v>
      </c>
      <c r="E143" s="13">
        <v>11</v>
      </c>
      <c r="F143" s="14" t="str">
        <f>VLOOKUP($E$143,[1]UG!$A$2:$FA$303, 3, FALSE)</f>
        <v>11 Compensation of employees, payable D.1p</v>
      </c>
      <c r="G143" s="556">
        <f>IF(VLOOKUP($E$143,[1]UG!$A$2:$FA$303, 6, FALSE)="",":",VLOOKUP($E$143,[1]UG!$A$2:$FA$303, 6, FALSE))</f>
        <v>24176</v>
      </c>
      <c r="H143" s="556">
        <f>IF(VLOOKUP($E$143,[1]UG!$A$2:$FA$303, 7, FALSE)="",":",VLOOKUP($E$143,[1]UG!$A$2:$FA$303, 7, FALSE))</f>
        <v>24955.9</v>
      </c>
      <c r="I143" s="556">
        <f>IF(VLOOKUP($E$143,[1]UG!$A$2:$FA$303, 8, FALSE)="",":",VLOOKUP($E$143,[1]UG!$A$2:$FA$303, 8, FALSE))</f>
        <v>25796.2</v>
      </c>
      <c r="J143" s="556">
        <f>IF(VLOOKUP($E$143,[1]UG!$A$2:$FA$303, 9, FALSE)="",":",VLOOKUP($E$143,[1]UG!$A$2:$FA$303, 9, FALSE))</f>
        <v>26570.9</v>
      </c>
      <c r="K143" s="556">
        <f>IF(VLOOKUP($E$143,[1]UG!$A$2:$FA$303, 10, FALSE)="",":",VLOOKUP($E$143,[1]UG!$A$2:$FA$303, 10, FALSE))</f>
        <v>27772.799999999999</v>
      </c>
      <c r="L143" s="556">
        <f>IF(VLOOKUP($E$143,[1]UG!$A$2:$FA$303, 11, FALSE)="",":",VLOOKUP($E$143,[1]UG!$A$2:$FA$303, 11, FALSE))</f>
        <v>28776.7</v>
      </c>
      <c r="M143" s="556">
        <f>IF(VLOOKUP($E$143,[1]UG!$A$2:$FA$303, 12, FALSE)="",":",VLOOKUP($E$143,[1]UG!$A$2:$FA$303, 12, FALSE))</f>
        <v>30060.2</v>
      </c>
      <c r="N143" s="556">
        <f>IF(VLOOKUP($E$143,[1]UG!$A$2:$FA$303, 13, FALSE)="",":",VLOOKUP($E$143,[1]UG!$A$2:$FA$303, 13, FALSE))</f>
        <v>32275.1</v>
      </c>
      <c r="O143" s="556">
        <f>IF(VLOOKUP($E$143,[1]UG!$A$2:$FA$303, 14, FALSE)="",":",VLOOKUP($E$143,[1]UG!$A$2:$FA$303, 14, FALSE))</f>
        <v>33604.199999999997</v>
      </c>
      <c r="P143" s="556">
        <f>IF(VLOOKUP($E$143,[1]UG!$A$2:$FA$303, 15, FALSE)="",":",VLOOKUP($E$143,[1]UG!$A$2:$FA$303, 15, FALSE))</f>
        <v>34612.1</v>
      </c>
      <c r="Q143" s="556">
        <f>IF(VLOOKUP($E$143,[1]UG!$A$2:$FA$303, 16, FALSE)="",":",VLOOKUP($E$143,[1]UG!$A$2:$FA$303, 16, FALSE))</f>
        <v>36417.699999999997</v>
      </c>
      <c r="R143" s="556">
        <f>IF(VLOOKUP($E$143,[1]UG!$A$2:$FA$303, 17, FALSE)="",":",VLOOKUP($E$143,[1]UG!$A$2:$FA$303, 17, FALSE))</f>
        <v>38011.800000000003</v>
      </c>
      <c r="S143" s="556">
        <f>IF(VLOOKUP($E$143,[1]UG!$A$2:$FA$303, 18, FALSE)="",":",VLOOKUP($E$143,[1]UG!$A$2:$FA$303, 18, FALSE))</f>
        <v>39631.699999999997</v>
      </c>
      <c r="T143" s="556">
        <f>IF(VLOOKUP($E$143,[1]UG!$A$2:$FA$303, 19, FALSE)="",":",VLOOKUP($E$143,[1]UG!$A$2:$FA$303, 19, FALSE))</f>
        <v>41896.6</v>
      </c>
      <c r="U143" s="556">
        <f>IF(VLOOKUP($E$143,[1]UG!$A$2:$FA$303, 20, FALSE)="",":",VLOOKUP($E$143,[1]UG!$A$2:$FA$303, 20, FALSE))</f>
        <v>43747.8</v>
      </c>
      <c r="V143" s="556">
        <f>IF(VLOOKUP($E$143,[1]UG!$A$2:$FA$303, 21, FALSE)="",":",VLOOKUP($E$143,[1]UG!$A$2:$FA$303, 21, FALSE))</f>
        <v>44908.6</v>
      </c>
      <c r="W143" s="556">
        <f>IF(VLOOKUP($E$143,[1]UG!$A$2:$FA$303, 22, FALSE)="",":",VLOOKUP($E$143,[1]UG!$A$2:$FA$303, 22, FALSE))</f>
        <v>46770.9</v>
      </c>
      <c r="X143" s="556">
        <f>IF(VLOOKUP($E$143,[1]UG!$A$2:$FA$303, 23, FALSE)="",":",VLOOKUP($E$143,[1]UG!$A$2:$FA$303, 23, FALSE))</f>
        <v>48655.199999999997</v>
      </c>
      <c r="Y143" s="556">
        <f>IF(VLOOKUP($E$143,[1]UG!$A$2:$FA$303, 24, FALSE)="",":",VLOOKUP($E$143,[1]UG!$A$2:$FA$303, 24, FALSE))</f>
        <v>50193.599999999999</v>
      </c>
      <c r="Z143" s="556">
        <f>IF(VLOOKUP($E$143,[1]UG!$A$2:$FA$303, 25, FALSE)="",":",VLOOKUP($E$143,[1]UG!$A$2:$FA$303, 25, FALSE))</f>
        <v>50880.3</v>
      </c>
      <c r="AA143" s="556">
        <f>IF(VLOOKUP($E$143,[1]UG!$A$2:$FA$303, 26, FALSE)="",":",VLOOKUP($E$143,[1]UG!$A$2:$FA$303, 26, FALSE))</f>
        <v>51093</v>
      </c>
      <c r="AB143" s="556">
        <f>IF(VLOOKUP($E$143,[1]UG!$A$2:$FA$303, 27, FALSE)="",":",VLOOKUP($E$143,[1]UG!$A$2:$FA$303, 27, FALSE))</f>
        <v>52288.2</v>
      </c>
      <c r="AC143" s="556">
        <f>IF(VLOOKUP($E$143,[1]UG!$A$2:$FA$303, 28, FALSE)="",":",VLOOKUP($E$143,[1]UG!$A$2:$FA$303, 28, FALSE))</f>
        <v>53776.3</v>
      </c>
      <c r="AD143" s="556" t="str">
        <f>IF(VLOOKUP($E$143,[1]UG!$A$2:$FA$303, 29, FALSE)="",":",VLOOKUP($E$143,[1]UG!$A$2:$FA$303, 29, FALSE))</f>
        <v>:</v>
      </c>
      <c r="AE143" s="556" t="str">
        <f>IF(VLOOKUP($E$143,[1]UG!$A$2:$FA$303, 30, FALSE)="",":",VLOOKUP($E$143,[1]UG!$A$2:$FA$303, 30, FALSE))</f>
        <v>:</v>
      </c>
      <c r="AF143" s="556" t="str">
        <f>IF(VLOOKUP($E$143,[1]UG!$A$2:$FA$303, 31, FALSE)="",":",VLOOKUP($E$143,[1]UG!$A$2:$FA$303, 31, FALSE))</f>
        <v>:</v>
      </c>
    </row>
    <row r="144" spans="1:32">
      <c r="A144" s="545">
        <v>113</v>
      </c>
      <c r="B144" s="546" t="s">
        <v>1537</v>
      </c>
      <c r="C144" s="547" t="s">
        <v>1014</v>
      </c>
      <c r="D144" s="12" t="s">
        <v>1932</v>
      </c>
      <c r="E144" s="13">
        <v>15</v>
      </c>
      <c r="F144" s="14" t="str">
        <f>VLOOKUP($E$144,[1]UG!$A$2:$FA$303, 3, FALSE)</f>
        <v>15 Taxes on production and imports, receivable D.2r</v>
      </c>
      <c r="G144" s="556">
        <f>IF(VLOOKUP($E$144,[1]UG!$A$2:$FA$303, 6, FALSE)="",":",VLOOKUP($E$144,[1]UG!$A$2:$FA$303, 6, FALSE))</f>
        <v>25740.799999999999</v>
      </c>
      <c r="H144" s="556">
        <f>IF(VLOOKUP($E$144,[1]UG!$A$2:$FA$303, 7, FALSE)="",":",VLOOKUP($E$144,[1]UG!$A$2:$FA$303, 7, FALSE))</f>
        <v>27295.3</v>
      </c>
      <c r="I144" s="556">
        <f>IF(VLOOKUP($E$144,[1]UG!$A$2:$FA$303, 8, FALSE)="",":",VLOOKUP($E$144,[1]UG!$A$2:$FA$303, 8, FALSE))</f>
        <v>28959.3</v>
      </c>
      <c r="J144" s="556">
        <f>IF(VLOOKUP($E$144,[1]UG!$A$2:$FA$303, 9, FALSE)="",":",VLOOKUP($E$144,[1]UG!$A$2:$FA$303, 9, FALSE))</f>
        <v>29978.2</v>
      </c>
      <c r="K144" s="556">
        <f>IF(VLOOKUP($E$144,[1]UG!$A$2:$FA$303, 10, FALSE)="",":",VLOOKUP($E$144,[1]UG!$A$2:$FA$303, 10, FALSE))</f>
        <v>32108.7</v>
      </c>
      <c r="L144" s="556">
        <f>IF(VLOOKUP($E$144,[1]UG!$A$2:$FA$303, 11, FALSE)="",":",VLOOKUP($E$144,[1]UG!$A$2:$FA$303, 11, FALSE))</f>
        <v>33518.199999999997</v>
      </c>
      <c r="M144" s="556">
        <f>IF(VLOOKUP($E$144,[1]UG!$A$2:$FA$303, 12, FALSE)="",":",VLOOKUP($E$144,[1]UG!$A$2:$FA$303, 12, FALSE))</f>
        <v>33305.300000000003</v>
      </c>
      <c r="N144" s="556">
        <f>IF(VLOOKUP($E$144,[1]UG!$A$2:$FA$303, 13, FALSE)="",":",VLOOKUP($E$144,[1]UG!$A$2:$FA$303, 13, FALSE))</f>
        <v>34563.4</v>
      </c>
      <c r="O144" s="556">
        <f>IF(VLOOKUP($E$144,[1]UG!$A$2:$FA$303, 14, FALSE)="",":",VLOOKUP($E$144,[1]UG!$A$2:$FA$303, 14, FALSE))</f>
        <v>35598.5</v>
      </c>
      <c r="P144" s="556">
        <f>IF(VLOOKUP($E$144,[1]UG!$A$2:$FA$303, 15, FALSE)="",":",VLOOKUP($E$144,[1]UG!$A$2:$FA$303, 15, FALSE))</f>
        <v>38029.9</v>
      </c>
      <c r="Q144" s="556">
        <f>IF(VLOOKUP($E$144,[1]UG!$A$2:$FA$303, 16, FALSE)="",":",VLOOKUP($E$144,[1]UG!$A$2:$FA$303, 16, FALSE))</f>
        <v>39959.5</v>
      </c>
      <c r="R144" s="556">
        <f>IF(VLOOKUP($E$144,[1]UG!$A$2:$FA$303, 17, FALSE)="",":",VLOOKUP($E$144,[1]UG!$A$2:$FA$303, 17, FALSE))</f>
        <v>41810.1</v>
      </c>
      <c r="S144" s="556">
        <f>IF(VLOOKUP($E$144,[1]UG!$A$2:$FA$303, 18, FALSE)="",":",VLOOKUP($E$144,[1]UG!$A$2:$FA$303, 18, FALSE))</f>
        <v>43749.7</v>
      </c>
      <c r="T144" s="556">
        <f>IF(VLOOKUP($E$144,[1]UG!$A$2:$FA$303, 19, FALSE)="",":",VLOOKUP($E$144,[1]UG!$A$2:$FA$303, 19, FALSE))</f>
        <v>44250.3</v>
      </c>
      <c r="U144" s="556">
        <f>IF(VLOOKUP($E$144,[1]UG!$A$2:$FA$303, 20, FALSE)="",":",VLOOKUP($E$144,[1]UG!$A$2:$FA$303, 20, FALSE))</f>
        <v>43530.400000000001</v>
      </c>
      <c r="V144" s="556">
        <f>IF(VLOOKUP($E$144,[1]UG!$A$2:$FA$303, 21, FALSE)="",":",VLOOKUP($E$144,[1]UG!$A$2:$FA$303, 21, FALSE))</f>
        <v>46652.1</v>
      </c>
      <c r="W144" s="556">
        <f>IF(VLOOKUP($E$144,[1]UG!$A$2:$FA$303, 22, FALSE)="",":",VLOOKUP($E$144,[1]UG!$A$2:$FA$303, 22, FALSE))</f>
        <v>48230.400000000001</v>
      </c>
      <c r="X144" s="556">
        <f>IF(VLOOKUP($E$144,[1]UG!$A$2:$FA$303, 23, FALSE)="",":",VLOOKUP($E$144,[1]UG!$A$2:$FA$303, 23, FALSE))</f>
        <v>50688.4</v>
      </c>
      <c r="Y144" s="556">
        <f>IF(VLOOKUP($E$144,[1]UG!$A$2:$FA$303, 24, FALSE)="",":",VLOOKUP($E$144,[1]UG!$A$2:$FA$303, 24, FALSE))</f>
        <v>51259.199999999997</v>
      </c>
      <c r="Z144" s="556">
        <f>IF(VLOOKUP($E$144,[1]UG!$A$2:$FA$303, 25, FALSE)="",":",VLOOKUP($E$144,[1]UG!$A$2:$FA$303, 25, FALSE))</f>
        <v>52100.6</v>
      </c>
      <c r="AA144" s="556">
        <f>IF(VLOOKUP($E$144,[1]UG!$A$2:$FA$303, 26, FALSE)="",":",VLOOKUP($E$144,[1]UG!$A$2:$FA$303, 26, FALSE))</f>
        <v>52859.3</v>
      </c>
      <c r="AB144" s="556">
        <f>IF(VLOOKUP($E$144,[1]UG!$A$2:$FA$303, 27, FALSE)="",":",VLOOKUP($E$144,[1]UG!$A$2:$FA$303, 27, FALSE))</f>
        <v>55320.9</v>
      </c>
      <c r="AC144" s="556">
        <f>IF(VLOOKUP($E$144,[1]UG!$A$2:$FA$303, 28, FALSE)="",":",VLOOKUP($E$144,[1]UG!$A$2:$FA$303, 28, FALSE))</f>
        <v>57298.1</v>
      </c>
      <c r="AD144" s="556" t="str">
        <f>IF(VLOOKUP($E$144,[1]UG!$A$2:$FA$303, 29, FALSE)="",":",VLOOKUP($E$144,[1]UG!$A$2:$FA$303, 29, FALSE))</f>
        <v>:</v>
      </c>
      <c r="AE144" s="556" t="str">
        <f>IF(VLOOKUP($E$144,[1]UG!$A$2:$FA$303, 30, FALSE)="",":",VLOOKUP($E$144,[1]UG!$A$2:$FA$303, 30, FALSE))</f>
        <v>:</v>
      </c>
      <c r="AF144" s="556" t="str">
        <f>IF(VLOOKUP($E$144,[1]UG!$A$2:$FA$303, 31, FALSE)="",":",VLOOKUP($E$144,[1]UG!$A$2:$FA$303, 31, FALSE))</f>
        <v>:</v>
      </c>
    </row>
    <row r="145" spans="1:32">
      <c r="A145" s="545">
        <v>123</v>
      </c>
      <c r="B145" s="546" t="s">
        <v>282</v>
      </c>
      <c r="C145" s="547" t="s">
        <v>1566</v>
      </c>
      <c r="D145" s="12" t="s">
        <v>1932</v>
      </c>
      <c r="E145" s="13">
        <v>17</v>
      </c>
      <c r="F145" s="14" t="str">
        <f>VLOOKUP($E$145,[1]UG!$A$2:$FA$303, 3, FALSE)</f>
        <v>17 Subsidies, payable D.3p</v>
      </c>
      <c r="G145" s="556">
        <f>IF(VLOOKUP($E$145,[1]UG!$A$2:$FA$303, 6, FALSE)="",":",VLOOKUP($E$145,[1]UG!$A$2:$FA$303, 6, FALSE))</f>
        <v>3003.1</v>
      </c>
      <c r="H145" s="556">
        <f>IF(VLOOKUP($E$145,[1]UG!$A$2:$FA$303, 7, FALSE)="",":",VLOOKUP($E$145,[1]UG!$A$2:$FA$303, 7, FALSE))</f>
        <v>4246.2</v>
      </c>
      <c r="I145" s="556">
        <f>IF(VLOOKUP($E$145,[1]UG!$A$2:$FA$303, 8, FALSE)="",":",VLOOKUP($E$145,[1]UG!$A$2:$FA$303, 8, FALSE))</f>
        <v>3841</v>
      </c>
      <c r="J145" s="556">
        <f>IF(VLOOKUP($E$145,[1]UG!$A$2:$FA$303, 9, FALSE)="",":",VLOOKUP($E$145,[1]UG!$A$2:$FA$303, 9, FALSE))</f>
        <v>4142.7</v>
      </c>
      <c r="K145" s="556">
        <f>IF(VLOOKUP($E$145,[1]UG!$A$2:$FA$303, 10, FALSE)="",":",VLOOKUP($E$145,[1]UG!$A$2:$FA$303, 10, FALSE))</f>
        <v>4299.8</v>
      </c>
      <c r="L145" s="556">
        <f>IF(VLOOKUP($E$145,[1]UG!$A$2:$FA$303, 11, FALSE)="",":",VLOOKUP($E$145,[1]UG!$A$2:$FA$303, 11, FALSE))</f>
        <v>4329.5</v>
      </c>
      <c r="M145" s="556">
        <f>IF(VLOOKUP($E$145,[1]UG!$A$2:$FA$303, 12, FALSE)="",":",VLOOKUP($E$145,[1]UG!$A$2:$FA$303, 12, FALSE))</f>
        <v>4524</v>
      </c>
      <c r="N145" s="556">
        <f>IF(VLOOKUP($E$145,[1]UG!$A$2:$FA$303, 13, FALSE)="",":",VLOOKUP($E$145,[1]UG!$A$2:$FA$303, 13, FALSE))</f>
        <v>4626.8</v>
      </c>
      <c r="O145" s="556">
        <f>IF(VLOOKUP($E$145,[1]UG!$A$2:$FA$303, 14, FALSE)="",":",VLOOKUP($E$145,[1]UG!$A$2:$FA$303, 14, FALSE))</f>
        <v>5133.5</v>
      </c>
      <c r="P145" s="556">
        <f>IF(VLOOKUP($E$145,[1]UG!$A$2:$FA$303, 15, FALSE)="",":",VLOOKUP($E$145,[1]UG!$A$2:$FA$303, 15, FALSE))</f>
        <v>5098</v>
      </c>
      <c r="Q145" s="556">
        <f>IF(VLOOKUP($E$145,[1]UG!$A$2:$FA$303, 16, FALSE)="",":",VLOOKUP($E$145,[1]UG!$A$2:$FA$303, 16, FALSE))</f>
        <v>6734.7</v>
      </c>
      <c r="R145" s="556">
        <f>IF(VLOOKUP($E$145,[1]UG!$A$2:$FA$303, 17, FALSE)="",":",VLOOKUP($E$145,[1]UG!$A$2:$FA$303, 17, FALSE))</f>
        <v>7969.3</v>
      </c>
      <c r="S145" s="556">
        <f>IF(VLOOKUP($E$145,[1]UG!$A$2:$FA$303, 18, FALSE)="",":",VLOOKUP($E$145,[1]UG!$A$2:$FA$303, 18, FALSE))</f>
        <v>9272.4</v>
      </c>
      <c r="T145" s="556">
        <f>IF(VLOOKUP($E$145,[1]UG!$A$2:$FA$303, 19, FALSE)="",":",VLOOKUP($E$145,[1]UG!$A$2:$FA$303, 19, FALSE))</f>
        <v>10291.299999999999</v>
      </c>
      <c r="U145" s="556">
        <f>IF(VLOOKUP($E$145,[1]UG!$A$2:$FA$303, 20, FALSE)="",":",VLOOKUP($E$145,[1]UG!$A$2:$FA$303, 20, FALSE))</f>
        <v>10694.9</v>
      </c>
      <c r="V145" s="556">
        <f>IF(VLOOKUP($E$145,[1]UG!$A$2:$FA$303, 21, FALSE)="",":",VLOOKUP($E$145,[1]UG!$A$2:$FA$303, 21, FALSE))</f>
        <v>12371.5</v>
      </c>
      <c r="W145" s="556">
        <f>IF(VLOOKUP($E$145,[1]UG!$A$2:$FA$303, 22, FALSE)="",":",VLOOKUP($E$145,[1]UG!$A$2:$FA$303, 22, FALSE))</f>
        <v>13375.1</v>
      </c>
      <c r="X145" s="556">
        <f>IF(VLOOKUP($E$145,[1]UG!$A$2:$FA$303, 23, FALSE)="",":",VLOOKUP($E$145,[1]UG!$A$2:$FA$303, 23, FALSE))</f>
        <v>13308.2</v>
      </c>
      <c r="Y145" s="556">
        <f>IF(VLOOKUP($E$145,[1]UG!$A$2:$FA$303, 24, FALSE)="",":",VLOOKUP($E$145,[1]UG!$A$2:$FA$303, 24, FALSE))</f>
        <v>13590.5</v>
      </c>
      <c r="Z145" s="556">
        <f>IF(VLOOKUP($E$145,[1]UG!$A$2:$FA$303, 25, FALSE)="",":",VLOOKUP($E$145,[1]UG!$A$2:$FA$303, 25, FALSE))</f>
        <v>14005.1</v>
      </c>
      <c r="AA145" s="556">
        <f>IF(VLOOKUP($E$145,[1]UG!$A$2:$FA$303, 26, FALSE)="",":",VLOOKUP($E$145,[1]UG!$A$2:$FA$303, 26, FALSE))</f>
        <v>14058.2</v>
      </c>
      <c r="AB145" s="556">
        <f>IF(VLOOKUP($E$145,[1]UG!$A$2:$FA$303, 27, FALSE)="",":",VLOOKUP($E$145,[1]UG!$A$2:$FA$303, 27, FALSE))</f>
        <v>14258.2</v>
      </c>
      <c r="AC145" s="556">
        <f>IF(VLOOKUP($E$145,[1]UG!$A$2:$FA$303, 28, FALSE)="",":",VLOOKUP($E$145,[1]UG!$A$2:$FA$303, 28, FALSE))</f>
        <v>14704.7</v>
      </c>
      <c r="AD145" s="556" t="str">
        <f>IF(VLOOKUP($E$145,[1]UG!$A$2:$FA$303, 29, FALSE)="",":",VLOOKUP($E$145,[1]UG!$A$2:$FA$303, 29, FALSE))</f>
        <v>:</v>
      </c>
      <c r="AE145" s="556" t="str">
        <f>IF(VLOOKUP($E$145,[1]UG!$A$2:$FA$303, 30, FALSE)="",":",VLOOKUP($E$145,[1]UG!$A$2:$FA$303, 30, FALSE))</f>
        <v>:</v>
      </c>
      <c r="AF145" s="556" t="str">
        <f>IF(VLOOKUP($E$145,[1]UG!$A$2:$FA$303, 31, FALSE)="",":",VLOOKUP($E$145,[1]UG!$A$2:$FA$303, 31, FALSE))</f>
        <v>:</v>
      </c>
    </row>
    <row r="146" spans="1:32">
      <c r="A146" s="545"/>
      <c r="B146" s="546" t="s">
        <v>616</v>
      </c>
      <c r="C146" s="547" t="s">
        <v>617</v>
      </c>
      <c r="D146" s="12" t="s">
        <v>1932</v>
      </c>
      <c r="E146" s="13">
        <v>12</v>
      </c>
      <c r="F146" s="14" t="str">
        <f>VLOOKUP($E$146,[1]UG!$A$2:$FA$303, 3, FALSE)</f>
        <v>12 Other taxes on production, payable D.29p</v>
      </c>
      <c r="G146" s="556">
        <f>IF(VLOOKUP($E$146,[1]UG!$A$2:$FA$303, 6, FALSE)="",":",VLOOKUP($E$146,[1]UG!$A$2:$FA$303, 6, FALSE))</f>
        <v>0</v>
      </c>
      <c r="H146" s="556">
        <f>IF(VLOOKUP($E$146,[1]UG!$A$2:$FA$303, 7, FALSE)="",":",VLOOKUP($E$146,[1]UG!$A$2:$FA$303, 7, FALSE))</f>
        <v>0</v>
      </c>
      <c r="I146" s="556">
        <f>IF(VLOOKUP($E$146,[1]UG!$A$2:$FA$303, 8, FALSE)="",":",VLOOKUP($E$146,[1]UG!$A$2:$FA$303, 8, FALSE))</f>
        <v>0</v>
      </c>
      <c r="J146" s="556">
        <f>IF(VLOOKUP($E$146,[1]UG!$A$2:$FA$303, 9, FALSE)="",":",VLOOKUP($E$146,[1]UG!$A$2:$FA$303, 9, FALSE))</f>
        <v>0</v>
      </c>
      <c r="K146" s="556">
        <f>IF(VLOOKUP($E$146,[1]UG!$A$2:$FA$303, 10, FALSE)="",":",VLOOKUP($E$146,[1]UG!$A$2:$FA$303, 10, FALSE))</f>
        <v>0</v>
      </c>
      <c r="L146" s="556">
        <f>IF(VLOOKUP($E$146,[1]UG!$A$2:$FA$303, 11, FALSE)="",":",VLOOKUP($E$146,[1]UG!$A$2:$FA$303, 11, FALSE))</f>
        <v>0</v>
      </c>
      <c r="M146" s="556">
        <f>IF(VLOOKUP($E$146,[1]UG!$A$2:$FA$303, 12, FALSE)="",":",VLOOKUP($E$146,[1]UG!$A$2:$FA$303, 12, FALSE))</f>
        <v>0</v>
      </c>
      <c r="N146" s="556">
        <f>IF(VLOOKUP($E$146,[1]UG!$A$2:$FA$303, 13, FALSE)="",":",VLOOKUP($E$146,[1]UG!$A$2:$FA$303, 13, FALSE))</f>
        <v>0</v>
      </c>
      <c r="O146" s="556">
        <f>IF(VLOOKUP($E$146,[1]UG!$A$2:$FA$303, 14, FALSE)="",":",VLOOKUP($E$146,[1]UG!$A$2:$FA$303, 14, FALSE))</f>
        <v>0</v>
      </c>
      <c r="P146" s="556">
        <f>IF(VLOOKUP($E$146,[1]UG!$A$2:$FA$303, 15, FALSE)="",":",VLOOKUP($E$146,[1]UG!$A$2:$FA$303, 15, FALSE))</f>
        <v>0</v>
      </c>
      <c r="Q146" s="556">
        <f>IF(VLOOKUP($E$146,[1]UG!$A$2:$FA$303, 16, FALSE)="",":",VLOOKUP($E$146,[1]UG!$A$2:$FA$303, 16, FALSE))</f>
        <v>0</v>
      </c>
      <c r="R146" s="556">
        <f>IF(VLOOKUP($E$146,[1]UG!$A$2:$FA$303, 17, FALSE)="",":",VLOOKUP($E$146,[1]UG!$A$2:$FA$303, 17, FALSE))</f>
        <v>0</v>
      </c>
      <c r="S146" s="556">
        <f>IF(VLOOKUP($E$146,[1]UG!$A$2:$FA$303, 18, FALSE)="",":",VLOOKUP($E$146,[1]UG!$A$2:$FA$303, 18, FALSE))</f>
        <v>0</v>
      </c>
      <c r="T146" s="556">
        <f>IF(VLOOKUP($E$146,[1]UG!$A$2:$FA$303, 19, FALSE)="",":",VLOOKUP($E$146,[1]UG!$A$2:$FA$303, 19, FALSE))</f>
        <v>0</v>
      </c>
      <c r="U146" s="556">
        <f>IF(VLOOKUP($E$146,[1]UG!$A$2:$FA$303, 20, FALSE)="",":",VLOOKUP($E$146,[1]UG!$A$2:$FA$303, 20, FALSE))</f>
        <v>0</v>
      </c>
      <c r="V146" s="556">
        <f>IF(VLOOKUP($E$146,[1]UG!$A$2:$FA$303, 21, FALSE)="",":",VLOOKUP($E$146,[1]UG!$A$2:$FA$303, 21, FALSE))</f>
        <v>0</v>
      </c>
      <c r="W146" s="556">
        <f>IF(VLOOKUP($E$146,[1]UG!$A$2:$FA$303, 22, FALSE)="",":",VLOOKUP($E$146,[1]UG!$A$2:$FA$303, 22, FALSE))</f>
        <v>0</v>
      </c>
      <c r="X146" s="556">
        <f>IF(VLOOKUP($E$146,[1]UG!$A$2:$FA$303, 23, FALSE)="",":",VLOOKUP($E$146,[1]UG!$A$2:$FA$303, 23, FALSE))</f>
        <v>0</v>
      </c>
      <c r="Y146" s="556">
        <f>IF(VLOOKUP($E$146,[1]UG!$A$2:$FA$303, 24, FALSE)="",":",VLOOKUP($E$146,[1]UG!$A$2:$FA$303, 24, FALSE))</f>
        <v>0</v>
      </c>
      <c r="Z146" s="556">
        <f>IF(VLOOKUP($E$146,[1]UG!$A$2:$FA$303, 25, FALSE)="",":",VLOOKUP($E$146,[1]UG!$A$2:$FA$303, 25, FALSE))</f>
        <v>0</v>
      </c>
      <c r="AA146" s="556">
        <f>IF(VLOOKUP($E$146,[1]UG!$A$2:$FA$303, 26, FALSE)="",":",VLOOKUP($E$146,[1]UG!$A$2:$FA$303, 26, FALSE))</f>
        <v>0</v>
      </c>
      <c r="AB146" s="556">
        <f>IF(VLOOKUP($E$146,[1]UG!$A$2:$FA$303, 27, FALSE)="",":",VLOOKUP($E$146,[1]UG!$A$2:$FA$303, 27, FALSE))</f>
        <v>0</v>
      </c>
      <c r="AC146" s="556">
        <f>IF(VLOOKUP($E$146,[1]UG!$A$2:$FA$303, 28, FALSE)="",":",VLOOKUP($E$146,[1]UG!$A$2:$FA$303, 28, FALSE))</f>
        <v>0</v>
      </c>
      <c r="AD146" s="556" t="str">
        <f>IF(VLOOKUP($E$146,[1]UG!$A$2:$FA$303, 29, FALSE)="",":",VLOOKUP($E$146,[1]UG!$A$2:$FA$303, 29, FALSE))</f>
        <v>:</v>
      </c>
      <c r="AE146" s="556" t="str">
        <f>IF(VLOOKUP($E$146,[1]UG!$A$2:$FA$303, 30, FALSE)="",":",VLOOKUP($E$146,[1]UG!$A$2:$FA$303, 30, FALSE))</f>
        <v>:</v>
      </c>
      <c r="AF146" s="556" t="str">
        <f>IF(VLOOKUP($E$146,[1]UG!$A$2:$FA$303, 31, FALSE)="",":",VLOOKUP($E$146,[1]UG!$A$2:$FA$303, 31, FALSE))</f>
        <v>:</v>
      </c>
    </row>
    <row r="147" spans="1:32">
      <c r="A147" s="545"/>
      <c r="B147" s="546" t="s">
        <v>157</v>
      </c>
      <c r="C147" s="547" t="s">
        <v>618</v>
      </c>
      <c r="D147" s="12" t="s">
        <v>1932</v>
      </c>
      <c r="E147" s="13">
        <v>13</v>
      </c>
      <c r="F147" s="14" t="str">
        <f>VLOOKUP($E$147,[1]UG!$A$2:$FA$303, 3, FALSE)</f>
        <v>13 Other subsidies on production receivable D.39r</v>
      </c>
      <c r="G147" s="556">
        <f>IF(VLOOKUP($E$147,[1]UG!$A$2:$FA$303, 6, FALSE)="",":",VLOOKUP($E$147,[1]UG!$A$2:$FA$303, 6, FALSE))</f>
        <v>0</v>
      </c>
      <c r="H147" s="556">
        <f>IF(VLOOKUP($E$147,[1]UG!$A$2:$FA$303, 7, FALSE)="",":",VLOOKUP($E$147,[1]UG!$A$2:$FA$303, 7, FALSE))</f>
        <v>188.1</v>
      </c>
      <c r="I147" s="556">
        <f>IF(VLOOKUP($E$147,[1]UG!$A$2:$FA$303, 8, FALSE)="",":",VLOOKUP($E$147,[1]UG!$A$2:$FA$303, 8, FALSE))</f>
        <v>190.8</v>
      </c>
      <c r="J147" s="556">
        <f>IF(VLOOKUP($E$147,[1]UG!$A$2:$FA$303, 9, FALSE)="",":",VLOOKUP($E$147,[1]UG!$A$2:$FA$303, 9, FALSE))</f>
        <v>214.7</v>
      </c>
      <c r="K147" s="556">
        <f>IF(VLOOKUP($E$147,[1]UG!$A$2:$FA$303, 10, FALSE)="",":",VLOOKUP($E$147,[1]UG!$A$2:$FA$303, 10, FALSE))</f>
        <v>221.6</v>
      </c>
      <c r="L147" s="556">
        <f>IF(VLOOKUP($E$147,[1]UG!$A$2:$FA$303, 11, FALSE)="",":",VLOOKUP($E$147,[1]UG!$A$2:$FA$303, 11, FALSE))</f>
        <v>225.3</v>
      </c>
      <c r="M147" s="556">
        <f>IF(VLOOKUP($E$147,[1]UG!$A$2:$FA$303, 12, FALSE)="",":",VLOOKUP($E$147,[1]UG!$A$2:$FA$303, 12, FALSE))</f>
        <v>228.3</v>
      </c>
      <c r="N147" s="556">
        <f>IF(VLOOKUP($E$147,[1]UG!$A$2:$FA$303, 13, FALSE)="",":",VLOOKUP($E$147,[1]UG!$A$2:$FA$303, 13, FALSE))</f>
        <v>249.3</v>
      </c>
      <c r="O147" s="556">
        <f>IF(VLOOKUP($E$147,[1]UG!$A$2:$FA$303, 14, FALSE)="",":",VLOOKUP($E$147,[1]UG!$A$2:$FA$303, 14, FALSE))</f>
        <v>270.89999999999998</v>
      </c>
      <c r="P147" s="556">
        <f>IF(VLOOKUP($E$147,[1]UG!$A$2:$FA$303, 15, FALSE)="",":",VLOOKUP($E$147,[1]UG!$A$2:$FA$303, 15, FALSE))</f>
        <v>311.5</v>
      </c>
      <c r="Q147" s="556">
        <f>IF(VLOOKUP($E$147,[1]UG!$A$2:$FA$303, 16, FALSE)="",":",VLOOKUP($E$147,[1]UG!$A$2:$FA$303, 16, FALSE))</f>
        <v>382.5</v>
      </c>
      <c r="R147" s="556">
        <f>IF(VLOOKUP($E$147,[1]UG!$A$2:$FA$303, 17, FALSE)="",":",VLOOKUP($E$147,[1]UG!$A$2:$FA$303, 17, FALSE))</f>
        <v>390.5</v>
      </c>
      <c r="S147" s="556">
        <f>IF(VLOOKUP($E$147,[1]UG!$A$2:$FA$303, 18, FALSE)="",":",VLOOKUP($E$147,[1]UG!$A$2:$FA$303, 18, FALSE))</f>
        <v>434.6</v>
      </c>
      <c r="T147" s="556">
        <f>IF(VLOOKUP($E$147,[1]UG!$A$2:$FA$303, 19, FALSE)="",":",VLOOKUP($E$147,[1]UG!$A$2:$FA$303, 19, FALSE))</f>
        <v>473.2</v>
      </c>
      <c r="U147" s="556">
        <f>IF(VLOOKUP($E$147,[1]UG!$A$2:$FA$303, 20, FALSE)="",":",VLOOKUP($E$147,[1]UG!$A$2:$FA$303, 20, FALSE))</f>
        <v>545.29999999999995</v>
      </c>
      <c r="V147" s="556">
        <f>IF(VLOOKUP($E$147,[1]UG!$A$2:$FA$303, 21, FALSE)="",":",VLOOKUP($E$147,[1]UG!$A$2:$FA$303, 21, FALSE))</f>
        <v>570.20000000000005</v>
      </c>
      <c r="W147" s="556">
        <f>IF(VLOOKUP($E$147,[1]UG!$A$2:$FA$303, 22, FALSE)="",":",VLOOKUP($E$147,[1]UG!$A$2:$FA$303, 22, FALSE))</f>
        <v>587.4</v>
      </c>
      <c r="X147" s="556">
        <f>IF(VLOOKUP($E$147,[1]UG!$A$2:$FA$303, 23, FALSE)="",":",VLOOKUP($E$147,[1]UG!$A$2:$FA$303, 23, FALSE))</f>
        <v>617.79999999999995</v>
      </c>
      <c r="Y147" s="556">
        <f>IF(VLOOKUP($E$147,[1]UG!$A$2:$FA$303, 24, FALSE)="",":",VLOOKUP($E$147,[1]UG!$A$2:$FA$303, 24, FALSE))</f>
        <v>634.5</v>
      </c>
      <c r="Z147" s="556">
        <f>IF(VLOOKUP($E$147,[1]UG!$A$2:$FA$303, 25, FALSE)="",":",VLOOKUP($E$147,[1]UG!$A$2:$FA$303, 25, FALSE))</f>
        <v>630</v>
      </c>
      <c r="AA147" s="556">
        <f>IF(VLOOKUP($E$147,[1]UG!$A$2:$FA$303, 26, FALSE)="",":",VLOOKUP($E$147,[1]UG!$A$2:$FA$303, 26, FALSE))</f>
        <v>548.9</v>
      </c>
      <c r="AB147" s="556">
        <f>IF(VLOOKUP($E$147,[1]UG!$A$2:$FA$303, 27, FALSE)="",":",VLOOKUP($E$147,[1]UG!$A$2:$FA$303, 27, FALSE))</f>
        <v>526.4</v>
      </c>
      <c r="AC147" s="556">
        <f>IF(VLOOKUP($E$147,[1]UG!$A$2:$FA$303, 28, FALSE)="",":",VLOOKUP($E$147,[1]UG!$A$2:$FA$303, 28, FALSE))</f>
        <v>531.5</v>
      </c>
      <c r="AD147" s="556" t="str">
        <f>IF(VLOOKUP($E$147,[1]UG!$A$2:$FA$303, 29, FALSE)="",":",VLOOKUP($E$147,[1]UG!$A$2:$FA$303, 29, FALSE))</f>
        <v>:</v>
      </c>
      <c r="AE147" s="556" t="str">
        <f>IF(VLOOKUP($E$147,[1]UG!$A$2:$FA$303, 30, FALSE)="",":",VLOOKUP($E$147,[1]UG!$A$2:$FA$303, 30, FALSE))</f>
        <v>:</v>
      </c>
      <c r="AF147" s="556" t="str">
        <f>IF(VLOOKUP($E$147,[1]UG!$A$2:$FA$303, 31, FALSE)="",":",VLOOKUP($E$147,[1]UG!$A$2:$FA$303, 31, FALSE))</f>
        <v>:</v>
      </c>
    </row>
    <row r="148" spans="1:32">
      <c r="A148" s="545"/>
      <c r="B148" s="546"/>
      <c r="C148" s="547"/>
      <c r="D148" s="12"/>
      <c r="E148" s="13"/>
      <c r="F148" s="14"/>
      <c r="G148" s="556"/>
      <c r="H148" s="556"/>
      <c r="I148" s="556"/>
      <c r="J148" s="556"/>
      <c r="K148" s="556"/>
      <c r="L148" s="556"/>
      <c r="M148" s="556"/>
      <c r="N148" s="556"/>
      <c r="O148" s="556"/>
      <c r="P148" s="556"/>
      <c r="Q148" s="556"/>
      <c r="R148" s="556"/>
      <c r="S148" s="556"/>
      <c r="T148" s="556"/>
      <c r="U148" s="556"/>
      <c r="V148" s="556"/>
      <c r="W148" s="556"/>
      <c r="X148" s="556"/>
      <c r="Y148" s="556"/>
      <c r="Z148" s="556"/>
      <c r="AA148" s="556"/>
      <c r="AB148" s="556"/>
      <c r="AC148" s="556"/>
      <c r="AD148" s="556"/>
      <c r="AE148" s="556"/>
      <c r="AF148" s="556"/>
    </row>
    <row r="149" spans="1:32">
      <c r="A149" s="545"/>
      <c r="B149" s="546" t="s">
        <v>683</v>
      </c>
      <c r="C149" s="547" t="s">
        <v>490</v>
      </c>
      <c r="D149" s="12" t="s">
        <v>1932</v>
      </c>
      <c r="E149" s="13">
        <v>16</v>
      </c>
      <c r="F149" s="14" t="str">
        <f>VLOOKUP($E$149,[1]UG!$A$2:$FA$300, 3, FALSE)</f>
        <v>16 Property income, receivable D.4r</v>
      </c>
      <c r="G149" s="556">
        <f>IF(VLOOKUP($E$149,[1]UG!$A$2:$FA$300, 6, FALSE)="",":",VLOOKUP($E$149,[1]UG!$A$2:$FA$300, 6, FALSE))</f>
        <v>2283.5</v>
      </c>
      <c r="H149" s="556">
        <f>IF(VLOOKUP($E$149,[1]UG!$A$2:$FA$300, 7, FALSE)="",":",VLOOKUP($E$149,[1]UG!$A$2:$FA$300, 7, FALSE))</f>
        <v>2861.5</v>
      </c>
      <c r="I149" s="556">
        <f>IF(VLOOKUP($E$149,[1]UG!$A$2:$FA$300, 8, FALSE)="",":",VLOOKUP($E$149,[1]UG!$A$2:$FA$300, 8, FALSE))</f>
        <v>2662.2</v>
      </c>
      <c r="J149" s="556">
        <f>IF(VLOOKUP($E$149,[1]UG!$A$2:$FA$300, 9, FALSE)="",":",VLOOKUP($E$149,[1]UG!$A$2:$FA$300, 9, FALSE))</f>
        <v>2634.4</v>
      </c>
      <c r="K149" s="556">
        <f>IF(VLOOKUP($E$149,[1]UG!$A$2:$FA$300, 10, FALSE)="",":",VLOOKUP($E$149,[1]UG!$A$2:$FA$300, 10, FALSE))</f>
        <v>2380.3000000000002</v>
      </c>
      <c r="L149" s="556">
        <f>IF(VLOOKUP($E$149,[1]UG!$A$2:$FA$300, 11, FALSE)="",":",VLOOKUP($E$149,[1]UG!$A$2:$FA$300, 11, FALSE))</f>
        <v>2896.2</v>
      </c>
      <c r="M149" s="556">
        <f>IF(VLOOKUP($E$149,[1]UG!$A$2:$FA$300, 12, FALSE)="",":",VLOOKUP($E$149,[1]UG!$A$2:$FA$300, 12, FALSE))</f>
        <v>3468.8</v>
      </c>
      <c r="N149" s="556">
        <f>IF(VLOOKUP($E$149,[1]UG!$A$2:$FA$300, 13, FALSE)="",":",VLOOKUP($E$149,[1]UG!$A$2:$FA$300, 13, FALSE))</f>
        <v>3084.1</v>
      </c>
      <c r="O149" s="556">
        <f>IF(VLOOKUP($E$149,[1]UG!$A$2:$FA$300, 14, FALSE)="",":",VLOOKUP($E$149,[1]UG!$A$2:$FA$300, 14, FALSE))</f>
        <v>2940.9</v>
      </c>
      <c r="P149" s="556">
        <f>IF(VLOOKUP($E$149,[1]UG!$A$2:$FA$300, 15, FALSE)="",":",VLOOKUP($E$149,[1]UG!$A$2:$FA$300, 15, FALSE))</f>
        <v>2241.6999999999998</v>
      </c>
      <c r="Q149" s="556">
        <f>IF(VLOOKUP($E$149,[1]UG!$A$2:$FA$300, 16, FALSE)="",":",VLOOKUP($E$149,[1]UG!$A$2:$FA$300, 16, FALSE))</f>
        <v>2528.5</v>
      </c>
      <c r="R149" s="556">
        <f>IF(VLOOKUP($E$149,[1]UG!$A$2:$FA$300, 17, FALSE)="",":",VLOOKUP($E$149,[1]UG!$A$2:$FA$300, 17, FALSE))</f>
        <v>2802</v>
      </c>
      <c r="S149" s="556">
        <f>IF(VLOOKUP($E$149,[1]UG!$A$2:$FA$300, 18, FALSE)="",":",VLOOKUP($E$149,[1]UG!$A$2:$FA$300, 18, FALSE))</f>
        <v>3107.8</v>
      </c>
      <c r="T149" s="556">
        <f>IF(VLOOKUP($E$149,[1]UG!$A$2:$FA$300, 19, FALSE)="",":",VLOOKUP($E$149,[1]UG!$A$2:$FA$300, 19, FALSE))</f>
        <v>3672.9</v>
      </c>
      <c r="U149" s="556">
        <f>IF(VLOOKUP($E$149,[1]UG!$A$2:$FA$300, 20, FALSE)="",":",VLOOKUP($E$149,[1]UG!$A$2:$FA$300, 20, FALSE))</f>
        <v>3150.4</v>
      </c>
      <c r="V149" s="556">
        <f>IF(VLOOKUP($E$149,[1]UG!$A$2:$FA$300, 21, FALSE)="",":",VLOOKUP($E$149,[1]UG!$A$2:$FA$300, 21, FALSE))</f>
        <v>3743.4</v>
      </c>
      <c r="W149" s="556">
        <f>IF(VLOOKUP($E$149,[1]UG!$A$2:$FA$300, 22, FALSE)="",":",VLOOKUP($E$149,[1]UG!$A$2:$FA$300, 22, FALSE))</f>
        <v>4667.2</v>
      </c>
      <c r="X149" s="556">
        <f>IF(VLOOKUP($E$149,[1]UG!$A$2:$FA$300, 23, FALSE)="",":",VLOOKUP($E$149,[1]UG!$A$2:$FA$300, 23, FALSE))</f>
        <v>4710.3999999999996</v>
      </c>
      <c r="Y149" s="556">
        <f>IF(VLOOKUP($E$149,[1]UG!$A$2:$FA$300, 24, FALSE)="",":",VLOOKUP($E$149,[1]UG!$A$2:$FA$300, 24, FALSE))</f>
        <v>5065.1000000000004</v>
      </c>
      <c r="Z149" s="556">
        <f>IF(VLOOKUP($E$149,[1]UG!$A$2:$FA$300, 25, FALSE)="",":",VLOOKUP($E$149,[1]UG!$A$2:$FA$300, 25, FALSE))</f>
        <v>4032.6</v>
      </c>
      <c r="AA149" s="556">
        <f>IF(VLOOKUP($E$149,[1]UG!$A$2:$FA$300, 26, FALSE)="",":",VLOOKUP($E$149,[1]UG!$A$2:$FA$300, 26, FALSE))</f>
        <v>3607.6</v>
      </c>
      <c r="AB149" s="556">
        <f>IF(VLOOKUP($E$149,[1]UG!$A$2:$FA$300, 27, FALSE)="",":",VLOOKUP($E$149,[1]UG!$A$2:$FA$300, 27, FALSE))</f>
        <v>3790.5</v>
      </c>
      <c r="AC149" s="556">
        <f>IF(VLOOKUP($E$149,[1]UG!$A$2:$FA$300, 28, FALSE)="",":",VLOOKUP($E$149,[1]UG!$A$2:$FA$300, 28, FALSE))</f>
        <v>3852.4</v>
      </c>
      <c r="AD149" s="556" t="str">
        <f>IF(VLOOKUP($E$149,[1]UG!$A$2:$FA$300, 29, FALSE)="",":",VLOOKUP($E$149,[1]UG!$A$2:$FA$300, 29, FALSE))</f>
        <v>:</v>
      </c>
      <c r="AE149" s="556" t="str">
        <f>IF(VLOOKUP($E$149,[1]UG!$A$2:$FA$300, 30, FALSE)="",":",VLOOKUP($E$149,[1]UG!$A$2:$FA$300, 30, FALSE))</f>
        <v>:</v>
      </c>
      <c r="AF149" s="556" t="str">
        <f>IF(VLOOKUP($E$149,[1]UG!$A$2:$FA$300, 31, FALSE)="",":",VLOOKUP($E$149,[1]UG!$A$2:$FA$300, 31, FALSE))</f>
        <v>:</v>
      </c>
    </row>
    <row r="150" spans="1:32">
      <c r="A150" s="545"/>
      <c r="B150" s="546" t="s">
        <v>597</v>
      </c>
      <c r="C150" s="547" t="s">
        <v>491</v>
      </c>
      <c r="D150" s="12" t="s">
        <v>1932</v>
      </c>
      <c r="E150" s="13">
        <v>18</v>
      </c>
      <c r="F150" s="14" t="str">
        <f>VLOOKUP($E$150,[1]UG!$A$2:$FA$303, 3, FALSE)</f>
        <v>18 Property income, payable D.4p</v>
      </c>
      <c r="G150" s="556">
        <f>IF(VLOOKUP($E$150,[1]UG!$A$2:$FA$303, 6, FALSE)="",":",VLOOKUP($E$150,[1]UG!$A$2:$FA$303, 6, FALSE))</f>
        <v>18485</v>
      </c>
      <c r="H150" s="556">
        <f>IF(VLOOKUP($E$150,[1]UG!$A$2:$FA$303, 7, FALSE)="",":",VLOOKUP($E$150,[1]UG!$A$2:$FA$303, 7, FALSE))</f>
        <v>18372.5</v>
      </c>
      <c r="I150" s="556">
        <f>IF(VLOOKUP($E$150,[1]UG!$A$2:$FA$303, 8, FALSE)="",":",VLOOKUP($E$150,[1]UG!$A$2:$FA$303, 8, FALSE))</f>
        <v>17514.900000000001</v>
      </c>
      <c r="J150" s="556">
        <f>IF(VLOOKUP($E$150,[1]UG!$A$2:$FA$303, 9, FALSE)="",":",VLOOKUP($E$150,[1]UG!$A$2:$FA$303, 9, FALSE))</f>
        <v>17377.5</v>
      </c>
      <c r="K150" s="556">
        <f>IF(VLOOKUP($E$150,[1]UG!$A$2:$FA$303, 10, FALSE)="",":",VLOOKUP($E$150,[1]UG!$A$2:$FA$303, 10, FALSE))</f>
        <v>16810.5</v>
      </c>
      <c r="L150" s="556">
        <f>IF(VLOOKUP($E$150,[1]UG!$A$2:$FA$303, 11, FALSE)="",":",VLOOKUP($E$150,[1]UG!$A$2:$FA$303, 11, FALSE))</f>
        <v>17217.5</v>
      </c>
      <c r="M150" s="556">
        <f>IF(VLOOKUP($E$150,[1]UG!$A$2:$FA$303, 12, FALSE)="",":",VLOOKUP($E$150,[1]UG!$A$2:$FA$303, 12, FALSE))</f>
        <v>17374.7</v>
      </c>
      <c r="N150" s="556">
        <f>IF(VLOOKUP($E$150,[1]UG!$A$2:$FA$303, 13, FALSE)="",":",VLOOKUP($E$150,[1]UG!$A$2:$FA$303, 13, FALSE))</f>
        <v>15965.2</v>
      </c>
      <c r="O150" s="556">
        <f>IF(VLOOKUP($E$150,[1]UG!$A$2:$FA$303, 14, FALSE)="",":",VLOOKUP($E$150,[1]UG!$A$2:$FA$303, 14, FALSE))</f>
        <v>15237.8</v>
      </c>
      <c r="P150" s="556">
        <f>IF(VLOOKUP($E$150,[1]UG!$A$2:$FA$303, 15, FALSE)="",":",VLOOKUP($E$150,[1]UG!$A$2:$FA$303, 15, FALSE))</f>
        <v>14358.5</v>
      </c>
      <c r="Q150" s="556">
        <f>IF(VLOOKUP($E$150,[1]UG!$A$2:$FA$303, 16, FALSE)="",":",VLOOKUP($E$150,[1]UG!$A$2:$FA$303, 16, FALSE))</f>
        <v>13580</v>
      </c>
      <c r="R150" s="556">
        <f>IF(VLOOKUP($E$150,[1]UG!$A$2:$FA$303, 17, FALSE)="",":",VLOOKUP($E$150,[1]UG!$A$2:$FA$303, 17, FALSE))</f>
        <v>13382.2</v>
      </c>
      <c r="S150" s="556">
        <f>IF(VLOOKUP($E$150,[1]UG!$A$2:$FA$303, 18, FALSE)="",":",VLOOKUP($E$150,[1]UG!$A$2:$FA$303, 18, FALSE))</f>
        <v>13728.8</v>
      </c>
      <c r="T150" s="556">
        <f>IF(VLOOKUP($E$150,[1]UG!$A$2:$FA$303, 19, FALSE)="",":",VLOOKUP($E$150,[1]UG!$A$2:$FA$303, 19, FALSE))</f>
        <v>14035.1</v>
      </c>
      <c r="U150" s="556">
        <f>IF(VLOOKUP($E$150,[1]UG!$A$2:$FA$303, 20, FALSE)="",":",VLOOKUP($E$150,[1]UG!$A$2:$FA$303, 20, FALSE))</f>
        <v>13341.6</v>
      </c>
      <c r="V150" s="556">
        <f>IF(VLOOKUP($E$150,[1]UG!$A$2:$FA$303, 21, FALSE)="",":",VLOOKUP($E$150,[1]UG!$A$2:$FA$303, 21, FALSE))</f>
        <v>13175.5</v>
      </c>
      <c r="W150" s="556">
        <f>IF(VLOOKUP($E$150,[1]UG!$A$2:$FA$303, 22, FALSE)="",":",VLOOKUP($E$150,[1]UG!$A$2:$FA$303, 22, FALSE))</f>
        <v>13645.2</v>
      </c>
      <c r="X150" s="556">
        <f>IF(VLOOKUP($E$150,[1]UG!$A$2:$FA$303, 23, FALSE)="",":",VLOOKUP($E$150,[1]UG!$A$2:$FA$303, 23, FALSE))</f>
        <v>13976.2</v>
      </c>
      <c r="Y150" s="556">
        <f>IF(VLOOKUP($E$150,[1]UG!$A$2:$FA$303, 24, FALSE)="",":",VLOOKUP($E$150,[1]UG!$A$2:$FA$303, 24, FALSE))</f>
        <v>12978.2</v>
      </c>
      <c r="Z150" s="556">
        <f>IF(VLOOKUP($E$150,[1]UG!$A$2:$FA$303, 25, FALSE)="",":",VLOOKUP($E$150,[1]UG!$A$2:$FA$303, 25, FALSE))</f>
        <v>13058.2</v>
      </c>
      <c r="AA150" s="556">
        <f>IF(VLOOKUP($E$150,[1]UG!$A$2:$FA$303, 26, FALSE)="",":",VLOOKUP($E$150,[1]UG!$A$2:$FA$303, 26, FALSE))</f>
        <v>12418.8</v>
      </c>
      <c r="AB150" s="556">
        <f>IF(VLOOKUP($E$150,[1]UG!$A$2:$FA$303, 27, FALSE)="",":",VLOOKUP($E$150,[1]UG!$A$2:$FA$303, 27, FALSE))</f>
        <v>12116.2</v>
      </c>
      <c r="AC150" s="556">
        <f>IF(VLOOKUP($E$150,[1]UG!$A$2:$FA$303, 28, FALSE)="",":",VLOOKUP($E$150,[1]UG!$A$2:$FA$303, 28, FALSE))</f>
        <v>10776.1</v>
      </c>
      <c r="AD150" s="556" t="str">
        <f>IF(VLOOKUP($E$150,[1]UG!$A$2:$FA$303, 29, FALSE)="",":",VLOOKUP($E$150,[1]UG!$A$2:$FA$303, 29, FALSE))</f>
        <v>:</v>
      </c>
      <c r="AE150" s="556" t="str">
        <f>IF(VLOOKUP($E$150,[1]UG!$A$2:$FA$303, 30, FALSE)="",":",VLOOKUP($E$150,[1]UG!$A$2:$FA$303, 30, FALSE))</f>
        <v>:</v>
      </c>
      <c r="AF150" s="556" t="str">
        <f>IF(VLOOKUP($E$150,[1]UG!$A$2:$FA$303, 31, FALSE)="",":",VLOOKUP($E$150,[1]UG!$A$2:$FA$303, 31, FALSE))</f>
        <v>:</v>
      </c>
    </row>
    <row r="151" spans="1:32">
      <c r="A151" s="545">
        <v>122</v>
      </c>
      <c r="B151" s="546" t="s">
        <v>1175</v>
      </c>
      <c r="C151" s="547" t="s">
        <v>127</v>
      </c>
      <c r="D151" s="12" t="s">
        <v>1932</v>
      </c>
      <c r="E151" s="13">
        <v>19</v>
      </c>
      <c r="F151" s="14" t="str">
        <f>VLOOKUP($E$151,[1]UG!$A$2:$FA$303, 3, FALSE)</f>
        <v>19 Interest D.41p</v>
      </c>
      <c r="G151" s="556">
        <f>IF(VLOOKUP($E$151,[1]UG!$A$2:$FA$303, 6, FALSE)="",":",VLOOKUP($E$151,[1]UG!$A$2:$FA$303, 6, FALSE))</f>
        <v>18483.3</v>
      </c>
      <c r="H151" s="556">
        <f>IF(VLOOKUP($E$151,[1]UG!$A$2:$FA$303, 7, FALSE)="",":",VLOOKUP($E$151,[1]UG!$A$2:$FA$303, 7, FALSE))</f>
        <v>18371.099999999999</v>
      </c>
      <c r="I151" s="556">
        <f>IF(VLOOKUP($E$151,[1]UG!$A$2:$FA$303, 8, FALSE)="",":",VLOOKUP($E$151,[1]UG!$A$2:$FA$303, 8, FALSE))</f>
        <v>17513.099999999999</v>
      </c>
      <c r="J151" s="556">
        <f>IF(VLOOKUP($E$151,[1]UG!$A$2:$FA$303, 9, FALSE)="",":",VLOOKUP($E$151,[1]UG!$A$2:$FA$303, 9, FALSE))</f>
        <v>17375.099999999999</v>
      </c>
      <c r="K151" s="556">
        <f>IF(VLOOKUP($E$151,[1]UG!$A$2:$FA$303, 10, FALSE)="",":",VLOOKUP($E$151,[1]UG!$A$2:$FA$303, 10, FALSE))</f>
        <v>16807.099999999999</v>
      </c>
      <c r="L151" s="556">
        <f>IF(VLOOKUP($E$151,[1]UG!$A$2:$FA$303, 11, FALSE)="",":",VLOOKUP($E$151,[1]UG!$A$2:$FA$303, 11, FALSE))</f>
        <v>17213.599999999999</v>
      </c>
      <c r="M151" s="556">
        <f>IF(VLOOKUP($E$151,[1]UG!$A$2:$FA$303, 12, FALSE)="",":",VLOOKUP($E$151,[1]UG!$A$2:$FA$303, 12, FALSE))</f>
        <v>17370.7</v>
      </c>
      <c r="N151" s="556">
        <f>IF(VLOOKUP($E$151,[1]UG!$A$2:$FA$303, 13, FALSE)="",":",VLOOKUP($E$151,[1]UG!$A$2:$FA$303, 13, FALSE))</f>
        <v>15956.4</v>
      </c>
      <c r="O151" s="556">
        <f>IF(VLOOKUP($E$151,[1]UG!$A$2:$FA$303, 14, FALSE)="",":",VLOOKUP($E$151,[1]UG!$A$2:$FA$303, 14, FALSE))</f>
        <v>15232.2</v>
      </c>
      <c r="P151" s="556">
        <f>IF(VLOOKUP($E$151,[1]UG!$A$2:$FA$303, 15, FALSE)="",":",VLOOKUP($E$151,[1]UG!$A$2:$FA$303, 15, FALSE))</f>
        <v>14352.8</v>
      </c>
      <c r="Q151" s="556">
        <f>IF(VLOOKUP($E$151,[1]UG!$A$2:$FA$303, 16, FALSE)="",":",VLOOKUP($E$151,[1]UG!$A$2:$FA$303, 16, FALSE))</f>
        <v>13574.5</v>
      </c>
      <c r="R151" s="556">
        <f>IF(VLOOKUP($E$151,[1]UG!$A$2:$FA$303, 17, FALSE)="",":",VLOOKUP($E$151,[1]UG!$A$2:$FA$303, 17, FALSE))</f>
        <v>13371.9</v>
      </c>
      <c r="S151" s="556">
        <f>IF(VLOOKUP($E$151,[1]UG!$A$2:$FA$303, 18, FALSE)="",":",VLOOKUP($E$151,[1]UG!$A$2:$FA$303, 18, FALSE))</f>
        <v>13722.4</v>
      </c>
      <c r="T151" s="556">
        <f>IF(VLOOKUP($E$151,[1]UG!$A$2:$FA$303, 19, FALSE)="",":",VLOOKUP($E$151,[1]UG!$A$2:$FA$303, 19, FALSE))</f>
        <v>14032.3</v>
      </c>
      <c r="U151" s="556">
        <f>IF(VLOOKUP($E$151,[1]UG!$A$2:$FA$303, 20, FALSE)="",":",VLOOKUP($E$151,[1]UG!$A$2:$FA$303, 20, FALSE))</f>
        <v>13337.8</v>
      </c>
      <c r="V151" s="556">
        <f>IF(VLOOKUP($E$151,[1]UG!$A$2:$FA$303, 21, FALSE)="",":",VLOOKUP($E$151,[1]UG!$A$2:$FA$303, 21, FALSE))</f>
        <v>13170.7</v>
      </c>
      <c r="W151" s="556">
        <f>IF(VLOOKUP($E$151,[1]UG!$A$2:$FA$303, 22, FALSE)="",":",VLOOKUP($E$151,[1]UG!$A$2:$FA$303, 22, FALSE))</f>
        <v>13637.9</v>
      </c>
      <c r="X151" s="556">
        <f>IF(VLOOKUP($E$151,[1]UG!$A$2:$FA$303, 23, FALSE)="",":",VLOOKUP($E$151,[1]UG!$A$2:$FA$303, 23, FALSE))</f>
        <v>13969.2</v>
      </c>
      <c r="Y151" s="556">
        <f>IF(VLOOKUP($E$151,[1]UG!$A$2:$FA$303, 24, FALSE)="",":",VLOOKUP($E$151,[1]UG!$A$2:$FA$303, 24, FALSE))</f>
        <v>12971.8</v>
      </c>
      <c r="Z151" s="556">
        <f>IF(VLOOKUP($E$151,[1]UG!$A$2:$FA$303, 25, FALSE)="",":",VLOOKUP($E$151,[1]UG!$A$2:$FA$303, 25, FALSE))</f>
        <v>13055.7</v>
      </c>
      <c r="AA151" s="556">
        <f>IF(VLOOKUP($E$151,[1]UG!$A$2:$FA$303, 26, FALSE)="",":",VLOOKUP($E$151,[1]UG!$A$2:$FA$303, 26, FALSE))</f>
        <v>12417.4</v>
      </c>
      <c r="AB151" s="556">
        <f>IF(VLOOKUP($E$151,[1]UG!$A$2:$FA$303, 27, FALSE)="",":",VLOOKUP($E$151,[1]UG!$A$2:$FA$303, 27, FALSE))</f>
        <v>12116.2</v>
      </c>
      <c r="AC151" s="556">
        <f>IF(VLOOKUP($E$151,[1]UG!$A$2:$FA$303, 28, FALSE)="",":",VLOOKUP($E$151,[1]UG!$A$2:$FA$303, 28, FALSE))</f>
        <v>10776.1</v>
      </c>
      <c r="AD151" s="556" t="str">
        <f>IF(VLOOKUP($E$151,[1]UG!$A$2:$FA$303, 29, FALSE)="",":",VLOOKUP($E$151,[1]UG!$A$2:$FA$303, 29, FALSE))</f>
        <v>:</v>
      </c>
      <c r="AE151" s="556" t="str">
        <f>IF(VLOOKUP($E$151,[1]UG!$A$2:$FA$303, 30, FALSE)="",":",VLOOKUP($E$151,[1]UG!$A$2:$FA$303, 30, FALSE))</f>
        <v>:</v>
      </c>
      <c r="AF151" s="556" t="str">
        <f>IF(VLOOKUP($E$151,[1]UG!$A$2:$FA$303, 31, FALSE)="",":",VLOOKUP($E$151,[1]UG!$A$2:$FA$303, 31, FALSE))</f>
        <v>:</v>
      </c>
    </row>
    <row r="152" spans="1:32" s="552" customFormat="1">
      <c r="A152" s="548"/>
      <c r="B152" s="549" t="s">
        <v>1293</v>
      </c>
      <c r="C152" s="550" t="s">
        <v>1292</v>
      </c>
      <c r="D152" s="12"/>
      <c r="E152" s="541"/>
      <c r="F152" s="551"/>
      <c r="G152" s="557">
        <f>+G150-G151</f>
        <v>1.7000000000007276</v>
      </c>
      <c r="H152" s="557">
        <f t="shared" ref="H152:AF152" si="5">+H150-H151</f>
        <v>1.4000000000014552</v>
      </c>
      <c r="I152" s="557">
        <f t="shared" si="5"/>
        <v>1.8000000000029104</v>
      </c>
      <c r="J152" s="557">
        <f t="shared" si="5"/>
        <v>2.4000000000014552</v>
      </c>
      <c r="K152" s="557">
        <f t="shared" si="5"/>
        <v>3.4000000000014552</v>
      </c>
      <c r="L152" s="557">
        <f t="shared" si="5"/>
        <v>3.9000000000014552</v>
      </c>
      <c r="M152" s="557">
        <f t="shared" si="5"/>
        <v>4</v>
      </c>
      <c r="N152" s="557">
        <f t="shared" si="5"/>
        <v>8.8000000000010914</v>
      </c>
      <c r="O152" s="557">
        <f t="shared" si="5"/>
        <v>5.5999999999985448</v>
      </c>
      <c r="P152" s="557">
        <f t="shared" si="5"/>
        <v>5.7000000000007276</v>
      </c>
      <c r="Q152" s="557">
        <f>+Q150-Q151</f>
        <v>5.5</v>
      </c>
      <c r="R152" s="557">
        <f t="shared" si="5"/>
        <v>10.300000000001091</v>
      </c>
      <c r="S152" s="557">
        <f>+S150-S151</f>
        <v>6.3999999999996362</v>
      </c>
      <c r="T152" s="557">
        <f t="shared" si="5"/>
        <v>2.8000000000010914</v>
      </c>
      <c r="U152" s="557">
        <f t="shared" si="5"/>
        <v>3.8000000000010914</v>
      </c>
      <c r="V152" s="557">
        <f t="shared" si="5"/>
        <v>4.7999999999992724</v>
      </c>
      <c r="W152" s="557">
        <f t="shared" si="5"/>
        <v>7.3000000000010914</v>
      </c>
      <c r="X152" s="557">
        <f t="shared" si="5"/>
        <v>7</v>
      </c>
      <c r="Y152" s="557">
        <f t="shared" si="5"/>
        <v>6.4000000000014552</v>
      </c>
      <c r="Z152" s="557">
        <f t="shared" si="5"/>
        <v>2.5</v>
      </c>
      <c r="AA152" s="557">
        <f t="shared" si="5"/>
        <v>1.3999999999996362</v>
      </c>
      <c r="AB152" s="557">
        <f t="shared" si="5"/>
        <v>0</v>
      </c>
      <c r="AC152" s="557">
        <f t="shared" si="5"/>
        <v>0</v>
      </c>
      <c r="AD152" s="557" t="e">
        <f t="shared" si="5"/>
        <v>#VALUE!</v>
      </c>
      <c r="AE152" s="557" t="e">
        <f t="shared" si="5"/>
        <v>#VALUE!</v>
      </c>
      <c r="AF152" s="557" t="e">
        <f t="shared" si="5"/>
        <v>#VALUE!</v>
      </c>
    </row>
    <row r="153" spans="1:32">
      <c r="A153" s="545"/>
      <c r="B153" s="546"/>
      <c r="C153" s="547"/>
      <c r="D153" s="12"/>
      <c r="E153" s="13"/>
      <c r="F153" s="14"/>
      <c r="G153" s="556"/>
      <c r="H153" s="556"/>
      <c r="I153" s="556"/>
      <c r="J153" s="556"/>
      <c r="K153" s="556"/>
      <c r="L153" s="556"/>
      <c r="M153" s="556"/>
      <c r="N153" s="556"/>
      <c r="O153" s="556"/>
      <c r="P153" s="556"/>
      <c r="Q153" s="556"/>
      <c r="R153" s="556"/>
      <c r="S153" s="556"/>
      <c r="T153" s="556"/>
      <c r="U153" s="556"/>
      <c r="V153" s="556"/>
      <c r="W153" s="556"/>
      <c r="X153" s="556"/>
      <c r="Y153" s="556"/>
      <c r="Z153" s="556"/>
      <c r="AA153" s="556"/>
      <c r="AB153" s="556"/>
      <c r="AC153" s="556"/>
      <c r="AD153" s="556"/>
      <c r="AE153" s="556"/>
      <c r="AF153" s="556"/>
    </row>
    <row r="154" spans="1:32">
      <c r="A154" s="545">
        <v>114</v>
      </c>
      <c r="B154" s="546" t="s">
        <v>1716</v>
      </c>
      <c r="C154" s="547" t="s">
        <v>1015</v>
      </c>
      <c r="D154" s="12" t="s">
        <v>1932</v>
      </c>
      <c r="E154" s="13">
        <v>22</v>
      </c>
      <c r="F154" s="14" t="str">
        <f>VLOOKUP($E$154,[1]UG!$A$2:$FA$303, 3, FALSE)</f>
        <v>22 Current taxes on income and wealth, receivable D.5r</v>
      </c>
      <c r="G154" s="556">
        <f>IF(VLOOKUP($E$154,[1]UG!$A$2:$FA$303, 6, FALSE)="",":",VLOOKUP($E$154,[1]UG!$A$2:$FA$303, 6, FALSE))</f>
        <v>33709.699999999997</v>
      </c>
      <c r="H154" s="556">
        <f>IF(VLOOKUP($E$154,[1]UG!$A$2:$FA$303, 7, FALSE)="",":",VLOOKUP($E$154,[1]UG!$A$2:$FA$303, 7, FALSE))</f>
        <v>34418.400000000001</v>
      </c>
      <c r="I154" s="556">
        <f>IF(VLOOKUP($E$154,[1]UG!$A$2:$FA$303, 8, FALSE)="",":",VLOOKUP($E$154,[1]UG!$A$2:$FA$303, 8, FALSE))</f>
        <v>36979.300000000003</v>
      </c>
      <c r="J154" s="556">
        <f>IF(VLOOKUP($E$154,[1]UG!$A$2:$FA$303, 9, FALSE)="",":",VLOOKUP($E$154,[1]UG!$A$2:$FA$303, 9, FALSE))</f>
        <v>39622.6</v>
      </c>
      <c r="K154" s="556">
        <f>IF(VLOOKUP($E$154,[1]UG!$A$2:$FA$303, 10, FALSE)="",":",VLOOKUP($E$154,[1]UG!$A$2:$FA$303, 10, FALSE))</f>
        <v>40176.800000000003</v>
      </c>
      <c r="L154" s="556">
        <f>IF(VLOOKUP($E$154,[1]UG!$A$2:$FA$303, 11, FALSE)="",":",VLOOKUP($E$154,[1]UG!$A$2:$FA$303, 11, FALSE))</f>
        <v>42835.3</v>
      </c>
      <c r="M154" s="556">
        <f>IF(VLOOKUP($E$154,[1]UG!$A$2:$FA$303, 12, FALSE)="",":",VLOOKUP($E$154,[1]UG!$A$2:$FA$303, 12, FALSE))</f>
        <v>44580.800000000003</v>
      </c>
      <c r="N154" s="556">
        <f>IF(VLOOKUP($E$154,[1]UG!$A$2:$FA$303, 13, FALSE)="",":",VLOOKUP($E$154,[1]UG!$A$2:$FA$303, 13, FALSE))</f>
        <v>45896.4</v>
      </c>
      <c r="O154" s="556">
        <f>IF(VLOOKUP($E$154,[1]UG!$A$2:$FA$303, 14, FALSE)="",":",VLOOKUP($E$154,[1]UG!$A$2:$FA$303, 14, FALSE))</f>
        <v>45672.3</v>
      </c>
      <c r="P154" s="556">
        <f>IF(VLOOKUP($E$154,[1]UG!$A$2:$FA$303, 15, FALSE)="",":",VLOOKUP($E$154,[1]UG!$A$2:$FA$303, 15, FALSE))</f>
        <v>48301.1</v>
      </c>
      <c r="Q154" s="556">
        <f>IF(VLOOKUP($E$154,[1]UG!$A$2:$FA$303, 16, FALSE)="",":",VLOOKUP($E$154,[1]UG!$A$2:$FA$303, 16, FALSE))</f>
        <v>50676.1</v>
      </c>
      <c r="R154" s="556">
        <f>IF(VLOOKUP($E$154,[1]UG!$A$2:$FA$303, 17, FALSE)="",":",VLOOKUP($E$154,[1]UG!$A$2:$FA$303, 17, FALSE))</f>
        <v>52663.7</v>
      </c>
      <c r="S154" s="556">
        <f>IF(VLOOKUP($E$154,[1]UG!$A$2:$FA$303, 18, FALSE)="",":",VLOOKUP($E$154,[1]UG!$A$2:$FA$303, 18, FALSE))</f>
        <v>54700.9</v>
      </c>
      <c r="T154" s="556">
        <f>IF(VLOOKUP($E$154,[1]UG!$A$2:$FA$303, 19, FALSE)="",":",VLOOKUP($E$154,[1]UG!$A$2:$FA$303, 19, FALSE))</f>
        <v>57118.3</v>
      </c>
      <c r="U154" s="556">
        <f>IF(VLOOKUP($E$154,[1]UG!$A$2:$FA$303, 20, FALSE)="",":",VLOOKUP($E$154,[1]UG!$A$2:$FA$303, 20, FALSE))</f>
        <v>52131.5</v>
      </c>
      <c r="V154" s="556">
        <f>IF(VLOOKUP($E$154,[1]UG!$A$2:$FA$303, 21, FALSE)="",":",VLOOKUP($E$154,[1]UG!$A$2:$FA$303, 21, FALSE))</f>
        <v>55681.8</v>
      </c>
      <c r="W154" s="556">
        <f>IF(VLOOKUP($E$154,[1]UG!$A$2:$FA$303, 22, FALSE)="",":",VLOOKUP($E$154,[1]UG!$A$2:$FA$303, 22, FALSE))</f>
        <v>59729.9</v>
      </c>
      <c r="X154" s="556">
        <f>IF(VLOOKUP($E$154,[1]UG!$A$2:$FA$303, 23, FALSE)="",":",VLOOKUP($E$154,[1]UG!$A$2:$FA$303, 23, FALSE))</f>
        <v>62513.3</v>
      </c>
      <c r="Y154" s="556">
        <f>IF(VLOOKUP($E$154,[1]UG!$A$2:$FA$303, 24, FALSE)="",":",VLOOKUP($E$154,[1]UG!$A$2:$FA$303, 24, FALSE))</f>
        <v>65682.2</v>
      </c>
      <c r="Z154" s="556">
        <f>IF(VLOOKUP($E$154,[1]UG!$A$2:$FA$303, 25, FALSE)="",":",VLOOKUP($E$154,[1]UG!$A$2:$FA$303, 25, FALSE))</f>
        <v>67108.2</v>
      </c>
      <c r="AA154" s="556">
        <f>IF(VLOOKUP($E$154,[1]UG!$A$2:$FA$303, 26, FALSE)="",":",VLOOKUP($E$154,[1]UG!$A$2:$FA$303, 26, FALSE))</f>
        <v>68038.7</v>
      </c>
      <c r="AB154" s="556">
        <f>IF(VLOOKUP($E$154,[1]UG!$A$2:$FA$303, 27, FALSE)="",":",VLOOKUP($E$154,[1]UG!$A$2:$FA$303, 27, FALSE))</f>
        <v>68753.399999999994</v>
      </c>
      <c r="AC154" s="556">
        <f>IF(VLOOKUP($E$154,[1]UG!$A$2:$FA$303, 28, FALSE)="",":",VLOOKUP($E$154,[1]UG!$A$2:$FA$303, 28, FALSE))</f>
        <v>73776.7</v>
      </c>
      <c r="AD154" s="556">
        <f>IF(VLOOKUP($E$154,[1]UG!$A$2:$FA$303, 29, FALSE)="",":",VLOOKUP($E$154,[1]UG!$A$2:$FA$303, 29, FALSE))</f>
        <v>7.3062568542064943E-2</v>
      </c>
      <c r="AE154" s="556" t="str">
        <f>IF(VLOOKUP($E$154,[1]UG!$A$2:$FA$303, 30, FALSE)="",":",VLOOKUP($E$154,[1]UG!$A$2:$FA$303, 30, FALSE))</f>
        <v>:</v>
      </c>
      <c r="AF154" s="556" t="str">
        <f>IF(VLOOKUP($E$154,[1]UG!$A$2:$FA$303, 31, FALSE)="",":",VLOOKUP($E$154,[1]UG!$A$2:$FA$303, 31, FALSE))</f>
        <v>:</v>
      </c>
    </row>
    <row r="155" spans="1:32">
      <c r="A155" s="545"/>
      <c r="B155" s="546" t="s">
        <v>680</v>
      </c>
      <c r="C155" s="547" t="s">
        <v>1016</v>
      </c>
      <c r="D155" s="12" t="s">
        <v>1932</v>
      </c>
      <c r="E155" s="13">
        <v>27</v>
      </c>
      <c r="F155" s="14" t="str">
        <f>VLOOKUP($E$155,[1]UG!$A$2:$FA$303, 3, FALSE)</f>
        <v>27 Current taxes on income and wealth, payable D.5p</v>
      </c>
      <c r="G155" s="556">
        <f>IF(VLOOKUP($E$155,[1]UG!$A$2:$FA$303, 6, FALSE)="",":",VLOOKUP($E$155,[1]UG!$A$2:$FA$303, 6, FALSE))</f>
        <v>17.7</v>
      </c>
      <c r="H155" s="556">
        <f>IF(VLOOKUP($E$155,[1]UG!$A$2:$FA$303, 7, FALSE)="",":",VLOOKUP($E$155,[1]UG!$A$2:$FA$303, 7, FALSE))</f>
        <v>19.399999999999999</v>
      </c>
      <c r="I155" s="556">
        <f>IF(VLOOKUP($E$155,[1]UG!$A$2:$FA$303, 8, FALSE)="",":",VLOOKUP($E$155,[1]UG!$A$2:$FA$303, 8, FALSE))</f>
        <v>29</v>
      </c>
      <c r="J155" s="556">
        <f>IF(VLOOKUP($E$155,[1]UG!$A$2:$FA$303, 9, FALSE)="",":",VLOOKUP($E$155,[1]UG!$A$2:$FA$303, 9, FALSE))</f>
        <v>38.5</v>
      </c>
      <c r="K155" s="556">
        <f>IF(VLOOKUP($E$155,[1]UG!$A$2:$FA$303, 10, FALSE)="",":",VLOOKUP($E$155,[1]UG!$A$2:$FA$303, 10, FALSE))</f>
        <v>45.4</v>
      </c>
      <c r="L155" s="556">
        <f>IF(VLOOKUP($E$155,[1]UG!$A$2:$FA$303, 11, FALSE)="",":",VLOOKUP($E$155,[1]UG!$A$2:$FA$303, 11, FALSE))</f>
        <v>54.5</v>
      </c>
      <c r="M155" s="556">
        <f>IF(VLOOKUP($E$155,[1]UG!$A$2:$FA$303, 12, FALSE)="",":",VLOOKUP($E$155,[1]UG!$A$2:$FA$303, 12, FALSE))</f>
        <v>61.3</v>
      </c>
      <c r="N155" s="556">
        <f>IF(VLOOKUP($E$155,[1]UG!$A$2:$FA$303, 13, FALSE)="",":",VLOOKUP($E$155,[1]UG!$A$2:$FA$303, 13, FALSE))</f>
        <v>56.1</v>
      </c>
      <c r="O155" s="556">
        <f>IF(VLOOKUP($E$155,[1]UG!$A$2:$FA$303, 14, FALSE)="",":",VLOOKUP($E$155,[1]UG!$A$2:$FA$303, 14, FALSE))</f>
        <v>109.1</v>
      </c>
      <c r="P155" s="556">
        <f>IF(VLOOKUP($E$155,[1]UG!$A$2:$FA$303, 15, FALSE)="",":",VLOOKUP($E$155,[1]UG!$A$2:$FA$303, 15, FALSE))</f>
        <v>31.4</v>
      </c>
      <c r="Q155" s="556">
        <f>IF(VLOOKUP($E$155,[1]UG!$A$2:$FA$303, 16, FALSE)="",":",VLOOKUP($E$155,[1]UG!$A$2:$FA$303, 16, FALSE))</f>
        <v>33.1</v>
      </c>
      <c r="R155" s="556">
        <f>IF(VLOOKUP($E$155,[1]UG!$A$2:$FA$303, 17, FALSE)="",":",VLOOKUP($E$155,[1]UG!$A$2:$FA$303, 17, FALSE))</f>
        <v>53</v>
      </c>
      <c r="S155" s="556">
        <f>IF(VLOOKUP($E$155,[1]UG!$A$2:$FA$303, 18, FALSE)="",":",VLOOKUP($E$155,[1]UG!$A$2:$FA$303, 18, FALSE))</f>
        <v>66.900000000000006</v>
      </c>
      <c r="T155" s="556">
        <f>IF(VLOOKUP($E$155,[1]UG!$A$2:$FA$303, 19, FALSE)="",":",VLOOKUP($E$155,[1]UG!$A$2:$FA$303, 19, FALSE))</f>
        <v>7.8</v>
      </c>
      <c r="U155" s="556">
        <f>IF(VLOOKUP($E$155,[1]UG!$A$2:$FA$303, 20, FALSE)="",":",VLOOKUP($E$155,[1]UG!$A$2:$FA$303, 20, FALSE))</f>
        <v>19.399999999999999</v>
      </c>
      <c r="V155" s="556">
        <f>IF(VLOOKUP($E$155,[1]UG!$A$2:$FA$303, 21, FALSE)="",":",VLOOKUP($E$155,[1]UG!$A$2:$FA$303, 21, FALSE))</f>
        <v>21.1</v>
      </c>
      <c r="W155" s="556">
        <f>IF(VLOOKUP($E$155,[1]UG!$A$2:$FA$303, 22, FALSE)="",":",VLOOKUP($E$155,[1]UG!$A$2:$FA$303, 22, FALSE))</f>
        <v>18.100000000000001</v>
      </c>
      <c r="X155" s="556">
        <f>IF(VLOOKUP($E$155,[1]UG!$A$2:$FA$303, 23, FALSE)="",":",VLOOKUP($E$155,[1]UG!$A$2:$FA$303, 23, FALSE))</f>
        <v>19.899999999999999</v>
      </c>
      <c r="Y155" s="556">
        <f>IF(VLOOKUP($E$155,[1]UG!$A$2:$FA$303, 24, FALSE)="",":",VLOOKUP($E$155,[1]UG!$A$2:$FA$303, 24, FALSE))</f>
        <v>36.6</v>
      </c>
      <c r="Z155" s="556">
        <f>IF(VLOOKUP($E$155,[1]UG!$A$2:$FA$303, 25, FALSE)="",":",VLOOKUP($E$155,[1]UG!$A$2:$FA$303, 25, FALSE))</f>
        <v>44.9</v>
      </c>
      <c r="AA155" s="556">
        <f>IF(VLOOKUP($E$155,[1]UG!$A$2:$FA$303, 26, FALSE)="",":",VLOOKUP($E$155,[1]UG!$A$2:$FA$303, 26, FALSE))</f>
        <v>44.9</v>
      </c>
      <c r="AB155" s="556">
        <f>IF(VLOOKUP($E$155,[1]UG!$A$2:$FA$303, 27, FALSE)="",":",VLOOKUP($E$155,[1]UG!$A$2:$FA$303, 27, FALSE))</f>
        <v>50.5</v>
      </c>
      <c r="AC155" s="556">
        <f>IF(VLOOKUP($E$155,[1]UG!$A$2:$FA$303, 28, FALSE)="",":",VLOOKUP($E$155,[1]UG!$A$2:$FA$303, 28, FALSE))</f>
        <v>47.4</v>
      </c>
      <c r="AD155" s="556" t="str">
        <f>IF(VLOOKUP($E$155,[1]UG!$A$2:$FA$303, 29, FALSE)="",":",VLOOKUP($E$155,[1]UG!$A$2:$FA$303, 29, FALSE))</f>
        <v>:</v>
      </c>
      <c r="AE155" s="556" t="str">
        <f>IF(VLOOKUP($E$155,[1]UG!$A$2:$FA$303, 30, FALSE)="",":",VLOOKUP($E$155,[1]UG!$A$2:$FA$303, 30, FALSE))</f>
        <v>:</v>
      </c>
      <c r="AF155" s="556" t="str">
        <f>IF(VLOOKUP($E$155,[1]UG!$A$2:$FA$303, 31, FALSE)="",":",VLOOKUP($E$155,[1]UG!$A$2:$FA$303, 31, FALSE))</f>
        <v>:</v>
      </c>
    </row>
    <row r="156" spans="1:32">
      <c r="A156" s="545"/>
      <c r="B156" s="546" t="s">
        <v>681</v>
      </c>
      <c r="C156" s="547" t="s">
        <v>88</v>
      </c>
      <c r="D156" s="12" t="s">
        <v>1932</v>
      </c>
      <c r="E156" s="13">
        <v>25</v>
      </c>
      <c r="F156" s="14" t="str">
        <f>VLOOKUP($E$156,[1]UG!$A$2:$FA$303, 3, FALSE)</f>
        <v>25 Imputed social contributions D.612</v>
      </c>
      <c r="G156" s="556">
        <f>IF(VLOOKUP($E$156,[1]UG!$A$2:$FA$303, 6, FALSE)="",":",VLOOKUP($E$156,[1]UG!$A$2:$FA$303, 6, FALSE))</f>
        <v>4155.8999999999996</v>
      </c>
      <c r="H156" s="556">
        <f>IF(VLOOKUP($E$156,[1]UG!$A$2:$FA$303, 7, FALSE)="",":",VLOOKUP($E$156,[1]UG!$A$2:$FA$303, 7, FALSE))</f>
        <v>4371.3999999999996</v>
      </c>
      <c r="I156" s="556">
        <f>IF(VLOOKUP($E$156,[1]UG!$A$2:$FA$303, 8, FALSE)="",":",VLOOKUP($E$156,[1]UG!$A$2:$FA$303, 8, FALSE))</f>
        <v>4593.3999999999996</v>
      </c>
      <c r="J156" s="556">
        <f>IF(VLOOKUP($E$156,[1]UG!$A$2:$FA$303, 9, FALSE)="",":",VLOOKUP($E$156,[1]UG!$A$2:$FA$303, 9, FALSE))</f>
        <v>4796.2</v>
      </c>
      <c r="K156" s="556">
        <f>IF(VLOOKUP($E$156,[1]UG!$A$2:$FA$303, 10, FALSE)="",":",VLOOKUP($E$156,[1]UG!$A$2:$FA$303, 10, FALSE))</f>
        <v>4929.3</v>
      </c>
      <c r="L156" s="556">
        <f>IF(VLOOKUP($E$156,[1]UG!$A$2:$FA$303, 11, FALSE)="",":",VLOOKUP($E$156,[1]UG!$A$2:$FA$303, 11, FALSE))</f>
        <v>5163.2</v>
      </c>
      <c r="M156" s="556">
        <f>IF(VLOOKUP($E$156,[1]UG!$A$2:$FA$303, 12, FALSE)="",":",VLOOKUP($E$156,[1]UG!$A$2:$FA$303, 12, FALSE))</f>
        <v>5450.8</v>
      </c>
      <c r="N156" s="556">
        <f>IF(VLOOKUP($E$156,[1]UG!$A$2:$FA$303, 13, FALSE)="",":",VLOOKUP($E$156,[1]UG!$A$2:$FA$303, 13, FALSE))</f>
        <v>5827.2</v>
      </c>
      <c r="O156" s="556">
        <f>IF(VLOOKUP($E$156,[1]UG!$A$2:$FA$303, 14, FALSE)="",":",VLOOKUP($E$156,[1]UG!$A$2:$FA$303, 14, FALSE))</f>
        <v>5919.3</v>
      </c>
      <c r="P156" s="556">
        <f>IF(VLOOKUP($E$156,[1]UG!$A$2:$FA$303, 15, FALSE)="",":",VLOOKUP($E$156,[1]UG!$A$2:$FA$303, 15, FALSE))</f>
        <v>6134.8</v>
      </c>
      <c r="Q156" s="556">
        <f>IF(VLOOKUP($E$156,[1]UG!$A$2:$FA$303, 16, FALSE)="",":",VLOOKUP($E$156,[1]UG!$A$2:$FA$303, 16, FALSE))</f>
        <v>6279</v>
      </c>
      <c r="R156" s="556">
        <f>IF(VLOOKUP($E$156,[1]UG!$A$2:$FA$303, 17, FALSE)="",":",VLOOKUP($E$156,[1]UG!$A$2:$FA$303, 17, FALSE))</f>
        <v>6784.3</v>
      </c>
      <c r="S156" s="556">
        <f>IF(VLOOKUP($E$156,[1]UG!$A$2:$FA$303, 18, FALSE)="",":",VLOOKUP($E$156,[1]UG!$A$2:$FA$303, 18, FALSE))</f>
        <v>7137.3</v>
      </c>
      <c r="T156" s="556">
        <f>IF(VLOOKUP($E$156,[1]UG!$A$2:$FA$303, 19, FALSE)="",":",VLOOKUP($E$156,[1]UG!$A$2:$FA$303, 19, FALSE))</f>
        <v>7552.3</v>
      </c>
      <c r="U156" s="556">
        <f>IF(VLOOKUP($E$156,[1]UG!$A$2:$FA$303, 20, FALSE)="",":",VLOOKUP($E$156,[1]UG!$A$2:$FA$303, 20, FALSE))</f>
        <v>7943.5</v>
      </c>
      <c r="V156" s="556">
        <f>IF(VLOOKUP($E$156,[1]UG!$A$2:$FA$303, 21, FALSE)="",":",VLOOKUP($E$156,[1]UG!$A$2:$FA$303, 21, FALSE))</f>
        <v>8205.7999999999993</v>
      </c>
      <c r="W156" s="556">
        <f>IF(VLOOKUP($E$156,[1]UG!$A$2:$FA$303, 22, FALSE)="",":",VLOOKUP($E$156,[1]UG!$A$2:$FA$303, 22, FALSE))</f>
        <v>8738.5</v>
      </c>
      <c r="X156" s="556">
        <f>IF(VLOOKUP($E$156,[1]UG!$A$2:$FA$303, 23, FALSE)="",":",VLOOKUP($E$156,[1]UG!$A$2:$FA$303, 23, FALSE))</f>
        <v>9150.5</v>
      </c>
      <c r="Y156" s="556">
        <f>IF(VLOOKUP($E$156,[1]UG!$A$2:$FA$303, 24, FALSE)="",":",VLOOKUP($E$156,[1]UG!$A$2:$FA$303, 24, FALSE))</f>
        <v>9560.2000000000007</v>
      </c>
      <c r="Z156" s="556">
        <f>IF(VLOOKUP($E$156,[1]UG!$A$2:$FA$303, 25, FALSE)="",":",VLOOKUP($E$156,[1]UG!$A$2:$FA$303, 25, FALSE))</f>
        <v>9609.2000000000007</v>
      </c>
      <c r="AA156" s="556">
        <f>IF(VLOOKUP($E$156,[1]UG!$A$2:$FA$303, 26, FALSE)="",":",VLOOKUP($E$156,[1]UG!$A$2:$FA$303, 26, FALSE))</f>
        <v>9245.1</v>
      </c>
      <c r="AB156" s="556">
        <f>IF(VLOOKUP($E$156,[1]UG!$A$2:$FA$303, 27, FALSE)="",":",VLOOKUP($E$156,[1]UG!$A$2:$FA$303, 27, FALSE))</f>
        <v>9526</v>
      </c>
      <c r="AC156" s="556">
        <f>IF(VLOOKUP($E$156,[1]UG!$A$2:$FA$303, 28, FALSE)="",":",VLOOKUP($E$156,[1]UG!$A$2:$FA$303, 28, FALSE))</f>
        <v>9840.7999999999993</v>
      </c>
      <c r="AD156" s="556" t="str">
        <f>IF(VLOOKUP($E$156,[1]UG!$A$2:$FA$303, 29, FALSE)="",":",VLOOKUP($E$156,[1]UG!$A$2:$FA$303, 29, FALSE))</f>
        <v>:</v>
      </c>
      <c r="AE156" s="556" t="str">
        <f>IF(VLOOKUP($E$156,[1]UG!$A$2:$FA$303, 30, FALSE)="",":",VLOOKUP($E$156,[1]UG!$A$2:$FA$303, 30, FALSE))</f>
        <v>:</v>
      </c>
      <c r="AF156" s="556" t="str">
        <f>IF(VLOOKUP($E$156,[1]UG!$A$2:$FA$303, 31, FALSE)="",":",VLOOKUP($E$156,[1]UG!$A$2:$FA$303, 31, FALSE))</f>
        <v>:</v>
      </c>
    </row>
    <row r="157" spans="1:32">
      <c r="A157" s="545">
        <v>116</v>
      </c>
      <c r="B157" s="546" t="s">
        <v>1370</v>
      </c>
      <c r="C157" s="547" t="s">
        <v>131</v>
      </c>
      <c r="D157" s="12" t="s">
        <v>1932</v>
      </c>
      <c r="E157" s="13">
        <v>24</v>
      </c>
      <c r="F157" s="14" t="str">
        <f>VLOOKUP($E$157,[1]UG!$A$2:$FA$303, 3, FALSE)</f>
        <v>24 Actual social contributions D.611r</v>
      </c>
      <c r="G157" s="556">
        <f>IF(VLOOKUP($E$157,[1]UG!$A$2:$FA$303, 6, FALSE)="",":",VLOOKUP($E$157,[1]UG!$A$2:$FA$303, 6, FALSE))</f>
        <v>29433.1</v>
      </c>
      <c r="H157" s="556">
        <f>IF(VLOOKUP($E$157,[1]UG!$A$2:$FA$303, 7, FALSE)="",":",VLOOKUP($E$157,[1]UG!$A$2:$FA$303, 7, FALSE))</f>
        <v>30284.3</v>
      </c>
      <c r="I157" s="556">
        <f>IF(VLOOKUP($E$157,[1]UG!$A$2:$FA$303, 8, FALSE)="",":",VLOOKUP($E$157,[1]UG!$A$2:$FA$303, 8, FALSE))</f>
        <v>31270</v>
      </c>
      <c r="J157" s="556">
        <f>IF(VLOOKUP($E$157,[1]UG!$A$2:$FA$303, 9, FALSE)="",":",VLOOKUP($E$157,[1]UG!$A$2:$FA$303, 9, FALSE))</f>
        <v>32577.200000000001</v>
      </c>
      <c r="K157" s="556">
        <f>IF(VLOOKUP($E$157,[1]UG!$A$2:$FA$303, 10, FALSE)="",":",VLOOKUP($E$157,[1]UG!$A$2:$FA$303, 10, FALSE))</f>
        <v>33784.6</v>
      </c>
      <c r="L157" s="556">
        <f>IF(VLOOKUP($E$157,[1]UG!$A$2:$FA$303, 11, FALSE)="",":",VLOOKUP($E$157,[1]UG!$A$2:$FA$303, 11, FALSE))</f>
        <v>34690</v>
      </c>
      <c r="M157" s="556">
        <f>IF(VLOOKUP($E$157,[1]UG!$A$2:$FA$303, 12, FALSE)="",":",VLOOKUP($E$157,[1]UG!$A$2:$FA$303, 12, FALSE))</f>
        <v>36236.199999999997</v>
      </c>
      <c r="N157" s="556">
        <f>IF(VLOOKUP($E$157,[1]UG!$A$2:$FA$303, 13, FALSE)="",":",VLOOKUP($E$157,[1]UG!$A$2:$FA$303, 13, FALSE))</f>
        <v>38065</v>
      </c>
      <c r="O157" s="556">
        <f>IF(VLOOKUP($E$157,[1]UG!$A$2:$FA$303, 14, FALSE)="",":",VLOOKUP($E$157,[1]UG!$A$2:$FA$303, 14, FALSE))</f>
        <v>38919.1</v>
      </c>
      <c r="P157" s="556">
        <f>IF(VLOOKUP($E$157,[1]UG!$A$2:$FA$303, 15, FALSE)="",":",VLOOKUP($E$157,[1]UG!$A$2:$FA$303, 15, FALSE))</f>
        <v>40184.9</v>
      </c>
      <c r="Q157" s="556">
        <f>IF(VLOOKUP($E$157,[1]UG!$A$2:$FA$303, 16, FALSE)="",":",VLOOKUP($E$157,[1]UG!$A$2:$FA$303, 16, FALSE))</f>
        <v>41271.1</v>
      </c>
      <c r="R157" s="556">
        <f>IF(VLOOKUP($E$157,[1]UG!$A$2:$FA$303, 17, FALSE)="",":",VLOOKUP($E$157,[1]UG!$A$2:$FA$303, 17, FALSE))</f>
        <v>42990.3</v>
      </c>
      <c r="S157" s="556">
        <f>IF(VLOOKUP($E$157,[1]UG!$A$2:$FA$303, 18, FALSE)="",":",VLOOKUP($E$157,[1]UG!$A$2:$FA$303, 18, FALSE))</f>
        <v>45713.4</v>
      </c>
      <c r="T157" s="556">
        <f>IF(VLOOKUP($E$157,[1]UG!$A$2:$FA$303, 19, FALSE)="",":",VLOOKUP($E$157,[1]UG!$A$2:$FA$303, 19, FALSE))</f>
        <v>48360.5</v>
      </c>
      <c r="U157" s="556">
        <f>IF(VLOOKUP($E$157,[1]UG!$A$2:$FA$303, 20, FALSE)="",":",VLOOKUP($E$157,[1]UG!$A$2:$FA$303, 20, FALSE))</f>
        <v>49377.1</v>
      </c>
      <c r="V157" s="556">
        <f>IF(VLOOKUP($E$157,[1]UG!$A$2:$FA$303, 21, FALSE)="",":",VLOOKUP($E$157,[1]UG!$A$2:$FA$303, 21, FALSE))</f>
        <v>50508.7</v>
      </c>
      <c r="W157" s="556">
        <f>IF(VLOOKUP($E$157,[1]UG!$A$2:$FA$303, 22, FALSE)="",":",VLOOKUP($E$157,[1]UG!$A$2:$FA$303, 22, FALSE))</f>
        <v>53037.3</v>
      </c>
      <c r="X157" s="556">
        <f>IF(VLOOKUP($E$157,[1]UG!$A$2:$FA$303, 23, FALSE)="",":",VLOOKUP($E$157,[1]UG!$A$2:$FA$303, 23, FALSE))</f>
        <v>55188.4</v>
      </c>
      <c r="Y157" s="556">
        <f>IF(VLOOKUP($E$157,[1]UG!$A$2:$FA$303, 24, FALSE)="",":",VLOOKUP($E$157,[1]UG!$A$2:$FA$303, 24, FALSE))</f>
        <v>56429.1</v>
      </c>
      <c r="Z157" s="556">
        <f>IF(VLOOKUP($E$157,[1]UG!$A$2:$FA$303, 25, FALSE)="",":",VLOOKUP($E$157,[1]UG!$A$2:$FA$303, 25, FALSE))</f>
        <v>57163.5</v>
      </c>
      <c r="AA157" s="556">
        <f>IF(VLOOKUP($E$157,[1]UG!$A$2:$FA$303, 26, FALSE)="",":",VLOOKUP($E$157,[1]UG!$A$2:$FA$303, 26, FALSE))</f>
        <v>58699.3</v>
      </c>
      <c r="AB157" s="556">
        <f>IF(VLOOKUP($E$157,[1]UG!$A$2:$FA$303, 27, FALSE)="",":",VLOOKUP($E$157,[1]UG!$A$2:$FA$303, 27, FALSE))</f>
        <v>58002.7</v>
      </c>
      <c r="AC157" s="556">
        <f>IF(VLOOKUP($E$157,[1]UG!$A$2:$FA$303, 28, FALSE)="",":",VLOOKUP($E$157,[1]UG!$A$2:$FA$303, 28, FALSE))</f>
        <v>59502</v>
      </c>
      <c r="AD157" s="556" t="str">
        <f>IF(VLOOKUP($E$157,[1]UG!$A$2:$FA$303, 29, FALSE)="",":",VLOOKUP($E$157,[1]UG!$A$2:$FA$303, 29, FALSE))</f>
        <v>:</v>
      </c>
      <c r="AE157" s="556" t="str">
        <f>IF(VLOOKUP($E$157,[1]UG!$A$2:$FA$303, 30, FALSE)="",":",VLOOKUP($E$157,[1]UG!$A$2:$FA$303, 30, FALSE))</f>
        <v>:</v>
      </c>
      <c r="AF157" s="556" t="str">
        <f>IF(VLOOKUP($E$157,[1]UG!$A$2:$FA$303, 31, FALSE)="",":",VLOOKUP($E$157,[1]UG!$A$2:$FA$303, 31, FALSE))</f>
        <v>:</v>
      </c>
    </row>
    <row r="158" spans="1:32">
      <c r="A158" s="545">
        <v>121</v>
      </c>
      <c r="B158" s="546" t="s">
        <v>1925</v>
      </c>
      <c r="C158" s="547" t="s">
        <v>1567</v>
      </c>
      <c r="D158" s="12" t="s">
        <v>1932</v>
      </c>
      <c r="E158" s="13">
        <v>28</v>
      </c>
      <c r="F158" s="14" t="str">
        <f>VLOOKUP($E$158,[1]UG!$A$2:$FA$303, 3, FALSE)</f>
        <v>28 Social benefits other than social transfers in kind, payable D.62p</v>
      </c>
      <c r="G158" s="556">
        <f>IF(VLOOKUP($E$158,[1]UG!$A$2:$FA$303, 6, FALSE)="",":",VLOOKUP($E$158,[1]UG!$A$2:$FA$303, 6, FALSE))</f>
        <v>32936.1</v>
      </c>
      <c r="H158" s="556">
        <f>IF(VLOOKUP($E$158,[1]UG!$A$2:$FA$303, 7, FALSE)="",":",VLOOKUP($E$158,[1]UG!$A$2:$FA$303, 7, FALSE))</f>
        <v>33900.300000000003</v>
      </c>
      <c r="I158" s="556">
        <f>IF(VLOOKUP($E$158,[1]UG!$A$2:$FA$303, 8, FALSE)="",":",VLOOKUP($E$158,[1]UG!$A$2:$FA$303, 8, FALSE))</f>
        <v>34947.4</v>
      </c>
      <c r="J158" s="556">
        <f>IF(VLOOKUP($E$158,[1]UG!$A$2:$FA$303, 9, FALSE)="",":",VLOOKUP($E$158,[1]UG!$A$2:$FA$303, 9, FALSE))</f>
        <v>35640.800000000003</v>
      </c>
      <c r="K158" s="556">
        <f>IF(VLOOKUP($E$158,[1]UG!$A$2:$FA$303, 10, FALSE)="",":",VLOOKUP($E$158,[1]UG!$A$2:$FA$303, 10, FALSE))</f>
        <v>36285.199999999997</v>
      </c>
      <c r="L158" s="556">
        <f>IF(VLOOKUP($E$158,[1]UG!$A$2:$FA$303, 11, FALSE)="",":",VLOOKUP($E$158,[1]UG!$A$2:$FA$303, 11, FALSE))</f>
        <v>37241.599999999999</v>
      </c>
      <c r="M158" s="556">
        <f>IF(VLOOKUP($E$158,[1]UG!$A$2:$FA$303, 12, FALSE)="",":",VLOOKUP($E$158,[1]UG!$A$2:$FA$303, 12, FALSE))</f>
        <v>38791.9</v>
      </c>
      <c r="N158" s="556">
        <f>IF(VLOOKUP($E$158,[1]UG!$A$2:$FA$303, 13, FALSE)="",":",VLOOKUP($E$158,[1]UG!$A$2:$FA$303, 13, FALSE))</f>
        <v>41471.599999999999</v>
      </c>
      <c r="O158" s="556">
        <f>IF(VLOOKUP($E$158,[1]UG!$A$2:$FA$303, 14, FALSE)="",":",VLOOKUP($E$158,[1]UG!$A$2:$FA$303, 14, FALSE))</f>
        <v>43290.6</v>
      </c>
      <c r="P158" s="556">
        <f>IF(VLOOKUP($E$158,[1]UG!$A$2:$FA$303, 15, FALSE)="",":",VLOOKUP($E$158,[1]UG!$A$2:$FA$303, 15, FALSE))</f>
        <v>45021.4</v>
      </c>
      <c r="Q158" s="556">
        <f>IF(VLOOKUP($E$158,[1]UG!$A$2:$FA$303, 16, FALSE)="",":",VLOOKUP($E$158,[1]UG!$A$2:$FA$303, 16, FALSE))</f>
        <v>46677.5</v>
      </c>
      <c r="R158" s="556">
        <f>IF(VLOOKUP($E$158,[1]UG!$A$2:$FA$303, 17, FALSE)="",":",VLOOKUP($E$158,[1]UG!$A$2:$FA$303, 17, FALSE))</f>
        <v>48273.8</v>
      </c>
      <c r="S158" s="556">
        <f>IF(VLOOKUP($E$158,[1]UG!$A$2:$FA$303, 18, FALSE)="",":",VLOOKUP($E$158,[1]UG!$A$2:$FA$303, 18, FALSE))</f>
        <v>50788.6</v>
      </c>
      <c r="T158" s="556">
        <f>IF(VLOOKUP($E$158,[1]UG!$A$2:$FA$303, 19, FALSE)="",":",VLOOKUP($E$158,[1]UG!$A$2:$FA$303, 19, FALSE))</f>
        <v>54066.3</v>
      </c>
      <c r="U158" s="556">
        <f>IF(VLOOKUP($E$158,[1]UG!$A$2:$FA$303, 20, FALSE)="",":",VLOOKUP($E$158,[1]UG!$A$2:$FA$303, 20, FALSE))</f>
        <v>58194.5</v>
      </c>
      <c r="V158" s="556">
        <f>IF(VLOOKUP($E$158,[1]UG!$A$2:$FA$303, 21, FALSE)="",":",VLOOKUP($E$158,[1]UG!$A$2:$FA$303, 21, FALSE))</f>
        <v>59719</v>
      </c>
      <c r="W158" s="556">
        <f>IF(VLOOKUP($E$158,[1]UG!$A$2:$FA$303, 22, FALSE)="",":",VLOOKUP($E$158,[1]UG!$A$2:$FA$303, 22, FALSE))</f>
        <v>62197.599999999999</v>
      </c>
      <c r="X158" s="556">
        <f>IF(VLOOKUP($E$158,[1]UG!$A$2:$FA$303, 23, FALSE)="",":",VLOOKUP($E$158,[1]UG!$A$2:$FA$303, 23, FALSE))</f>
        <v>65408</v>
      </c>
      <c r="Y158" s="556">
        <f>IF(VLOOKUP($E$158,[1]UG!$A$2:$FA$303, 24, FALSE)="",":",VLOOKUP($E$158,[1]UG!$A$2:$FA$303, 24, FALSE))</f>
        <v>68186.899999999994</v>
      </c>
      <c r="Z158" s="556">
        <f>IF(VLOOKUP($E$158,[1]UG!$A$2:$FA$303, 25, FALSE)="",":",VLOOKUP($E$158,[1]UG!$A$2:$FA$303, 25, FALSE))</f>
        <v>69181.899999999994</v>
      </c>
      <c r="AA158" s="556">
        <f>IF(VLOOKUP($E$158,[1]UG!$A$2:$FA$303, 26, FALSE)="",":",VLOOKUP($E$158,[1]UG!$A$2:$FA$303, 26, FALSE))</f>
        <v>70655.7</v>
      </c>
      <c r="AB158" s="556">
        <f>IF(VLOOKUP($E$158,[1]UG!$A$2:$FA$303, 27, FALSE)="",":",VLOOKUP($E$158,[1]UG!$A$2:$FA$303, 27, FALSE))</f>
        <v>72838.100000000006</v>
      </c>
      <c r="AC158" s="556">
        <f>IF(VLOOKUP($E$158,[1]UG!$A$2:$FA$303, 28, FALSE)="",":",VLOOKUP($E$158,[1]UG!$A$2:$FA$303, 28, FALSE))</f>
        <v>75218.399999999994</v>
      </c>
      <c r="AD158" s="556" t="str">
        <f>IF(VLOOKUP($E$158,[1]UG!$A$2:$FA$303, 29, FALSE)="",":",VLOOKUP($E$158,[1]UG!$A$2:$FA$303, 29, FALSE))</f>
        <v>:</v>
      </c>
      <c r="AE158" s="556" t="str">
        <f>IF(VLOOKUP($E$158,[1]UG!$A$2:$FA$303, 30, FALSE)="",":",VLOOKUP($E$158,[1]UG!$A$2:$FA$303, 30, FALSE))</f>
        <v>:</v>
      </c>
      <c r="AF158" s="556" t="str">
        <f>IF(VLOOKUP($E$158,[1]UG!$A$2:$FA$303, 31, FALSE)="",":",VLOOKUP($E$158,[1]UG!$A$2:$FA$303, 31, FALSE))</f>
        <v>:</v>
      </c>
    </row>
    <row r="159" spans="1:32">
      <c r="A159" s="545"/>
      <c r="B159" s="546" t="s">
        <v>1067</v>
      </c>
      <c r="C159" s="547" t="s">
        <v>129</v>
      </c>
      <c r="D159" s="12" t="s">
        <v>1932</v>
      </c>
      <c r="E159" s="13">
        <v>26</v>
      </c>
      <c r="F159" s="14" t="str">
        <f>VLOOKUP($E$159,[1]UG!$A$2:$FA$303, 3, FALSE)</f>
        <v>26 Other current transfers, receivable D.7r</v>
      </c>
      <c r="G159" s="556">
        <f>IF(VLOOKUP($E$159,[1]UG!$A$2:$FA$303, 6, FALSE)="",":",VLOOKUP($E$159,[1]UG!$A$2:$FA$303, 6, FALSE))</f>
        <v>685.5</v>
      </c>
      <c r="H159" s="556">
        <f>IF(VLOOKUP($E$159,[1]UG!$A$2:$FA$303, 7, FALSE)="",":",VLOOKUP($E$159,[1]UG!$A$2:$FA$303, 7, FALSE))</f>
        <v>742.4</v>
      </c>
      <c r="I159" s="556">
        <f>IF(VLOOKUP($E$159,[1]UG!$A$2:$FA$303, 8, FALSE)="",":",VLOOKUP($E$159,[1]UG!$A$2:$FA$303, 8, FALSE))</f>
        <v>664.5</v>
      </c>
      <c r="J159" s="556">
        <f>IF(VLOOKUP($E$159,[1]UG!$A$2:$FA$303, 9, FALSE)="",":",VLOOKUP($E$159,[1]UG!$A$2:$FA$303, 9, FALSE))</f>
        <v>843.1</v>
      </c>
      <c r="K159" s="556">
        <f>IF(VLOOKUP($E$159,[1]UG!$A$2:$FA$303, 10, FALSE)="",":",VLOOKUP($E$159,[1]UG!$A$2:$FA$303, 10, FALSE))</f>
        <v>950.1</v>
      </c>
      <c r="L159" s="556">
        <f>IF(VLOOKUP($E$159,[1]UG!$A$2:$FA$303, 11, FALSE)="",":",VLOOKUP($E$159,[1]UG!$A$2:$FA$303, 11, FALSE))</f>
        <v>886</v>
      </c>
      <c r="M159" s="556">
        <f>IF(VLOOKUP($E$159,[1]UG!$A$2:$FA$303, 12, FALSE)="",":",VLOOKUP($E$159,[1]UG!$A$2:$FA$303, 12, FALSE))</f>
        <v>1060</v>
      </c>
      <c r="N159" s="556">
        <f>IF(VLOOKUP($E$159,[1]UG!$A$2:$FA$303, 13, FALSE)="",":",VLOOKUP($E$159,[1]UG!$A$2:$FA$303, 13, FALSE))</f>
        <v>1065.5999999999999</v>
      </c>
      <c r="O159" s="556">
        <f>IF(VLOOKUP($E$159,[1]UG!$A$2:$FA$303, 14, FALSE)="",":",VLOOKUP($E$159,[1]UG!$A$2:$FA$303, 14, FALSE))</f>
        <v>935.6</v>
      </c>
      <c r="P159" s="556">
        <f>IF(VLOOKUP($E$159,[1]UG!$A$2:$FA$303, 15, FALSE)="",":",VLOOKUP($E$159,[1]UG!$A$2:$FA$303, 15, FALSE))</f>
        <v>1286.8</v>
      </c>
      <c r="Q159" s="556">
        <f>IF(VLOOKUP($E$159,[1]UG!$A$2:$FA$303, 16, FALSE)="",":",VLOOKUP($E$159,[1]UG!$A$2:$FA$303, 16, FALSE))</f>
        <v>1469.9</v>
      </c>
      <c r="R159" s="556">
        <f>IF(VLOOKUP($E$159,[1]UG!$A$2:$FA$303, 17, FALSE)="",":",VLOOKUP($E$159,[1]UG!$A$2:$FA$303, 17, FALSE))</f>
        <v>1501.9</v>
      </c>
      <c r="S159" s="556">
        <f>IF(VLOOKUP($E$159,[1]UG!$A$2:$FA$303, 18, FALSE)="",":",VLOOKUP($E$159,[1]UG!$A$2:$FA$303, 18, FALSE))</f>
        <v>1464.6</v>
      </c>
      <c r="T159" s="556">
        <f>IF(VLOOKUP($E$159,[1]UG!$A$2:$FA$303, 19, FALSE)="",":",VLOOKUP($E$159,[1]UG!$A$2:$FA$303, 19, FALSE))</f>
        <v>1740.4</v>
      </c>
      <c r="U159" s="556">
        <f>IF(VLOOKUP($E$159,[1]UG!$A$2:$FA$303, 20, FALSE)="",":",VLOOKUP($E$159,[1]UG!$A$2:$FA$303, 20, FALSE))</f>
        <v>2133.8000000000002</v>
      </c>
      <c r="V159" s="556">
        <f>IF(VLOOKUP($E$159,[1]UG!$A$2:$FA$303, 21, FALSE)="",":",VLOOKUP($E$159,[1]UG!$A$2:$FA$303, 21, FALSE))</f>
        <v>2623.8</v>
      </c>
      <c r="W159" s="556">
        <f>IF(VLOOKUP($E$159,[1]UG!$A$2:$FA$303, 22, FALSE)="",":",VLOOKUP($E$159,[1]UG!$A$2:$FA$303, 22, FALSE))</f>
        <v>2805.8</v>
      </c>
      <c r="X159" s="556">
        <f>IF(VLOOKUP($E$159,[1]UG!$A$2:$FA$303, 23, FALSE)="",":",VLOOKUP($E$159,[1]UG!$A$2:$FA$303, 23, FALSE))</f>
        <v>3182.7</v>
      </c>
      <c r="Y159" s="556">
        <f>IF(VLOOKUP($E$159,[1]UG!$A$2:$FA$303, 24, FALSE)="",":",VLOOKUP($E$159,[1]UG!$A$2:$FA$303, 24, FALSE))</f>
        <v>2832.7</v>
      </c>
      <c r="Z159" s="556">
        <f>IF(VLOOKUP($E$159,[1]UG!$A$2:$FA$303, 25, FALSE)="",":",VLOOKUP($E$159,[1]UG!$A$2:$FA$303, 25, FALSE))</f>
        <v>2856.6</v>
      </c>
      <c r="AA159" s="556">
        <f>IF(VLOOKUP($E$159,[1]UG!$A$2:$FA$303, 26, FALSE)="",":",VLOOKUP($E$159,[1]UG!$A$2:$FA$303, 26, FALSE))</f>
        <v>2689.9</v>
      </c>
      <c r="AB159" s="556">
        <f>IF(VLOOKUP($E$159,[1]UG!$A$2:$FA$303, 27, FALSE)="",":",VLOOKUP($E$159,[1]UG!$A$2:$FA$303, 27, FALSE))</f>
        <v>2531.6999999999998</v>
      </c>
      <c r="AC159" s="556">
        <f>IF(VLOOKUP($E$159,[1]UG!$A$2:$FA$303, 28, FALSE)="",":",VLOOKUP($E$159,[1]UG!$A$2:$FA$303, 28, FALSE))</f>
        <v>2730.2</v>
      </c>
      <c r="AD159" s="556" t="str">
        <f>IF(VLOOKUP($E$159,[1]UG!$A$2:$FA$303, 29, FALSE)="",":",VLOOKUP($E$159,[1]UG!$A$2:$FA$303, 29, FALSE))</f>
        <v>:</v>
      </c>
      <c r="AE159" s="556" t="str">
        <f>IF(VLOOKUP($E$159,[1]UG!$A$2:$FA$303, 30, FALSE)="",":",VLOOKUP($E$159,[1]UG!$A$2:$FA$303, 30, FALSE))</f>
        <v>:</v>
      </c>
      <c r="AF159" s="556" t="str">
        <f>IF(VLOOKUP($E$159,[1]UG!$A$2:$FA$303, 31, FALSE)="",":",VLOOKUP($E$159,[1]UG!$A$2:$FA$303, 31, FALSE))</f>
        <v>:</v>
      </c>
    </row>
    <row r="160" spans="1:32">
      <c r="A160" s="545"/>
      <c r="B160" s="546"/>
      <c r="C160" s="547"/>
      <c r="D160" s="12" t="s">
        <v>1932</v>
      </c>
      <c r="E160" s="13">
        <v>56</v>
      </c>
      <c r="F160" s="14" t="str">
        <f>VLOOKUP($E$160,[1]UG!$A$2:$FA$300, 3, FALSE)</f>
        <v>56 Current transfers from EU Institutions</v>
      </c>
      <c r="G160" s="556" t="str">
        <f>IF(VLOOKUP($E$160,[1]UG!$A$2:$FA$300, 6, FALSE)="",":",VLOOKUP($E$160,[1]UG!$A$2:$FA$300, 6, FALSE))</f>
        <v>:</v>
      </c>
      <c r="H160" s="556">
        <f>IF(VLOOKUP($E$160,[1]UG!$A$2:$FA$300, 7, FALSE)="",":",VLOOKUP($E$160,[1]UG!$A$2:$FA$300, 7, FALSE))</f>
        <v>123.2</v>
      </c>
      <c r="I160" s="556">
        <f>IF(VLOOKUP($E$160,[1]UG!$A$2:$FA$300, 8, FALSE)="",":",VLOOKUP($E$160,[1]UG!$A$2:$FA$300, 8, FALSE))</f>
        <v>102.6</v>
      </c>
      <c r="J160" s="556">
        <f>IF(VLOOKUP($E$160,[1]UG!$A$2:$FA$300, 9, FALSE)="",":",VLOOKUP($E$160,[1]UG!$A$2:$FA$300, 9, FALSE))</f>
        <v>121.2</v>
      </c>
      <c r="K160" s="556">
        <f>IF(VLOOKUP($E$160,[1]UG!$A$2:$FA$300, 10, FALSE)="",":",VLOOKUP($E$160,[1]UG!$A$2:$FA$300, 10, FALSE))</f>
        <v>147.30000000000001</v>
      </c>
      <c r="L160" s="556">
        <f>IF(VLOOKUP($E$160,[1]UG!$A$2:$FA$300, 11, FALSE)="",":",VLOOKUP($E$160,[1]UG!$A$2:$FA$300, 11, FALSE))</f>
        <v>94.8</v>
      </c>
      <c r="M160" s="556">
        <f>IF(VLOOKUP($E$160,[1]UG!$A$2:$FA$300, 12, FALSE)="",":",VLOOKUP($E$160,[1]UG!$A$2:$FA$300, 12, FALSE))</f>
        <v>101.8</v>
      </c>
      <c r="N160" s="556">
        <f>IF(VLOOKUP($E$160,[1]UG!$A$2:$FA$300, 13, FALSE)="",":",VLOOKUP($E$160,[1]UG!$A$2:$FA$300, 13, FALSE))</f>
        <v>65.5</v>
      </c>
      <c r="O160" s="556">
        <f>IF(VLOOKUP($E$160,[1]UG!$A$2:$FA$300, 14, FALSE)="",":",VLOOKUP($E$160,[1]UG!$A$2:$FA$300, 14, FALSE))</f>
        <v>106.2</v>
      </c>
      <c r="P160" s="556">
        <f>IF(VLOOKUP($E$160,[1]UG!$A$2:$FA$300, 15, FALSE)="",":",VLOOKUP($E$160,[1]UG!$A$2:$FA$300, 15, FALSE))</f>
        <v>55.9</v>
      </c>
      <c r="Q160" s="556">
        <f>IF(VLOOKUP($E$160,[1]UG!$A$2:$FA$300, 16, FALSE)="",":",VLOOKUP($E$160,[1]UG!$A$2:$FA$300, 16, FALSE))</f>
        <v>99.2</v>
      </c>
      <c r="R160" s="556">
        <f>IF(VLOOKUP($E$160,[1]UG!$A$2:$FA$300, 17, FALSE)="",":",VLOOKUP($E$160,[1]UG!$A$2:$FA$300, 17, FALSE))</f>
        <v>139.19999999999999</v>
      </c>
      <c r="S160" s="556">
        <f>IF(VLOOKUP($E$160,[1]UG!$A$2:$FA$300, 18, FALSE)="",":",VLOOKUP($E$160,[1]UG!$A$2:$FA$300, 18, FALSE))</f>
        <v>76.599999999999994</v>
      </c>
      <c r="T160" s="556">
        <f>IF(VLOOKUP($E$160,[1]UG!$A$2:$FA$300, 19, FALSE)="",":",VLOOKUP($E$160,[1]UG!$A$2:$FA$300, 19, FALSE))</f>
        <v>142.30000000000001</v>
      </c>
      <c r="U160" s="556">
        <f>IF(VLOOKUP($E$160,[1]UG!$A$2:$FA$300, 20, FALSE)="",":",VLOOKUP($E$160,[1]UG!$A$2:$FA$300, 20, FALSE))</f>
        <v>100.3</v>
      </c>
      <c r="V160" s="556">
        <f>IF(VLOOKUP($E$160,[1]UG!$A$2:$FA$300, 21, FALSE)="",":",VLOOKUP($E$160,[1]UG!$A$2:$FA$300, 21, FALSE))</f>
        <v>235.1</v>
      </c>
      <c r="W160" s="556">
        <f>IF(VLOOKUP($E$160,[1]UG!$A$2:$FA$300, 22, FALSE)="",":",VLOOKUP($E$160,[1]UG!$A$2:$FA$300, 22, FALSE))</f>
        <v>251.4</v>
      </c>
      <c r="X160" s="556">
        <f>IF(VLOOKUP($E$160,[1]UG!$A$2:$FA$300, 23, FALSE)="",":",VLOOKUP($E$160,[1]UG!$A$2:$FA$300, 23, FALSE))</f>
        <v>291.3</v>
      </c>
      <c r="Y160" s="556">
        <f>IF(VLOOKUP($E$160,[1]UG!$A$2:$FA$300, 24, FALSE)="",":",VLOOKUP($E$160,[1]UG!$A$2:$FA$300, 24, FALSE))</f>
        <v>299.39999999999998</v>
      </c>
      <c r="Z160" s="556">
        <f>IF(VLOOKUP($E$160,[1]UG!$A$2:$FA$300, 25, FALSE)="",":",VLOOKUP($E$160,[1]UG!$A$2:$FA$300, 25, FALSE))</f>
        <v>308.5</v>
      </c>
      <c r="AA160" s="556">
        <f>IF(VLOOKUP($E$160,[1]UG!$A$2:$FA$300, 26, FALSE)="",":",VLOOKUP($E$160,[1]UG!$A$2:$FA$300, 26, FALSE))</f>
        <v>350.8</v>
      </c>
      <c r="AB160" s="556">
        <f>IF(VLOOKUP($E$160,[1]UG!$A$2:$FA$300, 27, FALSE)="",":",VLOOKUP($E$160,[1]UG!$A$2:$FA$300, 27, FALSE))</f>
        <v>374.6</v>
      </c>
      <c r="AC160" s="556">
        <f>IF(VLOOKUP($E$160,[1]UG!$A$2:$FA$300, 28, FALSE)="",":",VLOOKUP($E$160,[1]UG!$A$2:$FA$300, 28, FALSE))</f>
        <v>356.2</v>
      </c>
      <c r="AD160" s="556" t="str">
        <f>IF(VLOOKUP($E$160,[1]UG!$A$2:$FA$300, 29, FALSE)="",":",VLOOKUP($E$160,[1]UG!$A$2:$FA$300, 29, FALSE))</f>
        <v>:</v>
      </c>
      <c r="AE160" s="556" t="str">
        <f>IF(VLOOKUP($E$160,[1]UG!$A$2:$FA$300, 30, FALSE)="",":",VLOOKUP($E$160,[1]UG!$A$2:$FA$300, 30, FALSE))</f>
        <v>:</v>
      </c>
      <c r="AF160" s="556" t="str">
        <f>IF(VLOOKUP($E$160,[1]UG!$A$2:$FA$300, 31, FALSE)="",":",VLOOKUP($E$160,[1]UG!$A$2:$FA$300, 31, FALSE))</f>
        <v>:</v>
      </c>
    </row>
    <row r="161" spans="1:32">
      <c r="A161" s="545"/>
      <c r="B161" s="546"/>
      <c r="C161" s="547" t="s">
        <v>1421</v>
      </c>
      <c r="D161" s="12" t="s">
        <v>1932</v>
      </c>
      <c r="E161" s="13">
        <v>29</v>
      </c>
      <c r="F161" s="14" t="str">
        <f>VLOOKUP($E$161,[1]UG!$A$2:$FA$303, 3, FALSE)</f>
        <v>29 Social transfers in kind related to expenditure on products supplied to households via market producers D.6311p + D.63121p + D.63131p</v>
      </c>
      <c r="G161" s="556">
        <f>IF(VLOOKUP($E$161,[1]UG!$A$2:$FA$303, 6, FALSE)="",":",VLOOKUP($E$161,[1]UG!$A$2:$FA$303, 6, FALSE))</f>
        <v>12145.5</v>
      </c>
      <c r="H161" s="556">
        <f>IF(VLOOKUP($E$161,[1]UG!$A$2:$FA$303, 7, FALSE)="",":",VLOOKUP($E$161,[1]UG!$A$2:$FA$303, 7, FALSE))</f>
        <v>12952.4</v>
      </c>
      <c r="I161" s="556">
        <f>IF(VLOOKUP($E$161,[1]UG!$A$2:$FA$303, 8, FALSE)="",":",VLOOKUP($E$161,[1]UG!$A$2:$FA$303, 8, FALSE))</f>
        <v>12947.5</v>
      </c>
      <c r="J161" s="556">
        <f>IF(VLOOKUP($E$161,[1]UG!$A$2:$FA$303, 9, FALSE)="",":",VLOOKUP($E$161,[1]UG!$A$2:$FA$303, 9, FALSE))</f>
        <v>13510.1</v>
      </c>
      <c r="K161" s="556">
        <f>IF(VLOOKUP($E$161,[1]UG!$A$2:$FA$303, 10, FALSE)="",":",VLOOKUP($E$161,[1]UG!$A$2:$FA$303, 10, FALSE))</f>
        <v>14379.6</v>
      </c>
      <c r="L161" s="556">
        <f>IF(VLOOKUP($E$161,[1]UG!$A$2:$FA$303, 11, FALSE)="",":",VLOOKUP($E$161,[1]UG!$A$2:$FA$303, 11, FALSE))</f>
        <v>15349.8</v>
      </c>
      <c r="M161" s="556">
        <f>IF(VLOOKUP($E$161,[1]UG!$A$2:$FA$303, 12, FALSE)="",":",VLOOKUP($E$161,[1]UG!$A$2:$FA$303, 12, FALSE))</f>
        <v>16480.5</v>
      </c>
      <c r="N161" s="556">
        <f>IF(VLOOKUP($E$161,[1]UG!$A$2:$FA$303, 13, FALSE)="",":",VLOOKUP($E$161,[1]UG!$A$2:$FA$303, 13, FALSE))</f>
        <v>17067.8</v>
      </c>
      <c r="O161" s="556">
        <f>IF(VLOOKUP($E$161,[1]UG!$A$2:$FA$303, 14, FALSE)="",":",VLOOKUP($E$161,[1]UG!$A$2:$FA$303, 14, FALSE))</f>
        <v>18512.5</v>
      </c>
      <c r="P161" s="556">
        <f>IF(VLOOKUP($E$161,[1]UG!$A$2:$FA$303, 15, FALSE)="",":",VLOOKUP($E$161,[1]UG!$A$2:$FA$303, 15, FALSE))</f>
        <v>20059.599999999999</v>
      </c>
      <c r="Q161" s="556">
        <f>IF(VLOOKUP($E$161,[1]UG!$A$2:$FA$303, 16, FALSE)="",":",VLOOKUP($E$161,[1]UG!$A$2:$FA$303, 16, FALSE))</f>
        <v>21032</v>
      </c>
      <c r="R161" s="556">
        <f>IF(VLOOKUP($E$161,[1]UG!$A$2:$FA$303, 17, FALSE)="",":",VLOOKUP($E$161,[1]UG!$A$2:$FA$303, 17, FALSE))</f>
        <v>21500.1</v>
      </c>
      <c r="S161" s="556">
        <f>IF(VLOOKUP($E$161,[1]UG!$A$2:$FA$303, 18, FALSE)="",":",VLOOKUP($E$161,[1]UG!$A$2:$FA$303, 18, FALSE))</f>
        <v>22658.1</v>
      </c>
      <c r="T161" s="556">
        <f>IF(VLOOKUP($E$161,[1]UG!$A$2:$FA$303, 19, FALSE)="",":",VLOOKUP($E$161,[1]UG!$A$2:$FA$303, 19, FALSE))</f>
        <v>24980.2</v>
      </c>
      <c r="U161" s="556">
        <f>IF(VLOOKUP($E$161,[1]UG!$A$2:$FA$303, 20, FALSE)="",":",VLOOKUP($E$161,[1]UG!$A$2:$FA$303, 20, FALSE))</f>
        <v>26692.7</v>
      </c>
      <c r="V161" s="556">
        <f>IF(VLOOKUP($E$161,[1]UG!$A$2:$FA$303, 21, FALSE)="",":",VLOOKUP($E$161,[1]UG!$A$2:$FA$303, 21, FALSE))</f>
        <v>27728.3</v>
      </c>
      <c r="W161" s="556">
        <f>IF(VLOOKUP($E$161,[1]UG!$A$2:$FA$303, 22, FALSE)="",":",VLOOKUP($E$161,[1]UG!$A$2:$FA$303, 22, FALSE))</f>
        <v>29384.9</v>
      </c>
      <c r="X161" s="556">
        <f>IF(VLOOKUP($E$161,[1]UG!$A$2:$FA$303, 23, FALSE)="",":",VLOOKUP($E$161,[1]UG!$A$2:$FA$303, 23, FALSE))</f>
        <v>30712.7</v>
      </c>
      <c r="Y161" s="556">
        <f>IF(VLOOKUP($E$161,[1]UG!$A$2:$FA$303, 24, FALSE)="",":",VLOOKUP($E$161,[1]UG!$A$2:$FA$303, 24, FALSE))</f>
        <v>31182.7</v>
      </c>
      <c r="Z161" s="556">
        <f>IF(VLOOKUP($E$161,[1]UG!$A$2:$FA$303, 25, FALSE)="",":",VLOOKUP($E$161,[1]UG!$A$2:$FA$303, 25, FALSE))</f>
        <v>32119.200000000001</v>
      </c>
      <c r="AA161" s="556">
        <f>IF(VLOOKUP($E$161,[1]UG!$A$2:$FA$303, 26, FALSE)="",":",VLOOKUP($E$161,[1]UG!$A$2:$FA$303, 26, FALSE))</f>
        <v>32882.5</v>
      </c>
      <c r="AB161" s="556">
        <f>IF(VLOOKUP($E$161,[1]UG!$A$2:$FA$303, 27, FALSE)="",":",VLOOKUP($E$161,[1]UG!$A$2:$FA$303, 27, FALSE))</f>
        <v>33738</v>
      </c>
      <c r="AC161" s="556">
        <f>IF(VLOOKUP($E$161,[1]UG!$A$2:$FA$303, 28, FALSE)="",":",VLOOKUP($E$161,[1]UG!$A$2:$FA$303, 28, FALSE))</f>
        <v>34874.199999999997</v>
      </c>
      <c r="AD161" s="556" t="str">
        <f>IF(VLOOKUP($E$161,[1]UG!$A$2:$FA$303, 29, FALSE)="",":",VLOOKUP($E$161,[1]UG!$A$2:$FA$303, 29, FALSE))</f>
        <v>:</v>
      </c>
      <c r="AE161" s="556" t="str">
        <f>IF(VLOOKUP($E$161,[1]UG!$A$2:$FA$303, 30, FALSE)="",":",VLOOKUP($E$161,[1]UG!$A$2:$FA$303, 30, FALSE))</f>
        <v>:</v>
      </c>
      <c r="AF161" s="556" t="str">
        <f>IF(VLOOKUP($E$161,[1]UG!$A$2:$FA$303, 31, FALSE)="",":",VLOOKUP($E$161,[1]UG!$A$2:$FA$303, 31, FALSE))</f>
        <v>:</v>
      </c>
    </row>
    <row r="162" spans="1:32">
      <c r="A162" s="545"/>
      <c r="B162" s="546" t="s">
        <v>1068</v>
      </c>
      <c r="C162" s="547" t="s">
        <v>130</v>
      </c>
      <c r="D162" s="12" t="s">
        <v>1932</v>
      </c>
      <c r="E162" s="13">
        <v>31</v>
      </c>
      <c r="F162" s="14" t="str">
        <f>VLOOKUP($E$162,[1]UG!$A$2:$FA$303, 3, FALSE)</f>
        <v>31 Other current transfers, payable D.7p</v>
      </c>
      <c r="G162" s="556">
        <f>IF(VLOOKUP($E$162,[1]UG!$A$2:$FA$303, 6, FALSE)="",":",VLOOKUP($E$162,[1]UG!$A$2:$FA$303, 6, FALSE))</f>
        <v>4781</v>
      </c>
      <c r="H162" s="556">
        <f>IF(VLOOKUP($E$162,[1]UG!$A$2:$FA$303, 7, FALSE)="",":",VLOOKUP($E$162,[1]UG!$A$2:$FA$303, 7, FALSE))</f>
        <v>4121.7</v>
      </c>
      <c r="I162" s="556">
        <f>IF(VLOOKUP($E$162,[1]UG!$A$2:$FA$303, 8, FALSE)="",":",VLOOKUP($E$162,[1]UG!$A$2:$FA$303, 8, FALSE))</f>
        <v>4349</v>
      </c>
      <c r="J162" s="556">
        <f>IF(VLOOKUP($E$162,[1]UG!$A$2:$FA$303, 9, FALSE)="",":",VLOOKUP($E$162,[1]UG!$A$2:$FA$303, 9, FALSE))</f>
        <v>4489.2</v>
      </c>
      <c r="K162" s="556">
        <f>IF(VLOOKUP($E$162,[1]UG!$A$2:$FA$303, 10, FALSE)="",":",VLOOKUP($E$162,[1]UG!$A$2:$FA$303, 10, FALSE))</f>
        <v>4583.6000000000004</v>
      </c>
      <c r="L162" s="556">
        <f>IF(VLOOKUP($E$162,[1]UG!$A$2:$FA$303, 11, FALSE)="",":",VLOOKUP($E$162,[1]UG!$A$2:$FA$303, 11, FALSE))</f>
        <v>4713.6000000000004</v>
      </c>
      <c r="M162" s="556">
        <f>IF(VLOOKUP($E$162,[1]UG!$A$2:$FA$303, 12, FALSE)="",":",VLOOKUP($E$162,[1]UG!$A$2:$FA$303, 12, FALSE))</f>
        <v>4931</v>
      </c>
      <c r="N162" s="556">
        <f>IF(VLOOKUP($E$162,[1]UG!$A$2:$FA$303, 13, FALSE)="",":",VLOOKUP($E$162,[1]UG!$A$2:$FA$303, 13, FALSE))</f>
        <v>5010</v>
      </c>
      <c r="O162" s="556">
        <f>IF(VLOOKUP($E$162,[1]UG!$A$2:$FA$303, 14, FALSE)="",":",VLOOKUP($E$162,[1]UG!$A$2:$FA$303, 14, FALSE))</f>
        <v>5446.7</v>
      </c>
      <c r="P162" s="556">
        <f>IF(VLOOKUP($E$162,[1]UG!$A$2:$FA$303, 15, FALSE)="",":",VLOOKUP($E$162,[1]UG!$A$2:$FA$303, 15, FALSE))</f>
        <v>5885.3</v>
      </c>
      <c r="Q162" s="556">
        <f>IF(VLOOKUP($E$162,[1]UG!$A$2:$FA$303, 16, FALSE)="",":",VLOOKUP($E$162,[1]UG!$A$2:$FA$303, 16, FALSE))</f>
        <v>6268.1</v>
      </c>
      <c r="R162" s="556">
        <f>IF(VLOOKUP($E$162,[1]UG!$A$2:$FA$303, 17, FALSE)="",":",VLOOKUP($E$162,[1]UG!$A$2:$FA$303, 17, FALSE))</f>
        <v>6314</v>
      </c>
      <c r="S162" s="556">
        <f>IF(VLOOKUP($E$162,[1]UG!$A$2:$FA$303, 18, FALSE)="",":",VLOOKUP($E$162,[1]UG!$A$2:$FA$303, 18, FALSE))</f>
        <v>5942.4</v>
      </c>
      <c r="T162" s="556">
        <f>IF(VLOOKUP($E$162,[1]UG!$A$2:$FA$303, 19, FALSE)="",":",VLOOKUP($E$162,[1]UG!$A$2:$FA$303, 19, FALSE))</f>
        <v>6518.4</v>
      </c>
      <c r="U162" s="556">
        <f>IF(VLOOKUP($E$162,[1]UG!$A$2:$FA$303, 20, FALSE)="",":",VLOOKUP($E$162,[1]UG!$A$2:$FA$303, 20, FALSE))</f>
        <v>7705.5</v>
      </c>
      <c r="V162" s="556">
        <f>IF(VLOOKUP($E$162,[1]UG!$A$2:$FA$303, 21, FALSE)="",":",VLOOKUP($E$162,[1]UG!$A$2:$FA$303, 21, FALSE))</f>
        <v>7692.7</v>
      </c>
      <c r="W162" s="556">
        <f>IF(VLOOKUP($E$162,[1]UG!$A$2:$FA$303, 22, FALSE)="",":",VLOOKUP($E$162,[1]UG!$A$2:$FA$303, 22, FALSE))</f>
        <v>7998.2</v>
      </c>
      <c r="X162" s="556">
        <f>IF(VLOOKUP($E$162,[1]UG!$A$2:$FA$303, 23, FALSE)="",":",VLOOKUP($E$162,[1]UG!$A$2:$FA$303, 23, FALSE))</f>
        <v>8317.7999999999993</v>
      </c>
      <c r="Y162" s="556">
        <f>IF(VLOOKUP($E$162,[1]UG!$A$2:$FA$303, 24, FALSE)="",":",VLOOKUP($E$162,[1]UG!$A$2:$FA$303, 24, FALSE))</f>
        <v>8516.2999999999993</v>
      </c>
      <c r="Z162" s="556">
        <f>IF(VLOOKUP($E$162,[1]UG!$A$2:$FA$303, 25, FALSE)="",":",VLOOKUP($E$162,[1]UG!$A$2:$FA$303, 25, FALSE))</f>
        <v>8367.6</v>
      </c>
      <c r="AA162" s="556">
        <f>IF(VLOOKUP($E$162,[1]UG!$A$2:$FA$303, 26, FALSE)="",":",VLOOKUP($E$162,[1]UG!$A$2:$FA$303, 26, FALSE))</f>
        <v>8445.6</v>
      </c>
      <c r="AB162" s="556">
        <f>IF(VLOOKUP($E$162,[1]UG!$A$2:$FA$303, 27, FALSE)="",":",VLOOKUP($E$162,[1]UG!$A$2:$FA$303, 27, FALSE))</f>
        <v>9162.5</v>
      </c>
      <c r="AC162" s="556">
        <f>IF(VLOOKUP($E$162,[1]UG!$A$2:$FA$303, 28, FALSE)="",":",VLOOKUP($E$162,[1]UG!$A$2:$FA$303, 28, FALSE))</f>
        <v>7944.6</v>
      </c>
      <c r="AD162" s="556" t="str">
        <f>IF(VLOOKUP($E$162,[1]UG!$A$2:$FA$303, 29, FALSE)="",":",VLOOKUP($E$162,[1]UG!$A$2:$FA$303, 29, FALSE))</f>
        <v>:</v>
      </c>
      <c r="AE162" s="556" t="str">
        <f>IF(VLOOKUP($E$162,[1]UG!$A$2:$FA$303, 30, FALSE)="",":",VLOOKUP($E$162,[1]UG!$A$2:$FA$303, 30, FALSE))</f>
        <v>:</v>
      </c>
      <c r="AF162" s="556" t="str">
        <f>IF(VLOOKUP($E$162,[1]UG!$A$2:$FA$303, 31, FALSE)="",":",VLOOKUP($E$162,[1]UG!$A$2:$FA$303, 31, FALSE))</f>
        <v>:</v>
      </c>
    </row>
    <row r="163" spans="1:32">
      <c r="A163" s="545"/>
      <c r="B163" s="546"/>
      <c r="C163" s="547"/>
      <c r="D163" s="12"/>
      <c r="E163" s="13"/>
      <c r="F163" s="14"/>
      <c r="G163" s="556"/>
      <c r="H163" s="556"/>
      <c r="I163" s="556"/>
      <c r="J163" s="556"/>
      <c r="K163" s="556"/>
      <c r="L163" s="556"/>
      <c r="M163" s="556"/>
      <c r="N163" s="556"/>
      <c r="O163" s="556"/>
      <c r="P163" s="556"/>
      <c r="Q163" s="556"/>
      <c r="R163" s="556"/>
      <c r="S163" s="556"/>
      <c r="T163" s="556"/>
      <c r="U163" s="556"/>
      <c r="V163" s="556"/>
      <c r="W163" s="556"/>
      <c r="X163" s="556"/>
      <c r="Y163" s="556"/>
      <c r="Z163" s="556"/>
      <c r="AA163" s="556"/>
      <c r="AB163" s="556"/>
      <c r="AC163" s="556"/>
      <c r="AD163" s="556"/>
      <c r="AE163" s="556"/>
      <c r="AF163" s="556"/>
    </row>
    <row r="164" spans="1:32">
      <c r="A164" s="545"/>
      <c r="B164" s="546" t="s">
        <v>682</v>
      </c>
      <c r="C164" s="547" t="s">
        <v>822</v>
      </c>
      <c r="D164" s="12" t="s">
        <v>1932</v>
      </c>
      <c r="E164" s="13">
        <v>36</v>
      </c>
      <c r="F164" s="14" t="str">
        <f>VLOOKUP($E$164,[1]UG!$A$2:$FA$303, 3, FALSE)</f>
        <v>36 Adjustment for the change in net equity of households on pension funds D.8</v>
      </c>
      <c r="G164" s="556">
        <f>IF(VLOOKUP($E$164,[1]UG!$A$2:$FA$303, 6, FALSE)="",":",VLOOKUP($E$164,[1]UG!$A$2:$FA$303, 6, FALSE))</f>
        <v>1.7</v>
      </c>
      <c r="H164" s="556">
        <f>IF(VLOOKUP($E$164,[1]UG!$A$2:$FA$303, 7, FALSE)="",":",VLOOKUP($E$164,[1]UG!$A$2:$FA$303, 7, FALSE))</f>
        <v>1.4</v>
      </c>
      <c r="I164" s="556">
        <f>IF(VLOOKUP($E$164,[1]UG!$A$2:$FA$303, 8, FALSE)="",":",VLOOKUP($E$164,[1]UG!$A$2:$FA$303, 8, FALSE))</f>
        <v>1.8</v>
      </c>
      <c r="J164" s="556">
        <f>IF(VLOOKUP($E$164,[1]UG!$A$2:$FA$303, 9, FALSE)="",":",VLOOKUP($E$164,[1]UG!$A$2:$FA$303, 9, FALSE))</f>
        <v>2.4</v>
      </c>
      <c r="K164" s="556">
        <f>IF(VLOOKUP($E$164,[1]UG!$A$2:$FA$303, 10, FALSE)="",":",VLOOKUP($E$164,[1]UG!$A$2:$FA$303, 10, FALSE))</f>
        <v>3.4</v>
      </c>
      <c r="L164" s="556">
        <f>IF(VLOOKUP($E$164,[1]UG!$A$2:$FA$303, 11, FALSE)="",":",VLOOKUP($E$164,[1]UG!$A$2:$FA$303, 11, FALSE))</f>
        <v>2</v>
      </c>
      <c r="M164" s="556">
        <f>IF(VLOOKUP($E$164,[1]UG!$A$2:$FA$303, 12, FALSE)="",":",VLOOKUP($E$164,[1]UG!$A$2:$FA$303, 12, FALSE))</f>
        <v>0.8</v>
      </c>
      <c r="N164" s="556">
        <f>IF(VLOOKUP($E$164,[1]UG!$A$2:$FA$303, 13, FALSE)="",":",VLOOKUP($E$164,[1]UG!$A$2:$FA$303, 13, FALSE))</f>
        <v>1.1000000000000001</v>
      </c>
      <c r="O164" s="556">
        <f>IF(VLOOKUP($E$164,[1]UG!$A$2:$FA$303, 14, FALSE)="",":",VLOOKUP($E$164,[1]UG!$A$2:$FA$303, 14, FALSE))</f>
        <v>-4.5</v>
      </c>
      <c r="P164" s="556">
        <f>IF(VLOOKUP($E$164,[1]UG!$A$2:$FA$303, 15, FALSE)="",":",VLOOKUP($E$164,[1]UG!$A$2:$FA$303, 15, FALSE))</f>
        <v>3.9</v>
      </c>
      <c r="Q164" s="556">
        <f>IF(VLOOKUP($E$164,[1]UG!$A$2:$FA$303, 16, FALSE)="",":",VLOOKUP($E$164,[1]UG!$A$2:$FA$303, 16, FALSE))</f>
        <v>1</v>
      </c>
      <c r="R164" s="556">
        <f>IF(VLOOKUP($E$164,[1]UG!$A$2:$FA$303, 17, FALSE)="",":",VLOOKUP($E$164,[1]UG!$A$2:$FA$303, 17, FALSE))</f>
        <v>2.9</v>
      </c>
      <c r="S164" s="556">
        <f>IF(VLOOKUP($E$164,[1]UG!$A$2:$FA$303, 18, FALSE)="",":",VLOOKUP($E$164,[1]UG!$A$2:$FA$303, 18, FALSE))</f>
        <v>-1.2</v>
      </c>
      <c r="T164" s="556">
        <f>IF(VLOOKUP($E$164,[1]UG!$A$2:$FA$303, 19, FALSE)="",":",VLOOKUP($E$164,[1]UG!$A$2:$FA$303, 19, FALSE))</f>
        <v>3.7</v>
      </c>
      <c r="U164" s="556">
        <f>IF(VLOOKUP($E$164,[1]UG!$A$2:$FA$303, 20, FALSE)="",":",VLOOKUP($E$164,[1]UG!$A$2:$FA$303, 20, FALSE))</f>
        <v>-6</v>
      </c>
      <c r="V164" s="556">
        <f>IF(VLOOKUP($E$164,[1]UG!$A$2:$FA$303, 21, FALSE)="",":",VLOOKUP($E$164,[1]UG!$A$2:$FA$303, 21, FALSE))</f>
        <v>-7.2</v>
      </c>
      <c r="W164" s="556">
        <f>IF(VLOOKUP($E$164,[1]UG!$A$2:$FA$303, 22, FALSE)="",":",VLOOKUP($E$164,[1]UG!$A$2:$FA$303, 22, FALSE))</f>
        <v>-9.3000000000000007</v>
      </c>
      <c r="X164" s="556">
        <f>IF(VLOOKUP($E$164,[1]UG!$A$2:$FA$303, 23, FALSE)="",":",VLOOKUP($E$164,[1]UG!$A$2:$FA$303, 23, FALSE))</f>
        <v>-36.9</v>
      </c>
      <c r="Y164" s="556">
        <f>IF(VLOOKUP($E$164,[1]UG!$A$2:$FA$303, 24, FALSE)="",":",VLOOKUP($E$164,[1]UG!$A$2:$FA$303, 24, FALSE))</f>
        <v>-39.4</v>
      </c>
      <c r="Z164" s="556">
        <f>IF(VLOOKUP($E$164,[1]UG!$A$2:$FA$303, 25, FALSE)="",":",VLOOKUP($E$164,[1]UG!$A$2:$FA$303, 25, FALSE))</f>
        <v>-42.5</v>
      </c>
      <c r="AA164" s="556">
        <f>IF(VLOOKUP($E$164,[1]UG!$A$2:$FA$303, 26, FALSE)="",":",VLOOKUP($E$164,[1]UG!$A$2:$FA$303, 26, FALSE))</f>
        <v>-47.2</v>
      </c>
      <c r="AB164" s="556">
        <f>IF(VLOOKUP($E$164,[1]UG!$A$2:$FA$303, 27, FALSE)="",":",VLOOKUP($E$164,[1]UG!$A$2:$FA$303, 27, FALSE))</f>
        <v>0</v>
      </c>
      <c r="AC164" s="556">
        <f>IF(VLOOKUP($E$164,[1]UG!$A$2:$FA$303, 28, FALSE)="",":",VLOOKUP($E$164,[1]UG!$A$2:$FA$303, 28, FALSE))</f>
        <v>0</v>
      </c>
      <c r="AD164" s="556" t="str">
        <f>IF(VLOOKUP($E$164,[1]UG!$A$2:$FA$303, 29, FALSE)="",":",VLOOKUP($E$164,[1]UG!$A$2:$FA$303, 29, FALSE))</f>
        <v>:</v>
      </c>
      <c r="AE164" s="556" t="str">
        <f>IF(VLOOKUP($E$164,[1]UG!$A$2:$FA$303, 30, FALSE)="",":",VLOOKUP($E$164,[1]UG!$A$2:$FA$303, 30, FALSE))</f>
        <v>:</v>
      </c>
      <c r="AF164" s="556" t="str">
        <f>IF(VLOOKUP($E$164,[1]UG!$A$2:$FA$303, 31, FALSE)="",":",VLOOKUP($E$164,[1]UG!$A$2:$FA$303, 31, FALSE))</f>
        <v>:</v>
      </c>
    </row>
    <row r="165" spans="1:32">
      <c r="A165" s="545"/>
      <c r="B165" s="546" t="s">
        <v>455</v>
      </c>
      <c r="C165" s="547" t="s">
        <v>456</v>
      </c>
      <c r="D165" s="12" t="s">
        <v>1932</v>
      </c>
      <c r="E165" s="13">
        <v>39</v>
      </c>
      <c r="F165" s="14" t="str">
        <f>VLOOKUP($E$165,[1]UG!$A$2:$FA$303, 3, FALSE)</f>
        <v>39 Capital transfers, receivable D.9r</v>
      </c>
      <c r="G165" s="556">
        <f>IF(VLOOKUP($E$165,[1]UG!$A$2:$FA$303, 6, FALSE)="",":",VLOOKUP($E$165,[1]UG!$A$2:$FA$303, 6, FALSE))</f>
        <v>913.70000000000016</v>
      </c>
      <c r="H165" s="556">
        <f>IF(VLOOKUP($E$165,[1]UG!$A$2:$FA$303, 7, FALSE)="",":",VLOOKUP($E$165,[1]UG!$A$2:$FA$303, 7, FALSE))</f>
        <v>981.7</v>
      </c>
      <c r="I165" s="556">
        <f>IF(VLOOKUP($E$165,[1]UG!$A$2:$FA$303, 8, FALSE)="",":",VLOOKUP($E$165,[1]UG!$A$2:$FA$303, 8, FALSE))</f>
        <v>1343</v>
      </c>
      <c r="J165" s="556">
        <f>IF(VLOOKUP($E$165,[1]UG!$A$2:$FA$303, 9, FALSE)="",":",VLOOKUP($E$165,[1]UG!$A$2:$FA$303, 9, FALSE))</f>
        <v>1061.7</v>
      </c>
      <c r="K165" s="556">
        <f>IF(VLOOKUP($E$165,[1]UG!$A$2:$FA$303, 10, FALSE)="",":",VLOOKUP($E$165,[1]UG!$A$2:$FA$303, 10, FALSE))</f>
        <v>1514.7</v>
      </c>
      <c r="L165" s="556">
        <f>IF(VLOOKUP($E$165,[1]UG!$A$2:$FA$303, 11, FALSE)="",":",VLOOKUP($E$165,[1]UG!$A$2:$FA$303, 11, FALSE))</f>
        <v>1329.9</v>
      </c>
      <c r="M165" s="556">
        <f>IF(VLOOKUP($E$165,[1]UG!$A$2:$FA$303, 12, FALSE)="",":",VLOOKUP($E$165,[1]UG!$A$2:$FA$303, 12, FALSE))</f>
        <v>1468.5</v>
      </c>
      <c r="N165" s="556">
        <f>IF(VLOOKUP($E$165,[1]UG!$A$2:$FA$303, 13, FALSE)="",":",VLOOKUP($E$165,[1]UG!$A$2:$FA$303, 13, FALSE))</f>
        <v>1449.3</v>
      </c>
      <c r="O165" s="556">
        <f>IF(VLOOKUP($E$165,[1]UG!$A$2:$FA$303, 14, FALSE)="",":",VLOOKUP($E$165,[1]UG!$A$2:$FA$303, 14, FALSE))</f>
        <v>1664.5</v>
      </c>
      <c r="P165" s="556">
        <f>IF(VLOOKUP($E$165,[1]UG!$A$2:$FA$303, 15, FALSE)="",":",VLOOKUP($E$165,[1]UG!$A$2:$FA$303, 15, FALSE))</f>
        <v>2392.6</v>
      </c>
      <c r="Q165" s="556">
        <f>IF(VLOOKUP($E$165,[1]UG!$A$2:$FA$303, 16, FALSE)="",":",VLOOKUP($E$165,[1]UG!$A$2:$FA$303, 16, FALSE))</f>
        <v>2298.6</v>
      </c>
      <c r="R165" s="556">
        <f>IF(VLOOKUP($E$165,[1]UG!$A$2:$FA$303, 17, FALSE)="",":",VLOOKUP($E$165,[1]UG!$A$2:$FA$303, 17, FALSE))</f>
        <v>2418.6</v>
      </c>
      <c r="S165" s="556">
        <f>IF(VLOOKUP($E$165,[1]UG!$A$2:$FA$303, 18, FALSE)="",":",VLOOKUP($E$165,[1]UG!$A$2:$FA$303, 18, FALSE))</f>
        <v>2370.9</v>
      </c>
      <c r="T165" s="556">
        <f>IF(VLOOKUP($E$165,[1]UG!$A$2:$FA$303, 19, FALSE)="",":",VLOOKUP($E$165,[1]UG!$A$2:$FA$303, 19, FALSE))</f>
        <v>2533.3000000000002</v>
      </c>
      <c r="U165" s="556">
        <f>IF(VLOOKUP($E$165,[1]UG!$A$2:$FA$303, 20, FALSE)="",":",VLOOKUP($E$165,[1]UG!$A$2:$FA$303, 20, FALSE))</f>
        <v>2422.1999999999998</v>
      </c>
      <c r="V165" s="556">
        <f>IF(VLOOKUP($E$165,[1]UG!$A$2:$FA$303, 21, FALSE)="",":",VLOOKUP($E$165,[1]UG!$A$2:$FA$303, 21, FALSE))</f>
        <v>2808.3</v>
      </c>
      <c r="W165" s="556">
        <f>IF(VLOOKUP($E$165,[1]UG!$A$2:$FA$303, 22, FALSE)="",":",VLOOKUP($E$165,[1]UG!$A$2:$FA$303, 22, FALSE))</f>
        <v>3045.5</v>
      </c>
      <c r="X165" s="556">
        <f>IF(VLOOKUP($E$165,[1]UG!$A$2:$FA$303, 23, FALSE)="",":",VLOOKUP($E$165,[1]UG!$A$2:$FA$303, 23, FALSE))</f>
        <v>3851.5</v>
      </c>
      <c r="Y165" s="556">
        <f>IF(VLOOKUP($E$165,[1]UG!$A$2:$FA$303, 24, FALSE)="",":",VLOOKUP($E$165,[1]UG!$A$2:$FA$303, 24, FALSE))</f>
        <v>4498.8999999999996</v>
      </c>
      <c r="Z165" s="556">
        <f>IF(VLOOKUP($E$165,[1]UG!$A$2:$FA$303, 25, FALSE)="",":",VLOOKUP($E$165,[1]UG!$A$2:$FA$303, 25, FALSE))</f>
        <v>4125.3999999999996</v>
      </c>
      <c r="AA165" s="556">
        <f>IF(VLOOKUP($E$165,[1]UG!$A$2:$FA$303, 26, FALSE)="",":",VLOOKUP($E$165,[1]UG!$A$2:$FA$303, 26, FALSE))</f>
        <v>3838.3</v>
      </c>
      <c r="AB165" s="556">
        <f>IF(VLOOKUP($E$165,[1]UG!$A$2:$FA$303, 27, FALSE)="",":",VLOOKUP($E$165,[1]UG!$A$2:$FA$303, 27, FALSE))</f>
        <v>3971.2</v>
      </c>
      <c r="AC165" s="556">
        <f>IF(VLOOKUP($E$165,[1]UG!$A$2:$FA$303, 28, FALSE)="",":",VLOOKUP($E$165,[1]UG!$A$2:$FA$303, 28, FALSE))</f>
        <v>4052.7</v>
      </c>
      <c r="AD165" s="556" t="str">
        <f>IF(VLOOKUP($E$165,[1]UG!$A$2:$FA$303, 29, FALSE)="",":",VLOOKUP($E$165,[1]UG!$A$2:$FA$303, 29, FALSE))</f>
        <v>:</v>
      </c>
      <c r="AE165" s="556" t="str">
        <f>IF(VLOOKUP($E$165,[1]UG!$A$2:$FA$303, 30, FALSE)="",":",VLOOKUP($E$165,[1]UG!$A$2:$FA$303, 30, FALSE))</f>
        <v>:</v>
      </c>
      <c r="AF165" s="556" t="str">
        <f>IF(VLOOKUP($E$165,[1]UG!$A$2:$FA$303, 31, FALSE)="",":",VLOOKUP($E$165,[1]UG!$A$2:$FA$303, 31, FALSE))</f>
        <v>:</v>
      </c>
    </row>
    <row r="166" spans="1:32">
      <c r="A166" s="545"/>
      <c r="B166" s="546"/>
      <c r="C166" s="547"/>
      <c r="D166" s="12" t="s">
        <v>1932</v>
      </c>
      <c r="E166" s="13">
        <v>57</v>
      </c>
      <c r="F166" s="14" t="str">
        <f>VLOOKUP($E$166,[1]UG!$A$2:$FA$300, 3, FALSE)</f>
        <v>57 Capital transfers from EU Institutions</v>
      </c>
      <c r="G166" s="556" t="str">
        <f>IF(VLOOKUP($E$166,[1]UG!$A$2:$FA$300, 6, FALSE)="",":",VLOOKUP($E$166,[1]UG!$A$2:$FA$300, 6, FALSE))</f>
        <v>:</v>
      </c>
      <c r="H166" s="556">
        <f>IF(VLOOKUP($E$166,[1]UG!$A$2:$FA$300, 7, FALSE)="",":",VLOOKUP($E$166,[1]UG!$A$2:$FA$300, 7, FALSE))</f>
        <v>10.3</v>
      </c>
      <c r="I166" s="556">
        <f>IF(VLOOKUP($E$166,[1]UG!$A$2:$FA$300, 8, FALSE)="",":",VLOOKUP($E$166,[1]UG!$A$2:$FA$300, 8, FALSE))</f>
        <v>12.5</v>
      </c>
      <c r="J166" s="556">
        <f>IF(VLOOKUP($E$166,[1]UG!$A$2:$FA$300, 9, FALSE)="",":",VLOOKUP($E$166,[1]UG!$A$2:$FA$300, 9, FALSE))</f>
        <v>2.4</v>
      </c>
      <c r="K166" s="556">
        <f>IF(VLOOKUP($E$166,[1]UG!$A$2:$FA$300, 10, FALSE)="",":",VLOOKUP($E$166,[1]UG!$A$2:$FA$300, 10, FALSE))</f>
        <v>13.2</v>
      </c>
      <c r="L166" s="556">
        <f>IF(VLOOKUP($E$166,[1]UG!$A$2:$FA$300, 11, FALSE)="",":",VLOOKUP($E$166,[1]UG!$A$2:$FA$300, 11, FALSE))</f>
        <v>19.3</v>
      </c>
      <c r="M166" s="556">
        <f>IF(VLOOKUP($E$166,[1]UG!$A$2:$FA$300, 12, FALSE)="",":",VLOOKUP($E$166,[1]UG!$A$2:$FA$300, 12, FALSE))</f>
        <v>12.5</v>
      </c>
      <c r="N166" s="556">
        <f>IF(VLOOKUP($E$166,[1]UG!$A$2:$FA$300, 13, FALSE)="",":",VLOOKUP($E$166,[1]UG!$A$2:$FA$300, 13, FALSE))</f>
        <v>17.899999999999999</v>
      </c>
      <c r="O166" s="556">
        <f>IF(VLOOKUP($E$166,[1]UG!$A$2:$FA$300, 14, FALSE)="",":",VLOOKUP($E$166,[1]UG!$A$2:$FA$300, 14, FALSE))</f>
        <v>11.8</v>
      </c>
      <c r="P166" s="556">
        <f>IF(VLOOKUP($E$166,[1]UG!$A$2:$FA$300, 15, FALSE)="",":",VLOOKUP($E$166,[1]UG!$A$2:$FA$300, 15, FALSE))</f>
        <v>5.8</v>
      </c>
      <c r="Q166" s="556">
        <f>IF(VLOOKUP($E$166,[1]UG!$A$2:$FA$300, 16, FALSE)="",":",VLOOKUP($E$166,[1]UG!$A$2:$FA$300, 16, FALSE))</f>
        <v>10.7</v>
      </c>
      <c r="R166" s="556">
        <f>IF(VLOOKUP($E$166,[1]UG!$A$2:$FA$300, 17, FALSE)="",":",VLOOKUP($E$166,[1]UG!$A$2:$FA$300, 17, FALSE))</f>
        <v>24.6</v>
      </c>
      <c r="S166" s="556">
        <f>IF(VLOOKUP($E$166,[1]UG!$A$2:$FA$300, 18, FALSE)="",":",VLOOKUP($E$166,[1]UG!$A$2:$FA$300, 18, FALSE))</f>
        <v>15</v>
      </c>
      <c r="T166" s="556">
        <f>IF(VLOOKUP($E$166,[1]UG!$A$2:$FA$300, 19, FALSE)="",":",VLOOKUP($E$166,[1]UG!$A$2:$FA$300, 19, FALSE))</f>
        <v>12</v>
      </c>
      <c r="U166" s="556">
        <f>IF(VLOOKUP($E$166,[1]UG!$A$2:$FA$300, 20, FALSE)="",":",VLOOKUP($E$166,[1]UG!$A$2:$FA$300, 20, FALSE))</f>
        <v>20.6</v>
      </c>
      <c r="V166" s="556">
        <f>IF(VLOOKUP($E$166,[1]UG!$A$2:$FA$300, 21, FALSE)="",":",VLOOKUP($E$166,[1]UG!$A$2:$FA$300, 21, FALSE))</f>
        <v>59.5</v>
      </c>
      <c r="W166" s="556">
        <f>IF(VLOOKUP($E$166,[1]UG!$A$2:$FA$300, 22, FALSE)="",":",VLOOKUP($E$166,[1]UG!$A$2:$FA$300, 22, FALSE))</f>
        <v>29.5</v>
      </c>
      <c r="X166" s="556">
        <f>IF(VLOOKUP($E$166,[1]UG!$A$2:$FA$300, 23, FALSE)="",":",VLOOKUP($E$166,[1]UG!$A$2:$FA$300, 23, FALSE))</f>
        <v>37.1</v>
      </c>
      <c r="Y166" s="556">
        <f>IF(VLOOKUP($E$166,[1]UG!$A$2:$FA$300, 24, FALSE)="",":",VLOOKUP($E$166,[1]UG!$A$2:$FA$300, 24, FALSE))</f>
        <v>170.9</v>
      </c>
      <c r="Z166" s="556">
        <f>IF(VLOOKUP($E$166,[1]UG!$A$2:$FA$300, 25, FALSE)="",":",VLOOKUP($E$166,[1]UG!$A$2:$FA$300, 25, FALSE))</f>
        <v>35.299999999999997</v>
      </c>
      <c r="AA166" s="556">
        <f>IF(VLOOKUP($E$166,[1]UG!$A$2:$FA$300, 26, FALSE)="",":",VLOOKUP($E$166,[1]UG!$A$2:$FA$300, 26, FALSE))</f>
        <v>24.8</v>
      </c>
      <c r="AB166" s="556">
        <f>IF(VLOOKUP($E$166,[1]UG!$A$2:$FA$300, 27, FALSE)="",":",VLOOKUP($E$166,[1]UG!$A$2:$FA$300, 27, FALSE))</f>
        <v>55.4</v>
      </c>
      <c r="AC166" s="556">
        <f>IF(VLOOKUP($E$166,[1]UG!$A$2:$FA$300, 28, FALSE)="",":",VLOOKUP($E$166,[1]UG!$A$2:$FA$300, 28, FALSE))</f>
        <v>51.2</v>
      </c>
      <c r="AD166" s="556" t="str">
        <f>IF(VLOOKUP($E$166,[1]UG!$A$2:$FA$300, 29, FALSE)="",":",VLOOKUP($E$166,[1]UG!$A$2:$FA$300, 29, FALSE))</f>
        <v>:</v>
      </c>
      <c r="AE166" s="556" t="str">
        <f>IF(VLOOKUP($E$166,[1]UG!$A$2:$FA$300, 30, FALSE)="",":",VLOOKUP($E$166,[1]UG!$A$2:$FA$300, 30, FALSE))</f>
        <v>:</v>
      </c>
      <c r="AF166" s="556" t="str">
        <f>IF(VLOOKUP($E$166,[1]UG!$A$2:$FA$300, 31, FALSE)="",":",VLOOKUP($E$166,[1]UG!$A$2:$FA$300, 31, FALSE))</f>
        <v>:</v>
      </c>
    </row>
    <row r="167" spans="1:32">
      <c r="A167" s="545">
        <v>130</v>
      </c>
      <c r="B167" s="546" t="s">
        <v>1079</v>
      </c>
      <c r="C167" s="547" t="s">
        <v>1927</v>
      </c>
      <c r="D167" s="12" t="s">
        <v>1932</v>
      </c>
      <c r="E167" s="13">
        <v>40</v>
      </c>
      <c r="F167" s="14" t="str">
        <f>VLOOKUP($E$167,[1]UG!$A$2:$FA$303, 3, FALSE)</f>
        <v>40 Capital taxes D.91r</v>
      </c>
      <c r="G167" s="556">
        <f>IF(VLOOKUP($E$167,[1]UG!$A$2:$FA$303, 6, FALSE)="",":",VLOOKUP($E$167,[1]UG!$A$2:$FA$303, 6, FALSE))</f>
        <v>761.2</v>
      </c>
      <c r="H167" s="556">
        <f>IF(VLOOKUP($E$167,[1]UG!$A$2:$FA$303, 7, FALSE)="",":",VLOOKUP($E$167,[1]UG!$A$2:$FA$303, 7, FALSE))</f>
        <v>830.3</v>
      </c>
      <c r="I167" s="556">
        <f>IF(VLOOKUP($E$167,[1]UG!$A$2:$FA$303, 8, FALSE)="",":",VLOOKUP($E$167,[1]UG!$A$2:$FA$303, 8, FALSE))</f>
        <v>816</v>
      </c>
      <c r="J167" s="556">
        <f>IF(VLOOKUP($E$167,[1]UG!$A$2:$FA$303, 9, FALSE)="",":",VLOOKUP($E$167,[1]UG!$A$2:$FA$303, 9, FALSE))</f>
        <v>956.2</v>
      </c>
      <c r="K167" s="556">
        <f>IF(VLOOKUP($E$167,[1]UG!$A$2:$FA$303, 10, FALSE)="",":",VLOOKUP($E$167,[1]UG!$A$2:$FA$303, 10, FALSE))</f>
        <v>1022.2</v>
      </c>
      <c r="L167" s="556">
        <f>IF(VLOOKUP($E$167,[1]UG!$A$2:$FA$303, 11, FALSE)="",":",VLOOKUP($E$167,[1]UG!$A$2:$FA$303, 11, FALSE))</f>
        <v>1174.8</v>
      </c>
      <c r="M167" s="556">
        <f>IF(VLOOKUP($E$167,[1]UG!$A$2:$FA$303, 12, FALSE)="",":",VLOOKUP($E$167,[1]UG!$A$2:$FA$303, 12, FALSE))</f>
        <v>1206.2</v>
      </c>
      <c r="N167" s="556">
        <f>IF(VLOOKUP($E$167,[1]UG!$A$2:$FA$303, 13, FALSE)="",":",VLOOKUP($E$167,[1]UG!$A$2:$FA$303, 13, FALSE))</f>
        <v>1255.9000000000001</v>
      </c>
      <c r="O167" s="556">
        <f>IF(VLOOKUP($E$167,[1]UG!$A$2:$FA$303, 14, FALSE)="",":",VLOOKUP($E$167,[1]UG!$A$2:$FA$303, 14, FALSE))</f>
        <v>1390.4</v>
      </c>
      <c r="P167" s="556">
        <f>IF(VLOOKUP($E$167,[1]UG!$A$2:$FA$303, 15, FALSE)="",":",VLOOKUP($E$167,[1]UG!$A$2:$FA$303, 15, FALSE))</f>
        <v>2176.6</v>
      </c>
      <c r="Q167" s="556">
        <f>IF(VLOOKUP($E$167,[1]UG!$A$2:$FA$303, 16, FALSE)="",":",VLOOKUP($E$167,[1]UG!$A$2:$FA$303, 16, FALSE))</f>
        <v>1872.8</v>
      </c>
      <c r="R167" s="556">
        <f>IF(VLOOKUP($E$167,[1]UG!$A$2:$FA$303, 17, FALSE)="",":",VLOOKUP($E$167,[1]UG!$A$2:$FA$303, 17, FALSE))</f>
        <v>2153.3000000000002</v>
      </c>
      <c r="S167" s="556">
        <f>IF(VLOOKUP($E$167,[1]UG!$A$2:$FA$303, 18, FALSE)="",":",VLOOKUP($E$167,[1]UG!$A$2:$FA$303, 18, FALSE))</f>
        <v>2215.6999999999998</v>
      </c>
      <c r="T167" s="556">
        <f>IF(VLOOKUP($E$167,[1]UG!$A$2:$FA$303, 19, FALSE)="",":",VLOOKUP($E$167,[1]UG!$A$2:$FA$303, 19, FALSE))</f>
        <v>2370.1</v>
      </c>
      <c r="U167" s="556">
        <f>IF(VLOOKUP($E$167,[1]UG!$A$2:$FA$303, 20, FALSE)="",":",VLOOKUP($E$167,[1]UG!$A$2:$FA$303, 20, FALSE))</f>
        <v>2234.6999999999998</v>
      </c>
      <c r="V167" s="556">
        <f>IF(VLOOKUP($E$167,[1]UG!$A$2:$FA$303, 21, FALSE)="",":",VLOOKUP($E$167,[1]UG!$A$2:$FA$303, 21, FALSE))</f>
        <v>2596.3000000000002</v>
      </c>
      <c r="W167" s="556">
        <f>IF(VLOOKUP($E$167,[1]UG!$A$2:$FA$303, 22, FALSE)="",":",VLOOKUP($E$167,[1]UG!$A$2:$FA$303, 22, FALSE))</f>
        <v>2771.7</v>
      </c>
      <c r="X167" s="556">
        <f>IF(VLOOKUP($E$167,[1]UG!$A$2:$FA$303, 23, FALSE)="",":",VLOOKUP($E$167,[1]UG!$A$2:$FA$303, 23, FALSE))</f>
        <v>3318</v>
      </c>
      <c r="Y167" s="556">
        <f>IF(VLOOKUP($E$167,[1]UG!$A$2:$FA$303, 24, FALSE)="",":",VLOOKUP($E$167,[1]UG!$A$2:$FA$303, 24, FALSE))</f>
        <v>3973</v>
      </c>
      <c r="Z167" s="556">
        <f>IF(VLOOKUP($E$167,[1]UG!$A$2:$FA$303, 25, FALSE)="",":",VLOOKUP($E$167,[1]UG!$A$2:$FA$303, 25, FALSE))</f>
        <v>3899.6</v>
      </c>
      <c r="AA167" s="556">
        <f>IF(VLOOKUP($E$167,[1]UG!$A$2:$FA$303, 26, FALSE)="",":",VLOOKUP($E$167,[1]UG!$A$2:$FA$303, 26, FALSE))</f>
        <v>3637.5</v>
      </c>
      <c r="AB167" s="556">
        <f>IF(VLOOKUP($E$167,[1]UG!$A$2:$FA$303, 27, FALSE)="",":",VLOOKUP($E$167,[1]UG!$A$2:$FA$303, 27, FALSE))</f>
        <v>3346.5</v>
      </c>
      <c r="AC167" s="556">
        <f>IF(VLOOKUP($E$167,[1]UG!$A$2:$FA$303, 28, FALSE)="",":",VLOOKUP($E$167,[1]UG!$A$2:$FA$303, 28, FALSE))</f>
        <v>3618.5</v>
      </c>
      <c r="AD167" s="556" t="str">
        <f>IF(VLOOKUP($E$167,[1]UG!$A$2:$FA$303, 29, FALSE)="",":",VLOOKUP($E$167,[1]UG!$A$2:$FA$303, 29, FALSE))</f>
        <v>:</v>
      </c>
      <c r="AE167" s="556" t="str">
        <f>IF(VLOOKUP($E$167,[1]UG!$A$2:$FA$303, 30, FALSE)="",":",VLOOKUP($E$167,[1]UG!$A$2:$FA$303, 30, FALSE))</f>
        <v>:</v>
      </c>
      <c r="AF167" s="556" t="str">
        <f>IF(VLOOKUP($E$167,[1]UG!$A$2:$FA$303, 31, FALSE)="",":",VLOOKUP($E$167,[1]UG!$A$2:$FA$303, 31, FALSE))</f>
        <v>:</v>
      </c>
    </row>
    <row r="168" spans="1:32">
      <c r="A168" s="545"/>
      <c r="B168" s="546" t="s">
        <v>212</v>
      </c>
      <c r="C168" s="547" t="s">
        <v>1929</v>
      </c>
      <c r="D168" s="12" t="s">
        <v>1932</v>
      </c>
      <c r="E168" s="13">
        <v>42</v>
      </c>
      <c r="F168" s="14" t="str">
        <f>VLOOKUP($E$168,[1]UG!$A$2:$FA$303, 3, FALSE)</f>
        <v>42 Capital transfers, payable D.9p</v>
      </c>
      <c r="G168" s="556">
        <f>IF(VLOOKUP($E$168,[1]UG!$A$2:$FA$303, 6, FALSE)="",":",VLOOKUP($E$168,[1]UG!$A$2:$FA$303, 6, FALSE))</f>
        <v>2423</v>
      </c>
      <c r="H168" s="556">
        <f>IF(VLOOKUP($E$168,[1]UG!$A$2:$FA$303, 7, FALSE)="",":",VLOOKUP($E$168,[1]UG!$A$2:$FA$303, 7, FALSE))</f>
        <v>2595.1</v>
      </c>
      <c r="I168" s="556">
        <f>IF(VLOOKUP($E$168,[1]UG!$A$2:$FA$303, 8, FALSE)="",":",VLOOKUP($E$168,[1]UG!$A$2:$FA$303, 8, FALSE))</f>
        <v>3307.4</v>
      </c>
      <c r="J168" s="556">
        <f>IF(VLOOKUP($E$168,[1]UG!$A$2:$FA$303, 9, FALSE)="",":",VLOOKUP($E$168,[1]UG!$A$2:$FA$303, 9, FALSE))</f>
        <v>3272.9</v>
      </c>
      <c r="K168" s="556">
        <f>IF(VLOOKUP($E$168,[1]UG!$A$2:$FA$303, 10, FALSE)="",":",VLOOKUP($E$168,[1]UG!$A$2:$FA$303, 10, FALSE))</f>
        <v>3172.6</v>
      </c>
      <c r="L168" s="556">
        <f>IF(VLOOKUP($E$168,[1]UG!$A$2:$FA$303, 11, FALSE)="",":",VLOOKUP($E$168,[1]UG!$A$2:$FA$303, 11, FALSE))</f>
        <v>3318.5</v>
      </c>
      <c r="M168" s="556">
        <f>IF(VLOOKUP($E$168,[1]UG!$A$2:$FA$303, 12, FALSE)="",":",VLOOKUP($E$168,[1]UG!$A$2:$FA$303, 12, FALSE))</f>
        <v>2691.5</v>
      </c>
      <c r="N168" s="556">
        <f>IF(VLOOKUP($E$168,[1]UG!$A$2:$FA$303, 13, FALSE)="",":",VLOOKUP($E$168,[1]UG!$A$2:$FA$303, 13, FALSE))</f>
        <v>2564.6999999999998</v>
      </c>
      <c r="O168" s="556">
        <f>IF(VLOOKUP($E$168,[1]UG!$A$2:$FA$303, 14, FALSE)="",":",VLOOKUP($E$168,[1]UG!$A$2:$FA$303, 14, FALSE))</f>
        <v>4211.3</v>
      </c>
      <c r="P168" s="556">
        <f>IF(VLOOKUP($E$168,[1]UG!$A$2:$FA$303, 15, FALSE)="",":",VLOOKUP($E$168,[1]UG!$A$2:$FA$303, 15, FALSE))</f>
        <v>2804.2</v>
      </c>
      <c r="Q168" s="556">
        <f>IF(VLOOKUP($E$168,[1]UG!$A$2:$FA$303, 16, FALSE)="",":",VLOOKUP($E$168,[1]UG!$A$2:$FA$303, 16, FALSE))</f>
        <v>11064.1</v>
      </c>
      <c r="R168" s="556">
        <f>IF(VLOOKUP($E$168,[1]UG!$A$2:$FA$303, 17, FALSE)="",":",VLOOKUP($E$168,[1]UG!$A$2:$FA$303, 17, FALSE))</f>
        <v>3968.6</v>
      </c>
      <c r="S168" s="556">
        <f>IF(VLOOKUP($E$168,[1]UG!$A$2:$FA$303, 18, FALSE)="",":",VLOOKUP($E$168,[1]UG!$A$2:$FA$303, 18, FALSE))</f>
        <v>4331.3999999999996</v>
      </c>
      <c r="T168" s="556">
        <f>IF(VLOOKUP($E$168,[1]UG!$A$2:$FA$303, 19, FALSE)="",":",VLOOKUP($E$168,[1]UG!$A$2:$FA$303, 19, FALSE))</f>
        <v>4513.5</v>
      </c>
      <c r="U168" s="556">
        <f>IF(VLOOKUP($E$168,[1]UG!$A$2:$FA$303, 20, FALSE)="",":",VLOOKUP($E$168,[1]UG!$A$2:$FA$303, 20, FALSE))</f>
        <v>4920</v>
      </c>
      <c r="V168" s="556">
        <f>IF(VLOOKUP($E$168,[1]UG!$A$2:$FA$303, 21, FALSE)="",":",VLOOKUP($E$168,[1]UG!$A$2:$FA$303, 21, FALSE))</f>
        <v>5341.5</v>
      </c>
      <c r="W168" s="556">
        <f>IF(VLOOKUP($E$168,[1]UG!$A$2:$FA$303, 22, FALSE)="",":",VLOOKUP($E$168,[1]UG!$A$2:$FA$303, 22, FALSE))</f>
        <v>7359.5</v>
      </c>
      <c r="X168" s="556">
        <f>IF(VLOOKUP($E$168,[1]UG!$A$2:$FA$303, 23, FALSE)="",":",VLOOKUP($E$168,[1]UG!$A$2:$FA$303, 23, FALSE))</f>
        <v>9343.7000000000007</v>
      </c>
      <c r="Y168" s="556">
        <f>IF(VLOOKUP($E$168,[1]UG!$A$2:$FA$303, 24, FALSE)="",":",VLOOKUP($E$168,[1]UG!$A$2:$FA$303, 24, FALSE))</f>
        <v>7608</v>
      </c>
      <c r="Z168" s="556">
        <f>IF(VLOOKUP($E$168,[1]UG!$A$2:$FA$303, 25, FALSE)="",":",VLOOKUP($E$168,[1]UG!$A$2:$FA$303, 25, FALSE))</f>
        <v>7117.9</v>
      </c>
      <c r="AA168" s="556">
        <f>IF(VLOOKUP($E$168,[1]UG!$A$2:$FA$303, 26, FALSE)="",":",VLOOKUP($E$168,[1]UG!$A$2:$FA$303, 26, FALSE))</f>
        <v>5213.8999999999996</v>
      </c>
      <c r="AB168" s="556">
        <f>IF(VLOOKUP($E$168,[1]UG!$A$2:$FA$303, 27, FALSE)="",":",VLOOKUP($E$168,[1]UG!$A$2:$FA$303, 27, FALSE))</f>
        <v>4688.6000000000004</v>
      </c>
      <c r="AC168" s="556">
        <f>IF(VLOOKUP($E$168,[1]UG!$A$2:$FA$303, 28, FALSE)="",":",VLOOKUP($E$168,[1]UG!$A$2:$FA$303, 28, FALSE))</f>
        <v>4238.6000000000004</v>
      </c>
      <c r="AD168" s="556" t="str">
        <f>IF(VLOOKUP($E$168,[1]UG!$A$2:$FA$303, 29, FALSE)="",":",VLOOKUP($E$168,[1]UG!$A$2:$FA$303, 29, FALSE))</f>
        <v>:</v>
      </c>
      <c r="AE168" s="556" t="str">
        <f>IF(VLOOKUP($E$168,[1]UG!$A$2:$FA$303, 30, FALSE)="",":",VLOOKUP($E$168,[1]UG!$A$2:$FA$303, 30, FALSE))</f>
        <v>:</v>
      </c>
      <c r="AF168" s="556" t="str">
        <f>IF(VLOOKUP($E$168,[1]UG!$A$2:$FA$303, 31, FALSE)="",":",VLOOKUP($E$168,[1]UG!$A$2:$FA$303, 31, FALSE))</f>
        <v>:</v>
      </c>
    </row>
    <row r="169" spans="1:32">
      <c r="A169" s="545"/>
      <c r="B169" s="546"/>
      <c r="C169" s="547" t="s">
        <v>449</v>
      </c>
      <c r="D169" s="12" t="s">
        <v>1932</v>
      </c>
      <c r="E169" s="13">
        <v>84</v>
      </c>
      <c r="F169" s="14" t="str">
        <f>VLOOKUP($E$169,[1]UG!$A$2:$FA$303, 3, FALSE)</f>
        <v>84 Capital transfers to relevant sectors for taxes and social contributions assessed but unlikely to be collected D.995</v>
      </c>
      <c r="G169" s="556">
        <f>IF(VLOOKUP($E$169,[1]UG!$A$2:$FA$303, 6, FALSE)="",":",VLOOKUP($E$169,[1]UG!$A$2:$FA$303, 6, FALSE))</f>
        <v>0</v>
      </c>
      <c r="H169" s="556">
        <f>IF(VLOOKUP($E$169,[1]UG!$A$2:$FA$303, 7, FALSE)="",":",VLOOKUP($E$169,[1]UG!$A$2:$FA$303, 7, FALSE))</f>
        <v>0</v>
      </c>
      <c r="I169" s="556">
        <f>IF(VLOOKUP($E$169,[1]UG!$A$2:$FA$303, 8, FALSE)="",":",VLOOKUP($E$169,[1]UG!$A$2:$FA$303, 8, FALSE))</f>
        <v>0</v>
      </c>
      <c r="J169" s="556">
        <f>IF(VLOOKUP($E$169,[1]UG!$A$2:$FA$303, 9, FALSE)="",":",VLOOKUP($E$169,[1]UG!$A$2:$FA$303, 9, FALSE))</f>
        <v>0</v>
      </c>
      <c r="K169" s="556">
        <f>IF(VLOOKUP($E$169,[1]UG!$A$2:$FA$303, 10, FALSE)="",":",VLOOKUP($E$169,[1]UG!$A$2:$FA$303, 10, FALSE))</f>
        <v>0</v>
      </c>
      <c r="L169" s="556">
        <f>IF(VLOOKUP($E$169,[1]UG!$A$2:$FA$303, 11, FALSE)="",":",VLOOKUP($E$169,[1]UG!$A$2:$FA$303, 11, FALSE))</f>
        <v>0</v>
      </c>
      <c r="M169" s="556">
        <f>IF(VLOOKUP($E$169,[1]UG!$A$2:$FA$303, 12, FALSE)="",":",VLOOKUP($E$169,[1]UG!$A$2:$FA$303, 12, FALSE))</f>
        <v>0</v>
      </c>
      <c r="N169" s="556">
        <f>IF(VLOOKUP($E$169,[1]UG!$A$2:$FA$303, 13, FALSE)="",":",VLOOKUP($E$169,[1]UG!$A$2:$FA$303, 13, FALSE))</f>
        <v>0</v>
      </c>
      <c r="O169" s="556">
        <f>IF(VLOOKUP($E$169,[1]UG!$A$2:$FA$303, 14, FALSE)="",":",VLOOKUP($E$169,[1]UG!$A$2:$FA$303, 14, FALSE))</f>
        <v>0</v>
      </c>
      <c r="P169" s="556">
        <f>IF(VLOOKUP($E$169,[1]UG!$A$2:$FA$303, 15, FALSE)="",":",VLOOKUP($E$169,[1]UG!$A$2:$FA$303, 15, FALSE))</f>
        <v>0</v>
      </c>
      <c r="Q169" s="556">
        <f>IF(VLOOKUP($E$169,[1]UG!$A$2:$FA$303, 16, FALSE)="",":",VLOOKUP($E$169,[1]UG!$A$2:$FA$303, 16, FALSE))</f>
        <v>0</v>
      </c>
      <c r="R169" s="556">
        <f>IF(VLOOKUP($E$169,[1]UG!$A$2:$FA$303, 17, FALSE)="",":",VLOOKUP($E$169,[1]UG!$A$2:$FA$303, 17, FALSE))</f>
        <v>0</v>
      </c>
      <c r="S169" s="556">
        <f>IF(VLOOKUP($E$169,[1]UG!$A$2:$FA$303, 18, FALSE)="",":",VLOOKUP($E$169,[1]UG!$A$2:$FA$303, 18, FALSE))</f>
        <v>0</v>
      </c>
      <c r="T169" s="556">
        <f>IF(VLOOKUP($E$169,[1]UG!$A$2:$FA$303, 19, FALSE)="",":",VLOOKUP($E$169,[1]UG!$A$2:$FA$303, 19, FALSE))</f>
        <v>0</v>
      </c>
      <c r="U169" s="556">
        <f>IF(VLOOKUP($E$169,[1]UG!$A$2:$FA$303, 20, FALSE)="",":",VLOOKUP($E$169,[1]UG!$A$2:$FA$303, 20, FALSE))</f>
        <v>0</v>
      </c>
      <c r="V169" s="556">
        <f>IF(VLOOKUP($E$169,[1]UG!$A$2:$FA$303, 21, FALSE)="",":",VLOOKUP($E$169,[1]UG!$A$2:$FA$303, 21, FALSE))</f>
        <v>0</v>
      </c>
      <c r="W169" s="556">
        <f>IF(VLOOKUP($E$169,[1]UG!$A$2:$FA$303, 22, FALSE)="",":",VLOOKUP($E$169,[1]UG!$A$2:$FA$303, 22, FALSE))</f>
        <v>0</v>
      </c>
      <c r="X169" s="556">
        <f>IF(VLOOKUP($E$169,[1]UG!$A$2:$FA$303, 23, FALSE)="",":",VLOOKUP($E$169,[1]UG!$A$2:$FA$303, 23, FALSE))</f>
        <v>0</v>
      </c>
      <c r="Y169" s="556">
        <f>IF(VLOOKUP($E$169,[1]UG!$A$2:$FA$303, 24, FALSE)="",":",VLOOKUP($E$169,[1]UG!$A$2:$FA$303, 24, FALSE))</f>
        <v>0</v>
      </c>
      <c r="Z169" s="556">
        <f>IF(VLOOKUP($E$169,[1]UG!$A$2:$FA$303, 25, FALSE)="",":",VLOOKUP($E$169,[1]UG!$A$2:$FA$303, 25, FALSE))</f>
        <v>0</v>
      </c>
      <c r="AA169" s="556">
        <f>IF(VLOOKUP($E$169,[1]UG!$A$2:$FA$303, 26, FALSE)="",":",VLOOKUP($E$169,[1]UG!$A$2:$FA$303, 26, FALSE))</f>
        <v>0</v>
      </c>
      <c r="AB169" s="556">
        <f>IF(VLOOKUP($E$169,[1]UG!$A$2:$FA$303, 27, FALSE)="",":",VLOOKUP($E$169,[1]UG!$A$2:$FA$303, 27, FALSE))</f>
        <v>0</v>
      </c>
      <c r="AC169" s="556">
        <f>IF(VLOOKUP($E$169,[1]UG!$A$2:$FA$303, 28, FALSE)="",":",VLOOKUP($E$169,[1]UG!$A$2:$FA$303, 28, FALSE))</f>
        <v>0</v>
      </c>
      <c r="AD169" s="556" t="str">
        <f>IF(VLOOKUP($E$169,[1]UG!$A$2:$FA$303, 29, FALSE)="",":",VLOOKUP($E$169,[1]UG!$A$2:$FA$303, 29, FALSE))</f>
        <v>:</v>
      </c>
      <c r="AE169" s="556" t="str">
        <f>IF(VLOOKUP($E$169,[1]UG!$A$2:$FA$303, 30, FALSE)="",":",VLOOKUP($E$169,[1]UG!$A$2:$FA$303, 30, FALSE))</f>
        <v>:</v>
      </c>
      <c r="AF169" s="556" t="str">
        <f>IF(VLOOKUP($E$169,[1]UG!$A$2:$FA$303, 31, FALSE)="",":",VLOOKUP($E$169,[1]UG!$A$2:$FA$303, 31, FALSE))</f>
        <v>:</v>
      </c>
    </row>
    <row r="170" spans="1:32">
      <c r="A170" s="545"/>
      <c r="B170" s="546"/>
      <c r="C170" s="547"/>
      <c r="D170" s="12"/>
      <c r="E170" s="13"/>
      <c r="F170" s="14"/>
      <c r="G170" s="556"/>
      <c r="H170" s="556"/>
      <c r="I170" s="556"/>
      <c r="J170" s="556"/>
      <c r="K170" s="556"/>
      <c r="L170" s="556"/>
      <c r="M170" s="556"/>
      <c r="N170" s="556"/>
      <c r="O170" s="556"/>
      <c r="P170" s="556"/>
      <c r="Q170" s="556"/>
      <c r="R170" s="556"/>
      <c r="S170" s="556"/>
      <c r="T170" s="556"/>
      <c r="U170" s="556"/>
      <c r="V170" s="556"/>
      <c r="W170" s="556"/>
      <c r="X170" s="556"/>
      <c r="Y170" s="556"/>
      <c r="Z170" s="556"/>
      <c r="AA170" s="556"/>
      <c r="AB170" s="556"/>
      <c r="AC170" s="556"/>
      <c r="AD170" s="556"/>
      <c r="AE170" s="556"/>
      <c r="AF170" s="556"/>
    </row>
    <row r="171" spans="1:32">
      <c r="A171" s="545">
        <v>126</v>
      </c>
      <c r="B171" s="546" t="s">
        <v>213</v>
      </c>
      <c r="C171" s="547" t="s">
        <v>1930</v>
      </c>
      <c r="D171" s="12" t="s">
        <v>1932</v>
      </c>
      <c r="E171" s="13">
        <v>44</v>
      </c>
      <c r="F171" s="14" t="str">
        <f>VLOOKUP($E$171,[1]UG!$A$2:$FA$303, 3, FALSE)</f>
        <v>44. Gross fixed capital formation P.51</v>
      </c>
      <c r="G171" s="556">
        <f>IF(VLOOKUP($E$171,[1]UG!$A$2:$FA$303, 6, FALSE)="",":",VLOOKUP($E$171,[1]UG!$A$2:$FA$303, 6, FALSE))</f>
        <v>4692.7</v>
      </c>
      <c r="H171" s="556">
        <f>IF(VLOOKUP($E$171,[1]UG!$A$2:$FA$303, 7, FALSE)="",":",VLOOKUP($E$171,[1]UG!$A$2:$FA$303, 7, FALSE))</f>
        <v>4655.6000000000004</v>
      </c>
      <c r="I171" s="556">
        <f>IF(VLOOKUP($E$171,[1]UG!$A$2:$FA$303, 8, FALSE)="",":",VLOOKUP($E$171,[1]UG!$A$2:$FA$303, 8, FALSE))</f>
        <v>4972.2</v>
      </c>
      <c r="J171" s="556">
        <f>IF(VLOOKUP($E$171,[1]UG!$A$2:$FA$303, 9, FALSE)="",":",VLOOKUP($E$171,[1]UG!$A$2:$FA$303, 9, FALSE))</f>
        <v>5032.3999999999996</v>
      </c>
      <c r="K171" s="556">
        <f>IF(VLOOKUP($E$171,[1]UG!$A$2:$FA$303, 10, FALSE)="",":",VLOOKUP($E$171,[1]UG!$A$2:$FA$303, 10, FALSE))</f>
        <v>5956.2</v>
      </c>
      <c r="L171" s="556">
        <f>IF(VLOOKUP($E$171,[1]UG!$A$2:$FA$303, 11, FALSE)="",":",VLOOKUP($E$171,[1]UG!$A$2:$FA$303, 11, FALSE))</f>
        <v>6269.7</v>
      </c>
      <c r="M171" s="556">
        <f>IF(VLOOKUP($E$171,[1]UG!$A$2:$FA$303, 12, FALSE)="",":",VLOOKUP($E$171,[1]UG!$A$2:$FA$303, 12, FALSE))</f>
        <v>5792</v>
      </c>
      <c r="N171" s="556">
        <f>IF(VLOOKUP($E$171,[1]UG!$A$2:$FA$303, 13, FALSE)="",":",VLOOKUP($E$171,[1]UG!$A$2:$FA$303, 13, FALSE))</f>
        <v>5833.1</v>
      </c>
      <c r="O171" s="556">
        <f>IF(VLOOKUP($E$171,[1]UG!$A$2:$FA$303, 14, FALSE)="",":",VLOOKUP($E$171,[1]UG!$A$2:$FA$303, 14, FALSE))</f>
        <v>6092.3</v>
      </c>
      <c r="P171" s="556">
        <f>IF(VLOOKUP($E$171,[1]UG!$A$2:$FA$303, 15, FALSE)="",":",VLOOKUP($E$171,[1]UG!$A$2:$FA$303, 15, FALSE))</f>
        <v>6193.5</v>
      </c>
      <c r="Q171" s="556">
        <f>IF(VLOOKUP($E$171,[1]UG!$A$2:$FA$303, 16, FALSE)="",":",VLOOKUP($E$171,[1]UG!$A$2:$FA$303, 16, FALSE))</f>
        <v>6624.2</v>
      </c>
      <c r="R171" s="556">
        <f>IF(VLOOKUP($E$171,[1]UG!$A$2:$FA$303, 17, FALSE)="",":",VLOOKUP($E$171,[1]UG!$A$2:$FA$303, 17, FALSE))</f>
        <v>6417.5</v>
      </c>
      <c r="S171" s="556">
        <f>IF(VLOOKUP($E$171,[1]UG!$A$2:$FA$303, 18, FALSE)="",":",VLOOKUP($E$171,[1]UG!$A$2:$FA$303, 18, FALSE))</f>
        <v>7030.1</v>
      </c>
      <c r="T171" s="556">
        <f>IF(VLOOKUP($E$171,[1]UG!$A$2:$FA$303, 19, FALSE)="",":",VLOOKUP($E$171,[1]UG!$A$2:$FA$303, 19, FALSE))</f>
        <v>7416.7</v>
      </c>
      <c r="U171" s="556">
        <f>IF(VLOOKUP($E$171,[1]UG!$A$2:$FA$303, 20, FALSE)="",":",VLOOKUP($E$171,[1]UG!$A$2:$FA$303, 20, FALSE))</f>
        <v>8130.6</v>
      </c>
      <c r="V171" s="556">
        <f>IF(VLOOKUP($E$171,[1]UG!$A$2:$FA$303, 21, FALSE)="",":",VLOOKUP($E$171,[1]UG!$A$2:$FA$303, 21, FALSE))</f>
        <v>8394</v>
      </c>
      <c r="W171" s="556">
        <f>IF(VLOOKUP($E$171,[1]UG!$A$2:$FA$303, 22, FALSE)="",":",VLOOKUP($E$171,[1]UG!$A$2:$FA$303, 22, FALSE))</f>
        <v>9274.7000000000007</v>
      </c>
      <c r="X171" s="556">
        <f>IF(VLOOKUP($E$171,[1]UG!$A$2:$FA$303, 23, FALSE)="",":",VLOOKUP($E$171,[1]UG!$A$2:$FA$303, 23, FALSE))</f>
        <v>9643.5</v>
      </c>
      <c r="Y171" s="556">
        <f>IF(VLOOKUP($E$171,[1]UG!$A$2:$FA$303, 24, FALSE)="",":",VLOOKUP($E$171,[1]UG!$A$2:$FA$303, 24, FALSE))</f>
        <v>9250.2999999999993</v>
      </c>
      <c r="Z171" s="556">
        <f>IF(VLOOKUP($E$171,[1]UG!$A$2:$FA$303, 25, FALSE)="",":",VLOOKUP($E$171,[1]UG!$A$2:$FA$303, 25, FALSE))</f>
        <v>9367.6</v>
      </c>
      <c r="AA171" s="556">
        <f>IF(VLOOKUP($E$171,[1]UG!$A$2:$FA$303, 26, FALSE)="",":",VLOOKUP($E$171,[1]UG!$A$2:$FA$303, 26, FALSE))</f>
        <v>9431.9</v>
      </c>
      <c r="AB171" s="556">
        <f>IF(VLOOKUP($E$171,[1]UG!$A$2:$FA$303, 27, FALSE)="",":",VLOOKUP($E$171,[1]UG!$A$2:$FA$303, 27, FALSE))</f>
        <v>9350.2999999999993</v>
      </c>
      <c r="AC171" s="556">
        <f>IF(VLOOKUP($E$171,[1]UG!$A$2:$FA$303, 28, FALSE)="",":",VLOOKUP($E$171,[1]UG!$A$2:$FA$303, 28, FALSE))</f>
        <v>9704.6</v>
      </c>
      <c r="AD171" s="556" t="str">
        <f>IF(VLOOKUP($E$171,[1]UG!$A$2:$FA$303, 29, FALSE)="",":",VLOOKUP($E$171,[1]UG!$A$2:$FA$303, 29, FALSE))</f>
        <v>:</v>
      </c>
      <c r="AE171" s="556" t="str">
        <f>IF(VLOOKUP($E$171,[1]UG!$A$2:$FA$303, 30, FALSE)="",":",VLOOKUP($E$171,[1]UG!$A$2:$FA$303, 30, FALSE))</f>
        <v>:</v>
      </c>
      <c r="AF171" s="556" t="str">
        <f>IF(VLOOKUP($E$171,[1]UG!$A$2:$FA$303, 31, FALSE)="",":",VLOOKUP($E$171,[1]UG!$A$2:$FA$303, 31, FALSE))</f>
        <v>:</v>
      </c>
    </row>
    <row r="172" spans="1:32">
      <c r="A172" s="545"/>
      <c r="B172" s="546" t="s">
        <v>214</v>
      </c>
      <c r="C172" s="547" t="s">
        <v>90</v>
      </c>
      <c r="D172" s="12" t="s">
        <v>1932</v>
      </c>
      <c r="E172" s="13">
        <v>45</v>
      </c>
      <c r="F172" s="14" t="str">
        <f>VLOOKUP($E$172,[1]UG!$A$2:$FA$303, 3, FALSE)</f>
        <v>45 Changes in inventories and Acquisitions less disposals of valuables and P.52 + P.53</v>
      </c>
      <c r="G172" s="556">
        <f>IF(VLOOKUP($E$172,[1]UG!$A$2:$FA$303, 6, FALSE)="",":",VLOOKUP($E$172,[1]UG!$A$2:$FA$303, 6, FALSE))</f>
        <v>-92.3</v>
      </c>
      <c r="H172" s="556">
        <f>IF(VLOOKUP($E$172,[1]UG!$A$2:$FA$303, 7, FALSE)="",":",VLOOKUP($E$172,[1]UG!$A$2:$FA$303, 7, FALSE))</f>
        <v>-73.900000000000006</v>
      </c>
      <c r="I172" s="556">
        <f>IF(VLOOKUP($E$172,[1]UG!$A$2:$FA$303, 8, FALSE)="",":",VLOOKUP($E$172,[1]UG!$A$2:$FA$303, 8, FALSE))</f>
        <v>-112.8</v>
      </c>
      <c r="J172" s="556">
        <f>IF(VLOOKUP($E$172,[1]UG!$A$2:$FA$303, 9, FALSE)="",":",VLOOKUP($E$172,[1]UG!$A$2:$FA$303, 9, FALSE))</f>
        <v>-77.7</v>
      </c>
      <c r="K172" s="556">
        <f>IF(VLOOKUP($E$172,[1]UG!$A$2:$FA$303, 10, FALSE)="",":",VLOOKUP($E$172,[1]UG!$A$2:$FA$303, 10, FALSE))</f>
        <v>-57.5</v>
      </c>
      <c r="L172" s="556">
        <f>IF(VLOOKUP($E$172,[1]UG!$A$2:$FA$303, 11, FALSE)="",":",VLOOKUP($E$172,[1]UG!$A$2:$FA$303, 11, FALSE))</f>
        <v>-39.6</v>
      </c>
      <c r="M172" s="556">
        <f>IF(VLOOKUP($E$172,[1]UG!$A$2:$FA$303, 12, FALSE)="",":",VLOOKUP($E$172,[1]UG!$A$2:$FA$303, 12, FALSE))</f>
        <v>-46.6</v>
      </c>
      <c r="N172" s="556">
        <f>IF(VLOOKUP($E$172,[1]UG!$A$2:$FA$303, 13, FALSE)="",":",VLOOKUP($E$172,[1]UG!$A$2:$FA$303, 13, FALSE))</f>
        <v>-40.9</v>
      </c>
      <c r="O172" s="556">
        <f>IF(VLOOKUP($E$172,[1]UG!$A$2:$FA$303, 14, FALSE)="",":",VLOOKUP($E$172,[1]UG!$A$2:$FA$303, 14, FALSE))</f>
        <v>-63.9</v>
      </c>
      <c r="P172" s="556">
        <f>IF(VLOOKUP($E$172,[1]UG!$A$2:$FA$303, 15, FALSE)="",":",VLOOKUP($E$172,[1]UG!$A$2:$FA$303, 15, FALSE))</f>
        <v>-53.4</v>
      </c>
      <c r="Q172" s="556">
        <f>IF(VLOOKUP($E$172,[1]UG!$A$2:$FA$303, 16, FALSE)="",":",VLOOKUP($E$172,[1]UG!$A$2:$FA$303, 16, FALSE))</f>
        <v>-58.7</v>
      </c>
      <c r="R172" s="556">
        <f>IF(VLOOKUP($E$172,[1]UG!$A$2:$FA$303, 17, FALSE)="",":",VLOOKUP($E$172,[1]UG!$A$2:$FA$303, 17, FALSE))</f>
        <v>-21.7</v>
      </c>
      <c r="S172" s="556">
        <f>IF(VLOOKUP($E$172,[1]UG!$A$2:$FA$303, 18, FALSE)="",":",VLOOKUP($E$172,[1]UG!$A$2:$FA$303, 18, FALSE))</f>
        <v>-52.3</v>
      </c>
      <c r="T172" s="556">
        <f>IF(VLOOKUP($E$172,[1]UG!$A$2:$FA$303, 19, FALSE)="",":",VLOOKUP($E$172,[1]UG!$A$2:$FA$303, 19, FALSE))</f>
        <v>246.7</v>
      </c>
      <c r="U172" s="556">
        <f>IF(VLOOKUP($E$172,[1]UG!$A$2:$FA$303, 20, FALSE)="",":",VLOOKUP($E$172,[1]UG!$A$2:$FA$303, 20, FALSE))</f>
        <v>368.1</v>
      </c>
      <c r="V172" s="556">
        <f>IF(VLOOKUP($E$172,[1]UG!$A$2:$FA$303, 21, FALSE)="",":",VLOOKUP($E$172,[1]UG!$A$2:$FA$303, 21, FALSE))</f>
        <v>339.7</v>
      </c>
      <c r="W172" s="556">
        <f>IF(VLOOKUP($E$172,[1]UG!$A$2:$FA$303, 22, FALSE)="",":",VLOOKUP($E$172,[1]UG!$A$2:$FA$303, 22, FALSE))</f>
        <v>572.79999999999995</v>
      </c>
      <c r="X172" s="556">
        <f>IF(VLOOKUP($E$172,[1]UG!$A$2:$FA$303, 23, FALSE)="",":",VLOOKUP($E$172,[1]UG!$A$2:$FA$303, 23, FALSE))</f>
        <v>536.4</v>
      </c>
      <c r="Y172" s="556">
        <f>IF(VLOOKUP($E$172,[1]UG!$A$2:$FA$303, 24, FALSE)="",":",VLOOKUP($E$172,[1]UG!$A$2:$FA$303, 24, FALSE))</f>
        <v>241.6</v>
      </c>
      <c r="Z172" s="556">
        <f>IF(VLOOKUP($E$172,[1]UG!$A$2:$FA$303, 25, FALSE)="",":",VLOOKUP($E$172,[1]UG!$A$2:$FA$303, 25, FALSE))</f>
        <v>-135.5</v>
      </c>
      <c r="AA172" s="556">
        <f>IF(VLOOKUP($E$172,[1]UG!$A$2:$FA$303, 26, FALSE)="",":",VLOOKUP($E$172,[1]UG!$A$2:$FA$303, 26, FALSE))</f>
        <v>-81.599999999999994</v>
      </c>
      <c r="AB172" s="556">
        <f>IF(VLOOKUP($E$172,[1]UG!$A$2:$FA$303, 27, FALSE)="",":",VLOOKUP($E$172,[1]UG!$A$2:$FA$303, 27, FALSE))</f>
        <v>-47</v>
      </c>
      <c r="AC172" s="556">
        <f>IF(VLOOKUP($E$172,[1]UG!$A$2:$FA$303, 28, FALSE)="",":",VLOOKUP($E$172,[1]UG!$A$2:$FA$303, 28, FALSE))</f>
        <v>-83.8</v>
      </c>
      <c r="AD172" s="556" t="str">
        <f>IF(VLOOKUP($E$172,[1]UG!$A$2:$FA$303, 29, FALSE)="",":",VLOOKUP($E$172,[1]UG!$A$2:$FA$303, 29, FALSE))</f>
        <v>:</v>
      </c>
      <c r="AE172" s="556" t="str">
        <f>IF(VLOOKUP($E$172,[1]UG!$A$2:$FA$303, 30, FALSE)="",":",VLOOKUP($E$172,[1]UG!$A$2:$FA$303, 30, FALSE))</f>
        <v>:</v>
      </c>
      <c r="AF172" s="556" t="str">
        <f>IF(VLOOKUP($E$172,[1]UG!$A$2:$FA$303, 31, FALSE)="",":",VLOOKUP($E$172,[1]UG!$A$2:$FA$303, 31, FALSE))</f>
        <v>:</v>
      </c>
    </row>
    <row r="173" spans="1:32">
      <c r="A173" s="545"/>
      <c r="B173" s="546" t="s">
        <v>1648</v>
      </c>
      <c r="C173" s="547" t="s">
        <v>89</v>
      </c>
      <c r="D173" s="12" t="s">
        <v>1932</v>
      </c>
      <c r="E173" s="13">
        <v>46</v>
      </c>
      <c r="F173" s="14" t="str">
        <f>VLOOKUP($E$173,[1]UG!$A$2:$FA$303, 3, FALSE)</f>
        <v>46 Acquisitions of non-produced non-financial assets K.2</v>
      </c>
      <c r="G173" s="556">
        <f>IF(VLOOKUP($E$173,[1]UG!$A$2:$FA$303, 6, FALSE)="",":",VLOOKUP($E$173,[1]UG!$A$2:$FA$303, 6, FALSE))</f>
        <v>4</v>
      </c>
      <c r="H173" s="556">
        <f>IF(VLOOKUP($E$173,[1]UG!$A$2:$FA$303, 7, FALSE)="",":",VLOOKUP($E$173,[1]UG!$A$2:$FA$303, 7, FALSE))</f>
        <v>5.8</v>
      </c>
      <c r="I173" s="556">
        <f>IF(VLOOKUP($E$173,[1]UG!$A$2:$FA$303, 8, FALSE)="",":",VLOOKUP($E$173,[1]UG!$A$2:$FA$303, 8, FALSE))</f>
        <v>-3.1</v>
      </c>
      <c r="J173" s="556">
        <f>IF(VLOOKUP($E$173,[1]UG!$A$2:$FA$303, 9, FALSE)="",":",VLOOKUP($E$173,[1]UG!$A$2:$FA$303, 9, FALSE))</f>
        <v>2.4</v>
      </c>
      <c r="K173" s="556">
        <f>IF(VLOOKUP($E$173,[1]UG!$A$2:$FA$303, 10, FALSE)="",":",VLOOKUP($E$173,[1]UG!$A$2:$FA$303, 10, FALSE))</f>
        <v>17.8</v>
      </c>
      <c r="L173" s="556">
        <f>IF(VLOOKUP($E$173,[1]UG!$A$2:$FA$303, 11, FALSE)="",":",VLOOKUP($E$173,[1]UG!$A$2:$FA$303, 11, FALSE))</f>
        <v>1.5</v>
      </c>
      <c r="M173" s="556">
        <f>IF(VLOOKUP($E$173,[1]UG!$A$2:$FA$303, 12, FALSE)="",":",VLOOKUP($E$173,[1]UG!$A$2:$FA$303, 12, FALSE))</f>
        <v>86.5</v>
      </c>
      <c r="N173" s="556">
        <f>IF(VLOOKUP($E$173,[1]UG!$A$2:$FA$303, 13, FALSE)="",":",VLOOKUP($E$173,[1]UG!$A$2:$FA$303, 13, FALSE))</f>
        <v>-145.5</v>
      </c>
      <c r="O173" s="556">
        <f>IF(VLOOKUP($E$173,[1]UG!$A$2:$FA$303, 14, FALSE)="",":",VLOOKUP($E$173,[1]UG!$A$2:$FA$303, 14, FALSE))</f>
        <v>23.6</v>
      </c>
      <c r="P173" s="556">
        <f>IF(VLOOKUP($E$173,[1]UG!$A$2:$FA$303, 15, FALSE)="",":",VLOOKUP($E$173,[1]UG!$A$2:$FA$303, 15, FALSE))</f>
        <v>15.4</v>
      </c>
      <c r="Q173" s="556">
        <f>IF(VLOOKUP($E$173,[1]UG!$A$2:$FA$303, 16, FALSE)="",":",VLOOKUP($E$173,[1]UG!$A$2:$FA$303, 16, FALSE))</f>
        <v>-49.1</v>
      </c>
      <c r="R173" s="556">
        <f>IF(VLOOKUP($E$173,[1]UG!$A$2:$FA$303, 17, FALSE)="",":",VLOOKUP($E$173,[1]UG!$A$2:$FA$303, 17, FALSE))</f>
        <v>-462.7</v>
      </c>
      <c r="S173" s="556">
        <f>IF(VLOOKUP($E$173,[1]UG!$A$2:$FA$303, 18, FALSE)="",":",VLOOKUP($E$173,[1]UG!$A$2:$FA$303, 18, FALSE))</f>
        <v>5.8</v>
      </c>
      <c r="T173" s="556">
        <f>IF(VLOOKUP($E$173,[1]UG!$A$2:$FA$303, 19, FALSE)="",":",VLOOKUP($E$173,[1]UG!$A$2:$FA$303, 19, FALSE))</f>
        <v>41.8</v>
      </c>
      <c r="U173" s="556">
        <f>IF(VLOOKUP($E$173,[1]UG!$A$2:$FA$303, 20, FALSE)="",":",VLOOKUP($E$173,[1]UG!$A$2:$FA$303, 20, FALSE))</f>
        <v>47.1</v>
      </c>
      <c r="V173" s="556">
        <f>IF(VLOOKUP($E$173,[1]UG!$A$2:$FA$303, 21, FALSE)="",":",VLOOKUP($E$173,[1]UG!$A$2:$FA$303, 21, FALSE))</f>
        <v>-100.6</v>
      </c>
      <c r="W173" s="556">
        <f>IF(VLOOKUP($E$173,[1]UG!$A$2:$FA$303, 22, FALSE)="",":",VLOOKUP($E$173,[1]UG!$A$2:$FA$303, 22, FALSE))</f>
        <v>-24.7</v>
      </c>
      <c r="X173" s="556">
        <f>IF(VLOOKUP($E$173,[1]UG!$A$2:$FA$303, 23, FALSE)="",":",VLOOKUP($E$173,[1]UG!$A$2:$FA$303, 23, FALSE))</f>
        <v>99.1</v>
      </c>
      <c r="Y173" s="556">
        <f>IF(VLOOKUP($E$173,[1]UG!$A$2:$FA$303, 24, FALSE)="",":",VLOOKUP($E$173,[1]UG!$A$2:$FA$303, 24, FALSE))</f>
        <v>223.2</v>
      </c>
      <c r="Z173" s="556">
        <f>IF(VLOOKUP($E$173,[1]UG!$A$2:$FA$303, 25, FALSE)="",":",VLOOKUP($E$173,[1]UG!$A$2:$FA$303, 25, FALSE))</f>
        <v>112.3</v>
      </c>
      <c r="AA173" s="556">
        <f>IF(VLOOKUP($E$173,[1]UG!$A$2:$FA$303, 26, FALSE)="",":",VLOOKUP($E$173,[1]UG!$A$2:$FA$303, 26, FALSE))</f>
        <v>113.8</v>
      </c>
      <c r="AB173" s="556">
        <f>IF(VLOOKUP($E$173,[1]UG!$A$2:$FA$303, 27, FALSE)="",":",VLOOKUP($E$173,[1]UG!$A$2:$FA$303, 27, FALSE))</f>
        <v>45.7</v>
      </c>
      <c r="AC173" s="556">
        <f>IF(VLOOKUP($E$173,[1]UG!$A$2:$FA$303, 28, FALSE)="",":",VLOOKUP($E$173,[1]UG!$A$2:$FA$303, 28, FALSE))</f>
        <v>152.4</v>
      </c>
      <c r="AD173" s="556" t="str">
        <f>IF(VLOOKUP($E$173,[1]UG!$A$2:$FA$303, 29, FALSE)="",":",VLOOKUP($E$173,[1]UG!$A$2:$FA$303, 29, FALSE))</f>
        <v>:</v>
      </c>
      <c r="AE173" s="556" t="str">
        <f>IF(VLOOKUP($E$173,[1]UG!$A$2:$FA$303, 30, FALSE)="",":",VLOOKUP($E$173,[1]UG!$A$2:$FA$303, 30, FALSE))</f>
        <v>:</v>
      </c>
      <c r="AF173" s="556" t="str">
        <f>IF(VLOOKUP($E$173,[1]UG!$A$2:$FA$303, 31, FALSE)="",":",VLOOKUP($E$173,[1]UG!$A$2:$FA$303, 31, FALSE))</f>
        <v>:</v>
      </c>
    </row>
    <row r="174" spans="1:32">
      <c r="A174" s="545"/>
      <c r="B174" s="546"/>
      <c r="C174" s="547"/>
      <c r="D174" s="12"/>
      <c r="E174" s="13"/>
      <c r="F174" s="14"/>
      <c r="G174" s="556"/>
      <c r="H174" s="556"/>
      <c r="I174" s="556"/>
      <c r="J174" s="556"/>
      <c r="K174" s="556"/>
      <c r="L174" s="556"/>
      <c r="M174" s="556"/>
      <c r="N174" s="556"/>
      <c r="O174" s="556"/>
      <c r="P174" s="556"/>
      <c r="Q174" s="556"/>
      <c r="R174" s="556"/>
      <c r="S174" s="556"/>
      <c r="T174" s="556"/>
      <c r="U174" s="556"/>
      <c r="V174" s="556"/>
      <c r="W174" s="556"/>
      <c r="X174" s="556"/>
      <c r="Y174" s="556"/>
      <c r="Z174" s="556"/>
      <c r="AA174" s="556"/>
      <c r="AB174" s="556"/>
      <c r="AC174" s="556"/>
      <c r="AD174" s="556"/>
      <c r="AE174" s="556"/>
      <c r="AF174" s="556"/>
    </row>
    <row r="175" spans="1:32">
      <c r="A175" s="545">
        <v>128</v>
      </c>
      <c r="B175" s="546" t="s">
        <v>219</v>
      </c>
      <c r="C175" s="547"/>
      <c r="D175" s="12" t="s">
        <v>1932</v>
      </c>
      <c r="E175" s="13">
        <v>900</v>
      </c>
      <c r="F175" s="14" t="str">
        <f>VLOOKUP($E$175,[1]UG!$A$2:$FA$303, 3, FALSE)</f>
        <v xml:space="preserve">900 Consolodated gross debt </v>
      </c>
      <c r="G175" s="556">
        <f>IF(VLOOKUP($E$175,[1]UG!$A$2:$FA$303, 6, FALSE)="",":",VLOOKUP($E$175,[1]UG!$A$2:$FA$303, 6, FALSE))</f>
        <v>276253.40000000002</v>
      </c>
      <c r="H175" s="556">
        <f>IF(VLOOKUP($E$175,[1]UG!$A$2:$FA$303, 7, FALSE)="",":",VLOOKUP($E$175,[1]UG!$A$2:$FA$303, 7, FALSE))</f>
        <v>276349</v>
      </c>
      <c r="I175" s="556">
        <f>IF(VLOOKUP($E$175,[1]UG!$A$2:$FA$303, 8, FALSE)="",":",VLOOKUP($E$175,[1]UG!$A$2:$FA$303, 8, FALSE))</f>
        <v>278406.59999999998</v>
      </c>
      <c r="J175" s="556">
        <f>IF(VLOOKUP($E$175,[1]UG!$A$2:$FA$303, 9, FALSE)="",":",VLOOKUP($E$175,[1]UG!$A$2:$FA$303, 9, FALSE))</f>
        <v>277158.59999999998</v>
      </c>
      <c r="K175" s="556">
        <f>IF(VLOOKUP($E$175,[1]UG!$A$2:$FA$303, 10, FALSE)="",":",VLOOKUP($E$175,[1]UG!$A$2:$FA$303, 10, FALSE))</f>
        <v>279435.09999999998</v>
      </c>
      <c r="L175" s="556">
        <f>IF(VLOOKUP($E$175,[1]UG!$A$2:$FA$303, 11, FALSE)="",":",VLOOKUP($E$175,[1]UG!$A$2:$FA$303, 11, FALSE))</f>
        <v>280870</v>
      </c>
      <c r="M175" s="556">
        <f>IF(VLOOKUP($E$175,[1]UG!$A$2:$FA$303, 12, FALSE)="",":",VLOOKUP($E$175,[1]UG!$A$2:$FA$303, 12, FALSE))</f>
        <v>285970</v>
      </c>
      <c r="N175" s="556">
        <f>IF(VLOOKUP($E$175,[1]UG!$A$2:$FA$303, 13, FALSE)="",":",VLOOKUP($E$175,[1]UG!$A$2:$FA$303, 13, FALSE))</f>
        <v>288028</v>
      </c>
      <c r="O175" s="556">
        <f>IF(VLOOKUP($E$175,[1]UG!$A$2:$FA$303, 14, FALSE)="",":",VLOOKUP($E$175,[1]UG!$A$2:$FA$303, 14, FALSE))</f>
        <v>285788</v>
      </c>
      <c r="P175" s="556">
        <f>IF(VLOOKUP($E$175,[1]UG!$A$2:$FA$303, 15, FALSE)="",":",VLOOKUP($E$175,[1]UG!$A$2:$FA$303, 15, FALSE))</f>
        <v>288330</v>
      </c>
      <c r="Q175" s="556">
        <f>IF(VLOOKUP($E$175,[1]UG!$A$2:$FA$303, 16, FALSE)="",":",VLOOKUP($E$175,[1]UG!$A$2:$FA$303, 16, FALSE))</f>
        <v>294905</v>
      </c>
      <c r="R175" s="556">
        <f>IF(VLOOKUP($E$175,[1]UG!$A$2:$FA$303, 17, FALSE)="",":",VLOOKUP($E$175,[1]UG!$A$2:$FA$303, 17, FALSE))</f>
        <v>297427</v>
      </c>
      <c r="S175" s="556">
        <f>IF(VLOOKUP($E$175,[1]UG!$A$2:$FA$303, 18, FALSE)="",":",VLOOKUP($E$175,[1]UG!$A$2:$FA$303, 18, FALSE))</f>
        <v>299998</v>
      </c>
      <c r="T175" s="556">
        <f>IF(VLOOKUP($E$175,[1]UG!$A$2:$FA$303, 19, FALSE)="",":",VLOOKUP($E$175,[1]UG!$A$2:$FA$303, 19, FALSE))</f>
        <v>327628</v>
      </c>
      <c r="U175" s="556">
        <f>IF(VLOOKUP($E$175,[1]UG!$A$2:$FA$303, 20, FALSE)="",":",VLOOKUP($E$175,[1]UG!$A$2:$FA$303, 20, FALSE))</f>
        <v>347171</v>
      </c>
      <c r="V175" s="556">
        <f>IF(VLOOKUP($E$175,[1]UG!$A$2:$FA$303, 21, FALSE)="",":",VLOOKUP($E$175,[1]UG!$A$2:$FA$303, 21, FALSE))</f>
        <v>364083</v>
      </c>
      <c r="W175" s="556">
        <f>IF(VLOOKUP($E$175,[1]UG!$A$2:$FA$303, 22, FALSE)="",":",VLOOKUP($E$175,[1]UG!$A$2:$FA$303, 22, FALSE))</f>
        <v>388938</v>
      </c>
      <c r="X175" s="556">
        <f>IF(VLOOKUP($E$175,[1]UG!$A$2:$FA$303, 23, FALSE)="",":",VLOOKUP($E$175,[1]UG!$A$2:$FA$303, 23, FALSE))</f>
        <v>404293</v>
      </c>
      <c r="Y175" s="556">
        <f>IF(VLOOKUP($E$175,[1]UG!$A$2:$FA$303, 24, FALSE)="",":",VLOOKUP($E$175,[1]UG!$A$2:$FA$303, 24, FALSE))</f>
        <v>413733</v>
      </c>
      <c r="Z175" s="556">
        <f>IF(VLOOKUP($E$175,[1]UG!$A$2:$FA$303, 25, FALSE)="",":",VLOOKUP($E$175,[1]UG!$A$2:$FA$303, 25, FALSE))</f>
        <v>428122.46029999998</v>
      </c>
      <c r="AA175" s="556">
        <f>IF(VLOOKUP($E$175,[1]UG!$A$2:$FA$303, 26, FALSE)="",":",VLOOKUP($E$175,[1]UG!$A$2:$FA$303, 26, FALSE))</f>
        <v>435312.359</v>
      </c>
      <c r="AB175" s="556">
        <f>IF(VLOOKUP($E$175,[1]UG!$A$2:$FA$303, 27, FALSE)="",":",VLOOKUP($E$175,[1]UG!$A$2:$FA$303, 27, FALSE))</f>
        <v>448160.92609999998</v>
      </c>
      <c r="AC175" s="556">
        <f>IF(VLOOKUP($E$175,[1]UG!$A$2:$FA$303, 28, FALSE)="",":",VLOOKUP($E$175,[1]UG!$A$2:$FA$303, 28, FALSE))</f>
        <v>452170.36290000001</v>
      </c>
      <c r="AD175" s="556" t="str">
        <f>IF(VLOOKUP($E$175,[1]UG!$A$2:$FA$303, 29, FALSE)="",":",VLOOKUP($E$175,[1]UG!$A$2:$FA$303, 29, FALSE))</f>
        <v>:</v>
      </c>
      <c r="AE175" s="556" t="str">
        <f>IF(VLOOKUP($E$175,[1]UG!$A$2:$FA$303, 30, FALSE)="",":",VLOOKUP($E$175,[1]UG!$A$2:$FA$303, 30, FALSE))</f>
        <v>:</v>
      </c>
      <c r="AF175" s="556" t="str">
        <f>IF(VLOOKUP($E$175,[1]UG!$A$2:$FA$303, 31, FALSE)="",":",VLOOKUP($E$175,[1]UG!$A$2:$FA$303, 31, FALSE))</f>
        <v>:</v>
      </c>
    </row>
    <row r="176" spans="1:32">
      <c r="A176" s="545">
        <v>129</v>
      </c>
      <c r="B176" s="546" t="s">
        <v>234</v>
      </c>
      <c r="C176" s="547"/>
      <c r="D176" s="12" t="s">
        <v>1932</v>
      </c>
      <c r="E176" s="13">
        <v>49</v>
      </c>
      <c r="F176" s="14" t="str">
        <f>VLOOKUP($E$176,[1]UG!$A$2:$FA$303, 3, FALSE)</f>
        <v>49 Total General government expenditure  (harmonised) TE</v>
      </c>
      <c r="G176" s="556">
        <f ca="1">IF(VLOOKUP($E$176,[1]UG!$A$2:$FA$303, 6, FALSE)="",":",VLOOKUP($E$176,[1]UG!$A$2:$FA$303, 6, FALSE))</f>
        <v>109821.4</v>
      </c>
      <c r="H176" s="556">
        <f>IF(VLOOKUP($E$176,[1]UG!$A$2:$FA$303, 7, FALSE)="",":",VLOOKUP($E$176,[1]UG!$A$2:$FA$303, 7, FALSE))</f>
        <v>113728.5</v>
      </c>
      <c r="I176" s="556">
        <f>IF(VLOOKUP($E$176,[1]UG!$A$2:$FA$303, 8, FALSE)="",":",VLOOKUP($E$176,[1]UG!$A$2:$FA$303, 8, FALSE))</f>
        <v>115778.5</v>
      </c>
      <c r="J176" s="556">
        <f>IF(VLOOKUP($E$176,[1]UG!$A$2:$FA$303, 9, FALSE)="",":",VLOOKUP($E$176,[1]UG!$A$2:$FA$303, 9, FALSE))</f>
        <v>118558.2</v>
      </c>
      <c r="K176" s="556">
        <f>IF(VLOOKUP($E$176,[1]UG!$A$2:$FA$303, 10, FALSE)="",":",VLOOKUP($E$176,[1]UG!$A$2:$FA$303, 10, FALSE))</f>
        <v>122280.3</v>
      </c>
      <c r="L176" s="556">
        <f>IF(VLOOKUP($E$176,[1]UG!$A$2:$FA$303, 11, FALSE)="",":",VLOOKUP($E$176,[1]UG!$A$2:$FA$303, 11, FALSE))</f>
        <v>126663.7</v>
      </c>
      <c r="M176" s="556">
        <f>IF(VLOOKUP($E$176,[1]UG!$A$2:$FA$303, 12, FALSE)="",":",VLOOKUP($E$176,[1]UG!$A$2:$FA$303, 12, FALSE))</f>
        <v>130735.9</v>
      </c>
      <c r="N176" s="556">
        <f>IF(VLOOKUP($E$176,[1]UG!$A$2:$FA$303, 13, FALSE)="",":",VLOOKUP($E$176,[1]UG!$A$2:$FA$303, 13, FALSE))</f>
        <v>136175.4</v>
      </c>
      <c r="O176" s="556">
        <f>IF(VLOOKUP($E$176,[1]UG!$A$2:$FA$303, 14, FALSE)="",":",VLOOKUP($E$176,[1]UG!$A$2:$FA$303, 14, FALSE))</f>
        <v>143337.9</v>
      </c>
      <c r="P176" s="556">
        <f>IF(VLOOKUP($E$176,[1]UG!$A$2:$FA$303, 15, FALSE)="",":",VLOOKUP($E$176,[1]UG!$A$2:$FA$303, 15, FALSE))</f>
        <v>146167.79999999999</v>
      </c>
      <c r="Q176" s="556">
        <f>IF(VLOOKUP($E$176,[1]UG!$A$2:$FA$303, 16, FALSE)="",":",VLOOKUP($E$176,[1]UG!$A$2:$FA$303, 16, FALSE))</f>
        <v>160810.79999999999</v>
      </c>
      <c r="R176" s="556">
        <f>IF(VLOOKUP($E$176,[1]UG!$A$2:$FA$303, 17, FALSE)="",":",VLOOKUP($E$176,[1]UG!$A$2:$FA$303, 17, FALSE))</f>
        <v>158270.9</v>
      </c>
      <c r="S176" s="556">
        <f>IF(VLOOKUP($E$176,[1]UG!$A$2:$FA$303, 18, FALSE)="",":",VLOOKUP($E$176,[1]UG!$A$2:$FA$303, 18, FALSE))</f>
        <v>166320.29999999999</v>
      </c>
      <c r="T176" s="556">
        <f>IF(VLOOKUP($E$176,[1]UG!$A$2:$FA$303, 19, FALSE)="",":",VLOOKUP($E$176,[1]UG!$A$2:$FA$303, 19, FALSE))</f>
        <v>178026.9</v>
      </c>
      <c r="U176" s="556">
        <f>IF(VLOOKUP($E$176,[1]UG!$A$2:$FA$303, 20, FALSE)="",":",VLOOKUP($E$176,[1]UG!$A$2:$FA$303, 20, FALSE))</f>
        <v>188865.5</v>
      </c>
      <c r="V176" s="556">
        <f>IF(VLOOKUP($E$176,[1]UG!$A$2:$FA$303, 21, FALSE)="",":",VLOOKUP($E$176,[1]UG!$A$2:$FA$303, 21, FALSE))</f>
        <v>194749.9</v>
      </c>
      <c r="W176" s="556">
        <f>IF(VLOOKUP($E$176,[1]UG!$A$2:$FA$303, 22, FALSE)="",":",VLOOKUP($E$176,[1]UG!$A$2:$FA$303, 22, FALSE))</f>
        <v>206433.2</v>
      </c>
      <c r="X176" s="556">
        <f>IF(VLOOKUP($E$176,[1]UG!$A$2:$FA$303, 23, FALSE)="",":",VLOOKUP($E$176,[1]UG!$A$2:$FA$303, 23, FALSE))</f>
        <v>216479.1</v>
      </c>
      <c r="Y176" s="556">
        <f>IF(VLOOKUP($E$176,[1]UG!$A$2:$FA$303, 24, FALSE)="",":",VLOOKUP($E$176,[1]UG!$A$2:$FA$303, 24, FALSE))</f>
        <v>219062.39999999999</v>
      </c>
      <c r="Z176" s="556">
        <f>IF(VLOOKUP($E$176,[1]UG!$A$2:$FA$303, 25, FALSE)="",":",VLOOKUP($E$176,[1]UG!$A$2:$FA$303, 25, FALSE))</f>
        <v>221072.5</v>
      </c>
      <c r="AA176" s="556">
        <f>IF(VLOOKUP($E$176,[1]UG!$A$2:$FA$303, 26, FALSE)="",":",VLOOKUP($E$176,[1]UG!$A$2:$FA$303, 26, FALSE))</f>
        <v>220922.6</v>
      </c>
      <c r="AB176" s="556">
        <f>IF(VLOOKUP($E$176,[1]UG!$A$2:$FA$303, 27, FALSE)="",":",VLOOKUP($E$176,[1]UG!$A$2:$FA$303, 27, FALSE))</f>
        <v>225248</v>
      </c>
      <c r="AC176" s="556">
        <f>IF(VLOOKUP($E$176,[1]UG!$A$2:$FA$303, 28, FALSE)="",":",VLOOKUP($E$176,[1]UG!$A$2:$FA$303, 28, FALSE))</f>
        <v>228976.1</v>
      </c>
      <c r="AD176" s="556" t="str">
        <f>IF(VLOOKUP($E$176,[1]UG!$A$2:$FA$303, 29, FALSE)="",":",VLOOKUP($E$176,[1]UG!$A$2:$FA$303, 29, FALSE))</f>
        <v>:</v>
      </c>
      <c r="AE176" s="556" t="str">
        <f>IF(VLOOKUP($E$176,[1]UG!$A$2:$FA$303, 30, FALSE)="",":",VLOOKUP($E$176,[1]UG!$A$2:$FA$303, 30, FALSE))</f>
        <v>:</v>
      </c>
      <c r="AF176" s="556" t="str">
        <f>IF(VLOOKUP($E$176,[1]UG!$A$2:$FA$303, 31, FALSE)="",":",VLOOKUP($E$176,[1]UG!$A$2:$FA$303, 31, FALSE))</f>
        <v>:</v>
      </c>
    </row>
    <row r="177" spans="1:32">
      <c r="A177" s="545"/>
      <c r="B177" s="546" t="s">
        <v>126</v>
      </c>
      <c r="C177" s="547"/>
      <c r="D177" s="12" t="s">
        <v>1932</v>
      </c>
      <c r="E177" s="13">
        <v>50</v>
      </c>
      <c r="F177" s="14" t="str">
        <f>VLOOKUP($E$177,[1]UG!$A$2:$FA$303, 3, FALSE)</f>
        <v>50 Total General government revenue  (harmonised) TR</v>
      </c>
      <c r="G177" s="556">
        <f ca="1">IF(VLOOKUP($E$177,[1]UG!$A$2:$FA$303, 6, FALSE)="",":",VLOOKUP($E$177,[1]UG!$A$2:$FA$303, 6, FALSE))</f>
        <v>100428.5</v>
      </c>
      <c r="H177" s="556">
        <f>IF(VLOOKUP($E$177,[1]UG!$A$2:$FA$303, 7, FALSE)="",":",VLOOKUP($E$177,[1]UG!$A$2:$FA$303, 7, FALSE))</f>
        <v>105239.1</v>
      </c>
      <c r="I177" s="556">
        <f>IF(VLOOKUP($E$177,[1]UG!$A$2:$FA$303, 8, FALSE)="",":",VLOOKUP($E$177,[1]UG!$A$2:$FA$303, 8, FALSE))</f>
        <v>110976.7</v>
      </c>
      <c r="J177" s="556">
        <f>IF(VLOOKUP($E$177,[1]UG!$A$2:$FA$303, 9, FALSE)="",":",VLOOKUP($E$177,[1]UG!$A$2:$FA$303, 9, FALSE))</f>
        <v>116335.3</v>
      </c>
      <c r="K177" s="556">
        <f>IF(VLOOKUP($E$177,[1]UG!$A$2:$FA$303, 10, FALSE)="",":",VLOOKUP($E$177,[1]UG!$A$2:$FA$303, 10, FALSE))</f>
        <v>120934.9</v>
      </c>
      <c r="L177" s="556">
        <f>IF(VLOOKUP($E$177,[1]UG!$A$2:$FA$303, 11, FALSE)="",":",VLOOKUP($E$177,[1]UG!$A$2:$FA$303, 11, FALSE))</f>
        <v>126478.1</v>
      </c>
      <c r="M177" s="556">
        <f>IF(VLOOKUP($E$177,[1]UG!$A$2:$FA$303, 12, FALSE)="",":",VLOOKUP($E$177,[1]UG!$A$2:$FA$303, 12, FALSE))</f>
        <v>131192.70000000001</v>
      </c>
      <c r="N177" s="556">
        <f>IF(VLOOKUP($E$177,[1]UG!$A$2:$FA$303, 13, FALSE)="",":",VLOOKUP($E$177,[1]UG!$A$2:$FA$303, 13, FALSE))</f>
        <v>136300</v>
      </c>
      <c r="O177" s="556">
        <f>IF(VLOOKUP($E$177,[1]UG!$A$2:$FA$303, 14, FALSE)="",":",VLOOKUP($E$177,[1]UG!$A$2:$FA$303, 14, FALSE))</f>
        <v>138360.6</v>
      </c>
      <c r="P177" s="556">
        <f>IF(VLOOKUP($E$177,[1]UG!$A$2:$FA$303, 15, FALSE)="",":",VLOOKUP($E$177,[1]UG!$A$2:$FA$303, 15, FALSE))</f>
        <v>145699.20000000001</v>
      </c>
      <c r="Q177" s="556">
        <f>IF(VLOOKUP($E$177,[1]UG!$A$2:$FA$303, 16, FALSE)="",":",VLOOKUP($E$177,[1]UG!$A$2:$FA$303, 16, FALSE))</f>
        <v>152210.20000000001</v>
      </c>
      <c r="R177" s="556">
        <f>IF(VLOOKUP($E$177,[1]UG!$A$2:$FA$303, 17, FALSE)="",":",VLOOKUP($E$177,[1]UG!$A$2:$FA$303, 17, FALSE))</f>
        <v>158987.4</v>
      </c>
      <c r="S177" s="556">
        <f>IF(VLOOKUP($E$177,[1]UG!$A$2:$FA$303, 18, FALSE)="",":",VLOOKUP($E$177,[1]UG!$A$2:$FA$303, 18, FALSE))</f>
        <v>166546</v>
      </c>
      <c r="T177" s="556">
        <f>IF(VLOOKUP($E$177,[1]UG!$A$2:$FA$303, 19, FALSE)="",":",VLOOKUP($E$177,[1]UG!$A$2:$FA$303, 19, FALSE))</f>
        <v>174120.7</v>
      </c>
      <c r="U177" s="556">
        <f>IF(VLOOKUP($E$177,[1]UG!$A$2:$FA$303, 20, FALSE)="",":",VLOOKUP($E$177,[1]UG!$A$2:$FA$303, 20, FALSE))</f>
        <v>170090.4</v>
      </c>
      <c r="V177" s="556">
        <f>IF(VLOOKUP($E$177,[1]UG!$A$2:$FA$303, 21, FALSE)="",":",VLOOKUP($E$177,[1]UG!$A$2:$FA$303, 21, FALSE))</f>
        <v>180140.9</v>
      </c>
      <c r="W177" s="556">
        <f>IF(VLOOKUP($E$177,[1]UG!$A$2:$FA$303, 22, FALSE)="",":",VLOOKUP($E$177,[1]UG!$A$2:$FA$303, 22, FALSE))</f>
        <v>190781.4</v>
      </c>
      <c r="X177" s="556">
        <f>IF(VLOOKUP($E$177,[1]UG!$A$2:$FA$303, 23, FALSE)="",":",VLOOKUP($E$177,[1]UG!$A$2:$FA$303, 23, FALSE))</f>
        <v>200069.6</v>
      </c>
      <c r="Y177" s="556">
        <f>IF(VLOOKUP($E$177,[1]UG!$A$2:$FA$303, 24, FALSE)="",":",VLOOKUP($E$177,[1]UG!$A$2:$FA$303, 24, FALSE))</f>
        <v>206752.2</v>
      </c>
      <c r="Z177" s="556">
        <f>IF(VLOOKUP($E$177,[1]UG!$A$2:$FA$303, 25, FALSE)="",":",VLOOKUP($E$177,[1]UG!$A$2:$FA$303, 25, FALSE))</f>
        <v>208747.7</v>
      </c>
      <c r="AA177" s="556">
        <f>IF(VLOOKUP($E$177,[1]UG!$A$2:$FA$303, 26, FALSE)="",":",VLOOKUP($E$177,[1]UG!$A$2:$FA$303, 26, FALSE))</f>
        <v>210743.2</v>
      </c>
      <c r="AB177" s="556">
        <f>IF(VLOOKUP($E$177,[1]UG!$A$2:$FA$303, 27, FALSE)="",":",VLOOKUP($E$177,[1]UG!$A$2:$FA$303, 27, FALSE))</f>
        <v>214755.7</v>
      </c>
      <c r="AC177" s="556">
        <f>IF(VLOOKUP($E$177,[1]UG!$A$2:$FA$303, 28, FALSE)="",":",VLOOKUP($E$177,[1]UG!$A$2:$FA$303, 28, FALSE))</f>
        <v>224453.5</v>
      </c>
      <c r="AD177" s="556" t="str">
        <f>IF(VLOOKUP($E$177,[1]UG!$A$2:$FA$303, 29, FALSE)="",":",VLOOKUP($E$177,[1]UG!$A$2:$FA$303, 29, FALSE))</f>
        <v>:</v>
      </c>
      <c r="AE177" s="556" t="str">
        <f>IF(VLOOKUP($E$177,[1]UG!$A$2:$FA$303, 30, FALSE)="",":",VLOOKUP($E$177,[1]UG!$A$2:$FA$303, 30, FALSE))</f>
        <v>:</v>
      </c>
      <c r="AF177" s="556" t="str">
        <f>IF(VLOOKUP($E$177,[1]UG!$A$2:$FA$303, 31, FALSE)="",":",VLOOKUP($E$177,[1]UG!$A$2:$FA$303, 31, FALSE))</f>
        <v>:</v>
      </c>
    </row>
    <row r="178" spans="1:32">
      <c r="A178" s="545">
        <v>132</v>
      </c>
      <c r="B178" s="546" t="s">
        <v>1650</v>
      </c>
      <c r="C178" s="547" t="s">
        <v>1931</v>
      </c>
      <c r="D178" s="12" t="s">
        <v>1932</v>
      </c>
      <c r="E178" s="13">
        <v>190</v>
      </c>
      <c r="F178" s="14" t="str">
        <f>VLOOKUP($E$178,[1]UG!$A$2:$FA$303, 3, FALSE)</f>
        <v>190 Interest D.41p (EDP)</v>
      </c>
      <c r="G178" s="556">
        <f>IF(VLOOKUP($E$178,[1]UG!$A$2:$FA$303, 6, FALSE)="",":",VLOOKUP($E$178,[1]UG!$A$2:$FA$303, 6, FALSE))</f>
        <v>18940.8</v>
      </c>
      <c r="H178" s="556">
        <f>IF(VLOOKUP($E$178,[1]UG!$A$2:$FA$303, 7, FALSE)="",":",VLOOKUP($E$178,[1]UG!$A$2:$FA$303, 7, FALSE))</f>
        <v>18371.099999999999</v>
      </c>
      <c r="I178" s="556">
        <f>IF(VLOOKUP($E$178,[1]UG!$A$2:$FA$303, 8, FALSE)="",":",VLOOKUP($E$178,[1]UG!$A$2:$FA$303, 8, FALSE))</f>
        <v>17513.099999999999</v>
      </c>
      <c r="J178" s="556">
        <f>IF(VLOOKUP($E$178,[1]UG!$A$2:$FA$303, 9, FALSE)="",":",VLOOKUP($E$178,[1]UG!$A$2:$FA$303, 9, FALSE))</f>
        <v>17375.099999999999</v>
      </c>
      <c r="K178" s="556">
        <f>IF(VLOOKUP($E$178,[1]UG!$A$2:$FA$303, 10, FALSE)="",":",VLOOKUP($E$178,[1]UG!$A$2:$FA$303, 10, FALSE))</f>
        <v>16807.099999999999</v>
      </c>
      <c r="L178" s="556">
        <f>IF(VLOOKUP($E$178,[1]UG!$A$2:$FA$303, 11, FALSE)="",":",VLOOKUP($E$178,[1]UG!$A$2:$FA$303, 11, FALSE))</f>
        <v>17213.599999999999</v>
      </c>
      <c r="M178" s="556">
        <f>IF(VLOOKUP($E$178,[1]UG!$A$2:$FA$303, 12, FALSE)="",":",VLOOKUP($E$178,[1]UG!$A$2:$FA$303, 12, FALSE))</f>
        <v>17370.7</v>
      </c>
      <c r="N178" s="556">
        <f>IF(VLOOKUP($E$178,[1]UG!$A$2:$FA$303, 13, FALSE)="",":",VLOOKUP($E$178,[1]UG!$A$2:$FA$303, 13, FALSE))</f>
        <v>15956.4</v>
      </c>
      <c r="O178" s="556">
        <f>IF(VLOOKUP($E$178,[1]UG!$A$2:$FA$303, 14, FALSE)="",":",VLOOKUP($E$178,[1]UG!$A$2:$FA$303, 14, FALSE))</f>
        <v>15232.2</v>
      </c>
      <c r="P178" s="556">
        <f>IF(VLOOKUP($E$178,[1]UG!$A$2:$FA$303, 15, FALSE)="",":",VLOOKUP($E$178,[1]UG!$A$2:$FA$303, 15, FALSE))</f>
        <v>14352.8</v>
      </c>
      <c r="Q178" s="556">
        <f>IF(VLOOKUP($E$178,[1]UG!$A$2:$FA$303, 16, FALSE)="",":",VLOOKUP($E$178,[1]UG!$A$2:$FA$303, 16, FALSE))</f>
        <v>13574.5</v>
      </c>
      <c r="R178" s="556">
        <f>IF(VLOOKUP($E$178,[1]UG!$A$2:$FA$303, 17, FALSE)="",":",VLOOKUP($E$178,[1]UG!$A$2:$FA$303, 17, FALSE))</f>
        <v>13371.9</v>
      </c>
      <c r="S178" s="556">
        <f>IF(VLOOKUP($E$178,[1]UG!$A$2:$FA$303, 18, FALSE)="",":",VLOOKUP($E$178,[1]UG!$A$2:$FA$303, 18, FALSE))</f>
        <v>13722.4</v>
      </c>
      <c r="T178" s="556">
        <f>IF(VLOOKUP($E$178,[1]UG!$A$2:$FA$303, 19, FALSE)="",":",VLOOKUP($E$178,[1]UG!$A$2:$FA$303, 19, FALSE))</f>
        <v>14032.3</v>
      </c>
      <c r="U178" s="556">
        <f>IF(VLOOKUP($E$178,[1]UG!$A$2:$FA$303, 20, FALSE)="",":",VLOOKUP($E$178,[1]UG!$A$2:$FA$303, 20, FALSE))</f>
        <v>13337.8</v>
      </c>
      <c r="V178" s="556">
        <f>IF(VLOOKUP($E$178,[1]UG!$A$2:$FA$303, 21, FALSE)="",":",VLOOKUP($E$178,[1]UG!$A$2:$FA$303, 21, FALSE))</f>
        <v>13170.7</v>
      </c>
      <c r="W178" s="556">
        <f>IF(VLOOKUP($E$178,[1]UG!$A$2:$FA$303, 22, FALSE)="",":",VLOOKUP($E$178,[1]UG!$A$2:$FA$303, 22, FALSE))</f>
        <v>13637.9</v>
      </c>
      <c r="X178" s="556">
        <f>IF(VLOOKUP($E$178,[1]UG!$A$2:$FA$303, 23, FALSE)="",":",VLOOKUP($E$178,[1]UG!$A$2:$FA$303, 23, FALSE))</f>
        <v>13969.2</v>
      </c>
      <c r="Y178" s="556">
        <f>IF(VLOOKUP($E$178,[1]UG!$A$2:$FA$303, 24, FALSE)="",":",VLOOKUP($E$178,[1]UG!$A$2:$FA$303, 24, FALSE))</f>
        <v>12971.8</v>
      </c>
      <c r="Z178" s="556">
        <f>IF(VLOOKUP($E$178,[1]UG!$A$2:$FA$303, 25, FALSE)="",":",VLOOKUP($E$178,[1]UG!$A$2:$FA$303, 25, FALSE))</f>
        <v>13055.7</v>
      </c>
      <c r="AA178" s="556">
        <f>IF(VLOOKUP($E$178,[1]UG!$A$2:$FA$303, 26, FALSE)="",":",VLOOKUP($E$178,[1]UG!$A$2:$FA$303, 26, FALSE))</f>
        <v>12417.4</v>
      </c>
      <c r="AB178" s="556">
        <f>IF(VLOOKUP($E$178,[1]UG!$A$2:$FA$303, 27, FALSE)="",":",VLOOKUP($E$178,[1]UG!$A$2:$FA$303, 27, FALSE))</f>
        <v>12116.2</v>
      </c>
      <c r="AC178" s="556">
        <f>IF(VLOOKUP($E$178,[1]UG!$A$2:$FA$303, 28, FALSE)="",":",VLOOKUP($E$178,[1]UG!$A$2:$FA$303, 28, FALSE))</f>
        <v>10776.1</v>
      </c>
      <c r="AD178" s="556" t="str">
        <f>IF(VLOOKUP($E$178,[1]UG!$A$2:$FA$303, 29, FALSE)="",":",VLOOKUP($E$178,[1]UG!$A$2:$FA$303, 29, FALSE))</f>
        <v>:</v>
      </c>
      <c r="AE178" s="556" t="str">
        <f>IF(VLOOKUP($E$178,[1]UG!$A$2:$FA$303, 30, FALSE)="",":",VLOOKUP($E$178,[1]UG!$A$2:$FA$303, 30, FALSE))</f>
        <v>:</v>
      </c>
      <c r="AF178" s="556" t="str">
        <f>IF(VLOOKUP($E$178,[1]UG!$A$2:$FA$303, 31, FALSE)="",":",VLOOKUP($E$178,[1]UG!$A$2:$FA$303, 31, FALSE))</f>
        <v>:</v>
      </c>
    </row>
    <row r="179" spans="1:32">
      <c r="A179" s="545"/>
      <c r="B179" s="546"/>
      <c r="C179" s="547"/>
      <c r="D179" s="12"/>
      <c r="E179" s="13"/>
      <c r="F179" s="14"/>
      <c r="G179" s="556"/>
      <c r="H179" s="556"/>
      <c r="I179" s="556"/>
      <c r="J179" s="556"/>
      <c r="K179" s="556"/>
      <c r="L179" s="556"/>
      <c r="M179" s="556"/>
      <c r="N179" s="556"/>
      <c r="O179" s="556"/>
      <c r="P179" s="556"/>
      <c r="Q179" s="556"/>
      <c r="R179" s="556"/>
      <c r="S179" s="556"/>
      <c r="T179" s="556"/>
      <c r="U179" s="556"/>
      <c r="V179" s="556"/>
      <c r="W179" s="556"/>
      <c r="X179" s="556"/>
      <c r="Y179" s="556"/>
      <c r="Z179" s="556"/>
      <c r="AA179" s="556"/>
      <c r="AB179" s="556"/>
      <c r="AC179" s="556"/>
      <c r="AD179" s="556"/>
      <c r="AE179" s="556"/>
      <c r="AF179" s="556"/>
    </row>
    <row r="180" spans="1:32">
      <c r="A180" s="545"/>
      <c r="B180" s="546" t="s">
        <v>1933</v>
      </c>
      <c r="C180" s="547" t="s">
        <v>1838</v>
      </c>
      <c r="D180" s="12" t="s">
        <v>1934</v>
      </c>
      <c r="E180" s="13">
        <v>3</v>
      </c>
      <c r="F180" s="14" t="str">
        <f>VLOOKUP($E$180,[1]UH!$A$2:$FA$300, 3, FALSE)</f>
        <v xml:space="preserve">3   Gross value added at basic prices  B1g                                               </v>
      </c>
      <c r="G180" s="556">
        <f ca="1">IF(VLOOKUP($E$180,[1]UH!$A$2:$FA$300, 6, FALSE)="",":",VLOOKUP($E$180,[1]UH!$A$2:$FA$300, 6, FALSE))</f>
        <v>37820.400000000001</v>
      </c>
      <c r="H180" s="556">
        <f>IF(VLOOKUP($E$180,[1]UH!$A$2:$FA$300, 7, FALSE)="",":",VLOOKUP($E$180,[1]UH!$A$2:$FA$300, 7, FALSE))</f>
        <v>38635.199999999997</v>
      </c>
      <c r="I180" s="556">
        <f>IF(VLOOKUP($E$180,[1]UH!$A$2:$FA$300, 8, FALSE)="",":",VLOOKUP($E$180,[1]UH!$A$2:$FA$300, 8, FALSE))</f>
        <v>40049.599999999999</v>
      </c>
      <c r="J180" s="556">
        <f>IF(VLOOKUP($E$180,[1]UH!$A$2:$FA$300, 9, FALSE)="",":",VLOOKUP($E$180,[1]UH!$A$2:$FA$300, 9, FALSE))</f>
        <v>41169.599999999999</v>
      </c>
      <c r="K180" s="556">
        <f>IF(VLOOKUP($E$180,[1]UH!$A$2:$FA$300, 10, FALSE)="",":",VLOOKUP($E$180,[1]UH!$A$2:$FA$300, 10, FALSE))</f>
        <v>42067.3</v>
      </c>
      <c r="L180" s="556">
        <f>IF(VLOOKUP($E$180,[1]UH!$A$2:$FA$300, 11, FALSE)="",":",VLOOKUP($E$180,[1]UH!$A$2:$FA$300, 11, FALSE))</f>
        <v>44012.9</v>
      </c>
      <c r="M180" s="556">
        <f>IF(VLOOKUP($E$180,[1]UH!$A$2:$FA$300, 12, FALSE)="",":",VLOOKUP($E$180,[1]UH!$A$2:$FA$300, 12, FALSE))</f>
        <v>45221.2</v>
      </c>
      <c r="N180" s="556">
        <f>IF(VLOOKUP($E$180,[1]UH!$A$2:$FA$300, 13, FALSE)="",":",VLOOKUP($E$180,[1]UH!$A$2:$FA$300, 13, FALSE))</f>
        <v>45085.9</v>
      </c>
      <c r="O180" s="556">
        <f>IF(VLOOKUP($E$180,[1]UH!$A$2:$FA$300, 14, FALSE)="",":",VLOOKUP($E$180,[1]UH!$A$2:$FA$300, 14, FALSE))</f>
        <v>45953.1</v>
      </c>
      <c r="P180" s="556">
        <f>IF(VLOOKUP($E$180,[1]UH!$A$2:$FA$300, 15, FALSE)="",":",VLOOKUP($E$180,[1]UH!$A$2:$FA$300, 15, FALSE))</f>
        <v>46753.1</v>
      </c>
      <c r="Q180" s="556">
        <f>IF(VLOOKUP($E$180,[1]UH!$A$2:$FA$300, 16, FALSE)="",":",VLOOKUP($E$180,[1]UH!$A$2:$FA$300, 16, FALSE))</f>
        <v>48416.9</v>
      </c>
      <c r="R180" s="556">
        <f>IF(VLOOKUP($E$180,[1]UH!$A$2:$FA$300, 17, FALSE)="",":",VLOOKUP($E$180,[1]UH!$A$2:$FA$300, 17, FALSE))</f>
        <v>50771.6</v>
      </c>
      <c r="S180" s="556">
        <f>IF(VLOOKUP($E$180,[1]UH!$A$2:$FA$300, 18, FALSE)="",":",VLOOKUP($E$180,[1]UH!$A$2:$FA$300, 18, FALSE))</f>
        <v>52870.9</v>
      </c>
      <c r="T180" s="556">
        <f>IF(VLOOKUP($E$180,[1]UH!$A$2:$FA$300, 19, FALSE)="",":",VLOOKUP($E$180,[1]UH!$A$2:$FA$300, 19, FALSE))</f>
        <v>54195.199999999997</v>
      </c>
      <c r="U180" s="556">
        <f>IF(VLOOKUP($E$180,[1]UH!$A$2:$FA$300, 20, FALSE)="",":",VLOOKUP($E$180,[1]UH!$A$2:$FA$300, 20, FALSE))</f>
        <v>52766.6</v>
      </c>
      <c r="V180" s="556">
        <f>IF(VLOOKUP($E$180,[1]UH!$A$2:$FA$300, 21, FALSE)="",":",VLOOKUP($E$180,[1]UH!$A$2:$FA$300, 21, FALSE))</f>
        <v>53544.5</v>
      </c>
      <c r="W180" s="556">
        <f>IF(VLOOKUP($E$180,[1]UH!$A$2:$FA$300, 22, FALSE)="",":",VLOOKUP($E$180,[1]UH!$A$2:$FA$300, 22, FALSE))</f>
        <v>54781</v>
      </c>
      <c r="X180" s="556">
        <f>IF(VLOOKUP($E$180,[1]UH!$A$2:$FA$300, 23, FALSE)="",":",VLOOKUP($E$180,[1]UH!$A$2:$FA$300, 23, FALSE))</f>
        <v>55514.7</v>
      </c>
      <c r="Y180" s="556">
        <f>IF(VLOOKUP($E$180,[1]UH!$A$2:$FA$300, 24, FALSE)="",":",VLOOKUP($E$180,[1]UH!$A$2:$FA$300, 24, FALSE))</f>
        <v>55575.5</v>
      </c>
      <c r="Z180" s="556">
        <f>IF(VLOOKUP($E$180,[1]UH!$A$2:$FA$300, 25, FALSE)="",":",VLOOKUP($E$180,[1]UH!$A$2:$FA$300, 25, FALSE))</f>
        <v>57191.6</v>
      </c>
      <c r="AA180" s="556">
        <f>IF(VLOOKUP($E$180,[1]UH!$A$2:$FA$300, 26, FALSE)="",":",VLOOKUP($E$180,[1]UH!$A$2:$FA$300, 26, FALSE))</f>
        <v>57816.3</v>
      </c>
      <c r="AB180" s="556">
        <f>IF(VLOOKUP($E$180,[1]UH!$A$2:$FA$300, 27, FALSE)="",":",VLOOKUP($E$180,[1]UH!$A$2:$FA$300, 27, FALSE))</f>
        <v>58594.3</v>
      </c>
      <c r="AC180" s="556">
        <f>IF(VLOOKUP($E$180,[1]UH!$A$2:$FA$300, 28, FALSE)="",":",VLOOKUP($E$180,[1]UH!$A$2:$FA$300, 28, FALSE))</f>
        <v>0</v>
      </c>
      <c r="AD180" s="556" t="str">
        <f>IF(VLOOKUP($E$180,[1]UH!$A$2:$FA$300, 29, FALSE)="",":",VLOOKUP($E$180,[1]UH!$A$2:$FA$300, 29, FALSE))</f>
        <v>:</v>
      </c>
      <c r="AE180" s="556" t="str">
        <f>IF(VLOOKUP($E$180,[1]UH!$A$2:$FA$300, 30, FALSE)="",":",VLOOKUP($E$180,[1]UH!$A$2:$FA$300, 30, FALSE))</f>
        <v>:</v>
      </c>
      <c r="AF180" s="556" t="str">
        <f>IF(VLOOKUP($E$180,[1]UH!$A$2:$FA$300, 31, FALSE)="",":",VLOOKUP($E$180,[1]UH!$A$2:$FA$300, 31, FALSE))</f>
        <v>:</v>
      </c>
    </row>
    <row r="181" spans="1:32">
      <c r="A181" s="545"/>
      <c r="B181" s="546" t="s">
        <v>1935</v>
      </c>
      <c r="C181" s="547" t="s">
        <v>790</v>
      </c>
      <c r="D181" s="12" t="s">
        <v>1934</v>
      </c>
      <c r="E181" s="13">
        <v>7</v>
      </c>
      <c r="F181" s="14" t="str">
        <f>VLOOKUP($E$181,[1]UH!$A$2:$FA$300, 3, FALSE)</f>
        <v>7 Other taxes on production, payable D.29p</v>
      </c>
      <c r="G181" s="556">
        <f ca="1">IF(VLOOKUP($E$181,[1]UH!$A$2:$FA$300, 6, FALSE)="",":",VLOOKUP($E$181,[1]UH!$A$2:$FA$300, 6, FALSE))</f>
        <v>1694.4</v>
      </c>
      <c r="H181" s="556">
        <f>IF(VLOOKUP($E$181,[1]UH!$A$2:$FA$300, 7, FALSE)="",":",VLOOKUP($E$181,[1]UH!$A$2:$FA$300, 7, FALSE))</f>
        <v>1853.3</v>
      </c>
      <c r="I181" s="556">
        <f>IF(VLOOKUP($E$181,[1]UH!$A$2:$FA$300, 8, FALSE)="",":",VLOOKUP($E$181,[1]UH!$A$2:$FA$300, 8, FALSE))</f>
        <v>1942.5</v>
      </c>
      <c r="J181" s="556">
        <f>IF(VLOOKUP($E$181,[1]UH!$A$2:$FA$300, 9, FALSE)="",":",VLOOKUP($E$181,[1]UH!$A$2:$FA$300, 9, FALSE))</f>
        <v>2004.6</v>
      </c>
      <c r="K181" s="556">
        <f>IF(VLOOKUP($E$181,[1]UH!$A$2:$FA$300, 10, FALSE)="",":",VLOOKUP($E$181,[1]UH!$A$2:$FA$300, 10, FALSE))</f>
        <v>2028.4</v>
      </c>
      <c r="L181" s="556">
        <f>IF(VLOOKUP($E$181,[1]UH!$A$2:$FA$300, 11, FALSE)="",":",VLOOKUP($E$181,[1]UH!$A$2:$FA$300, 11, FALSE))</f>
        <v>2044.8</v>
      </c>
      <c r="M181" s="556">
        <f>IF(VLOOKUP($E$181,[1]UH!$A$2:$FA$300, 12, FALSE)="",":",VLOOKUP($E$181,[1]UH!$A$2:$FA$300, 12, FALSE))</f>
        <v>2151.1999999999998</v>
      </c>
      <c r="N181" s="556">
        <f>IF(VLOOKUP($E$181,[1]UH!$A$2:$FA$300, 13, FALSE)="",":",VLOOKUP($E$181,[1]UH!$A$2:$FA$300, 13, FALSE))</f>
        <v>2398.6</v>
      </c>
      <c r="O181" s="556">
        <f>IF(VLOOKUP($E$181,[1]UH!$A$2:$FA$300, 14, FALSE)="",":",VLOOKUP($E$181,[1]UH!$A$2:$FA$300, 14, FALSE))</f>
        <v>2555.4</v>
      </c>
      <c r="P181" s="556">
        <f>IF(VLOOKUP($E$181,[1]UH!$A$2:$FA$300, 15, FALSE)="",":",VLOOKUP($E$181,[1]UH!$A$2:$FA$300, 15, FALSE))</f>
        <v>2607.6</v>
      </c>
      <c r="Q181" s="556">
        <f>IF(VLOOKUP($E$181,[1]UH!$A$2:$FA$300, 16, FALSE)="",":",VLOOKUP($E$181,[1]UH!$A$2:$FA$300, 16, FALSE))</f>
        <v>2643.1</v>
      </c>
      <c r="R181" s="556">
        <f>IF(VLOOKUP($E$181,[1]UH!$A$2:$FA$300, 17, FALSE)="",":",VLOOKUP($E$181,[1]UH!$A$2:$FA$300, 17, FALSE))</f>
        <v>2717.9</v>
      </c>
      <c r="S181" s="556">
        <f>IF(VLOOKUP($E$181,[1]UH!$A$2:$FA$300, 18, FALSE)="",":",VLOOKUP($E$181,[1]UH!$A$2:$FA$300, 18, FALSE))</f>
        <v>2816.3</v>
      </c>
      <c r="T181" s="556">
        <f>IF(VLOOKUP($E$181,[1]UH!$A$2:$FA$300, 19, FALSE)="",":",VLOOKUP($E$181,[1]UH!$A$2:$FA$300, 19, FALSE))</f>
        <v>2915.8</v>
      </c>
      <c r="U181" s="556">
        <f>IF(VLOOKUP($E$181,[1]UH!$A$2:$FA$300, 20, FALSE)="",":",VLOOKUP($E$181,[1]UH!$A$2:$FA$300, 20, FALSE))</f>
        <v>3027</v>
      </c>
      <c r="V181" s="556">
        <f>IF(VLOOKUP($E$181,[1]UH!$A$2:$FA$300, 21, FALSE)="",":",VLOOKUP($E$181,[1]UH!$A$2:$FA$300, 21, FALSE))</f>
        <v>3169.3</v>
      </c>
      <c r="W181" s="556">
        <f>IF(VLOOKUP($E$181,[1]UH!$A$2:$FA$300, 22, FALSE)="",":",VLOOKUP($E$181,[1]UH!$A$2:$FA$300, 22, FALSE))</f>
        <v>3341.8</v>
      </c>
      <c r="X181" s="556">
        <f>IF(VLOOKUP($E$181,[1]UH!$A$2:$FA$300, 23, FALSE)="",":",VLOOKUP($E$181,[1]UH!$A$2:$FA$300, 23, FALSE))</f>
        <v>3337.2</v>
      </c>
      <c r="Y181" s="556">
        <f>IF(VLOOKUP($E$181,[1]UH!$A$2:$FA$300, 24, FALSE)="",":",VLOOKUP($E$181,[1]UH!$A$2:$FA$300, 24, FALSE))</f>
        <v>3545.8</v>
      </c>
      <c r="Z181" s="556">
        <f>IF(VLOOKUP($E$181,[1]UH!$A$2:$FA$300, 25, FALSE)="",":",VLOOKUP($E$181,[1]UH!$A$2:$FA$300, 25, FALSE))</f>
        <v>3635.5</v>
      </c>
      <c r="AA181" s="556">
        <f>IF(VLOOKUP($E$181,[1]UH!$A$2:$FA$300, 26, FALSE)="",":",VLOOKUP($E$181,[1]UH!$A$2:$FA$300, 26, FALSE))</f>
        <v>3688.5</v>
      </c>
      <c r="AB181" s="556">
        <f>IF(VLOOKUP($E$181,[1]UH!$A$2:$FA$300, 27, FALSE)="",":",VLOOKUP($E$181,[1]UH!$A$2:$FA$300, 27, FALSE))</f>
        <v>3811.6</v>
      </c>
      <c r="AC181" s="556">
        <f>IF(VLOOKUP($E$181,[1]UH!$A$2:$FA$300, 28, FALSE)="",":",VLOOKUP($E$181,[1]UH!$A$2:$FA$300, 28, FALSE))</f>
        <v>0</v>
      </c>
      <c r="AD181" s="556" t="str">
        <f>IF(VLOOKUP($E$181,[1]UH!$A$2:$FA$300, 29, FALSE)="",":",VLOOKUP($E$181,[1]UH!$A$2:$FA$300, 29, FALSE))</f>
        <v>:</v>
      </c>
      <c r="AE181" s="556" t="str">
        <f>IF(VLOOKUP($E$181,[1]UH!$A$2:$FA$300, 30, FALSE)="",":",VLOOKUP($E$181,[1]UH!$A$2:$FA$300, 30, FALSE))</f>
        <v>:</v>
      </c>
      <c r="AF181" s="556" t="str">
        <f>IF(VLOOKUP($E$181,[1]UH!$A$2:$FA$300, 31, FALSE)="",":",VLOOKUP($E$181,[1]UH!$A$2:$FA$300, 31, FALSE))</f>
        <v>:</v>
      </c>
    </row>
    <row r="182" spans="1:32">
      <c r="A182" s="545"/>
      <c r="B182" s="546" t="s">
        <v>1936</v>
      </c>
      <c r="C182" s="547" t="s">
        <v>791</v>
      </c>
      <c r="D182" s="12" t="s">
        <v>1934</v>
      </c>
      <c r="E182" s="13">
        <v>8</v>
      </c>
      <c r="F182" s="14" t="str">
        <f>VLOOKUP($E$182,[1]UH!$A$2:$FA$300, 3, FALSE)</f>
        <v>8 Other subsidies on production receivable D.39r</v>
      </c>
      <c r="G182" s="556">
        <f ca="1">IF(VLOOKUP($E$182,[1]UH!$A$2:$FA$300, 6, FALSE)="",":",VLOOKUP($E$182,[1]UH!$A$2:$FA$300, 6, FALSE))</f>
        <v>169.1</v>
      </c>
      <c r="H182" s="556">
        <f>IF(VLOOKUP($E$182,[1]UH!$A$2:$FA$300, 7, FALSE)="",":",VLOOKUP($E$182,[1]UH!$A$2:$FA$300, 7, FALSE))</f>
        <v>230.8</v>
      </c>
      <c r="I182" s="556">
        <f>IF(VLOOKUP($E$182,[1]UH!$A$2:$FA$300, 8, FALSE)="",":",VLOOKUP($E$182,[1]UH!$A$2:$FA$300, 8, FALSE))</f>
        <v>211.6</v>
      </c>
      <c r="J182" s="556">
        <f>IF(VLOOKUP($E$182,[1]UH!$A$2:$FA$300, 9, FALSE)="",":",VLOOKUP($E$182,[1]UH!$A$2:$FA$300, 9, FALSE))</f>
        <v>191.3</v>
      </c>
      <c r="K182" s="556">
        <f>IF(VLOOKUP($E$182,[1]UH!$A$2:$FA$300, 10, FALSE)="",":",VLOOKUP($E$182,[1]UH!$A$2:$FA$300, 10, FALSE))</f>
        <v>167.2</v>
      </c>
      <c r="L182" s="556">
        <f>IF(VLOOKUP($E$182,[1]UH!$A$2:$FA$300, 11, FALSE)="",":",VLOOKUP($E$182,[1]UH!$A$2:$FA$300, 11, FALSE))</f>
        <v>148.4</v>
      </c>
      <c r="M182" s="556">
        <f>IF(VLOOKUP($E$182,[1]UH!$A$2:$FA$300, 12, FALSE)="",":",VLOOKUP($E$182,[1]UH!$A$2:$FA$300, 12, FALSE))</f>
        <v>120.3</v>
      </c>
      <c r="N182" s="556">
        <f>IF(VLOOKUP($E$182,[1]UH!$A$2:$FA$300, 13, FALSE)="",":",VLOOKUP($E$182,[1]UH!$A$2:$FA$300, 13, FALSE))</f>
        <v>124.9</v>
      </c>
      <c r="O182" s="556">
        <f>IF(VLOOKUP($E$182,[1]UH!$A$2:$FA$300, 14, FALSE)="",":",VLOOKUP($E$182,[1]UH!$A$2:$FA$300, 14, FALSE))</f>
        <v>147.80000000000001</v>
      </c>
      <c r="P182" s="556">
        <f>IF(VLOOKUP($E$182,[1]UH!$A$2:$FA$300, 15, FALSE)="",":",VLOOKUP($E$182,[1]UH!$A$2:$FA$300, 15, FALSE))</f>
        <v>165.2</v>
      </c>
      <c r="Q182" s="556">
        <f>IF(VLOOKUP($E$182,[1]UH!$A$2:$FA$300, 16, FALSE)="",":",VLOOKUP($E$182,[1]UH!$A$2:$FA$300, 16, FALSE))</f>
        <v>379.1</v>
      </c>
      <c r="R182" s="556">
        <f>IF(VLOOKUP($E$182,[1]UH!$A$2:$FA$300, 17, FALSE)="",":",VLOOKUP($E$182,[1]UH!$A$2:$FA$300, 17, FALSE))</f>
        <v>491.3</v>
      </c>
      <c r="S182" s="556">
        <f>IF(VLOOKUP($E$182,[1]UH!$A$2:$FA$300, 18, FALSE)="",":",VLOOKUP($E$182,[1]UH!$A$2:$FA$300, 18, FALSE))</f>
        <v>534.1</v>
      </c>
      <c r="T182" s="556">
        <f>IF(VLOOKUP($E$182,[1]UH!$A$2:$FA$300, 19, FALSE)="",":",VLOOKUP($E$182,[1]UH!$A$2:$FA$300, 19, FALSE))</f>
        <v>596.79999999999995</v>
      </c>
      <c r="U182" s="556">
        <f>IF(VLOOKUP($E$182,[1]UH!$A$2:$FA$300, 20, FALSE)="",":",VLOOKUP($E$182,[1]UH!$A$2:$FA$300, 20, FALSE))</f>
        <v>622.79999999999995</v>
      </c>
      <c r="V182" s="556">
        <f>IF(VLOOKUP($E$182,[1]UH!$A$2:$FA$300, 21, FALSE)="",":",VLOOKUP($E$182,[1]UH!$A$2:$FA$300, 21, FALSE))</f>
        <v>655.29999999999995</v>
      </c>
      <c r="W182" s="556">
        <f>IF(VLOOKUP($E$182,[1]UH!$A$2:$FA$300, 22, FALSE)="",":",VLOOKUP($E$182,[1]UH!$A$2:$FA$300, 22, FALSE))</f>
        <v>665.1</v>
      </c>
      <c r="X182" s="556">
        <f>IF(VLOOKUP($E$182,[1]UH!$A$2:$FA$300, 23, FALSE)="",":",VLOOKUP($E$182,[1]UH!$A$2:$FA$300, 23, FALSE))</f>
        <v>661.7</v>
      </c>
      <c r="Y182" s="556">
        <f>IF(VLOOKUP($E$182,[1]UH!$A$2:$FA$300, 24, FALSE)="",":",VLOOKUP($E$182,[1]UH!$A$2:$FA$300, 24, FALSE))</f>
        <v>712.3</v>
      </c>
      <c r="Z182" s="556">
        <f>IF(VLOOKUP($E$182,[1]UH!$A$2:$FA$300, 25, FALSE)="",":",VLOOKUP($E$182,[1]UH!$A$2:$FA$300, 25, FALSE))</f>
        <v>690</v>
      </c>
      <c r="AA182" s="556">
        <f>IF(VLOOKUP($E$182,[1]UH!$A$2:$FA$300, 26, FALSE)="",":",VLOOKUP($E$182,[1]UH!$A$2:$FA$300, 26, FALSE))</f>
        <v>749</v>
      </c>
      <c r="AB182" s="556">
        <f>IF(VLOOKUP($E$182,[1]UH!$A$2:$FA$300, 27, FALSE)="",":",VLOOKUP($E$182,[1]UH!$A$2:$FA$300, 27, FALSE))</f>
        <v>651.6</v>
      </c>
      <c r="AC182" s="556">
        <f>IF(VLOOKUP($E$182,[1]UH!$A$2:$FA$300, 28, FALSE)="",":",VLOOKUP($E$182,[1]UH!$A$2:$FA$300, 28, FALSE))</f>
        <v>0</v>
      </c>
      <c r="AD182" s="556" t="str">
        <f>IF(VLOOKUP($E$182,[1]UH!$A$2:$FA$300, 29, FALSE)="",":",VLOOKUP($E$182,[1]UH!$A$2:$FA$300, 29, FALSE))</f>
        <v>:</v>
      </c>
      <c r="AE182" s="556" t="str">
        <f>IF(VLOOKUP($E$182,[1]UH!$A$2:$FA$300, 30, FALSE)="",":",VLOOKUP($E$182,[1]UH!$A$2:$FA$300, 30, FALSE))</f>
        <v>:</v>
      </c>
      <c r="AF182" s="556" t="str">
        <f>IF(VLOOKUP($E$182,[1]UH!$A$2:$FA$300, 31, FALSE)="",":",VLOOKUP($E$182,[1]UH!$A$2:$FA$300, 31, FALSE))</f>
        <v>:</v>
      </c>
    </row>
    <row r="183" spans="1:32">
      <c r="A183" s="545"/>
      <c r="B183" s="546"/>
      <c r="C183" s="547"/>
      <c r="D183" s="12"/>
      <c r="E183" s="13"/>
      <c r="F183" s="14"/>
      <c r="G183" s="556"/>
      <c r="H183" s="556"/>
      <c r="I183" s="556"/>
      <c r="J183" s="556"/>
      <c r="K183" s="556"/>
      <c r="L183" s="556"/>
      <c r="M183" s="556"/>
      <c r="N183" s="556"/>
      <c r="O183" s="556"/>
      <c r="P183" s="556"/>
      <c r="Q183" s="556"/>
      <c r="R183" s="556"/>
      <c r="S183" s="556"/>
      <c r="T183" s="556"/>
      <c r="U183" s="556"/>
      <c r="V183" s="556"/>
      <c r="W183" s="556"/>
      <c r="X183" s="556"/>
      <c r="Y183" s="556"/>
      <c r="Z183" s="556"/>
      <c r="AA183" s="556"/>
      <c r="AB183" s="556"/>
      <c r="AC183" s="556"/>
      <c r="AD183" s="556"/>
      <c r="AE183" s="556"/>
      <c r="AF183" s="556"/>
    </row>
    <row r="184" spans="1:32">
      <c r="A184" s="545">
        <v>87</v>
      </c>
      <c r="B184" s="546" t="s">
        <v>729</v>
      </c>
      <c r="C184" s="547" t="s">
        <v>792</v>
      </c>
      <c r="D184" s="12" t="s">
        <v>1934</v>
      </c>
      <c r="E184" s="13">
        <v>11</v>
      </c>
      <c r="F184" s="14" t="str">
        <f>VLOOKUP($E$184,[1]UH!$A$2:$FA$300, 3, FALSE)</f>
        <v xml:space="preserve">11 Compensation of employees, receivable D.1r                                </v>
      </c>
      <c r="G184" s="556">
        <f ca="1">IF(VLOOKUP($E$184,[1]UH!$A$2:$FA$300, 6, FALSE)="",":",VLOOKUP($E$184,[1]UH!$A$2:$FA$300, 6, FALSE))</f>
        <v>108738.6</v>
      </c>
      <c r="H184" s="556">
        <f>IF(VLOOKUP($E$184,[1]UH!$A$2:$FA$300, 7, FALSE)="",":",VLOOKUP($E$184,[1]UH!$A$2:$FA$300, 7, FALSE))</f>
        <v>110970.6</v>
      </c>
      <c r="I184" s="556">
        <f>IF(VLOOKUP($E$184,[1]UH!$A$2:$FA$300, 8, FALSE)="",":",VLOOKUP($E$184,[1]UH!$A$2:$FA$300, 8, FALSE))</f>
        <v>115187</v>
      </c>
      <c r="J184" s="556">
        <f>IF(VLOOKUP($E$184,[1]UH!$A$2:$FA$300, 9, FALSE)="",":",VLOOKUP($E$184,[1]UH!$A$2:$FA$300, 9, FALSE))</f>
        <v>119387.8</v>
      </c>
      <c r="K184" s="556">
        <f>IF(VLOOKUP($E$184,[1]UH!$A$2:$FA$300, 10, FALSE)="",":",VLOOKUP($E$184,[1]UH!$A$2:$FA$300, 10, FALSE))</f>
        <v>125686.3</v>
      </c>
      <c r="L184" s="556">
        <f>IF(VLOOKUP($E$184,[1]UH!$A$2:$FA$300, 11, FALSE)="",":",VLOOKUP($E$184,[1]UH!$A$2:$FA$300, 11, FALSE))</f>
        <v>131404.5</v>
      </c>
      <c r="M184" s="556">
        <f>IF(VLOOKUP($E$184,[1]UH!$A$2:$FA$300, 12, FALSE)="",":",VLOOKUP($E$184,[1]UH!$A$2:$FA$300, 12, FALSE))</f>
        <v>138813.4</v>
      </c>
      <c r="N184" s="556">
        <f>IF(VLOOKUP($E$184,[1]UH!$A$2:$FA$300, 13, FALSE)="",":",VLOOKUP($E$184,[1]UH!$A$2:$FA$300, 13, FALSE))</f>
        <v>144365.5</v>
      </c>
      <c r="O184" s="556">
        <f>IF(VLOOKUP($E$184,[1]UH!$A$2:$FA$300, 14, FALSE)="",":",VLOOKUP($E$184,[1]UH!$A$2:$FA$300, 14, FALSE))</f>
        <v>147319.4</v>
      </c>
      <c r="P184" s="556">
        <f>IF(VLOOKUP($E$184,[1]UH!$A$2:$FA$300, 15, FALSE)="",":",VLOOKUP($E$184,[1]UH!$A$2:$FA$300, 15, FALSE))</f>
        <v>151815.70000000001</v>
      </c>
      <c r="Q184" s="556">
        <f>IF(VLOOKUP($E$184,[1]UH!$A$2:$FA$300, 16, FALSE)="",":",VLOOKUP($E$184,[1]UH!$A$2:$FA$300, 16, FALSE))</f>
        <v>157095</v>
      </c>
      <c r="R184" s="556">
        <f>IF(VLOOKUP($E$184,[1]UH!$A$2:$FA$300, 17, FALSE)="",":",VLOOKUP($E$184,[1]UH!$A$2:$FA$300, 17, FALSE))</f>
        <v>164731.5</v>
      </c>
      <c r="S184" s="556">
        <f>IF(VLOOKUP($E$184,[1]UH!$A$2:$FA$300, 18, FALSE)="",":",VLOOKUP($E$184,[1]UH!$A$2:$FA$300, 18, FALSE))</f>
        <v>173562.1</v>
      </c>
      <c r="T184" s="556">
        <f>IF(VLOOKUP($E$184,[1]UH!$A$2:$FA$300, 19, FALSE)="",":",VLOOKUP($E$184,[1]UH!$A$2:$FA$300, 19, FALSE))</f>
        <v>183100.1</v>
      </c>
      <c r="U184" s="556">
        <f>IF(VLOOKUP($E$184,[1]UH!$A$2:$FA$300, 20, FALSE)="",":",VLOOKUP($E$184,[1]UH!$A$2:$FA$300, 20, FALSE))</f>
        <v>184525.1</v>
      </c>
      <c r="V184" s="556">
        <f>IF(VLOOKUP($E$184,[1]UH!$A$2:$FA$300, 21, FALSE)="",":",VLOOKUP($E$184,[1]UH!$A$2:$FA$300, 21, FALSE))</f>
        <v>188399</v>
      </c>
      <c r="W184" s="556">
        <f>IF(VLOOKUP($E$184,[1]UH!$A$2:$FA$300, 22, FALSE)="",":",VLOOKUP($E$184,[1]UH!$A$2:$FA$300, 22, FALSE))</f>
        <v>196856</v>
      </c>
      <c r="X184" s="556">
        <f>IF(VLOOKUP($E$184,[1]UH!$A$2:$FA$300, 23, FALSE)="",":",VLOOKUP($E$184,[1]UH!$A$2:$FA$300, 23, FALSE))</f>
        <v>203661.6</v>
      </c>
      <c r="Y184" s="556">
        <f>IF(VLOOKUP($E$184,[1]UH!$A$2:$FA$300, 24, FALSE)="",":",VLOOKUP($E$184,[1]UH!$A$2:$FA$300, 24, FALSE))</f>
        <v>207711.4</v>
      </c>
      <c r="Z184" s="556">
        <f>IF(VLOOKUP($E$184,[1]UH!$A$2:$FA$300, 25, FALSE)="",":",VLOOKUP($E$184,[1]UH!$A$2:$FA$300, 25, FALSE))</f>
        <v>210533.3</v>
      </c>
      <c r="AA184" s="556">
        <f>IF(VLOOKUP($E$184,[1]UH!$A$2:$FA$300, 26, FALSE)="",":",VLOOKUP($E$184,[1]UH!$A$2:$FA$300, 26, FALSE))</f>
        <v>212484.3</v>
      </c>
      <c r="AB184" s="556">
        <f>IF(VLOOKUP($E$184,[1]UH!$A$2:$FA$300, 27, FALSE)="",":",VLOOKUP($E$184,[1]UH!$A$2:$FA$300, 27, FALSE))</f>
        <v>215226.1</v>
      </c>
      <c r="AC184" s="556">
        <f>IF(VLOOKUP($E$184,[1]UH!$A$2:$FA$300, 28, FALSE)="",":",VLOOKUP($E$184,[1]UH!$A$2:$FA$300, 28, FALSE))</f>
        <v>0</v>
      </c>
      <c r="AD184" s="556" t="str">
        <f>IF(VLOOKUP($E$184,[1]UH!$A$2:$FA$300, 29, FALSE)="",":",VLOOKUP($E$184,[1]UH!$A$2:$FA$300, 29, FALSE))</f>
        <v>:</v>
      </c>
      <c r="AE184" s="556" t="str">
        <f>IF(VLOOKUP($E$184,[1]UH!$A$2:$FA$300, 30, FALSE)="",":",VLOOKUP($E$184,[1]UH!$A$2:$FA$300, 30, FALSE))</f>
        <v>:</v>
      </c>
      <c r="AF184" s="556" t="str">
        <f>IF(VLOOKUP($E$184,[1]UH!$A$2:$FA$300, 31, FALSE)="",":",VLOOKUP($E$184,[1]UH!$A$2:$FA$300, 31, FALSE))</f>
        <v>:</v>
      </c>
    </row>
    <row r="185" spans="1:32">
      <c r="A185" s="545">
        <v>88</v>
      </c>
      <c r="B185" s="546" t="s">
        <v>217</v>
      </c>
      <c r="C185" s="547" t="s">
        <v>793</v>
      </c>
      <c r="D185" s="12" t="s">
        <v>1934</v>
      </c>
      <c r="E185" s="13">
        <v>12</v>
      </c>
      <c r="F185" s="14" t="str">
        <f>VLOOKUP($E$185,[1]UH!$A$2:$FA$300, 3, FALSE)</f>
        <v xml:space="preserve">12 Gross wages and salaries D.11r                                            </v>
      </c>
      <c r="G185" s="556">
        <f ca="1">IF(VLOOKUP($E$185,[1]UH!$A$2:$FA$300, 6, FALSE)="",":",VLOOKUP($E$185,[1]UH!$A$2:$FA$300, 6, FALSE))</f>
        <v>80913.399999999994</v>
      </c>
      <c r="H185" s="556">
        <f>IF(VLOOKUP($E$185,[1]UH!$A$2:$FA$300, 7, FALSE)="",":",VLOOKUP($E$185,[1]UH!$A$2:$FA$300, 7, FALSE))</f>
        <v>82330</v>
      </c>
      <c r="I185" s="556">
        <f>IF(VLOOKUP($E$185,[1]UH!$A$2:$FA$300, 8, FALSE)="",":",VLOOKUP($E$185,[1]UH!$A$2:$FA$300, 8, FALSE))</f>
        <v>85183.8</v>
      </c>
      <c r="J185" s="556">
        <f>IF(VLOOKUP($E$185,[1]UH!$A$2:$FA$300, 9, FALSE)="",":",VLOOKUP($E$185,[1]UH!$A$2:$FA$300, 9, FALSE))</f>
        <v>87745.3</v>
      </c>
      <c r="K185" s="556">
        <f>IF(VLOOKUP($E$185,[1]UH!$A$2:$FA$300, 10, FALSE)="",":",VLOOKUP($E$185,[1]UH!$A$2:$FA$300, 10, FALSE))</f>
        <v>92834.3</v>
      </c>
      <c r="L185" s="556">
        <f>IF(VLOOKUP($E$185,[1]UH!$A$2:$FA$300, 11, FALSE)="",":",VLOOKUP($E$185,[1]UH!$A$2:$FA$300, 11, FALSE))</f>
        <v>97885.3</v>
      </c>
      <c r="M185" s="556">
        <f>IF(VLOOKUP($E$185,[1]UH!$A$2:$FA$300, 12, FALSE)="",":",VLOOKUP($E$185,[1]UH!$A$2:$FA$300, 12, FALSE))</f>
        <v>103506.1</v>
      </c>
      <c r="N185" s="556">
        <f>IF(VLOOKUP($E$185,[1]UH!$A$2:$FA$300, 13, FALSE)="",":",VLOOKUP($E$185,[1]UH!$A$2:$FA$300, 13, FALSE))</f>
        <v>106793.3</v>
      </c>
      <c r="O185" s="556">
        <f>IF(VLOOKUP($E$185,[1]UH!$A$2:$FA$300, 14, FALSE)="",":",VLOOKUP($E$185,[1]UH!$A$2:$FA$300, 14, FALSE))</f>
        <v>108728.3</v>
      </c>
      <c r="P185" s="556">
        <f>IF(VLOOKUP($E$185,[1]UH!$A$2:$FA$300, 15, FALSE)="",":",VLOOKUP($E$185,[1]UH!$A$2:$FA$300, 15, FALSE))</f>
        <v>112207.6</v>
      </c>
      <c r="Q185" s="556">
        <f>IF(VLOOKUP($E$185,[1]UH!$A$2:$FA$300, 16, FALSE)="",":",VLOOKUP($E$185,[1]UH!$A$2:$FA$300, 16, FALSE))</f>
        <v>116421.6</v>
      </c>
      <c r="R185" s="556">
        <f>IF(VLOOKUP($E$185,[1]UH!$A$2:$FA$300, 17, FALSE)="",":",VLOOKUP($E$185,[1]UH!$A$2:$FA$300, 17, FALSE))</f>
        <v>122006.8</v>
      </c>
      <c r="S185" s="556">
        <f>IF(VLOOKUP($E$185,[1]UH!$A$2:$FA$300, 18, FALSE)="",":",VLOOKUP($E$185,[1]UH!$A$2:$FA$300, 18, FALSE))</f>
        <v>127633.2</v>
      </c>
      <c r="T185" s="556">
        <f>IF(VLOOKUP($E$185,[1]UH!$A$2:$FA$300, 19, FALSE)="",":",VLOOKUP($E$185,[1]UH!$A$2:$FA$300, 19, FALSE))</f>
        <v>134372.5</v>
      </c>
      <c r="U185" s="556">
        <f>IF(VLOOKUP($E$185,[1]UH!$A$2:$FA$300, 20, FALSE)="",":",VLOOKUP($E$185,[1]UH!$A$2:$FA$300, 20, FALSE))</f>
        <v>134564.1</v>
      </c>
      <c r="V185" s="556">
        <f>IF(VLOOKUP($E$185,[1]UH!$A$2:$FA$300, 21, FALSE)="",":",VLOOKUP($E$185,[1]UH!$A$2:$FA$300, 21, FALSE))</f>
        <v>137192.79999999999</v>
      </c>
      <c r="W185" s="556">
        <f>IF(VLOOKUP($E$185,[1]UH!$A$2:$FA$300, 22, FALSE)="",":",VLOOKUP($E$185,[1]UH!$A$2:$FA$300, 22, FALSE))</f>
        <v>143482.1</v>
      </c>
      <c r="X185" s="556">
        <f>IF(VLOOKUP($E$185,[1]UH!$A$2:$FA$300, 23, FALSE)="",":",VLOOKUP($E$185,[1]UH!$A$2:$FA$300, 23, FALSE))</f>
        <v>148082.5</v>
      </c>
      <c r="Y185" s="556">
        <f>IF(VLOOKUP($E$185,[1]UH!$A$2:$FA$300, 24, FALSE)="",":",VLOOKUP($E$185,[1]UH!$A$2:$FA$300, 24, FALSE))</f>
        <v>150817.29999999999</v>
      </c>
      <c r="Z185" s="556">
        <f>IF(VLOOKUP($E$185,[1]UH!$A$2:$FA$300, 25, FALSE)="",":",VLOOKUP($E$185,[1]UH!$A$2:$FA$300, 25, FALSE))</f>
        <v>153091.79999999999</v>
      </c>
      <c r="AA185" s="556">
        <f>IF(VLOOKUP($E$185,[1]UH!$A$2:$FA$300, 26, FALSE)="",":",VLOOKUP($E$185,[1]UH!$A$2:$FA$300, 26, FALSE))</f>
        <v>154333.1</v>
      </c>
      <c r="AB185" s="556">
        <f>IF(VLOOKUP($E$185,[1]UH!$A$2:$FA$300, 27, FALSE)="",":",VLOOKUP($E$185,[1]UH!$A$2:$FA$300, 27, FALSE))</f>
        <v>158153</v>
      </c>
      <c r="AC185" s="556">
        <f>IF(VLOOKUP($E$185,[1]UH!$A$2:$FA$300, 28, FALSE)="",":",VLOOKUP($E$185,[1]UH!$A$2:$FA$300, 28, FALSE))</f>
        <v>0</v>
      </c>
      <c r="AD185" s="556" t="str">
        <f>IF(VLOOKUP($E$185,[1]UH!$A$2:$FA$300, 29, FALSE)="",":",VLOOKUP($E$185,[1]UH!$A$2:$FA$300, 29, FALSE))</f>
        <v>:</v>
      </c>
      <c r="AE185" s="556" t="str">
        <f>IF(VLOOKUP($E$185,[1]UH!$A$2:$FA$300, 30, FALSE)="",":",VLOOKUP($E$185,[1]UH!$A$2:$FA$300, 30, FALSE))</f>
        <v>:</v>
      </c>
      <c r="AF185" s="556" t="str">
        <f>IF(VLOOKUP($E$185,[1]UH!$A$2:$FA$300, 31, FALSE)="",":",VLOOKUP($E$185,[1]UH!$A$2:$FA$300, 31, FALSE))</f>
        <v>:</v>
      </c>
    </row>
    <row r="186" spans="1:32">
      <c r="A186" s="545"/>
      <c r="B186" s="546" t="s">
        <v>1937</v>
      </c>
      <c r="C186" s="547" t="s">
        <v>794</v>
      </c>
      <c r="D186" s="12" t="s">
        <v>1934</v>
      </c>
      <c r="E186" s="13">
        <v>6</v>
      </c>
      <c r="F186" s="14" t="str">
        <f>VLOOKUP($E$186,[1]UH!$A$2:$FA$300, 3, FALSE)</f>
        <v xml:space="preserve">6   Compensation of employees, payable  D.1p                                  </v>
      </c>
      <c r="G186" s="556">
        <f ca="1">IF(VLOOKUP($E$186,[1]UH!$A$2:$FA$300, 6, FALSE)="",":",VLOOKUP($E$186,[1]UH!$A$2:$FA$300, 6, FALSE))</f>
        <v>4051.4</v>
      </c>
      <c r="H186" s="556">
        <f>IF(VLOOKUP($E$186,[1]UH!$A$2:$FA$300, 7, FALSE)="",":",VLOOKUP($E$186,[1]UH!$A$2:$FA$300, 7, FALSE))</f>
        <v>4089.3</v>
      </c>
      <c r="I186" s="556">
        <f>IF(VLOOKUP($E$186,[1]UH!$A$2:$FA$300, 8, FALSE)="",":",VLOOKUP($E$186,[1]UH!$A$2:$FA$300, 8, FALSE))</f>
        <v>4072.9</v>
      </c>
      <c r="J186" s="556">
        <f>IF(VLOOKUP($E$186,[1]UH!$A$2:$FA$300, 9, FALSE)="",":",VLOOKUP($E$186,[1]UH!$A$2:$FA$300, 9, FALSE))</f>
        <v>4026.1</v>
      </c>
      <c r="K186" s="556">
        <f>IF(VLOOKUP($E$186,[1]UH!$A$2:$FA$300, 10, FALSE)="",":",VLOOKUP($E$186,[1]UH!$A$2:$FA$300, 10, FALSE))</f>
        <v>4162.6000000000004</v>
      </c>
      <c r="L186" s="556">
        <f>IF(VLOOKUP($E$186,[1]UH!$A$2:$FA$300, 11, FALSE)="",":",VLOOKUP($E$186,[1]UH!$A$2:$FA$300, 11, FALSE))</f>
        <v>4190.5</v>
      </c>
      <c r="M186" s="556">
        <f>IF(VLOOKUP($E$186,[1]UH!$A$2:$FA$300, 12, FALSE)="",":",VLOOKUP($E$186,[1]UH!$A$2:$FA$300, 12, FALSE))</f>
        <v>4295.5</v>
      </c>
      <c r="N186" s="556">
        <f>IF(VLOOKUP($E$186,[1]UH!$A$2:$FA$300, 13, FALSE)="",":",VLOOKUP($E$186,[1]UH!$A$2:$FA$300, 13, FALSE))</f>
        <v>4505.3999999999996</v>
      </c>
      <c r="O186" s="556">
        <f>IF(VLOOKUP($E$186,[1]UH!$A$2:$FA$300, 14, FALSE)="",":",VLOOKUP($E$186,[1]UH!$A$2:$FA$300, 14, FALSE))</f>
        <v>4603.2</v>
      </c>
      <c r="P186" s="556">
        <f>IF(VLOOKUP($E$186,[1]UH!$A$2:$FA$300, 15, FALSE)="",":",VLOOKUP($E$186,[1]UH!$A$2:$FA$300, 15, FALSE))</f>
        <v>4745.7</v>
      </c>
      <c r="Q186" s="556">
        <f>IF(VLOOKUP($E$186,[1]UH!$A$2:$FA$300, 16, FALSE)="",":",VLOOKUP($E$186,[1]UH!$A$2:$FA$300, 16, FALSE))</f>
        <v>4766.5</v>
      </c>
      <c r="R186" s="556">
        <f>IF(VLOOKUP($E$186,[1]UH!$A$2:$FA$300, 17, FALSE)="",":",VLOOKUP($E$186,[1]UH!$A$2:$FA$300, 17, FALSE))</f>
        <v>4805.8999999999996</v>
      </c>
      <c r="S186" s="556">
        <f>IF(VLOOKUP($E$186,[1]UH!$A$2:$FA$300, 18, FALSE)="",":",VLOOKUP($E$186,[1]UH!$A$2:$FA$300, 18, FALSE))</f>
        <v>4888.7</v>
      </c>
      <c r="T186" s="556">
        <f>IF(VLOOKUP($E$186,[1]UH!$A$2:$FA$300, 19, FALSE)="",":",VLOOKUP($E$186,[1]UH!$A$2:$FA$300, 19, FALSE))</f>
        <v>5056.5</v>
      </c>
      <c r="U186" s="556">
        <f>IF(VLOOKUP($E$186,[1]UH!$A$2:$FA$300, 20, FALSE)="",":",VLOOKUP($E$186,[1]UH!$A$2:$FA$300, 20, FALSE))</f>
        <v>5085.7</v>
      </c>
      <c r="V186" s="556">
        <f>IF(VLOOKUP($E$186,[1]UH!$A$2:$FA$300, 21, FALSE)="",":",VLOOKUP($E$186,[1]UH!$A$2:$FA$300, 21, FALSE))</f>
        <v>5113.8</v>
      </c>
      <c r="W186" s="556">
        <f>IF(VLOOKUP($E$186,[1]UH!$A$2:$FA$300, 22, FALSE)="",":",VLOOKUP($E$186,[1]UH!$A$2:$FA$300, 22, FALSE))</f>
        <v>5281.3</v>
      </c>
      <c r="X186" s="556">
        <f>IF(VLOOKUP($E$186,[1]UH!$A$2:$FA$300, 23, FALSE)="",":",VLOOKUP($E$186,[1]UH!$A$2:$FA$300, 23, FALSE))</f>
        <v>5424.8</v>
      </c>
      <c r="Y186" s="556">
        <f>IF(VLOOKUP($E$186,[1]UH!$A$2:$FA$300, 24, FALSE)="",":",VLOOKUP($E$186,[1]UH!$A$2:$FA$300, 24, FALSE))</f>
        <v>5397.5</v>
      </c>
      <c r="Z186" s="556">
        <f>IF(VLOOKUP($E$186,[1]UH!$A$2:$FA$300, 25, FALSE)="",":",VLOOKUP($E$186,[1]UH!$A$2:$FA$300, 25, FALSE))</f>
        <v>5326.4</v>
      </c>
      <c r="AA186" s="556">
        <f>IF(VLOOKUP($E$186,[1]UH!$A$2:$FA$300, 26, FALSE)="",":",VLOOKUP($E$186,[1]UH!$A$2:$FA$300, 26, FALSE))</f>
        <v>5221.6000000000004</v>
      </c>
      <c r="AB186" s="556">
        <f>IF(VLOOKUP($E$186,[1]UH!$A$2:$FA$300, 27, FALSE)="",":",VLOOKUP($E$186,[1]UH!$A$2:$FA$300, 27, FALSE))</f>
        <v>5320.2</v>
      </c>
      <c r="AC186" s="556">
        <f>IF(VLOOKUP($E$186,[1]UH!$A$2:$FA$300, 28, FALSE)="",":",VLOOKUP($E$186,[1]UH!$A$2:$FA$300, 28, FALSE))</f>
        <v>0</v>
      </c>
      <c r="AD186" s="556" t="str">
        <f>IF(VLOOKUP($E$186,[1]UH!$A$2:$FA$300, 29, FALSE)="",":",VLOOKUP($E$186,[1]UH!$A$2:$FA$300, 29, FALSE))</f>
        <v>:</v>
      </c>
      <c r="AE186" s="556" t="str">
        <f>IF(VLOOKUP($E$186,[1]UH!$A$2:$FA$300, 30, FALSE)="",":",VLOOKUP($E$186,[1]UH!$A$2:$FA$300, 30, FALSE))</f>
        <v>:</v>
      </c>
      <c r="AF186" s="556" t="str">
        <f>IF(VLOOKUP($E$186,[1]UH!$A$2:$FA$300, 31, FALSE)="",":",VLOOKUP($E$186,[1]UH!$A$2:$FA$300, 31, FALSE))</f>
        <v>:</v>
      </c>
    </row>
    <row r="187" spans="1:32">
      <c r="A187" s="545"/>
      <c r="B187" s="546" t="s">
        <v>1915</v>
      </c>
      <c r="C187" s="547" t="s">
        <v>795</v>
      </c>
      <c r="D187" s="12" t="s">
        <v>1934</v>
      </c>
      <c r="E187" s="13">
        <v>13</v>
      </c>
      <c r="F187" s="14" t="str">
        <f>VLOOKUP($E$187,[1]UH!$A$2:$FA$300, 3, FALSE)</f>
        <v>13 Property income, receivable D.4r</v>
      </c>
      <c r="G187" s="556">
        <f ca="1">IF(VLOOKUP($E$187,[1]UH!$A$2:$FA$300, 6, FALSE)="",":",VLOOKUP($E$187,[1]UH!$A$2:$FA$300, 6, FALSE))</f>
        <v>31839.8</v>
      </c>
      <c r="H187" s="556">
        <f>IF(VLOOKUP($E$187,[1]UH!$A$2:$FA$300, 7, FALSE)="",":",VLOOKUP($E$187,[1]UH!$A$2:$FA$300, 7, FALSE))</f>
        <v>29717.9</v>
      </c>
      <c r="I187" s="556">
        <f>IF(VLOOKUP($E$187,[1]UH!$A$2:$FA$300, 8, FALSE)="",":",VLOOKUP($E$187,[1]UH!$A$2:$FA$300, 8, FALSE))</f>
        <v>29446.7</v>
      </c>
      <c r="J187" s="556">
        <f>IF(VLOOKUP($E$187,[1]UH!$A$2:$FA$300, 9, FALSE)="",":",VLOOKUP($E$187,[1]UH!$A$2:$FA$300, 9, FALSE))</f>
        <v>31543.5</v>
      </c>
      <c r="K187" s="556">
        <f>IF(VLOOKUP($E$187,[1]UH!$A$2:$FA$300, 10, FALSE)="",":",VLOOKUP($E$187,[1]UH!$A$2:$FA$300, 10, FALSE))</f>
        <v>29596.3</v>
      </c>
      <c r="L187" s="556">
        <f>IF(VLOOKUP($E$187,[1]UH!$A$2:$FA$300, 11, FALSE)="",":",VLOOKUP($E$187,[1]UH!$A$2:$FA$300, 11, FALSE))</f>
        <v>33464.5</v>
      </c>
      <c r="M187" s="556">
        <f>IF(VLOOKUP($E$187,[1]UH!$A$2:$FA$300, 12, FALSE)="",":",VLOOKUP($E$187,[1]UH!$A$2:$FA$300, 12, FALSE))</f>
        <v>34750.199999999997</v>
      </c>
      <c r="N187" s="556">
        <f>IF(VLOOKUP($E$187,[1]UH!$A$2:$FA$300, 13, FALSE)="",":",VLOOKUP($E$187,[1]UH!$A$2:$FA$300, 13, FALSE))</f>
        <v>31194.7</v>
      </c>
      <c r="O187" s="556">
        <f>IF(VLOOKUP($E$187,[1]UH!$A$2:$FA$300, 14, FALSE)="",":",VLOOKUP($E$187,[1]UH!$A$2:$FA$300, 14, FALSE))</f>
        <v>29492.3</v>
      </c>
      <c r="P187" s="556">
        <f>IF(VLOOKUP($E$187,[1]UH!$A$2:$FA$300, 15, FALSE)="",":",VLOOKUP($E$187,[1]UH!$A$2:$FA$300, 15, FALSE))</f>
        <v>29292</v>
      </c>
      <c r="Q187" s="556">
        <f>IF(VLOOKUP($E$187,[1]UH!$A$2:$FA$300, 16, FALSE)="",":",VLOOKUP($E$187,[1]UH!$A$2:$FA$300, 16, FALSE))</f>
        <v>30491.4</v>
      </c>
      <c r="R187" s="556">
        <f>IF(VLOOKUP($E$187,[1]UH!$A$2:$FA$300, 17, FALSE)="",":",VLOOKUP($E$187,[1]UH!$A$2:$FA$300, 17, FALSE))</f>
        <v>32534.799999999999</v>
      </c>
      <c r="S187" s="556">
        <f>IF(VLOOKUP($E$187,[1]UH!$A$2:$FA$300, 18, FALSE)="",":",VLOOKUP($E$187,[1]UH!$A$2:$FA$300, 18, FALSE))</f>
        <v>36341.5</v>
      </c>
      <c r="T187" s="556">
        <f>IF(VLOOKUP($E$187,[1]UH!$A$2:$FA$300, 19, FALSE)="",":",VLOOKUP($E$187,[1]UH!$A$2:$FA$300, 19, FALSE))</f>
        <v>40615.199999999997</v>
      </c>
      <c r="U187" s="556">
        <f>IF(VLOOKUP($E$187,[1]UH!$A$2:$FA$300, 20, FALSE)="",":",VLOOKUP($E$187,[1]UH!$A$2:$FA$300, 20, FALSE))</f>
        <v>37012.199999999997</v>
      </c>
      <c r="V187" s="556">
        <f>IF(VLOOKUP($E$187,[1]UH!$A$2:$FA$300, 21, FALSE)="",":",VLOOKUP($E$187,[1]UH!$A$2:$FA$300, 21, FALSE))</f>
        <v>36639.1</v>
      </c>
      <c r="W187" s="556">
        <f>IF(VLOOKUP($E$187,[1]UH!$A$2:$FA$300, 22, FALSE)="",":",VLOOKUP($E$187,[1]UH!$A$2:$FA$300, 22, FALSE))</f>
        <v>34977.1</v>
      </c>
      <c r="X187" s="556">
        <f>IF(VLOOKUP($E$187,[1]UH!$A$2:$FA$300, 23, FALSE)="",":",VLOOKUP($E$187,[1]UH!$A$2:$FA$300, 23, FALSE))</f>
        <v>32973.5</v>
      </c>
      <c r="Y187" s="556">
        <f>IF(VLOOKUP($E$187,[1]UH!$A$2:$FA$300, 24, FALSE)="",":",VLOOKUP($E$187,[1]UH!$A$2:$FA$300, 24, FALSE))</f>
        <v>31953.1</v>
      </c>
      <c r="Z187" s="556">
        <f>IF(VLOOKUP($E$187,[1]UH!$A$2:$FA$300, 25, FALSE)="",":",VLOOKUP($E$187,[1]UH!$A$2:$FA$300, 25, FALSE))</f>
        <v>30370.2</v>
      </c>
      <c r="AA187" s="556">
        <f>IF(VLOOKUP($E$187,[1]UH!$A$2:$FA$300, 26, FALSE)="",":",VLOOKUP($E$187,[1]UH!$A$2:$FA$300, 26, FALSE))</f>
        <v>29754</v>
      </c>
      <c r="AB187" s="556">
        <f>IF(VLOOKUP($E$187,[1]UH!$A$2:$FA$300, 27, FALSE)="",":",VLOOKUP($E$187,[1]UH!$A$2:$FA$300, 27, FALSE))</f>
        <v>28582.1</v>
      </c>
      <c r="AC187" s="556">
        <f>IF(VLOOKUP($E$187,[1]UH!$A$2:$FA$300, 28, FALSE)="",":",VLOOKUP($E$187,[1]UH!$A$2:$FA$300, 28, FALSE))</f>
        <v>0</v>
      </c>
      <c r="AD187" s="556" t="str">
        <f>IF(VLOOKUP($E$187,[1]UH!$A$2:$FA$300, 29, FALSE)="",":",VLOOKUP($E$187,[1]UH!$A$2:$FA$300, 29, FALSE))</f>
        <v>:</v>
      </c>
      <c r="AE187" s="556" t="str">
        <f>IF(VLOOKUP($E$187,[1]UH!$A$2:$FA$300, 30, FALSE)="",":",VLOOKUP($E$187,[1]UH!$A$2:$FA$300, 30, FALSE))</f>
        <v>:</v>
      </c>
      <c r="AF187" s="556" t="str">
        <f>IF(VLOOKUP($E$187,[1]UH!$A$2:$FA$300, 31, FALSE)="",":",VLOOKUP($E$187,[1]UH!$A$2:$FA$300, 31, FALSE))</f>
        <v>:</v>
      </c>
    </row>
    <row r="188" spans="1:32">
      <c r="A188" s="545"/>
      <c r="B188" s="546" t="s">
        <v>587</v>
      </c>
      <c r="C188" s="547" t="s">
        <v>796</v>
      </c>
      <c r="D188" s="12" t="s">
        <v>1934</v>
      </c>
      <c r="E188" s="13">
        <v>14</v>
      </c>
      <c r="F188" s="14" t="str">
        <f>VLOOKUP($E$188,[1]UH!$A$2:$FA$300, 3, FALSE)</f>
        <v>14 Property income, payable D.4p</v>
      </c>
      <c r="G188" s="556">
        <f ca="1">IF(VLOOKUP($E$188,[1]UH!$A$2:$FA$300, 6, FALSE)="",":",VLOOKUP($E$188,[1]UH!$A$2:$FA$300, 6, FALSE))</f>
        <v>3623.6</v>
      </c>
      <c r="H188" s="556">
        <f>IF(VLOOKUP($E$188,[1]UH!$A$2:$FA$300, 7, FALSE)="",":",VLOOKUP($E$188,[1]UH!$A$2:$FA$300, 7, FALSE))</f>
        <v>3292.7</v>
      </c>
      <c r="I188" s="556">
        <f>IF(VLOOKUP($E$188,[1]UH!$A$2:$FA$300, 8, FALSE)="",":",VLOOKUP($E$188,[1]UH!$A$2:$FA$300, 8, FALSE))</f>
        <v>3207.5</v>
      </c>
      <c r="J188" s="556">
        <f>IF(VLOOKUP($E$188,[1]UH!$A$2:$FA$300, 9, FALSE)="",":",VLOOKUP($E$188,[1]UH!$A$2:$FA$300, 9, FALSE))</f>
        <v>3784.6</v>
      </c>
      <c r="K188" s="556">
        <f>IF(VLOOKUP($E$188,[1]UH!$A$2:$FA$300, 10, FALSE)="",":",VLOOKUP($E$188,[1]UH!$A$2:$FA$300, 10, FALSE))</f>
        <v>3194.1</v>
      </c>
      <c r="L188" s="556">
        <f>IF(VLOOKUP($E$188,[1]UH!$A$2:$FA$300, 11, FALSE)="",":",VLOOKUP($E$188,[1]UH!$A$2:$FA$300, 11, FALSE))</f>
        <v>4195.1000000000004</v>
      </c>
      <c r="M188" s="556">
        <f>IF(VLOOKUP($E$188,[1]UH!$A$2:$FA$300, 12, FALSE)="",":",VLOOKUP($E$188,[1]UH!$A$2:$FA$300, 12, FALSE))</f>
        <v>4427.2</v>
      </c>
      <c r="N188" s="556">
        <f>IF(VLOOKUP($E$188,[1]UH!$A$2:$FA$300, 13, FALSE)="",":",VLOOKUP($E$188,[1]UH!$A$2:$FA$300, 13, FALSE))</f>
        <v>3225.2</v>
      </c>
      <c r="O188" s="556">
        <f>IF(VLOOKUP($E$188,[1]UH!$A$2:$FA$300, 14, FALSE)="",":",VLOOKUP($E$188,[1]UH!$A$2:$FA$300, 14, FALSE))</f>
        <v>2774.1</v>
      </c>
      <c r="P188" s="556">
        <f>IF(VLOOKUP($E$188,[1]UH!$A$2:$FA$300, 15, FALSE)="",":",VLOOKUP($E$188,[1]UH!$A$2:$FA$300, 15, FALSE))</f>
        <v>2266.6</v>
      </c>
      <c r="Q188" s="556">
        <f>IF(VLOOKUP($E$188,[1]UH!$A$2:$FA$300, 16, FALSE)="",":",VLOOKUP($E$188,[1]UH!$A$2:$FA$300, 16, FALSE))</f>
        <v>3126.9</v>
      </c>
      <c r="R188" s="556">
        <f>IF(VLOOKUP($E$188,[1]UH!$A$2:$FA$300, 17, FALSE)="",":",VLOOKUP($E$188,[1]UH!$A$2:$FA$300, 17, FALSE))</f>
        <v>4196</v>
      </c>
      <c r="S188" s="556">
        <f>IF(VLOOKUP($E$188,[1]UH!$A$2:$FA$300, 18, FALSE)="",":",VLOOKUP($E$188,[1]UH!$A$2:$FA$300, 18, FALSE))</f>
        <v>6075.5</v>
      </c>
      <c r="T188" s="556">
        <f>IF(VLOOKUP($E$188,[1]UH!$A$2:$FA$300, 19, FALSE)="",":",VLOOKUP($E$188,[1]UH!$A$2:$FA$300, 19, FALSE))</f>
        <v>6642.6</v>
      </c>
      <c r="U188" s="556">
        <f>IF(VLOOKUP($E$188,[1]UH!$A$2:$FA$300, 20, FALSE)="",":",VLOOKUP($E$188,[1]UH!$A$2:$FA$300, 20, FALSE))</f>
        <v>4377.2</v>
      </c>
      <c r="V188" s="556">
        <f>IF(VLOOKUP($E$188,[1]UH!$A$2:$FA$300, 21, FALSE)="",":",VLOOKUP($E$188,[1]UH!$A$2:$FA$300, 21, FALSE))</f>
        <v>3771.9</v>
      </c>
      <c r="W188" s="556">
        <f>IF(VLOOKUP($E$188,[1]UH!$A$2:$FA$300, 22, FALSE)="",":",VLOOKUP($E$188,[1]UH!$A$2:$FA$300, 22, FALSE))</f>
        <v>4131.2</v>
      </c>
      <c r="X188" s="556">
        <f>IF(VLOOKUP($E$188,[1]UH!$A$2:$FA$300, 23, FALSE)="",":",VLOOKUP($E$188,[1]UH!$A$2:$FA$300, 23, FALSE))</f>
        <v>3804.7</v>
      </c>
      <c r="Y188" s="556">
        <f>IF(VLOOKUP($E$188,[1]UH!$A$2:$FA$300, 24, FALSE)="",":",VLOOKUP($E$188,[1]UH!$A$2:$FA$300, 24, FALSE))</f>
        <v>2725.8</v>
      </c>
      <c r="Z188" s="556">
        <f>IF(VLOOKUP($E$188,[1]UH!$A$2:$FA$300, 25, FALSE)="",":",VLOOKUP($E$188,[1]UH!$A$2:$FA$300, 25, FALSE))</f>
        <v>2625.7</v>
      </c>
      <c r="AA188" s="556">
        <f>IF(VLOOKUP($E$188,[1]UH!$A$2:$FA$300, 26, FALSE)="",":",VLOOKUP($E$188,[1]UH!$A$2:$FA$300, 26, FALSE))</f>
        <v>2698.5</v>
      </c>
      <c r="AB188" s="556">
        <f>IF(VLOOKUP($E$188,[1]UH!$A$2:$FA$300, 27, FALSE)="",":",VLOOKUP($E$188,[1]UH!$A$2:$FA$300, 27, FALSE))</f>
        <v>2324.4</v>
      </c>
      <c r="AC188" s="556">
        <f>IF(VLOOKUP($E$188,[1]UH!$A$2:$FA$300, 28, FALSE)="",":",VLOOKUP($E$188,[1]UH!$A$2:$FA$300, 28, FALSE))</f>
        <v>0</v>
      </c>
      <c r="AD188" s="556" t="str">
        <f>IF(VLOOKUP($E$188,[1]UH!$A$2:$FA$300, 29, FALSE)="",":",VLOOKUP($E$188,[1]UH!$A$2:$FA$300, 29, FALSE))</f>
        <v>:</v>
      </c>
      <c r="AE188" s="556" t="str">
        <f>IF(VLOOKUP($E$188,[1]UH!$A$2:$FA$300, 30, FALSE)="",":",VLOOKUP($E$188,[1]UH!$A$2:$FA$300, 30, FALSE))</f>
        <v>:</v>
      </c>
      <c r="AF188" s="556" t="str">
        <f>IF(VLOOKUP($E$188,[1]UH!$A$2:$FA$300, 31, FALSE)="",":",VLOOKUP($E$188,[1]UH!$A$2:$FA$300, 31, FALSE))</f>
        <v>:</v>
      </c>
    </row>
    <row r="189" spans="1:32" s="552" customFormat="1">
      <c r="A189" s="548"/>
      <c r="B189" s="549" t="s">
        <v>586</v>
      </c>
      <c r="C189" s="550" t="s">
        <v>585</v>
      </c>
      <c r="D189" s="540"/>
      <c r="E189" s="541"/>
      <c r="F189" s="551"/>
      <c r="G189" s="557">
        <f ca="1">+G187-G188</f>
        <v>28216.2</v>
      </c>
      <c r="H189" s="557">
        <f t="shared" ref="H189:AF189" si="6">+H187-H188</f>
        <v>26425.200000000001</v>
      </c>
      <c r="I189" s="557">
        <f t="shared" si="6"/>
        <v>26239.200000000001</v>
      </c>
      <c r="J189" s="557">
        <f t="shared" si="6"/>
        <v>27758.9</v>
      </c>
      <c r="K189" s="557">
        <f t="shared" si="6"/>
        <v>26402.2</v>
      </c>
      <c r="L189" s="557">
        <f t="shared" si="6"/>
        <v>29269.4</v>
      </c>
      <c r="M189" s="557">
        <f t="shared" si="6"/>
        <v>30322.999999999996</v>
      </c>
      <c r="N189" s="557">
        <f t="shared" si="6"/>
        <v>27969.5</v>
      </c>
      <c r="O189" s="557">
        <f t="shared" si="6"/>
        <v>26718.2</v>
      </c>
      <c r="P189" s="557">
        <f t="shared" si="6"/>
        <v>27025.4</v>
      </c>
      <c r="Q189" s="557">
        <f t="shared" si="6"/>
        <v>27364.5</v>
      </c>
      <c r="R189" s="557">
        <f t="shared" si="6"/>
        <v>28338.799999999999</v>
      </c>
      <c r="S189" s="557">
        <f t="shared" si="6"/>
        <v>30266</v>
      </c>
      <c r="T189" s="557">
        <f t="shared" si="6"/>
        <v>33972.6</v>
      </c>
      <c r="U189" s="557">
        <f t="shared" si="6"/>
        <v>32634.999999999996</v>
      </c>
      <c r="V189" s="557">
        <f t="shared" si="6"/>
        <v>32867.199999999997</v>
      </c>
      <c r="W189" s="557">
        <f t="shared" si="6"/>
        <v>30845.899999999998</v>
      </c>
      <c r="X189" s="557">
        <f t="shared" si="6"/>
        <v>29168.799999999999</v>
      </c>
      <c r="Y189" s="557">
        <f t="shared" si="6"/>
        <v>29227.3</v>
      </c>
      <c r="Z189" s="557">
        <f t="shared" si="6"/>
        <v>27744.5</v>
      </c>
      <c r="AA189" s="557">
        <f t="shared" si="6"/>
        <v>27055.5</v>
      </c>
      <c r="AB189" s="557">
        <f t="shared" si="6"/>
        <v>26257.699999999997</v>
      </c>
      <c r="AC189" s="557">
        <f t="shared" si="6"/>
        <v>0</v>
      </c>
      <c r="AD189" s="557" t="e">
        <f t="shared" si="6"/>
        <v>#VALUE!</v>
      </c>
      <c r="AE189" s="557" t="e">
        <f t="shared" si="6"/>
        <v>#VALUE!</v>
      </c>
      <c r="AF189" s="557" t="e">
        <f t="shared" si="6"/>
        <v>#VALUE!</v>
      </c>
    </row>
    <row r="190" spans="1:32">
      <c r="A190" s="545"/>
      <c r="B190" s="546"/>
      <c r="C190" s="547"/>
      <c r="D190" s="12"/>
      <c r="E190" s="13"/>
      <c r="F190" s="14"/>
      <c r="G190" s="556"/>
      <c r="H190" s="556"/>
      <c r="I190" s="556"/>
      <c r="J190" s="556"/>
      <c r="K190" s="556"/>
      <c r="L190" s="556"/>
      <c r="M190" s="556"/>
      <c r="N190" s="556"/>
      <c r="O190" s="556"/>
      <c r="P190" s="556"/>
      <c r="Q190" s="556"/>
      <c r="R190" s="556"/>
      <c r="S190" s="556"/>
      <c r="T190" s="556"/>
      <c r="U190" s="556"/>
      <c r="V190" s="556"/>
      <c r="W190" s="556"/>
      <c r="X190" s="556"/>
      <c r="Y190" s="556"/>
      <c r="Z190" s="556"/>
      <c r="AA190" s="556"/>
      <c r="AB190" s="556"/>
      <c r="AC190" s="556"/>
      <c r="AD190" s="556"/>
      <c r="AE190" s="556"/>
      <c r="AF190" s="556"/>
    </row>
    <row r="191" spans="1:32">
      <c r="A191" s="545">
        <v>92</v>
      </c>
      <c r="B191" s="546" t="s">
        <v>301</v>
      </c>
      <c r="C191" s="547" t="s">
        <v>1767</v>
      </c>
      <c r="D191" s="12" t="s">
        <v>1934</v>
      </c>
      <c r="E191" s="13">
        <v>19</v>
      </c>
      <c r="F191" s="14" t="str">
        <f>VLOOKUP($E$191,[1]UH!$A$2:$FA$300, 3, FALSE)</f>
        <v>19 Current taxes on income and wealth, payable D.5p</v>
      </c>
      <c r="G191" s="556">
        <f ca="1">IF(VLOOKUP($E$191,[1]UH!$A$2:$FA$300, 6, FALSE)="",":",VLOOKUP($E$191,[1]UH!$A$2:$FA$300, 6, FALSE))</f>
        <v>28452.5</v>
      </c>
      <c r="H191" s="556">
        <f>IF(VLOOKUP($E$191,[1]UH!$A$2:$FA$300, 7, FALSE)="",":",VLOOKUP($E$191,[1]UH!$A$2:$FA$300, 7, FALSE))</f>
        <v>28425.200000000001</v>
      </c>
      <c r="I191" s="556">
        <f>IF(VLOOKUP($E$191,[1]UH!$A$2:$FA$300, 8, FALSE)="",":",VLOOKUP($E$191,[1]UH!$A$2:$FA$300, 8, FALSE))</f>
        <v>30247.3</v>
      </c>
      <c r="J191" s="556">
        <f>IF(VLOOKUP($E$191,[1]UH!$A$2:$FA$300, 9, FALSE)="",":",VLOOKUP($E$191,[1]UH!$A$2:$FA$300, 9, FALSE))</f>
        <v>31367.4</v>
      </c>
      <c r="K191" s="556">
        <f>IF(VLOOKUP($E$191,[1]UH!$A$2:$FA$300, 10, FALSE)="",":",VLOOKUP($E$191,[1]UH!$A$2:$FA$300, 10, FALSE))</f>
        <v>31906.2</v>
      </c>
      <c r="L191" s="556">
        <f>IF(VLOOKUP($E$191,[1]UH!$A$2:$FA$300, 11, FALSE)="",":",VLOOKUP($E$191,[1]UH!$A$2:$FA$300, 11, FALSE))</f>
        <v>34104.800000000003</v>
      </c>
      <c r="M191" s="556">
        <f>IF(VLOOKUP($E$191,[1]UH!$A$2:$FA$300, 12, FALSE)="",":",VLOOKUP($E$191,[1]UH!$A$2:$FA$300, 12, FALSE))</f>
        <v>35866.800000000003</v>
      </c>
      <c r="N191" s="556">
        <f>IF(VLOOKUP($E$191,[1]UH!$A$2:$FA$300, 13, FALSE)="",":",VLOOKUP($E$191,[1]UH!$A$2:$FA$300, 13, FALSE))</f>
        <v>37044.1</v>
      </c>
      <c r="O191" s="556">
        <f>IF(VLOOKUP($E$191,[1]UH!$A$2:$FA$300, 14, FALSE)="",":",VLOOKUP($E$191,[1]UH!$A$2:$FA$300, 14, FALSE))</f>
        <v>37001.599999999999</v>
      </c>
      <c r="P191" s="556">
        <f>IF(VLOOKUP($E$191,[1]UH!$A$2:$FA$300, 15, FALSE)="",":",VLOOKUP($E$191,[1]UH!$A$2:$FA$300, 15, FALSE))</f>
        <v>38584.5</v>
      </c>
      <c r="Q191" s="556">
        <f>IF(VLOOKUP($E$191,[1]UH!$A$2:$FA$300, 16, FALSE)="",":",VLOOKUP($E$191,[1]UH!$A$2:$FA$300, 16, FALSE))</f>
        <v>40154.199999999997</v>
      </c>
      <c r="R191" s="556">
        <f>IF(VLOOKUP($E$191,[1]UH!$A$2:$FA$300, 17, FALSE)="",":",VLOOKUP($E$191,[1]UH!$A$2:$FA$300, 17, FALSE))</f>
        <v>40509.599999999999</v>
      </c>
      <c r="S191" s="556">
        <f>IF(VLOOKUP($E$191,[1]UH!$A$2:$FA$300, 18, FALSE)="",":",VLOOKUP($E$191,[1]UH!$A$2:$FA$300, 18, FALSE))</f>
        <v>42131.5</v>
      </c>
      <c r="T191" s="556">
        <f>IF(VLOOKUP($E$191,[1]UH!$A$2:$FA$300, 19, FALSE)="",":",VLOOKUP($E$191,[1]UH!$A$2:$FA$300, 19, FALSE))</f>
        <v>44778.400000000001</v>
      </c>
      <c r="U191" s="556">
        <f>IF(VLOOKUP($E$191,[1]UH!$A$2:$FA$300, 20, FALSE)="",":",VLOOKUP($E$191,[1]UH!$A$2:$FA$300, 20, FALSE))</f>
        <v>43255</v>
      </c>
      <c r="V191" s="556">
        <f>IF(VLOOKUP($E$191,[1]UH!$A$2:$FA$300, 21, FALSE)="",":",VLOOKUP($E$191,[1]UH!$A$2:$FA$300, 21, FALSE))</f>
        <v>45653.599999999999</v>
      </c>
      <c r="W191" s="556">
        <f>IF(VLOOKUP($E$191,[1]UH!$A$2:$FA$300, 22, FALSE)="",":",VLOOKUP($E$191,[1]UH!$A$2:$FA$300, 22, FALSE))</f>
        <v>48299</v>
      </c>
      <c r="X191" s="556">
        <f>IF(VLOOKUP($E$191,[1]UH!$A$2:$FA$300, 23, FALSE)="",":",VLOOKUP($E$191,[1]UH!$A$2:$FA$300, 23, FALSE))</f>
        <v>50078.400000000001</v>
      </c>
      <c r="Y191" s="556">
        <f>IF(VLOOKUP($E$191,[1]UH!$A$2:$FA$300, 24, FALSE)="",":",VLOOKUP($E$191,[1]UH!$A$2:$FA$300, 24, FALSE))</f>
        <v>52613.2</v>
      </c>
      <c r="Z191" s="556">
        <f>IF(VLOOKUP($E$191,[1]UH!$A$2:$FA$300, 25, FALSE)="",":",VLOOKUP($E$191,[1]UH!$A$2:$FA$300, 25, FALSE))</f>
        <v>53620.3</v>
      </c>
      <c r="AA191" s="556">
        <f>IF(VLOOKUP($E$191,[1]UH!$A$2:$FA$300, 26, FALSE)="",":",VLOOKUP($E$191,[1]UH!$A$2:$FA$300, 26, FALSE))</f>
        <v>53569.8</v>
      </c>
      <c r="AB191" s="556">
        <f>IF(VLOOKUP($E$191,[1]UH!$A$2:$FA$300, 27, FALSE)="",":",VLOOKUP($E$191,[1]UH!$A$2:$FA$300, 27, FALSE))</f>
        <v>53116.1</v>
      </c>
      <c r="AC191" s="556">
        <f>IF(VLOOKUP($E$191,[1]UH!$A$2:$FA$300, 28, FALSE)="",":",VLOOKUP($E$191,[1]UH!$A$2:$FA$300, 28, FALSE))</f>
        <v>0</v>
      </c>
      <c r="AD191" s="556" t="str">
        <f>IF(VLOOKUP($E$191,[1]UH!$A$2:$FA$300, 29, FALSE)="",":",VLOOKUP($E$191,[1]UH!$A$2:$FA$300, 29, FALSE))</f>
        <v>:</v>
      </c>
      <c r="AE191" s="556" t="str">
        <f>IF(VLOOKUP($E$191,[1]UH!$A$2:$FA$300, 30, FALSE)="",":",VLOOKUP($E$191,[1]UH!$A$2:$FA$300, 30, FALSE))</f>
        <v>:</v>
      </c>
      <c r="AF191" s="556" t="str">
        <f>IF(VLOOKUP($E$191,[1]UH!$A$2:$FA$300, 31, FALSE)="",":",VLOOKUP($E$191,[1]UH!$A$2:$FA$300, 31, FALSE))</f>
        <v>:</v>
      </c>
    </row>
    <row r="192" spans="1:32">
      <c r="A192" s="545"/>
      <c r="B192" s="546"/>
      <c r="C192" s="547" t="s">
        <v>1338</v>
      </c>
      <c r="D192" s="12" t="s">
        <v>1934</v>
      </c>
      <c r="E192" s="13" t="s">
        <v>1339</v>
      </c>
      <c r="F192" s="14" t="str">
        <f>VLOOKUP($E$192,[1]UH!$A$2:$FA$300, 3, FALSE)</f>
        <v>19a  Taxes on income D.51</v>
      </c>
      <c r="G192" s="556">
        <f>IF(VLOOKUP($E$192,[1]UH!$A$2:$FA$300, 6, FALSE)="",":",VLOOKUP($E$192,[1]UH!$A$2:$FA$300, 6, FALSE))</f>
        <v>27694.1</v>
      </c>
      <c r="H192" s="556">
        <f>IF(VLOOKUP($E$192,[1]UH!$A$2:$FA$300, 7, FALSE)="",":",VLOOKUP($E$192,[1]UH!$A$2:$FA$300, 7, FALSE))</f>
        <v>27440.1</v>
      </c>
      <c r="I192" s="556">
        <f>IF(VLOOKUP($E$192,[1]UH!$A$2:$FA$300, 8, FALSE)="",":",VLOOKUP($E$192,[1]UH!$A$2:$FA$300, 8, FALSE))</f>
        <v>29216.5</v>
      </c>
      <c r="J192" s="556">
        <f>IF(VLOOKUP($E$192,[1]UH!$A$2:$FA$300, 9, FALSE)="",":",VLOOKUP($E$192,[1]UH!$A$2:$FA$300, 9, FALSE))</f>
        <v>30356.400000000001</v>
      </c>
      <c r="K192" s="556">
        <f>IF(VLOOKUP($E$192,[1]UH!$A$2:$FA$300, 10, FALSE)="",":",VLOOKUP($E$192,[1]UH!$A$2:$FA$300, 10, FALSE))</f>
        <v>30751.200000000001</v>
      </c>
      <c r="L192" s="556">
        <f>IF(VLOOKUP($E$192,[1]UH!$A$2:$FA$300, 11, FALSE)="",":",VLOOKUP($E$192,[1]UH!$A$2:$FA$300, 11, FALSE))</f>
        <v>33015.4</v>
      </c>
      <c r="M192" s="556">
        <f>IF(VLOOKUP($E$192,[1]UH!$A$2:$FA$300, 12, FALSE)="",":",VLOOKUP($E$192,[1]UH!$A$2:$FA$300, 12, FALSE))</f>
        <v>34729.199999999997</v>
      </c>
      <c r="N192" s="556">
        <f>IF(VLOOKUP($E$192,[1]UH!$A$2:$FA$300, 13, FALSE)="",":",VLOOKUP($E$192,[1]UH!$A$2:$FA$300, 13, FALSE))</f>
        <v>35581.800000000003</v>
      </c>
      <c r="O192" s="556">
        <f>IF(VLOOKUP($E$192,[1]UH!$A$2:$FA$300, 14, FALSE)="",":",VLOOKUP($E$192,[1]UH!$A$2:$FA$300, 14, FALSE))</f>
        <v>35571.1</v>
      </c>
      <c r="P192" s="556">
        <f>IF(VLOOKUP($E$192,[1]UH!$A$2:$FA$300, 15, FALSE)="",":",VLOOKUP($E$192,[1]UH!$A$2:$FA$300, 15, FALSE))</f>
        <v>37123.599999999999</v>
      </c>
      <c r="Q192" s="556">
        <f>IF(VLOOKUP($E$192,[1]UH!$A$2:$FA$300, 16, FALSE)="",":",VLOOKUP($E$192,[1]UH!$A$2:$FA$300, 16, FALSE))</f>
        <v>38651.1</v>
      </c>
      <c r="R192" s="556">
        <f>IF(VLOOKUP($E$192,[1]UH!$A$2:$FA$300, 17, FALSE)="",":",VLOOKUP($E$192,[1]UH!$A$2:$FA$300, 17, FALSE))</f>
        <v>38983.9</v>
      </c>
      <c r="S192" s="556">
        <f>IF(VLOOKUP($E$192,[1]UH!$A$2:$FA$300, 18, FALSE)="",":",VLOOKUP($E$192,[1]UH!$A$2:$FA$300, 18, FALSE))</f>
        <v>40541.699999999997</v>
      </c>
      <c r="T192" s="556">
        <f>IF(VLOOKUP($E$192,[1]UH!$A$2:$FA$300, 19, FALSE)="",":",VLOOKUP($E$192,[1]UH!$A$2:$FA$300, 19, FALSE))</f>
        <v>43219.7</v>
      </c>
      <c r="U192" s="556">
        <f>IF(VLOOKUP($E$192,[1]UH!$A$2:$FA$300, 20, FALSE)="",":",VLOOKUP($E$192,[1]UH!$A$2:$FA$300, 20, FALSE))</f>
        <v>41731.5</v>
      </c>
      <c r="V192" s="556">
        <f>IF(VLOOKUP($E$192,[1]UH!$A$2:$FA$300, 21, FALSE)="",":",VLOOKUP($E$192,[1]UH!$A$2:$FA$300, 21, FALSE))</f>
        <v>44096.6</v>
      </c>
      <c r="W192" s="556">
        <f>IF(VLOOKUP($E$192,[1]UH!$A$2:$FA$300, 22, FALSE)="",":",VLOOKUP($E$192,[1]UH!$A$2:$FA$300, 22, FALSE))</f>
        <v>46651.8</v>
      </c>
      <c r="X192" s="556">
        <f>IF(VLOOKUP($E$192,[1]UH!$A$2:$FA$300, 23, FALSE)="",":",VLOOKUP($E$192,[1]UH!$A$2:$FA$300, 23, FALSE))</f>
        <v>48454.8</v>
      </c>
      <c r="Y192" s="556">
        <f>IF(VLOOKUP($E$192,[1]UH!$A$2:$FA$300, 24, FALSE)="",":",VLOOKUP($E$192,[1]UH!$A$2:$FA$300, 24, FALSE))</f>
        <v>51055.7</v>
      </c>
      <c r="Z192" s="556">
        <f>IF(VLOOKUP($E$192,[1]UH!$A$2:$FA$300, 25, FALSE)="",":",VLOOKUP($E$192,[1]UH!$A$2:$FA$300, 25, FALSE))</f>
        <v>52072</v>
      </c>
      <c r="AA192" s="556">
        <f>IF(VLOOKUP($E$192,[1]UH!$A$2:$FA$300, 26, FALSE)="",":",VLOOKUP($E$192,[1]UH!$A$2:$FA$300, 26, FALSE))</f>
        <v>51958.2</v>
      </c>
      <c r="AB192" s="556">
        <f>IF(VLOOKUP($E$192,[1]UH!$A$2:$FA$300, 27, FALSE)="",":",VLOOKUP($E$192,[1]UH!$A$2:$FA$300, 27, FALSE))</f>
        <v>51514.3</v>
      </c>
      <c r="AC192" s="556">
        <f>IF(VLOOKUP($E$192,[1]UH!$A$2:$FA$300, 28, FALSE)="",":",VLOOKUP($E$192,[1]UH!$A$2:$FA$300, 28, FALSE))</f>
        <v>0</v>
      </c>
      <c r="AD192" s="556" t="str">
        <f>IF(VLOOKUP($E$192,[1]UH!$A$2:$FA$300, 29, FALSE)="",":",VLOOKUP($E$192,[1]UH!$A$2:$FA$300, 29, FALSE))</f>
        <v>:</v>
      </c>
      <c r="AE192" s="556" t="str">
        <f>IF(VLOOKUP($E$192,[1]UH!$A$2:$FA$300, 30, FALSE)="",":",VLOOKUP($E$192,[1]UH!$A$2:$FA$300, 30, FALSE))</f>
        <v>:</v>
      </c>
      <c r="AF192" s="556" t="str">
        <f>IF(VLOOKUP($E$192,[1]UH!$A$2:$FA$300, 31, FALSE)="",":",VLOOKUP($E$192,[1]UH!$A$2:$FA$300, 31, FALSE))</f>
        <v>:</v>
      </c>
    </row>
    <row r="193" spans="1:32">
      <c r="A193" s="545"/>
      <c r="B193" s="546"/>
      <c r="C193" s="547" t="s">
        <v>1340</v>
      </c>
      <c r="D193" s="12" t="s">
        <v>1934</v>
      </c>
      <c r="E193" s="13" t="s">
        <v>1341</v>
      </c>
      <c r="F193" s="14" t="str">
        <f>VLOOKUP($E$193,[1]UH!$A$2:$FA$300, 3, FALSE)</f>
        <v>19b Other current taxes D.59</v>
      </c>
      <c r="G193" s="556">
        <f>IF(VLOOKUP($E$193,[1]UH!$A$2:$FA$300, 6, FALSE)="",":",VLOOKUP($E$193,[1]UH!$A$2:$FA$300, 6, FALSE))</f>
        <v>758.4</v>
      </c>
      <c r="H193" s="556">
        <f>IF(VLOOKUP($E$193,[1]UH!$A$2:$FA$300, 7, FALSE)="",":",VLOOKUP($E$193,[1]UH!$A$2:$FA$300, 7, FALSE))</f>
        <v>985.1</v>
      </c>
      <c r="I193" s="556">
        <f>IF(VLOOKUP($E$193,[1]UH!$A$2:$FA$300, 8, FALSE)="",":",VLOOKUP($E$193,[1]UH!$A$2:$FA$300, 8, FALSE))</f>
        <v>1030.8</v>
      </c>
      <c r="J193" s="556">
        <f>IF(VLOOKUP($E$193,[1]UH!$A$2:$FA$300, 9, FALSE)="",":",VLOOKUP($E$193,[1]UH!$A$2:$FA$300, 9, FALSE))</f>
        <v>1011</v>
      </c>
      <c r="K193" s="556">
        <f>IF(VLOOKUP($E$193,[1]UH!$A$2:$FA$300, 10, FALSE)="",":",VLOOKUP($E$193,[1]UH!$A$2:$FA$300, 10, FALSE))</f>
        <v>1155</v>
      </c>
      <c r="L193" s="556">
        <f>IF(VLOOKUP($E$193,[1]UH!$A$2:$FA$300, 11, FALSE)="",":",VLOOKUP($E$193,[1]UH!$A$2:$FA$300, 11, FALSE))</f>
        <v>1089.4000000000001</v>
      </c>
      <c r="M193" s="556">
        <f>IF(VLOOKUP($E$193,[1]UH!$A$2:$FA$300, 12, FALSE)="",":",VLOOKUP($E$193,[1]UH!$A$2:$FA$300, 12, FALSE))</f>
        <v>1137.5999999999999</v>
      </c>
      <c r="N193" s="556">
        <f>IF(VLOOKUP($E$193,[1]UH!$A$2:$FA$300, 13, FALSE)="",":",VLOOKUP($E$193,[1]UH!$A$2:$FA$300, 13, FALSE))</f>
        <v>1462.3</v>
      </c>
      <c r="O193" s="556">
        <f>IF(VLOOKUP($E$193,[1]UH!$A$2:$FA$300, 14, FALSE)="",":",VLOOKUP($E$193,[1]UH!$A$2:$FA$300, 14, FALSE))</f>
        <v>1430.5</v>
      </c>
      <c r="P193" s="556">
        <f>IF(VLOOKUP($E$193,[1]UH!$A$2:$FA$300, 15, FALSE)="",":",VLOOKUP($E$193,[1]UH!$A$2:$FA$300, 15, FALSE))</f>
        <v>1460.8999999999999</v>
      </c>
      <c r="Q193" s="556">
        <f>IF(VLOOKUP($E$193,[1]UH!$A$2:$FA$300, 16, FALSE)="",":",VLOOKUP($E$193,[1]UH!$A$2:$FA$300, 16, FALSE))</f>
        <v>1503.1000000000001</v>
      </c>
      <c r="R193" s="556">
        <f>IF(VLOOKUP($E$193,[1]UH!$A$2:$FA$300, 17, FALSE)="",":",VLOOKUP($E$193,[1]UH!$A$2:$FA$300, 17, FALSE))</f>
        <v>1525.6999999999998</v>
      </c>
      <c r="S193" s="556">
        <f>IF(VLOOKUP($E$193,[1]UH!$A$2:$FA$300, 18, FALSE)="",":",VLOOKUP($E$193,[1]UH!$A$2:$FA$300, 18, FALSE))</f>
        <v>1589.8</v>
      </c>
      <c r="T193" s="556">
        <f>IF(VLOOKUP($E$193,[1]UH!$A$2:$FA$300, 19, FALSE)="",":",VLOOKUP($E$193,[1]UH!$A$2:$FA$300, 19, FALSE))</f>
        <v>1558.7</v>
      </c>
      <c r="U193" s="556">
        <f>IF(VLOOKUP($E$193,[1]UH!$A$2:$FA$300, 20, FALSE)="",":",VLOOKUP($E$193,[1]UH!$A$2:$FA$300, 20, FALSE))</f>
        <v>1523.5</v>
      </c>
      <c r="V193" s="556">
        <f>IF(VLOOKUP($E$193,[1]UH!$A$2:$FA$300, 21, FALSE)="",":",VLOOKUP($E$193,[1]UH!$A$2:$FA$300, 21, FALSE))</f>
        <v>1557</v>
      </c>
      <c r="W193" s="556">
        <f>IF(VLOOKUP($E$193,[1]UH!$A$2:$FA$300, 22, FALSE)="",":",VLOOKUP($E$193,[1]UH!$A$2:$FA$300, 22, FALSE))</f>
        <v>1647.2</v>
      </c>
      <c r="X193" s="556">
        <f>IF(VLOOKUP($E$193,[1]UH!$A$2:$FA$300, 23, FALSE)="",":",VLOOKUP($E$193,[1]UH!$A$2:$FA$300, 23, FALSE))</f>
        <v>1623.6</v>
      </c>
      <c r="Y193" s="556">
        <f>IF(VLOOKUP($E$193,[1]UH!$A$2:$FA$300, 24, FALSE)="",":",VLOOKUP($E$193,[1]UH!$A$2:$FA$300, 24, FALSE))</f>
        <v>1557.5</v>
      </c>
      <c r="Z193" s="556">
        <f>IF(VLOOKUP($E$193,[1]UH!$A$2:$FA$300, 25, FALSE)="",":",VLOOKUP($E$193,[1]UH!$A$2:$FA$300, 25, FALSE))</f>
        <v>1548.3</v>
      </c>
      <c r="AA193" s="556">
        <f>IF(VLOOKUP($E$193,[1]UH!$A$2:$FA$300, 26, FALSE)="",":",VLOOKUP($E$193,[1]UH!$A$2:$FA$300, 26, FALSE))</f>
        <v>1611.6</v>
      </c>
      <c r="AB193" s="556">
        <f>IF(VLOOKUP($E$193,[1]UH!$A$2:$FA$300, 27, FALSE)="",":",VLOOKUP($E$193,[1]UH!$A$2:$FA$300, 27, FALSE))</f>
        <v>1601.8</v>
      </c>
      <c r="AC193" s="556">
        <f>IF(VLOOKUP($E$193,[1]UH!$A$2:$FA$300, 28, FALSE)="",":",VLOOKUP($E$193,[1]UH!$A$2:$FA$300, 28, FALSE))</f>
        <v>0</v>
      </c>
      <c r="AD193" s="556" t="str">
        <f>IF(VLOOKUP($E$193,[1]UH!$A$2:$FA$300, 29, FALSE)="",":",VLOOKUP($E$193,[1]UH!$A$2:$FA$300, 29, FALSE))</f>
        <v>:</v>
      </c>
      <c r="AE193" s="556" t="str">
        <f>IF(VLOOKUP($E$193,[1]UH!$A$2:$FA$300, 30, FALSE)="",":",VLOOKUP($E$193,[1]UH!$A$2:$FA$300, 30, FALSE))</f>
        <v>:</v>
      </c>
      <c r="AF193" s="556" t="str">
        <f>IF(VLOOKUP($E$193,[1]UH!$A$2:$FA$300, 31, FALSE)="",":",VLOOKUP($E$193,[1]UH!$A$2:$FA$300, 31, FALSE))</f>
        <v>:</v>
      </c>
    </row>
    <row r="194" spans="1:32">
      <c r="A194" s="545"/>
      <c r="B194" s="546" t="s">
        <v>1938</v>
      </c>
      <c r="C194" s="547" t="s">
        <v>797</v>
      </c>
      <c r="D194" s="12" t="s">
        <v>1934</v>
      </c>
      <c r="E194" s="13">
        <v>16</v>
      </c>
      <c r="F194" s="14" t="str">
        <f>VLOOKUP($E$194,[1]UH!$A$2:$FA$300, 3, FALSE)</f>
        <v>16 Social contributions, receivable D.61r</v>
      </c>
      <c r="G194" s="556">
        <f ca="1">IF(VLOOKUP($E$194,[1]UH!$A$2:$FA$300, 6, FALSE)="",":",VLOOKUP($E$194,[1]UH!$A$2:$FA$300, 6, FALSE))</f>
        <v>102.4</v>
      </c>
      <c r="H194" s="556">
        <f>IF(VLOOKUP($E$194,[1]UH!$A$2:$FA$300, 7, FALSE)="",":",VLOOKUP($E$194,[1]UH!$A$2:$FA$300, 7, FALSE))</f>
        <v>105.6</v>
      </c>
      <c r="I194" s="556">
        <f>IF(VLOOKUP($E$194,[1]UH!$A$2:$FA$300, 8, FALSE)="",":",VLOOKUP($E$194,[1]UH!$A$2:$FA$300, 8, FALSE))</f>
        <v>106.7</v>
      </c>
      <c r="J194" s="556">
        <f>IF(VLOOKUP($E$194,[1]UH!$A$2:$FA$300, 9, FALSE)="",":",VLOOKUP($E$194,[1]UH!$A$2:$FA$300, 9, FALSE))</f>
        <v>108</v>
      </c>
      <c r="K194" s="556">
        <f>IF(VLOOKUP($E$194,[1]UH!$A$2:$FA$300, 10, FALSE)="",":",VLOOKUP($E$194,[1]UH!$A$2:$FA$300, 10, FALSE))</f>
        <v>113.5</v>
      </c>
      <c r="L194" s="556">
        <f>IF(VLOOKUP($E$194,[1]UH!$A$2:$FA$300, 11, FALSE)="",":",VLOOKUP($E$194,[1]UH!$A$2:$FA$300, 11, FALSE))</f>
        <v>119.4</v>
      </c>
      <c r="M194" s="556">
        <f>IF(VLOOKUP($E$194,[1]UH!$A$2:$FA$300, 12, FALSE)="",":",VLOOKUP($E$194,[1]UH!$A$2:$FA$300, 12, FALSE))</f>
        <v>125.2</v>
      </c>
      <c r="N194" s="556">
        <f>IF(VLOOKUP($E$194,[1]UH!$A$2:$FA$300, 13, FALSE)="",":",VLOOKUP($E$194,[1]UH!$A$2:$FA$300, 13, FALSE))</f>
        <v>132.19999999999999</v>
      </c>
      <c r="O194" s="556">
        <f>IF(VLOOKUP($E$194,[1]UH!$A$2:$FA$300, 14, FALSE)="",":",VLOOKUP($E$194,[1]UH!$A$2:$FA$300, 14, FALSE))</f>
        <v>132</v>
      </c>
      <c r="P194" s="556">
        <f>IF(VLOOKUP($E$194,[1]UH!$A$2:$FA$300, 15, FALSE)="",":",VLOOKUP($E$194,[1]UH!$A$2:$FA$300, 15, FALSE))</f>
        <v>136.1</v>
      </c>
      <c r="Q194" s="556">
        <f>IF(VLOOKUP($E$194,[1]UH!$A$2:$FA$300, 16, FALSE)="",":",VLOOKUP($E$194,[1]UH!$A$2:$FA$300, 16, FALSE))</f>
        <v>146.30000000000001</v>
      </c>
      <c r="R194" s="556">
        <f>IF(VLOOKUP($E$194,[1]UH!$A$2:$FA$300, 17, FALSE)="",":",VLOOKUP($E$194,[1]UH!$A$2:$FA$300, 17, FALSE))</f>
        <v>156.1</v>
      </c>
      <c r="S194" s="556">
        <f>IF(VLOOKUP($E$194,[1]UH!$A$2:$FA$300, 18, FALSE)="",":",VLOOKUP($E$194,[1]UH!$A$2:$FA$300, 18, FALSE))</f>
        <v>160.6</v>
      </c>
      <c r="T194" s="556">
        <f>IF(VLOOKUP($E$194,[1]UH!$A$2:$FA$300, 19, FALSE)="",":",VLOOKUP($E$194,[1]UH!$A$2:$FA$300, 19, FALSE))</f>
        <v>170.9</v>
      </c>
      <c r="U194" s="556">
        <f>IF(VLOOKUP($E$194,[1]UH!$A$2:$FA$300, 20, FALSE)="",":",VLOOKUP($E$194,[1]UH!$A$2:$FA$300, 20, FALSE))</f>
        <v>134.69999999999999</v>
      </c>
      <c r="V194" s="556">
        <f>IF(VLOOKUP($E$194,[1]UH!$A$2:$FA$300, 21, FALSE)="",":",VLOOKUP($E$194,[1]UH!$A$2:$FA$300, 21, FALSE))</f>
        <v>134.80000000000001</v>
      </c>
      <c r="W194" s="556">
        <f>IF(VLOOKUP($E$194,[1]UH!$A$2:$FA$300, 22, FALSE)="",":",VLOOKUP($E$194,[1]UH!$A$2:$FA$300, 22, FALSE))</f>
        <v>141.1</v>
      </c>
      <c r="X194" s="556">
        <f>IF(VLOOKUP($E$194,[1]UH!$A$2:$FA$300, 23, FALSE)="",":",VLOOKUP($E$194,[1]UH!$A$2:$FA$300, 23, FALSE))</f>
        <v>142.30000000000001</v>
      </c>
      <c r="Y194" s="556">
        <f>IF(VLOOKUP($E$194,[1]UH!$A$2:$FA$300, 24, FALSE)="",":",VLOOKUP($E$194,[1]UH!$A$2:$FA$300, 24, FALSE))</f>
        <v>149.19999999999999</v>
      </c>
      <c r="Z194" s="556">
        <f>IF(VLOOKUP($E$194,[1]UH!$A$2:$FA$300, 25, FALSE)="",":",VLOOKUP($E$194,[1]UH!$A$2:$FA$300, 25, FALSE))</f>
        <v>148.1</v>
      </c>
      <c r="AA194" s="556">
        <f>IF(VLOOKUP($E$194,[1]UH!$A$2:$FA$300, 26, FALSE)="",":",VLOOKUP($E$194,[1]UH!$A$2:$FA$300, 26, FALSE))</f>
        <v>141.6</v>
      </c>
      <c r="AB194" s="556">
        <f>IF(VLOOKUP($E$194,[1]UH!$A$2:$FA$300, 27, FALSE)="",":",VLOOKUP($E$194,[1]UH!$A$2:$FA$300, 27, FALSE))</f>
        <v>136.69999999999999</v>
      </c>
      <c r="AC194" s="556">
        <f>IF(VLOOKUP($E$194,[1]UH!$A$2:$FA$300, 28, FALSE)="",":",VLOOKUP($E$194,[1]UH!$A$2:$FA$300, 28, FALSE))</f>
        <v>0</v>
      </c>
      <c r="AD194" s="556" t="str">
        <f>IF(VLOOKUP($E$194,[1]UH!$A$2:$FA$300, 29, FALSE)="",":",VLOOKUP($E$194,[1]UH!$A$2:$FA$300, 29, FALSE))</f>
        <v>:</v>
      </c>
      <c r="AE194" s="556" t="str">
        <f>IF(VLOOKUP($E$194,[1]UH!$A$2:$FA$300, 30, FALSE)="",":",VLOOKUP($E$194,[1]UH!$A$2:$FA$300, 30, FALSE))</f>
        <v>:</v>
      </c>
      <c r="AF194" s="556" t="str">
        <f>IF(VLOOKUP($E$194,[1]UH!$A$2:$FA$300, 31, FALSE)="",":",VLOOKUP($E$194,[1]UH!$A$2:$FA$300, 31, FALSE))</f>
        <v>:</v>
      </c>
    </row>
    <row r="195" spans="1:32">
      <c r="A195" s="545"/>
      <c r="B195" s="546" t="s">
        <v>1939</v>
      </c>
      <c r="C195" s="547" t="s">
        <v>798</v>
      </c>
      <c r="D195" s="12" t="s">
        <v>1934</v>
      </c>
      <c r="E195" s="13">
        <v>17</v>
      </c>
      <c r="F195" s="14" t="str">
        <f>VLOOKUP($E$195,[1]UH!$A$2:$FA$300, 3, FALSE)</f>
        <v xml:space="preserve">17  Social benefits other than social transfers in kind, receivable  D.62r     </v>
      </c>
      <c r="G195" s="556">
        <f ca="1">IF(VLOOKUP($E$195,[1]UH!$A$2:$FA$300, 6, FALSE)="",":",VLOOKUP($E$195,[1]UH!$A$2:$FA$300, 6, FALSE))</f>
        <v>39646.6</v>
      </c>
      <c r="H195" s="556">
        <f>IF(VLOOKUP($E$195,[1]UH!$A$2:$FA$300, 7, FALSE)="",":",VLOOKUP($E$195,[1]UH!$A$2:$FA$300, 7, FALSE))</f>
        <v>40591.599999999999</v>
      </c>
      <c r="I195" s="556">
        <f>IF(VLOOKUP($E$195,[1]UH!$A$2:$FA$300, 8, FALSE)="",":",VLOOKUP($E$195,[1]UH!$A$2:$FA$300, 8, FALSE))</f>
        <v>42070.7</v>
      </c>
      <c r="J195" s="556">
        <f>IF(VLOOKUP($E$195,[1]UH!$A$2:$FA$300, 9, FALSE)="",":",VLOOKUP($E$195,[1]UH!$A$2:$FA$300, 9, FALSE))</f>
        <v>43272.800000000003</v>
      </c>
      <c r="K195" s="556">
        <f>IF(VLOOKUP($E$195,[1]UH!$A$2:$FA$300, 10, FALSE)="",":",VLOOKUP($E$195,[1]UH!$A$2:$FA$300, 10, FALSE))</f>
        <v>44191.4</v>
      </c>
      <c r="L195" s="556">
        <f>IF(VLOOKUP($E$195,[1]UH!$A$2:$FA$300, 11, FALSE)="",":",VLOOKUP($E$195,[1]UH!$A$2:$FA$300, 11, FALSE))</f>
        <v>45476.3</v>
      </c>
      <c r="M195" s="556">
        <f>IF(VLOOKUP($E$195,[1]UH!$A$2:$FA$300, 12, FALSE)="",":",VLOOKUP($E$195,[1]UH!$A$2:$FA$300, 12, FALSE))</f>
        <v>47719.9</v>
      </c>
      <c r="N195" s="556">
        <f>IF(VLOOKUP($E$195,[1]UH!$A$2:$FA$300, 13, FALSE)="",":",VLOOKUP($E$195,[1]UH!$A$2:$FA$300, 13, FALSE))</f>
        <v>50730.1</v>
      </c>
      <c r="O195" s="556">
        <f>IF(VLOOKUP($E$195,[1]UH!$A$2:$FA$300, 14, FALSE)="",":",VLOOKUP($E$195,[1]UH!$A$2:$FA$300, 14, FALSE))</f>
        <v>52842.7</v>
      </c>
      <c r="P195" s="556">
        <f>IF(VLOOKUP($E$195,[1]UH!$A$2:$FA$300, 15, FALSE)="",":",VLOOKUP($E$195,[1]UH!$A$2:$FA$300, 15, FALSE))</f>
        <v>54690.6</v>
      </c>
      <c r="Q195" s="556">
        <f>IF(VLOOKUP($E$195,[1]UH!$A$2:$FA$300, 16, FALSE)="",":",VLOOKUP($E$195,[1]UH!$A$2:$FA$300, 16, FALSE))</f>
        <v>56388</v>
      </c>
      <c r="R195" s="556">
        <f>IF(VLOOKUP($E$195,[1]UH!$A$2:$FA$300, 17, FALSE)="",":",VLOOKUP($E$195,[1]UH!$A$2:$FA$300, 17, FALSE))</f>
        <v>58363.6</v>
      </c>
      <c r="S195" s="556">
        <f>IF(VLOOKUP($E$195,[1]UH!$A$2:$FA$300, 18, FALSE)="",":",VLOOKUP($E$195,[1]UH!$A$2:$FA$300, 18, FALSE))</f>
        <v>61013.7</v>
      </c>
      <c r="T195" s="556">
        <f>IF(VLOOKUP($E$195,[1]UH!$A$2:$FA$300, 19, FALSE)="",":",VLOOKUP($E$195,[1]UH!$A$2:$FA$300, 19, FALSE))</f>
        <v>64282.7</v>
      </c>
      <c r="U195" s="556">
        <f>IF(VLOOKUP($E$195,[1]UH!$A$2:$FA$300, 20, FALSE)="",":",VLOOKUP($E$195,[1]UH!$A$2:$FA$300, 20, FALSE))</f>
        <v>68967.199999999997</v>
      </c>
      <c r="V195" s="556">
        <f>IF(VLOOKUP($E$195,[1]UH!$A$2:$FA$300, 21, FALSE)="",":",VLOOKUP($E$195,[1]UH!$A$2:$FA$300, 21, FALSE))</f>
        <v>69971.899999999994</v>
      </c>
      <c r="W195" s="556">
        <f>IF(VLOOKUP($E$195,[1]UH!$A$2:$FA$300, 22, FALSE)="",":",VLOOKUP($E$195,[1]UH!$A$2:$FA$300, 22, FALSE))</f>
        <v>72380.399999999994</v>
      </c>
      <c r="X195" s="556">
        <f>IF(VLOOKUP($E$195,[1]UH!$A$2:$FA$300, 23, FALSE)="",":",VLOOKUP($E$195,[1]UH!$A$2:$FA$300, 23, FALSE))</f>
        <v>76219.7</v>
      </c>
      <c r="Y195" s="556">
        <f>IF(VLOOKUP($E$195,[1]UH!$A$2:$FA$300, 24, FALSE)="",":",VLOOKUP($E$195,[1]UH!$A$2:$FA$300, 24, FALSE))</f>
        <v>79155.7</v>
      </c>
      <c r="Z195" s="556">
        <f>IF(VLOOKUP($E$195,[1]UH!$A$2:$FA$300, 25, FALSE)="",":",VLOOKUP($E$195,[1]UH!$A$2:$FA$300, 25, FALSE))</f>
        <v>80077.100000000006</v>
      </c>
      <c r="AA195" s="556">
        <f>IF(VLOOKUP($E$195,[1]UH!$A$2:$FA$300, 26, FALSE)="",":",VLOOKUP($E$195,[1]UH!$A$2:$FA$300, 26, FALSE))</f>
        <v>81846.600000000006</v>
      </c>
      <c r="AB195" s="556">
        <f>IF(VLOOKUP($E$195,[1]UH!$A$2:$FA$300, 27, FALSE)="",":",VLOOKUP($E$195,[1]UH!$A$2:$FA$300, 27, FALSE))</f>
        <v>83765.399999999994</v>
      </c>
      <c r="AC195" s="556">
        <f>IF(VLOOKUP($E$195,[1]UH!$A$2:$FA$300, 28, FALSE)="",":",VLOOKUP($E$195,[1]UH!$A$2:$FA$300, 28, FALSE))</f>
        <v>0</v>
      </c>
      <c r="AD195" s="556" t="str">
        <f>IF(VLOOKUP($E$195,[1]UH!$A$2:$FA$300, 29, FALSE)="",":",VLOOKUP($E$195,[1]UH!$A$2:$FA$300, 29, FALSE))</f>
        <v>:</v>
      </c>
      <c r="AE195" s="556" t="str">
        <f>IF(VLOOKUP($E$195,[1]UH!$A$2:$FA$300, 30, FALSE)="",":",VLOOKUP($E$195,[1]UH!$A$2:$FA$300, 30, FALSE))</f>
        <v>:</v>
      </c>
      <c r="AF195" s="556" t="str">
        <f>IF(VLOOKUP($E$195,[1]UH!$A$2:$FA$300, 31, FALSE)="",":",VLOOKUP($E$195,[1]UH!$A$2:$FA$300, 31, FALSE))</f>
        <v>:</v>
      </c>
    </row>
    <row r="196" spans="1:32">
      <c r="A196" s="545"/>
      <c r="B196" s="546" t="s">
        <v>583</v>
      </c>
      <c r="C196" s="547" t="s">
        <v>1768</v>
      </c>
      <c r="D196" s="12" t="s">
        <v>1934</v>
      </c>
      <c r="E196" s="13">
        <v>20</v>
      </c>
      <c r="F196" s="14" t="str">
        <f>VLOOKUP($E$196,[1]UH!$A$2:$FA$300, 3, FALSE)</f>
        <v xml:space="preserve">20  Social contributions, payable  D.61p                                       </v>
      </c>
      <c r="G196" s="556">
        <f ca="1">IF(VLOOKUP($E$196,[1]UH!$A$2:$FA$300, 6, FALSE)="",":",VLOOKUP($E$196,[1]UH!$A$2:$FA$300, 6, FALSE))</f>
        <v>41467.800000000003</v>
      </c>
      <c r="H196" s="556">
        <f>IF(VLOOKUP($E$196,[1]UH!$A$2:$FA$300, 7, FALSE)="",":",VLOOKUP($E$196,[1]UH!$A$2:$FA$300, 7, FALSE))</f>
        <v>42683.6</v>
      </c>
      <c r="I196" s="556">
        <f>IF(VLOOKUP($E$196,[1]UH!$A$2:$FA$300, 8, FALSE)="",":",VLOOKUP($E$196,[1]UH!$A$2:$FA$300, 8, FALSE))</f>
        <v>44672.6</v>
      </c>
      <c r="J196" s="556">
        <f>IF(VLOOKUP($E$196,[1]UH!$A$2:$FA$300, 9, FALSE)="",":",VLOOKUP($E$196,[1]UH!$A$2:$FA$300, 9, FALSE))</f>
        <v>46648.800000000003</v>
      </c>
      <c r="K196" s="556">
        <f>IF(VLOOKUP($E$196,[1]UH!$A$2:$FA$300, 10, FALSE)="",":",VLOOKUP($E$196,[1]UH!$A$2:$FA$300, 10, FALSE))</f>
        <v>48338.1</v>
      </c>
      <c r="L196" s="556">
        <f>IF(VLOOKUP($E$196,[1]UH!$A$2:$FA$300, 11, FALSE)="",":",VLOOKUP($E$196,[1]UH!$A$2:$FA$300, 11, FALSE))</f>
        <v>49790.9</v>
      </c>
      <c r="M196" s="556">
        <f>IF(VLOOKUP($E$196,[1]UH!$A$2:$FA$300, 12, FALSE)="",":",VLOOKUP($E$196,[1]UH!$A$2:$FA$300, 12, FALSE))</f>
        <v>52274.9</v>
      </c>
      <c r="N196" s="556">
        <f>IF(VLOOKUP($E$196,[1]UH!$A$2:$FA$300, 13, FALSE)="",":",VLOOKUP($E$196,[1]UH!$A$2:$FA$300, 13, FALSE))</f>
        <v>55089.7</v>
      </c>
      <c r="O196" s="556">
        <f>IF(VLOOKUP($E$196,[1]UH!$A$2:$FA$300, 14, FALSE)="",":",VLOOKUP($E$196,[1]UH!$A$2:$FA$300, 14, FALSE))</f>
        <v>56517.8</v>
      </c>
      <c r="P196" s="556">
        <f>IF(VLOOKUP($E$196,[1]UH!$A$2:$FA$300, 15, FALSE)="",":",VLOOKUP($E$196,[1]UH!$A$2:$FA$300, 15, FALSE))</f>
        <v>58253.1</v>
      </c>
      <c r="Q196" s="556">
        <f>IF(VLOOKUP($E$196,[1]UH!$A$2:$FA$300, 16, FALSE)="",":",VLOOKUP($E$196,[1]UH!$A$2:$FA$300, 16, FALSE))</f>
        <v>59666.1</v>
      </c>
      <c r="R196" s="556">
        <f>IF(VLOOKUP($E$196,[1]UH!$A$2:$FA$300, 17, FALSE)="",":",VLOOKUP($E$196,[1]UH!$A$2:$FA$300, 17, FALSE))</f>
        <v>62370.9</v>
      </c>
      <c r="S196" s="556">
        <f>IF(VLOOKUP($E$196,[1]UH!$A$2:$FA$300, 18, FALSE)="",":",VLOOKUP($E$196,[1]UH!$A$2:$FA$300, 18, FALSE))</f>
        <v>66666.100000000006</v>
      </c>
      <c r="T196" s="556">
        <f>IF(VLOOKUP($E$196,[1]UH!$A$2:$FA$300, 19, FALSE)="",":",VLOOKUP($E$196,[1]UH!$A$2:$FA$300, 19, FALSE))</f>
        <v>70238.2</v>
      </c>
      <c r="U196" s="556">
        <f>IF(VLOOKUP($E$196,[1]UH!$A$2:$FA$300, 20, FALSE)="",":",VLOOKUP($E$196,[1]UH!$A$2:$FA$300, 20, FALSE))</f>
        <v>72279.8</v>
      </c>
      <c r="V196" s="556">
        <f>IF(VLOOKUP($E$196,[1]UH!$A$2:$FA$300, 21, FALSE)="",":",VLOOKUP($E$196,[1]UH!$A$2:$FA$300, 21, FALSE))</f>
        <v>73893.3</v>
      </c>
      <c r="W196" s="556">
        <f>IF(VLOOKUP($E$196,[1]UH!$A$2:$FA$300, 22, FALSE)="",":",VLOOKUP($E$196,[1]UH!$A$2:$FA$300, 22, FALSE))</f>
        <v>76480.800000000003</v>
      </c>
      <c r="X196" s="556">
        <f>IF(VLOOKUP($E$196,[1]UH!$A$2:$FA$300, 23, FALSE)="",":",VLOOKUP($E$196,[1]UH!$A$2:$FA$300, 23, FALSE))</f>
        <v>79704.2</v>
      </c>
      <c r="Y196" s="556">
        <f>IF(VLOOKUP($E$196,[1]UH!$A$2:$FA$300, 24, FALSE)="",":",VLOOKUP($E$196,[1]UH!$A$2:$FA$300, 24, FALSE))</f>
        <v>81562.899999999994</v>
      </c>
      <c r="Z196" s="556">
        <f>IF(VLOOKUP($E$196,[1]UH!$A$2:$FA$300, 25, FALSE)="",":",VLOOKUP($E$196,[1]UH!$A$2:$FA$300, 25, FALSE))</f>
        <v>82261.8</v>
      </c>
      <c r="AA196" s="556">
        <f>IF(VLOOKUP($E$196,[1]UH!$A$2:$FA$300, 26, FALSE)="",":",VLOOKUP($E$196,[1]UH!$A$2:$FA$300, 26, FALSE))</f>
        <v>83798.600000000006</v>
      </c>
      <c r="AB196" s="556">
        <f>IF(VLOOKUP($E$196,[1]UH!$A$2:$FA$300, 27, FALSE)="",":",VLOOKUP($E$196,[1]UH!$A$2:$FA$300, 27, FALSE))</f>
        <v>83183.8</v>
      </c>
      <c r="AC196" s="556">
        <f>IF(VLOOKUP($E$196,[1]UH!$A$2:$FA$300, 28, FALSE)="",":",VLOOKUP($E$196,[1]UH!$A$2:$FA$300, 28, FALSE))</f>
        <v>0</v>
      </c>
      <c r="AD196" s="556" t="str">
        <f>IF(VLOOKUP($E$196,[1]UH!$A$2:$FA$300, 29, FALSE)="",":",VLOOKUP($E$196,[1]UH!$A$2:$FA$300, 29, FALSE))</f>
        <v>:</v>
      </c>
      <c r="AE196" s="556" t="str">
        <f>IF(VLOOKUP($E$196,[1]UH!$A$2:$FA$300, 30, FALSE)="",":",VLOOKUP($E$196,[1]UH!$A$2:$FA$300, 30, FALSE))</f>
        <v>:</v>
      </c>
      <c r="AF196" s="556" t="str">
        <f>IF(VLOOKUP($E$196,[1]UH!$A$2:$FA$300, 31, FALSE)="",":",VLOOKUP($E$196,[1]UH!$A$2:$FA$300, 31, FALSE))</f>
        <v>:</v>
      </c>
    </row>
    <row r="197" spans="1:32">
      <c r="A197" s="545"/>
      <c r="B197" s="546" t="s">
        <v>584</v>
      </c>
      <c r="C197" s="547" t="s">
        <v>1509</v>
      </c>
      <c r="D197" s="12" t="s">
        <v>1934</v>
      </c>
      <c r="E197" s="13">
        <v>21</v>
      </c>
      <c r="F197" s="14" t="str">
        <f>VLOOKUP($E$197,[1]UH!$A$2:$FA$300, 3, FALSE)</f>
        <v>21 Social benefits other than social transfers in kind, payable D.62p</v>
      </c>
      <c r="G197" s="556">
        <f ca="1">IF(VLOOKUP($E$197,[1]UH!$A$2:$FA$300, 6, FALSE)="",":",VLOOKUP($E$197,[1]UH!$A$2:$FA$300, 6, FALSE))</f>
        <v>102.4</v>
      </c>
      <c r="H197" s="556">
        <f>IF(VLOOKUP($E$197,[1]UH!$A$2:$FA$300, 7, FALSE)="",":",VLOOKUP($E$197,[1]UH!$A$2:$FA$300, 7, FALSE))</f>
        <v>105.6</v>
      </c>
      <c r="I197" s="556">
        <f>IF(VLOOKUP($E$197,[1]UH!$A$2:$FA$300, 8, FALSE)="",":",VLOOKUP($E$197,[1]UH!$A$2:$FA$300, 8, FALSE))</f>
        <v>106.7</v>
      </c>
      <c r="J197" s="556">
        <f>IF(VLOOKUP($E$197,[1]UH!$A$2:$FA$300, 9, FALSE)="",":",VLOOKUP($E$197,[1]UH!$A$2:$FA$300, 9, FALSE))</f>
        <v>108</v>
      </c>
      <c r="K197" s="556">
        <f>IF(VLOOKUP($E$197,[1]UH!$A$2:$FA$300, 10, FALSE)="",":",VLOOKUP($E$197,[1]UH!$A$2:$FA$300, 10, FALSE))</f>
        <v>113.5</v>
      </c>
      <c r="L197" s="556">
        <f>IF(VLOOKUP($E$197,[1]UH!$A$2:$FA$300, 11, FALSE)="",":",VLOOKUP($E$197,[1]UH!$A$2:$FA$300, 11, FALSE))</f>
        <v>119.4</v>
      </c>
      <c r="M197" s="556">
        <f>IF(VLOOKUP($E$197,[1]UH!$A$2:$FA$300, 12, FALSE)="",":",VLOOKUP($E$197,[1]UH!$A$2:$FA$300, 12, FALSE))</f>
        <v>125.2</v>
      </c>
      <c r="N197" s="556">
        <f>IF(VLOOKUP($E$197,[1]UH!$A$2:$FA$300, 13, FALSE)="",":",VLOOKUP($E$197,[1]UH!$A$2:$FA$300, 13, FALSE))</f>
        <v>132.19999999999999</v>
      </c>
      <c r="O197" s="556">
        <f>IF(VLOOKUP($E$197,[1]UH!$A$2:$FA$300, 14, FALSE)="",":",VLOOKUP($E$197,[1]UH!$A$2:$FA$300, 14, FALSE))</f>
        <v>132</v>
      </c>
      <c r="P197" s="556">
        <f>IF(VLOOKUP($E$197,[1]UH!$A$2:$FA$300, 15, FALSE)="",":",VLOOKUP($E$197,[1]UH!$A$2:$FA$300, 15, FALSE))</f>
        <v>136.1</v>
      </c>
      <c r="Q197" s="556">
        <f>IF(VLOOKUP($E$197,[1]UH!$A$2:$FA$300, 16, FALSE)="",":",VLOOKUP($E$197,[1]UH!$A$2:$FA$300, 16, FALSE))</f>
        <v>146.30000000000001</v>
      </c>
      <c r="R197" s="556">
        <f>IF(VLOOKUP($E$197,[1]UH!$A$2:$FA$300, 17, FALSE)="",":",VLOOKUP($E$197,[1]UH!$A$2:$FA$300, 17, FALSE))</f>
        <v>156.1</v>
      </c>
      <c r="S197" s="556">
        <f>IF(VLOOKUP($E$197,[1]UH!$A$2:$FA$300, 18, FALSE)="",":",VLOOKUP($E$197,[1]UH!$A$2:$FA$300, 18, FALSE))</f>
        <v>160.6</v>
      </c>
      <c r="T197" s="556">
        <f>IF(VLOOKUP($E$197,[1]UH!$A$2:$FA$300, 19, FALSE)="",":",VLOOKUP($E$197,[1]UH!$A$2:$FA$300, 19, FALSE))</f>
        <v>170.9</v>
      </c>
      <c r="U197" s="556">
        <f>IF(VLOOKUP($E$197,[1]UH!$A$2:$FA$300, 20, FALSE)="",":",VLOOKUP($E$197,[1]UH!$A$2:$FA$300, 20, FALSE))</f>
        <v>134.69999999999999</v>
      </c>
      <c r="V197" s="556">
        <f>IF(VLOOKUP($E$197,[1]UH!$A$2:$FA$300, 21, FALSE)="",":",VLOOKUP($E$197,[1]UH!$A$2:$FA$300, 21, FALSE))</f>
        <v>134.80000000000001</v>
      </c>
      <c r="W197" s="556">
        <f>IF(VLOOKUP($E$197,[1]UH!$A$2:$FA$300, 22, FALSE)="",":",VLOOKUP($E$197,[1]UH!$A$2:$FA$300, 22, FALSE))</f>
        <v>141.1</v>
      </c>
      <c r="X197" s="556">
        <f>IF(VLOOKUP($E$197,[1]UH!$A$2:$FA$300, 23, FALSE)="",":",VLOOKUP($E$197,[1]UH!$A$2:$FA$300, 23, FALSE))</f>
        <v>142.30000000000001</v>
      </c>
      <c r="Y197" s="556">
        <f>IF(VLOOKUP($E$197,[1]UH!$A$2:$FA$300, 24, FALSE)="",":",VLOOKUP($E$197,[1]UH!$A$2:$FA$300, 24, FALSE))</f>
        <v>149.19999999999999</v>
      </c>
      <c r="Z197" s="556">
        <f>IF(VLOOKUP($E$197,[1]UH!$A$2:$FA$300, 25, FALSE)="",":",VLOOKUP($E$197,[1]UH!$A$2:$FA$300, 25, FALSE))</f>
        <v>148.1</v>
      </c>
      <c r="AA197" s="556">
        <f>IF(VLOOKUP($E$197,[1]UH!$A$2:$FA$300, 26, FALSE)="",":",VLOOKUP($E$197,[1]UH!$A$2:$FA$300, 26, FALSE))</f>
        <v>141.6</v>
      </c>
      <c r="AB197" s="556">
        <f>IF(VLOOKUP($E$197,[1]UH!$A$2:$FA$300, 27, FALSE)="",":",VLOOKUP($E$197,[1]UH!$A$2:$FA$300, 27, FALSE))</f>
        <v>136.69999999999999</v>
      </c>
      <c r="AC197" s="556">
        <f>IF(VLOOKUP($E$197,[1]UH!$A$2:$FA$300, 28, FALSE)="",":",VLOOKUP($E$197,[1]UH!$A$2:$FA$300, 28, FALSE))</f>
        <v>0</v>
      </c>
      <c r="AD197" s="556" t="str">
        <f>IF(VLOOKUP($E$197,[1]UH!$A$2:$FA$300, 29, FALSE)="",":",VLOOKUP($E$197,[1]UH!$A$2:$FA$300, 29, FALSE))</f>
        <v>:</v>
      </c>
      <c r="AE197" s="556" t="str">
        <f>IF(VLOOKUP($E$197,[1]UH!$A$2:$FA$300, 30, FALSE)="",":",VLOOKUP($E$197,[1]UH!$A$2:$FA$300, 30, FALSE))</f>
        <v>:</v>
      </c>
      <c r="AF197" s="556" t="str">
        <f>IF(VLOOKUP($E$197,[1]UH!$A$2:$FA$300, 31, FALSE)="",":",VLOOKUP($E$197,[1]UH!$A$2:$FA$300, 31, FALSE))</f>
        <v>:</v>
      </c>
    </row>
    <row r="198" spans="1:32">
      <c r="A198" s="545"/>
      <c r="B198" s="546"/>
      <c r="C198" s="547"/>
      <c r="D198" s="12"/>
      <c r="E198" s="13"/>
      <c r="F198" s="14"/>
      <c r="G198" s="556"/>
      <c r="H198" s="556"/>
      <c r="I198" s="556"/>
      <c r="J198" s="556"/>
      <c r="K198" s="556"/>
      <c r="L198" s="556"/>
      <c r="M198" s="556"/>
      <c r="N198" s="556"/>
      <c r="O198" s="556"/>
      <c r="P198" s="556"/>
      <c r="Q198" s="556"/>
      <c r="R198" s="556"/>
      <c r="S198" s="556"/>
      <c r="T198" s="556"/>
      <c r="U198" s="556"/>
      <c r="V198" s="556"/>
      <c r="W198" s="556"/>
      <c r="X198" s="556"/>
      <c r="Y198" s="556"/>
      <c r="Z198" s="556"/>
      <c r="AA198" s="556"/>
      <c r="AB198" s="556"/>
      <c r="AC198" s="556"/>
      <c r="AD198" s="556"/>
      <c r="AE198" s="556"/>
      <c r="AF198" s="556"/>
    </row>
    <row r="199" spans="1:32">
      <c r="A199" s="545"/>
      <c r="B199" s="546" t="s">
        <v>1940</v>
      </c>
      <c r="C199" s="547" t="s">
        <v>1766</v>
      </c>
      <c r="D199" s="12" t="s">
        <v>1934</v>
      </c>
      <c r="E199" s="13">
        <v>18</v>
      </c>
      <c r="F199" s="14" t="str">
        <f>VLOOKUP($E$199,[1]UH!$A$2:$FA$300, 3, FALSE)</f>
        <v>18 Other current transfers, receivable D.7r</v>
      </c>
      <c r="G199" s="556">
        <f ca="1">IF(VLOOKUP($E$199,[1]UH!$A$2:$FA$300, 6, FALSE)="",":",VLOOKUP($E$199,[1]UH!$A$2:$FA$300, 6, FALSE))</f>
        <v>6487.9</v>
      </c>
      <c r="H199" s="556">
        <f>IF(VLOOKUP($E$199,[1]UH!$A$2:$FA$300, 7, FALSE)="",":",VLOOKUP($E$199,[1]UH!$A$2:$FA$300, 7, FALSE))</f>
        <v>6626.6</v>
      </c>
      <c r="I199" s="556">
        <f>IF(VLOOKUP($E$199,[1]UH!$A$2:$FA$300, 8, FALSE)="",":",VLOOKUP($E$199,[1]UH!$A$2:$FA$300, 8, FALSE))</f>
        <v>6847.5</v>
      </c>
      <c r="J199" s="556">
        <f>IF(VLOOKUP($E$199,[1]UH!$A$2:$FA$300, 9, FALSE)="",":",VLOOKUP($E$199,[1]UH!$A$2:$FA$300, 9, FALSE))</f>
        <v>7049.2</v>
      </c>
      <c r="K199" s="556">
        <f>IF(VLOOKUP($E$199,[1]UH!$A$2:$FA$300, 10, FALSE)="",":",VLOOKUP($E$199,[1]UH!$A$2:$FA$300, 10, FALSE))</f>
        <v>7080.5</v>
      </c>
      <c r="L199" s="556">
        <f>IF(VLOOKUP($E$199,[1]UH!$A$2:$FA$300, 11, FALSE)="",":",VLOOKUP($E$199,[1]UH!$A$2:$FA$300, 11, FALSE))</f>
        <v>7399.9</v>
      </c>
      <c r="M199" s="556">
        <f>IF(VLOOKUP($E$199,[1]UH!$A$2:$FA$300, 12, FALSE)="",":",VLOOKUP($E$199,[1]UH!$A$2:$FA$300, 12, FALSE))</f>
        <v>8067.1</v>
      </c>
      <c r="N199" s="556">
        <f>IF(VLOOKUP($E$199,[1]UH!$A$2:$FA$300, 13, FALSE)="",":",VLOOKUP($E$199,[1]UH!$A$2:$FA$300, 13, FALSE))</f>
        <v>7797</v>
      </c>
      <c r="O199" s="556">
        <f>IF(VLOOKUP($E$199,[1]UH!$A$2:$FA$300, 14, FALSE)="",":",VLOOKUP($E$199,[1]UH!$A$2:$FA$300, 14, FALSE))</f>
        <v>7971.9</v>
      </c>
      <c r="P199" s="556">
        <f>IF(VLOOKUP($E$199,[1]UH!$A$2:$FA$300, 15, FALSE)="",":",VLOOKUP($E$199,[1]UH!$A$2:$FA$300, 15, FALSE))</f>
        <v>8389.6</v>
      </c>
      <c r="Q199" s="556">
        <f>IF(VLOOKUP($E$199,[1]UH!$A$2:$FA$300, 16, FALSE)="",":",VLOOKUP($E$199,[1]UH!$A$2:$FA$300, 16, FALSE))</f>
        <v>9670.2999999999993</v>
      </c>
      <c r="R199" s="556">
        <f>IF(VLOOKUP($E$199,[1]UH!$A$2:$FA$300, 17, FALSE)="",":",VLOOKUP($E$199,[1]UH!$A$2:$FA$300, 17, FALSE))</f>
        <v>9170.7000000000007</v>
      </c>
      <c r="S199" s="556">
        <f>IF(VLOOKUP($E$199,[1]UH!$A$2:$FA$300, 18, FALSE)="",":",VLOOKUP($E$199,[1]UH!$A$2:$FA$300, 18, FALSE))</f>
        <v>8389.1</v>
      </c>
      <c r="T199" s="556">
        <f>IF(VLOOKUP($E$199,[1]UH!$A$2:$FA$300, 19, FALSE)="",":",VLOOKUP($E$199,[1]UH!$A$2:$FA$300, 19, FALSE))</f>
        <v>9112.7000000000007</v>
      </c>
      <c r="U199" s="556">
        <f>IF(VLOOKUP($E$199,[1]UH!$A$2:$FA$300, 20, FALSE)="",":",VLOOKUP($E$199,[1]UH!$A$2:$FA$300, 20, FALSE))</f>
        <v>10782.6</v>
      </c>
      <c r="V199" s="556">
        <f>IF(VLOOKUP($E$199,[1]UH!$A$2:$FA$300, 21, FALSE)="",":",VLOOKUP($E$199,[1]UH!$A$2:$FA$300, 21, FALSE))</f>
        <v>10680.4</v>
      </c>
      <c r="W199" s="556">
        <f>IF(VLOOKUP($E$199,[1]UH!$A$2:$FA$300, 22, FALSE)="",":",VLOOKUP($E$199,[1]UH!$A$2:$FA$300, 22, FALSE))</f>
        <v>10790.1</v>
      </c>
      <c r="X199" s="556">
        <f>IF(VLOOKUP($E$199,[1]UH!$A$2:$FA$300, 23, FALSE)="",":",VLOOKUP($E$199,[1]UH!$A$2:$FA$300, 23, FALSE))</f>
        <v>11275</v>
      </c>
      <c r="Y199" s="556">
        <f>IF(VLOOKUP($E$199,[1]UH!$A$2:$FA$300, 24, FALSE)="",":",VLOOKUP($E$199,[1]UH!$A$2:$FA$300, 24, FALSE))</f>
        <v>11337.6</v>
      </c>
      <c r="Z199" s="556">
        <f>IF(VLOOKUP($E$199,[1]UH!$A$2:$FA$300, 25, FALSE)="",":",VLOOKUP($E$199,[1]UH!$A$2:$FA$300, 25, FALSE))</f>
        <v>11893.7</v>
      </c>
      <c r="AA199" s="556">
        <f>IF(VLOOKUP($E$199,[1]UH!$A$2:$FA$300, 26, FALSE)="",":",VLOOKUP($E$199,[1]UH!$A$2:$FA$300, 26, FALSE))</f>
        <v>11670.1</v>
      </c>
      <c r="AB199" s="556">
        <f>IF(VLOOKUP($E$199,[1]UH!$A$2:$FA$300, 27, FALSE)="",":",VLOOKUP($E$199,[1]UH!$A$2:$FA$300, 27, FALSE))</f>
        <v>11959.5</v>
      </c>
      <c r="AC199" s="556">
        <f>IF(VLOOKUP($E$199,[1]UH!$A$2:$FA$300, 28, FALSE)="",":",VLOOKUP($E$199,[1]UH!$A$2:$FA$300, 28, FALSE))</f>
        <v>0</v>
      </c>
      <c r="AD199" s="556" t="str">
        <f>IF(VLOOKUP($E$199,[1]UH!$A$2:$FA$300, 29, FALSE)="",":",VLOOKUP($E$199,[1]UH!$A$2:$FA$300, 29, FALSE))</f>
        <v>:</v>
      </c>
      <c r="AE199" s="556" t="str">
        <f>IF(VLOOKUP($E$199,[1]UH!$A$2:$FA$300, 30, FALSE)="",":",VLOOKUP($E$199,[1]UH!$A$2:$FA$300, 30, FALSE))</f>
        <v>:</v>
      </c>
      <c r="AF199" s="556" t="str">
        <f>IF(VLOOKUP($E$199,[1]UH!$A$2:$FA$300, 31, FALSE)="",":",VLOOKUP($E$199,[1]UH!$A$2:$FA$300, 31, FALSE))</f>
        <v>:</v>
      </c>
    </row>
    <row r="200" spans="1:32">
      <c r="A200" s="545"/>
      <c r="B200" s="546" t="s">
        <v>1942</v>
      </c>
      <c r="C200" s="547" t="s">
        <v>1510</v>
      </c>
      <c r="D200" s="12" t="s">
        <v>1934</v>
      </c>
      <c r="E200" s="13">
        <v>22</v>
      </c>
      <c r="F200" s="14" t="str">
        <f>VLOOKUP($E$200,[1]UH!$A$2:$FA$300, 3, FALSE)</f>
        <v>22 Other current transfers, payable D.7p</v>
      </c>
      <c r="G200" s="556">
        <f ca="1">IF(VLOOKUP($E$200,[1]UH!$A$2:$FA$300, 6, FALSE)="",":",VLOOKUP($E$200,[1]UH!$A$2:$FA$300, 6, FALSE))</f>
        <v>5771.5</v>
      </c>
      <c r="H200" s="556">
        <f>IF(VLOOKUP($E$200,[1]UH!$A$2:$FA$300, 7, FALSE)="",":",VLOOKUP($E$200,[1]UH!$A$2:$FA$300, 7, FALSE))</f>
        <v>6159.2</v>
      </c>
      <c r="I200" s="556">
        <f>IF(VLOOKUP($E$200,[1]UH!$A$2:$FA$300, 8, FALSE)="",":",VLOOKUP($E$200,[1]UH!$A$2:$FA$300, 8, FALSE))</f>
        <v>6109.8</v>
      </c>
      <c r="J200" s="556">
        <f>IF(VLOOKUP($E$200,[1]UH!$A$2:$FA$300, 9, FALSE)="",":",VLOOKUP($E$200,[1]UH!$A$2:$FA$300, 9, FALSE))</f>
        <v>6512.5</v>
      </c>
      <c r="K200" s="556">
        <f>IF(VLOOKUP($E$200,[1]UH!$A$2:$FA$300, 10, FALSE)="",":",VLOOKUP($E$200,[1]UH!$A$2:$FA$300, 10, FALSE))</f>
        <v>6802.8</v>
      </c>
      <c r="L200" s="556">
        <f>IF(VLOOKUP($E$200,[1]UH!$A$2:$FA$300, 11, FALSE)="",":",VLOOKUP($E$200,[1]UH!$A$2:$FA$300, 11, FALSE))</f>
        <v>7218.3</v>
      </c>
      <c r="M200" s="556">
        <f>IF(VLOOKUP($E$200,[1]UH!$A$2:$FA$300, 12, FALSE)="",":",VLOOKUP($E$200,[1]UH!$A$2:$FA$300, 12, FALSE))</f>
        <v>7523.9</v>
      </c>
      <c r="N200" s="556">
        <f>IF(VLOOKUP($E$200,[1]UH!$A$2:$FA$300, 13, FALSE)="",":",VLOOKUP($E$200,[1]UH!$A$2:$FA$300, 13, FALSE))</f>
        <v>7304.9</v>
      </c>
      <c r="O200" s="556">
        <f>IF(VLOOKUP($E$200,[1]UH!$A$2:$FA$300, 14, FALSE)="",":",VLOOKUP($E$200,[1]UH!$A$2:$FA$300, 14, FALSE))</f>
        <v>7655</v>
      </c>
      <c r="P200" s="556">
        <f>IF(VLOOKUP($E$200,[1]UH!$A$2:$FA$300, 15, FALSE)="",":",VLOOKUP($E$200,[1]UH!$A$2:$FA$300, 15, FALSE))</f>
        <v>7991.7</v>
      </c>
      <c r="Q200" s="556">
        <f>IF(VLOOKUP($E$200,[1]UH!$A$2:$FA$300, 16, FALSE)="",":",VLOOKUP($E$200,[1]UH!$A$2:$FA$300, 16, FALSE))</f>
        <v>8875.7000000000007</v>
      </c>
      <c r="R200" s="556">
        <f>IF(VLOOKUP($E$200,[1]UH!$A$2:$FA$300, 17, FALSE)="",":",VLOOKUP($E$200,[1]UH!$A$2:$FA$300, 17, FALSE))</f>
        <v>8277.6</v>
      </c>
      <c r="S200" s="556">
        <f>IF(VLOOKUP($E$200,[1]UH!$A$2:$FA$300, 18, FALSE)="",":",VLOOKUP($E$200,[1]UH!$A$2:$FA$300, 18, FALSE))</f>
        <v>7238.1</v>
      </c>
      <c r="T200" s="556">
        <f>IF(VLOOKUP($E$200,[1]UH!$A$2:$FA$300, 19, FALSE)="",":",VLOOKUP($E$200,[1]UH!$A$2:$FA$300, 19, FALSE))</f>
        <v>7915.8</v>
      </c>
      <c r="U200" s="556">
        <f>IF(VLOOKUP($E$200,[1]UH!$A$2:$FA$300, 20, FALSE)="",":",VLOOKUP($E$200,[1]UH!$A$2:$FA$300, 20, FALSE))</f>
        <v>8732.7999999999993</v>
      </c>
      <c r="V200" s="556">
        <f>IF(VLOOKUP($E$200,[1]UH!$A$2:$FA$300, 21, FALSE)="",":",VLOOKUP($E$200,[1]UH!$A$2:$FA$300, 21, FALSE))</f>
        <v>8856</v>
      </c>
      <c r="W200" s="556">
        <f>IF(VLOOKUP($E$200,[1]UH!$A$2:$FA$300, 22, FALSE)="",":",VLOOKUP($E$200,[1]UH!$A$2:$FA$300, 22, FALSE))</f>
        <v>9093.7999999999993</v>
      </c>
      <c r="X200" s="556">
        <f>IF(VLOOKUP($E$200,[1]UH!$A$2:$FA$300, 23, FALSE)="",":",VLOOKUP($E$200,[1]UH!$A$2:$FA$300, 23, FALSE))</f>
        <v>9794</v>
      </c>
      <c r="Y200" s="556">
        <f>IF(VLOOKUP($E$200,[1]UH!$A$2:$FA$300, 24, FALSE)="",":",VLOOKUP($E$200,[1]UH!$A$2:$FA$300, 24, FALSE))</f>
        <v>9801.7999999999993</v>
      </c>
      <c r="Z200" s="556">
        <f>IF(VLOOKUP($E$200,[1]UH!$A$2:$FA$300, 25, FALSE)="",":",VLOOKUP($E$200,[1]UH!$A$2:$FA$300, 25, FALSE))</f>
        <v>9925.2000000000007</v>
      </c>
      <c r="AA200" s="556">
        <f>IF(VLOOKUP($E$200,[1]UH!$A$2:$FA$300, 26, FALSE)="",":",VLOOKUP($E$200,[1]UH!$A$2:$FA$300, 26, FALSE))</f>
        <v>9963</v>
      </c>
      <c r="AB200" s="556">
        <f>IF(VLOOKUP($E$200,[1]UH!$A$2:$FA$300, 27, FALSE)="",":",VLOOKUP($E$200,[1]UH!$A$2:$FA$300, 27, FALSE))</f>
        <v>9999.1</v>
      </c>
      <c r="AC200" s="556">
        <f>IF(VLOOKUP($E$200,[1]UH!$A$2:$FA$300, 28, FALSE)="",":",VLOOKUP($E$200,[1]UH!$A$2:$FA$300, 28, FALSE))</f>
        <v>0</v>
      </c>
      <c r="AD200" s="556" t="str">
        <f>IF(VLOOKUP($E$200,[1]UH!$A$2:$FA$300, 29, FALSE)="",":",VLOOKUP($E$200,[1]UH!$A$2:$FA$300, 29, FALSE))</f>
        <v>:</v>
      </c>
      <c r="AE200" s="556" t="str">
        <f>IF(VLOOKUP($E$200,[1]UH!$A$2:$FA$300, 30, FALSE)="",":",VLOOKUP($E$200,[1]UH!$A$2:$FA$300, 30, FALSE))</f>
        <v>:</v>
      </c>
      <c r="AF200" s="556" t="str">
        <f>IF(VLOOKUP($E$200,[1]UH!$A$2:$FA$300, 31, FALSE)="",":",VLOOKUP($E$200,[1]UH!$A$2:$FA$300, 31, FALSE))</f>
        <v>:</v>
      </c>
    </row>
    <row r="201" spans="1:32">
      <c r="A201" s="545"/>
      <c r="B201" s="546"/>
      <c r="C201" s="547"/>
      <c r="D201" s="12"/>
      <c r="E201" s="13"/>
      <c r="F201" s="14"/>
      <c r="G201" s="556"/>
      <c r="H201" s="556"/>
      <c r="I201" s="556"/>
      <c r="J201" s="556"/>
      <c r="K201" s="556"/>
      <c r="L201" s="556"/>
      <c r="M201" s="556"/>
      <c r="N201" s="556"/>
      <c r="O201" s="556"/>
      <c r="P201" s="556"/>
      <c r="Q201" s="556"/>
      <c r="R201" s="556"/>
      <c r="S201" s="556"/>
      <c r="T201" s="556"/>
      <c r="U201" s="556"/>
      <c r="V201" s="556"/>
      <c r="W201" s="556"/>
      <c r="X201" s="556"/>
      <c r="Y201" s="556"/>
      <c r="Z201" s="556"/>
      <c r="AA201" s="556"/>
      <c r="AB201" s="556"/>
      <c r="AC201" s="556"/>
      <c r="AD201" s="556"/>
      <c r="AE201" s="556"/>
      <c r="AF201" s="556"/>
    </row>
    <row r="202" spans="1:32">
      <c r="A202" s="545">
        <v>94</v>
      </c>
      <c r="B202" s="546" t="s">
        <v>1943</v>
      </c>
      <c r="C202" s="547" t="s">
        <v>159</v>
      </c>
      <c r="D202" s="12" t="s">
        <v>1934</v>
      </c>
      <c r="E202" s="13">
        <v>24</v>
      </c>
      <c r="F202" s="14" t="str">
        <f>VLOOKUP($E$202,[1]UH!$A$2:$FA$300, 3, FALSE)</f>
        <v>24 Adjustment for the change in net equity of households on pension funds D.8</v>
      </c>
      <c r="G202" s="556">
        <f ca="1">IF(VLOOKUP($E$202,[1]UH!$A$2:$FA$300, 6, FALSE)="",":",VLOOKUP($E$202,[1]UH!$A$2:$FA$300, 6, FALSE))</f>
        <v>1092.9000000000001</v>
      </c>
      <c r="H202" s="556">
        <f>IF(VLOOKUP($E$202,[1]UH!$A$2:$FA$300, 7, FALSE)="",":",VLOOKUP($E$202,[1]UH!$A$2:$FA$300, 7, FALSE))</f>
        <v>1330</v>
      </c>
      <c r="I202" s="556">
        <f>IF(VLOOKUP($E$202,[1]UH!$A$2:$FA$300, 8, FALSE)="",":",VLOOKUP($E$202,[1]UH!$A$2:$FA$300, 8, FALSE))</f>
        <v>1462.7</v>
      </c>
      <c r="J202" s="556">
        <f>IF(VLOOKUP($E$202,[1]UH!$A$2:$FA$300, 9, FALSE)="",":",VLOOKUP($E$202,[1]UH!$A$2:$FA$300, 9, FALSE))</f>
        <v>1435</v>
      </c>
      <c r="K202" s="556">
        <f>IF(VLOOKUP($E$202,[1]UH!$A$2:$FA$300, 10, FALSE)="",":",VLOOKUP($E$202,[1]UH!$A$2:$FA$300, 10, FALSE))</f>
        <v>1447.2</v>
      </c>
      <c r="L202" s="556">
        <f>IF(VLOOKUP($E$202,[1]UH!$A$2:$FA$300, 11, FALSE)="",":",VLOOKUP($E$202,[1]UH!$A$2:$FA$300, 11, FALSE))</f>
        <v>1391.5</v>
      </c>
      <c r="M202" s="556">
        <f>IF(VLOOKUP($E$202,[1]UH!$A$2:$FA$300, 12, FALSE)="",":",VLOOKUP($E$202,[1]UH!$A$2:$FA$300, 12, FALSE))</f>
        <v>1398.2</v>
      </c>
      <c r="N202" s="556">
        <f>IF(VLOOKUP($E$202,[1]UH!$A$2:$FA$300, 13, FALSE)="",":",VLOOKUP($E$202,[1]UH!$A$2:$FA$300, 13, FALSE))</f>
        <v>1400.3</v>
      </c>
      <c r="O202" s="556">
        <f>IF(VLOOKUP($E$202,[1]UH!$A$2:$FA$300, 14, FALSE)="",":",VLOOKUP($E$202,[1]UH!$A$2:$FA$300, 14, FALSE))</f>
        <v>1586.1</v>
      </c>
      <c r="P202" s="556">
        <f>IF(VLOOKUP($E$202,[1]UH!$A$2:$FA$300, 15, FALSE)="",":",VLOOKUP($E$202,[1]UH!$A$2:$FA$300, 15, FALSE))</f>
        <v>1703.9</v>
      </c>
      <c r="Q202" s="556">
        <f>IF(VLOOKUP($E$202,[1]UH!$A$2:$FA$300, 16, FALSE)="",":",VLOOKUP($E$202,[1]UH!$A$2:$FA$300, 16, FALSE))</f>
        <v>1768.1</v>
      </c>
      <c r="R202" s="556">
        <f>IF(VLOOKUP($E$202,[1]UH!$A$2:$FA$300, 17, FALSE)="",":",VLOOKUP($E$202,[1]UH!$A$2:$FA$300, 17, FALSE))</f>
        <v>1859.8</v>
      </c>
      <c r="S202" s="556">
        <f>IF(VLOOKUP($E$202,[1]UH!$A$2:$FA$300, 18, FALSE)="",":",VLOOKUP($E$202,[1]UH!$A$2:$FA$300, 18, FALSE))</f>
        <v>2231.8000000000002</v>
      </c>
      <c r="T202" s="556">
        <f>IF(VLOOKUP($E$202,[1]UH!$A$2:$FA$300, 19, FALSE)="",":",VLOOKUP($E$202,[1]UH!$A$2:$FA$300, 19, FALSE))</f>
        <v>2688.2</v>
      </c>
      <c r="U202" s="556">
        <f>IF(VLOOKUP($E$202,[1]UH!$A$2:$FA$300, 20, FALSE)="",":",VLOOKUP($E$202,[1]UH!$A$2:$FA$300, 20, FALSE))</f>
        <v>2668.3</v>
      </c>
      <c r="V202" s="556">
        <f>IF(VLOOKUP($E$202,[1]UH!$A$2:$FA$300, 21, FALSE)="",":",VLOOKUP($E$202,[1]UH!$A$2:$FA$300, 21, FALSE))</f>
        <v>3387</v>
      </c>
      <c r="W202" s="556">
        <f>IF(VLOOKUP($E$202,[1]UH!$A$2:$FA$300, 22, FALSE)="",":",VLOOKUP($E$202,[1]UH!$A$2:$FA$300, 22, FALSE))</f>
        <v>2903.9</v>
      </c>
      <c r="X202" s="556">
        <f>IF(VLOOKUP($E$202,[1]UH!$A$2:$FA$300, 23, FALSE)="",":",VLOOKUP($E$202,[1]UH!$A$2:$FA$300, 23, FALSE))</f>
        <v>2831.8</v>
      </c>
      <c r="Y202" s="556">
        <f>IF(VLOOKUP($E$202,[1]UH!$A$2:$FA$300, 24, FALSE)="",":",VLOOKUP($E$202,[1]UH!$A$2:$FA$300, 24, FALSE))</f>
        <v>2816.2</v>
      </c>
      <c r="Z202" s="556">
        <f>IF(VLOOKUP($E$202,[1]UH!$A$2:$FA$300, 25, FALSE)="",":",VLOOKUP($E$202,[1]UH!$A$2:$FA$300, 25, FALSE))</f>
        <v>2656.2</v>
      </c>
      <c r="AA202" s="556">
        <f>IF(VLOOKUP($E$202,[1]UH!$A$2:$FA$300, 26, FALSE)="",":",VLOOKUP($E$202,[1]UH!$A$2:$FA$300, 26, FALSE))</f>
        <v>2755.9</v>
      </c>
      <c r="AB202" s="556">
        <f>IF(VLOOKUP($E$202,[1]UH!$A$2:$FA$300, 27, FALSE)="",":",VLOOKUP($E$202,[1]UH!$A$2:$FA$300, 27, FALSE))</f>
        <v>2801.7</v>
      </c>
      <c r="AC202" s="556">
        <f>IF(VLOOKUP($E$202,[1]UH!$A$2:$FA$300, 28, FALSE)="",":",VLOOKUP($E$202,[1]UH!$A$2:$FA$300, 28, FALSE))</f>
        <v>0</v>
      </c>
      <c r="AD202" s="556" t="str">
        <f>IF(VLOOKUP($E$202,[1]UH!$A$2:$FA$300, 29, FALSE)="",":",VLOOKUP($E$202,[1]UH!$A$2:$FA$300, 29, FALSE))</f>
        <v>:</v>
      </c>
      <c r="AE202" s="556" t="str">
        <f>IF(VLOOKUP($E$202,[1]UH!$A$2:$FA$300, 30, FALSE)="",":",VLOOKUP($E$202,[1]UH!$A$2:$FA$300, 30, FALSE))</f>
        <v>:</v>
      </c>
      <c r="AF202" s="556" t="str">
        <f>IF(VLOOKUP($E$202,[1]UH!$A$2:$FA$300, 31, FALSE)="",":",VLOOKUP($E$202,[1]UH!$A$2:$FA$300, 31, FALSE))</f>
        <v>:</v>
      </c>
    </row>
    <row r="203" spans="1:32">
      <c r="A203" s="545"/>
      <c r="B203" s="546" t="s">
        <v>1944</v>
      </c>
      <c r="C203" s="547" t="s">
        <v>1511</v>
      </c>
      <c r="D203" s="12" t="s">
        <v>1934</v>
      </c>
      <c r="E203" s="13">
        <v>27</v>
      </c>
      <c r="F203" s="14" t="str">
        <f>VLOOKUP($E$203,[1]UH!$A$2:$FA$300, 3, FALSE)</f>
        <v>27 Capital transfers, receivable D.9r</v>
      </c>
      <c r="G203" s="556">
        <f ca="1">IF(VLOOKUP($E$203,[1]UH!$A$2:$FA$300, 6, FALSE)="",":",VLOOKUP($E$203,[1]UH!$A$2:$FA$300, 6, FALSE))</f>
        <v>1558</v>
      </c>
      <c r="H203" s="556">
        <f>IF(VLOOKUP($E$203,[1]UH!$A$2:$FA$300, 7, FALSE)="",":",VLOOKUP($E$203,[1]UH!$A$2:$FA$300, 7, FALSE))</f>
        <v>1215.9000000000001</v>
      </c>
      <c r="I203" s="556">
        <f>IF(VLOOKUP($E$203,[1]UH!$A$2:$FA$300, 8, FALSE)="",":",VLOOKUP($E$203,[1]UH!$A$2:$FA$300, 8, FALSE))</f>
        <v>1006.4</v>
      </c>
      <c r="J203" s="556">
        <f>IF(VLOOKUP($E$203,[1]UH!$A$2:$FA$300, 9, FALSE)="",":",VLOOKUP($E$203,[1]UH!$A$2:$FA$300, 9, FALSE))</f>
        <v>1022.3</v>
      </c>
      <c r="K203" s="556">
        <f>IF(VLOOKUP($E$203,[1]UH!$A$2:$FA$300, 10, FALSE)="",":",VLOOKUP($E$203,[1]UH!$A$2:$FA$300, 10, FALSE))</f>
        <v>1184.5999999999999</v>
      </c>
      <c r="L203" s="556">
        <f>IF(VLOOKUP($E$203,[1]UH!$A$2:$FA$300, 11, FALSE)="",":",VLOOKUP($E$203,[1]UH!$A$2:$FA$300, 11, FALSE))</f>
        <v>1136.0999999999999</v>
      </c>
      <c r="M203" s="556">
        <f>IF(VLOOKUP($E$203,[1]UH!$A$2:$FA$300, 12, FALSE)="",":",VLOOKUP($E$203,[1]UH!$A$2:$FA$300, 12, FALSE))</f>
        <v>602.79999999999995</v>
      </c>
      <c r="N203" s="556">
        <f>IF(VLOOKUP($E$203,[1]UH!$A$2:$FA$300, 13, FALSE)="",":",VLOOKUP($E$203,[1]UH!$A$2:$FA$300, 13, FALSE))</f>
        <v>947.8</v>
      </c>
      <c r="O203" s="556">
        <f>IF(VLOOKUP($E$203,[1]UH!$A$2:$FA$300, 14, FALSE)="",":",VLOOKUP($E$203,[1]UH!$A$2:$FA$300, 14, FALSE))</f>
        <v>667.7</v>
      </c>
      <c r="P203" s="556">
        <f>IF(VLOOKUP($E$203,[1]UH!$A$2:$FA$300, 15, FALSE)="",":",VLOOKUP($E$203,[1]UH!$A$2:$FA$300, 15, FALSE))</f>
        <v>1158.0999999999999</v>
      </c>
      <c r="Q203" s="556">
        <f>IF(VLOOKUP($E$203,[1]UH!$A$2:$FA$300, 16, FALSE)="",":",VLOOKUP($E$203,[1]UH!$A$2:$FA$300, 16, FALSE))</f>
        <v>874.5</v>
      </c>
      <c r="R203" s="556">
        <f>IF(VLOOKUP($E$203,[1]UH!$A$2:$FA$300, 17, FALSE)="",":",VLOOKUP($E$203,[1]UH!$A$2:$FA$300, 17, FALSE))</f>
        <v>739.1</v>
      </c>
      <c r="S203" s="556">
        <f>IF(VLOOKUP($E$203,[1]UH!$A$2:$FA$300, 18, FALSE)="",":",VLOOKUP($E$203,[1]UH!$A$2:$FA$300, 18, FALSE))</f>
        <v>635.4</v>
      </c>
      <c r="T203" s="556">
        <f>IF(VLOOKUP($E$203,[1]UH!$A$2:$FA$300, 19, FALSE)="",":",VLOOKUP($E$203,[1]UH!$A$2:$FA$300, 19, FALSE))</f>
        <v>785.7</v>
      </c>
      <c r="U203" s="556">
        <f>IF(VLOOKUP($E$203,[1]UH!$A$2:$FA$300, 20, FALSE)="",":",VLOOKUP($E$203,[1]UH!$A$2:$FA$300, 20, FALSE))</f>
        <v>1100</v>
      </c>
      <c r="V203" s="556">
        <f>IF(VLOOKUP($E$203,[1]UH!$A$2:$FA$300, 21, FALSE)="",":",VLOOKUP($E$203,[1]UH!$A$2:$FA$300, 21, FALSE))</f>
        <v>1108.4000000000001</v>
      </c>
      <c r="W203" s="556">
        <f>IF(VLOOKUP($E$203,[1]UH!$A$2:$FA$300, 22, FALSE)="",":",VLOOKUP($E$203,[1]UH!$A$2:$FA$300, 22, FALSE))</f>
        <v>1729.6</v>
      </c>
      <c r="X203" s="556">
        <f>IF(VLOOKUP($E$203,[1]UH!$A$2:$FA$300, 23, FALSE)="",":",VLOOKUP($E$203,[1]UH!$A$2:$FA$300, 23, FALSE))</f>
        <v>1914.5</v>
      </c>
      <c r="Y203" s="556">
        <f>IF(VLOOKUP($E$203,[1]UH!$A$2:$FA$300, 24, FALSE)="",":",VLOOKUP($E$203,[1]UH!$A$2:$FA$300, 24, FALSE))</f>
        <v>1519.4</v>
      </c>
      <c r="Z203" s="556">
        <f>IF(VLOOKUP($E$203,[1]UH!$A$2:$FA$300, 25, FALSE)="",":",VLOOKUP($E$203,[1]UH!$A$2:$FA$300, 25, FALSE))</f>
        <v>987.7</v>
      </c>
      <c r="AA203" s="556">
        <f>IF(VLOOKUP($E$203,[1]UH!$A$2:$FA$300, 26, FALSE)="",":",VLOOKUP($E$203,[1]UH!$A$2:$FA$300, 26, FALSE))</f>
        <v>650.29999999999995</v>
      </c>
      <c r="AB203" s="556">
        <f>IF(VLOOKUP($E$203,[1]UH!$A$2:$FA$300, 27, FALSE)="",":",VLOOKUP($E$203,[1]UH!$A$2:$FA$300, 27, FALSE))</f>
        <v>587.79999999999995</v>
      </c>
      <c r="AC203" s="556">
        <f>IF(VLOOKUP($E$203,[1]UH!$A$2:$FA$300, 28, FALSE)="",":",VLOOKUP($E$203,[1]UH!$A$2:$FA$300, 28, FALSE))</f>
        <v>0</v>
      </c>
      <c r="AD203" s="556" t="str">
        <f>IF(VLOOKUP($E$203,[1]UH!$A$2:$FA$300, 29, FALSE)="",":",VLOOKUP($E$203,[1]UH!$A$2:$FA$300, 29, FALSE))</f>
        <v>:</v>
      </c>
      <c r="AE203" s="556" t="str">
        <f>IF(VLOOKUP($E$203,[1]UH!$A$2:$FA$300, 30, FALSE)="",":",VLOOKUP($E$203,[1]UH!$A$2:$FA$300, 30, FALSE))</f>
        <v>:</v>
      </c>
      <c r="AF203" s="556" t="str">
        <f>IF(VLOOKUP($E$203,[1]UH!$A$2:$FA$300, 31, FALSE)="",":",VLOOKUP($E$203,[1]UH!$A$2:$FA$300, 31, FALSE))</f>
        <v>:</v>
      </c>
    </row>
    <row r="204" spans="1:32">
      <c r="A204" s="545"/>
      <c r="B204" s="546" t="s">
        <v>685</v>
      </c>
      <c r="C204" s="547" t="s">
        <v>1512</v>
      </c>
      <c r="D204" s="12" t="s">
        <v>1934</v>
      </c>
      <c r="E204" s="13">
        <v>28</v>
      </c>
      <c r="F204" s="14" t="str">
        <f>VLOOKUP($E$204,[1]UH!$A$2:$FA$300, 3, FALSE)</f>
        <v>28 Capital transfers, payable D.9p</v>
      </c>
      <c r="G204" s="556">
        <f ca="1">IF(VLOOKUP($E$204,[1]UH!$A$2:$FA$300, 6, FALSE)="",":",VLOOKUP($E$204,[1]UH!$A$2:$FA$300, 6, FALSE))</f>
        <v>966</v>
      </c>
      <c r="H204" s="556">
        <f>IF(VLOOKUP($E$204,[1]UH!$A$2:$FA$300, 7, FALSE)="",":",VLOOKUP($E$204,[1]UH!$A$2:$FA$300, 7, FALSE))</f>
        <v>1112.5</v>
      </c>
      <c r="I204" s="556">
        <f>IF(VLOOKUP($E$204,[1]UH!$A$2:$FA$300, 8, FALSE)="",":",VLOOKUP($E$204,[1]UH!$A$2:$FA$300, 8, FALSE))</f>
        <v>1028.0999999999999</v>
      </c>
      <c r="J204" s="556">
        <f>IF(VLOOKUP($E$204,[1]UH!$A$2:$FA$300, 9, FALSE)="",":",VLOOKUP($E$204,[1]UH!$A$2:$FA$300, 9, FALSE))</f>
        <v>1189.5999999999999</v>
      </c>
      <c r="K204" s="556">
        <f>IF(VLOOKUP($E$204,[1]UH!$A$2:$FA$300, 10, FALSE)="",":",VLOOKUP($E$204,[1]UH!$A$2:$FA$300, 10, FALSE))</f>
        <v>1285.9000000000001</v>
      </c>
      <c r="L204" s="556">
        <f>IF(VLOOKUP($E$204,[1]UH!$A$2:$FA$300, 11, FALSE)="",":",VLOOKUP($E$204,[1]UH!$A$2:$FA$300, 11, FALSE))</f>
        <v>1415.6</v>
      </c>
      <c r="M204" s="556">
        <f>IF(VLOOKUP($E$204,[1]UH!$A$2:$FA$300, 12, FALSE)="",":",VLOOKUP($E$204,[1]UH!$A$2:$FA$300, 12, FALSE))</f>
        <v>1512.6</v>
      </c>
      <c r="N204" s="556">
        <f>IF(VLOOKUP($E$204,[1]UH!$A$2:$FA$300, 13, FALSE)="",":",VLOOKUP($E$204,[1]UH!$A$2:$FA$300, 13, FALSE))</f>
        <v>1513.7</v>
      </c>
      <c r="O204" s="556">
        <f>IF(VLOOKUP($E$204,[1]UH!$A$2:$FA$300, 14, FALSE)="",":",VLOOKUP($E$204,[1]UH!$A$2:$FA$300, 14, FALSE))</f>
        <v>1623.3</v>
      </c>
      <c r="P204" s="556">
        <f>IF(VLOOKUP($E$204,[1]UH!$A$2:$FA$300, 15, FALSE)="",":",VLOOKUP($E$204,[1]UH!$A$2:$FA$300, 15, FALSE))</f>
        <v>2429.6</v>
      </c>
      <c r="Q204" s="556">
        <f>IF(VLOOKUP($E$204,[1]UH!$A$2:$FA$300, 16, FALSE)="",":",VLOOKUP($E$204,[1]UH!$A$2:$FA$300, 16, FALSE))</f>
        <v>2167</v>
      </c>
      <c r="R204" s="556">
        <f>IF(VLOOKUP($E$204,[1]UH!$A$2:$FA$300, 17, FALSE)="",":",VLOOKUP($E$204,[1]UH!$A$2:$FA$300, 17, FALSE))</f>
        <v>2408.1999999999998</v>
      </c>
      <c r="S204" s="556">
        <f>IF(VLOOKUP($E$204,[1]UH!$A$2:$FA$300, 18, FALSE)="",":",VLOOKUP($E$204,[1]UH!$A$2:$FA$300, 18, FALSE))</f>
        <v>2253.1</v>
      </c>
      <c r="T204" s="556">
        <f>IF(VLOOKUP($E$204,[1]UH!$A$2:$FA$300, 19, FALSE)="",":",VLOOKUP($E$204,[1]UH!$A$2:$FA$300, 19, FALSE))</f>
        <v>2404.1999999999998</v>
      </c>
      <c r="U204" s="556">
        <f>IF(VLOOKUP($E$204,[1]UH!$A$2:$FA$300, 20, FALSE)="",":",VLOOKUP($E$204,[1]UH!$A$2:$FA$300, 20, FALSE))</f>
        <v>2276.3000000000002</v>
      </c>
      <c r="V204" s="556">
        <f>IF(VLOOKUP($E$204,[1]UH!$A$2:$FA$300, 21, FALSE)="",":",VLOOKUP($E$204,[1]UH!$A$2:$FA$300, 21, FALSE))</f>
        <v>2640.8</v>
      </c>
      <c r="W204" s="556">
        <f>IF(VLOOKUP($E$204,[1]UH!$A$2:$FA$300, 22, FALSE)="",":",VLOOKUP($E$204,[1]UH!$A$2:$FA$300, 22, FALSE))</f>
        <v>2858</v>
      </c>
      <c r="X204" s="556">
        <f>IF(VLOOKUP($E$204,[1]UH!$A$2:$FA$300, 23, FALSE)="",":",VLOOKUP($E$204,[1]UH!$A$2:$FA$300, 23, FALSE))</f>
        <v>3380.3</v>
      </c>
      <c r="Y204" s="556">
        <f>IF(VLOOKUP($E$204,[1]UH!$A$2:$FA$300, 24, FALSE)="",":",VLOOKUP($E$204,[1]UH!$A$2:$FA$300, 24, FALSE))</f>
        <v>4021.4</v>
      </c>
      <c r="Z204" s="556">
        <f>IF(VLOOKUP($E$204,[1]UH!$A$2:$FA$300, 25, FALSE)="",":",VLOOKUP($E$204,[1]UH!$A$2:$FA$300, 25, FALSE))</f>
        <v>3958.2</v>
      </c>
      <c r="AA204" s="556">
        <f>IF(VLOOKUP($E$204,[1]UH!$A$2:$FA$300, 26, FALSE)="",":",VLOOKUP($E$204,[1]UH!$A$2:$FA$300, 26, FALSE))</f>
        <v>3678.3</v>
      </c>
      <c r="AB204" s="556">
        <f>IF(VLOOKUP($E$204,[1]UH!$A$2:$FA$300, 27, FALSE)="",":",VLOOKUP($E$204,[1]UH!$A$2:$FA$300, 27, FALSE))</f>
        <v>3400.3</v>
      </c>
      <c r="AC204" s="556">
        <f>IF(VLOOKUP($E$204,[1]UH!$A$2:$FA$300, 28, FALSE)="",":",VLOOKUP($E$204,[1]UH!$A$2:$FA$300, 28, FALSE))</f>
        <v>0</v>
      </c>
      <c r="AD204" s="556" t="str">
        <f>IF(VLOOKUP($E$204,[1]UH!$A$2:$FA$300, 29, FALSE)="",":",VLOOKUP($E$204,[1]UH!$A$2:$FA$300, 29, FALSE))</f>
        <v>:</v>
      </c>
      <c r="AE204" s="556" t="str">
        <f>IF(VLOOKUP($E$204,[1]UH!$A$2:$FA$300, 30, FALSE)="",":",VLOOKUP($E$204,[1]UH!$A$2:$FA$300, 30, FALSE))</f>
        <v>:</v>
      </c>
      <c r="AF204" s="556" t="str">
        <f>IF(VLOOKUP($E$204,[1]UH!$A$2:$FA$300, 31, FALSE)="",":",VLOOKUP($E$204,[1]UH!$A$2:$FA$300, 31, FALSE))</f>
        <v>:</v>
      </c>
    </row>
    <row r="205" spans="1:32" s="552" customFormat="1">
      <c r="A205" s="548"/>
      <c r="B205" s="549" t="s">
        <v>582</v>
      </c>
      <c r="C205" s="550" t="s">
        <v>581</v>
      </c>
      <c r="D205" s="540"/>
      <c r="E205" s="541"/>
      <c r="F205" s="551"/>
      <c r="G205" s="557">
        <f t="shared" ref="G205:AF205" ca="1" si="7">+G203-G204</f>
        <v>592</v>
      </c>
      <c r="H205" s="557">
        <f t="shared" si="7"/>
        <v>103.40000000000009</v>
      </c>
      <c r="I205" s="557">
        <f t="shared" si="7"/>
        <v>-21.699999999999932</v>
      </c>
      <c r="J205" s="557">
        <f t="shared" si="7"/>
        <v>-167.29999999999995</v>
      </c>
      <c r="K205" s="557">
        <f t="shared" si="7"/>
        <v>-101.30000000000018</v>
      </c>
      <c r="L205" s="557">
        <f t="shared" si="7"/>
        <v>-279.5</v>
      </c>
      <c r="M205" s="557">
        <f t="shared" si="7"/>
        <v>-909.8</v>
      </c>
      <c r="N205" s="557">
        <f t="shared" si="7"/>
        <v>-565.90000000000009</v>
      </c>
      <c r="O205" s="557">
        <f t="shared" si="7"/>
        <v>-955.59999999999991</v>
      </c>
      <c r="P205" s="557">
        <f t="shared" si="7"/>
        <v>-1271.5</v>
      </c>
      <c r="Q205" s="557">
        <f t="shared" si="7"/>
        <v>-1292.5</v>
      </c>
      <c r="R205" s="557">
        <f t="shared" si="7"/>
        <v>-1669.1</v>
      </c>
      <c r="S205" s="557">
        <f t="shared" si="7"/>
        <v>-1617.6999999999998</v>
      </c>
      <c r="T205" s="557">
        <f t="shared" si="7"/>
        <v>-1618.4999999999998</v>
      </c>
      <c r="U205" s="557">
        <f t="shared" si="7"/>
        <v>-1176.3000000000002</v>
      </c>
      <c r="V205" s="557">
        <f t="shared" si="7"/>
        <v>-1532.4</v>
      </c>
      <c r="W205" s="557">
        <f t="shared" si="7"/>
        <v>-1128.4000000000001</v>
      </c>
      <c r="X205" s="557">
        <f t="shared" si="7"/>
        <v>-1465.8000000000002</v>
      </c>
      <c r="Y205" s="557">
        <f t="shared" si="7"/>
        <v>-2502</v>
      </c>
      <c r="Z205" s="557">
        <f t="shared" si="7"/>
        <v>-2970.5</v>
      </c>
      <c r="AA205" s="557">
        <f t="shared" si="7"/>
        <v>-3028</v>
      </c>
      <c r="AB205" s="557">
        <f t="shared" si="7"/>
        <v>-2812.5</v>
      </c>
      <c r="AC205" s="557">
        <f t="shared" si="7"/>
        <v>0</v>
      </c>
      <c r="AD205" s="557" t="e">
        <f t="shared" si="7"/>
        <v>#VALUE!</v>
      </c>
      <c r="AE205" s="557" t="e">
        <f t="shared" si="7"/>
        <v>#VALUE!</v>
      </c>
      <c r="AF205" s="557" t="e">
        <f t="shared" si="7"/>
        <v>#VALUE!</v>
      </c>
    </row>
    <row r="206" spans="1:32">
      <c r="A206" s="545"/>
      <c r="B206" s="546"/>
      <c r="C206" s="547"/>
      <c r="D206" s="12"/>
      <c r="E206" s="13"/>
      <c r="F206" s="14"/>
      <c r="G206" s="556"/>
      <c r="H206" s="556"/>
      <c r="I206" s="556"/>
      <c r="J206" s="556"/>
      <c r="K206" s="556"/>
      <c r="L206" s="556"/>
      <c r="M206" s="556"/>
      <c r="N206" s="556"/>
      <c r="O206" s="556"/>
      <c r="P206" s="556"/>
      <c r="Q206" s="556"/>
      <c r="R206" s="556"/>
      <c r="S206" s="556"/>
      <c r="T206" s="556"/>
      <c r="U206" s="556"/>
      <c r="V206" s="556"/>
      <c r="W206" s="556"/>
      <c r="X206" s="556"/>
      <c r="Y206" s="556"/>
      <c r="Z206" s="556"/>
      <c r="AA206" s="556"/>
      <c r="AB206" s="556"/>
      <c r="AC206" s="556"/>
      <c r="AD206" s="556"/>
      <c r="AE206" s="556"/>
      <c r="AF206" s="556"/>
    </row>
    <row r="207" spans="1:32">
      <c r="A207" s="545"/>
      <c r="B207" s="546" t="s">
        <v>921</v>
      </c>
      <c r="C207" s="547" t="s">
        <v>1514</v>
      </c>
      <c r="D207" s="12" t="s">
        <v>1934</v>
      </c>
      <c r="E207" s="13">
        <v>33</v>
      </c>
      <c r="F207" s="14" t="str">
        <f>VLOOKUP($E$207,[1]UH!$A$2:$FA$300, 3, FALSE)</f>
        <v>33 Net acquisitions of non-produced non-financial assets K.2</v>
      </c>
      <c r="G207" s="556">
        <f ca="1">IF(VLOOKUP($E$207,[1]UH!$A$2:$FA$300, 6, FALSE)="",":",VLOOKUP($E$207,[1]UH!$A$2:$FA$300, 6, FALSE))</f>
        <v>-189</v>
      </c>
      <c r="H207" s="556">
        <f>IF(VLOOKUP($E$207,[1]UH!$A$2:$FA$300, 7, FALSE)="",":",VLOOKUP($E$207,[1]UH!$A$2:$FA$300, 7, FALSE))</f>
        <v>-179.8</v>
      </c>
      <c r="I207" s="556">
        <f>IF(VLOOKUP($E$207,[1]UH!$A$2:$FA$300, 8, FALSE)="",":",VLOOKUP($E$207,[1]UH!$A$2:$FA$300, 8, FALSE))</f>
        <v>-199</v>
      </c>
      <c r="J207" s="556">
        <f>IF(VLOOKUP($E$207,[1]UH!$A$2:$FA$300, 9, FALSE)="",":",VLOOKUP($E$207,[1]UH!$A$2:$FA$300, 9, FALSE))</f>
        <v>-193</v>
      </c>
      <c r="K207" s="556">
        <f>IF(VLOOKUP($E$207,[1]UH!$A$2:$FA$300, 10, FALSE)="",":",VLOOKUP($E$207,[1]UH!$A$2:$FA$300, 10, FALSE))</f>
        <v>-210</v>
      </c>
      <c r="L207" s="556">
        <f>IF(VLOOKUP($E$207,[1]UH!$A$2:$FA$300, 11, FALSE)="",":",VLOOKUP($E$207,[1]UH!$A$2:$FA$300, 11, FALSE))</f>
        <v>-198.8</v>
      </c>
      <c r="M207" s="556">
        <f>IF(VLOOKUP($E$207,[1]UH!$A$2:$FA$300, 12, FALSE)="",":",VLOOKUP($E$207,[1]UH!$A$2:$FA$300, 12, FALSE))</f>
        <v>-279.10000000000002</v>
      </c>
      <c r="N207" s="556">
        <f>IF(VLOOKUP($E$207,[1]UH!$A$2:$FA$300, 13, FALSE)="",":",VLOOKUP($E$207,[1]UH!$A$2:$FA$300, 13, FALSE))</f>
        <v>-235.6</v>
      </c>
      <c r="O207" s="556">
        <f>IF(VLOOKUP($E$207,[1]UH!$A$2:$FA$300, 14, FALSE)="",":",VLOOKUP($E$207,[1]UH!$A$2:$FA$300, 14, FALSE))</f>
        <v>-209</v>
      </c>
      <c r="P207" s="556">
        <f>IF(VLOOKUP($E$207,[1]UH!$A$2:$FA$300, 15, FALSE)="",":",VLOOKUP($E$207,[1]UH!$A$2:$FA$300, 15, FALSE))</f>
        <v>-289.39999999999998</v>
      </c>
      <c r="Q207" s="556">
        <f>IF(VLOOKUP($E$207,[1]UH!$A$2:$FA$300, 16, FALSE)="",":",VLOOKUP($E$207,[1]UH!$A$2:$FA$300, 16, FALSE))</f>
        <v>-98.4</v>
      </c>
      <c r="R207" s="556">
        <f>IF(VLOOKUP($E$207,[1]UH!$A$2:$FA$300, 17, FALSE)="",":",VLOOKUP($E$207,[1]UH!$A$2:$FA$300, 17, FALSE))</f>
        <v>-341</v>
      </c>
      <c r="S207" s="556">
        <f>IF(VLOOKUP($E$207,[1]UH!$A$2:$FA$300, 18, FALSE)="",":",VLOOKUP($E$207,[1]UH!$A$2:$FA$300, 18, FALSE))</f>
        <v>-513.70000000000005</v>
      </c>
      <c r="T207" s="556">
        <f>IF(VLOOKUP($E$207,[1]UH!$A$2:$FA$300, 19, FALSE)="",":",VLOOKUP($E$207,[1]UH!$A$2:$FA$300, 19, FALSE))</f>
        <v>-424.6</v>
      </c>
      <c r="U207" s="556">
        <f>IF(VLOOKUP($E$207,[1]UH!$A$2:$FA$300, 20, FALSE)="",":",VLOOKUP($E$207,[1]UH!$A$2:$FA$300, 20, FALSE))</f>
        <v>-300.60000000000002</v>
      </c>
      <c r="V207" s="556">
        <f>IF(VLOOKUP($E$207,[1]UH!$A$2:$FA$300, 21, FALSE)="",":",VLOOKUP($E$207,[1]UH!$A$2:$FA$300, 21, FALSE))</f>
        <v>-474.2</v>
      </c>
      <c r="W207" s="556">
        <f>IF(VLOOKUP($E$207,[1]UH!$A$2:$FA$300, 22, FALSE)="",":",VLOOKUP($E$207,[1]UH!$A$2:$FA$300, 22, FALSE))</f>
        <v>-780.4</v>
      </c>
      <c r="X207" s="556">
        <f>IF(VLOOKUP($E$207,[1]UH!$A$2:$FA$300, 23, FALSE)="",":",VLOOKUP($E$207,[1]UH!$A$2:$FA$300, 23, FALSE))</f>
        <v>-582.20000000000005</v>
      </c>
      <c r="Y207" s="556">
        <f>IF(VLOOKUP($E$207,[1]UH!$A$2:$FA$300, 24, FALSE)="",":",VLOOKUP($E$207,[1]UH!$A$2:$FA$300, 24, FALSE))</f>
        <v>-914.6</v>
      </c>
      <c r="Z207" s="556">
        <f>IF(VLOOKUP($E$207,[1]UH!$A$2:$FA$300, 25, FALSE)="",":",VLOOKUP($E$207,[1]UH!$A$2:$FA$300, 25, FALSE))</f>
        <v>-868</v>
      </c>
      <c r="AA207" s="556">
        <f>IF(VLOOKUP($E$207,[1]UH!$A$2:$FA$300, 26, FALSE)="",":",VLOOKUP($E$207,[1]UH!$A$2:$FA$300, 26, FALSE))</f>
        <v>-503.9</v>
      </c>
      <c r="AB207" s="556">
        <f>IF(VLOOKUP($E$207,[1]UH!$A$2:$FA$300, 27, FALSE)="",":",VLOOKUP($E$207,[1]UH!$A$2:$FA$300, 27, FALSE))</f>
        <v>-667.5</v>
      </c>
      <c r="AC207" s="556">
        <f>IF(VLOOKUP($E$207,[1]UH!$A$2:$FA$300, 28, FALSE)="",":",VLOOKUP($E$207,[1]UH!$A$2:$FA$300, 28, FALSE))</f>
        <v>0</v>
      </c>
      <c r="AD207" s="556" t="str">
        <f>IF(VLOOKUP($E$207,[1]UH!$A$2:$FA$300, 29, FALSE)="",":",VLOOKUP($E$207,[1]UH!$A$2:$FA$300, 29, FALSE))</f>
        <v>:</v>
      </c>
      <c r="AE207" s="556" t="str">
        <f>IF(VLOOKUP($E$207,[1]UH!$A$2:$FA$300, 30, FALSE)="",":",VLOOKUP($E$207,[1]UH!$A$2:$FA$300, 30, FALSE))</f>
        <v>:</v>
      </c>
      <c r="AF207" s="556" t="str">
        <f>IF(VLOOKUP($E$207,[1]UH!$A$2:$FA$300, 31, FALSE)="",":",VLOOKUP($E$207,[1]UH!$A$2:$FA$300, 31, FALSE))</f>
        <v>:</v>
      </c>
    </row>
    <row r="208" spans="1:32">
      <c r="A208" s="545"/>
      <c r="B208" s="546" t="s">
        <v>377</v>
      </c>
      <c r="C208" s="547" t="s">
        <v>1513</v>
      </c>
      <c r="D208" s="12" t="s">
        <v>1934</v>
      </c>
      <c r="E208" s="13">
        <v>30</v>
      </c>
      <c r="F208" s="14" t="str">
        <f>VLOOKUP($E$208,[1]UH!$A$2:$FA$300, 3, FALSE)</f>
        <v>30. Gross fixed capital formation P.51</v>
      </c>
      <c r="G208" s="556">
        <f ca="1">IF(VLOOKUP($E$208,[1]UH!$A$2:$FA$300, 6, FALSE)="",":",VLOOKUP($E$208,[1]UH!$A$2:$FA$300, 6, FALSE))</f>
        <v>14479.3</v>
      </c>
      <c r="H208" s="556">
        <f>IF(VLOOKUP($E$208,[1]UH!$A$2:$FA$300, 7, FALSE)="",":",VLOOKUP($E$208,[1]UH!$A$2:$FA$300, 7, FALSE))</f>
        <v>13462.3</v>
      </c>
      <c r="I208" s="556">
        <f>IF(VLOOKUP($E$208,[1]UH!$A$2:$FA$300, 8, FALSE)="",":",VLOOKUP($E$208,[1]UH!$A$2:$FA$300, 8, FALSE))</f>
        <v>14876.3</v>
      </c>
      <c r="J208" s="556">
        <f>IF(VLOOKUP($E$208,[1]UH!$A$2:$FA$300, 9, FALSE)="",":",VLOOKUP($E$208,[1]UH!$A$2:$FA$300, 9, FALSE))</f>
        <v>14363</v>
      </c>
      <c r="K208" s="556">
        <f>IF(VLOOKUP($E$208,[1]UH!$A$2:$FA$300, 10, FALSE)="",":",VLOOKUP($E$208,[1]UH!$A$2:$FA$300, 10, FALSE))</f>
        <v>14995.1</v>
      </c>
      <c r="L208" s="556">
        <f>IF(VLOOKUP($E$208,[1]UH!$A$2:$FA$300, 11, FALSE)="",":",VLOOKUP($E$208,[1]UH!$A$2:$FA$300, 11, FALSE))</f>
        <v>15137.8</v>
      </c>
      <c r="M208" s="556">
        <f>IF(VLOOKUP($E$208,[1]UH!$A$2:$FA$300, 12, FALSE)="",":",VLOOKUP($E$208,[1]UH!$A$2:$FA$300, 12, FALSE))</f>
        <v>14555</v>
      </c>
      <c r="N208" s="556">
        <f>IF(VLOOKUP($E$208,[1]UH!$A$2:$FA$300, 13, FALSE)="",":",VLOOKUP($E$208,[1]UH!$A$2:$FA$300, 13, FALSE))</f>
        <v>14399.7</v>
      </c>
      <c r="O208" s="556">
        <f>IF(VLOOKUP($E$208,[1]UH!$A$2:$FA$300, 14, FALSE)="",":",VLOOKUP($E$208,[1]UH!$A$2:$FA$300, 14, FALSE))</f>
        <v>14967.2</v>
      </c>
      <c r="P208" s="556">
        <f>IF(VLOOKUP($E$208,[1]UH!$A$2:$FA$300, 15, FALSE)="",":",VLOOKUP($E$208,[1]UH!$A$2:$FA$300, 15, FALSE))</f>
        <v>16460.599999999999</v>
      </c>
      <c r="Q208" s="556">
        <f>IF(VLOOKUP($E$208,[1]UH!$A$2:$FA$300, 16, FALSE)="",":",VLOOKUP($E$208,[1]UH!$A$2:$FA$300, 16, FALSE))</f>
        <v>19201</v>
      </c>
      <c r="R208" s="556">
        <f>IF(VLOOKUP($E$208,[1]UH!$A$2:$FA$300, 17, FALSE)="",":",VLOOKUP($E$208,[1]UH!$A$2:$FA$300, 17, FALSE))</f>
        <v>21168.2</v>
      </c>
      <c r="S208" s="556">
        <f>IF(VLOOKUP($E$208,[1]UH!$A$2:$FA$300, 18, FALSE)="",":",VLOOKUP($E$208,[1]UH!$A$2:$FA$300, 18, FALSE))</f>
        <v>23024.7</v>
      </c>
      <c r="T208" s="556">
        <f>IF(VLOOKUP($E$208,[1]UH!$A$2:$FA$300, 19, FALSE)="",":",VLOOKUP($E$208,[1]UH!$A$2:$FA$300, 19, FALSE))</f>
        <v>24052.6</v>
      </c>
      <c r="U208" s="556">
        <f>IF(VLOOKUP($E$208,[1]UH!$A$2:$FA$300, 20, FALSE)="",":",VLOOKUP($E$208,[1]UH!$A$2:$FA$300, 20, FALSE))</f>
        <v>21798.799999999999</v>
      </c>
      <c r="V208" s="556">
        <f>IF(VLOOKUP($E$208,[1]UH!$A$2:$FA$300, 21, FALSE)="",":",VLOOKUP($E$208,[1]UH!$A$2:$FA$300, 21, FALSE))</f>
        <v>22440.6</v>
      </c>
      <c r="W208" s="556">
        <f>IF(VLOOKUP($E$208,[1]UH!$A$2:$FA$300, 22, FALSE)="",":",VLOOKUP($E$208,[1]UH!$A$2:$FA$300, 22, FALSE))</f>
        <v>22331.3</v>
      </c>
      <c r="X208" s="556">
        <f>IF(VLOOKUP($E$208,[1]UH!$A$2:$FA$300, 23, FALSE)="",":",VLOOKUP($E$208,[1]UH!$A$2:$FA$300, 23, FALSE))</f>
        <v>22794.7</v>
      </c>
      <c r="Y208" s="556">
        <f>IF(VLOOKUP($E$208,[1]UH!$A$2:$FA$300, 24, FALSE)="",":",VLOOKUP($E$208,[1]UH!$A$2:$FA$300, 24, FALSE))</f>
        <v>22203.8</v>
      </c>
      <c r="Z208" s="556">
        <f>IF(VLOOKUP($E$208,[1]UH!$A$2:$FA$300, 25, FALSE)="",":",VLOOKUP($E$208,[1]UH!$A$2:$FA$300, 25, FALSE))</f>
        <v>23541.4</v>
      </c>
      <c r="AA208" s="556">
        <f>IF(VLOOKUP($E$208,[1]UH!$A$2:$FA$300, 26, FALSE)="",":",VLOOKUP($E$208,[1]UH!$A$2:$FA$300, 26, FALSE))</f>
        <v>23821.9</v>
      </c>
      <c r="AB208" s="556">
        <f>IF(VLOOKUP($E$208,[1]UH!$A$2:$FA$300, 27, FALSE)="",":",VLOOKUP($E$208,[1]UH!$A$2:$FA$300, 27, FALSE))</f>
        <v>24479.200000000001</v>
      </c>
      <c r="AC208" s="556">
        <f>IF(VLOOKUP($E$208,[1]UH!$A$2:$FA$300, 28, FALSE)="",":",VLOOKUP($E$208,[1]UH!$A$2:$FA$300, 28, FALSE))</f>
        <v>0</v>
      </c>
      <c r="AD208" s="556" t="str">
        <f>IF(VLOOKUP($E$208,[1]UH!$A$2:$FA$300, 29, FALSE)="",":",VLOOKUP($E$208,[1]UH!$A$2:$FA$300, 29, FALSE))</f>
        <v>:</v>
      </c>
      <c r="AE208" s="556" t="str">
        <f>IF(VLOOKUP($E$208,[1]UH!$A$2:$FA$300, 30, FALSE)="",":",VLOOKUP($E$208,[1]UH!$A$2:$FA$300, 30, FALSE))</f>
        <v>:</v>
      </c>
      <c r="AF208" s="556" t="str">
        <f>IF(VLOOKUP($E$208,[1]UH!$A$2:$FA$300, 31, FALSE)="",":",VLOOKUP($E$208,[1]UH!$A$2:$FA$300, 31, FALSE))</f>
        <v>:</v>
      </c>
    </row>
    <row r="209" spans="1:32">
      <c r="A209" s="545"/>
      <c r="B209" s="546"/>
      <c r="C209" s="547" t="s">
        <v>1515</v>
      </c>
      <c r="D209" s="12" t="s">
        <v>1934</v>
      </c>
      <c r="E209" s="13">
        <v>31</v>
      </c>
      <c r="F209" s="14" t="str">
        <f>VLOOKUP($E$209,[1]UH!$A$2:$FA$300, 3, FALSE)</f>
        <v xml:space="preserve">31 Changes in inventories P.52 </v>
      </c>
      <c r="G209" s="556">
        <f ca="1">IF(VLOOKUP($E$209,[1]UH!$A$2:$FA$300, 6, FALSE)="",":",VLOOKUP($E$209,[1]UH!$A$2:$FA$300, 6, FALSE))</f>
        <v>17.399999999999999</v>
      </c>
      <c r="H209" s="556">
        <f>IF(VLOOKUP($E$209,[1]UH!$A$2:$FA$300, 7, FALSE)="",":",VLOOKUP($E$209,[1]UH!$A$2:$FA$300, 7, FALSE))</f>
        <v>-46</v>
      </c>
      <c r="I209" s="556">
        <f>IF(VLOOKUP($E$209,[1]UH!$A$2:$FA$300, 8, FALSE)="",":",VLOOKUP($E$209,[1]UH!$A$2:$FA$300, 8, FALSE))</f>
        <v>-41.6</v>
      </c>
      <c r="J209" s="556">
        <f>IF(VLOOKUP($E$209,[1]UH!$A$2:$FA$300, 9, FALSE)="",":",VLOOKUP($E$209,[1]UH!$A$2:$FA$300, 9, FALSE))</f>
        <v>25.8</v>
      </c>
      <c r="K209" s="556">
        <f>IF(VLOOKUP($E$209,[1]UH!$A$2:$FA$300, 10, FALSE)="",":",VLOOKUP($E$209,[1]UH!$A$2:$FA$300, 10, FALSE))</f>
        <v>-38.4</v>
      </c>
      <c r="L209" s="556">
        <f>IF(VLOOKUP($E$209,[1]UH!$A$2:$FA$300, 11, FALSE)="",":",VLOOKUP($E$209,[1]UH!$A$2:$FA$300, 11, FALSE))</f>
        <v>-47.8</v>
      </c>
      <c r="M209" s="556">
        <f>IF(VLOOKUP($E$209,[1]UH!$A$2:$FA$300, 12, FALSE)="",":",VLOOKUP($E$209,[1]UH!$A$2:$FA$300, 12, FALSE))</f>
        <v>-86.2</v>
      </c>
      <c r="N209" s="556">
        <f>IF(VLOOKUP($E$209,[1]UH!$A$2:$FA$300, 13, FALSE)="",":",VLOOKUP($E$209,[1]UH!$A$2:$FA$300, 13, FALSE))</f>
        <v>-102.2</v>
      </c>
      <c r="O209" s="556">
        <f>IF(VLOOKUP($E$209,[1]UH!$A$2:$FA$300, 14, FALSE)="",":",VLOOKUP($E$209,[1]UH!$A$2:$FA$300, 14, FALSE))</f>
        <v>-99.6</v>
      </c>
      <c r="P209" s="556">
        <f>IF(VLOOKUP($E$209,[1]UH!$A$2:$FA$300, 15, FALSE)="",":",VLOOKUP($E$209,[1]UH!$A$2:$FA$300, 15, FALSE))</f>
        <v>-100.7</v>
      </c>
      <c r="Q209" s="556">
        <f>IF(VLOOKUP($E$209,[1]UH!$A$2:$FA$300, 16, FALSE)="",":",VLOOKUP($E$209,[1]UH!$A$2:$FA$300, 16, FALSE))</f>
        <v>-98.3</v>
      </c>
      <c r="R209" s="556">
        <f>IF(VLOOKUP($E$209,[1]UH!$A$2:$FA$300, 17, FALSE)="",":",VLOOKUP($E$209,[1]UH!$A$2:$FA$300, 17, FALSE))</f>
        <v>-100</v>
      </c>
      <c r="S209" s="556">
        <f>IF(VLOOKUP($E$209,[1]UH!$A$2:$FA$300, 18, FALSE)="",":",VLOOKUP($E$209,[1]UH!$A$2:$FA$300, 18, FALSE))</f>
        <v>-105</v>
      </c>
      <c r="T209" s="556">
        <f>IF(VLOOKUP($E$209,[1]UH!$A$2:$FA$300, 19, FALSE)="",":",VLOOKUP($E$209,[1]UH!$A$2:$FA$300, 19, FALSE))</f>
        <v>-103.9</v>
      </c>
      <c r="U209" s="556">
        <f>IF(VLOOKUP($E$209,[1]UH!$A$2:$FA$300, 20, FALSE)="",":",VLOOKUP($E$209,[1]UH!$A$2:$FA$300, 20, FALSE))</f>
        <v>-67.900000000000006</v>
      </c>
      <c r="V209" s="556">
        <f>IF(VLOOKUP($E$209,[1]UH!$A$2:$FA$300, 21, FALSE)="",":",VLOOKUP($E$209,[1]UH!$A$2:$FA$300, 21, FALSE))</f>
        <v>-73.5</v>
      </c>
      <c r="W209" s="556">
        <f>IF(VLOOKUP($E$209,[1]UH!$A$2:$FA$300, 22, FALSE)="",":",VLOOKUP($E$209,[1]UH!$A$2:$FA$300, 22, FALSE))</f>
        <v>124.2</v>
      </c>
      <c r="X209" s="556">
        <f>IF(VLOOKUP($E$209,[1]UH!$A$2:$FA$300, 23, FALSE)="",":",VLOOKUP($E$209,[1]UH!$A$2:$FA$300, 23, FALSE))</f>
        <v>16.2</v>
      </c>
      <c r="Y209" s="556">
        <f>IF(VLOOKUP($E$209,[1]UH!$A$2:$FA$300, 24, FALSE)="",":",VLOOKUP($E$209,[1]UH!$A$2:$FA$300, 24, FALSE))</f>
        <v>4.2</v>
      </c>
      <c r="Z209" s="556">
        <f>IF(VLOOKUP($E$209,[1]UH!$A$2:$FA$300, 25, FALSE)="",":",VLOOKUP($E$209,[1]UH!$A$2:$FA$300, 25, FALSE))</f>
        <v>-20</v>
      </c>
      <c r="AA209" s="556">
        <f>IF(VLOOKUP($E$209,[1]UH!$A$2:$FA$300, 26, FALSE)="",":",VLOOKUP($E$209,[1]UH!$A$2:$FA$300, 26, FALSE))</f>
        <v>-116.2</v>
      </c>
      <c r="AB209" s="556">
        <f>IF(VLOOKUP($E$209,[1]UH!$A$2:$FA$300, 27, FALSE)="",":",VLOOKUP($E$209,[1]UH!$A$2:$FA$300, 27, FALSE))</f>
        <v>0</v>
      </c>
      <c r="AC209" s="556">
        <f>IF(VLOOKUP($E$209,[1]UH!$A$2:$FA$300, 28, FALSE)="",":",VLOOKUP($E$209,[1]UH!$A$2:$FA$300, 28, FALSE))</f>
        <v>0</v>
      </c>
      <c r="AD209" s="556" t="str">
        <f>IF(VLOOKUP($E$209,[1]UH!$A$2:$FA$300, 29, FALSE)="",":",VLOOKUP($E$209,[1]UH!$A$2:$FA$300, 29, FALSE))</f>
        <v>:</v>
      </c>
      <c r="AE209" s="556" t="str">
        <f>IF(VLOOKUP($E$209,[1]UH!$A$2:$FA$300, 30, FALSE)="",":",VLOOKUP($E$209,[1]UH!$A$2:$FA$300, 30, FALSE))</f>
        <v>:</v>
      </c>
      <c r="AF209" s="556" t="str">
        <f>IF(VLOOKUP($E$209,[1]UH!$A$2:$FA$300, 31, FALSE)="",":",VLOOKUP($E$209,[1]UH!$A$2:$FA$300, 31, FALSE))</f>
        <v>:</v>
      </c>
    </row>
    <row r="210" spans="1:32">
      <c r="A210" s="545"/>
      <c r="B210" s="546"/>
      <c r="C210" s="547" t="s">
        <v>1516</v>
      </c>
      <c r="D210" s="12" t="s">
        <v>1934</v>
      </c>
      <c r="E210" s="13">
        <v>32</v>
      </c>
      <c r="F210" s="14" t="str">
        <f>VLOOKUP($E$210,[1]UH!$A$2:$FA$300, 3, FALSE)</f>
        <v>32 Net acquisitions of valuables P.53</v>
      </c>
      <c r="G210" s="556">
        <f ca="1">IF(VLOOKUP($E$210,[1]UH!$A$2:$FA$300, 6, FALSE)="",":",VLOOKUP($E$210,[1]UH!$A$2:$FA$300, 6, FALSE))</f>
        <v>-1.9</v>
      </c>
      <c r="H210" s="556">
        <f>IF(VLOOKUP($E$210,[1]UH!$A$2:$FA$300, 7, FALSE)="",":",VLOOKUP($E$210,[1]UH!$A$2:$FA$300, 7, FALSE))</f>
        <v>28.2</v>
      </c>
      <c r="I210" s="556">
        <f>IF(VLOOKUP($E$210,[1]UH!$A$2:$FA$300, 8, FALSE)="",":",VLOOKUP($E$210,[1]UH!$A$2:$FA$300, 8, FALSE))</f>
        <v>22.7</v>
      </c>
      <c r="J210" s="556">
        <f>IF(VLOOKUP($E$210,[1]UH!$A$2:$FA$300, 9, FALSE)="",":",VLOOKUP($E$210,[1]UH!$A$2:$FA$300, 9, FALSE))</f>
        <v>45.5</v>
      </c>
      <c r="K210" s="556">
        <f>IF(VLOOKUP($E$210,[1]UH!$A$2:$FA$300, 10, FALSE)="",":",VLOOKUP($E$210,[1]UH!$A$2:$FA$300, 10, FALSE))</f>
        <v>7.6</v>
      </c>
      <c r="L210" s="556">
        <f>IF(VLOOKUP($E$210,[1]UH!$A$2:$FA$300, 11, FALSE)="",":",VLOOKUP($E$210,[1]UH!$A$2:$FA$300, 11, FALSE))</f>
        <v>24.9</v>
      </c>
      <c r="M210" s="556">
        <f>IF(VLOOKUP($E$210,[1]UH!$A$2:$FA$300, 12, FALSE)="",":",VLOOKUP($E$210,[1]UH!$A$2:$FA$300, 12, FALSE))</f>
        <v>23.3</v>
      </c>
      <c r="N210" s="556">
        <f>IF(VLOOKUP($E$210,[1]UH!$A$2:$FA$300, 13, FALSE)="",":",VLOOKUP($E$210,[1]UH!$A$2:$FA$300, 13, FALSE))</f>
        <v>20.7</v>
      </c>
      <c r="O210" s="556">
        <f>IF(VLOOKUP($E$210,[1]UH!$A$2:$FA$300, 14, FALSE)="",":",VLOOKUP($E$210,[1]UH!$A$2:$FA$300, 14, FALSE))</f>
        <v>18.3</v>
      </c>
      <c r="P210" s="556">
        <f>IF(VLOOKUP($E$210,[1]UH!$A$2:$FA$300, 15, FALSE)="",":",VLOOKUP($E$210,[1]UH!$A$2:$FA$300, 15, FALSE))</f>
        <v>3.2</v>
      </c>
      <c r="Q210" s="556">
        <f>IF(VLOOKUP($E$210,[1]UH!$A$2:$FA$300, 16, FALSE)="",":",VLOOKUP($E$210,[1]UH!$A$2:$FA$300, 16, FALSE))</f>
        <v>15.6</v>
      </c>
      <c r="R210" s="556">
        <f>IF(VLOOKUP($E$210,[1]UH!$A$2:$FA$300, 17, FALSE)="",":",VLOOKUP($E$210,[1]UH!$A$2:$FA$300, 17, FALSE))</f>
        <v>85.9</v>
      </c>
      <c r="S210" s="556">
        <f>IF(VLOOKUP($E$210,[1]UH!$A$2:$FA$300, 18, FALSE)="",":",VLOOKUP($E$210,[1]UH!$A$2:$FA$300, 18, FALSE))</f>
        <v>68.900000000000006</v>
      </c>
      <c r="T210" s="556">
        <f>IF(VLOOKUP($E$210,[1]UH!$A$2:$FA$300, 19, FALSE)="",":",VLOOKUP($E$210,[1]UH!$A$2:$FA$300, 19, FALSE))</f>
        <v>89.7</v>
      </c>
      <c r="U210" s="556">
        <f>IF(VLOOKUP($E$210,[1]UH!$A$2:$FA$300, 20, FALSE)="",":",VLOOKUP($E$210,[1]UH!$A$2:$FA$300, 20, FALSE))</f>
        <v>90.2</v>
      </c>
      <c r="V210" s="556">
        <f>IF(VLOOKUP($E$210,[1]UH!$A$2:$FA$300, 21, FALSE)="",":",VLOOKUP($E$210,[1]UH!$A$2:$FA$300, 21, FALSE))</f>
        <v>93.8</v>
      </c>
      <c r="W210" s="556">
        <f>IF(VLOOKUP($E$210,[1]UH!$A$2:$FA$300, 22, FALSE)="",":",VLOOKUP($E$210,[1]UH!$A$2:$FA$300, 22, FALSE))</f>
        <v>103.6</v>
      </c>
      <c r="X210" s="556">
        <f>IF(VLOOKUP($E$210,[1]UH!$A$2:$FA$300, 23, FALSE)="",":",VLOOKUP($E$210,[1]UH!$A$2:$FA$300, 23, FALSE))</f>
        <v>60.2</v>
      </c>
      <c r="Y210" s="556">
        <f>IF(VLOOKUP($E$210,[1]UH!$A$2:$FA$300, 24, FALSE)="",":",VLOOKUP($E$210,[1]UH!$A$2:$FA$300, 24, FALSE))</f>
        <v>96.9</v>
      </c>
      <c r="Z210" s="556">
        <f>IF(VLOOKUP($E$210,[1]UH!$A$2:$FA$300, 25, FALSE)="",":",VLOOKUP($E$210,[1]UH!$A$2:$FA$300, 25, FALSE))</f>
        <v>26.2</v>
      </c>
      <c r="AA210" s="556">
        <f>IF(VLOOKUP($E$210,[1]UH!$A$2:$FA$300, 26, FALSE)="",":",VLOOKUP($E$210,[1]UH!$A$2:$FA$300, 26, FALSE))</f>
        <v>16.5</v>
      </c>
      <c r="AB210" s="556">
        <f>IF(VLOOKUP($E$210,[1]UH!$A$2:$FA$300, 27, FALSE)="",":",VLOOKUP($E$210,[1]UH!$A$2:$FA$300, 27, FALSE))</f>
        <v>-14.1</v>
      </c>
      <c r="AC210" s="556">
        <f>IF(VLOOKUP($E$210,[1]UH!$A$2:$FA$300, 28, FALSE)="",":",VLOOKUP($E$210,[1]UH!$A$2:$FA$300, 28, FALSE))</f>
        <v>0</v>
      </c>
      <c r="AD210" s="556" t="str">
        <f>IF(VLOOKUP($E$210,[1]UH!$A$2:$FA$300, 29, FALSE)="",":",VLOOKUP($E$210,[1]UH!$A$2:$FA$300, 29, FALSE))</f>
        <v>:</v>
      </c>
      <c r="AE210" s="556" t="str">
        <f>IF(VLOOKUP($E$210,[1]UH!$A$2:$FA$300, 30, FALSE)="",":",VLOOKUP($E$210,[1]UH!$A$2:$FA$300, 30, FALSE))</f>
        <v>:</v>
      </c>
      <c r="AF210" s="556" t="str">
        <f>IF(VLOOKUP($E$210,[1]UH!$A$2:$FA$300, 31, FALSE)="",":",VLOOKUP($E$210,[1]UH!$A$2:$FA$300, 31, FALSE))</f>
        <v>:</v>
      </c>
    </row>
    <row r="211" spans="1:32" s="552" customFormat="1">
      <c r="A211" s="548"/>
      <c r="B211" s="549" t="s">
        <v>807</v>
      </c>
      <c r="C211" s="550" t="s">
        <v>1085</v>
      </c>
      <c r="D211" s="540"/>
      <c r="E211" s="541"/>
      <c r="F211" s="551"/>
      <c r="G211" s="557">
        <f t="shared" ref="G211:AF211" ca="1" si="8">+G209+G210</f>
        <v>15.499999999999998</v>
      </c>
      <c r="H211" s="557">
        <f t="shared" si="8"/>
        <v>-17.8</v>
      </c>
      <c r="I211" s="557">
        <f t="shared" si="8"/>
        <v>-18.900000000000002</v>
      </c>
      <c r="J211" s="557">
        <f t="shared" si="8"/>
        <v>71.3</v>
      </c>
      <c r="K211" s="557">
        <f t="shared" si="8"/>
        <v>-30.799999999999997</v>
      </c>
      <c r="L211" s="557">
        <f t="shared" si="8"/>
        <v>-22.9</v>
      </c>
      <c r="M211" s="557">
        <f t="shared" si="8"/>
        <v>-62.900000000000006</v>
      </c>
      <c r="N211" s="557">
        <f t="shared" si="8"/>
        <v>-81.5</v>
      </c>
      <c r="O211" s="557">
        <f t="shared" si="8"/>
        <v>-81.3</v>
      </c>
      <c r="P211" s="557">
        <f t="shared" si="8"/>
        <v>-97.5</v>
      </c>
      <c r="Q211" s="557">
        <f t="shared" si="8"/>
        <v>-82.7</v>
      </c>
      <c r="R211" s="557">
        <f t="shared" si="8"/>
        <v>-14.099999999999994</v>
      </c>
      <c r="S211" s="557">
        <f t="shared" si="8"/>
        <v>-36.099999999999994</v>
      </c>
      <c r="T211" s="557">
        <f t="shared" si="8"/>
        <v>-14.200000000000003</v>
      </c>
      <c r="U211" s="557">
        <f t="shared" si="8"/>
        <v>22.299999999999997</v>
      </c>
      <c r="V211" s="557">
        <f t="shared" si="8"/>
        <v>20.299999999999997</v>
      </c>
      <c r="W211" s="557">
        <f t="shared" si="8"/>
        <v>227.8</v>
      </c>
      <c r="X211" s="557">
        <f t="shared" si="8"/>
        <v>76.400000000000006</v>
      </c>
      <c r="Y211" s="557">
        <f t="shared" si="8"/>
        <v>101.10000000000001</v>
      </c>
      <c r="Z211" s="557">
        <f t="shared" si="8"/>
        <v>6.1999999999999993</v>
      </c>
      <c r="AA211" s="557">
        <f t="shared" si="8"/>
        <v>-99.7</v>
      </c>
      <c r="AB211" s="557">
        <f t="shared" si="8"/>
        <v>-14.1</v>
      </c>
      <c r="AC211" s="557">
        <f t="shared" si="8"/>
        <v>0</v>
      </c>
      <c r="AD211" s="557" t="e">
        <f t="shared" si="8"/>
        <v>#VALUE!</v>
      </c>
      <c r="AE211" s="557" t="e">
        <f t="shared" si="8"/>
        <v>#VALUE!</v>
      </c>
      <c r="AF211" s="557" t="e">
        <f t="shared" si="8"/>
        <v>#VALUE!</v>
      </c>
    </row>
    <row r="212" spans="1:32">
      <c r="A212" s="545"/>
      <c r="B212" s="546"/>
      <c r="C212" s="547"/>
      <c r="D212" s="12"/>
      <c r="E212" s="13"/>
      <c r="F212" s="14"/>
      <c r="G212" s="556"/>
      <c r="H212" s="556"/>
      <c r="I212" s="556"/>
      <c r="J212" s="556"/>
      <c r="K212" s="556"/>
      <c r="L212" s="556"/>
      <c r="M212" s="556"/>
      <c r="N212" s="556"/>
      <c r="O212" s="556"/>
      <c r="P212" s="556"/>
      <c r="Q212" s="556"/>
      <c r="R212" s="556"/>
      <c r="S212" s="556"/>
      <c r="T212" s="556"/>
      <c r="U212" s="556"/>
      <c r="V212" s="556"/>
      <c r="W212" s="556"/>
      <c r="X212" s="556"/>
      <c r="Y212" s="556"/>
      <c r="Z212" s="556"/>
      <c r="AA212" s="556"/>
      <c r="AB212" s="556"/>
      <c r="AC212" s="556"/>
      <c r="AD212" s="556"/>
      <c r="AE212" s="556"/>
      <c r="AF212" s="556"/>
    </row>
    <row r="213" spans="1:32">
      <c r="A213" s="887"/>
      <c r="B213" s="546" t="s">
        <v>321</v>
      </c>
      <c r="C213" s="547"/>
      <c r="D213" s="12"/>
      <c r="E213" s="13"/>
      <c r="F213" s="14"/>
      <c r="G213" s="556"/>
      <c r="H213" s="556"/>
      <c r="I213" s="556"/>
      <c r="J213" s="556"/>
      <c r="K213" s="556"/>
      <c r="L213" s="556"/>
      <c r="M213" s="556"/>
      <c r="N213" s="556"/>
      <c r="O213" s="556"/>
      <c r="P213" s="556"/>
      <c r="Q213" s="556"/>
      <c r="R213" s="556"/>
      <c r="S213" s="556"/>
      <c r="T213" s="556"/>
      <c r="U213" s="556"/>
      <c r="V213" s="556"/>
      <c r="W213" s="556"/>
      <c r="X213" s="556"/>
      <c r="Y213" s="556"/>
      <c r="Z213" s="556"/>
      <c r="AA213" s="556"/>
      <c r="AB213" s="556"/>
      <c r="AC213" s="556"/>
      <c r="AD213" s="556"/>
      <c r="AE213" s="556"/>
      <c r="AF213" s="556"/>
    </row>
    <row r="214" spans="1:32">
      <c r="A214" s="887"/>
      <c r="B214" s="546" t="s">
        <v>322</v>
      </c>
      <c r="C214" s="547"/>
      <c r="D214" s="12"/>
      <c r="E214" s="13"/>
      <c r="F214" s="14"/>
      <c r="G214" s="556"/>
      <c r="H214" s="556"/>
      <c r="I214" s="556"/>
      <c r="J214" s="556"/>
      <c r="K214" s="556"/>
      <c r="L214" s="556"/>
      <c r="M214" s="556"/>
      <c r="N214" s="556"/>
      <c r="O214" s="556"/>
      <c r="P214" s="556"/>
      <c r="Q214" s="556"/>
      <c r="R214" s="556"/>
      <c r="S214" s="556"/>
      <c r="T214" s="556"/>
      <c r="U214" s="556"/>
      <c r="V214" s="556"/>
      <c r="W214" s="556"/>
      <c r="X214" s="556"/>
      <c r="Y214" s="556"/>
      <c r="Z214" s="556"/>
      <c r="AA214" s="556"/>
      <c r="AB214" s="556"/>
      <c r="AC214" s="556"/>
      <c r="AD214" s="556"/>
      <c r="AE214" s="556"/>
      <c r="AF214" s="556"/>
    </row>
    <row r="215" spans="1:32">
      <c r="A215" s="545"/>
      <c r="B215" s="546"/>
      <c r="C215" s="547"/>
      <c r="D215" s="12"/>
      <c r="E215" s="13"/>
      <c r="F215" s="14"/>
      <c r="G215" s="556"/>
      <c r="H215" s="556"/>
      <c r="I215" s="556"/>
      <c r="J215" s="556"/>
      <c r="K215" s="556"/>
      <c r="L215" s="556"/>
      <c r="M215" s="556"/>
      <c r="N215" s="556"/>
      <c r="O215" s="556"/>
      <c r="P215" s="556"/>
      <c r="Q215" s="556"/>
      <c r="R215" s="556"/>
      <c r="S215" s="556"/>
      <c r="T215" s="556"/>
      <c r="U215" s="556"/>
      <c r="V215" s="556"/>
      <c r="W215" s="556"/>
      <c r="X215" s="556"/>
      <c r="Y215" s="556"/>
      <c r="Z215" s="556"/>
      <c r="AA215" s="556"/>
      <c r="AB215" s="556"/>
      <c r="AC215" s="556"/>
      <c r="AD215" s="556"/>
      <c r="AE215" s="556"/>
      <c r="AF215" s="556"/>
    </row>
    <row r="216" spans="1:32">
      <c r="A216" s="545">
        <v>29</v>
      </c>
      <c r="B216" s="546" t="s">
        <v>323</v>
      </c>
      <c r="C216" s="547"/>
      <c r="D216" s="12" t="s">
        <v>1517</v>
      </c>
      <c r="E216" s="13">
        <v>2501</v>
      </c>
      <c r="F216" s="14" t="str">
        <f>VLOOKUP($E$216,[1]DATA_A11!$A$2:$FA$300, 3, FALSE)</f>
        <v>2501 Gross Fixed Capital Formation Corporations, Self-employed and NPISH</v>
      </c>
      <c r="G216" s="556">
        <f>IF(VLOOKUP($E$216,[1]DATA_A11!$A$2:$FA$300, 6, FALSE)="",":",VLOOKUP($E$216,[1]DATA_A11!$A$2:$FA$300, 6, FALSE))</f>
        <v>28187.7</v>
      </c>
      <c r="H216" s="556">
        <f>IF(VLOOKUP($E$216,[1]DATA_A11!$A$2:$FA$300, 7, FALSE)="",":",VLOOKUP($E$216,[1]DATA_A11!$A$2:$FA$300, 7, FALSE))</f>
        <v>30023.5</v>
      </c>
      <c r="I216" s="556">
        <f>IF(VLOOKUP($E$216,[1]DATA_A11!$A$2:$FA$300, 8, FALSE)="",":",VLOOKUP($E$216,[1]DATA_A11!$A$2:$FA$300, 8, FALSE))</f>
        <v>32318.400000000001</v>
      </c>
      <c r="J216" s="556">
        <f>IF(VLOOKUP($E$216,[1]DATA_A11!$A$2:$FA$300, 9, FALSE)="",":",VLOOKUP($E$216,[1]DATA_A11!$A$2:$FA$300, 9, FALSE))</f>
        <v>34484.5</v>
      </c>
      <c r="K216" s="556">
        <f>IF(VLOOKUP($E$216,[1]DATA_A11!$A$2:$FA$300, 10, FALSE)="",":",VLOOKUP($E$216,[1]DATA_A11!$A$2:$FA$300, 10, FALSE))</f>
        <v>36244.199999999997</v>
      </c>
      <c r="L216" s="556">
        <f>IF(VLOOKUP($E$216,[1]DATA_A11!$A$2:$FA$300, 11, FALSE)="",":",VLOOKUP($E$216,[1]DATA_A11!$A$2:$FA$300, 11, FALSE))</f>
        <v>39608.6</v>
      </c>
      <c r="M216" s="556">
        <f>IF(VLOOKUP($E$216,[1]DATA_A11!$A$2:$FA$300, 12, FALSE)="",":",VLOOKUP($E$216,[1]DATA_A11!$A$2:$FA$300, 12, FALSE))</f>
        <v>41761</v>
      </c>
      <c r="N216" s="556">
        <f>IF(VLOOKUP($E$216,[1]DATA_A11!$A$2:$FA$300, 13, FALSE)="",":",VLOOKUP($E$216,[1]DATA_A11!$A$2:$FA$300, 13, FALSE))</f>
        <v>39392</v>
      </c>
      <c r="O216" s="556">
        <f>IF(VLOOKUP($E$216,[1]DATA_A11!$A$2:$FA$300, 14, FALSE)="",":",VLOOKUP($E$216,[1]DATA_A11!$A$2:$FA$300, 14, FALSE))</f>
        <v>39216.6</v>
      </c>
      <c r="P216" s="556">
        <f>IF(VLOOKUP($E$216,[1]DATA_A11!$A$2:$FA$300, 15, FALSE)="",":",VLOOKUP($E$216,[1]DATA_A11!$A$2:$FA$300, 15, FALSE))</f>
        <v>43916.6</v>
      </c>
      <c r="Q216" s="556">
        <f>IF(VLOOKUP($E$216,[1]DATA_A11!$A$2:$FA$300, 16, FALSE)="",":",VLOOKUP($E$216,[1]DATA_A11!$A$2:$FA$300, 16, FALSE))</f>
        <v>45831.8</v>
      </c>
      <c r="R216" s="556">
        <f>IF(VLOOKUP($E$216,[1]DATA_A11!$A$2:$FA$300, 17, FALSE)="",":",VLOOKUP($E$216,[1]DATA_A11!$A$2:$FA$300, 17, FALSE))</f>
        <v>48231.3</v>
      </c>
      <c r="S216" s="556">
        <f>IF(VLOOKUP($E$216,[1]DATA_A11!$A$2:$FA$300, 18, FALSE)="",":",VLOOKUP($E$216,[1]DATA_A11!$A$2:$FA$300, 18, FALSE))</f>
        <v>52998.6</v>
      </c>
      <c r="T216" s="556">
        <f>IF(VLOOKUP($E$216,[1]DATA_A11!$A$2:$FA$300, 19, FALSE)="",":",VLOOKUP($E$216,[1]DATA_A11!$A$2:$FA$300, 19, FALSE))</f>
        <v>56315.199999999997</v>
      </c>
      <c r="U216" s="556">
        <f>IF(VLOOKUP($E$216,[1]DATA_A11!$A$2:$FA$300, 20, FALSE)="",":",VLOOKUP($E$216,[1]DATA_A11!$A$2:$FA$300, 20, FALSE))</f>
        <v>51463.4</v>
      </c>
      <c r="V216" s="556">
        <f>IF(VLOOKUP($E$216,[1]DATA_A11!$A$2:$FA$300, 21, FALSE)="",":",VLOOKUP($E$216,[1]DATA_A11!$A$2:$FA$300, 21, FALSE))</f>
        <v>51415.4</v>
      </c>
      <c r="W216" s="556">
        <f>IF(VLOOKUP($E$216,[1]DATA_A11!$A$2:$FA$300, 22, FALSE)="",":",VLOOKUP($E$216,[1]DATA_A11!$A$2:$FA$300, 22, FALSE))</f>
        <v>56704.7</v>
      </c>
      <c r="X216" s="556">
        <f>IF(VLOOKUP($E$216,[1]DATA_A11!$A$2:$FA$300, 23, FALSE)="",":",VLOOKUP($E$216,[1]DATA_A11!$A$2:$FA$300, 23, FALSE))</f>
        <v>57823.199999999997</v>
      </c>
      <c r="Y216" s="556">
        <f>IF(VLOOKUP($E$216,[1]DATA_A11!$A$2:$FA$300, 24, FALSE)="",":",VLOOKUP($E$216,[1]DATA_A11!$A$2:$FA$300, 24, FALSE))</f>
        <v>57961.599999999999</v>
      </c>
      <c r="Z216" s="556">
        <f>IF(VLOOKUP($E$216,[1]DATA_A11!$A$2:$FA$300, 25, FALSE)="",":",VLOOKUP($E$216,[1]DATA_A11!$A$2:$FA$300, 25, FALSE))</f>
        <v>61817.599999999999</v>
      </c>
      <c r="AA216" s="556">
        <f>IF(VLOOKUP($E$216,[1]DATA_A11!$A$2:$FA$300, 26, FALSE)="",":",VLOOKUP($E$216,[1]DATA_A11!$A$2:$FA$300, 26, FALSE))</f>
        <v>64366.2</v>
      </c>
      <c r="AB216" s="556">
        <f>IF(VLOOKUP($E$216,[1]DATA_A11!$A$2:$FA$300, 27, FALSE)="",":",VLOOKUP($E$216,[1]DATA_A11!$A$2:$FA$300, 27, FALSE))</f>
        <v>67971.199999999997</v>
      </c>
      <c r="AC216" s="556" t="str">
        <f>IF(VLOOKUP($E$216,[1]DATA_A11!$A$2:$FA$300, 28, FALSE)="",":",VLOOKUP($E$216,[1]DATA_A11!$A$2:$FA$300, 28, FALSE))</f>
        <v>:</v>
      </c>
      <c r="AD216" s="556" t="str">
        <f>IF(VLOOKUP($E$216,[1]DATA_A11!$A$2:$FA$300, 29, FALSE)="",":",VLOOKUP($E$216,[1]DATA_A11!$A$2:$FA$300, 29, FALSE))</f>
        <v>:</v>
      </c>
      <c r="AE216" s="556" t="str">
        <f>IF(VLOOKUP($E$216,[1]DATA_A11!$A$2:$FA$300, 30, FALSE)="",":",VLOOKUP($E$216,[1]DATA_A11!$A$2:$FA$300, 30, FALSE))</f>
        <v>:</v>
      </c>
      <c r="AF216" s="556" t="str">
        <f>IF(VLOOKUP($E$216,[1]DATA_A11!$A$2:$FA$300, 31, FALSE)="",":",VLOOKUP($E$216,[1]DATA_A11!$A$2:$FA$300, 31, FALSE))</f>
        <v>:</v>
      </c>
    </row>
    <row r="217" spans="1:32">
      <c r="A217" s="545">
        <v>30</v>
      </c>
      <c r="B217" s="546" t="s">
        <v>324</v>
      </c>
      <c r="C217" s="547"/>
      <c r="D217" s="12" t="s">
        <v>1517</v>
      </c>
      <c r="E217" s="13">
        <v>2502</v>
      </c>
      <c r="F217" s="14" t="str">
        <f>VLOOKUP($E$217,[1]DATA_A11!$A$2:$FA$300, 3, FALSE)</f>
        <v>2502 Gross Fixed Capital Formation Households</v>
      </c>
      <c r="G217" s="556">
        <f>IF(VLOOKUP($E$217,[1]DATA_A11!$A$2:$FA$300, 6, FALSE)="",":",VLOOKUP($E$217,[1]DATA_A11!$A$2:$FA$300, 6, FALSE))</f>
        <v>12098.6</v>
      </c>
      <c r="H217" s="556">
        <f>IF(VLOOKUP($E$217,[1]DATA_A11!$A$2:$FA$300, 7, FALSE)="",":",VLOOKUP($E$217,[1]DATA_A11!$A$2:$FA$300, 7, FALSE))</f>
        <v>11313.9</v>
      </c>
      <c r="I217" s="556">
        <f>IF(VLOOKUP($E$217,[1]DATA_A11!$A$2:$FA$300, 8, FALSE)="",":",VLOOKUP($E$217,[1]DATA_A11!$A$2:$FA$300, 8, FALSE))</f>
        <v>12311.3</v>
      </c>
      <c r="J217" s="556">
        <f>IF(VLOOKUP($E$217,[1]DATA_A11!$A$2:$FA$300, 9, FALSE)="",":",VLOOKUP($E$217,[1]DATA_A11!$A$2:$FA$300, 9, FALSE))</f>
        <v>11921.2</v>
      </c>
      <c r="K217" s="556">
        <f>IF(VLOOKUP($E$217,[1]DATA_A11!$A$2:$FA$300, 10, FALSE)="",":",VLOOKUP($E$217,[1]DATA_A11!$A$2:$FA$300, 10, FALSE))</f>
        <v>12167.8</v>
      </c>
      <c r="L217" s="556">
        <f>IF(VLOOKUP($E$217,[1]DATA_A11!$A$2:$FA$300, 11, FALSE)="",":",VLOOKUP($E$217,[1]DATA_A11!$A$2:$FA$300, 11, FALSE))</f>
        <v>12195.8</v>
      </c>
      <c r="M217" s="556">
        <f>IF(VLOOKUP($E$217,[1]DATA_A11!$A$2:$FA$300, 12, FALSE)="",":",VLOOKUP($E$217,[1]DATA_A11!$A$2:$FA$300, 12, FALSE))</f>
        <v>12024.2</v>
      </c>
      <c r="N217" s="556">
        <f>IF(VLOOKUP($E$217,[1]DATA_A11!$A$2:$FA$300, 13, FALSE)="",":",VLOOKUP($E$217,[1]DATA_A11!$A$2:$FA$300, 13, FALSE))</f>
        <v>11607.8</v>
      </c>
      <c r="O217" s="556">
        <f>IF(VLOOKUP($E$217,[1]DATA_A11!$A$2:$FA$300, 14, FALSE)="",":",VLOOKUP($E$217,[1]DATA_A11!$A$2:$FA$300, 14, FALSE))</f>
        <v>12460.5</v>
      </c>
      <c r="P217" s="556">
        <f>IF(VLOOKUP($E$217,[1]DATA_A11!$A$2:$FA$300, 15, FALSE)="",":",VLOOKUP($E$217,[1]DATA_A11!$A$2:$FA$300, 15, FALSE))</f>
        <v>13670.5</v>
      </c>
      <c r="Q217" s="556">
        <f>IF(VLOOKUP($E$217,[1]DATA_A11!$A$2:$FA$300, 16, FALSE)="",":",VLOOKUP($E$217,[1]DATA_A11!$A$2:$FA$300, 16, FALSE))</f>
        <v>16560.2</v>
      </c>
      <c r="R217" s="556">
        <f>IF(VLOOKUP($E$217,[1]DATA_A11!$A$2:$FA$300, 17, FALSE)="",":",VLOOKUP($E$217,[1]DATA_A11!$A$2:$FA$300, 17, FALSE))</f>
        <v>18344.099999999999</v>
      </c>
      <c r="S217" s="556">
        <f>IF(VLOOKUP($E$217,[1]DATA_A11!$A$2:$FA$300, 18, FALSE)="",":",VLOOKUP($E$217,[1]DATA_A11!$A$2:$FA$300, 18, FALSE))</f>
        <v>20065.400000000001</v>
      </c>
      <c r="T217" s="556">
        <f>IF(VLOOKUP($E$217,[1]DATA_A11!$A$2:$FA$300, 19, FALSE)="",":",VLOOKUP($E$217,[1]DATA_A11!$A$2:$FA$300, 19, FALSE))</f>
        <v>21154.1</v>
      </c>
      <c r="U217" s="556">
        <f>IF(VLOOKUP($E$217,[1]DATA_A11!$A$2:$FA$300, 20, FALSE)="",":",VLOOKUP($E$217,[1]DATA_A11!$A$2:$FA$300, 20, FALSE))</f>
        <v>19186.2</v>
      </c>
      <c r="V217" s="556">
        <f>IF(VLOOKUP($E$217,[1]DATA_A11!$A$2:$FA$300, 21, FALSE)="",":",VLOOKUP($E$217,[1]DATA_A11!$A$2:$FA$300, 21, FALSE))</f>
        <v>19851.5</v>
      </c>
      <c r="W217" s="556">
        <f>IF(VLOOKUP($E$217,[1]DATA_A11!$A$2:$FA$300, 22, FALSE)="",":",VLOOKUP($E$217,[1]DATA_A11!$A$2:$FA$300, 22, FALSE))</f>
        <v>19629.900000000001</v>
      </c>
      <c r="X217" s="556">
        <f>IF(VLOOKUP($E$217,[1]DATA_A11!$A$2:$FA$300, 23, FALSE)="",":",VLOOKUP($E$217,[1]DATA_A11!$A$2:$FA$300, 23, FALSE))</f>
        <v>20205.3</v>
      </c>
      <c r="Y217" s="556">
        <f>IF(VLOOKUP($E$217,[1]DATA_A11!$A$2:$FA$300, 24, FALSE)="",":",VLOOKUP($E$217,[1]DATA_A11!$A$2:$FA$300, 24, FALSE))</f>
        <v>19731.8</v>
      </c>
      <c r="Z217" s="556">
        <f>IF(VLOOKUP($E$217,[1]DATA_A11!$A$2:$FA$300, 25, FALSE)="",":",VLOOKUP($E$217,[1]DATA_A11!$A$2:$FA$300, 25, FALSE))</f>
        <v>20926.8</v>
      </c>
      <c r="AA217" s="556">
        <f>IF(VLOOKUP($E$217,[1]DATA_A11!$A$2:$FA$300, 26, FALSE)="",":",VLOOKUP($E$217,[1]DATA_A11!$A$2:$FA$300, 26, FALSE))</f>
        <v>21192.799999999999</v>
      </c>
      <c r="AB217" s="556">
        <f>IF(VLOOKUP($E$217,[1]DATA_A11!$A$2:$FA$300, 27, FALSE)="",":",VLOOKUP($E$217,[1]DATA_A11!$A$2:$FA$300, 27, FALSE))</f>
        <v>21792.6</v>
      </c>
      <c r="AC217" s="556" t="str">
        <f>IF(VLOOKUP($E$217,[1]DATA_A11!$A$2:$FA$300, 28, FALSE)="",":",VLOOKUP($E$217,[1]DATA_A11!$A$2:$FA$300, 28, FALSE))</f>
        <v>:</v>
      </c>
      <c r="AD217" s="556" t="str">
        <f>IF(VLOOKUP($E$217,[1]DATA_A11!$A$2:$FA$300, 29, FALSE)="",":",VLOOKUP($E$217,[1]DATA_A11!$A$2:$FA$300, 29, FALSE))</f>
        <v>:</v>
      </c>
      <c r="AE217" s="556" t="str">
        <f>IF(VLOOKUP($E$217,[1]DATA_A11!$A$2:$FA$300, 30, FALSE)="",":",VLOOKUP($E$217,[1]DATA_A11!$A$2:$FA$300, 30, FALSE))</f>
        <v>:</v>
      </c>
      <c r="AF217" s="556" t="str">
        <f>IF(VLOOKUP($E$217,[1]DATA_A11!$A$2:$FA$300, 31, FALSE)="",":",VLOOKUP($E$217,[1]DATA_A11!$A$2:$FA$300, 31, FALSE))</f>
        <v>:</v>
      </c>
    </row>
    <row r="218" spans="1:32">
      <c r="A218" s="545">
        <v>28</v>
      </c>
      <c r="B218" s="546" t="s">
        <v>1948</v>
      </c>
      <c r="C218" s="547"/>
      <c r="D218" s="12" t="s">
        <v>1517</v>
      </c>
      <c r="E218" s="13">
        <v>2503</v>
      </c>
      <c r="F218" s="14" t="str">
        <f>VLOOKUP($E$218,[1]DATA_A11!$A$2:$FA$300, 3, FALSE)</f>
        <v>2503 Gross Fixed Capital Formation Public Administration</v>
      </c>
      <c r="G218" s="556">
        <f>IF(VLOOKUP($E$218,[1]DATA_A11!$A$2:$FA$300, 6, FALSE)="",":",VLOOKUP($E$218,[1]DATA_A11!$A$2:$FA$300, 6, FALSE))</f>
        <v>4856.8</v>
      </c>
      <c r="H218" s="556">
        <f>IF(VLOOKUP($E$218,[1]DATA_A11!$A$2:$FA$300, 7, FALSE)="",":",VLOOKUP($E$218,[1]DATA_A11!$A$2:$FA$300, 7, FALSE))</f>
        <v>4655.6000000000004</v>
      </c>
      <c r="I218" s="556">
        <f>IF(VLOOKUP($E$218,[1]DATA_A11!$A$2:$FA$300, 8, FALSE)="",":",VLOOKUP($E$218,[1]DATA_A11!$A$2:$FA$300, 8, FALSE))</f>
        <v>4972.2</v>
      </c>
      <c r="J218" s="556">
        <f>IF(VLOOKUP($E$218,[1]DATA_A11!$A$2:$FA$300, 9, FALSE)="",":",VLOOKUP($E$218,[1]DATA_A11!$A$2:$FA$300, 9, FALSE))</f>
        <v>5032.3999999999996</v>
      </c>
      <c r="K218" s="556">
        <f>IF(VLOOKUP($E$218,[1]DATA_A11!$A$2:$FA$300, 10, FALSE)="",":",VLOOKUP($E$218,[1]DATA_A11!$A$2:$FA$300, 10, FALSE))</f>
        <v>5956.2</v>
      </c>
      <c r="L218" s="556">
        <f>IF(VLOOKUP($E$218,[1]DATA_A11!$A$2:$FA$300, 11, FALSE)="",":",VLOOKUP($E$218,[1]DATA_A11!$A$2:$FA$300, 11, FALSE))</f>
        <v>6269.7</v>
      </c>
      <c r="M218" s="556">
        <f>IF(VLOOKUP($E$218,[1]DATA_A11!$A$2:$FA$300, 12, FALSE)="",":",VLOOKUP($E$218,[1]DATA_A11!$A$2:$FA$300, 12, FALSE))</f>
        <v>5792</v>
      </c>
      <c r="N218" s="556">
        <f>IF(VLOOKUP($E$218,[1]DATA_A11!$A$2:$FA$300, 13, FALSE)="",":",VLOOKUP($E$218,[1]DATA_A11!$A$2:$FA$300, 13, FALSE))</f>
        <v>5833.1</v>
      </c>
      <c r="O218" s="556">
        <f>IF(VLOOKUP($E$218,[1]DATA_A11!$A$2:$FA$300, 14, FALSE)="",":",VLOOKUP($E$218,[1]DATA_A11!$A$2:$FA$300, 14, FALSE))</f>
        <v>6092.3</v>
      </c>
      <c r="P218" s="556">
        <f>IF(VLOOKUP($E$218,[1]DATA_A11!$A$2:$FA$300, 15, FALSE)="",":",VLOOKUP($E$218,[1]DATA_A11!$A$2:$FA$300, 15, FALSE))</f>
        <v>6193.5</v>
      </c>
      <c r="Q218" s="556">
        <f>IF(VLOOKUP($E$218,[1]DATA_A11!$A$2:$FA$300, 16, FALSE)="",":",VLOOKUP($E$218,[1]DATA_A11!$A$2:$FA$300, 16, FALSE))</f>
        <v>6624.2</v>
      </c>
      <c r="R218" s="556">
        <f>IF(VLOOKUP($E$218,[1]DATA_A11!$A$2:$FA$300, 17, FALSE)="",":",VLOOKUP($E$218,[1]DATA_A11!$A$2:$FA$300, 17, FALSE))</f>
        <v>6417.5</v>
      </c>
      <c r="S218" s="556">
        <f>IF(VLOOKUP($E$218,[1]DATA_A11!$A$2:$FA$300, 18, FALSE)="",":",VLOOKUP($E$218,[1]DATA_A11!$A$2:$FA$300, 18, FALSE))</f>
        <v>7030.1</v>
      </c>
      <c r="T218" s="556">
        <f>IF(VLOOKUP($E$218,[1]DATA_A11!$A$2:$FA$300, 19, FALSE)="",":",VLOOKUP($E$218,[1]DATA_A11!$A$2:$FA$300, 19, FALSE))</f>
        <v>7416.7</v>
      </c>
      <c r="U218" s="556">
        <f>IF(VLOOKUP($E$218,[1]DATA_A11!$A$2:$FA$300, 20, FALSE)="",":",VLOOKUP($E$218,[1]DATA_A11!$A$2:$FA$300, 20, FALSE))</f>
        <v>8130.6</v>
      </c>
      <c r="V218" s="556">
        <f>IF(VLOOKUP($E$218,[1]DATA_A11!$A$2:$FA$300, 21, FALSE)="",":",VLOOKUP($E$218,[1]DATA_A11!$A$2:$FA$300, 21, FALSE))</f>
        <v>8394</v>
      </c>
      <c r="W218" s="556">
        <f>IF(VLOOKUP($E$218,[1]DATA_A11!$A$2:$FA$300, 22, FALSE)="",":",VLOOKUP($E$218,[1]DATA_A11!$A$2:$FA$300, 22, FALSE))</f>
        <v>9274.7000000000007</v>
      </c>
      <c r="X218" s="556">
        <f>IF(VLOOKUP($E$218,[1]DATA_A11!$A$2:$FA$300, 23, FALSE)="",":",VLOOKUP($E$218,[1]DATA_A11!$A$2:$FA$300, 23, FALSE))</f>
        <v>9643.5</v>
      </c>
      <c r="Y218" s="556">
        <f>IF(VLOOKUP($E$218,[1]DATA_A11!$A$2:$FA$300, 24, FALSE)="",":",VLOOKUP($E$218,[1]DATA_A11!$A$2:$FA$300, 24, FALSE))</f>
        <v>9250.2999999999993</v>
      </c>
      <c r="Z218" s="556">
        <f>IF(VLOOKUP($E$218,[1]DATA_A11!$A$2:$FA$300, 25, FALSE)="",":",VLOOKUP($E$218,[1]DATA_A11!$A$2:$FA$300, 25, FALSE))</f>
        <v>9570</v>
      </c>
      <c r="AA218" s="556">
        <f>IF(VLOOKUP($E$218,[1]DATA_A11!$A$2:$FA$300, 26, FALSE)="",":",VLOOKUP($E$218,[1]DATA_A11!$A$2:$FA$300, 26, FALSE))</f>
        <v>9627.1</v>
      </c>
      <c r="AB218" s="556">
        <f>IF(VLOOKUP($E$218,[1]DATA_A11!$A$2:$FA$300, 27, FALSE)="",":",VLOOKUP($E$218,[1]DATA_A11!$A$2:$FA$300, 27, FALSE))</f>
        <v>9389.7000000000007</v>
      </c>
      <c r="AC218" s="556" t="str">
        <f>IF(VLOOKUP($E$218,[1]DATA_A11!$A$2:$FA$300, 28, FALSE)="",":",VLOOKUP($E$218,[1]DATA_A11!$A$2:$FA$300, 28, FALSE))</f>
        <v>:</v>
      </c>
      <c r="AD218" s="556" t="str">
        <f>IF(VLOOKUP($E$218,[1]DATA_A11!$A$2:$FA$300, 29, FALSE)="",":",VLOOKUP($E$218,[1]DATA_A11!$A$2:$FA$300, 29, FALSE))</f>
        <v>:</v>
      </c>
      <c r="AE218" s="556" t="str">
        <f>IF(VLOOKUP($E$218,[1]DATA_A11!$A$2:$FA$300, 30, FALSE)="",":",VLOOKUP($E$218,[1]DATA_A11!$A$2:$FA$300, 30, FALSE))</f>
        <v>:</v>
      </c>
      <c r="AF218" s="556" t="str">
        <f>IF(VLOOKUP($E$218,[1]DATA_A11!$A$2:$FA$300, 31, FALSE)="",":",VLOOKUP($E$218,[1]DATA_A11!$A$2:$FA$300, 31, FALSE))</f>
        <v>:</v>
      </c>
    </row>
    <row r="219" spans="1:32">
      <c r="A219" s="545">
        <v>32</v>
      </c>
      <c r="B219" s="546" t="s">
        <v>325</v>
      </c>
      <c r="C219" s="547"/>
      <c r="D219" s="12" t="s">
        <v>1517</v>
      </c>
      <c r="E219" s="13">
        <v>2505</v>
      </c>
      <c r="F219" s="14" t="str">
        <f>VLOOKUP($E$219,[1]DATA_A11!$A$2:$FA$300, 3, FALSE)</f>
        <v>2505 Gross Fixed Capital Formation manufacturing</v>
      </c>
      <c r="G219" s="556">
        <f>IF(VLOOKUP($E$219,[1]DATA_A11!$A$2:$FA$300, 6, FALSE)="",":",VLOOKUP($E$219,[1]DATA_A11!$A$2:$FA$300, 6, FALSE))</f>
        <v>11390.2</v>
      </c>
      <c r="H219" s="556">
        <f>IF(VLOOKUP($E$219,[1]DATA_A11!$A$2:$FA$300, 7, FALSE)="",":",VLOOKUP($E$219,[1]DATA_A11!$A$2:$FA$300, 7, FALSE))</f>
        <v>12555.3</v>
      </c>
      <c r="I219" s="556">
        <f>IF(VLOOKUP($E$219,[1]DATA_A11!$A$2:$FA$300, 8, FALSE)="",":",VLOOKUP($E$219,[1]DATA_A11!$A$2:$FA$300, 8, FALSE))</f>
        <v>14083.100000000002</v>
      </c>
      <c r="J219" s="556">
        <f>IF(VLOOKUP($E$219,[1]DATA_A11!$A$2:$FA$300, 9, FALSE)="",":",VLOOKUP($E$219,[1]DATA_A11!$A$2:$FA$300, 9, FALSE))</f>
        <v>13625.800000000001</v>
      </c>
      <c r="K219" s="556">
        <f>IF(VLOOKUP($E$219,[1]DATA_A11!$A$2:$FA$300, 10, FALSE)="",":",VLOOKUP($E$219,[1]DATA_A11!$A$2:$FA$300, 10, FALSE))</f>
        <v>13386.8</v>
      </c>
      <c r="L219" s="556">
        <f>IF(VLOOKUP($E$219,[1]DATA_A11!$A$2:$FA$300, 11, FALSE)="",":",VLOOKUP($E$219,[1]DATA_A11!$A$2:$FA$300, 11, FALSE))</f>
        <v>14081.900000000001</v>
      </c>
      <c r="M219" s="556">
        <f>IF(VLOOKUP($E$219,[1]DATA_A11!$A$2:$FA$300, 12, FALSE)="",":",VLOOKUP($E$219,[1]DATA_A11!$A$2:$FA$300, 12, FALSE))</f>
        <v>14167.7</v>
      </c>
      <c r="N219" s="556">
        <f>IF(VLOOKUP($E$219,[1]DATA_A11!$A$2:$FA$300, 13, FALSE)="",":",VLOOKUP($E$219,[1]DATA_A11!$A$2:$FA$300, 13, FALSE))</f>
        <v>12613.400000000001</v>
      </c>
      <c r="O219" s="556">
        <f>IF(VLOOKUP($E$219,[1]DATA_A11!$A$2:$FA$300, 14, FALSE)="",":",VLOOKUP($E$219,[1]DATA_A11!$A$2:$FA$300, 14, FALSE))</f>
        <v>12798.099999999999</v>
      </c>
      <c r="P219" s="556">
        <f>IF(VLOOKUP($E$219,[1]DATA_A11!$A$2:$FA$300, 15, FALSE)="",":",VLOOKUP($E$219,[1]DATA_A11!$A$2:$FA$300, 15, FALSE))</f>
        <v>11874.3</v>
      </c>
      <c r="Q219" s="556">
        <f>IF(VLOOKUP($E$219,[1]DATA_A11!$A$2:$FA$300, 16, FALSE)="",":",VLOOKUP($E$219,[1]DATA_A11!$A$2:$FA$300, 16, FALSE))</f>
        <v>12598.3</v>
      </c>
      <c r="R219" s="556">
        <f>IF(VLOOKUP($E$219,[1]DATA_A11!$A$2:$FA$300, 17, FALSE)="",":",VLOOKUP($E$219,[1]DATA_A11!$A$2:$FA$300, 17, FALSE))</f>
        <v>13218.099999999999</v>
      </c>
      <c r="S219" s="556">
        <f>IF(VLOOKUP($E$219,[1]DATA_A11!$A$2:$FA$300, 18, FALSE)="",":",VLOOKUP($E$219,[1]DATA_A11!$A$2:$FA$300, 18, FALSE))</f>
        <v>14607.199999999999</v>
      </c>
      <c r="T219" s="556">
        <f>IF(VLOOKUP($E$219,[1]DATA_A11!$A$2:$FA$300, 19, FALSE)="",":",VLOOKUP($E$219,[1]DATA_A11!$A$2:$FA$300, 19, FALSE))</f>
        <v>13915.800000000001</v>
      </c>
      <c r="U219" s="556">
        <f>IF(VLOOKUP($E$219,[1]DATA_A11!$A$2:$FA$300, 20, FALSE)="",":",VLOOKUP($E$219,[1]DATA_A11!$A$2:$FA$300, 20, FALSE))</f>
        <v>11830.400000000001</v>
      </c>
      <c r="V219" s="556">
        <f>IF(VLOOKUP($E$219,[1]DATA_A11!$A$2:$FA$300, 21, FALSE)="",":",VLOOKUP($E$219,[1]DATA_A11!$A$2:$FA$300, 21, FALSE))</f>
        <v>11462.8</v>
      </c>
      <c r="W219" s="556">
        <f>IF(VLOOKUP($E$219,[1]DATA_A11!$A$2:$FA$300, 22, FALSE)="",":",VLOOKUP($E$219,[1]DATA_A11!$A$2:$FA$300, 22, FALSE))</f>
        <v>12401.899999999998</v>
      </c>
      <c r="X219" s="556">
        <f>IF(VLOOKUP($E$219,[1]DATA_A11!$A$2:$FA$300, 23, FALSE)="",":",VLOOKUP($E$219,[1]DATA_A11!$A$2:$FA$300, 23, FALSE))</f>
        <v>12464.9</v>
      </c>
      <c r="Y219" s="556">
        <f>IF(VLOOKUP($E$219,[1]DATA_A11!$A$2:$FA$300, 24, FALSE)="",":",VLOOKUP($E$219,[1]DATA_A11!$A$2:$FA$300, 24, FALSE))</f>
        <v>11960.8</v>
      </c>
      <c r="Z219" s="556">
        <f>IF(VLOOKUP($E$219,[1]DATA_A11!$A$2:$FA$300, 25, FALSE)="",":",VLOOKUP($E$219,[1]DATA_A11!$A$2:$FA$300, 25, FALSE))</f>
        <v>12107.199999999999</v>
      </c>
      <c r="AA219" s="556">
        <f>IF(VLOOKUP($E$219,[1]DATA_A11!$A$2:$FA$300, 26, FALSE)="",":",VLOOKUP($E$219,[1]DATA_A11!$A$2:$FA$300, 26, FALSE))</f>
        <v>15308.199999999999</v>
      </c>
      <c r="AB219" s="556">
        <f>IF(VLOOKUP($E$219,[1]DATA_A11!$A$2:$FA$300, 27, FALSE)="",":",VLOOKUP($E$219,[1]DATA_A11!$A$2:$FA$300, 27, FALSE))</f>
        <v>13825.600000000002</v>
      </c>
      <c r="AC219" s="556" t="str">
        <f>IF(VLOOKUP($E$219,[1]DATA_A11!$A$2:$FA$300, 28, FALSE)="",":",VLOOKUP($E$219,[1]DATA_A11!$A$2:$FA$300, 28, FALSE))</f>
        <v>:</v>
      </c>
      <c r="AD219" s="556" t="str">
        <f>IF(VLOOKUP($E$219,[1]DATA_A11!$A$2:$FA$300, 29, FALSE)="",":",VLOOKUP($E$219,[1]DATA_A11!$A$2:$FA$300, 29, FALSE))</f>
        <v>:</v>
      </c>
      <c r="AE219" s="556" t="str">
        <f>IF(VLOOKUP($E$219,[1]DATA_A11!$A$2:$FA$300, 30, FALSE)="",":",VLOOKUP($E$219,[1]DATA_A11!$A$2:$FA$300, 30, FALSE))</f>
        <v>:</v>
      </c>
      <c r="AF219" s="556" t="str">
        <f>IF(VLOOKUP($E$219,[1]DATA_A11!$A$2:$FA$300, 31, FALSE)="",":",VLOOKUP($E$219,[1]DATA_A11!$A$2:$FA$300, 31, FALSE))</f>
        <v>:</v>
      </c>
    </row>
    <row r="220" spans="1:32">
      <c r="A220" s="545"/>
      <c r="B220" s="546"/>
      <c r="C220" s="547"/>
      <c r="D220" s="12"/>
      <c r="E220" s="13"/>
      <c r="F220" s="14"/>
      <c r="G220" s="556"/>
      <c r="H220" s="556"/>
      <c r="I220" s="556"/>
      <c r="J220" s="556"/>
      <c r="K220" s="556"/>
      <c r="L220" s="556"/>
      <c r="M220" s="556"/>
      <c r="N220" s="556"/>
      <c r="O220" s="556"/>
      <c r="P220" s="556"/>
      <c r="Q220" s="556"/>
      <c r="R220" s="556"/>
      <c r="S220" s="556"/>
      <c r="T220" s="556"/>
      <c r="U220" s="556"/>
      <c r="V220" s="556"/>
      <c r="W220" s="556"/>
      <c r="X220" s="556"/>
      <c r="Y220" s="556"/>
      <c r="Z220" s="556"/>
      <c r="AA220" s="556"/>
      <c r="AB220" s="556"/>
      <c r="AC220" s="556"/>
      <c r="AD220" s="556"/>
      <c r="AE220" s="556"/>
      <c r="AF220" s="556"/>
    </row>
    <row r="221" spans="1:32">
      <c r="A221" s="545">
        <v>138</v>
      </c>
      <c r="B221" s="546" t="s">
        <v>2007</v>
      </c>
      <c r="C221" s="547"/>
      <c r="D221" s="12" t="s">
        <v>1517</v>
      </c>
      <c r="E221" s="13">
        <v>2911</v>
      </c>
      <c r="F221" s="14" t="str">
        <f>VLOOKUP($E$221,[1]DATA_A11!$A$2:$FA$300, 3, FALSE)</f>
        <v>2911 Exports tourism</v>
      </c>
      <c r="G221" s="556">
        <f ca="1">IF(VLOOKUP($E$221,[1]DATA_A11!$A$2:$FA$300, 6, FALSE)="",":",VLOOKUP($E$221,[1]DATA_A11!$A$2:$FA$300, 6, FALSE))</f>
        <v>3477</v>
      </c>
      <c r="H221" s="556">
        <f ca="1">IF(VLOOKUP($E$221,[1]DATA_A11!$A$2:$FA$300, 7, FALSE)="",":",VLOOKUP($E$221,[1]DATA_A11!$A$2:$FA$300, 7, FALSE))</f>
        <v>3815</v>
      </c>
      <c r="I221" s="556">
        <f ca="1">IF(VLOOKUP($E$221,[1]DATA_A11!$A$2:$FA$300, 8, FALSE)="",":",VLOOKUP($E$221,[1]DATA_A11!$A$2:$FA$300, 8, FALSE))</f>
        <v>3994</v>
      </c>
      <c r="J221" s="556">
        <f ca="1">IF(VLOOKUP($E$221,[1]DATA_A11!$A$2:$FA$300, 9, FALSE)="",":",VLOOKUP($E$221,[1]DATA_A11!$A$2:$FA$300, 9, FALSE))</f>
        <v>4124</v>
      </c>
      <c r="K221" s="556">
        <f ca="1">IF(VLOOKUP($E$221,[1]DATA_A11!$A$2:$FA$300, 10, FALSE)="",":",VLOOKUP($E$221,[1]DATA_A11!$A$2:$FA$300, 10, FALSE))</f>
        <v>6073</v>
      </c>
      <c r="L221" s="556">
        <f ca="1">IF(VLOOKUP($E$221,[1]DATA_A11!$A$2:$FA$300, 11, FALSE)="",":",VLOOKUP($E$221,[1]DATA_A11!$A$2:$FA$300, 11, FALSE))</f>
        <v>7137</v>
      </c>
      <c r="M221" s="556">
        <f ca="1">IF(VLOOKUP($E$221,[1]DATA_A11!$A$2:$FA$300, 12, FALSE)="",":",VLOOKUP($E$221,[1]DATA_A11!$A$2:$FA$300, 12, FALSE))</f>
        <v>7697</v>
      </c>
      <c r="N221" s="556">
        <f ca="1">IF(VLOOKUP($E$221,[1]DATA_A11!$A$2:$FA$300, 13, FALSE)="",":",VLOOKUP($E$221,[1]DATA_A11!$A$2:$FA$300, 13, FALSE))</f>
        <v>7315</v>
      </c>
      <c r="O221" s="556">
        <f ca="1">IF(VLOOKUP($E$221,[1]DATA_A11!$A$2:$FA$300, 14, FALSE)="",":",VLOOKUP($E$221,[1]DATA_A11!$A$2:$FA$300, 14, FALSE))</f>
        <v>7241</v>
      </c>
      <c r="P221" s="556">
        <f ca="1">IF(VLOOKUP($E$221,[1]DATA_A11!$A$2:$FA$300, 15, FALSE)="",":",VLOOKUP($E$221,[1]DATA_A11!$A$2:$FA$300, 15, FALSE))</f>
        <v>7423</v>
      </c>
      <c r="Q221" s="556">
        <f ca="1">IF(VLOOKUP($E$221,[1]DATA_A11!$A$2:$FA$300, 16, FALSE)="",":",VLOOKUP($E$221,[1]DATA_A11!$A$2:$FA$300, 16, FALSE))</f>
        <v>7932</v>
      </c>
      <c r="R221" s="556">
        <f ca="1">IF(VLOOKUP($E$221,[1]DATA_A11!$A$2:$FA$300, 17, FALSE)="",":",VLOOKUP($E$221,[1]DATA_A11!$A$2:$FA$300, 17, FALSE))</f>
        <v>8144</v>
      </c>
      <c r="S221" s="556">
        <f ca="1">IF(VLOOKUP($E$221,[1]DATA_A11!$A$2:$FA$300, 18, FALSE)="",":",VLOOKUP($E$221,[1]DATA_A11!$A$2:$FA$300, 18, FALSE))</f>
        <v>8022</v>
      </c>
      <c r="T221" s="556">
        <f ca="1">IF(VLOOKUP($E$221,[1]DATA_A11!$A$2:$FA$300, 19, FALSE)="",":",VLOOKUP($E$221,[1]DATA_A11!$A$2:$FA$300, 19, FALSE))</f>
        <v>8161</v>
      </c>
      <c r="U221" s="556">
        <f ca="1">IF(VLOOKUP($E$221,[1]DATA_A11!$A$2:$FA$300, 20, FALSE)="",":",VLOOKUP($E$221,[1]DATA_A11!$A$2:$FA$300, 20, FALSE))</f>
        <v>8179</v>
      </c>
      <c r="V221" s="556">
        <f ca="1">IF(VLOOKUP($E$221,[1]DATA_A11!$A$2:$FA$300, 21, FALSE)="",":",VLOOKUP($E$221,[1]DATA_A11!$A$2:$FA$300, 21, FALSE))</f>
        <v>8618</v>
      </c>
      <c r="W221" s="556">
        <f ca="1">IF(VLOOKUP($E$221,[1]DATA_A11!$A$2:$FA$300, 22, FALSE)="",":",VLOOKUP($E$221,[1]DATA_A11!$A$2:$FA$300, 22, FALSE))</f>
        <v>9156</v>
      </c>
      <c r="X221" s="556">
        <f ca="1">IF(VLOOKUP($E$221,[1]DATA_A11!$A$2:$FA$300, 23, FALSE)="",":",VLOOKUP($E$221,[1]DATA_A11!$A$2:$FA$300, 23, FALSE))</f>
        <v>9745</v>
      </c>
      <c r="Y221" s="556">
        <f ca="1">IF(VLOOKUP($E$221,[1]DATA_A11!$A$2:$FA$300, 24, FALSE)="",":",VLOOKUP($E$221,[1]DATA_A11!$A$2:$FA$300, 24, FALSE))</f>
        <v>10073</v>
      </c>
      <c r="Z221" s="556">
        <f ca="1">IF(VLOOKUP($E$221,[1]DATA_A11!$A$2:$FA$300, 25, FALSE)="",":",VLOOKUP($E$221,[1]DATA_A11!$A$2:$FA$300, 25, FALSE))</f>
        <v>10486</v>
      </c>
      <c r="AA221" s="556">
        <f ca="1">IF(VLOOKUP($E$221,[1]DATA_A11!$A$2:$FA$300, 26, FALSE)="",":",VLOOKUP($E$221,[1]DATA_A11!$A$2:$FA$300, 26, FALSE))</f>
        <v>10791</v>
      </c>
      <c r="AB221" s="556">
        <f ca="1">IF(VLOOKUP($E$221,[1]DATA_A11!$A$2:$FA$300, 27, FALSE)="",":",VLOOKUP($E$221,[1]DATA_A11!$A$2:$FA$300, 27, FALSE))</f>
        <v>10491</v>
      </c>
      <c r="AC221" s="556" t="str">
        <f>IF(VLOOKUP($E$221,[1]DATA_A11!$A$2:$FA$300, 28, FALSE)="",":",VLOOKUP($E$221,[1]DATA_A11!$A$2:$FA$300, 28, FALSE))</f>
        <v>:</v>
      </c>
      <c r="AD221" s="556" t="str">
        <f>IF(VLOOKUP($E$221,[1]DATA_A11!$A$2:$FA$300, 29, FALSE)="",":",VLOOKUP($E$221,[1]DATA_A11!$A$2:$FA$300, 29, FALSE))</f>
        <v>:</v>
      </c>
      <c r="AE221" s="556" t="str">
        <f>IF(VLOOKUP($E$221,[1]DATA_A11!$A$2:$FA$300, 30, FALSE)="",":",VLOOKUP($E$221,[1]DATA_A11!$A$2:$FA$300, 30, FALSE))</f>
        <v>:</v>
      </c>
      <c r="AF221" s="556" t="str">
        <f>IF(VLOOKUP($E$221,[1]DATA_A11!$A$2:$FA$300, 31, FALSE)="",":",VLOOKUP($E$221,[1]DATA_A11!$A$2:$FA$300, 31, FALSE))</f>
        <v>:</v>
      </c>
    </row>
    <row r="222" spans="1:32">
      <c r="A222" s="545">
        <v>139</v>
      </c>
      <c r="B222" s="546" t="s">
        <v>2009</v>
      </c>
      <c r="C222" s="547"/>
      <c r="D222" s="12" t="s">
        <v>1517</v>
      </c>
      <c r="E222" s="13">
        <v>2912</v>
      </c>
      <c r="F222" s="14" t="str">
        <f>VLOOKUP($E$222,[1]DATA_A11!$A$2:$FA$300, 3, FALSE)</f>
        <v>2912 Imports tourism</v>
      </c>
      <c r="G222" s="556">
        <f ca="1">IF(VLOOKUP($E$222,[1]DATA_A11!$A$2:$FA$300, 6, FALSE)="",":",VLOOKUP($E$222,[1]DATA_A11!$A$2:$FA$300, 6, FALSE))</f>
        <v>6204</v>
      </c>
      <c r="H222" s="556">
        <f ca="1">IF(VLOOKUP($E$222,[1]DATA_A11!$A$2:$FA$300, 7, FALSE)="",":",VLOOKUP($E$222,[1]DATA_A11!$A$2:$FA$300, 7, FALSE))</f>
        <v>6766</v>
      </c>
      <c r="I222" s="556">
        <f ca="1">IF(VLOOKUP($E$222,[1]DATA_A11!$A$2:$FA$300, 8, FALSE)="",":",VLOOKUP($E$222,[1]DATA_A11!$A$2:$FA$300, 8, FALSE))</f>
        <v>6962</v>
      </c>
      <c r="J222" s="556">
        <f ca="1">IF(VLOOKUP($E$222,[1]DATA_A11!$A$2:$FA$300, 9, FALSE)="",":",VLOOKUP($E$222,[1]DATA_A11!$A$2:$FA$300, 9, FALSE))</f>
        <v>7413</v>
      </c>
      <c r="K222" s="556">
        <f ca="1">IF(VLOOKUP($E$222,[1]DATA_A11!$A$2:$FA$300, 10, FALSE)="",":",VLOOKUP($E$222,[1]DATA_A11!$A$2:$FA$300, 10, FALSE))</f>
        <v>9172</v>
      </c>
      <c r="L222" s="556">
        <f ca="1">IF(VLOOKUP($E$222,[1]DATA_A11!$A$2:$FA$300, 11, FALSE)="",":",VLOOKUP($E$222,[1]DATA_A11!$A$2:$FA$300, 11, FALSE))</f>
        <v>10209</v>
      </c>
      <c r="M222" s="556">
        <f ca="1">IF(VLOOKUP($E$222,[1]DATA_A11!$A$2:$FA$300, 12, FALSE)="",":",VLOOKUP($E$222,[1]DATA_A11!$A$2:$FA$300, 12, FALSE))</f>
        <v>10924</v>
      </c>
      <c r="N222" s="556">
        <f ca="1">IF(VLOOKUP($E$222,[1]DATA_A11!$A$2:$FA$300, 13, FALSE)="",":",VLOOKUP($E$222,[1]DATA_A11!$A$2:$FA$300, 13, FALSE))</f>
        <v>10738</v>
      </c>
      <c r="O222" s="556">
        <f ca="1">IF(VLOOKUP($E$222,[1]DATA_A11!$A$2:$FA$300, 14, FALSE)="",":",VLOOKUP($E$222,[1]DATA_A11!$A$2:$FA$300, 14, FALSE))</f>
        <v>10810</v>
      </c>
      <c r="P222" s="556">
        <f ca="1">IF(VLOOKUP($E$222,[1]DATA_A11!$A$2:$FA$300, 15, FALSE)="",":",VLOOKUP($E$222,[1]DATA_A11!$A$2:$FA$300, 15, FALSE))</f>
        <v>11275</v>
      </c>
      <c r="Q222" s="556">
        <f ca="1">IF(VLOOKUP($E$222,[1]DATA_A11!$A$2:$FA$300, 16, FALSE)="",":",VLOOKUP($E$222,[1]DATA_A11!$A$2:$FA$300, 16, FALSE))</f>
        <v>12049</v>
      </c>
      <c r="R222" s="556">
        <f ca="1">IF(VLOOKUP($E$222,[1]DATA_A11!$A$2:$FA$300, 17, FALSE)="",":",VLOOKUP($E$222,[1]DATA_A11!$A$2:$FA$300, 17, FALSE))</f>
        <v>12298</v>
      </c>
      <c r="S222" s="556">
        <f ca="1">IF(VLOOKUP($E$222,[1]DATA_A11!$A$2:$FA$300, 18, FALSE)="",":",VLOOKUP($E$222,[1]DATA_A11!$A$2:$FA$300, 18, FALSE))</f>
        <v>12756</v>
      </c>
      <c r="T222" s="556">
        <f ca="1">IF(VLOOKUP($E$222,[1]DATA_A11!$A$2:$FA$300, 19, FALSE)="",":",VLOOKUP($E$222,[1]DATA_A11!$A$2:$FA$300, 19, FALSE))</f>
        <v>13220</v>
      </c>
      <c r="U222" s="556">
        <f ca="1">IF(VLOOKUP($E$222,[1]DATA_A11!$A$2:$FA$300, 20, FALSE)="",":",VLOOKUP($E$222,[1]DATA_A11!$A$2:$FA$300, 20, FALSE))</f>
        <v>13599</v>
      </c>
      <c r="V222" s="556">
        <f ca="1">IF(VLOOKUP($E$222,[1]DATA_A11!$A$2:$FA$300, 21, FALSE)="",":",VLOOKUP($E$222,[1]DATA_A11!$A$2:$FA$300, 21, FALSE))</f>
        <v>14314</v>
      </c>
      <c r="W222" s="556">
        <f ca="1">IF(VLOOKUP($E$222,[1]DATA_A11!$A$2:$FA$300, 22, FALSE)="",":",VLOOKUP($E$222,[1]DATA_A11!$A$2:$FA$300, 22, FALSE))</f>
        <v>14803</v>
      </c>
      <c r="X222" s="556">
        <f ca="1">IF(VLOOKUP($E$222,[1]DATA_A11!$A$2:$FA$300, 23, FALSE)="",":",VLOOKUP($E$222,[1]DATA_A11!$A$2:$FA$300, 23, FALSE))</f>
        <v>15769</v>
      </c>
      <c r="Y222" s="556">
        <f ca="1">IF(VLOOKUP($E$222,[1]DATA_A11!$A$2:$FA$300, 24, FALSE)="",":",VLOOKUP($E$222,[1]DATA_A11!$A$2:$FA$300, 24, FALSE))</f>
        <v>16692</v>
      </c>
      <c r="Z222" s="556">
        <f ca="1">IF(VLOOKUP($E$222,[1]DATA_A11!$A$2:$FA$300, 25, FALSE)="",":",VLOOKUP($E$222,[1]DATA_A11!$A$2:$FA$300, 25, FALSE))</f>
        <v>17934</v>
      </c>
      <c r="AA222" s="556">
        <f ca="1">IF(VLOOKUP($E$222,[1]DATA_A11!$A$2:$FA$300, 26, FALSE)="",":",VLOOKUP($E$222,[1]DATA_A11!$A$2:$FA$300, 26, FALSE))</f>
        <v>17063</v>
      </c>
      <c r="AB222" s="556">
        <f ca="1">IF(VLOOKUP($E$222,[1]DATA_A11!$A$2:$FA$300, 27, FALSE)="",":",VLOOKUP($E$222,[1]DATA_A11!$A$2:$FA$300, 27, FALSE))</f>
        <v>17613</v>
      </c>
      <c r="AC222" s="556" t="str">
        <f>IF(VLOOKUP($E$222,[1]DATA_A11!$A$2:$FA$300, 28, FALSE)="",":",VLOOKUP($E$222,[1]DATA_A11!$A$2:$FA$300, 28, FALSE))</f>
        <v>:</v>
      </c>
      <c r="AD222" s="556" t="str">
        <f>IF(VLOOKUP($E$222,[1]DATA_A11!$A$2:$FA$300, 29, FALSE)="",":",VLOOKUP($E$222,[1]DATA_A11!$A$2:$FA$300, 29, FALSE))</f>
        <v>:</v>
      </c>
      <c r="AE222" s="556" t="str">
        <f>IF(VLOOKUP($E$222,[1]DATA_A11!$A$2:$FA$300, 30, FALSE)="",":",VLOOKUP($E$222,[1]DATA_A11!$A$2:$FA$300, 30, FALSE))</f>
        <v>:</v>
      </c>
      <c r="AF222" s="556" t="str">
        <f>IF(VLOOKUP($E$222,[1]DATA_A11!$A$2:$FA$300, 31, FALSE)="",":",VLOOKUP($E$222,[1]DATA_A11!$A$2:$FA$300, 31, FALSE))</f>
        <v>:</v>
      </c>
    </row>
    <row r="223" spans="1:32">
      <c r="A223" s="545"/>
      <c r="B223" s="546"/>
      <c r="C223" s="547"/>
      <c r="D223" s="12"/>
      <c r="E223" s="13"/>
      <c r="F223" s="14"/>
      <c r="G223" s="556"/>
      <c r="H223" s="556"/>
      <c r="I223" s="556"/>
      <c r="J223" s="556"/>
      <c r="K223" s="556"/>
      <c r="L223" s="556"/>
      <c r="M223" s="556"/>
      <c r="N223" s="556"/>
      <c r="O223" s="556"/>
      <c r="P223" s="556"/>
      <c r="Q223" s="556"/>
      <c r="R223" s="556"/>
      <c r="S223" s="556"/>
      <c r="T223" s="556"/>
      <c r="U223" s="556"/>
      <c r="V223" s="556"/>
      <c r="W223" s="556"/>
      <c r="X223" s="556"/>
      <c r="Y223" s="556"/>
      <c r="Z223" s="556"/>
      <c r="AA223" s="556"/>
      <c r="AB223" s="556"/>
      <c r="AC223" s="556"/>
      <c r="AD223" s="556"/>
      <c r="AE223" s="556"/>
      <c r="AF223" s="556"/>
    </row>
    <row r="224" spans="1:32">
      <c r="A224" s="545">
        <v>79</v>
      </c>
      <c r="B224" s="546" t="s">
        <v>327</v>
      </c>
      <c r="C224" s="547"/>
      <c r="D224" s="12" t="s">
        <v>1517</v>
      </c>
      <c r="E224" s="13">
        <v>2401</v>
      </c>
      <c r="F224" s="14" t="str">
        <f>VLOOKUP($E$224,[1]DATA_A11!$A$2:$FA$300, 3, FALSE)</f>
        <v>2401 National employment</v>
      </c>
      <c r="G224" s="556">
        <f>IF(VLOOKUP($E$224,[1]DATA_A11!$A$2:$FA$300, 6, FALSE)="",":",VLOOKUP($E$224,[1]DATA_A11!$A$2:$FA$300, 6, FALSE))</f>
        <v>3930.5</v>
      </c>
      <c r="H224" s="556">
        <f>IF(VLOOKUP($E$224,[1]DATA_A11!$A$2:$FA$300, 7, FALSE)="",":",VLOOKUP($E$224,[1]DATA_A11!$A$2:$FA$300, 7, FALSE))</f>
        <v>3939.7</v>
      </c>
      <c r="I224" s="556">
        <f>IF(VLOOKUP($E$224,[1]DATA_A11!$A$2:$FA$300, 8, FALSE)="",":",VLOOKUP($E$224,[1]DATA_A11!$A$2:$FA$300, 8, FALSE))</f>
        <v>3966.4</v>
      </c>
      <c r="J224" s="556">
        <f>IF(VLOOKUP($E$224,[1]DATA_A11!$A$2:$FA$300, 9, FALSE)="",":",VLOOKUP($E$224,[1]DATA_A11!$A$2:$FA$300, 9, FALSE))</f>
        <v>4035.7</v>
      </c>
      <c r="K224" s="556">
        <f>IF(VLOOKUP($E$224,[1]DATA_A11!$A$2:$FA$300, 10, FALSE)="",":",VLOOKUP($E$224,[1]DATA_A11!$A$2:$FA$300, 10, FALSE))</f>
        <v>4090.4</v>
      </c>
      <c r="L224" s="556">
        <f>IF(VLOOKUP($E$224,[1]DATA_A11!$A$2:$FA$300, 11, FALSE)="",":",VLOOKUP($E$224,[1]DATA_A11!$A$2:$FA$300, 11, FALSE))</f>
        <v>4172.5</v>
      </c>
      <c r="M224" s="556">
        <f>IF(VLOOKUP($E$224,[1]DATA_A11!$A$2:$FA$300, 12, FALSE)="",":",VLOOKUP($E$224,[1]DATA_A11!$A$2:$FA$300, 12, FALSE))</f>
        <v>4230.8999999999996</v>
      </c>
      <c r="N224" s="556">
        <f>IF(VLOOKUP($E$224,[1]DATA_A11!$A$2:$FA$300, 13, FALSE)="",":",VLOOKUP($E$224,[1]DATA_A11!$A$2:$FA$300, 13, FALSE))</f>
        <v>4224.1000000000004</v>
      </c>
      <c r="O224" s="556">
        <f>IF(VLOOKUP($E$224,[1]DATA_A11!$A$2:$FA$300, 14, FALSE)="",":",VLOOKUP($E$224,[1]DATA_A11!$A$2:$FA$300, 14, FALSE))</f>
        <v>4223.3</v>
      </c>
      <c r="P224" s="556">
        <f>IF(VLOOKUP($E$224,[1]DATA_A11!$A$2:$FA$300, 15, FALSE)="",":",VLOOKUP($E$224,[1]DATA_A11!$A$2:$FA$300, 15, FALSE))</f>
        <v>4266.3</v>
      </c>
      <c r="Q224" s="556">
        <f>IF(VLOOKUP($E$224,[1]DATA_A11!$A$2:$FA$300, 16, FALSE)="",":",VLOOKUP($E$224,[1]DATA_A11!$A$2:$FA$300, 16, FALSE))</f>
        <v>4328.3</v>
      </c>
      <c r="R224" s="556">
        <f>IF(VLOOKUP($E$224,[1]DATA_A11!$A$2:$FA$300, 17, FALSE)="",":",VLOOKUP($E$224,[1]DATA_A11!$A$2:$FA$300, 17, FALSE))</f>
        <v>4378.1000000000004</v>
      </c>
      <c r="S224" s="556">
        <f>IF(VLOOKUP($E$224,[1]DATA_A11!$A$2:$FA$300, 18, FALSE)="",":",VLOOKUP($E$224,[1]DATA_A11!$A$2:$FA$300, 18, FALSE))</f>
        <v>4451</v>
      </c>
      <c r="T224" s="556">
        <f>IF(VLOOKUP($E$224,[1]DATA_A11!$A$2:$FA$300, 19, FALSE)="",":",VLOOKUP($E$224,[1]DATA_A11!$A$2:$FA$300, 19, FALSE))</f>
        <v>4530.5</v>
      </c>
      <c r="U224" s="556">
        <f>IF(VLOOKUP($E$224,[1]DATA_A11!$A$2:$FA$300, 20, FALSE)="",":",VLOOKUP($E$224,[1]DATA_A11!$A$2:$FA$300, 20, FALSE))</f>
        <v>4524</v>
      </c>
      <c r="V224" s="556">
        <f>IF(VLOOKUP($E$224,[1]DATA_A11!$A$2:$FA$300, 21, FALSE)="",":",VLOOKUP($E$224,[1]DATA_A11!$A$2:$FA$300, 21, FALSE))</f>
        <v>4553.2</v>
      </c>
      <c r="W224" s="556">
        <f>IF(VLOOKUP($E$224,[1]DATA_A11!$A$2:$FA$300, 22, FALSE)="",":",VLOOKUP($E$224,[1]DATA_A11!$A$2:$FA$300, 22, FALSE))</f>
        <v>4614.3</v>
      </c>
      <c r="X224" s="556">
        <f>IF(VLOOKUP($E$224,[1]DATA_A11!$A$2:$FA$300, 23, FALSE)="",":",VLOOKUP($E$224,[1]DATA_A11!$A$2:$FA$300, 23, FALSE))</f>
        <v>4634.6000000000004</v>
      </c>
      <c r="Y224" s="556">
        <f>IF(VLOOKUP($E$224,[1]DATA_A11!$A$2:$FA$300, 24, FALSE)="",":",VLOOKUP($E$224,[1]DATA_A11!$A$2:$FA$300, 24, FALSE))</f>
        <v>4618.8999999999996</v>
      </c>
      <c r="Z224" s="556">
        <f>IF(VLOOKUP($E$224,[1]DATA_A11!$A$2:$FA$300, 25, FALSE)="",":",VLOOKUP($E$224,[1]DATA_A11!$A$2:$FA$300, 25, FALSE))</f>
        <v>4637.8999999999996</v>
      </c>
      <c r="AA224" s="556">
        <f>IF(VLOOKUP($E$224,[1]DATA_A11!$A$2:$FA$300, 26, FALSE)="",":",VLOOKUP($E$224,[1]DATA_A11!$A$2:$FA$300, 26, FALSE))</f>
        <v>4677.7</v>
      </c>
      <c r="AB224" s="556">
        <f>IF(VLOOKUP($E$224,[1]DATA_A11!$A$2:$FA$300, 27, FALSE)="",":",VLOOKUP($E$224,[1]DATA_A11!$A$2:$FA$300, 27, FALSE))</f>
        <v>4735.3999999999996</v>
      </c>
      <c r="AC224" s="556">
        <f>IF(VLOOKUP($E$224,[1]DATA_A11!$A$2:$FA$300, 28, FALSE)="",":",VLOOKUP($E$224,[1]DATA_A11!$A$2:$FA$300, 28, FALSE))</f>
        <v>4801</v>
      </c>
      <c r="AD224" s="556" t="str">
        <f>IF(VLOOKUP($E$224,[1]DATA_A11!$A$2:$FA$300, 29, FALSE)="",":",VLOOKUP($E$224,[1]DATA_A11!$A$2:$FA$300, 29, FALSE))</f>
        <v>:</v>
      </c>
      <c r="AE224" s="556" t="str">
        <f>IF(VLOOKUP($E$224,[1]DATA_A11!$A$2:$FA$300, 30, FALSE)="",":",VLOOKUP($E$224,[1]DATA_A11!$A$2:$FA$300, 30, FALSE))</f>
        <v>:</v>
      </c>
      <c r="AF224" s="556" t="str">
        <f>IF(VLOOKUP($E$224,[1]DATA_A11!$A$2:$FA$300, 31, FALSE)="",":",VLOOKUP($E$224,[1]DATA_A11!$A$2:$FA$300, 31, FALSE))</f>
        <v>:</v>
      </c>
    </row>
    <row r="225" spans="1:32">
      <c r="A225" s="545">
        <v>78</v>
      </c>
      <c r="B225" s="546" t="s">
        <v>196</v>
      </c>
      <c r="C225" s="547"/>
      <c r="D225" s="12" t="s">
        <v>1517</v>
      </c>
      <c r="E225" s="13">
        <v>2402</v>
      </c>
      <c r="F225" s="14" t="str">
        <f>VLOOKUP($E$225,[1]DATA_A11!$A$2:$FA$300, 3, FALSE)</f>
        <v xml:space="preserve">2402 Unemployed persons   </v>
      </c>
      <c r="G225" s="556">
        <f>IF(VLOOKUP($E$225,[1]DATA_A11!$A$2:$FA$300, 6, FALSE)="",":",VLOOKUP($E$225,[1]DATA_A11!$A$2:$FA$300, 6, FALSE))</f>
        <v>596.87199999999996</v>
      </c>
      <c r="H225" s="556">
        <f>IF(VLOOKUP($E$225,[1]DATA_A11!$A$2:$FA$300, 7, FALSE)="",":",VLOOKUP($E$225,[1]DATA_A11!$A$2:$FA$300, 7, FALSE))</f>
        <v>588.25099999999998</v>
      </c>
      <c r="I225" s="556">
        <f>IF(VLOOKUP($E$225,[1]DATA_A11!$A$2:$FA$300, 8, FALSE)="",":",VLOOKUP($E$225,[1]DATA_A11!$A$2:$FA$300, 8, FALSE))</f>
        <v>570.04600000000005</v>
      </c>
      <c r="J225" s="556">
        <f>IF(VLOOKUP($E$225,[1]DATA_A11!$A$2:$FA$300, 9, FALSE)="",":",VLOOKUP($E$225,[1]DATA_A11!$A$2:$FA$300, 9, FALSE))</f>
        <v>541.04700000000003</v>
      </c>
      <c r="K225" s="556">
        <f>IF(VLOOKUP($E$225,[1]DATA_A11!$A$2:$FA$300, 10, FALSE)="",":",VLOOKUP($E$225,[1]DATA_A11!$A$2:$FA$300, 10, FALSE))</f>
        <v>507.63200000000001</v>
      </c>
      <c r="L225" s="556">
        <f>IF(VLOOKUP($E$225,[1]DATA_A11!$A$2:$FA$300, 11, FALSE)="",":",VLOOKUP($E$225,[1]DATA_A11!$A$2:$FA$300, 11, FALSE))</f>
        <v>474.42700000000002</v>
      </c>
      <c r="M225" s="556">
        <f>IF(VLOOKUP($E$225,[1]DATA_A11!$A$2:$FA$300, 12, FALSE)="",":",VLOOKUP($E$225,[1]DATA_A11!$A$2:$FA$300, 12, FALSE))</f>
        <v>469.74</v>
      </c>
      <c r="N225" s="556">
        <f>IF(VLOOKUP($E$225,[1]DATA_A11!$A$2:$FA$300, 13, FALSE)="",":",VLOOKUP($E$225,[1]DATA_A11!$A$2:$FA$300, 13, FALSE))</f>
        <v>491.48099999999999</v>
      </c>
      <c r="O225" s="556">
        <f>IF(VLOOKUP($E$225,[1]DATA_A11!$A$2:$FA$300, 14, FALSE)="",":",VLOOKUP($E$225,[1]DATA_A11!$A$2:$FA$300, 14, FALSE))</f>
        <v>538.14099999999996</v>
      </c>
      <c r="P225" s="556">
        <f>IF(VLOOKUP($E$225,[1]DATA_A11!$A$2:$FA$300, 15, FALSE)="",":",VLOOKUP($E$225,[1]DATA_A11!$A$2:$FA$300, 15, FALSE))</f>
        <v>576.61199999999997</v>
      </c>
      <c r="Q225" s="556">
        <f>IF(VLOOKUP($E$225,[1]DATA_A11!$A$2:$FA$300, 16, FALSE)="",":",VLOOKUP($E$225,[1]DATA_A11!$A$2:$FA$300, 16, FALSE))</f>
        <v>596.39700000000005</v>
      </c>
      <c r="R225" s="556">
        <f>IF(VLOOKUP($E$225,[1]DATA_A11!$A$2:$FA$300, 17, FALSE)="",":",VLOOKUP($E$225,[1]DATA_A11!$A$2:$FA$300, 17, FALSE))</f>
        <v>588.26099999999997</v>
      </c>
      <c r="S225" s="556">
        <f>IF(VLOOKUP($E$225,[1]DATA_A11!$A$2:$FA$300, 18, FALSE)="",":",VLOOKUP($E$225,[1]DATA_A11!$A$2:$FA$300, 18, FALSE))</f>
        <v>532.45899999999995</v>
      </c>
      <c r="T225" s="556">
        <f>IF(VLOOKUP($E$225,[1]DATA_A11!$A$2:$FA$300, 19, FALSE)="",":",VLOOKUP($E$225,[1]DATA_A11!$A$2:$FA$300, 19, FALSE))</f>
        <v>504.86500000000001</v>
      </c>
      <c r="U225" s="556">
        <f>IF(VLOOKUP($E$225,[1]DATA_A11!$A$2:$FA$300, 20, FALSE)="",":",VLOOKUP($E$225,[1]DATA_A11!$A$2:$FA$300, 20, FALSE))</f>
        <v>554.529</v>
      </c>
      <c r="V225" s="556">
        <f>IF(VLOOKUP($E$225,[1]DATA_A11!$A$2:$FA$300, 21, FALSE)="",":",VLOOKUP($E$225,[1]DATA_A11!$A$2:$FA$300, 21, FALSE))</f>
        <v>567.19200000000001</v>
      </c>
      <c r="W225" s="556">
        <f>IF(VLOOKUP($E$225,[1]DATA_A11!$A$2:$FA$300, 22, FALSE)="",":",VLOOKUP($E$225,[1]DATA_A11!$A$2:$FA$300, 22, FALSE))</f>
        <v>546.47299999999996</v>
      </c>
      <c r="X225" s="556">
        <f>IF(VLOOKUP($E$225,[1]DATA_A11!$A$2:$FA$300, 23, FALSE)="",":",VLOOKUP($E$225,[1]DATA_A11!$A$2:$FA$300, 23, FALSE))</f>
        <v>560.36699999999996</v>
      </c>
      <c r="Y225" s="556">
        <f>IF(VLOOKUP($E$225,[1]DATA_A11!$A$2:$FA$300, 24, FALSE)="",":",VLOOKUP($E$225,[1]DATA_A11!$A$2:$FA$300, 24, FALSE))</f>
        <v>584.30200000000002</v>
      </c>
      <c r="Z225" s="556">
        <f>IF(VLOOKUP($E$225,[1]DATA_A11!$A$2:$FA$300, 25, FALSE)="",":",VLOOKUP($E$225,[1]DATA_A11!$A$2:$FA$300, 25, FALSE))</f>
        <v>597.774</v>
      </c>
      <c r="AA225" s="556">
        <f>IF(VLOOKUP($E$225,[1]DATA_A11!$A$2:$FA$300, 26, FALSE)="",":",VLOOKUP($E$225,[1]DATA_A11!$A$2:$FA$300, 26, FALSE))</f>
        <v>578.52599999999995</v>
      </c>
      <c r="AB225" s="556">
        <f>IF(VLOOKUP($E$225,[1]DATA_A11!$A$2:$FA$300, 27, FALSE)="",":",VLOOKUP($E$225,[1]DATA_A11!$A$2:$FA$300, 27, FALSE))</f>
        <v>552.89300000000003</v>
      </c>
      <c r="AC225" s="556">
        <f>IF(VLOOKUP($E$225,[1]DATA_A11!$A$2:$FA$300, 28, FALSE)="",":",VLOOKUP($E$225,[1]DATA_A11!$A$2:$FA$300, 28, FALSE))</f>
        <v>525.38900000000001</v>
      </c>
      <c r="AD225" s="556" t="str">
        <f>IF(VLOOKUP($E$225,[1]DATA_A11!$A$2:$FA$300, 29, FALSE)="",":",VLOOKUP($E$225,[1]DATA_A11!$A$2:$FA$300, 29, FALSE))</f>
        <v>:</v>
      </c>
      <c r="AE225" s="556" t="str">
        <f>IF(VLOOKUP($E$225,[1]DATA_A11!$A$2:$FA$300, 30, FALSE)="",":",VLOOKUP($E$225,[1]DATA_A11!$A$2:$FA$300, 30, FALSE))</f>
        <v>:</v>
      </c>
      <c r="AF225" s="556" t="str">
        <f>IF(VLOOKUP($E$225,[1]DATA_A11!$A$2:$FA$300, 31, FALSE)="",":",VLOOKUP($E$225,[1]DATA_A11!$A$2:$FA$300, 31, FALSE))</f>
        <v>:</v>
      </c>
    </row>
    <row r="226" spans="1:32">
      <c r="A226" s="545">
        <v>85</v>
      </c>
      <c r="B226" s="546" t="s">
        <v>1425</v>
      </c>
      <c r="C226" s="547"/>
      <c r="D226" s="12" t="s">
        <v>1517</v>
      </c>
      <c r="E226" s="13">
        <v>2403</v>
      </c>
      <c r="F226" s="14" t="str">
        <f>VLOOKUP($E$226,[1]DATA_A11!$A$2:$FA$300, 3, FALSE)</f>
        <v>2403 Average annual hours worked per person employed</v>
      </c>
      <c r="G226" s="556">
        <f>IF(VLOOKUP($E$226,[1]DATA_A11!$A$2:$FA$300, 6, FALSE)="",":",VLOOKUP($E$226,[1]DATA_A11!$A$2:$FA$300, 6, FALSE))</f>
        <v>1585.4917446001759</v>
      </c>
      <c r="H226" s="556">
        <f>IF(VLOOKUP($E$226,[1]DATA_A11!$A$2:$FA$300, 7, FALSE)="",":",VLOOKUP($E$226,[1]DATA_A11!$A$2:$FA$300, 7, FALSE))</f>
        <v>1559.4836782399757</v>
      </c>
      <c r="I226" s="556">
        <f>IF(VLOOKUP($E$226,[1]DATA_A11!$A$2:$FA$300, 8, FALSE)="",":",VLOOKUP($E$226,[1]DATA_A11!$A$2:$FA$300, 8, FALSE))</f>
        <v>1572.4877114534327</v>
      </c>
      <c r="J226" s="556">
        <f>IF(VLOOKUP($E$226,[1]DATA_A11!$A$2:$FA$300, 9, FALSE)="",":",VLOOKUP($E$226,[1]DATA_A11!$A$2:$FA$300, 9, FALSE))</f>
        <v>1583.4911242111666</v>
      </c>
      <c r="K226" s="556">
        <f>IF(VLOOKUP($E$226,[1]DATA_A11!$A$2:$FA$300, 10, FALSE)="",":",VLOOKUP($E$226,[1]DATA_A11!$A$2:$FA$300, 10, FALSE))</f>
        <v>1582.4908138437856</v>
      </c>
      <c r="L226" s="556">
        <f>IF(VLOOKUP($E$226,[1]DATA_A11!$A$2:$FA$300, 11, FALSE)="",":",VLOOKUP($E$226,[1]DATA_A11!$A$2:$FA$300, 11, FALSE))</f>
        <v>1594.8504222541314</v>
      </c>
      <c r="M226" s="556">
        <f>IF(VLOOKUP($E$226,[1]DATA_A11!$A$2:$FA$300, 12, FALSE)="",":",VLOOKUP($E$226,[1]DATA_A11!$A$2:$FA$300, 12, FALSE))</f>
        <v>1588.3749159704219</v>
      </c>
      <c r="N226" s="556">
        <f>IF(VLOOKUP($E$226,[1]DATA_A11!$A$2:$FA$300, 13, FALSE)="",":",VLOOKUP($E$226,[1]DATA_A11!$A$2:$FA$300, 13, FALSE))</f>
        <v>1582.7155365261106</v>
      </c>
      <c r="O226" s="556">
        <f>IF(VLOOKUP($E$226,[1]DATA_A11!$A$2:$FA$300, 14, FALSE)="",":",VLOOKUP($E$226,[1]DATA_A11!$A$2:$FA$300, 14, FALSE))</f>
        <v>1577.7916656635932</v>
      </c>
      <c r="P226" s="556">
        <f>IF(VLOOKUP($E$226,[1]DATA_A11!$A$2:$FA$300, 15, FALSE)="",":",VLOOKUP($E$226,[1]DATA_A11!$A$2:$FA$300, 15, FALSE))</f>
        <v>1572.9612367988177</v>
      </c>
      <c r="Q226" s="556">
        <f>IF(VLOOKUP($E$226,[1]DATA_A11!$A$2:$FA$300, 16, FALSE)="",":",VLOOKUP($E$226,[1]DATA_A11!$A$2:$FA$300, 16, FALSE))</f>
        <v>1565.4303910509498</v>
      </c>
      <c r="R226" s="556">
        <f>IF(VLOOKUP($E$226,[1]DATA_A11!$A$2:$FA$300, 17, FALSE)="",":",VLOOKUP($E$226,[1]DATA_A11!$A$2:$FA$300, 17, FALSE))</f>
        <v>1572.2457877245581</v>
      </c>
      <c r="S226" s="556">
        <f>IF(VLOOKUP($E$226,[1]DATA_A11!$A$2:$FA$300, 18, FALSE)="",":",VLOOKUP($E$226,[1]DATA_A11!$A$2:$FA$300, 18, FALSE))</f>
        <v>1576.6563936075358</v>
      </c>
      <c r="T226" s="556">
        <f>IF(VLOOKUP($E$226,[1]DATA_A11!$A$2:$FA$300, 19, FALSE)="",":",VLOOKUP($E$226,[1]DATA_A11!$A$2:$FA$300, 19, FALSE))</f>
        <v>1569.9796761660944</v>
      </c>
      <c r="U226" s="556">
        <f>IF(VLOOKUP($E$226,[1]DATA_A11!$A$2:$FA$300, 20, FALSE)="",":",VLOOKUP($E$226,[1]DATA_A11!$A$2:$FA$300, 20, FALSE))</f>
        <v>1548.1160499381397</v>
      </c>
      <c r="V226" s="556">
        <f>IF(VLOOKUP($E$226,[1]DATA_A11!$A$2:$FA$300, 21, FALSE)="",":",VLOOKUP($E$226,[1]DATA_A11!$A$2:$FA$300, 21, FALSE))</f>
        <v>1545.848033080018</v>
      </c>
      <c r="W226" s="556">
        <f>IF(VLOOKUP($E$226,[1]DATA_A11!$A$2:$FA$300, 22, FALSE)="",":",VLOOKUP($E$226,[1]DATA_A11!$A$2:$FA$300, 22, FALSE))</f>
        <v>1559.6238617070533</v>
      </c>
      <c r="X226" s="556">
        <f>IF(VLOOKUP($E$226,[1]DATA_A11!$A$2:$FA$300, 23, FALSE)="",":",VLOOKUP($E$226,[1]DATA_A11!$A$2:$FA$300, 23, FALSE))</f>
        <v>1559.9050713501645</v>
      </c>
      <c r="Y226" s="556">
        <f>IF(VLOOKUP($E$226,[1]DATA_A11!$A$2:$FA$300, 24, FALSE)="",":",VLOOKUP($E$226,[1]DATA_A11!$A$2:$FA$300, 24, FALSE))</f>
        <v>1558.0079513667099</v>
      </c>
      <c r="Z226" s="556">
        <f>IF(VLOOKUP($E$226,[1]DATA_A11!$A$2:$FA$300, 25, FALSE)="",":",VLOOKUP($E$226,[1]DATA_A11!$A$2:$FA$300, 25, FALSE))</f>
        <v>1555.2024386499704</v>
      </c>
      <c r="AA226" s="556">
        <f>IF(VLOOKUP($E$226,[1]DATA_A11!$A$2:$FA$300, 26, FALSE)="",":",VLOOKUP($E$226,[1]DATA_A11!$A$2:$FA$300, 26, FALSE))</f>
        <v>1544.6099252238939</v>
      </c>
      <c r="AB226" s="556">
        <f>IF(VLOOKUP($E$226,[1]DATA_A11!$A$2:$FA$300, 27, FALSE)="",":",VLOOKUP($E$226,[1]DATA_A11!$A$2:$FA$300, 27, FALSE))</f>
        <v>1545.8149889439901</v>
      </c>
      <c r="AC226" s="556" t="e">
        <f>IF(VLOOKUP($E$226,[1]DATA_A11!$A$2:$FA$300, 28, FALSE)="",":",VLOOKUP($E$226,[1]DATA_A11!$A$2:$FA$300, 28, FALSE))</f>
        <v>#N/A</v>
      </c>
      <c r="AD226" s="556" t="str">
        <f>IF(VLOOKUP($E$226,[1]DATA_A11!$A$2:$FA$300, 29, FALSE)="",":",VLOOKUP($E$226,[1]DATA_A11!$A$2:$FA$300, 29, FALSE))</f>
        <v>:</v>
      </c>
      <c r="AE226" s="556" t="str">
        <f>IF(VLOOKUP($E$226,[1]DATA_A11!$A$2:$FA$300, 30, FALSE)="",":",VLOOKUP($E$226,[1]DATA_A11!$A$2:$FA$300, 30, FALSE))</f>
        <v>:</v>
      </c>
      <c r="AF226" s="556" t="str">
        <f>IF(VLOOKUP($E$226,[1]DATA_A11!$A$2:$FA$300, 31, FALSE)="",":",VLOOKUP($E$226,[1]DATA_A11!$A$2:$FA$300, 31, FALSE))</f>
        <v>:</v>
      </c>
    </row>
    <row r="227" spans="1:32">
      <c r="A227" s="545"/>
      <c r="B227" s="546"/>
      <c r="C227" s="547"/>
      <c r="D227" s="12"/>
      <c r="E227" s="13"/>
      <c r="F227" s="14"/>
      <c r="G227" s="556"/>
      <c r="H227" s="556"/>
      <c r="I227" s="556"/>
      <c r="J227" s="556"/>
      <c r="K227" s="556"/>
      <c r="L227" s="556"/>
      <c r="M227" s="556"/>
      <c r="N227" s="556"/>
      <c r="O227" s="556"/>
      <c r="P227" s="556"/>
      <c r="Q227" s="556"/>
      <c r="R227" s="556"/>
      <c r="S227" s="556"/>
      <c r="T227" s="556"/>
      <c r="U227" s="556"/>
      <c r="V227" s="556"/>
      <c r="W227" s="556"/>
      <c r="X227" s="556"/>
      <c r="Y227" s="556"/>
      <c r="Z227" s="556"/>
      <c r="AA227" s="556"/>
      <c r="AB227" s="556"/>
      <c r="AC227" s="556"/>
      <c r="AD227" s="556"/>
      <c r="AE227" s="556"/>
      <c r="AF227" s="556"/>
    </row>
    <row r="228" spans="1:32">
      <c r="A228" s="545">
        <v>70</v>
      </c>
      <c r="B228" s="546"/>
      <c r="C228" s="547"/>
      <c r="D228" s="12" t="s">
        <v>1517</v>
      </c>
      <c r="E228" s="13">
        <v>2405</v>
      </c>
      <c r="F228" s="14" t="str">
        <f>VLOOKUP($E$228,[1]DATA_A11!$A$2:$FA$300, 3, FALSE)</f>
        <v>2405 Wages &amp; salaries (manufacturing industry)</v>
      </c>
      <c r="G228" s="556" t="str">
        <f>IF(VLOOKUP($E$228,[1]DATA_A11!$A$2:$FA$300, 6, FALSE)="",":",VLOOKUP($E$228,[1]DATA_A11!$A$2:$FA$300, 6, FALSE))</f>
        <v>:</v>
      </c>
      <c r="H228" s="556" t="str">
        <f>IF(VLOOKUP($E$228,[1]DATA_A11!$A$2:$FA$300, 7, FALSE)="",":",VLOOKUP($E$228,[1]DATA_A11!$A$2:$FA$300, 7, FALSE))</f>
        <v>:</v>
      </c>
      <c r="I228" s="556" t="str">
        <f>IF(VLOOKUP($E$228,[1]DATA_A11!$A$2:$FA$300, 8, FALSE)="",":",VLOOKUP($E$228,[1]DATA_A11!$A$2:$FA$300, 8, FALSE))</f>
        <v>:</v>
      </c>
      <c r="J228" s="556" t="str">
        <f>IF(VLOOKUP($E$228,[1]DATA_A11!$A$2:$FA$300, 9, FALSE)="",":",VLOOKUP($E$228,[1]DATA_A11!$A$2:$FA$300, 9, FALSE))</f>
        <v>:</v>
      </c>
      <c r="K228" s="556" t="str">
        <f>IF(VLOOKUP($E$228,[1]DATA_A11!$A$2:$FA$300, 10, FALSE)="",":",VLOOKUP($E$228,[1]DATA_A11!$A$2:$FA$300, 10, FALSE))</f>
        <v>:</v>
      </c>
      <c r="L228" s="556" t="str">
        <f>IF(VLOOKUP($E$228,[1]DATA_A11!$A$2:$FA$300, 11, FALSE)="",":",VLOOKUP($E$228,[1]DATA_A11!$A$2:$FA$300, 11, FALSE))</f>
        <v>:</v>
      </c>
      <c r="M228" s="556" t="str">
        <f>IF(VLOOKUP($E$228,[1]DATA_A11!$A$2:$FA$300, 12, FALSE)="",":",VLOOKUP($E$228,[1]DATA_A11!$A$2:$FA$300, 12, FALSE))</f>
        <v>:</v>
      </c>
      <c r="N228" s="556" t="str">
        <f>IF(VLOOKUP($E$228,[1]DATA_A11!$A$2:$FA$300, 13, FALSE)="",":",VLOOKUP($E$228,[1]DATA_A11!$A$2:$FA$300, 13, FALSE))</f>
        <v>:</v>
      </c>
      <c r="O228" s="556" t="str">
        <f>IF(VLOOKUP($E$228,[1]DATA_A11!$A$2:$FA$300, 14, FALSE)="",":",VLOOKUP($E$228,[1]DATA_A11!$A$2:$FA$300, 14, FALSE))</f>
        <v>:</v>
      </c>
      <c r="P228" s="556" t="str">
        <f>IF(VLOOKUP($E$228,[1]DATA_A11!$A$2:$FA$300, 15, FALSE)="",":",VLOOKUP($E$228,[1]DATA_A11!$A$2:$FA$300, 15, FALSE))</f>
        <v>:</v>
      </c>
      <c r="Q228" s="556" t="str">
        <f>IF(VLOOKUP($E$228,[1]DATA_A11!$A$2:$FA$300, 16, FALSE)="",":",VLOOKUP($E$228,[1]DATA_A11!$A$2:$FA$300, 16, FALSE))</f>
        <v>:</v>
      </c>
      <c r="R228" s="556" t="str">
        <f>IF(VLOOKUP($E$228,[1]DATA_A11!$A$2:$FA$300, 17, FALSE)="",":",VLOOKUP($E$228,[1]DATA_A11!$A$2:$FA$300, 17, FALSE))</f>
        <v>:</v>
      </c>
      <c r="S228" s="556" t="str">
        <f>IF(VLOOKUP($E$228,[1]DATA_A11!$A$2:$FA$300, 18, FALSE)="",":",VLOOKUP($E$228,[1]DATA_A11!$A$2:$FA$300, 18, FALSE))</f>
        <v>:</v>
      </c>
      <c r="T228" s="556" t="str">
        <f>IF(VLOOKUP($E$228,[1]DATA_A11!$A$2:$FA$300, 19, FALSE)="",":",VLOOKUP($E$228,[1]DATA_A11!$A$2:$FA$300, 19, FALSE))</f>
        <v>:</v>
      </c>
      <c r="U228" s="556" t="str">
        <f>IF(VLOOKUP($E$228,[1]DATA_A11!$A$2:$FA$300, 20, FALSE)="",":",VLOOKUP($E$228,[1]DATA_A11!$A$2:$FA$300, 20, FALSE))</f>
        <v>:</v>
      </c>
      <c r="V228" s="556" t="str">
        <f>IF(VLOOKUP($E$228,[1]DATA_A11!$A$2:$FA$300, 21, FALSE)="",":",VLOOKUP($E$228,[1]DATA_A11!$A$2:$FA$300, 21, FALSE))</f>
        <v>:</v>
      </c>
      <c r="W228" s="556" t="str">
        <f>IF(VLOOKUP($E$228,[1]DATA_A11!$A$2:$FA$300, 22, FALSE)="",":",VLOOKUP($E$228,[1]DATA_A11!$A$2:$FA$300, 22, FALSE))</f>
        <v>:</v>
      </c>
      <c r="X228" s="556" t="str">
        <f>IF(VLOOKUP($E$228,[1]DATA_A11!$A$2:$FA$300, 23, FALSE)="",":",VLOOKUP($E$228,[1]DATA_A11!$A$2:$FA$300, 23, FALSE))</f>
        <v>:</v>
      </c>
      <c r="Y228" s="556" t="str">
        <f>IF(VLOOKUP($E$228,[1]DATA_A11!$A$2:$FA$300, 24, FALSE)="",":",VLOOKUP($E$228,[1]DATA_A11!$A$2:$FA$300, 24, FALSE))</f>
        <v>:</v>
      </c>
      <c r="Z228" s="556" t="str">
        <f>IF(VLOOKUP($E$228,[1]DATA_A11!$A$2:$FA$300, 25, FALSE)="",":",VLOOKUP($E$228,[1]DATA_A11!$A$2:$FA$300, 25, FALSE))</f>
        <v>:</v>
      </c>
      <c r="AA228" s="556" t="str">
        <f>IF(VLOOKUP($E$228,[1]DATA_A11!$A$2:$FA$300, 26, FALSE)="",":",VLOOKUP($E$228,[1]DATA_A11!$A$2:$FA$300, 26, FALSE))</f>
        <v>:</v>
      </c>
      <c r="AB228" s="556" t="str">
        <f>IF(VLOOKUP($E$228,[1]DATA_A11!$A$2:$FA$300, 27, FALSE)="",":",VLOOKUP($E$228,[1]DATA_A11!$A$2:$FA$300, 27, FALSE))</f>
        <v>:</v>
      </c>
      <c r="AC228" s="556" t="str">
        <f>IF(VLOOKUP($E$228,[1]DATA_A11!$A$2:$FA$300, 28, FALSE)="",":",VLOOKUP($E$228,[1]DATA_A11!$A$2:$FA$300, 28, FALSE))</f>
        <v>:</v>
      </c>
      <c r="AD228" s="556" t="str">
        <f>IF(VLOOKUP($E$228,[1]DATA_A11!$A$2:$FA$300, 29, FALSE)="",":",VLOOKUP($E$228,[1]DATA_A11!$A$2:$FA$300, 29, FALSE))</f>
        <v>:</v>
      </c>
      <c r="AE228" s="556" t="str">
        <f>IF(VLOOKUP($E$228,[1]DATA_A11!$A$2:$FA$300, 30, FALSE)="",":",VLOOKUP($E$228,[1]DATA_A11!$A$2:$FA$300, 30, FALSE))</f>
        <v>:</v>
      </c>
      <c r="AF228" s="556" t="str">
        <f>IF(VLOOKUP($E$228,[1]DATA_A11!$A$2:$FA$300, 31, FALSE)="",":",VLOOKUP($E$228,[1]DATA_A11!$A$2:$FA$300, 31, FALSE))</f>
        <v>:</v>
      </c>
    </row>
    <row r="229" spans="1:32">
      <c r="A229" s="545"/>
      <c r="B229" s="546"/>
      <c r="C229" s="547"/>
      <c r="D229" s="12"/>
      <c r="E229" s="13"/>
      <c r="F229" s="14"/>
      <c r="G229" s="556"/>
      <c r="H229" s="556"/>
      <c r="I229" s="556"/>
      <c r="J229" s="556"/>
      <c r="K229" s="556"/>
      <c r="L229" s="556"/>
      <c r="M229" s="556"/>
      <c r="N229" s="556"/>
      <c r="O229" s="556"/>
      <c r="P229" s="556"/>
      <c r="Q229" s="556"/>
      <c r="R229" s="556"/>
      <c r="S229" s="556"/>
      <c r="T229" s="556"/>
      <c r="U229" s="556"/>
      <c r="V229" s="556"/>
      <c r="W229" s="556"/>
      <c r="X229" s="556"/>
      <c r="Y229" s="556"/>
      <c r="Z229" s="556"/>
      <c r="AA229" s="556"/>
      <c r="AB229" s="556"/>
      <c r="AC229" s="556"/>
      <c r="AD229" s="556"/>
      <c r="AE229" s="556"/>
      <c r="AF229" s="556"/>
    </row>
    <row r="230" spans="1:32">
      <c r="A230" s="545">
        <v>62</v>
      </c>
      <c r="B230" s="546" t="s">
        <v>326</v>
      </c>
      <c r="C230" s="547"/>
      <c r="D230" s="12" t="s">
        <v>1517</v>
      </c>
      <c r="E230" s="13">
        <v>2701</v>
      </c>
      <c r="F230" s="14" t="str">
        <f>VLOOKUP($E$230,[1]DATA_A11!$A$2:$FA$300, 3, FALSE)</f>
        <v>2701 Wages and salaries</v>
      </c>
      <c r="G230" s="556">
        <f ca="1">IF(VLOOKUP($E$230,[1]DATA_A11!$A$2:$FA$300, 6, FALSE)="",":",VLOOKUP($E$230,[1]DATA_A11!$A$2:$FA$300, 6, FALSE))</f>
        <v>78843.399999999994</v>
      </c>
      <c r="H230" s="556">
        <f>IF(VLOOKUP($E$230,[1]DATA_A11!$A$2:$FA$300, 7, FALSE)="",":",VLOOKUP($E$230,[1]DATA_A11!$A$2:$FA$300, 7, FALSE))</f>
        <v>80232.399999999994</v>
      </c>
      <c r="I230" s="556">
        <f>IF(VLOOKUP($E$230,[1]DATA_A11!$A$2:$FA$300, 8, FALSE)="",":",VLOOKUP($E$230,[1]DATA_A11!$A$2:$FA$300, 8, FALSE))</f>
        <v>83083.899999999994</v>
      </c>
      <c r="J230" s="556">
        <f>IF(VLOOKUP($E$230,[1]DATA_A11!$A$2:$FA$300, 9, FALSE)="",":",VLOOKUP($E$230,[1]DATA_A11!$A$2:$FA$300, 9, FALSE))</f>
        <v>85514.8</v>
      </c>
      <c r="K230" s="556">
        <f>IF(VLOOKUP($E$230,[1]DATA_A11!$A$2:$FA$300, 10, FALSE)="",":",VLOOKUP($E$230,[1]DATA_A11!$A$2:$FA$300, 10, FALSE))</f>
        <v>90406</v>
      </c>
      <c r="L230" s="556">
        <f>IF(VLOOKUP($E$230,[1]DATA_A11!$A$2:$FA$300, 11, FALSE)="",":",VLOOKUP($E$230,[1]DATA_A11!$A$2:$FA$300, 11, FALSE))</f>
        <v>95308.5</v>
      </c>
      <c r="M230" s="556">
        <f>IF(VLOOKUP($E$230,[1]DATA_A11!$A$2:$FA$300, 12, FALSE)="",":",VLOOKUP($E$230,[1]DATA_A11!$A$2:$FA$300, 12, FALSE))</f>
        <v>100701.1</v>
      </c>
      <c r="N230" s="556">
        <f>IF(VLOOKUP($E$230,[1]DATA_A11!$A$2:$FA$300, 13, FALSE)="",":",VLOOKUP($E$230,[1]DATA_A11!$A$2:$FA$300, 13, FALSE))</f>
        <v>103708.9</v>
      </c>
      <c r="O230" s="556">
        <f>IF(VLOOKUP($E$230,[1]DATA_A11!$A$2:$FA$300, 14, FALSE)="",":",VLOOKUP($E$230,[1]DATA_A11!$A$2:$FA$300, 14, FALSE))</f>
        <v>105390.5</v>
      </c>
      <c r="P230" s="556">
        <f>IF(VLOOKUP($E$230,[1]DATA_A11!$A$2:$FA$300, 15, FALSE)="",":",VLOOKUP($E$230,[1]DATA_A11!$A$2:$FA$300, 15, FALSE))</f>
        <v>108577.7</v>
      </c>
      <c r="Q230" s="556">
        <f>IF(VLOOKUP($E$230,[1]DATA_A11!$A$2:$FA$300, 16, FALSE)="",":",VLOOKUP($E$230,[1]DATA_A11!$A$2:$FA$300, 16, FALSE))</f>
        <v>112646.2</v>
      </c>
      <c r="R230" s="556">
        <f>IF(VLOOKUP($E$230,[1]DATA_A11!$A$2:$FA$300, 17, FALSE)="",":",VLOOKUP($E$230,[1]DATA_A11!$A$2:$FA$300, 17, FALSE))</f>
        <v>118006.2</v>
      </c>
      <c r="S230" s="556">
        <f>IF(VLOOKUP($E$230,[1]DATA_A11!$A$2:$FA$300, 18, FALSE)="",":",VLOOKUP($E$230,[1]DATA_A11!$A$2:$FA$300, 18, FALSE))</f>
        <v>123503.9</v>
      </c>
      <c r="T230" s="556">
        <f>IF(VLOOKUP($E$230,[1]DATA_A11!$A$2:$FA$300, 19, FALSE)="",":",VLOOKUP($E$230,[1]DATA_A11!$A$2:$FA$300, 19, FALSE))</f>
        <v>130163.9</v>
      </c>
      <c r="U230" s="556">
        <f>IF(VLOOKUP($E$230,[1]DATA_A11!$A$2:$FA$300, 20, FALSE)="",":",VLOOKUP($E$230,[1]DATA_A11!$A$2:$FA$300, 20, FALSE))</f>
        <v>130245.2</v>
      </c>
      <c r="V230" s="556">
        <f>IF(VLOOKUP($E$230,[1]DATA_A11!$A$2:$FA$300, 21, FALSE)="",":",VLOOKUP($E$230,[1]DATA_A11!$A$2:$FA$300, 21, FALSE))</f>
        <v>132611.4</v>
      </c>
      <c r="W230" s="556">
        <f>IF(VLOOKUP($E$230,[1]DATA_A11!$A$2:$FA$300, 22, FALSE)="",":",VLOOKUP($E$230,[1]DATA_A11!$A$2:$FA$300, 22, FALSE))</f>
        <v>138888.9</v>
      </c>
      <c r="X230" s="556">
        <f>IF(VLOOKUP($E$230,[1]DATA_A11!$A$2:$FA$300, 23, FALSE)="",":",VLOOKUP($E$230,[1]DATA_A11!$A$2:$FA$300, 23, FALSE))</f>
        <v>143360.6</v>
      </c>
      <c r="Y230" s="556">
        <f>IF(VLOOKUP($E$230,[1]DATA_A11!$A$2:$FA$300, 24, FALSE)="",":",VLOOKUP($E$230,[1]DATA_A11!$A$2:$FA$300, 24, FALSE))</f>
        <v>146021.4</v>
      </c>
      <c r="Z230" s="556">
        <f>IF(VLOOKUP($E$230,[1]DATA_A11!$A$2:$FA$300, 25, FALSE)="",":",VLOOKUP($E$230,[1]DATA_A11!$A$2:$FA$300, 25, FALSE))</f>
        <v>148116.29999999999</v>
      </c>
      <c r="AA230" s="556">
        <f>IF(VLOOKUP($E$230,[1]DATA_A11!$A$2:$FA$300, 26, FALSE)="",":",VLOOKUP($E$230,[1]DATA_A11!$A$2:$FA$300, 26, FALSE))</f>
        <v>149104.1</v>
      </c>
      <c r="AB230" s="556">
        <f>IF(VLOOKUP($E$230,[1]DATA_A11!$A$2:$FA$300, 27, FALSE)="",":",VLOOKUP($E$230,[1]DATA_A11!$A$2:$FA$300, 27, FALSE))</f>
        <v>152824.29999999999</v>
      </c>
      <c r="AC230" s="556">
        <f>IF(VLOOKUP($E$230,[1]DATA_A11!$A$2:$FA$300, 28, FALSE)="",":",VLOOKUP($E$230,[1]DATA_A11!$A$2:$FA$300, 28, FALSE))</f>
        <v>157895.1</v>
      </c>
      <c r="AD230" s="556" t="str">
        <f>IF(VLOOKUP($E$230,[1]DATA_A11!$A$2:$FA$300, 29, FALSE)="",":",VLOOKUP($E$230,[1]DATA_A11!$A$2:$FA$300, 29, FALSE))</f>
        <v>:</v>
      </c>
      <c r="AE230" s="556" t="str">
        <f>IF(VLOOKUP($E$230,[1]DATA_A11!$A$2:$FA$300, 30, FALSE)="",":",VLOOKUP($E$230,[1]DATA_A11!$A$2:$FA$300, 30, FALSE))</f>
        <v>:</v>
      </c>
      <c r="AF230" s="556" t="str">
        <f>IF(VLOOKUP($E$230,[1]DATA_A11!$A$2:$FA$300, 31, FALSE)="",":",VLOOKUP($E$230,[1]DATA_A11!$A$2:$FA$300, 31, FALSE))</f>
        <v>:</v>
      </c>
    </row>
    <row r="231" spans="1:32">
      <c r="A231" s="1870"/>
      <c r="B231" s="546" t="s">
        <v>328</v>
      </c>
      <c r="C231" s="547" t="s">
        <v>1426</v>
      </c>
      <c r="D231" s="12" t="s">
        <v>1517</v>
      </c>
      <c r="E231" s="13">
        <v>2702</v>
      </c>
      <c r="F231" s="14" t="str">
        <f>VLOOKUP($E$231,[1]DATA_A11!$A$2:$FA$300, 3, FALSE)</f>
        <v>2702 Compensation of employees (paid by ROW)</v>
      </c>
      <c r="G231" s="556">
        <f>IF(VLOOKUP($E$231,[1]DATA_A11!$A$2:$FA$300, 6, FALSE)="",":",VLOOKUP($E$231,[1]DATA_A11!$A$2:$FA$300, 6, FALSE))</f>
        <v>3005.7</v>
      </c>
      <c r="H231" s="556">
        <f>IF(VLOOKUP($E$231,[1]DATA_A11!$A$2:$FA$300, 7, FALSE)="",":",VLOOKUP($E$231,[1]DATA_A11!$A$2:$FA$300, 7, FALSE))</f>
        <v>3157.7</v>
      </c>
      <c r="I231" s="556">
        <f>IF(VLOOKUP($E$231,[1]DATA_A11!$A$2:$FA$300, 8, FALSE)="",":",VLOOKUP($E$231,[1]DATA_A11!$A$2:$FA$300, 8, FALSE))</f>
        <v>3254.5</v>
      </c>
      <c r="J231" s="556">
        <f>IF(VLOOKUP($E$231,[1]DATA_A11!$A$2:$FA$300, 9, FALSE)="",":",VLOOKUP($E$231,[1]DATA_A11!$A$2:$FA$300, 9, FALSE))</f>
        <v>3476.6</v>
      </c>
      <c r="K231" s="556">
        <f>IF(VLOOKUP($E$231,[1]DATA_A11!$A$2:$FA$300, 10, FALSE)="",":",VLOOKUP($E$231,[1]DATA_A11!$A$2:$FA$300, 10, FALSE))</f>
        <v>3827.2</v>
      </c>
      <c r="L231" s="556">
        <f>IF(VLOOKUP($E$231,[1]DATA_A11!$A$2:$FA$300, 11, FALSE)="",":",VLOOKUP($E$231,[1]DATA_A11!$A$2:$FA$300, 11, FALSE))</f>
        <v>4070.8</v>
      </c>
      <c r="M231" s="556">
        <f>IF(VLOOKUP($E$231,[1]DATA_A11!$A$2:$FA$300, 12, FALSE)="",":",VLOOKUP($E$231,[1]DATA_A11!$A$2:$FA$300, 12, FALSE))</f>
        <v>4503.3</v>
      </c>
      <c r="N231" s="556">
        <f>IF(VLOOKUP($E$231,[1]DATA_A11!$A$2:$FA$300, 13, FALSE)="",":",VLOOKUP($E$231,[1]DATA_A11!$A$2:$FA$300, 13, FALSE))</f>
        <v>4894.3999999999996</v>
      </c>
      <c r="O231" s="556">
        <f>IF(VLOOKUP($E$231,[1]DATA_A11!$A$2:$FA$300, 14, FALSE)="",":",VLOOKUP($E$231,[1]DATA_A11!$A$2:$FA$300, 14, FALSE))</f>
        <v>5307.1</v>
      </c>
      <c r="P231" s="556">
        <f>IF(VLOOKUP($E$231,[1]DATA_A11!$A$2:$FA$300, 15, FALSE)="",":",VLOOKUP($E$231,[1]DATA_A11!$A$2:$FA$300, 15, FALSE))</f>
        <v>5688.3</v>
      </c>
      <c r="Q231" s="556">
        <f>IF(VLOOKUP($E$231,[1]DATA_A11!$A$2:$FA$300, 16, FALSE)="",":",VLOOKUP($E$231,[1]DATA_A11!$A$2:$FA$300, 16, FALSE))</f>
        <v>5860.7</v>
      </c>
      <c r="R231" s="556">
        <f>IF(VLOOKUP($E$231,[1]DATA_A11!$A$2:$FA$300, 17, FALSE)="",":",VLOOKUP($E$231,[1]DATA_A11!$A$2:$FA$300, 17, FALSE))</f>
        <v>6222.2</v>
      </c>
      <c r="S231" s="556">
        <f>IF(VLOOKUP($E$231,[1]DATA_A11!$A$2:$FA$300, 18, FALSE)="",":",VLOOKUP($E$231,[1]DATA_A11!$A$2:$FA$300, 18, FALSE))</f>
        <v>6652.5</v>
      </c>
      <c r="T231" s="556">
        <f>IF(VLOOKUP($E$231,[1]DATA_A11!$A$2:$FA$300, 19, FALSE)="",":",VLOOKUP($E$231,[1]DATA_A11!$A$2:$FA$300, 19, FALSE))</f>
        <v>7100.2</v>
      </c>
      <c r="U231" s="556">
        <f>IF(VLOOKUP($E$231,[1]DATA_A11!$A$2:$FA$300, 20, FALSE)="",":",VLOOKUP($E$231,[1]DATA_A11!$A$2:$FA$300, 20, FALSE))</f>
        <v>7462.5</v>
      </c>
      <c r="V231" s="556">
        <f>IF(VLOOKUP($E$231,[1]DATA_A11!$A$2:$FA$300, 21, FALSE)="",":",VLOOKUP($E$231,[1]DATA_A11!$A$2:$FA$300, 21, FALSE))</f>
        <v>7784.1</v>
      </c>
      <c r="W231" s="556">
        <f>IF(VLOOKUP($E$231,[1]DATA_A11!$A$2:$FA$300, 22, FALSE)="",":",VLOOKUP($E$231,[1]DATA_A11!$A$2:$FA$300, 22, FALSE))</f>
        <v>7895.2</v>
      </c>
      <c r="X231" s="556">
        <f>IF(VLOOKUP($E$231,[1]DATA_A11!$A$2:$FA$300, 23, FALSE)="",":",VLOOKUP($E$231,[1]DATA_A11!$A$2:$FA$300, 23, FALSE))</f>
        <v>8153.6</v>
      </c>
      <c r="Y231" s="556">
        <f>IF(VLOOKUP($E$231,[1]DATA_A11!$A$2:$FA$300, 24, FALSE)="",":",VLOOKUP($E$231,[1]DATA_A11!$A$2:$FA$300, 24, FALSE))</f>
        <v>8281.7999999999993</v>
      </c>
      <c r="Z231" s="556">
        <f>IF(VLOOKUP($E$231,[1]DATA_A11!$A$2:$FA$300, 25, FALSE)="",":",VLOOKUP($E$231,[1]DATA_A11!$A$2:$FA$300, 25, FALSE))</f>
        <v>8525.1</v>
      </c>
      <c r="AA231" s="556">
        <f>IF(VLOOKUP($E$231,[1]DATA_A11!$A$2:$FA$300, 26, FALSE)="",":",VLOOKUP($E$231,[1]DATA_A11!$A$2:$FA$300, 26, FALSE))</f>
        <v>8825.9</v>
      </c>
      <c r="AB231" s="556">
        <f>IF(VLOOKUP($E$231,[1]DATA_A11!$A$2:$FA$300, 27, FALSE)="",":",VLOOKUP($E$231,[1]DATA_A11!$A$2:$FA$300, 27, FALSE))</f>
        <v>9083.1</v>
      </c>
      <c r="AC231" s="556" t="str">
        <f>IF(VLOOKUP($E$231,[1]DATA_A11!$A$2:$FA$300, 28, FALSE)="",":",VLOOKUP($E$231,[1]DATA_A11!$A$2:$FA$300, 28, FALSE))</f>
        <v>:</v>
      </c>
      <c r="AD231" s="556" t="str">
        <f>IF(VLOOKUP($E$231,[1]DATA_A11!$A$2:$FA$300, 29, FALSE)="",":",VLOOKUP($E$231,[1]DATA_A11!$A$2:$FA$300, 29, FALSE))</f>
        <v>:</v>
      </c>
      <c r="AE231" s="556" t="str">
        <f>IF(VLOOKUP($E$231,[1]DATA_A11!$A$2:$FA$300, 30, FALSE)="",":",VLOOKUP($E$231,[1]DATA_A11!$A$2:$FA$300, 30, FALSE))</f>
        <v>:</v>
      </c>
      <c r="AF231" s="556" t="str">
        <f>IF(VLOOKUP($E$231,[1]DATA_A11!$A$2:$FA$300, 31, FALSE)="",":",VLOOKUP($E$231,[1]DATA_A11!$A$2:$FA$300, 31, FALSE))</f>
        <v>:</v>
      </c>
    </row>
    <row r="232" spans="1:32">
      <c r="A232" s="1870"/>
      <c r="B232" s="546" t="s">
        <v>329</v>
      </c>
      <c r="C232" s="547" t="s">
        <v>1427</v>
      </c>
      <c r="D232" s="12" t="s">
        <v>1517</v>
      </c>
      <c r="E232" s="13">
        <v>2703</v>
      </c>
      <c r="F232" s="14" t="str">
        <f>VLOOKUP($E$232,[1]DATA_A11!$A$2:$FA$300, 3, FALSE)</f>
        <v>2703 Compensation of employees (received by RoW)</v>
      </c>
      <c r="G232" s="556">
        <f>IF(VLOOKUP($E$232,[1]DATA_A11!$A$2:$FA$300, 6, FALSE)="",":",VLOOKUP($E$232,[1]DATA_A11!$A$2:$FA$300, 6, FALSE))</f>
        <v>771.4</v>
      </c>
      <c r="H232" s="556">
        <f>IF(VLOOKUP($E$232,[1]DATA_A11!$A$2:$FA$300, 7, FALSE)="",":",VLOOKUP($E$232,[1]DATA_A11!$A$2:$FA$300, 7, FALSE))</f>
        <v>826</v>
      </c>
      <c r="I232" s="556">
        <f>IF(VLOOKUP($E$232,[1]DATA_A11!$A$2:$FA$300, 8, FALSE)="",":",VLOOKUP($E$232,[1]DATA_A11!$A$2:$FA$300, 8, FALSE))</f>
        <v>930.6</v>
      </c>
      <c r="J232" s="556">
        <f>IF(VLOOKUP($E$232,[1]DATA_A11!$A$2:$FA$300, 9, FALSE)="",":",VLOOKUP($E$232,[1]DATA_A11!$A$2:$FA$300, 9, FALSE))</f>
        <v>964.7</v>
      </c>
      <c r="K232" s="556">
        <f>IF(VLOOKUP($E$232,[1]DATA_A11!$A$2:$FA$300, 10, FALSE)="",":",VLOOKUP($E$232,[1]DATA_A11!$A$2:$FA$300, 10, FALSE))</f>
        <v>1104.5999999999999</v>
      </c>
      <c r="L232" s="556">
        <f>IF(VLOOKUP($E$232,[1]DATA_A11!$A$2:$FA$300, 11, FALSE)="",":",VLOOKUP($E$232,[1]DATA_A11!$A$2:$FA$300, 11, FALSE))</f>
        <v>1187.7</v>
      </c>
      <c r="M232" s="556">
        <f>IF(VLOOKUP($E$232,[1]DATA_A11!$A$2:$FA$300, 12, FALSE)="",":",VLOOKUP($E$232,[1]DATA_A11!$A$2:$FA$300, 12, FALSE))</f>
        <v>1353.9</v>
      </c>
      <c r="N232" s="556">
        <f>IF(VLOOKUP($E$232,[1]DATA_A11!$A$2:$FA$300, 13, FALSE)="",":",VLOOKUP($E$232,[1]DATA_A11!$A$2:$FA$300, 13, FALSE))</f>
        <v>1441.4</v>
      </c>
      <c r="O232" s="556">
        <f>IF(VLOOKUP($E$232,[1]DATA_A11!$A$2:$FA$300, 14, FALSE)="",":",VLOOKUP($E$232,[1]DATA_A11!$A$2:$FA$300, 14, FALSE))</f>
        <v>1555.1</v>
      </c>
      <c r="P232" s="556">
        <f>IF(VLOOKUP($E$232,[1]DATA_A11!$A$2:$FA$300, 15, FALSE)="",":",VLOOKUP($E$232,[1]DATA_A11!$A$2:$FA$300, 15, FALSE))</f>
        <v>1606.6</v>
      </c>
      <c r="Q232" s="556">
        <f>IF(VLOOKUP($E$232,[1]DATA_A11!$A$2:$FA$300, 16, FALSE)="",":",VLOOKUP($E$232,[1]DATA_A11!$A$2:$FA$300, 16, FALSE))</f>
        <v>1619.3</v>
      </c>
      <c r="R232" s="556">
        <f>IF(VLOOKUP($E$232,[1]DATA_A11!$A$2:$FA$300, 17, FALSE)="",":",VLOOKUP($E$232,[1]DATA_A11!$A$2:$FA$300, 17, FALSE))</f>
        <v>1730.7</v>
      </c>
      <c r="S232" s="556">
        <f>IF(VLOOKUP($E$232,[1]DATA_A11!$A$2:$FA$300, 18, FALSE)="",":",VLOOKUP($E$232,[1]DATA_A11!$A$2:$FA$300, 18, FALSE))</f>
        <v>1985.6</v>
      </c>
      <c r="T232" s="556">
        <f>IF(VLOOKUP($E$232,[1]DATA_A11!$A$2:$FA$300, 19, FALSE)="",":",VLOOKUP($E$232,[1]DATA_A11!$A$2:$FA$300, 19, FALSE))</f>
        <v>2361.3000000000002</v>
      </c>
      <c r="U232" s="556">
        <f>IF(VLOOKUP($E$232,[1]DATA_A11!$A$2:$FA$300, 20, FALSE)="",":",VLOOKUP($E$232,[1]DATA_A11!$A$2:$FA$300, 20, FALSE))</f>
        <v>2560.6999999999998</v>
      </c>
      <c r="V232" s="556">
        <f>IF(VLOOKUP($E$232,[1]DATA_A11!$A$2:$FA$300, 21, FALSE)="",":",VLOOKUP($E$232,[1]DATA_A11!$A$2:$FA$300, 21, FALSE))</f>
        <v>2614.1</v>
      </c>
      <c r="W232" s="556">
        <f>IF(VLOOKUP($E$232,[1]DATA_A11!$A$2:$FA$300, 22, FALSE)="",":",VLOOKUP($E$232,[1]DATA_A11!$A$2:$FA$300, 22, FALSE))</f>
        <v>2665.3</v>
      </c>
      <c r="X232" s="556">
        <f>IF(VLOOKUP($E$232,[1]DATA_A11!$A$2:$FA$300, 23, FALSE)="",":",VLOOKUP($E$232,[1]DATA_A11!$A$2:$FA$300, 23, FALSE))</f>
        <v>2797.6</v>
      </c>
      <c r="Y232" s="556">
        <f>IF(VLOOKUP($E$232,[1]DATA_A11!$A$2:$FA$300, 24, FALSE)="",":",VLOOKUP($E$232,[1]DATA_A11!$A$2:$FA$300, 24, FALSE))</f>
        <v>2841.8</v>
      </c>
      <c r="Z232" s="556">
        <f>IF(VLOOKUP($E$232,[1]DATA_A11!$A$2:$FA$300, 25, FALSE)="",":",VLOOKUP($E$232,[1]DATA_A11!$A$2:$FA$300, 25, FALSE))</f>
        <v>2841.5</v>
      </c>
      <c r="AA232" s="556">
        <f>IF(VLOOKUP($E$232,[1]DATA_A11!$A$2:$FA$300, 26, FALSE)="",":",VLOOKUP($E$232,[1]DATA_A11!$A$2:$FA$300, 26, FALSE))</f>
        <v>2883.4</v>
      </c>
      <c r="AB232" s="556">
        <f>IF(VLOOKUP($E$232,[1]DATA_A11!$A$2:$FA$300, 27, FALSE)="",":",VLOOKUP($E$232,[1]DATA_A11!$A$2:$FA$300, 27, FALSE))</f>
        <v>3002</v>
      </c>
      <c r="AC232" s="556" t="str">
        <f>IF(VLOOKUP($E$232,[1]DATA_A11!$A$2:$FA$300, 28, FALSE)="",":",VLOOKUP($E$232,[1]DATA_A11!$A$2:$FA$300, 28, FALSE))</f>
        <v>:</v>
      </c>
      <c r="AD232" s="556" t="str">
        <f>IF(VLOOKUP($E$232,[1]DATA_A11!$A$2:$FA$300, 29, FALSE)="",":",VLOOKUP($E$232,[1]DATA_A11!$A$2:$FA$300, 29, FALSE))</f>
        <v>:</v>
      </c>
      <c r="AE232" s="556" t="str">
        <f>IF(VLOOKUP($E$232,[1]DATA_A11!$A$2:$FA$300, 30, FALSE)="",":",VLOOKUP($E$232,[1]DATA_A11!$A$2:$FA$300, 30, FALSE))</f>
        <v>:</v>
      </c>
      <c r="AF232" s="556" t="str">
        <f>IF(VLOOKUP($E$232,[1]DATA_A11!$A$2:$FA$300, 31, FALSE)="",":",VLOOKUP($E$232,[1]DATA_A11!$A$2:$FA$300, 31, FALSE))</f>
        <v>:</v>
      </c>
    </row>
    <row r="233" spans="1:32" s="552" customFormat="1">
      <c r="A233" s="1870"/>
      <c r="B233" s="549" t="s">
        <v>845</v>
      </c>
      <c r="C233" s="550" t="s">
        <v>846</v>
      </c>
      <c r="D233" s="540"/>
      <c r="E233" s="541"/>
      <c r="F233" s="551"/>
      <c r="G233" s="557">
        <f t="shared" ref="G233:AF233" si="9">+G231-G232</f>
        <v>2234.2999999999997</v>
      </c>
      <c r="H233" s="557">
        <f t="shared" si="9"/>
        <v>2331.6999999999998</v>
      </c>
      <c r="I233" s="557">
        <f t="shared" si="9"/>
        <v>2323.9</v>
      </c>
      <c r="J233" s="557">
        <f t="shared" si="9"/>
        <v>2511.8999999999996</v>
      </c>
      <c r="K233" s="557">
        <f t="shared" si="9"/>
        <v>2722.6</v>
      </c>
      <c r="L233" s="557">
        <f t="shared" si="9"/>
        <v>2883.1000000000004</v>
      </c>
      <c r="M233" s="557">
        <f t="shared" si="9"/>
        <v>3149.4</v>
      </c>
      <c r="N233" s="557">
        <f t="shared" si="9"/>
        <v>3452.9999999999995</v>
      </c>
      <c r="O233" s="557">
        <f t="shared" si="9"/>
        <v>3752.0000000000005</v>
      </c>
      <c r="P233" s="557">
        <f t="shared" si="9"/>
        <v>4081.7000000000003</v>
      </c>
      <c r="Q233" s="557">
        <f t="shared" si="9"/>
        <v>4241.3999999999996</v>
      </c>
      <c r="R233" s="557">
        <f t="shared" si="9"/>
        <v>4491.5</v>
      </c>
      <c r="S233" s="557">
        <f t="shared" si="9"/>
        <v>4666.8999999999996</v>
      </c>
      <c r="T233" s="557">
        <f t="shared" si="9"/>
        <v>4738.8999999999996</v>
      </c>
      <c r="U233" s="557">
        <f t="shared" si="9"/>
        <v>4901.8</v>
      </c>
      <c r="V233" s="557">
        <f t="shared" si="9"/>
        <v>5170</v>
      </c>
      <c r="W233" s="557">
        <f t="shared" si="9"/>
        <v>5229.8999999999996</v>
      </c>
      <c r="X233" s="557">
        <f t="shared" si="9"/>
        <v>5356</v>
      </c>
      <c r="Y233" s="557">
        <f t="shared" si="9"/>
        <v>5439.9999999999991</v>
      </c>
      <c r="Z233" s="557">
        <f t="shared" si="9"/>
        <v>5683.6</v>
      </c>
      <c r="AA233" s="557">
        <f t="shared" si="9"/>
        <v>5942.5</v>
      </c>
      <c r="AB233" s="557">
        <f t="shared" si="9"/>
        <v>6081.1</v>
      </c>
      <c r="AC233" s="557" t="e">
        <f t="shared" si="9"/>
        <v>#VALUE!</v>
      </c>
      <c r="AD233" s="557" t="e">
        <f t="shared" si="9"/>
        <v>#VALUE!</v>
      </c>
      <c r="AE233" s="557" t="e">
        <f t="shared" si="9"/>
        <v>#VALUE!</v>
      </c>
      <c r="AF233" s="557" t="e">
        <f t="shared" si="9"/>
        <v>#VALUE!</v>
      </c>
    </row>
    <row r="234" spans="1:32">
      <c r="A234" s="545"/>
      <c r="B234" s="546"/>
      <c r="C234" s="547"/>
      <c r="D234" s="12"/>
      <c r="E234" s="13"/>
      <c r="F234" s="14"/>
      <c r="G234" s="556"/>
      <c r="H234" s="556"/>
      <c r="I234" s="556"/>
      <c r="J234" s="556"/>
      <c r="K234" s="556"/>
      <c r="L234" s="556"/>
      <c r="M234" s="556"/>
      <c r="N234" s="556"/>
      <c r="O234" s="556"/>
      <c r="P234" s="556"/>
      <c r="Q234" s="556"/>
      <c r="R234" s="556"/>
      <c r="S234" s="556"/>
      <c r="T234" s="556"/>
      <c r="U234" s="556"/>
      <c r="V234" s="556"/>
      <c r="W234" s="556"/>
      <c r="X234" s="556"/>
      <c r="Y234" s="556"/>
      <c r="Z234" s="556"/>
      <c r="AA234" s="556"/>
      <c r="AB234" s="556"/>
      <c r="AC234" s="556"/>
      <c r="AD234" s="556"/>
      <c r="AE234" s="556"/>
      <c r="AF234" s="556"/>
    </row>
    <row r="235" spans="1:32">
      <c r="A235" s="1870">
        <v>131</v>
      </c>
      <c r="B235" s="546" t="s">
        <v>280</v>
      </c>
      <c r="C235" s="547" t="s">
        <v>1994</v>
      </c>
      <c r="D235" s="12" t="s">
        <v>1517</v>
      </c>
      <c r="E235" s="13">
        <v>2602</v>
      </c>
      <c r="F235" s="14" t="str">
        <f>VLOOKUP($E$235,[1]DATA_A11!$A$2:$FA$300, 3, FALSE)</f>
        <v>2602 Taxes to RoW</v>
      </c>
      <c r="G235" s="556">
        <f>IF(VLOOKUP($E$235,[1]DATA_A11!$A$2:$FA$300, 6, FALSE)="",":",VLOOKUP($E$235,[1]DATA_A11!$A$2:$FA$300, 6, FALSE))</f>
        <v>938.5</v>
      </c>
      <c r="H235" s="556">
        <f>IF(VLOOKUP($E$235,[1]DATA_A11!$A$2:$FA$300, 7, FALSE)="",":",VLOOKUP($E$235,[1]DATA_A11!$A$2:$FA$300, 7, FALSE))</f>
        <v>884.8</v>
      </c>
      <c r="I235" s="556">
        <f>IF(VLOOKUP($E$235,[1]DATA_A11!$A$2:$FA$300, 8, FALSE)="",":",VLOOKUP($E$235,[1]DATA_A11!$A$2:$FA$300, 8, FALSE))</f>
        <v>996.7</v>
      </c>
      <c r="J235" s="556">
        <f>IF(VLOOKUP($E$235,[1]DATA_A11!$A$2:$FA$300, 9, FALSE)="",":",VLOOKUP($E$235,[1]DATA_A11!$A$2:$FA$300, 9, FALSE))</f>
        <v>1012</v>
      </c>
      <c r="K235" s="556">
        <f>IF(VLOOKUP($E$235,[1]DATA_A11!$A$2:$FA$300, 10, FALSE)="",":",VLOOKUP($E$235,[1]DATA_A11!$A$2:$FA$300, 10, FALSE))</f>
        <v>954.2</v>
      </c>
      <c r="L235" s="556">
        <f>IF(VLOOKUP($E$235,[1]DATA_A11!$A$2:$FA$300, 11, FALSE)="",":",VLOOKUP($E$235,[1]DATA_A11!$A$2:$FA$300, 11, FALSE))</f>
        <v>1035.0999999999999</v>
      </c>
      <c r="M235" s="556">
        <f>IF(VLOOKUP($E$235,[1]DATA_A11!$A$2:$FA$300, 12, FALSE)="",":",VLOOKUP($E$235,[1]DATA_A11!$A$2:$FA$300, 12, FALSE))</f>
        <v>1010.8</v>
      </c>
      <c r="N235" s="556">
        <f>IF(VLOOKUP($E$235,[1]DATA_A11!$A$2:$FA$300, 13, FALSE)="",":",VLOOKUP($E$235,[1]DATA_A11!$A$2:$FA$300, 13, FALSE))</f>
        <v>1029.9000000000001</v>
      </c>
      <c r="O235" s="556">
        <f>IF(VLOOKUP($E$235,[1]DATA_A11!$A$2:$FA$300, 14, FALSE)="",":",VLOOKUP($E$235,[1]DATA_A11!$A$2:$FA$300, 14, FALSE))</f>
        <v>1144.5</v>
      </c>
      <c r="P235" s="556">
        <f>IF(VLOOKUP($E$235,[1]DATA_A11!$A$2:$FA$300, 15, FALSE)="",":",VLOOKUP($E$235,[1]DATA_A11!$A$2:$FA$300, 15, FALSE))</f>
        <v>1180.3</v>
      </c>
      <c r="Q235" s="556">
        <f>IF(VLOOKUP($E$235,[1]DATA_A11!$A$2:$FA$300, 16, FALSE)="",":",VLOOKUP($E$235,[1]DATA_A11!$A$2:$FA$300, 16, FALSE))</f>
        <v>1265.4000000000001</v>
      </c>
      <c r="R235" s="556">
        <f>IF(VLOOKUP($E$235,[1]DATA_A11!$A$2:$FA$300, 17, FALSE)="",":",VLOOKUP($E$235,[1]DATA_A11!$A$2:$FA$300, 17, FALSE))</f>
        <v>1300.3</v>
      </c>
      <c r="S235" s="556">
        <f>IF(VLOOKUP($E$235,[1]DATA_A11!$A$2:$FA$300, 18, FALSE)="",":",VLOOKUP($E$235,[1]DATA_A11!$A$2:$FA$300, 18, FALSE))</f>
        <v>1450.1</v>
      </c>
      <c r="T235" s="556">
        <f>IF(VLOOKUP($E$235,[1]DATA_A11!$A$2:$FA$300, 19, FALSE)="",":",VLOOKUP($E$235,[1]DATA_A11!$A$2:$FA$300, 19, FALSE))</f>
        <v>1619.6</v>
      </c>
      <c r="U235" s="556">
        <f>IF(VLOOKUP($E$235,[1]DATA_A11!$A$2:$FA$300, 20, FALSE)="",":",VLOOKUP($E$235,[1]DATA_A11!$A$2:$FA$300, 20, FALSE))</f>
        <v>1204.4000000000001</v>
      </c>
      <c r="V235" s="556">
        <f>IF(VLOOKUP($E$235,[1]DATA_A11!$A$2:$FA$300, 21, FALSE)="",":",VLOOKUP($E$235,[1]DATA_A11!$A$2:$FA$300, 21, FALSE))</f>
        <v>1275</v>
      </c>
      <c r="W235" s="556">
        <f>IF(VLOOKUP($E$235,[1]DATA_A11!$A$2:$FA$300, 22, FALSE)="",":",VLOOKUP($E$235,[1]DATA_A11!$A$2:$FA$300, 22, FALSE))</f>
        <v>1293.3</v>
      </c>
      <c r="X235" s="556">
        <f>IF(VLOOKUP($E$235,[1]DATA_A11!$A$2:$FA$300, 23, FALSE)="",":",VLOOKUP($E$235,[1]DATA_A11!$A$2:$FA$300, 23, FALSE))</f>
        <v>1255.5999999999999</v>
      </c>
      <c r="Y235" s="556">
        <f>IF(VLOOKUP($E$235,[1]DATA_A11!$A$2:$FA$300, 24, FALSE)="",":",VLOOKUP($E$235,[1]DATA_A11!$A$2:$FA$300, 24, FALSE))</f>
        <v>1177.8</v>
      </c>
      <c r="Z235" s="556">
        <f>IF(VLOOKUP($E$235,[1]DATA_A11!$A$2:$FA$300, 25, FALSE)="",":",VLOOKUP($E$235,[1]DATA_A11!$A$2:$FA$300, 25, FALSE))</f>
        <v>1241</v>
      </c>
      <c r="AA235" s="556">
        <f>IF(VLOOKUP($E$235,[1]DATA_A11!$A$2:$FA$300, 26, FALSE)="",":",VLOOKUP($E$235,[1]DATA_A11!$A$2:$FA$300, 26, FALSE))</f>
        <v>1606.9</v>
      </c>
      <c r="AB235" s="556">
        <f>IF(VLOOKUP($E$235,[1]DATA_A11!$A$2:$FA$300, 27, FALSE)="",":",VLOOKUP($E$235,[1]DATA_A11!$A$2:$FA$300, 27, FALSE))</f>
        <v>1854.1</v>
      </c>
      <c r="AC235" s="556">
        <f>IF(VLOOKUP($E$235,[1]DATA_A11!$A$2:$FA$300, 28, FALSE)="",":",VLOOKUP($E$235,[1]DATA_A11!$A$2:$FA$300, 28, FALSE))</f>
        <v>0</v>
      </c>
      <c r="AD235" s="556" t="str">
        <f>IF(VLOOKUP($E$235,[1]DATA_A11!$A$2:$FA$300, 29, FALSE)="",":",VLOOKUP($E$235,[1]DATA_A11!$A$2:$FA$300, 29, FALSE))</f>
        <v>:</v>
      </c>
      <c r="AE235" s="556" t="str">
        <f>IF(VLOOKUP($E$235,[1]DATA_A11!$A$2:$FA$300, 30, FALSE)="",":",VLOOKUP($E$235,[1]DATA_A11!$A$2:$FA$300, 30, FALSE))</f>
        <v>:</v>
      </c>
      <c r="AF235" s="556" t="str">
        <f>IF(VLOOKUP($E$235,[1]DATA_A11!$A$2:$FA$300, 31, FALSE)="",":",VLOOKUP($E$235,[1]DATA_A11!$A$2:$FA$300, 31, FALSE))</f>
        <v>:</v>
      </c>
    </row>
    <row r="236" spans="1:32">
      <c r="A236" s="545"/>
      <c r="B236" s="546"/>
      <c r="C236" s="547"/>
      <c r="D236" s="12"/>
      <c r="E236" s="13"/>
      <c r="F236" s="14"/>
      <c r="G236" s="556"/>
      <c r="H236" s="556"/>
      <c r="I236" s="556"/>
      <c r="J236" s="556"/>
      <c r="K236" s="556"/>
      <c r="L236" s="556"/>
      <c r="M236" s="556"/>
      <c r="N236" s="556"/>
      <c r="O236" s="556"/>
      <c r="P236" s="556"/>
      <c r="Q236" s="556"/>
      <c r="R236" s="556"/>
      <c r="S236" s="556"/>
      <c r="T236" s="556"/>
      <c r="U236" s="556"/>
      <c r="V236" s="556"/>
      <c r="W236" s="556"/>
      <c r="X236" s="556"/>
      <c r="Y236" s="556"/>
      <c r="Z236" s="556"/>
      <c r="AA236" s="556"/>
      <c r="AB236" s="556"/>
      <c r="AC236" s="556"/>
      <c r="AD236" s="556"/>
      <c r="AE236" s="556"/>
      <c r="AF236" s="556"/>
    </row>
    <row r="237" spans="1:32">
      <c r="A237" s="1870">
        <v>133</v>
      </c>
      <c r="B237" s="546" t="s">
        <v>296</v>
      </c>
      <c r="C237" s="547" t="s">
        <v>1039</v>
      </c>
      <c r="D237" s="12" t="s">
        <v>1517</v>
      </c>
      <c r="E237" s="13">
        <v>2612</v>
      </c>
      <c r="F237" s="14" t="str">
        <f>VLOOKUP($E$237,[1]DATA_A11!$A$2:$FA$300, 3, FALSE)</f>
        <v>2612 Subsidies from RoW</v>
      </c>
      <c r="G237" s="556">
        <f>IF(VLOOKUP($E$237,[1]DATA_A11!$A$2:$FA$300, 6, FALSE)="",":",VLOOKUP($E$237,[1]DATA_A11!$A$2:$FA$300, 6, FALSE))</f>
        <v>1021.1</v>
      </c>
      <c r="H237" s="556">
        <f>IF(VLOOKUP($E$237,[1]DATA_A11!$A$2:$FA$300, 7, FALSE)="",":",VLOOKUP($E$237,[1]DATA_A11!$A$2:$FA$300, 7, FALSE))</f>
        <v>842.3</v>
      </c>
      <c r="I237" s="556">
        <f>IF(VLOOKUP($E$237,[1]DATA_A11!$A$2:$FA$300, 8, FALSE)="",":",VLOOKUP($E$237,[1]DATA_A11!$A$2:$FA$300, 8, FALSE))</f>
        <v>828.1</v>
      </c>
      <c r="J237" s="556">
        <f>IF(VLOOKUP($E$237,[1]DATA_A11!$A$2:$FA$300, 9, FALSE)="",":",VLOOKUP($E$237,[1]DATA_A11!$A$2:$FA$300, 9, FALSE))</f>
        <v>743.2</v>
      </c>
      <c r="K237" s="556">
        <f>IF(VLOOKUP($E$237,[1]DATA_A11!$A$2:$FA$300, 10, FALSE)="",":",VLOOKUP($E$237,[1]DATA_A11!$A$2:$FA$300, 10, FALSE))</f>
        <v>857.6</v>
      </c>
      <c r="L237" s="556">
        <f>IF(VLOOKUP($E$237,[1]DATA_A11!$A$2:$FA$300, 11, FALSE)="",":",VLOOKUP($E$237,[1]DATA_A11!$A$2:$FA$300, 11, FALSE))</f>
        <v>694.2</v>
      </c>
      <c r="M237" s="556">
        <f>IF(VLOOKUP($E$237,[1]DATA_A11!$A$2:$FA$300, 12, FALSE)="",":",VLOOKUP($E$237,[1]DATA_A11!$A$2:$FA$300, 12, FALSE))</f>
        <v>733.6</v>
      </c>
      <c r="N237" s="556">
        <f>IF(VLOOKUP($E$237,[1]DATA_A11!$A$2:$FA$300, 13, FALSE)="",":",VLOOKUP($E$237,[1]DATA_A11!$A$2:$FA$300, 13, FALSE))</f>
        <v>710.6</v>
      </c>
      <c r="O237" s="556">
        <f>IF(VLOOKUP($E$237,[1]DATA_A11!$A$2:$FA$300, 14, FALSE)="",":",VLOOKUP($E$237,[1]DATA_A11!$A$2:$FA$300, 14, FALSE))</f>
        <v>865.8</v>
      </c>
      <c r="P237" s="556">
        <f>IF(VLOOKUP($E$237,[1]DATA_A11!$A$2:$FA$300, 15, FALSE)="",":",VLOOKUP($E$237,[1]DATA_A11!$A$2:$FA$300, 15, FALSE))</f>
        <v>811.5</v>
      </c>
      <c r="Q237" s="556">
        <f>IF(VLOOKUP($E$237,[1]DATA_A11!$A$2:$FA$300, 16, FALSE)="",":",VLOOKUP($E$237,[1]DATA_A11!$A$2:$FA$300, 16, FALSE))</f>
        <v>891.2</v>
      </c>
      <c r="R237" s="556">
        <f>IF(VLOOKUP($E$237,[1]DATA_A11!$A$2:$FA$300, 17, FALSE)="",":",VLOOKUP($E$237,[1]DATA_A11!$A$2:$FA$300, 17, FALSE))</f>
        <v>792.4</v>
      </c>
      <c r="S237" s="556">
        <f>IF(VLOOKUP($E$237,[1]DATA_A11!$A$2:$FA$300, 18, FALSE)="",":",VLOOKUP($E$237,[1]DATA_A11!$A$2:$FA$300, 18, FALSE))</f>
        <v>676</v>
      </c>
      <c r="T237" s="556">
        <f>IF(VLOOKUP($E$237,[1]DATA_A11!$A$2:$FA$300, 19, FALSE)="",":",VLOOKUP($E$237,[1]DATA_A11!$A$2:$FA$300, 19, FALSE))</f>
        <v>671.8</v>
      </c>
      <c r="U237" s="556">
        <f>IF(VLOOKUP($E$237,[1]DATA_A11!$A$2:$FA$300, 20, FALSE)="",":",VLOOKUP($E$237,[1]DATA_A11!$A$2:$FA$300, 20, FALSE))</f>
        <v>631.79999999999995</v>
      </c>
      <c r="V237" s="556">
        <f>IF(VLOOKUP($E$237,[1]DATA_A11!$A$2:$FA$300, 21, FALSE)="",":",VLOOKUP($E$237,[1]DATA_A11!$A$2:$FA$300, 21, FALSE))</f>
        <v>692.1</v>
      </c>
      <c r="W237" s="556">
        <f>IF(VLOOKUP($E$237,[1]DATA_A11!$A$2:$FA$300, 22, FALSE)="",":",VLOOKUP($E$237,[1]DATA_A11!$A$2:$FA$300, 22, FALSE))</f>
        <v>621.6</v>
      </c>
      <c r="X237" s="556">
        <f>IF(VLOOKUP($E$237,[1]DATA_A11!$A$2:$FA$300, 23, FALSE)="",":",VLOOKUP($E$237,[1]DATA_A11!$A$2:$FA$300, 23, FALSE))</f>
        <v>642.6</v>
      </c>
      <c r="Y237" s="556">
        <f>IF(VLOOKUP($E$237,[1]DATA_A11!$A$2:$FA$300, 24, FALSE)="",":",VLOOKUP($E$237,[1]DATA_A11!$A$2:$FA$300, 24, FALSE))</f>
        <v>664.9</v>
      </c>
      <c r="Z237" s="556">
        <f>IF(VLOOKUP($E$237,[1]DATA_A11!$A$2:$FA$300, 25, FALSE)="",":",VLOOKUP($E$237,[1]DATA_A11!$A$2:$FA$300, 25, FALSE))</f>
        <v>683.8</v>
      </c>
      <c r="AA237" s="556">
        <f>IF(VLOOKUP($E$237,[1]DATA_A11!$A$2:$FA$300, 26, FALSE)="",":",VLOOKUP($E$237,[1]DATA_A11!$A$2:$FA$300, 26, FALSE))</f>
        <v>930.7</v>
      </c>
      <c r="AB237" s="556">
        <f>IF(VLOOKUP($E$237,[1]DATA_A11!$A$2:$FA$300, 27, FALSE)="",":",VLOOKUP($E$237,[1]DATA_A11!$A$2:$FA$300, 27, FALSE))</f>
        <v>750.1</v>
      </c>
      <c r="AC237" s="556" t="str">
        <f>IF(VLOOKUP($E$237,[1]DATA_A11!$A$2:$FA$300, 28, FALSE)="",":",VLOOKUP($E$237,[1]DATA_A11!$A$2:$FA$300, 28, FALSE))</f>
        <v>:</v>
      </c>
      <c r="AD237" s="556" t="str">
        <f>IF(VLOOKUP($E$237,[1]DATA_A11!$A$2:$FA$300, 29, FALSE)="",":",VLOOKUP($E$237,[1]DATA_A11!$A$2:$FA$300, 29, FALSE))</f>
        <v>:</v>
      </c>
      <c r="AE237" s="556" t="str">
        <f>IF(VLOOKUP($E$237,[1]DATA_A11!$A$2:$FA$300, 30, FALSE)="",":",VLOOKUP($E$237,[1]DATA_A11!$A$2:$FA$300, 30, FALSE))</f>
        <v>:</v>
      </c>
      <c r="AF237" s="556" t="str">
        <f>IF(VLOOKUP($E$237,[1]DATA_A11!$A$2:$FA$300, 31, FALSE)="",":",VLOOKUP($E$237,[1]DATA_A11!$A$2:$FA$300, 31, FALSE))</f>
        <v>:</v>
      </c>
    </row>
    <row r="238" spans="1:32">
      <c r="A238" s="545"/>
      <c r="B238" s="546"/>
      <c r="C238" s="547"/>
      <c r="D238" s="12"/>
      <c r="E238" s="13"/>
      <c r="F238" s="14"/>
      <c r="G238" s="556"/>
      <c r="H238" s="556"/>
      <c r="I238" s="556"/>
      <c r="J238" s="556"/>
      <c r="K238" s="556"/>
      <c r="L238" s="556"/>
      <c r="M238" s="556"/>
      <c r="N238" s="556"/>
      <c r="O238" s="556"/>
      <c r="P238" s="556"/>
      <c r="Q238" s="556"/>
      <c r="R238" s="556"/>
      <c r="S238" s="556"/>
      <c r="T238" s="556"/>
      <c r="U238" s="556"/>
      <c r="V238" s="556"/>
      <c r="W238" s="556"/>
      <c r="X238" s="556"/>
      <c r="Y238" s="556"/>
      <c r="Z238" s="556"/>
      <c r="AA238" s="556"/>
      <c r="AB238" s="556"/>
      <c r="AC238" s="556"/>
      <c r="AD238" s="556"/>
      <c r="AE238" s="556"/>
      <c r="AF238" s="556"/>
    </row>
    <row r="239" spans="1:32">
      <c r="A239" s="545"/>
      <c r="B239" s="546"/>
      <c r="C239" s="547"/>
      <c r="D239" s="12"/>
      <c r="E239" s="13"/>
      <c r="F239" s="14"/>
      <c r="G239" s="556"/>
      <c r="H239" s="556"/>
      <c r="I239" s="556"/>
      <c r="J239" s="556"/>
      <c r="K239" s="556"/>
      <c r="L239" s="556"/>
      <c r="M239" s="556"/>
      <c r="N239" s="556"/>
      <c r="O239" s="556"/>
      <c r="P239" s="556"/>
      <c r="Q239" s="556"/>
      <c r="R239" s="556"/>
      <c r="S239" s="556"/>
      <c r="T239" s="556"/>
      <c r="U239" s="556"/>
      <c r="V239" s="556"/>
      <c r="W239" s="556"/>
      <c r="X239" s="556"/>
      <c r="Y239" s="556"/>
      <c r="Z239" s="556"/>
      <c r="AA239" s="556"/>
      <c r="AB239" s="556"/>
      <c r="AC239" s="556"/>
      <c r="AD239" s="556"/>
      <c r="AE239" s="556"/>
      <c r="AF239" s="556"/>
    </row>
    <row r="240" spans="1:32">
      <c r="A240" s="1870"/>
      <c r="B240" s="546" t="s">
        <v>331</v>
      </c>
      <c r="C240" s="547" t="s">
        <v>1957</v>
      </c>
      <c r="D240" s="12" t="s">
        <v>1517</v>
      </c>
      <c r="E240" s="13">
        <v>2704</v>
      </c>
      <c r="F240" s="14" t="str">
        <f>VLOOKUP($E$240,[1]DATA_A11!$A$2:$FA$300, 3, FALSE)</f>
        <v xml:space="preserve">2704 Net property income                                      </v>
      </c>
      <c r="G240" s="556">
        <f>IF(VLOOKUP($E$240,[1]DATA_A11!$A$2:$FA$300, 6, FALSE)="",":",VLOOKUP($E$240,[1]DATA_A11!$A$2:$FA$300, 6, FALSE))</f>
        <v>2209.9000000000015</v>
      </c>
      <c r="H240" s="556">
        <f>IF(VLOOKUP($E$240,[1]DATA_A11!$A$2:$FA$300, 7, FALSE)="",":",VLOOKUP($E$240,[1]DATA_A11!$A$2:$FA$300, 7, FALSE))</f>
        <v>2594</v>
      </c>
      <c r="I240" s="556">
        <f>IF(VLOOKUP($E$240,[1]DATA_A11!$A$2:$FA$300, 8, FALSE)="",":",VLOOKUP($E$240,[1]DATA_A11!$A$2:$FA$300, 8, FALSE))</f>
        <v>3194.5</v>
      </c>
      <c r="J240" s="556">
        <f>IF(VLOOKUP($E$240,[1]DATA_A11!$A$2:$FA$300, 9, FALSE)="",":",VLOOKUP($E$240,[1]DATA_A11!$A$2:$FA$300, 9, FALSE))</f>
        <v>3300</v>
      </c>
      <c r="K240" s="556">
        <f>IF(VLOOKUP($E$240,[1]DATA_A11!$A$2:$FA$300, 10, FALSE)="",":",VLOOKUP($E$240,[1]DATA_A11!$A$2:$FA$300, 10, FALSE))</f>
        <v>2907.5999999999985</v>
      </c>
      <c r="L240" s="556">
        <f>IF(VLOOKUP($E$240,[1]DATA_A11!$A$2:$FA$300, 11, FALSE)="",":",VLOOKUP($E$240,[1]DATA_A11!$A$2:$FA$300, 11, FALSE))</f>
        <v>3949.3000000000029</v>
      </c>
      <c r="M240" s="556">
        <f>IF(VLOOKUP($E$240,[1]DATA_A11!$A$2:$FA$300, 12, FALSE)="",":",VLOOKUP($E$240,[1]DATA_A11!$A$2:$FA$300, 12, FALSE))</f>
        <v>1951.5</v>
      </c>
      <c r="N240" s="556">
        <f>IF(VLOOKUP($E$240,[1]DATA_A11!$A$2:$FA$300, 13, FALSE)="",":",VLOOKUP($E$240,[1]DATA_A11!$A$2:$FA$300, 13, FALSE))</f>
        <v>1440.1000000000022</v>
      </c>
      <c r="O240" s="556">
        <f>IF(VLOOKUP($E$240,[1]DATA_A11!$A$2:$FA$300, 14, FALSE)="",":",VLOOKUP($E$240,[1]DATA_A11!$A$2:$FA$300, 14, FALSE))</f>
        <v>1739.7000000000007</v>
      </c>
      <c r="P240" s="556">
        <f>IF(VLOOKUP($E$240,[1]DATA_A11!$A$2:$FA$300, 15, FALSE)="",":",VLOOKUP($E$240,[1]DATA_A11!$A$2:$FA$300, 15, FALSE))</f>
        <v>242.40000000000146</v>
      </c>
      <c r="Q240" s="556">
        <f>IF(VLOOKUP($E$240,[1]DATA_A11!$A$2:$FA$300, 16, FALSE)="",":",VLOOKUP($E$240,[1]DATA_A11!$A$2:$FA$300, 16, FALSE))</f>
        <v>-213.5</v>
      </c>
      <c r="R240" s="556">
        <f>IF(VLOOKUP($E$240,[1]DATA_A11!$A$2:$FA$300, 17, FALSE)="",":",VLOOKUP($E$240,[1]DATA_A11!$A$2:$FA$300, 17, FALSE))</f>
        <v>448.10000000000582</v>
      </c>
      <c r="S240" s="556">
        <f>IF(VLOOKUP($E$240,[1]DATA_A11!$A$2:$FA$300, 18, FALSE)="",":",VLOOKUP($E$240,[1]DATA_A11!$A$2:$FA$300, 18, FALSE))</f>
        <v>630.10000000000582</v>
      </c>
      <c r="T240" s="556">
        <f>IF(VLOOKUP($E$240,[1]DATA_A11!$A$2:$FA$300, 19, FALSE)="",":",VLOOKUP($E$240,[1]DATA_A11!$A$2:$FA$300, 19, FALSE))</f>
        <v>4509.5000000000073</v>
      </c>
      <c r="U240" s="556">
        <f>IF(VLOOKUP($E$240,[1]DATA_A11!$A$2:$FA$300, 20, FALSE)="",":",VLOOKUP($E$240,[1]DATA_A11!$A$2:$FA$300, 20, FALSE))</f>
        <v>-3899.3999999999942</v>
      </c>
      <c r="V240" s="556">
        <f>IF(VLOOKUP($E$240,[1]DATA_A11!$A$2:$FA$300, 21, FALSE)="",":",VLOOKUP($E$240,[1]DATA_A11!$A$2:$FA$300, 21, FALSE))</f>
        <v>6920.5</v>
      </c>
      <c r="W240" s="556">
        <f>IF(VLOOKUP($E$240,[1]DATA_A11!$A$2:$FA$300, 22, FALSE)="",":",VLOOKUP($E$240,[1]DATA_A11!$A$2:$FA$300, 22, FALSE))</f>
        <v>-735.5</v>
      </c>
      <c r="X240" s="556">
        <f>IF(VLOOKUP($E$240,[1]DATA_A11!$A$2:$FA$300, 23, FALSE)="",":",VLOOKUP($E$240,[1]DATA_A11!$A$2:$FA$300, 23, FALSE))</f>
        <v>4739.4000000000015</v>
      </c>
      <c r="Y240" s="556">
        <f>IF(VLOOKUP($E$240,[1]DATA_A11!$A$2:$FA$300, 24, FALSE)="",":",VLOOKUP($E$240,[1]DATA_A11!$A$2:$FA$300, 24, FALSE))</f>
        <v>1541.1999999999971</v>
      </c>
      <c r="Z240" s="556">
        <f>IF(VLOOKUP($E$240,[1]DATA_A11!$A$2:$FA$300, 25, FALSE)="",":",VLOOKUP($E$240,[1]DATA_A11!$A$2:$FA$300, 25, FALSE))</f>
        <v>-2303.2999999999956</v>
      </c>
      <c r="AA240" s="556">
        <f>IF(VLOOKUP($E$240,[1]DATA_A11!$A$2:$FA$300, 26, FALSE)="",":",VLOOKUP($E$240,[1]DATA_A11!$A$2:$FA$300, 26, FALSE))</f>
        <v>-6200.6999999999971</v>
      </c>
      <c r="AB240" s="556">
        <f>IF(VLOOKUP($E$240,[1]DATA_A11!$A$2:$FA$300, 27, FALSE)="",":",VLOOKUP($E$240,[1]DATA_A11!$A$2:$FA$300, 27, FALSE))</f>
        <v>-2284.1999999999971</v>
      </c>
      <c r="AC240" s="556" t="str">
        <f>IF(VLOOKUP($E$240,[1]DATA_A11!$A$2:$FA$300, 28, FALSE)="",":",VLOOKUP($E$240,[1]DATA_A11!$A$2:$FA$300, 28, FALSE))</f>
        <v>:</v>
      </c>
      <c r="AD240" s="556" t="str">
        <f>IF(VLOOKUP($E$240,[1]DATA_A11!$A$2:$FA$300, 29, FALSE)="",":",VLOOKUP($E$240,[1]DATA_A11!$A$2:$FA$300, 29, FALSE))</f>
        <v>:</v>
      </c>
      <c r="AE240" s="556" t="str">
        <f>IF(VLOOKUP($E$240,[1]DATA_A11!$A$2:$FA$300, 30, FALSE)="",":",VLOOKUP($E$240,[1]DATA_A11!$A$2:$FA$300, 30, FALSE))</f>
        <v>:</v>
      </c>
      <c r="AF240" s="556" t="str">
        <f>IF(VLOOKUP($E$240,[1]DATA_A11!$A$2:$FA$300, 31, FALSE)="",":",VLOOKUP($E$240,[1]DATA_A11!$A$2:$FA$300, 31, FALSE))</f>
        <v>:</v>
      </c>
    </row>
    <row r="241" spans="1:32">
      <c r="A241" s="545"/>
      <c r="B241" s="546"/>
      <c r="C241" s="547"/>
      <c r="D241" s="12"/>
      <c r="E241" s="13"/>
      <c r="F241" s="14"/>
      <c r="G241" s="556"/>
      <c r="H241" s="556"/>
      <c r="I241" s="556"/>
      <c r="J241" s="556"/>
      <c r="K241" s="556"/>
      <c r="L241" s="556"/>
      <c r="M241" s="556"/>
      <c r="N241" s="556"/>
      <c r="O241" s="556"/>
      <c r="P241" s="556"/>
      <c r="Q241" s="556"/>
      <c r="R241" s="556"/>
      <c r="S241" s="556"/>
      <c r="T241" s="556"/>
      <c r="U241" s="556"/>
      <c r="V241" s="556"/>
      <c r="W241" s="556"/>
      <c r="X241" s="556"/>
      <c r="Y241" s="556"/>
      <c r="Z241" s="556"/>
      <c r="AA241" s="556"/>
      <c r="AB241" s="556"/>
      <c r="AC241" s="556"/>
      <c r="AD241" s="556"/>
      <c r="AE241" s="556"/>
      <c r="AF241" s="556"/>
    </row>
    <row r="242" spans="1:32">
      <c r="A242" s="1870"/>
      <c r="B242" s="546" t="s">
        <v>1429</v>
      </c>
      <c r="C242" s="547" t="s">
        <v>1958</v>
      </c>
      <c r="D242" s="12" t="s">
        <v>1517</v>
      </c>
      <c r="E242" s="13">
        <v>2906</v>
      </c>
      <c r="F242" s="14" t="str">
        <f>VLOOKUP($E$242,[1]DATA_A11!$A$2:$FA$300, 3, FALSE)</f>
        <v>2906 Current taxes on income and wealth (paid by RoW)</v>
      </c>
      <c r="G242" s="556">
        <f>IF(VLOOKUP($E$242,[1]DATA_A11!$A$2:$FA$300, 6, FALSE)="",":",VLOOKUP($E$242,[1]DATA_A11!$A$2:$FA$300, 6, FALSE))</f>
        <v>359</v>
      </c>
      <c r="H242" s="556">
        <f>IF(VLOOKUP($E$242,[1]DATA_A11!$A$2:$FA$300, 7, FALSE)="",":",VLOOKUP($E$242,[1]DATA_A11!$A$2:$FA$300, 7, FALSE))</f>
        <v>349.4</v>
      </c>
      <c r="I242" s="556">
        <f>IF(VLOOKUP($E$242,[1]DATA_A11!$A$2:$FA$300, 8, FALSE)="",":",VLOOKUP($E$242,[1]DATA_A11!$A$2:$FA$300, 8, FALSE))</f>
        <v>369.4</v>
      </c>
      <c r="J242" s="556">
        <f>IF(VLOOKUP($E$242,[1]DATA_A11!$A$2:$FA$300, 9, FALSE)="",":",VLOOKUP($E$242,[1]DATA_A11!$A$2:$FA$300, 9, FALSE))</f>
        <v>387.1</v>
      </c>
      <c r="K242" s="556">
        <f>IF(VLOOKUP($E$242,[1]DATA_A11!$A$2:$FA$300, 10, FALSE)="",":",VLOOKUP($E$242,[1]DATA_A11!$A$2:$FA$300, 10, FALSE))</f>
        <v>471.8</v>
      </c>
      <c r="L242" s="556">
        <f>IF(VLOOKUP($E$242,[1]DATA_A11!$A$2:$FA$300, 11, FALSE)="",":",VLOOKUP($E$242,[1]DATA_A11!$A$2:$FA$300, 11, FALSE))</f>
        <v>585.20000000000005</v>
      </c>
      <c r="M242" s="556">
        <f>IF(VLOOKUP($E$242,[1]DATA_A11!$A$2:$FA$300, 12, FALSE)="",":",VLOOKUP($E$242,[1]DATA_A11!$A$2:$FA$300, 12, FALSE))</f>
        <v>583.5</v>
      </c>
      <c r="N242" s="556">
        <f>IF(VLOOKUP($E$242,[1]DATA_A11!$A$2:$FA$300, 13, FALSE)="",":",VLOOKUP($E$242,[1]DATA_A11!$A$2:$FA$300, 13, FALSE))</f>
        <v>681.1</v>
      </c>
      <c r="O242" s="556">
        <f>IF(VLOOKUP($E$242,[1]DATA_A11!$A$2:$FA$300, 14, FALSE)="",":",VLOOKUP($E$242,[1]DATA_A11!$A$2:$FA$300, 14, FALSE))</f>
        <v>675</v>
      </c>
      <c r="P242" s="556">
        <f>IF(VLOOKUP($E$242,[1]DATA_A11!$A$2:$FA$300, 15, FALSE)="",":",VLOOKUP($E$242,[1]DATA_A11!$A$2:$FA$300, 15, FALSE))</f>
        <v>702.6</v>
      </c>
      <c r="Q242" s="556">
        <f>IF(VLOOKUP($E$242,[1]DATA_A11!$A$2:$FA$300, 16, FALSE)="",":",VLOOKUP($E$242,[1]DATA_A11!$A$2:$FA$300, 16, FALSE))</f>
        <v>692.3</v>
      </c>
      <c r="R242" s="556">
        <f>IF(VLOOKUP($E$242,[1]DATA_A11!$A$2:$FA$300, 17, FALSE)="",":",VLOOKUP($E$242,[1]DATA_A11!$A$2:$FA$300, 17, FALSE))</f>
        <v>666.1</v>
      </c>
      <c r="S242" s="556">
        <f>IF(VLOOKUP($E$242,[1]DATA_A11!$A$2:$FA$300, 18, FALSE)="",":",VLOOKUP($E$242,[1]DATA_A11!$A$2:$FA$300, 18, FALSE))</f>
        <v>795.6</v>
      </c>
      <c r="T242" s="556">
        <f>IF(VLOOKUP($E$242,[1]DATA_A11!$A$2:$FA$300, 19, FALSE)="",":",VLOOKUP($E$242,[1]DATA_A11!$A$2:$FA$300, 19, FALSE))</f>
        <v>746.7</v>
      </c>
      <c r="U242" s="556">
        <f>IF(VLOOKUP($E$242,[1]DATA_A11!$A$2:$FA$300, 20, FALSE)="",":",VLOOKUP($E$242,[1]DATA_A11!$A$2:$FA$300, 20, FALSE))</f>
        <v>791.4</v>
      </c>
      <c r="V242" s="556">
        <f>IF(VLOOKUP($E$242,[1]DATA_A11!$A$2:$FA$300, 21, FALSE)="",":",VLOOKUP($E$242,[1]DATA_A11!$A$2:$FA$300, 21, FALSE))</f>
        <v>813.5</v>
      </c>
      <c r="W242" s="556">
        <f>IF(VLOOKUP($E$242,[1]DATA_A11!$A$2:$FA$300, 22, FALSE)="",":",VLOOKUP($E$242,[1]DATA_A11!$A$2:$FA$300, 22, FALSE))</f>
        <v>782.8</v>
      </c>
      <c r="X242" s="556">
        <f>IF(VLOOKUP($E$242,[1]DATA_A11!$A$2:$FA$300, 23, FALSE)="",":",VLOOKUP($E$242,[1]DATA_A11!$A$2:$FA$300, 23, FALSE))</f>
        <v>829.8</v>
      </c>
      <c r="Y242" s="556">
        <f>IF(VLOOKUP($E$242,[1]DATA_A11!$A$2:$FA$300, 24, FALSE)="",":",VLOOKUP($E$242,[1]DATA_A11!$A$2:$FA$300, 24, FALSE))</f>
        <v>856.4</v>
      </c>
      <c r="Z242" s="556">
        <f>IF(VLOOKUP($E$242,[1]DATA_A11!$A$2:$FA$300, 25, FALSE)="",":",VLOOKUP($E$242,[1]DATA_A11!$A$2:$FA$300, 25, FALSE))</f>
        <v>952.3</v>
      </c>
      <c r="AA242" s="556">
        <f>IF(VLOOKUP($E$242,[1]DATA_A11!$A$2:$FA$300, 26, FALSE)="",":",VLOOKUP($E$242,[1]DATA_A11!$A$2:$FA$300, 26, FALSE))</f>
        <v>905.5</v>
      </c>
      <c r="AB242" s="556">
        <f>IF(VLOOKUP($E$242,[1]DATA_A11!$A$2:$FA$300, 27, FALSE)="",":",VLOOKUP($E$242,[1]DATA_A11!$A$2:$FA$300, 27, FALSE))</f>
        <v>938.7</v>
      </c>
      <c r="AC242" s="556" t="str">
        <f>IF(VLOOKUP($E$242,[1]DATA_A11!$A$2:$FA$300, 28, FALSE)="",":",VLOOKUP($E$242,[1]DATA_A11!$A$2:$FA$300, 28, FALSE))</f>
        <v>:</v>
      </c>
      <c r="AD242" s="556" t="str">
        <f>IF(VLOOKUP($E$242,[1]DATA_A11!$A$2:$FA$300, 29, FALSE)="",":",VLOOKUP($E$242,[1]DATA_A11!$A$2:$FA$300, 29, FALSE))</f>
        <v>:</v>
      </c>
      <c r="AE242" s="556" t="str">
        <f>IF(VLOOKUP($E$242,[1]DATA_A11!$A$2:$FA$300, 30, FALSE)="",":",VLOOKUP($E$242,[1]DATA_A11!$A$2:$FA$300, 30, FALSE))</f>
        <v>:</v>
      </c>
      <c r="AF242" s="556" t="str">
        <f>IF(VLOOKUP($E$242,[1]DATA_A11!$A$2:$FA$300, 31, FALSE)="",":",VLOOKUP($E$242,[1]DATA_A11!$A$2:$FA$300, 31, FALSE))</f>
        <v>:</v>
      </c>
    </row>
    <row r="243" spans="1:32">
      <c r="A243" s="1870"/>
      <c r="B243" s="546" t="s">
        <v>1429</v>
      </c>
      <c r="C243" s="547" t="s">
        <v>1720</v>
      </c>
      <c r="D243" s="12" t="s">
        <v>1517</v>
      </c>
      <c r="E243" s="13">
        <v>2901</v>
      </c>
      <c r="F243" s="14" t="str">
        <f>VLOOKUP($E$243,[1]DATA_A11!$A$2:$FA$300, 3, FALSE)</f>
        <v>2901 Current taxes on income and wealth (received by RoW), wealth, etc.</v>
      </c>
      <c r="G243" s="556">
        <f>IF(VLOOKUP($E$243,[1]DATA_A11!$A$2:$FA$300, 6, FALSE)="",":",VLOOKUP($E$243,[1]DATA_A11!$A$2:$FA$300, 6, FALSE))</f>
        <v>142.69999999999999</v>
      </c>
      <c r="H243" s="556">
        <f>IF(VLOOKUP($E$243,[1]DATA_A11!$A$2:$FA$300, 7, FALSE)="",":",VLOOKUP($E$243,[1]DATA_A11!$A$2:$FA$300, 7, FALSE))</f>
        <v>148.19999999999999</v>
      </c>
      <c r="I243" s="556">
        <f>IF(VLOOKUP($E$243,[1]DATA_A11!$A$2:$FA$300, 8, FALSE)="",":",VLOOKUP($E$243,[1]DATA_A11!$A$2:$FA$300, 8, FALSE))</f>
        <v>150.19999999999999</v>
      </c>
      <c r="J243" s="556">
        <f>IF(VLOOKUP($E$243,[1]DATA_A11!$A$2:$FA$300, 9, FALSE)="",":",VLOOKUP($E$243,[1]DATA_A11!$A$2:$FA$300, 9, FALSE))</f>
        <v>157.80000000000001</v>
      </c>
      <c r="K243" s="556">
        <f>IF(VLOOKUP($E$243,[1]DATA_A11!$A$2:$FA$300, 10, FALSE)="",":",VLOOKUP($E$243,[1]DATA_A11!$A$2:$FA$300, 10, FALSE))</f>
        <v>158.30000000000001</v>
      </c>
      <c r="L243" s="556">
        <f>IF(VLOOKUP($E$243,[1]DATA_A11!$A$2:$FA$300, 11, FALSE)="",":",VLOOKUP($E$243,[1]DATA_A11!$A$2:$FA$300, 11, FALSE))</f>
        <v>174.4</v>
      </c>
      <c r="M243" s="556">
        <f>IF(VLOOKUP($E$243,[1]DATA_A11!$A$2:$FA$300, 12, FALSE)="",":",VLOOKUP($E$243,[1]DATA_A11!$A$2:$FA$300, 12, FALSE))</f>
        <v>198.4</v>
      </c>
      <c r="N243" s="556">
        <f>IF(VLOOKUP($E$243,[1]DATA_A11!$A$2:$FA$300, 13, FALSE)="",":",VLOOKUP($E$243,[1]DATA_A11!$A$2:$FA$300, 13, FALSE))</f>
        <v>224.9</v>
      </c>
      <c r="O243" s="556">
        <f>IF(VLOOKUP($E$243,[1]DATA_A11!$A$2:$FA$300, 14, FALSE)="",":",VLOOKUP($E$243,[1]DATA_A11!$A$2:$FA$300, 14, FALSE))</f>
        <v>220.1</v>
      </c>
      <c r="P243" s="556">
        <f>IF(VLOOKUP($E$243,[1]DATA_A11!$A$2:$FA$300, 15, FALSE)="",":",VLOOKUP($E$243,[1]DATA_A11!$A$2:$FA$300, 15, FALSE))</f>
        <v>234.4</v>
      </c>
      <c r="Q243" s="556">
        <f>IF(VLOOKUP($E$243,[1]DATA_A11!$A$2:$FA$300, 16, FALSE)="",":",VLOOKUP($E$243,[1]DATA_A11!$A$2:$FA$300, 16, FALSE))</f>
        <v>243.5</v>
      </c>
      <c r="R243" s="556">
        <f>IF(VLOOKUP($E$243,[1]DATA_A11!$A$2:$FA$300, 17, FALSE)="",":",VLOOKUP($E$243,[1]DATA_A11!$A$2:$FA$300, 17, FALSE))</f>
        <v>254.2</v>
      </c>
      <c r="S243" s="556">
        <f>IF(VLOOKUP($E$243,[1]DATA_A11!$A$2:$FA$300, 18, FALSE)="",":",VLOOKUP($E$243,[1]DATA_A11!$A$2:$FA$300, 18, FALSE))</f>
        <v>270.3</v>
      </c>
      <c r="T243" s="556">
        <f>IF(VLOOKUP($E$243,[1]DATA_A11!$A$2:$FA$300, 19, FALSE)="",":",VLOOKUP($E$243,[1]DATA_A11!$A$2:$FA$300, 19, FALSE))</f>
        <v>284.5</v>
      </c>
      <c r="U243" s="556">
        <f>IF(VLOOKUP($E$243,[1]DATA_A11!$A$2:$FA$300, 20, FALSE)="",":",VLOOKUP($E$243,[1]DATA_A11!$A$2:$FA$300, 20, FALSE))</f>
        <v>310.8</v>
      </c>
      <c r="V243" s="556">
        <f>IF(VLOOKUP($E$243,[1]DATA_A11!$A$2:$FA$300, 21, FALSE)="",":",VLOOKUP($E$243,[1]DATA_A11!$A$2:$FA$300, 21, FALSE))</f>
        <v>345.2</v>
      </c>
      <c r="W243" s="556">
        <f>IF(VLOOKUP($E$243,[1]DATA_A11!$A$2:$FA$300, 22, FALSE)="",":",VLOOKUP($E$243,[1]DATA_A11!$A$2:$FA$300, 22, FALSE))</f>
        <v>330.3</v>
      </c>
      <c r="X243" s="556">
        <f>IF(VLOOKUP($E$243,[1]DATA_A11!$A$2:$FA$300, 23, FALSE)="",":",VLOOKUP($E$243,[1]DATA_A11!$A$2:$FA$300, 23, FALSE))</f>
        <v>335.1</v>
      </c>
      <c r="Y243" s="556">
        <f>IF(VLOOKUP($E$243,[1]DATA_A11!$A$2:$FA$300, 24, FALSE)="",":",VLOOKUP($E$243,[1]DATA_A11!$A$2:$FA$300, 24, FALSE))</f>
        <v>335.5</v>
      </c>
      <c r="Z243" s="556">
        <f>IF(VLOOKUP($E$243,[1]DATA_A11!$A$2:$FA$300, 25, FALSE)="",":",VLOOKUP($E$243,[1]DATA_A11!$A$2:$FA$300, 25, FALSE))</f>
        <v>354.2</v>
      </c>
      <c r="AA243" s="556">
        <f>IF(VLOOKUP($E$243,[1]DATA_A11!$A$2:$FA$300, 26, FALSE)="",":",VLOOKUP($E$243,[1]DATA_A11!$A$2:$FA$300, 26, FALSE))</f>
        <v>369.5</v>
      </c>
      <c r="AB243" s="556">
        <f>IF(VLOOKUP($E$243,[1]DATA_A11!$A$2:$FA$300, 27, FALSE)="",":",VLOOKUP($E$243,[1]DATA_A11!$A$2:$FA$300, 27, FALSE))</f>
        <v>391.3</v>
      </c>
      <c r="AC243" s="556" t="str">
        <f>IF(VLOOKUP($E$243,[1]DATA_A11!$A$2:$FA$300, 28, FALSE)="",":",VLOOKUP($E$243,[1]DATA_A11!$A$2:$FA$300, 28, FALSE))</f>
        <v>:</v>
      </c>
      <c r="AD243" s="556" t="str">
        <f>IF(VLOOKUP($E$243,[1]DATA_A11!$A$2:$FA$300, 29, FALSE)="",":",VLOOKUP($E$243,[1]DATA_A11!$A$2:$FA$300, 29, FALSE))</f>
        <v>:</v>
      </c>
      <c r="AE243" s="556" t="str">
        <f>IF(VLOOKUP($E$243,[1]DATA_A11!$A$2:$FA$300, 30, FALSE)="",":",VLOOKUP($E$243,[1]DATA_A11!$A$2:$FA$300, 30, FALSE))</f>
        <v>:</v>
      </c>
      <c r="AF243" s="556" t="str">
        <f>IF(VLOOKUP($E$243,[1]DATA_A11!$A$2:$FA$300, 31, FALSE)="",":",VLOOKUP($E$243,[1]DATA_A11!$A$2:$FA$300, 31, FALSE))</f>
        <v>:</v>
      </c>
    </row>
    <row r="244" spans="1:32" s="552" customFormat="1">
      <c r="A244" s="1870"/>
      <c r="B244" s="549" t="s">
        <v>2032</v>
      </c>
      <c r="C244" s="550" t="s">
        <v>2033</v>
      </c>
      <c r="D244" s="540"/>
      <c r="E244" s="541"/>
      <c r="F244" s="551"/>
      <c r="G244" s="557">
        <f>+G242-G243</f>
        <v>216.3</v>
      </c>
      <c r="H244" s="557">
        <f t="shared" ref="H244:R244" si="10">+H242-H243</f>
        <v>201.2</v>
      </c>
      <c r="I244" s="557">
        <f t="shared" si="10"/>
        <v>219.2</v>
      </c>
      <c r="J244" s="557">
        <f t="shared" si="10"/>
        <v>229.3</v>
      </c>
      <c r="K244" s="557">
        <f t="shared" si="10"/>
        <v>313.5</v>
      </c>
      <c r="L244" s="557">
        <f t="shared" si="10"/>
        <v>410.80000000000007</v>
      </c>
      <c r="M244" s="557">
        <f t="shared" si="10"/>
        <v>385.1</v>
      </c>
      <c r="N244" s="557">
        <f t="shared" si="10"/>
        <v>456.20000000000005</v>
      </c>
      <c r="O244" s="557">
        <f t="shared" si="10"/>
        <v>454.9</v>
      </c>
      <c r="P244" s="557">
        <f t="shared" si="10"/>
        <v>468.20000000000005</v>
      </c>
      <c r="Q244" s="557">
        <f t="shared" si="10"/>
        <v>448.79999999999995</v>
      </c>
      <c r="R244" s="557">
        <f t="shared" si="10"/>
        <v>411.90000000000003</v>
      </c>
      <c r="S244" s="557">
        <f t="shared" ref="S244:AF244" si="11">+S242-S243</f>
        <v>525.29999999999995</v>
      </c>
      <c r="T244" s="557">
        <f t="shared" si="11"/>
        <v>462.20000000000005</v>
      </c>
      <c r="U244" s="557">
        <f t="shared" si="11"/>
        <v>480.59999999999997</v>
      </c>
      <c r="V244" s="557">
        <f t="shared" si="11"/>
        <v>468.3</v>
      </c>
      <c r="W244" s="557">
        <f t="shared" si="11"/>
        <v>452.49999999999994</v>
      </c>
      <c r="X244" s="557">
        <f t="shared" si="11"/>
        <v>494.69999999999993</v>
      </c>
      <c r="Y244" s="557">
        <f t="shared" si="11"/>
        <v>520.9</v>
      </c>
      <c r="Z244" s="557">
        <f t="shared" si="11"/>
        <v>598.09999999999991</v>
      </c>
      <c r="AA244" s="557">
        <f t="shared" si="11"/>
        <v>536</v>
      </c>
      <c r="AB244" s="557">
        <f t="shared" si="11"/>
        <v>547.40000000000009</v>
      </c>
      <c r="AC244" s="557" t="e">
        <f t="shared" si="11"/>
        <v>#VALUE!</v>
      </c>
      <c r="AD244" s="557" t="e">
        <f t="shared" si="11"/>
        <v>#VALUE!</v>
      </c>
      <c r="AE244" s="557" t="e">
        <f t="shared" si="11"/>
        <v>#VALUE!</v>
      </c>
      <c r="AF244" s="557" t="e">
        <f t="shared" si="11"/>
        <v>#VALUE!</v>
      </c>
    </row>
    <row r="245" spans="1:32">
      <c r="A245" s="545"/>
      <c r="B245" s="546"/>
      <c r="C245" s="547"/>
      <c r="D245" s="12"/>
      <c r="E245" s="13"/>
      <c r="F245" s="14"/>
      <c r="G245" s="556"/>
      <c r="H245" s="556"/>
      <c r="I245" s="556"/>
      <c r="J245" s="556"/>
      <c r="K245" s="556"/>
      <c r="L245" s="556"/>
      <c r="M245" s="556"/>
      <c r="N245" s="556"/>
      <c r="O245" s="556"/>
      <c r="P245" s="556"/>
      <c r="Q245" s="556"/>
      <c r="R245" s="556"/>
      <c r="S245" s="556"/>
      <c r="T245" s="556"/>
      <c r="U245" s="556"/>
      <c r="V245" s="556"/>
      <c r="W245" s="556"/>
      <c r="X245" s="556"/>
      <c r="Y245" s="556"/>
      <c r="Z245" s="556"/>
      <c r="AA245" s="556"/>
      <c r="AB245" s="556"/>
      <c r="AC245" s="556"/>
      <c r="AD245" s="556"/>
      <c r="AE245" s="556"/>
      <c r="AF245" s="556"/>
    </row>
    <row r="246" spans="1:32">
      <c r="A246" s="1870"/>
      <c r="B246" s="546"/>
      <c r="C246" s="547" t="s">
        <v>1959</v>
      </c>
      <c r="D246" s="12" t="s">
        <v>1517</v>
      </c>
      <c r="E246" s="13">
        <v>2902</v>
      </c>
      <c r="F246" s="14" t="str">
        <f>VLOOKUP($E$246,[1]DATA_A11!$A$2:$FA$300, 3, FALSE)</f>
        <v>2902 Social contributions (received by RoW)</v>
      </c>
      <c r="G246" s="556">
        <f>IF(VLOOKUP($E$246,[1]DATA_A11!$A$2:$FA$300, 6, FALSE)="",":",VLOOKUP($E$246,[1]DATA_A11!$A$2:$FA$300, 6, FALSE))</f>
        <v>707.7</v>
      </c>
      <c r="H246" s="556">
        <f>IF(VLOOKUP($E$246,[1]DATA_A11!$A$2:$FA$300, 7, FALSE)="",":",VLOOKUP($E$246,[1]DATA_A11!$A$2:$FA$300, 7, FALSE))</f>
        <v>757.1</v>
      </c>
      <c r="I246" s="556">
        <f>IF(VLOOKUP($E$246,[1]DATA_A11!$A$2:$FA$300, 8, FALSE)="",":",VLOOKUP($E$246,[1]DATA_A11!$A$2:$FA$300, 8, FALSE))</f>
        <v>789.1</v>
      </c>
      <c r="J246" s="556">
        <f>IF(VLOOKUP($E$246,[1]DATA_A11!$A$2:$FA$300, 9, FALSE)="",":",VLOOKUP($E$246,[1]DATA_A11!$A$2:$FA$300, 9, FALSE))</f>
        <v>855.1</v>
      </c>
      <c r="K246" s="556">
        <f>IF(VLOOKUP($E$246,[1]DATA_A11!$A$2:$FA$300, 10, FALSE)="",":",VLOOKUP($E$246,[1]DATA_A11!$A$2:$FA$300, 10, FALSE))</f>
        <v>952.1</v>
      </c>
      <c r="L246" s="556">
        <f>IF(VLOOKUP($E$246,[1]DATA_A11!$A$2:$FA$300, 11, FALSE)="",":",VLOOKUP($E$246,[1]DATA_A11!$A$2:$FA$300, 11, FALSE))</f>
        <v>1015.8</v>
      </c>
      <c r="M246" s="556">
        <f>IF(VLOOKUP($E$246,[1]DATA_A11!$A$2:$FA$300, 12, FALSE)="",":",VLOOKUP($E$246,[1]DATA_A11!$A$2:$FA$300, 12, FALSE))</f>
        <v>1111.0999999999999</v>
      </c>
      <c r="N246" s="556">
        <f>IF(VLOOKUP($E$246,[1]DATA_A11!$A$2:$FA$300, 13, FALSE)="",":",VLOOKUP($E$246,[1]DATA_A11!$A$2:$FA$300, 13, FALSE))</f>
        <v>1209.3</v>
      </c>
      <c r="O246" s="556">
        <f>IF(VLOOKUP($E$246,[1]DATA_A11!$A$2:$FA$300, 14, FALSE)="",":",VLOOKUP($E$246,[1]DATA_A11!$A$2:$FA$300, 14, FALSE))</f>
        <v>1338.1</v>
      </c>
      <c r="P246" s="556">
        <f>IF(VLOOKUP($E$246,[1]DATA_A11!$A$2:$FA$300, 15, FALSE)="",":",VLOOKUP($E$246,[1]DATA_A11!$A$2:$FA$300, 15, FALSE))</f>
        <v>1439.6</v>
      </c>
      <c r="Q246" s="556">
        <f>IF(VLOOKUP($E$246,[1]DATA_A11!$A$2:$FA$300, 16, FALSE)="",":",VLOOKUP($E$246,[1]DATA_A11!$A$2:$FA$300, 16, FALSE))</f>
        <v>1494.1</v>
      </c>
      <c r="R246" s="556">
        <f>IF(VLOOKUP($E$246,[1]DATA_A11!$A$2:$FA$300, 17, FALSE)="",":",VLOOKUP($E$246,[1]DATA_A11!$A$2:$FA$300, 17, FALSE))</f>
        <v>1595.7</v>
      </c>
      <c r="S246" s="556">
        <f>IF(VLOOKUP($E$246,[1]DATA_A11!$A$2:$FA$300, 18, FALSE)="",":",VLOOKUP($E$246,[1]DATA_A11!$A$2:$FA$300, 18, FALSE))</f>
        <v>1765</v>
      </c>
      <c r="T246" s="556">
        <f>IF(VLOOKUP($E$246,[1]DATA_A11!$A$2:$FA$300, 19, FALSE)="",":",VLOOKUP($E$246,[1]DATA_A11!$A$2:$FA$300, 19, FALSE))</f>
        <v>1936.7</v>
      </c>
      <c r="U246" s="556">
        <f>IF(VLOOKUP($E$246,[1]DATA_A11!$A$2:$FA$300, 20, FALSE)="",":",VLOOKUP($E$246,[1]DATA_A11!$A$2:$FA$300, 20, FALSE))</f>
        <v>2046.2</v>
      </c>
      <c r="V246" s="556">
        <f>IF(VLOOKUP($E$246,[1]DATA_A11!$A$2:$FA$300, 21, FALSE)="",":",VLOOKUP($E$246,[1]DATA_A11!$A$2:$FA$300, 21, FALSE))</f>
        <v>2155.4</v>
      </c>
      <c r="W246" s="556">
        <f>IF(VLOOKUP($E$246,[1]DATA_A11!$A$2:$FA$300, 22, FALSE)="",":",VLOOKUP($E$246,[1]DATA_A11!$A$2:$FA$300, 22, FALSE))</f>
        <v>2240.5</v>
      </c>
      <c r="X246" s="556">
        <f>IF(VLOOKUP($E$246,[1]DATA_A11!$A$2:$FA$300, 23, FALSE)="",":",VLOOKUP($E$246,[1]DATA_A11!$A$2:$FA$300, 23, FALSE))</f>
        <v>2347.1999999999998</v>
      </c>
      <c r="Y246" s="556">
        <f>IF(VLOOKUP($E$246,[1]DATA_A11!$A$2:$FA$300, 24, FALSE)="",":",VLOOKUP($E$246,[1]DATA_A11!$A$2:$FA$300, 24, FALSE))</f>
        <v>2389.8000000000002</v>
      </c>
      <c r="Z246" s="556">
        <f>IF(VLOOKUP($E$246,[1]DATA_A11!$A$2:$FA$300, 25, FALSE)="",":",VLOOKUP($E$246,[1]DATA_A11!$A$2:$FA$300, 25, FALSE))</f>
        <v>2459.1999999999998</v>
      </c>
      <c r="AA246" s="556">
        <f>IF(VLOOKUP($E$246,[1]DATA_A11!$A$2:$FA$300, 26, FALSE)="",":",VLOOKUP($E$246,[1]DATA_A11!$A$2:$FA$300, 26, FALSE))</f>
        <v>2480.9</v>
      </c>
      <c r="AB246" s="556">
        <f>IF(VLOOKUP($E$246,[1]DATA_A11!$A$2:$FA$300, 27, FALSE)="",":",VLOOKUP($E$246,[1]DATA_A11!$A$2:$FA$300, 27, FALSE))</f>
        <v>2579</v>
      </c>
      <c r="AC246" s="556" t="str">
        <f>IF(VLOOKUP($E$246,[1]DATA_A11!$A$2:$FA$300, 28, FALSE)="",":",VLOOKUP($E$246,[1]DATA_A11!$A$2:$FA$300, 28, FALSE))</f>
        <v>:</v>
      </c>
      <c r="AD246" s="556" t="str">
        <f>IF(VLOOKUP($E$246,[1]DATA_A11!$A$2:$FA$300, 29, FALSE)="",":",VLOOKUP($E$246,[1]DATA_A11!$A$2:$FA$300, 29, FALSE))</f>
        <v>:</v>
      </c>
      <c r="AE246" s="556" t="str">
        <f>IF(VLOOKUP($E$246,[1]DATA_A11!$A$2:$FA$300, 30, FALSE)="",":",VLOOKUP($E$246,[1]DATA_A11!$A$2:$FA$300, 30, FALSE))</f>
        <v>:</v>
      </c>
      <c r="AF246" s="556" t="str">
        <f>IF(VLOOKUP($E$246,[1]DATA_A11!$A$2:$FA$300, 31, FALSE)="",":",VLOOKUP($E$246,[1]DATA_A11!$A$2:$FA$300, 31, FALSE))</f>
        <v>:</v>
      </c>
    </row>
    <row r="247" spans="1:32">
      <c r="A247" s="1870"/>
      <c r="B247" s="546"/>
      <c r="C247" s="547" t="s">
        <v>1721</v>
      </c>
      <c r="D247" s="12" t="s">
        <v>1517</v>
      </c>
      <c r="E247" s="13">
        <v>2907</v>
      </c>
      <c r="F247" s="14" t="str">
        <f>VLOOKUP($E$247,[1]DATA_A11!$A$2:$FA$300, 3, FALSE)</f>
        <v>2907 Social contributions (paid by RoW)</v>
      </c>
      <c r="G247" s="556">
        <f>IF(VLOOKUP($E$247,[1]DATA_A11!$A$2:$FA$300, 6, FALSE)="",":",VLOOKUP($E$247,[1]DATA_A11!$A$2:$FA$300, 6, FALSE))</f>
        <v>195.9</v>
      </c>
      <c r="H247" s="556">
        <f>IF(VLOOKUP($E$247,[1]DATA_A11!$A$2:$FA$300, 7, FALSE)="",":",VLOOKUP($E$247,[1]DATA_A11!$A$2:$FA$300, 7, FALSE))</f>
        <v>218.8</v>
      </c>
      <c r="I247" s="556">
        <f>IF(VLOOKUP($E$247,[1]DATA_A11!$A$2:$FA$300, 8, FALSE)="",":",VLOOKUP($E$247,[1]DATA_A11!$A$2:$FA$300, 8, FALSE))</f>
        <v>241.6</v>
      </c>
      <c r="J247" s="556">
        <f>IF(VLOOKUP($E$247,[1]DATA_A11!$A$2:$FA$300, 9, FALSE)="",":",VLOOKUP($E$247,[1]DATA_A11!$A$2:$FA$300, 9, FALSE))</f>
        <v>264.39999999999998</v>
      </c>
      <c r="K247" s="556">
        <f>IF(VLOOKUP($E$247,[1]DATA_A11!$A$2:$FA$300, 10, FALSE)="",":",VLOOKUP($E$247,[1]DATA_A11!$A$2:$FA$300, 10, FALSE))</f>
        <v>298.10000000000002</v>
      </c>
      <c r="L247" s="556">
        <f>IF(VLOOKUP($E$247,[1]DATA_A11!$A$2:$FA$300, 11, FALSE)="",":",VLOOKUP($E$247,[1]DATA_A11!$A$2:$FA$300, 11, FALSE))</f>
        <v>325.5</v>
      </c>
      <c r="M247" s="556">
        <f>IF(VLOOKUP($E$247,[1]DATA_A11!$A$2:$FA$300, 12, FALSE)="",":",VLOOKUP($E$247,[1]DATA_A11!$A$2:$FA$300, 12, FALSE))</f>
        <v>385</v>
      </c>
      <c r="N247" s="556">
        <f>IF(VLOOKUP($E$247,[1]DATA_A11!$A$2:$FA$300, 13, FALSE)="",":",VLOOKUP($E$247,[1]DATA_A11!$A$2:$FA$300, 13, FALSE))</f>
        <v>427.6</v>
      </c>
      <c r="O247" s="556">
        <f>IF(VLOOKUP($E$247,[1]DATA_A11!$A$2:$FA$300, 14, FALSE)="",":",VLOOKUP($E$247,[1]DATA_A11!$A$2:$FA$300, 14, FALSE))</f>
        <v>454.5</v>
      </c>
      <c r="P247" s="556">
        <f>IF(VLOOKUP($E$247,[1]DATA_A11!$A$2:$FA$300, 15, FALSE)="",":",VLOOKUP($E$247,[1]DATA_A11!$A$2:$FA$300, 15, FALSE))</f>
        <v>481.1</v>
      </c>
      <c r="Q247" s="556">
        <f>IF(VLOOKUP($E$247,[1]DATA_A11!$A$2:$FA$300, 16, FALSE)="",":",VLOOKUP($E$247,[1]DATA_A11!$A$2:$FA$300, 16, FALSE))</f>
        <v>504.9</v>
      </c>
      <c r="R247" s="556">
        <f>IF(VLOOKUP($E$247,[1]DATA_A11!$A$2:$FA$300, 17, FALSE)="",":",VLOOKUP($E$247,[1]DATA_A11!$A$2:$FA$300, 17, FALSE))</f>
        <v>530.79999999999995</v>
      </c>
      <c r="S247" s="556">
        <f>IF(VLOOKUP($E$247,[1]DATA_A11!$A$2:$FA$300, 18, FALSE)="",":",VLOOKUP($E$247,[1]DATA_A11!$A$2:$FA$300, 18, FALSE))</f>
        <v>612.20000000000005</v>
      </c>
      <c r="T247" s="556">
        <f>IF(VLOOKUP($E$247,[1]DATA_A11!$A$2:$FA$300, 19, FALSE)="",":",VLOOKUP($E$247,[1]DATA_A11!$A$2:$FA$300, 19, FALSE))</f>
        <v>729.1</v>
      </c>
      <c r="U247" s="556">
        <f>IF(VLOOKUP($E$247,[1]DATA_A11!$A$2:$FA$300, 20, FALSE)="",":",VLOOKUP($E$247,[1]DATA_A11!$A$2:$FA$300, 20, FALSE))</f>
        <v>776</v>
      </c>
      <c r="V247" s="556">
        <f>IF(VLOOKUP($E$247,[1]DATA_A11!$A$2:$FA$300, 21, FALSE)="",":",VLOOKUP($E$247,[1]DATA_A11!$A$2:$FA$300, 21, FALSE))</f>
        <v>800</v>
      </c>
      <c r="W247" s="556">
        <f>IF(VLOOKUP($E$247,[1]DATA_A11!$A$2:$FA$300, 22, FALSE)="",":",VLOOKUP($E$247,[1]DATA_A11!$A$2:$FA$300, 22, FALSE))</f>
        <v>805.7</v>
      </c>
      <c r="X247" s="556">
        <f>IF(VLOOKUP($E$247,[1]DATA_A11!$A$2:$FA$300, 23, FALSE)="",":",VLOOKUP($E$247,[1]DATA_A11!$A$2:$FA$300, 23, FALSE))</f>
        <v>858.1</v>
      </c>
      <c r="Y247" s="556">
        <f>IF(VLOOKUP($E$247,[1]DATA_A11!$A$2:$FA$300, 24, FALSE)="",":",VLOOKUP($E$247,[1]DATA_A11!$A$2:$FA$300, 24, FALSE))</f>
        <v>881.2</v>
      </c>
      <c r="Z247" s="556">
        <f>IF(VLOOKUP($E$247,[1]DATA_A11!$A$2:$FA$300, 25, FALSE)="",":",VLOOKUP($E$247,[1]DATA_A11!$A$2:$FA$300, 25, FALSE))</f>
        <v>873.9</v>
      </c>
      <c r="AA247" s="556">
        <f>IF(VLOOKUP($E$247,[1]DATA_A11!$A$2:$FA$300, 26, FALSE)="",":",VLOOKUP($E$247,[1]DATA_A11!$A$2:$FA$300, 26, FALSE))</f>
        <v>895.1</v>
      </c>
      <c r="AB247" s="556">
        <f>IF(VLOOKUP($E$247,[1]DATA_A11!$A$2:$FA$300, 27, FALSE)="",":",VLOOKUP($E$247,[1]DATA_A11!$A$2:$FA$300, 27, FALSE))</f>
        <v>905.9</v>
      </c>
      <c r="AC247" s="556" t="str">
        <f>IF(VLOOKUP($E$247,[1]DATA_A11!$A$2:$FA$300, 28, FALSE)="",":",VLOOKUP($E$247,[1]DATA_A11!$A$2:$FA$300, 28, FALSE))</f>
        <v>:</v>
      </c>
      <c r="AD247" s="556" t="str">
        <f>IF(VLOOKUP($E$247,[1]DATA_A11!$A$2:$FA$300, 29, FALSE)="",":",VLOOKUP($E$247,[1]DATA_A11!$A$2:$FA$300, 29, FALSE))</f>
        <v>:</v>
      </c>
      <c r="AE247" s="556" t="str">
        <f>IF(VLOOKUP($E$247,[1]DATA_A11!$A$2:$FA$300, 30, FALSE)="",":",VLOOKUP($E$247,[1]DATA_A11!$A$2:$FA$300, 30, FALSE))</f>
        <v>:</v>
      </c>
      <c r="AF247" s="556" t="str">
        <f>IF(VLOOKUP($E$247,[1]DATA_A11!$A$2:$FA$300, 31, FALSE)="",":",VLOOKUP($E$247,[1]DATA_A11!$A$2:$FA$300, 31, FALSE))</f>
        <v>:</v>
      </c>
    </row>
    <row r="248" spans="1:32" s="552" customFormat="1">
      <c r="A248" s="1870"/>
      <c r="B248" s="549"/>
      <c r="C248" s="550" t="s">
        <v>2034</v>
      </c>
      <c r="D248" s="540"/>
      <c r="E248" s="541"/>
      <c r="F248" s="551"/>
      <c r="G248" s="557">
        <f t="shared" ref="G248:AF248" si="12">+G246-G247</f>
        <v>511.80000000000007</v>
      </c>
      <c r="H248" s="557">
        <f t="shared" si="12"/>
        <v>538.29999999999995</v>
      </c>
      <c r="I248" s="557">
        <f t="shared" si="12"/>
        <v>547.5</v>
      </c>
      <c r="J248" s="557">
        <f t="shared" si="12"/>
        <v>590.70000000000005</v>
      </c>
      <c r="K248" s="557">
        <f t="shared" si="12"/>
        <v>654</v>
      </c>
      <c r="L248" s="557">
        <f t="shared" si="12"/>
        <v>690.3</v>
      </c>
      <c r="M248" s="557">
        <f t="shared" si="12"/>
        <v>726.09999999999991</v>
      </c>
      <c r="N248" s="557">
        <f t="shared" si="12"/>
        <v>781.69999999999993</v>
      </c>
      <c r="O248" s="557">
        <f t="shared" si="12"/>
        <v>883.59999999999991</v>
      </c>
      <c r="P248" s="557">
        <f t="shared" si="12"/>
        <v>958.49999999999989</v>
      </c>
      <c r="Q248" s="557">
        <f t="shared" si="12"/>
        <v>989.19999999999993</v>
      </c>
      <c r="R248" s="557">
        <f t="shared" si="12"/>
        <v>1064.9000000000001</v>
      </c>
      <c r="S248" s="557">
        <f t="shared" si="12"/>
        <v>1152.8</v>
      </c>
      <c r="T248" s="557">
        <f t="shared" si="12"/>
        <v>1207.5999999999999</v>
      </c>
      <c r="U248" s="557">
        <f t="shared" si="12"/>
        <v>1270.2</v>
      </c>
      <c r="V248" s="557">
        <f t="shared" si="12"/>
        <v>1355.4</v>
      </c>
      <c r="W248" s="557">
        <f t="shared" si="12"/>
        <v>1434.8</v>
      </c>
      <c r="X248" s="557">
        <f t="shared" si="12"/>
        <v>1489.1</v>
      </c>
      <c r="Y248" s="557">
        <f t="shared" si="12"/>
        <v>1508.6000000000001</v>
      </c>
      <c r="Z248" s="557">
        <f t="shared" si="12"/>
        <v>1585.2999999999997</v>
      </c>
      <c r="AA248" s="557">
        <f t="shared" si="12"/>
        <v>1585.8000000000002</v>
      </c>
      <c r="AB248" s="557">
        <f t="shared" si="12"/>
        <v>1673.1</v>
      </c>
      <c r="AC248" s="557" t="e">
        <f t="shared" si="12"/>
        <v>#VALUE!</v>
      </c>
      <c r="AD248" s="557" t="e">
        <f t="shared" si="12"/>
        <v>#VALUE!</v>
      </c>
      <c r="AE248" s="557" t="e">
        <f t="shared" si="12"/>
        <v>#VALUE!</v>
      </c>
      <c r="AF248" s="557" t="e">
        <f t="shared" si="12"/>
        <v>#VALUE!</v>
      </c>
    </row>
    <row r="249" spans="1:32">
      <c r="A249" s="545"/>
      <c r="B249" s="546"/>
      <c r="C249" s="547"/>
      <c r="D249" s="12"/>
      <c r="E249" s="13"/>
      <c r="F249" s="14"/>
      <c r="G249" s="556"/>
      <c r="H249" s="556"/>
      <c r="I249" s="556"/>
      <c r="J249" s="556"/>
      <c r="K249" s="556"/>
      <c r="L249" s="556"/>
      <c r="M249" s="556"/>
      <c r="N249" s="556"/>
      <c r="O249" s="556"/>
      <c r="P249" s="556"/>
      <c r="Q249" s="556"/>
      <c r="R249" s="556"/>
      <c r="S249" s="556"/>
      <c r="T249" s="556"/>
      <c r="U249" s="556"/>
      <c r="V249" s="556"/>
      <c r="W249" s="556"/>
      <c r="X249" s="556"/>
      <c r="Y249" s="556"/>
      <c r="Z249" s="556"/>
      <c r="AA249" s="556"/>
      <c r="AB249" s="556"/>
      <c r="AC249" s="556"/>
      <c r="AD249" s="556"/>
      <c r="AE249" s="556"/>
      <c r="AF249" s="556"/>
    </row>
    <row r="250" spans="1:32">
      <c r="A250" s="1870"/>
      <c r="B250" s="546"/>
      <c r="C250" s="547" t="s">
        <v>1960</v>
      </c>
      <c r="D250" s="12" t="s">
        <v>1517</v>
      </c>
      <c r="E250" s="13">
        <v>2903</v>
      </c>
      <c r="F250" s="14" t="str">
        <f>VLOOKUP($E$250,[1]DATA_A11!$A$2:$FA$300, 3, FALSE)</f>
        <v>2903 Social benefits other than social transfers in kind (received by RoW)</v>
      </c>
      <c r="G250" s="556">
        <f>IF(VLOOKUP($E$250,[1]DATA_A11!$A$2:$FA$300, 6, FALSE)="",":",VLOOKUP($E$250,[1]DATA_A11!$A$2:$FA$300, 6, FALSE))</f>
        <v>462.2</v>
      </c>
      <c r="H250" s="556">
        <f>IF(VLOOKUP($E$250,[1]DATA_A11!$A$2:$FA$300, 7, FALSE)="",":",VLOOKUP($E$250,[1]DATA_A11!$A$2:$FA$300, 7, FALSE))</f>
        <v>498.3</v>
      </c>
      <c r="I250" s="556">
        <f>IF(VLOOKUP($E$250,[1]DATA_A11!$A$2:$FA$300, 8, FALSE)="",":",VLOOKUP($E$250,[1]DATA_A11!$A$2:$FA$300, 8, FALSE))</f>
        <v>506.8</v>
      </c>
      <c r="J250" s="556">
        <f>IF(VLOOKUP($E$250,[1]DATA_A11!$A$2:$FA$300, 9, FALSE)="",":",VLOOKUP($E$250,[1]DATA_A11!$A$2:$FA$300, 9, FALSE))</f>
        <v>525.4</v>
      </c>
      <c r="K250" s="556">
        <f>IF(VLOOKUP($E$250,[1]DATA_A11!$A$2:$FA$300, 10, FALSE)="",":",VLOOKUP($E$250,[1]DATA_A11!$A$2:$FA$300, 10, FALSE))</f>
        <v>484.7</v>
      </c>
      <c r="L250" s="556">
        <f>IF(VLOOKUP($E$250,[1]DATA_A11!$A$2:$FA$300, 11, FALSE)="",":",VLOOKUP($E$250,[1]DATA_A11!$A$2:$FA$300, 11, FALSE))</f>
        <v>492.6</v>
      </c>
      <c r="M250" s="556">
        <f>IF(VLOOKUP($E$250,[1]DATA_A11!$A$2:$FA$300, 12, FALSE)="",":",VLOOKUP($E$250,[1]DATA_A11!$A$2:$FA$300, 12, FALSE))</f>
        <v>495.9</v>
      </c>
      <c r="N250" s="556">
        <f>IF(VLOOKUP($E$250,[1]DATA_A11!$A$2:$FA$300, 13, FALSE)="",":",VLOOKUP($E$250,[1]DATA_A11!$A$2:$FA$300, 13, FALSE))</f>
        <v>568.4</v>
      </c>
      <c r="O250" s="556">
        <f>IF(VLOOKUP($E$250,[1]DATA_A11!$A$2:$FA$300, 14, FALSE)="",":",VLOOKUP($E$250,[1]DATA_A11!$A$2:$FA$300, 14, FALSE))</f>
        <v>587.20000000000005</v>
      </c>
      <c r="P250" s="556">
        <f>IF(VLOOKUP($E$250,[1]DATA_A11!$A$2:$FA$300, 15, FALSE)="",":",VLOOKUP($E$250,[1]DATA_A11!$A$2:$FA$300, 15, FALSE))</f>
        <v>604.5</v>
      </c>
      <c r="Q250" s="556">
        <f>IF(VLOOKUP($E$250,[1]DATA_A11!$A$2:$FA$300, 16, FALSE)="",":",VLOOKUP($E$250,[1]DATA_A11!$A$2:$FA$300, 16, FALSE))</f>
        <v>644.79999999999995</v>
      </c>
      <c r="R250" s="556">
        <f>IF(VLOOKUP($E$250,[1]DATA_A11!$A$2:$FA$300, 17, FALSE)="",":",VLOOKUP($E$250,[1]DATA_A11!$A$2:$FA$300, 17, FALSE))</f>
        <v>650.5</v>
      </c>
      <c r="S250" s="556">
        <f>IF(VLOOKUP($E$250,[1]DATA_A11!$A$2:$FA$300, 18, FALSE)="",":",VLOOKUP($E$250,[1]DATA_A11!$A$2:$FA$300, 18, FALSE))</f>
        <v>643.20000000000005</v>
      </c>
      <c r="T250" s="556">
        <f>IF(VLOOKUP($E$250,[1]DATA_A11!$A$2:$FA$300, 19, FALSE)="",":",VLOOKUP($E$250,[1]DATA_A11!$A$2:$FA$300, 19, FALSE))</f>
        <v>687</v>
      </c>
      <c r="U250" s="556">
        <f>IF(VLOOKUP($E$250,[1]DATA_A11!$A$2:$FA$300, 20, FALSE)="",":",VLOOKUP($E$250,[1]DATA_A11!$A$2:$FA$300, 20, FALSE))</f>
        <v>760</v>
      </c>
      <c r="V250" s="556">
        <f>IF(VLOOKUP($E$250,[1]DATA_A11!$A$2:$FA$300, 21, FALSE)="",":",VLOOKUP($E$250,[1]DATA_A11!$A$2:$FA$300, 21, FALSE))</f>
        <v>742</v>
      </c>
      <c r="W250" s="556">
        <f>IF(VLOOKUP($E$250,[1]DATA_A11!$A$2:$FA$300, 22, FALSE)="",":",VLOOKUP($E$250,[1]DATA_A11!$A$2:$FA$300, 22, FALSE))</f>
        <v>772</v>
      </c>
      <c r="X250" s="556">
        <f>IF(VLOOKUP($E$250,[1]DATA_A11!$A$2:$FA$300, 23, FALSE)="",":",VLOOKUP($E$250,[1]DATA_A11!$A$2:$FA$300, 23, FALSE))</f>
        <v>814</v>
      </c>
      <c r="Y250" s="556">
        <f>IF(VLOOKUP($E$250,[1]DATA_A11!$A$2:$FA$300, 24, FALSE)="",":",VLOOKUP($E$250,[1]DATA_A11!$A$2:$FA$300, 24, FALSE))</f>
        <v>1013</v>
      </c>
      <c r="Z250" s="556">
        <f>IF(VLOOKUP($E$250,[1]DATA_A11!$A$2:$FA$300, 25, FALSE)="",":",VLOOKUP($E$250,[1]DATA_A11!$A$2:$FA$300, 25, FALSE))</f>
        <v>1048</v>
      </c>
      <c r="AA250" s="556">
        <f>IF(VLOOKUP($E$250,[1]DATA_A11!$A$2:$FA$300, 26, FALSE)="",":",VLOOKUP($E$250,[1]DATA_A11!$A$2:$FA$300, 26, FALSE))</f>
        <v>1083</v>
      </c>
      <c r="AB250" s="556">
        <f>IF(VLOOKUP($E$250,[1]DATA_A11!$A$2:$FA$300, 27, FALSE)="",":",VLOOKUP($E$250,[1]DATA_A11!$A$2:$FA$300, 27, FALSE))</f>
        <v>1126</v>
      </c>
      <c r="AC250" s="556" t="str">
        <f>IF(VLOOKUP($E$250,[1]DATA_A11!$A$2:$FA$300, 28, FALSE)="",":",VLOOKUP($E$250,[1]DATA_A11!$A$2:$FA$300, 28, FALSE))</f>
        <v>:</v>
      </c>
      <c r="AD250" s="556" t="str">
        <f>IF(VLOOKUP($E$250,[1]DATA_A11!$A$2:$FA$300, 29, FALSE)="",":",VLOOKUP($E$250,[1]DATA_A11!$A$2:$FA$300, 29, FALSE))</f>
        <v>:</v>
      </c>
      <c r="AE250" s="556" t="str">
        <f>IF(VLOOKUP($E$250,[1]DATA_A11!$A$2:$FA$300, 30, FALSE)="",":",VLOOKUP($E$250,[1]DATA_A11!$A$2:$FA$300, 30, FALSE))</f>
        <v>:</v>
      </c>
      <c r="AF250" s="556" t="str">
        <f>IF(VLOOKUP($E$250,[1]DATA_A11!$A$2:$FA$300, 31, FALSE)="",":",VLOOKUP($E$250,[1]DATA_A11!$A$2:$FA$300, 31, FALSE))</f>
        <v>:</v>
      </c>
    </row>
    <row r="251" spans="1:32">
      <c r="A251" s="1870"/>
      <c r="B251" s="546"/>
      <c r="C251" s="547" t="s">
        <v>1722</v>
      </c>
      <c r="D251" s="12" t="s">
        <v>1517</v>
      </c>
      <c r="E251" s="13">
        <v>2908</v>
      </c>
      <c r="F251" s="14" t="str">
        <f>VLOOKUP($E$251,[1]DATA_A11!$A$2:$FA$300, 3, FALSE)</f>
        <v>2908 Social benefits other than social transfers in kind (paid by RoW)</v>
      </c>
      <c r="G251" s="556">
        <f>IF(VLOOKUP($E$251,[1]DATA_A11!$A$2:$FA$300, 6, FALSE)="",":",VLOOKUP($E$251,[1]DATA_A11!$A$2:$FA$300, 6, FALSE))</f>
        <v>303.10000000000002</v>
      </c>
      <c r="H251" s="556">
        <f>IF(VLOOKUP($E$251,[1]DATA_A11!$A$2:$FA$300, 7, FALSE)="",":",VLOOKUP($E$251,[1]DATA_A11!$A$2:$FA$300, 7, FALSE))</f>
        <v>341.5</v>
      </c>
      <c r="I251" s="556">
        <f>IF(VLOOKUP($E$251,[1]DATA_A11!$A$2:$FA$300, 8, FALSE)="",":",VLOOKUP($E$251,[1]DATA_A11!$A$2:$FA$300, 8, FALSE))</f>
        <v>350.6</v>
      </c>
      <c r="J251" s="556">
        <f>IF(VLOOKUP($E$251,[1]DATA_A11!$A$2:$FA$300, 9, FALSE)="",":",VLOOKUP($E$251,[1]DATA_A11!$A$2:$FA$300, 9, FALSE))</f>
        <v>391</v>
      </c>
      <c r="K251" s="556">
        <f>IF(VLOOKUP($E$251,[1]DATA_A11!$A$2:$FA$300, 10, FALSE)="",":",VLOOKUP($E$251,[1]DATA_A11!$A$2:$FA$300, 10, FALSE))</f>
        <v>368.3</v>
      </c>
      <c r="L251" s="556">
        <f>IF(VLOOKUP($E$251,[1]DATA_A11!$A$2:$FA$300, 11, FALSE)="",":",VLOOKUP($E$251,[1]DATA_A11!$A$2:$FA$300, 11, FALSE))</f>
        <v>423.6</v>
      </c>
      <c r="M251" s="556">
        <f>IF(VLOOKUP($E$251,[1]DATA_A11!$A$2:$FA$300, 12, FALSE)="",":",VLOOKUP($E$251,[1]DATA_A11!$A$2:$FA$300, 12, FALSE))</f>
        <v>502.3</v>
      </c>
      <c r="N251" s="556">
        <f>IF(VLOOKUP($E$251,[1]DATA_A11!$A$2:$FA$300, 13, FALSE)="",":",VLOOKUP($E$251,[1]DATA_A11!$A$2:$FA$300, 13, FALSE))</f>
        <v>329</v>
      </c>
      <c r="O251" s="556">
        <f>IF(VLOOKUP($E$251,[1]DATA_A11!$A$2:$FA$300, 14, FALSE)="",":",VLOOKUP($E$251,[1]DATA_A11!$A$2:$FA$300, 14, FALSE))</f>
        <v>411.3</v>
      </c>
      <c r="P251" s="556">
        <f>IF(VLOOKUP($E$251,[1]DATA_A11!$A$2:$FA$300, 15, FALSE)="",":",VLOOKUP($E$251,[1]DATA_A11!$A$2:$FA$300, 15, FALSE))</f>
        <v>448.1</v>
      </c>
      <c r="Q251" s="556">
        <f>IF(VLOOKUP($E$251,[1]DATA_A11!$A$2:$FA$300, 16, FALSE)="",":",VLOOKUP($E$251,[1]DATA_A11!$A$2:$FA$300, 16, FALSE))</f>
        <v>488.3</v>
      </c>
      <c r="R251" s="556">
        <f>IF(VLOOKUP($E$251,[1]DATA_A11!$A$2:$FA$300, 17, FALSE)="",":",VLOOKUP($E$251,[1]DATA_A11!$A$2:$FA$300, 17, FALSE))</f>
        <v>516.29999999999995</v>
      </c>
      <c r="S251" s="556">
        <f>IF(VLOOKUP($E$251,[1]DATA_A11!$A$2:$FA$300, 18, FALSE)="",":",VLOOKUP($E$251,[1]DATA_A11!$A$2:$FA$300, 18, FALSE))</f>
        <v>530</v>
      </c>
      <c r="T251" s="556">
        <f>IF(VLOOKUP($E$251,[1]DATA_A11!$A$2:$FA$300, 19, FALSE)="",":",VLOOKUP($E$251,[1]DATA_A11!$A$2:$FA$300, 19, FALSE))</f>
        <v>531.29999999999995</v>
      </c>
      <c r="U251" s="556">
        <f>IF(VLOOKUP($E$251,[1]DATA_A11!$A$2:$FA$300, 20, FALSE)="",":",VLOOKUP($E$251,[1]DATA_A11!$A$2:$FA$300, 20, FALSE))</f>
        <v>560.9</v>
      </c>
      <c r="V251" s="556">
        <f>IF(VLOOKUP($E$251,[1]DATA_A11!$A$2:$FA$300, 21, FALSE)="",":",VLOOKUP($E$251,[1]DATA_A11!$A$2:$FA$300, 21, FALSE))</f>
        <v>599.70000000000005</v>
      </c>
      <c r="W251" s="556">
        <f>IF(VLOOKUP($E$251,[1]DATA_A11!$A$2:$FA$300, 22, FALSE)="",":",VLOOKUP($E$251,[1]DATA_A11!$A$2:$FA$300, 22, FALSE))</f>
        <v>631.70000000000005</v>
      </c>
      <c r="X251" s="556">
        <f>IF(VLOOKUP($E$251,[1]DATA_A11!$A$2:$FA$300, 23, FALSE)="",":",VLOOKUP($E$251,[1]DATA_A11!$A$2:$FA$300, 23, FALSE))</f>
        <v>656.3</v>
      </c>
      <c r="Y251" s="556">
        <f>IF(VLOOKUP($E$251,[1]DATA_A11!$A$2:$FA$300, 24, FALSE)="",":",VLOOKUP($E$251,[1]DATA_A11!$A$2:$FA$300, 24, FALSE))</f>
        <v>695.7</v>
      </c>
      <c r="Z251" s="556">
        <f>IF(VLOOKUP($E$251,[1]DATA_A11!$A$2:$FA$300, 25, FALSE)="",":",VLOOKUP($E$251,[1]DATA_A11!$A$2:$FA$300, 25, FALSE))</f>
        <v>736.2</v>
      </c>
      <c r="AA251" s="556">
        <f>IF(VLOOKUP($E$251,[1]DATA_A11!$A$2:$FA$300, 26, FALSE)="",":",VLOOKUP($E$251,[1]DATA_A11!$A$2:$FA$300, 26, FALSE))</f>
        <v>776.9</v>
      </c>
      <c r="AB251" s="556">
        <f>IF(VLOOKUP($E$251,[1]DATA_A11!$A$2:$FA$300, 27, FALSE)="",":",VLOOKUP($E$251,[1]DATA_A11!$A$2:$FA$300, 27, FALSE))</f>
        <v>833.6</v>
      </c>
      <c r="AC251" s="556" t="str">
        <f>IF(VLOOKUP($E$251,[1]DATA_A11!$A$2:$FA$300, 28, FALSE)="",":",VLOOKUP($E$251,[1]DATA_A11!$A$2:$FA$300, 28, FALSE))</f>
        <v>:</v>
      </c>
      <c r="AD251" s="556" t="str">
        <f>IF(VLOOKUP($E$251,[1]DATA_A11!$A$2:$FA$300, 29, FALSE)="",":",VLOOKUP($E$251,[1]DATA_A11!$A$2:$FA$300, 29, FALSE))</f>
        <v>:</v>
      </c>
      <c r="AE251" s="556" t="str">
        <f>IF(VLOOKUP($E$251,[1]DATA_A11!$A$2:$FA$300, 30, FALSE)="",":",VLOOKUP($E$251,[1]DATA_A11!$A$2:$FA$300, 30, FALSE))</f>
        <v>:</v>
      </c>
      <c r="AF251" s="556" t="str">
        <f>IF(VLOOKUP($E$251,[1]DATA_A11!$A$2:$FA$300, 31, FALSE)="",":",VLOOKUP($E$251,[1]DATA_A11!$A$2:$FA$300, 31, FALSE))</f>
        <v>:</v>
      </c>
    </row>
    <row r="252" spans="1:32" s="552" customFormat="1">
      <c r="A252" s="1870"/>
      <c r="B252" s="549"/>
      <c r="C252" s="550" t="s">
        <v>2035</v>
      </c>
      <c r="D252" s="540"/>
      <c r="E252" s="541"/>
      <c r="F252" s="551"/>
      <c r="G252" s="557">
        <f t="shared" ref="G252:AF252" si="13">+G250-G251</f>
        <v>159.09999999999997</v>
      </c>
      <c r="H252" s="557">
        <f t="shared" si="13"/>
        <v>156.80000000000001</v>
      </c>
      <c r="I252" s="557">
        <f t="shared" si="13"/>
        <v>156.19999999999999</v>
      </c>
      <c r="J252" s="557">
        <f t="shared" si="13"/>
        <v>134.39999999999998</v>
      </c>
      <c r="K252" s="557">
        <f t="shared" si="13"/>
        <v>116.39999999999998</v>
      </c>
      <c r="L252" s="557">
        <f t="shared" si="13"/>
        <v>69</v>
      </c>
      <c r="M252" s="557">
        <f t="shared" si="13"/>
        <v>-6.4000000000000341</v>
      </c>
      <c r="N252" s="557">
        <f t="shared" si="13"/>
        <v>239.39999999999998</v>
      </c>
      <c r="O252" s="557">
        <f t="shared" si="13"/>
        <v>175.90000000000003</v>
      </c>
      <c r="P252" s="557">
        <f t="shared" si="13"/>
        <v>156.39999999999998</v>
      </c>
      <c r="Q252" s="557">
        <f t="shared" si="13"/>
        <v>156.49999999999994</v>
      </c>
      <c r="R252" s="557">
        <f t="shared" si="13"/>
        <v>134.20000000000005</v>
      </c>
      <c r="S252" s="557">
        <f t="shared" si="13"/>
        <v>113.20000000000005</v>
      </c>
      <c r="T252" s="557">
        <f t="shared" si="13"/>
        <v>155.70000000000005</v>
      </c>
      <c r="U252" s="557">
        <f t="shared" si="13"/>
        <v>199.10000000000002</v>
      </c>
      <c r="V252" s="557">
        <f t="shared" si="13"/>
        <v>142.29999999999995</v>
      </c>
      <c r="W252" s="557">
        <f t="shared" si="13"/>
        <v>140.29999999999995</v>
      </c>
      <c r="X252" s="557">
        <f t="shared" si="13"/>
        <v>157.70000000000005</v>
      </c>
      <c r="Y252" s="557">
        <f t="shared" si="13"/>
        <v>317.29999999999995</v>
      </c>
      <c r="Z252" s="557">
        <f t="shared" si="13"/>
        <v>311.79999999999995</v>
      </c>
      <c r="AA252" s="557">
        <f t="shared" si="13"/>
        <v>306.10000000000002</v>
      </c>
      <c r="AB252" s="557">
        <f t="shared" si="13"/>
        <v>292.39999999999998</v>
      </c>
      <c r="AC252" s="557" t="e">
        <f t="shared" si="13"/>
        <v>#VALUE!</v>
      </c>
      <c r="AD252" s="557" t="e">
        <f t="shared" si="13"/>
        <v>#VALUE!</v>
      </c>
      <c r="AE252" s="557" t="e">
        <f t="shared" si="13"/>
        <v>#VALUE!</v>
      </c>
      <c r="AF252" s="557" t="e">
        <f t="shared" si="13"/>
        <v>#VALUE!</v>
      </c>
    </row>
    <row r="253" spans="1:32">
      <c r="A253" s="545"/>
      <c r="B253" s="546"/>
      <c r="C253" s="547"/>
      <c r="D253" s="12"/>
      <c r="E253" s="13"/>
      <c r="F253" s="14"/>
      <c r="G253" s="556"/>
      <c r="H253" s="556"/>
      <c r="I253" s="556"/>
      <c r="J253" s="556"/>
      <c r="K253" s="556"/>
      <c r="L253" s="556"/>
      <c r="M253" s="556"/>
      <c r="N253" s="556"/>
      <c r="O253" s="556"/>
      <c r="P253" s="556"/>
      <c r="Q253" s="556"/>
      <c r="R253" s="556"/>
      <c r="S253" s="556"/>
      <c r="T253" s="556"/>
      <c r="U253" s="556"/>
      <c r="V253" s="556"/>
      <c r="W253" s="556"/>
      <c r="X253" s="556"/>
      <c r="Y253" s="556"/>
      <c r="Z253" s="556"/>
      <c r="AA253" s="556"/>
      <c r="AB253" s="556"/>
      <c r="AC253" s="556"/>
      <c r="AD253" s="556"/>
      <c r="AE253" s="556"/>
      <c r="AF253" s="556"/>
    </row>
    <row r="254" spans="1:32">
      <c r="A254" s="1870"/>
      <c r="B254" s="546" t="s">
        <v>1956</v>
      </c>
      <c r="C254" s="547" t="s">
        <v>1719</v>
      </c>
      <c r="D254" s="12" t="s">
        <v>1517</v>
      </c>
      <c r="E254" s="13">
        <v>2905</v>
      </c>
      <c r="F254" s="14" t="str">
        <f>VLOOKUP($E$254,[1]DATA_A11!$A$2:$FA$300, 3, FALSE)</f>
        <v>2905 Other current transfers (received by RoW)</v>
      </c>
      <c r="G254" s="556">
        <f>IF(VLOOKUP($E$254,[1]DATA_A11!$A$2:$FA$300, 6, FALSE)="",":",VLOOKUP($E$254,[1]DATA_A11!$A$2:$FA$300, 6, FALSE))</f>
        <v>4844.8</v>
      </c>
      <c r="H254" s="556">
        <f>IF(VLOOKUP($E$254,[1]DATA_A11!$A$2:$FA$300, 7, FALSE)="",":",VLOOKUP($E$254,[1]DATA_A11!$A$2:$FA$300, 7, FALSE))</f>
        <v>5342.6</v>
      </c>
      <c r="I254" s="556">
        <f>IF(VLOOKUP($E$254,[1]DATA_A11!$A$2:$FA$300, 8, FALSE)="",":",VLOOKUP($E$254,[1]DATA_A11!$A$2:$FA$300, 8, FALSE))</f>
        <v>5916.4</v>
      </c>
      <c r="J254" s="556">
        <f>IF(VLOOKUP($E$254,[1]DATA_A11!$A$2:$FA$300, 9, FALSE)="",":",VLOOKUP($E$254,[1]DATA_A11!$A$2:$FA$300, 9, FALSE))</f>
        <v>6117.6</v>
      </c>
      <c r="K254" s="556">
        <f>IF(VLOOKUP($E$254,[1]DATA_A11!$A$2:$FA$300, 10, FALSE)="",":",VLOOKUP($E$254,[1]DATA_A11!$A$2:$FA$300, 10, FALSE))</f>
        <v>6816.3</v>
      </c>
      <c r="L254" s="556">
        <f>IF(VLOOKUP($E$254,[1]DATA_A11!$A$2:$FA$300, 11, FALSE)="",":",VLOOKUP($E$254,[1]DATA_A11!$A$2:$FA$300, 11, FALSE))</f>
        <v>7160.6</v>
      </c>
      <c r="M254" s="556">
        <f>IF(VLOOKUP($E$254,[1]DATA_A11!$A$2:$FA$300, 12, FALSE)="",":",VLOOKUP($E$254,[1]DATA_A11!$A$2:$FA$300, 12, FALSE))</f>
        <v>6497.1</v>
      </c>
      <c r="N254" s="556">
        <f>IF(VLOOKUP($E$254,[1]DATA_A11!$A$2:$FA$300, 13, FALSE)="",":",VLOOKUP($E$254,[1]DATA_A11!$A$2:$FA$300, 13, FALSE))</f>
        <v>6538</v>
      </c>
      <c r="O254" s="556">
        <f>IF(VLOOKUP($E$254,[1]DATA_A11!$A$2:$FA$300, 14, FALSE)="",":",VLOOKUP($E$254,[1]DATA_A11!$A$2:$FA$300, 14, FALSE))</f>
        <v>7280.3</v>
      </c>
      <c r="P254" s="556">
        <f>IF(VLOOKUP($E$254,[1]DATA_A11!$A$2:$FA$300, 15, FALSE)="",":",VLOOKUP($E$254,[1]DATA_A11!$A$2:$FA$300, 15, FALSE))</f>
        <v>7161</v>
      </c>
      <c r="Q254" s="556">
        <f>IF(VLOOKUP($E$254,[1]DATA_A11!$A$2:$FA$300, 16, FALSE)="",":",VLOOKUP($E$254,[1]DATA_A11!$A$2:$FA$300, 16, FALSE))</f>
        <v>7175.8</v>
      </c>
      <c r="R254" s="556">
        <f>IF(VLOOKUP($E$254,[1]DATA_A11!$A$2:$FA$300, 17, FALSE)="",":",VLOOKUP($E$254,[1]DATA_A11!$A$2:$FA$300, 17, FALSE))</f>
        <v>6783.2</v>
      </c>
      <c r="S254" s="556">
        <f>IF(VLOOKUP($E$254,[1]DATA_A11!$A$2:$FA$300, 18, FALSE)="",":",VLOOKUP($E$254,[1]DATA_A11!$A$2:$FA$300, 18, FALSE))</f>
        <v>6971.3</v>
      </c>
      <c r="T254" s="556">
        <f>IF(VLOOKUP($E$254,[1]DATA_A11!$A$2:$FA$300, 19, FALSE)="",":",VLOOKUP($E$254,[1]DATA_A11!$A$2:$FA$300, 19, FALSE))</f>
        <v>8023.3</v>
      </c>
      <c r="U254" s="556">
        <f>IF(VLOOKUP($E$254,[1]DATA_A11!$A$2:$FA$300, 20, FALSE)="",":",VLOOKUP($E$254,[1]DATA_A11!$A$2:$FA$300, 20, FALSE))</f>
        <v>9112.5</v>
      </c>
      <c r="V254" s="556">
        <f>IF(VLOOKUP($E$254,[1]DATA_A11!$A$2:$FA$300, 21, FALSE)="",":",VLOOKUP($E$254,[1]DATA_A11!$A$2:$FA$300, 21, FALSE))</f>
        <v>9546.5</v>
      </c>
      <c r="W254" s="556">
        <f>IF(VLOOKUP($E$254,[1]DATA_A11!$A$2:$FA$300, 22, FALSE)="",":",VLOOKUP($E$254,[1]DATA_A11!$A$2:$FA$300, 22, FALSE))</f>
        <v>9552.4</v>
      </c>
      <c r="X254" s="556">
        <f>IF(VLOOKUP($E$254,[1]DATA_A11!$A$2:$FA$300, 23, FALSE)="",":",VLOOKUP($E$254,[1]DATA_A11!$A$2:$FA$300, 23, FALSE))</f>
        <v>10150.5</v>
      </c>
      <c r="Y254" s="556">
        <f>IF(VLOOKUP($E$254,[1]DATA_A11!$A$2:$FA$300, 24, FALSE)="",":",VLOOKUP($E$254,[1]DATA_A11!$A$2:$FA$300, 24, FALSE))</f>
        <v>10493.5</v>
      </c>
      <c r="Z254" s="556">
        <f>IF(VLOOKUP($E$254,[1]DATA_A11!$A$2:$FA$300, 25, FALSE)="",":",VLOOKUP($E$254,[1]DATA_A11!$A$2:$FA$300, 25, FALSE))</f>
        <v>9418.1</v>
      </c>
      <c r="AA254" s="556">
        <f>IF(VLOOKUP($E$254,[1]DATA_A11!$A$2:$FA$300, 26, FALSE)="",":",VLOOKUP($E$254,[1]DATA_A11!$A$2:$FA$300, 26, FALSE))</f>
        <v>9703.4</v>
      </c>
      <c r="AB254" s="556">
        <f>IF(VLOOKUP($E$254,[1]DATA_A11!$A$2:$FA$300, 27, FALSE)="",":",VLOOKUP($E$254,[1]DATA_A11!$A$2:$FA$300, 27, FALSE))</f>
        <v>10978.4</v>
      </c>
      <c r="AC254" s="556" t="str">
        <f>IF(VLOOKUP($E$254,[1]DATA_A11!$A$2:$FA$300, 28, FALSE)="",":",VLOOKUP($E$254,[1]DATA_A11!$A$2:$FA$300, 28, FALSE))</f>
        <v>:</v>
      </c>
      <c r="AD254" s="556" t="str">
        <f>IF(VLOOKUP($E$254,[1]DATA_A11!$A$2:$FA$300, 29, FALSE)="",":",VLOOKUP($E$254,[1]DATA_A11!$A$2:$FA$300, 29, FALSE))</f>
        <v>:</v>
      </c>
      <c r="AE254" s="556" t="str">
        <f>IF(VLOOKUP($E$254,[1]DATA_A11!$A$2:$FA$300, 30, FALSE)="",":",VLOOKUP($E$254,[1]DATA_A11!$A$2:$FA$300, 30, FALSE))</f>
        <v>:</v>
      </c>
      <c r="AF254" s="556" t="str">
        <f>IF(VLOOKUP($E$254,[1]DATA_A11!$A$2:$FA$300, 31, FALSE)="",":",VLOOKUP($E$254,[1]DATA_A11!$A$2:$FA$300, 31, FALSE))</f>
        <v>:</v>
      </c>
    </row>
    <row r="255" spans="1:32">
      <c r="A255" s="1870"/>
      <c r="B255" s="546" t="s">
        <v>1955</v>
      </c>
      <c r="C255" s="547" t="s">
        <v>1095</v>
      </c>
      <c r="D255" s="12" t="s">
        <v>1517</v>
      </c>
      <c r="E255" s="13">
        <v>2910</v>
      </c>
      <c r="F255" s="14" t="str">
        <f>VLOOKUP($E$255,[1]DATA_A11!$A$2:$FA$300, 3, FALSE)</f>
        <v>2910 Other current transfers (paid by RoW)</v>
      </c>
      <c r="G255" s="556">
        <f>IF(VLOOKUP($E$255,[1]DATA_A11!$A$2:$FA$300, 6, FALSE)="",":",VLOOKUP($E$255,[1]DATA_A11!$A$2:$FA$300, 6, FALSE))</f>
        <v>3001.6</v>
      </c>
      <c r="H255" s="556">
        <f>IF(VLOOKUP($E$255,[1]DATA_A11!$A$2:$FA$300, 7, FALSE)="",":",VLOOKUP($E$255,[1]DATA_A11!$A$2:$FA$300, 7, FALSE))</f>
        <v>3014.6</v>
      </c>
      <c r="I255" s="556">
        <f>IF(VLOOKUP($E$255,[1]DATA_A11!$A$2:$FA$300, 8, FALSE)="",":",VLOOKUP($E$255,[1]DATA_A11!$A$2:$FA$300, 8, FALSE))</f>
        <v>3627.9</v>
      </c>
      <c r="J255" s="556">
        <f>IF(VLOOKUP($E$255,[1]DATA_A11!$A$2:$FA$300, 9, FALSE)="",":",VLOOKUP($E$255,[1]DATA_A11!$A$2:$FA$300, 9, FALSE))</f>
        <v>3582.9</v>
      </c>
      <c r="K255" s="556">
        <f>IF(VLOOKUP($E$255,[1]DATA_A11!$A$2:$FA$300, 10, FALSE)="",":",VLOOKUP($E$255,[1]DATA_A11!$A$2:$FA$300, 10, FALSE))</f>
        <v>4198.2</v>
      </c>
      <c r="L255" s="556">
        <f>IF(VLOOKUP($E$255,[1]DATA_A11!$A$2:$FA$300, 11, FALSE)="",":",VLOOKUP($E$255,[1]DATA_A11!$A$2:$FA$300, 11, FALSE))</f>
        <v>4434.3</v>
      </c>
      <c r="M255" s="556">
        <f>IF(VLOOKUP($E$255,[1]DATA_A11!$A$2:$FA$300, 12, FALSE)="",":",VLOOKUP($E$255,[1]DATA_A11!$A$2:$FA$300, 12, FALSE))</f>
        <v>4089.2</v>
      </c>
      <c r="N255" s="556">
        <f>IF(VLOOKUP($E$255,[1]DATA_A11!$A$2:$FA$300, 13, FALSE)="",":",VLOOKUP($E$255,[1]DATA_A11!$A$2:$FA$300, 13, FALSE))</f>
        <v>3904.7</v>
      </c>
      <c r="O255" s="556">
        <f>IF(VLOOKUP($E$255,[1]DATA_A11!$A$2:$FA$300, 14, FALSE)="",":",VLOOKUP($E$255,[1]DATA_A11!$A$2:$FA$300, 14, FALSE))</f>
        <v>3895.4</v>
      </c>
      <c r="P255" s="556">
        <f>IF(VLOOKUP($E$255,[1]DATA_A11!$A$2:$FA$300, 15, FALSE)="",":",VLOOKUP($E$255,[1]DATA_A11!$A$2:$FA$300, 15, FALSE))</f>
        <v>3339.4</v>
      </c>
      <c r="Q255" s="556">
        <f>IF(VLOOKUP($E$255,[1]DATA_A11!$A$2:$FA$300, 16, FALSE)="",":",VLOOKUP($E$255,[1]DATA_A11!$A$2:$FA$300, 16, FALSE))</f>
        <v>3362</v>
      </c>
      <c r="R255" s="556">
        <f>IF(VLOOKUP($E$255,[1]DATA_A11!$A$2:$FA$300, 17, FALSE)="",":",VLOOKUP($E$255,[1]DATA_A11!$A$2:$FA$300, 17, FALSE))</f>
        <v>2980.8</v>
      </c>
      <c r="S255" s="556">
        <f>IF(VLOOKUP($E$255,[1]DATA_A11!$A$2:$FA$300, 18, FALSE)="",":",VLOOKUP($E$255,[1]DATA_A11!$A$2:$FA$300, 18, FALSE))</f>
        <v>3767.6</v>
      </c>
      <c r="T255" s="556">
        <f>IF(VLOOKUP($E$255,[1]DATA_A11!$A$2:$FA$300, 19, FALSE)="",":",VLOOKUP($E$255,[1]DATA_A11!$A$2:$FA$300, 19, FALSE))</f>
        <v>3715.7</v>
      </c>
      <c r="U255" s="556">
        <f>IF(VLOOKUP($E$255,[1]DATA_A11!$A$2:$FA$300, 20, FALSE)="",":",VLOOKUP($E$255,[1]DATA_A11!$A$2:$FA$300, 20, FALSE))</f>
        <v>4798.8999999999996</v>
      </c>
      <c r="V255" s="556">
        <f>IF(VLOOKUP($E$255,[1]DATA_A11!$A$2:$FA$300, 21, FALSE)="",":",VLOOKUP($E$255,[1]DATA_A11!$A$2:$FA$300, 21, FALSE))</f>
        <v>6025.1</v>
      </c>
      <c r="W255" s="556">
        <f>IF(VLOOKUP($E$255,[1]DATA_A11!$A$2:$FA$300, 22, FALSE)="",":",VLOOKUP($E$255,[1]DATA_A11!$A$2:$FA$300, 22, FALSE))</f>
        <v>5771.2</v>
      </c>
      <c r="X255" s="556">
        <f>IF(VLOOKUP($E$255,[1]DATA_A11!$A$2:$FA$300, 23, FALSE)="",":",VLOOKUP($E$255,[1]DATA_A11!$A$2:$FA$300, 23, FALSE))</f>
        <v>5291.4</v>
      </c>
      <c r="Y255" s="556">
        <f>IF(VLOOKUP($E$255,[1]DATA_A11!$A$2:$FA$300, 24, FALSE)="",":",VLOOKUP($E$255,[1]DATA_A11!$A$2:$FA$300, 24, FALSE))</f>
        <v>5035.3999999999996</v>
      </c>
      <c r="Z255" s="556">
        <f>IF(VLOOKUP($E$255,[1]DATA_A11!$A$2:$FA$300, 25, FALSE)="",":",VLOOKUP($E$255,[1]DATA_A11!$A$2:$FA$300, 25, FALSE))</f>
        <v>4332.6000000000004</v>
      </c>
      <c r="AA255" s="556">
        <f>IF(VLOOKUP($E$255,[1]DATA_A11!$A$2:$FA$300, 26, FALSE)="",":",VLOOKUP($E$255,[1]DATA_A11!$A$2:$FA$300, 26, FALSE))</f>
        <v>4623.2</v>
      </c>
      <c r="AB255" s="556">
        <f>IF(VLOOKUP($E$255,[1]DATA_A11!$A$2:$FA$300, 27, FALSE)="",":",VLOOKUP($E$255,[1]DATA_A11!$A$2:$FA$300, 27, FALSE))</f>
        <v>4486.3999999999996</v>
      </c>
      <c r="AC255" s="556" t="str">
        <f>IF(VLOOKUP($E$255,[1]DATA_A11!$A$2:$FA$300, 28, FALSE)="",":",VLOOKUP($E$255,[1]DATA_A11!$A$2:$FA$300, 28, FALSE))</f>
        <v>:</v>
      </c>
      <c r="AD255" s="556" t="str">
        <f>IF(VLOOKUP($E$255,[1]DATA_A11!$A$2:$FA$300, 29, FALSE)="",":",VLOOKUP($E$255,[1]DATA_A11!$A$2:$FA$300, 29, FALSE))</f>
        <v>:</v>
      </c>
      <c r="AE255" s="556" t="str">
        <f>IF(VLOOKUP($E$255,[1]DATA_A11!$A$2:$FA$300, 30, FALSE)="",":",VLOOKUP($E$255,[1]DATA_A11!$A$2:$FA$300, 30, FALSE))</f>
        <v>:</v>
      </c>
      <c r="AF255" s="556" t="str">
        <f>IF(VLOOKUP($E$255,[1]DATA_A11!$A$2:$FA$300, 31, FALSE)="",":",VLOOKUP($E$255,[1]DATA_A11!$A$2:$FA$300, 31, FALSE))</f>
        <v>:</v>
      </c>
    </row>
    <row r="256" spans="1:32" s="552" customFormat="1">
      <c r="A256" s="1870"/>
      <c r="B256" s="549"/>
      <c r="C256" s="550" t="s">
        <v>2036</v>
      </c>
      <c r="D256" s="540"/>
      <c r="E256" s="541"/>
      <c r="F256" s="551"/>
      <c r="G256" s="557">
        <f t="shared" ref="G256:AF256" si="14">+G254-G255</f>
        <v>1843.2000000000003</v>
      </c>
      <c r="H256" s="557">
        <f t="shared" si="14"/>
        <v>2328.0000000000005</v>
      </c>
      <c r="I256" s="557">
        <f t="shared" si="14"/>
        <v>2288.4999999999995</v>
      </c>
      <c r="J256" s="557">
        <f t="shared" si="14"/>
        <v>2534.7000000000003</v>
      </c>
      <c r="K256" s="557">
        <f t="shared" si="14"/>
        <v>2618.1000000000004</v>
      </c>
      <c r="L256" s="557">
        <f t="shared" si="14"/>
        <v>2726.3</v>
      </c>
      <c r="M256" s="557">
        <f t="shared" si="14"/>
        <v>2407.9000000000005</v>
      </c>
      <c r="N256" s="557">
        <f t="shared" si="14"/>
        <v>2633.3</v>
      </c>
      <c r="O256" s="557">
        <f t="shared" si="14"/>
        <v>3384.9</v>
      </c>
      <c r="P256" s="557">
        <f t="shared" si="14"/>
        <v>3821.6</v>
      </c>
      <c r="Q256" s="557">
        <f t="shared" si="14"/>
        <v>3813.8</v>
      </c>
      <c r="R256" s="557">
        <f t="shared" si="14"/>
        <v>3802.3999999999996</v>
      </c>
      <c r="S256" s="557">
        <f t="shared" si="14"/>
        <v>3203.7000000000003</v>
      </c>
      <c r="T256" s="557">
        <f t="shared" si="14"/>
        <v>4307.6000000000004</v>
      </c>
      <c r="U256" s="557">
        <f t="shared" si="14"/>
        <v>4313.6000000000004</v>
      </c>
      <c r="V256" s="557">
        <f t="shared" si="14"/>
        <v>3521.3999999999996</v>
      </c>
      <c r="W256" s="557">
        <f t="shared" si="14"/>
        <v>3781.2</v>
      </c>
      <c r="X256" s="557">
        <f t="shared" si="14"/>
        <v>4859.1000000000004</v>
      </c>
      <c r="Y256" s="557">
        <f t="shared" si="14"/>
        <v>5458.1</v>
      </c>
      <c r="Z256" s="557">
        <f t="shared" si="14"/>
        <v>5085.5</v>
      </c>
      <c r="AA256" s="557">
        <f t="shared" si="14"/>
        <v>5080.2</v>
      </c>
      <c r="AB256" s="557">
        <f t="shared" si="14"/>
        <v>6492</v>
      </c>
      <c r="AC256" s="557" t="e">
        <f t="shared" si="14"/>
        <v>#VALUE!</v>
      </c>
      <c r="AD256" s="557" t="e">
        <f t="shared" si="14"/>
        <v>#VALUE!</v>
      </c>
      <c r="AE256" s="557" t="e">
        <f t="shared" si="14"/>
        <v>#VALUE!</v>
      </c>
      <c r="AF256" s="557" t="e">
        <f t="shared" si="14"/>
        <v>#VALUE!</v>
      </c>
    </row>
    <row r="257" spans="1:32">
      <c r="A257" s="545"/>
      <c r="B257" s="546"/>
      <c r="C257" s="547"/>
      <c r="D257" s="12"/>
      <c r="E257" s="13"/>
      <c r="F257" s="14"/>
      <c r="G257" s="556"/>
      <c r="H257" s="556"/>
      <c r="I257" s="556"/>
      <c r="J257" s="556"/>
      <c r="K257" s="556"/>
      <c r="L257" s="556"/>
      <c r="M257" s="556"/>
      <c r="N257" s="556"/>
      <c r="O257" s="556"/>
      <c r="P257" s="556"/>
      <c r="Q257" s="556"/>
      <c r="R257" s="556"/>
      <c r="S257" s="556"/>
      <c r="T257" s="556"/>
      <c r="U257" s="556"/>
      <c r="V257" s="556"/>
      <c r="W257" s="556"/>
      <c r="X257" s="556"/>
      <c r="Y257" s="556"/>
      <c r="Z257" s="556"/>
      <c r="AA257" s="556"/>
      <c r="AB257" s="556"/>
      <c r="AC257" s="556"/>
      <c r="AD257" s="556"/>
      <c r="AE257" s="556"/>
      <c r="AF257" s="556"/>
    </row>
    <row r="258" spans="1:32">
      <c r="A258" s="1870"/>
      <c r="B258" s="546" t="s">
        <v>332</v>
      </c>
      <c r="C258" s="547" t="s">
        <v>91</v>
      </c>
      <c r="D258" s="12" t="s">
        <v>1517</v>
      </c>
      <c r="E258" s="13">
        <v>2925</v>
      </c>
      <c r="F258" s="14" t="str">
        <f>VLOOKUP($E$258,[1]DATA_A11!$A$2:$FA$300, 3, FALSE)</f>
        <v xml:space="preserve">2925 Net capital transfers </v>
      </c>
      <c r="G258" s="556">
        <f>IF(VLOOKUP($E$258,[1]DATA_A11!$A$2:$FA$300, 6, FALSE)="",":",VLOOKUP($E$258,[1]DATA_A11!$A$2:$FA$300, 6, FALSE))</f>
        <v>-229.29999999999995</v>
      </c>
      <c r="H258" s="556">
        <f>IF(VLOOKUP($E$258,[1]DATA_A11!$A$2:$FA$300, 7, FALSE)="",":",VLOOKUP($E$258,[1]DATA_A11!$A$2:$FA$300, 7, FALSE))</f>
        <v>-105.69999999999999</v>
      </c>
      <c r="I258" s="556">
        <f>IF(VLOOKUP($E$258,[1]DATA_A11!$A$2:$FA$300, 8, FALSE)="",":",VLOOKUP($E$258,[1]DATA_A11!$A$2:$FA$300, 8, FALSE))</f>
        <v>394</v>
      </c>
      <c r="J258" s="556">
        <f>IF(VLOOKUP($E$258,[1]DATA_A11!$A$2:$FA$300, 9, FALSE)="",":",VLOOKUP($E$258,[1]DATA_A11!$A$2:$FA$300, 9, FALSE))</f>
        <v>-132.5</v>
      </c>
      <c r="K258" s="556">
        <f>IF(VLOOKUP($E$258,[1]DATA_A11!$A$2:$FA$300, 10, FALSE)="",":",VLOOKUP($E$258,[1]DATA_A11!$A$2:$FA$300, 10, FALSE))</f>
        <v>-41.700000000000045</v>
      </c>
      <c r="L258" s="556">
        <f>IF(VLOOKUP($E$258,[1]DATA_A11!$A$2:$FA$300, 11, FALSE)="",":",VLOOKUP($E$258,[1]DATA_A11!$A$2:$FA$300, 11, FALSE))</f>
        <v>-208.69999999999993</v>
      </c>
      <c r="M258" s="556">
        <f>IF(VLOOKUP($E$258,[1]DATA_A11!$A$2:$FA$300, 12, FALSE)="",":",VLOOKUP($E$258,[1]DATA_A11!$A$2:$FA$300, 12, FALSE))</f>
        <v>-495.2</v>
      </c>
      <c r="N258" s="556">
        <f>IF(VLOOKUP($E$258,[1]DATA_A11!$A$2:$FA$300, 13, FALSE)="",":",VLOOKUP($E$258,[1]DATA_A11!$A$2:$FA$300, 13, FALSE))</f>
        <v>-353.50000000000006</v>
      </c>
      <c r="O258" s="556">
        <f>IF(VLOOKUP($E$258,[1]DATA_A11!$A$2:$FA$300, 14, FALSE)="",":",VLOOKUP($E$258,[1]DATA_A11!$A$2:$FA$300, 14, FALSE))</f>
        <v>-55.5</v>
      </c>
      <c r="P258" s="556">
        <f>IF(VLOOKUP($E$258,[1]DATA_A11!$A$2:$FA$300, 15, FALSE)="",":",VLOOKUP($E$258,[1]DATA_A11!$A$2:$FA$300, 15, FALSE))</f>
        <v>-35.599999999999966</v>
      </c>
      <c r="Q258" s="556">
        <f>IF(VLOOKUP($E$258,[1]DATA_A11!$A$2:$FA$300, 16, FALSE)="",":",VLOOKUP($E$258,[1]DATA_A11!$A$2:$FA$300, 16, FALSE))</f>
        <v>-160.5</v>
      </c>
      <c r="R258" s="556">
        <f>IF(VLOOKUP($E$258,[1]DATA_A11!$A$2:$FA$300, 17, FALSE)="",":",VLOOKUP($E$258,[1]DATA_A11!$A$2:$FA$300, 17, FALSE))</f>
        <v>-74.5</v>
      </c>
      <c r="S258" s="556">
        <f>IF(VLOOKUP($E$258,[1]DATA_A11!$A$2:$FA$300, 18, FALSE)="",":",VLOOKUP($E$258,[1]DATA_A11!$A$2:$FA$300, 18, FALSE))</f>
        <v>-199.5</v>
      </c>
      <c r="T258" s="556">
        <f>IF(VLOOKUP($E$258,[1]DATA_A11!$A$2:$FA$300, 19, FALSE)="",":",VLOOKUP($E$258,[1]DATA_A11!$A$2:$FA$300, 19, FALSE))</f>
        <v>-179.79999999999995</v>
      </c>
      <c r="U258" s="556">
        <f>IF(VLOOKUP($E$258,[1]DATA_A11!$A$2:$FA$300, 20, FALSE)="",":",VLOOKUP($E$258,[1]DATA_A11!$A$2:$FA$300, 20, FALSE))</f>
        <v>-202.7</v>
      </c>
      <c r="V258" s="556">
        <f>IF(VLOOKUP($E$258,[1]DATA_A11!$A$2:$FA$300, 21, FALSE)="",":",VLOOKUP($E$258,[1]DATA_A11!$A$2:$FA$300, 21, FALSE))</f>
        <v>-277</v>
      </c>
      <c r="W258" s="556">
        <f>IF(VLOOKUP($E$258,[1]DATA_A11!$A$2:$FA$300, 22, FALSE)="",":",VLOOKUP($E$258,[1]DATA_A11!$A$2:$FA$300, 22, FALSE))</f>
        <v>-460.5</v>
      </c>
      <c r="X258" s="556">
        <f>IF(VLOOKUP($E$258,[1]DATA_A11!$A$2:$FA$300, 23, FALSE)="",":",VLOOKUP($E$258,[1]DATA_A11!$A$2:$FA$300, 23, FALSE))</f>
        <v>2310</v>
      </c>
      <c r="Y258" s="556">
        <f>IF(VLOOKUP($E$258,[1]DATA_A11!$A$2:$FA$300, 24, FALSE)="",":",VLOOKUP($E$258,[1]DATA_A11!$A$2:$FA$300, 24, FALSE))</f>
        <v>-173.8</v>
      </c>
      <c r="Z258" s="556">
        <f>IF(VLOOKUP($E$258,[1]DATA_A11!$A$2:$FA$300, 25, FALSE)="",":",VLOOKUP($E$258,[1]DATA_A11!$A$2:$FA$300, 25, FALSE))</f>
        <v>-290</v>
      </c>
      <c r="AA258" s="556">
        <f>IF(VLOOKUP($E$258,[1]DATA_A11!$A$2:$FA$300, 26, FALSE)="",":",VLOOKUP($E$258,[1]DATA_A11!$A$2:$FA$300, 26, FALSE))</f>
        <v>25.199999999999989</v>
      </c>
      <c r="AB258" s="556">
        <f>IF(VLOOKUP($E$258,[1]DATA_A11!$A$2:$FA$300, 27, FALSE)="",":",VLOOKUP($E$258,[1]DATA_A11!$A$2:$FA$300, 27, FALSE))</f>
        <v>-352</v>
      </c>
      <c r="AC258" s="556" t="str">
        <f>IF(VLOOKUP($E$258,[1]DATA_A11!$A$2:$FA$300, 28, FALSE)="",":",VLOOKUP($E$258,[1]DATA_A11!$A$2:$FA$300, 28, FALSE))</f>
        <v>:</v>
      </c>
      <c r="AD258" s="556" t="str">
        <f>IF(VLOOKUP($E$258,[1]DATA_A11!$A$2:$FA$300, 29, FALSE)="",":",VLOOKUP($E$258,[1]DATA_A11!$A$2:$FA$300, 29, FALSE))</f>
        <v>:</v>
      </c>
      <c r="AE258" s="556" t="str">
        <f>IF(VLOOKUP($E$258,[1]DATA_A11!$A$2:$FA$300, 30, FALSE)="",":",VLOOKUP($E$258,[1]DATA_A11!$A$2:$FA$300, 30, FALSE))</f>
        <v>:</v>
      </c>
      <c r="AF258" s="556" t="str">
        <f>IF(VLOOKUP($E$258,[1]DATA_A11!$A$2:$FA$300, 31, FALSE)="",":",VLOOKUP($E$258,[1]DATA_A11!$A$2:$FA$300, 31, FALSE))</f>
        <v>:</v>
      </c>
    </row>
    <row r="259" spans="1:32">
      <c r="A259" s="1870"/>
      <c r="B259" s="546" t="s">
        <v>333</v>
      </c>
      <c r="C259" s="547" t="s">
        <v>1096</v>
      </c>
      <c r="D259" s="12" t="s">
        <v>1517</v>
      </c>
      <c r="E259" s="13">
        <v>2926</v>
      </c>
      <c r="F259" s="14" t="str">
        <f>VLOOKUP($E$259,[1]DATA_A11!$A$2:$FA$300, 3, FALSE)</f>
        <v>2926 Acq. less disp. of non-fin. non-prod. Assets</v>
      </c>
      <c r="G259" s="556">
        <f>IF(VLOOKUP($E$259,[1]DATA_A11!$A$2:$FA$300, 6, FALSE)="",":",VLOOKUP($E$259,[1]DATA_A11!$A$2:$FA$300, 6, FALSE))</f>
        <v>-6.7</v>
      </c>
      <c r="H259" s="556">
        <f>IF(VLOOKUP($E$259,[1]DATA_A11!$A$2:$FA$300, 7, FALSE)="",":",VLOOKUP($E$259,[1]DATA_A11!$A$2:$FA$300, 7, FALSE))</f>
        <v>-17</v>
      </c>
      <c r="I259" s="556">
        <f>IF(VLOOKUP($E$259,[1]DATA_A11!$A$2:$FA$300, 8, FALSE)="",":",VLOOKUP($E$259,[1]DATA_A11!$A$2:$FA$300, 8, FALSE))</f>
        <v>-53</v>
      </c>
      <c r="J259" s="556">
        <f>IF(VLOOKUP($E$259,[1]DATA_A11!$A$2:$FA$300, 9, FALSE)="",":",VLOOKUP($E$259,[1]DATA_A11!$A$2:$FA$300, 9, FALSE))</f>
        <v>-26</v>
      </c>
      <c r="K259" s="556">
        <f>IF(VLOOKUP($E$259,[1]DATA_A11!$A$2:$FA$300, 10, FALSE)="",":",VLOOKUP($E$259,[1]DATA_A11!$A$2:$FA$300, 10, FALSE))</f>
        <v>33.700000000000003</v>
      </c>
      <c r="L259" s="556">
        <f>IF(VLOOKUP($E$259,[1]DATA_A11!$A$2:$FA$300, 11, FALSE)="",":",VLOOKUP($E$259,[1]DATA_A11!$A$2:$FA$300, 11, FALSE))</f>
        <v>-77.400000000000006</v>
      </c>
      <c r="M259" s="556">
        <f>IF(VLOOKUP($E$259,[1]DATA_A11!$A$2:$FA$300, 12, FALSE)="",":",VLOOKUP($E$259,[1]DATA_A11!$A$2:$FA$300, 12, FALSE))</f>
        <v>38.700000000000003</v>
      </c>
      <c r="N259" s="556">
        <f>IF(VLOOKUP($E$259,[1]DATA_A11!$A$2:$FA$300, 13, FALSE)="",":",VLOOKUP($E$259,[1]DATA_A11!$A$2:$FA$300, 13, FALSE))</f>
        <v>-84.3</v>
      </c>
      <c r="O259" s="556">
        <f>IF(VLOOKUP($E$259,[1]DATA_A11!$A$2:$FA$300, 14, FALSE)="",":",VLOOKUP($E$259,[1]DATA_A11!$A$2:$FA$300, 14, FALSE))</f>
        <v>-71.2</v>
      </c>
      <c r="P259" s="556">
        <f>IF(VLOOKUP($E$259,[1]DATA_A11!$A$2:$FA$300, 15, FALSE)="",":",VLOOKUP($E$259,[1]DATA_A11!$A$2:$FA$300, 15, FALSE))</f>
        <v>-81.3</v>
      </c>
      <c r="Q259" s="556">
        <f>IF(VLOOKUP($E$259,[1]DATA_A11!$A$2:$FA$300, 16, FALSE)="",":",VLOOKUP($E$259,[1]DATA_A11!$A$2:$FA$300, 16, FALSE))</f>
        <v>-155.4</v>
      </c>
      <c r="R259" s="556">
        <f>IF(VLOOKUP($E$259,[1]DATA_A11!$A$2:$FA$300, 17, FALSE)="",":",VLOOKUP($E$259,[1]DATA_A11!$A$2:$FA$300, 17, FALSE))</f>
        <v>68.900000000000006</v>
      </c>
      <c r="S259" s="556">
        <f>IF(VLOOKUP($E$259,[1]DATA_A11!$A$2:$FA$300, 18, FALSE)="",":",VLOOKUP($E$259,[1]DATA_A11!$A$2:$FA$300, 18, FALSE))</f>
        <v>-782</v>
      </c>
      <c r="T259" s="556">
        <f>IF(VLOOKUP($E$259,[1]DATA_A11!$A$2:$FA$300, 19, FALSE)="",":",VLOOKUP($E$259,[1]DATA_A11!$A$2:$FA$300, 19, FALSE))</f>
        <v>-1125</v>
      </c>
      <c r="U259" s="556">
        <f>IF(VLOOKUP($E$259,[1]DATA_A11!$A$2:$FA$300, 20, FALSE)="",":",VLOOKUP($E$259,[1]DATA_A11!$A$2:$FA$300, 20, FALSE))</f>
        <v>-262.89999999999998</v>
      </c>
      <c r="V259" s="556">
        <f>IF(VLOOKUP($E$259,[1]DATA_A11!$A$2:$FA$300, 21, FALSE)="",":",VLOOKUP($E$259,[1]DATA_A11!$A$2:$FA$300, 21, FALSE))</f>
        <v>-31.6</v>
      </c>
      <c r="W259" s="556">
        <f>IF(VLOOKUP($E$259,[1]DATA_A11!$A$2:$FA$300, 22, FALSE)="",":",VLOOKUP($E$259,[1]DATA_A11!$A$2:$FA$300, 22, FALSE))</f>
        <v>84.9</v>
      </c>
      <c r="X259" s="556">
        <f>IF(VLOOKUP($E$259,[1]DATA_A11!$A$2:$FA$300, 23, FALSE)="",":",VLOOKUP($E$259,[1]DATA_A11!$A$2:$FA$300, 23, FALSE))</f>
        <v>374</v>
      </c>
      <c r="Y259" s="556">
        <f>IF(VLOOKUP($E$259,[1]DATA_A11!$A$2:$FA$300, 24, FALSE)="",":",VLOOKUP($E$259,[1]DATA_A11!$A$2:$FA$300, 24, FALSE))</f>
        <v>-87.5</v>
      </c>
      <c r="Z259" s="556">
        <f>IF(VLOOKUP($E$259,[1]DATA_A11!$A$2:$FA$300, 25, FALSE)="",":",VLOOKUP($E$259,[1]DATA_A11!$A$2:$FA$300, 25, FALSE))</f>
        <v>-625</v>
      </c>
      <c r="AA259" s="556">
        <f>IF(VLOOKUP($E$259,[1]DATA_A11!$A$2:$FA$300, 26, FALSE)="",":",VLOOKUP($E$259,[1]DATA_A11!$A$2:$FA$300, 26, FALSE))</f>
        <v>86</v>
      </c>
      <c r="AB259" s="556">
        <f>IF(VLOOKUP($E$259,[1]DATA_A11!$A$2:$FA$300, 27, FALSE)="",":",VLOOKUP($E$259,[1]DATA_A11!$A$2:$FA$300, 27, FALSE))</f>
        <v>821</v>
      </c>
      <c r="AC259" s="556" t="str">
        <f>IF(VLOOKUP($E$259,[1]DATA_A11!$A$2:$FA$300, 28, FALSE)="",":",VLOOKUP($E$259,[1]DATA_A11!$A$2:$FA$300, 28, FALSE))</f>
        <v>:</v>
      </c>
      <c r="AD259" s="556" t="str">
        <f>IF(VLOOKUP($E$259,[1]DATA_A11!$A$2:$FA$300, 29, FALSE)="",":",VLOOKUP($E$259,[1]DATA_A11!$A$2:$FA$300, 29, FALSE))</f>
        <v>:</v>
      </c>
      <c r="AE259" s="556" t="str">
        <f>IF(VLOOKUP($E$259,[1]DATA_A11!$A$2:$FA$300, 30, FALSE)="",":",VLOOKUP($E$259,[1]DATA_A11!$A$2:$FA$300, 30, FALSE))</f>
        <v>:</v>
      </c>
      <c r="AF259" s="556" t="str">
        <f>IF(VLOOKUP($E$259,[1]DATA_A11!$A$2:$FA$300, 31, FALSE)="",":",VLOOKUP($E$259,[1]DATA_A11!$A$2:$FA$300, 31, FALSE))</f>
        <v>:</v>
      </c>
    </row>
    <row r="260" spans="1:32">
      <c r="A260" s="545"/>
      <c r="B260" s="546"/>
      <c r="C260" s="547"/>
      <c r="D260" s="12"/>
      <c r="E260" s="13"/>
      <c r="F260" s="14"/>
      <c r="G260" s="556"/>
      <c r="H260" s="556"/>
      <c r="I260" s="556"/>
      <c r="J260" s="556"/>
      <c r="K260" s="556"/>
      <c r="L260" s="556"/>
      <c r="M260" s="556"/>
      <c r="N260" s="556"/>
      <c r="O260" s="556"/>
      <c r="P260" s="556"/>
      <c r="Q260" s="556"/>
      <c r="R260" s="556"/>
      <c r="S260" s="556"/>
      <c r="T260" s="556"/>
      <c r="U260" s="556"/>
      <c r="V260" s="556"/>
      <c r="W260" s="556"/>
      <c r="X260" s="556"/>
      <c r="Y260" s="556"/>
      <c r="Z260" s="556"/>
      <c r="AA260" s="556"/>
      <c r="AB260" s="556"/>
      <c r="AC260" s="556"/>
      <c r="AD260" s="556"/>
      <c r="AE260" s="556"/>
      <c r="AF260" s="556"/>
    </row>
    <row r="261" spans="1:32">
      <c r="A261" s="545">
        <v>147</v>
      </c>
      <c r="B261" s="546" t="s">
        <v>688</v>
      </c>
      <c r="C261" s="547"/>
      <c r="D261" s="12" t="s">
        <v>1517</v>
      </c>
      <c r="E261" s="13">
        <v>2221</v>
      </c>
      <c r="F261" s="14" t="str">
        <f>VLOOKUP($E$261,[1]DATA_A11!$A$2:$FA$300, 3, FALSE)</f>
        <v>2221 Nominal Expenditure Exports of Goods to EU</v>
      </c>
      <c r="G261" s="556">
        <f ca="1">IF(VLOOKUP($E$261,[1]DATA_A11!$A$2:$FA$300, 6, FALSE)="",":",VLOOKUP($E$261,[1]DATA_A11!$A$2:$FA$300, 6, FALSE))</f>
        <v>101186.7</v>
      </c>
      <c r="H261" s="556">
        <f ca="1">IF(VLOOKUP($E$261,[1]DATA_A11!$A$2:$FA$300, 7, FALSE)="",":",VLOOKUP($E$261,[1]DATA_A11!$A$2:$FA$300, 7, FALSE))</f>
        <v>105762.3</v>
      </c>
      <c r="I261" s="556">
        <f ca="1">IF(VLOOKUP($E$261,[1]DATA_A11!$A$2:$FA$300, 8, FALSE)="",":",VLOOKUP($E$261,[1]DATA_A11!$A$2:$FA$300, 8, FALSE))</f>
        <v>117243.8</v>
      </c>
      <c r="J261" s="556">
        <f ca="1">IF(VLOOKUP($E$261,[1]DATA_A11!$A$2:$FA$300, 9, FALSE)="",":",VLOOKUP($E$261,[1]DATA_A11!$A$2:$FA$300, 9, FALSE))</f>
        <v>127217.60000000001</v>
      </c>
      <c r="K261" s="556">
        <f ca="1">IF(VLOOKUP($E$261,[1]DATA_A11!$A$2:$FA$300, 10, FALSE)="",":",VLOOKUP($E$261,[1]DATA_A11!$A$2:$FA$300, 10, FALSE))</f>
        <v>132406.79999999999</v>
      </c>
      <c r="L261" s="556">
        <f>IF(VLOOKUP($E$261,[1]DATA_A11!$A$2:$FA$300, 11, FALSE)="",":",VLOOKUP($E$261,[1]DATA_A11!$A$2:$FA$300, 11, FALSE))</f>
        <v>156695.5</v>
      </c>
      <c r="M261" s="556">
        <f>IF(VLOOKUP($E$261,[1]DATA_A11!$A$2:$FA$300, 12, FALSE)="",":",VLOOKUP($E$261,[1]DATA_A11!$A$2:$FA$300, 12, FALSE))</f>
        <v>165806</v>
      </c>
      <c r="N261" s="556">
        <f>IF(VLOOKUP($E$261,[1]DATA_A11!$A$2:$FA$300, 13, FALSE)="",":",VLOOKUP($E$261,[1]DATA_A11!$A$2:$FA$300, 13, FALSE))</f>
        <v>172623.8</v>
      </c>
      <c r="O261" s="556">
        <f>IF(VLOOKUP($E$261,[1]DATA_A11!$A$2:$FA$300, 14, FALSE)="",":",VLOOKUP($E$261,[1]DATA_A11!$A$2:$FA$300, 14, FALSE))</f>
        <v>174604.7</v>
      </c>
      <c r="P261" s="556">
        <f>IF(VLOOKUP($E$261,[1]DATA_A11!$A$2:$FA$300, 15, FALSE)="",":",VLOOKUP($E$261,[1]DATA_A11!$A$2:$FA$300, 15, FALSE))</f>
        <v>190272.9</v>
      </c>
      <c r="Q261" s="556">
        <f>IF(VLOOKUP($E$261,[1]DATA_A11!$A$2:$FA$300, 16, FALSE)="",":",VLOOKUP($E$261,[1]DATA_A11!$A$2:$FA$300, 16, FALSE))</f>
        <v>206456.00000000003</v>
      </c>
      <c r="R261" s="556">
        <f>IF(VLOOKUP($E$261,[1]DATA_A11!$A$2:$FA$300, 17, FALSE)="",":",VLOOKUP($E$261,[1]DATA_A11!$A$2:$FA$300, 17, FALSE))</f>
        <v>223387.1</v>
      </c>
      <c r="S261" s="556">
        <f>IF(VLOOKUP($E$261,[1]DATA_A11!$A$2:$FA$300, 18, FALSE)="",":",VLOOKUP($E$261,[1]DATA_A11!$A$2:$FA$300, 18, FALSE))</f>
        <v>239486.10000000006</v>
      </c>
      <c r="T261" s="556">
        <f>IF(VLOOKUP($E$261,[1]DATA_A11!$A$2:$FA$300, 19, FALSE)="",":",VLOOKUP($E$261,[1]DATA_A11!$A$2:$FA$300, 19, FALSE))</f>
        <v>246843.7</v>
      </c>
      <c r="U261" s="556">
        <f>IF(VLOOKUP($E$261,[1]DATA_A11!$A$2:$FA$300, 20, FALSE)="",":",VLOOKUP($E$261,[1]DATA_A11!$A$2:$FA$300, 20, FALSE))</f>
        <v>201278.8</v>
      </c>
      <c r="V261" s="556">
        <f>IF(VLOOKUP($E$261,[1]DATA_A11!$A$2:$FA$300, 21, FALSE)="",":",VLOOKUP($E$261,[1]DATA_A11!$A$2:$FA$300, 21, FALSE))</f>
        <v>224596.20000000004</v>
      </c>
      <c r="W261" s="556">
        <f>IF(VLOOKUP($E$261,[1]DATA_A11!$A$2:$FA$300, 22, FALSE)="",":",VLOOKUP($E$261,[1]DATA_A11!$A$2:$FA$300, 22, FALSE))</f>
        <v>246041.80000000002</v>
      </c>
      <c r="X261" s="556">
        <f>IF(VLOOKUP($E$261,[1]DATA_A11!$A$2:$FA$300, 23, FALSE)="",":",VLOOKUP($E$261,[1]DATA_A11!$A$2:$FA$300, 23, FALSE))</f>
        <v>243050.99999999997</v>
      </c>
      <c r="Y261" s="556">
        <f>IF(VLOOKUP($E$261,[1]DATA_A11!$A$2:$FA$300, 24, FALSE)="",":",VLOOKUP($E$261,[1]DATA_A11!$A$2:$FA$300, 24, FALSE))</f>
        <v>247572.39999999997</v>
      </c>
      <c r="Z261" s="556">
        <f>IF(VLOOKUP($E$261,[1]DATA_A11!$A$2:$FA$300, 25, FALSE)="",":",VLOOKUP($E$261,[1]DATA_A11!$A$2:$FA$300, 25, FALSE))</f>
        <v>250596.39999999997</v>
      </c>
      <c r="AA261" s="556">
        <f>IF(VLOOKUP($E$261,[1]DATA_A11!$A$2:$FA$300, 26, FALSE)="",":",VLOOKUP($E$261,[1]DATA_A11!$A$2:$FA$300, 26, FALSE))</f>
        <v>256493.6</v>
      </c>
      <c r="AB261" s="556">
        <f>IF(VLOOKUP($E$261,[1]DATA_A11!$A$2:$FA$300, 27, FALSE)="",":",VLOOKUP($E$261,[1]DATA_A11!$A$2:$FA$300, 27, FALSE))</f>
        <v>258776.40000000002</v>
      </c>
      <c r="AC261" s="556">
        <f>IF(VLOOKUP($E$261,[1]DATA_A11!$A$2:$FA$300, 28, FALSE)="",":",VLOOKUP($E$261,[1]DATA_A11!$A$2:$FA$300, 28, FALSE))</f>
        <v>274464.30000000005</v>
      </c>
      <c r="AD261" s="556" t="str">
        <f>IF(VLOOKUP($E$261,[1]DATA_A11!$A$2:$FA$300, 29, FALSE)="",":",VLOOKUP($E$261,[1]DATA_A11!$A$2:$FA$300, 29, FALSE))</f>
        <v>:</v>
      </c>
      <c r="AE261" s="556" t="str">
        <f>IF(VLOOKUP($E$261,[1]DATA_A11!$A$2:$FA$300, 30, FALSE)="",":",VLOOKUP($E$261,[1]DATA_A11!$A$2:$FA$300, 30, FALSE))</f>
        <v>:</v>
      </c>
      <c r="AF261" s="556" t="str">
        <f>IF(VLOOKUP($E$261,[1]DATA_A11!$A$2:$FA$300, 31, FALSE)="",":",VLOOKUP($E$261,[1]DATA_A11!$A$2:$FA$300, 31, FALSE))</f>
        <v>:</v>
      </c>
    </row>
    <row r="262" spans="1:32">
      <c r="A262" s="545">
        <v>149</v>
      </c>
      <c r="B262" s="546" t="s">
        <v>1737</v>
      </c>
      <c r="C262" s="547"/>
      <c r="D262" s="12" t="s">
        <v>1517</v>
      </c>
      <c r="E262" s="13">
        <v>2222</v>
      </c>
      <c r="F262" s="14" t="str">
        <f>VLOOKUP($E$262,[1]DATA_A11!$A$2:$FA$300, 3, FALSE)</f>
        <v>2222 Nominal Expenditure Exports of Goods extra EU</v>
      </c>
      <c r="G262" s="556">
        <f ca="1">IF(VLOOKUP($E$262,[1]DATA_A11!$A$2:$FA$300, 6, FALSE)="",":",VLOOKUP($E$262,[1]DATA_A11!$A$2:$FA$300, 6, FALSE))</f>
        <v>27167.3</v>
      </c>
      <c r="H262" s="556">
        <f ca="1">IF(VLOOKUP($E$262,[1]DATA_A11!$A$2:$FA$300, 7, FALSE)="",":",VLOOKUP($E$262,[1]DATA_A11!$A$2:$FA$300, 7, FALSE))</f>
        <v>28849.200000000001</v>
      </c>
      <c r="I262" s="556">
        <f ca="1">IF(VLOOKUP($E$262,[1]DATA_A11!$A$2:$FA$300, 8, FALSE)="",":",VLOOKUP($E$262,[1]DATA_A11!$A$2:$FA$300, 8, FALSE))</f>
        <v>35033.5</v>
      </c>
      <c r="J262" s="556">
        <f ca="1">IF(VLOOKUP($E$262,[1]DATA_A11!$A$2:$FA$300, 9, FALSE)="",":",VLOOKUP($E$262,[1]DATA_A11!$A$2:$FA$300, 9, FALSE))</f>
        <v>33698.5</v>
      </c>
      <c r="K262" s="556">
        <f ca="1">IF(VLOOKUP($E$262,[1]DATA_A11!$A$2:$FA$300, 10, FALSE)="",":",VLOOKUP($E$262,[1]DATA_A11!$A$2:$FA$300, 10, FALSE))</f>
        <v>35684.400000000001</v>
      </c>
      <c r="L262" s="556">
        <f>IF(VLOOKUP($E$262,[1]DATA_A11!$A$2:$FA$300, 11, FALSE)="",":",VLOOKUP($E$262,[1]DATA_A11!$A$2:$FA$300, 11, FALSE))</f>
        <v>47257.69999999999</v>
      </c>
      <c r="M262" s="556">
        <f>IF(VLOOKUP($E$262,[1]DATA_A11!$A$2:$FA$300, 12, FALSE)="",":",VLOOKUP($E$262,[1]DATA_A11!$A$2:$FA$300, 12, FALSE))</f>
        <v>46731.499999999993</v>
      </c>
      <c r="N262" s="556">
        <f>IF(VLOOKUP($E$262,[1]DATA_A11!$A$2:$FA$300, 13, FALSE)="",":",VLOOKUP($E$262,[1]DATA_A11!$A$2:$FA$300, 13, FALSE))</f>
        <v>55937.399999999994</v>
      </c>
      <c r="O262" s="556">
        <f>IF(VLOOKUP($E$262,[1]DATA_A11!$A$2:$FA$300, 14, FALSE)="",":",VLOOKUP($E$262,[1]DATA_A11!$A$2:$FA$300, 14, FALSE))</f>
        <v>51364.900000000009</v>
      </c>
      <c r="P262" s="556">
        <f>IF(VLOOKUP($E$262,[1]DATA_A11!$A$2:$FA$300, 15, FALSE)="",":",VLOOKUP($E$262,[1]DATA_A11!$A$2:$FA$300, 15, FALSE))</f>
        <v>56424.100000000013</v>
      </c>
      <c r="Q262" s="556">
        <f>IF(VLOOKUP($E$262,[1]DATA_A11!$A$2:$FA$300, 16, FALSE)="",":",VLOOKUP($E$262,[1]DATA_A11!$A$2:$FA$300, 16, FALSE))</f>
        <v>62332.69999999999</v>
      </c>
      <c r="R262" s="556">
        <f>IF(VLOOKUP($E$262,[1]DATA_A11!$A$2:$FA$300, 17, FALSE)="",":",VLOOKUP($E$262,[1]DATA_A11!$A$2:$FA$300, 17, FALSE))</f>
        <v>68699.999999999927</v>
      </c>
      <c r="S262" s="556">
        <f>IF(VLOOKUP($E$262,[1]DATA_A11!$A$2:$FA$300, 18, FALSE)="",":",VLOOKUP($E$262,[1]DATA_A11!$A$2:$FA$300, 18, FALSE))</f>
        <v>74962.699999999983</v>
      </c>
      <c r="T262" s="556">
        <f>IF(VLOOKUP($E$262,[1]DATA_A11!$A$2:$FA$300, 19, FALSE)="",":",VLOOKUP($E$262,[1]DATA_A11!$A$2:$FA$300, 19, FALSE))</f>
        <v>73961.3</v>
      </c>
      <c r="U262" s="556">
        <f>IF(VLOOKUP($E$262,[1]DATA_A11!$A$2:$FA$300, 20, FALSE)="",":",VLOOKUP($E$262,[1]DATA_A11!$A$2:$FA$300, 20, FALSE))</f>
        <v>64707.199999999997</v>
      </c>
      <c r="V262" s="556">
        <f>IF(VLOOKUP($E$262,[1]DATA_A11!$A$2:$FA$300, 21, FALSE)="",":",VLOOKUP($E$262,[1]DATA_A11!$A$2:$FA$300, 21, FALSE))</f>
        <v>82933.699999999983</v>
      </c>
      <c r="W262" s="556">
        <f>IF(VLOOKUP($E$262,[1]DATA_A11!$A$2:$FA$300, 22, FALSE)="",":",VLOOKUP($E$262,[1]DATA_A11!$A$2:$FA$300, 22, FALSE))</f>
        <v>95676.3</v>
      </c>
      <c r="X262" s="556">
        <f>IF(VLOOKUP($E$262,[1]DATA_A11!$A$2:$FA$300, 23, FALSE)="",":",VLOOKUP($E$262,[1]DATA_A11!$A$2:$FA$300, 23, FALSE))</f>
        <v>104037.20000000006</v>
      </c>
      <c r="Y262" s="556">
        <f>IF(VLOOKUP($E$262,[1]DATA_A11!$A$2:$FA$300, 24, FALSE)="",":",VLOOKUP($E$262,[1]DATA_A11!$A$2:$FA$300, 24, FALSE))</f>
        <v>105383.20000000003</v>
      </c>
      <c r="Z262" s="556">
        <f>IF(VLOOKUP($E$262,[1]DATA_A11!$A$2:$FA$300, 25, FALSE)="",":",VLOOKUP($E$262,[1]DATA_A11!$A$2:$FA$300, 25, FALSE))</f>
        <v>104691.30000000006</v>
      </c>
      <c r="AA262" s="556">
        <f>IF(VLOOKUP($E$262,[1]DATA_A11!$A$2:$FA$300, 26, FALSE)="",":",VLOOKUP($E$262,[1]DATA_A11!$A$2:$FA$300, 26, FALSE))</f>
        <v>101259.80000000003</v>
      </c>
      <c r="AB262" s="556">
        <f>IF(VLOOKUP($E$262,[1]DATA_A11!$A$2:$FA$300, 27, FALSE)="",":",VLOOKUP($E$262,[1]DATA_A11!$A$2:$FA$300, 27, FALSE))</f>
        <v>100767.29999999997</v>
      </c>
      <c r="AC262" s="556">
        <f>IF(VLOOKUP($E$262,[1]DATA_A11!$A$2:$FA$300, 28, FALSE)="",":",VLOOKUP($E$262,[1]DATA_A11!$A$2:$FA$300, 28, FALSE))</f>
        <v>106556.20000000004</v>
      </c>
      <c r="AD262" s="556" t="str">
        <f>IF(VLOOKUP($E$262,[1]DATA_A11!$A$2:$FA$300, 29, FALSE)="",":",VLOOKUP($E$262,[1]DATA_A11!$A$2:$FA$300, 29, FALSE))</f>
        <v>:</v>
      </c>
      <c r="AE262" s="556" t="str">
        <f>IF(VLOOKUP($E$262,[1]DATA_A11!$A$2:$FA$300, 30, FALSE)="",":",VLOOKUP($E$262,[1]DATA_A11!$A$2:$FA$300, 30, FALSE))</f>
        <v>:</v>
      </c>
      <c r="AF262" s="556" t="str">
        <f>IF(VLOOKUP($E$262,[1]DATA_A11!$A$2:$FA$300, 31, FALSE)="",":",VLOOKUP($E$262,[1]DATA_A11!$A$2:$FA$300, 31, FALSE))</f>
        <v>:</v>
      </c>
    </row>
    <row r="263" spans="1:32">
      <c r="A263" s="545">
        <v>150</v>
      </c>
      <c r="B263" s="546" t="s">
        <v>2011</v>
      </c>
      <c r="C263" s="547"/>
      <c r="D263" s="12" t="s">
        <v>1517</v>
      </c>
      <c r="E263" s="13">
        <v>2223</v>
      </c>
      <c r="F263" s="14" t="str">
        <f>VLOOKUP($E$263,[1]DATA_A11!$A$2:$FA$300, 3, FALSE)</f>
        <v xml:space="preserve">2223 Nominal Expenditure Imports of Goods from EU </v>
      </c>
      <c r="G263" s="556">
        <f ca="1">IF(VLOOKUP($E$263,[1]DATA_A11!$A$2:$FA$300, 6, FALSE)="",":",VLOOKUP($E$263,[1]DATA_A11!$A$2:$FA$300, 6, FALSE))</f>
        <v>86559.2</v>
      </c>
      <c r="H263" s="556">
        <f ca="1">IF(VLOOKUP($E$263,[1]DATA_A11!$A$2:$FA$300, 7, FALSE)="",":",VLOOKUP($E$263,[1]DATA_A11!$A$2:$FA$300, 7, FALSE))</f>
        <v>92838.3</v>
      </c>
      <c r="I263" s="556">
        <f ca="1">IF(VLOOKUP($E$263,[1]DATA_A11!$A$2:$FA$300, 8, FALSE)="",":",VLOOKUP($E$263,[1]DATA_A11!$A$2:$FA$300, 8, FALSE))</f>
        <v>101036.4</v>
      </c>
      <c r="J263" s="556">
        <f ca="1">IF(VLOOKUP($E$263,[1]DATA_A11!$A$2:$FA$300, 9, FALSE)="",":",VLOOKUP($E$263,[1]DATA_A11!$A$2:$FA$300, 9, FALSE))</f>
        <v>107795.4</v>
      </c>
      <c r="K263" s="556">
        <f ca="1">IF(VLOOKUP($E$263,[1]DATA_A11!$A$2:$FA$300, 10, FALSE)="",":",VLOOKUP($E$263,[1]DATA_A11!$A$2:$FA$300, 10, FALSE))</f>
        <v>111846.7</v>
      </c>
      <c r="L263" s="556">
        <f>IF(VLOOKUP($E$263,[1]DATA_A11!$A$2:$FA$300, 11, FALSE)="",":",VLOOKUP($E$263,[1]DATA_A11!$A$2:$FA$300, 11, FALSE))</f>
        <v>136203.4</v>
      </c>
      <c r="M263" s="556">
        <f>IF(VLOOKUP($E$263,[1]DATA_A11!$A$2:$FA$300, 12, FALSE)="",":",VLOOKUP($E$263,[1]DATA_A11!$A$2:$FA$300, 12, FALSE))</f>
        <v>143635.6</v>
      </c>
      <c r="N263" s="556">
        <f>IF(VLOOKUP($E$263,[1]DATA_A11!$A$2:$FA$300, 13, FALSE)="",":",VLOOKUP($E$263,[1]DATA_A11!$A$2:$FA$300, 13, FALSE))</f>
        <v>152879.10000000003</v>
      </c>
      <c r="O263" s="556">
        <f>IF(VLOOKUP($E$263,[1]DATA_A11!$A$2:$FA$300, 14, FALSE)="",":",VLOOKUP($E$263,[1]DATA_A11!$A$2:$FA$300, 14, FALSE))</f>
        <v>152852.79999999999</v>
      </c>
      <c r="P263" s="556">
        <f>IF(VLOOKUP($E$263,[1]DATA_A11!$A$2:$FA$300, 15, FALSE)="",":",VLOOKUP($E$263,[1]DATA_A11!$A$2:$FA$300, 15, FALSE))</f>
        <v>167285</v>
      </c>
      <c r="Q263" s="556">
        <f>IF(VLOOKUP($E$263,[1]DATA_A11!$A$2:$FA$300, 16, FALSE)="",":",VLOOKUP($E$263,[1]DATA_A11!$A$2:$FA$300, 16, FALSE))</f>
        <v>184725.90000000002</v>
      </c>
      <c r="R263" s="556">
        <f>IF(VLOOKUP($E$263,[1]DATA_A11!$A$2:$FA$300, 17, FALSE)="",":",VLOOKUP($E$263,[1]DATA_A11!$A$2:$FA$300, 17, FALSE))</f>
        <v>200148.49999999997</v>
      </c>
      <c r="S263" s="556">
        <f>IF(VLOOKUP($E$263,[1]DATA_A11!$A$2:$FA$300, 18, FALSE)="",":",VLOOKUP($E$263,[1]DATA_A11!$A$2:$FA$300, 18, FALSE))</f>
        <v>211942.80000000002</v>
      </c>
      <c r="T263" s="556">
        <f>IF(VLOOKUP($E$263,[1]DATA_A11!$A$2:$FA$300, 19, FALSE)="",":",VLOOKUP($E$263,[1]DATA_A11!$A$2:$FA$300, 19, FALSE))</f>
        <v>221638.39999999997</v>
      </c>
      <c r="U263" s="556">
        <f>IF(VLOOKUP($E$263,[1]DATA_A11!$A$2:$FA$300, 20, FALSE)="",":",VLOOKUP($E$263,[1]DATA_A11!$A$2:$FA$300, 20, FALSE))</f>
        <v>178966.5</v>
      </c>
      <c r="V263" s="556">
        <f>IF(VLOOKUP($E$263,[1]DATA_A11!$A$2:$FA$300, 21, FALSE)="",":",VLOOKUP($E$263,[1]DATA_A11!$A$2:$FA$300, 21, FALSE))</f>
        <v>203958.89999999997</v>
      </c>
      <c r="W263" s="556">
        <f>IF(VLOOKUP($E$263,[1]DATA_A11!$A$2:$FA$300, 22, FALSE)="",":",VLOOKUP($E$263,[1]DATA_A11!$A$2:$FA$300, 22, FALSE))</f>
        <v>227011.4</v>
      </c>
      <c r="X263" s="556">
        <f>IF(VLOOKUP($E$263,[1]DATA_A11!$A$2:$FA$300, 23, FALSE)="",":",VLOOKUP($E$263,[1]DATA_A11!$A$2:$FA$300, 23, FALSE))</f>
        <v>230944.2</v>
      </c>
      <c r="Y263" s="556">
        <f>IF(VLOOKUP($E$263,[1]DATA_A11!$A$2:$FA$300, 24, FALSE)="",":",VLOOKUP($E$263,[1]DATA_A11!$A$2:$FA$300, 24, FALSE))</f>
        <v>225907.89999999997</v>
      </c>
      <c r="Z263" s="556">
        <f>IF(VLOOKUP($E$263,[1]DATA_A11!$A$2:$FA$300, 25, FALSE)="",":",VLOOKUP($E$263,[1]DATA_A11!$A$2:$FA$300, 25, FALSE))</f>
        <v>221797.59999999998</v>
      </c>
      <c r="AA263" s="556">
        <f>IF(VLOOKUP($E$263,[1]DATA_A11!$A$2:$FA$300, 26, FALSE)="",":",VLOOKUP($E$263,[1]DATA_A11!$A$2:$FA$300, 26, FALSE))</f>
        <v>212568.50000000003</v>
      </c>
      <c r="AB263" s="556">
        <f>IF(VLOOKUP($E$263,[1]DATA_A11!$A$2:$FA$300, 27, FALSE)="",":",VLOOKUP($E$263,[1]DATA_A11!$A$2:$FA$300, 27, FALSE))</f>
        <v>218509.80000000002</v>
      </c>
      <c r="AC263" s="556">
        <f>IF(VLOOKUP($E$263,[1]DATA_A11!$A$2:$FA$300, 28, FALSE)="",":",VLOOKUP($E$263,[1]DATA_A11!$A$2:$FA$300, 28, FALSE))</f>
        <v>231544.30000000002</v>
      </c>
      <c r="AD263" s="556" t="str">
        <f>IF(VLOOKUP($E$263,[1]DATA_A11!$A$2:$FA$300, 29, FALSE)="",":",VLOOKUP($E$263,[1]DATA_A11!$A$2:$FA$300, 29, FALSE))</f>
        <v>:</v>
      </c>
      <c r="AE263" s="556" t="str">
        <f>IF(VLOOKUP($E$263,[1]DATA_A11!$A$2:$FA$300, 30, FALSE)="",":",VLOOKUP($E$263,[1]DATA_A11!$A$2:$FA$300, 30, FALSE))</f>
        <v>:</v>
      </c>
      <c r="AF263" s="556" t="str">
        <f>IF(VLOOKUP($E$263,[1]DATA_A11!$A$2:$FA$300, 31, FALSE)="",":",VLOOKUP($E$263,[1]DATA_A11!$A$2:$FA$300, 31, FALSE))</f>
        <v>:</v>
      </c>
    </row>
    <row r="264" spans="1:32">
      <c r="A264" s="545">
        <v>152</v>
      </c>
      <c r="B264" s="546" t="s">
        <v>1115</v>
      </c>
      <c r="C264" s="547"/>
      <c r="D264" s="12" t="s">
        <v>1517</v>
      </c>
      <c r="E264" s="13">
        <v>2224</v>
      </c>
      <c r="F264" s="14" t="str">
        <f>VLOOKUP($E$264,[1]DATA_A11!$A$2:$FA$300, 3, FALSE)</f>
        <v xml:space="preserve">2224 Nominal Expenditure Imports of Goods extra EU </v>
      </c>
      <c r="G264" s="556">
        <f ca="1">IF(VLOOKUP($E$264,[1]DATA_A11!$A$2:$FA$300, 6, FALSE)="",":",VLOOKUP($E$264,[1]DATA_A11!$A$2:$FA$300, 6, FALSE))</f>
        <v>30000</v>
      </c>
      <c r="H264" s="556">
        <f ca="1">IF(VLOOKUP($E$264,[1]DATA_A11!$A$2:$FA$300, 7, FALSE)="",":",VLOOKUP($E$264,[1]DATA_A11!$A$2:$FA$300, 7, FALSE))</f>
        <v>32738.799999999999</v>
      </c>
      <c r="I264" s="556">
        <f ca="1">IF(VLOOKUP($E$264,[1]DATA_A11!$A$2:$FA$300, 8, FALSE)="",":",VLOOKUP($E$264,[1]DATA_A11!$A$2:$FA$300, 8, FALSE))</f>
        <v>38259</v>
      </c>
      <c r="J264" s="556">
        <f ca="1">IF(VLOOKUP($E$264,[1]DATA_A11!$A$2:$FA$300, 9, FALSE)="",":",VLOOKUP($E$264,[1]DATA_A11!$A$2:$FA$300, 9, FALSE))</f>
        <v>40146</v>
      </c>
      <c r="K264" s="556">
        <f ca="1">IF(VLOOKUP($E$264,[1]DATA_A11!$A$2:$FA$300, 10, FALSE)="",":",VLOOKUP($E$264,[1]DATA_A11!$A$2:$FA$300, 10, FALSE))</f>
        <v>42788.5</v>
      </c>
      <c r="L264" s="556">
        <f>IF(VLOOKUP($E$264,[1]DATA_A11!$A$2:$FA$300, 11, FALSE)="",":",VLOOKUP($E$264,[1]DATA_A11!$A$2:$FA$300, 11, FALSE))</f>
        <v>55991.499999999985</v>
      </c>
      <c r="M264" s="556">
        <f>IF(VLOOKUP($E$264,[1]DATA_A11!$A$2:$FA$300, 12, FALSE)="",":",VLOOKUP($E$264,[1]DATA_A11!$A$2:$FA$300, 12, FALSE))</f>
        <v>55855.600000000028</v>
      </c>
      <c r="N264" s="556">
        <f>IF(VLOOKUP($E$264,[1]DATA_A11!$A$2:$FA$300, 13, FALSE)="",":",VLOOKUP($E$264,[1]DATA_A11!$A$2:$FA$300, 13, FALSE))</f>
        <v>56840.799999999959</v>
      </c>
      <c r="O264" s="556">
        <f>IF(VLOOKUP($E$264,[1]DATA_A11!$A$2:$FA$300, 14, FALSE)="",":",VLOOKUP($E$264,[1]DATA_A11!$A$2:$FA$300, 14, FALSE))</f>
        <v>54842.400000000009</v>
      </c>
      <c r="P264" s="556">
        <f>IF(VLOOKUP($E$264,[1]DATA_A11!$A$2:$FA$300, 15, FALSE)="",":",VLOOKUP($E$264,[1]DATA_A11!$A$2:$FA$300, 15, FALSE))</f>
        <v>62332.10000000002</v>
      </c>
      <c r="Q264" s="556">
        <f>IF(VLOOKUP($E$264,[1]DATA_A11!$A$2:$FA$300, 16, FALSE)="",":",VLOOKUP($E$264,[1]DATA_A11!$A$2:$FA$300, 16, FALSE))</f>
        <v>71442.999999999985</v>
      </c>
      <c r="R264" s="556">
        <f>IF(VLOOKUP($E$264,[1]DATA_A11!$A$2:$FA$300, 17, FALSE)="",":",VLOOKUP($E$264,[1]DATA_A11!$A$2:$FA$300, 17, FALSE))</f>
        <v>79904.7</v>
      </c>
      <c r="S264" s="556">
        <f>IF(VLOOKUP($E$264,[1]DATA_A11!$A$2:$FA$300, 18, FALSE)="",":",VLOOKUP($E$264,[1]DATA_A11!$A$2:$FA$300, 18, FALSE))</f>
        <v>88354.799999999974</v>
      </c>
      <c r="T264" s="556">
        <f>IF(VLOOKUP($E$264,[1]DATA_A11!$A$2:$FA$300, 19, FALSE)="",":",VLOOKUP($E$264,[1]DATA_A11!$A$2:$FA$300, 19, FALSE))</f>
        <v>95405.000000000044</v>
      </c>
      <c r="U264" s="556">
        <f>IF(VLOOKUP($E$264,[1]DATA_A11!$A$2:$FA$300, 20, FALSE)="",":",VLOOKUP($E$264,[1]DATA_A11!$A$2:$FA$300, 20, FALSE))</f>
        <v>75401.000000000029</v>
      </c>
      <c r="V264" s="556">
        <f>IF(VLOOKUP($E$264,[1]DATA_A11!$A$2:$FA$300, 21, FALSE)="",":",VLOOKUP($E$264,[1]DATA_A11!$A$2:$FA$300, 21, FALSE))</f>
        <v>91113.300000000017</v>
      </c>
      <c r="W264" s="556">
        <f>IF(VLOOKUP($E$264,[1]DATA_A11!$A$2:$FA$300, 22, FALSE)="",":",VLOOKUP($E$264,[1]DATA_A11!$A$2:$FA$300, 22, FALSE))</f>
        <v>108436.09999999999</v>
      </c>
      <c r="X264" s="556">
        <f>IF(VLOOKUP($E$264,[1]DATA_A11!$A$2:$FA$300, 23, FALSE)="",":",VLOOKUP($E$264,[1]DATA_A11!$A$2:$FA$300, 23, FALSE))</f>
        <v>110843.09999999998</v>
      </c>
      <c r="Y264" s="556">
        <f>IF(VLOOKUP($E$264,[1]DATA_A11!$A$2:$FA$300, 24, FALSE)="",":",VLOOKUP($E$264,[1]DATA_A11!$A$2:$FA$300, 24, FALSE))</f>
        <v>114185.10000000003</v>
      </c>
      <c r="Z264" s="556">
        <f>IF(VLOOKUP($E$264,[1]DATA_A11!$A$2:$FA$300, 25, FALSE)="",":",VLOOKUP($E$264,[1]DATA_A11!$A$2:$FA$300, 25, FALSE))</f>
        <v>119629.20000000003</v>
      </c>
      <c r="AA264" s="556">
        <f>IF(VLOOKUP($E$264,[1]DATA_A11!$A$2:$FA$300, 26, FALSE)="",":",VLOOKUP($E$264,[1]DATA_A11!$A$2:$FA$300, 26, FALSE))</f>
        <v>126002.20000000003</v>
      </c>
      <c r="AB264" s="556">
        <f>IF(VLOOKUP($E$264,[1]DATA_A11!$A$2:$FA$300, 27, FALSE)="",":",VLOOKUP($E$264,[1]DATA_A11!$A$2:$FA$300, 27, FALSE))</f>
        <v>123970.7</v>
      </c>
      <c r="AC264" s="556">
        <f>IF(VLOOKUP($E$264,[1]DATA_A11!$A$2:$FA$300, 28, FALSE)="",":",VLOOKUP($E$264,[1]DATA_A11!$A$2:$FA$300, 28, FALSE))</f>
        <v>128628.20000000003</v>
      </c>
      <c r="AD264" s="556" t="str">
        <f>IF(VLOOKUP($E$264,[1]DATA_A11!$A$2:$FA$300, 29, FALSE)="",":",VLOOKUP($E$264,[1]DATA_A11!$A$2:$FA$300, 29, FALSE))</f>
        <v>:</v>
      </c>
      <c r="AE264" s="556" t="str">
        <f>IF(VLOOKUP($E$264,[1]DATA_A11!$A$2:$FA$300, 30, FALSE)="",":",VLOOKUP($E$264,[1]DATA_A11!$A$2:$FA$300, 30, FALSE))</f>
        <v>:</v>
      </c>
      <c r="AF264" s="556" t="str">
        <f>IF(VLOOKUP($E$264,[1]DATA_A11!$A$2:$FA$300, 31, FALSE)="",":",VLOOKUP($E$264,[1]DATA_A11!$A$2:$FA$300, 31, FALSE))</f>
        <v>:</v>
      </c>
    </row>
    <row r="265" spans="1:32">
      <c r="A265" s="545"/>
      <c r="B265" s="546"/>
      <c r="C265" s="547"/>
      <c r="D265" s="12"/>
      <c r="E265" s="13"/>
      <c r="F265" s="14"/>
      <c r="G265" s="556"/>
      <c r="H265" s="556"/>
      <c r="I265" s="556"/>
      <c r="J265" s="556"/>
      <c r="K265" s="556"/>
      <c r="L265" s="556"/>
      <c r="M265" s="556"/>
      <c r="N265" s="556"/>
      <c r="O265" s="556"/>
      <c r="P265" s="556"/>
      <c r="Q265" s="556"/>
      <c r="R265" s="556"/>
      <c r="S265" s="556"/>
      <c r="T265" s="556"/>
      <c r="U265" s="556"/>
      <c r="V265" s="556"/>
      <c r="W265" s="556"/>
      <c r="X265" s="556"/>
      <c r="Y265" s="556"/>
      <c r="Z265" s="556"/>
      <c r="AA265" s="556"/>
      <c r="AB265" s="556"/>
      <c r="AC265" s="556"/>
      <c r="AD265" s="556"/>
      <c r="AE265" s="556"/>
      <c r="AF265" s="556"/>
    </row>
    <row r="266" spans="1:32">
      <c r="A266" s="545">
        <v>34</v>
      </c>
      <c r="B266" s="546" t="s">
        <v>334</v>
      </c>
      <c r="C266" s="547"/>
      <c r="D266" s="12" t="s">
        <v>1517</v>
      </c>
      <c r="E266" s="13">
        <v>2930</v>
      </c>
      <c r="F266" s="14" t="str">
        <f>VLOOKUP($E$266,[1]DATA_A11!$A$2:$FA$300, 3, FALSE)</f>
        <v>2930 Gross Fixed Capital Formation manufacturing</v>
      </c>
      <c r="G266" s="556">
        <f>IF(VLOOKUP($E$266,[1]DATA_A11!$A$2:$FA$300, 6, FALSE)="",":",VLOOKUP($E$266,[1]DATA_A11!$A$2:$FA$300, 6, FALSE))</f>
        <v>8178</v>
      </c>
      <c r="H266" s="556">
        <f>IF(VLOOKUP($E$266,[1]DATA_A11!$A$2:$FA$300, 7, FALSE)="",":",VLOOKUP($E$266,[1]DATA_A11!$A$2:$FA$300, 7, FALSE))</f>
        <v>9176.2999999999993</v>
      </c>
      <c r="I266" s="556">
        <f>IF(VLOOKUP($E$266,[1]DATA_A11!$A$2:$FA$300, 8, FALSE)="",":",VLOOKUP($E$266,[1]DATA_A11!$A$2:$FA$300, 8, FALSE))</f>
        <v>10413.799999999999</v>
      </c>
      <c r="J266" s="556">
        <f>IF(VLOOKUP($E$266,[1]DATA_A11!$A$2:$FA$300, 9, FALSE)="",":",VLOOKUP($E$266,[1]DATA_A11!$A$2:$FA$300, 9, FALSE))</f>
        <v>10335.599999999999</v>
      </c>
      <c r="K266" s="556">
        <f>IF(VLOOKUP($E$266,[1]DATA_A11!$A$2:$FA$300, 10, FALSE)="",":",VLOOKUP($E$266,[1]DATA_A11!$A$2:$FA$300, 10, FALSE))</f>
        <v>10359</v>
      </c>
      <c r="L266" s="556">
        <f>IF(VLOOKUP($E$266,[1]DATA_A11!$A$2:$FA$300, 11, FALSE)="",":",VLOOKUP($E$266,[1]DATA_A11!$A$2:$FA$300, 11, FALSE))</f>
        <v>11162.4</v>
      </c>
      <c r="M266" s="556">
        <f>IF(VLOOKUP($E$266,[1]DATA_A11!$A$2:$FA$300, 12, FALSE)="",":",VLOOKUP($E$266,[1]DATA_A11!$A$2:$FA$300, 12, FALSE))</f>
        <v>11358.300000000001</v>
      </c>
      <c r="N266" s="556">
        <f>IF(VLOOKUP($E$266,[1]DATA_A11!$A$2:$FA$300, 13, FALSE)="",":",VLOOKUP($E$266,[1]DATA_A11!$A$2:$FA$300, 13, FALSE))</f>
        <v>10055.799999999999</v>
      </c>
      <c r="O266" s="556">
        <f>IF(VLOOKUP($E$266,[1]DATA_A11!$A$2:$FA$300, 14, FALSE)="",":",VLOOKUP($E$266,[1]DATA_A11!$A$2:$FA$300, 14, FALSE))</f>
        <v>10484.5</v>
      </c>
      <c r="P266" s="556">
        <f>IF(VLOOKUP($E$266,[1]DATA_A11!$A$2:$FA$300, 15, FALSE)="",":",VLOOKUP($E$266,[1]DATA_A11!$A$2:$FA$300, 15, FALSE))</f>
        <v>9822.7000000000025</v>
      </c>
      <c r="Q266" s="556">
        <f>IF(VLOOKUP($E$266,[1]DATA_A11!$A$2:$FA$300, 16, FALSE)="",":",VLOOKUP($E$266,[1]DATA_A11!$A$2:$FA$300, 16, FALSE))</f>
        <v>10586.800000000001</v>
      </c>
      <c r="R266" s="556">
        <f>IF(VLOOKUP($E$266,[1]DATA_A11!$A$2:$FA$300, 17, FALSE)="",":",VLOOKUP($E$266,[1]DATA_A11!$A$2:$FA$300, 17, FALSE))</f>
        <v>11470.9</v>
      </c>
      <c r="S266" s="556">
        <f>IF(VLOOKUP($E$266,[1]DATA_A11!$A$2:$FA$300, 18, FALSE)="",":",VLOOKUP($E$266,[1]DATA_A11!$A$2:$FA$300, 18, FALSE))</f>
        <v>12932.299999999997</v>
      </c>
      <c r="T266" s="556">
        <f>IF(VLOOKUP($E$266,[1]DATA_A11!$A$2:$FA$300, 19, FALSE)="",":",VLOOKUP($E$266,[1]DATA_A11!$A$2:$FA$300, 19, FALSE))</f>
        <v>12703.3</v>
      </c>
      <c r="U266" s="556">
        <f>IF(VLOOKUP($E$266,[1]DATA_A11!$A$2:$FA$300, 20, FALSE)="",":",VLOOKUP($E$266,[1]DATA_A11!$A$2:$FA$300, 20, FALSE))</f>
        <v>10671.8</v>
      </c>
      <c r="V266" s="556">
        <f>IF(VLOOKUP($E$266,[1]DATA_A11!$A$2:$FA$300, 21, FALSE)="",":",VLOOKUP($E$266,[1]DATA_A11!$A$2:$FA$300, 21, FALSE))</f>
        <v>10555.1</v>
      </c>
      <c r="W266" s="556">
        <f>IF(VLOOKUP($E$266,[1]DATA_A11!$A$2:$FA$300, 22, FALSE)="",":",VLOOKUP($E$266,[1]DATA_A11!$A$2:$FA$300, 22, FALSE))</f>
        <v>11797.3</v>
      </c>
      <c r="X266" s="556">
        <f>IF(VLOOKUP($E$266,[1]DATA_A11!$A$2:$FA$300, 23, FALSE)="",":",VLOOKUP($E$266,[1]DATA_A11!$A$2:$FA$300, 23, FALSE))</f>
        <v>12141.500000000004</v>
      </c>
      <c r="Y266" s="556">
        <f>IF(VLOOKUP($E$266,[1]DATA_A11!$A$2:$FA$300, 24, FALSE)="",":",VLOOKUP($E$266,[1]DATA_A11!$A$2:$FA$300, 24, FALSE))</f>
        <v>11761.2</v>
      </c>
      <c r="Z266" s="556">
        <f>IF(VLOOKUP($E$266,[1]DATA_A11!$A$2:$FA$300, 25, FALSE)="",":",VLOOKUP($E$266,[1]DATA_A11!$A$2:$FA$300, 25, FALSE))</f>
        <v>11965.500000000002</v>
      </c>
      <c r="AA266" s="556">
        <f>IF(VLOOKUP($E$266,[1]DATA_A11!$A$2:$FA$300, 26, FALSE)="",":",VLOOKUP($E$266,[1]DATA_A11!$A$2:$FA$300, 26, FALSE))</f>
        <v>15308.199999999999</v>
      </c>
      <c r="AB266" s="556">
        <f>IF(VLOOKUP($E$266,[1]DATA_A11!$A$2:$FA$300, 27, FALSE)="",":",VLOOKUP($E$266,[1]DATA_A11!$A$2:$FA$300, 27, FALSE))</f>
        <v>13959.6</v>
      </c>
      <c r="AC266" s="556" t="str">
        <f>IF(VLOOKUP($E$266,[1]DATA_A11!$A$2:$FA$300, 28, FALSE)="",":",VLOOKUP($E$266,[1]DATA_A11!$A$2:$FA$300, 28, FALSE))</f>
        <v>:</v>
      </c>
      <c r="AD266" s="556" t="str">
        <f>IF(VLOOKUP($E$266,[1]DATA_A11!$A$2:$FA$300, 29, FALSE)="",":",VLOOKUP($E$266,[1]DATA_A11!$A$2:$FA$300, 29, FALSE))</f>
        <v>:</v>
      </c>
      <c r="AE266" s="556" t="str">
        <f>IF(VLOOKUP($E$266,[1]DATA_A11!$A$2:$FA$300, 30, FALSE)="",":",VLOOKUP($E$266,[1]DATA_A11!$A$2:$FA$300, 30, FALSE))</f>
        <v>:</v>
      </c>
      <c r="AF266" s="556" t="str">
        <f>IF(VLOOKUP($E$266,[1]DATA_A11!$A$2:$FA$300, 31, FALSE)="",":",VLOOKUP($E$266,[1]DATA_A11!$A$2:$FA$300, 31, FALSE))</f>
        <v>:</v>
      </c>
    </row>
    <row r="267" spans="1:32">
      <c r="A267" s="545"/>
      <c r="B267" s="546"/>
      <c r="C267" s="547"/>
      <c r="D267" s="12"/>
      <c r="E267" s="13"/>
      <c r="F267" s="14"/>
      <c r="G267" s="556"/>
      <c r="H267" s="556"/>
      <c r="I267" s="556"/>
      <c r="J267" s="556"/>
      <c r="K267" s="556"/>
      <c r="L267" s="556"/>
      <c r="M267" s="556"/>
      <c r="N267" s="556"/>
      <c r="O267" s="556"/>
      <c r="P267" s="556"/>
      <c r="Q267" s="556"/>
      <c r="R267" s="556"/>
      <c r="S267" s="556"/>
      <c r="T267" s="556"/>
      <c r="U267" s="556"/>
      <c r="V267" s="556"/>
      <c r="W267" s="556"/>
      <c r="X267" s="556"/>
      <c r="Y267" s="556"/>
      <c r="Z267" s="556"/>
      <c r="AA267" s="556"/>
      <c r="AB267" s="556"/>
      <c r="AC267" s="556"/>
      <c r="AD267" s="556"/>
      <c r="AE267" s="556"/>
      <c r="AF267" s="556"/>
    </row>
    <row r="268" spans="1:32">
      <c r="A268" s="545">
        <v>55</v>
      </c>
      <c r="B268" s="546" t="s">
        <v>2079</v>
      </c>
      <c r="C268" s="547"/>
      <c r="D268" s="12" t="s">
        <v>1517</v>
      </c>
      <c r="E268" s="13">
        <v>2301</v>
      </c>
      <c r="F268" s="14" t="str">
        <f>VLOOKUP($E$268,[1]DATA_A11!$A$2:$FA$300, 3, FALSE)</f>
        <v>2301 Consumer price general index</v>
      </c>
      <c r="G268" s="556">
        <f ca="1">IF(VLOOKUP($E$268,[1]DATA_A11!$A$2:$FA$300, 6, FALSE)="",":",VLOOKUP($E$268,[1]DATA_A11!$A$2:$FA$300, 6, FALSE))</f>
        <v>85.252397999999985</v>
      </c>
      <c r="H268" s="556">
        <f ca="1">IF(VLOOKUP($E$268,[1]DATA_A11!$A$2:$FA$300, 7, FALSE)="",":",VLOOKUP($E$268,[1]DATA_A11!$A$2:$FA$300, 7, FALSE))</f>
        <v>87.012175249999999</v>
      </c>
      <c r="I268" s="556">
        <f ca="1">IF(VLOOKUP($E$268,[1]DATA_A11!$A$2:$FA$300, 8, FALSE)="",":",VLOOKUP($E$268,[1]DATA_A11!$A$2:$FA$300, 8, FALSE))</f>
        <v>88.428263000000001</v>
      </c>
      <c r="J268" s="556">
        <f ca="1">IF(VLOOKUP($E$268,[1]DATA_A11!$A$2:$FA$300, 9, FALSE)="",":",VLOOKUP($E$268,[1]DATA_A11!$A$2:$FA$300, 9, FALSE))</f>
        <v>89.271534916666667</v>
      </c>
      <c r="K268" s="556">
        <f ca="1">IF(VLOOKUP($E$268,[1]DATA_A11!$A$2:$FA$300, 10, FALSE)="",":",VLOOKUP($E$268,[1]DATA_A11!$A$2:$FA$300, 10, FALSE))</f>
        <v>90.270699749999991</v>
      </c>
      <c r="L268" s="556">
        <f ca="1">IF(VLOOKUP($E$268,[1]DATA_A11!$A$2:$FA$300, 11, FALSE)="",":",VLOOKUP($E$268,[1]DATA_A11!$A$2:$FA$300, 11, FALSE))</f>
        <v>92.569213916666669</v>
      </c>
      <c r="M268" s="556">
        <f ca="1">IF(VLOOKUP($E$268,[1]DATA_A11!$A$2:$FA$300, 12, FALSE)="",":",VLOOKUP($E$268,[1]DATA_A11!$A$2:$FA$300, 12, FALSE))</f>
        <v>94.856851833333323</v>
      </c>
      <c r="N268" s="556">
        <f ca="1">IF(VLOOKUP($E$268,[1]DATA_A11!$A$2:$FA$300, 13, FALSE)="",":",VLOOKUP($E$268,[1]DATA_A11!$A$2:$FA$300, 13, FALSE))</f>
        <v>96.415780999999981</v>
      </c>
      <c r="O268" s="556">
        <f ca="1">IF(VLOOKUP($E$268,[1]DATA_A11!$A$2:$FA$300, 14, FALSE)="",":",VLOOKUP($E$268,[1]DATA_A11!$A$2:$FA$300, 14, FALSE))</f>
        <v>97.950057333333334</v>
      </c>
      <c r="P268" s="556">
        <f ca="1">IF(VLOOKUP($E$268,[1]DATA_A11!$A$2:$FA$300, 15, FALSE)="",":",VLOOKUP($E$268,[1]DATA_A11!$A$2:$FA$300, 15, FALSE))</f>
        <v>100.00349333333332</v>
      </c>
      <c r="Q268" s="556">
        <f ca="1">IF(VLOOKUP($E$268,[1]DATA_A11!$A$2:$FA$300, 16, FALSE)="",":",VLOOKUP($E$268,[1]DATA_A11!$A$2:$FA$300, 16, FALSE))</f>
        <v>102.78583333333334</v>
      </c>
      <c r="R268" s="556">
        <f ca="1">IF(VLOOKUP($E$268,[1]DATA_A11!$A$2:$FA$300, 17, FALSE)="",":",VLOOKUP($E$268,[1]DATA_A11!$A$2:$FA$300, 17, FALSE))</f>
        <v>85.479166666666671</v>
      </c>
      <c r="S268" s="556">
        <f ca="1">IF(VLOOKUP($E$268,[1]DATA_A11!$A$2:$FA$300, 18, FALSE)="",":",VLOOKUP($E$268,[1]DATA_A11!$A$2:$FA$300, 18, FALSE))</f>
        <v>87.03749999999998</v>
      </c>
      <c r="T268" s="556">
        <f ca="1">IF(VLOOKUP($E$268,[1]DATA_A11!$A$2:$FA$300, 19, FALSE)="",":",VLOOKUP($E$268,[1]DATA_A11!$A$2:$FA$300, 19, FALSE))</f>
        <v>90.945000000000007</v>
      </c>
      <c r="U268" s="556">
        <f ca="1">IF(VLOOKUP($E$268,[1]DATA_A11!$A$2:$FA$300, 20, FALSE)="",":",VLOOKUP($E$268,[1]DATA_A11!$A$2:$FA$300, 20, FALSE))</f>
        <v>90.89666666666669</v>
      </c>
      <c r="V268" s="556">
        <f ca="1">IF(VLOOKUP($E$268,[1]DATA_A11!$A$2:$FA$300, 21, FALSE)="",":",VLOOKUP($E$268,[1]DATA_A11!$A$2:$FA$300, 21, FALSE))</f>
        <v>92.88666666666667</v>
      </c>
      <c r="W268" s="556">
        <f ca="1">IF(VLOOKUP($E$268,[1]DATA_A11!$A$2:$FA$300, 22, FALSE)="",":",VLOOKUP($E$268,[1]DATA_A11!$A$2:$FA$300, 22, FALSE))</f>
        <v>96.167500000000004</v>
      </c>
      <c r="X268" s="556">
        <f ca="1">IF(VLOOKUP($E$268,[1]DATA_A11!$A$2:$FA$300, 23, FALSE)="",":",VLOOKUP($E$268,[1]DATA_A11!$A$2:$FA$300, 23, FALSE))</f>
        <v>98.898333333333355</v>
      </c>
      <c r="Y268" s="556">
        <f ca="1">IF(VLOOKUP($E$268,[1]DATA_A11!$A$2:$FA$300, 24, FALSE)="",":",VLOOKUP($E$268,[1]DATA_A11!$A$2:$FA$300, 24, FALSE))</f>
        <v>99.999166666666667</v>
      </c>
      <c r="Z268" s="556">
        <f ca="1">IF(VLOOKUP($E$268,[1]DATA_A11!$A$2:$FA$300, 25, FALSE)="",":",VLOOKUP($E$268,[1]DATA_A11!$A$2:$FA$300, 25, FALSE))</f>
        <v>100.33916666666666</v>
      </c>
      <c r="AA268" s="556">
        <f ca="1">IF(VLOOKUP($E$268,[1]DATA_A11!$A$2:$FA$300, 26, FALSE)="",":",VLOOKUP($E$268,[1]DATA_A11!$A$2:$FA$300, 26, FALSE))</f>
        <v>100.90249999999999</v>
      </c>
      <c r="AB268" s="556">
        <f ca="1">IF(VLOOKUP($E$268,[1]DATA_A11!$A$2:$FA$300, 27, FALSE)="",":",VLOOKUP($E$268,[1]DATA_A11!$A$2:$FA$300, 27, FALSE))</f>
        <v>102.89416666666665</v>
      </c>
      <c r="AC268" s="556">
        <f ca="1">IF(VLOOKUP($E$268,[1]DATA_A11!$A$2:$FA$300, 28, FALSE)="",":",VLOOKUP($E$268,[1]DATA_A11!$A$2:$FA$300, 28, FALSE))</f>
        <v>105.08166666666666</v>
      </c>
      <c r="AD268" s="556" t="str">
        <f>IF(VLOOKUP($E$268,[1]DATA_A11!$A$2:$FA$300, 29, FALSE)="",":",VLOOKUP($E$268,[1]DATA_A11!$A$2:$FA$300, 29, FALSE))</f>
        <v>:</v>
      </c>
      <c r="AE268" s="556" t="str">
        <f>IF(VLOOKUP($E$268,[1]DATA_A11!$A$2:$FA$300, 30, FALSE)="",":",VLOOKUP($E$268,[1]DATA_A11!$A$2:$FA$300, 30, FALSE))</f>
        <v>:</v>
      </c>
      <c r="AF268" s="556" t="str">
        <f>IF(VLOOKUP($E$268,[1]DATA_A11!$A$2:$FA$300, 31, FALSE)="",":",VLOOKUP($E$268,[1]DATA_A11!$A$2:$FA$300, 31, FALSE))</f>
        <v>:</v>
      </c>
    </row>
    <row r="269" spans="1:32">
      <c r="A269" s="545">
        <v>54</v>
      </c>
      <c r="B269" s="546" t="s">
        <v>1139</v>
      </c>
      <c r="C269" s="547"/>
      <c r="D269" s="12" t="s">
        <v>1517</v>
      </c>
      <c r="E269" s="13">
        <v>2300</v>
      </c>
      <c r="F269" s="14" t="str">
        <f>VLOOKUP($E$269,[1]DATA_A11!$A$2:$FA$300, 3, FALSE)</f>
        <v>2300 Consumer price harmonized index</v>
      </c>
      <c r="G269" s="556">
        <f ca="1">IF(VLOOKUP($E$269,[1]DATA_A11!$A$2:$FA$300, 6, FALSE)="",":",VLOOKUP($E$269,[1]DATA_A11!$A$2:$FA$300, 6, FALSE))</f>
        <v>83.762500000000003</v>
      </c>
      <c r="H269" s="556">
        <f ca="1">IF(VLOOKUP($E$269,[1]DATA_A11!$A$2:$FA$300, 7, FALSE)="",":",VLOOKUP($E$269,[1]DATA_A11!$A$2:$FA$300, 7, FALSE))</f>
        <v>85.254166666666663</v>
      </c>
      <c r="I269" s="556">
        <f ca="1">IF(VLOOKUP($E$269,[1]DATA_A11!$A$2:$FA$300, 8, FALSE)="",":",VLOOKUP($E$269,[1]DATA_A11!$A$2:$FA$300, 8, FALSE))</f>
        <v>86.53083333333332</v>
      </c>
      <c r="J269" s="556">
        <f ca="1">IF(VLOOKUP($E$269,[1]DATA_A11!$A$2:$FA$300, 9, FALSE)="",":",VLOOKUP($E$269,[1]DATA_A11!$A$2:$FA$300, 9, FALSE))</f>
        <v>87.32</v>
      </c>
      <c r="K269" s="556">
        <f ca="1">IF(VLOOKUP($E$269,[1]DATA_A11!$A$2:$FA$300, 10, FALSE)="",":",VLOOKUP($E$269,[1]DATA_A11!$A$2:$FA$300, 10, FALSE))</f>
        <v>88.306666666666672</v>
      </c>
      <c r="L269" s="556">
        <f ca="1">IF(VLOOKUP($E$269,[1]DATA_A11!$A$2:$FA$300, 11, FALSE)="",":",VLOOKUP($E$269,[1]DATA_A11!$A$2:$FA$300, 11, FALSE))</f>
        <v>90.671666666666667</v>
      </c>
      <c r="M269" s="556">
        <f ca="1">IF(VLOOKUP($E$269,[1]DATA_A11!$A$2:$FA$300, 12, FALSE)="",":",VLOOKUP($E$269,[1]DATA_A11!$A$2:$FA$300, 12, FALSE))</f>
        <v>92.881666666666675</v>
      </c>
      <c r="N269" s="556">
        <f ca="1">IF(VLOOKUP($E$269,[1]DATA_A11!$A$2:$FA$300, 13, FALSE)="",":",VLOOKUP($E$269,[1]DATA_A11!$A$2:$FA$300, 13, FALSE))</f>
        <v>94.32416666666667</v>
      </c>
      <c r="O269" s="556">
        <f ca="1">IF(VLOOKUP($E$269,[1]DATA_A11!$A$2:$FA$300, 14, FALSE)="",":",VLOOKUP($E$269,[1]DATA_A11!$A$2:$FA$300, 14, FALSE))</f>
        <v>95.746666666666655</v>
      </c>
      <c r="P269" s="556">
        <f ca="1">IF(VLOOKUP($E$269,[1]DATA_A11!$A$2:$FA$300, 15, FALSE)="",":",VLOOKUP($E$269,[1]DATA_A11!$A$2:$FA$300, 15, FALSE))</f>
        <v>97.527500000000018</v>
      </c>
      <c r="Q269" s="556">
        <f ca="1">IF(VLOOKUP($E$269,[1]DATA_A11!$A$2:$FA$300, 16, FALSE)="",":",VLOOKUP($E$269,[1]DATA_A11!$A$2:$FA$300, 16, FALSE))</f>
        <v>99.999166666666667</v>
      </c>
      <c r="R269" s="556">
        <f ca="1">IF(VLOOKUP($E$269,[1]DATA_A11!$A$2:$FA$300, 17, FALSE)="",":",VLOOKUP($E$269,[1]DATA_A11!$A$2:$FA$300, 17, FALSE))</f>
        <v>84.594999999999999</v>
      </c>
      <c r="S269" s="556">
        <f ca="1">IF(VLOOKUP($E$269,[1]DATA_A11!$A$2:$FA$300, 18, FALSE)="",":",VLOOKUP($E$269,[1]DATA_A11!$A$2:$FA$300, 18, FALSE))</f>
        <v>86.131666666666661</v>
      </c>
      <c r="T269" s="556">
        <f ca="1">IF(VLOOKUP($E$269,[1]DATA_A11!$A$2:$FA$300, 19, FALSE)="",":",VLOOKUP($E$269,[1]DATA_A11!$A$2:$FA$300, 19, FALSE))</f>
        <v>89.998333333333335</v>
      </c>
      <c r="U269" s="556">
        <f ca="1">IF(VLOOKUP($E$269,[1]DATA_A11!$A$2:$FA$300, 20, FALSE)="",":",VLOOKUP($E$269,[1]DATA_A11!$A$2:$FA$300, 20, FALSE))</f>
        <v>89.992499999999993</v>
      </c>
      <c r="V269" s="556">
        <f ca="1">IF(VLOOKUP($E$269,[1]DATA_A11!$A$2:$FA$300, 21, FALSE)="",":",VLOOKUP($E$269,[1]DATA_A11!$A$2:$FA$300, 21, FALSE))</f>
        <v>92.092499999999987</v>
      </c>
      <c r="W269" s="556">
        <f ca="1">IF(VLOOKUP($E$269,[1]DATA_A11!$A$2:$FA$300, 22, FALSE)="",":",VLOOKUP($E$269,[1]DATA_A11!$A$2:$FA$300, 22, FALSE))</f>
        <v>95.18</v>
      </c>
      <c r="X269" s="556">
        <f ca="1">IF(VLOOKUP($E$269,[1]DATA_A11!$A$2:$FA$300, 23, FALSE)="",":",VLOOKUP($E$269,[1]DATA_A11!$A$2:$FA$300, 23, FALSE))</f>
        <v>97.679166666666674</v>
      </c>
      <c r="Y269" s="556">
        <f ca="1">IF(VLOOKUP($E$269,[1]DATA_A11!$A$2:$FA$300, 24, FALSE)="",":",VLOOKUP($E$269,[1]DATA_A11!$A$2:$FA$300, 24, FALSE))</f>
        <v>98.898333333333312</v>
      </c>
      <c r="Z269" s="556">
        <f ca="1">IF(VLOOKUP($E$269,[1]DATA_A11!$A$2:$FA$300, 25, FALSE)="",":",VLOOKUP($E$269,[1]DATA_A11!$A$2:$FA$300, 25, FALSE))</f>
        <v>99.38333333333334</v>
      </c>
      <c r="AA269" s="556">
        <f>IF(VLOOKUP($E$269,[1]DATA_A11!$A$2:$FA$300, 26, FALSE)="",":",VLOOKUP($E$269,[1]DATA_A11!$A$2:$FA$300, 26, FALSE))</f>
        <v>99.999166666666696</v>
      </c>
      <c r="AB269" s="556">
        <f>IF(VLOOKUP($E$269,[1]DATA_A11!$A$2:$FA$300, 27, FALSE)="",":",VLOOKUP($E$269,[1]DATA_A11!$A$2:$FA$300, 27, FALSE))</f>
        <v>101.769166666667</v>
      </c>
      <c r="AC269" s="556">
        <f>IF(VLOOKUP($E$269,[1]DATA_A11!$A$2:$FA$300, 28, FALSE)="",":",VLOOKUP($E$269,[1]DATA_A11!$A$2:$FA$300, 28, FALSE))</f>
        <v>104.0325</v>
      </c>
      <c r="AD269" s="556" t="str">
        <f>IF(VLOOKUP($E$269,[1]DATA_A11!$A$2:$FA$300, 29, FALSE)="",":",VLOOKUP($E$269,[1]DATA_A11!$A$2:$FA$300, 29, FALSE))</f>
        <v>:</v>
      </c>
      <c r="AE269" s="556" t="str">
        <f>IF(VLOOKUP($E$269,[1]DATA_A11!$A$2:$FA$300, 30, FALSE)="",":",VLOOKUP($E$269,[1]DATA_A11!$A$2:$FA$300, 30, FALSE))</f>
        <v>:</v>
      </c>
      <c r="AF269" s="556" t="str">
        <f>IF(VLOOKUP($E$269,[1]DATA_A11!$A$2:$FA$300, 31, FALSE)="",":",VLOOKUP($E$269,[1]DATA_A11!$A$2:$FA$300, 31, FALSE))</f>
        <v>:</v>
      </c>
    </row>
    <row r="270" spans="1:32">
      <c r="A270" s="887">
        <v>136</v>
      </c>
      <c r="B270" s="546" t="s">
        <v>330</v>
      </c>
      <c r="C270" s="547" t="s">
        <v>1428</v>
      </c>
      <c r="D270" s="12" t="s">
        <v>1517</v>
      </c>
      <c r="E270" s="13">
        <v>2920</v>
      </c>
      <c r="F270" s="14" t="str">
        <f>VLOOKUP($E$270,[1]DATA_A11!$A$2:$FA$300, 3, FALSE)</f>
        <v>2920 GDP (EDP-notification)</v>
      </c>
      <c r="G270" s="556" t="str">
        <f>IF(VLOOKUP($E$270,[1]DATA_A11!$A$2:$FA$300, 6, FALSE)="",":",VLOOKUP($E$270,[1]DATA_A11!$A$2:$FA$300, 6, FALSE))</f>
        <v>:</v>
      </c>
      <c r="H270" s="556" t="str">
        <f>IF(VLOOKUP($E$270,[1]DATA_A11!$A$2:$FA$300, 7, FALSE)="",":",VLOOKUP($E$270,[1]DATA_A11!$A$2:$FA$300, 7, FALSE))</f>
        <v>:</v>
      </c>
      <c r="I270" s="556" t="str">
        <f>IF(VLOOKUP($E$270,[1]DATA_A11!$A$2:$FA$300, 8, FALSE)="",":",VLOOKUP($E$270,[1]DATA_A11!$A$2:$FA$300, 8, FALSE))</f>
        <v>:</v>
      </c>
      <c r="J270" s="556" t="str">
        <f>IF(VLOOKUP($E$270,[1]DATA_A11!$A$2:$FA$300, 9, FALSE)="",":",VLOOKUP($E$270,[1]DATA_A11!$A$2:$FA$300, 9, FALSE))</f>
        <v>:</v>
      </c>
      <c r="K270" s="556" t="str">
        <f>IF(VLOOKUP($E$270,[1]DATA_A11!$A$2:$FA$300, 10, FALSE)="",":",VLOOKUP($E$270,[1]DATA_A11!$A$2:$FA$300, 10, FALSE))</f>
        <v>:</v>
      </c>
      <c r="L270" s="556" t="str">
        <f>IF(VLOOKUP($E$270,[1]DATA_A11!$A$2:$FA$300, 11, FALSE)="",":",VLOOKUP($E$270,[1]DATA_A11!$A$2:$FA$300, 11, FALSE))</f>
        <v>:</v>
      </c>
      <c r="M270" s="556" t="str">
        <f>IF(VLOOKUP($E$270,[1]DATA_A11!$A$2:$FA$300, 12, FALSE)="",":",VLOOKUP($E$270,[1]DATA_A11!$A$2:$FA$300, 12, FALSE))</f>
        <v>:</v>
      </c>
      <c r="N270" s="556" t="str">
        <f>IF(VLOOKUP($E$270,[1]DATA_A11!$A$2:$FA$300, 13, FALSE)="",":",VLOOKUP($E$270,[1]DATA_A11!$A$2:$FA$300, 13, FALSE))</f>
        <v>:</v>
      </c>
      <c r="O270" s="556" t="str">
        <f>IF(VLOOKUP($E$270,[1]DATA_A11!$A$2:$FA$300, 14, FALSE)="",":",VLOOKUP($E$270,[1]DATA_A11!$A$2:$FA$300, 14, FALSE))</f>
        <v>:</v>
      </c>
      <c r="P270" s="556" t="str">
        <f>IF(VLOOKUP($E$270,[1]DATA_A11!$A$2:$FA$300, 15, FALSE)="",":",VLOOKUP($E$270,[1]DATA_A11!$A$2:$FA$300, 15, FALSE))</f>
        <v>:</v>
      </c>
      <c r="Q270" s="556" t="str">
        <f>IF(VLOOKUP($E$270,[1]DATA_A11!$A$2:$FA$300, 16, FALSE)="",":",VLOOKUP($E$270,[1]DATA_A11!$A$2:$FA$300, 16, FALSE))</f>
        <v>:</v>
      </c>
      <c r="R270" s="556" t="str">
        <f>IF(VLOOKUP($E$270,[1]DATA_A11!$A$2:$FA$300, 17, FALSE)="",":",VLOOKUP($E$270,[1]DATA_A11!$A$2:$FA$300, 17, FALSE))</f>
        <v>:</v>
      </c>
      <c r="S270" s="556" t="str">
        <f>IF(VLOOKUP($E$270,[1]DATA_A11!$A$2:$FA$300, 18, FALSE)="",":",VLOOKUP($E$270,[1]DATA_A11!$A$2:$FA$300, 18, FALSE))</f>
        <v>:</v>
      </c>
      <c r="T270" s="556" t="str">
        <f>IF(VLOOKUP($E$270,[1]DATA_A11!$A$2:$FA$300, 19, FALSE)="",":",VLOOKUP($E$270,[1]DATA_A11!$A$2:$FA$300, 19, FALSE))</f>
        <v>:</v>
      </c>
      <c r="U270" s="556" t="str">
        <f>IF(VLOOKUP($E$270,[1]DATA_A11!$A$2:$FA$300, 20, FALSE)="",":",VLOOKUP($E$270,[1]DATA_A11!$A$2:$FA$300, 20, FALSE))</f>
        <v>:</v>
      </c>
      <c r="V270" s="556" t="str">
        <f>IF(VLOOKUP($E$270,[1]DATA_A11!$A$2:$FA$300, 21, FALSE)="",":",VLOOKUP($E$270,[1]DATA_A11!$A$2:$FA$300, 21, FALSE))</f>
        <v>:</v>
      </c>
      <c r="W270" s="556" t="str">
        <f>IF(VLOOKUP($E$270,[1]DATA_A11!$A$2:$FA$300, 22, FALSE)="",":",VLOOKUP($E$270,[1]DATA_A11!$A$2:$FA$300, 22, FALSE))</f>
        <v>:</v>
      </c>
      <c r="X270" s="556" t="str">
        <f>IF(VLOOKUP($E$270,[1]DATA_A11!$A$2:$FA$300, 23, FALSE)="",":",VLOOKUP($E$270,[1]DATA_A11!$A$2:$FA$300, 23, FALSE))</f>
        <v>:</v>
      </c>
      <c r="Y270" s="556" t="str">
        <f>IF(VLOOKUP($E$270,[1]DATA_A11!$A$2:$FA$300, 24, FALSE)="",":",VLOOKUP($E$270,[1]DATA_A11!$A$2:$FA$300, 24, FALSE))</f>
        <v>:</v>
      </c>
      <c r="Z270" s="556" t="str">
        <f>IF(VLOOKUP($E$270,[1]DATA_A11!$A$2:$FA$300, 25, FALSE)="",":",VLOOKUP($E$270,[1]DATA_A11!$A$2:$FA$300, 25, FALSE))</f>
        <v>:</v>
      </c>
      <c r="AA270" s="556" t="str">
        <f>IF(VLOOKUP($E$270,[1]DATA_A11!$A$2:$FA$300, 26, FALSE)="",":",VLOOKUP($E$270,[1]DATA_A11!$A$2:$FA$300, 26, FALSE))</f>
        <v>:</v>
      </c>
      <c r="AB270" s="556" t="str">
        <f>IF(VLOOKUP($E$270,[1]DATA_A11!$A$2:$FA$300, 27, FALSE)="",":",VLOOKUP($E$270,[1]DATA_A11!$A$2:$FA$300, 27, FALSE))</f>
        <v>:</v>
      </c>
      <c r="AC270" s="556" t="str">
        <f>IF(VLOOKUP($E$270,[1]DATA_A11!$A$2:$FA$300, 28, FALSE)="",":",VLOOKUP($E$270,[1]DATA_A11!$A$2:$FA$300, 28, FALSE))</f>
        <v>:</v>
      </c>
      <c r="AD270" s="556" t="str">
        <f>IF(VLOOKUP($E$270,[1]DATA_A11!$A$2:$FA$300, 29, FALSE)="",":",VLOOKUP($E$270,[1]DATA_A11!$A$2:$FA$300, 29, FALSE))</f>
        <v>:</v>
      </c>
      <c r="AE270" s="556" t="str">
        <f>IF(VLOOKUP($E$270,[1]DATA_A11!$A$2:$FA$300, 30, FALSE)="",":",VLOOKUP($E$270,[1]DATA_A11!$A$2:$FA$300, 30, FALSE))</f>
        <v>:</v>
      </c>
      <c r="AF270" s="556" t="str">
        <f>IF(VLOOKUP($E$270,[1]DATA_A11!$A$2:$FA$300, 31, FALSE)="",":",VLOOKUP($E$270,[1]DATA_A11!$A$2:$FA$300, 31, FALSE))</f>
        <v>:</v>
      </c>
    </row>
    <row r="271" spans="1:32">
      <c r="A271" s="545"/>
      <c r="B271" s="546"/>
      <c r="C271" s="547"/>
      <c r="D271" s="12"/>
      <c r="E271" s="13"/>
      <c r="F271" s="14"/>
      <c r="G271" s="556"/>
      <c r="H271" s="556"/>
      <c r="I271" s="556"/>
      <c r="J271" s="556"/>
      <c r="K271" s="556"/>
      <c r="L271" s="556"/>
      <c r="M271" s="556"/>
      <c r="N271" s="556"/>
      <c r="O271" s="556"/>
      <c r="P271" s="556"/>
      <c r="Q271" s="556"/>
      <c r="R271" s="556"/>
      <c r="S271" s="556"/>
      <c r="T271" s="556"/>
      <c r="U271" s="556"/>
      <c r="V271" s="556"/>
      <c r="W271" s="556"/>
      <c r="X271" s="556"/>
      <c r="Y271" s="556"/>
      <c r="Z271" s="556"/>
      <c r="AA271" s="556"/>
      <c r="AB271" s="556"/>
      <c r="AC271" s="556"/>
      <c r="AD271" s="556"/>
      <c r="AE271" s="556"/>
      <c r="AF271" s="556"/>
    </row>
    <row r="272" spans="1:32">
      <c r="A272" s="545"/>
      <c r="B272" s="546" t="s">
        <v>1811</v>
      </c>
      <c r="C272" s="547"/>
      <c r="D272" s="12" t="s">
        <v>1517</v>
      </c>
      <c r="E272" s="13">
        <v>2351</v>
      </c>
      <c r="F272" s="14" t="str">
        <f>VLOOKUP($E$272,[1]DATA_A11!$A$2:$FA$300, 3, FALSE)</f>
        <v>2351 HICP Non-energy industrial goods - weight</v>
      </c>
      <c r="G272" s="556" t="str">
        <f>IF(VLOOKUP($E$272,[1]DATA_A11!$A$2:$FA$300, 6, FALSE)="",":",VLOOKUP($E$272,[1]DATA_A11!$A$2:$FA$300, 6, FALSE))</f>
        <v>:</v>
      </c>
      <c r="H272" s="556">
        <f ca="1">IF(VLOOKUP($E$272,[1]DATA_A11!$A$2:$FA$300, 7, FALSE)="",":",VLOOKUP($E$272,[1]DATA_A11!$A$2:$FA$300, 7, FALSE))</f>
        <v>329.57</v>
      </c>
      <c r="I272" s="556">
        <f ca="1">IF(VLOOKUP($E$272,[1]DATA_A11!$A$2:$FA$300, 8, FALSE)="",":",VLOOKUP($E$272,[1]DATA_A11!$A$2:$FA$300, 8, FALSE))</f>
        <v>327.76</v>
      </c>
      <c r="J272" s="556">
        <f ca="1">IF(VLOOKUP($E$272,[1]DATA_A11!$A$2:$FA$300, 9, FALSE)="",":",VLOOKUP($E$272,[1]DATA_A11!$A$2:$FA$300, 9, FALSE))</f>
        <v>325.05</v>
      </c>
      <c r="K272" s="556">
        <f ca="1">IF(VLOOKUP($E$272,[1]DATA_A11!$A$2:$FA$300, 10, FALSE)="",":",VLOOKUP($E$272,[1]DATA_A11!$A$2:$FA$300, 10, FALSE))</f>
        <v>347.22</v>
      </c>
      <c r="L272" s="556">
        <f ca="1">IF(VLOOKUP($E$272,[1]DATA_A11!$A$2:$FA$300, 11, FALSE)="",":",VLOOKUP($E$272,[1]DATA_A11!$A$2:$FA$300, 11, FALSE))</f>
        <v>340.45</v>
      </c>
      <c r="M272" s="556">
        <f ca="1">IF(VLOOKUP($E$272,[1]DATA_A11!$A$2:$FA$300, 12, FALSE)="",":",VLOOKUP($E$272,[1]DATA_A11!$A$2:$FA$300, 12, FALSE))</f>
        <v>322.93</v>
      </c>
      <c r="N272" s="556">
        <f ca="1">IF(VLOOKUP($E$272,[1]DATA_A11!$A$2:$FA$300, 13, FALSE)="",":",VLOOKUP($E$272,[1]DATA_A11!$A$2:$FA$300, 13, FALSE))</f>
        <v>324.37</v>
      </c>
      <c r="O272" s="556">
        <f ca="1">IF(VLOOKUP($E$272,[1]DATA_A11!$A$2:$FA$300, 14, FALSE)="",":",VLOOKUP($E$272,[1]DATA_A11!$A$2:$FA$300, 14, FALSE))</f>
        <v>323.68</v>
      </c>
      <c r="P272" s="556">
        <f ca="1">IF(VLOOKUP($E$272,[1]DATA_A11!$A$2:$FA$300, 15, FALSE)="",":",VLOOKUP($E$272,[1]DATA_A11!$A$2:$FA$300, 15, FALSE))</f>
        <v>327.79</v>
      </c>
      <c r="Q272" s="556">
        <f ca="1">IF(VLOOKUP($E$272,[1]DATA_A11!$A$2:$FA$300, 16, FALSE)="",":",VLOOKUP($E$272,[1]DATA_A11!$A$2:$FA$300, 16, FALSE))</f>
        <v>321.18</v>
      </c>
      <c r="R272" s="556">
        <f ca="1">IF(VLOOKUP($E$272,[1]DATA_A11!$A$2:$FA$300, 17, FALSE)="",":",VLOOKUP($E$272,[1]DATA_A11!$A$2:$FA$300, 17, FALSE))</f>
        <v>322.2</v>
      </c>
      <c r="S272" s="556">
        <f ca="1">IF(VLOOKUP($E$272,[1]DATA_A11!$A$2:$FA$300, 18, FALSE)="",":",VLOOKUP($E$272,[1]DATA_A11!$A$2:$FA$300, 18, FALSE))</f>
        <v>318.17</v>
      </c>
      <c r="T272" s="556">
        <f ca="1">IF(VLOOKUP($E$272,[1]DATA_A11!$A$2:$FA$300, 19, FALSE)="",":",VLOOKUP($E$272,[1]DATA_A11!$A$2:$FA$300, 19, FALSE))</f>
        <v>312.81</v>
      </c>
      <c r="U272" s="556">
        <f ca="1">IF(VLOOKUP($E$272,[1]DATA_A11!$A$2:$FA$300, 20, FALSE)="",":",VLOOKUP($E$272,[1]DATA_A11!$A$2:$FA$300, 20, FALSE))</f>
        <v>309.31</v>
      </c>
      <c r="V272" s="556">
        <f ca="1">IF(VLOOKUP($E$272,[1]DATA_A11!$A$2:$FA$300, 21, FALSE)="",":",VLOOKUP($E$272,[1]DATA_A11!$A$2:$FA$300, 21, FALSE))</f>
        <v>300.01</v>
      </c>
      <c r="W272" s="556">
        <f ca="1">IF(VLOOKUP($E$272,[1]DATA_A11!$A$2:$FA$300, 22, FALSE)="",":",VLOOKUP($E$272,[1]DATA_A11!$A$2:$FA$300, 22, FALSE))</f>
        <v>285.27</v>
      </c>
      <c r="X272" s="556">
        <f ca="1">IF(VLOOKUP($E$272,[1]DATA_A11!$A$2:$FA$300, 23, FALSE)="",":",VLOOKUP($E$272,[1]DATA_A11!$A$2:$FA$300, 23, FALSE))</f>
        <v>280.51</v>
      </c>
      <c r="Y272" s="556">
        <f ca="1">IF(VLOOKUP($E$272,[1]DATA_A11!$A$2:$FA$300, 24, FALSE)="",":",VLOOKUP($E$272,[1]DATA_A11!$A$2:$FA$300, 24, FALSE))</f>
        <v>279.17</v>
      </c>
      <c r="Z272" s="556">
        <f ca="1">IF(VLOOKUP($E$272,[1]DATA_A11!$A$2:$FA$300, 25, FALSE)="",":",VLOOKUP($E$272,[1]DATA_A11!$A$2:$FA$300, 25, FALSE))</f>
        <v>278.89</v>
      </c>
      <c r="AA272" s="556">
        <f ca="1">IF(VLOOKUP($E$272,[1]DATA_A11!$A$2:$FA$300, 26, FALSE)="",":",VLOOKUP($E$272,[1]DATA_A11!$A$2:$FA$300, 26, FALSE))</f>
        <v>274.16000000000003</v>
      </c>
      <c r="AB272" s="556">
        <f ca="1">IF(VLOOKUP($E$272,[1]DATA_A11!$A$2:$FA$300, 27, FALSE)="",":",VLOOKUP($E$272,[1]DATA_A11!$A$2:$FA$300, 27, FALSE))</f>
        <v>275.66000000000003</v>
      </c>
      <c r="AC272" s="556">
        <f ca="1">IF(VLOOKUP($E$272,[1]DATA_A11!$A$2:$FA$300, 28, FALSE)="",":",VLOOKUP($E$272,[1]DATA_A11!$A$2:$FA$300, 28, FALSE))</f>
        <v>272.94</v>
      </c>
      <c r="AD272" s="556" t="str">
        <f>IF(VLOOKUP($E$272,[1]DATA_A11!$A$2:$FA$300, 29, FALSE)="",":",VLOOKUP($E$272,[1]DATA_A11!$A$2:$FA$300, 29, FALSE))</f>
        <v>:</v>
      </c>
      <c r="AE272" s="556" t="str">
        <f>IF(VLOOKUP($E$272,[1]DATA_A11!$A$2:$FA$300, 30, FALSE)="",":",VLOOKUP($E$272,[1]DATA_A11!$A$2:$FA$300, 30, FALSE))</f>
        <v>:</v>
      </c>
      <c r="AF272" s="556" t="str">
        <f>IF(VLOOKUP($E$272,[1]DATA_A11!$A$2:$FA$300, 31, FALSE)="",":",VLOOKUP($E$272,[1]DATA_A11!$A$2:$FA$300, 31, FALSE))</f>
        <v>:</v>
      </c>
    </row>
    <row r="273" spans="1:32">
      <c r="A273" s="545"/>
      <c r="B273" s="546" t="s">
        <v>1839</v>
      </c>
      <c r="C273" s="547"/>
      <c r="D273" s="12" t="s">
        <v>1517</v>
      </c>
      <c r="E273" s="13">
        <v>2352</v>
      </c>
      <c r="F273" s="14" t="str">
        <f>VLOOKUP($E$273,[1]DATA_A11!$A$2:$FA$300, 3, FALSE)</f>
        <v>2352 HICP Energy - weight</v>
      </c>
      <c r="G273" s="556" t="str">
        <f>IF(VLOOKUP($E$273,[1]DATA_A11!$A$2:$FA$300, 6, FALSE)="",":",VLOOKUP($E$273,[1]DATA_A11!$A$2:$FA$300, 6, FALSE))</f>
        <v>:</v>
      </c>
      <c r="H273" s="556">
        <f ca="1">IF(VLOOKUP($E$273,[1]DATA_A11!$A$2:$FA$300, 7, FALSE)="",":",VLOOKUP($E$273,[1]DATA_A11!$A$2:$FA$300, 7, FALSE))</f>
        <v>106.83</v>
      </c>
      <c r="I273" s="556">
        <f ca="1">IF(VLOOKUP($E$273,[1]DATA_A11!$A$2:$FA$300, 8, FALSE)="",":",VLOOKUP($E$273,[1]DATA_A11!$A$2:$FA$300, 8, FALSE))</f>
        <v>109.39</v>
      </c>
      <c r="J273" s="556">
        <f ca="1">IF(VLOOKUP($E$273,[1]DATA_A11!$A$2:$FA$300, 9, FALSE)="",":",VLOOKUP($E$273,[1]DATA_A11!$A$2:$FA$300, 9, FALSE))</f>
        <v>108.11</v>
      </c>
      <c r="K273" s="556">
        <f ca="1">IF(VLOOKUP($E$273,[1]DATA_A11!$A$2:$FA$300, 10, FALSE)="",":",VLOOKUP($E$273,[1]DATA_A11!$A$2:$FA$300, 10, FALSE))</f>
        <v>100.72</v>
      </c>
      <c r="L273" s="556">
        <f ca="1">IF(VLOOKUP($E$273,[1]DATA_A11!$A$2:$FA$300, 11, FALSE)="",":",VLOOKUP($E$273,[1]DATA_A11!$A$2:$FA$300, 11, FALSE))</f>
        <v>117.97</v>
      </c>
      <c r="M273" s="556">
        <f ca="1">IF(VLOOKUP($E$273,[1]DATA_A11!$A$2:$FA$300, 12, FALSE)="",":",VLOOKUP($E$273,[1]DATA_A11!$A$2:$FA$300, 12, FALSE))</f>
        <v>109.95</v>
      </c>
      <c r="N273" s="556">
        <f ca="1">IF(VLOOKUP($E$273,[1]DATA_A11!$A$2:$FA$300, 13, FALSE)="",":",VLOOKUP($E$273,[1]DATA_A11!$A$2:$FA$300, 13, FALSE))</f>
        <v>100.27</v>
      </c>
      <c r="O273" s="556">
        <f ca="1">IF(VLOOKUP($E$273,[1]DATA_A11!$A$2:$FA$300, 14, FALSE)="",":",VLOOKUP($E$273,[1]DATA_A11!$A$2:$FA$300, 14, FALSE))</f>
        <v>100.02</v>
      </c>
      <c r="P273" s="556">
        <f ca="1">IF(VLOOKUP($E$273,[1]DATA_A11!$A$2:$FA$300, 15, FALSE)="",":",VLOOKUP($E$273,[1]DATA_A11!$A$2:$FA$300, 15, FALSE))</f>
        <v>94.45</v>
      </c>
      <c r="Q273" s="556">
        <f ca="1">IF(VLOOKUP($E$273,[1]DATA_A11!$A$2:$FA$300, 16, FALSE)="",":",VLOOKUP($E$273,[1]DATA_A11!$A$2:$FA$300, 16, FALSE))</f>
        <v>102.03</v>
      </c>
      <c r="R273" s="556">
        <f ca="1">IF(VLOOKUP($E$273,[1]DATA_A11!$A$2:$FA$300, 17, FALSE)="",":",VLOOKUP($E$273,[1]DATA_A11!$A$2:$FA$300, 17, FALSE))</f>
        <v>101.74</v>
      </c>
      <c r="S273" s="556">
        <f ca="1">IF(VLOOKUP($E$273,[1]DATA_A11!$A$2:$FA$300, 18, FALSE)="",":",VLOOKUP($E$273,[1]DATA_A11!$A$2:$FA$300, 18, FALSE))</f>
        <v>103.27</v>
      </c>
      <c r="T273" s="556">
        <f ca="1">IF(VLOOKUP($E$273,[1]DATA_A11!$A$2:$FA$300, 19, FALSE)="",":",VLOOKUP($E$273,[1]DATA_A11!$A$2:$FA$300, 19, FALSE))</f>
        <v>108.69</v>
      </c>
      <c r="U273" s="556">
        <f ca="1">IF(VLOOKUP($E$273,[1]DATA_A11!$A$2:$FA$300, 20, FALSE)="",":",VLOOKUP($E$273,[1]DATA_A11!$A$2:$FA$300, 20, FALSE))</f>
        <v>109.04</v>
      </c>
      <c r="V273" s="556">
        <f ca="1">IF(VLOOKUP($E$273,[1]DATA_A11!$A$2:$FA$300, 21, FALSE)="",":",VLOOKUP($E$273,[1]DATA_A11!$A$2:$FA$300, 21, FALSE))</f>
        <v>112.37</v>
      </c>
      <c r="W273" s="556">
        <f ca="1">IF(VLOOKUP($E$273,[1]DATA_A11!$A$2:$FA$300, 22, FALSE)="",":",VLOOKUP($E$273,[1]DATA_A11!$A$2:$FA$300, 22, FALSE))</f>
        <v>110.23</v>
      </c>
      <c r="X273" s="556">
        <f ca="1">IF(VLOOKUP($E$273,[1]DATA_A11!$A$2:$FA$300, 23, FALSE)="",":",VLOOKUP($E$273,[1]DATA_A11!$A$2:$FA$300, 23, FALSE))</f>
        <v>117.07</v>
      </c>
      <c r="Y273" s="556">
        <f ca="1">IF(VLOOKUP($E$273,[1]DATA_A11!$A$2:$FA$300, 24, FALSE)="",":",VLOOKUP($E$273,[1]DATA_A11!$A$2:$FA$300, 24, FALSE))</f>
        <v>112.92</v>
      </c>
      <c r="Z273" s="556">
        <f ca="1">IF(VLOOKUP($E$273,[1]DATA_A11!$A$2:$FA$300, 25, FALSE)="",":",VLOOKUP($E$273,[1]DATA_A11!$A$2:$FA$300, 25, FALSE))</f>
        <v>109.15</v>
      </c>
      <c r="AA273" s="556">
        <f ca="1">IF(VLOOKUP($E$273,[1]DATA_A11!$A$2:$FA$300, 26, FALSE)="",":",VLOOKUP($E$273,[1]DATA_A11!$A$2:$FA$300, 26, FALSE))</f>
        <v>110.21</v>
      </c>
      <c r="AB273" s="556">
        <f ca="1">IF(VLOOKUP($E$273,[1]DATA_A11!$A$2:$FA$300, 27, FALSE)="",":",VLOOKUP($E$273,[1]DATA_A11!$A$2:$FA$300, 27, FALSE))</f>
        <v>92.18</v>
      </c>
      <c r="AC273" s="556">
        <f ca="1">IF(VLOOKUP($E$273,[1]DATA_A11!$A$2:$FA$300, 28, FALSE)="",":",VLOOKUP($E$273,[1]DATA_A11!$A$2:$FA$300, 28, FALSE))</f>
        <v>90.37</v>
      </c>
      <c r="AD273" s="556" t="str">
        <f>IF(VLOOKUP($E$273,[1]DATA_A11!$A$2:$FA$300, 29, FALSE)="",":",VLOOKUP($E$273,[1]DATA_A11!$A$2:$FA$300, 29, FALSE))</f>
        <v>:</v>
      </c>
      <c r="AE273" s="556" t="str">
        <f>IF(VLOOKUP($E$273,[1]DATA_A11!$A$2:$FA$300, 30, FALSE)="",":",VLOOKUP($E$273,[1]DATA_A11!$A$2:$FA$300, 30, FALSE))</f>
        <v>:</v>
      </c>
      <c r="AF273" s="556" t="str">
        <f>IF(VLOOKUP($E$273,[1]DATA_A11!$A$2:$FA$300, 31, FALSE)="",":",VLOOKUP($E$273,[1]DATA_A11!$A$2:$FA$300, 31, FALSE))</f>
        <v>:</v>
      </c>
    </row>
    <row r="274" spans="1:32">
      <c r="A274" s="545"/>
      <c r="B274" s="546" t="s">
        <v>1840</v>
      </c>
      <c r="C274" s="547"/>
      <c r="D274" s="12" t="s">
        <v>1517</v>
      </c>
      <c r="E274" s="13">
        <v>2353</v>
      </c>
      <c r="F274" s="14" t="str">
        <f>VLOOKUP($E$274,[1]DATA_A11!$A$2:$FA$300, 3, FALSE)</f>
        <v>2353 HICP Unprocessed food - weight</v>
      </c>
      <c r="G274" s="556" t="str">
        <f>IF(VLOOKUP($E$274,[1]DATA_A11!$A$2:$FA$300, 6, FALSE)="",":",VLOOKUP($E$274,[1]DATA_A11!$A$2:$FA$300, 6, FALSE))</f>
        <v>:</v>
      </c>
      <c r="H274" s="556">
        <f ca="1">IF(VLOOKUP($E$274,[1]DATA_A11!$A$2:$FA$300, 7, FALSE)="",":",VLOOKUP($E$274,[1]DATA_A11!$A$2:$FA$300, 7, FALSE))</f>
        <v>101.79</v>
      </c>
      <c r="I274" s="556">
        <f ca="1">IF(VLOOKUP($E$274,[1]DATA_A11!$A$2:$FA$300, 8, FALSE)="",":",VLOOKUP($E$274,[1]DATA_A11!$A$2:$FA$300, 8, FALSE))</f>
        <v>99.97</v>
      </c>
      <c r="J274" s="556">
        <f ca="1">IF(VLOOKUP($E$274,[1]DATA_A11!$A$2:$FA$300, 9, FALSE)="",":",VLOOKUP($E$274,[1]DATA_A11!$A$2:$FA$300, 9, FALSE))</f>
        <v>102.17</v>
      </c>
      <c r="K274" s="556">
        <f ca="1">IF(VLOOKUP($E$274,[1]DATA_A11!$A$2:$FA$300, 10, FALSE)="",":",VLOOKUP($E$274,[1]DATA_A11!$A$2:$FA$300, 10, FALSE))</f>
        <v>104.03</v>
      </c>
      <c r="L274" s="556">
        <f ca="1">IF(VLOOKUP($E$274,[1]DATA_A11!$A$2:$FA$300, 11, FALSE)="",":",VLOOKUP($E$274,[1]DATA_A11!$A$2:$FA$300, 11, FALSE))</f>
        <v>88.59</v>
      </c>
      <c r="M274" s="556">
        <f ca="1">IF(VLOOKUP($E$274,[1]DATA_A11!$A$2:$FA$300, 12, FALSE)="",":",VLOOKUP($E$274,[1]DATA_A11!$A$2:$FA$300, 12, FALSE))</f>
        <v>79.22</v>
      </c>
      <c r="N274" s="556">
        <f ca="1">IF(VLOOKUP($E$274,[1]DATA_A11!$A$2:$FA$300, 13, FALSE)="",":",VLOOKUP($E$274,[1]DATA_A11!$A$2:$FA$300, 13, FALSE))</f>
        <v>82.48</v>
      </c>
      <c r="O274" s="556">
        <f ca="1">IF(VLOOKUP($E$274,[1]DATA_A11!$A$2:$FA$300, 14, FALSE)="",":",VLOOKUP($E$274,[1]DATA_A11!$A$2:$FA$300, 14, FALSE))</f>
        <v>81.84</v>
      </c>
      <c r="P274" s="556">
        <f ca="1">IF(VLOOKUP($E$274,[1]DATA_A11!$A$2:$FA$300, 15, FALSE)="",":",VLOOKUP($E$274,[1]DATA_A11!$A$2:$FA$300, 15, FALSE))</f>
        <v>81.59</v>
      </c>
      <c r="Q274" s="556">
        <f ca="1">IF(VLOOKUP($E$274,[1]DATA_A11!$A$2:$FA$300, 16, FALSE)="",":",VLOOKUP($E$274,[1]DATA_A11!$A$2:$FA$300, 16, FALSE))</f>
        <v>81.48</v>
      </c>
      <c r="R274" s="556">
        <f ca="1">IF(VLOOKUP($E$274,[1]DATA_A11!$A$2:$FA$300, 17, FALSE)="",":",VLOOKUP($E$274,[1]DATA_A11!$A$2:$FA$300, 17, FALSE))</f>
        <v>80.819999999999993</v>
      </c>
      <c r="S274" s="556">
        <f ca="1">IF(VLOOKUP($E$274,[1]DATA_A11!$A$2:$FA$300, 18, FALSE)="",":",VLOOKUP($E$274,[1]DATA_A11!$A$2:$FA$300, 18, FALSE))</f>
        <v>83.01</v>
      </c>
      <c r="T274" s="556">
        <f ca="1">IF(VLOOKUP($E$274,[1]DATA_A11!$A$2:$FA$300, 19, FALSE)="",":",VLOOKUP($E$274,[1]DATA_A11!$A$2:$FA$300, 19, FALSE))</f>
        <v>82.57</v>
      </c>
      <c r="U274" s="556">
        <f ca="1">IF(VLOOKUP($E$274,[1]DATA_A11!$A$2:$FA$300, 20, FALSE)="",":",VLOOKUP($E$274,[1]DATA_A11!$A$2:$FA$300, 20, FALSE))</f>
        <v>82.13</v>
      </c>
      <c r="V274" s="556">
        <f ca="1">IF(VLOOKUP($E$274,[1]DATA_A11!$A$2:$FA$300, 21, FALSE)="",":",VLOOKUP($E$274,[1]DATA_A11!$A$2:$FA$300, 21, FALSE))</f>
        <v>77.95</v>
      </c>
      <c r="W274" s="556">
        <f ca="1">IF(VLOOKUP($E$274,[1]DATA_A11!$A$2:$FA$300, 22, FALSE)="",":",VLOOKUP($E$274,[1]DATA_A11!$A$2:$FA$300, 22, FALSE))</f>
        <v>83.07</v>
      </c>
      <c r="X274" s="556">
        <f ca="1">IF(VLOOKUP($E$274,[1]DATA_A11!$A$2:$FA$300, 23, FALSE)="",":",VLOOKUP($E$274,[1]DATA_A11!$A$2:$FA$300, 23, FALSE))</f>
        <v>78.78</v>
      </c>
      <c r="Y274" s="556">
        <f ca="1">IF(VLOOKUP($E$274,[1]DATA_A11!$A$2:$FA$300, 24, FALSE)="",":",VLOOKUP($E$274,[1]DATA_A11!$A$2:$FA$300, 24, FALSE))</f>
        <v>80.5</v>
      </c>
      <c r="Z274" s="556">
        <f ca="1">IF(VLOOKUP($E$274,[1]DATA_A11!$A$2:$FA$300, 25, FALSE)="",":",VLOOKUP($E$274,[1]DATA_A11!$A$2:$FA$300, 25, FALSE))</f>
        <v>82</v>
      </c>
      <c r="AA274" s="556">
        <f ca="1">IF(VLOOKUP($E$274,[1]DATA_A11!$A$2:$FA$300, 26, FALSE)="",":",VLOOKUP($E$274,[1]DATA_A11!$A$2:$FA$300, 26, FALSE))</f>
        <v>76.42</v>
      </c>
      <c r="AB274" s="556">
        <f ca="1">IF(VLOOKUP($E$274,[1]DATA_A11!$A$2:$FA$300, 27, FALSE)="",":",VLOOKUP($E$274,[1]DATA_A11!$A$2:$FA$300, 27, FALSE))</f>
        <v>76.900000000000006</v>
      </c>
      <c r="AC274" s="556">
        <f ca="1">IF(VLOOKUP($E$274,[1]DATA_A11!$A$2:$FA$300, 28, FALSE)="",":",VLOOKUP($E$274,[1]DATA_A11!$A$2:$FA$300, 28, FALSE))</f>
        <v>79.38</v>
      </c>
      <c r="AD274" s="556" t="str">
        <f>IF(VLOOKUP($E$274,[1]DATA_A11!$A$2:$FA$300, 29, FALSE)="",":",VLOOKUP($E$274,[1]DATA_A11!$A$2:$FA$300, 29, FALSE))</f>
        <v>:</v>
      </c>
      <c r="AE274" s="556" t="str">
        <f>IF(VLOOKUP($E$274,[1]DATA_A11!$A$2:$FA$300, 30, FALSE)="",":",VLOOKUP($E$274,[1]DATA_A11!$A$2:$FA$300, 30, FALSE))</f>
        <v>:</v>
      </c>
      <c r="AF274" s="556" t="str">
        <f>IF(VLOOKUP($E$274,[1]DATA_A11!$A$2:$FA$300, 31, FALSE)="",":",VLOOKUP($E$274,[1]DATA_A11!$A$2:$FA$300, 31, FALSE))</f>
        <v>:</v>
      </c>
    </row>
    <row r="275" spans="1:32">
      <c r="A275" s="545"/>
      <c r="B275" s="546" t="s">
        <v>546</v>
      </c>
      <c r="C275" s="547"/>
      <c r="D275" s="12" t="s">
        <v>1517</v>
      </c>
      <c r="E275" s="13">
        <v>2354</v>
      </c>
      <c r="F275" s="14" t="str">
        <f>VLOOKUP($E$275,[1]DATA_A11!$A$2:$FA$300, 3, FALSE)</f>
        <v>2354 HICP Processed food incl. alcohol and tobacco - weight</v>
      </c>
      <c r="G275" s="556" t="str">
        <f>IF(VLOOKUP($E$275,[1]DATA_A11!$A$2:$FA$300, 6, FALSE)="",":",VLOOKUP($E$275,[1]DATA_A11!$A$2:$FA$300, 6, FALSE))</f>
        <v>:</v>
      </c>
      <c r="H275" s="556">
        <f ca="1">IF(VLOOKUP($E$275,[1]DATA_A11!$A$2:$FA$300, 7, FALSE)="",":",VLOOKUP($E$275,[1]DATA_A11!$A$2:$FA$300, 7, FALSE))</f>
        <v>140.63</v>
      </c>
      <c r="I275" s="556">
        <f ca="1">IF(VLOOKUP($E$275,[1]DATA_A11!$A$2:$FA$300, 8, FALSE)="",":",VLOOKUP($E$275,[1]DATA_A11!$A$2:$FA$300, 8, FALSE))</f>
        <v>140.75</v>
      </c>
      <c r="J275" s="556">
        <f ca="1">IF(VLOOKUP($E$275,[1]DATA_A11!$A$2:$FA$300, 9, FALSE)="",":",VLOOKUP($E$275,[1]DATA_A11!$A$2:$FA$300, 9, FALSE))</f>
        <v>143</v>
      </c>
      <c r="K275" s="556">
        <f ca="1">IF(VLOOKUP($E$275,[1]DATA_A11!$A$2:$FA$300, 10, FALSE)="",":",VLOOKUP($E$275,[1]DATA_A11!$A$2:$FA$300, 10, FALSE))</f>
        <v>142.37</v>
      </c>
      <c r="L275" s="556">
        <f ca="1">IF(VLOOKUP($E$275,[1]DATA_A11!$A$2:$FA$300, 11, FALSE)="",":",VLOOKUP($E$275,[1]DATA_A11!$A$2:$FA$300, 11, FALSE))</f>
        <v>128.38</v>
      </c>
      <c r="M275" s="556">
        <f ca="1">IF(VLOOKUP($E$275,[1]DATA_A11!$A$2:$FA$300, 12, FALSE)="",":",VLOOKUP($E$275,[1]DATA_A11!$A$2:$FA$300, 12, FALSE))</f>
        <v>118.77</v>
      </c>
      <c r="N275" s="556">
        <f ca="1">IF(VLOOKUP($E$275,[1]DATA_A11!$A$2:$FA$300, 13, FALSE)="",":",VLOOKUP($E$275,[1]DATA_A11!$A$2:$FA$300, 13, FALSE))</f>
        <v>119.11</v>
      </c>
      <c r="O275" s="556">
        <f ca="1">IF(VLOOKUP($E$275,[1]DATA_A11!$A$2:$FA$300, 14, FALSE)="",":",VLOOKUP($E$275,[1]DATA_A11!$A$2:$FA$300, 14, FALSE))</f>
        <v>119.27</v>
      </c>
      <c r="P275" s="556">
        <f ca="1">IF(VLOOKUP($E$275,[1]DATA_A11!$A$2:$FA$300, 15, FALSE)="",":",VLOOKUP($E$275,[1]DATA_A11!$A$2:$FA$300, 15, FALSE))</f>
        <v>120.1</v>
      </c>
      <c r="Q275" s="556">
        <f ca="1">IF(VLOOKUP($E$275,[1]DATA_A11!$A$2:$FA$300, 16, FALSE)="",":",VLOOKUP($E$275,[1]DATA_A11!$A$2:$FA$300, 16, FALSE))</f>
        <v>120.22</v>
      </c>
      <c r="R275" s="556">
        <f ca="1">IF(VLOOKUP($E$275,[1]DATA_A11!$A$2:$FA$300, 17, FALSE)="",":",VLOOKUP($E$275,[1]DATA_A11!$A$2:$FA$300, 17, FALSE))</f>
        <v>117.69</v>
      </c>
      <c r="S275" s="556">
        <f ca="1">IF(VLOOKUP($E$275,[1]DATA_A11!$A$2:$FA$300, 18, FALSE)="",":",VLOOKUP($E$275,[1]DATA_A11!$A$2:$FA$300, 18, FALSE))</f>
        <v>118.97</v>
      </c>
      <c r="T275" s="556">
        <f ca="1">IF(VLOOKUP($E$275,[1]DATA_A11!$A$2:$FA$300, 19, FALSE)="",":",VLOOKUP($E$275,[1]DATA_A11!$A$2:$FA$300, 19, FALSE))</f>
        <v>124.06</v>
      </c>
      <c r="U275" s="556">
        <f ca="1">IF(VLOOKUP($E$275,[1]DATA_A11!$A$2:$FA$300, 20, FALSE)="",":",VLOOKUP($E$275,[1]DATA_A11!$A$2:$FA$300, 20, FALSE))</f>
        <v>126.19</v>
      </c>
      <c r="V275" s="556">
        <f ca="1">IF(VLOOKUP($E$275,[1]DATA_A11!$A$2:$FA$300, 21, FALSE)="",":",VLOOKUP($E$275,[1]DATA_A11!$A$2:$FA$300, 21, FALSE))</f>
        <v>130.6</v>
      </c>
      <c r="W275" s="556">
        <f ca="1">IF(VLOOKUP($E$275,[1]DATA_A11!$A$2:$FA$300, 22, FALSE)="",":",VLOOKUP($E$275,[1]DATA_A11!$A$2:$FA$300, 22, FALSE))</f>
        <v>135.63</v>
      </c>
      <c r="X275" s="556">
        <f ca="1">IF(VLOOKUP($E$275,[1]DATA_A11!$A$2:$FA$300, 23, FALSE)="",":",VLOOKUP($E$275,[1]DATA_A11!$A$2:$FA$300, 23, FALSE))</f>
        <v>131.79</v>
      </c>
      <c r="Y275" s="556">
        <f ca="1">IF(VLOOKUP($E$275,[1]DATA_A11!$A$2:$FA$300, 24, FALSE)="",":",VLOOKUP($E$275,[1]DATA_A11!$A$2:$FA$300, 24, FALSE))</f>
        <v>131.94</v>
      </c>
      <c r="Z275" s="556">
        <f ca="1">IF(VLOOKUP($E$275,[1]DATA_A11!$A$2:$FA$300, 25, FALSE)="",":",VLOOKUP($E$275,[1]DATA_A11!$A$2:$FA$300, 25, FALSE))</f>
        <v>134.52000000000001</v>
      </c>
      <c r="AA275" s="556">
        <f ca="1">IF(VLOOKUP($E$275,[1]DATA_A11!$A$2:$FA$300, 26, FALSE)="",":",VLOOKUP($E$275,[1]DATA_A11!$A$2:$FA$300, 26, FALSE))</f>
        <v>131.02000000000001</v>
      </c>
      <c r="AB275" s="556">
        <f ca="1">IF(VLOOKUP($E$275,[1]DATA_A11!$A$2:$FA$300, 27, FALSE)="",":",VLOOKUP($E$275,[1]DATA_A11!$A$2:$FA$300, 27, FALSE))</f>
        <v>131.13</v>
      </c>
      <c r="AC275" s="556">
        <f ca="1">IF(VLOOKUP($E$275,[1]DATA_A11!$A$2:$FA$300, 28, FALSE)="",":",VLOOKUP($E$275,[1]DATA_A11!$A$2:$FA$300, 28, FALSE))</f>
        <v>134.72</v>
      </c>
      <c r="AD275" s="556" t="str">
        <f>IF(VLOOKUP($E$275,[1]DATA_A11!$A$2:$FA$300, 29, FALSE)="",":",VLOOKUP($E$275,[1]DATA_A11!$A$2:$FA$300, 29, FALSE))</f>
        <v>:</v>
      </c>
      <c r="AE275" s="556" t="str">
        <f>IF(VLOOKUP($E$275,[1]DATA_A11!$A$2:$FA$300, 30, FALSE)="",":",VLOOKUP($E$275,[1]DATA_A11!$A$2:$FA$300, 30, FALSE))</f>
        <v>:</v>
      </c>
      <c r="AF275" s="556" t="str">
        <f>IF(VLOOKUP($E$275,[1]DATA_A11!$A$2:$FA$300, 31, FALSE)="",":",VLOOKUP($E$275,[1]DATA_A11!$A$2:$FA$300, 31, FALSE))</f>
        <v>:</v>
      </c>
    </row>
    <row r="276" spans="1:32">
      <c r="A276" s="545"/>
      <c r="B276" s="546" t="s">
        <v>572</v>
      </c>
      <c r="C276" s="547"/>
      <c r="D276" s="12" t="s">
        <v>1517</v>
      </c>
      <c r="E276" s="13">
        <v>2355</v>
      </c>
      <c r="F276" s="14" t="str">
        <f>VLOOKUP($E$276,[1]DATA_A11!$A$2:$FA$300, 3, FALSE)</f>
        <v>2355 HICP Services - weight</v>
      </c>
      <c r="G276" s="556" t="str">
        <f>IF(VLOOKUP($E$276,[1]DATA_A11!$A$2:$FA$300, 6, FALSE)="",":",VLOOKUP($E$276,[1]DATA_A11!$A$2:$FA$300, 6, FALSE))</f>
        <v>:</v>
      </c>
      <c r="H276" s="556">
        <f ca="1">IF(VLOOKUP($E$276,[1]DATA_A11!$A$2:$FA$300, 7, FALSE)="",":",VLOOKUP($E$276,[1]DATA_A11!$A$2:$FA$300, 7, FALSE))</f>
        <v>302.12</v>
      </c>
      <c r="I276" s="556">
        <f ca="1">IF(VLOOKUP($E$276,[1]DATA_A11!$A$2:$FA$300, 8, FALSE)="",":",VLOOKUP($E$276,[1]DATA_A11!$A$2:$FA$300, 8, FALSE))</f>
        <v>303.13</v>
      </c>
      <c r="J276" s="556">
        <f ca="1">IF(VLOOKUP($E$276,[1]DATA_A11!$A$2:$FA$300, 9, FALSE)="",":",VLOOKUP($E$276,[1]DATA_A11!$A$2:$FA$300, 9, FALSE))</f>
        <v>302.78000000000003</v>
      </c>
      <c r="K276" s="556">
        <f ca="1">IF(VLOOKUP($E$276,[1]DATA_A11!$A$2:$FA$300, 10, FALSE)="",":",VLOOKUP($E$276,[1]DATA_A11!$A$2:$FA$300, 10, FALSE))</f>
        <v>305.66000000000003</v>
      </c>
      <c r="L276" s="556">
        <f ca="1">IF(VLOOKUP($E$276,[1]DATA_A11!$A$2:$FA$300, 11, FALSE)="",":",VLOOKUP($E$276,[1]DATA_A11!$A$2:$FA$300, 11, FALSE))</f>
        <v>324.62</v>
      </c>
      <c r="M276" s="556">
        <f ca="1">IF(VLOOKUP($E$276,[1]DATA_A11!$A$2:$FA$300, 12, FALSE)="",":",VLOOKUP($E$276,[1]DATA_A11!$A$2:$FA$300, 12, FALSE))</f>
        <v>369.13</v>
      </c>
      <c r="N276" s="556">
        <f ca="1">IF(VLOOKUP($E$276,[1]DATA_A11!$A$2:$FA$300, 13, FALSE)="",":",VLOOKUP($E$276,[1]DATA_A11!$A$2:$FA$300, 13, FALSE))</f>
        <v>373.76</v>
      </c>
      <c r="O276" s="556">
        <f ca="1">IF(VLOOKUP($E$276,[1]DATA_A11!$A$2:$FA$300, 14, FALSE)="",":",VLOOKUP($E$276,[1]DATA_A11!$A$2:$FA$300, 14, FALSE))</f>
        <v>375.19</v>
      </c>
      <c r="P276" s="556">
        <f ca="1">IF(VLOOKUP($E$276,[1]DATA_A11!$A$2:$FA$300, 15, FALSE)="",":",VLOOKUP($E$276,[1]DATA_A11!$A$2:$FA$300, 15, FALSE))</f>
        <v>376.07</v>
      </c>
      <c r="Q276" s="556">
        <f ca="1">IF(VLOOKUP($E$276,[1]DATA_A11!$A$2:$FA$300, 16, FALSE)="",":",VLOOKUP($E$276,[1]DATA_A11!$A$2:$FA$300, 16, FALSE))</f>
        <v>375.09</v>
      </c>
      <c r="R276" s="556">
        <f ca="1">IF(VLOOKUP($E$276,[1]DATA_A11!$A$2:$FA$300, 17, FALSE)="",":",VLOOKUP($E$276,[1]DATA_A11!$A$2:$FA$300, 17, FALSE))</f>
        <v>377.54</v>
      </c>
      <c r="S276" s="556">
        <f ca="1">IF(VLOOKUP($E$276,[1]DATA_A11!$A$2:$FA$300, 18, FALSE)="",":",VLOOKUP($E$276,[1]DATA_A11!$A$2:$FA$300, 18, FALSE))</f>
        <v>376.58</v>
      </c>
      <c r="T276" s="556">
        <f ca="1">IF(VLOOKUP($E$276,[1]DATA_A11!$A$2:$FA$300, 19, FALSE)="",":",VLOOKUP($E$276,[1]DATA_A11!$A$2:$FA$300, 19, FALSE))</f>
        <v>371.87</v>
      </c>
      <c r="U276" s="556">
        <f ca="1">IF(VLOOKUP($E$276,[1]DATA_A11!$A$2:$FA$300, 20, FALSE)="",":",VLOOKUP($E$276,[1]DATA_A11!$A$2:$FA$300, 20, FALSE))</f>
        <v>373.33</v>
      </c>
      <c r="V276" s="556">
        <f ca="1">IF(VLOOKUP($E$276,[1]DATA_A11!$A$2:$FA$300, 21, FALSE)="",":",VLOOKUP($E$276,[1]DATA_A11!$A$2:$FA$300, 21, FALSE))</f>
        <v>379.08</v>
      </c>
      <c r="W276" s="556">
        <f ca="1">IF(VLOOKUP($E$276,[1]DATA_A11!$A$2:$FA$300, 22, FALSE)="",":",VLOOKUP($E$276,[1]DATA_A11!$A$2:$FA$300, 22, FALSE))</f>
        <v>385.8</v>
      </c>
      <c r="X276" s="556">
        <f ca="1">IF(VLOOKUP($E$276,[1]DATA_A11!$A$2:$FA$300, 23, FALSE)="",":",VLOOKUP($E$276,[1]DATA_A11!$A$2:$FA$300, 23, FALSE))</f>
        <v>391.84</v>
      </c>
      <c r="Y276" s="556">
        <f ca="1">IF(VLOOKUP($E$276,[1]DATA_A11!$A$2:$FA$300, 24, FALSE)="",":",VLOOKUP($E$276,[1]DATA_A11!$A$2:$FA$300, 24, FALSE))</f>
        <v>395.47</v>
      </c>
      <c r="Z276" s="556">
        <f ca="1">IF(VLOOKUP($E$276,[1]DATA_A11!$A$2:$FA$300, 25, FALSE)="",":",VLOOKUP($E$276,[1]DATA_A11!$A$2:$FA$300, 25, FALSE))</f>
        <v>395.44</v>
      </c>
      <c r="AA276" s="556">
        <f ca="1">IF(VLOOKUP($E$276,[1]DATA_A11!$A$2:$FA$300, 26, FALSE)="",":",VLOOKUP($E$276,[1]DATA_A11!$A$2:$FA$300, 26, FALSE))</f>
        <v>408.18</v>
      </c>
      <c r="AB276" s="556">
        <f ca="1">IF(VLOOKUP($E$276,[1]DATA_A11!$A$2:$FA$300, 27, FALSE)="",":",VLOOKUP($E$276,[1]DATA_A11!$A$2:$FA$300, 27, FALSE))</f>
        <v>424.13</v>
      </c>
      <c r="AC276" s="556">
        <f ca="1">IF(VLOOKUP($E$276,[1]DATA_A11!$A$2:$FA$300, 28, FALSE)="",":",VLOOKUP($E$276,[1]DATA_A11!$A$2:$FA$300, 28, FALSE))</f>
        <v>422.6</v>
      </c>
      <c r="AD276" s="556" t="str">
        <f>IF(VLOOKUP($E$276,[1]DATA_A11!$A$2:$FA$300, 29, FALSE)="",":",VLOOKUP($E$276,[1]DATA_A11!$A$2:$FA$300, 29, FALSE))</f>
        <v>:</v>
      </c>
      <c r="AE276" s="556" t="str">
        <f>IF(VLOOKUP($E$276,[1]DATA_A11!$A$2:$FA$300, 30, FALSE)="",":",VLOOKUP($E$276,[1]DATA_A11!$A$2:$FA$300, 30, FALSE))</f>
        <v>:</v>
      </c>
      <c r="AF276" s="556" t="str">
        <f>IF(VLOOKUP($E$276,[1]DATA_A11!$A$2:$FA$300, 31, FALSE)="",":",VLOOKUP($E$276,[1]DATA_A11!$A$2:$FA$300, 31, FALSE))</f>
        <v>:</v>
      </c>
    </row>
    <row r="277" spans="1:32">
      <c r="A277" s="545"/>
      <c r="B277" s="546"/>
      <c r="C277" s="547"/>
      <c r="D277" s="12"/>
      <c r="E277" s="13"/>
      <c r="F277" s="14"/>
      <c r="G277" s="556"/>
      <c r="H277" s="556"/>
      <c r="I277" s="556"/>
      <c r="J277" s="556"/>
      <c r="K277" s="556"/>
      <c r="L277" s="556"/>
      <c r="M277" s="556"/>
      <c r="N277" s="556"/>
      <c r="O277" s="556"/>
      <c r="P277" s="556"/>
      <c r="Q277" s="556"/>
      <c r="R277" s="556"/>
      <c r="S277" s="556"/>
      <c r="T277" s="556"/>
      <c r="U277" s="556"/>
      <c r="V277" s="556"/>
      <c r="W277" s="556"/>
      <c r="X277" s="556"/>
      <c r="Y277" s="556"/>
      <c r="Z277" s="556"/>
      <c r="AA277" s="556"/>
      <c r="AB277" s="556"/>
      <c r="AC277" s="556"/>
      <c r="AD277" s="556"/>
      <c r="AE277" s="556"/>
      <c r="AF277" s="556"/>
    </row>
    <row r="278" spans="1:32">
      <c r="A278" s="545">
        <v>134</v>
      </c>
      <c r="B278" s="546" t="s">
        <v>265</v>
      </c>
      <c r="C278" s="547"/>
      <c r="D278" s="12" t="s">
        <v>1517</v>
      </c>
      <c r="E278" s="13">
        <v>3001</v>
      </c>
      <c r="F278" s="14" t="str">
        <f>VLOOKUP($E$278,[1]DATA_A11!$A$2:$FA$300, 3, FALSE)</f>
        <v>3001 One-off and other temporary measures (revenue side)</v>
      </c>
      <c r="G278" s="556" t="str">
        <f>IF(VLOOKUP($E$278,[1]DATA_A11!$A$2:$FA$300, 6, FALSE)="",":",VLOOKUP($E$278,[1]DATA_A11!$A$2:$FA$300, 6, FALSE))</f>
        <v>:</v>
      </c>
      <c r="H278" s="556" t="str">
        <f>IF(VLOOKUP($E$278,[1]DATA_A11!$A$2:$FA$300, 7, FALSE)="",":",VLOOKUP($E$278,[1]DATA_A11!$A$2:$FA$300, 7, FALSE))</f>
        <v>:</v>
      </c>
      <c r="I278" s="556" t="str">
        <f>IF(VLOOKUP($E$278,[1]DATA_A11!$A$2:$FA$300, 8, FALSE)="",":",VLOOKUP($E$278,[1]DATA_A11!$A$2:$FA$300, 8, FALSE))</f>
        <v>:</v>
      </c>
      <c r="J278" s="556" t="str">
        <f>IF(VLOOKUP($E$278,[1]DATA_A11!$A$2:$FA$300, 9, FALSE)="",":",VLOOKUP($E$278,[1]DATA_A11!$A$2:$FA$300, 9, FALSE))</f>
        <v>:</v>
      </c>
      <c r="K278" s="556" t="str">
        <f>IF(VLOOKUP($E$278,[1]DATA_A11!$A$2:$FA$300, 10, FALSE)="",":",VLOOKUP($E$278,[1]DATA_A11!$A$2:$FA$300, 10, FALSE))</f>
        <v>:</v>
      </c>
      <c r="L278" s="556" t="str">
        <f>IF(VLOOKUP($E$278,[1]DATA_A11!$A$2:$FA$300, 11, FALSE)="",":",VLOOKUP($E$278,[1]DATA_A11!$A$2:$FA$300, 11, FALSE))</f>
        <v>:</v>
      </c>
      <c r="M278" s="556">
        <f>IF(VLOOKUP($E$278,[1]DATA_A11!$A$2:$FA$300, 12, FALSE)="",":",VLOOKUP($E$278,[1]DATA_A11!$A$2:$FA$300, 12, FALSE))</f>
        <v>1063</v>
      </c>
      <c r="N278" s="556">
        <f>IF(VLOOKUP($E$278,[1]DATA_A11!$A$2:$FA$300, 13, FALSE)="",":",VLOOKUP($E$278,[1]DATA_A11!$A$2:$FA$300, 13, FALSE))</f>
        <v>624</v>
      </c>
      <c r="O278" s="556">
        <f>IF(VLOOKUP($E$278,[1]DATA_A11!$A$2:$FA$300, 14, FALSE)="",":",VLOOKUP($E$278,[1]DATA_A11!$A$2:$FA$300, 14, FALSE))</f>
        <v>5403</v>
      </c>
      <c r="P278" s="556">
        <f>IF(VLOOKUP($E$278,[1]DATA_A11!$A$2:$FA$300, 15, FALSE)="",":",VLOOKUP($E$278,[1]DATA_A11!$A$2:$FA$300, 15, FALSE))</f>
        <v>1297</v>
      </c>
      <c r="Q278" s="556">
        <f>IF(VLOOKUP($E$278,[1]DATA_A11!$A$2:$FA$300, 16, FALSE)="",":",VLOOKUP($E$278,[1]DATA_A11!$A$2:$FA$300, 16, FALSE))</f>
        <v>1411</v>
      </c>
      <c r="R278" s="556">
        <f>IF(VLOOKUP($E$278,[1]DATA_A11!$A$2:$FA$300, 17, FALSE)="",":",VLOOKUP($E$278,[1]DATA_A11!$A$2:$FA$300, 17, FALSE))</f>
        <v>1790</v>
      </c>
      <c r="S278" s="556">
        <f>IF(VLOOKUP($E$278,[1]DATA_A11!$A$2:$FA$300, 18, FALSE)="",":",VLOOKUP($E$278,[1]DATA_A11!$A$2:$FA$300, 18, FALSE))</f>
        <v>444</v>
      </c>
      <c r="T278" s="556" t="str">
        <f>IF(VLOOKUP($E$278,[1]DATA_A11!$A$2:$FA$300, 19, FALSE)="",":",VLOOKUP($E$278,[1]DATA_A11!$A$2:$FA$300, 19, FALSE))</f>
        <v>:</v>
      </c>
      <c r="U278" s="556" t="str">
        <f>IF(VLOOKUP($E$278,[1]DATA_A11!$A$2:$FA$300, 20, FALSE)="",":",VLOOKUP($E$278,[1]DATA_A11!$A$2:$FA$300, 20, FALSE))</f>
        <v>:</v>
      </c>
      <c r="V278" s="556" t="str">
        <f>IF(VLOOKUP($E$278,[1]DATA_A11!$A$2:$FA$300, 21, FALSE)="",":",VLOOKUP($E$278,[1]DATA_A11!$A$2:$FA$300, 21, FALSE))</f>
        <v>:</v>
      </c>
      <c r="W278" s="556" t="str">
        <f>IF(VLOOKUP($E$278,[1]DATA_A11!$A$2:$FA$300, 22, FALSE)="",":",VLOOKUP($E$278,[1]DATA_A11!$A$2:$FA$300, 22, FALSE))</f>
        <v>:</v>
      </c>
      <c r="X278" s="556" t="str">
        <f>IF(VLOOKUP($E$278,[1]DATA_A11!$A$2:$FA$300, 23, FALSE)="",":",VLOOKUP($E$278,[1]DATA_A11!$A$2:$FA$300, 23, FALSE))</f>
        <v>:</v>
      </c>
      <c r="Y278" s="556" t="str">
        <f>IF(VLOOKUP($E$278,[1]DATA_A11!$A$2:$FA$300, 24, FALSE)="",":",VLOOKUP($E$278,[1]DATA_A11!$A$2:$FA$300, 24, FALSE))</f>
        <v>:</v>
      </c>
      <c r="Z278" s="556" t="str">
        <f>IF(VLOOKUP($E$278,[1]DATA_A11!$A$2:$FA$300, 25, FALSE)="",":",VLOOKUP($E$278,[1]DATA_A11!$A$2:$FA$300, 25, FALSE))</f>
        <v>:</v>
      </c>
      <c r="AA278" s="556" t="str">
        <f>IF(VLOOKUP($E$278,[1]DATA_A11!$A$2:$FA$300, 26, FALSE)="",":",VLOOKUP($E$278,[1]DATA_A11!$A$2:$FA$300, 26, FALSE))</f>
        <v>:</v>
      </c>
      <c r="AB278" s="556" t="str">
        <f>IF(VLOOKUP($E$278,[1]DATA_A11!$A$2:$FA$300, 27, FALSE)="",":",VLOOKUP($E$278,[1]DATA_A11!$A$2:$FA$300, 27, FALSE))</f>
        <v>:</v>
      </c>
      <c r="AC278" s="556" t="str">
        <f>IF(VLOOKUP($E$278,[1]DATA_A11!$A$2:$FA$300, 28, FALSE)="",":",VLOOKUP($E$278,[1]DATA_A11!$A$2:$FA$300, 28, FALSE))</f>
        <v>:</v>
      </c>
      <c r="AD278" s="556" t="str">
        <f>IF(VLOOKUP($E$278,[1]DATA_A11!$A$2:$FA$300, 29, FALSE)="",":",VLOOKUP($E$278,[1]DATA_A11!$A$2:$FA$300, 29, FALSE))</f>
        <v>:</v>
      </c>
      <c r="AE278" s="556" t="str">
        <f>IF(VLOOKUP($E$278,[1]DATA_A11!$A$2:$FA$300, 30, FALSE)="",":",VLOOKUP($E$278,[1]DATA_A11!$A$2:$FA$300, 30, FALSE))</f>
        <v>:</v>
      </c>
      <c r="AF278" s="556" t="str">
        <f>IF(VLOOKUP($E$278,[1]DATA_A11!$A$2:$FA$300, 31, FALSE)="",":",VLOOKUP($E$278,[1]DATA_A11!$A$2:$FA$300, 31, FALSE))</f>
        <v>:</v>
      </c>
    </row>
    <row r="279" spans="1:32">
      <c r="A279" s="545">
        <v>135</v>
      </c>
      <c r="B279" s="546" t="s">
        <v>266</v>
      </c>
      <c r="C279" s="547"/>
      <c r="D279" s="12" t="s">
        <v>1517</v>
      </c>
      <c r="E279" s="13">
        <v>3002</v>
      </c>
      <c r="F279" s="14" t="str">
        <f>VLOOKUP($E$279,[1]DATA_A11!$A$2:$FA$300, 3, FALSE)</f>
        <v>3001 One-off and other temporary measures (expenditure side)</v>
      </c>
      <c r="G279" s="556" t="str">
        <f>IF(VLOOKUP($E$279,[1]DATA_A11!$A$2:$FA$300, 6, FALSE)="",":",VLOOKUP($E$279,[1]DATA_A11!$A$2:$FA$300, 6, FALSE))</f>
        <v>:</v>
      </c>
      <c r="H279" s="556" t="str">
        <f>IF(VLOOKUP($E$279,[1]DATA_A11!$A$2:$FA$300, 7, FALSE)="",":",VLOOKUP($E$279,[1]DATA_A11!$A$2:$FA$300, 7, FALSE))</f>
        <v>:</v>
      </c>
      <c r="I279" s="556" t="str">
        <f>IF(VLOOKUP($E$279,[1]DATA_A11!$A$2:$FA$300, 8, FALSE)="",":",VLOOKUP($E$279,[1]DATA_A11!$A$2:$FA$300, 8, FALSE))</f>
        <v>:</v>
      </c>
      <c r="J279" s="556" t="str">
        <f>IF(VLOOKUP($E$279,[1]DATA_A11!$A$2:$FA$300, 9, FALSE)="",":",VLOOKUP($E$279,[1]DATA_A11!$A$2:$FA$300, 9, FALSE))</f>
        <v>:</v>
      </c>
      <c r="K279" s="556" t="str">
        <f>IF(VLOOKUP($E$279,[1]DATA_A11!$A$2:$FA$300, 10, FALSE)="",":",VLOOKUP($E$279,[1]DATA_A11!$A$2:$FA$300, 10, FALSE))</f>
        <v>:</v>
      </c>
      <c r="L279" s="556" t="str">
        <f>IF(VLOOKUP($E$279,[1]DATA_A11!$A$2:$FA$300, 11, FALSE)="",":",VLOOKUP($E$279,[1]DATA_A11!$A$2:$FA$300, 11, FALSE))</f>
        <v>:</v>
      </c>
      <c r="M279" s="556" t="str">
        <f>IF(VLOOKUP($E$279,[1]DATA_A11!$A$2:$FA$300, 12, FALSE)="",":",VLOOKUP($E$279,[1]DATA_A11!$A$2:$FA$300, 12, FALSE))</f>
        <v>:</v>
      </c>
      <c r="N279" s="556" t="str">
        <f>IF(VLOOKUP($E$279,[1]DATA_A11!$A$2:$FA$300, 13, FALSE)="",":",VLOOKUP($E$279,[1]DATA_A11!$A$2:$FA$300, 13, FALSE))</f>
        <v>:</v>
      </c>
      <c r="O279" s="556">
        <f>IF(VLOOKUP($E$279,[1]DATA_A11!$A$2:$FA$300, 14, FALSE)="",":",VLOOKUP($E$279,[1]DATA_A11!$A$2:$FA$300, 14, FALSE))</f>
        <v>-1552</v>
      </c>
      <c r="P279" s="556">
        <f>IF(VLOOKUP($E$279,[1]DATA_A11!$A$2:$FA$300, 15, FALSE)="",":",VLOOKUP($E$279,[1]DATA_A11!$A$2:$FA$300, 15, FALSE))</f>
        <v>1382</v>
      </c>
      <c r="Q279" s="556">
        <f>IF(VLOOKUP($E$279,[1]DATA_A11!$A$2:$FA$300, 16, FALSE)="",":",VLOOKUP($E$279,[1]DATA_A11!$A$2:$FA$300, 16, FALSE))</f>
        <v>-7229</v>
      </c>
      <c r="R279" s="556">
        <f>IF(VLOOKUP($E$279,[1]DATA_A11!$A$2:$FA$300, 17, FALSE)="",":",VLOOKUP($E$279,[1]DATA_A11!$A$2:$FA$300, 17, FALSE))</f>
        <v>1139</v>
      </c>
      <c r="S279" s="556">
        <f>IF(VLOOKUP($E$279,[1]DATA_A11!$A$2:$FA$300, 18, FALSE)="",":",VLOOKUP($E$279,[1]DATA_A11!$A$2:$FA$300, 18, FALSE))</f>
        <v>-688</v>
      </c>
      <c r="T279" s="556" t="str">
        <f>IF(VLOOKUP($E$279,[1]DATA_A11!$A$2:$FA$300, 19, FALSE)="",":",VLOOKUP($E$279,[1]DATA_A11!$A$2:$FA$300, 19, FALSE))</f>
        <v>:</v>
      </c>
      <c r="U279" s="556" t="str">
        <f>IF(VLOOKUP($E$279,[1]DATA_A11!$A$2:$FA$300, 20, FALSE)="",":",VLOOKUP($E$279,[1]DATA_A11!$A$2:$FA$300, 20, FALSE))</f>
        <v>:</v>
      </c>
      <c r="V279" s="556" t="str">
        <f>IF(VLOOKUP($E$279,[1]DATA_A11!$A$2:$FA$300, 21, FALSE)="",":",VLOOKUP($E$279,[1]DATA_A11!$A$2:$FA$300, 21, FALSE))</f>
        <v>:</v>
      </c>
      <c r="W279" s="556" t="str">
        <f>IF(VLOOKUP($E$279,[1]DATA_A11!$A$2:$FA$300, 22, FALSE)="",":",VLOOKUP($E$279,[1]DATA_A11!$A$2:$FA$300, 22, FALSE))</f>
        <v>:</v>
      </c>
      <c r="X279" s="556" t="str">
        <f>IF(VLOOKUP($E$279,[1]DATA_A11!$A$2:$FA$300, 23, FALSE)="",":",VLOOKUP($E$279,[1]DATA_A11!$A$2:$FA$300, 23, FALSE))</f>
        <v>:</v>
      </c>
      <c r="Y279" s="556" t="str">
        <f>IF(VLOOKUP($E$279,[1]DATA_A11!$A$2:$FA$300, 24, FALSE)="",":",VLOOKUP($E$279,[1]DATA_A11!$A$2:$FA$300, 24, FALSE))</f>
        <v>:</v>
      </c>
      <c r="Z279" s="556" t="str">
        <f>IF(VLOOKUP($E$279,[1]DATA_A11!$A$2:$FA$300, 25, FALSE)="",":",VLOOKUP($E$279,[1]DATA_A11!$A$2:$FA$300, 25, FALSE))</f>
        <v>:</v>
      </c>
      <c r="AA279" s="556" t="str">
        <f>IF(VLOOKUP($E$279,[1]DATA_A11!$A$2:$FA$300, 26, FALSE)="",":",VLOOKUP($E$279,[1]DATA_A11!$A$2:$FA$300, 26, FALSE))</f>
        <v>:</v>
      </c>
      <c r="AB279" s="556" t="str">
        <f>IF(VLOOKUP($E$279,[1]DATA_A11!$A$2:$FA$300, 27, FALSE)="",":",VLOOKUP($E$279,[1]DATA_A11!$A$2:$FA$300, 27, FALSE))</f>
        <v>:</v>
      </c>
      <c r="AC279" s="556" t="str">
        <f>IF(VLOOKUP($E$279,[1]DATA_A11!$A$2:$FA$300, 28, FALSE)="",":",VLOOKUP($E$279,[1]DATA_A11!$A$2:$FA$300, 28, FALSE))</f>
        <v>:</v>
      </c>
      <c r="AD279" s="556" t="str">
        <f>IF(VLOOKUP($E$279,[1]DATA_A11!$A$2:$FA$300, 29, FALSE)="",":",VLOOKUP($E$279,[1]DATA_A11!$A$2:$FA$300, 29, FALSE))</f>
        <v>:</v>
      </c>
      <c r="AE279" s="556" t="str">
        <f>IF(VLOOKUP($E$279,[1]DATA_A11!$A$2:$FA$300, 30, FALSE)="",":",VLOOKUP($E$279,[1]DATA_A11!$A$2:$FA$300, 30, FALSE))</f>
        <v>:</v>
      </c>
      <c r="AF279" s="556" t="str">
        <f>IF(VLOOKUP($E$279,[1]DATA_A11!$A$2:$FA$300, 31, FALSE)="",":",VLOOKUP($E$279,[1]DATA_A11!$A$2:$FA$300, 31, FALSE))</f>
        <v>:</v>
      </c>
    </row>
    <row r="280" spans="1:32">
      <c r="A280" s="545"/>
      <c r="B280" s="546" t="s">
        <v>2107</v>
      </c>
      <c r="C280" s="547"/>
      <c r="D280" s="12" t="s">
        <v>1517</v>
      </c>
      <c r="E280" s="13">
        <v>3011</v>
      </c>
      <c r="F280" s="14" t="str">
        <f>VLOOKUP($E$280,[1]DATA_A11!$A$2:$FA$300, 3, FALSE)</f>
        <v>3011 Employment in public administration and education</v>
      </c>
      <c r="G280" s="556" t="str">
        <f>IF(VLOOKUP($E$280,[1]DATA_A11!$A$2:$FA$300, 6, FALSE)="",":",VLOOKUP($E$280,[1]DATA_A11!$A$2:$FA$300, 6, FALSE))</f>
        <v>:</v>
      </c>
      <c r="H280" s="556">
        <f>IF(VLOOKUP($E$280,[1]DATA_A11!$A$2:$FA$300, 7, FALSE)="",":",VLOOKUP($E$280,[1]DATA_A11!$A$2:$FA$300, 7, FALSE))</f>
        <v>714.4</v>
      </c>
      <c r="I280" s="556">
        <f>IF(VLOOKUP($E$280,[1]DATA_A11!$A$2:$FA$300, 8, FALSE)="",":",VLOOKUP($E$280,[1]DATA_A11!$A$2:$FA$300, 8, FALSE))</f>
        <v>710.1</v>
      </c>
      <c r="J280" s="556">
        <f>IF(VLOOKUP($E$280,[1]DATA_A11!$A$2:$FA$300, 9, FALSE)="",":",VLOOKUP($E$280,[1]DATA_A11!$A$2:$FA$300, 9, FALSE))</f>
        <v>718</v>
      </c>
      <c r="K280" s="556">
        <f>IF(VLOOKUP($E$280,[1]DATA_A11!$A$2:$FA$300, 10, FALSE)="",":",VLOOKUP($E$280,[1]DATA_A11!$A$2:$FA$300, 10, FALSE))</f>
        <v>730</v>
      </c>
      <c r="L280" s="556">
        <f>IF(VLOOKUP($E$280,[1]DATA_A11!$A$2:$FA$300, 11, FALSE)="",":",VLOOKUP($E$280,[1]DATA_A11!$A$2:$FA$300, 11, FALSE))</f>
        <v>734.5</v>
      </c>
      <c r="M280" s="556">
        <f>IF(VLOOKUP($E$280,[1]DATA_A11!$A$2:$FA$300, 12, FALSE)="",":",VLOOKUP($E$280,[1]DATA_A11!$A$2:$FA$300, 12, FALSE))</f>
        <v>741.4</v>
      </c>
      <c r="N280" s="556">
        <f>IF(VLOOKUP($E$280,[1]DATA_A11!$A$2:$FA$300, 13, FALSE)="",":",VLOOKUP($E$280,[1]DATA_A11!$A$2:$FA$300, 13, FALSE))</f>
        <v>756.5</v>
      </c>
      <c r="O280" s="556">
        <f>IF(VLOOKUP($E$280,[1]DATA_A11!$A$2:$FA$300, 14, FALSE)="",":",VLOOKUP($E$280,[1]DATA_A11!$A$2:$FA$300, 14, FALSE))</f>
        <v>765.5</v>
      </c>
      <c r="P280" s="556">
        <f>IF(VLOOKUP($E$280,[1]DATA_A11!$A$2:$FA$300, 15, FALSE)="",":",VLOOKUP($E$280,[1]DATA_A11!$A$2:$FA$300, 15, FALSE))</f>
        <v>778.1</v>
      </c>
      <c r="Q280" s="556">
        <f>IF(VLOOKUP($E$280,[1]DATA_A11!$A$2:$FA$300, 16, FALSE)="",":",VLOOKUP($E$280,[1]DATA_A11!$A$2:$FA$300, 16, FALSE))</f>
        <v>792.4</v>
      </c>
      <c r="R280" s="556">
        <f>IF(VLOOKUP($E$280,[1]DATA_A11!$A$2:$FA$300, 17, FALSE)="",":",VLOOKUP($E$280,[1]DATA_A11!$A$2:$FA$300, 17, FALSE))</f>
        <v>800.4</v>
      </c>
      <c r="S280" s="556">
        <f>IF(VLOOKUP($E$280,[1]DATA_A11!$A$2:$FA$300, 18, FALSE)="",":",VLOOKUP($E$280,[1]DATA_A11!$A$2:$FA$300, 18, FALSE))</f>
        <v>807.8</v>
      </c>
      <c r="T280" s="556">
        <f>IF(VLOOKUP($E$280,[1]DATA_A11!$A$2:$FA$300, 19, FALSE)="",":",VLOOKUP($E$280,[1]DATA_A11!$A$2:$FA$300, 19, FALSE))</f>
        <v>818.5</v>
      </c>
      <c r="U280" s="556">
        <f>IF(VLOOKUP($E$280,[1]DATA_A11!$A$2:$FA$300, 20, FALSE)="",":",VLOOKUP($E$280,[1]DATA_A11!$A$2:$FA$300, 20, FALSE))</f>
        <v>835.3</v>
      </c>
      <c r="V280" s="556">
        <f>IF(VLOOKUP($E$280,[1]DATA_A11!$A$2:$FA$300, 21, FALSE)="",":",VLOOKUP($E$280,[1]DATA_A11!$A$2:$FA$300, 21, FALSE))</f>
        <v>841.8</v>
      </c>
      <c r="W280" s="556">
        <f>IF(VLOOKUP($E$280,[1]DATA_A11!$A$2:$FA$300, 22, FALSE)="",":",VLOOKUP($E$280,[1]DATA_A11!$A$2:$FA$300, 22, FALSE))</f>
        <v>845.5</v>
      </c>
      <c r="X280" s="556">
        <f>IF(VLOOKUP($E$280,[1]DATA_A11!$A$2:$FA$300, 23, FALSE)="",":",VLOOKUP($E$280,[1]DATA_A11!$A$2:$FA$300, 23, FALSE))</f>
        <v>845.7</v>
      </c>
      <c r="Y280" s="556">
        <f>IF(VLOOKUP($E$280,[1]DATA_A11!$A$2:$FA$300, 24, FALSE)="",":",VLOOKUP($E$280,[1]DATA_A11!$A$2:$FA$300, 24, FALSE))</f>
        <v>846</v>
      </c>
      <c r="Z280" s="556">
        <f>IF(VLOOKUP($E$280,[1]DATA_A11!$A$2:$FA$300, 25, FALSE)="",":",VLOOKUP($E$280,[1]DATA_A11!$A$2:$FA$300, 25, FALSE))</f>
        <v>849.7</v>
      </c>
      <c r="AA280" s="556">
        <f>IF(VLOOKUP($E$280,[1]DATA_A11!$A$2:$FA$300, 26, FALSE)="",":",VLOOKUP($E$280,[1]DATA_A11!$A$2:$FA$300, 26, FALSE))</f>
        <v>853.1</v>
      </c>
      <c r="AB280" s="556">
        <f>IF(VLOOKUP($E$280,[1]DATA_A11!$A$2:$FA$300, 27, FALSE)="",":",VLOOKUP($E$280,[1]DATA_A11!$A$2:$FA$300, 27, FALSE))</f>
        <v>856.4</v>
      </c>
      <c r="AC280" s="556">
        <f>IF(VLOOKUP($E$280,[1]DATA_A11!$A$2:$FA$300, 28, FALSE)="",":",VLOOKUP($E$280,[1]DATA_A11!$A$2:$FA$300, 28, FALSE))</f>
        <v>858.5</v>
      </c>
      <c r="AD280" s="556" t="str">
        <f>IF(VLOOKUP($E$280,[1]DATA_A11!$A$2:$FA$300, 29, FALSE)="",":",VLOOKUP($E$280,[1]DATA_A11!$A$2:$FA$300, 29, FALSE))</f>
        <v>:</v>
      </c>
      <c r="AE280" s="556" t="str">
        <f>IF(VLOOKUP($E$280,[1]DATA_A11!$A$2:$FA$300, 30, FALSE)="",":",VLOOKUP($E$280,[1]DATA_A11!$A$2:$FA$300, 30, FALSE))</f>
        <v>:</v>
      </c>
      <c r="AF280" s="556" t="str">
        <f>IF(VLOOKUP($E$280,[1]DATA_A11!$A$2:$FA$300, 31, FALSE)="",":",VLOOKUP($E$280,[1]DATA_A11!$A$2:$FA$300, 31, FALSE))</f>
        <v>:</v>
      </c>
    </row>
    <row r="281" spans="1:32">
      <c r="A281" s="545"/>
      <c r="B281" s="546"/>
      <c r="C281" s="547"/>
      <c r="D281" s="12" t="s">
        <v>1517</v>
      </c>
      <c r="E281" s="13">
        <v>3012</v>
      </c>
      <c r="F281" s="14" t="str">
        <f>VLOOKUP($E$281,[1]DATA_A11!$A$2:$FA$300, 3, FALSE)</f>
        <v>3012 Wages and salaries in public administration</v>
      </c>
      <c r="G281" s="556">
        <f>IF(VLOOKUP($E$281,[1]DATA_A11!$A$2:$FA$300, 6, FALSE)="",":",VLOOKUP($E$281,[1]DATA_A11!$A$2:$FA$300, 6, FALSE))</f>
        <v>24428.3</v>
      </c>
      <c r="H281" s="556">
        <f>IF(VLOOKUP($E$281,[1]DATA_A11!$A$2:$FA$300, 7, FALSE)="",":",VLOOKUP($E$281,[1]DATA_A11!$A$2:$FA$300, 7, FALSE))</f>
        <v>24956</v>
      </c>
      <c r="I281" s="556">
        <f>IF(VLOOKUP($E$281,[1]DATA_A11!$A$2:$FA$300, 8, FALSE)="",":",VLOOKUP($E$281,[1]DATA_A11!$A$2:$FA$300, 8, FALSE))</f>
        <v>25796.2</v>
      </c>
      <c r="J281" s="556">
        <f>IF(VLOOKUP($E$281,[1]DATA_A11!$A$2:$FA$300, 9, FALSE)="",":",VLOOKUP($E$281,[1]DATA_A11!$A$2:$FA$300, 9, FALSE))</f>
        <v>26571</v>
      </c>
      <c r="K281" s="556">
        <f>IF(VLOOKUP($E$281,[1]DATA_A11!$A$2:$FA$300, 10, FALSE)="",":",VLOOKUP($E$281,[1]DATA_A11!$A$2:$FA$300, 10, FALSE))</f>
        <v>27772.799999999999</v>
      </c>
      <c r="L281" s="556">
        <f>IF(VLOOKUP($E$281,[1]DATA_A11!$A$2:$FA$300, 11, FALSE)="",":",VLOOKUP($E$281,[1]DATA_A11!$A$2:$FA$300, 11, FALSE))</f>
        <v>28776.7</v>
      </c>
      <c r="M281" s="556">
        <f>IF(VLOOKUP($E$281,[1]DATA_A11!$A$2:$FA$300, 12, FALSE)="",":",VLOOKUP($E$281,[1]DATA_A11!$A$2:$FA$300, 12, FALSE))</f>
        <v>30060.3</v>
      </c>
      <c r="N281" s="556">
        <f>IF(VLOOKUP($E$281,[1]DATA_A11!$A$2:$FA$300, 13, FALSE)="",":",VLOOKUP($E$281,[1]DATA_A11!$A$2:$FA$300, 13, FALSE))</f>
        <v>32275.1</v>
      </c>
      <c r="O281" s="556">
        <f>IF(VLOOKUP($E$281,[1]DATA_A11!$A$2:$FA$300, 14, FALSE)="",":",VLOOKUP($E$281,[1]DATA_A11!$A$2:$FA$300, 14, FALSE))</f>
        <v>33604.199999999997</v>
      </c>
      <c r="P281" s="556">
        <f>IF(VLOOKUP($E$281,[1]DATA_A11!$A$2:$FA$300, 15, FALSE)="",":",VLOOKUP($E$281,[1]DATA_A11!$A$2:$FA$300, 15, FALSE))</f>
        <v>34612.1</v>
      </c>
      <c r="Q281" s="556">
        <f>IF(VLOOKUP($E$281,[1]DATA_A11!$A$2:$FA$300, 16, FALSE)="",":",VLOOKUP($E$281,[1]DATA_A11!$A$2:$FA$300, 16, FALSE))</f>
        <v>36417.699999999997</v>
      </c>
      <c r="R281" s="556">
        <f>IF(VLOOKUP($E$281,[1]DATA_A11!$A$2:$FA$300, 17, FALSE)="",":",VLOOKUP($E$281,[1]DATA_A11!$A$2:$FA$300, 17, FALSE))</f>
        <v>38011.800000000003</v>
      </c>
      <c r="S281" s="556">
        <f>IF(VLOOKUP($E$281,[1]DATA_A11!$A$2:$FA$300, 18, FALSE)="",":",VLOOKUP($E$281,[1]DATA_A11!$A$2:$FA$300, 18, FALSE))</f>
        <v>39631.699999999997</v>
      </c>
      <c r="T281" s="556">
        <f>IF(VLOOKUP($E$281,[1]DATA_A11!$A$2:$FA$300, 19, FALSE)="",":",VLOOKUP($E$281,[1]DATA_A11!$A$2:$FA$300, 19, FALSE))</f>
        <v>41896.6</v>
      </c>
      <c r="U281" s="556">
        <f>IF(VLOOKUP($E$281,[1]DATA_A11!$A$2:$FA$300, 20, FALSE)="",":",VLOOKUP($E$281,[1]DATA_A11!$A$2:$FA$300, 20, FALSE))</f>
        <v>43747.8</v>
      </c>
      <c r="V281" s="556">
        <f>IF(VLOOKUP($E$281,[1]DATA_A11!$A$2:$FA$300, 21, FALSE)="",":",VLOOKUP($E$281,[1]DATA_A11!$A$2:$FA$300, 21, FALSE))</f>
        <v>44908.6</v>
      </c>
      <c r="W281" s="556">
        <f>IF(VLOOKUP($E$281,[1]DATA_A11!$A$2:$FA$300, 22, FALSE)="",":",VLOOKUP($E$281,[1]DATA_A11!$A$2:$FA$300, 22, FALSE))</f>
        <v>46770.9</v>
      </c>
      <c r="X281" s="556">
        <f>IF(VLOOKUP($E$281,[1]DATA_A11!$A$2:$FA$300, 23, FALSE)="",":",VLOOKUP($E$281,[1]DATA_A11!$A$2:$FA$300, 23, FALSE))</f>
        <v>48655.199999999997</v>
      </c>
      <c r="Y281" s="556">
        <f>IF(VLOOKUP($E$281,[1]DATA_A11!$A$2:$FA$300, 24, FALSE)="",":",VLOOKUP($E$281,[1]DATA_A11!$A$2:$FA$300, 24, FALSE))</f>
        <v>50193.7</v>
      </c>
      <c r="Z281" s="556">
        <f>IF(VLOOKUP($E$281,[1]DATA_A11!$A$2:$FA$300, 25, FALSE)="",":",VLOOKUP($E$281,[1]DATA_A11!$A$2:$FA$300, 25, FALSE))</f>
        <v>50870.5</v>
      </c>
      <c r="AA281" s="556">
        <f>IF(VLOOKUP($E$281,[1]DATA_A11!$A$2:$FA$300, 26, FALSE)="",":",VLOOKUP($E$281,[1]DATA_A11!$A$2:$FA$300, 26, FALSE))</f>
        <v>51170</v>
      </c>
      <c r="AB281" s="556">
        <f>IF(VLOOKUP($E$281,[1]DATA_A11!$A$2:$FA$300, 27, FALSE)="",":",VLOOKUP($E$281,[1]DATA_A11!$A$2:$FA$300, 27, FALSE))</f>
        <v>52608.1</v>
      </c>
      <c r="AC281" s="556">
        <f>IF(VLOOKUP($E$281,[1]DATA_A11!$A$2:$FA$300, 28, FALSE)="",":",VLOOKUP($E$281,[1]DATA_A11!$A$2:$FA$300, 28, FALSE))</f>
        <v>0</v>
      </c>
      <c r="AD281" s="556" t="str">
        <f>IF(VLOOKUP($E$281,[1]DATA_A11!$A$2:$FA$300, 29, FALSE)="",":",VLOOKUP($E$281,[1]DATA_A11!$A$2:$FA$300, 29, FALSE))</f>
        <v>:</v>
      </c>
      <c r="AE281" s="556" t="str">
        <f>IF(VLOOKUP($E$281,[1]DATA_A11!$A$2:$FA$300, 30, FALSE)="",":",VLOOKUP($E$281,[1]DATA_A11!$A$2:$FA$300, 30, FALSE))</f>
        <v>:</v>
      </c>
      <c r="AF281" s="556" t="str">
        <f>IF(VLOOKUP($E$281,[1]DATA_A11!$A$2:$FA$300, 31, FALSE)="",":",VLOOKUP($E$281,[1]DATA_A11!$A$2:$FA$300, 31, FALSE))</f>
        <v>:</v>
      </c>
    </row>
    <row r="282" spans="1:32">
      <c r="A282" s="545"/>
      <c r="B282" s="546"/>
      <c r="C282" s="547"/>
      <c r="D282" s="12" t="s">
        <v>1517</v>
      </c>
      <c r="E282" s="13">
        <v>3020</v>
      </c>
      <c r="F282" s="14" t="str">
        <f>VLOOKUP($E$282,[1]DATA_A11!$A$2:$FA$300, 3, FALSE)</f>
        <v>Real estate sales by the government</v>
      </c>
      <c r="G282" s="556" t="str">
        <f>IF(VLOOKUP($E$282,[1]DATA_A11!$A$2:$FA$300, 6, FALSE)="",":",VLOOKUP($E$282,[1]DATA_A11!$A$2:$FA$300, 6, FALSE))</f>
        <v>:</v>
      </c>
      <c r="H282" s="556" t="str">
        <f>IF(VLOOKUP($E$282,[1]DATA_A11!$A$2:$FA$300, 7, FALSE)="",":",VLOOKUP($E$282,[1]DATA_A11!$A$2:$FA$300, 7, FALSE))</f>
        <v>:</v>
      </c>
      <c r="I282" s="556" t="str">
        <f>IF(VLOOKUP($E$282,[1]DATA_A11!$A$2:$FA$300, 8, FALSE)="",":",VLOOKUP($E$282,[1]DATA_A11!$A$2:$FA$300, 8, FALSE))</f>
        <v>:</v>
      </c>
      <c r="J282" s="556" t="str">
        <f>IF(VLOOKUP($E$282,[1]DATA_A11!$A$2:$FA$300, 9, FALSE)="",":",VLOOKUP($E$282,[1]DATA_A11!$A$2:$FA$300, 9, FALSE))</f>
        <v>:</v>
      </c>
      <c r="K282" s="556" t="str">
        <f>IF(VLOOKUP($E$282,[1]DATA_A11!$A$2:$FA$300, 10, FALSE)="",":",VLOOKUP($E$282,[1]DATA_A11!$A$2:$FA$300, 10, FALSE))</f>
        <v>:</v>
      </c>
      <c r="L282" s="556" t="str">
        <f>IF(VLOOKUP($E$282,[1]DATA_A11!$A$2:$FA$300, 11, FALSE)="",":",VLOOKUP($E$282,[1]DATA_A11!$A$2:$FA$300, 11, FALSE))</f>
        <v>:</v>
      </c>
      <c r="M282" s="556">
        <f>IF(VLOOKUP($E$282,[1]DATA_A11!$A$2:$FA$300, 12, FALSE)="",":",VLOOKUP($E$282,[1]DATA_A11!$A$2:$FA$300, 12, FALSE))</f>
        <v>319</v>
      </c>
      <c r="N282" s="556">
        <f>IF(VLOOKUP($E$282,[1]DATA_A11!$A$2:$FA$300, 13, FALSE)="",":",VLOOKUP($E$282,[1]DATA_A11!$A$2:$FA$300, 13, FALSE))</f>
        <v>383</v>
      </c>
      <c r="O282" s="556">
        <f>IF(VLOOKUP($E$282,[1]DATA_A11!$A$2:$FA$300, 14, FALSE)="",":",VLOOKUP($E$282,[1]DATA_A11!$A$2:$FA$300, 14, FALSE))</f>
        <v>195</v>
      </c>
      <c r="P282" s="556">
        <f>IF(VLOOKUP($E$282,[1]DATA_A11!$A$2:$FA$300, 15, FALSE)="",":",VLOOKUP($E$282,[1]DATA_A11!$A$2:$FA$300, 15, FALSE))</f>
        <v>656</v>
      </c>
      <c r="Q282" s="556">
        <f>IF(VLOOKUP($E$282,[1]DATA_A11!$A$2:$FA$300, 16, FALSE)="",":",VLOOKUP($E$282,[1]DATA_A11!$A$2:$FA$300, 16, FALSE))</f>
        <v>171</v>
      </c>
      <c r="R282" s="556">
        <f>IF(VLOOKUP($E$282,[1]DATA_A11!$A$2:$FA$300, 17, FALSE)="",":",VLOOKUP($E$282,[1]DATA_A11!$A$2:$FA$300, 17, FALSE))</f>
        <v>994</v>
      </c>
      <c r="S282" s="556" t="str">
        <f>IF(VLOOKUP($E$282,[1]DATA_A11!$A$2:$FA$300, 18, FALSE)="",":",VLOOKUP($E$282,[1]DATA_A11!$A$2:$FA$300, 18, FALSE))</f>
        <v>:</v>
      </c>
      <c r="T282" s="556" t="str">
        <f>IF(VLOOKUP($E$282,[1]DATA_A11!$A$2:$FA$300, 19, FALSE)="",":",VLOOKUP($E$282,[1]DATA_A11!$A$2:$FA$300, 19, FALSE))</f>
        <v>:</v>
      </c>
      <c r="U282" s="556" t="str">
        <f>IF(VLOOKUP($E$282,[1]DATA_A11!$A$2:$FA$300, 20, FALSE)="",":",VLOOKUP($E$282,[1]DATA_A11!$A$2:$FA$300, 20, FALSE))</f>
        <v>:</v>
      </c>
      <c r="V282" s="556" t="str">
        <f>IF(VLOOKUP($E$282,[1]DATA_A11!$A$2:$FA$300, 21, FALSE)="",":",VLOOKUP($E$282,[1]DATA_A11!$A$2:$FA$300, 21, FALSE))</f>
        <v>:</v>
      </c>
      <c r="W282" s="556" t="str">
        <f>IF(VLOOKUP($E$282,[1]DATA_A11!$A$2:$FA$300, 22, FALSE)="",":",VLOOKUP($E$282,[1]DATA_A11!$A$2:$FA$300, 22, FALSE))</f>
        <v>:</v>
      </c>
      <c r="X282" s="556" t="str">
        <f>IF(VLOOKUP($E$282,[1]DATA_A11!$A$2:$FA$300, 23, FALSE)="",":",VLOOKUP($E$282,[1]DATA_A11!$A$2:$FA$300, 23, FALSE))</f>
        <v>:</v>
      </c>
      <c r="Y282" s="556" t="str">
        <f>IF(VLOOKUP($E$282,[1]DATA_A11!$A$2:$FA$300, 24, FALSE)="",":",VLOOKUP($E$282,[1]DATA_A11!$A$2:$FA$300, 24, FALSE))</f>
        <v>:</v>
      </c>
      <c r="Z282" s="556" t="str">
        <f>IF(VLOOKUP($E$282,[1]DATA_A11!$A$2:$FA$300, 25, FALSE)="",":",VLOOKUP($E$282,[1]DATA_A11!$A$2:$FA$300, 25, FALSE))</f>
        <v>:</v>
      </c>
      <c r="AA282" s="556" t="str">
        <f>IF(VLOOKUP($E$282,[1]DATA_A11!$A$2:$FA$300, 26, FALSE)="",":",VLOOKUP($E$282,[1]DATA_A11!$A$2:$FA$300, 26, FALSE))</f>
        <v>:</v>
      </c>
      <c r="AB282" s="556" t="str">
        <f>IF(VLOOKUP($E$282,[1]DATA_A11!$A$2:$FA$300, 27, FALSE)="",":",VLOOKUP($E$282,[1]DATA_A11!$A$2:$FA$300, 27, FALSE))</f>
        <v>:</v>
      </c>
      <c r="AC282" s="556" t="str">
        <f>IF(VLOOKUP($E$282,[1]DATA_A11!$A$2:$FA$300, 28, FALSE)="",":",VLOOKUP($E$282,[1]DATA_A11!$A$2:$FA$300, 28, FALSE))</f>
        <v>:</v>
      </c>
      <c r="AD282" s="556" t="str">
        <f>IF(VLOOKUP($E$282,[1]DATA_A11!$A$2:$FA$300, 29, FALSE)="",":",VLOOKUP($E$282,[1]DATA_A11!$A$2:$FA$300, 29, FALSE))</f>
        <v>:</v>
      </c>
      <c r="AE282" s="556" t="str">
        <f>IF(VLOOKUP($E$282,[1]DATA_A11!$A$2:$FA$300, 30, FALSE)="",":",VLOOKUP($E$282,[1]DATA_A11!$A$2:$FA$300, 30, FALSE))</f>
        <v>:</v>
      </c>
      <c r="AF282" s="556" t="str">
        <f>IF(VLOOKUP($E$282,[1]DATA_A11!$A$2:$FA$300, 31, FALSE)="",":",VLOOKUP($E$282,[1]DATA_A11!$A$2:$FA$300, 31, FALSE))</f>
        <v>:</v>
      </c>
    </row>
    <row r="283" spans="1:32">
      <c r="A283" s="545"/>
      <c r="B283" s="546"/>
      <c r="C283" s="547"/>
      <c r="D283" s="12"/>
      <c r="E283" s="13"/>
      <c r="F283" s="14"/>
      <c r="G283" s="556"/>
      <c r="H283" s="556"/>
      <c r="I283" s="556"/>
      <c r="J283" s="556"/>
      <c r="K283" s="556"/>
      <c r="L283" s="556"/>
      <c r="M283" s="556"/>
      <c r="N283" s="556"/>
      <c r="O283" s="556"/>
      <c r="P283" s="556"/>
      <c r="Q283" s="556"/>
      <c r="R283" s="556"/>
      <c r="S283" s="556"/>
      <c r="T283" s="556"/>
      <c r="U283" s="556"/>
      <c r="V283" s="556"/>
      <c r="W283" s="556"/>
      <c r="X283" s="556"/>
      <c r="Y283" s="556"/>
      <c r="Z283" s="556"/>
      <c r="AA283" s="556"/>
      <c r="AB283" s="556"/>
      <c r="AC283" s="556"/>
      <c r="AD283" s="556"/>
      <c r="AE283" s="556"/>
      <c r="AF283" s="556"/>
    </row>
    <row r="284" spans="1:32">
      <c r="A284" s="545"/>
      <c r="B284" s="546"/>
      <c r="C284" s="547"/>
      <c r="D284" s="12" t="s">
        <v>1517</v>
      </c>
      <c r="E284" s="13">
        <v>3021</v>
      </c>
      <c r="F284" s="14" t="str">
        <f>VLOOKUP($E$284,[1]DATA_A11!$A$2:$FA$300, 3, FALSE)</f>
        <v>Social benefits</v>
      </c>
      <c r="G284" s="556">
        <f>IF(VLOOKUP($E$284,[1]DATA_A11!$A$2:$FA$300, 6, FALSE)="",":",VLOOKUP($E$284,[1]DATA_A11!$A$2:$FA$300, 6, FALSE))</f>
        <v>32936.1</v>
      </c>
      <c r="H284" s="556">
        <f>IF(VLOOKUP($E$284,[1]DATA_A11!$A$2:$FA$300, 7, FALSE)="",":",VLOOKUP($E$284,[1]DATA_A11!$A$2:$FA$300, 7, FALSE))</f>
        <v>33900.300000000003</v>
      </c>
      <c r="I284" s="556">
        <f>IF(VLOOKUP($E$284,[1]DATA_A11!$A$2:$FA$300, 8, FALSE)="",":",VLOOKUP($E$284,[1]DATA_A11!$A$2:$FA$300, 8, FALSE))</f>
        <v>34947.4</v>
      </c>
      <c r="J284" s="556">
        <f>IF(VLOOKUP($E$284,[1]DATA_A11!$A$2:$FA$300, 9, FALSE)="",":",VLOOKUP($E$284,[1]DATA_A11!$A$2:$FA$300, 9, FALSE))</f>
        <v>35640.800000000003</v>
      </c>
      <c r="K284" s="556">
        <f>IF(VLOOKUP($E$284,[1]DATA_A11!$A$2:$FA$300, 10, FALSE)="",":",VLOOKUP($E$284,[1]DATA_A11!$A$2:$FA$300, 10, FALSE))</f>
        <v>36285.199999999997</v>
      </c>
      <c r="L284" s="556">
        <f>IF(VLOOKUP($E$284,[1]DATA_A11!$A$2:$FA$300, 11, FALSE)="",":",VLOOKUP($E$284,[1]DATA_A11!$A$2:$FA$300, 11, FALSE))</f>
        <v>37241.599999999999</v>
      </c>
      <c r="M284" s="556">
        <f>IF(VLOOKUP($E$284,[1]DATA_A11!$A$2:$FA$300, 12, FALSE)="",":",VLOOKUP($E$284,[1]DATA_A11!$A$2:$FA$300, 12, FALSE))</f>
        <v>38791.9</v>
      </c>
      <c r="N284" s="556">
        <f>IF(VLOOKUP($E$284,[1]DATA_A11!$A$2:$FA$300, 13, FALSE)="",":",VLOOKUP($E$284,[1]DATA_A11!$A$2:$FA$300, 13, FALSE))</f>
        <v>41471.599999999999</v>
      </c>
      <c r="O284" s="556">
        <f>IF(VLOOKUP($E$284,[1]DATA_A11!$A$2:$FA$300, 14, FALSE)="",":",VLOOKUP($E$284,[1]DATA_A11!$A$2:$FA$300, 14, FALSE))</f>
        <v>43290.6</v>
      </c>
      <c r="P284" s="556">
        <f>IF(VLOOKUP($E$284,[1]DATA_A11!$A$2:$FA$300, 15, FALSE)="",":",VLOOKUP($E$284,[1]DATA_A11!$A$2:$FA$300, 15, FALSE))</f>
        <v>45021.4</v>
      </c>
      <c r="Q284" s="556">
        <f>IF(VLOOKUP($E$284,[1]DATA_A11!$A$2:$FA$300, 16, FALSE)="",":",VLOOKUP($E$284,[1]DATA_A11!$A$2:$FA$300, 16, FALSE))</f>
        <v>46677.5</v>
      </c>
      <c r="R284" s="556">
        <f>IF(VLOOKUP($E$284,[1]DATA_A11!$A$2:$FA$300, 17, FALSE)="",":",VLOOKUP($E$284,[1]DATA_A11!$A$2:$FA$300, 17, FALSE))</f>
        <v>48273.8</v>
      </c>
      <c r="S284" s="556">
        <f>IF(VLOOKUP($E$284,[1]DATA_A11!$A$2:$FA$300, 18, FALSE)="",":",VLOOKUP($E$284,[1]DATA_A11!$A$2:$FA$300, 18, FALSE))</f>
        <v>50788.6</v>
      </c>
      <c r="T284" s="556">
        <f>IF(VLOOKUP($E$284,[1]DATA_A11!$A$2:$FA$300, 19, FALSE)="",":",VLOOKUP($E$284,[1]DATA_A11!$A$2:$FA$300, 19, FALSE))</f>
        <v>54066.3</v>
      </c>
      <c r="U284" s="556">
        <f>IF(VLOOKUP($E$284,[1]DATA_A11!$A$2:$FA$300, 20, FALSE)="",":",VLOOKUP($E$284,[1]DATA_A11!$A$2:$FA$300, 20, FALSE))</f>
        <v>58194.5</v>
      </c>
      <c r="V284" s="556">
        <f>IF(VLOOKUP($E$284,[1]DATA_A11!$A$2:$FA$300, 21, FALSE)="",":",VLOOKUP($E$284,[1]DATA_A11!$A$2:$FA$300, 21, FALSE))</f>
        <v>59719</v>
      </c>
      <c r="W284" s="556">
        <f>IF(VLOOKUP($E$284,[1]DATA_A11!$A$2:$FA$300, 22, FALSE)="",":",VLOOKUP($E$284,[1]DATA_A11!$A$2:$FA$300, 22, FALSE))</f>
        <v>62197.599999999999</v>
      </c>
      <c r="X284" s="556">
        <f>IF(VLOOKUP($E$284,[1]DATA_A11!$A$2:$FA$300, 23, FALSE)="",":",VLOOKUP($E$284,[1]DATA_A11!$A$2:$FA$300, 23, FALSE))</f>
        <v>65408</v>
      </c>
      <c r="Y284" s="556">
        <f>IF(VLOOKUP($E$284,[1]DATA_A11!$A$2:$FA$300, 24, FALSE)="",":",VLOOKUP($E$284,[1]DATA_A11!$A$2:$FA$300, 24, FALSE))</f>
        <v>68186.899999999994</v>
      </c>
      <c r="Z284" s="556">
        <f>IF(VLOOKUP($E$284,[1]DATA_A11!$A$2:$FA$300, 25, FALSE)="",":",VLOOKUP($E$284,[1]DATA_A11!$A$2:$FA$300, 25, FALSE))</f>
        <v>69181.899999999994</v>
      </c>
      <c r="AA284" s="556">
        <f>IF(VLOOKUP($E$284,[1]DATA_A11!$A$2:$FA$300, 26, FALSE)="",":",VLOOKUP($E$284,[1]DATA_A11!$A$2:$FA$300, 26, FALSE))</f>
        <v>70655.7</v>
      </c>
      <c r="AB284" s="556">
        <f>IF(VLOOKUP($E$284,[1]DATA_A11!$A$2:$FA$300, 27, FALSE)="",":",VLOOKUP($E$284,[1]DATA_A11!$A$2:$FA$300, 27, FALSE))</f>
        <v>72838.100000000006</v>
      </c>
      <c r="AC284" s="556">
        <f>IF(VLOOKUP($E$284,[1]DATA_A11!$A$2:$FA$300, 28, FALSE)="",":",VLOOKUP($E$284,[1]DATA_A11!$A$2:$FA$300, 28, FALSE))</f>
        <v>75218.399999999994</v>
      </c>
      <c r="AD284" s="556" t="str">
        <f>IF(VLOOKUP($E$284,[1]DATA_A11!$A$2:$FA$300, 29, FALSE)="",":",VLOOKUP($E$284,[1]DATA_A11!$A$2:$FA$300, 29, FALSE))</f>
        <v>:</v>
      </c>
      <c r="AE284" s="556" t="str">
        <f>IF(VLOOKUP($E$284,[1]DATA_A11!$A$2:$FA$300, 30, FALSE)="",":",VLOOKUP($E$284,[1]DATA_A11!$A$2:$FA$300, 30, FALSE))</f>
        <v>:</v>
      </c>
      <c r="AF284" s="556" t="str">
        <f>IF(VLOOKUP($E$284,[1]DATA_A11!$A$2:$FA$300, 31, FALSE)="",":",VLOOKUP($E$284,[1]DATA_A11!$A$2:$FA$300, 31, FALSE))</f>
        <v>:</v>
      </c>
    </row>
    <row r="285" spans="1:32">
      <c r="A285" s="545"/>
      <c r="B285" s="546"/>
      <c r="C285" s="547"/>
      <c r="D285" s="12" t="s">
        <v>1517</v>
      </c>
      <c r="E285" s="13">
        <v>3022</v>
      </c>
      <c r="F285" s="14" t="str">
        <f>VLOOKUP($E$285,[1]DATA_A11!$A$2:$FA$300, 3, FALSE)</f>
        <v xml:space="preserve">         Sickness and disability benefits</v>
      </c>
      <c r="G285" s="556">
        <f>IF(VLOOKUP($E$285,[1]DATA_A11!$A$2:$FA$300, 6, FALSE)="",":",VLOOKUP($E$285,[1]DATA_A11!$A$2:$FA$300, 6, FALSE))</f>
        <v>2482</v>
      </c>
      <c r="H285" s="556">
        <f>IF(VLOOKUP($E$285,[1]DATA_A11!$A$2:$FA$300, 7, FALSE)="",":",VLOOKUP($E$285,[1]DATA_A11!$A$2:$FA$300, 7, FALSE))</f>
        <v>2543</v>
      </c>
      <c r="I285" s="556">
        <f>IF(VLOOKUP($E$285,[1]DATA_A11!$A$2:$FA$300, 8, FALSE)="",":",VLOOKUP($E$285,[1]DATA_A11!$A$2:$FA$300, 8, FALSE))</f>
        <v>2547</v>
      </c>
      <c r="J285" s="556">
        <f>IF(VLOOKUP($E$285,[1]DATA_A11!$A$2:$FA$300, 9, FALSE)="",":",VLOOKUP($E$285,[1]DATA_A11!$A$2:$FA$300, 9, FALSE))</f>
        <v>2635</v>
      </c>
      <c r="K285" s="556">
        <f>IF(VLOOKUP($E$285,[1]DATA_A11!$A$2:$FA$300, 10, FALSE)="",":",VLOOKUP($E$285,[1]DATA_A11!$A$2:$FA$300, 10, FALSE))</f>
        <v>2722</v>
      </c>
      <c r="L285" s="556">
        <f>IF(VLOOKUP($E$285,[1]DATA_A11!$A$2:$FA$300, 11, FALSE)="",":",VLOOKUP($E$285,[1]DATA_A11!$A$2:$FA$300, 11, FALSE))</f>
        <v>2840</v>
      </c>
      <c r="M285" s="556">
        <f>IF(VLOOKUP($E$285,[1]DATA_A11!$A$2:$FA$300, 12, FALSE)="",":",VLOOKUP($E$285,[1]DATA_A11!$A$2:$FA$300, 12, FALSE))</f>
        <v>3023</v>
      </c>
      <c r="N285" s="556">
        <f>IF(VLOOKUP($E$285,[1]DATA_A11!$A$2:$FA$300, 13, FALSE)="",":",VLOOKUP($E$285,[1]DATA_A11!$A$2:$FA$300, 13, FALSE))</f>
        <v>3208</v>
      </c>
      <c r="O285" s="556">
        <f>IF(VLOOKUP($E$285,[1]DATA_A11!$A$2:$FA$300, 14, FALSE)="",":",VLOOKUP($E$285,[1]DATA_A11!$A$2:$FA$300, 14, FALSE))</f>
        <v>3366</v>
      </c>
      <c r="P285" s="556">
        <f>IF(VLOOKUP($E$285,[1]DATA_A11!$A$2:$FA$300, 15, FALSE)="",":",VLOOKUP($E$285,[1]DATA_A11!$A$2:$FA$300, 15, FALSE))</f>
        <v>3485</v>
      </c>
      <c r="Q285" s="556">
        <f>IF(VLOOKUP($E$285,[1]DATA_A11!$A$2:$FA$300, 16, FALSE)="",":",VLOOKUP($E$285,[1]DATA_A11!$A$2:$FA$300, 16, FALSE))</f>
        <v>3636</v>
      </c>
      <c r="R285" s="556">
        <f>IF(VLOOKUP($E$285,[1]DATA_A11!$A$2:$FA$300, 17, FALSE)="",":",VLOOKUP($E$285,[1]DATA_A11!$A$2:$FA$300, 17, FALSE))</f>
        <v>3839</v>
      </c>
      <c r="S285" s="556">
        <f>IF(VLOOKUP($E$285,[1]DATA_A11!$A$2:$FA$300, 18, FALSE)="",":",VLOOKUP($E$285,[1]DATA_A11!$A$2:$FA$300, 18, FALSE))</f>
        <v>4144</v>
      </c>
      <c r="T285" s="556">
        <f>IF(VLOOKUP($E$285,[1]DATA_A11!$A$2:$FA$300, 19, FALSE)="",":",VLOOKUP($E$285,[1]DATA_A11!$A$2:$FA$300, 19, FALSE))</f>
        <v>4554</v>
      </c>
      <c r="U285" s="556">
        <f>IF(VLOOKUP($E$285,[1]DATA_A11!$A$2:$FA$300, 20, FALSE)="",":",VLOOKUP($E$285,[1]DATA_A11!$A$2:$FA$300, 20, FALSE))</f>
        <v>4922</v>
      </c>
      <c r="V285" s="556">
        <f>IF(VLOOKUP($E$285,[1]DATA_A11!$A$2:$FA$300, 21, FALSE)="",":",VLOOKUP($E$285,[1]DATA_A11!$A$2:$FA$300, 21, FALSE))</f>
        <v>5335</v>
      </c>
      <c r="W285" s="556">
        <f>IF(VLOOKUP($E$285,[1]DATA_A11!$A$2:$FA$300, 22, FALSE)="",":",VLOOKUP($E$285,[1]DATA_A11!$A$2:$FA$300, 22, FALSE))</f>
        <v>5802</v>
      </c>
      <c r="X285" s="556">
        <f>IF(VLOOKUP($E$285,[1]DATA_A11!$A$2:$FA$300, 23, FALSE)="",":",VLOOKUP($E$285,[1]DATA_A11!$A$2:$FA$300, 23, FALSE))</f>
        <v>6172</v>
      </c>
      <c r="Y285" s="556">
        <f>IF(VLOOKUP($E$285,[1]DATA_A11!$A$2:$FA$300, 24, FALSE)="",":",VLOOKUP($E$285,[1]DATA_A11!$A$2:$FA$300, 24, FALSE))</f>
        <v>6686</v>
      </c>
      <c r="Z285" s="556" t="str">
        <f>IF(VLOOKUP($E$285,[1]DATA_A11!$A$2:$FA$300, 25, FALSE)="",":",VLOOKUP($E$285,[1]DATA_A11!$A$2:$FA$300, 25, FALSE))</f>
        <v>:</v>
      </c>
      <c r="AA285" s="556" t="str">
        <f>IF(VLOOKUP($E$285,[1]DATA_A11!$A$2:$FA$300, 26, FALSE)="",":",VLOOKUP($E$285,[1]DATA_A11!$A$2:$FA$300, 26, FALSE))</f>
        <v>:</v>
      </c>
      <c r="AB285" s="556" t="str">
        <f>IF(VLOOKUP($E$285,[1]DATA_A11!$A$2:$FA$300, 27, FALSE)="",":",VLOOKUP($E$285,[1]DATA_A11!$A$2:$FA$300, 27, FALSE))</f>
        <v>:</v>
      </c>
      <c r="AC285" s="556" t="str">
        <f>IF(VLOOKUP($E$285,[1]DATA_A11!$A$2:$FA$300, 28, FALSE)="",":",VLOOKUP($E$285,[1]DATA_A11!$A$2:$FA$300, 28, FALSE))</f>
        <v>:</v>
      </c>
      <c r="AD285" s="556" t="str">
        <f>IF(VLOOKUP($E$285,[1]DATA_A11!$A$2:$FA$300, 29, FALSE)="",":",VLOOKUP($E$285,[1]DATA_A11!$A$2:$FA$300, 29, FALSE))</f>
        <v>:</v>
      </c>
      <c r="AE285" s="556" t="str">
        <f>IF(VLOOKUP($E$285,[1]DATA_A11!$A$2:$FA$300, 30, FALSE)="",":",VLOOKUP($E$285,[1]DATA_A11!$A$2:$FA$300, 30, FALSE))</f>
        <v>:</v>
      </c>
      <c r="AF285" s="556" t="str">
        <f>IF(VLOOKUP($E$285,[1]DATA_A11!$A$2:$FA$300, 31, FALSE)="",":",VLOOKUP($E$285,[1]DATA_A11!$A$2:$FA$300, 31, FALSE))</f>
        <v>:</v>
      </c>
    </row>
    <row r="286" spans="1:32">
      <c r="A286" s="545"/>
      <c r="B286" s="546"/>
      <c r="C286" s="547"/>
      <c r="D286" s="12" t="s">
        <v>1517</v>
      </c>
      <c r="E286" s="13">
        <v>3023</v>
      </c>
      <c r="F286" s="14" t="str">
        <f>VLOOKUP($E$286,[1]DATA_A11!$A$2:$FA$300, 3, FALSE)</f>
        <v xml:space="preserve">         Unemployment</v>
      </c>
      <c r="G286" s="556">
        <f>IF(VLOOKUP($E$286,[1]DATA_A11!$A$2:$FA$300, 6, FALSE)="",":",VLOOKUP($E$286,[1]DATA_A11!$A$2:$FA$300, 6, FALSE))</f>
        <v>4219</v>
      </c>
      <c r="H286" s="556">
        <f>IF(VLOOKUP($E$286,[1]DATA_A11!$A$2:$FA$300, 7, FALSE)="",":",VLOOKUP($E$286,[1]DATA_A11!$A$2:$FA$300, 7, FALSE))</f>
        <v>4442</v>
      </c>
      <c r="I286" s="556">
        <f>IF(VLOOKUP($E$286,[1]DATA_A11!$A$2:$FA$300, 8, FALSE)="",":",VLOOKUP($E$286,[1]DATA_A11!$A$2:$FA$300, 8, FALSE))</f>
        <v>4475</v>
      </c>
      <c r="J286" s="556">
        <f>IF(VLOOKUP($E$286,[1]DATA_A11!$A$2:$FA$300, 9, FALSE)="",":",VLOOKUP($E$286,[1]DATA_A11!$A$2:$FA$300, 9, FALSE))</f>
        <v>4520</v>
      </c>
      <c r="K286" s="556">
        <f>IF(VLOOKUP($E$286,[1]DATA_A11!$A$2:$FA$300, 10, FALSE)="",":",VLOOKUP($E$286,[1]DATA_A11!$A$2:$FA$300, 10, FALSE))</f>
        <v>4504</v>
      </c>
      <c r="L286" s="556">
        <f>IF(VLOOKUP($E$286,[1]DATA_A11!$A$2:$FA$300, 11, FALSE)="",":",VLOOKUP($E$286,[1]DATA_A11!$A$2:$FA$300, 11, FALSE))</f>
        <v>4381</v>
      </c>
      <c r="M286" s="556">
        <f>IF(VLOOKUP($E$286,[1]DATA_A11!$A$2:$FA$300, 12, FALSE)="",":",VLOOKUP($E$286,[1]DATA_A11!$A$2:$FA$300, 12, FALSE))</f>
        <v>4637</v>
      </c>
      <c r="N286" s="556">
        <f>IF(VLOOKUP($E$286,[1]DATA_A11!$A$2:$FA$300, 13, FALSE)="",":",VLOOKUP($E$286,[1]DATA_A11!$A$2:$FA$300, 13, FALSE))</f>
        <v>5356</v>
      </c>
      <c r="O286" s="556">
        <f>IF(VLOOKUP($E$286,[1]DATA_A11!$A$2:$FA$300, 14, FALSE)="",":",VLOOKUP($E$286,[1]DATA_A11!$A$2:$FA$300, 14, FALSE))</f>
        <v>5747</v>
      </c>
      <c r="P286" s="556">
        <f>IF(VLOOKUP($E$286,[1]DATA_A11!$A$2:$FA$300, 15, FALSE)="",":",VLOOKUP($E$286,[1]DATA_A11!$A$2:$FA$300, 15, FALSE))</f>
        <v>6024</v>
      </c>
      <c r="Q286" s="556">
        <f>IF(VLOOKUP($E$286,[1]DATA_A11!$A$2:$FA$300, 16, FALSE)="",":",VLOOKUP($E$286,[1]DATA_A11!$A$2:$FA$300, 16, FALSE))</f>
        <v>6121</v>
      </c>
      <c r="R286" s="556">
        <f>IF(VLOOKUP($E$286,[1]DATA_A11!$A$2:$FA$300, 17, FALSE)="",":",VLOOKUP($E$286,[1]DATA_A11!$A$2:$FA$300, 17, FALSE))</f>
        <v>6097</v>
      </c>
      <c r="S286" s="556">
        <f>IF(VLOOKUP($E$286,[1]DATA_A11!$A$2:$FA$300, 18, FALSE)="",":",VLOOKUP($E$286,[1]DATA_A11!$A$2:$FA$300, 18, FALSE))</f>
        <v>5746</v>
      </c>
      <c r="T286" s="556">
        <f>IF(VLOOKUP($E$286,[1]DATA_A11!$A$2:$FA$300, 19, FALSE)="",":",VLOOKUP($E$286,[1]DATA_A11!$A$2:$FA$300, 19, FALSE))</f>
        <v>5774</v>
      </c>
      <c r="U286" s="556">
        <f>IF(VLOOKUP($E$286,[1]DATA_A11!$A$2:$FA$300, 20, FALSE)="",":",VLOOKUP($E$286,[1]DATA_A11!$A$2:$FA$300, 20, FALSE))</f>
        <v>6903</v>
      </c>
      <c r="V286" s="556">
        <f>IF(VLOOKUP($E$286,[1]DATA_A11!$A$2:$FA$300, 21, FALSE)="",":",VLOOKUP($E$286,[1]DATA_A11!$A$2:$FA$300, 21, FALSE))</f>
        <v>6817</v>
      </c>
      <c r="W286" s="556">
        <f>IF(VLOOKUP($E$286,[1]DATA_A11!$A$2:$FA$300, 22, FALSE)="",":",VLOOKUP($E$286,[1]DATA_A11!$A$2:$FA$300, 22, FALSE))</f>
        <v>6605</v>
      </c>
      <c r="X286" s="556">
        <f>IF(VLOOKUP($E$286,[1]DATA_A11!$A$2:$FA$300, 23, FALSE)="",":",VLOOKUP($E$286,[1]DATA_A11!$A$2:$FA$300, 23, FALSE))</f>
        <v>6816</v>
      </c>
      <c r="Y286" s="556">
        <f>IF(VLOOKUP($E$286,[1]DATA_A11!$A$2:$FA$300, 24, FALSE)="",":",VLOOKUP($E$286,[1]DATA_A11!$A$2:$FA$300, 24, FALSE))</f>
        <v>7165</v>
      </c>
      <c r="Z286" s="556" t="str">
        <f>IF(VLOOKUP($E$286,[1]DATA_A11!$A$2:$FA$300, 25, FALSE)="",":",VLOOKUP($E$286,[1]DATA_A11!$A$2:$FA$300, 25, FALSE))</f>
        <v>:</v>
      </c>
      <c r="AA286" s="556" t="str">
        <f>IF(VLOOKUP($E$286,[1]DATA_A11!$A$2:$FA$300, 26, FALSE)="",":",VLOOKUP($E$286,[1]DATA_A11!$A$2:$FA$300, 26, FALSE))</f>
        <v>:</v>
      </c>
      <c r="AB286" s="556" t="str">
        <f>IF(VLOOKUP($E$286,[1]DATA_A11!$A$2:$FA$300, 27, FALSE)="",":",VLOOKUP($E$286,[1]DATA_A11!$A$2:$FA$300, 27, FALSE))</f>
        <v>:</v>
      </c>
      <c r="AC286" s="556" t="str">
        <f>IF(VLOOKUP($E$286,[1]DATA_A11!$A$2:$FA$300, 28, FALSE)="",":",VLOOKUP($E$286,[1]DATA_A11!$A$2:$FA$300, 28, FALSE))</f>
        <v>:</v>
      </c>
      <c r="AD286" s="556" t="str">
        <f>IF(VLOOKUP($E$286,[1]DATA_A11!$A$2:$FA$300, 29, FALSE)="",":",VLOOKUP($E$286,[1]DATA_A11!$A$2:$FA$300, 29, FALSE))</f>
        <v>:</v>
      </c>
      <c r="AE286" s="556" t="str">
        <f>IF(VLOOKUP($E$286,[1]DATA_A11!$A$2:$FA$300, 30, FALSE)="",":",VLOOKUP($E$286,[1]DATA_A11!$A$2:$FA$300, 30, FALSE))</f>
        <v>:</v>
      </c>
      <c r="AF286" s="556" t="str">
        <f>IF(VLOOKUP($E$286,[1]DATA_A11!$A$2:$FA$300, 31, FALSE)="",":",VLOOKUP($E$286,[1]DATA_A11!$A$2:$FA$300, 31, FALSE))</f>
        <v>:</v>
      </c>
    </row>
    <row r="287" spans="1:32">
      <c r="A287" s="545"/>
      <c r="B287" s="546"/>
      <c r="C287" s="547"/>
      <c r="D287" s="12" t="s">
        <v>1517</v>
      </c>
      <c r="E287" s="13">
        <v>3024</v>
      </c>
      <c r="F287" s="14" t="str">
        <f>VLOOKUP($E$287,[1]DATA_A11!$A$2:$FA$300, 3, FALSE)</f>
        <v xml:space="preserve">         Early retirement pensions and career termination</v>
      </c>
      <c r="G287" s="556">
        <f>IF(VLOOKUP($E$287,[1]DATA_A11!$A$2:$FA$300, 6, FALSE)="",":",VLOOKUP($E$287,[1]DATA_A11!$A$2:$FA$300, 6, FALSE))</f>
        <v>1425</v>
      </c>
      <c r="H287" s="556">
        <f>IF(VLOOKUP($E$287,[1]DATA_A11!$A$2:$FA$300, 7, FALSE)="",":",VLOOKUP($E$287,[1]DATA_A11!$A$2:$FA$300, 7, FALSE))</f>
        <v>1435</v>
      </c>
      <c r="I287" s="556">
        <f>IF(VLOOKUP($E$287,[1]DATA_A11!$A$2:$FA$300, 8, FALSE)="",":",VLOOKUP($E$287,[1]DATA_A11!$A$2:$FA$300, 8, FALSE))</f>
        <v>1446</v>
      </c>
      <c r="J287" s="556">
        <f>IF(VLOOKUP($E$287,[1]DATA_A11!$A$2:$FA$300, 9, FALSE)="",":",VLOOKUP($E$287,[1]DATA_A11!$A$2:$FA$300, 9, FALSE))</f>
        <v>1415</v>
      </c>
      <c r="K287" s="556">
        <f>IF(VLOOKUP($E$287,[1]DATA_A11!$A$2:$FA$300, 10, FALSE)="",":",VLOOKUP($E$287,[1]DATA_A11!$A$2:$FA$300, 10, FALSE))</f>
        <v>1412</v>
      </c>
      <c r="L287" s="556">
        <f>IF(VLOOKUP($E$287,[1]DATA_A11!$A$2:$FA$300, 11, FALSE)="",":",VLOOKUP($E$287,[1]DATA_A11!$A$2:$FA$300, 11, FALSE))</f>
        <v>1399</v>
      </c>
      <c r="M287" s="556">
        <f>IF(VLOOKUP($E$287,[1]DATA_A11!$A$2:$FA$300, 12, FALSE)="",":",VLOOKUP($E$287,[1]DATA_A11!$A$2:$FA$300, 12, FALSE))</f>
        <v>1427</v>
      </c>
      <c r="N287" s="556">
        <f>IF(VLOOKUP($E$287,[1]DATA_A11!$A$2:$FA$300, 13, FALSE)="",":",VLOOKUP($E$287,[1]DATA_A11!$A$2:$FA$300, 13, FALSE))</f>
        <v>1496</v>
      </c>
      <c r="O287" s="556">
        <f>IF(VLOOKUP($E$287,[1]DATA_A11!$A$2:$FA$300, 14, FALSE)="",":",VLOOKUP($E$287,[1]DATA_A11!$A$2:$FA$300, 14, FALSE))</f>
        <v>1616</v>
      </c>
      <c r="P287" s="556">
        <f>IF(VLOOKUP($E$287,[1]DATA_A11!$A$2:$FA$300, 15, FALSE)="",":",VLOOKUP($E$287,[1]DATA_A11!$A$2:$FA$300, 15, FALSE))</f>
        <v>1727</v>
      </c>
      <c r="Q287" s="556">
        <f>IF(VLOOKUP($E$287,[1]DATA_A11!$A$2:$FA$300, 16, FALSE)="",":",VLOOKUP($E$287,[1]DATA_A11!$A$2:$FA$300, 16, FALSE))</f>
        <v>1813</v>
      </c>
      <c r="R287" s="556">
        <f>IF(VLOOKUP($E$287,[1]DATA_A11!$A$2:$FA$300, 17, FALSE)="",":",VLOOKUP($E$287,[1]DATA_A11!$A$2:$FA$300, 17, FALSE))</f>
        <v>1890</v>
      </c>
      <c r="S287" s="556">
        <f>IF(VLOOKUP($E$287,[1]DATA_A11!$A$2:$FA$300, 18, FALSE)="",":",VLOOKUP($E$287,[1]DATA_A11!$A$2:$FA$300, 18, FALSE))</f>
        <v>2006</v>
      </c>
      <c r="T287" s="556">
        <f>IF(VLOOKUP($E$287,[1]DATA_A11!$A$2:$FA$300, 19, FALSE)="",":",VLOOKUP($E$287,[1]DATA_A11!$A$2:$FA$300, 19, FALSE))</f>
        <v>2143</v>
      </c>
      <c r="U287" s="556">
        <f>IF(VLOOKUP($E$287,[1]DATA_A11!$A$2:$FA$300, 20, FALSE)="",":",VLOOKUP($E$287,[1]DATA_A11!$A$2:$FA$300, 20, FALSE))</f>
        <v>2251</v>
      </c>
      <c r="V287" s="556">
        <f>IF(VLOOKUP($E$287,[1]DATA_A11!$A$2:$FA$300, 21, FALSE)="",":",VLOOKUP($E$287,[1]DATA_A11!$A$2:$FA$300, 21, FALSE))</f>
        <v>2374</v>
      </c>
      <c r="W287" s="556">
        <f>IF(VLOOKUP($E$287,[1]DATA_A11!$A$2:$FA$300, 22, FALSE)="",":",VLOOKUP($E$287,[1]DATA_A11!$A$2:$FA$300, 22, FALSE))</f>
        <v>2452</v>
      </c>
      <c r="X287" s="556">
        <f>IF(VLOOKUP($E$287,[1]DATA_A11!$A$2:$FA$300, 23, FALSE)="",":",VLOOKUP($E$287,[1]DATA_A11!$A$2:$FA$300, 23, FALSE))</f>
        <v>2458</v>
      </c>
      <c r="Y287" s="556">
        <f>IF(VLOOKUP($E$287,[1]DATA_A11!$A$2:$FA$300, 24, FALSE)="",":",VLOOKUP($E$287,[1]DATA_A11!$A$2:$FA$300, 24, FALSE))</f>
        <v>2443</v>
      </c>
      <c r="Z287" s="556" t="str">
        <f>IF(VLOOKUP($E$287,[1]DATA_A11!$A$2:$FA$300, 25, FALSE)="",":",VLOOKUP($E$287,[1]DATA_A11!$A$2:$FA$300, 25, FALSE))</f>
        <v>:</v>
      </c>
      <c r="AA287" s="556" t="str">
        <f>IF(VLOOKUP($E$287,[1]DATA_A11!$A$2:$FA$300, 26, FALSE)="",":",VLOOKUP($E$287,[1]DATA_A11!$A$2:$FA$300, 26, FALSE))</f>
        <v>:</v>
      </c>
      <c r="AB287" s="556" t="str">
        <f>IF(VLOOKUP($E$287,[1]DATA_A11!$A$2:$FA$300, 27, FALSE)="",":",VLOOKUP($E$287,[1]DATA_A11!$A$2:$FA$300, 27, FALSE))</f>
        <v>:</v>
      </c>
      <c r="AC287" s="556" t="str">
        <f>IF(VLOOKUP($E$287,[1]DATA_A11!$A$2:$FA$300, 28, FALSE)="",":",VLOOKUP($E$287,[1]DATA_A11!$A$2:$FA$300, 28, FALSE))</f>
        <v>:</v>
      </c>
      <c r="AD287" s="556" t="str">
        <f>IF(VLOOKUP($E$287,[1]DATA_A11!$A$2:$FA$300, 29, FALSE)="",":",VLOOKUP($E$287,[1]DATA_A11!$A$2:$FA$300, 29, FALSE))</f>
        <v>:</v>
      </c>
      <c r="AE287" s="556" t="str">
        <f>IF(VLOOKUP($E$287,[1]DATA_A11!$A$2:$FA$300, 30, FALSE)="",":",VLOOKUP($E$287,[1]DATA_A11!$A$2:$FA$300, 30, FALSE))</f>
        <v>:</v>
      </c>
      <c r="AF287" s="556" t="str">
        <f>IF(VLOOKUP($E$287,[1]DATA_A11!$A$2:$FA$300, 31, FALSE)="",":",VLOOKUP($E$287,[1]DATA_A11!$A$2:$FA$300, 31, FALSE))</f>
        <v>:</v>
      </c>
    </row>
    <row r="288" spans="1:32">
      <c r="A288" s="545"/>
      <c r="B288" s="546"/>
      <c r="C288" s="547"/>
      <c r="D288" s="12" t="s">
        <v>1517</v>
      </c>
      <c r="E288" s="13">
        <v>3025</v>
      </c>
      <c r="F288" s="14" t="str">
        <f>VLOOKUP($E$288,[1]DATA_A11!$A$2:$FA$300, 3, FALSE)</f>
        <v xml:space="preserve">         Pensions</v>
      </c>
      <c r="G288" s="556">
        <f>IF(VLOOKUP($E$288,[1]DATA_A11!$A$2:$FA$300, 6, FALSE)="",":",VLOOKUP($E$288,[1]DATA_A11!$A$2:$FA$300, 6, FALSE))</f>
        <v>17909</v>
      </c>
      <c r="H288" s="556">
        <f>IF(VLOOKUP($E$288,[1]DATA_A11!$A$2:$FA$300, 7, FALSE)="",":",VLOOKUP($E$288,[1]DATA_A11!$A$2:$FA$300, 7, FALSE))</f>
        <v>18480</v>
      </c>
      <c r="I288" s="556">
        <f>IF(VLOOKUP($E$288,[1]DATA_A11!$A$2:$FA$300, 8, FALSE)="",":",VLOOKUP($E$288,[1]DATA_A11!$A$2:$FA$300, 8, FALSE))</f>
        <v>19320</v>
      </c>
      <c r="J288" s="556">
        <f>IF(VLOOKUP($E$288,[1]DATA_A11!$A$2:$FA$300, 9, FALSE)="",":",VLOOKUP($E$288,[1]DATA_A11!$A$2:$FA$300, 9, FALSE))</f>
        <v>19941</v>
      </c>
      <c r="K288" s="556">
        <f>IF(VLOOKUP($E$288,[1]DATA_A11!$A$2:$FA$300, 10, FALSE)="",":",VLOOKUP($E$288,[1]DATA_A11!$A$2:$FA$300, 10, FALSE))</f>
        <v>20477</v>
      </c>
      <c r="L288" s="556">
        <f>IF(VLOOKUP($E$288,[1]DATA_A11!$A$2:$FA$300, 11, FALSE)="",":",VLOOKUP($E$288,[1]DATA_A11!$A$2:$FA$300, 11, FALSE))</f>
        <v>21217</v>
      </c>
      <c r="M288" s="556">
        <f>IF(VLOOKUP($E$288,[1]DATA_A11!$A$2:$FA$300, 12, FALSE)="",":",VLOOKUP($E$288,[1]DATA_A11!$A$2:$FA$300, 12, FALSE))</f>
        <v>22124</v>
      </c>
      <c r="N288" s="556">
        <f>IF(VLOOKUP($E$288,[1]DATA_A11!$A$2:$FA$300, 13, FALSE)="",":",VLOOKUP($E$288,[1]DATA_A11!$A$2:$FA$300, 13, FALSE))</f>
        <v>23199</v>
      </c>
      <c r="O288" s="556">
        <f>IF(VLOOKUP($E$288,[1]DATA_A11!$A$2:$FA$300, 14, FALSE)="",":",VLOOKUP($E$288,[1]DATA_A11!$A$2:$FA$300, 14, FALSE))</f>
        <v>24076</v>
      </c>
      <c r="P288" s="556">
        <f>IF(VLOOKUP($E$288,[1]DATA_A11!$A$2:$FA$300, 15, FALSE)="",":",VLOOKUP($E$288,[1]DATA_A11!$A$2:$FA$300, 15, FALSE))</f>
        <v>25062</v>
      </c>
      <c r="Q288" s="556">
        <f>IF(VLOOKUP($E$288,[1]DATA_A11!$A$2:$FA$300, 16, FALSE)="",":",VLOOKUP($E$288,[1]DATA_A11!$A$2:$FA$300, 16, FALSE))</f>
        <v>26197</v>
      </c>
      <c r="R288" s="556">
        <f>IF(VLOOKUP($E$288,[1]DATA_A11!$A$2:$FA$300, 17, FALSE)="",":",VLOOKUP($E$288,[1]DATA_A11!$A$2:$FA$300, 17, FALSE))</f>
        <v>27290</v>
      </c>
      <c r="S288" s="556">
        <f>IF(VLOOKUP($E$288,[1]DATA_A11!$A$2:$FA$300, 18, FALSE)="",":",VLOOKUP($E$288,[1]DATA_A11!$A$2:$FA$300, 18, FALSE))</f>
        <v>29235</v>
      </c>
      <c r="T288" s="556">
        <f>IF(VLOOKUP($E$288,[1]DATA_A11!$A$2:$FA$300, 19, FALSE)="",":",VLOOKUP($E$288,[1]DATA_A11!$A$2:$FA$300, 19, FALSE))</f>
        <v>31381</v>
      </c>
      <c r="U288" s="556">
        <f>IF(VLOOKUP($E$288,[1]DATA_A11!$A$2:$FA$300, 20, FALSE)="",":",VLOOKUP($E$288,[1]DATA_A11!$A$2:$FA$300, 20, FALSE))</f>
        <v>33121</v>
      </c>
      <c r="V288" s="556">
        <f>IF(VLOOKUP($E$288,[1]DATA_A11!$A$2:$FA$300, 21, FALSE)="",":",VLOOKUP($E$288,[1]DATA_A11!$A$2:$FA$300, 21, FALSE))</f>
        <v>34302</v>
      </c>
      <c r="W288" s="556">
        <f>IF(VLOOKUP($E$288,[1]DATA_A11!$A$2:$FA$300, 22, FALSE)="",":",VLOOKUP($E$288,[1]DATA_A11!$A$2:$FA$300, 22, FALSE))</f>
        <v>36295</v>
      </c>
      <c r="X288" s="556">
        <f>IF(VLOOKUP($E$288,[1]DATA_A11!$A$2:$FA$300, 23, FALSE)="",":",VLOOKUP($E$288,[1]DATA_A11!$A$2:$FA$300, 23, FALSE))</f>
        <v>38497</v>
      </c>
      <c r="Y288" s="556">
        <f>IF(VLOOKUP($E$288,[1]DATA_A11!$A$2:$FA$300, 24, FALSE)="",":",VLOOKUP($E$288,[1]DATA_A11!$A$2:$FA$300, 24, FALSE))</f>
        <v>40437</v>
      </c>
      <c r="Z288" s="556" t="str">
        <f>IF(VLOOKUP($E$288,[1]DATA_A11!$A$2:$FA$300, 25, FALSE)="",":",VLOOKUP($E$288,[1]DATA_A11!$A$2:$FA$300, 25, FALSE))</f>
        <v>:</v>
      </c>
      <c r="AA288" s="556" t="str">
        <f>IF(VLOOKUP($E$288,[1]DATA_A11!$A$2:$FA$300, 26, FALSE)="",":",VLOOKUP($E$288,[1]DATA_A11!$A$2:$FA$300, 26, FALSE))</f>
        <v>:</v>
      </c>
      <c r="AB288" s="556" t="str">
        <f>IF(VLOOKUP($E$288,[1]DATA_A11!$A$2:$FA$300, 27, FALSE)="",":",VLOOKUP($E$288,[1]DATA_A11!$A$2:$FA$300, 27, FALSE))</f>
        <v>:</v>
      </c>
      <c r="AC288" s="556" t="str">
        <f>IF(VLOOKUP($E$288,[1]DATA_A11!$A$2:$FA$300, 28, FALSE)="",":",VLOOKUP($E$288,[1]DATA_A11!$A$2:$FA$300, 28, FALSE))</f>
        <v>:</v>
      </c>
      <c r="AD288" s="556" t="str">
        <f>IF(VLOOKUP($E$288,[1]DATA_A11!$A$2:$FA$300, 29, FALSE)="",":",VLOOKUP($E$288,[1]DATA_A11!$A$2:$FA$300, 29, FALSE))</f>
        <v>:</v>
      </c>
      <c r="AE288" s="556" t="str">
        <f>IF(VLOOKUP($E$288,[1]DATA_A11!$A$2:$FA$300, 30, FALSE)="",":",VLOOKUP($E$288,[1]DATA_A11!$A$2:$FA$300, 30, FALSE))</f>
        <v>:</v>
      </c>
      <c r="AF288" s="556" t="str">
        <f>IF(VLOOKUP($E$288,[1]DATA_A11!$A$2:$FA$300, 31, FALSE)="",":",VLOOKUP($E$288,[1]DATA_A11!$A$2:$FA$300, 31, FALSE))</f>
        <v>:</v>
      </c>
    </row>
    <row r="289" spans="1:32">
      <c r="A289" s="545"/>
      <c r="B289" s="546"/>
      <c r="C289" s="547"/>
      <c r="D289" s="12" t="s">
        <v>1517</v>
      </c>
      <c r="E289" s="13">
        <v>3026</v>
      </c>
      <c r="F289" s="14" t="str">
        <f>VLOOKUP($E$289,[1]DATA_A11!$A$2:$FA$300, 3, FALSE)</f>
        <v xml:space="preserve">         Family allowances</v>
      </c>
      <c r="G289" s="556">
        <f>IF(VLOOKUP($E$289,[1]DATA_A11!$A$2:$FA$300, 6, FALSE)="",":",VLOOKUP($E$289,[1]DATA_A11!$A$2:$FA$300, 6, FALSE))</f>
        <v>3961</v>
      </c>
      <c r="H289" s="556">
        <f>IF(VLOOKUP($E$289,[1]DATA_A11!$A$2:$FA$300, 7, FALSE)="",":",VLOOKUP($E$289,[1]DATA_A11!$A$2:$FA$300, 7, FALSE))</f>
        <v>4105</v>
      </c>
      <c r="I289" s="556">
        <f>IF(VLOOKUP($E$289,[1]DATA_A11!$A$2:$FA$300, 8, FALSE)="",":",VLOOKUP($E$289,[1]DATA_A11!$A$2:$FA$300, 8, FALSE))</f>
        <v>4179</v>
      </c>
      <c r="J289" s="556">
        <f>IF(VLOOKUP($E$289,[1]DATA_A11!$A$2:$FA$300, 9, FALSE)="",":",VLOOKUP($E$289,[1]DATA_A11!$A$2:$FA$300, 9, FALSE))</f>
        <v>4241</v>
      </c>
      <c r="K289" s="556">
        <f>IF(VLOOKUP($E$289,[1]DATA_A11!$A$2:$FA$300, 10, FALSE)="",":",VLOOKUP($E$289,[1]DATA_A11!$A$2:$FA$300, 10, FALSE))</f>
        <v>4261</v>
      </c>
      <c r="L289" s="556">
        <f>IF(VLOOKUP($E$289,[1]DATA_A11!$A$2:$FA$300, 11, FALSE)="",":",VLOOKUP($E$289,[1]DATA_A11!$A$2:$FA$300, 11, FALSE))</f>
        <v>4324</v>
      </c>
      <c r="M289" s="556">
        <f>IF(VLOOKUP($E$289,[1]DATA_A11!$A$2:$FA$300, 12, FALSE)="",":",VLOOKUP($E$289,[1]DATA_A11!$A$2:$FA$300, 12, FALSE))</f>
        <v>4433</v>
      </c>
      <c r="N289" s="556">
        <f>IF(VLOOKUP($E$289,[1]DATA_A11!$A$2:$FA$300, 13, FALSE)="",":",VLOOKUP($E$289,[1]DATA_A11!$A$2:$FA$300, 13, FALSE))</f>
        <v>4564</v>
      </c>
      <c r="O289" s="556">
        <f>IF(VLOOKUP($E$289,[1]DATA_A11!$A$2:$FA$300, 14, FALSE)="",":",VLOOKUP($E$289,[1]DATA_A11!$A$2:$FA$300, 14, FALSE))</f>
        <v>4637</v>
      </c>
      <c r="P289" s="556">
        <f>IF(VLOOKUP($E$289,[1]DATA_A11!$A$2:$FA$300, 15, FALSE)="",":",VLOOKUP($E$289,[1]DATA_A11!$A$2:$FA$300, 15, FALSE))</f>
        <v>4731</v>
      </c>
      <c r="Q289" s="556">
        <f>IF(VLOOKUP($E$289,[1]DATA_A11!$A$2:$FA$300, 16, FALSE)="",":",VLOOKUP($E$289,[1]DATA_A11!$A$2:$FA$300, 16, FALSE))</f>
        <v>4850</v>
      </c>
      <c r="R289" s="556">
        <f>IF(VLOOKUP($E$289,[1]DATA_A11!$A$2:$FA$300, 17, FALSE)="",":",VLOOKUP($E$289,[1]DATA_A11!$A$2:$FA$300, 17, FALSE))</f>
        <v>5023</v>
      </c>
      <c r="S289" s="556">
        <f>IF(VLOOKUP($E$289,[1]DATA_A11!$A$2:$FA$300, 18, FALSE)="",":",VLOOKUP($E$289,[1]DATA_A11!$A$2:$FA$300, 18, FALSE))</f>
        <v>5154</v>
      </c>
      <c r="T289" s="556">
        <f>IF(VLOOKUP($E$289,[1]DATA_A11!$A$2:$FA$300, 19, FALSE)="",":",VLOOKUP($E$289,[1]DATA_A11!$A$2:$FA$300, 19, FALSE))</f>
        <v>5421</v>
      </c>
      <c r="U289" s="556">
        <f>IF(VLOOKUP($E$289,[1]DATA_A11!$A$2:$FA$300, 20, FALSE)="",":",VLOOKUP($E$289,[1]DATA_A11!$A$2:$FA$300, 20, FALSE))</f>
        <v>5663</v>
      </c>
      <c r="V289" s="556">
        <f>IF(VLOOKUP($E$289,[1]DATA_A11!$A$2:$FA$300, 21, FALSE)="",":",VLOOKUP($E$289,[1]DATA_A11!$A$2:$FA$300, 21, FALSE))</f>
        <v>5761</v>
      </c>
      <c r="W289" s="556">
        <f>IF(VLOOKUP($E$289,[1]DATA_A11!$A$2:$FA$300, 22, FALSE)="",":",VLOOKUP($E$289,[1]DATA_A11!$A$2:$FA$300, 22, FALSE))</f>
        <v>6018</v>
      </c>
      <c r="X289" s="556">
        <f>IF(VLOOKUP($E$289,[1]DATA_A11!$A$2:$FA$300, 23, FALSE)="",":",VLOOKUP($E$289,[1]DATA_A11!$A$2:$FA$300, 23, FALSE))</f>
        <v>6238</v>
      </c>
      <c r="Y289" s="556">
        <f>IF(VLOOKUP($E$289,[1]DATA_A11!$A$2:$FA$300, 24, FALSE)="",":",VLOOKUP($E$289,[1]DATA_A11!$A$2:$FA$300, 24, FALSE))</f>
        <v>6391</v>
      </c>
      <c r="Z289" s="556" t="str">
        <f>IF(VLOOKUP($E$289,[1]DATA_A11!$A$2:$FA$300, 25, FALSE)="",":",VLOOKUP($E$289,[1]DATA_A11!$A$2:$FA$300, 25, FALSE))</f>
        <v>:</v>
      </c>
      <c r="AA289" s="556" t="str">
        <f>IF(VLOOKUP($E$289,[1]DATA_A11!$A$2:$FA$300, 26, FALSE)="",":",VLOOKUP($E$289,[1]DATA_A11!$A$2:$FA$300, 26, FALSE))</f>
        <v>:</v>
      </c>
      <c r="AB289" s="556" t="str">
        <f>IF(VLOOKUP($E$289,[1]DATA_A11!$A$2:$FA$300, 27, FALSE)="",":",VLOOKUP($E$289,[1]DATA_A11!$A$2:$FA$300, 27, FALSE))</f>
        <v>:</v>
      </c>
      <c r="AC289" s="556" t="str">
        <f>IF(VLOOKUP($E$289,[1]DATA_A11!$A$2:$FA$300, 28, FALSE)="",":",VLOOKUP($E$289,[1]DATA_A11!$A$2:$FA$300, 28, FALSE))</f>
        <v>:</v>
      </c>
      <c r="AD289" s="556" t="str">
        <f>IF(VLOOKUP($E$289,[1]DATA_A11!$A$2:$FA$300, 29, FALSE)="",":",VLOOKUP($E$289,[1]DATA_A11!$A$2:$FA$300, 29, FALSE))</f>
        <v>:</v>
      </c>
      <c r="AE289" s="556" t="str">
        <f>IF(VLOOKUP($E$289,[1]DATA_A11!$A$2:$FA$300, 30, FALSE)="",":",VLOOKUP($E$289,[1]DATA_A11!$A$2:$FA$300, 30, FALSE))</f>
        <v>:</v>
      </c>
      <c r="AF289" s="556" t="str">
        <f>IF(VLOOKUP($E$289,[1]DATA_A11!$A$2:$FA$300, 31, FALSE)="",":",VLOOKUP($E$289,[1]DATA_A11!$A$2:$FA$300, 31, FALSE))</f>
        <v>:</v>
      </c>
    </row>
    <row r="290" spans="1:32">
      <c r="A290" s="545"/>
      <c r="B290" s="546"/>
      <c r="C290" s="547"/>
      <c r="D290" s="12" t="s">
        <v>1517</v>
      </c>
      <c r="E290" s="13">
        <v>3027</v>
      </c>
      <c r="F290" s="14" t="str">
        <f>VLOOKUP($E$290,[1]DATA_A11!$A$2:$FA$300, 3, FALSE)</f>
        <v xml:space="preserve">         Other</v>
      </c>
      <c r="G290" s="556">
        <f>IF(VLOOKUP($E$290,[1]DATA_A11!$A$2:$FA$300, 6, FALSE)="",":",VLOOKUP($E$290,[1]DATA_A11!$A$2:$FA$300, 6, FALSE))</f>
        <v>2940.0999999999985</v>
      </c>
      <c r="H290" s="556">
        <f>IF(VLOOKUP($E$290,[1]DATA_A11!$A$2:$FA$300, 7, FALSE)="",":",VLOOKUP($E$290,[1]DATA_A11!$A$2:$FA$300, 7, FALSE))</f>
        <v>2895.3000000000029</v>
      </c>
      <c r="I290" s="556">
        <f>IF(VLOOKUP($E$290,[1]DATA_A11!$A$2:$FA$300, 8, FALSE)="",":",VLOOKUP($E$290,[1]DATA_A11!$A$2:$FA$300, 8, FALSE))</f>
        <v>2980.4000000000015</v>
      </c>
      <c r="J290" s="556">
        <f>IF(VLOOKUP($E$290,[1]DATA_A11!$A$2:$FA$300, 9, FALSE)="",":",VLOOKUP($E$290,[1]DATA_A11!$A$2:$FA$300, 9, FALSE))</f>
        <v>2888.8000000000029</v>
      </c>
      <c r="K290" s="556">
        <f>IF(VLOOKUP($E$290,[1]DATA_A11!$A$2:$FA$300, 10, FALSE)="",":",VLOOKUP($E$290,[1]DATA_A11!$A$2:$FA$300, 10, FALSE))</f>
        <v>2909.1999999999971</v>
      </c>
      <c r="L290" s="556">
        <f>IF(VLOOKUP($E$290,[1]DATA_A11!$A$2:$FA$300, 11, FALSE)="",":",VLOOKUP($E$290,[1]DATA_A11!$A$2:$FA$300, 11, FALSE))</f>
        <v>3080.5999999999985</v>
      </c>
      <c r="M290" s="556">
        <f>IF(VLOOKUP($E$290,[1]DATA_A11!$A$2:$FA$300, 12, FALSE)="",":",VLOOKUP($E$290,[1]DATA_A11!$A$2:$FA$300, 12, FALSE))</f>
        <v>3147.9000000000015</v>
      </c>
      <c r="N290" s="556">
        <f>IF(VLOOKUP($E$290,[1]DATA_A11!$A$2:$FA$300, 13, FALSE)="",":",VLOOKUP($E$290,[1]DATA_A11!$A$2:$FA$300, 13, FALSE))</f>
        <v>3648.5999999999985</v>
      </c>
      <c r="O290" s="556">
        <f>IF(VLOOKUP($E$290,[1]DATA_A11!$A$2:$FA$300, 14, FALSE)="",":",VLOOKUP($E$290,[1]DATA_A11!$A$2:$FA$300, 14, FALSE))</f>
        <v>3848.5999999999985</v>
      </c>
      <c r="P290" s="556">
        <f>IF(VLOOKUP($E$290,[1]DATA_A11!$A$2:$FA$300, 15, FALSE)="",":",VLOOKUP($E$290,[1]DATA_A11!$A$2:$FA$300, 15, FALSE))</f>
        <v>3992.4000000000015</v>
      </c>
      <c r="Q290" s="556">
        <f>IF(VLOOKUP($E$290,[1]DATA_A11!$A$2:$FA$300, 16, FALSE)="",":",VLOOKUP($E$290,[1]DATA_A11!$A$2:$FA$300, 16, FALSE))</f>
        <v>4060.5</v>
      </c>
      <c r="R290" s="556">
        <f>IF(VLOOKUP($E$290,[1]DATA_A11!$A$2:$FA$300, 17, FALSE)="",":",VLOOKUP($E$290,[1]DATA_A11!$A$2:$FA$300, 17, FALSE))</f>
        <v>4134.8000000000029</v>
      </c>
      <c r="S290" s="556">
        <f>IF(VLOOKUP($E$290,[1]DATA_A11!$A$2:$FA$300, 18, FALSE)="",":",VLOOKUP($E$290,[1]DATA_A11!$A$2:$FA$300, 18, FALSE))</f>
        <v>4503.5999999999985</v>
      </c>
      <c r="T290" s="556">
        <f>IF(VLOOKUP($E$290,[1]DATA_A11!$A$2:$FA$300, 19, FALSE)="",":",VLOOKUP($E$290,[1]DATA_A11!$A$2:$FA$300, 19, FALSE))</f>
        <v>4793.3000000000029</v>
      </c>
      <c r="U290" s="556">
        <f>IF(VLOOKUP($E$290,[1]DATA_A11!$A$2:$FA$300, 20, FALSE)="",":",VLOOKUP($E$290,[1]DATA_A11!$A$2:$FA$300, 20, FALSE))</f>
        <v>5334.5</v>
      </c>
      <c r="V290" s="556">
        <f>IF(VLOOKUP($E$290,[1]DATA_A11!$A$2:$FA$300, 21, FALSE)="",":",VLOOKUP($E$290,[1]DATA_A11!$A$2:$FA$300, 21, FALSE))</f>
        <v>5130</v>
      </c>
      <c r="W290" s="556">
        <f>IF(VLOOKUP($E$290,[1]DATA_A11!$A$2:$FA$300, 22, FALSE)="",":",VLOOKUP($E$290,[1]DATA_A11!$A$2:$FA$300, 22, FALSE))</f>
        <v>5025.5999999999985</v>
      </c>
      <c r="X290" s="556">
        <f>IF(VLOOKUP($E$290,[1]DATA_A11!$A$2:$FA$300, 23, FALSE)="",":",VLOOKUP($E$290,[1]DATA_A11!$A$2:$FA$300, 23, FALSE))</f>
        <v>5227</v>
      </c>
      <c r="Y290" s="556">
        <f>IF(VLOOKUP($E$290,[1]DATA_A11!$A$2:$FA$300, 24, FALSE)="",":",VLOOKUP($E$290,[1]DATA_A11!$A$2:$FA$300, 24, FALSE))</f>
        <v>5064.8999999999942</v>
      </c>
      <c r="Z290" s="556" t="str">
        <f>IF(VLOOKUP($E$290,[1]DATA_A11!$A$2:$FA$300, 25, FALSE)="",":",VLOOKUP($E$290,[1]DATA_A11!$A$2:$FA$300, 25, FALSE))</f>
        <v>:</v>
      </c>
      <c r="AA290" s="556" t="str">
        <f>IF(VLOOKUP($E$290,[1]DATA_A11!$A$2:$FA$300, 26, FALSE)="",":",VLOOKUP($E$290,[1]DATA_A11!$A$2:$FA$300, 26, FALSE))</f>
        <v>:</v>
      </c>
      <c r="AB290" s="556" t="str">
        <f>IF(VLOOKUP($E$290,[1]DATA_A11!$A$2:$FA$300, 27, FALSE)="",":",VLOOKUP($E$290,[1]DATA_A11!$A$2:$FA$300, 27, FALSE))</f>
        <v>:</v>
      </c>
      <c r="AC290" s="556" t="str">
        <f>IF(VLOOKUP($E$290,[1]DATA_A11!$A$2:$FA$300, 28, FALSE)="",":",VLOOKUP($E$290,[1]DATA_A11!$A$2:$FA$300, 28, FALSE))</f>
        <v>:</v>
      </c>
      <c r="AD290" s="556" t="str">
        <f>IF(VLOOKUP($E$290,[1]DATA_A11!$A$2:$FA$300, 29, FALSE)="",":",VLOOKUP($E$290,[1]DATA_A11!$A$2:$FA$300, 29, FALSE))</f>
        <v>:</v>
      </c>
      <c r="AE290" s="556" t="str">
        <f>IF(VLOOKUP($E$290,[1]DATA_A11!$A$2:$FA$300, 30, FALSE)="",":",VLOOKUP($E$290,[1]DATA_A11!$A$2:$FA$300, 30, FALSE))</f>
        <v>:</v>
      </c>
      <c r="AF290" s="556" t="str">
        <f>IF(VLOOKUP($E$290,[1]DATA_A11!$A$2:$FA$300, 31, FALSE)="",":",VLOOKUP($E$290,[1]DATA_A11!$A$2:$FA$300, 31, FALSE))</f>
        <v>:</v>
      </c>
    </row>
    <row r="291" spans="1:32">
      <c r="A291" s="545"/>
      <c r="B291" s="546"/>
      <c r="C291" s="547"/>
      <c r="D291" s="12"/>
      <c r="E291" s="13"/>
      <c r="F291" s="14"/>
      <c r="G291" s="556"/>
      <c r="H291" s="556"/>
      <c r="I291" s="556"/>
      <c r="J291" s="556"/>
      <c r="K291" s="556"/>
      <c r="L291" s="556"/>
      <c r="M291" s="556"/>
      <c r="N291" s="556"/>
      <c r="O291" s="556"/>
      <c r="P291" s="556"/>
      <c r="Q291" s="556"/>
      <c r="R291" s="556"/>
      <c r="S291" s="556"/>
      <c r="T291" s="556"/>
      <c r="U291" s="556"/>
      <c r="V291" s="556"/>
      <c r="W291" s="556"/>
      <c r="X291" s="556"/>
      <c r="Y291" s="556"/>
      <c r="Z291" s="556"/>
      <c r="AA291" s="556"/>
      <c r="AB291" s="556"/>
      <c r="AC291" s="556"/>
      <c r="AD291" s="556"/>
      <c r="AE291" s="556"/>
      <c r="AF291" s="556"/>
    </row>
    <row r="292" spans="1:32">
      <c r="A292" s="545"/>
      <c r="B292" s="546"/>
      <c r="C292" s="547"/>
      <c r="D292" s="12" t="s">
        <v>1084</v>
      </c>
      <c r="E292" s="13">
        <v>401</v>
      </c>
      <c r="F292" s="14" t="str">
        <f>VLOOKUP($E$292,[1]UN!$A$2:$FA$303, 3, FALSE)</f>
        <v>401  Domestic demand excl. changes in inventories and net acquisition of valuables</v>
      </c>
      <c r="G292" s="556">
        <f ca="1">IF(VLOOKUP($E$292,[1]UN!$A$2:$FA$303, 6, FALSE)="",":",VLOOKUP($E$292,[1]UN!$A$2:$FA$303, 6, FALSE))</f>
        <v>202605.4</v>
      </c>
      <c r="H292" s="556">
        <f>IF(VLOOKUP($E$292,[1]UN!$A$2:$FA$303, 7, FALSE)="",":",VLOOKUP($E$292,[1]UN!$A$2:$FA$303, 7, FALSE))</f>
        <v>209037.9</v>
      </c>
      <c r="I292" s="556">
        <f>IF(VLOOKUP($E$292,[1]UN!$A$2:$FA$303, 8, FALSE)="",":",VLOOKUP($E$292,[1]UN!$A$2:$FA$303, 8, FALSE))</f>
        <v>217446.6</v>
      </c>
      <c r="J292" s="556">
        <f>IF(VLOOKUP($E$292,[1]UN!$A$2:$FA$303, 9, FALSE)="",":",VLOOKUP($E$292,[1]UN!$A$2:$FA$303, 9, FALSE))</f>
        <v>225601.8</v>
      </c>
      <c r="K292" s="556">
        <f>IF(VLOOKUP($E$292,[1]UN!$A$2:$FA$303, 10, FALSE)="",":",VLOOKUP($E$292,[1]UN!$A$2:$FA$303, 10, FALSE))</f>
        <v>233842.8</v>
      </c>
      <c r="L292" s="556">
        <f>IF(VLOOKUP($E$292,[1]UN!$A$2:$FA$303, 11, FALSE)="",":",VLOOKUP($E$292,[1]UN!$A$2:$FA$303, 11, FALSE))</f>
        <v>248079.3</v>
      </c>
      <c r="M292" s="556">
        <f>IF(VLOOKUP($E$292,[1]UN!$A$2:$FA$303, 12, FALSE)="",":",VLOOKUP($E$292,[1]UN!$A$2:$FA$303, 12, FALSE))</f>
        <v>256424.4</v>
      </c>
      <c r="N292" s="556">
        <f>IF(VLOOKUP($E$292,[1]UN!$A$2:$FA$303, 13, FALSE)="",":",VLOOKUP($E$292,[1]UN!$A$2:$FA$303, 13, FALSE))</f>
        <v>259915.5</v>
      </c>
      <c r="O292" s="556">
        <f>IF(VLOOKUP($E$292,[1]UN!$A$2:$FA$303, 14, FALSE)="",":",VLOOKUP($E$292,[1]UN!$A$2:$FA$303, 14, FALSE))</f>
        <v>266743.7</v>
      </c>
      <c r="P292" s="556">
        <f>IF(VLOOKUP($E$292,[1]UN!$A$2:$FA$303, 15, FALSE)="",":",VLOOKUP($E$292,[1]UN!$A$2:$FA$303, 15, FALSE))</f>
        <v>281251.20000000001</v>
      </c>
      <c r="Q292" s="556">
        <f>IF(VLOOKUP($E$292,[1]UN!$A$2:$FA$303, 16, FALSE)="",":",VLOOKUP($E$292,[1]UN!$A$2:$FA$303, 16, FALSE))</f>
        <v>295539.20000000001</v>
      </c>
      <c r="R292" s="556">
        <f>IF(VLOOKUP($E$292,[1]UN!$A$2:$FA$303, 17, FALSE)="",":",VLOOKUP($E$292,[1]UN!$A$2:$FA$303, 17, FALSE))</f>
        <v>309455.3</v>
      </c>
      <c r="S292" s="556">
        <f>IF(VLOOKUP($E$292,[1]UN!$A$2:$FA$303, 18, FALSE)="",":",VLOOKUP($E$292,[1]UN!$A$2:$FA$303, 18, FALSE))</f>
        <v>327372</v>
      </c>
      <c r="T292" s="556">
        <f>IF(VLOOKUP($E$292,[1]UN!$A$2:$FA$303, 19, FALSE)="",":",VLOOKUP($E$292,[1]UN!$A$2:$FA$303, 19, FALSE))</f>
        <v>346135.5</v>
      </c>
      <c r="U292" s="556">
        <f>IF(VLOOKUP($E$292,[1]UN!$A$2:$FA$303, 20, FALSE)="",":",VLOOKUP($E$292,[1]UN!$A$2:$FA$303, 20, FALSE))</f>
        <v>344107.8</v>
      </c>
      <c r="V292" s="556">
        <f>IF(VLOOKUP($E$292,[1]UN!$A$2:$FA$303, 21, FALSE)="",":",VLOOKUP($E$292,[1]UN!$A$2:$FA$303, 21, FALSE))</f>
        <v>355352.7</v>
      </c>
      <c r="W292" s="556">
        <f>IF(VLOOKUP($E$292,[1]UN!$A$2:$FA$303, 22, FALSE)="",":",VLOOKUP($E$292,[1]UN!$A$2:$FA$303, 22, FALSE))</f>
        <v>371806.1</v>
      </c>
      <c r="X292" s="556">
        <f>IF(VLOOKUP($E$292,[1]UN!$A$2:$FA$303, 23, FALSE)="",":",VLOOKUP($E$292,[1]UN!$A$2:$FA$303, 23, FALSE))</f>
        <v>382864.6</v>
      </c>
      <c r="Y292" s="556">
        <f>IF(VLOOKUP($E$292,[1]UN!$A$2:$FA$303, 24, FALSE)="",":",VLOOKUP($E$292,[1]UN!$A$2:$FA$303, 24, FALSE))</f>
        <v>387415.6</v>
      </c>
      <c r="Z292" s="556">
        <f>IF(VLOOKUP($E$292,[1]UN!$A$2:$FA$303, 25, FALSE)="",":",VLOOKUP($E$292,[1]UN!$A$2:$FA$303, 25, FALSE))</f>
        <v>396607.6</v>
      </c>
      <c r="AA292" s="556">
        <f>IF(VLOOKUP($E$292,[1]UN!$A$2:$FA$303, 26, FALSE)="",":",VLOOKUP($E$292,[1]UN!$A$2:$FA$303, 26, FALSE))</f>
        <v>403283.7</v>
      </c>
      <c r="AB292" s="556">
        <f>IF(VLOOKUP($E$292,[1]UN!$A$2:$FA$303, 27, FALSE)="",":",VLOOKUP($E$292,[1]UN!$A$2:$FA$303, 27, FALSE))</f>
        <v>415441.4</v>
      </c>
      <c r="AC292" s="556">
        <f>IF(VLOOKUP($E$292,[1]UN!$A$2:$FA$303, 28, FALSE)="",":",VLOOKUP($E$292,[1]UN!$A$2:$FA$303, 28, FALSE))</f>
        <v>427211.6</v>
      </c>
      <c r="AD292" s="556" t="str">
        <f>IF(VLOOKUP($E$292,[1]UN!$A$2:$FA$303, 29, FALSE)="",":",VLOOKUP($E$292,[1]UN!$A$2:$FA$303, 29, FALSE))</f>
        <v>:</v>
      </c>
      <c r="AE292" s="556" t="str">
        <f>IF(VLOOKUP($E$292,[1]UN!$A$2:$FA$303, 30, FALSE)="",":",VLOOKUP($E$292,[1]UN!$A$2:$FA$303, 30, FALSE))</f>
        <v>:</v>
      </c>
      <c r="AF292" s="556" t="str">
        <f>IF(VLOOKUP($E$292,[1]UN!$A$2:$FA$303, 31, FALSE)="",":",VLOOKUP($E$292,[1]UN!$A$2:$FA$303, 31, FALSE))</f>
        <v>:</v>
      </c>
    </row>
    <row r="293" spans="1:32">
      <c r="A293" s="545"/>
      <c r="B293" s="546"/>
      <c r="C293" s="547"/>
      <c r="D293" s="12" t="s">
        <v>1084</v>
      </c>
      <c r="E293" s="13">
        <v>402</v>
      </c>
      <c r="F293" s="14" t="str">
        <f>VLOOKUP($E$293,[1]UN!$A$2:$FA$303, 3, FALSE)</f>
        <v>402  Domestic demand incl. changes in inventories and net acquisition of valuables</v>
      </c>
      <c r="G293" s="556">
        <f ca="1">IF(VLOOKUP($E$293,[1]UN!$A$2:$FA$303, 6, FALSE)="",":",VLOOKUP($E$293,[1]UN!$A$2:$FA$303, 6, FALSE))</f>
        <v>203950.8</v>
      </c>
      <c r="H293" s="556">
        <f>IF(VLOOKUP($E$293,[1]UN!$A$2:$FA$303, 7, FALSE)="",":",VLOOKUP($E$293,[1]UN!$A$2:$FA$303, 7, FALSE))</f>
        <v>209841</v>
      </c>
      <c r="I293" s="556">
        <f>IF(VLOOKUP($E$293,[1]UN!$A$2:$FA$303, 8, FALSE)="",":",VLOOKUP($E$293,[1]UN!$A$2:$FA$303, 8, FALSE))</f>
        <v>218225.1</v>
      </c>
      <c r="J293" s="556">
        <f>IF(VLOOKUP($E$293,[1]UN!$A$2:$FA$303, 9, FALSE)="",":",VLOOKUP($E$293,[1]UN!$A$2:$FA$303, 9, FALSE))</f>
        <v>226727.9</v>
      </c>
      <c r="K293" s="556">
        <f>IF(VLOOKUP($E$293,[1]UN!$A$2:$FA$303, 10, FALSE)="",":",VLOOKUP($E$293,[1]UN!$A$2:$FA$303, 10, FALSE))</f>
        <v>234944.9</v>
      </c>
      <c r="L293" s="556">
        <f>IF(VLOOKUP($E$293,[1]UN!$A$2:$FA$303, 11, FALSE)="",":",VLOOKUP($E$293,[1]UN!$A$2:$FA$303, 11, FALSE))</f>
        <v>251415</v>
      </c>
      <c r="M293" s="556">
        <f>IF(VLOOKUP($E$293,[1]UN!$A$2:$FA$303, 12, FALSE)="",":",VLOOKUP($E$293,[1]UN!$A$2:$FA$303, 12, FALSE))</f>
        <v>256894.4</v>
      </c>
      <c r="N293" s="556">
        <f>IF(VLOOKUP($E$293,[1]UN!$A$2:$FA$303, 13, FALSE)="",":",VLOOKUP($E$293,[1]UN!$A$2:$FA$303, 13, FALSE))</f>
        <v>259923.7</v>
      </c>
      <c r="O293" s="556">
        <f>IF(VLOOKUP($E$293,[1]UN!$A$2:$FA$303, 14, FALSE)="",":",VLOOKUP($E$293,[1]UN!$A$2:$FA$303, 14, FALSE))</f>
        <v>267934.09999999998</v>
      </c>
      <c r="P293" s="556">
        <f>IF(VLOOKUP($E$293,[1]UN!$A$2:$FA$303, 15, FALSE)="",":",VLOOKUP($E$293,[1]UN!$A$2:$FA$303, 15, FALSE))</f>
        <v>284665.09999999998</v>
      </c>
      <c r="Q293" s="556">
        <f>IF(VLOOKUP($E$293,[1]UN!$A$2:$FA$303, 16, FALSE)="",":",VLOOKUP($E$293,[1]UN!$A$2:$FA$303, 16, FALSE))</f>
        <v>300061.2</v>
      </c>
      <c r="R293" s="556">
        <f>IF(VLOOKUP($E$293,[1]UN!$A$2:$FA$303, 17, FALSE)="",":",VLOOKUP($E$293,[1]UN!$A$2:$FA$303, 17, FALSE))</f>
        <v>314482.90000000002</v>
      </c>
      <c r="S293" s="556">
        <f>IF(VLOOKUP($E$293,[1]UN!$A$2:$FA$303, 18, FALSE)="",":",VLOOKUP($E$293,[1]UN!$A$2:$FA$303, 18, FALSE))</f>
        <v>331551.2</v>
      </c>
      <c r="T293" s="556">
        <f>IF(VLOOKUP($E$293,[1]UN!$A$2:$FA$303, 19, FALSE)="",":",VLOOKUP($E$293,[1]UN!$A$2:$FA$303, 19, FALSE))</f>
        <v>352352.5</v>
      </c>
      <c r="U293" s="556">
        <f>IF(VLOOKUP($E$293,[1]UN!$A$2:$FA$303, 20, FALSE)="",":",VLOOKUP($E$293,[1]UN!$A$2:$FA$303, 20, FALSE))</f>
        <v>340888.9</v>
      </c>
      <c r="V293" s="556">
        <f>IF(VLOOKUP($E$293,[1]UN!$A$2:$FA$303, 21, FALSE)="",":",VLOOKUP($E$293,[1]UN!$A$2:$FA$303, 21, FALSE))</f>
        <v>358540.6</v>
      </c>
      <c r="W293" s="556">
        <f>IF(VLOOKUP($E$293,[1]UN!$A$2:$FA$303, 22, FALSE)="",":",VLOOKUP($E$293,[1]UN!$A$2:$FA$303, 22, FALSE))</f>
        <v>377144.7</v>
      </c>
      <c r="X293" s="556">
        <f>IF(VLOOKUP($E$293,[1]UN!$A$2:$FA$303, 23, FALSE)="",":",VLOOKUP($E$293,[1]UN!$A$2:$FA$303, 23, FALSE))</f>
        <v>385110.4</v>
      </c>
      <c r="Y293" s="556">
        <f>IF(VLOOKUP($E$293,[1]UN!$A$2:$FA$303, 24, FALSE)="",":",VLOOKUP($E$293,[1]UN!$A$2:$FA$303, 24, FALSE))</f>
        <v>387467.1</v>
      </c>
      <c r="Z293" s="556">
        <f>IF(VLOOKUP($E$293,[1]UN!$A$2:$FA$303, 25, FALSE)="",":",VLOOKUP($E$293,[1]UN!$A$2:$FA$303, 25, FALSE))</f>
        <v>397751.4</v>
      </c>
      <c r="AA293" s="556">
        <f>IF(VLOOKUP($E$293,[1]UN!$A$2:$FA$303, 26, FALSE)="",":",VLOOKUP($E$293,[1]UN!$A$2:$FA$303, 26, FALSE))</f>
        <v>404857.7</v>
      </c>
      <c r="AB293" s="556">
        <f>IF(VLOOKUP($E$293,[1]UN!$A$2:$FA$303, 27, FALSE)="",":",VLOOKUP($E$293,[1]UN!$A$2:$FA$303, 27, FALSE))</f>
        <v>417423.2</v>
      </c>
      <c r="AC293" s="556">
        <f>IF(VLOOKUP($E$293,[1]UN!$A$2:$FA$303, 28, FALSE)="",":",VLOOKUP($E$293,[1]UN!$A$2:$FA$303, 28, FALSE))</f>
        <v>432796.7</v>
      </c>
      <c r="AD293" s="556" t="str">
        <f>IF(VLOOKUP($E$293,[1]UN!$A$2:$FA$303, 29, FALSE)="",":",VLOOKUP($E$293,[1]UN!$A$2:$FA$303, 29, FALSE))</f>
        <v>:</v>
      </c>
      <c r="AE293" s="556" t="str">
        <f>IF(VLOOKUP($E$293,[1]UN!$A$2:$FA$303, 30, FALSE)="",":",VLOOKUP($E$293,[1]UN!$A$2:$FA$303, 30, FALSE))</f>
        <v>:</v>
      </c>
      <c r="AF293" s="556" t="str">
        <f>IF(VLOOKUP($E$293,[1]UN!$A$2:$FA$303, 31, FALSE)="",":",VLOOKUP($E$293,[1]UN!$A$2:$FA$303, 31, FALSE))</f>
        <v>:</v>
      </c>
    </row>
    <row r="294" spans="1:32">
      <c r="A294" s="545"/>
      <c r="B294" s="546"/>
      <c r="C294" s="547"/>
      <c r="D294" s="12" t="s">
        <v>1084</v>
      </c>
      <c r="E294" s="13">
        <v>403</v>
      </c>
      <c r="F294" s="14" t="str">
        <f>VLOOKUP($E$294,[1]UN!$A$2:$FA$303, 3, FALSE)</f>
        <v xml:space="preserve">403  Final demand                                                                 </v>
      </c>
      <c r="G294" s="556">
        <f ca="1">IF(VLOOKUP($E$294,[1]UN!$A$2:$FA$303, 6, FALSE)="",":",VLOOKUP($E$294,[1]UN!$A$2:$FA$303, 6, FALSE))</f>
        <v>329822.5</v>
      </c>
      <c r="H294" s="556">
        <f>IF(VLOOKUP($E$294,[1]UN!$A$2:$FA$303, 7, FALSE)="",":",VLOOKUP($E$294,[1]UN!$A$2:$FA$303, 7, FALSE))</f>
        <v>340362.6</v>
      </c>
      <c r="I294" s="556">
        <f>IF(VLOOKUP($E$294,[1]UN!$A$2:$FA$303, 8, FALSE)="",":",VLOOKUP($E$294,[1]UN!$A$2:$FA$303, 8, FALSE))</f>
        <v>362611.8</v>
      </c>
      <c r="J294" s="556">
        <f>IF(VLOOKUP($E$294,[1]UN!$A$2:$FA$303, 9, FALSE)="",":",VLOOKUP($E$294,[1]UN!$A$2:$FA$303, 9, FALSE))</f>
        <v>375387.9</v>
      </c>
      <c r="K294" s="556">
        <f>IF(VLOOKUP($E$294,[1]UN!$A$2:$FA$303, 10, FALSE)="",":",VLOOKUP($E$294,[1]UN!$A$2:$FA$303, 10, FALSE))</f>
        <v>391002.2</v>
      </c>
      <c r="L294" s="556">
        <f>IF(VLOOKUP($E$294,[1]UN!$A$2:$FA$303, 11, FALSE)="",":",VLOOKUP($E$294,[1]UN!$A$2:$FA$303, 11, FALSE))</f>
        <v>436967.1</v>
      </c>
      <c r="M294" s="556">
        <f>IF(VLOOKUP($E$294,[1]UN!$A$2:$FA$303, 12, FALSE)="",":",VLOOKUP($E$294,[1]UN!$A$2:$FA$303, 12, FALSE))</f>
        <v>445658.3</v>
      </c>
      <c r="N294" s="556">
        <f>IF(VLOOKUP($E$294,[1]UN!$A$2:$FA$303, 13, FALSE)="",":",VLOOKUP($E$294,[1]UN!$A$2:$FA$303, 13, FALSE))</f>
        <v>453335.1</v>
      </c>
      <c r="O294" s="556">
        <f>IF(VLOOKUP($E$294,[1]UN!$A$2:$FA$303, 14, FALSE)="",":",VLOOKUP($E$294,[1]UN!$A$2:$FA$303, 14, FALSE))</f>
        <v>461811.7</v>
      </c>
      <c r="P294" s="556">
        <f>IF(VLOOKUP($E$294,[1]UN!$A$2:$FA$303, 15, FALSE)="",":",VLOOKUP($E$294,[1]UN!$A$2:$FA$303, 15, FALSE))</f>
        <v>494867.8</v>
      </c>
      <c r="Q294" s="556">
        <f>IF(VLOOKUP($E$294,[1]UN!$A$2:$FA$303, 16, FALSE)="",":",VLOOKUP($E$294,[1]UN!$A$2:$FA$303, 16, FALSE))</f>
        <v>529065.69999999995</v>
      </c>
      <c r="R294" s="556">
        <f>IF(VLOOKUP($E$294,[1]UN!$A$2:$FA$303, 17, FALSE)="",":",VLOOKUP($E$294,[1]UN!$A$2:$FA$303, 17, FALSE))</f>
        <v>561802.5</v>
      </c>
      <c r="S294" s="556">
        <f>IF(VLOOKUP($E$294,[1]UN!$A$2:$FA$303, 18, FALSE)="",":",VLOOKUP($E$294,[1]UN!$A$2:$FA$303, 18, FALSE))</f>
        <v>598671.80000000005</v>
      </c>
      <c r="T294" s="556">
        <f>IF(VLOOKUP($E$294,[1]UN!$A$2:$FA$303, 19, FALSE)="",":",VLOOKUP($E$294,[1]UN!$A$2:$FA$303, 19, FALSE))</f>
        <v>634528.80000000005</v>
      </c>
      <c r="U294" s="556">
        <f>IF(VLOOKUP($E$294,[1]UN!$A$2:$FA$303, 20, FALSE)="",":",VLOOKUP($E$294,[1]UN!$A$2:$FA$303, 20, FALSE))</f>
        <v>582628.30000000005</v>
      </c>
      <c r="V294" s="556">
        <f>IF(VLOOKUP($E$294,[1]UN!$A$2:$FA$303, 21, FALSE)="",":",VLOOKUP($E$294,[1]UN!$A$2:$FA$303, 21, FALSE))</f>
        <v>637654.30000000005</v>
      </c>
      <c r="W294" s="556">
        <f>IF(VLOOKUP($E$294,[1]UN!$A$2:$FA$303, 22, FALSE)="",":",VLOOKUP($E$294,[1]UN!$A$2:$FA$303, 22, FALSE))</f>
        <v>686630.2</v>
      </c>
      <c r="X294" s="556">
        <f>IF(VLOOKUP($E$294,[1]UN!$A$2:$FA$303, 23, FALSE)="",":",VLOOKUP($E$294,[1]UN!$A$2:$FA$303, 23, FALSE))</f>
        <v>704045.6</v>
      </c>
      <c r="Y294" s="556">
        <f>IF(VLOOKUP($E$294,[1]UN!$A$2:$FA$303, 24, FALSE)="",":",VLOOKUP($E$294,[1]UN!$A$2:$FA$303, 24, FALSE))</f>
        <v>708127.6</v>
      </c>
      <c r="Z294" s="556">
        <f>IF(VLOOKUP($E$294,[1]UN!$A$2:$FA$303, 25, FALSE)="",":",VLOOKUP($E$294,[1]UN!$A$2:$FA$303, 25, FALSE))</f>
        <v>728487.9</v>
      </c>
      <c r="AA294" s="556">
        <f>IF(VLOOKUP($E$294,[1]UN!$A$2:$FA$303, 26, FALSE)="",":",VLOOKUP($E$294,[1]UN!$A$2:$FA$303, 26, FALSE))</f>
        <v>736349.3</v>
      </c>
      <c r="AB294" s="556">
        <f>IF(VLOOKUP($E$294,[1]UN!$A$2:$FA$303, 27, FALSE)="",":",VLOOKUP($E$294,[1]UN!$A$2:$FA$303, 27, FALSE))</f>
        <v>767982.6</v>
      </c>
      <c r="AC294" s="556">
        <f>IF(VLOOKUP($E$294,[1]UN!$A$2:$FA$303, 28, FALSE)="",":",VLOOKUP($E$294,[1]UN!$A$2:$FA$303, 28, FALSE))</f>
        <v>804182.6</v>
      </c>
      <c r="AD294" s="556" t="str">
        <f>IF(VLOOKUP($E$294,[1]UN!$A$2:$FA$303, 29, FALSE)="",":",VLOOKUP($E$294,[1]UN!$A$2:$FA$303, 29, FALSE))</f>
        <v>:</v>
      </c>
      <c r="AE294" s="556" t="str">
        <f>IF(VLOOKUP($E$294,[1]UN!$A$2:$FA$303, 30, FALSE)="",":",VLOOKUP($E$294,[1]UN!$A$2:$FA$303, 30, FALSE))</f>
        <v>:</v>
      </c>
      <c r="AF294" s="556" t="str">
        <f>IF(VLOOKUP($E$294,[1]UN!$A$2:$FA$303, 31, FALSE)="",":",VLOOKUP($E$294,[1]UN!$A$2:$FA$303, 31, FALSE))</f>
        <v>:</v>
      </c>
    </row>
    <row r="295" spans="1:32">
      <c r="A295" s="545"/>
      <c r="B295" s="546"/>
      <c r="C295" s="547"/>
      <c r="D295" s="12"/>
      <c r="E295" s="13"/>
      <c r="F295" s="14"/>
      <c r="G295" s="556"/>
      <c r="H295" s="556"/>
      <c r="I295" s="556"/>
      <c r="J295" s="556"/>
      <c r="K295" s="556"/>
      <c r="L295" s="556"/>
      <c r="M295" s="556"/>
      <c r="N295" s="556"/>
      <c r="O295" s="556"/>
      <c r="P295" s="556"/>
      <c r="Q295" s="556"/>
      <c r="R295" s="556"/>
      <c r="S295" s="556"/>
      <c r="T295" s="556"/>
      <c r="U295" s="556"/>
      <c r="V295" s="556"/>
      <c r="W295" s="556"/>
      <c r="X295" s="556"/>
      <c r="Y295" s="556"/>
      <c r="Z295" s="556"/>
      <c r="AA295" s="556"/>
      <c r="AB295" s="556"/>
      <c r="AC295" s="556"/>
      <c r="AD295" s="556"/>
      <c r="AE295" s="556"/>
      <c r="AF295" s="556"/>
    </row>
    <row r="296" spans="1:32">
      <c r="A296" s="545"/>
      <c r="B296" s="546"/>
      <c r="C296" s="547"/>
      <c r="D296" s="12"/>
      <c r="E296" s="13"/>
      <c r="F296" s="14"/>
      <c r="G296" s="556"/>
      <c r="H296" s="556"/>
      <c r="I296" s="556"/>
      <c r="J296" s="556"/>
      <c r="K296" s="556"/>
      <c r="L296" s="556"/>
      <c r="M296" s="556"/>
      <c r="N296" s="556"/>
      <c r="O296" s="556"/>
      <c r="P296" s="556"/>
      <c r="Q296" s="556"/>
      <c r="R296" s="556"/>
      <c r="S296" s="556"/>
      <c r="T296" s="556"/>
      <c r="U296" s="556"/>
      <c r="V296" s="556"/>
      <c r="W296" s="556"/>
      <c r="X296" s="556"/>
      <c r="Y296" s="556"/>
      <c r="Z296" s="556"/>
      <c r="AA296" s="556"/>
      <c r="AB296" s="556"/>
      <c r="AC296" s="556"/>
      <c r="AD296" s="556"/>
      <c r="AE296" s="556"/>
      <c r="AF296" s="556"/>
    </row>
    <row r="297" spans="1:32">
      <c r="A297" s="545"/>
      <c r="B297" s="546"/>
      <c r="C297" s="547"/>
      <c r="D297" s="12"/>
      <c r="E297" s="13"/>
      <c r="F297" s="14"/>
      <c r="G297" s="556"/>
      <c r="H297" s="556"/>
      <c r="I297" s="556"/>
      <c r="J297" s="556"/>
      <c r="K297" s="556"/>
      <c r="L297" s="556"/>
      <c r="M297" s="556"/>
      <c r="N297" s="556"/>
      <c r="O297" s="556"/>
      <c r="P297" s="556"/>
      <c r="Q297" s="556"/>
      <c r="R297" s="556"/>
      <c r="S297" s="556"/>
      <c r="T297" s="556"/>
      <c r="U297" s="556"/>
      <c r="V297" s="556"/>
      <c r="W297" s="556"/>
      <c r="X297" s="556"/>
      <c r="Y297" s="556"/>
      <c r="Z297" s="556"/>
      <c r="AA297" s="556"/>
      <c r="AB297" s="556"/>
      <c r="AC297" s="556"/>
      <c r="AD297" s="556"/>
      <c r="AE297" s="556"/>
      <c r="AF297" s="556"/>
    </row>
  </sheetData>
  <autoFilter ref="D3:E297"/>
  <mergeCells count="1">
    <mergeCell ref="A1:F1"/>
  </mergeCells>
  <phoneticPr fontId="0" type="noConversion"/>
  <printOptions horizontalCentered="1" headings="1"/>
  <pageMargins left="0.23622047244094491" right="0.23622047244094491" top="0.98425196850393704" bottom="0.98425196850393704" header="0.51181102362204722" footer="0.51181102362204722"/>
  <pageSetup orientation="portrait" horizontalDpi="1200"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C000"/>
  </sheetPr>
  <dimension ref="A1:AN87"/>
  <sheetViews>
    <sheetView tabSelected="1" zoomScale="85" zoomScaleNormal="85" workbookViewId="0">
      <selection activeCell="C3" sqref="C3:N8"/>
    </sheetView>
  </sheetViews>
  <sheetFormatPr defaultColWidth="9.109375" defaultRowHeight="14.4"/>
  <cols>
    <col min="1" max="1" width="15.5546875" style="3913" customWidth="1"/>
    <col min="2" max="2" width="72.21875" style="3913" customWidth="1"/>
    <col min="3" max="3" width="7.77734375" style="3913" customWidth="1"/>
    <col min="4" max="4" width="8.21875" style="3913" customWidth="1"/>
    <col min="5" max="8" width="7.77734375" style="3913" customWidth="1"/>
    <col min="9" max="11" width="6.77734375" style="3913" customWidth="1"/>
    <col min="12" max="14" width="6.109375" style="3913" customWidth="1"/>
    <col min="15" max="15" width="72.21875" style="3913" customWidth="1"/>
    <col min="16" max="16" width="6.6640625" style="3913" customWidth="1"/>
    <col min="17" max="17" width="7" style="3913" customWidth="1"/>
    <col min="18" max="18" width="7.6640625" style="3913" customWidth="1"/>
    <col min="19" max="20" width="6.6640625" style="3913" customWidth="1"/>
    <col min="21" max="21" width="7.6640625" style="3913" customWidth="1"/>
    <col min="22" max="27" width="5" style="3913" customWidth="1"/>
    <col min="28" max="28" width="92.88671875" style="3913" customWidth="1"/>
    <col min="29" max="34" width="7.5546875" style="3913" customWidth="1"/>
    <col min="35" max="35" width="6.5546875" style="3913" customWidth="1"/>
    <col min="36" max="36" width="5" style="3913" bestFit="1" customWidth="1"/>
    <col min="37" max="37" width="6.5546875" style="3913" bestFit="1" customWidth="1"/>
    <col min="38" max="40" width="5" style="3913" bestFit="1" customWidth="1"/>
    <col min="41" max="16384" width="9.109375" style="3913"/>
  </cols>
  <sheetData>
    <row r="1" spans="1:40" ht="15" customHeight="1">
      <c r="A1" s="4089" t="s">
        <v>2744</v>
      </c>
      <c r="B1" s="4089"/>
      <c r="C1" s="4089"/>
      <c r="D1" s="4089"/>
      <c r="E1" s="4089"/>
      <c r="F1" s="4089"/>
      <c r="G1" s="4089"/>
      <c r="H1" s="4089"/>
      <c r="I1" s="4089"/>
      <c r="J1" s="4089"/>
      <c r="K1" s="4089"/>
      <c r="L1" s="4089"/>
      <c r="M1" s="4089"/>
      <c r="N1"/>
      <c r="O1"/>
      <c r="P1"/>
      <c r="Q1"/>
      <c r="R1"/>
      <c r="S1"/>
      <c r="T1"/>
      <c r="U1"/>
      <c r="V1"/>
      <c r="W1"/>
      <c r="X1"/>
      <c r="Y1"/>
      <c r="Z1"/>
      <c r="AA1"/>
      <c r="AB1" s="3920" t="s">
        <v>2596</v>
      </c>
      <c r="AC1"/>
      <c r="AD1"/>
      <c r="AE1"/>
      <c r="AF1"/>
      <c r="AG1"/>
      <c r="AH1"/>
      <c r="AI1"/>
      <c r="AJ1"/>
      <c r="AK1"/>
      <c r="AL1"/>
      <c r="AM1"/>
      <c r="AN1"/>
    </row>
    <row r="2" spans="1:40">
      <c r="A2" s="4051" t="s">
        <v>2573</v>
      </c>
      <c r="B2" s="4051" t="s">
        <v>2574</v>
      </c>
      <c r="C2" s="4051">
        <v>2014</v>
      </c>
      <c r="D2" s="4051">
        <v>2015</v>
      </c>
      <c r="E2" s="4051">
        <v>2016</v>
      </c>
      <c r="F2" s="4051">
        <v>2017</v>
      </c>
      <c r="G2" s="4051">
        <v>2018</v>
      </c>
      <c r="H2" s="4051">
        <v>2019</v>
      </c>
      <c r="I2" s="4051">
        <v>2020</v>
      </c>
      <c r="J2" s="4051">
        <v>2021</v>
      </c>
      <c r="K2" s="4051">
        <v>2022</v>
      </c>
      <c r="L2" s="4051">
        <v>2023</v>
      </c>
      <c r="M2" s="4051">
        <v>2024</v>
      </c>
      <c r="N2" s="4051">
        <v>2025</v>
      </c>
      <c r="O2"/>
      <c r="P2"/>
      <c r="Q2"/>
      <c r="R2"/>
      <c r="S2"/>
      <c r="T2"/>
      <c r="U2"/>
      <c r="V2"/>
      <c r="W2"/>
      <c r="X2"/>
      <c r="Y2"/>
      <c r="Z2"/>
      <c r="AA2"/>
      <c r="AB2"/>
      <c r="AC2"/>
      <c r="AD2"/>
      <c r="AE2"/>
      <c r="AF2"/>
      <c r="AG2"/>
      <c r="AH2"/>
      <c r="AI2"/>
      <c r="AJ2"/>
      <c r="AK2"/>
      <c r="AL2"/>
      <c r="AM2"/>
      <c r="AN2"/>
    </row>
    <row r="3" spans="1:40">
      <c r="A3" s="3914" t="s">
        <v>2575</v>
      </c>
      <c r="B3" s="3914" t="s">
        <v>2576</v>
      </c>
      <c r="C3" s="4330">
        <v>1.86</v>
      </c>
      <c r="D3" s="4330">
        <v>0.64</v>
      </c>
      <c r="E3" s="4330">
        <v>0.79800000000000004</v>
      </c>
      <c r="F3" s="4330">
        <v>2.0019999999999998</v>
      </c>
      <c r="G3" s="4330">
        <v>0.98</v>
      </c>
      <c r="H3" s="4330">
        <v>0.46100000000000002</v>
      </c>
      <c r="I3" s="4330">
        <v>0.78600000000000003</v>
      </c>
      <c r="J3" s="4330">
        <v>0</v>
      </c>
      <c r="K3" s="4330">
        <v>0</v>
      </c>
      <c r="L3" s="4330">
        <v>0</v>
      </c>
      <c r="M3" s="4330">
        <v>0</v>
      </c>
      <c r="N3" s="4330">
        <v>0</v>
      </c>
      <c r="O3"/>
      <c r="P3">
        <f>C3/1000</f>
        <v>1.8600000000000001E-3</v>
      </c>
      <c r="Q3">
        <f t="shared" ref="Q3:AA8" si="0">D3/1000</f>
        <v>6.4000000000000005E-4</v>
      </c>
      <c r="R3">
        <f t="shared" si="0"/>
        <v>7.9799999999999999E-4</v>
      </c>
      <c r="S3">
        <f t="shared" si="0"/>
        <v>2.0019999999999999E-3</v>
      </c>
      <c r="T3">
        <f t="shared" si="0"/>
        <v>9.7999999999999997E-4</v>
      </c>
      <c r="U3">
        <f t="shared" si="0"/>
        <v>4.6100000000000004E-4</v>
      </c>
      <c r="V3">
        <f t="shared" si="0"/>
        <v>7.8600000000000002E-4</v>
      </c>
      <c r="W3">
        <f t="shared" si="0"/>
        <v>0</v>
      </c>
      <c r="X3">
        <f t="shared" si="0"/>
        <v>0</v>
      </c>
      <c r="Y3">
        <f t="shared" si="0"/>
        <v>0</v>
      </c>
      <c r="Z3">
        <f t="shared" si="0"/>
        <v>0</v>
      </c>
      <c r="AA3">
        <f t="shared" si="0"/>
        <v>0</v>
      </c>
      <c r="AB3"/>
      <c r="AC3"/>
      <c r="AD3"/>
      <c r="AE3"/>
      <c r="AF3"/>
      <c r="AG3"/>
      <c r="AH3"/>
      <c r="AI3"/>
      <c r="AJ3"/>
      <c r="AK3"/>
      <c r="AL3"/>
      <c r="AM3"/>
      <c r="AN3"/>
    </row>
    <row r="4" spans="1:40">
      <c r="A4" s="3914" t="s">
        <v>2577</v>
      </c>
      <c r="B4" s="3914" t="s">
        <v>2578</v>
      </c>
      <c r="C4" s="4330">
        <v>-0.51100000000000001</v>
      </c>
      <c r="D4" s="4330">
        <v>-0.21</v>
      </c>
      <c r="E4" s="4330">
        <v>-0.97319999999999995</v>
      </c>
      <c r="F4" s="4330">
        <v>-0.19600000000000001</v>
      </c>
      <c r="G4" s="4330">
        <v>0</v>
      </c>
      <c r="H4" s="4330">
        <v>0</v>
      </c>
      <c r="I4" s="4330">
        <v>0</v>
      </c>
      <c r="J4" s="4330">
        <v>0</v>
      </c>
      <c r="K4" s="4330">
        <v>0</v>
      </c>
      <c r="L4" s="4330">
        <v>0</v>
      </c>
      <c r="M4" s="4330">
        <v>0</v>
      </c>
      <c r="N4" s="4330">
        <v>0</v>
      </c>
      <c r="O4"/>
      <c r="P4">
        <f t="shared" ref="P4:P8" si="1">C4/1000</f>
        <v>-5.1100000000000006E-4</v>
      </c>
      <c r="Q4">
        <f t="shared" si="0"/>
        <v>-2.0999999999999998E-4</v>
      </c>
      <c r="R4">
        <f t="shared" si="0"/>
        <v>-9.7319999999999991E-4</v>
      </c>
      <c r="S4">
        <f t="shared" si="0"/>
        <v>-1.9600000000000002E-4</v>
      </c>
      <c r="T4">
        <f t="shared" si="0"/>
        <v>0</v>
      </c>
      <c r="U4">
        <f t="shared" si="0"/>
        <v>0</v>
      </c>
      <c r="V4">
        <f t="shared" si="0"/>
        <v>0</v>
      </c>
      <c r="W4">
        <f t="shared" si="0"/>
        <v>0</v>
      </c>
      <c r="X4">
        <f t="shared" si="0"/>
        <v>0</v>
      </c>
      <c r="Y4">
        <f t="shared" si="0"/>
        <v>0</v>
      </c>
      <c r="Z4">
        <f t="shared" si="0"/>
        <v>0</v>
      </c>
      <c r="AA4">
        <f t="shared" si="0"/>
        <v>0</v>
      </c>
      <c r="AB4"/>
      <c r="AC4"/>
      <c r="AD4"/>
      <c r="AE4"/>
      <c r="AF4"/>
      <c r="AG4"/>
      <c r="AH4"/>
      <c r="AI4"/>
      <c r="AJ4"/>
      <c r="AK4"/>
      <c r="AL4"/>
      <c r="AM4"/>
      <c r="AN4"/>
    </row>
    <row r="5" spans="1:40">
      <c r="A5" s="3914" t="s">
        <v>2579</v>
      </c>
      <c r="B5" s="3914" t="s">
        <v>2580</v>
      </c>
      <c r="C5" s="4330">
        <v>-1.0654999999999999</v>
      </c>
      <c r="D5" s="4330">
        <v>-3.153</v>
      </c>
      <c r="E5" s="4330">
        <v>-0.31430000000000002</v>
      </c>
      <c r="F5" s="4330">
        <v>-2.5442999999999998</v>
      </c>
      <c r="G5" s="4330">
        <v>-2.6413000000000002</v>
      </c>
      <c r="H5" s="4330">
        <v>-0.38350000000000001</v>
      </c>
      <c r="I5" s="4330">
        <v>-5.8999999999999997E-2</v>
      </c>
      <c r="J5" s="4330">
        <v>-7.0000000000000001E-3</v>
      </c>
      <c r="K5" s="4330">
        <v>-2E-3</v>
      </c>
      <c r="L5" s="4330">
        <v>2E-3</v>
      </c>
      <c r="M5" s="4330">
        <v>0</v>
      </c>
      <c r="N5" s="4330">
        <v>0</v>
      </c>
      <c r="O5"/>
      <c r="P5">
        <f t="shared" si="1"/>
        <v>-1.0654999999999998E-3</v>
      </c>
      <c r="Q5">
        <f t="shared" si="0"/>
        <v>-3.153E-3</v>
      </c>
      <c r="R5">
        <f t="shared" si="0"/>
        <v>-3.1430000000000005E-4</v>
      </c>
      <c r="S5">
        <f t="shared" si="0"/>
        <v>-2.5442999999999998E-3</v>
      </c>
      <c r="T5">
        <f t="shared" si="0"/>
        <v>-2.6413000000000001E-3</v>
      </c>
      <c r="U5">
        <f t="shared" si="0"/>
        <v>-3.835E-4</v>
      </c>
      <c r="V5">
        <f t="shared" si="0"/>
        <v>-5.8999999999999998E-5</v>
      </c>
      <c r="W5">
        <f t="shared" si="0"/>
        <v>-6.9999999999999999E-6</v>
      </c>
      <c r="X5">
        <f t="shared" si="0"/>
        <v>-1.9999999999999999E-6</v>
      </c>
      <c r="Y5">
        <f t="shared" si="0"/>
        <v>1.9999999999999999E-6</v>
      </c>
      <c r="Z5">
        <f t="shared" si="0"/>
        <v>0</v>
      </c>
      <c r="AA5">
        <f t="shared" si="0"/>
        <v>0</v>
      </c>
      <c r="AB5"/>
      <c r="AC5"/>
      <c r="AD5"/>
      <c r="AE5"/>
      <c r="AF5"/>
      <c r="AG5"/>
      <c r="AH5"/>
      <c r="AI5"/>
      <c r="AJ5"/>
      <c r="AK5"/>
      <c r="AL5"/>
      <c r="AM5"/>
      <c r="AN5"/>
    </row>
    <row r="6" spans="1:40">
      <c r="A6" s="3914" t="s">
        <v>2581</v>
      </c>
      <c r="B6" s="3914" t="s">
        <v>2582</v>
      </c>
      <c r="C6" s="4330">
        <v>-0.39100000000000001</v>
      </c>
      <c r="D6" s="4330">
        <v>-0.72099000000000002</v>
      </c>
      <c r="E6" s="4330">
        <v>-0.61909999999999998</v>
      </c>
      <c r="F6" s="4330">
        <v>5.4656000000000002</v>
      </c>
      <c r="G6" s="4330">
        <v>-2.2189999999999999</v>
      </c>
      <c r="H6" s="4330">
        <v>-2.5874999999999999</v>
      </c>
      <c r="I6" s="4330">
        <v>-0.67200000000000004</v>
      </c>
      <c r="J6" s="4330">
        <v>5.1999999999999998E-2</v>
      </c>
      <c r="K6" s="4330">
        <v>0.13400000000000001</v>
      </c>
      <c r="L6" s="4330">
        <v>0.128</v>
      </c>
      <c r="M6" s="4330">
        <v>0.127</v>
      </c>
      <c r="N6" s="4330">
        <v>0.112</v>
      </c>
      <c r="O6"/>
      <c r="P6">
        <f t="shared" si="1"/>
        <v>-3.9100000000000002E-4</v>
      </c>
      <c r="Q6">
        <f t="shared" si="0"/>
        <v>-7.2099000000000002E-4</v>
      </c>
      <c r="R6">
        <f t="shared" si="0"/>
        <v>-6.1910000000000003E-4</v>
      </c>
      <c r="S6">
        <f t="shared" si="0"/>
        <v>5.4656000000000001E-3</v>
      </c>
      <c r="T6">
        <f t="shared" si="0"/>
        <v>-2.2190000000000001E-3</v>
      </c>
      <c r="U6">
        <f t="shared" si="0"/>
        <v>-2.5875E-3</v>
      </c>
      <c r="V6">
        <f t="shared" si="0"/>
        <v>-6.7200000000000007E-4</v>
      </c>
      <c r="W6">
        <f t="shared" si="0"/>
        <v>5.1999999999999997E-5</v>
      </c>
      <c r="X6">
        <f t="shared" si="0"/>
        <v>1.34E-4</v>
      </c>
      <c r="Y6">
        <f t="shared" si="0"/>
        <v>1.2799999999999999E-4</v>
      </c>
      <c r="Z6">
        <f t="shared" si="0"/>
        <v>1.27E-4</v>
      </c>
      <c r="AA6">
        <f t="shared" si="0"/>
        <v>1.12E-4</v>
      </c>
      <c r="AB6"/>
      <c r="AC6"/>
      <c r="AD6"/>
      <c r="AE6"/>
      <c r="AF6"/>
      <c r="AG6"/>
      <c r="AH6"/>
      <c r="AI6"/>
      <c r="AJ6"/>
      <c r="AK6"/>
      <c r="AL6"/>
      <c r="AM6"/>
      <c r="AN6"/>
    </row>
    <row r="7" spans="1:40">
      <c r="A7" s="3914" t="s">
        <v>2583</v>
      </c>
      <c r="B7" s="3914" t="s">
        <v>2584</v>
      </c>
      <c r="C7" s="4330">
        <v>-0.54500000000000004</v>
      </c>
      <c r="D7" s="4330">
        <v>-0.64700000000000002</v>
      </c>
      <c r="E7" s="4330">
        <v>0.56599999999999995</v>
      </c>
      <c r="F7" s="4330">
        <v>-0.627</v>
      </c>
      <c r="G7" s="4330">
        <v>-0.254</v>
      </c>
      <c r="H7" s="4330">
        <v>-5.7000000000000002E-2</v>
      </c>
      <c r="I7" s="4330">
        <v>0</v>
      </c>
      <c r="J7" s="4330">
        <v>0</v>
      </c>
      <c r="K7" s="4330">
        <v>-0.125</v>
      </c>
      <c r="L7" s="4330">
        <v>0</v>
      </c>
      <c r="M7" s="4330">
        <v>0</v>
      </c>
      <c r="N7" s="4330">
        <v>0</v>
      </c>
      <c r="O7"/>
      <c r="P7">
        <f t="shared" si="1"/>
        <v>-5.4500000000000002E-4</v>
      </c>
      <c r="Q7">
        <f t="shared" si="0"/>
        <v>-6.4700000000000001E-4</v>
      </c>
      <c r="R7">
        <f t="shared" si="0"/>
        <v>5.6599999999999999E-4</v>
      </c>
      <c r="S7">
        <f t="shared" si="0"/>
        <v>-6.2699999999999995E-4</v>
      </c>
      <c r="T7">
        <f t="shared" si="0"/>
        <v>-2.5399999999999999E-4</v>
      </c>
      <c r="U7">
        <f t="shared" si="0"/>
        <v>-5.7000000000000003E-5</v>
      </c>
      <c r="V7">
        <f t="shared" si="0"/>
        <v>0</v>
      </c>
      <c r="W7">
        <f t="shared" si="0"/>
        <v>0</v>
      </c>
      <c r="X7">
        <f t="shared" si="0"/>
        <v>-1.25E-4</v>
      </c>
      <c r="Y7">
        <f t="shared" si="0"/>
        <v>0</v>
      </c>
      <c r="Z7">
        <f t="shared" si="0"/>
        <v>0</v>
      </c>
      <c r="AA7">
        <f t="shared" si="0"/>
        <v>0</v>
      </c>
      <c r="AB7"/>
      <c r="AC7"/>
      <c r="AD7"/>
      <c r="AE7"/>
      <c r="AF7"/>
      <c r="AG7"/>
      <c r="AH7"/>
      <c r="AI7"/>
      <c r="AJ7"/>
      <c r="AK7"/>
      <c r="AL7"/>
      <c r="AM7"/>
      <c r="AN7"/>
    </row>
    <row r="8" spans="1:40" ht="26.4">
      <c r="A8" s="3914" t="s">
        <v>2585</v>
      </c>
      <c r="B8" s="3914" t="s">
        <v>2586</v>
      </c>
      <c r="C8" s="4330">
        <v>-8.6999999999999994E-2</v>
      </c>
      <c r="D8" s="4330">
        <v>-0.53</v>
      </c>
      <c r="E8" s="4330">
        <v>0.183</v>
      </c>
      <c r="F8" s="4330">
        <v>-8.5999999999999993E-2</v>
      </c>
      <c r="G8" s="4330">
        <v>-3.4500000000000003E-2</v>
      </c>
      <c r="H8" s="4330">
        <v>-8.8999999999999996E-2</v>
      </c>
      <c r="I8" s="4330">
        <v>-0.17899999999999999</v>
      </c>
      <c r="J8" s="4330">
        <v>0</v>
      </c>
      <c r="K8" s="4330">
        <v>0</v>
      </c>
      <c r="L8" s="4330">
        <v>0</v>
      </c>
      <c r="M8" s="4330">
        <v>0</v>
      </c>
      <c r="N8" s="4330">
        <v>0</v>
      </c>
      <c r="O8"/>
      <c r="P8">
        <f t="shared" si="1"/>
        <v>-8.7000000000000001E-5</v>
      </c>
      <c r="Q8">
        <f t="shared" si="0"/>
        <v>-5.2999999999999998E-4</v>
      </c>
      <c r="R8">
        <f t="shared" si="0"/>
        <v>1.83E-4</v>
      </c>
      <c r="S8">
        <f t="shared" si="0"/>
        <v>-8.599999999999999E-5</v>
      </c>
      <c r="T8">
        <f t="shared" si="0"/>
        <v>-3.4500000000000005E-5</v>
      </c>
      <c r="U8">
        <f t="shared" si="0"/>
        <v>-8.8999999999999995E-5</v>
      </c>
      <c r="V8">
        <f t="shared" si="0"/>
        <v>-1.7899999999999999E-4</v>
      </c>
      <c r="W8">
        <f t="shared" si="0"/>
        <v>0</v>
      </c>
      <c r="X8">
        <f t="shared" si="0"/>
        <v>0</v>
      </c>
      <c r="Y8">
        <f t="shared" si="0"/>
        <v>0</v>
      </c>
      <c r="Z8">
        <f t="shared" si="0"/>
        <v>0</v>
      </c>
      <c r="AA8">
        <f t="shared" si="0"/>
        <v>0</v>
      </c>
      <c r="AB8"/>
      <c r="AC8"/>
      <c r="AD8"/>
      <c r="AE8"/>
      <c r="AF8"/>
      <c r="AG8"/>
      <c r="AH8"/>
      <c r="AI8"/>
      <c r="AJ8"/>
      <c r="AK8"/>
      <c r="AL8"/>
      <c r="AM8"/>
      <c r="AN8"/>
    </row>
    <row r="9" spans="1:40">
      <c r="A9"/>
      <c r="B9"/>
      <c r="C9"/>
      <c r="D9"/>
      <c r="E9"/>
      <c r="F9"/>
      <c r="G9"/>
      <c r="H9"/>
      <c r="I9"/>
      <c r="J9"/>
      <c r="K9"/>
      <c r="L9"/>
      <c r="M9"/>
      <c r="N9"/>
      <c r="O9"/>
      <c r="P9"/>
      <c r="Q9"/>
      <c r="R9"/>
      <c r="S9"/>
      <c r="T9"/>
      <c r="U9"/>
      <c r="V9"/>
      <c r="W9"/>
      <c r="X9"/>
      <c r="Y9"/>
      <c r="Z9"/>
      <c r="AA9"/>
      <c r="AB9"/>
      <c r="AC9"/>
      <c r="AD9"/>
      <c r="AE9"/>
      <c r="AF9"/>
      <c r="AG9"/>
      <c r="AH9"/>
      <c r="AI9"/>
      <c r="AJ9"/>
      <c r="AK9"/>
      <c r="AL9"/>
      <c r="AM9"/>
      <c r="AN9"/>
    </row>
    <row r="10" spans="1:40" ht="14.4" customHeight="1">
      <c r="A10" s="4089" t="s">
        <v>2744</v>
      </c>
      <c r="B10" s="4089"/>
      <c r="C10" s="4089"/>
      <c r="D10" s="4089"/>
      <c r="E10" s="4089"/>
      <c r="F10" s="4089"/>
      <c r="G10" s="4089"/>
      <c r="H10" s="4089"/>
      <c r="I10" s="4089"/>
      <c r="J10" s="4089"/>
      <c r="K10" s="4089"/>
      <c r="L10" s="4089"/>
      <c r="M10" s="4089"/>
      <c r="N10" s="4089"/>
      <c r="O10"/>
      <c r="P10"/>
      <c r="Q10"/>
      <c r="R10"/>
      <c r="S10"/>
      <c r="T10"/>
      <c r="U10"/>
      <c r="V10"/>
      <c r="W10"/>
      <c r="X10"/>
      <c r="Y10"/>
      <c r="Z10"/>
      <c r="AA10"/>
      <c r="AB10"/>
      <c r="AC10"/>
      <c r="AD10"/>
      <c r="AE10"/>
      <c r="AF10"/>
      <c r="AG10"/>
      <c r="AH10"/>
      <c r="AI10"/>
      <c r="AJ10"/>
      <c r="AK10"/>
      <c r="AL10"/>
      <c r="AM10"/>
      <c r="AN10"/>
    </row>
    <row r="11" spans="1:40">
      <c r="A11" s="4051" t="s">
        <v>114</v>
      </c>
      <c r="B11" s="4051" t="s">
        <v>2574</v>
      </c>
      <c r="C11" s="4051">
        <v>2014</v>
      </c>
      <c r="D11" s="4051">
        <v>2015</v>
      </c>
      <c r="E11" s="4051">
        <v>2016</v>
      </c>
      <c r="F11" s="4051">
        <v>2017</v>
      </c>
      <c r="G11" s="4051">
        <v>2018</v>
      </c>
      <c r="H11" s="4051">
        <v>2019</v>
      </c>
      <c r="I11" s="4051">
        <v>2020</v>
      </c>
      <c r="J11" s="4051">
        <v>2021</v>
      </c>
      <c r="K11" s="4051">
        <v>2022</v>
      </c>
      <c r="L11" s="4051">
        <v>2023</v>
      </c>
      <c r="M11" s="4051">
        <v>2024</v>
      </c>
      <c r="N11" s="4051">
        <v>2025</v>
      </c>
      <c r="O11"/>
      <c r="P11"/>
      <c r="Q11"/>
      <c r="R11"/>
      <c r="S11"/>
      <c r="T11"/>
      <c r="U11"/>
      <c r="V11"/>
      <c r="W11"/>
      <c r="X11"/>
      <c r="Y11"/>
      <c r="Z11"/>
      <c r="AA11"/>
      <c r="AB11"/>
      <c r="AC11"/>
      <c r="AD11"/>
      <c r="AE11"/>
      <c r="AF11"/>
      <c r="AG11"/>
      <c r="AH11"/>
      <c r="AI11"/>
      <c r="AJ11"/>
      <c r="AK11"/>
      <c r="AL11"/>
      <c r="AM11"/>
      <c r="AN11"/>
    </row>
    <row r="12" spans="1:40">
      <c r="A12" s="3914" t="s">
        <v>2663</v>
      </c>
      <c r="B12" s="3914" t="s">
        <v>2664</v>
      </c>
      <c r="C12" s="3914">
        <v>6.5000000000000002E-2</v>
      </c>
      <c r="D12" s="3914">
        <v>-6.5000000000000002E-2</v>
      </c>
      <c r="E12" s="3914">
        <v>0.49199999999999999</v>
      </c>
      <c r="F12" s="3914">
        <v>0.17899999999999999</v>
      </c>
      <c r="G12" s="3914">
        <v>4.2000000000000003E-2</v>
      </c>
      <c r="H12" s="3914">
        <v>0</v>
      </c>
      <c r="I12" s="3914">
        <v>0</v>
      </c>
      <c r="J12" s="3914">
        <v>0</v>
      </c>
      <c r="K12" s="3914">
        <v>0</v>
      </c>
      <c r="L12" s="3914">
        <v>0</v>
      </c>
      <c r="M12" s="3914">
        <v>0</v>
      </c>
      <c r="N12" s="3914">
        <v>0</v>
      </c>
      <c r="O12"/>
      <c r="P12"/>
      <c r="Q12"/>
      <c r="R12"/>
      <c r="S12"/>
      <c r="T12"/>
      <c r="U12"/>
      <c r="V12"/>
      <c r="W12"/>
      <c r="X12"/>
      <c r="Y12"/>
      <c r="Z12"/>
      <c r="AA12"/>
      <c r="AB12"/>
      <c r="AC12"/>
      <c r="AD12"/>
      <c r="AE12"/>
      <c r="AF12"/>
      <c r="AG12"/>
      <c r="AH12"/>
      <c r="AI12"/>
      <c r="AJ12"/>
      <c r="AK12"/>
      <c r="AL12"/>
      <c r="AM12"/>
      <c r="AN12"/>
    </row>
    <row r="13" spans="1:40">
      <c r="A13" s="3914" t="s">
        <v>2665</v>
      </c>
      <c r="B13" s="3914" t="s">
        <v>2666</v>
      </c>
      <c r="C13" s="3914">
        <v>1E-3</v>
      </c>
      <c r="D13" s="3914">
        <v>0.22700000000000001</v>
      </c>
      <c r="E13" s="3914">
        <v>1.5497000000000001</v>
      </c>
      <c r="F13" s="3914">
        <v>0.49299999999999999</v>
      </c>
      <c r="G13" s="3914">
        <v>0.14749999999999999</v>
      </c>
      <c r="H13" s="3914">
        <v>6.8000000000000005E-2</v>
      </c>
      <c r="I13" s="3914">
        <v>0</v>
      </c>
      <c r="J13" s="3914">
        <v>0</v>
      </c>
      <c r="K13" s="3914">
        <v>0</v>
      </c>
      <c r="L13" s="3914">
        <v>0</v>
      </c>
      <c r="M13" s="3914">
        <v>0</v>
      </c>
      <c r="N13" s="3914">
        <v>0</v>
      </c>
      <c r="O13"/>
      <c r="P13"/>
      <c r="Q13"/>
      <c r="R13"/>
      <c r="S13"/>
      <c r="T13"/>
      <c r="U13"/>
      <c r="V13"/>
      <c r="W13"/>
      <c r="X13"/>
      <c r="Y13"/>
      <c r="Z13"/>
      <c r="AA13"/>
      <c r="AB13"/>
      <c r="AC13"/>
      <c r="AD13"/>
      <c r="AE13"/>
      <c r="AF13"/>
      <c r="AG13"/>
      <c r="AH13"/>
      <c r="AI13"/>
      <c r="AJ13"/>
      <c r="AK13"/>
      <c r="AL13"/>
      <c r="AM13"/>
      <c r="AN13"/>
    </row>
    <row r="14" spans="1:40">
      <c r="A14" s="3914" t="s">
        <v>2667</v>
      </c>
      <c r="B14" s="3914" t="s">
        <v>2668</v>
      </c>
      <c r="C14" s="3914">
        <v>0</v>
      </c>
      <c r="D14" s="3914">
        <v>0</v>
      </c>
      <c r="E14" s="3914">
        <v>0</v>
      </c>
      <c r="F14" s="3914">
        <v>0</v>
      </c>
      <c r="G14" s="3914">
        <v>0</v>
      </c>
      <c r="H14" s="3914">
        <v>0</v>
      </c>
      <c r="I14" s="3914">
        <v>0</v>
      </c>
      <c r="J14" s="3914">
        <v>0</v>
      </c>
      <c r="K14" s="3914">
        <v>0</v>
      </c>
      <c r="L14" s="3914">
        <v>0</v>
      </c>
      <c r="M14" s="3914">
        <v>0</v>
      </c>
      <c r="N14" s="3914">
        <v>0</v>
      </c>
      <c r="O14"/>
      <c r="P14"/>
      <c r="Q14"/>
      <c r="R14"/>
      <c r="S14"/>
      <c r="T14"/>
      <c r="U14"/>
      <c r="V14"/>
      <c r="W14"/>
      <c r="X14"/>
      <c r="Y14"/>
      <c r="Z14"/>
      <c r="AA14"/>
      <c r="AB14"/>
      <c r="AC14"/>
      <c r="AD14"/>
      <c r="AE14"/>
      <c r="AF14"/>
      <c r="AG14"/>
      <c r="AH14"/>
      <c r="AI14"/>
      <c r="AJ14"/>
      <c r="AK14"/>
      <c r="AL14"/>
      <c r="AM14"/>
      <c r="AN14"/>
    </row>
    <row r="15" spans="1:40">
      <c r="A15" s="3914" t="s">
        <v>2667</v>
      </c>
      <c r="B15" s="3914" t="s">
        <v>2669</v>
      </c>
      <c r="C15" s="3914">
        <v>-1.7000000000000001E-2</v>
      </c>
      <c r="D15" s="3914">
        <v>-0.157</v>
      </c>
      <c r="E15" s="3914">
        <v>6.6000000000000003E-2</v>
      </c>
      <c r="F15" s="3914">
        <v>-0.124</v>
      </c>
      <c r="G15" s="3914">
        <v>2.0500000000000001E-2</v>
      </c>
      <c r="H15" s="3914">
        <v>-0.222</v>
      </c>
      <c r="I15" s="3914">
        <v>0.152</v>
      </c>
      <c r="J15" s="3914">
        <v>7.0000000000000007E-2</v>
      </c>
      <c r="K15" s="3914">
        <v>0</v>
      </c>
      <c r="L15" s="3914">
        <v>0</v>
      </c>
      <c r="M15" s="3914">
        <v>0</v>
      </c>
      <c r="N15" s="3914">
        <v>0</v>
      </c>
      <c r="O15"/>
      <c r="P15"/>
      <c r="Q15"/>
      <c r="R15"/>
      <c r="S15"/>
      <c r="T15"/>
      <c r="U15"/>
      <c r="V15"/>
      <c r="W15"/>
      <c r="X15"/>
      <c r="Y15"/>
      <c r="Z15"/>
      <c r="AA15"/>
      <c r="AB15"/>
      <c r="AC15"/>
      <c r="AD15"/>
      <c r="AE15"/>
      <c r="AF15"/>
      <c r="AG15"/>
      <c r="AH15"/>
      <c r="AI15"/>
      <c r="AJ15"/>
      <c r="AK15"/>
      <c r="AL15"/>
      <c r="AM15"/>
      <c r="AN15"/>
    </row>
    <row r="16" spans="1:40">
      <c r="A16" s="3914" t="s">
        <v>2667</v>
      </c>
      <c r="B16" s="3914" t="s">
        <v>2670</v>
      </c>
      <c r="C16" s="3914">
        <v>0</v>
      </c>
      <c r="D16" s="3914">
        <v>0</v>
      </c>
      <c r="E16" s="3914">
        <v>0</v>
      </c>
      <c r="F16" s="3914">
        <v>0</v>
      </c>
      <c r="G16" s="3914">
        <v>0</v>
      </c>
      <c r="H16" s="3914">
        <v>0</v>
      </c>
      <c r="I16" s="3914">
        <v>0</v>
      </c>
      <c r="J16" s="3914">
        <v>0</v>
      </c>
      <c r="K16" s="3914">
        <v>0</v>
      </c>
      <c r="L16" s="3914">
        <v>0</v>
      </c>
      <c r="M16" s="3914">
        <v>0</v>
      </c>
      <c r="N16" s="3914">
        <v>0</v>
      </c>
      <c r="O16"/>
      <c r="P16"/>
      <c r="Q16"/>
      <c r="R16"/>
      <c r="S16"/>
      <c r="T16"/>
      <c r="U16"/>
      <c r="V16"/>
      <c r="W16"/>
      <c r="X16"/>
      <c r="Y16"/>
      <c r="Z16"/>
      <c r="AA16"/>
      <c r="AB16"/>
      <c r="AC16"/>
      <c r="AD16"/>
      <c r="AE16"/>
      <c r="AF16"/>
      <c r="AG16"/>
      <c r="AH16"/>
      <c r="AI16"/>
      <c r="AJ16"/>
      <c r="AK16"/>
      <c r="AL16"/>
      <c r="AM16"/>
      <c r="AN16"/>
    </row>
    <row r="17" spans="1:40">
      <c r="A17" s="3914" t="s">
        <v>2671</v>
      </c>
      <c r="B17" s="3914" t="s">
        <v>2672</v>
      </c>
      <c r="C17" s="3914">
        <v>0</v>
      </c>
      <c r="D17" s="3914">
        <v>0</v>
      </c>
      <c r="E17" s="3914">
        <v>0</v>
      </c>
      <c r="F17" s="3914">
        <v>0</v>
      </c>
      <c r="G17" s="3914">
        <v>0</v>
      </c>
      <c r="H17" s="3914">
        <v>0</v>
      </c>
      <c r="I17" s="3914">
        <v>0</v>
      </c>
      <c r="J17" s="3914">
        <v>0</v>
      </c>
      <c r="K17" s="3914">
        <v>0</v>
      </c>
      <c r="L17" s="3914">
        <v>0</v>
      </c>
      <c r="M17" s="3914">
        <v>0</v>
      </c>
      <c r="N17" s="3914">
        <v>0</v>
      </c>
      <c r="O17"/>
      <c r="P17"/>
      <c r="Q17"/>
      <c r="R17"/>
      <c r="S17"/>
      <c r="T17"/>
      <c r="U17"/>
      <c r="V17"/>
      <c r="W17"/>
      <c r="X17"/>
      <c r="Y17"/>
      <c r="Z17"/>
      <c r="AA17"/>
      <c r="AB17"/>
      <c r="AC17"/>
      <c r="AD17"/>
      <c r="AE17"/>
      <c r="AF17"/>
      <c r="AG17"/>
      <c r="AH17"/>
      <c r="AI17"/>
      <c r="AJ17"/>
      <c r="AK17"/>
      <c r="AL17"/>
      <c r="AM17"/>
      <c r="AN17"/>
    </row>
    <row r="18" spans="1:40">
      <c r="A18" s="3914" t="s">
        <v>2673</v>
      </c>
      <c r="B18" s="3914" t="s">
        <v>2674</v>
      </c>
      <c r="C18" s="3914">
        <v>0</v>
      </c>
      <c r="D18" s="3914">
        <v>0</v>
      </c>
      <c r="E18" s="3914">
        <v>0</v>
      </c>
      <c r="F18" s="3914">
        <v>0</v>
      </c>
      <c r="G18" s="3914">
        <v>0</v>
      </c>
      <c r="H18" s="3914">
        <v>0</v>
      </c>
      <c r="I18" s="3914">
        <v>0</v>
      </c>
      <c r="J18" s="3914">
        <v>0</v>
      </c>
      <c r="K18" s="3914">
        <v>0</v>
      </c>
      <c r="L18" s="3914">
        <v>0</v>
      </c>
      <c r="M18" s="3914">
        <v>0</v>
      </c>
      <c r="N18" s="3914">
        <v>0</v>
      </c>
      <c r="O18"/>
      <c r="P18"/>
      <c r="Q18"/>
      <c r="R18"/>
      <c r="S18"/>
      <c r="T18"/>
      <c r="U18"/>
      <c r="V18"/>
      <c r="W18"/>
      <c r="X18"/>
      <c r="Y18"/>
      <c r="Z18"/>
      <c r="AA18"/>
      <c r="AB18"/>
      <c r="AC18"/>
      <c r="AD18"/>
      <c r="AE18"/>
      <c r="AF18"/>
      <c r="AG18"/>
      <c r="AH18"/>
      <c r="AI18"/>
      <c r="AJ18"/>
      <c r="AK18"/>
      <c r="AL18"/>
      <c r="AM18"/>
      <c r="AN18"/>
    </row>
    <row r="19" spans="1:40">
      <c r="A19" s="3914" t="s">
        <v>2675</v>
      </c>
      <c r="B19" s="3914" t="s">
        <v>2676</v>
      </c>
      <c r="C19" s="3914">
        <v>0</v>
      </c>
      <c r="D19" s="3914">
        <v>0</v>
      </c>
      <c r="E19" s="3914">
        <v>0</v>
      </c>
      <c r="F19" s="3914">
        <v>0</v>
      </c>
      <c r="G19" s="3914">
        <v>0</v>
      </c>
      <c r="H19" s="3914">
        <v>0</v>
      </c>
      <c r="I19" s="3914">
        <v>0</v>
      </c>
      <c r="J19" s="3914">
        <v>0</v>
      </c>
      <c r="K19" s="3914">
        <v>0</v>
      </c>
      <c r="L19" s="3914">
        <v>0</v>
      </c>
      <c r="M19" s="3914">
        <v>0</v>
      </c>
      <c r="N19" s="3914">
        <v>0</v>
      </c>
      <c r="O19"/>
      <c r="P19"/>
      <c r="Q19"/>
      <c r="R19"/>
      <c r="S19"/>
      <c r="T19"/>
      <c r="U19"/>
      <c r="V19"/>
      <c r="W19"/>
      <c r="X19"/>
      <c r="Y19"/>
      <c r="Z19"/>
      <c r="AA19"/>
      <c r="AB19"/>
      <c r="AC19"/>
      <c r="AD19"/>
      <c r="AE19"/>
      <c r="AF19"/>
      <c r="AG19"/>
      <c r="AH19"/>
      <c r="AI19"/>
      <c r="AJ19"/>
      <c r="AK19"/>
      <c r="AL19"/>
      <c r="AM19"/>
      <c r="AN19"/>
    </row>
    <row r="20" spans="1:40">
      <c r="A20" s="3914" t="s">
        <v>2677</v>
      </c>
      <c r="B20" s="3914" t="s">
        <v>2678</v>
      </c>
      <c r="C20" s="3914">
        <v>-0.17799999999999999</v>
      </c>
      <c r="D20" s="3914">
        <v>0</v>
      </c>
      <c r="E20" s="3914">
        <v>0</v>
      </c>
      <c r="F20" s="3914">
        <v>-9.2999999999999999E-2</v>
      </c>
      <c r="G20" s="3914">
        <v>0.01</v>
      </c>
      <c r="H20" s="3914">
        <v>1.2E-2</v>
      </c>
      <c r="I20" s="3914">
        <v>0</v>
      </c>
      <c r="J20" s="3914">
        <v>0</v>
      </c>
      <c r="K20" s="3914">
        <v>0</v>
      </c>
      <c r="L20" s="3914">
        <v>0</v>
      </c>
      <c r="M20" s="3914">
        <v>0</v>
      </c>
      <c r="N20" s="3914">
        <v>0</v>
      </c>
      <c r="O20"/>
      <c r="P20"/>
      <c r="Q20"/>
      <c r="R20"/>
      <c r="S20"/>
      <c r="T20"/>
      <c r="U20"/>
      <c r="V20"/>
      <c r="W20"/>
      <c r="X20"/>
      <c r="Y20"/>
      <c r="Z20"/>
      <c r="AA20"/>
      <c r="AB20"/>
      <c r="AC20"/>
      <c r="AD20"/>
      <c r="AE20"/>
      <c r="AF20"/>
      <c r="AG20"/>
      <c r="AH20"/>
      <c r="AI20"/>
      <c r="AJ20"/>
      <c r="AK20"/>
      <c r="AL20"/>
      <c r="AM20"/>
      <c r="AN20"/>
    </row>
    <row r="21" spans="1:40">
      <c r="A21" s="3914" t="s">
        <v>2679</v>
      </c>
      <c r="B21" s="3914" t="s">
        <v>2680</v>
      </c>
      <c r="C21" s="3914">
        <v>0.20399999999999999</v>
      </c>
      <c r="D21" s="3914">
        <v>-1.147</v>
      </c>
      <c r="E21" s="3914">
        <v>-1.3169999999999999</v>
      </c>
      <c r="F21" s="3914">
        <v>-0.1875</v>
      </c>
      <c r="G21" s="3914">
        <v>-0.84799999999999998</v>
      </c>
      <c r="H21" s="3914">
        <v>-1.5714999999999999</v>
      </c>
      <c r="I21" s="3914">
        <v>0.123</v>
      </c>
      <c r="J21" s="3914">
        <v>0.125</v>
      </c>
      <c r="K21" s="3914">
        <v>0.13400000000000001</v>
      </c>
      <c r="L21" s="3914">
        <v>0.128</v>
      </c>
      <c r="M21" s="3914">
        <v>0.127</v>
      </c>
      <c r="N21" s="3914">
        <v>0.112</v>
      </c>
      <c r="O21"/>
      <c r="P21"/>
      <c r="Q21"/>
      <c r="R21"/>
      <c r="S21"/>
      <c r="T21"/>
      <c r="U21"/>
      <c r="V21"/>
      <c r="W21"/>
      <c r="X21"/>
      <c r="Y21"/>
      <c r="Z21"/>
      <c r="AA21"/>
      <c r="AB21"/>
      <c r="AC21"/>
      <c r="AD21"/>
      <c r="AE21"/>
      <c r="AF21"/>
      <c r="AG21"/>
      <c r="AH21"/>
      <c r="AI21"/>
      <c r="AJ21"/>
      <c r="AK21"/>
      <c r="AL21"/>
      <c r="AM21"/>
      <c r="AN21"/>
    </row>
    <row r="22" spans="1:40">
      <c r="A22" s="3914" t="s">
        <v>2679</v>
      </c>
      <c r="B22" s="3914" t="s">
        <v>2681</v>
      </c>
      <c r="C22" s="3914">
        <v>-4.5999999999999999E-2</v>
      </c>
      <c r="D22" s="3914">
        <v>0.56701000000000001</v>
      </c>
      <c r="E22" s="3914">
        <v>0.19700000000000001</v>
      </c>
      <c r="F22" s="3914">
        <v>5.7610000000000001</v>
      </c>
      <c r="G22" s="3914">
        <v>-0.97599999999999998</v>
      </c>
      <c r="H22" s="3914">
        <v>-0.29199999999999998</v>
      </c>
      <c r="I22" s="3914">
        <v>-0.35499999999999998</v>
      </c>
      <c r="J22" s="3914">
        <v>-8.4000000000000005E-2</v>
      </c>
      <c r="K22" s="3914">
        <v>0</v>
      </c>
      <c r="L22" s="3914">
        <v>0</v>
      </c>
      <c r="M22" s="3914">
        <v>0</v>
      </c>
      <c r="N22" s="3914">
        <v>0</v>
      </c>
      <c r="O22"/>
      <c r="P22"/>
      <c r="Q22"/>
      <c r="R22"/>
      <c r="S22"/>
      <c r="T22"/>
      <c r="U22"/>
      <c r="V22"/>
      <c r="W22"/>
      <c r="X22"/>
      <c r="Y22"/>
      <c r="Z22"/>
      <c r="AA22"/>
      <c r="AB22"/>
      <c r="AC22"/>
      <c r="AD22"/>
      <c r="AE22"/>
      <c r="AF22"/>
      <c r="AG22"/>
      <c r="AH22"/>
      <c r="AI22"/>
      <c r="AJ22"/>
      <c r="AK22"/>
      <c r="AL22"/>
      <c r="AM22"/>
      <c r="AN22"/>
    </row>
    <row r="23" spans="1:40">
      <c r="A23" s="3914" t="s">
        <v>2679</v>
      </c>
      <c r="B23" s="3914" t="s">
        <v>2682</v>
      </c>
      <c r="C23" s="3914">
        <v>0</v>
      </c>
      <c r="D23" s="3914">
        <v>0</v>
      </c>
      <c r="E23" s="3914">
        <v>0</v>
      </c>
      <c r="F23" s="3914">
        <v>0</v>
      </c>
      <c r="G23" s="3914">
        <v>0</v>
      </c>
      <c r="H23" s="3914">
        <v>0</v>
      </c>
      <c r="I23" s="3914">
        <v>0</v>
      </c>
      <c r="J23" s="3914">
        <v>0</v>
      </c>
      <c r="K23" s="3914">
        <v>0</v>
      </c>
      <c r="L23" s="3914">
        <v>0</v>
      </c>
      <c r="M23" s="3914">
        <v>0</v>
      </c>
      <c r="N23" s="3914">
        <v>0</v>
      </c>
      <c r="O23"/>
      <c r="P23"/>
      <c r="Q23"/>
      <c r="R23"/>
      <c r="S23"/>
      <c r="T23"/>
      <c r="U23"/>
      <c r="V23"/>
      <c r="W23"/>
      <c r="X23"/>
      <c r="Y23"/>
      <c r="Z23"/>
      <c r="AA23"/>
      <c r="AB23"/>
      <c r="AC23"/>
      <c r="AD23"/>
      <c r="AE23"/>
      <c r="AF23"/>
      <c r="AG23"/>
      <c r="AH23"/>
      <c r="AI23"/>
      <c r="AJ23"/>
      <c r="AK23"/>
      <c r="AL23"/>
      <c r="AM23"/>
      <c r="AN23"/>
    </row>
    <row r="24" spans="1:40">
      <c r="A24" s="3914" t="s">
        <v>2679</v>
      </c>
      <c r="B24" s="3914" t="s">
        <v>2683</v>
      </c>
      <c r="C24" s="3914">
        <v>0</v>
      </c>
      <c r="D24" s="3914">
        <v>0</v>
      </c>
      <c r="E24" s="3914">
        <v>0</v>
      </c>
      <c r="F24" s="3914">
        <v>0</v>
      </c>
      <c r="G24" s="3914">
        <v>0</v>
      </c>
      <c r="H24" s="3914">
        <v>0</v>
      </c>
      <c r="I24" s="3914">
        <v>0</v>
      </c>
      <c r="J24" s="3914">
        <v>0</v>
      </c>
      <c r="K24" s="3914">
        <v>0</v>
      </c>
      <c r="L24" s="3914">
        <v>0</v>
      </c>
      <c r="M24" s="3914">
        <v>0</v>
      </c>
      <c r="N24" s="3914">
        <v>0</v>
      </c>
      <c r="O24"/>
      <c r="P24"/>
      <c r="Q24"/>
      <c r="R24"/>
      <c r="S24"/>
      <c r="T24"/>
      <c r="U24"/>
      <c r="V24"/>
      <c r="W24"/>
      <c r="X24"/>
      <c r="Y24"/>
      <c r="Z24"/>
      <c r="AA24"/>
      <c r="AB24"/>
      <c r="AC24"/>
      <c r="AD24"/>
      <c r="AE24"/>
      <c r="AF24"/>
      <c r="AG24"/>
      <c r="AH24"/>
      <c r="AI24"/>
      <c r="AJ24"/>
      <c r="AK24"/>
      <c r="AL24"/>
      <c r="AM24"/>
      <c r="AN24"/>
    </row>
    <row r="25" spans="1:40">
      <c r="A25" s="3914" t="s">
        <v>2684</v>
      </c>
      <c r="B25" s="3914" t="s">
        <v>2685</v>
      </c>
      <c r="C25" s="3914">
        <v>-0.17399999999999999</v>
      </c>
      <c r="D25" s="3914">
        <v>-1.7999999999999999E-2</v>
      </c>
      <c r="E25" s="3914">
        <v>-1.6068</v>
      </c>
      <c r="F25" s="3914">
        <v>-0.64990000000000003</v>
      </c>
      <c r="G25" s="3914">
        <v>-0.71199999999999997</v>
      </c>
      <c r="H25" s="3914">
        <v>-0.48399999999999999</v>
      </c>
      <c r="I25" s="3914">
        <v>-0.47399999999999998</v>
      </c>
      <c r="J25" s="3914">
        <v>-5.8999999999999997E-2</v>
      </c>
      <c r="K25" s="3914">
        <v>0</v>
      </c>
      <c r="L25" s="3914">
        <v>0</v>
      </c>
      <c r="M25" s="3914">
        <v>0</v>
      </c>
      <c r="N25" s="3914">
        <v>0</v>
      </c>
      <c r="O25"/>
      <c r="P25"/>
      <c r="Q25"/>
      <c r="R25"/>
      <c r="S25"/>
      <c r="T25"/>
      <c r="U25"/>
      <c r="V25"/>
      <c r="W25"/>
      <c r="X25"/>
      <c r="Y25"/>
      <c r="Z25"/>
      <c r="AA25"/>
      <c r="AB25"/>
      <c r="AC25"/>
      <c r="AD25"/>
      <c r="AE25"/>
      <c r="AF25"/>
      <c r="AG25"/>
      <c r="AH25"/>
      <c r="AI25"/>
      <c r="AJ25"/>
      <c r="AK25"/>
      <c r="AL25"/>
      <c r="AM25"/>
      <c r="AN25"/>
    </row>
    <row r="26" spans="1:40">
      <c r="A26" s="3914" t="s">
        <v>2686</v>
      </c>
      <c r="B26" s="3914" t="s">
        <v>2687</v>
      </c>
      <c r="C26" s="3914">
        <v>0</v>
      </c>
      <c r="D26" s="3914">
        <v>0</v>
      </c>
      <c r="E26" s="3914">
        <v>0</v>
      </c>
      <c r="F26" s="3914">
        <v>0</v>
      </c>
      <c r="G26" s="3914">
        <v>0</v>
      </c>
      <c r="H26" s="3914">
        <v>0</v>
      </c>
      <c r="I26" s="3914">
        <v>0</v>
      </c>
      <c r="J26" s="3914">
        <v>0</v>
      </c>
      <c r="K26" s="3914">
        <v>0</v>
      </c>
      <c r="L26" s="3914">
        <v>0</v>
      </c>
      <c r="M26" s="3914">
        <v>0</v>
      </c>
      <c r="N26" s="3914">
        <v>0</v>
      </c>
      <c r="O26"/>
      <c r="P26"/>
      <c r="Q26"/>
      <c r="R26"/>
      <c r="S26"/>
      <c r="T26"/>
      <c r="U26"/>
      <c r="V26"/>
      <c r="W26"/>
      <c r="X26"/>
      <c r="Y26"/>
      <c r="Z26"/>
      <c r="AA26"/>
      <c r="AB26"/>
      <c r="AC26"/>
      <c r="AD26"/>
      <c r="AE26"/>
      <c r="AF26"/>
      <c r="AG26"/>
      <c r="AH26"/>
      <c r="AI26"/>
      <c r="AJ26"/>
      <c r="AK26"/>
      <c r="AL26"/>
      <c r="AM26"/>
      <c r="AN26"/>
    </row>
    <row r="27" spans="1:40">
      <c r="A27" s="3914" t="s">
        <v>2036</v>
      </c>
      <c r="B27" s="3914" t="s">
        <v>2688</v>
      </c>
      <c r="C27" s="3914">
        <v>-0.246</v>
      </c>
      <c r="D27" s="3914">
        <v>-0.128</v>
      </c>
      <c r="E27" s="3914">
        <v>0</v>
      </c>
      <c r="F27" s="3914">
        <v>8.6999999999999994E-2</v>
      </c>
      <c r="G27" s="3914">
        <v>9.7000000000000003E-2</v>
      </c>
      <c r="H27" s="3914">
        <v>-9.8000000000000004E-2</v>
      </c>
      <c r="I27" s="3914">
        <v>-0.11799999999999999</v>
      </c>
      <c r="J27" s="3914">
        <v>0</v>
      </c>
      <c r="K27" s="3914">
        <v>0</v>
      </c>
      <c r="L27" s="3914">
        <v>0</v>
      </c>
      <c r="M27" s="3914">
        <v>0</v>
      </c>
      <c r="N27" s="3914">
        <v>0</v>
      </c>
      <c r="O27"/>
      <c r="P27"/>
      <c r="Q27"/>
      <c r="R27"/>
      <c r="S27"/>
      <c r="T27"/>
      <c r="U27"/>
      <c r="V27"/>
      <c r="W27"/>
      <c r="X27"/>
      <c r="Y27"/>
      <c r="Z27"/>
      <c r="AA27"/>
      <c r="AB27"/>
      <c r="AC27"/>
      <c r="AD27"/>
      <c r="AE27"/>
      <c r="AF27"/>
      <c r="AG27"/>
      <c r="AH27"/>
      <c r="AI27"/>
      <c r="AJ27"/>
      <c r="AK27"/>
      <c r="AL27"/>
      <c r="AM27"/>
      <c r="AN27"/>
    </row>
    <row r="28" spans="1:40">
      <c r="A28" s="3914" t="s">
        <v>2689</v>
      </c>
      <c r="B28" s="3914" t="s">
        <v>2690</v>
      </c>
      <c r="C28" s="3914">
        <v>-8.6999999999999994E-2</v>
      </c>
      <c r="D28" s="3914">
        <v>-0.53</v>
      </c>
      <c r="E28" s="3914">
        <v>0.183</v>
      </c>
      <c r="F28" s="3914">
        <v>-8.5999999999999993E-2</v>
      </c>
      <c r="G28" s="3914">
        <v>-3.4500000000000003E-2</v>
      </c>
      <c r="H28" s="3914">
        <v>-8.8999999999999996E-2</v>
      </c>
      <c r="I28" s="3914">
        <v>-0.17899999999999999</v>
      </c>
      <c r="J28" s="3914">
        <v>0</v>
      </c>
      <c r="K28" s="3914">
        <v>0</v>
      </c>
      <c r="L28" s="3914">
        <v>0</v>
      </c>
      <c r="M28" s="3914">
        <v>0</v>
      </c>
      <c r="N28" s="3914">
        <v>0</v>
      </c>
      <c r="O28"/>
      <c r="P28"/>
      <c r="Q28"/>
      <c r="R28"/>
      <c r="S28"/>
      <c r="T28"/>
      <c r="U28"/>
      <c r="V28"/>
      <c r="W28"/>
      <c r="X28"/>
      <c r="Y28"/>
      <c r="Z28"/>
      <c r="AA28"/>
      <c r="AB28"/>
      <c r="AC28"/>
      <c r="AD28"/>
      <c r="AE28"/>
      <c r="AF28"/>
      <c r="AG28"/>
      <c r="AH28"/>
      <c r="AI28"/>
      <c r="AJ28"/>
      <c r="AK28"/>
      <c r="AL28"/>
      <c r="AM28"/>
      <c r="AN28"/>
    </row>
    <row r="29" spans="1:40">
      <c r="A29" s="3914" t="s">
        <v>549</v>
      </c>
      <c r="B29" s="3914" t="s">
        <v>2587</v>
      </c>
      <c r="C29" s="3914">
        <v>-0.10249999999999999</v>
      </c>
      <c r="D29" s="3914">
        <v>-0.56599999999999995</v>
      </c>
      <c r="E29" s="3914">
        <v>0.58250000000000002</v>
      </c>
      <c r="F29" s="3914">
        <v>-0.2321</v>
      </c>
      <c r="G29" s="3914">
        <v>-0.71950000000000003</v>
      </c>
      <c r="H29" s="3914">
        <v>-5.3499999999999999E-2</v>
      </c>
      <c r="I29" s="3914">
        <v>0</v>
      </c>
      <c r="J29" s="3914">
        <v>0</v>
      </c>
      <c r="K29" s="3914">
        <v>0</v>
      </c>
      <c r="L29" s="3914">
        <v>0</v>
      </c>
      <c r="M29" s="3914">
        <v>0</v>
      </c>
      <c r="N29" s="3914">
        <v>0</v>
      </c>
      <c r="O29"/>
      <c r="P29"/>
      <c r="Q29"/>
      <c r="R29"/>
      <c r="S29"/>
      <c r="T29"/>
      <c r="U29"/>
      <c r="V29"/>
      <c r="W29"/>
      <c r="X29"/>
      <c r="Y29"/>
      <c r="Z29"/>
      <c r="AA29"/>
      <c r="AB29"/>
      <c r="AC29"/>
      <c r="AD29"/>
      <c r="AE29"/>
      <c r="AF29"/>
      <c r="AG29"/>
      <c r="AH29"/>
      <c r="AI29"/>
      <c r="AJ29"/>
      <c r="AK29"/>
      <c r="AL29"/>
      <c r="AM29"/>
      <c r="AN29"/>
    </row>
    <row r="30" spans="1:40">
      <c r="A30" s="3914" t="s">
        <v>2691</v>
      </c>
      <c r="B30" s="3914" t="s">
        <v>2692</v>
      </c>
      <c r="C30" s="3914">
        <v>-7.6999999999999999E-2</v>
      </c>
      <c r="D30" s="3914">
        <v>-0.184</v>
      </c>
      <c r="E30" s="3914">
        <v>-0.35299999999999998</v>
      </c>
      <c r="F30" s="3914">
        <v>-0.121</v>
      </c>
      <c r="G30" s="3914">
        <v>-0.112</v>
      </c>
      <c r="H30" s="3914">
        <v>-9.9000000000000005E-2</v>
      </c>
      <c r="I30" s="3914">
        <v>4.2999999999999997E-2</v>
      </c>
      <c r="J30" s="3914">
        <v>0</v>
      </c>
      <c r="K30" s="3914">
        <v>0</v>
      </c>
      <c r="L30" s="3914">
        <v>0</v>
      </c>
      <c r="M30" s="3914">
        <v>0</v>
      </c>
      <c r="N30" s="3914">
        <v>0</v>
      </c>
      <c r="O30"/>
      <c r="P30"/>
      <c r="Q30"/>
      <c r="R30"/>
      <c r="S30"/>
      <c r="T30"/>
      <c r="U30"/>
      <c r="V30"/>
      <c r="W30"/>
      <c r="X30"/>
      <c r="Y30"/>
      <c r="Z30"/>
      <c r="AA30"/>
      <c r="AB30"/>
      <c r="AC30"/>
      <c r="AD30"/>
      <c r="AE30"/>
      <c r="AF30"/>
      <c r="AG30"/>
      <c r="AH30"/>
      <c r="AI30"/>
      <c r="AJ30"/>
      <c r="AK30"/>
      <c r="AL30"/>
      <c r="AM30"/>
      <c r="AN30"/>
    </row>
    <row r="31" spans="1:40">
      <c r="A31" s="3914" t="s">
        <v>2667</v>
      </c>
      <c r="B31" s="3914" t="s">
        <v>2693</v>
      </c>
      <c r="C31" s="3914">
        <v>0</v>
      </c>
      <c r="D31" s="3914">
        <v>0</v>
      </c>
      <c r="E31" s="3914">
        <v>0</v>
      </c>
      <c r="F31" s="3914">
        <v>0</v>
      </c>
      <c r="G31" s="3914">
        <v>0</v>
      </c>
      <c r="H31" s="3914">
        <v>0</v>
      </c>
      <c r="I31" s="3914">
        <v>0</v>
      </c>
      <c r="J31" s="3914">
        <v>0</v>
      </c>
      <c r="K31" s="3914">
        <v>0</v>
      </c>
      <c r="L31" s="3914">
        <v>0</v>
      </c>
      <c r="M31" s="3914">
        <v>0</v>
      </c>
      <c r="N31" s="3914">
        <v>0</v>
      </c>
      <c r="O31"/>
      <c r="P31"/>
      <c r="Q31"/>
      <c r="R31"/>
      <c r="S31"/>
      <c r="T31"/>
      <c r="U31"/>
      <c r="V31"/>
      <c r="W31"/>
      <c r="X31"/>
      <c r="Y31"/>
      <c r="Z31"/>
      <c r="AA31"/>
      <c r="AB31"/>
      <c r="AC31"/>
      <c r="AD31"/>
      <c r="AE31"/>
      <c r="AF31"/>
      <c r="AG31"/>
      <c r="AH31"/>
      <c r="AI31"/>
      <c r="AJ31"/>
      <c r="AK31"/>
      <c r="AL31"/>
      <c r="AM31"/>
      <c r="AN31"/>
    </row>
    <row r="32" spans="1:40">
      <c r="A32" s="3914" t="s">
        <v>2671</v>
      </c>
      <c r="B32" s="3914" t="s">
        <v>2694</v>
      </c>
      <c r="C32" s="3914">
        <v>0</v>
      </c>
      <c r="D32" s="3914">
        <v>0</v>
      </c>
      <c r="E32" s="3914">
        <v>0</v>
      </c>
      <c r="F32" s="3914">
        <v>0</v>
      </c>
      <c r="G32" s="3914">
        <v>0</v>
      </c>
      <c r="H32" s="3914">
        <v>0</v>
      </c>
      <c r="I32" s="3914">
        <v>0</v>
      </c>
      <c r="J32" s="3914">
        <v>0</v>
      </c>
      <c r="K32" s="3914">
        <v>0</v>
      </c>
      <c r="L32" s="3914">
        <v>0</v>
      </c>
      <c r="M32" s="3914">
        <v>0</v>
      </c>
      <c r="N32" s="3914">
        <v>0</v>
      </c>
      <c r="O32"/>
      <c r="P32"/>
      <c r="Q32"/>
      <c r="R32"/>
      <c r="S32"/>
      <c r="T32"/>
      <c r="U32"/>
      <c r="V32"/>
      <c r="W32"/>
      <c r="X32"/>
      <c r="Y32"/>
      <c r="Z32"/>
      <c r="AA32"/>
      <c r="AB32"/>
      <c r="AC32"/>
      <c r="AD32"/>
      <c r="AE32"/>
      <c r="AF32"/>
      <c r="AG32"/>
      <c r="AH32"/>
      <c r="AI32"/>
      <c r="AJ32"/>
      <c r="AK32"/>
      <c r="AL32"/>
      <c r="AM32"/>
      <c r="AN32"/>
    </row>
    <row r="33" spans="1:40">
      <c r="A33" s="3914" t="s">
        <v>2695</v>
      </c>
      <c r="B33" s="3914" t="s">
        <v>2696</v>
      </c>
      <c r="C33" s="3914">
        <v>-0.06</v>
      </c>
      <c r="D33" s="3914">
        <v>-9.5000000000000001E-2</v>
      </c>
      <c r="E33" s="3914">
        <v>-6.0999999999999999E-2</v>
      </c>
      <c r="F33" s="3914">
        <v>-0.06</v>
      </c>
      <c r="G33" s="3914">
        <v>-5.8999999999999997E-2</v>
      </c>
      <c r="H33" s="3914">
        <v>-5.8000000000000003E-2</v>
      </c>
      <c r="I33" s="3914">
        <v>0</v>
      </c>
      <c r="J33" s="3914">
        <v>0</v>
      </c>
      <c r="K33" s="3914">
        <v>0</v>
      </c>
      <c r="L33" s="3914">
        <v>0</v>
      </c>
      <c r="M33" s="3914">
        <v>0</v>
      </c>
      <c r="N33" s="3914">
        <v>0</v>
      </c>
      <c r="O33"/>
      <c r="P33"/>
      <c r="Q33"/>
      <c r="R33"/>
      <c r="S33"/>
      <c r="T33"/>
      <c r="U33"/>
      <c r="V33"/>
      <c r="W33"/>
      <c r="X33"/>
      <c r="Y33"/>
      <c r="Z33"/>
      <c r="AA33"/>
      <c r="AB33"/>
      <c r="AC33"/>
      <c r="AD33"/>
      <c r="AE33"/>
      <c r="AF33"/>
      <c r="AG33"/>
      <c r="AH33"/>
      <c r="AI33"/>
      <c r="AJ33"/>
      <c r="AK33"/>
      <c r="AL33"/>
      <c r="AM33"/>
      <c r="AN33"/>
    </row>
    <row r="34" spans="1:40">
      <c r="A34" s="3914" t="s">
        <v>2673</v>
      </c>
      <c r="B34" s="3914" t="s">
        <v>2697</v>
      </c>
      <c r="C34" s="3914">
        <v>0</v>
      </c>
      <c r="D34" s="3914">
        <v>0</v>
      </c>
      <c r="E34" s="3914">
        <v>0</v>
      </c>
      <c r="F34" s="3914">
        <v>0</v>
      </c>
      <c r="G34" s="3914">
        <v>0</v>
      </c>
      <c r="H34" s="3914">
        <v>0</v>
      </c>
      <c r="I34" s="3914">
        <v>0</v>
      </c>
      <c r="J34" s="3914">
        <v>0</v>
      </c>
      <c r="K34" s="3914">
        <v>0</v>
      </c>
      <c r="L34" s="3914">
        <v>0</v>
      </c>
      <c r="M34" s="3914">
        <v>0</v>
      </c>
      <c r="N34" s="3914">
        <v>0</v>
      </c>
      <c r="O34"/>
      <c r="P34"/>
      <c r="Q34"/>
      <c r="R34"/>
      <c r="S34"/>
      <c r="T34"/>
      <c r="U34"/>
      <c r="V34"/>
      <c r="W34"/>
      <c r="X34"/>
      <c r="Y34"/>
      <c r="Z34"/>
      <c r="AA34"/>
      <c r="AB34"/>
      <c r="AC34"/>
      <c r="AD34"/>
      <c r="AE34"/>
      <c r="AF34"/>
      <c r="AG34"/>
      <c r="AH34"/>
      <c r="AI34"/>
      <c r="AJ34"/>
      <c r="AK34"/>
      <c r="AL34"/>
      <c r="AM34"/>
      <c r="AN34"/>
    </row>
    <row r="35" spans="1:40">
      <c r="A35" s="3914" t="s">
        <v>2673</v>
      </c>
      <c r="B35" s="3914" t="s">
        <v>2698</v>
      </c>
      <c r="C35" s="3914">
        <v>-1.7000000000000001E-2</v>
      </c>
      <c r="D35" s="3914">
        <v>0.03</v>
      </c>
      <c r="E35" s="3914">
        <v>6.4000000000000001E-2</v>
      </c>
      <c r="F35" s="3914">
        <v>-0.224</v>
      </c>
      <c r="G35" s="3914">
        <v>0</v>
      </c>
      <c r="H35" s="3914">
        <v>0</v>
      </c>
      <c r="I35" s="3914">
        <v>0</v>
      </c>
      <c r="J35" s="3914">
        <v>0</v>
      </c>
      <c r="K35" s="3914">
        <v>0</v>
      </c>
      <c r="L35" s="3914">
        <v>0</v>
      </c>
      <c r="M35" s="3914">
        <v>0</v>
      </c>
      <c r="N35" s="3914">
        <v>0</v>
      </c>
      <c r="O35"/>
      <c r="P35"/>
      <c r="Q35"/>
      <c r="R35"/>
      <c r="S35"/>
      <c r="T35"/>
      <c r="U35"/>
      <c r="V35"/>
      <c r="W35"/>
      <c r="X35"/>
      <c r="Y35"/>
      <c r="Z35"/>
      <c r="AA35"/>
      <c r="AB35"/>
      <c r="AC35"/>
      <c r="AD35"/>
      <c r="AE35"/>
      <c r="AF35"/>
      <c r="AG35"/>
      <c r="AH35"/>
      <c r="AI35"/>
      <c r="AJ35"/>
      <c r="AK35"/>
      <c r="AL35"/>
      <c r="AM35"/>
      <c r="AN35"/>
    </row>
    <row r="36" spans="1:40">
      <c r="A36" s="3914" t="s">
        <v>2673</v>
      </c>
      <c r="B36" s="3914" t="s">
        <v>2699</v>
      </c>
      <c r="C36" s="3914">
        <v>0</v>
      </c>
      <c r="D36" s="3914">
        <v>0</v>
      </c>
      <c r="E36" s="3914">
        <v>0</v>
      </c>
      <c r="F36" s="3914">
        <v>0</v>
      </c>
      <c r="G36" s="3914">
        <v>0</v>
      </c>
      <c r="H36" s="3914">
        <v>0</v>
      </c>
      <c r="I36" s="3914">
        <v>0</v>
      </c>
      <c r="J36" s="3914">
        <v>0</v>
      </c>
      <c r="K36" s="3914">
        <v>0</v>
      </c>
      <c r="L36" s="3914">
        <v>0</v>
      </c>
      <c r="M36" s="3914">
        <v>0</v>
      </c>
      <c r="N36" s="3914">
        <v>0</v>
      </c>
      <c r="O36"/>
      <c r="P36"/>
      <c r="Q36"/>
      <c r="R36"/>
      <c r="S36"/>
      <c r="T36"/>
      <c r="U36"/>
      <c r="V36"/>
      <c r="W36"/>
      <c r="X36"/>
      <c r="Y36"/>
      <c r="Z36"/>
      <c r="AA36"/>
      <c r="AB36"/>
      <c r="AC36"/>
      <c r="AD36"/>
      <c r="AE36"/>
      <c r="AF36"/>
      <c r="AG36"/>
      <c r="AH36"/>
      <c r="AI36"/>
      <c r="AJ36"/>
      <c r="AK36"/>
      <c r="AL36"/>
      <c r="AM36"/>
      <c r="AN36"/>
    </row>
    <row r="37" spans="1:40">
      <c r="A37" s="3914" t="s">
        <v>2675</v>
      </c>
      <c r="B37" s="3914" t="s">
        <v>2700</v>
      </c>
      <c r="C37" s="3914">
        <v>0</v>
      </c>
      <c r="D37" s="3914">
        <v>0</v>
      </c>
      <c r="E37" s="3914">
        <v>0</v>
      </c>
      <c r="F37" s="3914">
        <v>0</v>
      </c>
      <c r="G37" s="3914">
        <v>0</v>
      </c>
      <c r="H37" s="3914">
        <v>0</v>
      </c>
      <c r="I37" s="3914">
        <v>0</v>
      </c>
      <c r="J37" s="3914">
        <v>0</v>
      </c>
      <c r="K37" s="3914">
        <v>0</v>
      </c>
      <c r="L37" s="3914">
        <v>0</v>
      </c>
      <c r="M37" s="3914">
        <v>0</v>
      </c>
      <c r="N37" s="3914">
        <v>0</v>
      </c>
      <c r="O37"/>
      <c r="P37"/>
      <c r="Q37"/>
      <c r="R37"/>
      <c r="S37"/>
      <c r="T37"/>
      <c r="U37"/>
      <c r="V37"/>
      <c r="W37"/>
      <c r="X37"/>
      <c r="Y37"/>
      <c r="Z37"/>
      <c r="AA37"/>
      <c r="AB37"/>
      <c r="AC37"/>
      <c r="AD37"/>
      <c r="AE37"/>
      <c r="AF37"/>
      <c r="AG37"/>
      <c r="AH37"/>
      <c r="AI37"/>
      <c r="AJ37"/>
      <c r="AK37"/>
      <c r="AL37"/>
      <c r="AM37"/>
      <c r="AN37"/>
    </row>
    <row r="38" spans="1:40">
      <c r="A38" s="3914" t="s">
        <v>2701</v>
      </c>
      <c r="B38" s="3914" t="s">
        <v>2702</v>
      </c>
      <c r="C38" s="3914">
        <v>0</v>
      </c>
      <c r="D38" s="3914">
        <v>0</v>
      </c>
      <c r="E38" s="3914">
        <v>0</v>
      </c>
      <c r="F38" s="3914">
        <v>0</v>
      </c>
      <c r="G38" s="3914">
        <v>0</v>
      </c>
      <c r="H38" s="3914">
        <v>0</v>
      </c>
      <c r="I38" s="3914">
        <v>0</v>
      </c>
      <c r="J38" s="3914">
        <v>0</v>
      </c>
      <c r="K38" s="3914">
        <v>0</v>
      </c>
      <c r="L38" s="3914">
        <v>0</v>
      </c>
      <c r="M38" s="3914">
        <v>0</v>
      </c>
      <c r="N38" s="3914">
        <v>0</v>
      </c>
      <c r="O38"/>
      <c r="P38"/>
      <c r="Q38"/>
      <c r="R38"/>
      <c r="S38"/>
      <c r="T38"/>
      <c r="U38"/>
      <c r="V38"/>
      <c r="W38"/>
      <c r="X38"/>
      <c r="Y38"/>
      <c r="Z38"/>
      <c r="AA38"/>
      <c r="AB38"/>
      <c r="AC38"/>
      <c r="AD38"/>
      <c r="AE38"/>
      <c r="AF38"/>
      <c r="AG38"/>
      <c r="AH38"/>
      <c r="AI38"/>
      <c r="AJ38"/>
      <c r="AK38"/>
      <c r="AL38"/>
      <c r="AM38"/>
      <c r="AN38"/>
    </row>
    <row r="39" spans="1:40">
      <c r="A39" s="3914" t="s">
        <v>2703</v>
      </c>
      <c r="B39" s="3914" t="s">
        <v>2704</v>
      </c>
      <c r="C39" s="3914">
        <v>0</v>
      </c>
      <c r="D39" s="3914">
        <v>0</v>
      </c>
      <c r="E39" s="3914">
        <v>0</v>
      </c>
      <c r="F39" s="3914">
        <v>0</v>
      </c>
      <c r="G39" s="3914">
        <v>0</v>
      </c>
      <c r="H39" s="3914">
        <v>0</v>
      </c>
      <c r="I39" s="3914">
        <v>0</v>
      </c>
      <c r="J39" s="3914">
        <v>0</v>
      </c>
      <c r="K39" s="3914">
        <v>0</v>
      </c>
      <c r="L39" s="3914">
        <v>0</v>
      </c>
      <c r="M39" s="3914">
        <v>0</v>
      </c>
      <c r="N39" s="3914">
        <v>0</v>
      </c>
      <c r="O39"/>
      <c r="P39"/>
      <c r="Q39"/>
      <c r="R39"/>
      <c r="S39"/>
      <c r="T39"/>
      <c r="U39"/>
      <c r="V39"/>
      <c r="W39"/>
      <c r="X39"/>
      <c r="Y39"/>
      <c r="Z39"/>
      <c r="AA39"/>
      <c r="AB39"/>
      <c r="AC39"/>
      <c r="AD39"/>
      <c r="AE39"/>
      <c r="AF39"/>
      <c r="AG39"/>
      <c r="AH39"/>
      <c r="AI39"/>
      <c r="AJ39"/>
      <c r="AK39"/>
      <c r="AL39"/>
      <c r="AM39"/>
      <c r="AN39"/>
    </row>
    <row r="40" spans="1:40">
      <c r="A40" s="3914" t="s">
        <v>2679</v>
      </c>
      <c r="B40" s="3914" t="s">
        <v>2705</v>
      </c>
      <c r="C40" s="3914">
        <v>0</v>
      </c>
      <c r="D40" s="3914">
        <v>0</v>
      </c>
      <c r="E40" s="3914">
        <v>0</v>
      </c>
      <c r="F40" s="3914">
        <v>0</v>
      </c>
      <c r="G40" s="3914">
        <v>0</v>
      </c>
      <c r="H40" s="3914">
        <v>0</v>
      </c>
      <c r="I40" s="3914">
        <v>0</v>
      </c>
      <c r="J40" s="3914">
        <v>0</v>
      </c>
      <c r="K40" s="3914">
        <v>0</v>
      </c>
      <c r="L40" s="3914">
        <v>0</v>
      </c>
      <c r="M40" s="3914">
        <v>0</v>
      </c>
      <c r="N40" s="3914">
        <v>0</v>
      </c>
      <c r="O40"/>
      <c r="P40"/>
      <c r="Q40"/>
      <c r="R40"/>
      <c r="S40"/>
      <c r="T40"/>
      <c r="U40"/>
      <c r="V40"/>
      <c r="W40"/>
      <c r="X40"/>
      <c r="Y40"/>
      <c r="Z40"/>
      <c r="AA40"/>
      <c r="AB40"/>
      <c r="AC40"/>
      <c r="AD40"/>
      <c r="AE40"/>
      <c r="AF40"/>
      <c r="AG40"/>
      <c r="AH40"/>
      <c r="AI40"/>
      <c r="AJ40"/>
      <c r="AK40"/>
      <c r="AL40"/>
      <c r="AM40"/>
      <c r="AN40"/>
    </row>
    <row r="41" spans="1:40">
      <c r="A41" s="3914" t="s">
        <v>2679</v>
      </c>
      <c r="B41" s="3914" t="s">
        <v>2706</v>
      </c>
      <c r="C41" s="3914">
        <v>0</v>
      </c>
      <c r="D41" s="3914">
        <v>0</v>
      </c>
      <c r="E41" s="3914">
        <v>0</v>
      </c>
      <c r="F41" s="3914">
        <v>0</v>
      </c>
      <c r="G41" s="3914">
        <v>0</v>
      </c>
      <c r="H41" s="3914">
        <v>0</v>
      </c>
      <c r="I41" s="3914">
        <v>0</v>
      </c>
      <c r="J41" s="3914">
        <v>0</v>
      </c>
      <c r="K41" s="3914">
        <v>0</v>
      </c>
      <c r="L41" s="3914">
        <v>0</v>
      </c>
      <c r="M41" s="3914">
        <v>0</v>
      </c>
      <c r="N41" s="3914">
        <v>0</v>
      </c>
      <c r="O41"/>
      <c r="P41"/>
      <c r="Q41"/>
      <c r="R41"/>
      <c r="S41"/>
      <c r="T41"/>
      <c r="U41"/>
      <c r="V41"/>
      <c r="W41"/>
      <c r="X41"/>
      <c r="Y41"/>
      <c r="Z41"/>
      <c r="AA41"/>
      <c r="AB41"/>
      <c r="AC41"/>
      <c r="AD41"/>
      <c r="AE41"/>
      <c r="AF41"/>
      <c r="AG41"/>
      <c r="AH41"/>
      <c r="AI41"/>
      <c r="AJ41"/>
      <c r="AK41"/>
      <c r="AL41"/>
      <c r="AM41"/>
      <c r="AN41"/>
    </row>
    <row r="42" spans="1:40">
      <c r="A42" s="3914" t="s">
        <v>2707</v>
      </c>
      <c r="B42" s="3914" t="s">
        <v>2708</v>
      </c>
      <c r="C42" s="3914">
        <v>-0.434</v>
      </c>
      <c r="D42" s="3914">
        <v>-0.371</v>
      </c>
      <c r="E42" s="3914">
        <v>-0.29399999999999998</v>
      </c>
      <c r="F42" s="3914">
        <v>-0.69</v>
      </c>
      <c r="G42" s="3914">
        <v>-0.88380000000000003</v>
      </c>
      <c r="H42" s="3914">
        <v>-0.14299999999999999</v>
      </c>
      <c r="I42" s="3914">
        <v>-0.10199999999999999</v>
      </c>
      <c r="J42" s="3914">
        <v>-7.0000000000000001E-3</v>
      </c>
      <c r="K42" s="3914">
        <v>-2E-3</v>
      </c>
      <c r="L42" s="3914">
        <v>2E-3</v>
      </c>
      <c r="M42" s="3914">
        <v>0</v>
      </c>
      <c r="N42" s="3914">
        <v>0</v>
      </c>
      <c r="O42"/>
      <c r="P42"/>
      <c r="Q42"/>
      <c r="R42"/>
      <c r="S42"/>
      <c r="T42"/>
      <c r="U42"/>
      <c r="V42"/>
      <c r="W42"/>
      <c r="X42"/>
      <c r="Y42"/>
      <c r="Z42"/>
      <c r="AA42"/>
      <c r="AB42"/>
      <c r="AC42"/>
      <c r="AD42"/>
      <c r="AE42"/>
      <c r="AF42"/>
      <c r="AG42"/>
      <c r="AH42"/>
      <c r="AI42"/>
      <c r="AJ42"/>
      <c r="AK42"/>
      <c r="AL42"/>
      <c r="AM42"/>
      <c r="AN42"/>
    </row>
    <row r="43" spans="1:40">
      <c r="A43" s="3914" t="s">
        <v>2709</v>
      </c>
      <c r="B43" s="3914" t="s">
        <v>2710</v>
      </c>
      <c r="C43" s="3914">
        <v>-0.126</v>
      </c>
      <c r="D43" s="3914">
        <v>-0.80400000000000005</v>
      </c>
      <c r="E43" s="3914">
        <v>-0.64300000000000002</v>
      </c>
      <c r="F43" s="3914">
        <v>-0.89500000000000002</v>
      </c>
      <c r="G43" s="3914">
        <v>-0.79400000000000004</v>
      </c>
      <c r="H43" s="3914">
        <v>0</v>
      </c>
      <c r="I43" s="3914">
        <v>0</v>
      </c>
      <c r="J43" s="3914">
        <v>0</v>
      </c>
      <c r="K43" s="3914">
        <v>0</v>
      </c>
      <c r="L43" s="3914">
        <v>0</v>
      </c>
      <c r="M43" s="3914">
        <v>0</v>
      </c>
      <c r="N43" s="3914">
        <v>0</v>
      </c>
      <c r="O43"/>
      <c r="P43"/>
      <c r="Q43"/>
      <c r="R43"/>
      <c r="S43"/>
      <c r="T43"/>
      <c r="U43"/>
      <c r="V43"/>
      <c r="W43"/>
      <c r="X43"/>
      <c r="Y43"/>
      <c r="Z43"/>
      <c r="AA43"/>
      <c r="AB43"/>
      <c r="AC43"/>
      <c r="AD43"/>
      <c r="AE43"/>
      <c r="AF43"/>
      <c r="AG43"/>
      <c r="AH43"/>
      <c r="AI43"/>
      <c r="AJ43"/>
      <c r="AK43"/>
      <c r="AL43"/>
      <c r="AM43"/>
      <c r="AN43"/>
    </row>
    <row r="44" spans="1:40">
      <c r="A44" s="3914" t="s">
        <v>2036</v>
      </c>
      <c r="B44" s="3914" t="s">
        <v>2711</v>
      </c>
      <c r="C44" s="3914">
        <v>-0.249</v>
      </c>
      <c r="D44" s="3914">
        <v>-1.163</v>
      </c>
      <c r="E44" s="3914">
        <v>0.39019999999999999</v>
      </c>
      <c r="F44" s="3914">
        <v>-0.32219999999999999</v>
      </c>
      <c r="G44" s="3914">
        <v>-7.2999999999999995E-2</v>
      </c>
      <c r="H44" s="3914">
        <v>-0.03</v>
      </c>
      <c r="I44" s="3914">
        <v>0</v>
      </c>
      <c r="J44" s="3914">
        <v>0</v>
      </c>
      <c r="K44" s="3914">
        <v>0</v>
      </c>
      <c r="L44" s="3914">
        <v>0</v>
      </c>
      <c r="M44" s="3914">
        <v>0</v>
      </c>
      <c r="N44" s="3914">
        <v>0</v>
      </c>
      <c r="O44"/>
      <c r="P44"/>
      <c r="Q44"/>
      <c r="R44"/>
      <c r="S44"/>
      <c r="T44"/>
      <c r="U44"/>
      <c r="V44"/>
      <c r="W44"/>
      <c r="X44"/>
      <c r="Y44"/>
      <c r="Z44"/>
      <c r="AA44"/>
      <c r="AB44"/>
      <c r="AC44"/>
      <c r="AD44"/>
      <c r="AE44"/>
      <c r="AF44"/>
      <c r="AG44"/>
      <c r="AH44"/>
      <c r="AI44"/>
      <c r="AJ44"/>
      <c r="AK44"/>
      <c r="AL44"/>
      <c r="AM44"/>
      <c r="AN44"/>
    </row>
    <row r="45" spans="1:40">
      <c r="A45" s="3914" t="s">
        <v>2588</v>
      </c>
      <c r="B45" s="3914" t="s">
        <v>2712</v>
      </c>
      <c r="C45" s="3914">
        <v>0</v>
      </c>
      <c r="D45" s="3914">
        <v>0</v>
      </c>
      <c r="E45" s="3914">
        <v>0</v>
      </c>
      <c r="F45" s="3914">
        <v>0</v>
      </c>
      <c r="G45" s="3914">
        <v>0</v>
      </c>
      <c r="H45" s="3914">
        <v>0</v>
      </c>
      <c r="I45" s="3914">
        <v>0</v>
      </c>
      <c r="J45" s="3914">
        <v>0</v>
      </c>
      <c r="K45" s="3914">
        <v>0</v>
      </c>
      <c r="L45" s="3914">
        <v>0</v>
      </c>
      <c r="M45" s="3914">
        <v>0</v>
      </c>
      <c r="N45" s="3914">
        <v>0</v>
      </c>
      <c r="O45"/>
      <c r="P45"/>
      <c r="Q45"/>
      <c r="R45"/>
      <c r="S45"/>
      <c r="T45"/>
      <c r="U45"/>
      <c r="V45"/>
      <c r="W45"/>
      <c r="X45"/>
      <c r="Y45"/>
      <c r="Z45"/>
      <c r="AA45"/>
      <c r="AB45"/>
      <c r="AC45"/>
      <c r="AD45"/>
      <c r="AE45"/>
      <c r="AF45"/>
      <c r="AG45"/>
      <c r="AH45"/>
      <c r="AI45"/>
      <c r="AJ45"/>
      <c r="AK45"/>
      <c r="AL45"/>
      <c r="AM45"/>
      <c r="AN45"/>
    </row>
    <row r="46" spans="1:40">
      <c r="A46" s="3914" t="s">
        <v>2689</v>
      </c>
      <c r="B46" s="3914" t="s">
        <v>2713</v>
      </c>
      <c r="C46" s="3914">
        <v>-0.54</v>
      </c>
      <c r="D46" s="3914">
        <v>-0.64700000000000002</v>
      </c>
      <c r="E46" s="3914">
        <v>0.56599999999999995</v>
      </c>
      <c r="F46" s="3914">
        <v>-0.627</v>
      </c>
      <c r="G46" s="3914">
        <v>-0.254</v>
      </c>
      <c r="H46" s="3914">
        <v>-5.7000000000000002E-2</v>
      </c>
      <c r="I46" s="3914">
        <v>0</v>
      </c>
      <c r="J46" s="3914">
        <v>0</v>
      </c>
      <c r="K46" s="3914">
        <v>-0.125</v>
      </c>
      <c r="L46" s="3914">
        <v>0</v>
      </c>
      <c r="M46" s="3914">
        <v>0</v>
      </c>
      <c r="N46" s="3914">
        <v>0</v>
      </c>
      <c r="O46"/>
      <c r="P46"/>
      <c r="Q46"/>
      <c r="R46"/>
      <c r="S46"/>
      <c r="T46"/>
      <c r="U46"/>
      <c r="V46"/>
      <c r="W46"/>
      <c r="X46"/>
      <c r="Y46"/>
      <c r="Z46"/>
      <c r="AA46"/>
      <c r="AB46"/>
      <c r="AC46"/>
      <c r="AD46"/>
      <c r="AE46"/>
      <c r="AF46"/>
      <c r="AG46"/>
      <c r="AH46"/>
      <c r="AI46"/>
      <c r="AJ46"/>
      <c r="AK46"/>
      <c r="AL46"/>
      <c r="AM46"/>
      <c r="AN46"/>
    </row>
    <row r="47" spans="1:40">
      <c r="A47" s="3914" t="s">
        <v>2714</v>
      </c>
      <c r="B47" s="3914" t="s">
        <v>2715</v>
      </c>
      <c r="C47" s="3914">
        <v>0</v>
      </c>
      <c r="D47" s="3914">
        <v>0</v>
      </c>
      <c r="E47" s="3914">
        <v>0</v>
      </c>
      <c r="F47" s="3914">
        <v>0</v>
      </c>
      <c r="G47" s="3914">
        <v>0</v>
      </c>
      <c r="H47" s="3914">
        <v>0</v>
      </c>
      <c r="I47" s="3914">
        <v>0</v>
      </c>
      <c r="J47" s="3914">
        <v>0</v>
      </c>
      <c r="K47" s="3914">
        <v>0</v>
      </c>
      <c r="L47" s="3914">
        <v>0</v>
      </c>
      <c r="M47" s="3914">
        <v>0</v>
      </c>
      <c r="N47" s="3914">
        <v>0</v>
      </c>
      <c r="O47"/>
      <c r="P47"/>
      <c r="Q47"/>
      <c r="R47"/>
      <c r="S47"/>
      <c r="T47"/>
      <c r="U47"/>
      <c r="V47"/>
      <c r="W47"/>
      <c r="X47"/>
      <c r="Y47"/>
      <c r="Z47"/>
      <c r="AA47"/>
    </row>
    <row r="48" spans="1:40">
      <c r="A48" s="3914" t="s">
        <v>2716</v>
      </c>
      <c r="B48" s="3914" t="s">
        <v>2589</v>
      </c>
      <c r="C48" s="3914">
        <v>0</v>
      </c>
      <c r="D48" s="3914">
        <v>0</v>
      </c>
      <c r="E48" s="3914">
        <v>0</v>
      </c>
      <c r="F48" s="3914">
        <v>0</v>
      </c>
      <c r="G48" s="3914">
        <v>0</v>
      </c>
      <c r="H48" s="3914">
        <v>0</v>
      </c>
      <c r="I48" s="3914">
        <v>0</v>
      </c>
      <c r="J48" s="3914">
        <v>0</v>
      </c>
      <c r="K48" s="3914">
        <v>0</v>
      </c>
      <c r="L48" s="3914">
        <v>0</v>
      </c>
      <c r="M48" s="3914">
        <v>0</v>
      </c>
      <c r="N48" s="3914">
        <v>0</v>
      </c>
      <c r="O48"/>
      <c r="P48"/>
      <c r="Q48"/>
      <c r="R48"/>
      <c r="S48"/>
      <c r="T48"/>
      <c r="U48"/>
      <c r="V48"/>
      <c r="W48"/>
      <c r="X48"/>
      <c r="Y48"/>
      <c r="Z48"/>
      <c r="AA48"/>
    </row>
    <row r="49" spans="1:27">
      <c r="A49" s="3914" t="s">
        <v>1165</v>
      </c>
      <c r="B49" s="3914" t="s">
        <v>2717</v>
      </c>
      <c r="C49" s="3914">
        <v>-5.0000000000000001E-3</v>
      </c>
      <c r="D49" s="3914">
        <v>0</v>
      </c>
      <c r="E49" s="3914">
        <v>0</v>
      </c>
      <c r="F49" s="3914">
        <v>0</v>
      </c>
      <c r="G49" s="3914">
        <v>0</v>
      </c>
      <c r="H49" s="3914">
        <v>0</v>
      </c>
      <c r="I49" s="3914">
        <v>0</v>
      </c>
      <c r="J49" s="3914">
        <v>0</v>
      </c>
      <c r="K49" s="3914">
        <v>0</v>
      </c>
      <c r="L49" s="3914">
        <v>0</v>
      </c>
      <c r="M49" s="3914">
        <v>0</v>
      </c>
      <c r="N49" s="3914">
        <v>0</v>
      </c>
      <c r="O49"/>
      <c r="P49"/>
      <c r="Q49"/>
      <c r="R49"/>
      <c r="S49"/>
      <c r="T49"/>
      <c r="U49"/>
      <c r="V49"/>
      <c r="W49"/>
      <c r="X49"/>
      <c r="Y49"/>
      <c r="Z49"/>
      <c r="AA49"/>
    </row>
    <row r="50" spans="1:27">
      <c r="A50" s="3914" t="s">
        <v>2663</v>
      </c>
      <c r="B50" s="3914"/>
      <c r="C50" s="3914"/>
      <c r="D50" s="3914"/>
      <c r="E50" s="3914"/>
      <c r="F50" s="3914"/>
      <c r="G50" s="3914"/>
      <c r="H50" s="3914"/>
      <c r="I50" s="3914"/>
      <c r="J50" s="3914"/>
      <c r="K50" s="3914"/>
      <c r="L50" s="3914"/>
      <c r="M50" s="3914"/>
      <c r="N50" s="3914"/>
      <c r="O50" s="3914"/>
      <c r="P50" s="3914">
        <f t="shared" ref="P50:AA50" si="2">SUM(P28:P49)</f>
        <v>0</v>
      </c>
      <c r="Q50" s="3914">
        <f t="shared" si="2"/>
        <v>0</v>
      </c>
      <c r="R50" s="3914">
        <f t="shared" si="2"/>
        <v>0</v>
      </c>
      <c r="S50" s="3914">
        <f t="shared" si="2"/>
        <v>0</v>
      </c>
      <c r="T50" s="3914">
        <f t="shared" si="2"/>
        <v>0</v>
      </c>
      <c r="U50" s="3914">
        <f t="shared" si="2"/>
        <v>0</v>
      </c>
      <c r="V50" s="3914">
        <f t="shared" si="2"/>
        <v>0</v>
      </c>
      <c r="W50" s="3914">
        <f t="shared" si="2"/>
        <v>0</v>
      </c>
      <c r="X50" s="3914">
        <f t="shared" si="2"/>
        <v>0</v>
      </c>
      <c r="Y50" s="3914">
        <f t="shared" si="2"/>
        <v>0</v>
      </c>
      <c r="Z50" s="3914">
        <f t="shared" si="2"/>
        <v>0</v>
      </c>
      <c r="AA50" s="3914">
        <f t="shared" si="2"/>
        <v>0</v>
      </c>
    </row>
    <row r="51" spans="1:27">
      <c r="A51" s="3914" t="s">
        <v>2665</v>
      </c>
      <c r="B51" s="3914"/>
      <c r="C51" s="3914"/>
      <c r="D51" s="3914"/>
      <c r="E51" s="3914"/>
      <c r="F51" s="3914"/>
      <c r="G51" s="3914"/>
      <c r="H51" s="3914"/>
      <c r="I51" s="3914"/>
      <c r="J51" s="3914"/>
      <c r="K51" s="3914"/>
      <c r="L51" s="3914"/>
      <c r="M51" s="3914"/>
      <c r="N51" s="3914"/>
      <c r="O51" s="3914"/>
      <c r="P51" s="3914">
        <f t="shared" ref="P51:AA51" si="3">P27-P50</f>
        <v>0</v>
      </c>
      <c r="Q51" s="3914">
        <f t="shared" si="3"/>
        <v>0</v>
      </c>
      <c r="R51" s="3914">
        <f t="shared" si="3"/>
        <v>0</v>
      </c>
      <c r="S51" s="3914">
        <f t="shared" si="3"/>
        <v>0</v>
      </c>
      <c r="T51" s="3914">
        <f t="shared" si="3"/>
        <v>0</v>
      </c>
      <c r="U51" s="3914">
        <f t="shared" si="3"/>
        <v>0</v>
      </c>
      <c r="V51" s="3914">
        <f t="shared" si="3"/>
        <v>0</v>
      </c>
      <c r="W51" s="3914">
        <f t="shared" si="3"/>
        <v>0</v>
      </c>
      <c r="X51" s="3914">
        <f t="shared" si="3"/>
        <v>0</v>
      </c>
      <c r="Y51" s="3914">
        <f t="shared" si="3"/>
        <v>0</v>
      </c>
      <c r="Z51" s="3914">
        <f t="shared" si="3"/>
        <v>0</v>
      </c>
      <c r="AA51" s="3914">
        <f t="shared" si="3"/>
        <v>0</v>
      </c>
    </row>
    <row r="52" spans="1:27">
      <c r="A52" s="3914" t="s">
        <v>2667</v>
      </c>
      <c r="B52" s="3914"/>
      <c r="C52" s="3914"/>
      <c r="D52" s="3914"/>
      <c r="E52" s="3914"/>
      <c r="F52" s="3914"/>
      <c r="G52" s="3914"/>
      <c r="H52" s="3914"/>
      <c r="I52" s="3914"/>
      <c r="J52" s="3914"/>
      <c r="K52" s="3914"/>
      <c r="L52" s="3914"/>
      <c r="M52" s="3914"/>
      <c r="N52" s="3914"/>
      <c r="O52" s="3914"/>
      <c r="P52" s="3914"/>
      <c r="Q52" s="3914"/>
      <c r="R52" s="3914"/>
      <c r="S52" s="3914"/>
      <c r="T52" s="3914"/>
      <c r="U52" s="3914"/>
      <c r="V52" s="3914"/>
      <c r="W52" s="3914"/>
      <c r="X52" s="3914"/>
      <c r="Y52" s="3914"/>
      <c r="Z52" s="3914"/>
      <c r="AA52" s="3914"/>
    </row>
    <row r="53" spans="1:27">
      <c r="A53" s="3914" t="s">
        <v>2667</v>
      </c>
      <c r="B53" s="3914"/>
      <c r="C53" s="3914"/>
      <c r="D53" s="3914"/>
      <c r="E53" s="3914"/>
      <c r="F53" s="3914"/>
      <c r="G53" s="3914"/>
      <c r="H53" s="3914"/>
      <c r="I53" s="3914"/>
      <c r="J53" s="3914"/>
      <c r="K53" s="3914"/>
      <c r="L53" s="3914"/>
      <c r="M53" s="3914"/>
      <c r="N53" s="3914"/>
      <c r="O53" s="3914"/>
      <c r="P53" s="3914"/>
      <c r="Q53" s="3914"/>
      <c r="R53" s="3914"/>
      <c r="S53" s="3914"/>
      <c r="T53" s="3914"/>
      <c r="U53" s="3914"/>
      <c r="V53" s="3914"/>
      <c r="W53" s="3914"/>
      <c r="X53" s="3914"/>
      <c r="Y53" s="3914"/>
      <c r="Z53" s="3914"/>
      <c r="AA53" s="3914"/>
    </row>
    <row r="54" spans="1:27">
      <c r="A54" s="3914" t="s">
        <v>2667</v>
      </c>
      <c r="B54" s="3914"/>
      <c r="C54" s="3914"/>
      <c r="D54" s="3914"/>
      <c r="E54" s="3914"/>
      <c r="F54" s="3914"/>
      <c r="G54" s="3914"/>
      <c r="H54" s="3914"/>
      <c r="I54" s="3914"/>
      <c r="J54" s="3914"/>
      <c r="K54" s="3914"/>
      <c r="L54" s="3914"/>
      <c r="M54" s="3914"/>
      <c r="N54" s="3914"/>
      <c r="O54" s="3914"/>
      <c r="P54" s="3914"/>
      <c r="Q54" s="3914"/>
      <c r="R54" s="3914"/>
      <c r="S54" s="3914"/>
      <c r="T54" s="3914"/>
      <c r="U54" s="3914"/>
      <c r="V54" s="3914"/>
      <c r="W54" s="3914"/>
      <c r="X54" s="3914"/>
      <c r="Y54" s="3914"/>
      <c r="Z54" s="3914"/>
      <c r="AA54" s="3914"/>
    </row>
    <row r="55" spans="1:27">
      <c r="A55" s="3914" t="s">
        <v>2671</v>
      </c>
      <c r="B55" s="3914"/>
      <c r="C55" s="3914"/>
      <c r="D55" s="3914"/>
      <c r="E55" s="3914"/>
      <c r="F55" s="3914"/>
      <c r="G55" s="3914"/>
      <c r="H55" s="3914"/>
      <c r="I55" s="3914"/>
      <c r="J55" s="3914"/>
      <c r="K55" s="3914"/>
      <c r="L55" s="3914"/>
      <c r="M55" s="3914"/>
      <c r="N55" s="3914"/>
      <c r="O55" s="3914"/>
      <c r="P55" s="3914"/>
      <c r="Q55" s="3914"/>
      <c r="R55" s="3914"/>
      <c r="S55" s="3914"/>
      <c r="T55" s="3914"/>
      <c r="U55" s="3914"/>
      <c r="V55" s="3914"/>
      <c r="W55" s="3914"/>
      <c r="X55" s="3914"/>
      <c r="Y55" s="3914"/>
      <c r="Z55" s="3914"/>
      <c r="AA55" s="3914"/>
    </row>
    <row r="56" spans="1:27">
      <c r="A56" s="3914" t="s">
        <v>2673</v>
      </c>
      <c r="B56" s="3914"/>
      <c r="C56" s="3914"/>
      <c r="D56" s="3914"/>
      <c r="E56" s="3914"/>
      <c r="F56" s="3914"/>
      <c r="G56" s="3914"/>
      <c r="H56" s="3914"/>
      <c r="I56" s="3914"/>
      <c r="J56" s="3914"/>
      <c r="K56" s="3914"/>
      <c r="L56" s="3914"/>
      <c r="M56" s="3914"/>
      <c r="N56" s="3914"/>
      <c r="O56" s="3914"/>
      <c r="P56" s="3914"/>
      <c r="Q56" s="3914"/>
      <c r="R56" s="3914"/>
      <c r="S56" s="3914"/>
      <c r="T56" s="3914"/>
      <c r="U56" s="3914"/>
      <c r="V56" s="3914"/>
      <c r="W56" s="3914"/>
      <c r="X56" s="3914"/>
      <c r="Y56" s="3914"/>
      <c r="Z56" s="3914"/>
      <c r="AA56" s="3914"/>
    </row>
    <row r="57" spans="1:27">
      <c r="A57" s="3914" t="s">
        <v>2675</v>
      </c>
      <c r="B57" s="3914"/>
      <c r="C57" s="3914"/>
      <c r="D57" s="3914"/>
      <c r="E57" s="3914"/>
      <c r="F57" s="3914"/>
      <c r="G57" s="3914"/>
      <c r="H57" s="3914"/>
      <c r="I57" s="3914"/>
      <c r="J57" s="3914"/>
      <c r="K57" s="3914"/>
      <c r="L57" s="3914"/>
      <c r="M57" s="3914"/>
      <c r="N57" s="3914"/>
      <c r="O57" s="3914"/>
      <c r="P57" s="3914"/>
      <c r="Q57" s="3914"/>
      <c r="R57" s="3914"/>
      <c r="S57" s="3914"/>
      <c r="T57" s="3914"/>
      <c r="U57" s="3914"/>
      <c r="V57" s="3914"/>
      <c r="W57" s="3914"/>
      <c r="X57" s="3914"/>
      <c r="Y57" s="3914"/>
      <c r="Z57" s="3914"/>
      <c r="AA57" s="3914"/>
    </row>
    <row r="58" spans="1:27">
      <c r="A58" s="3914" t="s">
        <v>2677</v>
      </c>
      <c r="B58" s="3914"/>
      <c r="C58" s="3914"/>
      <c r="D58" s="3914"/>
      <c r="E58" s="3914"/>
      <c r="F58" s="3914"/>
      <c r="G58" s="3914"/>
      <c r="H58" s="3914"/>
      <c r="I58" s="3914"/>
      <c r="J58" s="3914"/>
      <c r="K58" s="3914"/>
      <c r="L58" s="3914"/>
      <c r="M58" s="3914"/>
      <c r="N58" s="3914"/>
      <c r="O58" s="3914"/>
      <c r="P58" s="3914"/>
      <c r="Q58" s="3914"/>
      <c r="R58" s="3914"/>
      <c r="S58" s="3914"/>
      <c r="T58" s="3914"/>
      <c r="U58" s="3914"/>
      <c r="V58" s="3914"/>
      <c r="W58" s="3914"/>
      <c r="X58" s="3914"/>
      <c r="Y58" s="3914"/>
      <c r="Z58" s="3914"/>
      <c r="AA58" s="3914"/>
    </row>
    <row r="59" spans="1:27">
      <c r="A59" s="3914" t="s">
        <v>2679</v>
      </c>
      <c r="B59" s="3914"/>
      <c r="C59" s="3914"/>
      <c r="D59" s="3914"/>
      <c r="E59" s="3914"/>
      <c r="F59" s="3914"/>
      <c r="G59" s="3914"/>
      <c r="H59" s="3914"/>
      <c r="I59" s="3914"/>
      <c r="J59" s="3914"/>
      <c r="K59" s="3914"/>
      <c r="L59" s="3914"/>
      <c r="M59" s="3914"/>
      <c r="N59" s="3914"/>
      <c r="O59" s="3914"/>
      <c r="P59" s="3914"/>
      <c r="Q59" s="3914"/>
      <c r="R59" s="3914"/>
      <c r="S59" s="3914"/>
      <c r="T59" s="3914"/>
      <c r="U59" s="3914"/>
      <c r="V59" s="3914"/>
      <c r="W59" s="3914"/>
      <c r="X59" s="3914"/>
      <c r="Y59" s="3914"/>
      <c r="Z59" s="3914"/>
      <c r="AA59" s="3914"/>
    </row>
    <row r="60" spans="1:27">
      <c r="A60" s="3914" t="s">
        <v>2679</v>
      </c>
      <c r="B60" s="3914"/>
      <c r="C60" s="3914"/>
      <c r="D60" s="3914"/>
      <c r="E60" s="3914"/>
      <c r="F60" s="3914"/>
      <c r="G60" s="3914"/>
      <c r="H60" s="3914"/>
      <c r="I60" s="3914"/>
      <c r="J60" s="3914"/>
      <c r="K60" s="3914"/>
      <c r="L60" s="3914"/>
      <c r="M60" s="3914"/>
      <c r="N60" s="3914"/>
      <c r="O60" s="3914"/>
      <c r="P60" s="3914"/>
      <c r="Q60" s="3914"/>
      <c r="R60" s="3914"/>
      <c r="S60" s="3914"/>
      <c r="T60" s="3914"/>
      <c r="U60" s="3914"/>
      <c r="V60" s="3914"/>
      <c r="W60" s="3914"/>
      <c r="X60" s="3914"/>
      <c r="Y60" s="3914"/>
      <c r="Z60" s="3914"/>
      <c r="AA60" s="3914"/>
    </row>
    <row r="61" spans="1:27">
      <c r="A61" s="3914" t="s">
        <v>2679</v>
      </c>
      <c r="B61" s="3914"/>
      <c r="C61" s="3914"/>
      <c r="D61" s="3914"/>
      <c r="E61" s="3914"/>
      <c r="F61" s="3914"/>
      <c r="G61" s="3914"/>
      <c r="H61" s="3914"/>
      <c r="I61" s="3914"/>
      <c r="J61" s="3914"/>
      <c r="K61" s="3914"/>
      <c r="L61" s="3914"/>
      <c r="M61" s="3914"/>
      <c r="N61" s="3914"/>
      <c r="O61" s="3914"/>
      <c r="P61" s="3914"/>
      <c r="Q61" s="3914"/>
      <c r="R61" s="3914"/>
      <c r="S61" s="3914"/>
      <c r="T61" s="3914"/>
      <c r="U61" s="3914"/>
      <c r="V61" s="3914"/>
      <c r="W61" s="3914"/>
      <c r="X61" s="3914"/>
      <c r="Y61" s="3914"/>
      <c r="Z61" s="3914"/>
      <c r="AA61" s="3914"/>
    </row>
    <row r="62" spans="1:27">
      <c r="A62" s="3914" t="s">
        <v>2679</v>
      </c>
      <c r="B62" s="3914"/>
      <c r="C62" s="3914"/>
      <c r="D62" s="3914"/>
      <c r="E62" s="3914"/>
      <c r="F62" s="3914"/>
      <c r="G62" s="3914"/>
      <c r="H62" s="3914"/>
      <c r="I62" s="3914"/>
      <c r="J62" s="3914"/>
      <c r="K62" s="3914"/>
      <c r="L62" s="3914"/>
      <c r="M62" s="3914"/>
      <c r="N62" s="3914"/>
      <c r="O62" s="3914"/>
      <c r="P62" s="3914"/>
      <c r="Q62" s="3914"/>
      <c r="R62" s="3914"/>
      <c r="S62" s="3914"/>
      <c r="T62" s="3914"/>
      <c r="U62" s="3914"/>
      <c r="V62" s="3914"/>
      <c r="W62" s="3914"/>
      <c r="X62" s="3914"/>
      <c r="Y62" s="3914"/>
      <c r="Z62" s="3914"/>
      <c r="AA62" s="3914"/>
    </row>
    <row r="63" spans="1:27">
      <c r="A63" s="3914" t="s">
        <v>2684</v>
      </c>
      <c r="B63" s="3914"/>
      <c r="C63" s="3914"/>
      <c r="D63" s="3914"/>
      <c r="E63" s="3914"/>
      <c r="F63" s="3914"/>
      <c r="G63" s="3914"/>
      <c r="H63" s="3914"/>
      <c r="I63" s="3914"/>
      <c r="J63" s="3914"/>
      <c r="K63" s="3914"/>
      <c r="L63" s="3914"/>
      <c r="M63" s="3914"/>
      <c r="N63" s="3914"/>
      <c r="O63" s="3914"/>
      <c r="P63" s="3914"/>
      <c r="Q63" s="3914"/>
      <c r="R63" s="3914"/>
      <c r="S63" s="3914"/>
      <c r="T63" s="3914"/>
      <c r="U63" s="3914"/>
      <c r="V63" s="3914"/>
      <c r="W63" s="3914"/>
      <c r="X63" s="3914"/>
      <c r="Y63" s="3914"/>
      <c r="Z63" s="3914"/>
      <c r="AA63" s="3914"/>
    </row>
    <row r="64" spans="1:27">
      <c r="A64" s="3914" t="s">
        <v>2686</v>
      </c>
      <c r="B64" s="3914"/>
      <c r="C64" s="3914"/>
      <c r="D64" s="3914"/>
      <c r="E64" s="3914"/>
      <c r="F64" s="3914"/>
      <c r="G64" s="3914"/>
      <c r="H64" s="3914"/>
      <c r="I64" s="3914"/>
      <c r="J64" s="3914"/>
      <c r="K64" s="3914"/>
      <c r="L64" s="3914"/>
      <c r="M64" s="3914"/>
      <c r="N64" s="3914"/>
      <c r="O64" s="3914"/>
      <c r="P64" s="3914"/>
      <c r="Q64" s="3914"/>
      <c r="R64" s="3914"/>
      <c r="S64" s="3914"/>
      <c r="T64" s="3914"/>
      <c r="U64" s="3914"/>
      <c r="V64" s="3914"/>
      <c r="W64" s="3914"/>
      <c r="X64" s="3914"/>
      <c r="Y64" s="3914"/>
      <c r="Z64" s="3914"/>
      <c r="AA64" s="3914"/>
    </row>
    <row r="65" spans="1:27">
      <c r="A65" s="3914" t="s">
        <v>2036</v>
      </c>
      <c r="B65" s="3914"/>
      <c r="C65" s="3914"/>
      <c r="D65" s="3914"/>
      <c r="E65" s="3914"/>
      <c r="F65" s="3914"/>
      <c r="G65" s="3914"/>
      <c r="H65" s="3914"/>
      <c r="I65" s="3914"/>
      <c r="J65" s="3914"/>
      <c r="K65" s="3914"/>
      <c r="L65" s="3914"/>
      <c r="M65" s="3914"/>
      <c r="N65" s="3914"/>
      <c r="O65" s="3914"/>
      <c r="P65" s="3914"/>
      <c r="Q65" s="3914"/>
      <c r="R65" s="3914"/>
      <c r="S65" s="3914"/>
      <c r="T65" s="3914"/>
      <c r="U65" s="3914"/>
      <c r="V65" s="3914"/>
      <c r="W65" s="3914"/>
      <c r="X65" s="3914"/>
      <c r="Y65" s="3914"/>
      <c r="Z65" s="3914"/>
      <c r="AA65" s="3914"/>
    </row>
    <row r="66" spans="1:27">
      <c r="A66" s="3914" t="s">
        <v>2689</v>
      </c>
      <c r="B66" s="3914"/>
      <c r="C66" s="3914"/>
      <c r="D66" s="3914"/>
      <c r="E66" s="3914"/>
      <c r="F66" s="3914"/>
      <c r="G66" s="3914"/>
      <c r="H66" s="3914"/>
      <c r="I66" s="3914"/>
      <c r="J66" s="3914"/>
      <c r="K66" s="3914"/>
      <c r="L66" s="3914"/>
      <c r="M66" s="3914"/>
      <c r="N66" s="3914"/>
      <c r="O66" s="3914"/>
      <c r="P66" s="3914"/>
      <c r="Q66" s="3914"/>
      <c r="R66" s="3914"/>
      <c r="S66" s="3914"/>
      <c r="T66" s="3914"/>
      <c r="U66" s="3914"/>
      <c r="V66" s="3914"/>
      <c r="W66" s="3914"/>
      <c r="X66" s="3914"/>
      <c r="Y66" s="3914"/>
      <c r="Z66" s="3914"/>
      <c r="AA66" s="3914"/>
    </row>
    <row r="67" spans="1:27">
      <c r="A67" s="3914" t="s">
        <v>549</v>
      </c>
      <c r="B67" s="3914"/>
      <c r="C67" s="3914"/>
      <c r="D67" s="3914"/>
      <c r="E67" s="3914"/>
      <c r="F67" s="3914"/>
      <c r="G67" s="3914"/>
      <c r="H67" s="3914"/>
      <c r="I67" s="3914"/>
      <c r="J67" s="3914"/>
      <c r="K67" s="3914"/>
      <c r="L67" s="3914"/>
      <c r="M67" s="3914"/>
      <c r="N67" s="3914"/>
      <c r="O67" s="3914"/>
      <c r="P67" s="3914"/>
      <c r="Q67" s="3914"/>
      <c r="R67" s="3914"/>
      <c r="S67" s="3914"/>
      <c r="T67" s="3914"/>
      <c r="U67" s="3914"/>
      <c r="V67" s="3914"/>
      <c r="W67" s="3914"/>
      <c r="X67" s="3914"/>
      <c r="Y67" s="3914"/>
      <c r="Z67" s="3914"/>
      <c r="AA67" s="3914"/>
    </row>
    <row r="68" spans="1:27">
      <c r="A68" s="3914" t="s">
        <v>2691</v>
      </c>
      <c r="B68" s="3914"/>
      <c r="C68" s="3914"/>
      <c r="D68" s="3914"/>
      <c r="E68" s="3914"/>
      <c r="F68" s="3914"/>
      <c r="G68" s="3914"/>
      <c r="H68" s="3914"/>
      <c r="I68" s="3914"/>
      <c r="J68" s="3914"/>
      <c r="K68" s="3914"/>
      <c r="L68" s="3914"/>
      <c r="M68" s="3914"/>
      <c r="N68" s="3914"/>
      <c r="O68" s="3914"/>
      <c r="P68" s="3914"/>
      <c r="Q68" s="3914"/>
      <c r="R68" s="3914"/>
      <c r="S68" s="3914"/>
      <c r="T68" s="3914"/>
      <c r="U68" s="3914"/>
      <c r="V68" s="3914"/>
      <c r="W68" s="3914"/>
      <c r="X68" s="3914"/>
      <c r="Y68" s="3914"/>
      <c r="Z68" s="3914"/>
      <c r="AA68" s="3914"/>
    </row>
    <row r="69" spans="1:27">
      <c r="A69" s="3914" t="s">
        <v>2667</v>
      </c>
      <c r="B69" s="3914"/>
      <c r="C69" s="3914"/>
      <c r="D69" s="3914"/>
      <c r="E69" s="3914"/>
      <c r="F69" s="3914"/>
      <c r="G69" s="3914"/>
      <c r="H69" s="3914"/>
      <c r="I69" s="3914"/>
      <c r="J69" s="3914"/>
      <c r="K69" s="3914"/>
      <c r="L69" s="3914"/>
      <c r="M69" s="3914"/>
      <c r="N69" s="3914"/>
      <c r="O69" s="3914"/>
      <c r="P69" s="3914"/>
      <c r="Q69" s="3914"/>
      <c r="R69" s="3914"/>
      <c r="S69" s="3914"/>
      <c r="T69" s="3914"/>
      <c r="U69" s="3914"/>
      <c r="V69" s="3914"/>
      <c r="W69" s="3914"/>
      <c r="X69" s="3914"/>
      <c r="Y69" s="3914"/>
      <c r="Z69" s="3914"/>
      <c r="AA69" s="3914"/>
    </row>
    <row r="70" spans="1:27">
      <c r="A70" s="3914" t="s">
        <v>2671</v>
      </c>
      <c r="B70" s="3914"/>
      <c r="C70" s="3914"/>
      <c r="D70" s="3914"/>
      <c r="E70" s="3914"/>
      <c r="F70" s="3914"/>
      <c r="G70" s="3914"/>
      <c r="H70" s="3914"/>
      <c r="I70" s="3914"/>
      <c r="J70" s="3914"/>
      <c r="K70" s="3914"/>
      <c r="L70" s="3914"/>
      <c r="M70" s="3914"/>
      <c r="N70" s="3914"/>
      <c r="O70" s="3914"/>
      <c r="P70" s="3914"/>
      <c r="Q70" s="3914"/>
      <c r="R70" s="3914"/>
      <c r="S70" s="3914"/>
      <c r="T70" s="3914"/>
      <c r="U70" s="3914"/>
      <c r="V70" s="3914"/>
      <c r="W70" s="3914"/>
      <c r="X70" s="3914"/>
      <c r="Y70" s="3914"/>
      <c r="Z70" s="3914"/>
      <c r="AA70" s="3914"/>
    </row>
    <row r="71" spans="1:27">
      <c r="A71" s="3914" t="s">
        <v>2695</v>
      </c>
      <c r="B71" s="3914"/>
      <c r="C71" s="3914"/>
      <c r="D71" s="3914"/>
      <c r="E71" s="3914"/>
      <c r="F71" s="3914"/>
      <c r="G71" s="3914"/>
      <c r="H71" s="3914"/>
      <c r="I71" s="3914"/>
      <c r="J71" s="3914"/>
      <c r="K71" s="3914"/>
      <c r="L71" s="3914"/>
      <c r="M71" s="3914"/>
      <c r="N71" s="3914"/>
      <c r="O71" s="3914"/>
      <c r="P71" s="3914"/>
      <c r="Q71" s="3914"/>
      <c r="R71" s="3914"/>
      <c r="S71" s="3914"/>
      <c r="T71" s="3914"/>
      <c r="U71" s="3914"/>
      <c r="V71" s="3914"/>
      <c r="W71" s="3914"/>
      <c r="X71" s="3914"/>
      <c r="Y71" s="3914"/>
      <c r="Z71" s="3914"/>
      <c r="AA71" s="3914"/>
    </row>
    <row r="72" spans="1:27">
      <c r="A72" s="3914" t="s">
        <v>2673</v>
      </c>
      <c r="B72" s="3914"/>
      <c r="C72" s="3914"/>
      <c r="D72" s="3914"/>
      <c r="E72" s="3914"/>
      <c r="F72" s="3914"/>
      <c r="G72" s="3914"/>
      <c r="H72" s="3914"/>
      <c r="I72" s="3914"/>
      <c r="J72" s="3914"/>
      <c r="K72" s="3914"/>
      <c r="L72" s="3914"/>
      <c r="M72" s="3914"/>
      <c r="N72" s="3914"/>
      <c r="O72" s="3914"/>
      <c r="P72" s="3914"/>
      <c r="Q72" s="3914"/>
      <c r="R72" s="3914"/>
      <c r="S72" s="3914"/>
      <c r="T72" s="3914"/>
      <c r="U72" s="3914"/>
      <c r="V72" s="3914"/>
      <c r="W72" s="3914"/>
      <c r="X72" s="3914"/>
      <c r="Y72" s="3914"/>
      <c r="Z72" s="3914"/>
      <c r="AA72" s="3914"/>
    </row>
    <row r="73" spans="1:27">
      <c r="A73" s="3914" t="s">
        <v>2673</v>
      </c>
      <c r="B73" s="3914"/>
      <c r="C73" s="3914"/>
      <c r="D73" s="3914"/>
      <c r="E73" s="3914"/>
      <c r="F73" s="3914"/>
      <c r="G73" s="3914"/>
      <c r="H73" s="3914"/>
      <c r="I73" s="3914"/>
      <c r="J73" s="3914"/>
      <c r="K73" s="3914"/>
      <c r="L73" s="3914"/>
      <c r="M73" s="3914"/>
      <c r="N73" s="3914"/>
      <c r="O73" s="3914"/>
      <c r="P73" s="3914"/>
      <c r="Q73" s="3914"/>
      <c r="R73" s="3914"/>
      <c r="S73" s="3914"/>
      <c r="T73" s="3914"/>
      <c r="U73" s="3914"/>
      <c r="V73" s="3914"/>
      <c r="W73" s="3914"/>
      <c r="X73" s="3914"/>
      <c r="Y73" s="3914"/>
      <c r="Z73" s="3914"/>
      <c r="AA73" s="3914"/>
    </row>
    <row r="74" spans="1:27">
      <c r="A74" s="3914" t="s">
        <v>2673</v>
      </c>
      <c r="B74" s="3914"/>
      <c r="C74" s="3914"/>
      <c r="D74" s="3914"/>
      <c r="E74" s="3914"/>
      <c r="F74" s="3914"/>
      <c r="G74" s="3914"/>
      <c r="H74" s="3914"/>
      <c r="I74" s="3914"/>
      <c r="J74" s="3914"/>
      <c r="K74" s="3914"/>
      <c r="L74" s="3914"/>
      <c r="M74" s="3914"/>
      <c r="N74" s="3914"/>
      <c r="O74" s="3914"/>
      <c r="P74" s="3914"/>
      <c r="Q74" s="3914"/>
      <c r="R74" s="3914"/>
      <c r="S74" s="3914"/>
      <c r="T74" s="3914"/>
      <c r="U74" s="3914"/>
      <c r="V74" s="3914"/>
      <c r="W74" s="3914"/>
      <c r="X74" s="3914"/>
      <c r="Y74" s="3914"/>
      <c r="Z74" s="3914"/>
      <c r="AA74" s="3914"/>
    </row>
    <row r="75" spans="1:27">
      <c r="A75" s="3914" t="s">
        <v>2675</v>
      </c>
      <c r="B75" s="3914"/>
      <c r="C75" s="3914"/>
      <c r="D75" s="3914"/>
      <c r="E75" s="3914"/>
      <c r="F75" s="3914"/>
      <c r="G75" s="3914"/>
      <c r="H75" s="3914"/>
      <c r="I75" s="3914"/>
      <c r="J75" s="3914"/>
      <c r="K75" s="3914"/>
      <c r="L75" s="3914"/>
      <c r="M75" s="3914"/>
      <c r="N75" s="3914"/>
      <c r="O75" s="3914"/>
      <c r="P75" s="3914"/>
      <c r="Q75" s="3914"/>
      <c r="R75" s="3914"/>
      <c r="S75" s="3914"/>
      <c r="T75" s="3914"/>
      <c r="U75" s="3914"/>
      <c r="V75" s="3914"/>
      <c r="W75" s="3914"/>
      <c r="X75" s="3914"/>
      <c r="Y75" s="3914"/>
      <c r="Z75" s="3914"/>
      <c r="AA75" s="3914"/>
    </row>
    <row r="76" spans="1:27">
      <c r="A76" s="3914" t="s">
        <v>2701</v>
      </c>
      <c r="B76" s="3914"/>
      <c r="C76" s="3914"/>
      <c r="D76" s="3914"/>
      <c r="E76" s="3914"/>
      <c r="F76" s="3914"/>
      <c r="G76" s="3914"/>
      <c r="H76" s="3914"/>
      <c r="I76" s="3914"/>
      <c r="J76" s="3914"/>
      <c r="K76" s="3914"/>
      <c r="L76" s="3914"/>
      <c r="M76" s="3914"/>
      <c r="N76" s="3914"/>
      <c r="O76" s="3914"/>
      <c r="P76" s="3914"/>
      <c r="Q76" s="3914"/>
      <c r="R76" s="3914"/>
      <c r="S76" s="3914"/>
      <c r="T76" s="3914"/>
      <c r="U76" s="3914"/>
      <c r="V76" s="3914"/>
      <c r="W76" s="3914"/>
      <c r="X76" s="3914"/>
      <c r="Y76" s="3914"/>
      <c r="Z76" s="3914"/>
      <c r="AA76" s="3914"/>
    </row>
    <row r="77" spans="1:27">
      <c r="A77" s="3914" t="s">
        <v>2703</v>
      </c>
      <c r="B77" s="3914"/>
      <c r="C77" s="3914"/>
      <c r="D77" s="3914"/>
      <c r="E77" s="3914"/>
      <c r="F77" s="3914"/>
      <c r="G77" s="3914"/>
      <c r="H77" s="3914"/>
      <c r="I77" s="3914"/>
      <c r="J77" s="3914"/>
      <c r="K77" s="3914"/>
      <c r="L77" s="3914"/>
      <c r="M77" s="3914"/>
      <c r="N77" s="3914"/>
      <c r="O77" s="3914"/>
      <c r="P77" s="3914"/>
      <c r="Q77" s="3914"/>
      <c r="R77" s="3914"/>
      <c r="S77" s="3914"/>
      <c r="T77" s="3914"/>
      <c r="U77" s="3914"/>
      <c r="V77" s="3914"/>
      <c r="W77" s="3914"/>
      <c r="X77" s="3914"/>
      <c r="Y77" s="3914"/>
      <c r="Z77" s="3914"/>
      <c r="AA77" s="3914"/>
    </row>
    <row r="78" spans="1:27">
      <c r="A78" s="3914" t="s">
        <v>2679</v>
      </c>
      <c r="B78" s="3914"/>
      <c r="C78" s="3914"/>
      <c r="D78" s="3914"/>
      <c r="E78" s="3914"/>
      <c r="F78" s="3914"/>
      <c r="G78" s="3914"/>
      <c r="H78" s="3914"/>
      <c r="I78" s="3914"/>
      <c r="J78" s="3914"/>
      <c r="K78" s="3914"/>
      <c r="L78" s="3914"/>
      <c r="M78" s="3914"/>
      <c r="N78" s="3914"/>
      <c r="O78" s="3914"/>
      <c r="P78" s="3914"/>
      <c r="Q78" s="3914"/>
      <c r="R78" s="3914"/>
      <c r="S78" s="3914"/>
      <c r="T78" s="3914"/>
      <c r="U78" s="3914"/>
      <c r="V78" s="3914"/>
      <c r="W78" s="3914"/>
      <c r="X78" s="3914"/>
      <c r="Y78" s="3914"/>
      <c r="Z78" s="3914"/>
      <c r="AA78" s="3914"/>
    </row>
    <row r="79" spans="1:27">
      <c r="A79" s="3914" t="s">
        <v>2679</v>
      </c>
      <c r="B79" s="3914"/>
      <c r="C79" s="3914"/>
      <c r="D79" s="3914"/>
      <c r="E79" s="3914"/>
      <c r="F79" s="3914"/>
      <c r="G79" s="3914"/>
      <c r="H79" s="3914"/>
      <c r="I79" s="3914"/>
      <c r="J79" s="3914"/>
      <c r="K79" s="3914"/>
      <c r="L79" s="3914"/>
      <c r="M79" s="3914"/>
      <c r="N79" s="3914"/>
      <c r="O79" s="3914"/>
      <c r="P79" s="3914"/>
      <c r="Q79" s="3914"/>
      <c r="R79" s="3914"/>
      <c r="S79" s="3914"/>
      <c r="T79" s="3914"/>
      <c r="U79" s="3914"/>
      <c r="V79" s="3914"/>
      <c r="W79" s="3914"/>
      <c r="X79" s="3914"/>
      <c r="Y79" s="3914"/>
      <c r="Z79" s="3914"/>
      <c r="AA79" s="3914"/>
    </row>
    <row r="80" spans="1:27">
      <c r="A80" s="3914" t="s">
        <v>2707</v>
      </c>
      <c r="B80" s="3914"/>
      <c r="C80" s="3914"/>
      <c r="D80" s="3914"/>
      <c r="E80" s="3914"/>
      <c r="F80" s="3914"/>
      <c r="G80" s="3914"/>
      <c r="H80" s="3914"/>
      <c r="I80" s="3914"/>
      <c r="J80" s="3914"/>
      <c r="K80" s="3914"/>
      <c r="L80" s="3914"/>
      <c r="M80" s="3914"/>
      <c r="N80" s="3914"/>
      <c r="O80" s="3914"/>
      <c r="P80" s="3914"/>
      <c r="Q80" s="3914"/>
      <c r="R80" s="3914"/>
      <c r="S80" s="3914"/>
      <c r="T80" s="3914"/>
      <c r="U80" s="3914"/>
      <c r="V80" s="3914"/>
      <c r="W80" s="3914"/>
      <c r="X80" s="3914"/>
      <c r="Y80" s="3914"/>
      <c r="Z80" s="3914"/>
      <c r="AA80" s="3914"/>
    </row>
    <row r="81" spans="1:27">
      <c r="A81" s="3914" t="s">
        <v>2709</v>
      </c>
      <c r="B81" s="3914"/>
      <c r="C81" s="3914"/>
      <c r="D81" s="3914"/>
      <c r="E81" s="3914"/>
      <c r="F81" s="3914"/>
      <c r="G81" s="3914"/>
      <c r="H81" s="3914"/>
      <c r="I81" s="3914"/>
      <c r="J81" s="3914"/>
      <c r="K81" s="3914"/>
      <c r="L81" s="3914"/>
      <c r="M81" s="3914"/>
      <c r="N81" s="3914"/>
      <c r="O81" s="3914"/>
      <c r="P81" s="3914"/>
      <c r="Q81" s="3914"/>
      <c r="R81" s="3914"/>
      <c r="S81" s="3914"/>
      <c r="T81" s="3914"/>
      <c r="U81" s="3914"/>
      <c r="V81" s="3914"/>
      <c r="W81" s="3914"/>
      <c r="X81" s="3914"/>
      <c r="Y81" s="3914"/>
      <c r="Z81" s="3914"/>
      <c r="AA81" s="3914"/>
    </row>
    <row r="82" spans="1:27">
      <c r="A82" s="3914" t="s">
        <v>2036</v>
      </c>
      <c r="B82" s="3914"/>
      <c r="C82" s="3914"/>
      <c r="D82" s="3914"/>
      <c r="E82" s="3914"/>
      <c r="F82" s="3914"/>
      <c r="G82" s="3914"/>
      <c r="H82" s="3914"/>
      <c r="I82" s="3914"/>
      <c r="J82" s="3914"/>
      <c r="K82" s="3914"/>
      <c r="L82" s="3914"/>
      <c r="M82" s="3914"/>
      <c r="N82" s="3914"/>
      <c r="O82" s="3914"/>
      <c r="P82" s="3914"/>
      <c r="Q82" s="3914"/>
      <c r="R82" s="3914"/>
      <c r="S82" s="3914"/>
      <c r="T82" s="3914"/>
      <c r="U82" s="3914"/>
      <c r="V82" s="3914"/>
      <c r="W82" s="3914"/>
      <c r="X82" s="3914"/>
      <c r="Y82" s="3914"/>
      <c r="Z82" s="3914"/>
      <c r="AA82" s="3914"/>
    </row>
    <row r="83" spans="1:27">
      <c r="A83" s="3914" t="s">
        <v>2588</v>
      </c>
      <c r="B83" s="3914"/>
      <c r="C83" s="3914"/>
      <c r="D83" s="3914"/>
      <c r="E83" s="3914"/>
      <c r="F83" s="3914"/>
      <c r="G83" s="3914"/>
      <c r="H83" s="3914"/>
      <c r="I83" s="3914"/>
      <c r="J83" s="3914"/>
      <c r="K83" s="3914"/>
      <c r="L83" s="3914"/>
      <c r="M83" s="3914"/>
      <c r="N83" s="3914"/>
      <c r="O83" s="3914"/>
      <c r="P83" s="3914"/>
      <c r="Q83" s="3914"/>
      <c r="R83" s="3914"/>
      <c r="S83" s="3914"/>
      <c r="T83" s="3914"/>
      <c r="U83" s="3914"/>
      <c r="V83" s="3914"/>
      <c r="W83" s="3914"/>
      <c r="X83" s="3914"/>
      <c r="Y83" s="3914"/>
      <c r="Z83" s="3914"/>
      <c r="AA83" s="3914"/>
    </row>
    <row r="84" spans="1:27">
      <c r="A84" s="3914" t="s">
        <v>2689</v>
      </c>
      <c r="B84" s="3914"/>
      <c r="C84" s="3914"/>
      <c r="D84" s="3914"/>
      <c r="E84" s="3914"/>
      <c r="F84" s="3914"/>
      <c r="G84" s="3914"/>
      <c r="H84" s="3914"/>
      <c r="I84" s="3914"/>
      <c r="J84" s="3914"/>
      <c r="K84" s="3914"/>
      <c r="L84" s="3914"/>
      <c r="M84" s="3914"/>
      <c r="N84" s="3914"/>
    </row>
    <row r="85" spans="1:27">
      <c r="A85" s="3914" t="s">
        <v>2714</v>
      </c>
      <c r="B85" s="3914"/>
      <c r="C85" s="3914"/>
      <c r="D85" s="3914"/>
      <c r="E85" s="3914"/>
      <c r="F85" s="3914"/>
      <c r="G85" s="3914"/>
      <c r="H85" s="3914"/>
      <c r="I85" s="3914"/>
      <c r="J85" s="3914"/>
      <c r="K85" s="3914"/>
      <c r="L85" s="3914"/>
      <c r="M85" s="3914"/>
      <c r="N85" s="3914"/>
    </row>
    <row r="86" spans="1:27">
      <c r="A86" s="3914" t="s">
        <v>2716</v>
      </c>
      <c r="B86" s="3914"/>
      <c r="C86" s="3914"/>
      <c r="D86" s="3914"/>
      <c r="E86" s="3914"/>
      <c r="F86" s="3914"/>
      <c r="G86" s="3914"/>
      <c r="H86" s="3914"/>
      <c r="I86" s="3914"/>
      <c r="J86" s="3914"/>
      <c r="K86" s="3914"/>
      <c r="L86" s="3914"/>
      <c r="M86" s="3914"/>
      <c r="N86" s="3914"/>
    </row>
    <row r="87" spans="1:27">
      <c r="A87" s="3914" t="s">
        <v>1165</v>
      </c>
      <c r="B87" s="3914"/>
      <c r="C87" s="3914"/>
      <c r="D87" s="3914"/>
      <c r="E87" s="3914"/>
      <c r="F87" s="3914"/>
      <c r="G87" s="3914"/>
      <c r="H87" s="3914"/>
      <c r="I87" s="3914"/>
      <c r="J87" s="3914"/>
      <c r="K87" s="3914"/>
      <c r="L87" s="3914"/>
      <c r="M87" s="3914"/>
      <c r="N87" s="3914"/>
    </row>
  </sheetData>
  <mergeCells count="2">
    <mergeCell ref="A10:N10"/>
    <mergeCell ref="A1:M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enableFormatConditionsCalculation="0">
    <tabColor indexed="43"/>
  </sheetPr>
  <dimension ref="A1:EA130"/>
  <sheetViews>
    <sheetView showGridLines="0" zoomScale="70" zoomScaleNormal="70" workbookViewId="0">
      <pane xSplit="6" ySplit="16" topLeftCell="DL76" activePane="bottomRight" state="frozen"/>
      <selection pane="topRight" activeCell="G1" sqref="G1"/>
      <selection pane="bottomLeft" activeCell="A17" sqref="A17"/>
      <selection pane="bottomRight" activeCell="DW102" sqref="DW102"/>
    </sheetView>
  </sheetViews>
  <sheetFormatPr defaultRowHeight="13.2"/>
  <cols>
    <col min="1" max="1" width="4.109375" style="1377" customWidth="1"/>
    <col min="2" max="2" width="4.109375" hidden="1" customWidth="1"/>
    <col min="3" max="3" width="4.109375" style="558" customWidth="1"/>
    <col min="4" max="4" width="4.109375" customWidth="1"/>
    <col min="5" max="5" width="36.6640625" customWidth="1"/>
    <col min="6" max="6" width="11.109375" style="558" customWidth="1"/>
    <col min="10" max="10" width="10" bestFit="1" customWidth="1"/>
    <col min="12" max="12" width="10.44140625" style="1232" bestFit="1" customWidth="1"/>
    <col min="13" max="13" width="10.44140625" customWidth="1"/>
    <col min="14" max="14" width="9.109375" style="1232"/>
    <col min="15" max="15" width="10" bestFit="1" customWidth="1"/>
    <col min="17" max="17" width="10.44140625" style="1232" bestFit="1" customWidth="1"/>
    <col min="19" max="19" width="9.109375" style="1232"/>
    <col min="22" max="22" width="10.44140625" style="1232" bestFit="1" customWidth="1"/>
    <col min="24" max="24" width="9.109375" style="1232"/>
    <col min="27" max="27" width="10.44140625" style="1232" bestFit="1" customWidth="1"/>
    <col min="29" max="29" width="9.109375" style="1232"/>
    <col min="32" max="32" width="10.44140625" style="1232" bestFit="1" customWidth="1"/>
    <col min="34" max="34" width="9.109375" style="1232"/>
    <col min="37" max="37" width="10.44140625" style="1232" bestFit="1" customWidth="1"/>
    <col min="39" max="39" width="9.109375" style="1232"/>
    <col min="42" max="42" width="10.44140625" style="1232" bestFit="1" customWidth="1"/>
    <col min="44" max="44" width="9.109375" style="1232"/>
    <col min="47" max="47" width="10.44140625" style="1232" bestFit="1" customWidth="1"/>
    <col min="49" max="49" width="9.109375" style="1232"/>
    <col min="52" max="52" width="10.44140625" style="1232" bestFit="1" customWidth="1"/>
    <col min="54" max="54" width="9.109375" style="1232"/>
    <col min="57" max="66" width="8.5546875" customWidth="1"/>
    <col min="72" max="72" width="10.33203125" bestFit="1" customWidth="1"/>
    <col min="73" max="73" width="8.5546875" customWidth="1"/>
    <col min="75" max="75" width="8.88671875" customWidth="1"/>
    <col min="77" max="77" width="11.109375" customWidth="1"/>
    <col min="80" max="80" width="8.88671875" customWidth="1"/>
    <col min="82" max="82" width="11.109375" customWidth="1"/>
    <col min="104" max="104" width="9.109375" customWidth="1"/>
  </cols>
  <sheetData>
    <row r="1" spans="1:131">
      <c r="BZ1" s="1370">
        <f ca="1">BZ14-BZ15</f>
        <v>346.0881815013862</v>
      </c>
      <c r="CS1" s="3378"/>
      <c r="CX1" s="3378"/>
      <c r="DC1" s="3378"/>
      <c r="DD1" s="3734"/>
      <c r="DE1" s="3734"/>
      <c r="DF1" s="3734"/>
      <c r="DG1" s="3734"/>
      <c r="DH1" s="3734">
        <f ca="1">DH24</f>
        <v>0.22831866250537391</v>
      </c>
      <c r="DM1" s="3378">
        <f ca="1">DM24</f>
        <v>0.22638952433806522</v>
      </c>
      <c r="DR1" s="3734">
        <f ca="1">DR24</f>
        <v>0</v>
      </c>
      <c r="DS1" s="3734"/>
      <c r="DT1" s="3734"/>
      <c r="DU1" s="3734"/>
      <c r="DV1" s="3734"/>
      <c r="DW1" s="3734">
        <f ca="1">DW24</f>
        <v>0</v>
      </c>
    </row>
    <row r="2" spans="1:131" ht="15.6">
      <c r="B2" s="558" t="s">
        <v>1952</v>
      </c>
      <c r="D2" s="1563" t="s">
        <v>2065</v>
      </c>
      <c r="E2" s="1564"/>
      <c r="F2" s="1554" t="s">
        <v>1952</v>
      </c>
      <c r="CS2" s="3326"/>
      <c r="CX2" s="3326"/>
      <c r="DC2" s="3734"/>
      <c r="DD2" s="3734"/>
      <c r="DE2" s="3378"/>
      <c r="DF2" s="3734"/>
      <c r="DG2" s="3734"/>
      <c r="DH2" s="3734">
        <f ca="1">DH30</f>
        <v>-0.57044142136414244</v>
      </c>
      <c r="DI2" s="3734"/>
      <c r="DJ2" s="3734"/>
      <c r="DK2" s="3734"/>
      <c r="DL2" s="3734"/>
      <c r="DM2" s="3734">
        <f ca="1">DM30</f>
        <v>0.40212197101334235</v>
      </c>
      <c r="DN2" s="3734"/>
      <c r="DO2" s="3734"/>
      <c r="DP2" s="3734"/>
      <c r="DQ2" s="3734"/>
      <c r="DR2" s="3734">
        <f ca="1">DR30</f>
        <v>3.3203902712131139E-4</v>
      </c>
      <c r="DS2" s="3734"/>
      <c r="DW2" s="3734">
        <f ca="1">DW30</f>
        <v>-3.7769176717073805E-2</v>
      </c>
      <c r="DX2" s="3734"/>
    </row>
    <row r="3" spans="1:131" ht="15.6">
      <c r="B3" s="558" t="s">
        <v>816</v>
      </c>
      <c r="D3" s="1563" t="s">
        <v>412</v>
      </c>
      <c r="E3" s="1564"/>
      <c r="F3" s="1554" t="s">
        <v>1952</v>
      </c>
      <c r="G3" s="1127" t="str">
        <f>IF(F2=F3,"OK","ARE YOU SURE YOU WANT TO REPORT IN A DIFFERENT WAY THAN THE COUNTRY?")</f>
        <v>OK</v>
      </c>
      <c r="M3" s="1370"/>
      <c r="DC3" s="3378"/>
      <c r="DH3" s="3378"/>
      <c r="DM3" s="3734"/>
    </row>
    <row r="4" spans="1:131">
      <c r="B4" s="558"/>
      <c r="D4" s="4096" t="str">
        <f>IF(F2=F3,"ok","Reporting in different format can cause errors in transfer")</f>
        <v>ok</v>
      </c>
      <c r="E4" s="4096"/>
      <c r="F4" s="4096"/>
      <c r="G4" s="4096" t="str">
        <f ca="1">IF(OFFSET('VVP2'!$G$2,0,(COLUMN()-6)/5)="ok","ok","Not ok - Check VVP2 for inconsistencies")</f>
        <v>Not ok - Check VVP2 for inconsistencies</v>
      </c>
      <c r="H4" s="4096"/>
      <c r="I4" s="4096"/>
      <c r="J4" s="4096"/>
      <c r="K4" s="4097"/>
      <c r="L4" s="4096" t="str">
        <f ca="1">IF(OFFSET('VVP2'!$G$2,0,(COLUMN()-6)/5)="ok","ok","Not ok - Check VVP2 for inconsistencies")</f>
        <v>Not ok - Check VVP2 for inconsistencies</v>
      </c>
      <c r="M4" s="4096"/>
      <c r="N4" s="4096"/>
      <c r="O4" s="4096"/>
      <c r="P4" s="4097"/>
      <c r="Q4" s="4096" t="str">
        <f ca="1">IF(OFFSET('VVP2'!$G$2,0,(COLUMN()-6)/5)="ok","ok","Not ok - Check VVP2 for inconsistencies")</f>
        <v>ok</v>
      </c>
      <c r="R4" s="4096"/>
      <c r="S4" s="4096"/>
      <c r="T4" s="4096"/>
      <c r="U4" s="4097"/>
      <c r="V4" s="4096" t="str">
        <f ca="1">IF(OFFSET('VVP2'!$G$2,0,(COLUMN()-6)/5)="ok","ok","Not ok - Check VVP2 for inconsistencies")</f>
        <v>ok</v>
      </c>
      <c r="W4" s="4096"/>
      <c r="X4" s="4096"/>
      <c r="Y4" s="4096"/>
      <c r="Z4" s="4097"/>
      <c r="AA4" s="4096" t="str">
        <f ca="1">IF(OFFSET('VVP2'!$G$2,0,(COLUMN()-6)/5)="ok","ok","Not ok - Check VVP2 for inconsistencies")</f>
        <v>ok</v>
      </c>
      <c r="AB4" s="4096"/>
      <c r="AC4" s="4096"/>
      <c r="AD4" s="4096"/>
      <c r="AE4" s="4097"/>
      <c r="AF4" s="4096" t="str">
        <f ca="1">IF(OFFSET('VVP2'!$G$2,0,(COLUMN()-6)/5)="ok","ok","Not ok - Check VVP2 for inconsistencies")</f>
        <v>ok</v>
      </c>
      <c r="AG4" s="4096"/>
      <c r="AH4" s="4096"/>
      <c r="AI4" s="4096"/>
      <c r="AJ4" s="4097"/>
      <c r="AK4" s="4096" t="str">
        <f ca="1">IF(OFFSET('VVP2'!$G$2,0,(COLUMN()-6)/5)="ok","ok","Not ok - Check VVP2 for inconsistencies")</f>
        <v>ok</v>
      </c>
      <c r="AL4" s="4096"/>
      <c r="AM4" s="4096"/>
      <c r="AN4" s="4096"/>
      <c r="AO4" s="4097"/>
      <c r="AP4" s="4096" t="str">
        <f ca="1">IF(OFFSET('VVP2'!$G$2,0,(COLUMN()-6)/5)="ok","ok","Not ok - Check VVP2 for inconsistencies")</f>
        <v>ok</v>
      </c>
      <c r="AQ4" s="4096"/>
      <c r="AR4" s="4096"/>
      <c r="AS4" s="4096"/>
      <c r="AT4" s="4097"/>
      <c r="AU4" s="4096" t="str">
        <f ca="1">IF(OFFSET('VVP2'!$G$2,0,(COLUMN()-6)/5)="ok","ok","Not ok - Check VVP2 for inconsistencies")</f>
        <v>ok</v>
      </c>
      <c r="AV4" s="4096"/>
      <c r="AW4" s="4096"/>
      <c r="AX4" s="4096"/>
      <c r="AY4" s="4097"/>
      <c r="AZ4" s="4096" t="str">
        <f ca="1">IF(OFFSET('VVP2'!$G$2,0,(COLUMN()-6)/5)="ok","ok","Not ok - Check VVP2 for inconsistencies")</f>
        <v>ok</v>
      </c>
      <c r="BA4" s="4096"/>
      <c r="BB4" s="4096"/>
      <c r="BC4" s="4096"/>
      <c r="BD4" s="4097"/>
      <c r="BE4" s="4096" t="str">
        <f ca="1">IF(OFFSET('VVP2'!$G$2,0,(COLUMN()-6)/5)="ok","ok","Not ok - Check VVP2 for inconsistencies")</f>
        <v>ok</v>
      </c>
      <c r="BF4" s="4096"/>
      <c r="BG4" s="4096"/>
      <c r="BH4" s="4096"/>
      <c r="BI4" s="4097"/>
      <c r="BJ4" s="4096" t="str">
        <f ca="1">IF(OFFSET('VVP2'!$G$2,0,(COLUMN()-6)/5)="ok","ok","Not ok - Check VVP2 for inconsistencies")</f>
        <v>ok</v>
      </c>
      <c r="BK4" s="4096"/>
      <c r="BL4" s="4096"/>
      <c r="BM4" s="4096"/>
      <c r="BN4" s="4097"/>
      <c r="BO4" s="4096" t="str">
        <f ca="1">IF(OFFSET('VVP2'!$G$2,0,(COLUMN()-6)/5)="ok","ok","Not ok - Check VVP2 for inconsistencies")</f>
        <v>ok</v>
      </c>
      <c r="BP4" s="4096"/>
      <c r="BQ4" s="4096"/>
      <c r="BR4" s="4096"/>
      <c r="BS4" s="4097"/>
      <c r="BT4" s="4096" t="str">
        <f ca="1">IF(OFFSET('VVP2'!$G$2,0,(COLUMN()-6)/5)="ok","ok","Not ok - Check VVP2 for inconsistencies")</f>
        <v>ok</v>
      </c>
      <c r="BU4" s="4096"/>
      <c r="BV4" s="4096"/>
      <c r="BW4" s="4096"/>
      <c r="BX4" s="4097"/>
      <c r="BY4" s="4096" t="str">
        <f ca="1">IF(OFFSET('VVP2'!$G$2,0,(COLUMN()-6)/5)="ok","ok","Not ok - Check VVP2 for inconsistencies")</f>
        <v>ok</v>
      </c>
      <c r="BZ4" s="4096"/>
      <c r="CA4" s="4096"/>
      <c r="CB4" s="4096"/>
      <c r="CC4" s="4097"/>
      <c r="CD4" s="4096" t="str">
        <f ca="1">IF(OFFSET('VVP2'!$G$2,0,(COLUMN()-6)/5)="ok","ok","Not ok - Check VVP2 for inconsistencies")</f>
        <v>ok</v>
      </c>
      <c r="CE4" s="4096"/>
      <c r="CF4" s="4096"/>
      <c r="CG4" s="4096"/>
      <c r="CH4" s="4097"/>
      <c r="CI4" s="4096" t="str">
        <f ca="1">IF(OFFSET('VVP2'!$G$2,0,(COLUMN()-6)/5)="ok","ok","Not ok - Check VVP2 for inconsistencies")</f>
        <v>ok</v>
      </c>
      <c r="CJ4" s="4096"/>
      <c r="CK4" s="4096"/>
      <c r="CL4" s="4096"/>
      <c r="CM4" s="4097"/>
      <c r="CN4" s="4096" t="str">
        <f ca="1">IF(OFFSET('VVP2'!$G$2,0,(COLUMN()-6)/5)="ok","ok","Not ok - Check VVP2 for inconsistencies")</f>
        <v>ok</v>
      </c>
      <c r="CO4" s="4096"/>
      <c r="CP4" s="4096"/>
      <c r="CQ4" s="4096"/>
      <c r="CR4" s="4097"/>
      <c r="CS4" s="4096" t="str">
        <f ca="1">IF(OFFSET('VVP2'!$G$2,0,(COLUMN()-6)/5)="ok","ok","Not ok - Check VVP2 for inconsistencies")</f>
        <v>ok</v>
      </c>
      <c r="CT4" s="4096"/>
      <c r="CU4" s="4096"/>
      <c r="CV4" s="4096"/>
      <c r="CW4" s="4097"/>
      <c r="CX4" s="4096" t="str">
        <f ca="1">IF(OFFSET('VVP2'!$G$2,0,(COLUMN()-6)/5)="ok","ok","Not ok - Check VVP2 for inconsistencies")</f>
        <v>ok</v>
      </c>
      <c r="CY4" s="4096"/>
      <c r="CZ4" s="4096"/>
      <c r="DA4" s="4096"/>
      <c r="DB4" s="4097"/>
      <c r="DC4" s="4096" t="str">
        <f ca="1">IF(OFFSET('VVP2'!$G$2,0,(COLUMN()-6)/5)="ok","ok","Not ok - Check VVP2 for inconsistencies")</f>
        <v>Not ok - Check VVP2 for inconsistencies</v>
      </c>
      <c r="DD4" s="4096"/>
      <c r="DE4" s="4096"/>
      <c r="DF4" s="4096"/>
      <c r="DG4" s="4097"/>
      <c r="DH4" s="4096" t="str">
        <f ca="1">IF(OFFSET('VVP2'!$G$2,0,(COLUMN()-6)/5)="ok","ok","Not ok - Check VVP2 for inconsistencies")</f>
        <v>Not ok - Check VVP2 for inconsistencies</v>
      </c>
      <c r="DI4" s="4096"/>
      <c r="DJ4" s="4096"/>
      <c r="DK4" s="4096"/>
      <c r="DL4" s="4097"/>
      <c r="DM4" s="4096" t="str">
        <f ca="1">IF(OFFSET('VVP2'!$G$2,0,(COLUMN()-6)/5)="ok","ok","Not ok - Check VVP2 for inconsistencies")</f>
        <v>Not ok - Check VVP2 for inconsistencies</v>
      </c>
      <c r="DN4" s="4096"/>
      <c r="DO4" s="4096"/>
      <c r="DP4" s="4096"/>
      <c r="DQ4" s="4097"/>
      <c r="DR4" s="4096" t="str">
        <f ca="1">IF(OFFSET('VVP2'!$G$2,0,(COLUMN()-6)/5)="ok","ok","Not ok - Check VVP2 for inconsistencies")</f>
        <v>ok</v>
      </c>
      <c r="DS4" s="4096"/>
      <c r="DT4" s="4096"/>
      <c r="DU4" s="4096"/>
      <c r="DV4" s="4097"/>
      <c r="DW4" s="4096" t="str">
        <f ca="1">IF(OFFSET('VVP2'!$G$2,0,(COLUMN()-6)/5)="ok","ok","Not ok - Check VVP2 for inconsistencies")</f>
        <v>ok</v>
      </c>
      <c r="DX4" s="4096"/>
      <c r="DY4" s="4096"/>
      <c r="DZ4" s="4096"/>
      <c r="EA4" s="4097"/>
    </row>
    <row r="5" spans="1:131">
      <c r="D5" s="1197"/>
      <c r="E5" s="4108" t="s">
        <v>701</v>
      </c>
      <c r="F5" s="4115"/>
      <c r="G5" s="4098">
        <f>+InputY!$G$3</f>
        <v>1995</v>
      </c>
      <c r="H5" s="4099"/>
      <c r="I5" s="4099"/>
      <c r="J5" s="4099"/>
      <c r="K5" s="4100"/>
      <c r="L5" s="4098">
        <f>+G5+1</f>
        <v>1996</v>
      </c>
      <c r="M5" s="4099"/>
      <c r="N5" s="4099"/>
      <c r="O5" s="4099"/>
      <c r="P5" s="4100"/>
      <c r="Q5" s="4098">
        <f>+L5+1</f>
        <v>1997</v>
      </c>
      <c r="R5" s="4099"/>
      <c r="S5" s="4099"/>
      <c r="T5" s="4099"/>
      <c r="U5" s="4100"/>
      <c r="V5" s="4098">
        <f>+Q5+1</f>
        <v>1998</v>
      </c>
      <c r="W5" s="4099"/>
      <c r="X5" s="4099"/>
      <c r="Y5" s="4099"/>
      <c r="Z5" s="4100"/>
      <c r="AA5" s="4098">
        <f>+V5+1</f>
        <v>1999</v>
      </c>
      <c r="AB5" s="4099"/>
      <c r="AC5" s="4099"/>
      <c r="AD5" s="4099"/>
      <c r="AE5" s="4100"/>
      <c r="AF5" s="4098">
        <f>+AA5+1</f>
        <v>2000</v>
      </c>
      <c r="AG5" s="4099"/>
      <c r="AH5" s="4099"/>
      <c r="AI5" s="4099"/>
      <c r="AJ5" s="4100"/>
      <c r="AK5" s="4098">
        <f>+AF5+1</f>
        <v>2001</v>
      </c>
      <c r="AL5" s="4099"/>
      <c r="AM5" s="4099"/>
      <c r="AN5" s="4099"/>
      <c r="AO5" s="4100"/>
      <c r="AP5" s="4098">
        <f>+AK5+1</f>
        <v>2002</v>
      </c>
      <c r="AQ5" s="4099"/>
      <c r="AR5" s="4099"/>
      <c r="AS5" s="4099"/>
      <c r="AT5" s="4100"/>
      <c r="AU5" s="4098">
        <f>+AP5+1</f>
        <v>2003</v>
      </c>
      <c r="AV5" s="4099"/>
      <c r="AW5" s="4099"/>
      <c r="AX5" s="4099"/>
      <c r="AY5" s="4100"/>
      <c r="AZ5" s="4098">
        <f>+AU5+1</f>
        <v>2004</v>
      </c>
      <c r="BA5" s="4099"/>
      <c r="BB5" s="4099"/>
      <c r="BC5" s="4099"/>
      <c r="BD5" s="4100"/>
      <c r="BE5" s="4098">
        <f>+AZ5+1</f>
        <v>2005</v>
      </c>
      <c r="BF5" s="4099"/>
      <c r="BG5" s="4099"/>
      <c r="BH5" s="4099"/>
      <c r="BI5" s="4100"/>
      <c r="BJ5" s="4098">
        <f>+BE5+1</f>
        <v>2006</v>
      </c>
      <c r="BK5" s="4099"/>
      <c r="BL5" s="4099"/>
      <c r="BM5" s="4099"/>
      <c r="BN5" s="4100"/>
      <c r="BO5" s="4098">
        <f>+BJ5+1</f>
        <v>2007</v>
      </c>
      <c r="BP5" s="4099"/>
      <c r="BQ5" s="4099"/>
      <c r="BR5" s="4099"/>
      <c r="BS5" s="4100"/>
      <c r="BT5" s="4098">
        <f>+BO5+1</f>
        <v>2008</v>
      </c>
      <c r="BU5" s="4099"/>
      <c r="BV5" s="4099"/>
      <c r="BW5" s="4099"/>
      <c r="BX5" s="4100"/>
      <c r="BY5" s="4098">
        <f>+BT5+1</f>
        <v>2009</v>
      </c>
      <c r="BZ5" s="4099"/>
      <c r="CA5" s="4099"/>
      <c r="CB5" s="4099"/>
      <c r="CC5" s="4100"/>
      <c r="CD5" s="4098">
        <f>+BY5+1</f>
        <v>2010</v>
      </c>
      <c r="CE5" s="4099"/>
      <c r="CF5" s="4099"/>
      <c r="CG5" s="4099"/>
      <c r="CH5" s="4100"/>
      <c r="CI5" s="4098">
        <f>+CD5+1</f>
        <v>2011</v>
      </c>
      <c r="CJ5" s="4099"/>
      <c r="CK5" s="4099"/>
      <c r="CL5" s="4099"/>
      <c r="CM5" s="4100"/>
      <c r="CN5" s="4098">
        <f>+CI5+1</f>
        <v>2012</v>
      </c>
      <c r="CO5" s="4099"/>
      <c r="CP5" s="4099"/>
      <c r="CQ5" s="4099"/>
      <c r="CR5" s="4100"/>
      <c r="CS5" s="4098">
        <f>+CN5+1</f>
        <v>2013</v>
      </c>
      <c r="CT5" s="4099"/>
      <c r="CU5" s="4099"/>
      <c r="CV5" s="4099"/>
      <c r="CW5" s="4100"/>
      <c r="CX5" s="4098">
        <f>+CS5+1</f>
        <v>2014</v>
      </c>
      <c r="CY5" s="4099"/>
      <c r="CZ5" s="4099"/>
      <c r="DA5" s="4099"/>
      <c r="DB5" s="4100"/>
      <c r="DC5" s="4098">
        <f>+CX5+1</f>
        <v>2015</v>
      </c>
      <c r="DD5" s="4099"/>
      <c r="DE5" s="4099"/>
      <c r="DF5" s="4099"/>
      <c r="DG5" s="4100"/>
      <c r="DH5" s="4098">
        <f>+DC5+1</f>
        <v>2016</v>
      </c>
      <c r="DI5" s="4099"/>
      <c r="DJ5" s="4099"/>
      <c r="DK5" s="4099"/>
      <c r="DL5" s="4100"/>
      <c r="DM5" s="4098">
        <f>+DH5+1</f>
        <v>2017</v>
      </c>
      <c r="DN5" s="4099"/>
      <c r="DO5" s="4099"/>
      <c r="DP5" s="4099"/>
      <c r="DQ5" s="4100"/>
      <c r="DR5" s="4098">
        <f>+DM5+1</f>
        <v>2018</v>
      </c>
      <c r="DS5" s="4099"/>
      <c r="DT5" s="4099"/>
      <c r="DU5" s="4099"/>
      <c r="DV5" s="4100"/>
      <c r="DW5" s="4098">
        <f>+DR5+1</f>
        <v>2019</v>
      </c>
      <c r="DX5" s="4099"/>
      <c r="DY5" s="4099"/>
      <c r="DZ5" s="4099"/>
      <c r="EA5" s="4100"/>
    </row>
    <row r="6" spans="1:131">
      <c r="C6" s="3"/>
      <c r="D6" s="1142"/>
      <c r="E6" s="4110"/>
      <c r="F6" s="4116"/>
      <c r="G6" s="1193" t="s">
        <v>506</v>
      </c>
      <c r="H6" s="1194" t="s">
        <v>499</v>
      </c>
      <c r="I6" s="1193" t="s">
        <v>1186</v>
      </c>
      <c r="J6" s="1194" t="s">
        <v>1304</v>
      </c>
      <c r="K6" s="1193" t="s">
        <v>1187</v>
      </c>
      <c r="L6" s="1193" t="s">
        <v>506</v>
      </c>
      <c r="M6" s="1194" t="s">
        <v>499</v>
      </c>
      <c r="N6" s="1193" t="s">
        <v>1186</v>
      </c>
      <c r="O6" s="1194" t="s">
        <v>1304</v>
      </c>
      <c r="P6" s="1193" t="s">
        <v>1187</v>
      </c>
      <c r="Q6" s="1193" t="s">
        <v>506</v>
      </c>
      <c r="R6" s="1194" t="s">
        <v>499</v>
      </c>
      <c r="S6" s="1193" t="s">
        <v>1186</v>
      </c>
      <c r="T6" s="1194" t="s">
        <v>1304</v>
      </c>
      <c r="U6" s="1193" t="s">
        <v>1187</v>
      </c>
      <c r="V6" s="1193" t="s">
        <v>506</v>
      </c>
      <c r="W6" s="1194" t="s">
        <v>499</v>
      </c>
      <c r="X6" s="1193" t="s">
        <v>1186</v>
      </c>
      <c r="Y6" s="1194" t="s">
        <v>1304</v>
      </c>
      <c r="Z6" s="1193" t="s">
        <v>1187</v>
      </c>
      <c r="AA6" s="1193" t="s">
        <v>506</v>
      </c>
      <c r="AB6" s="1194" t="s">
        <v>499</v>
      </c>
      <c r="AC6" s="1193" t="s">
        <v>1186</v>
      </c>
      <c r="AD6" s="1194" t="s">
        <v>1304</v>
      </c>
      <c r="AE6" s="1193" t="s">
        <v>1187</v>
      </c>
      <c r="AF6" s="1193" t="s">
        <v>506</v>
      </c>
      <c r="AG6" s="1194" t="s">
        <v>499</v>
      </c>
      <c r="AH6" s="1193" t="s">
        <v>1186</v>
      </c>
      <c r="AI6" s="1194" t="s">
        <v>1304</v>
      </c>
      <c r="AJ6" s="1193" t="s">
        <v>1187</v>
      </c>
      <c r="AK6" s="1193" t="s">
        <v>506</v>
      </c>
      <c r="AL6" s="1194" t="s">
        <v>499</v>
      </c>
      <c r="AM6" s="1193" t="s">
        <v>1186</v>
      </c>
      <c r="AN6" s="1194" t="s">
        <v>1304</v>
      </c>
      <c r="AO6" s="1193" t="s">
        <v>1187</v>
      </c>
      <c r="AP6" s="1193" t="s">
        <v>506</v>
      </c>
      <c r="AQ6" s="1194" t="s">
        <v>499</v>
      </c>
      <c r="AR6" s="1193" t="s">
        <v>1186</v>
      </c>
      <c r="AS6" s="1194" t="s">
        <v>1304</v>
      </c>
      <c r="AT6" s="1193" t="s">
        <v>1187</v>
      </c>
      <c r="AU6" s="1193" t="s">
        <v>506</v>
      </c>
      <c r="AV6" s="1194" t="s">
        <v>499</v>
      </c>
      <c r="AW6" s="1193" t="s">
        <v>1186</v>
      </c>
      <c r="AX6" s="1194" t="s">
        <v>1304</v>
      </c>
      <c r="AY6" s="1193" t="s">
        <v>1187</v>
      </c>
      <c r="AZ6" s="1193" t="s">
        <v>506</v>
      </c>
      <c r="BA6" s="1194" t="s">
        <v>499</v>
      </c>
      <c r="BB6" s="1193" t="s">
        <v>1186</v>
      </c>
      <c r="BC6" s="1194" t="s">
        <v>1304</v>
      </c>
      <c r="BD6" s="1193" t="s">
        <v>1187</v>
      </c>
      <c r="BE6" s="1193" t="s">
        <v>506</v>
      </c>
      <c r="BF6" s="1194" t="s">
        <v>499</v>
      </c>
      <c r="BG6" s="1193" t="s">
        <v>1186</v>
      </c>
      <c r="BH6" s="1194" t="s">
        <v>1304</v>
      </c>
      <c r="BI6" s="1193" t="s">
        <v>1187</v>
      </c>
      <c r="BJ6" s="1193" t="s">
        <v>506</v>
      </c>
      <c r="BK6" s="1194" t="s">
        <v>499</v>
      </c>
      <c r="BL6" s="1193" t="s">
        <v>1186</v>
      </c>
      <c r="BM6" s="1194" t="s">
        <v>1304</v>
      </c>
      <c r="BN6" s="1193" t="s">
        <v>1187</v>
      </c>
      <c r="BO6" s="1193" t="s">
        <v>506</v>
      </c>
      <c r="BP6" s="1194" t="s">
        <v>499</v>
      </c>
      <c r="BQ6" s="1193" t="s">
        <v>1186</v>
      </c>
      <c r="BR6" s="1194" t="s">
        <v>1304</v>
      </c>
      <c r="BS6" s="1193" t="s">
        <v>1187</v>
      </c>
      <c r="BT6" s="1193" t="s">
        <v>506</v>
      </c>
      <c r="BU6" s="1194" t="s">
        <v>499</v>
      </c>
      <c r="BV6" s="1193" t="s">
        <v>1186</v>
      </c>
      <c r="BW6" s="1194" t="s">
        <v>1304</v>
      </c>
      <c r="BX6" s="1193" t="s">
        <v>1187</v>
      </c>
      <c r="BY6" s="1193" t="s">
        <v>506</v>
      </c>
      <c r="BZ6" s="1194" t="s">
        <v>499</v>
      </c>
      <c r="CA6" s="1193" t="s">
        <v>1186</v>
      </c>
      <c r="CB6" s="1194" t="s">
        <v>1304</v>
      </c>
      <c r="CC6" s="1193" t="s">
        <v>1187</v>
      </c>
      <c r="CD6" s="1193" t="s">
        <v>506</v>
      </c>
      <c r="CE6" s="1194" t="s">
        <v>499</v>
      </c>
      <c r="CF6" s="1193" t="s">
        <v>1186</v>
      </c>
      <c r="CG6" s="1194" t="s">
        <v>1304</v>
      </c>
      <c r="CH6" s="1193" t="s">
        <v>1187</v>
      </c>
      <c r="CI6" s="1193" t="s">
        <v>506</v>
      </c>
      <c r="CJ6" s="1194" t="s">
        <v>499</v>
      </c>
      <c r="CK6" s="1193" t="s">
        <v>1186</v>
      </c>
      <c r="CL6" s="1194" t="s">
        <v>1304</v>
      </c>
      <c r="CM6" s="1193" t="s">
        <v>1187</v>
      </c>
      <c r="CN6" s="1193" t="s">
        <v>506</v>
      </c>
      <c r="CO6" s="1194" t="s">
        <v>499</v>
      </c>
      <c r="CP6" s="1193" t="s">
        <v>1186</v>
      </c>
      <c r="CQ6" s="1194" t="s">
        <v>1304</v>
      </c>
      <c r="CR6" s="1193" t="s">
        <v>1187</v>
      </c>
      <c r="CS6" s="1193" t="s">
        <v>506</v>
      </c>
      <c r="CT6" s="1194" t="s">
        <v>499</v>
      </c>
      <c r="CU6" s="1193" t="s">
        <v>1186</v>
      </c>
      <c r="CV6" s="1194" t="s">
        <v>1304</v>
      </c>
      <c r="CW6" s="1193" t="s">
        <v>1187</v>
      </c>
      <c r="CX6" s="1193" t="s">
        <v>506</v>
      </c>
      <c r="CY6" s="1194" t="s">
        <v>499</v>
      </c>
      <c r="CZ6" s="1193" t="s">
        <v>1186</v>
      </c>
      <c r="DA6" s="1194" t="s">
        <v>1304</v>
      </c>
      <c r="DB6" s="1193" t="s">
        <v>1187</v>
      </c>
      <c r="DC6" s="1193" t="s">
        <v>506</v>
      </c>
      <c r="DD6" s="1194" t="s">
        <v>499</v>
      </c>
      <c r="DE6" s="1193" t="s">
        <v>1186</v>
      </c>
      <c r="DF6" s="1194" t="s">
        <v>1304</v>
      </c>
      <c r="DG6" s="1193" t="s">
        <v>1187</v>
      </c>
      <c r="DH6" s="1193" t="s">
        <v>506</v>
      </c>
      <c r="DI6" s="1194" t="s">
        <v>499</v>
      </c>
      <c r="DJ6" s="1193" t="s">
        <v>1186</v>
      </c>
      <c r="DK6" s="1194" t="s">
        <v>1304</v>
      </c>
      <c r="DL6" s="1193" t="s">
        <v>1187</v>
      </c>
      <c r="DM6" s="1193" t="s">
        <v>506</v>
      </c>
      <c r="DN6" s="1194" t="s">
        <v>499</v>
      </c>
      <c r="DO6" s="1193" t="s">
        <v>1186</v>
      </c>
      <c r="DP6" s="1194" t="s">
        <v>1304</v>
      </c>
      <c r="DQ6" s="1193" t="s">
        <v>1187</v>
      </c>
      <c r="DR6" s="1193" t="s">
        <v>506</v>
      </c>
      <c r="DS6" s="1194" t="s">
        <v>499</v>
      </c>
      <c r="DT6" s="1193" t="s">
        <v>1186</v>
      </c>
      <c r="DU6" s="1194" t="s">
        <v>1304</v>
      </c>
      <c r="DV6" s="1193" t="s">
        <v>1187</v>
      </c>
      <c r="DW6" s="1193" t="s">
        <v>506</v>
      </c>
      <c r="DX6" s="1194" t="s">
        <v>499</v>
      </c>
      <c r="DY6" s="1193" t="s">
        <v>1186</v>
      </c>
      <c r="DZ6" s="1194" t="s">
        <v>1304</v>
      </c>
      <c r="EA6" s="1193" t="s">
        <v>1187</v>
      </c>
    </row>
    <row r="7" spans="1:131" s="28" customFormat="1">
      <c r="A7" s="1378"/>
      <c r="C7" s="827" t="s">
        <v>622</v>
      </c>
      <c r="D7" s="821" t="s">
        <v>589</v>
      </c>
      <c r="E7" s="1162" t="s">
        <v>1043</v>
      </c>
      <c r="F7" s="1163" t="s">
        <v>1305</v>
      </c>
      <c r="G7" s="1304"/>
      <c r="H7" s="1187"/>
      <c r="I7" s="1305"/>
      <c r="J7" s="1175">
        <f ca="1">OFFSET('VVP2'!$G$192,0,(COLUMN()-6)/5)</f>
        <v>112.9679</v>
      </c>
      <c r="K7" s="1308"/>
      <c r="L7" s="1165">
        <f ca="1">OFFSET('VVP2'!$G$10,0,(COLUMN()-7)/5)</f>
        <v>-2.0833967295878497</v>
      </c>
      <c r="M7" s="1171">
        <f ca="1">+J7*(1+L7/100)</f>
        <v>110.61433046591593</v>
      </c>
      <c r="N7" s="1165">
        <f t="shared" ref="N7:N16" ca="1" si="0">+O7/M7*100-100</f>
        <v>5.4175345173115517</v>
      </c>
      <c r="O7" s="1171">
        <f ca="1">OFFSET('VVP2'!$G$192,0,(COLUMN()-10)/5)</f>
        <v>116.6069</v>
      </c>
      <c r="P7" s="1164">
        <f t="shared" ref="P7:P16" ca="1" si="1">(O7/J7-1)*100</f>
        <v>3.2212690507657404</v>
      </c>
      <c r="Q7" s="1165">
        <f ca="1">OFFSET('VVP2'!$G$10,0,(COLUMN()-7)/5)</f>
        <v>1.7869137687009262</v>
      </c>
      <c r="R7" s="1171">
        <f ca="1">+O7*(1+Q7/100)</f>
        <v>118.69056475135531</v>
      </c>
      <c r="S7" s="1165">
        <f t="shared" ref="S7:S16" ca="1" si="2">+T7/R7*100-100</f>
        <v>1.5170837314801133</v>
      </c>
      <c r="T7" s="1171">
        <f ca="1">OFFSET('VVP2'!$G$192,0,(COLUMN()-10)/5)</f>
        <v>120.49119999999999</v>
      </c>
      <c r="U7" s="1164">
        <f t="shared" ref="U7:U16" ca="1" si="3">(T7/O7-1)*100</f>
        <v>3.3311064782615807</v>
      </c>
      <c r="V7" s="1165">
        <f ca="1">OFFSET('VVP2'!$G$10,0,(COLUMN()-7)/5)</f>
        <v>2.7204737446882232</v>
      </c>
      <c r="W7" s="1171">
        <f ca="1">+T7*(1+V7/100)</f>
        <v>123.76913146065976</v>
      </c>
      <c r="X7" s="1165">
        <f t="shared" ref="X7:X16" ca="1" si="4">+Y7/W7*100-100</f>
        <v>1.2019705735861095</v>
      </c>
      <c r="Y7" s="1171">
        <f ca="1">OFFSET('VVP2'!$G$192,0,(COLUMN()-10)/5)</f>
        <v>125.2568</v>
      </c>
      <c r="Z7" s="1164">
        <f t="shared" ref="Z7:Z16" ca="1" si="5">(Y7/T7-1)*100</f>
        <v>3.9551436121476158</v>
      </c>
      <c r="AA7" s="1165">
        <f ca="1">OFFSET('VVP2'!$G$10,0,(COLUMN()-7)/5)</f>
        <v>1.6759962207295143</v>
      </c>
      <c r="AB7" s="1171">
        <f ca="1">+Y7*(1+AA7/100)</f>
        <v>127.35609923420672</v>
      </c>
      <c r="AC7" s="1165">
        <f t="shared" ref="AC7:AC16" ca="1" si="6">+AD7/AB7*100-100</f>
        <v>0.62211450457212436</v>
      </c>
      <c r="AD7" s="1171">
        <f ca="1">OFFSET('VVP2'!$G$192,0,(COLUMN()-10)/5)</f>
        <v>128.14839999999998</v>
      </c>
      <c r="AE7" s="1164">
        <f t="shared" ref="AE7:AE16" ca="1" si="7">(AD7/Y7-1)*100</f>
        <v>2.3085373408868737</v>
      </c>
      <c r="AF7" s="1165">
        <f ca="1">OFFSET('VVP2'!$G$10,0,(COLUMN()-7)/5)</f>
        <v>2.9033695269794491</v>
      </c>
      <c r="AG7" s="1171">
        <f ca="1">+AD7*(1+AF7/100)</f>
        <v>131.86902159491171</v>
      </c>
      <c r="AH7" s="1165">
        <f t="shared" ref="AH7:AH16" ca="1" si="8">+AI7/AG7*100-100</f>
        <v>3.210593628345876</v>
      </c>
      <c r="AI7" s="1171">
        <f ca="1">OFFSET('VVP2'!$G$192,0,(COLUMN()-10)/5)</f>
        <v>136.1028</v>
      </c>
      <c r="AJ7" s="1164">
        <f t="shared" ref="AJ7:AJ16" ca="1" si="9">(AI7/AD7-1)*100</f>
        <v>6.2071785523658773</v>
      </c>
      <c r="AK7" s="1165">
        <f ca="1">OFFSET('VVP2'!$G$10,0,(COLUMN()-7)/5)</f>
        <v>1.0140111275836361</v>
      </c>
      <c r="AL7" s="1171">
        <f ca="1">+AI7*(1+AK7/100)</f>
        <v>137.48289753695289</v>
      </c>
      <c r="AM7" s="1165">
        <f t="shared" ref="AM7:AM16" ca="1" si="10">+AN7/AL7*100-100</f>
        <v>2.0424376510484592</v>
      </c>
      <c r="AN7" s="1171">
        <f ca="1">OFFSET('VVP2'!$G$192,0,(COLUMN()-10)/5)</f>
        <v>140.29089999999999</v>
      </c>
      <c r="AO7" s="1164">
        <f t="shared" ref="AO7:AO16" ca="1" si="11">(AN7/AI7-1)*100</f>
        <v>3.0771593236876837</v>
      </c>
      <c r="AP7" s="1165">
        <f ca="1">OFFSET('VVP2'!$G$10,0,(COLUMN()-7)/5)</f>
        <v>0.39763354109940696</v>
      </c>
      <c r="AQ7" s="1171">
        <f ca="1">+AN7*(1+AP7/100)</f>
        <v>140.84874367351023</v>
      </c>
      <c r="AR7" s="1165">
        <f t="shared" ref="AR7:AR16" ca="1" si="12">+AS7/AQ7*100-100</f>
        <v>1.3841488930911936</v>
      </c>
      <c r="AS7" s="1171">
        <f ca="1">OFFSET('VVP2'!$G$192,0,(COLUMN()-10)/5)</f>
        <v>142.79829999999998</v>
      </c>
      <c r="AT7" s="1164">
        <f t="shared" ref="AT7:AT16" ca="1" si="13">(AS7/AN7-1)*100</f>
        <v>1.7872862744483076</v>
      </c>
      <c r="AU7" s="1165">
        <f ca="1">OFFSET('VVP2'!$G$10,0,(COLUMN()-7)/5)</f>
        <v>0.51696596524011262</v>
      </c>
      <c r="AV7" s="1171">
        <f ca="1">+AS7*(1+AU7/100)</f>
        <v>143.53651860994145</v>
      </c>
      <c r="AW7" s="1165">
        <f t="shared" ref="AW7:AW16" ca="1" si="14">+AX7/AV7*100-100</f>
        <v>1.5772163153898333</v>
      </c>
      <c r="AX7" s="1171">
        <f ca="1">OFFSET('VVP2'!$G$192,0,(COLUMN()-10)/5)</f>
        <v>145.8004</v>
      </c>
      <c r="AY7" s="1164">
        <f t="shared" ref="AY7:AY16" ca="1" si="15">(AX7/AS7-1)*100</f>
        <v>2.1023359521787022</v>
      </c>
      <c r="AZ7" s="1165">
        <f ca="1">OFFSET('VVP2'!$G$10,0,(COLUMN()-7)/5)</f>
        <v>1.5600774356334002</v>
      </c>
      <c r="BA7" s="1171">
        <f ca="1">+AX7*(1+AZ7/100)</f>
        <v>148.07499914146322</v>
      </c>
      <c r="BB7" s="1165">
        <f t="shared" ref="BB7:BB16" ca="1" si="16">+BC7/BA7*100-100</f>
        <v>2.4136423293998206</v>
      </c>
      <c r="BC7" s="1171">
        <f ca="1">OFFSET('VVP2'!$G$192,0,(COLUMN()-10)/5)</f>
        <v>151.649</v>
      </c>
      <c r="BD7" s="1164">
        <f t="shared" ref="BD7:BD16" ca="1" si="17">(BC7/AX7-1)*100</f>
        <v>4.0113744543910812</v>
      </c>
      <c r="BE7" s="1165">
        <f ca="1">OFFSET('VVP2'!$G$10,0,(COLUMN()-7)/5)</f>
        <v>1.2299601205414845</v>
      </c>
      <c r="BF7" s="1171">
        <f ca="1">+BC7*(1+BE7/100)</f>
        <v>153.51422222319997</v>
      </c>
      <c r="BG7" s="1165">
        <f t="shared" ref="BG7:BG16" ca="1" si="18">+BH7/BF7*100-100</f>
        <v>2.701363897587683</v>
      </c>
      <c r="BH7" s="1171">
        <f ca="1">OFFSET('VVP2'!$G$192,0,(COLUMN()-10)/5)</f>
        <v>157.66120000000001</v>
      </c>
      <c r="BI7" s="1164">
        <f t="shared" ref="BI7:BI16" ca="1" si="19">(BH7/BC7-1)*100</f>
        <v>3.9645497167801969</v>
      </c>
      <c r="BJ7" s="1165">
        <f ca="1">OFFSET('VVP2'!$G$10,0,(COLUMN()-7)/5)</f>
        <v>1.4706070733341958</v>
      </c>
      <c r="BK7" s="1171">
        <f ca="1">+BH7*(1+BJ7/100)</f>
        <v>159.97977675910357</v>
      </c>
      <c r="BL7" s="1165">
        <f t="shared" ref="BL7:BL16" ca="1" si="20">+BM7/BK7*100-100</f>
        <v>3.1059696053824268</v>
      </c>
      <c r="BM7" s="1171">
        <f ca="1">OFFSET('VVP2'!$G$192,0,(COLUMN()-10)/5)</f>
        <v>164.9487</v>
      </c>
      <c r="BN7" s="1164">
        <f t="shared" ref="BN7:BN16" ca="1" si="21">(BM7/BH7-1)*100</f>
        <v>4.622253287428979</v>
      </c>
      <c r="BO7" s="1165">
        <f ca="1">OFFSET('VVP2'!$G$10,0,(COLUMN()-7)/5)</f>
        <v>1.8533925153511044</v>
      </c>
      <c r="BP7" s="1171">
        <f ca="1">+BM7*(1+BO7/100)</f>
        <v>168.00584685996895</v>
      </c>
      <c r="BQ7" s="1165">
        <f t="shared" ref="BQ7:BQ16" ca="1" si="22">+BR7/BP7*100-100</f>
        <v>2.8929071403580622</v>
      </c>
      <c r="BR7" s="1171">
        <f ca="1">OFFSET('VVP2'!$G$192,0,(COLUMN()-10)/5)</f>
        <v>172.86610000000002</v>
      </c>
      <c r="BS7" s="1164">
        <f t="shared" ref="BS7:BS16" ca="1" si="23">(BR7/BM7-1)*100</f>
        <v>4.7999165801246191</v>
      </c>
      <c r="BT7" s="1165">
        <f ca="1">OFFSET('VVP2'!$G$10,0,(COLUMN()-7)/5)</f>
        <v>1.695163125400545</v>
      </c>
      <c r="BU7" s="1171">
        <f ca="1">+BR7*(1+BT7/100)</f>
        <v>175.79646238351805</v>
      </c>
      <c r="BV7" s="1165">
        <f t="shared" ref="BV7:BV16" ca="1" si="24">+BW7/BU7*100-100</f>
        <v>3.1831343706302846</v>
      </c>
      <c r="BW7" s="3013">
        <f ca="1">OFFSET('VVP2'!$G$192,0,(COLUMN()-10)/5)</f>
        <v>181.39229999999998</v>
      </c>
      <c r="BX7" s="1164">
        <f t="shared" ref="BX7:BX16" ca="1" si="25">(BW7/BR7-1)*100</f>
        <v>4.9322568161137115</v>
      </c>
      <c r="BY7" s="1165">
        <f ca="1">OFFSET('VVP2'!$G$10,0,(COLUMN()-7)/5)</f>
        <v>0.49291314924939655</v>
      </c>
      <c r="BZ7" s="1171">
        <f ca="1">+BW7*(1+BY7/100)</f>
        <v>182.28640649842589</v>
      </c>
      <c r="CA7" s="1165">
        <f t="shared" ref="CA7:CA16" ca="1" si="26">+CB7/BZ7*100-100</f>
        <v>-0.40634214731325358</v>
      </c>
      <c r="CB7" s="1171">
        <f ca="1">OFFSET('VVP2'!$G$192,0,(COLUMN()-10)/5)</f>
        <v>181.54570000000001</v>
      </c>
      <c r="CC7" s="1164">
        <f t="shared" ref="CC7:CC16" ca="1" si="27">(CB7/BW7-1)*100</f>
        <v>8.4568088061098834E-2</v>
      </c>
      <c r="CD7" s="1165">
        <f ca="1">OFFSET('VVP2'!$G$10,0,(COLUMN()-7)/5)</f>
        <v>2.7060900277208422</v>
      </c>
      <c r="CE7" s="1166">
        <f ca="1">+CB7*(1+CD7/100)</f>
        <v>186.45849008345601</v>
      </c>
      <c r="CF7" s="1765">
        <f t="shared" ref="CF7:CF16" ca="1" si="28">+CG7/CE7*100-100</f>
        <v>1.7346541394260413</v>
      </c>
      <c r="CG7" s="1166">
        <f ca="1">OFFSET('VVP2'!$G$192,0,(COLUMN()-10)/5)</f>
        <v>189.69289999999998</v>
      </c>
      <c r="CH7" s="1336">
        <f t="shared" ref="CH7:CH16" ca="1" si="29">(CG7/CB7-1)*100</f>
        <v>4.4876854698293389</v>
      </c>
      <c r="CI7" s="1165">
        <f ca="1">OFFSET('VVP2'!$G$10,0,(COLUMN()-7)/5)</f>
        <v>0.34410354841958313</v>
      </c>
      <c r="CJ7" s="1166">
        <f ca="1">+CG7*(1+CI7/100)</f>
        <v>190.34564</v>
      </c>
      <c r="CK7" s="1765">
        <f t="shared" ref="CK7:CK16" ca="1" si="30">+CL7/CJ7*100-100</f>
        <v>3.0069299196976687</v>
      </c>
      <c r="CL7" s="1166">
        <f ca="1">OFFSET('VVP2'!$G$192,0,(COLUMN()-10)/5)</f>
        <v>196.06920000000002</v>
      </c>
      <c r="CM7" s="1336">
        <f t="shared" ref="CM7:CM16" ca="1" si="31">(CL7/CG7-1)*100</f>
        <v>3.3613804206694242</v>
      </c>
      <c r="CN7" s="1165">
        <f ca="1">OFFSET('VVP2'!$G$10,0,(COLUMN()-7)/5)</f>
        <v>0.58439478834397818</v>
      </c>
      <c r="CO7" s="1166">
        <f ca="1">+CL7*(1+CN7/100)</f>
        <v>197.21501818634775</v>
      </c>
      <c r="CP7" s="1765">
        <f t="shared" ref="CP7:CP16" ca="1" si="32">+CQ7/CO7*100-100</f>
        <v>2.0116022857365294</v>
      </c>
      <c r="CQ7" s="1166">
        <f ca="1">OFFSET('VVP2'!$G$192,0,(COLUMN()-10)/5)</f>
        <v>201.18220000000002</v>
      </c>
      <c r="CR7" s="1336">
        <f t="shared" ref="CR7:CR16" ca="1" si="33">(CQ7/CL7-1)*100</f>
        <v>2.6077527730005601</v>
      </c>
      <c r="CS7" s="1165">
        <f ca="1">OFFSET('VVP2'!$G$10,0,(COLUMN()-7)/5)</f>
        <v>0.7462732951209583</v>
      </c>
      <c r="CT7" s="1166">
        <f ca="1">+CQ7*(1+CS7/100)</f>
        <v>202.68356903313685</v>
      </c>
      <c r="CU7" s="1165">
        <f t="shared" ref="CU7:CU16" ca="1" si="34">+CV7/CT7*100-100</f>
        <v>0.83935317252333164</v>
      </c>
      <c r="CV7" s="1166">
        <f ca="1">OFFSET('VVP2'!$G$192,0,(COLUMN()-10)/5)</f>
        <v>204.38479999999998</v>
      </c>
      <c r="CW7" s="1164">
        <f t="shared" ref="CW7:CW16" ca="1" si="35">(CV7/CQ7-1)*100</f>
        <v>1.5918903362225789</v>
      </c>
      <c r="CX7" s="1165">
        <f ca="1">OFFSET('VVP2'!$G$10,0,(COLUMN()-7)/5)</f>
        <v>0.61074160540059985</v>
      </c>
      <c r="CY7" s="1166">
        <f ca="1">+CV7*(1+CX7/100)</f>
        <v>205.6330630087148</v>
      </c>
      <c r="CZ7" s="1165">
        <f t="shared" ref="CZ7:CZ16" ca="1" si="36">+DA7/CY7*100-100</f>
        <v>0.61076607667511951</v>
      </c>
      <c r="DA7" s="1166">
        <f ca="1">OFFSET('VVP2'!$G$192,0,(COLUMN()-10)/5)</f>
        <v>206.88900000000001</v>
      </c>
      <c r="DB7" s="1164">
        <f t="shared" ref="DB7:DB16" ca="1" si="37">(DA7/CV7-1)*100</f>
        <v>1.2252378846176581</v>
      </c>
      <c r="DC7" s="1165">
        <f ca="1">OFFSET('VVP2'!$G$10,0,(COLUMN()-7)/5)</f>
        <v>0.89459786251864237</v>
      </c>
      <c r="DD7" s="1166">
        <f ca="1">+DA7*(1+DC7/100)</f>
        <v>208.73982457178622</v>
      </c>
      <c r="DE7" s="1165">
        <f t="shared" ref="DE7:DE16" ca="1" si="38">+DF7/DD7*100-100</f>
        <v>0.55009887575090488</v>
      </c>
      <c r="DF7" s="1166">
        <f ca="1">OFFSET('VVP2'!$G$192,0,(COLUMN()-10)/5)</f>
        <v>209.88810000000001</v>
      </c>
      <c r="DG7" s="1164">
        <f t="shared" ref="DG7:DG16" ca="1" si="39">(DF7/DA7-1)*100</f>
        <v>1.4496179110537577</v>
      </c>
      <c r="DH7" s="1165">
        <f ca="1">OFFSET('VVP2'!$G$10,0,(COLUMN()-7)/5)</f>
        <v>1.656738641972888</v>
      </c>
      <c r="DI7" s="1166">
        <f ca="1">+DF7*(1+DH7/100)</f>
        <v>213.36539725760269</v>
      </c>
      <c r="DJ7" s="1165">
        <f t="shared" ref="DJ7:DJ16" ca="1" si="40">+DK7/DI7*100-100</f>
        <v>1.503947117780811</v>
      </c>
      <c r="DK7" s="1166">
        <f ca="1">OFFSET('VVP2'!$G$192,0,(COLUMN()-10)/5)</f>
        <v>216.57429999999999</v>
      </c>
      <c r="DL7" s="1164">
        <f t="shared" ref="DL7:DL16" ca="1" si="41">(DK7/DF7-1)*100</f>
        <v>3.1856022328088152</v>
      </c>
      <c r="DM7" s="1165">
        <f ca="1">OFFSET('VVP2'!$G$10,0,(COLUMN()-7)/5)</f>
        <v>1.1261883376440851</v>
      </c>
      <c r="DN7" s="1166">
        <f ca="1">+DK7*(1+DM7/100)</f>
        <v>219.01333450893432</v>
      </c>
      <c r="DO7" s="1165">
        <f t="shared" ref="DO7:DO16" ca="1" si="42">+DP7/DN7*100-100</f>
        <v>1.6938080502648063</v>
      </c>
      <c r="DP7" s="1166">
        <f ca="1">OFFSET('VVP2'!$G$192,0,(COLUMN()-10)/5)</f>
        <v>222.72300000000001</v>
      </c>
      <c r="DQ7" s="1164">
        <f t="shared" ref="DQ7:DQ16" ca="1" si="43">(DP7/DK7-1)*100</f>
        <v>2.8390718566330353</v>
      </c>
      <c r="DR7" s="1165">
        <f>+DR34</f>
        <v>1.65</v>
      </c>
      <c r="DS7" s="1166">
        <f ca="1">+DP7*(1+DR7/100)</f>
        <v>226.3979295</v>
      </c>
      <c r="DT7" s="1765">
        <f>+DT34</f>
        <v>1.7</v>
      </c>
      <c r="DU7" s="1166">
        <f ca="1">+DS7*(1+DT7/100)</f>
        <v>230.24669430149999</v>
      </c>
      <c r="DV7" s="1336">
        <f t="shared" ref="DV7:DV16" ca="1" si="44">(DU7/DP7-1)*100</f>
        <v>3.3780499999999769</v>
      </c>
      <c r="DW7" s="1165">
        <f>+DW34</f>
        <v>1.76</v>
      </c>
      <c r="DX7" s="1166">
        <f ca="1">+DU7*(1+DW7/100)</f>
        <v>234.2990361212064</v>
      </c>
      <c r="DY7" s="1765">
        <f>+DY34</f>
        <v>1.3</v>
      </c>
      <c r="DZ7" s="1166">
        <f ca="1">+DX7*(1+DY7/100)</f>
        <v>237.34492359078206</v>
      </c>
      <c r="EA7" s="1336">
        <f t="shared" ref="EA7:EA16" ca="1" si="45">(DZ7/DU7-1)*100</f>
        <v>3.0828799999999879</v>
      </c>
    </row>
    <row r="8" spans="1:131">
      <c r="C8" s="1167" t="s">
        <v>622</v>
      </c>
      <c r="D8" s="1" t="s">
        <v>591</v>
      </c>
      <c r="E8" s="1" t="s">
        <v>1043</v>
      </c>
      <c r="F8" s="3" t="s">
        <v>711</v>
      </c>
      <c r="G8" s="1184"/>
      <c r="H8" s="1185"/>
      <c r="I8" s="1186"/>
      <c r="J8" s="1175">
        <f ca="1">OFFSET('VVP2'!$G$200,0,(COLUMN()-6)/5)</f>
        <v>44.768500000000003</v>
      </c>
      <c r="K8" s="1188"/>
      <c r="L8" s="1152">
        <f ca="1">OFFSET('VVP2'!$G$16,0,(COLUMN()-7)/5)</f>
        <v>-4.3406259453040335</v>
      </c>
      <c r="M8" s="1178">
        <f ca="1">+J8*(1+L8/100)</f>
        <v>42.825266873676568</v>
      </c>
      <c r="N8" s="1229">
        <f t="shared" ca="1" si="0"/>
        <v>8.4359850855805689</v>
      </c>
      <c r="O8" s="1175">
        <f ca="1">OFFSET('VVP2'!$G$200,0,(COLUMN()-6)/5)</f>
        <v>46.438000000000002</v>
      </c>
      <c r="P8" s="1160">
        <f t="shared" ca="1" si="1"/>
        <v>3.7291845829098502</v>
      </c>
      <c r="Q8" s="1152">
        <f ca="1">OFFSET('VVP2'!$G$16,0,(COLUMN()-7)/5)</f>
        <v>0.64146493397740922</v>
      </c>
      <c r="R8" s="1178">
        <f ca="1">+O8*(1+Q8/100)</f>
        <v>46.735883486040429</v>
      </c>
      <c r="S8" s="1229">
        <f t="shared" ca="1" si="2"/>
        <v>1.3215038807259134</v>
      </c>
      <c r="T8" s="1175">
        <f ca="1">OFFSET('VVP2'!$G$200,0,(COLUMN()-6)/5)</f>
        <v>47.353499999999997</v>
      </c>
      <c r="U8" s="1160">
        <f t="shared" ca="1" si="3"/>
        <v>1.9714457986993228</v>
      </c>
      <c r="V8" s="1152">
        <f ca="1">OFFSET('VVP2'!$G$16,0,(COLUMN()-7)/5)</f>
        <v>1.8480074932747392</v>
      </c>
      <c r="W8" s="1178">
        <f ca="1">+T8*(1+V8/100)</f>
        <v>48.228596228327852</v>
      </c>
      <c r="X8" s="1229">
        <f t="shared" ca="1" si="4"/>
        <v>1.4062274764568059</v>
      </c>
      <c r="Y8" s="1175">
        <f ca="1">OFFSET('VVP2'!$G$200,0,(COLUMN()-6)/5)</f>
        <v>48.906800000000004</v>
      </c>
      <c r="Z8" s="1160">
        <f t="shared" ca="1" si="5"/>
        <v>3.2802221588689395</v>
      </c>
      <c r="AA8" s="1152">
        <f ca="1">OFFSET('VVP2'!$G$16,0,(COLUMN()-7)/5)</f>
        <v>2.6788084961003156</v>
      </c>
      <c r="AB8" s="1178">
        <f ca="1">+Y8*(1+AA8/100)</f>
        <v>50.216919513570794</v>
      </c>
      <c r="AC8" s="1229">
        <f t="shared" ca="1" si="6"/>
        <v>2.2089775660759585</v>
      </c>
      <c r="AD8" s="1175">
        <f ca="1">OFFSET('VVP2'!$G$200,0,(COLUMN()-6)/5)</f>
        <v>51.3262</v>
      </c>
      <c r="AE8" s="1160">
        <f t="shared" ca="1" si="7"/>
        <v>4.9469603408932805</v>
      </c>
      <c r="AF8" s="1152">
        <f ca="1">OFFSET('VVP2'!$G$16,0,(COLUMN()-7)/5)</f>
        <v>2.9841868725767773</v>
      </c>
      <c r="AG8" s="1178">
        <f ca="1">+AD8*(1+AF8/100)</f>
        <v>52.857869722592504</v>
      </c>
      <c r="AH8" s="1229">
        <f t="shared" ca="1" si="8"/>
        <v>1.9759220015654506</v>
      </c>
      <c r="AI8" s="1175">
        <f ca="1">OFFSET('VVP2'!$G$200,0,(COLUMN()-6)/5)</f>
        <v>53.902300000000004</v>
      </c>
      <c r="AJ8" s="1160">
        <f t="shared" ca="1" si="9"/>
        <v>5.0190740791252964</v>
      </c>
      <c r="AK8" s="1152">
        <f ca="1">OFFSET('VVP2'!$G$16,0,(COLUMN()-7)/5)</f>
        <v>1.0046381734411192</v>
      </c>
      <c r="AL8" s="1178">
        <f ca="1">+AI8*(1+AK8/100)</f>
        <v>54.443823082162758</v>
      </c>
      <c r="AM8" s="1229">
        <f t="shared" ca="1" si="10"/>
        <v>3.8801039277664984</v>
      </c>
      <c r="AN8" s="1175">
        <f ca="1">OFFSET('VVP2'!$G$200,0,(COLUMN()-6)/5)</f>
        <v>56.5563</v>
      </c>
      <c r="AO8" s="1160">
        <f t="shared" ca="1" si="11"/>
        <v>4.9237231064351628</v>
      </c>
      <c r="AP8" s="1152">
        <f ca="1">OFFSET('VVP2'!$G$16,0,(COLUMN()-7)/5)</f>
        <v>2.6650788853614715</v>
      </c>
      <c r="AQ8" s="1178">
        <f ca="1">+AN8*(1+AP8/100)</f>
        <v>58.063570009641687</v>
      </c>
      <c r="AR8" s="1229">
        <f t="shared" ca="1" si="12"/>
        <v>3.8246528589088769</v>
      </c>
      <c r="AS8" s="1175">
        <f ca="1">OFFSET('VVP2'!$G$200,0,(COLUMN()-6)/5)</f>
        <v>60.284300000000002</v>
      </c>
      <c r="AT8" s="1160">
        <f t="shared" ca="1" si="13"/>
        <v>6.5916617600514815</v>
      </c>
      <c r="AU8" s="1152">
        <f ca="1">OFFSET('VVP2'!$G$16,0,(COLUMN()-7)/5)</f>
        <v>1.3962712868034632</v>
      </c>
      <c r="AV8" s="1178">
        <f ca="1">+AS8*(1+AU8/100)</f>
        <v>61.126032371350462</v>
      </c>
      <c r="AW8" s="1229">
        <f t="shared" ca="1" si="14"/>
        <v>3.3500745086954424</v>
      </c>
      <c r="AX8" s="1175">
        <f ca="1">OFFSET('VVP2'!$G$200,0,(COLUMN()-6)/5)</f>
        <v>63.1738</v>
      </c>
      <c r="AY8" s="1160">
        <f t="shared" ca="1" si="15"/>
        <v>4.7931219239503386</v>
      </c>
      <c r="AZ8" s="1152">
        <f ca="1">OFFSET('VVP2'!$G$16,0,(COLUMN()-7)/5)</f>
        <v>1.5940156425109375</v>
      </c>
      <c r="BA8" s="1178">
        <f ca="1">+AX8*(1+AZ8/100)</f>
        <v>64.18080025396857</v>
      </c>
      <c r="BB8" s="1229">
        <f t="shared" ca="1" si="16"/>
        <v>2.5566832129519241</v>
      </c>
      <c r="BC8" s="1175">
        <f ca="1">OFFSET('VVP2'!$G$200,0,(COLUMN()-6)/5)</f>
        <v>65.821699999999993</v>
      </c>
      <c r="BD8" s="1160">
        <f t="shared" ca="1" si="17"/>
        <v>4.1914527858067707</v>
      </c>
      <c r="BE8" s="1152">
        <f ca="1">OFFSET('VVP2'!$G$16,0,(COLUMN()-7)/5)</f>
        <v>0.64617710054972743</v>
      </c>
      <c r="BF8" s="1178">
        <f ca="1">+BC8*(1+BE8/100)</f>
        <v>66.247024752592537</v>
      </c>
      <c r="BG8" s="1229">
        <f t="shared" ca="1" si="18"/>
        <v>3.9468568696817528</v>
      </c>
      <c r="BH8" s="1175">
        <f ca="1">OFFSET('VVP2'!$G$200,0,(COLUMN()-6)/5)</f>
        <v>68.861699999999999</v>
      </c>
      <c r="BI8" s="1160">
        <f t="shared" ca="1" si="19"/>
        <v>4.6185376555148316</v>
      </c>
      <c r="BJ8" s="1152">
        <f ca="1">OFFSET('VVP2'!$G$16,0,(COLUMN()-7)/5)</f>
        <v>0.95095039760713096</v>
      </c>
      <c r="BK8" s="1178">
        <f ca="1">+BH8*(1+BJ8/100)</f>
        <v>69.516540609949033</v>
      </c>
      <c r="BL8" s="1229">
        <f t="shared" ca="1" si="20"/>
        <v>2.8729268926899607</v>
      </c>
      <c r="BM8" s="1175">
        <f ca="1">OFFSET('VVP2'!$G$200,0,(COLUMN()-6)/5)</f>
        <v>71.5137</v>
      </c>
      <c r="BN8" s="1160">
        <f t="shared" ca="1" si="21"/>
        <v>3.8511974000061011</v>
      </c>
      <c r="BO8" s="1152">
        <f ca="1">OFFSET('VVP2'!$G$16,0,(COLUMN()-7)/5)</f>
        <v>1.9216562700521189</v>
      </c>
      <c r="BP8" s="1178">
        <f ca="1">+BM8*(1+BO8/100)</f>
        <v>72.887947499996258</v>
      </c>
      <c r="BQ8" s="1229">
        <f t="shared" ca="1" si="22"/>
        <v>2.090541100781877</v>
      </c>
      <c r="BR8" s="1175">
        <f ca="1">OFFSET('VVP2'!$G$200,0,(COLUMN()-6)/5)</f>
        <v>74.411699999999996</v>
      </c>
      <c r="BS8" s="1160">
        <f t="shared" ca="1" si="23"/>
        <v>4.0523703849751902</v>
      </c>
      <c r="BT8" s="1152">
        <f ca="1">OFFSET('VVP2'!$G$16,0,(COLUMN()-7)/5)</f>
        <v>2.8611115961365563</v>
      </c>
      <c r="BU8" s="1178">
        <f ca="1">+BR8*(1+BT8/100)</f>
        <v>76.540701777582342</v>
      </c>
      <c r="BV8" s="1229">
        <f t="shared" ca="1" si="24"/>
        <v>4.3332477301496084</v>
      </c>
      <c r="BW8" s="1175">
        <f ca="1">OFFSET('VVP2'!$G$200,0,(COLUMN()-6)/5)</f>
        <v>79.857399999999998</v>
      </c>
      <c r="BX8" s="1160">
        <f t="shared" ca="1" si="25"/>
        <v>7.3183383795827783</v>
      </c>
      <c r="BY8" s="1152">
        <f ca="1">OFFSET('VVP2'!$G$16,0,(COLUMN()-7)/5)</f>
        <v>1.1177658784934152</v>
      </c>
      <c r="BZ8" s="1178">
        <f ca="1">+BW8*(1+BY8/100)</f>
        <v>80.750018768651998</v>
      </c>
      <c r="CA8" s="1229">
        <f t="shared" ca="1" si="26"/>
        <v>3.7545269680172169</v>
      </c>
      <c r="CB8" s="1175">
        <f ca="1">OFFSET('VVP2'!$G$200,0,(COLUMN()-6)/5)</f>
        <v>83.781800000000004</v>
      </c>
      <c r="CC8" s="1160">
        <f t="shared" ca="1" si="27"/>
        <v>4.9142596678579675</v>
      </c>
      <c r="CD8" s="1152">
        <f ca="1">OFFSET('VVP2'!$G$16,0,(COLUMN()-7)/5)</f>
        <v>0.95904098015107131</v>
      </c>
      <c r="CE8" s="1153">
        <f ca="1">+CB8*(1+CD8/100)</f>
        <v>84.585301795908208</v>
      </c>
      <c r="CF8" s="1766">
        <f t="shared" ca="1" si="28"/>
        <v>1.6712102151063846</v>
      </c>
      <c r="CG8" s="1150">
        <f ca="1">OFFSET('VVP2'!$G$200,0,(COLUMN()-6)/5)</f>
        <v>85.998899999999992</v>
      </c>
      <c r="CH8" s="1337">
        <f t="shared" ca="1" si="29"/>
        <v>2.6462787860847881</v>
      </c>
      <c r="CI8" s="1152">
        <f ca="1">OFFSET('VVP2'!$G$16,0,(COLUMN()-7)/5)</f>
        <v>1.2337367105858421</v>
      </c>
      <c r="CJ8" s="1153">
        <f ca="1">+CG8*(1+CI8/100)</f>
        <v>87.059899999999999</v>
      </c>
      <c r="CK8" s="1766">
        <f t="shared" ca="1" si="30"/>
        <v>3.5235510263622984</v>
      </c>
      <c r="CL8" s="1150">
        <f ca="1">OFFSET('VVP2'!$G$200,0,(COLUMN()-6)/5)</f>
        <v>90.127499999999998</v>
      </c>
      <c r="CM8" s="1337">
        <f t="shared" ca="1" si="31"/>
        <v>4.8007590794766131</v>
      </c>
      <c r="CN8" s="1152">
        <f ca="1">OFFSET('VVP2'!$G$16,0,(COLUMN()-7)/5)</f>
        <v>1.4104082361684478</v>
      </c>
      <c r="CO8" s="1153">
        <f ca="1">+CL8*(1+CN8/100)</f>
        <v>91.398665683052712</v>
      </c>
      <c r="CP8" s="1766">
        <f t="shared" ca="1" si="32"/>
        <v>2.8577379083462944</v>
      </c>
      <c r="CQ8" s="1150">
        <f ca="1">OFFSET('VVP2'!$G$200,0,(COLUMN()-6)/5)</f>
        <v>94.010600000000011</v>
      </c>
      <c r="CR8" s="1337">
        <f t="shared" ca="1" si="33"/>
        <v>4.3084519153421708</v>
      </c>
      <c r="CS8" s="1152">
        <f ca="1">OFFSET('VVP2'!$G$16,0,(COLUMN()-7)/5)</f>
        <v>0.31415439052735472</v>
      </c>
      <c r="CT8" s="1153">
        <f ca="1">+CQ8*(1+CS8/100)</f>
        <v>94.305938427461115</v>
      </c>
      <c r="CU8" s="1152">
        <f t="shared" ca="1" si="34"/>
        <v>1.8887056342787361</v>
      </c>
      <c r="CV8" s="1150">
        <f ca="1">OFFSET('VVP2'!$G$200,0,(COLUMN()-6)/5)</f>
        <v>96.087100000000007</v>
      </c>
      <c r="CW8" s="1160">
        <f t="shared" ca="1" si="35"/>
        <v>2.2087934764803085</v>
      </c>
      <c r="CX8" s="1152">
        <f ca="1">OFFSET('VVP2'!$G$16,0,(COLUMN()-7)/5)</f>
        <v>0.66083547977555668</v>
      </c>
      <c r="CY8" s="1153">
        <f ca="1">+CV8*(1+CX8/100)</f>
        <v>96.722077648287424</v>
      </c>
      <c r="CZ8" s="1152">
        <f t="shared" ca="1" si="36"/>
        <v>0.70523955677730044</v>
      </c>
      <c r="DA8" s="1150">
        <f ca="1">OFFSET('VVP2'!$G$200,0,(COLUMN()-6)/5)</f>
        <v>97.404200000000003</v>
      </c>
      <c r="DB8" s="1160">
        <f t="shared" ca="1" si="37"/>
        <v>1.370735509761456</v>
      </c>
      <c r="DC8" s="1152">
        <f ca="1">OFFSET('VVP2'!$G$16,0,(COLUMN()-7)/5)</f>
        <v>0.47377225213607321</v>
      </c>
      <c r="DD8" s="1153">
        <f ca="1">+DA8*(1+DC8/100)</f>
        <v>97.865674072015125</v>
      </c>
      <c r="DE8" s="1152">
        <f t="shared" ca="1" si="38"/>
        <v>0.35132433434409904</v>
      </c>
      <c r="DF8" s="1150">
        <f ca="1">OFFSET('VVP2'!$G$200,0,(COLUMN()-6)/5)</f>
        <v>98.209500000000006</v>
      </c>
      <c r="DG8" s="1160">
        <f t="shared" ca="1" si="39"/>
        <v>0.82676106369130586</v>
      </c>
      <c r="DH8" s="1152">
        <f ca="1">OFFSET('VVP2'!$G$16,0,(COLUMN()-7)/5)</f>
        <v>0.52448957719308797</v>
      </c>
      <c r="DI8" s="1153">
        <f ca="1">+DF8*(1+DH8/100)</f>
        <v>98.724598591313452</v>
      </c>
      <c r="DJ8" s="1152">
        <f t="shared" ca="1" si="40"/>
        <v>1.0016768088166828</v>
      </c>
      <c r="DK8" s="1150">
        <f ca="1">OFFSET('VVP2'!$G$200,0,(COLUMN()-6)/5)</f>
        <v>99.713499999999996</v>
      </c>
      <c r="DL8" s="1160">
        <f t="shared" ca="1" si="41"/>
        <v>1.531420076469181</v>
      </c>
      <c r="DM8" s="1152">
        <f ca="1">OFFSET('VVP2'!$G$16,0,(COLUMN()-7)/5)</f>
        <v>1.0591097991395237</v>
      </c>
      <c r="DN8" s="1153">
        <f ca="1">+DK8*(1+DM8/100)</f>
        <v>100.76957544956498</v>
      </c>
      <c r="DO8" s="1152">
        <f t="shared" ca="1" si="42"/>
        <v>1.7931250998862964</v>
      </c>
      <c r="DP8" s="1150">
        <f ca="1">OFFSET('VVP2'!$G$200,0,(COLUMN()-6)/5)</f>
        <v>102.5765</v>
      </c>
      <c r="DQ8" s="1160">
        <f t="shared" ca="1" si="43"/>
        <v>2.8712260626695407</v>
      </c>
      <c r="DR8" s="1152">
        <f>+DR49</f>
        <v>0.19</v>
      </c>
      <c r="DS8" s="1153">
        <f ca="1">+DP8*(1+DR8/100)</f>
        <v>102.77139534999999</v>
      </c>
      <c r="DT8" s="1766">
        <f>+DT49</f>
        <v>1.94</v>
      </c>
      <c r="DU8" s="1150">
        <f ca="1">+DS8*(1+DT8/100)</f>
        <v>104.76516041979001</v>
      </c>
      <c r="DV8" s="1337">
        <f t="shared" ca="1" si="44"/>
        <v>2.1336860000000124</v>
      </c>
      <c r="DW8" s="1152">
        <f>+DW49</f>
        <v>1</v>
      </c>
      <c r="DX8" s="1153">
        <f ca="1">+DU8*(1+DW8/100)</f>
        <v>105.8128120239879</v>
      </c>
      <c r="DY8" s="1766">
        <f>+DY49</f>
        <v>1.83</v>
      </c>
      <c r="DZ8" s="1150">
        <f ca="1">+DX8*(1+DY8/100)</f>
        <v>107.74918648402688</v>
      </c>
      <c r="EA8" s="1337">
        <f t="shared" ca="1" si="45"/>
        <v>2.8483000000000036</v>
      </c>
    </row>
    <row r="9" spans="1:131">
      <c r="C9" s="1167" t="s">
        <v>622</v>
      </c>
      <c r="D9" s="1111"/>
      <c r="E9" s="1111" t="s">
        <v>1248</v>
      </c>
      <c r="F9" s="1110" t="s">
        <v>2048</v>
      </c>
      <c r="G9" s="1189"/>
      <c r="H9" s="1190"/>
      <c r="I9" s="1191"/>
      <c r="J9" s="1174">
        <f ca="1">OFFSET('VVP2'!$G$220,0,(COLUMN()-6)/5)</f>
        <v>44.869</v>
      </c>
      <c r="K9" s="1192"/>
      <c r="L9" s="1156">
        <f ca="1">OFFSET('VVP2'!$G$42,0,(COLUMN()-7)/5)</f>
        <v>-5.9610462755996796</v>
      </c>
      <c r="M9" s="1179">
        <f ca="1">+J9*(1+L9/100)</f>
        <v>42.194338146601183</v>
      </c>
      <c r="N9" s="1230">
        <f t="shared" ca="1" si="0"/>
        <v>9.0027762497438317</v>
      </c>
      <c r="O9" s="1174">
        <f ca="1">OFFSET('VVP2'!$G$220,0,(COLUMN()-10)/5)</f>
        <v>45.993000000000002</v>
      </c>
      <c r="P9" s="1161">
        <f t="shared" ca="1" si="1"/>
        <v>2.5050703158082444</v>
      </c>
      <c r="Q9" s="1156">
        <f ca="1">OFFSET('VVP2'!$G$42,0,(COLUMN()-7)/5)</f>
        <v>6.6438165779572067</v>
      </c>
      <c r="R9" s="1179">
        <f ca="1">+O9*(1+Q9/100)</f>
        <v>49.04869055869986</v>
      </c>
      <c r="S9" s="1230">
        <f t="shared" ca="1" si="2"/>
        <v>1.1278781043870652</v>
      </c>
      <c r="T9" s="1174">
        <f ca="1">OFFSET('VVP2'!$G$220,0,(COLUMN()-10)/5)</f>
        <v>49.601900000000001</v>
      </c>
      <c r="U9" s="1161">
        <f t="shared" ca="1" si="3"/>
        <v>7.8466288348226776</v>
      </c>
      <c r="V9" s="1156">
        <f ca="1">OFFSET('VVP2'!$G$42,0,(COLUMN()-7)/5)</f>
        <v>2.4555995404071052</v>
      </c>
      <c r="W9" s="1179">
        <f ca="1">+T9*(1+V9/100)</f>
        <v>50.819924028433192</v>
      </c>
      <c r="X9" s="1230">
        <f t="shared" ca="1" si="4"/>
        <v>1.2166015266392094</v>
      </c>
      <c r="Y9" s="1174">
        <f ca="1">OFFSET('VVP2'!$G$220,0,(COLUMN()-10)/5)</f>
        <v>51.438199999999995</v>
      </c>
      <c r="Z9" s="1161">
        <f t="shared" ca="1" si="5"/>
        <v>3.7020759285430582</v>
      </c>
      <c r="AA9" s="1156">
        <f ca="1">OFFSET('VVP2'!$G$42,0,(COLUMN()-7)/5)</f>
        <v>3.7721967763441056</v>
      </c>
      <c r="AB9" s="1179">
        <f ca="1">+Y9*(1+AA9/100)</f>
        <v>53.378550122209425</v>
      </c>
      <c r="AC9" s="1230">
        <f t="shared" ca="1" si="6"/>
        <v>1.8540216538755345</v>
      </c>
      <c r="AD9" s="1174">
        <f ca="1">OFFSET('VVP2'!$G$220,0,(COLUMN()-10)/5)</f>
        <v>54.368199999999995</v>
      </c>
      <c r="AE9" s="1161">
        <f t="shared" ca="1" si="7"/>
        <v>5.6961557752798431</v>
      </c>
      <c r="AF9" s="1156">
        <f ca="1">OFFSET('VVP2'!$G$42,0,(COLUMN()-7)/5)</f>
        <v>4.3636937692647759</v>
      </c>
      <c r="AG9" s="1179">
        <f ca="1">+AD9*(1+AF9/100)</f>
        <v>56.740661755861403</v>
      </c>
      <c r="AH9" s="1230">
        <f t="shared" ca="1" si="8"/>
        <v>2.3502338585271048</v>
      </c>
      <c r="AI9" s="1174">
        <f ca="1">OFFSET('VVP2'!$G$220,0,(COLUMN()-10)/5)</f>
        <v>58.074199999999998</v>
      </c>
      <c r="AJ9" s="1161">
        <f t="shared" ca="1" si="9"/>
        <v>6.8164846362395837</v>
      </c>
      <c r="AK9" s="1156">
        <f ca="1">OFFSET('VVP2'!$G$42,0,(COLUMN()-7)/5)</f>
        <v>1.6299677816181246</v>
      </c>
      <c r="AL9" s="1179">
        <f ca="1">+AI9*(1+AK9/100)</f>
        <v>59.020790749432472</v>
      </c>
      <c r="AM9" s="1230">
        <f t="shared" ca="1" si="10"/>
        <v>0.94273432040196781</v>
      </c>
      <c r="AN9" s="1174">
        <f ca="1">OFFSET('VVP2'!$G$220,0,(COLUMN()-10)/5)</f>
        <v>59.577199999999998</v>
      </c>
      <c r="AO9" s="1161">
        <f t="shared" ca="1" si="11"/>
        <v>2.5880683677089067</v>
      </c>
      <c r="AP9" s="1156">
        <f ca="1">OFFSET('VVP2'!$G$42,0,(COLUMN()-7)/5)</f>
        <v>-4.3132582669695658</v>
      </c>
      <c r="AQ9" s="1179">
        <f ca="1">+AN9*(1+AP9/100)</f>
        <v>57.007481495771003</v>
      </c>
      <c r="AR9" s="1230">
        <f t="shared" ca="1" si="12"/>
        <v>-0.30624313018275018</v>
      </c>
      <c r="AS9" s="1174">
        <f ca="1">OFFSET('VVP2'!$G$220,0,(COLUMN()-10)/5)</f>
        <v>56.832900000000002</v>
      </c>
      <c r="AT9" s="1161">
        <f t="shared" ca="1" si="13"/>
        <v>-4.6062923400226889</v>
      </c>
      <c r="AU9" s="1156">
        <f ca="1">OFFSET('VVP2'!$G$42,0,(COLUMN()-7)/5)</f>
        <v>-0.40334210026448103</v>
      </c>
      <c r="AV9" s="1179">
        <f ca="1">+AS9*(1+AU9/100)</f>
        <v>56.603668987498793</v>
      </c>
      <c r="AW9" s="1230">
        <f t="shared" ca="1" si="14"/>
        <v>2.0596385947325899</v>
      </c>
      <c r="AX9" s="1174">
        <f ca="1">OFFSET('VVP2'!$G$220,0,(COLUMN()-10)/5)</f>
        <v>57.769500000000001</v>
      </c>
      <c r="AY9" s="1161">
        <f t="shared" ca="1" si="15"/>
        <v>1.6479891049022699</v>
      </c>
      <c r="AZ9" s="1156">
        <f ca="1">OFFSET('VVP2'!$G$42,0,(COLUMN()-7)/5)</f>
        <v>8.8823205198027111</v>
      </c>
      <c r="BA9" s="1179">
        <f ca="1">+AX9*(1+AZ9/100)</f>
        <v>62.900772152687431</v>
      </c>
      <c r="BB9" s="1230">
        <f t="shared" ca="1" si="16"/>
        <v>1.3985962607535214</v>
      </c>
      <c r="BC9" s="1174">
        <f ca="1">OFFSET('VVP2'!$G$220,0,(COLUMN()-10)/5)</f>
        <v>63.780500000000004</v>
      </c>
      <c r="BD9" s="1161">
        <f t="shared" ca="1" si="17"/>
        <v>10.405144583214332</v>
      </c>
      <c r="BE9" s="1156">
        <f ca="1">OFFSET('VVP2'!$G$42,0,(COLUMN()-7)/5)</f>
        <v>6.0704461637774765</v>
      </c>
      <c r="BF9" s="1179">
        <f ca="1">+BC9*(1+BE9/100)</f>
        <v>67.6522609154881</v>
      </c>
      <c r="BG9" s="1230">
        <f t="shared" ca="1" si="18"/>
        <v>2.0162505525364054</v>
      </c>
      <c r="BH9" s="1174">
        <f ca="1">OFFSET('VVP2'!$G$220,0,(COLUMN()-10)/5)</f>
        <v>69.016300000000001</v>
      </c>
      <c r="BI9" s="1161">
        <f t="shared" ca="1" si="19"/>
        <v>8.2090921206324765</v>
      </c>
      <c r="BJ9" s="1156">
        <f ca="1">OFFSET('VVP2'!$G$42,0,(COLUMN()-7)/5)</f>
        <v>1.9569561433554483</v>
      </c>
      <c r="BK9" s="1179">
        <f ca="1">+BH9*(1+BJ9/100)</f>
        <v>70.366918722766627</v>
      </c>
      <c r="BL9" s="1230">
        <f t="shared" ca="1" si="20"/>
        <v>3.7318406502624839</v>
      </c>
      <c r="BM9" s="1174">
        <f ca="1">OFFSET('VVP2'!$G$220,0,(COLUMN()-10)/5)</f>
        <v>72.992899999999992</v>
      </c>
      <c r="BN9" s="1161">
        <f t="shared" ca="1" si="21"/>
        <v>5.7618272784834668</v>
      </c>
      <c r="BO9" s="1156">
        <f ca="1">OFFSET('VVP2'!$G$42,0,(COLUMN()-7)/5)</f>
        <v>6.7549645931240354</v>
      </c>
      <c r="BP9" s="1179">
        <f ca="1">+BM9*(1+BO9/100)</f>
        <v>77.923544550494427</v>
      </c>
      <c r="BQ9" s="1230">
        <f t="shared" ca="1" si="22"/>
        <v>2.7856220633020428</v>
      </c>
      <c r="BR9" s="1174">
        <f ca="1">OFFSET('VVP2'!$G$220,0,(COLUMN()-10)/5)</f>
        <v>80.094200000000001</v>
      </c>
      <c r="BS9" s="1161">
        <f t="shared" ca="1" si="23"/>
        <v>9.7287544405003867</v>
      </c>
      <c r="BT9" s="1156">
        <f ca="1">OFFSET('VVP2'!$G$42,0,(COLUMN()-7)/5)</f>
        <v>1.892444800386972</v>
      </c>
      <c r="BU9" s="1179">
        <f ca="1">+BR9*(1+BT9/100)</f>
        <v>81.609938523311541</v>
      </c>
      <c r="BV9" s="1230">
        <f t="shared" ca="1" si="24"/>
        <v>4.0140472299862324</v>
      </c>
      <c r="BW9" s="3014">
        <f ca="1">OFFSET('VVP2'!$G$220,0,(COLUMN()-10)/5)</f>
        <v>84.885800000000003</v>
      </c>
      <c r="BX9" s="1161">
        <f t="shared" ca="1" si="25"/>
        <v>5.9824556584621602</v>
      </c>
      <c r="BY9" s="1156">
        <f ca="1">OFFSET('VVP2'!$G$42,0,(COLUMN()-7)/5)</f>
        <v>-6.6302758913767912</v>
      </c>
      <c r="BZ9" s="1179">
        <f ca="1">+BW9*(1+BY9/100)</f>
        <v>79.257637267397683</v>
      </c>
      <c r="CA9" s="1230">
        <f t="shared" ca="1" si="26"/>
        <v>-0.60226027907853563</v>
      </c>
      <c r="CB9" s="1174">
        <f ca="1">OFFSET('VVP2'!$G$220,0,(COLUMN()-10)/5)</f>
        <v>78.780299999999997</v>
      </c>
      <c r="CC9" s="1161">
        <f t="shared" ca="1" si="27"/>
        <v>-7.1926046523682512</v>
      </c>
      <c r="CD9" s="3289">
        <f ca="1">OFFSET('VVP2'!$G$42,0,(COLUMN()-7)/5)</f>
        <v>-0.82907500317142002</v>
      </c>
      <c r="CE9" s="1154">
        <f ca="1">+CB9*(1+CD9/100)</f>
        <v>78.127152225276546</v>
      </c>
      <c r="CF9" s="1767">
        <f t="shared" ca="1" si="28"/>
        <v>1.9631430700314638</v>
      </c>
      <c r="CG9" s="1151">
        <f ca="1">OFFSET('VVP2'!$G$220,0,(COLUMN()-10)/5)</f>
        <v>79.660899999999998</v>
      </c>
      <c r="CH9" s="1338">
        <f t="shared" ca="1" si="29"/>
        <v>1.1177921383899392</v>
      </c>
      <c r="CI9" s="3289">
        <f ca="1">OFFSET('VVP2'!$G$42,0,(COLUMN()-7)/5)</f>
        <v>4.2192844921410622</v>
      </c>
      <c r="CJ9" s="1154">
        <f ca="1">+CG9*(1+CI9/100)</f>
        <v>83.022019999999998</v>
      </c>
      <c r="CK9" s="1767">
        <f t="shared" ca="1" si="30"/>
        <v>3.1164984904005024</v>
      </c>
      <c r="CL9" s="1151">
        <f ca="1">OFFSET('VVP2'!$G$220,0,(COLUMN()-10)/5)</f>
        <v>85.609399999999994</v>
      </c>
      <c r="CM9" s="1338">
        <f t="shared" ca="1" si="31"/>
        <v>7.4672769200448297</v>
      </c>
      <c r="CN9" s="3289">
        <f ca="1">OFFSET('VVP2'!$G$42,0,(COLUMN()-7)/5)</f>
        <v>0.19676707456650622</v>
      </c>
      <c r="CO9" s="1154">
        <f ca="1">+CL9*(1+CN9/100)</f>
        <v>85.777851111933927</v>
      </c>
      <c r="CP9" s="1767">
        <f t="shared" ca="1" si="32"/>
        <v>2.2079696139678333</v>
      </c>
      <c r="CQ9" s="1151">
        <f ca="1">OFFSET('VVP2'!$G$220,0,(COLUMN()-10)/5)</f>
        <v>87.671800000000005</v>
      </c>
      <c r="CR9" s="1338">
        <f t="shared" ca="1" si="33"/>
        <v>2.4090812457510546</v>
      </c>
      <c r="CS9" s="1156">
        <f ca="1">OFFSET('VVP2'!$G$42,0,(COLUMN()-7)/5)</f>
        <v>-1.4889034587568184</v>
      </c>
      <c r="CT9" s="1154">
        <f ca="1">+CQ9*(1+CS9/100)</f>
        <v>86.366451537445641</v>
      </c>
      <c r="CU9" s="1156">
        <f t="shared" ca="1" si="34"/>
        <v>0.66837116991436574</v>
      </c>
      <c r="CV9" s="1151">
        <f ca="1">OFFSET('VVP2'!$G$220,0,(COLUMN()-10)/5)</f>
        <v>86.943699999999993</v>
      </c>
      <c r="CW9" s="1161">
        <f t="shared" ca="1" si="35"/>
        <v>-0.83048369030863656</v>
      </c>
      <c r="CX9" s="1156">
        <f ca="1">OFFSET('VVP2'!$G$42,0,(COLUMN()-7)/5)</f>
        <v>5.9629884401873667</v>
      </c>
      <c r="CY9" s="1154">
        <f ca="1">+CV9*(1+CX9/100)</f>
        <v>92.12814278047118</v>
      </c>
      <c r="CZ9" s="1156">
        <f t="shared" ca="1" si="36"/>
        <v>0.20217190307702992</v>
      </c>
      <c r="DA9" s="1151">
        <f ca="1">OFFSET('VVP2'!$G$220,0,(COLUMN()-10)/5)</f>
        <v>92.314399999999992</v>
      </c>
      <c r="DB9" s="1161">
        <f t="shared" ca="1" si="37"/>
        <v>6.1772158304742142</v>
      </c>
      <c r="DC9" s="1156">
        <f ca="1">OFFSET('VVP2'!$G$42,0,(COLUMN()-7)/5)</f>
        <v>2.6764498554759708</v>
      </c>
      <c r="DD9" s="1154">
        <f ca="1">+DA9*(1+DC9/100)</f>
        <v>94.785148625383499</v>
      </c>
      <c r="DE9" s="1156">
        <f t="shared" ca="1" si="38"/>
        <v>0.42301075688679646</v>
      </c>
      <c r="DF9" s="1151">
        <f ca="1">OFFSET('VVP2'!$G$220,0,(COLUMN()-10)/5)</f>
        <v>95.18610000000001</v>
      </c>
      <c r="DG9" s="1161">
        <f t="shared" ca="1" si="39"/>
        <v>3.1107822831541121</v>
      </c>
      <c r="DH9" s="1156">
        <f ca="1">OFFSET('VVP2'!$G$42,0,(COLUMN()-7)/5)</f>
        <v>3.6022040132188904</v>
      </c>
      <c r="DI9" s="1154">
        <f ca="1">+DF9*(1+DH9/100)</f>
        <v>98.614897514226556</v>
      </c>
      <c r="DJ9" s="1156">
        <f t="shared" ca="1" si="40"/>
        <v>0.54626886946340392</v>
      </c>
      <c r="DK9" s="1151">
        <f ca="1">OFFSET('VVP2'!$G$220,0,(COLUMN()-10)/5)</f>
        <v>99.153600000000012</v>
      </c>
      <c r="DL9" s="1161">
        <f t="shared" ca="1" si="41"/>
        <v>4.1681506018210746</v>
      </c>
      <c r="DM9" s="1156">
        <f ca="1">OFFSET('VVP2'!$G$42,0,(COLUMN()-7)/5)</f>
        <v>0.98909818111034831</v>
      </c>
      <c r="DN9" s="1154">
        <f ca="1">+DK9*(1+DM9/100)</f>
        <v>100.13432645410545</v>
      </c>
      <c r="DO9" s="1156">
        <f t="shared" ca="1" si="42"/>
        <v>1.7753887291680996</v>
      </c>
      <c r="DP9" s="1151">
        <f ca="1">OFFSET('VVP2'!$G$220,0,(COLUMN()-10)/5)</f>
        <v>101.91210000000001</v>
      </c>
      <c r="DQ9" s="1161">
        <f t="shared" ca="1" si="43"/>
        <v>2.7820472479062719</v>
      </c>
      <c r="DR9" s="1156">
        <f ca="1">+DR64</f>
        <v>3.9818305677147281</v>
      </c>
      <c r="DS9" s="1154">
        <f ca="1">+DP9*(1+DR9/100)</f>
        <v>105.97006715000001</v>
      </c>
      <c r="DT9" s="1767">
        <f ca="1">+DT64</f>
        <v>1</v>
      </c>
      <c r="DU9" s="1151">
        <f ca="1">+DS9*(1+DT9/100)</f>
        <v>107.0297678215</v>
      </c>
      <c r="DV9" s="1338">
        <f t="shared" ca="1" si="44"/>
        <v>5.0216488733918707</v>
      </c>
      <c r="DW9" s="1156">
        <f ca="1">+DW64</f>
        <v>2.7355586859227454</v>
      </c>
      <c r="DX9" s="1154">
        <f ca="1">+DU9*(1+DW9/100)</f>
        <v>109.95762993166399</v>
      </c>
      <c r="DY9" s="1767">
        <f ca="1">+DY64</f>
        <v>1.2000000000000028</v>
      </c>
      <c r="DZ9" s="1151">
        <f ca="1">+DX9*(1+DY9/100)</f>
        <v>111.27712149084395</v>
      </c>
      <c r="EA9" s="1338">
        <f t="shared" ca="1" si="45"/>
        <v>3.9683853901538058</v>
      </c>
    </row>
    <row r="10" spans="1:131">
      <c r="A10" s="1377" t="s">
        <v>571</v>
      </c>
      <c r="C10" s="1167" t="s">
        <v>624</v>
      </c>
      <c r="D10" s="1146"/>
      <c r="E10" s="1146" t="s">
        <v>1585</v>
      </c>
      <c r="F10" s="1170"/>
      <c r="G10" s="1306"/>
      <c r="H10" s="1307"/>
      <c r="I10" s="1307"/>
      <c r="J10" s="1155">
        <f ca="1">+J7+J8+J9</f>
        <v>202.6054</v>
      </c>
      <c r="K10" s="1309"/>
      <c r="L10" s="1381">
        <f ca="1">IF(UPPER($F$2)="Y",(M10/J10-1)*100,OFFSET('VVP2'!$G$68,0,(COLUMN()-7)/5))</f>
        <v>-3.4409075541946721</v>
      </c>
      <c r="M10" s="1382">
        <f ca="1">IF(UPPER($F$2)="Y",+M7+M8+M9,J10*(1+L10/100))</f>
        <v>195.63393548619368</v>
      </c>
      <c r="N10" s="1231">
        <f t="shared" ca="1" si="0"/>
        <v>6.8515538883857232</v>
      </c>
      <c r="O10" s="1155">
        <f ca="1">+O7+O8+O9</f>
        <v>209.03789999999998</v>
      </c>
      <c r="P10" s="1173">
        <f t="shared" ca="1" si="1"/>
        <v>3.1748906988658732</v>
      </c>
      <c r="Q10" s="1381">
        <f ca="1">IF(UPPER($F$2)="Y",(R10/O10-1)*100,OFFSET('VVP2'!$G$68,0,(COLUMN()-7)/5))</f>
        <v>2.6010779844686693</v>
      </c>
      <c r="R10" s="1382">
        <f ca="1">IF(UPPER($F$2)="Y",+R7+R8+R9,O10*(1+Q10/100))</f>
        <v>214.47513879609559</v>
      </c>
      <c r="S10" s="1231">
        <f t="shared" ca="1" si="2"/>
        <v>1.3854571772672557</v>
      </c>
      <c r="T10" s="1155">
        <f ca="1">+T7+T8+T9</f>
        <v>217.44659999999999</v>
      </c>
      <c r="U10" s="1173">
        <f t="shared" ca="1" si="3"/>
        <v>4.0225719833580476</v>
      </c>
      <c r="V10" s="1381">
        <f ca="1">IF(UPPER($F$2)="Y",(W10/T10-1)*100,OFFSET('VVP2'!$G$68,0,(COLUMN()-7)/5))</f>
        <v>2.4700555066949015</v>
      </c>
      <c r="W10" s="1382">
        <f ca="1">IF(UPPER($F$2)="Y",+W7+W8+W9,T10*(1+V10/100))</f>
        <v>222.8176517174208</v>
      </c>
      <c r="X10" s="1231">
        <f t="shared" ca="1" si="4"/>
        <v>1.2495187257920151</v>
      </c>
      <c r="Y10" s="1155">
        <f ca="1">+Y7+Y8+Y9</f>
        <v>225.6018</v>
      </c>
      <c r="Z10" s="1173">
        <f t="shared" ca="1" si="5"/>
        <v>3.7504380385805058</v>
      </c>
      <c r="AA10" s="1381">
        <f ca="1">IF(UPPER($F$2)="Y",(AB10/Y10-1)*100,OFFSET('VVP2'!$G$68,0,(COLUMN()-7)/5))</f>
        <v>2.3713325292559428</v>
      </c>
      <c r="AB10" s="1382">
        <f ca="1">IF(UPPER($F$2)="Y",+AB7+AB8+AB9,Y10*(1+AA10/100))</f>
        <v>230.95156886998694</v>
      </c>
      <c r="AC10" s="1231">
        <f t="shared" ca="1" si="6"/>
        <v>1.2518776746828024</v>
      </c>
      <c r="AD10" s="1155">
        <f ca="1">+AD7+AD8+AD9</f>
        <v>233.84279999999998</v>
      </c>
      <c r="AE10" s="1173">
        <f t="shared" ca="1" si="7"/>
        <v>3.6528963864649988</v>
      </c>
      <c r="AF10" s="1381">
        <f ca="1">IF(UPPER($F$2)="Y",(AG10/AD10-1)*100,OFFSET('VVP2'!$G$68,0,(COLUMN()-7)/5))</f>
        <v>3.2606319601739431</v>
      </c>
      <c r="AG10" s="1382">
        <f ca="1">IF(UPPER($F$2)="Y",+AG7+AG8+AG9,AD10*(1+AF10/100))</f>
        <v>241.46755307336562</v>
      </c>
      <c r="AH10" s="1231">
        <f t="shared" ca="1" si="8"/>
        <v>2.738151292991958</v>
      </c>
      <c r="AI10" s="1155">
        <f ca="1">+AI7+AI8+AI9</f>
        <v>248.07929999999999</v>
      </c>
      <c r="AJ10" s="1173">
        <f t="shared" ca="1" si="9"/>
        <v>6.0880642893430981</v>
      </c>
      <c r="AK10" s="1381">
        <f ca="1">IF(UPPER($F$2)="Y",(AL10/AI10-1)*100,OFFSET('VVP2'!$G$68,0,(COLUMN()-7)/5))</f>
        <v>1.1561671483868885</v>
      </c>
      <c r="AL10" s="1382">
        <f ca="1">IF(UPPER($F$2)="Y",+AL7+AL8+AL9,AI10*(1+AK10/100))</f>
        <v>250.94751136854813</v>
      </c>
      <c r="AM10" s="1231">
        <f t="shared" ca="1" si="10"/>
        <v>2.182483739959622</v>
      </c>
      <c r="AN10" s="1155">
        <f ca="1">+AN7+AN8+AN9</f>
        <v>256.42439999999999</v>
      </c>
      <c r="AO10" s="1173">
        <f t="shared" ca="1" si="11"/>
        <v>3.3638840483667831</v>
      </c>
      <c r="AP10" s="1381">
        <f ca="1">IF(UPPER($F$2)="Y",(AQ10/AN10-1)*100,OFFSET('VVP2'!$G$68,0,(COLUMN()-7)/5))</f>
        <v>-0.19678502555804389</v>
      </c>
      <c r="AQ10" s="1382">
        <f ca="1">IF(UPPER($F$2)="Y",+AQ7+AQ8+AQ9,AN10*(1+AP10/100))</f>
        <v>255.91979517892293</v>
      </c>
      <c r="AR10" s="1231">
        <f t="shared" ca="1" si="12"/>
        <v>1.5613113547092041</v>
      </c>
      <c r="AS10" s="1155">
        <f ca="1">+AS7+AS8+AS9</f>
        <v>259.91550000000001</v>
      </c>
      <c r="AT10" s="1173">
        <f t="shared" ca="1" si="13"/>
        <v>1.3614539022027694</v>
      </c>
      <c r="AU10" s="1381">
        <f ca="1">IF(UPPER($F$2)="Y",(AV10/AS10-1)*100,OFFSET('VVP2'!$G$68,0,(COLUMN()-7)/5))</f>
        <v>0.51967657519105259</v>
      </c>
      <c r="AV10" s="1382">
        <f ca="1">IF(UPPER($F$2)="Y",+AV7+AV8+AV9,AS10*(1+AU10/100))</f>
        <v>261.26621996879072</v>
      </c>
      <c r="AW10" s="1231">
        <f t="shared" ca="1" si="14"/>
        <v>2.0965129100362105</v>
      </c>
      <c r="AX10" s="1155">
        <f ca="1">+AX7+AX8+AX9</f>
        <v>266.74369999999999</v>
      </c>
      <c r="AY10" s="1173">
        <f t="shared" ca="1" si="15"/>
        <v>2.6270845717165647</v>
      </c>
      <c r="AZ10" s="1381">
        <f ca="1">IF(UPPER($F$2)="Y",(BA10/AX10-1)*100,OFFSET('VVP2'!$G$68,0,(COLUMN()-7)/5))</f>
        <v>3.1539157431343945</v>
      </c>
      <c r="BA10" s="1382">
        <f ca="1">IF(UPPER($F$2)="Y",+BA7+BA8+BA9,AX10*(1+AZ10/100))</f>
        <v>275.15657154811919</v>
      </c>
      <c r="BB10" s="1231">
        <f t="shared" ca="1" si="16"/>
        <v>2.214967433847022</v>
      </c>
      <c r="BC10" s="1155">
        <f ca="1">+BC7+BC8+BC9</f>
        <v>281.25119999999998</v>
      </c>
      <c r="BD10" s="1173">
        <f t="shared" ca="1" si="17"/>
        <v>5.4387413835828236</v>
      </c>
      <c r="BE10" s="1381">
        <f ca="1">IF(UPPER($F$2)="Y",(BF10/BC10-1)*100,OFFSET('VVP2'!$G$68,0,(COLUMN()-7)/5))</f>
        <v>2.1910334573792545</v>
      </c>
      <c r="BF10" s="1382">
        <f ca="1">IF(UPPER($F$2)="Y",+BF7+BF8+BF9,BC10*(1+BE10/100))</f>
        <v>287.41350789128063</v>
      </c>
      <c r="BG10" s="1231">
        <f t="shared" ca="1" si="18"/>
        <v>2.8271782242722736</v>
      </c>
      <c r="BH10" s="1155">
        <f ca="1">+BH7+BH8+BH9</f>
        <v>295.53919999999999</v>
      </c>
      <c r="BI10" s="1173">
        <f t="shared" ca="1" si="19"/>
        <v>5.080156102445077</v>
      </c>
      <c r="BJ10" s="1381">
        <f ca="1">IF(UPPER($F$2)="Y",(BK10/BH10-1)*100,OFFSET('VVP2'!$G$68,0,(COLUMN()-7)/5))</f>
        <v>1.4631006958871096</v>
      </c>
      <c r="BK10" s="1382">
        <f ca="1">IF(UPPER($F$2)="Y",+BK7+BK8+BK9,BH10*(1+BJ10/100))</f>
        <v>299.8632360918192</v>
      </c>
      <c r="BL10" s="1231">
        <f t="shared" ca="1" si="20"/>
        <v>3.198812909910572</v>
      </c>
      <c r="BM10" s="1155">
        <f ca="1">+BM7+BM8+BM9</f>
        <v>309.45529999999997</v>
      </c>
      <c r="BN10" s="1173">
        <f t="shared" ca="1" si="21"/>
        <v>4.7087154597427183</v>
      </c>
      <c r="BO10" s="1381">
        <f ca="1">IF(UPPER($F$2)="Y",(BP10/BM10-1)*100,OFFSET('VVP2'!$G$68,0,(COLUMN()-7)/5))</f>
        <v>3.0253283464395819</v>
      </c>
      <c r="BP10" s="1382">
        <f ca="1">IF(UPPER($F$2)="Y",+BP7+BP8+BP9,BM10*(1+BO10/100))</f>
        <v>318.81733891045963</v>
      </c>
      <c r="BQ10" s="1231">
        <f t="shared" ca="1" si="22"/>
        <v>2.6832483825300955</v>
      </c>
      <c r="BR10" s="1155">
        <f ca="1">+BR7+BR8+BR9</f>
        <v>327.37200000000001</v>
      </c>
      <c r="BS10" s="1173">
        <f t="shared" ca="1" si="23"/>
        <v>5.7897538028917506</v>
      </c>
      <c r="BT10" s="1381">
        <f ca="1">IF(UPPER($F$2)="Y",(BU10/BR10-1)*100,OFFSET('VVP2'!$G$68,0,(COLUMN()-7)/5))</f>
        <v>2.0084499237601028</v>
      </c>
      <c r="BU10" s="1382">
        <f ca="1">IF(UPPER($F$2)="Y",+BU7+BU8+BU9,BR10*(1+BT10/100))</f>
        <v>333.9471026844119</v>
      </c>
      <c r="BV10" s="1231">
        <f t="shared" ca="1" si="24"/>
        <v>3.6497987907702907</v>
      </c>
      <c r="BW10" s="1155">
        <f ca="1">+BW7+BW8+BW9</f>
        <v>346.13549999999998</v>
      </c>
      <c r="BX10" s="1173">
        <f t="shared" ca="1" si="25"/>
        <v>5.7315530955609928</v>
      </c>
      <c r="BY10" s="1381">
        <f ca="1">IF(UPPER($F$2)="Y",(BZ10/BW10-1)*100,OFFSET('VVP2'!$G$68,0,(COLUMN()-7)/5))</f>
        <v>-1.1098074209447972</v>
      </c>
      <c r="BZ10" s="1382">
        <f ca="1">IF(UPPER($F$2)="Y",+BZ7+BZ8+BZ9,BW10*(1+BY10/100))</f>
        <v>342.29406253447559</v>
      </c>
      <c r="CA10" s="1231">
        <f t="shared" ca="1" si="26"/>
        <v>0.52987698708379583</v>
      </c>
      <c r="CB10" s="1155">
        <f ca="1">+CB7+CB8+CB9</f>
        <v>344.1078</v>
      </c>
      <c r="CC10" s="1173">
        <f t="shared" ca="1" si="27"/>
        <v>-0.58581104798554051</v>
      </c>
      <c r="CD10" s="1381">
        <f ca="1">IF(UPPER($F$2)="Y",(CE10/CB10-1)*100,OFFSET('VVP2'!$G$68,0,(COLUMN()-7)/5))</f>
        <v>1.471383126055481</v>
      </c>
      <c r="CE10" s="1382">
        <f ca="1">IF(UPPER($F$2)="Y",+CE7+CE8+CE9,CB10*(1+CD10/100))</f>
        <v>349.17094410464074</v>
      </c>
      <c r="CF10" s="1360">
        <f t="shared" ca="1" si="28"/>
        <v>1.7704095944210678</v>
      </c>
      <c r="CG10" s="1159">
        <f ca="1">+CG7+CG8+CG9</f>
        <v>355.35269999999991</v>
      </c>
      <c r="CH10" s="1362">
        <f t="shared" ca="1" si="29"/>
        <v>3.267842228510931</v>
      </c>
      <c r="CI10" s="1381">
        <f ca="1">IF(UPPER($F$2)="Y",(CJ10/CG10-1)*100,OFFSET('VVP2'!$G$68,0,(COLUMN()-7)/5))</f>
        <v>1.4281191616104305</v>
      </c>
      <c r="CJ10" s="1382">
        <f ca="1">IF(UPPER($F$2)="Y",+CJ7+CJ8+CJ9,CG10*(1+CI10/100))</f>
        <v>360.42755999999997</v>
      </c>
      <c r="CK10" s="1360">
        <f t="shared" ca="1" si="30"/>
        <v>3.1569561439752363</v>
      </c>
      <c r="CL10" s="1159">
        <f ca="1">+CL7+CL8+CL9</f>
        <v>371.80610000000001</v>
      </c>
      <c r="CM10" s="1362">
        <f t="shared" ca="1" si="31"/>
        <v>4.630160401201433</v>
      </c>
      <c r="CN10" s="1381">
        <f ca="1">IF(UPPER($F$2)="Y",(CO10/CL10-1)*100,OFFSET('VVP2'!$G$68,0,(COLUMN()-7)/5))</f>
        <v>0.69537185681849412</v>
      </c>
      <c r="CO10" s="1382">
        <f ca="1">IF(UPPER($F$2)="Y",+CO7+CO8+CO9,CL10*(1+CN10/100))</f>
        <v>374.39153498133442</v>
      </c>
      <c r="CP10" s="1360">
        <f t="shared" ca="1" si="32"/>
        <v>2.2631561418951662</v>
      </c>
      <c r="CQ10" s="1159">
        <f ca="1">+CQ7+CQ8+CQ9</f>
        <v>382.86460000000005</v>
      </c>
      <c r="CR10" s="1362">
        <f t="shared" ca="1" si="33"/>
        <v>2.9742653496002358</v>
      </c>
      <c r="CS10" s="1381">
        <f ca="1">IF(UPPER($F$2)="Y",(CT10/CQ10-1)*100,OFFSET('VVP2'!$G$68,0,(COLUMN()-7)/5))</f>
        <v>0.12833753709367013</v>
      </c>
      <c r="CT10" s="1382">
        <f ca="1">IF(UPPER($F$2)="Y",+CT7+CT8+CT9,CQ10*(1+CS10/100))</f>
        <v>383.3559589980436</v>
      </c>
      <c r="CU10" s="3801">
        <f t="shared" ca="1" si="34"/>
        <v>1.0589742787791465</v>
      </c>
      <c r="CV10" s="1159">
        <f ca="1">+CV7+CV8+CV9</f>
        <v>387.41559999999998</v>
      </c>
      <c r="CW10" s="1173">
        <f t="shared" ca="1" si="35"/>
        <v>1.1886708773806598</v>
      </c>
      <c r="CX10" s="1381">
        <f ca="1">IF(UPPER($F$2)="Y",(CY10/CV10-1)*100,OFFSET('VVP2'!$G$68,0,(COLUMN()-7)/5))</f>
        <v>1.8243156541640104</v>
      </c>
      <c r="CY10" s="1382">
        <f ca="1">IF(UPPER($F$2)="Y",+CY7+CY8+CY9,CV10*(1+CX10/100))</f>
        <v>394.4832834374734</v>
      </c>
      <c r="CZ10" s="3801">
        <f t="shared" ca="1" si="36"/>
        <v>0.53850610449588032</v>
      </c>
      <c r="DA10" s="1159">
        <f ca="1">+DA7+DA8+DA9</f>
        <v>396.60759999999999</v>
      </c>
      <c r="DB10" s="1173">
        <f t="shared" ca="1" si="37"/>
        <v>2.3726458098228376</v>
      </c>
      <c r="DC10" s="1381">
        <f ca="1">IF(UPPER($F$2)="Y",(DD10/DA10-1)*100,OFFSET('VVP2'!$G$68,0,(COLUMN()-7)/5))</f>
        <v>1.2059898169336281</v>
      </c>
      <c r="DD10" s="1382">
        <f ca="1">IF(UPPER($F$2)="Y",+DD7+DD8+DD9,DA10*(1+DC10/100))</f>
        <v>401.39064726918485</v>
      </c>
      <c r="DE10" s="3801">
        <f t="shared" ca="1" si="38"/>
        <v>0.47162352777631611</v>
      </c>
      <c r="DF10" s="1159">
        <f ca="1">+DF7+DF8+DF9</f>
        <v>403.28370000000001</v>
      </c>
      <c r="DG10" s="1173">
        <f t="shared" ca="1" si="39"/>
        <v>1.6833010764292</v>
      </c>
      <c r="DH10" s="1381">
        <f ca="1">IF(UPPER($F$2)="Y",(DI10/DF10-1)*100,OFFSET('VVP2'!$G$68,0,(COLUMN()-7)/5))</f>
        <v>1.8401917466891682</v>
      </c>
      <c r="DI10" s="1382">
        <f ca="1">IF(UPPER($F$2)="Y",+DI7+DI8+DI9,DF10*(1+DH10/100))</f>
        <v>410.70489336314267</v>
      </c>
      <c r="DJ10" s="3801">
        <f t="shared" ca="1" si="40"/>
        <v>1.1532627717365358</v>
      </c>
      <c r="DK10" s="1159">
        <f ca="1">+DK7+DK8+DK9</f>
        <v>415.44140000000004</v>
      </c>
      <c r="DL10" s="1173">
        <f t="shared" ca="1" si="41"/>
        <v>3.0146767647688311</v>
      </c>
      <c r="DM10" s="1381">
        <f ca="1">IF(UPPER($F$2)="Y",(DN10/DK10-1)*100,OFFSET('VVP2'!$G$68,0,(COLUMN()-7)/5))</f>
        <v>1.0773688930868941</v>
      </c>
      <c r="DN10" s="1382">
        <f ca="1">IF(UPPER($F$2)="Y",+DN7+DN8+DN9,DK10*(1+DM10/100))</f>
        <v>419.91723641260478</v>
      </c>
      <c r="DO10" s="3801">
        <f t="shared" ca="1" si="42"/>
        <v>1.737095540471671</v>
      </c>
      <c r="DP10" s="1159">
        <f ca="1">+DP7+DP8+DP9</f>
        <v>427.21160000000003</v>
      </c>
      <c r="DQ10" s="1173">
        <f t="shared" ca="1" si="43"/>
        <v>2.8331793605548272</v>
      </c>
      <c r="DR10" s="1381">
        <f ca="1">IF(UPPER($F$2)="Y",(DS10/DP10-1)*100,OFFSET('VVP2'!$G$68,0,(COLUMN()-7)/5))</f>
        <v>1.8557061652820339</v>
      </c>
      <c r="DS10" s="1382">
        <f ca="1">IF(UPPER($F$2)="Y",+DS7+DS8+DS9,DP10*(1+DR10/100))</f>
        <v>435.13939200000004</v>
      </c>
      <c r="DT10" s="1360">
        <f ca="1">+DU10/DS10*100-100</f>
        <v>1.5862113772475652</v>
      </c>
      <c r="DU10" s="1159">
        <f ca="1">+DU7+DU8+DU9</f>
        <v>442.04162254278998</v>
      </c>
      <c r="DV10" s="1362">
        <f t="shared" ca="1" si="44"/>
        <v>3.4713529648515928</v>
      </c>
      <c r="DW10" s="1381">
        <f ca="1">IF(UPPER($F$2)="Y",(DX10/DU10-1)*100,OFFSET('VVP2'!$G$68,0,(COLUMN()-7)/5))</f>
        <v>1.8160858898058185</v>
      </c>
      <c r="DX10" s="1382">
        <f ca="1">IF(UPPER($F$2)="Y",+DX7+DX8+DX9,DU10*(1+DW10/100))</f>
        <v>450.06947807685827</v>
      </c>
      <c r="DY10" s="1360">
        <f ca="1">+DZ10/DX10*100-100</f>
        <v>1.4001734833746013</v>
      </c>
      <c r="DZ10" s="1159">
        <f ca="1">+DZ7+DZ8+DZ9</f>
        <v>456.37123156565292</v>
      </c>
      <c r="EA10" s="1362">
        <f t="shared" ca="1" si="45"/>
        <v>3.2416877262447796</v>
      </c>
    </row>
    <row r="11" spans="1:131">
      <c r="A11" s="2823" t="s">
        <v>365</v>
      </c>
      <c r="C11" s="1167" t="s">
        <v>622</v>
      </c>
      <c r="D11" s="1111"/>
      <c r="E11" s="1111" t="s">
        <v>1485</v>
      </c>
      <c r="F11" s="1158" t="s">
        <v>1675</v>
      </c>
      <c r="G11" s="1189"/>
      <c r="H11" s="1190"/>
      <c r="I11" s="1191"/>
      <c r="J11" s="1174">
        <f ca="1">OFFSET('VVP2'!$G$274,0,(COLUMN()-6)/5)</f>
        <v>1.3454000000000002</v>
      </c>
      <c r="K11" s="1192"/>
      <c r="L11" s="2824">
        <f ca="1">IF(UPPER($F$2)="Y",M11/J11*100-100,OFFSET('VVP2'!$G$74,0,(COLUMN()-7)/5))</f>
        <v>-50.729355441515089</v>
      </c>
      <c r="M11" s="3303">
        <f ca="1">IF(UPPER($F$2)="Y",M16+M15-M13-M9-M8-M7,J11*(1+L11/100))</f>
        <v>0.66288725188985609</v>
      </c>
      <c r="N11" s="1230">
        <f t="shared" ca="1" si="0"/>
        <v>21.151824493592983</v>
      </c>
      <c r="O11" s="1174">
        <f ca="1">OFFSET('VVP2'!$G$274,0,(COLUMN()-10)/5)</f>
        <v>0.80310000000000004</v>
      </c>
      <c r="P11" s="1161">
        <f t="shared" ca="1" si="1"/>
        <v>-40.307715177642343</v>
      </c>
      <c r="Q11" s="2824">
        <f ca="1">IF(UPPER($F$2)="Y",R11/O11*100-100,OFFSET('VVP2'!$G$74,0,(COLUMN()-7)/5))</f>
        <v>62.761994109241016</v>
      </c>
      <c r="R11" s="2825">
        <f ca="1">IF(UPPER($F$2)="Y",R16+R15-R13-R9-R8-R7,O11*(1+Q11/100))</f>
        <v>1.3071415746913146</v>
      </c>
      <c r="S11" s="1230">
        <f t="shared" ca="1" si="2"/>
        <v>-40.442564518396175</v>
      </c>
      <c r="T11" s="1174">
        <f ca="1">OFFSET('VVP2'!$G$274,0,(COLUMN()-10)/5)</f>
        <v>0.77849999999999997</v>
      </c>
      <c r="U11" s="1161">
        <f t="shared" ca="1" si="3"/>
        <v>-3.0631303698169687</v>
      </c>
      <c r="V11" s="2824">
        <f ca="1">IF(UPPER($F$2)="Y",W11/T11*100-100,OFFSET('VVP2'!$G$74,0,(COLUMN()-7)/5))</f>
        <v>-33.580778423089768</v>
      </c>
      <c r="W11" s="2825">
        <f ca="1">IF(UPPER($F$2)="Y",W16+W15-W13-W9-W8-W7,T11*(1+V11/100))</f>
        <v>0.51707363997624611</v>
      </c>
      <c r="X11" s="1230">
        <f t="shared" ca="1" si="4"/>
        <v>117.78329292743135</v>
      </c>
      <c r="Y11" s="1174">
        <f ca="1">OFFSET('VVP2'!$G$274,0,(COLUMN()-10)/5)</f>
        <v>1.1260999999999999</v>
      </c>
      <c r="Z11" s="1161">
        <f t="shared" ca="1" si="5"/>
        <v>44.649967886962095</v>
      </c>
      <c r="AA11" s="2824">
        <f ca="1">IF(UPPER($F$2)="Y",AB11/Y11*100-100,OFFSET('VVP2'!$G$74,0,(COLUMN()-7)/5))</f>
        <v>14.846499111496385</v>
      </c>
      <c r="AB11" s="2825">
        <f ca="1">IF(UPPER($F$2)="Y",AB16+AB15-AB13-AB9-AB8-AB7,Y11*(1+AA11/100))</f>
        <v>1.2932864264945607</v>
      </c>
      <c r="AC11" s="1230">
        <f t="shared" ca="1" si="6"/>
        <v>-14.782991808919675</v>
      </c>
      <c r="AD11" s="1174">
        <f ca="1">OFFSET('VVP2'!$G$274,0,(COLUMN()-10)/5)</f>
        <v>1.1020999999999999</v>
      </c>
      <c r="AE11" s="1161">
        <f t="shared" ca="1" si="7"/>
        <v>-2.1312494449871267</v>
      </c>
      <c r="AF11" s="2824">
        <f ca="1">IF(UPPER($F$2)="Y",AG11/AD11*100-100,OFFSET('VVP2'!$G$74,0,(COLUMN()-7)/5))</f>
        <v>106.05589594737935</v>
      </c>
      <c r="AG11" s="2825">
        <f ca="1">IF(UPPER($F$2)="Y",AG16+AG15-AG13-AG9-AG8-AG7,AD11*(1+AF11/100))</f>
        <v>2.2709420292360676</v>
      </c>
      <c r="AH11" s="1230">
        <f t="shared" ca="1" si="8"/>
        <v>46.886180142700994</v>
      </c>
      <c r="AI11" s="1174">
        <f ca="1">OFFSET('VVP2'!$G$274,0,(COLUMN()-10)/5)</f>
        <v>3.3356999999999997</v>
      </c>
      <c r="AJ11" s="1161">
        <f t="shared" ca="1" si="9"/>
        <v>202.66763451592414</v>
      </c>
      <c r="AK11" s="2824">
        <f ca="1">IF(UPPER($F$2)="Y",AL11/AI11*100-100,OFFSET('VVP2'!$G$74,0,(COLUMN()-7)/5))</f>
        <v>-78.86113688390401</v>
      </c>
      <c r="AL11" s="2825">
        <f ca="1">IF(UPPER($F$2)="Y",AL16+AL15-AL13-AL9-AL8-AL7,AI11*(1+AK11/100))</f>
        <v>0.70512905696361372</v>
      </c>
      <c r="AM11" s="1230">
        <f t="shared" ca="1" si="10"/>
        <v>-33.345535067880064</v>
      </c>
      <c r="AN11" s="1174">
        <f ca="1">OFFSET('VVP2'!$G$274,0,(COLUMN()-10)/5)</f>
        <v>0.47</v>
      </c>
      <c r="AO11" s="1161">
        <f t="shared" ca="1" si="11"/>
        <v>-85.910003897232968</v>
      </c>
      <c r="AP11" s="2824">
        <f ca="1">IF(UPPER($F$2)="Y",AQ11/AN11*100-100,OFFSET('VVP2'!$G$74,0,(COLUMN()-7)/5))</f>
        <v>-2.6391389255311424</v>
      </c>
      <c r="AQ11" s="2825">
        <f ca="1">IF(UPPER($F$2)="Y",AQ16+AQ15-AQ13-AQ9-AQ8-AQ7,AN11*(1+AP11/100))</f>
        <v>0.45759604705000356</v>
      </c>
      <c r="AR11" s="1230">
        <f t="shared" ca="1" si="12"/>
        <v>-98.208026478186781</v>
      </c>
      <c r="AS11" s="1174">
        <f ca="1">OFFSET('VVP2'!$G$274,0,(COLUMN()-10)/5)</f>
        <v>8.199999999999999E-3</v>
      </c>
      <c r="AT11" s="1161">
        <f t="shared" ca="1" si="13"/>
        <v>-98.255319148936167</v>
      </c>
      <c r="AU11" s="2824">
        <f ca="1">IF(UPPER($F$2)="Y",AV11/AS11*100-100,OFFSET('VVP2'!$G$74,0,(COLUMN()-7)/5))</f>
        <v>4880.6274272132969</v>
      </c>
      <c r="AV11" s="2825">
        <f ca="1">IF(UPPER($F$2)="Y",AV16+AV15-AV13-AV9-AV8-AV7,AS11*(1+AU11/100))</f>
        <v>0.40841144903149029</v>
      </c>
      <c r="AW11" s="1230">
        <f t="shared" ca="1" si="14"/>
        <v>191.47077116053504</v>
      </c>
      <c r="AX11" s="1174">
        <f ca="1">OFFSET('VVP2'!$G$274,0,(COLUMN()-10)/5)</f>
        <v>1.1904000000000001</v>
      </c>
      <c r="AY11" s="1161">
        <f t="shared" ca="1" si="15"/>
        <v>14417.073170731712</v>
      </c>
      <c r="AZ11" s="2824">
        <f ca="1">IF(UPPER($F$2)="Y",BA11/AX11*100-100,OFFSET('VVP2'!$G$74,0,(COLUMN()-7)/5))</f>
        <v>91.076356527521028</v>
      </c>
      <c r="BA11" s="2825">
        <f ca="1">IF(UPPER($F$2)="Y",BA16+BA15-BA13-BA9-BA8-BA7,AX11*(1+AZ11/100))</f>
        <v>2.2745729481036108</v>
      </c>
      <c r="BB11" s="1230">
        <f t="shared" ca="1" si="16"/>
        <v>50.089712569838014</v>
      </c>
      <c r="BC11" s="1174">
        <f ca="1">OFFSET('VVP2'!$G$274,0,(COLUMN()-10)/5)</f>
        <v>3.4138999999999999</v>
      </c>
      <c r="BD11" s="1161">
        <f t="shared" ca="1" si="17"/>
        <v>186.78595430107526</v>
      </c>
      <c r="BE11" s="2824">
        <f ca="1">IF(UPPER($F$2)="Y",BF11/BC11*100-100,OFFSET('VVP2'!$G$74,0,(COLUMN()-7)/5))</f>
        <v>48.920220260036473</v>
      </c>
      <c r="BF11" s="2825">
        <f ca="1">IF(UPPER($F$2)="Y",BF16+BF15-BF13-BF9-BF8-BF7,BC11*(1+BE11/100))</f>
        <v>5.083987399457385</v>
      </c>
      <c r="BG11" s="1230">
        <f t="shared" ca="1" si="18"/>
        <v>-11.05406751238931</v>
      </c>
      <c r="BH11" s="1174">
        <f ca="1">OFFSET('VVP2'!$G$274,0,(COLUMN()-10)/5)</f>
        <v>4.5220000000000002</v>
      </c>
      <c r="BI11" s="1161">
        <f t="shared" ca="1" si="19"/>
        <v>32.458478572893192</v>
      </c>
      <c r="BJ11" s="2824">
        <f ca="1">IF(UPPER($F$2)="Y",BK11/BH11*100-100,OFFSET('VVP2'!$G$74,0,(COLUMN()-7)/5))</f>
        <v>31.201283679313661</v>
      </c>
      <c r="BK11" s="2825">
        <f ca="1">IF(UPPER($F$2)="Y",BK16+BK15-BK13-BK9-BK8-BK7,BH11*(1+BJ11/100))</f>
        <v>5.9329220479785647</v>
      </c>
      <c r="BL11" s="1230">
        <f t="shared" ca="1" si="20"/>
        <v>-15.259294503743249</v>
      </c>
      <c r="BM11" s="1174">
        <f ca="1">OFFSET('VVP2'!$G$274,0,(COLUMN()-10)/5)</f>
        <v>5.0276000000000005</v>
      </c>
      <c r="BN11" s="1161">
        <f t="shared" ca="1" si="21"/>
        <v>11.180893409995573</v>
      </c>
      <c r="BO11" s="2824">
        <f ca="1">IF(UPPER($F$2)="Y",BP11/BM11*100-100,OFFSET('VVP2'!$G$74,0,(COLUMN()-7)/5))</f>
        <v>31.438845281055336</v>
      </c>
      <c r="BP11" s="3303">
        <f ca="1">IF(UPPER($F$2)="Y",BP16+BP15-BP13-BP9-BP8-BP7,BM11*(1+BO11/100))</f>
        <v>6.6082193853503384</v>
      </c>
      <c r="BQ11" s="1230">
        <f t="shared" ca="1" si="22"/>
        <v>-36.757547588919259</v>
      </c>
      <c r="BR11" s="1174">
        <f ca="1">OFFSET('VVP2'!$G$274,0,(COLUMN()-10)/5)</f>
        <v>4.1791999999999998</v>
      </c>
      <c r="BS11" s="1161">
        <f t="shared" ca="1" si="23"/>
        <v>-16.874850823454544</v>
      </c>
      <c r="BT11" s="2824">
        <f ca="1">IF(UPPER($F$2)="Y",BU11/BR11*100-100,OFFSET('VVP2'!$G$74,0,(COLUMN()-7)/5))</f>
        <v>14.010495956857611</v>
      </c>
      <c r="BU11" s="3303">
        <f ca="1">IF(UPPER($F$2)="Y",BU16+BU15-BU13-BU9-BU8-BU7,BR11*(1+BT11/100))</f>
        <v>4.7647266470289935</v>
      </c>
      <c r="BV11" s="1230">
        <f t="shared" ca="1" si="24"/>
        <v>30.47967828073746</v>
      </c>
      <c r="BW11" s="1174">
        <f ca="1">OFFSET('VVP2'!$G$274,0,(COLUMN()-10)/5)</f>
        <v>6.2169999999999996</v>
      </c>
      <c r="BX11" s="1161">
        <f t="shared" ca="1" si="25"/>
        <v>48.760528330781014</v>
      </c>
      <c r="BY11" s="2824">
        <f ca="1">IF(UPPER($F$2)="Y",BZ11/BW11*100-100,OFFSET('VVP2'!$G$74,0,(COLUMN()-7)/5))</f>
        <v>-49.781052343023489</v>
      </c>
      <c r="BZ11" s="3303">
        <f ca="1">IF(UPPER($F$2)="Y",BZ16+BZ15-BZ13-BZ9-BZ8-BZ7,BW11*(1+BY11/100))</f>
        <v>3.1221119758342297</v>
      </c>
      <c r="CA11" s="1230">
        <f t="shared" ca="1" si="26"/>
        <v>-203.1000817688452</v>
      </c>
      <c r="CB11" s="1174">
        <f ca="1">OFFSET('VVP2'!$G$274,0,(COLUMN()-10)/5)</f>
        <v>-3.2189000000000001</v>
      </c>
      <c r="CC11" s="1161">
        <f t="shared" ca="1" si="27"/>
        <v>-151.77577609779638</v>
      </c>
      <c r="CD11" s="1156">
        <f ca="1">IF(UPPER($F$2)="Y",CE11/CB11*100-100,OFFSET('VVP2'!$G$74,0,(COLUMN()-7)/5))</f>
        <v>-63.264088521085995</v>
      </c>
      <c r="CE11" s="1154">
        <f ca="1">IF(UPPER($F$2)="Y",CE16+CE15-CE13-CE9-CE8-CE7,CB11*(1+CD11/100))</f>
        <v>-1.1824922545947629</v>
      </c>
      <c r="CF11" s="1767">
        <f t="shared" ca="1" si="28"/>
        <v>-369.5916178404471</v>
      </c>
      <c r="CG11" s="1151">
        <f ca="1">OFFSET('VVP2'!$G$274,0,(COLUMN()-10)/5)</f>
        <v>3.1879</v>
      </c>
      <c r="CH11" s="1338">
        <f t="shared" ca="1" si="29"/>
        <v>-199.03693808443879</v>
      </c>
      <c r="CI11" s="1156">
        <f ca="1">IF(UPPER($F$2)="Y",CJ11/CG11*100-100,OFFSET('VVP2'!$G$74,0,(COLUMN()-7)/5))</f>
        <v>83.62307475140139</v>
      </c>
      <c r="CJ11" s="1154">
        <f ca="1">IF(UPPER($F$2)="Y",CJ16+CJ15-CJ13-CJ9-CJ8-CJ7,CG11*(1+CI11/100))</f>
        <v>5.8537199999999245</v>
      </c>
      <c r="CK11" s="1767">
        <f t="shared" ca="1" si="30"/>
        <v>-8.7998742679856718</v>
      </c>
      <c r="CL11" s="1151">
        <f ca="1">OFFSET('VVP2'!$G$274,0,(COLUMN()-10)/5)</f>
        <v>5.3386000000000005</v>
      </c>
      <c r="CM11" s="1338">
        <f t="shared" ca="1" si="31"/>
        <v>67.464475046268717</v>
      </c>
      <c r="CN11" s="1156">
        <f ca="1">IF(UPPER($F$2)="Y",CO11/CL11*100-100,OFFSET('VVP2'!$G$74,0,(COLUMN()-7)/5))</f>
        <v>-45.844788698578512</v>
      </c>
      <c r="CO11" s="1154">
        <f ca="1">IF(UPPER($F$2)="Y",CO16+CO15-CO13-CO9-CO8-CO7,CL11*(1+CN11/100))</f>
        <v>2.8911301105376879</v>
      </c>
      <c r="CP11" s="1767">
        <f t="shared" ca="1" si="32"/>
        <v>-22.321033155359117</v>
      </c>
      <c r="CQ11" s="1151">
        <f ca="1">OFFSET('VVP2'!$G$274,0,(COLUMN()-10)/5)</f>
        <v>2.2458</v>
      </c>
      <c r="CR11" s="1338">
        <f t="shared" ca="1" si="33"/>
        <v>-57.932791368523581</v>
      </c>
      <c r="CS11" s="1156">
        <f ca="1">IF(UPPER($F$2)="Y",CT11/CQ11*100-100,OFFSET('VVP2'!$G$74,0,(COLUMN()-7)/5))</f>
        <v>-65.237956050981353</v>
      </c>
      <c r="CT11" s="1154">
        <f ca="1">IF(UPPER($F$2)="Y",CT16+CT15-CT13-CT9-CT8-CT7,CQ11*(1+CS11/100))</f>
        <v>0.78068598300706071</v>
      </c>
      <c r="CU11" s="1156">
        <f t="shared" ca="1" si="34"/>
        <v>-93.403237521745766</v>
      </c>
      <c r="CV11" s="1151">
        <f ca="1">OFFSET('VVP2'!$G$274,0,(COLUMN()-10)/5)</f>
        <v>5.1499999999999997E-2</v>
      </c>
      <c r="CW11" s="1161">
        <f t="shared" ca="1" si="35"/>
        <v>-97.706830528096887</v>
      </c>
      <c r="CX11" s="1156">
        <f ca="1">IF(UPPER($F$2)="Y",CY11/CV11*100-100,OFFSET('VVP2'!$G$74,0,(COLUMN()-7)/5))</f>
        <v>2341.7734560565295</v>
      </c>
      <c r="CY11" s="1154">
        <f ca="1">IF(UPPER($F$2)="Y",CY16+CY15-CY13-CY9-CY8-CY7,CV11*(1+CX11/100))</f>
        <v>1.2575133298691128</v>
      </c>
      <c r="CZ11" s="1156">
        <f t="shared" ca="1" si="36"/>
        <v>-9.0427136769157528</v>
      </c>
      <c r="DA11" s="1151">
        <f ca="1">OFFSET('VVP2'!$G$274,0,(COLUMN()-10)/5)</f>
        <v>1.1437999999999999</v>
      </c>
      <c r="DB11" s="1161">
        <f t="shared" ca="1" si="37"/>
        <v>2120.9708737864075</v>
      </c>
      <c r="DC11" s="1156">
        <f ca="1">IF(UPPER($F$2)="Y",DD11/DA11*100-100,OFFSET('VVP2'!$G$74,0,(COLUMN()-7)/5))</f>
        <v>65.162420439760382</v>
      </c>
      <c r="DD11" s="1154">
        <f ca="1">IF(UPPER($F$2)="Y",DD16+DD15-DD13-DD9-DD8-DD7,DA11*(1+DC11/100))</f>
        <v>1.8891277649899791</v>
      </c>
      <c r="DE11" s="1156">
        <f t="shared" ca="1" si="38"/>
        <v>-16.681125058349394</v>
      </c>
      <c r="DF11" s="1151">
        <f ca="1">OFFSET('VVP2'!$G$274,0,(COLUMN()-10)/5)</f>
        <v>1.5740000000000001</v>
      </c>
      <c r="DG11" s="1161">
        <f t="shared" ca="1" si="39"/>
        <v>37.611470536807154</v>
      </c>
      <c r="DH11" s="1156">
        <f ca="1">IF(UPPER($F$2)="Y",DI11/DF11*100-100,OFFSET('VVP2'!$G$74,0,(COLUMN()-7)/5))</f>
        <v>59.536223576318719</v>
      </c>
      <c r="DI11" s="1154">
        <f ca="1">IF(UPPER($F$2)="Y",DI16+DI15-DI13-DI9-DI8-DI7,DF11*(1+DH11/100))</f>
        <v>2.5111001590912565</v>
      </c>
      <c r="DJ11" s="1156">
        <f t="shared" ca="1" si="40"/>
        <v>-21.078416851472994</v>
      </c>
      <c r="DK11" s="1151">
        <f ca="1">OFFSET('VVP2'!$G$274,0,(COLUMN()-10)/5)</f>
        <v>1.9818</v>
      </c>
      <c r="DL11" s="1161">
        <f t="shared" ca="1" si="41"/>
        <v>25.908513341804309</v>
      </c>
      <c r="DM11" s="1156">
        <f ca="1">IF(UPPER($F$2)="Y",DN11/DK11*100-100,OFFSET('VVP2'!$G$74,0,(COLUMN()-7)/5))</f>
        <v>48.326635406186057</v>
      </c>
      <c r="DN11" s="1154">
        <f ca="1">IF(UPPER($F$2)="Y",DN16+DN15-DN13-DN9-DN8-DN7,DK11*(1+DM11/100))</f>
        <v>2.9395372604797956</v>
      </c>
      <c r="DO11" s="1156">
        <f t="shared" ca="1" si="42"/>
        <v>89.999292578737112</v>
      </c>
      <c r="DP11" s="1151">
        <f ca="1">OFFSET('VVP2'!$G$274,0,(COLUMN()-10)/5)</f>
        <v>5.5851000000000006</v>
      </c>
      <c r="DQ11" s="1161">
        <f t="shared" ca="1" si="43"/>
        <v>181.81955797759616</v>
      </c>
      <c r="DR11" s="1156">
        <f>+DR80</f>
        <v>0</v>
      </c>
      <c r="DS11" s="1154">
        <f ca="1">+DP11*(1+DR11/100)</f>
        <v>5.5851000000000006</v>
      </c>
      <c r="DT11" s="1767">
        <f>+DT80</f>
        <v>0</v>
      </c>
      <c r="DU11" s="1151">
        <f ca="1">+DS11*(1+DT11/100)</f>
        <v>5.5851000000000006</v>
      </c>
      <c r="DV11" s="1338">
        <f t="shared" ca="1" si="44"/>
        <v>0</v>
      </c>
      <c r="DW11" s="1156">
        <f>+DW80</f>
        <v>0</v>
      </c>
      <c r="DX11" s="1154">
        <f ca="1">+DU11*(1+DW11/100)</f>
        <v>5.5851000000000006</v>
      </c>
      <c r="DY11" s="1767">
        <f>+DY80</f>
        <v>0</v>
      </c>
      <c r="DZ11" s="1151">
        <f ca="1">+DX11*(1+DY11/100)</f>
        <v>5.5851000000000006</v>
      </c>
      <c r="EA11" s="1338">
        <f t="shared" ca="1" si="45"/>
        <v>0</v>
      </c>
    </row>
    <row r="12" spans="1:131">
      <c r="A12" s="1377" t="s">
        <v>571</v>
      </c>
      <c r="C12" s="1167" t="s">
        <v>624</v>
      </c>
      <c r="D12" s="1146"/>
      <c r="E12" s="1146" t="s">
        <v>1161</v>
      </c>
      <c r="F12" s="1170"/>
      <c r="G12" s="1306"/>
      <c r="H12" s="1307"/>
      <c r="I12" s="1307"/>
      <c r="J12" s="1155">
        <f ca="1">+J10+J11</f>
        <v>203.95080000000002</v>
      </c>
      <c r="K12" s="1309"/>
      <c r="L12" s="1381">
        <f ca="1">IF(UPPER($F$2)="Y",(M12/J12-1)*100,OFFSET('VVP2'!$G$85,0,(COLUMN()-7)/5))</f>
        <v>-3.7528547384548028</v>
      </c>
      <c r="M12" s="1382">
        <f ca="1">IF(UPPER($F$2)="Y",+M10+M11,J12*(1+L12/100))</f>
        <v>196.29682273808353</v>
      </c>
      <c r="N12" s="1231">
        <f t="shared" ca="1" si="0"/>
        <v>6.8998453836353093</v>
      </c>
      <c r="O12" s="1155">
        <f ca="1">+O10+O11</f>
        <v>209.84099999999998</v>
      </c>
      <c r="P12" s="1173">
        <f t="shared" ca="1" si="1"/>
        <v>2.8880494707546944</v>
      </c>
      <c r="Q12" s="1381">
        <f ca="1">IF(UPPER($F$2)="Y",(R12/O12-1)*100,OFFSET('VVP2'!$G$85,0,(COLUMN()-7)/5))</f>
        <v>2.8313248463297969</v>
      </c>
      <c r="R12" s="1382">
        <f ca="1">IF(UPPER($F$2)="Y",+R10+R11,O12*(1+Q12/100))</f>
        <v>215.78228037078691</v>
      </c>
      <c r="S12" s="1231">
        <f t="shared" ca="1" si="2"/>
        <v>1.1320761023636976</v>
      </c>
      <c r="T12" s="1155">
        <f ca="1">+T10+T11</f>
        <v>218.2251</v>
      </c>
      <c r="U12" s="1173">
        <f t="shared" ca="1" si="3"/>
        <v>3.9954537006590796</v>
      </c>
      <c r="V12" s="1381">
        <f ca="1">IF(UPPER($F$2)="Y",(W12/T12-1)*100,OFFSET('VVP2'!$G$85,0,(COLUMN()-7)/5))</f>
        <v>2.3414471375643897</v>
      </c>
      <c r="W12" s="1382">
        <f ca="1">IF(UPPER($F$2)="Y",+W10+W11,T12*(1+V12/100))</f>
        <v>223.33472535739705</v>
      </c>
      <c r="X12" s="1231">
        <f t="shared" ca="1" si="4"/>
        <v>1.5193224596725656</v>
      </c>
      <c r="Y12" s="1155">
        <f ca="1">+Y10+Y11</f>
        <v>226.72790000000001</v>
      </c>
      <c r="Z12" s="1173">
        <f t="shared" ca="1" si="5"/>
        <v>3.8963437294793346</v>
      </c>
      <c r="AA12" s="1381">
        <f ca="1">IF(UPPER($F$2)="Y",(AB12/Y12-1)*100,OFFSET('VVP2'!$G$85,0,(COLUMN()-7)/5))</f>
        <v>2.4332935190073623</v>
      </c>
      <c r="AB12" s="1382">
        <f ca="1">IF(UPPER($F$2)="Y",+AB10+AB11,Y12*(1+AA12/100))</f>
        <v>232.24485529648149</v>
      </c>
      <c r="AC12" s="1231">
        <f t="shared" ca="1" si="6"/>
        <v>1.1625853670995951</v>
      </c>
      <c r="AD12" s="1155">
        <f ca="1">+AD10+AD11</f>
        <v>234.94489999999999</v>
      </c>
      <c r="AE12" s="1173">
        <f t="shared" ca="1" si="7"/>
        <v>3.6241680004974963</v>
      </c>
      <c r="AF12" s="1381">
        <f ca="1">IF(UPPER($F$2)="Y",(AG12/AD12-1)*100,OFFSET('VVP2'!$G$85,0,(COLUMN()-7)/5))</f>
        <v>3.7428329376810066</v>
      </c>
      <c r="AG12" s="1382">
        <f ca="1">IF(UPPER($F$2)="Y",+AG10+AG11,AD12*(1+AF12/100))</f>
        <v>243.73849510260169</v>
      </c>
      <c r="AH12" s="1231">
        <f t="shared" ca="1" si="8"/>
        <v>3.1494839968413118</v>
      </c>
      <c r="AI12" s="1155">
        <f ca="1">+AI10+AI11</f>
        <v>251.41499999999999</v>
      </c>
      <c r="AJ12" s="1173">
        <f t="shared" ca="1" si="9"/>
        <v>7.0101968589231012</v>
      </c>
      <c r="AK12" s="1381">
        <f ca="1">IF(UPPER($F$2)="Y",(AL12/AI12-1)*100,OFFSET('VVP2'!$G$85,0,(COLUMN()-7)/5))</f>
        <v>9.4521180324069753E-2</v>
      </c>
      <c r="AL12" s="1382">
        <f ca="1">IF(UPPER($F$2)="Y",+AL10+AL11,AI12*(1+AK12/100))</f>
        <v>251.65264042551175</v>
      </c>
      <c r="AM12" s="1231">
        <f t="shared" ca="1" si="10"/>
        <v>2.0829344630062963</v>
      </c>
      <c r="AN12" s="1155">
        <f ca="1">+AN10+AN11</f>
        <v>256.89440000000002</v>
      </c>
      <c r="AO12" s="1173">
        <f t="shared" ca="1" si="11"/>
        <v>2.179424457570156</v>
      </c>
      <c r="AP12" s="1381">
        <f ca="1">IF(UPPER($F$2)="Y",(AQ12/AN12-1)*100,OFFSET('VVP2'!$G$85,0,(COLUMN()-7)/5))</f>
        <v>-0.20125342320700401</v>
      </c>
      <c r="AQ12" s="1382">
        <f ca="1">IF(UPPER($F$2)="Y",+AQ10+AQ11,AN12*(1+AP12/100))</f>
        <v>256.37739122597293</v>
      </c>
      <c r="AR12" s="1231">
        <f t="shared" ca="1" si="12"/>
        <v>1.3832377172842598</v>
      </c>
      <c r="AS12" s="1155">
        <f ca="1">+AS10+AS11</f>
        <v>259.9237</v>
      </c>
      <c r="AT12" s="1173">
        <f t="shared" ca="1" si="13"/>
        <v>1.1792004808201195</v>
      </c>
      <c r="AU12" s="1381">
        <f ca="1">IF(UPPER($F$2)="Y",(AV12/AS12-1)*100,OFFSET('VVP2'!$G$85,0,(COLUMN()-7)/5))</f>
        <v>0.67363284603219054</v>
      </c>
      <c r="AV12" s="1382">
        <f ca="1">IF(UPPER($F$2)="Y",+AV10+AV11,AS12*(1+AU12/100))</f>
        <v>261.67463141782218</v>
      </c>
      <c r="AW12" s="1231">
        <f t="shared" ca="1" si="14"/>
        <v>2.3920807868391307</v>
      </c>
      <c r="AX12" s="1155">
        <f ca="1">+AX10+AX11</f>
        <v>267.9341</v>
      </c>
      <c r="AY12" s="1173">
        <f t="shared" ca="1" si="15"/>
        <v>3.0818274747550944</v>
      </c>
      <c r="AZ12" s="1381">
        <f ca="1">IF(UPPER($F$2)="Y",(BA12/AX12-1)*100,OFFSET('VVP2'!$G$85,0,(COLUMN()-7)/5))</f>
        <v>3.5445449072077251</v>
      </c>
      <c r="BA12" s="1382">
        <f ca="1">IF(UPPER($F$2)="Y",+BA10+BA11,AX12*(1+AZ12/100))</f>
        <v>277.43114449622283</v>
      </c>
      <c r="BB12" s="1231">
        <f t="shared" ca="1" si="16"/>
        <v>2.6074778002711554</v>
      </c>
      <c r="BC12" s="1155">
        <f ca="1">+BC10+BC11</f>
        <v>284.6651</v>
      </c>
      <c r="BD12" s="1173">
        <f t="shared" ca="1" si="17"/>
        <v>6.2444459290549315</v>
      </c>
      <c r="BE12" s="1381">
        <f ca="1">IF(UPPER($F$2)="Y",(BF12/BC12-1)*100,OFFSET('VVP2'!$G$85,0,(COLUMN()-7)/5))</f>
        <v>2.7514420597178901</v>
      </c>
      <c r="BF12" s="1382">
        <f ca="1">IF(UPPER($F$2)="Y",+BF10+BF11,BC12*(1+BE12/100))</f>
        <v>292.49749529073802</v>
      </c>
      <c r="BG12" s="1231">
        <f t="shared" ca="1" si="18"/>
        <v>2.5859040952620092</v>
      </c>
      <c r="BH12" s="1155">
        <f ca="1">+BH10+BH11</f>
        <v>300.06119999999999</v>
      </c>
      <c r="BI12" s="1173">
        <f t="shared" ca="1" si="19"/>
        <v>5.4084958078808976</v>
      </c>
      <c r="BJ12" s="1381">
        <f ca="1">IF(UPPER($F$2)="Y",(BK12/BH12-1)*100,OFFSET('VVP2'!$G$85,0,(COLUMN()-7)/5))</f>
        <v>1.9112628156515266</v>
      </c>
      <c r="BK12" s="1382">
        <f ca="1">IF(UPPER($F$2)="Y",+BK10+BK11,BH12*(1+BJ12/100))</f>
        <v>305.79615813979774</v>
      </c>
      <c r="BL12" s="1231">
        <f t="shared" ca="1" si="20"/>
        <v>2.8406968593212412</v>
      </c>
      <c r="BM12" s="1155">
        <f ca="1">+BM10+BM11</f>
        <v>314.48289999999997</v>
      </c>
      <c r="BN12" s="1173">
        <f t="shared" ca="1" si="21"/>
        <v>4.8062528577503372</v>
      </c>
      <c r="BO12" s="1381">
        <f ca="1">IF(UPPER($F$2)="Y",(BP12/BM12-1)*100,OFFSET('VVP2'!$G$85,0,(COLUMN()-7)/5))</f>
        <v>3.4795717973250762</v>
      </c>
      <c r="BP12" s="1382">
        <f ca="1">IF(UPPER($F$2)="Y",+BP10+BP11,BM12*(1+BO12/100))</f>
        <v>325.42555829580999</v>
      </c>
      <c r="BQ12" s="1231">
        <f t="shared" ca="1" si="22"/>
        <v>1.8823480664114953</v>
      </c>
      <c r="BR12" s="1155">
        <f ca="1">+BR10+BR11</f>
        <v>331.55119999999999</v>
      </c>
      <c r="BS12" s="1173">
        <f t="shared" ca="1" si="23"/>
        <v>5.4274175161829197</v>
      </c>
      <c r="BT12" s="1381">
        <f ca="1">IF(UPPER($F$2)="Y",(BU12/BR12-1)*100,OFFSET('VVP2'!$G$85,0,(COLUMN()-7)/5))</f>
        <v>2.1597356098970177</v>
      </c>
      <c r="BU12" s="1382">
        <f ca="1">IF(UPPER($F$2)="Y",+BU10+BU11,BR12*(1+BT12/100))</f>
        <v>338.71182933144087</v>
      </c>
      <c r="BV12" s="1231">
        <f t="shared" ca="1" si="24"/>
        <v>4.0272200399624154</v>
      </c>
      <c r="BW12" s="1155">
        <f ca="1">+BW10+BW11</f>
        <v>352.35249999999996</v>
      </c>
      <c r="BX12" s="1173">
        <f t="shared" ca="1" si="25"/>
        <v>6.2739329551514178</v>
      </c>
      <c r="BY12" s="1381">
        <f ca="1">IF(UPPER($F$2)="Y",(BZ12/BW12-1)*100,OFFSET('VVP2'!$G$85,0,(COLUMN()-7)/5))</f>
        <v>-1.9685756422020972</v>
      </c>
      <c r="BZ12" s="1382">
        <f ca="1">IF(UPPER($F$2)="Y",+BZ10+BZ11,BW12*(1+BY12/100))</f>
        <v>345.41617451030982</v>
      </c>
      <c r="CA12" s="1231">
        <f t="shared" ca="1" si="26"/>
        <v>-1.3106724132788656</v>
      </c>
      <c r="CB12" s="1155">
        <f ca="1">+CB10+CB11</f>
        <v>340.88889999999998</v>
      </c>
      <c r="CC12" s="1173">
        <f t="shared" ca="1" si="27"/>
        <v>-3.253446477604105</v>
      </c>
      <c r="CD12" s="1381">
        <f ca="1">IF(UPPER($F$2)="Y",(CE12/CB12-1)*100,OFFSET('VVP2'!$G$85,0,(COLUMN()-7)/5))</f>
        <v>2.0826585582710333</v>
      </c>
      <c r="CE12" s="1382">
        <f ca="1">IF(UPPER($F$2)="Y",+CE10+CE11,CB12*(1+CD12/100))</f>
        <v>347.98845185004598</v>
      </c>
      <c r="CF12" s="1360">
        <f t="shared" ca="1" si="28"/>
        <v>3.0323271056422954</v>
      </c>
      <c r="CG12" s="1159">
        <f ca="1">+CG10+CG11</f>
        <v>358.54059999999993</v>
      </c>
      <c r="CH12" s="1362">
        <f t="shared" ca="1" si="29"/>
        <v>5.1781386838937626</v>
      </c>
      <c r="CI12" s="1381">
        <f ca="1">IF(UPPER($F$2)="Y",(CJ12/CG12-1)*100,OFFSET('VVP2'!$G$85,0,(COLUMN()-7)/5))</f>
        <v>2.1589409958035377</v>
      </c>
      <c r="CJ12" s="1382">
        <f ca="1">IF(UPPER($F$2)="Y",+CJ10+CJ11,CG12*(1+CI12/100))</f>
        <v>366.28127999999992</v>
      </c>
      <c r="CK12" s="1360">
        <f t="shared" ca="1" si="30"/>
        <v>2.9658681983420081</v>
      </c>
      <c r="CL12" s="1159">
        <f ca="1">+CL10+CL11</f>
        <v>377.1447</v>
      </c>
      <c r="CM12" s="1362">
        <f t="shared" ca="1" si="31"/>
        <v>5.188840538561057</v>
      </c>
      <c r="CN12" s="1381">
        <f ca="1">IF(UPPER($F$2)="Y",(CO12/CL12-1)*100,OFFSET('VVP2'!$G$85,0,(COLUMN()-7)/5))</f>
        <v>3.6581474397512359E-2</v>
      </c>
      <c r="CO12" s="1382">
        <f ca="1">IF(UPPER($F$2)="Y",+CO10+CO11,CL12*(1+CN12/100))</f>
        <v>377.2826650918721</v>
      </c>
      <c r="CP12" s="1360">
        <f t="shared" ca="1" si="32"/>
        <v>2.0747666490910035</v>
      </c>
      <c r="CQ12" s="1159">
        <f ca="1">+CQ10+CQ11</f>
        <v>385.11040000000003</v>
      </c>
      <c r="CR12" s="1362">
        <f t="shared" ca="1" si="33"/>
        <v>2.1121071037190742</v>
      </c>
      <c r="CS12" s="1381">
        <f ca="1">IF(UPPER($F$2)="Y",(CT12/CQ12-1)*100,OFFSET('VVP2'!$G$85,0,(COLUMN()-7)/5))</f>
        <v>-0.25285087573572174</v>
      </c>
      <c r="CT12" s="1382">
        <f ca="1">IF(UPPER($F$2)="Y",+CT10+CT11,CQ12*(1+CS12/100))</f>
        <v>384.13664498105067</v>
      </c>
      <c r="CU12" s="3801">
        <f t="shared" ca="1" si="34"/>
        <v>0.86699747666969529</v>
      </c>
      <c r="CV12" s="1159">
        <f ca="1">+CV10+CV11</f>
        <v>387.46709999999996</v>
      </c>
      <c r="CW12" s="1173">
        <f t="shared" ca="1" si="35"/>
        <v>0.61195439022159182</v>
      </c>
      <c r="CX12" s="1381">
        <f ca="1">IF(UPPER($F$2)="Y",(CY12/CV12-1)*100,OFFSET('VVP2'!$G$85,0,(COLUMN()-7)/5))</f>
        <v>2.1353288491700484</v>
      </c>
      <c r="CY12" s="1382">
        <f ca="1">IF(UPPER($F$2)="Y",+CY10+CY11,CV12*(1+CX12/100))</f>
        <v>395.74079676734254</v>
      </c>
      <c r="CZ12" s="3801">
        <f t="shared" ca="1" si="36"/>
        <v>0.50806064198619083</v>
      </c>
      <c r="DA12" s="1159">
        <f ca="1">+DA10+DA11</f>
        <v>397.75139999999999</v>
      </c>
      <c r="DB12" s="1173">
        <f t="shared" ca="1" si="37"/>
        <v>2.6542382566158595</v>
      </c>
      <c r="DC12" s="1381">
        <f ca="1">IF(UPPER($F$2)="Y",(DD12/DA12-1)*100,OFFSET('VVP2'!$G$85,0,(COLUMN()-7)/5))</f>
        <v>1.3899071214268144</v>
      </c>
      <c r="DD12" s="1382">
        <f ca="1">IF(UPPER($F$2)="Y",+DD10+DD11,DA12*(1+DC12/100))</f>
        <v>403.2797750341748</v>
      </c>
      <c r="DE12" s="3801">
        <f t="shared" ca="1" si="38"/>
        <v>0.39127302272758868</v>
      </c>
      <c r="DF12" s="1159">
        <f ca="1">+DF10+DF11</f>
        <v>404.85770000000002</v>
      </c>
      <c r="DG12" s="1173">
        <f t="shared" ca="1" si="39"/>
        <v>1.7866184757614922</v>
      </c>
      <c r="DH12" s="1381">
        <f ca="1">IF(UPPER($F$2)="Y",(DI12/DF12-1)*100,OFFSET('VVP2'!$G$85,0,(COLUMN()-7)/5))</f>
        <v>2.0645015575185832</v>
      </c>
      <c r="DI12" s="1382">
        <f ca="1">IF(UPPER($F$2)="Y",+DI10+DI11,DF12*(1+DH12/100))</f>
        <v>413.21599352223393</v>
      </c>
      <c r="DJ12" s="3801">
        <f t="shared" ca="1" si="40"/>
        <v>1.0181615774123713</v>
      </c>
      <c r="DK12" s="1159">
        <f ca="1">+DK10+DK11</f>
        <v>417.42320000000007</v>
      </c>
      <c r="DL12" s="1173">
        <f t="shared" ca="1" si="41"/>
        <v>3.1036830965546658</v>
      </c>
      <c r="DM12" s="1381">
        <f ca="1">IF(UPPER($F$2)="Y",(DN12/DK12-1)*100,OFFSET('VVP2'!$G$85,0,(COLUMN()-7)/5))</f>
        <v>1.301694221376426</v>
      </c>
      <c r="DN12" s="1382">
        <f ca="1">IF(UPPER($F$2)="Y",+DN10+DN11,DK12*(1+DM12/100))</f>
        <v>422.8567736730846</v>
      </c>
      <c r="DO12" s="3801">
        <f t="shared" ca="1" si="42"/>
        <v>2.3506603052787085</v>
      </c>
      <c r="DP12" s="1159">
        <f ca="1">+DP10+DP11</f>
        <v>432.79670000000004</v>
      </c>
      <c r="DQ12" s="1173">
        <f t="shared" ca="1" si="43"/>
        <v>3.6829529360131286</v>
      </c>
      <c r="DR12" s="1381">
        <f ca="1">IF(UPPER($F$2)="Y",(DS12/DP12-1)*100,OFFSET('VVP2'!$G$85,0,(COLUMN()-7)/5))</f>
        <v>1.8317588835589538</v>
      </c>
      <c r="DS12" s="1382">
        <f ca="1">IF(UPPER($F$2)="Y",+DS10+DS11,DP12*(1+DR12/100))</f>
        <v>440.72449200000005</v>
      </c>
      <c r="DT12" s="1360">
        <f ca="1">+DU12/DS12*100-100</f>
        <v>1.5661100456359378</v>
      </c>
      <c r="DU12" s="1159">
        <f ca="1">+DU10+DU11</f>
        <v>447.62672254278999</v>
      </c>
      <c r="DV12" s="1362">
        <f t="shared" ca="1" si="44"/>
        <v>3.4265562890821277</v>
      </c>
      <c r="DW12" s="1381">
        <f ca="1">IF(UPPER($F$2)="Y",(DX12/DU12-1)*100,OFFSET('VVP2'!$G$85,0,(COLUMN()-7)/5))</f>
        <v>1.7934263371197412</v>
      </c>
      <c r="DX12" s="1382">
        <f ca="1">IF(UPPER($F$2)="Y",+DX10+DX11,DU12*(1+DW12/100))</f>
        <v>455.65457807685829</v>
      </c>
      <c r="DY12" s="1360">
        <f ca="1">+DZ12/DX12*100-100</f>
        <v>1.3830111211417915</v>
      </c>
      <c r="DZ12" s="1159">
        <f ca="1">+DZ10+DZ11</f>
        <v>461.95633156565293</v>
      </c>
      <c r="EA12" s="1362">
        <f t="shared" ca="1" si="45"/>
        <v>3.2012407439533819</v>
      </c>
    </row>
    <row r="13" spans="1:131">
      <c r="C13" s="1167" t="s">
        <v>622</v>
      </c>
      <c r="D13" s="1111"/>
      <c r="E13" s="1111" t="s">
        <v>824</v>
      </c>
      <c r="F13" s="1110" t="s">
        <v>2044</v>
      </c>
      <c r="G13" s="1189"/>
      <c r="H13" s="1190"/>
      <c r="I13" s="1191"/>
      <c r="J13" s="1174">
        <f ca="1">OFFSET('VVP2'!$G$293,0,(COLUMN()-6)/5)</f>
        <v>125.8717</v>
      </c>
      <c r="K13" s="1192"/>
      <c r="L13" s="1156">
        <f ca="1">OFFSET('VVP2'!$G$96,0,(COLUMN()-7)/5)</f>
        <v>-1.3656952592357663</v>
      </c>
      <c r="M13" s="1179">
        <f ca="1">+J13*(1+L13/100)</f>
        <v>124.15267616038054</v>
      </c>
      <c r="N13" s="1230">
        <f t="shared" ca="1" si="0"/>
        <v>5.1299126499634156</v>
      </c>
      <c r="O13" s="1174">
        <f ca="1">OFFSET('VVP2'!$G$293,0,(COLUMN()-10)/5)</f>
        <v>130.52160000000001</v>
      </c>
      <c r="P13" s="1161">
        <f t="shared" ca="1" si="1"/>
        <v>3.6941584168641572</v>
      </c>
      <c r="Q13" s="1156">
        <f ca="1">OFFSET('VVP2'!$G$96,0,(COLUMN()-7)/5)</f>
        <v>9.4203481907726641</v>
      </c>
      <c r="R13" s="1179">
        <f ca="1">+O13*(1+Q13/100)</f>
        <v>142.81718918416755</v>
      </c>
      <c r="S13" s="1230">
        <f t="shared" ca="1" si="2"/>
        <v>1.0989649248792688</v>
      </c>
      <c r="T13" s="1174">
        <f ca="1">OFFSET('VVP2'!$G$293,0,(COLUMN()-10)/5)</f>
        <v>144.38670000000002</v>
      </c>
      <c r="U13" s="1161">
        <f t="shared" ca="1" si="3"/>
        <v>10.622839438070031</v>
      </c>
      <c r="V13" s="1156">
        <f ca="1">OFFSET('VVP2'!$G$96,0,(COLUMN()-7)/5)</f>
        <v>4.2777227224733094</v>
      </c>
      <c r="W13" s="1179">
        <f ca="1">+T13*(1+V13/100)</f>
        <v>150.56316267412939</v>
      </c>
      <c r="X13" s="1230">
        <f t="shared" ca="1" si="4"/>
        <v>-1.264029421491685</v>
      </c>
      <c r="Y13" s="1174">
        <f ca="1">OFFSET('VVP2'!$G$293,0,(COLUMN()-10)/5)</f>
        <v>148.66</v>
      </c>
      <c r="Z13" s="1161">
        <f t="shared" ca="1" si="5"/>
        <v>2.9596216271997156</v>
      </c>
      <c r="AA13" s="1156">
        <f ca="1">OFFSET('VVP2'!$G$96,0,(COLUMN()-7)/5)</f>
        <v>4.9996162338599826</v>
      </c>
      <c r="AB13" s="1179">
        <f ca="1">+Y13*(1+AA13/100)</f>
        <v>156.09242949325625</v>
      </c>
      <c r="AC13" s="1230">
        <f t="shared" ca="1" si="6"/>
        <v>-2.2505571455511131E-2</v>
      </c>
      <c r="AD13" s="1174">
        <f ca="1">OFFSET('VVP2'!$G$293,0,(COLUMN()-10)/5)</f>
        <v>156.0573</v>
      </c>
      <c r="AE13" s="1161">
        <f t="shared" ca="1" si="7"/>
        <v>4.9759854702004613</v>
      </c>
      <c r="AF13" s="1156">
        <f ca="1">OFFSET('VVP2'!$G$96,0,(COLUMN()-7)/5)</f>
        <v>12.408043784868394</v>
      </c>
      <c r="AG13" s="1179">
        <f ca="1">+AD13*(1+AF13/100)</f>
        <v>175.42095811348344</v>
      </c>
      <c r="AH13" s="1230">
        <f t="shared" ca="1" si="8"/>
        <v>5.7753315199444444</v>
      </c>
      <c r="AI13" s="1174">
        <f ca="1">OFFSET('VVP2'!$G$293,0,(COLUMN()-10)/5)</f>
        <v>185.5521</v>
      </c>
      <c r="AJ13" s="1161">
        <f t="shared" ca="1" si="9"/>
        <v>18.899980968528872</v>
      </c>
      <c r="AK13" s="1156">
        <f ca="1">OFFSET('VVP2'!$G$96,0,(COLUMN()-7)/5)</f>
        <v>0.33748106762865326</v>
      </c>
      <c r="AL13" s="1179">
        <f ca="1">+AI13*(1+AK13/100)</f>
        <v>186.17830320808739</v>
      </c>
      <c r="AM13" s="1230">
        <f t="shared" ca="1" si="10"/>
        <v>1.3887744959318695</v>
      </c>
      <c r="AN13" s="1174">
        <f ca="1">OFFSET('VVP2'!$G$293,0,(COLUMN()-10)/5)</f>
        <v>188.76390000000001</v>
      </c>
      <c r="AO13" s="1161">
        <f t="shared" ca="1" si="11"/>
        <v>1.7309424145563579</v>
      </c>
      <c r="AP13" s="1156">
        <f ca="1">OFFSET('VVP2'!$G$96,0,(COLUMN()-7)/5)</f>
        <v>3.65021237956622</v>
      </c>
      <c r="AQ13" s="1179">
        <f ca="1">+AN13*(1+AP13/100)</f>
        <v>195.654183245952</v>
      </c>
      <c r="AR13" s="1230">
        <f t="shared" ca="1" si="12"/>
        <v>-1.1462996644097672</v>
      </c>
      <c r="AS13" s="1174">
        <f ca="1">OFFSET('VVP2'!$G$293,0,(COLUMN()-10)/5)</f>
        <v>193.41139999999999</v>
      </c>
      <c r="AT13" s="1161">
        <f t="shared" ca="1" si="13"/>
        <v>2.4620703428992474</v>
      </c>
      <c r="AU13" s="1156">
        <f ca="1">OFFSET('VVP2'!$G$96,0,(COLUMN()-7)/5)</f>
        <v>1.5590857797655344</v>
      </c>
      <c r="AV13" s="1179">
        <f ca="1">+AS13*(1+AU13/100)</f>
        <v>196.42684963384542</v>
      </c>
      <c r="AW13" s="1230">
        <f t="shared" ca="1" si="14"/>
        <v>-1.2978111895585585</v>
      </c>
      <c r="AX13" s="1174">
        <f ca="1">OFFSET('VVP2'!$G$293,0,(COLUMN()-10)/5)</f>
        <v>193.8776</v>
      </c>
      <c r="AY13" s="1161">
        <f t="shared" ca="1" si="15"/>
        <v>0.24104060050236242</v>
      </c>
      <c r="AZ13" s="1156">
        <f ca="1">OFFSET('VVP2'!$G$96,0,(COLUMN()-7)/5)</f>
        <v>6.2036887736413693</v>
      </c>
      <c r="BA13" s="1179">
        <f ca="1">+AX13*(1+AZ13/100)</f>
        <v>205.90516290580533</v>
      </c>
      <c r="BB13" s="1230">
        <f t="shared" ca="1" si="16"/>
        <v>2.0871439227391591</v>
      </c>
      <c r="BC13" s="1174">
        <f ca="1">OFFSET('VVP2'!$G$293,0,(COLUMN()-10)/5)</f>
        <v>210.20270000000002</v>
      </c>
      <c r="BD13" s="1161">
        <f t="shared" ca="1" si="17"/>
        <v>8.4203126096052507</v>
      </c>
      <c r="BE13" s="1156">
        <f ca="1">OFFSET('VVP2'!$G$96,0,(COLUMN()-7)/5)</f>
        <v>5.0443559680293237</v>
      </c>
      <c r="BF13" s="1179">
        <f ca="1">+BC13*(1+BE13/100)</f>
        <v>220.80607244240881</v>
      </c>
      <c r="BG13" s="1230">
        <f t="shared" ca="1" si="18"/>
        <v>3.7129538453837228</v>
      </c>
      <c r="BH13" s="1174">
        <f ca="1">OFFSET('VVP2'!$G$293,0,(COLUMN()-10)/5)</f>
        <v>229.00450000000001</v>
      </c>
      <c r="BI13" s="1161">
        <f t="shared" ca="1" si="19"/>
        <v>8.9446044223028487</v>
      </c>
      <c r="BJ13" s="1156">
        <f ca="1">OFFSET('VVP2'!$G$96,0,(COLUMN()-7)/5)</f>
        <v>5.2753576279110259</v>
      </c>
      <c r="BK13" s="1179">
        <f ca="1">+BH13*(1+BJ13/100)</f>
        <v>241.08530635900951</v>
      </c>
      <c r="BL13" s="1230">
        <f t="shared" ca="1" si="20"/>
        <v>2.5859284977354662</v>
      </c>
      <c r="BM13" s="1174">
        <f ca="1">OFFSET('VVP2'!$G$293,0,(COLUMN()-10)/5)</f>
        <v>247.31960000000001</v>
      </c>
      <c r="BN13" s="1161">
        <f t="shared" ca="1" si="21"/>
        <v>7.9977031019041078</v>
      </c>
      <c r="BO13" s="1156">
        <f ca="1">OFFSET('VVP2'!$G$96,0,(COLUMN()-7)/5)</f>
        <v>5.6968394855405169</v>
      </c>
      <c r="BP13" s="1179">
        <f ca="1">+BM13*(1+BO13/100)</f>
        <v>261.40900062828086</v>
      </c>
      <c r="BQ13" s="1230">
        <f t="shared" ca="1" si="22"/>
        <v>2.1849283528844126</v>
      </c>
      <c r="BR13" s="1174">
        <f ca="1">OFFSET('VVP2'!$G$293,0,(COLUMN()-10)/5)</f>
        <v>267.12059999999997</v>
      </c>
      <c r="BS13" s="1161">
        <f t="shared" ca="1" si="23"/>
        <v>8.0062396995628227</v>
      </c>
      <c r="BT13" s="1156">
        <f ca="1">OFFSET('VVP2'!$G$96,0,(COLUMN()-7)/5)</f>
        <v>1.7107474798764954</v>
      </c>
      <c r="BU13" s="1179">
        <f ca="1">+BR13*(1+BT13/100)</f>
        <v>271.69035893273093</v>
      </c>
      <c r="BV13" s="1230">
        <f t="shared" ca="1" si="24"/>
        <v>3.8595190158607409</v>
      </c>
      <c r="BW13" s="3014">
        <f ca="1">OFFSET('VVP2'!$G$293,0,(COLUMN()-10)/5)</f>
        <v>282.17629999999997</v>
      </c>
      <c r="BX13" s="1161">
        <f t="shared" ca="1" si="25"/>
        <v>5.6362931200364175</v>
      </c>
      <c r="BY13" s="1156">
        <f ca="1">OFFSET('VVP2'!$G$96,0,(COLUMN()-7)/5)</f>
        <v>-9.4288216886324605</v>
      </c>
      <c r="BZ13" s="1179">
        <f ca="1">+BW13*(1+BY13/100)</f>
        <v>255.57039982541937</v>
      </c>
      <c r="CA13" s="1230">
        <f t="shared" ca="1" si="26"/>
        <v>-5.4118160142439677</v>
      </c>
      <c r="CB13" s="1174">
        <f ca="1">OFFSET('VVP2'!$G$293,0,(COLUMN()-10)/5)</f>
        <v>241.73939999999999</v>
      </c>
      <c r="CC13" s="1161">
        <f t="shared" ca="1" si="27"/>
        <v>-14.330367220776507</v>
      </c>
      <c r="CD13" s="2950">
        <f ca="1">OFFSET('VVP2'!$G$96,0,(COLUMN()-7)/5)</f>
        <v>10.333020178448482</v>
      </c>
      <c r="CE13" s="1154">
        <f ca="1">+CB13*(1+CD13/100)</f>
        <v>266.71838098126028</v>
      </c>
      <c r="CF13" s="1767">
        <f t="shared" ca="1" si="28"/>
        <v>4.6473433788617058</v>
      </c>
      <c r="CG13" s="1151">
        <f ca="1">OFFSET('VVP2'!$G$293,0,(COLUMN()-10)/5)</f>
        <v>279.11369999999999</v>
      </c>
      <c r="CH13" s="1338">
        <f t="shared" ca="1" si="29"/>
        <v>15.46057448640974</v>
      </c>
      <c r="CI13" s="2950">
        <f ca="1">OFFSET('VVP2'!$G$96,0,(COLUMN()-7)/5)</f>
        <v>6.7179647577313428</v>
      </c>
      <c r="CJ13" s="1154">
        <f ca="1">+CG13*(1+CI13/100)</f>
        <v>297.86446000000001</v>
      </c>
      <c r="CK13" s="1767">
        <f t="shared" ca="1" si="30"/>
        <v>3.901452358566047</v>
      </c>
      <c r="CL13" s="1151">
        <f ca="1">OFFSET('VVP2'!$G$293,0,(COLUMN()-10)/5)</f>
        <v>309.4855</v>
      </c>
      <c r="CM13" s="1338">
        <f t="shared" ca="1" si="31"/>
        <v>10.881515310785538</v>
      </c>
      <c r="CN13" s="2950">
        <f ca="1">OFFSET('VVP2'!$G$96,0,(COLUMN()-7)/5)</f>
        <v>0.33792215425767491</v>
      </c>
      <c r="CO13" s="1154">
        <f ca="1">+CL13*(1+CN13/100)</f>
        <v>310.53132006871516</v>
      </c>
      <c r="CP13" s="1767">
        <f t="shared" ca="1" si="32"/>
        <v>2.7062906019995552</v>
      </c>
      <c r="CQ13" s="1151">
        <f ca="1">OFFSET('VVP2'!$G$293,0,(COLUMN()-10)/5)</f>
        <v>318.93520000000001</v>
      </c>
      <c r="CR13" s="1338">
        <f t="shared" ca="1" si="33"/>
        <v>3.0533579117600018</v>
      </c>
      <c r="CS13" s="2950">
        <f ca="1">OFFSET('VVP2'!$G$96,0,(COLUMN()-7)/5)</f>
        <v>0.88886841182755916</v>
      </c>
      <c r="CT13" s="1154">
        <f ca="1">+CQ13*(1+CS13/100)</f>
        <v>321.77011424699907</v>
      </c>
      <c r="CU13" s="1156">
        <f t="shared" ca="1" si="34"/>
        <v>-0.34484689468310137</v>
      </c>
      <c r="CV13" s="1151">
        <f ca="1">OFFSET('VVP2'!$G$293,0,(COLUMN()-10)/5)</f>
        <v>320.66050000000001</v>
      </c>
      <c r="CW13" s="1161">
        <f t="shared" ca="1" si="35"/>
        <v>0.54095628202845969</v>
      </c>
      <c r="CX13" s="2950">
        <f ca="1">OFFSET('VVP2'!$G$96,0,(COLUMN()-7)/5)</f>
        <v>5.1844411711857274</v>
      </c>
      <c r="CY13" s="1154">
        <f ca="1">+CV13*(1+CX13/100)</f>
        <v>337.28495498173004</v>
      </c>
      <c r="CZ13" s="1156">
        <f t="shared" ca="1" si="36"/>
        <v>-1.9415200366956071</v>
      </c>
      <c r="DA13" s="1151">
        <f ca="1">OFFSET('VVP2'!$G$293,0,(COLUMN()-10)/5)</f>
        <v>330.73649999999998</v>
      </c>
      <c r="DB13" s="1161">
        <f t="shared" ca="1" si="37"/>
        <v>3.1422641703608534</v>
      </c>
      <c r="DC13" s="2950">
        <f ca="1">OFFSET('VVP2'!$G$96,0,(COLUMN()-7)/5)</f>
        <v>3.2813774494332648</v>
      </c>
      <c r="DD13" s="1154">
        <f ca="1">+DA13*(1+DC13/100)</f>
        <v>341.58921292804484</v>
      </c>
      <c r="DE13" s="1156">
        <f t="shared" ca="1" si="38"/>
        <v>-2.9560690284947384</v>
      </c>
      <c r="DF13" s="1151">
        <f ca="1">OFFSET('VVP2'!$G$293,0,(COLUMN()-10)/5)</f>
        <v>331.49159999999995</v>
      </c>
      <c r="DG13" s="1161">
        <f t="shared" ca="1" si="39"/>
        <v>0.22830863844782723</v>
      </c>
      <c r="DH13" s="2950">
        <f ca="1">OFFSET('VVP2'!$G$96,0,(COLUMN()-7)/5)</f>
        <v>7.5172059288453941</v>
      </c>
      <c r="DI13" s="1154">
        <f ca="1">+DF13*(1+DH13/100)</f>
        <v>356.41050620882442</v>
      </c>
      <c r="DJ13" s="1156">
        <f t="shared" ca="1" si="40"/>
        <v>-1.6416761310049992</v>
      </c>
      <c r="DK13" s="1151">
        <f ca="1">OFFSET('VVP2'!$G$293,0,(COLUMN()-10)/5)</f>
        <v>350.55940000000004</v>
      </c>
      <c r="DL13" s="1161">
        <f t="shared" ca="1" si="41"/>
        <v>5.7521216223880511</v>
      </c>
      <c r="DM13" s="2950">
        <f ca="1">OFFSET('VVP2'!$G$96,0,(COLUMN()-7)/5)</f>
        <v>4.5099958905847837</v>
      </c>
      <c r="DN13" s="1154">
        <f ca="1">+DK13*(1+DM13/100)</f>
        <v>366.36961453405871</v>
      </c>
      <c r="DO13" s="1156">
        <f t="shared" ca="1" si="42"/>
        <v>1.3691870905617947</v>
      </c>
      <c r="DP13" s="1151">
        <f ca="1">OFFSET('VVP2'!$G$293,0,(COLUMN()-10)/5)</f>
        <v>371.38590000000005</v>
      </c>
      <c r="DQ13" s="1161">
        <f t="shared" ca="1" si="43"/>
        <v>5.9409332626653377</v>
      </c>
      <c r="DR13" s="2950">
        <f ca="1">+DR87</f>
        <v>4.970916609919751</v>
      </c>
      <c r="DS13" s="1154">
        <f ca="1">+DP13*(1+DR13/100)</f>
        <v>389.84718339</v>
      </c>
      <c r="DT13" s="1767">
        <f ca="1">+DT87</f>
        <v>1</v>
      </c>
      <c r="DU13" s="1151">
        <f ca="1">+DS13*(1+DT13/100)</f>
        <v>393.74565522389997</v>
      </c>
      <c r="DV13" s="1338">
        <f t="shared" ca="1" si="44"/>
        <v>6.0206257760189397</v>
      </c>
      <c r="DW13" s="2950">
        <f ca="1">+DW87</f>
        <v>4.3955402653327091</v>
      </c>
      <c r="DX13" s="1154">
        <f ca="1">+DU13*(1+DW13/100)</f>
        <v>411.05290404226457</v>
      </c>
      <c r="DY13" s="1767">
        <f ca="1">+DY87</f>
        <v>1.2550520491059842</v>
      </c>
      <c r="DZ13" s="1151">
        <f ca="1">+DX13*(1+DY13/100)</f>
        <v>416.21183193735669</v>
      </c>
      <c r="EA13" s="1338">
        <f t="shared" ca="1" si="45"/>
        <v>5.7057586326080267</v>
      </c>
    </row>
    <row r="14" spans="1:131">
      <c r="A14" s="1377" t="s">
        <v>571</v>
      </c>
      <c r="C14" s="1167" t="s">
        <v>624</v>
      </c>
      <c r="D14" s="1146"/>
      <c r="E14" s="1146" t="s">
        <v>825</v>
      </c>
      <c r="F14" s="1170"/>
      <c r="G14" s="1306"/>
      <c r="H14" s="1307"/>
      <c r="I14" s="1307"/>
      <c r="J14" s="1155">
        <f ca="1">+J12+J13</f>
        <v>329.82249999999999</v>
      </c>
      <c r="K14" s="1309"/>
      <c r="L14" s="1381">
        <f ca="1">IF(UPPER($F$2)="Y",(M14/J14-1)*100,OFFSET('VVP2'!$G$107,0,(COLUMN()-7)/5))</f>
        <v>-2.8418319252130786</v>
      </c>
      <c r="M14" s="1382">
        <f ca="1">IF(UPPER($F$2)="Y",+M12+M13,J14*(1+L14/100))</f>
        <v>320.44949889846407</v>
      </c>
      <c r="N14" s="1231">
        <f t="shared" ca="1" si="0"/>
        <v>6.2141152256398158</v>
      </c>
      <c r="O14" s="1155">
        <f ca="1">+O12+O13</f>
        <v>340.36259999999999</v>
      </c>
      <c r="P14" s="1173">
        <f t="shared" ca="1" si="1"/>
        <v>3.1956885900749743</v>
      </c>
      <c r="Q14" s="1381">
        <f ca="1">IF(UPPER($F$2)="Y",(R14/O14-1)*100,OFFSET('VVP2'!$G$107,0,(COLUMN()-7)/5))</f>
        <v>5.3580709381566782</v>
      </c>
      <c r="R14" s="1382">
        <f ca="1">IF(UPPER($F$2)="Y",+R12+R13,O14*(1+Q14/100))</f>
        <v>358.59946955495445</v>
      </c>
      <c r="S14" s="1231">
        <f t="shared" ca="1" si="2"/>
        <v>1.1188891188336498</v>
      </c>
      <c r="T14" s="1155">
        <f ca="1">+T12+T13</f>
        <v>362.61180000000002</v>
      </c>
      <c r="U14" s="1173">
        <f t="shared" ca="1" si="3"/>
        <v>6.5369109296967487</v>
      </c>
      <c r="V14" s="1381">
        <f ca="1">IF(UPPER($F$2)="Y",(W14/T14-1)*100,OFFSET('VVP2'!$G$107,0,(COLUMN()-7)/5))</f>
        <v>3.1124436743444228</v>
      </c>
      <c r="W14" s="1382">
        <f ca="1">IF(UPPER($F$2)="Y",+W12+W13,T14*(1+V14/100))</f>
        <v>373.89788803152646</v>
      </c>
      <c r="X14" s="1231">
        <f t="shared" ca="1" si="4"/>
        <v>0.39850772528244249</v>
      </c>
      <c r="Y14" s="1155">
        <f ca="1">+Y12+Y13</f>
        <v>375.3879</v>
      </c>
      <c r="Z14" s="1173">
        <f t="shared" ca="1" si="5"/>
        <v>3.523354728114203</v>
      </c>
      <c r="AA14" s="1381">
        <f ca="1">IF(UPPER($F$2)="Y",(AB14/Y14-1)*100,OFFSET('VVP2'!$G$107,0,(COLUMN()-7)/5))</f>
        <v>3.4496010099786645</v>
      </c>
      <c r="AB14" s="1382">
        <f ca="1">IF(UPPER($F$2)="Y",+AB12+AB13,Y14*(1+AA14/100))</f>
        <v>388.33728478973774</v>
      </c>
      <c r="AC14" s="1231">
        <f t="shared" ca="1" si="6"/>
        <v>0.68623727739796436</v>
      </c>
      <c r="AD14" s="1155">
        <f ca="1">+AD12+AD13</f>
        <v>391.00220000000002</v>
      </c>
      <c r="AE14" s="1173">
        <f t="shared" ca="1" si="7"/>
        <v>4.1595107354286176</v>
      </c>
      <c r="AF14" s="1381">
        <f ca="1">IF(UPPER($F$2)="Y",(AG14/AD14-1)*100,OFFSET('VVP2'!$G$107,0,(COLUMN()-7)/5))</f>
        <v>7.201303014685112</v>
      </c>
      <c r="AG14" s="1382">
        <f ca="1">IF(UPPER($F$2)="Y",+AG12+AG13,AD14*(1+AF14/100))</f>
        <v>419.15945321608513</v>
      </c>
      <c r="AH14" s="1231">
        <f t="shared" ca="1" si="8"/>
        <v>4.2484182683420642</v>
      </c>
      <c r="AI14" s="1155">
        <f ca="1">+AI12+AI13</f>
        <v>436.96709999999996</v>
      </c>
      <c r="AJ14" s="1173">
        <f t="shared" ca="1" si="9"/>
        <v>11.755662755861707</v>
      </c>
      <c r="AK14" s="1381">
        <f ca="1">IF(UPPER($F$2)="Y",(AL14/AI14-1)*100,OFFSET('VVP2'!$G$107,0,(COLUMN()-7)/5))</f>
        <v>0.19769077205107344</v>
      </c>
      <c r="AL14" s="1382">
        <f ca="1">IF(UPPER($F$2)="Y",+AL12+AL13,AI14*(1+AK14/100))</f>
        <v>437.83094363359913</v>
      </c>
      <c r="AM14" s="1231">
        <f t="shared" ca="1" si="10"/>
        <v>1.7877576905462718</v>
      </c>
      <c r="AN14" s="1155">
        <f ca="1">+AN12+AN13</f>
        <v>445.65830000000005</v>
      </c>
      <c r="AO14" s="1173">
        <f t="shared" ca="1" si="11"/>
        <v>1.9889826945781675</v>
      </c>
      <c r="AP14" s="1381">
        <f ca="1">IF(UPPER($F$2)="Y",(AQ14/AN14-1)*100,OFFSET('VVP2'!$G$107,0,(COLUMN()-7)/5))</f>
        <v>1.4300809548312809</v>
      </c>
      <c r="AQ14" s="1382">
        <f ca="1">IF(UPPER($F$2)="Y",+AQ12+AQ13,AN14*(1+AP14/100))</f>
        <v>452.03157447192496</v>
      </c>
      <c r="AR14" s="1231">
        <f t="shared" ca="1" si="12"/>
        <v>0.2883704594303822</v>
      </c>
      <c r="AS14" s="1155">
        <f ca="1">+AS12+AS13</f>
        <v>453.33510000000001</v>
      </c>
      <c r="AT14" s="1173">
        <f t="shared" ca="1" si="13"/>
        <v>1.7225753452813519</v>
      </c>
      <c r="AU14" s="1381">
        <f ca="1">IF(UPPER($F$2)="Y",(AV14/AS14-1)*100,OFFSET('VVP2'!$G$107,0,(COLUMN()-7)/5))</f>
        <v>1.0514034875454437</v>
      </c>
      <c r="AV14" s="1382">
        <f ca="1">IF(UPPER($F$2)="Y",+AV12+AV13,AS14*(1+AU14/100))</f>
        <v>458.10148105166763</v>
      </c>
      <c r="AW14" s="1231">
        <f t="shared" ca="1" si="14"/>
        <v>0.80991201770723364</v>
      </c>
      <c r="AX14" s="1155">
        <f ca="1">+AX12+AX13</f>
        <v>461.81169999999997</v>
      </c>
      <c r="AY14" s="1173">
        <f t="shared" ca="1" si="15"/>
        <v>1.8698309484529219</v>
      </c>
      <c r="AZ14" s="1381">
        <f ca="1">IF(UPPER($F$2)="Y",(BA14/AX14-1)*100,OFFSET('VVP2'!$G$107,0,(COLUMN()-7)/5))</f>
        <v>4.6609056033071861</v>
      </c>
      <c r="BA14" s="1382">
        <f ca="1">IF(UPPER($F$2)="Y",+BA12+BA13,AX14*(1+AZ14/100))</f>
        <v>483.33630740202818</v>
      </c>
      <c r="BB14" s="1231">
        <f t="shared" ca="1" si="16"/>
        <v>2.385811374269494</v>
      </c>
      <c r="BC14" s="1155">
        <f ca="1">+BC12+BC13</f>
        <v>494.86779999999999</v>
      </c>
      <c r="BD14" s="1173">
        <f t="shared" ca="1" si="17"/>
        <v>7.1579173936043627</v>
      </c>
      <c r="BE14" s="1381">
        <f ca="1">IF(UPPER($F$2)="Y",(BF14/BC14-1)*100,OFFSET('VVP2'!$G$107,0,(COLUMN()-7)/5))</f>
        <v>3.7253924650475945</v>
      </c>
      <c r="BF14" s="1382">
        <f ca="1">IF(UPPER($F$2)="Y",+BF12+BF13,BC14*(1+BE14/100))</f>
        <v>513.30356773314679</v>
      </c>
      <c r="BG14" s="1231">
        <f t="shared" ca="1" si="18"/>
        <v>3.0707233024819942</v>
      </c>
      <c r="BH14" s="1155">
        <f ca="1">+BH12+BH13</f>
        <v>529.06569999999999</v>
      </c>
      <c r="BI14" s="1173">
        <f t="shared" ca="1" si="19"/>
        <v>6.910512262062718</v>
      </c>
      <c r="BJ14" s="1381">
        <f ca="1">IF(UPPER($F$2)="Y",(BK14/BH14-1)*100,OFFSET('VVP2'!$G$107,0,(COLUMN()-7)/5))</f>
        <v>3.3674011561904749</v>
      </c>
      <c r="BK14" s="1382">
        <f ca="1">IF(UPPER($F$2)="Y",+BK12+BK13,BH14*(1+BJ14/100))</f>
        <v>546.88146449880719</v>
      </c>
      <c r="BL14" s="1231">
        <f t="shared" ca="1" si="20"/>
        <v>2.7283856685227619</v>
      </c>
      <c r="BM14" s="1155">
        <f ca="1">+BM12+BM13</f>
        <v>561.80250000000001</v>
      </c>
      <c r="BN14" s="1173">
        <f t="shared" ca="1" si="21"/>
        <v>6.1876625152603948</v>
      </c>
      <c r="BO14" s="1381">
        <f ca="1">IF(UPPER($F$2)="Y",(BP14/BM14-1)*100,OFFSET('VVP2'!$G$107,0,(COLUMN()-7)/5))</f>
        <v>4.4556688380864795</v>
      </c>
      <c r="BP14" s="1382">
        <f ca="1">IF(UPPER($F$2)="Y",+BP12+BP13,BM14*(1+BO14/100))</f>
        <v>586.83455892409086</v>
      </c>
      <c r="BQ14" s="1231">
        <f t="shared" ca="1" si="22"/>
        <v>2.0171342835724602</v>
      </c>
      <c r="BR14" s="1155">
        <f ca="1">+BR12+BR13</f>
        <v>598.67179999999996</v>
      </c>
      <c r="BS14" s="1173">
        <f t="shared" ca="1" si="23"/>
        <v>6.5626799453544438</v>
      </c>
      <c r="BT14" s="1381">
        <f ca="1">IF(UPPER($F$2)="Y",(BU14/BR14-1)*100,OFFSET('VVP2'!$G$107,0,(COLUMN()-7)/5))</f>
        <v>1.9594021739744338</v>
      </c>
      <c r="BU14" s="1382">
        <f ca="1">IF(UPPER($F$2)="Y",+BU12+BU13,BR14*(1+BT14/100))</f>
        <v>610.40218826417185</v>
      </c>
      <c r="BV14" s="1231">
        <f t="shared" ca="1" si="24"/>
        <v>3.9525762193674439</v>
      </c>
      <c r="BW14" s="1155">
        <f ca="1">+BW12+BW13</f>
        <v>634.52879999999993</v>
      </c>
      <c r="BX14" s="1173">
        <f t="shared" ca="1" si="25"/>
        <v>5.9894252577121554</v>
      </c>
      <c r="BY14" s="1381">
        <f ca="1">IF(UPPER($F$2)="Y",(BZ14/BW14-1)*100,OFFSET('VVP2'!$G$107,0,(COLUMN()-7)/5))</f>
        <v>-5.2861628446605913</v>
      </c>
      <c r="BZ14" s="1382">
        <f ca="1">IF(UPPER($F$2)="Y",+BZ12+BZ13,BW14*(1+BY14/100))</f>
        <v>600.98657433572919</v>
      </c>
      <c r="CA14" s="1231">
        <f t="shared" ca="1" si="26"/>
        <v>-3.0546895920296748</v>
      </c>
      <c r="CB14" s="1155">
        <f ca="1">+CB12+CB13</f>
        <v>582.62829999999997</v>
      </c>
      <c r="CC14" s="1173">
        <f t="shared" ca="1" si="27"/>
        <v>-8.1793765704566859</v>
      </c>
      <c r="CD14" s="1381">
        <f ca="1">IF(UPPER($F$2)="Y",(CE14/CB14-1)*100,OFFSET('VVP2'!$G$107,0,(COLUMN()-7)/5))</f>
        <v>5.5058315621308251</v>
      </c>
      <c r="CE14" s="1382">
        <f ca="1">IF(UPPER($F$2)="Y",+CE12+CE13,CB14*(1+CD14/100))</f>
        <v>614.7068328313062</v>
      </c>
      <c r="CF14" s="1360">
        <f t="shared" ca="1" si="28"/>
        <v>3.7330750112210183</v>
      </c>
      <c r="CG14" s="1159">
        <f ca="1">+CG12+CG13</f>
        <v>637.65429999999992</v>
      </c>
      <c r="CH14" s="1362">
        <f t="shared" ca="1" si="29"/>
        <v>9.444443395557677</v>
      </c>
      <c r="CI14" s="1381">
        <f ca="1">IF(UPPER($F$2)="Y",(CJ14/CG14-1)*100,OFFSET('VVP2'!$G$107,0,(COLUMN()-7)/5))</f>
        <v>4.1545144445822801</v>
      </c>
      <c r="CJ14" s="1382">
        <f ca="1">IF(UPPER($F$2)="Y",+CJ12+CJ13,CG14*(1+CI14/100))</f>
        <v>664.14573999999993</v>
      </c>
      <c r="CK14" s="1360">
        <f t="shared" ca="1" si="30"/>
        <v>3.3854707853731298</v>
      </c>
      <c r="CL14" s="1159">
        <f ca="1">+CL12+CL13</f>
        <v>686.63020000000006</v>
      </c>
      <c r="CM14" s="1362">
        <f t="shared" ca="1" si="31"/>
        <v>7.6806351027508324</v>
      </c>
      <c r="CN14" s="1381">
        <f ca="1">IF(UPPER($F$2)="Y",(CO14/CL14-1)*100,OFFSET('VVP2'!$G$107,0,(COLUMN()-7)/5))</f>
        <v>0.17240505305289311</v>
      </c>
      <c r="CO14" s="1382">
        <f ca="1">IF(UPPER($F$2)="Y",+CO12+CO13,CL14*(1+CN14/100))</f>
        <v>687.81398516058721</v>
      </c>
      <c r="CP14" s="1360">
        <f t="shared" ca="1" si="32"/>
        <v>2.3598843858377165</v>
      </c>
      <c r="CQ14" s="1159">
        <f ca="1">+CQ12+CQ13</f>
        <v>704.04560000000004</v>
      </c>
      <c r="CR14" s="1362">
        <f t="shared" ca="1" si="33"/>
        <v>2.5363579988179952</v>
      </c>
      <c r="CS14" s="1381">
        <f ca="1">IF(UPPER($F$2)="Y",(CT14/CQ14-1)*100,OFFSET('VVP2'!$G$107,0,(COLUMN()-7)/5))</f>
        <v>0.26435208572423985</v>
      </c>
      <c r="CT14" s="1382">
        <f ca="1">IF(UPPER($F$2)="Y",+CT12+CT13,CQ14*(1+CS14/100))</f>
        <v>705.90675922804974</v>
      </c>
      <c r="CU14" s="3801">
        <f t="shared" ca="1" si="34"/>
        <v>0.31460823159972051</v>
      </c>
      <c r="CV14" s="1159">
        <f ca="1">+CV12+CV13</f>
        <v>708.12760000000003</v>
      </c>
      <c r="CW14" s="1173">
        <f t="shared" ca="1" si="35"/>
        <v>0.57979199074604804</v>
      </c>
      <c r="CX14" s="1381">
        <f ca="1">IF(UPPER($F$2)="Y",(CY14/CV14-1)*100,OFFSET('VVP2'!$G$107,0,(COLUMN()-7)/5))</f>
        <v>3.5160544157680773</v>
      </c>
      <c r="CY14" s="1382">
        <f ca="1">IF(UPPER($F$2)="Y",+CY12+CY13,CV14*(1+CX14/100))</f>
        <v>733.02575174907258</v>
      </c>
      <c r="CZ14" s="3801">
        <f t="shared" ca="1" si="36"/>
        <v>-0.61905761676787563</v>
      </c>
      <c r="DA14" s="1159">
        <f ca="1">+DA12+DA13</f>
        <v>728.48789999999997</v>
      </c>
      <c r="DB14" s="1173">
        <f t="shared" ca="1" si="37"/>
        <v>2.8752303963296866</v>
      </c>
      <c r="DC14" s="1381">
        <f ca="1">IF(UPPER($F$2)="Y",(DD14/DA14-1)*100,OFFSET('VVP2'!$G$107,0,(COLUMN()-7)/5))</f>
        <v>2.2486424225055313</v>
      </c>
      <c r="DD14" s="1382">
        <f ca="1">IF(UPPER($F$2)="Y",+DD12+DD13,DA14*(1+DC14/100))</f>
        <v>744.86898796221965</v>
      </c>
      <c r="DE14" s="3801">
        <f t="shared" ca="1" si="38"/>
        <v>-1.1437834169371826</v>
      </c>
      <c r="DF14" s="1159">
        <f ca="1">+DF12+DF13</f>
        <v>736.34929999999997</v>
      </c>
      <c r="DG14" s="1173">
        <f t="shared" ca="1" si="39"/>
        <v>1.0791394064335158</v>
      </c>
      <c r="DH14" s="1381">
        <f ca="1">IF(UPPER($F$2)="Y",(DI14/DF14-1)*100,OFFSET('VVP2'!$G$107,0,(COLUMN()-7)/5))</f>
        <v>4.5192138745916433</v>
      </c>
      <c r="DI14" s="1382">
        <f ca="1">IF(UPPER($F$2)="Y",+DI12+DI13,DF14*(1+DH14/100))</f>
        <v>769.6264997310584</v>
      </c>
      <c r="DJ14" s="3801">
        <f t="shared" ca="1" si="40"/>
        <v>-0.21359708009440226</v>
      </c>
      <c r="DK14" s="1159">
        <f ca="1">+DK12+DK13</f>
        <v>767.98260000000005</v>
      </c>
      <c r="DL14" s="1173">
        <f t="shared" ca="1" si="41"/>
        <v>4.2959638856178817</v>
      </c>
      <c r="DM14" s="1381">
        <f ca="1">IF(UPPER($F$2)="Y",(DN14/DK14-1)*100,OFFSET('VVP2'!$G$107,0,(COLUMN()-7)/5))</f>
        <v>2.7661809274250881</v>
      </c>
      <c r="DN14" s="1382">
        <f ca="1">IF(UPPER($F$2)="Y",+DN12+DN13,DK14*(1+DM14/100))</f>
        <v>789.22638820714337</v>
      </c>
      <c r="DO14" s="3801">
        <f t="shared" ca="1" si="42"/>
        <v>1.8950471013560843</v>
      </c>
      <c r="DP14" s="1159">
        <f ca="1">+DP12+DP13</f>
        <v>804.18260000000009</v>
      </c>
      <c r="DQ14" s="1173">
        <f t="shared" ca="1" si="43"/>
        <v>4.7136484602646078</v>
      </c>
      <c r="DR14" s="1381">
        <f ca="1">IF(UPPER($F$2)="Y",(DS14/DP14-1)*100,OFFSET('VVP2'!$G$107,0,(COLUMN()-7)/5))</f>
        <v>3.2814780362071971</v>
      </c>
      <c r="DS14" s="1382">
        <f ca="1">IF(UPPER($F$2)="Y",+DS12+DS13,DP14*(1+DR14/100))</f>
        <v>830.57167539000011</v>
      </c>
      <c r="DT14" s="1360">
        <f ca="1">+DU14/DS14*100-100</f>
        <v>1.3003937765657838</v>
      </c>
      <c r="DU14" s="1159">
        <f ca="1">+DU12+DU13</f>
        <v>841.37237776668997</v>
      </c>
      <c r="DV14" s="1362">
        <f t="shared" ca="1" si="44"/>
        <v>4.6245439489352114</v>
      </c>
      <c r="DW14" s="1381">
        <f ca="1">IF(UPPER($F$2)="Y",(DX14/DU14-1)*100,OFFSET('VVP2'!$G$107,0,(COLUMN()-7)/5))</f>
        <v>3.0111642623307455</v>
      </c>
      <c r="DX14" s="1382">
        <f ca="1">IF(UPPER($F$2)="Y",+DX12+DX13,DU14*(1+DW14/100))</f>
        <v>866.70748211912291</v>
      </c>
      <c r="DY14" s="1360">
        <f ca="1">+DZ14/DX14*100-100</f>
        <v>1.3223240390016144</v>
      </c>
      <c r="DZ14" s="1159">
        <f ca="1">+DZ12+DZ13</f>
        <v>878.16816350300962</v>
      </c>
      <c r="EA14" s="1362">
        <f t="shared" ca="1" si="45"/>
        <v>4.3733056502269774</v>
      </c>
    </row>
    <row r="15" spans="1:131">
      <c r="C15" s="882" t="s">
        <v>2133</v>
      </c>
      <c r="D15" s="1111"/>
      <c r="E15" s="1111" t="s">
        <v>1792</v>
      </c>
      <c r="F15" s="1110" t="s">
        <v>2045</v>
      </c>
      <c r="G15" s="1189"/>
      <c r="H15" s="1190"/>
      <c r="I15" s="1191"/>
      <c r="J15" s="1174">
        <f ca="1">OFFSET('VVP2'!$G$325,0,(COLUMN()-6)/5)</f>
        <v>118.5317</v>
      </c>
      <c r="K15" s="1192"/>
      <c r="L15" s="1156">
        <f ca="1">OFFSET('VVP2'!$G$118,0,(COLUMN()-7)/5)</f>
        <v>-1.0924432388519589</v>
      </c>
      <c r="M15" s="1179">
        <f ca="1">+J15*(1+L15/100)</f>
        <v>117.23680845745372</v>
      </c>
      <c r="N15" s="1230">
        <f t="shared" ca="1" si="0"/>
        <v>6.1272493144959554</v>
      </c>
      <c r="O15" s="1174">
        <f ca="1">OFFSET('VVP2'!$G$325,0,(COLUMN()-10)/5)</f>
        <v>124.42019999999999</v>
      </c>
      <c r="P15" s="1161">
        <f t="shared" ca="1" si="1"/>
        <v>4.9678693547801966</v>
      </c>
      <c r="Q15" s="1156">
        <f ca="1">OFFSET('VVP2'!$G$118,0,(COLUMN()-7)/5)</f>
        <v>8.2176677941497864</v>
      </c>
      <c r="R15" s="1179">
        <f ca="1">+O15*(1+Q15/100)</f>
        <v>134.64463870481674</v>
      </c>
      <c r="S15" s="1230">
        <f t="shared" ca="1" si="2"/>
        <v>1.484248696722716</v>
      </c>
      <c r="T15" s="1174">
        <f ca="1">OFFSET('VVP2'!$G$325,0,(COLUMN()-10)/5)</f>
        <v>136.6431</v>
      </c>
      <c r="U15" s="1161">
        <f t="shared" ca="1" si="3"/>
        <v>9.8238871180081677</v>
      </c>
      <c r="V15" s="1156">
        <f ca="1">OFFSET('VVP2'!$G$118,0,(COLUMN()-7)/5)</f>
        <v>4.9930012074739238</v>
      </c>
      <c r="W15" s="1179">
        <f ca="1">+T15*(1+V15/100)</f>
        <v>143.4656916329298</v>
      </c>
      <c r="X15" s="1230">
        <f t="shared" ca="1" si="4"/>
        <v>-1.7895509398154417</v>
      </c>
      <c r="Y15" s="1174">
        <f ca="1">OFFSET('VVP2'!$G$325,0,(COLUMN()-10)/5)</f>
        <v>140.89829999999998</v>
      </c>
      <c r="Z15" s="1161">
        <f t="shared" ca="1" si="5"/>
        <v>3.1140979676251401</v>
      </c>
      <c r="AA15" s="1156">
        <f ca="1">OFFSET('VVP2'!$G$118,0,(COLUMN()-7)/5)</f>
        <v>3.260359558850956</v>
      </c>
      <c r="AB15" s="1179">
        <f ca="1">+Y15*(1+AA15/100)</f>
        <v>145.49209119230846</v>
      </c>
      <c r="AC15" s="1230">
        <f t="shared" ca="1" si="6"/>
        <v>0.88259698322312374</v>
      </c>
      <c r="AD15" s="1174">
        <f ca="1">OFFSET('VVP2'!$G$325,0,(COLUMN()-10)/5)</f>
        <v>146.77620000000002</v>
      </c>
      <c r="AE15" s="1161">
        <f t="shared" ca="1" si="7"/>
        <v>4.1717323771827131</v>
      </c>
      <c r="AF15" s="1156">
        <f ca="1">OFFSET('VVP2'!$G$118,0,(COLUMN()-7)/5)</f>
        <v>13.137639776154565</v>
      </c>
      <c r="AG15" s="1179">
        <f ca="1">+AD15*(1+AF15/100)</f>
        <v>166.05912843312819</v>
      </c>
      <c r="AH15" s="1230">
        <f t="shared" ca="1" si="8"/>
        <v>7.6394304164859079</v>
      </c>
      <c r="AI15" s="1174">
        <f ca="1">OFFSET('VVP2'!$G$325,0,(COLUMN()-10)/5)</f>
        <v>178.74510000000001</v>
      </c>
      <c r="AJ15" s="1161">
        <f t="shared" ca="1" si="9"/>
        <v>21.780711041708379</v>
      </c>
      <c r="AK15" s="1156">
        <f ca="1">OFFSET('VVP2'!$G$118,0,(COLUMN()-7)/5)</f>
        <v>-0.68910727703289654</v>
      </c>
      <c r="AL15" s="1179">
        <f ca="1">+AI15*(1+AK15/100)</f>
        <v>177.51335450856027</v>
      </c>
      <c r="AM15" s="1230">
        <f t="shared" ca="1" si="10"/>
        <v>1.3275313837450398</v>
      </c>
      <c r="AN15" s="1174">
        <f ca="1">OFFSET('VVP2'!$G$325,0,(COLUMN()-10)/5)</f>
        <v>179.8699</v>
      </c>
      <c r="AO15" s="1161">
        <f t="shared" ca="1" si="11"/>
        <v>0.62927599134185996</v>
      </c>
      <c r="AP15" s="1156">
        <f ca="1">OFFSET('VVP2'!$G$118,0,(COLUMN()-7)/5)</f>
        <v>0.91226840390916664</v>
      </c>
      <c r="AQ15" s="1179">
        <f ca="1">+AN15*(1+AP15/100)</f>
        <v>181.51079626584303</v>
      </c>
      <c r="AR15" s="1230">
        <f t="shared" ca="1" si="12"/>
        <v>-1.7854564756007676</v>
      </c>
      <c r="AS15" s="1174">
        <f ca="1">OFFSET('VVP2'!$G$325,0,(COLUMN()-10)/5)</f>
        <v>178.27</v>
      </c>
      <c r="AT15" s="1161">
        <f t="shared" ca="1" si="13"/>
        <v>-0.88947622698405393</v>
      </c>
      <c r="AU15" s="1156">
        <f ca="1">OFFSET('VVP2'!$G$118,0,(COLUMN()-7)/5)</f>
        <v>1.4788086968683389</v>
      </c>
      <c r="AV15" s="1179">
        <f ca="1">+AS15*(1+AU15/100)</f>
        <v>180.9062722639072</v>
      </c>
      <c r="AW15" s="1230">
        <f t="shared" ca="1" si="14"/>
        <v>-0.95688902448991087</v>
      </c>
      <c r="AX15" s="1174">
        <f ca="1">OFFSET('VVP2'!$G$325,0,(COLUMN()-10)/5)</f>
        <v>179.17520000000002</v>
      </c>
      <c r="AY15" s="1161">
        <f t="shared" ca="1" si="15"/>
        <v>0.5077691142648888</v>
      </c>
      <c r="AZ15" s="1156">
        <f ca="1">OFFSET('VVP2'!$G$118,0,(COLUMN()-7)/5)</f>
        <v>6.2794354821921416</v>
      </c>
      <c r="BA15" s="1179">
        <f ca="1">+AX15*(1+AZ15/100)</f>
        <v>190.42639108408875</v>
      </c>
      <c r="BB15" s="1230">
        <f t="shared" ca="1" si="16"/>
        <v>3.0093564674975823</v>
      </c>
      <c r="BC15" s="1174">
        <f ca="1">OFFSET('VVP2'!$G$325,0,(COLUMN()-10)/5)</f>
        <v>196.15700000000001</v>
      </c>
      <c r="BD15" s="1161">
        <f t="shared" ca="1" si="17"/>
        <v>9.4777625474954164</v>
      </c>
      <c r="BE15" s="1156">
        <f ca="1">OFFSET('VVP2'!$G$118,0,(COLUMN()-7)/5)</f>
        <v>6.2092888389723599</v>
      </c>
      <c r="BF15" s="1179">
        <f ca="1">+BC15*(1+BE15/100)</f>
        <v>208.33695470786301</v>
      </c>
      <c r="BG15" s="1230">
        <f t="shared" ca="1" si="18"/>
        <v>4.438936579976783</v>
      </c>
      <c r="BH15" s="1174">
        <f ca="1">OFFSET('VVP2'!$G$325,0,(COLUMN()-10)/5)</f>
        <v>217.5849</v>
      </c>
      <c r="BI15" s="1161">
        <f t="shared" ca="1" si="19"/>
        <v>10.92385181257869</v>
      </c>
      <c r="BJ15" s="1156">
        <f ca="1">OFFSET('VVP2'!$G$118,0,(COLUMN()-7)/5)</f>
        <v>4.6003261535048967</v>
      </c>
      <c r="BK15" s="1179">
        <f ca="1">+BH15*(1+BJ15/100)</f>
        <v>227.59451506077747</v>
      </c>
      <c r="BL15" s="1230">
        <f t="shared" ca="1" si="20"/>
        <v>3.3154950756205466</v>
      </c>
      <c r="BM15" s="1174">
        <f ca="1">OFFSET('VVP2'!$G$325,0,(COLUMN()-10)/5)</f>
        <v>235.1404</v>
      </c>
      <c r="BN15" s="1161">
        <f t="shared" ca="1" si="21"/>
        <v>8.0683448162073734</v>
      </c>
      <c r="BO15" s="1156">
        <f ca="1">OFFSET('VVP2'!$G$118,0,(COLUMN()-7)/5)</f>
        <v>5.8541914431290198</v>
      </c>
      <c r="BP15" s="1179">
        <f ca="1">+BM15*(1+BO15/100)</f>
        <v>248.90596917613934</v>
      </c>
      <c r="BQ15" s="1230">
        <f t="shared" ca="1" si="22"/>
        <v>2.0302168086152363</v>
      </c>
      <c r="BR15" s="1174">
        <f ca="1">OFFSET('VVP2'!$G$325,0,(COLUMN()-10)/5)</f>
        <v>253.95929999999998</v>
      </c>
      <c r="BS15" s="1161">
        <f t="shared" ca="1" si="23"/>
        <v>8.0032610304311635</v>
      </c>
      <c r="BT15" s="1156">
        <f ca="1">OFFSET('VVP2'!$G$118,0,(COLUMN()-7)/5)</f>
        <v>3.5559621013944609</v>
      </c>
      <c r="BU15" s="1179">
        <f ca="1">+BR15*(1+BT15/100)</f>
        <v>262.98999646096667</v>
      </c>
      <c r="BV15" s="1230">
        <f t="shared" ca="1" si="24"/>
        <v>6.6439422693504326</v>
      </c>
      <c r="BW15" s="3014">
        <f ca="1">OFFSET('VVP2'!$G$325,0,(COLUMN()-10)/5)</f>
        <v>280.46290000000005</v>
      </c>
      <c r="BX15" s="1161">
        <f t="shared" ca="1" si="25"/>
        <v>10.436160439881537</v>
      </c>
      <c r="BY15" s="1156">
        <f ca="1">OFFSET('VVP2'!$G$118,0,(COLUMN()-7)/5)</f>
        <v>-9.1151118973871732</v>
      </c>
      <c r="BZ15" s="1179">
        <f ca="1">+BW15*(1+BY15/100)</f>
        <v>254.89839283434296</v>
      </c>
      <c r="CA15" s="1230">
        <f t="shared" ca="1" si="26"/>
        <v>-8.2586604804621118</v>
      </c>
      <c r="CB15" s="1174">
        <f ca="1">OFFSET('VVP2'!$G$325,0,(COLUMN()-10)/5)</f>
        <v>233.84720000000002</v>
      </c>
      <c r="CC15" s="1161">
        <f t="shared" ca="1" si="27"/>
        <v>-16.620986233829871</v>
      </c>
      <c r="CD15" s="1156">
        <f ca="1">OFFSET('VVP2'!$G$118,0,(COLUMN()-7)/5)</f>
        <v>9.6247631466433567</v>
      </c>
      <c r="CE15" s="1154">
        <f ca="1">+CB15*(1+CD15/100)</f>
        <v>256.35443912505741</v>
      </c>
      <c r="CF15" s="1767">
        <f t="shared" ca="1" si="28"/>
        <v>6.319126335487411</v>
      </c>
      <c r="CG15" s="1151">
        <f ca="1">OFFSET('VVP2'!$G$325,0,(COLUMN()-10)/5)</f>
        <v>272.55379999999997</v>
      </c>
      <c r="CH15" s="1338">
        <f t="shared" ca="1" si="29"/>
        <v>16.552090424858612</v>
      </c>
      <c r="CI15" s="1156">
        <f ca="1">OFFSET('VVP2'!$G$118,0,(COLUMN()-7)/5)</f>
        <v>7.310787815102926</v>
      </c>
      <c r="CJ15" s="1154">
        <f ca="1">+CG15*(1+CI15/100)</f>
        <v>292.47962999999999</v>
      </c>
      <c r="CK15" s="1767">
        <f t="shared" ca="1" si="30"/>
        <v>5.1436983833711878</v>
      </c>
      <c r="CL15" s="1151">
        <f ca="1">OFFSET('VVP2'!$G$325,0,(COLUMN()-10)/5)</f>
        <v>307.52390000000003</v>
      </c>
      <c r="CM15" s="1338">
        <f t="shared" ca="1" si="31"/>
        <v>12.830531073131279</v>
      </c>
      <c r="CN15" s="1156">
        <f ca="1">OFFSET('VVP2'!$G$118,0,(COLUMN()-7)/5)</f>
        <v>9.5490410733911624E-2</v>
      </c>
      <c r="CO15" s="1154">
        <f ca="1">+CL15*(1+CN15/100)</f>
        <v>307.81755583521499</v>
      </c>
      <c r="CP15" s="1767">
        <f t="shared" ca="1" si="32"/>
        <v>2.8354276743908002</v>
      </c>
      <c r="CQ15" s="1151">
        <f ca="1">OFFSET('VVP2'!$G$325,0,(COLUMN()-10)/5)</f>
        <v>316.5455</v>
      </c>
      <c r="CR15" s="1338">
        <f t="shared" ca="1" si="33"/>
        <v>2.9336256466570454</v>
      </c>
      <c r="CS15" s="1156">
        <f ca="1">OFFSET('VVP2'!$G$118,0,(COLUMN()-7)/5)</f>
        <v>0.34233286555367393</v>
      </c>
      <c r="CT15" s="1154">
        <f ca="1">+CQ15*(1+CS15/100)</f>
        <v>317.62913928093121</v>
      </c>
      <c r="CU15" s="1156">
        <f t="shared" ca="1" si="34"/>
        <v>-0.5797135883375546</v>
      </c>
      <c r="CV15" s="1151">
        <f ca="1">OFFSET('VVP2'!$G$325,0,(COLUMN()-10)/5)</f>
        <v>315.7878</v>
      </c>
      <c r="CW15" s="1161">
        <f t="shared" ca="1" si="35"/>
        <v>-0.23936527292285348</v>
      </c>
      <c r="CX15" s="1156">
        <f ca="1">OFFSET('VVP2'!$G$118,0,(COLUMN()-7)/5)</f>
        <v>6.2054125404542138</v>
      </c>
      <c r="CY15" s="1154">
        <f ca="1">+CV15*(1+CX15/100)</f>
        <v>335.38373574242445</v>
      </c>
      <c r="CZ15" s="1156">
        <f t="shared" ca="1" si="36"/>
        <v>-2.1420346238679286</v>
      </c>
      <c r="DA15" s="1151">
        <f ca="1">OFFSET('VVP2'!$G$325,0,(COLUMN()-10)/5)</f>
        <v>328.19970000000001</v>
      </c>
      <c r="DB15" s="1161">
        <f t="shared" ca="1" si="37"/>
        <v>3.9304558314159133</v>
      </c>
      <c r="DC15" s="1156">
        <f ca="1">OFFSET('VVP2'!$G$118,0,(COLUMN()-7)/5)</f>
        <v>3.2782053232309982</v>
      </c>
      <c r="DD15" s="1154">
        <f ca="1">+DA15*(1+DC15/100)</f>
        <v>338.95876003622817</v>
      </c>
      <c r="DE15" s="1156">
        <f t="shared" ca="1" si="38"/>
        <v>-3.8484504825406987</v>
      </c>
      <c r="DF15" s="1151">
        <f ca="1">OFFSET('VVP2'!$G$325,0,(COLUMN()-10)/5)</f>
        <v>325.91409999999996</v>
      </c>
      <c r="DG15" s="1161">
        <f t="shared" ca="1" si="39"/>
        <v>-0.69640526789026547</v>
      </c>
      <c r="DH15" s="1156">
        <f ca="1">OFFSET('VVP2'!$G$118,0,(COLUMN()-7)/5)</f>
        <v>8.3642280580936035</v>
      </c>
      <c r="DI15" s="1154">
        <f ca="1">+DF15*(1+DH15/100)</f>
        <v>353.17429859748319</v>
      </c>
      <c r="DJ15" s="1156">
        <f t="shared" ca="1" si="40"/>
        <v>-2.3331535251024889</v>
      </c>
      <c r="DK15" s="1151">
        <f ca="1">OFFSET('VVP2'!$G$325,0,(COLUMN()-10)/5)</f>
        <v>344.93420000000003</v>
      </c>
      <c r="DL15" s="1161">
        <f t="shared" ca="1" si="41"/>
        <v>5.8359242512060927</v>
      </c>
      <c r="DM15" s="1156">
        <f ca="1">OFFSET('VVP2'!$G$118,0,(COLUMN()-7)/5)</f>
        <v>4.0903580942795115</v>
      </c>
      <c r="DN15" s="1154">
        <f ca="1">+DK15*(1+DM15/100)</f>
        <v>359.0432439696383</v>
      </c>
      <c r="DO15" s="1156">
        <f t="shared" ca="1" si="42"/>
        <v>1.8534692247055489</v>
      </c>
      <c r="DP15" s="1151">
        <f ca="1">OFFSET('VVP2'!$G$325,0,(COLUMN()-10)/5)</f>
        <v>365.69799999999998</v>
      </c>
      <c r="DQ15" s="1161">
        <f t="shared" ca="1" si="43"/>
        <v>6.0196408474427754</v>
      </c>
      <c r="DR15" s="1156">
        <f ca="1">+DR102</f>
        <v>5.047833854710726</v>
      </c>
      <c r="DS15" s="1154">
        <f ca="1">+DP15*(1+DR15/100)</f>
        <v>384.15782745000001</v>
      </c>
      <c r="DT15" s="1767">
        <f ca="1">+DT102</f>
        <v>1</v>
      </c>
      <c r="DU15" s="1151">
        <f ca="1">+DS15*(1+DT15/100)</f>
        <v>387.99940572450004</v>
      </c>
      <c r="DV15" s="1338">
        <f t="shared" ca="1" si="44"/>
        <v>6.0983121932578488</v>
      </c>
      <c r="DW15" s="1156">
        <f ca="1">+DW102</f>
        <v>4.5047708319876367</v>
      </c>
      <c r="DX15" s="1154">
        <f ca="1">+DU15*(1+DW15/100)</f>
        <v>405.4778897818627</v>
      </c>
      <c r="DY15" s="1767">
        <f ca="1">+DY102</f>
        <v>0.89999999999999147</v>
      </c>
      <c r="DZ15" s="1151">
        <f ca="1">+DX15*(1+DY15/100)</f>
        <v>409.12719078989943</v>
      </c>
      <c r="EA15" s="1338">
        <f t="shared" ca="1" si="45"/>
        <v>5.4453137694755238</v>
      </c>
    </row>
    <row r="16" spans="1:131">
      <c r="B16" s="1"/>
      <c r="C16" s="175" t="s">
        <v>624</v>
      </c>
      <c r="D16" s="1126"/>
      <c r="E16" s="1126" t="s">
        <v>1476</v>
      </c>
      <c r="F16" s="1125" t="s">
        <v>398</v>
      </c>
      <c r="G16" s="1176"/>
      <c r="H16" s="1176"/>
      <c r="I16" s="1176"/>
      <c r="J16" s="1177">
        <f ca="1">OFFSET('VVP2'!$G$355,0,(COLUMN()-6)/5)</f>
        <v>211.29079999999999</v>
      </c>
      <c r="K16" s="1176"/>
      <c r="L16" s="1177">
        <f ca="1">OFFSET('VVP2'!$G$138,0,(COLUMN()-7)/5)</f>
        <v>-3.8232187861419797</v>
      </c>
      <c r="M16" s="1177">
        <f ca="1">J16*(1+L16/100)</f>
        <v>203.21269044101032</v>
      </c>
      <c r="N16" s="1177">
        <f t="shared" ca="1" si="0"/>
        <v>6.2642296262914243</v>
      </c>
      <c r="O16" s="1177">
        <f ca="1">OFFSET('VVP2'!$G$355,0,(COLUMN()-6)/5)</f>
        <v>215.94239999999999</v>
      </c>
      <c r="P16" s="1177">
        <f t="shared" ca="1" si="1"/>
        <v>2.2015156362700239</v>
      </c>
      <c r="Q16" s="1177">
        <f ca="1">OFFSET('VVP2'!$G$138,0,(COLUMN()-7)/5)</f>
        <v>3.7104481797635591</v>
      </c>
      <c r="R16" s="1177">
        <f ca="1">O16*(1+Q16/100)</f>
        <v>223.95483085013774</v>
      </c>
      <c r="S16" s="1177">
        <f t="shared" ca="1" si="2"/>
        <v>0.89923005555074553</v>
      </c>
      <c r="T16" s="1177">
        <f ca="1">OFFSET('VVP2'!$G$355,0,(COLUMN()-6)/5)</f>
        <v>225.96870000000001</v>
      </c>
      <c r="U16" s="1177">
        <f t="shared" ca="1" si="3"/>
        <v>4.6430437005423819</v>
      </c>
      <c r="V16" s="1177">
        <f ca="1">OFFSET('VVP2'!$G$138,0,(COLUMN()-7)/5)</f>
        <v>1.9752719728868051</v>
      </c>
      <c r="W16" s="1177">
        <f ca="1">T16*(1+V16/100)</f>
        <v>230.43219639859669</v>
      </c>
      <c r="X16" s="1177">
        <f t="shared" ca="1" si="4"/>
        <v>1.7607798149807508</v>
      </c>
      <c r="Y16" s="1177">
        <f ca="1">OFFSET('VVP2'!$G$355,0,(COLUMN()-6)/5)</f>
        <v>234.4896</v>
      </c>
      <c r="Z16" s="1177">
        <f t="shared" ca="1" si="5"/>
        <v>3.7708319780571209</v>
      </c>
      <c r="AA16" s="1177">
        <f ca="1">OFFSET('VVP2'!$G$138,0,(COLUMN()-7)/5)</f>
        <v>3.5633109517135386</v>
      </c>
      <c r="AB16" s="1177">
        <f ca="1">Y16*(1+AA16/100)</f>
        <v>242.84519359742927</v>
      </c>
      <c r="AC16" s="1177">
        <f t="shared" ca="1" si="6"/>
        <v>0.56859531873614344</v>
      </c>
      <c r="AD16" s="1177">
        <f ca="1">OFFSET('VVP2'!$G$355,0,(COLUMN()-6)/5)</f>
        <v>244.226</v>
      </c>
      <c r="AE16" s="1177">
        <f t="shared" ca="1" si="7"/>
        <v>4.1521670897131546</v>
      </c>
      <c r="AF16" s="1177">
        <f ca="1">OFFSET('VVP2'!$G$138,0,(COLUMN()-7)/5)</f>
        <v>3.6336527572645716</v>
      </c>
      <c r="AG16" s="1177">
        <f ca="1">AD16*(1+AF16/100)</f>
        <v>253.10032478295696</v>
      </c>
      <c r="AH16" s="1177">
        <f t="shared" ca="1" si="8"/>
        <v>2.0235751263594892</v>
      </c>
      <c r="AI16" s="1177">
        <f ca="1">OFFSET('VVP2'!$G$355,0,(COLUMN()-6)/5)</f>
        <v>258.22199999999998</v>
      </c>
      <c r="AJ16" s="1177">
        <f t="shared" ca="1" si="9"/>
        <v>5.7307575769983465</v>
      </c>
      <c r="AK16" s="1177">
        <f ca="1">OFFSET('VVP2'!$G$138,0,(COLUMN()-7)/5)</f>
        <v>0.81154554028661785</v>
      </c>
      <c r="AL16" s="1177">
        <f ca="1">AI16*(1+AK16/100)</f>
        <v>260.31758912503886</v>
      </c>
      <c r="AM16" s="1177">
        <f t="shared" ca="1" si="10"/>
        <v>2.1015909425672135</v>
      </c>
      <c r="AN16" s="1177">
        <f ca="1">OFFSET('VVP2'!$G$355,0,(COLUMN()-6)/5)</f>
        <v>265.78840000000002</v>
      </c>
      <c r="AO16" s="1177">
        <f t="shared" ca="1" si="11"/>
        <v>2.9301918504232916</v>
      </c>
      <c r="AP16" s="1177">
        <f ca="1">OFFSET('VVP2'!$G$138,0,(COLUMN()-7)/5)</f>
        <v>1.7805059235399101</v>
      </c>
      <c r="AQ16" s="1177">
        <f ca="1">AN16*(1+AP16/100)</f>
        <v>270.52077820608196</v>
      </c>
      <c r="AR16" s="1177">
        <f t="shared" ca="1" si="12"/>
        <v>1.6798420528186426</v>
      </c>
      <c r="AS16" s="1177">
        <f ca="1">OFFSET('VVP2'!$G$355,0,(COLUMN()-6)/5)</f>
        <v>275.06509999999997</v>
      </c>
      <c r="AT16" s="1177">
        <f t="shared" ca="1" si="13"/>
        <v>3.4902576636151039</v>
      </c>
      <c r="AU16" s="1177">
        <f ca="1">OFFSET('VVP2'!$G$138,0,(COLUMN()-7)/5)</f>
        <v>0.77440169173059736</v>
      </c>
      <c r="AV16" s="1177">
        <f ca="1">AS16*(1+AU16/100)</f>
        <v>277.19520878776041</v>
      </c>
      <c r="AW16" s="1177">
        <f t="shared" ca="1" si="14"/>
        <v>1.962981696558046</v>
      </c>
      <c r="AX16" s="1177">
        <f ca="1">OFFSET('VVP2'!$G$355,0,(COLUMN()-6)/5)</f>
        <v>282.63650000000001</v>
      </c>
      <c r="AY16" s="1177">
        <f t="shared" ca="1" si="15"/>
        <v>2.7525847517551494</v>
      </c>
      <c r="AZ16" s="1177">
        <f ca="1">OFFSET('VVP2'!$G$138,0,(COLUMN()-7)/5)</f>
        <v>3.6348512375222075</v>
      </c>
      <c r="BA16" s="1177">
        <f ca="1">AX16*(1+AZ16/100)</f>
        <v>292.90991631793946</v>
      </c>
      <c r="BB16" s="1177">
        <f t="shared" ca="1" si="16"/>
        <v>1.9804326719222303</v>
      </c>
      <c r="BC16" s="1177">
        <f ca="1">OFFSET('VVP2'!$G$355,0,(COLUMN()-6)/5)</f>
        <v>298.71080000000001</v>
      </c>
      <c r="BD16" s="1177">
        <f t="shared" ca="1" si="17"/>
        <v>5.6872696909280984</v>
      </c>
      <c r="BE16" s="1177">
        <f ca="1">OFFSET('VVP2'!$G$138,0,(COLUMN()-7)/5)</f>
        <v>2.0942707880946099</v>
      </c>
      <c r="BF16" s="1177">
        <f ca="1">BC16*(1+BE16/100)</f>
        <v>304.96661302528372</v>
      </c>
      <c r="BG16" s="1177">
        <f t="shared" ca="1" si="18"/>
        <v>2.1360328299859503</v>
      </c>
      <c r="BH16" s="1177">
        <f ca="1">OFFSET('VVP2'!$G$355,0,(COLUMN()-6)/5)</f>
        <v>311.48079999999999</v>
      </c>
      <c r="BI16" s="1177">
        <f t="shared" ca="1" si="19"/>
        <v>4.2750379296630614</v>
      </c>
      <c r="BJ16" s="1177">
        <f ca="1">OFFSET('VVP2'!$G$138,0,(COLUMN()-7)/5)</f>
        <v>2.5061414501406976</v>
      </c>
      <c r="BK16" s="1177">
        <f ca="1">BH16*(1+BJ16/100)</f>
        <v>319.28694943802981</v>
      </c>
      <c r="BL16" s="1177">
        <f t="shared" ca="1" si="20"/>
        <v>2.3098816205770305</v>
      </c>
      <c r="BM16" s="1177">
        <f ca="1">OFFSET('VVP2'!$G$355,0,(COLUMN()-6)/5)</f>
        <v>326.66209999999995</v>
      </c>
      <c r="BN16" s="1177">
        <f t="shared" ca="1" si="21"/>
        <v>4.8739119714601875</v>
      </c>
      <c r="BO16" s="1177">
        <f ca="1">OFFSET('VVP2'!$G$138,0,(COLUMN()-7)/5)</f>
        <v>3.4489736482902655</v>
      </c>
      <c r="BP16" s="1177">
        <f ca="1">BM16*(1+BO16/100)</f>
        <v>337.92858974795155</v>
      </c>
      <c r="BQ16" s="1177">
        <f t="shared" ca="1" si="22"/>
        <v>2.0074981690978859</v>
      </c>
      <c r="BR16" s="1177">
        <f ca="1">OFFSET('VVP2'!$G$355,0,(COLUMN()-6)/5)</f>
        <v>344.71249999999998</v>
      </c>
      <c r="BS16" s="1177">
        <f t="shared" ca="1" si="23"/>
        <v>5.5257099002302468</v>
      </c>
      <c r="BT16" s="1177">
        <f ca="1">OFFSET('VVP2'!$G$138,0,(COLUMN()-7)/5)</f>
        <v>0.7831720065866854</v>
      </c>
      <c r="BU16" s="1177">
        <f ca="1">BR16*(1+BT16/100)</f>
        <v>347.41219180320513</v>
      </c>
      <c r="BV16" s="1177">
        <f t="shared" ca="1" si="24"/>
        <v>1.9152201200135011</v>
      </c>
      <c r="BW16" s="1177">
        <f ca="1">OFFSET('VVP2'!$G$355,0,(COLUMN()-6)/5)</f>
        <v>354.0659</v>
      </c>
      <c r="BX16" s="1177">
        <f t="shared" ca="1" si="25"/>
        <v>2.7133915944446585</v>
      </c>
      <c r="BY16" s="1177">
        <f ca="1">OFFSET('VVP2'!$G$138,0,(COLUMN()-7)/5)</f>
        <v>-2.2531733495413597</v>
      </c>
      <c r="BZ16" s="1177">
        <f ca="1">BW16*(1+BY16/100)</f>
        <v>346.08818150138626</v>
      </c>
      <c r="CA16" s="1177">
        <f t="shared" ca="1" si="26"/>
        <v>0.77810183720559678</v>
      </c>
      <c r="CB16" s="3290">
        <f ca="1">OFFSET('VVP2'!$G$355,0,(COLUMN()-6)/5)</f>
        <v>348.78109999999998</v>
      </c>
      <c r="CC16" s="1177">
        <f t="shared" ca="1" si="27"/>
        <v>-1.4926034955639711</v>
      </c>
      <c r="CD16" s="1383">
        <f ca="1">OFFSET('VVP2'!$G$138,0,(COLUMN()-7)/5)</f>
        <v>2.7442122598526408</v>
      </c>
      <c r="CE16" s="1383">
        <f ca="1">CB16*(1+CD16/100)</f>
        <v>358.3523937062489</v>
      </c>
      <c r="CF16" s="1361">
        <f t="shared" ca="1" si="28"/>
        <v>1.8830922891177124</v>
      </c>
      <c r="CG16" s="3290">
        <f ca="1">OFFSET('VVP2'!$G$355,0,(COLUMN()-6)/5)</f>
        <v>365.10050000000001</v>
      </c>
      <c r="CH16" s="1361">
        <f t="shared" ca="1" si="29"/>
        <v>4.6789805984326582</v>
      </c>
      <c r="CI16" s="1383">
        <f ca="1">OFFSET('VVP2'!$G$138,0,(COLUMN()-7)/5)</f>
        <v>1.7983021113364694</v>
      </c>
      <c r="CJ16" s="3034">
        <f ca="1">CG16*(1+CI16/100)</f>
        <v>371.66611</v>
      </c>
      <c r="CK16" s="1361">
        <f t="shared" ca="1" si="30"/>
        <v>2.0018478413326335</v>
      </c>
      <c r="CL16" s="3290">
        <f ca="1">OFFSET('VVP2'!$G$355,0,(COLUMN()-6)/5)</f>
        <v>379.10629999999998</v>
      </c>
      <c r="CM16" s="1361">
        <f t="shared" ca="1" si="31"/>
        <v>3.8361492246655304</v>
      </c>
      <c r="CN16" s="1383">
        <f ca="1">OFFSET('VVP2'!$G$138,0,(COLUMN()-7)/5)</f>
        <v>0.23479676422475393</v>
      </c>
      <c r="CO16" s="1383">
        <f ca="1">CL16*(1+CN16/100)</f>
        <v>379.99642932537216</v>
      </c>
      <c r="CP16" s="1177">
        <f t="shared" ca="1" si="32"/>
        <v>1.9746687325324217</v>
      </c>
      <c r="CQ16" s="1177">
        <f ca="1">OFFSET('VVP2'!$G$355,0,(COLUMN()-6)/5)</f>
        <v>387.50009999999997</v>
      </c>
      <c r="CR16" s="1177">
        <f t="shared" ca="1" si="33"/>
        <v>2.2141019550453223</v>
      </c>
      <c r="CS16" s="1383">
        <f ca="1">OFFSET('VVP2'!$G$138,0,(COLUMN()-7)/5)</f>
        <v>0.20065025715310103</v>
      </c>
      <c r="CT16" s="1383">
        <f ca="1">CQ16*(1+CS16/100)</f>
        <v>388.27761994711852</v>
      </c>
      <c r="CU16" s="1361">
        <f t="shared" ca="1" si="34"/>
        <v>1.0462050461303107</v>
      </c>
      <c r="CV16" s="3290">
        <f ca="1">OFFSET('VVP2'!$G$355,0,(COLUMN()-6)/5)</f>
        <v>392.33979999999997</v>
      </c>
      <c r="CW16" s="1177">
        <f t="shared" ca="1" si="35"/>
        <v>1.2489545163988369</v>
      </c>
      <c r="CX16" s="1383">
        <f ca="1">OFFSET('VVP2'!$G$138,0,(COLUMN()-7)/5)</f>
        <v>1.3514346509449604</v>
      </c>
      <c r="CY16" s="1383">
        <f ca="1">CV16*(1+CX16/100)</f>
        <v>397.64201600664813</v>
      </c>
      <c r="CZ16" s="1177">
        <f t="shared" ca="1" si="36"/>
        <v>0.66546891093813088</v>
      </c>
      <c r="DA16" s="1177">
        <f ca="1">OFFSET('VVP2'!$G$355,0,(COLUMN()-6)/5)</f>
        <v>400.28820000000002</v>
      </c>
      <c r="DB16" s="1177">
        <f t="shared" ca="1" si="37"/>
        <v>2.0258969393367909</v>
      </c>
      <c r="DC16" s="1383">
        <f ca="1">OFFSET('VVP2'!$G$138,0,(COLUMN()-7)/5)</f>
        <v>1.4044950428195202</v>
      </c>
      <c r="DD16" s="1383">
        <f ca="1">DA16*(1+DC16/100)</f>
        <v>405.91022792599148</v>
      </c>
      <c r="DE16" s="1177">
        <f t="shared" ca="1" si="38"/>
        <v>1.1147716324195471</v>
      </c>
      <c r="DF16" s="1177">
        <f ca="1">OFFSET('VVP2'!$G$355,0,(COLUMN()-6)/5)</f>
        <v>410.43520000000001</v>
      </c>
      <c r="DG16" s="1177">
        <f t="shared" ca="1" si="39"/>
        <v>2.5349235875551601</v>
      </c>
      <c r="DH16" s="1383">
        <f ca="1">OFFSET('VVP2'!$G$138,0,(COLUMN()-7)/5)</f>
        <v>1.4660051412683783</v>
      </c>
      <c r="DI16" s="1383">
        <f ca="1">DF16*(1+DH16/100)</f>
        <v>416.45220113357516</v>
      </c>
      <c r="DJ16" s="1177">
        <f t="shared" ca="1" si="40"/>
        <v>1.5839029901799364</v>
      </c>
      <c r="DK16" s="1177">
        <f ca="1">OFFSET('VVP2'!$G$355,0,(COLUMN()-6)/5)</f>
        <v>423.04840000000002</v>
      </c>
      <c r="DL16" s="1177">
        <f t="shared" ca="1" si="41"/>
        <v>3.0731282307170593</v>
      </c>
      <c r="DM16" s="3430">
        <f ca="1">OFFSET('VVP2'!$G$138,0,(COLUMN()-7)/5)</f>
        <v>1.6865077937902484</v>
      </c>
      <c r="DN16" s="1383">
        <f ca="1">DK16*(1+DM16/100)</f>
        <v>430.18314423750496</v>
      </c>
      <c r="DO16" s="1177">
        <f t="shared" ca="1" si="42"/>
        <v>1.9297491948944838</v>
      </c>
      <c r="DP16" s="1177">
        <f ca="1">OFFSET('VVP2'!$G$355,0,(COLUMN()-6)/5)</f>
        <v>438.4846</v>
      </c>
      <c r="DQ16" s="1177">
        <f t="shared" ca="1" si="43"/>
        <v>3.6488023592572416</v>
      </c>
      <c r="DR16" s="3430">
        <f ca="1">IF(UPPER($F$2)="Y",(DS16/DP16-1)*100,OFFSET('VVP2'!$G$138,0,(COLUMN()-7)/5))</f>
        <v>1.8083298569664841</v>
      </c>
      <c r="DS16" s="1383">
        <f ca="1">IF(UPPER($F$2)="Y",+DS7+DS8+DS9+DS11+DS13-DS15,DP16*(1+DR16/100))</f>
        <v>446.4138479400001</v>
      </c>
      <c r="DT16" s="1177">
        <f ca="1">+DU16/DS16*100-100</f>
        <v>1.5588952122123914</v>
      </c>
      <c r="DU16" s="1361">
        <f ca="1">+DU14-DU15</f>
        <v>453.37297204218993</v>
      </c>
      <c r="DV16" s="1177">
        <f t="shared" ca="1" si="44"/>
        <v>3.3954150367401459</v>
      </c>
      <c r="DW16" s="3430">
        <f ca="1">IF(UPPER($F$2)="Y",(DX16/DU16-1)*100,OFFSET('VVP2'!$G$138,0,(COLUMN()-7)/5))</f>
        <v>1.7329264820707513</v>
      </c>
      <c r="DX16" s="1383">
        <f ca="1">IF(UPPER($F$2)="Y",+DX7+DX8+DX9+DX11+DX13-DX15,DU16*(1+DW16/100))</f>
        <v>461.22959233726021</v>
      </c>
      <c r="DY16" s="1177">
        <f ca="1">+DZ16/DX16*100-100</f>
        <v>1.6935991327586208</v>
      </c>
      <c r="DZ16" s="1361">
        <f ca="1">+DZ14-DZ15</f>
        <v>469.04097271311019</v>
      </c>
      <c r="EA16" s="1177">
        <f t="shared" ca="1" si="45"/>
        <v>3.4558744427010568</v>
      </c>
    </row>
    <row r="17" spans="1:131">
      <c r="BK17" s="1370"/>
      <c r="BW17" s="646"/>
      <c r="BY17" s="646"/>
      <c r="CB17" s="646"/>
      <c r="CL17" s="3326"/>
      <c r="CY17" s="3734"/>
      <c r="CZ17" s="3734"/>
      <c r="DA17" s="3734"/>
    </row>
    <row r="18" spans="1:131">
      <c r="BY18" s="1094"/>
      <c r="CB18" s="646"/>
      <c r="CN18" s="3378"/>
      <c r="CS18" s="3378"/>
      <c r="CX18" s="3378"/>
      <c r="DC18" s="3378"/>
      <c r="DH18" s="3378"/>
      <c r="DM18" s="3378"/>
      <c r="DR18" s="3378"/>
      <c r="DW18" s="3378"/>
    </row>
    <row r="19" spans="1:131" s="218" customFormat="1">
      <c r="A19" s="1079"/>
      <c r="C19" s="744"/>
      <c r="D19" s="1388"/>
      <c r="E19" s="1389" t="s">
        <v>1160</v>
      </c>
      <c r="F19" s="1403"/>
      <c r="G19" s="4105">
        <f>+InputY!$G$3</f>
        <v>1995</v>
      </c>
      <c r="H19" s="4105"/>
      <c r="I19" s="4105"/>
      <c r="J19" s="4105"/>
      <c r="K19" s="4105"/>
      <c r="L19" s="4105">
        <f>+G19+1</f>
        <v>1996</v>
      </c>
      <c r="M19" s="4105"/>
      <c r="N19" s="4105"/>
      <c r="O19" s="4105"/>
      <c r="P19" s="4105"/>
      <c r="Q19" s="4105">
        <f>+L19+1</f>
        <v>1997</v>
      </c>
      <c r="R19" s="4105"/>
      <c r="S19" s="4105"/>
      <c r="T19" s="4105"/>
      <c r="U19" s="4105"/>
      <c r="V19" s="4105">
        <f>+Q19+1</f>
        <v>1998</v>
      </c>
      <c r="W19" s="4105"/>
      <c r="X19" s="4105"/>
      <c r="Y19" s="4105"/>
      <c r="Z19" s="4105"/>
      <c r="AA19" s="4105">
        <f>+V19+1</f>
        <v>1999</v>
      </c>
      <c r="AB19" s="4105"/>
      <c r="AC19" s="4105"/>
      <c r="AD19" s="4105"/>
      <c r="AE19" s="4105"/>
      <c r="AF19" s="4105">
        <f>+AA19+1</f>
        <v>2000</v>
      </c>
      <c r="AG19" s="4105"/>
      <c r="AH19" s="4105"/>
      <c r="AI19" s="4105"/>
      <c r="AJ19" s="4105"/>
      <c r="AK19" s="4105">
        <f>+AF19+1</f>
        <v>2001</v>
      </c>
      <c r="AL19" s="4105"/>
      <c r="AM19" s="4105"/>
      <c r="AN19" s="4105"/>
      <c r="AO19" s="4105"/>
      <c r="AP19" s="4105">
        <f>+AK19+1</f>
        <v>2002</v>
      </c>
      <c r="AQ19" s="4105"/>
      <c r="AR19" s="4105"/>
      <c r="AS19" s="4105"/>
      <c r="AT19" s="4105"/>
      <c r="AU19" s="4105">
        <f>+AP19+1</f>
        <v>2003</v>
      </c>
      <c r="AV19" s="4105"/>
      <c r="AW19" s="4105"/>
      <c r="AX19" s="4105"/>
      <c r="AY19" s="4105"/>
      <c r="AZ19" s="4105">
        <f>+AU19+1</f>
        <v>2004</v>
      </c>
      <c r="BA19" s="4105"/>
      <c r="BB19" s="4105"/>
      <c r="BC19" s="4105"/>
      <c r="BD19" s="4105"/>
      <c r="BE19" s="4105">
        <f>+AZ19+1</f>
        <v>2005</v>
      </c>
      <c r="BF19" s="4105"/>
      <c r="BG19" s="4105"/>
      <c r="BH19" s="4105"/>
      <c r="BI19" s="4105"/>
      <c r="BJ19" s="4105">
        <f>+BE19+1</f>
        <v>2006</v>
      </c>
      <c r="BK19" s="4105"/>
      <c r="BL19" s="4105"/>
      <c r="BM19" s="4105"/>
      <c r="BN19" s="4105"/>
      <c r="BO19" s="4105">
        <f>+BJ19+1</f>
        <v>2007</v>
      </c>
      <c r="BP19" s="4105"/>
      <c r="BQ19" s="4105"/>
      <c r="BR19" s="4105"/>
      <c r="BS19" s="4105"/>
      <c r="BT19" s="4105">
        <f>+BO19+1</f>
        <v>2008</v>
      </c>
      <c r="BU19" s="4105"/>
      <c r="BV19" s="4105"/>
      <c r="BW19" s="4105"/>
      <c r="BX19" s="4105"/>
      <c r="BY19" s="4105">
        <f>+BT19+1</f>
        <v>2009</v>
      </c>
      <c r="BZ19" s="4105"/>
      <c r="CA19" s="4105"/>
      <c r="CB19" s="4105"/>
      <c r="CC19" s="4105"/>
      <c r="CD19" s="4105">
        <f>+BY19+1</f>
        <v>2010</v>
      </c>
      <c r="CE19" s="4105"/>
      <c r="CF19" s="4105"/>
      <c r="CG19" s="4105"/>
      <c r="CH19" s="4105"/>
      <c r="CI19" s="4105">
        <f>+CD19+1</f>
        <v>2011</v>
      </c>
      <c r="CJ19" s="4105"/>
      <c r="CK19" s="4105"/>
      <c r="CL19" s="4105"/>
      <c r="CM19" s="4105"/>
      <c r="CN19" s="4105">
        <f>+CI19+1</f>
        <v>2012</v>
      </c>
      <c r="CO19" s="4105"/>
      <c r="CP19" s="4105"/>
      <c r="CQ19" s="4105"/>
      <c r="CR19" s="4105"/>
      <c r="CS19" s="4101">
        <f>+CN19+1</f>
        <v>2013</v>
      </c>
      <c r="CT19" s="4102"/>
      <c r="CU19" s="4102"/>
      <c r="CV19" s="4102"/>
      <c r="CW19" s="4103"/>
      <c r="CX19" s="4101">
        <f>+CS19+1</f>
        <v>2014</v>
      </c>
      <c r="CY19" s="4102"/>
      <c r="CZ19" s="4102"/>
      <c r="DA19" s="4102"/>
      <c r="DB19" s="4103"/>
      <c r="DC19" s="4101">
        <f>+CX19+1</f>
        <v>2015</v>
      </c>
      <c r="DD19" s="4102"/>
      <c r="DE19" s="4102"/>
      <c r="DF19" s="4102"/>
      <c r="DG19" s="4103"/>
      <c r="DH19" s="4101">
        <f>+DC19+1</f>
        <v>2016</v>
      </c>
      <c r="DI19" s="4102"/>
      <c r="DJ19" s="4102"/>
      <c r="DK19" s="4102"/>
      <c r="DL19" s="4103"/>
      <c r="DM19" s="4101">
        <f>+DH19+1</f>
        <v>2017</v>
      </c>
      <c r="DN19" s="4102"/>
      <c r="DO19" s="4102"/>
      <c r="DP19" s="4102"/>
      <c r="DQ19" s="4103"/>
      <c r="DR19" s="4101">
        <f>+DM19+1</f>
        <v>2018</v>
      </c>
      <c r="DS19" s="4102"/>
      <c r="DT19" s="4102"/>
      <c r="DU19" s="4102"/>
      <c r="DV19" s="4103"/>
      <c r="DW19" s="4101">
        <f>+DR19+1</f>
        <v>2019</v>
      </c>
      <c r="DX19" s="4102"/>
      <c r="DY19" s="4102"/>
      <c r="DZ19" s="4102"/>
      <c r="EA19" s="4103"/>
    </row>
    <row r="20" spans="1:131">
      <c r="C20" s="1390" t="s">
        <v>622</v>
      </c>
      <c r="D20" s="23" t="s">
        <v>589</v>
      </c>
      <c r="E20" s="23" t="s">
        <v>1043</v>
      </c>
      <c r="F20" s="1404" t="s">
        <v>1305</v>
      </c>
      <c r="G20" s="1426"/>
      <c r="H20" s="1396"/>
      <c r="I20" s="1396"/>
      <c r="J20" s="1396"/>
      <c r="K20" s="1397"/>
      <c r="L20" s="1419">
        <f ca="1">OFFSET('VVP2'!$G141,0,(COLUMN()-6)/5)</f>
        <v>-1.1139006213635771</v>
      </c>
      <c r="M20" s="1396"/>
      <c r="N20" s="1396"/>
      <c r="O20" s="1396"/>
      <c r="P20" s="1397"/>
      <c r="Q20" s="1419">
        <f ca="1">OFFSET('VVP2'!$G141,0,(COLUMN()-6)/5)</f>
        <v>0.96491691828715187</v>
      </c>
      <c r="R20" s="1396"/>
      <c r="S20" s="1396"/>
      <c r="T20" s="1396"/>
      <c r="U20" s="1397"/>
      <c r="V20" s="1419">
        <f ca="1">OFFSET('VVP2'!$G141,0,(COLUMN()-6)/5)</f>
        <v>1.4506130542237805</v>
      </c>
      <c r="W20" s="1396"/>
      <c r="X20" s="1396"/>
      <c r="Y20" s="1396"/>
      <c r="Z20" s="1397"/>
      <c r="AA20" s="1419">
        <f ca="1">OFFSET('VVP2'!$G141,0,(COLUMN()-6)/5)</f>
        <v>0.89526325867190937</v>
      </c>
      <c r="AB20" s="1396"/>
      <c r="AC20" s="1396"/>
      <c r="AD20" s="1396"/>
      <c r="AE20" s="1397"/>
      <c r="AF20" s="1419">
        <f ca="1">OFFSET('VVP2'!$G141,0,(COLUMN()-6)/5)</f>
        <v>1.5234338665464504</v>
      </c>
      <c r="AG20" s="1396"/>
      <c r="AH20" s="1396"/>
      <c r="AI20" s="1396"/>
      <c r="AJ20" s="1397"/>
      <c r="AK20" s="1419">
        <f ca="1">OFFSET('VVP2'!$G141,0,(COLUMN()-6)/5)</f>
        <v>0.53446164035321875</v>
      </c>
      <c r="AL20" s="1396"/>
      <c r="AM20" s="1396"/>
      <c r="AN20" s="1396"/>
      <c r="AO20" s="1397"/>
      <c r="AP20" s="1419">
        <f ca="1">OFFSET('VVP2'!$G141,0,(COLUMN()-6)/5)</f>
        <v>0.20988262599505259</v>
      </c>
      <c r="AQ20" s="1396"/>
      <c r="AR20" s="1396"/>
      <c r="AS20" s="1396"/>
      <c r="AT20" s="1397"/>
      <c r="AU20" s="1419">
        <f ca="1">OFFSET('VVP2'!$G141,0,(COLUMN()-6)/5)</f>
        <v>0.26837959811748913</v>
      </c>
      <c r="AV20" s="1396"/>
      <c r="AW20" s="1396"/>
      <c r="AX20" s="1396"/>
      <c r="AY20" s="1397"/>
      <c r="AZ20" s="1419">
        <f ca="1">OFFSET('VVP2'!$G141,0,(COLUMN()-6)/5)</f>
        <v>0.80477897987812164</v>
      </c>
      <c r="BA20" s="1396"/>
      <c r="BB20" s="1396"/>
      <c r="BC20" s="1396"/>
      <c r="BD20" s="1397"/>
      <c r="BE20" s="1419">
        <f ca="1">OFFSET('VVP2'!$G141,0,(COLUMN()-6)/5)</f>
        <v>0.62442409956384715</v>
      </c>
      <c r="BF20" s="1396"/>
      <c r="BG20" s="1396"/>
      <c r="BH20" s="1396"/>
      <c r="BI20" s="1397"/>
      <c r="BJ20" s="1419">
        <f ca="1">OFFSET('VVP2'!$G141,0,(COLUMN()-6)/5)</f>
        <v>0.74437228846964709</v>
      </c>
      <c r="BK20" s="1396"/>
      <c r="BL20" s="1396"/>
      <c r="BM20" s="1396"/>
      <c r="BN20" s="1397"/>
      <c r="BO20" s="1419">
        <f ca="1">OFFSET('VVP2'!$G141,0,(COLUMN()-6)/5)</f>
        <v>0.93587436680562364</v>
      </c>
      <c r="BP20" s="1396"/>
      <c r="BQ20" s="1396"/>
      <c r="BR20" s="1396"/>
      <c r="BS20" s="1397"/>
      <c r="BT20" s="1419">
        <f ca="1">OFFSET('VVP2'!$G141,0,(COLUMN()-6)/5)</f>
        <v>0.8500888083600191</v>
      </c>
      <c r="BU20" s="1396"/>
      <c r="BV20" s="1396"/>
      <c r="BW20" s="1396"/>
      <c r="BX20" s="1397"/>
      <c r="BY20" s="1419">
        <f ca="1">OFFSET('VVP2'!$G141,0,(COLUMN()-6)/5)</f>
        <v>0.25252544750169753</v>
      </c>
      <c r="BZ20" s="1396"/>
      <c r="CA20" s="1396"/>
      <c r="CB20" s="1396"/>
      <c r="CC20" s="1397"/>
      <c r="CD20" s="1419">
        <f ca="1">OFFSET('VVP2'!$G141,0,(COLUMN()-6)/5)</f>
        <v>1.4085597193930528</v>
      </c>
      <c r="CE20" s="1396"/>
      <c r="CF20" s="1396"/>
      <c r="CG20" s="1396"/>
      <c r="CH20" s="1397"/>
      <c r="CI20" s="1419">
        <f ca="1">OFFSET('VVP2'!$G141,0,(COLUMN()-6)/5)</f>
        <v>0.17878364998131274</v>
      </c>
      <c r="CJ20" s="1396"/>
      <c r="CK20" s="1396"/>
      <c r="CL20" s="1396"/>
      <c r="CM20" s="1397"/>
      <c r="CN20" s="1419">
        <f ca="1">OFFSET('VVP2'!$G141,0,(COLUMN()-6)/5)</f>
        <v>0.30224192696025498</v>
      </c>
      <c r="CO20" s="1396"/>
      <c r="CP20" s="1396"/>
      <c r="CQ20" s="1396"/>
      <c r="CR20" s="1397"/>
      <c r="CS20" s="1419">
        <f ca="1">OFFSET('VVP2'!$G141,0,(COLUMN()-6)/5)</f>
        <v>0.38744997308047802</v>
      </c>
      <c r="CT20" s="1396"/>
      <c r="CU20" s="1396"/>
      <c r="CV20" s="1396"/>
      <c r="CW20" s="1397"/>
      <c r="CX20" s="1419">
        <f ca="1">OFFSET('VVP2'!$G141,0,(COLUMN()-6)/5)</f>
        <v>0.31815864939392213</v>
      </c>
      <c r="CY20" s="1396"/>
      <c r="CZ20" s="1396"/>
      <c r="DA20" s="1396"/>
      <c r="DB20" s="1397"/>
      <c r="DC20" s="1419">
        <f ca="1">OFFSET('VVP2'!$G141,0,(COLUMN()-6)/5)</f>
        <v>0.46237300319774732</v>
      </c>
      <c r="DD20" s="1396"/>
      <c r="DE20" s="1396"/>
      <c r="DF20" s="1396"/>
      <c r="DG20" s="1397"/>
      <c r="DH20" s="3942">
        <f ca="1">OFFSET('VVP2'!$G141,0,(COLUMN()-6)/5)</f>
        <v>0.84722198719863351</v>
      </c>
      <c r="DI20" s="3943"/>
      <c r="DJ20" s="3943"/>
      <c r="DK20" s="3943"/>
      <c r="DL20" s="3944"/>
      <c r="DM20" s="3942">
        <f ca="1">OFFSET('VVP2'!$G141,0,(COLUMN()-6)/5)</f>
        <v>0.57653793488743299</v>
      </c>
      <c r="DN20" s="3943"/>
      <c r="DO20" s="3943"/>
      <c r="DP20" s="3943"/>
      <c r="DQ20" s="3944"/>
      <c r="DR20" s="3942">
        <f ca="1">OFFSET('VVP2'!$G141,0,(COLUMN()-6)/5)</f>
        <v>0.83809773478931526</v>
      </c>
      <c r="DS20" s="1396"/>
      <c r="DT20" s="1396"/>
      <c r="DU20" s="1396"/>
      <c r="DV20" s="1397"/>
      <c r="DW20" s="3942">
        <f ca="1">OFFSET('VVP2'!$G141,0,(COLUMN()-6)/5)</f>
        <v>0.89382077662302961</v>
      </c>
      <c r="DX20" s="1396"/>
      <c r="DY20" s="1396"/>
      <c r="DZ20" s="1396"/>
      <c r="EA20" s="1397"/>
    </row>
    <row r="21" spans="1:131">
      <c r="C21" s="1391" t="s">
        <v>622</v>
      </c>
      <c r="D21" s="1" t="s">
        <v>591</v>
      </c>
      <c r="E21" s="1" t="s">
        <v>1043</v>
      </c>
      <c r="F21" s="1392" t="s">
        <v>711</v>
      </c>
      <c r="G21" s="1401"/>
      <c r="H21" s="1141"/>
      <c r="I21" s="1141"/>
      <c r="J21" s="1141"/>
      <c r="K21" s="1398"/>
      <c r="L21" s="1421">
        <f ca="1">OFFSET('VVP2'!$G142,0,(COLUMN()-6)/5)</f>
        <v>-0.91969604276354411</v>
      </c>
      <c r="M21" s="1141"/>
      <c r="N21" s="1141"/>
      <c r="O21" s="1141"/>
      <c r="P21" s="1398"/>
      <c r="Q21" s="1421">
        <f ca="1">OFFSET('VVP2'!$G142,0,(COLUMN()-6)/5)</f>
        <v>0.1379458068635091</v>
      </c>
      <c r="R21" s="1141"/>
      <c r="S21" s="1141"/>
      <c r="T21" s="1141"/>
      <c r="U21" s="1398"/>
      <c r="V21" s="1421">
        <f ca="1">OFFSET('VVP2'!$G142,0,(COLUMN()-6)/5)</f>
        <v>0.38726435489864541</v>
      </c>
      <c r="W21" s="1141"/>
      <c r="X21" s="1141"/>
      <c r="Y21" s="1141"/>
      <c r="Z21" s="1398"/>
      <c r="AA21" s="1421">
        <f ca="1">OFFSET('VVP2'!$G142,0,(COLUMN()-6)/5)</f>
        <v>0.5587111383919755</v>
      </c>
      <c r="AB21" s="1141"/>
      <c r="AC21" s="1141"/>
      <c r="AD21" s="1141"/>
      <c r="AE21" s="1398"/>
      <c r="AF21" s="1421">
        <f ca="1">OFFSET('VVP2'!$G142,0,(COLUMN()-6)/5)</f>
        <v>0.62715260561631603</v>
      </c>
      <c r="AG21" s="1141"/>
      <c r="AH21" s="1141"/>
      <c r="AI21" s="1141"/>
      <c r="AJ21" s="1398"/>
      <c r="AK21" s="1421">
        <f ca="1">OFFSET('VVP2'!$G142,0,(COLUMN()-6)/5)</f>
        <v>0.20971221745736407</v>
      </c>
      <c r="AL21" s="1141"/>
      <c r="AM21" s="1141"/>
      <c r="AN21" s="1141"/>
      <c r="AO21" s="1398"/>
      <c r="AP21" s="1421">
        <f ca="1">OFFSET('VVP2'!$G142,0,(COLUMN()-6)/5)</f>
        <v>0.56709397763096003</v>
      </c>
      <c r="AQ21" s="1141"/>
      <c r="AR21" s="1141"/>
      <c r="AS21" s="1141"/>
      <c r="AT21" s="1398"/>
      <c r="AU21" s="1421">
        <f ca="1">OFFSET('VVP2'!$G142,0,(COLUMN()-6)/5)</f>
        <v>0.30601205727315467</v>
      </c>
      <c r="AV21" s="1141"/>
      <c r="AW21" s="1141"/>
      <c r="AX21" s="1141"/>
      <c r="AY21" s="1398"/>
      <c r="AZ21" s="1421">
        <f ca="1">OFFSET('VVP2'!$G142,0,(COLUMN()-6)/5)</f>
        <v>0.35628811351986395</v>
      </c>
      <c r="BA21" s="1141"/>
      <c r="BB21" s="1141"/>
      <c r="BC21" s="1141"/>
      <c r="BD21" s="1398"/>
      <c r="BE21" s="1421">
        <f ca="1">OFFSET('VVP2'!$G142,0,(COLUMN()-6)/5)</f>
        <v>0.14238680107734455</v>
      </c>
      <c r="BF21" s="1141"/>
      <c r="BG21" s="1141"/>
      <c r="BH21" s="1141"/>
      <c r="BI21" s="1398"/>
      <c r="BJ21" s="1421">
        <f ca="1">OFFSET('VVP2'!$G142,0,(COLUMN()-6)/5)</f>
        <v>0.21023466292273349</v>
      </c>
      <c r="BK21" s="1141"/>
      <c r="BL21" s="1141"/>
      <c r="BM21" s="1141"/>
      <c r="BN21" s="1398"/>
      <c r="BO21" s="1421">
        <f ca="1">OFFSET('VVP2'!$G142,0,(COLUMN()-6)/5)</f>
        <v>0.42069389133182528</v>
      </c>
      <c r="BP21" s="1141"/>
      <c r="BQ21" s="1141"/>
      <c r="BR21" s="1141"/>
      <c r="BS21" s="1398"/>
      <c r="BT21" s="1421">
        <f ca="1">OFFSET('VVP2'!$G142,0,(COLUMN()-6)/5)</f>
        <v>0.61761664505416713</v>
      </c>
      <c r="BU21" s="1141"/>
      <c r="BV21" s="1141"/>
      <c r="BW21" s="1141"/>
      <c r="BX21" s="1398"/>
      <c r="BY21" s="1421">
        <f ca="1">OFFSET('VVP2'!$G142,0,(COLUMN()-6)/5)</f>
        <v>0.25210526307447273</v>
      </c>
      <c r="BZ21" s="1141"/>
      <c r="CA21" s="1141"/>
      <c r="CB21" s="1141"/>
      <c r="CC21" s="1398"/>
      <c r="CD21" s="1421">
        <f ca="1">OFFSET('VVP2'!$G142,0,(COLUMN()-6)/5)</f>
        <v>0.23037423642169949</v>
      </c>
      <c r="CE21" s="1141"/>
      <c r="CF21" s="1141"/>
      <c r="CG21" s="1141"/>
      <c r="CH21" s="1398"/>
      <c r="CI21" s="1421">
        <f ca="1">OFFSET('VVP2'!$G142,0,(COLUMN()-6)/5)</f>
        <v>0.29060491563282081</v>
      </c>
      <c r="CJ21" s="1141"/>
      <c r="CK21" s="1141"/>
      <c r="CL21" s="1141"/>
      <c r="CM21" s="1398"/>
      <c r="CN21" s="1421">
        <f ca="1">OFFSET('VVP2'!$G142,0,(COLUMN()-6)/5)</f>
        <v>0.33530587148056223</v>
      </c>
      <c r="CO21" s="1141"/>
      <c r="CP21" s="1141"/>
      <c r="CQ21" s="1141"/>
      <c r="CR21" s="1398"/>
      <c r="CS21" s="1421">
        <f ca="1">OFFSET('VVP2'!$G142,0,(COLUMN()-6)/5)</f>
        <v>7.621634870832393E-2</v>
      </c>
      <c r="CT21" s="1141"/>
      <c r="CU21" s="1141"/>
      <c r="CV21" s="1141"/>
      <c r="CW21" s="1398"/>
      <c r="CX21" s="1421">
        <f ca="1">OFFSET('VVP2'!$G142,0,(COLUMN()-6)/5)</f>
        <v>0.16184380179819069</v>
      </c>
      <c r="CY21" s="1141"/>
      <c r="CZ21" s="1141"/>
      <c r="DA21" s="1141"/>
      <c r="DB21" s="1398"/>
      <c r="DC21" s="1421">
        <f ca="1">OFFSET('VVP2'!$G142,0,(COLUMN()-6)/5)</f>
        <v>0.11528545483357286</v>
      </c>
      <c r="DD21" s="1141"/>
      <c r="DE21" s="1141"/>
      <c r="DF21" s="1141"/>
      <c r="DG21" s="1398"/>
      <c r="DH21" s="3940">
        <f ca="1">OFFSET('VVP2'!$G142,0,(COLUMN()-6)/5)</f>
        <v>0.12550058847619461</v>
      </c>
      <c r="DI21" s="3022"/>
      <c r="DJ21" s="3022"/>
      <c r="DK21" s="3022"/>
      <c r="DL21" s="3945"/>
      <c r="DM21" s="3940">
        <f ca="1">OFFSET('VVP2'!$G142,0,(COLUMN()-6)/5)</f>
        <v>0.24963466344867064</v>
      </c>
      <c r="DN21" s="3022"/>
      <c r="DO21" s="3022"/>
      <c r="DP21" s="3022"/>
      <c r="DQ21" s="3945"/>
      <c r="DR21" s="3940">
        <f ca="1">OFFSET('VVP2'!$G142,0,(COLUMN()-6)/5)</f>
        <v>4.4447478885232435E-2</v>
      </c>
      <c r="DS21" s="1141"/>
      <c r="DT21" s="1141"/>
      <c r="DU21" s="1141"/>
      <c r="DV21" s="1398"/>
      <c r="DW21" s="3940">
        <f ca="1">OFFSET('VVP2'!$G142,0,(COLUMN()-6)/5)</f>
        <v>0.23107941337544119</v>
      </c>
      <c r="DX21" s="1141"/>
      <c r="DY21" s="1141"/>
      <c r="DZ21" s="1141"/>
      <c r="EA21" s="1398"/>
    </row>
    <row r="22" spans="1:131">
      <c r="C22" s="1391" t="s">
        <v>622</v>
      </c>
      <c r="D22" s="113"/>
      <c r="E22" s="113" t="s">
        <v>1248</v>
      </c>
      <c r="F22" s="1393" t="s">
        <v>2048</v>
      </c>
      <c r="G22" s="1427"/>
      <c r="H22" s="1399"/>
      <c r="I22" s="1399"/>
      <c r="J22" s="1399"/>
      <c r="K22" s="1400"/>
      <c r="L22" s="1422">
        <f ca="1">OFFSET('VVP2'!$G143,0,(COLUMN()-6)/5)</f>
        <v>-1.2658676352206613</v>
      </c>
      <c r="M22" s="1399"/>
      <c r="N22" s="1399"/>
      <c r="O22" s="1399"/>
      <c r="P22" s="1400"/>
      <c r="Q22" s="1422">
        <f ca="1">OFFSET('VVP2'!$G143,0,(COLUMN()-6)/5)</f>
        <v>1.4150489013273255</v>
      </c>
      <c r="R22" s="1399"/>
      <c r="S22" s="1399"/>
      <c r="T22" s="1399"/>
      <c r="U22" s="1400"/>
      <c r="V22" s="1422">
        <f ca="1">OFFSET('VVP2'!$G143,0,(COLUMN()-6)/5)</f>
        <v>0.53902333749461384</v>
      </c>
      <c r="W22" s="1399"/>
      <c r="X22" s="1399"/>
      <c r="Y22" s="1399"/>
      <c r="Z22" s="1400"/>
      <c r="AA22" s="1422">
        <f ca="1">OFFSET('VVP2'!$G143,0,(COLUMN()-6)/5)</f>
        <v>0.82747811511019276</v>
      </c>
      <c r="AB22" s="1399"/>
      <c r="AC22" s="1399"/>
      <c r="AD22" s="1399"/>
      <c r="AE22" s="1400"/>
      <c r="AF22" s="1422">
        <f ca="1">OFFSET('VVP2'!$G143,0,(COLUMN()-6)/5)</f>
        <v>0.97142063329105355</v>
      </c>
      <c r="AG22" s="1399"/>
      <c r="AH22" s="1399"/>
      <c r="AI22" s="1399"/>
      <c r="AJ22" s="1400"/>
      <c r="AK22" s="1422">
        <f ca="1">OFFSET('VVP2'!$G143,0,(COLUMN()-6)/5)</f>
        <v>0.36658020983203365</v>
      </c>
      <c r="AL22" s="1399"/>
      <c r="AM22" s="1399"/>
      <c r="AN22" s="1399"/>
      <c r="AO22" s="1400"/>
      <c r="AP22" s="1422">
        <f ca="1">OFFSET('VVP2'!$G143,0,(COLUMN()-6)/5)</f>
        <v>-0.9668286893743272</v>
      </c>
      <c r="AQ22" s="1399"/>
      <c r="AR22" s="1399"/>
      <c r="AS22" s="1399"/>
      <c r="AT22" s="1400"/>
      <c r="AU22" s="1422">
        <f ca="1">OFFSET('VVP2'!$G143,0,(COLUMN()-6)/5)</f>
        <v>-8.3337003677023874E-2</v>
      </c>
      <c r="AV22" s="1399"/>
      <c r="AW22" s="1399"/>
      <c r="AX22" s="1399"/>
      <c r="AY22" s="1400"/>
      <c r="AZ22" s="1422">
        <f ca="1">OFFSET('VVP2'!$G143,0,(COLUMN()-6)/5)</f>
        <v>1.8155022980709958</v>
      </c>
      <c r="BA22" s="1399"/>
      <c r="BB22" s="1399"/>
      <c r="BC22" s="1399"/>
      <c r="BD22" s="1400"/>
      <c r="BE22" s="1422">
        <f ca="1">OFFSET('VVP2'!$G143,0,(COLUMN()-6)/5)</f>
        <v>1.2961569904697439</v>
      </c>
      <c r="BF22" s="1399"/>
      <c r="BG22" s="1399"/>
      <c r="BH22" s="1399"/>
      <c r="BI22" s="1400"/>
      <c r="BJ22" s="1422">
        <f ca="1">OFFSET('VVP2'!$G143,0,(COLUMN()-6)/5)</f>
        <v>0.43361219143094087</v>
      </c>
      <c r="BK22" s="1399"/>
      <c r="BL22" s="1399"/>
      <c r="BM22" s="1399"/>
      <c r="BN22" s="1400"/>
      <c r="BO22" s="1422">
        <f ca="1">OFFSET('VVP2'!$G143,0,(COLUMN()-6)/5)</f>
        <v>1.5094020856703105</v>
      </c>
      <c r="BP22" s="1399"/>
      <c r="BQ22" s="1399"/>
      <c r="BR22" s="1399"/>
      <c r="BS22" s="1400"/>
      <c r="BT22" s="1422">
        <f ca="1">OFFSET('VVP2'!$G143,0,(COLUMN()-6)/5)</f>
        <v>0.43971092528165956</v>
      </c>
      <c r="BU22" s="1399"/>
      <c r="BV22" s="1399"/>
      <c r="BW22" s="1399"/>
      <c r="BX22" s="1400"/>
      <c r="BY22" s="1422">
        <f ca="1">OFFSET('VVP2'!$G143,0,(COLUMN()-6)/5)</f>
        <v>-1.5895805646921435</v>
      </c>
      <c r="BZ22" s="1399"/>
      <c r="CA22" s="1399"/>
      <c r="CB22" s="1399"/>
      <c r="CC22" s="1400"/>
      <c r="CD22" s="1422">
        <f ca="1">OFFSET('VVP2'!$G143,0,(COLUMN()-6)/5)</f>
        <v>-0.1872658165030876</v>
      </c>
      <c r="CE22" s="1399"/>
      <c r="CF22" s="1399"/>
      <c r="CG22" s="1399"/>
      <c r="CH22" s="1400"/>
      <c r="CI22" s="1422">
        <f ca="1">OFFSET('VVP2'!$G143,0,(COLUMN()-6)/5)</f>
        <v>0.92060131388480693</v>
      </c>
      <c r="CJ22" s="1399"/>
      <c r="CK22" s="1399"/>
      <c r="CL22" s="1399"/>
      <c r="CM22" s="1400"/>
      <c r="CN22" s="1422">
        <f ca="1">OFFSET('VVP2'!$G143,0,(COLUMN()-6)/5)</f>
        <v>4.4433741125888271E-2</v>
      </c>
      <c r="CO22" s="1399"/>
      <c r="CP22" s="1399"/>
      <c r="CQ22" s="1399"/>
      <c r="CR22" s="1400"/>
      <c r="CS22" s="1422">
        <f ca="1">OFFSET('VVP2'!$G143,0,(COLUMN()-6)/5)</f>
        <v>-0.33686403243621443</v>
      </c>
      <c r="CT22" s="1399"/>
      <c r="CU22" s="1399"/>
      <c r="CV22" s="1399"/>
      <c r="CW22" s="1400"/>
      <c r="CX22" s="1422">
        <f ca="1">OFFSET('VVP2'!$G143,0,(COLUMN()-6)/5)</f>
        <v>1.3214164814457232</v>
      </c>
      <c r="CY22" s="1399"/>
      <c r="CZ22" s="1399"/>
      <c r="DA22" s="1399"/>
      <c r="DB22" s="1400"/>
      <c r="DC22" s="1422">
        <f ca="1">OFFSET('VVP2'!$G143,0,(COLUMN()-6)/5)</f>
        <v>0.61724243317277572</v>
      </c>
      <c r="DD22" s="1399"/>
      <c r="DE22" s="1399"/>
      <c r="DF22" s="1399"/>
      <c r="DG22" s="1400"/>
      <c r="DH22" s="3175">
        <f ca="1">OFFSET('VVP2'!$G143,0,(COLUMN()-6)/5)</f>
        <v>0.83540532445232407</v>
      </c>
      <c r="DI22" s="3946"/>
      <c r="DJ22" s="3946"/>
      <c r="DK22" s="3946"/>
      <c r="DL22" s="3947"/>
      <c r="DM22" s="3175">
        <f ca="1">OFFSET('VVP2'!$G143,0,(COLUMN()-6)/5)</f>
        <v>0.2318237001027392</v>
      </c>
      <c r="DN22" s="3946"/>
      <c r="DO22" s="3946"/>
      <c r="DP22" s="3946"/>
      <c r="DQ22" s="3947"/>
      <c r="DR22" s="3175">
        <f ca="1">OFFSET('VVP2'!$G143,0,(COLUMN()-6)/5)</f>
        <v>0.92545260426477838</v>
      </c>
      <c r="DS22" s="1399"/>
      <c r="DT22" s="1399"/>
      <c r="DU22" s="1399"/>
      <c r="DV22" s="1400"/>
      <c r="DW22" s="3175">
        <f ca="1">OFFSET('VVP2'!$G143,0,(COLUMN()-6)/5)</f>
        <v>0.64579546878933158</v>
      </c>
      <c r="DX22" s="1399"/>
      <c r="DY22" s="1399"/>
      <c r="DZ22" s="1399"/>
      <c r="EA22" s="1400"/>
    </row>
    <row r="23" spans="1:131">
      <c r="C23" s="1391" t="s">
        <v>624</v>
      </c>
      <c r="D23" s="50"/>
      <c r="E23" s="50" t="s">
        <v>1585</v>
      </c>
      <c r="F23" s="1394"/>
      <c r="G23" s="1401"/>
      <c r="H23" s="1401"/>
      <c r="I23" s="1401"/>
      <c r="J23" s="1401"/>
      <c r="K23" s="1402"/>
      <c r="L23" s="1421">
        <f ca="1">OFFSET('VVP2'!$G144,0,(COLUMN()-6)/5)</f>
        <v>-3.2994642993477825</v>
      </c>
      <c r="M23" s="1401"/>
      <c r="N23" s="1401"/>
      <c r="O23" s="1401"/>
      <c r="P23" s="1402"/>
      <c r="Q23" s="1421">
        <f ca="1">OFFSET('VVP2'!$G144,0,(COLUMN()-6)/5)</f>
        <v>2.5179116264779928</v>
      </c>
      <c r="R23" s="1401"/>
      <c r="S23" s="1401"/>
      <c r="T23" s="1401"/>
      <c r="U23" s="1402"/>
      <c r="V23" s="1421">
        <f ca="1">OFFSET('VVP2'!$G144,0,(COLUMN()-6)/5)</f>
        <v>2.3769007466170367</v>
      </c>
      <c r="W23" s="1401"/>
      <c r="X23" s="1401"/>
      <c r="Y23" s="1401"/>
      <c r="Z23" s="1402"/>
      <c r="AA23" s="1421">
        <f ca="1">OFFSET('VVP2'!$G144,0,(COLUMN()-6)/5)</f>
        <v>2.2814525121740776</v>
      </c>
      <c r="AB23" s="1401"/>
      <c r="AC23" s="1401"/>
      <c r="AD23" s="1401"/>
      <c r="AE23" s="1402"/>
      <c r="AF23" s="1421">
        <f ca="1">OFFSET('VVP2'!$G144,0,(COLUMN()-6)/5)</f>
        <v>3.1220071054538172</v>
      </c>
      <c r="AG23" s="1401"/>
      <c r="AH23" s="1401"/>
      <c r="AI23" s="1401"/>
      <c r="AJ23" s="1402"/>
      <c r="AK23" s="1421">
        <f ca="1">OFFSET('VVP2'!$G144,0,(COLUMN()-6)/5)</f>
        <v>1.1107540676426275</v>
      </c>
      <c r="AL23" s="1401"/>
      <c r="AM23" s="1401"/>
      <c r="AN23" s="1401"/>
      <c r="AO23" s="1402"/>
      <c r="AP23" s="1421">
        <f ca="1">OFFSET('VVP2'!$G144,0,(COLUMN()-6)/5)</f>
        <v>-0.18985208574831194</v>
      </c>
      <c r="AQ23" s="1401"/>
      <c r="AR23" s="1401"/>
      <c r="AS23" s="1401"/>
      <c r="AT23" s="1402"/>
      <c r="AU23" s="1421">
        <f ca="1">OFFSET('VVP2'!$G144,0,(COLUMN()-6)/5)</f>
        <v>0.4910546517136174</v>
      </c>
      <c r="AV23" s="1401"/>
      <c r="AW23" s="1401"/>
      <c r="AX23" s="1401"/>
      <c r="AY23" s="1402"/>
      <c r="AZ23" s="1421">
        <f ca="1">OFFSET('VVP2'!$G144,0,(COLUMN()-6)/5)</f>
        <v>2.976569391468971</v>
      </c>
      <c r="BA23" s="1401"/>
      <c r="BB23" s="1401"/>
      <c r="BC23" s="1401"/>
      <c r="BD23" s="1402"/>
      <c r="BE23" s="1421">
        <f ca="1">OFFSET('VVP2'!$G144,0,(COLUMN()-6)/5)</f>
        <v>2.0629678911109499</v>
      </c>
      <c r="BF23" s="1401"/>
      <c r="BG23" s="1401"/>
      <c r="BH23" s="1401"/>
      <c r="BI23" s="1402"/>
      <c r="BJ23" s="1421">
        <f ca="1">OFFSET('VVP2'!$G144,0,(COLUMN()-6)/5)</f>
        <v>1.3882191428233168</v>
      </c>
      <c r="BK23" s="1401"/>
      <c r="BL23" s="1401"/>
      <c r="BM23" s="1401"/>
      <c r="BN23" s="1402"/>
      <c r="BO23" s="1421">
        <f ca="1">OFFSET('VVP2'!$G144,0,(COLUMN()-6)/5)</f>
        <v>2.8659703438077639</v>
      </c>
      <c r="BP23" s="1401"/>
      <c r="BQ23" s="1401"/>
      <c r="BR23" s="1401"/>
      <c r="BS23" s="1402"/>
      <c r="BT23" s="1421">
        <f ca="1">OFFSET('VVP2'!$G144,0,(COLUMN()-6)/5)</f>
        <v>1.9074163786958376</v>
      </c>
      <c r="BU23" s="1401"/>
      <c r="BV23" s="1401"/>
      <c r="BW23" s="1401"/>
      <c r="BX23" s="1402"/>
      <c r="BY23" s="1421">
        <f ca="1">OFFSET('VVP2'!$G144,0,(COLUMN()-6)/5)</f>
        <v>-1.084949854115969</v>
      </c>
      <c r="BZ23" s="1401"/>
      <c r="CA23" s="1401"/>
      <c r="CB23" s="1401"/>
      <c r="CC23" s="1402"/>
      <c r="CD23" s="1421">
        <f ca="1">OFFSET('VVP2'!$G144,0,(COLUMN()-6)/5)</f>
        <v>1.4516681393116606</v>
      </c>
      <c r="CE23" s="1401"/>
      <c r="CF23" s="1401"/>
      <c r="CG23" s="1401"/>
      <c r="CH23" s="1402"/>
      <c r="CI23" s="1421">
        <f ca="1">OFFSET('VVP2'!$G144,0,(COLUMN()-6)/5)</f>
        <v>1.3899898794989483</v>
      </c>
      <c r="CJ23" s="1401"/>
      <c r="CK23" s="1401"/>
      <c r="CL23" s="1401"/>
      <c r="CM23" s="1402"/>
      <c r="CN23" s="1421">
        <f ca="1">OFFSET('VVP2'!$G144,0,(COLUMN()-6)/5)</f>
        <v>0.68198153956671304</v>
      </c>
      <c r="CO23" s="1401"/>
      <c r="CP23" s="1401"/>
      <c r="CQ23" s="1401"/>
      <c r="CR23" s="1402"/>
      <c r="CS23" s="1421">
        <f ca="1">OFFSET('VVP2'!$G144,0,(COLUMN()-6)/5)</f>
        <v>0.12680228935258386</v>
      </c>
      <c r="CT23" s="1401"/>
      <c r="CU23" s="1401"/>
      <c r="CV23" s="1401"/>
      <c r="CW23" s="1402"/>
      <c r="CX23" s="1421">
        <f ca="1">OFFSET('VVP2'!$G144,0,(COLUMN()-6)/5)</f>
        <v>1.8014189326378358</v>
      </c>
      <c r="CY23" s="1401"/>
      <c r="CZ23" s="1401"/>
      <c r="DA23" s="1401"/>
      <c r="DB23" s="1402"/>
      <c r="DC23" s="1421">
        <f ca="1">OFFSET('VVP2'!$G144,0,(COLUMN()-6)/5)</f>
        <v>1.194900891204103</v>
      </c>
      <c r="DD23" s="1401"/>
      <c r="DE23" s="1401"/>
      <c r="DF23" s="1401"/>
      <c r="DG23" s="1402"/>
      <c r="DH23" s="3940">
        <f ca="1">OFFSET('VVP2'!$G144,0,(COLUMN()-6)/5)</f>
        <v>1.8081279001271489</v>
      </c>
      <c r="DI23" s="3948"/>
      <c r="DJ23" s="3948"/>
      <c r="DK23" s="3948"/>
      <c r="DL23" s="3949"/>
      <c r="DM23" s="3940">
        <f ca="1">OFFSET('VVP2'!$G144,0,(COLUMN()-6)/5)</f>
        <v>1.0579962984388394</v>
      </c>
      <c r="DN23" s="3953"/>
      <c r="DO23" s="3953"/>
      <c r="DP23" s="3953"/>
      <c r="DQ23" s="3954"/>
      <c r="DR23" s="3940">
        <f ca="1">OFFSET('VVP2'!$G144,0,(COLUMN()-6)/5)</f>
        <v>1.8079978179393326</v>
      </c>
      <c r="DS23" s="1401"/>
      <c r="DT23" s="1401"/>
      <c r="DU23" s="1401"/>
      <c r="DV23" s="1402"/>
      <c r="DW23" s="3940">
        <f ca="1">OFFSET('VVP2'!$G144,0,(COLUMN()-6)/5)</f>
        <v>1.7706956587878024</v>
      </c>
      <c r="DX23" s="1401"/>
      <c r="DY23" s="1401"/>
      <c r="DZ23" s="1401"/>
      <c r="EA23" s="1402"/>
    </row>
    <row r="24" spans="1:131">
      <c r="C24" s="1391" t="s">
        <v>622</v>
      </c>
      <c r="D24" s="113"/>
      <c r="E24" s="113" t="s">
        <v>1485</v>
      </c>
      <c r="F24" s="1393" t="s">
        <v>1675</v>
      </c>
      <c r="G24" s="1427"/>
      <c r="H24" s="1399"/>
      <c r="I24" s="1399"/>
      <c r="J24" s="1399"/>
      <c r="K24" s="1400"/>
      <c r="L24" s="1422">
        <f ca="1">OFFSET('VVP2'!$G145,0,(COLUMN()-6)/5)</f>
        <v>-0.32302057075374041</v>
      </c>
      <c r="M24" s="1399"/>
      <c r="N24" s="1399"/>
      <c r="O24" s="1399"/>
      <c r="P24" s="1400"/>
      <c r="Q24" s="1422">
        <f ca="1">OFFSET('VVP2'!$G145,0,(COLUMN()-6)/5)</f>
        <v>0.23341482482889636</v>
      </c>
      <c r="R24" s="1399"/>
      <c r="S24" s="1399"/>
      <c r="T24" s="1399"/>
      <c r="U24" s="1400"/>
      <c r="V24" s="1422">
        <f ca="1">OFFSET('VVP2'!$G145,0,(COLUMN()-6)/5)</f>
        <v>-0.11569140328893066</v>
      </c>
      <c r="W24" s="1399"/>
      <c r="X24" s="1399"/>
      <c r="Y24" s="1399"/>
      <c r="Z24" s="1400"/>
      <c r="AA24" s="1422">
        <f ca="1">OFFSET('VVP2'!$G145,0,(COLUMN()-6)/5)</f>
        <v>7.1298013427700341E-2</v>
      </c>
      <c r="AB24" s="1399"/>
      <c r="AC24" s="1399"/>
      <c r="AD24" s="1399"/>
      <c r="AE24" s="1400"/>
      <c r="AF24" s="1422">
        <f ca="1">OFFSET('VVP2'!$G145,0,(COLUMN()-6)/5)</f>
        <v>0.47859033404963752</v>
      </c>
      <c r="AG24" s="1399"/>
      <c r="AH24" s="1399"/>
      <c r="AI24" s="1399"/>
      <c r="AJ24" s="1400"/>
      <c r="AK24" s="1422">
        <f ca="1">OFFSET('VVP2'!$G145,0,(COLUMN()-6)/5)</f>
        <v>-1.0187245637615643</v>
      </c>
      <c r="AL24" s="1399"/>
      <c r="AM24" s="1399"/>
      <c r="AN24" s="1399"/>
      <c r="AO24" s="1400"/>
      <c r="AP24" s="1422">
        <f ca="1">OFFSET('VVP2'!$G145,0,(COLUMN()-6)/5)</f>
        <v>-4.6668526354033549E-3</v>
      </c>
      <c r="AQ24" s="1399"/>
      <c r="AR24" s="1399"/>
      <c r="AS24" s="1399"/>
      <c r="AT24" s="1400"/>
      <c r="AU24" s="1422">
        <f ca="1">OFFSET('VVP2'!$G145,0,(COLUMN()-6)/5)</f>
        <v>0.1454969929051306</v>
      </c>
      <c r="AV24" s="1399"/>
      <c r="AW24" s="1399"/>
      <c r="AX24" s="1399"/>
      <c r="AY24" s="1400"/>
      <c r="AZ24" s="1422">
        <f ca="1">OFFSET('VVP2'!$G145,0,(COLUMN()-6)/5)</f>
        <v>0.38359268817141823</v>
      </c>
      <c r="BA24" s="1399"/>
      <c r="BB24" s="1399"/>
      <c r="BC24" s="1399"/>
      <c r="BD24" s="1400"/>
      <c r="BE24" s="1422">
        <f ca="1">OFFSET('VVP2'!$G145,0,(COLUMN()-6)/5)</f>
        <v>0.55909843214821331</v>
      </c>
      <c r="BF24" s="1399"/>
      <c r="BG24" s="1399"/>
      <c r="BH24" s="1399"/>
      <c r="BI24" s="1400"/>
      <c r="BJ24" s="1422">
        <f ca="1">OFFSET('VVP2'!$G145,0,(COLUMN()-6)/5)</f>
        <v>0.45297239764973141</v>
      </c>
      <c r="BK24" s="1399"/>
      <c r="BL24" s="1399"/>
      <c r="BM24" s="1399"/>
      <c r="BN24" s="1400"/>
      <c r="BO24" s="1422">
        <f ca="1">OFFSET('VVP2'!$G145,0,(COLUMN()-6)/5)</f>
        <v>0.4838698414509483</v>
      </c>
      <c r="BP24" s="1399"/>
      <c r="BQ24" s="1399"/>
      <c r="BR24" s="1399"/>
      <c r="BS24" s="1400"/>
      <c r="BT24" s="1422">
        <f ca="1">OFFSET('VVP2'!$G145,0,(COLUMN()-6)/5)</f>
        <v>0.16985941821923886</v>
      </c>
      <c r="BU24" s="1399"/>
      <c r="BV24" s="1399"/>
      <c r="BW24" s="1399"/>
      <c r="BX24" s="1400"/>
      <c r="BY24" s="1422">
        <f ca="1">OFFSET('VVP2'!$G145,0,(COLUMN()-6)/5)</f>
        <v>-0.87409943294899906</v>
      </c>
      <c r="BZ24" s="1399"/>
      <c r="CA24" s="1399"/>
      <c r="CB24" s="1399"/>
      <c r="CC24" s="1400"/>
      <c r="CD24" s="1422">
        <f ca="1">OFFSET('VVP2'!$G145,0,(COLUMN()-6)/5)</f>
        <v>0.58386413294907236</v>
      </c>
      <c r="CE24" s="1399"/>
      <c r="CF24" s="1399"/>
      <c r="CG24" s="1399"/>
      <c r="CH24" s="1400"/>
      <c r="CI24" s="1422">
        <f ca="1">OFFSET('VVP2'!$G145,0,(COLUMN()-6)/5)</f>
        <v>0.73016059961570157</v>
      </c>
      <c r="CJ24" s="1399"/>
      <c r="CK24" s="1399"/>
      <c r="CL24" s="1399"/>
      <c r="CM24" s="1400"/>
      <c r="CN24" s="1422">
        <f ca="1">OFFSET('VVP2'!$G145,0,(COLUMN()-6)/5)</f>
        <v>-0.64558934775346988</v>
      </c>
      <c r="CO24" s="1399"/>
      <c r="CP24" s="1399"/>
      <c r="CQ24" s="1399"/>
      <c r="CR24" s="1400"/>
      <c r="CS24" s="1422">
        <f ca="1">OFFSET('VVP2'!$G145,0,(COLUMN()-6)/5)</f>
        <v>-0.37809384229654119</v>
      </c>
      <c r="CT24" s="1399"/>
      <c r="CU24" s="1399"/>
      <c r="CV24" s="1399"/>
      <c r="CW24" s="1400"/>
      <c r="CX24" s="1422">
        <f ca="1">OFFSET('VVP2'!$G145,0,(COLUMN()-6)/5)</f>
        <v>0.30739000475330641</v>
      </c>
      <c r="CY24" s="1399"/>
      <c r="CZ24" s="1399"/>
      <c r="DA24" s="1399"/>
      <c r="DB24" s="1400"/>
      <c r="DC24" s="1422">
        <f ca="1">OFFSET('VVP2'!$G145,0,(COLUMN()-6)/5)</f>
        <v>0.18619778574286705</v>
      </c>
      <c r="DD24" s="1399"/>
      <c r="DE24" s="1399"/>
      <c r="DF24" s="1399"/>
      <c r="DG24" s="1400"/>
      <c r="DH24" s="3175">
        <f ca="1">OFFSET('VVP2'!$G145,0,(COLUMN()-6)/5)</f>
        <v>0.22831866250537391</v>
      </c>
      <c r="DI24" s="3946"/>
      <c r="DJ24" s="3946"/>
      <c r="DK24" s="3946"/>
      <c r="DL24" s="3947"/>
      <c r="DM24" s="3175">
        <f ca="1">OFFSET('VVP2'!$G145,0,(COLUMN()-6)/5)</f>
        <v>0.22638952433806522</v>
      </c>
      <c r="DN24" s="3946"/>
      <c r="DO24" s="3946"/>
      <c r="DP24" s="3946"/>
      <c r="DQ24" s="3947"/>
      <c r="DR24" s="3175">
        <f ca="1">OFFSET('VVP2'!$G145,0,(COLUMN()-6)/5)</f>
        <v>0</v>
      </c>
      <c r="DS24" s="1399"/>
      <c r="DT24" s="1399"/>
      <c r="DU24" s="1399"/>
      <c r="DV24" s="1400"/>
      <c r="DW24" s="3175">
        <f ca="1">OFFSET('VVP2'!$G145,0,(COLUMN()-6)/5)</f>
        <v>0</v>
      </c>
      <c r="DX24" s="1399"/>
      <c r="DY24" s="1399"/>
      <c r="DZ24" s="1399"/>
      <c r="EA24" s="1400"/>
    </row>
    <row r="25" spans="1:131">
      <c r="C25" s="1391" t="s">
        <v>624</v>
      </c>
      <c r="D25" s="50"/>
      <c r="E25" s="50" t="s">
        <v>1161</v>
      </c>
      <c r="F25" s="1394"/>
      <c r="G25" s="1401"/>
      <c r="H25" s="1401"/>
      <c r="I25" s="1401"/>
      <c r="J25" s="1401"/>
      <c r="K25" s="1402"/>
      <c r="L25" s="1421">
        <f ca="1">OFFSET('VVP2'!$G146,0,(COLUMN()-6)/5)</f>
        <v>-3.6224848701015291</v>
      </c>
      <c r="M25" s="1401"/>
      <c r="N25" s="1401"/>
      <c r="O25" s="1401"/>
      <c r="P25" s="1402"/>
      <c r="Q25" s="1421">
        <f ca="1">OFFSET('VVP2'!$G146,0,(COLUMN()-6)/5)</f>
        <v>2.7513264513068889</v>
      </c>
      <c r="R25" s="1401"/>
      <c r="S25" s="1401"/>
      <c r="T25" s="1401"/>
      <c r="U25" s="1402"/>
      <c r="V25" s="1421">
        <f ca="1">OFFSET('VVP2'!$G146,0,(COLUMN()-6)/5)</f>
        <v>2.2612093433281024</v>
      </c>
      <c r="W25" s="1401"/>
      <c r="X25" s="1401"/>
      <c r="Y25" s="1401"/>
      <c r="Z25" s="1402"/>
      <c r="AA25" s="1421">
        <f ca="1">OFFSET('VVP2'!$G146,0,(COLUMN()-6)/5)</f>
        <v>2.3527505256017682</v>
      </c>
      <c r="AB25" s="1401"/>
      <c r="AC25" s="1401"/>
      <c r="AD25" s="1401"/>
      <c r="AE25" s="1402"/>
      <c r="AF25" s="1421">
        <f ca="1">OFFSET('VVP2'!$G146,0,(COLUMN()-6)/5)</f>
        <v>3.6005974395034515</v>
      </c>
      <c r="AG25" s="1401"/>
      <c r="AH25" s="1401"/>
      <c r="AI25" s="1401"/>
      <c r="AJ25" s="1402"/>
      <c r="AK25" s="1421">
        <f ca="1">OFFSET('VVP2'!$G146,0,(COLUMN()-6)/5)</f>
        <v>9.2029503881062166E-2</v>
      </c>
      <c r="AL25" s="1401"/>
      <c r="AM25" s="1401"/>
      <c r="AN25" s="1401"/>
      <c r="AO25" s="1402"/>
      <c r="AP25" s="1421">
        <f ca="1">OFFSET('VVP2'!$G146,0,(COLUMN()-6)/5)</f>
        <v>-0.19451893838372558</v>
      </c>
      <c r="AQ25" s="1401"/>
      <c r="AR25" s="1401"/>
      <c r="AS25" s="1401"/>
      <c r="AT25" s="1402"/>
      <c r="AU25" s="1421">
        <f ca="1">OFFSET('VVP2'!$G146,0,(COLUMN()-6)/5)</f>
        <v>0.63655164461874203</v>
      </c>
      <c r="AV25" s="1401"/>
      <c r="AW25" s="1401"/>
      <c r="AX25" s="1401"/>
      <c r="AY25" s="1402"/>
      <c r="AZ25" s="1421">
        <f ca="1">OFFSET('VVP2'!$G146,0,(COLUMN()-6)/5)</f>
        <v>3.3601620796403955</v>
      </c>
      <c r="BA25" s="1401"/>
      <c r="BB25" s="1401"/>
      <c r="BC25" s="1401"/>
      <c r="BD25" s="1402"/>
      <c r="BE25" s="1421">
        <f ca="1">OFFSET('VVP2'!$G146,0,(COLUMN()-6)/5)</f>
        <v>2.6220663232591592</v>
      </c>
      <c r="BF25" s="1401"/>
      <c r="BG25" s="1401"/>
      <c r="BH25" s="1401"/>
      <c r="BI25" s="1402"/>
      <c r="BJ25" s="1421">
        <f ca="1">OFFSET('VVP2'!$G146,0,(COLUMN()-6)/5)</f>
        <v>1.8411915404730421</v>
      </c>
      <c r="BK25" s="1401"/>
      <c r="BL25" s="1401"/>
      <c r="BM25" s="1401"/>
      <c r="BN25" s="1402"/>
      <c r="BO25" s="1421">
        <f ca="1">OFFSET('VVP2'!$G146,0,(COLUMN()-6)/5)</f>
        <v>3.3498401852587185</v>
      </c>
      <c r="BP25" s="1401"/>
      <c r="BQ25" s="1401"/>
      <c r="BR25" s="1401"/>
      <c r="BS25" s="1402"/>
      <c r="BT25" s="1421">
        <f ca="1">OFFSET('VVP2'!$G146,0,(COLUMN()-6)/5)</f>
        <v>2.0772757969150737</v>
      </c>
      <c r="BU25" s="1401"/>
      <c r="BV25" s="1401"/>
      <c r="BW25" s="1401"/>
      <c r="BX25" s="1402"/>
      <c r="BY25" s="1421">
        <f ca="1">OFFSET('VVP2'!$G146,0,(COLUMN()-6)/5)</f>
        <v>-1.9590492870649641</v>
      </c>
      <c r="BZ25" s="1401"/>
      <c r="CA25" s="1401"/>
      <c r="CB25" s="1401"/>
      <c r="CC25" s="1402"/>
      <c r="CD25" s="1421">
        <f ca="1">OFFSET('VVP2'!$G146,0,(COLUMN()-6)/5)</f>
        <v>2.0355322722607387</v>
      </c>
      <c r="CE25" s="1401"/>
      <c r="CF25" s="1401"/>
      <c r="CG25" s="1401"/>
      <c r="CH25" s="1402"/>
      <c r="CI25" s="1421">
        <f ca="1">OFFSET('VVP2'!$G146,0,(COLUMN()-6)/5)</f>
        <v>2.1201504791146539</v>
      </c>
      <c r="CJ25" s="1401"/>
      <c r="CK25" s="1401"/>
      <c r="CL25" s="1401"/>
      <c r="CM25" s="1402"/>
      <c r="CN25" s="1421">
        <f ca="1">OFFSET('VVP2'!$G146,0,(COLUMN()-6)/5)</f>
        <v>3.6392191813247113E-2</v>
      </c>
      <c r="CO25" s="1401"/>
      <c r="CP25" s="1401"/>
      <c r="CQ25" s="1401"/>
      <c r="CR25" s="1402"/>
      <c r="CS25" s="1421">
        <f ca="1">OFFSET('VVP2'!$G146,0,(COLUMN()-6)/5)</f>
        <v>-0.25129155294395067</v>
      </c>
      <c r="CT25" s="1401"/>
      <c r="CU25" s="1401"/>
      <c r="CV25" s="1401"/>
      <c r="CW25" s="1402"/>
      <c r="CX25" s="1421">
        <f ca="1">OFFSET('VVP2'!$G146,0,(COLUMN()-6)/5)</f>
        <v>2.108808937391156</v>
      </c>
      <c r="CY25" s="1401"/>
      <c r="CZ25" s="1401"/>
      <c r="DA25" s="1401"/>
      <c r="DB25" s="1402"/>
      <c r="DC25" s="1421">
        <f ca="1">OFFSET('VVP2'!$G146,0,(COLUMN()-6)/5)</f>
        <v>1.3810986769469633</v>
      </c>
      <c r="DD25" s="1401"/>
      <c r="DE25" s="1401"/>
      <c r="DF25" s="1401"/>
      <c r="DG25" s="1402"/>
      <c r="DH25" s="3940">
        <f ca="1">OFFSET('VVP2'!$G146,0,(COLUMN()-6)/5)</f>
        <v>2.0364465626325194</v>
      </c>
      <c r="DI25" s="3948"/>
      <c r="DJ25" s="3948"/>
      <c r="DK25" s="3948"/>
      <c r="DL25" s="3949"/>
      <c r="DM25" s="3940">
        <f ca="1">OFFSET('VVP2'!$G146,0,(COLUMN()-6)/5)</f>
        <v>1.2843858227769063</v>
      </c>
      <c r="DN25" s="3948"/>
      <c r="DO25" s="3948"/>
      <c r="DP25" s="3948"/>
      <c r="DQ25" s="3949"/>
      <c r="DR25" s="3940">
        <f ca="1">OFFSET('VVP2'!$G146,0,(COLUMN()-6)/5)</f>
        <v>1.8079978179393326</v>
      </c>
      <c r="DS25" s="1401"/>
      <c r="DT25" s="1401"/>
      <c r="DU25" s="1401"/>
      <c r="DV25" s="1402"/>
      <c r="DW25" s="3940">
        <f ca="1">OFFSET('VVP2'!$G146,0,(COLUMN()-6)/5)</f>
        <v>1.7706956587878024</v>
      </c>
      <c r="DX25" s="1401"/>
      <c r="DY25" s="1401"/>
      <c r="DZ25" s="1401"/>
      <c r="EA25" s="1402"/>
    </row>
    <row r="26" spans="1:131">
      <c r="C26" s="1391" t="s">
        <v>622</v>
      </c>
      <c r="D26" s="113"/>
      <c r="E26" s="113" t="s">
        <v>824</v>
      </c>
      <c r="F26" s="1393" t="s">
        <v>2044</v>
      </c>
      <c r="G26" s="1427"/>
      <c r="H26" s="1399"/>
      <c r="I26" s="1399"/>
      <c r="J26" s="1399"/>
      <c r="K26" s="1400"/>
      <c r="L26" s="1422">
        <f ca="1">OFFSET('VVP2'!$G147,0,(COLUMN()-6)/5)</f>
        <v>-0.81358196363470037</v>
      </c>
      <c r="M26" s="1399"/>
      <c r="N26" s="1399"/>
      <c r="O26" s="1399"/>
      <c r="P26" s="1400"/>
      <c r="Q26" s="1422">
        <f ca="1">OFFSET('VVP2'!$G147,0,(COLUMN()-6)/5)</f>
        <v>5.6939207789519521</v>
      </c>
      <c r="R26" s="1399"/>
      <c r="S26" s="1399"/>
      <c r="T26" s="1399"/>
      <c r="U26" s="1400"/>
      <c r="V26" s="1422">
        <f ca="1">OFFSET('VVP2'!$G147,0,(COLUMN()-6)/5)</f>
        <v>2.7333266395431615</v>
      </c>
      <c r="W26" s="1399"/>
      <c r="X26" s="1399"/>
      <c r="Y26" s="1399"/>
      <c r="Z26" s="1400"/>
      <c r="AA26" s="1422">
        <f ca="1">OFFSET('VVP2'!$G147,0,(COLUMN()-6)/5)</f>
        <v>3.1696200996787285</v>
      </c>
      <c r="AB26" s="1399"/>
      <c r="AC26" s="1399"/>
      <c r="AD26" s="1399"/>
      <c r="AE26" s="1400"/>
      <c r="AF26" s="1422">
        <f ca="1">OFFSET('VVP2'!$G147,0,(COLUMN()-6)/5)</f>
        <v>7.9285817699521903</v>
      </c>
      <c r="AG26" s="1399"/>
      <c r="AH26" s="1399"/>
      <c r="AI26" s="1399"/>
      <c r="AJ26" s="1400"/>
      <c r="AK26" s="1422">
        <f ca="1">OFFSET('VVP2'!$G147,0,(COLUMN()-6)/5)</f>
        <v>0.24250575399748642</v>
      </c>
      <c r="AL26" s="1399"/>
      <c r="AM26" s="1399"/>
      <c r="AN26" s="1399"/>
      <c r="AO26" s="1400"/>
      <c r="AP26" s="1422">
        <f ca="1">OFFSET('VVP2'!$G147,0,(COLUMN()-6)/5)</f>
        <v>2.5923942677528409</v>
      </c>
      <c r="AQ26" s="1399"/>
      <c r="AR26" s="1399"/>
      <c r="AS26" s="1399"/>
      <c r="AT26" s="1400"/>
      <c r="AU26" s="1422">
        <f ca="1">OFFSET('VVP2'!$G147,0,(COLUMN()-6)/5)</f>
        <v>1.0962676231355541</v>
      </c>
      <c r="AV26" s="1399"/>
      <c r="AW26" s="1399"/>
      <c r="AX26" s="1399"/>
      <c r="AY26" s="1400"/>
      <c r="AZ26" s="1422">
        <f ca="1">OFFSET('VVP2'!$G147,0,(COLUMN()-6)/5)</f>
        <v>4.2554881997920742</v>
      </c>
      <c r="BA26" s="1399"/>
      <c r="BB26" s="1399"/>
      <c r="BC26" s="1399"/>
      <c r="BD26" s="1400"/>
      <c r="BE26" s="1422">
        <f ca="1">OFFSET('VVP2'!$G147,0,(COLUMN()-6)/5)</f>
        <v>3.5497117755396803</v>
      </c>
      <c r="BF26" s="1399"/>
      <c r="BG26" s="1399"/>
      <c r="BH26" s="1399"/>
      <c r="BI26" s="1400"/>
      <c r="BJ26" s="1422">
        <f ca="1">OFFSET('VVP2'!$G147,0,(COLUMN()-6)/5)</f>
        <v>3.8785075545617902</v>
      </c>
      <c r="BK26" s="1399"/>
      <c r="BL26" s="1399"/>
      <c r="BM26" s="1399"/>
      <c r="BN26" s="1400"/>
      <c r="BO26" s="1422">
        <f ca="1">OFFSET('VVP2'!$G147,0,(COLUMN()-6)/5)</f>
        <v>4.3131421209503209</v>
      </c>
      <c r="BP26" s="1399"/>
      <c r="BQ26" s="1399"/>
      <c r="BR26" s="1399"/>
      <c r="BS26" s="1400"/>
      <c r="BT26" s="1422">
        <f ca="1">OFFSET('VVP2'!$G147,0,(COLUMN()-6)/5)</f>
        <v>1.3256725337001019</v>
      </c>
      <c r="BU26" s="1399"/>
      <c r="BV26" s="1399"/>
      <c r="BW26" s="1399"/>
      <c r="BX26" s="1400"/>
      <c r="BY26" s="1422">
        <f ca="1">OFFSET('VVP2'!$G147,0,(COLUMN()-6)/5)</f>
        <v>-7.5143921441123238</v>
      </c>
      <c r="BZ26" s="1399"/>
      <c r="CA26" s="1399"/>
      <c r="CB26" s="1399"/>
      <c r="CC26" s="1400"/>
      <c r="CD26" s="1422">
        <f ca="1">OFFSET('VVP2'!$G147,0,(COLUMN()-6)/5)</f>
        <v>7.1617931651859275</v>
      </c>
      <c r="CE26" s="1399"/>
      <c r="CF26" s="1399"/>
      <c r="CG26" s="1399"/>
      <c r="CH26" s="1400"/>
      <c r="CI26" s="1422">
        <f ca="1">OFFSET('VVP2'!$G147,0,(COLUMN()-6)/5)</f>
        <v>5.1357804221029593</v>
      </c>
      <c r="CJ26" s="1399"/>
      <c r="CK26" s="1399"/>
      <c r="CL26" s="1399"/>
      <c r="CM26" s="1400"/>
      <c r="CN26" s="1422">
        <f ca="1">OFFSET('VVP2'!$G147,0,(COLUMN()-6)/5)</f>
        <v>0.27586459753244907</v>
      </c>
      <c r="CO26" s="1399"/>
      <c r="CP26" s="1399"/>
      <c r="CQ26" s="1399"/>
      <c r="CR26" s="1400"/>
      <c r="CS26" s="1422">
        <f ca="1">OFFSET('VVP2'!$G147,0,(COLUMN()-6)/5)</f>
        <v>0.73159058462154269</v>
      </c>
      <c r="CT26" s="1399"/>
      <c r="CU26" s="1399"/>
      <c r="CV26" s="1399"/>
      <c r="CW26" s="1400"/>
      <c r="CX26" s="1422">
        <f ca="1">OFFSET('VVP2'!$G147,0,(COLUMN()-6)/5)</f>
        <v>4.2372593812124153</v>
      </c>
      <c r="CY26" s="1399"/>
      <c r="CZ26" s="1399"/>
      <c r="DA26" s="1399"/>
      <c r="DB26" s="1400"/>
      <c r="DC26" s="1422">
        <f ca="1">OFFSET('VVP2'!$G147,0,(COLUMN()-6)/5)</f>
        <v>2.7112247945467454</v>
      </c>
      <c r="DD26" s="1399"/>
      <c r="DE26" s="1399"/>
      <c r="DF26" s="1399"/>
      <c r="DG26" s="1400"/>
      <c r="DH26" s="3175">
        <f ca="1">OFFSET('VVP2'!$G147,0,(COLUMN()-6)/5)</f>
        <v>6.0713374995186733</v>
      </c>
      <c r="DI26" s="3946"/>
      <c r="DJ26" s="3946"/>
      <c r="DK26" s="3946"/>
      <c r="DL26" s="3947"/>
      <c r="DM26" s="3175">
        <f ca="1">OFFSET('VVP2'!$G147,0,(COLUMN()-6)/5)</f>
        <v>3.7372117549809132</v>
      </c>
      <c r="DN26" s="3946"/>
      <c r="DO26" s="3946"/>
      <c r="DP26" s="3946"/>
      <c r="DQ26" s="3947"/>
      <c r="DR26" s="3175">
        <f ca="1">OFFSET('VVP2'!$G147,0,(COLUMN()-6)/5)</f>
        <v>4.2102466973754495</v>
      </c>
      <c r="DS26" s="1399"/>
      <c r="DT26" s="1399"/>
      <c r="DU26" s="1399"/>
      <c r="DV26" s="1400"/>
      <c r="DW26" s="3175">
        <f ca="1">OFFSET('VVP2'!$G147,0,(COLUMN()-6)/5)</f>
        <v>3.8174416839197955</v>
      </c>
      <c r="DX26" s="1399"/>
      <c r="DY26" s="1399"/>
      <c r="DZ26" s="1399"/>
      <c r="EA26" s="1400"/>
    </row>
    <row r="27" spans="1:131">
      <c r="C27" s="1391" t="s">
        <v>624</v>
      </c>
      <c r="D27" s="50"/>
      <c r="E27" s="50" t="s">
        <v>825</v>
      </c>
      <c r="F27" s="1394"/>
      <c r="G27" s="1401"/>
      <c r="H27" s="1401"/>
      <c r="I27" s="1401"/>
      <c r="J27" s="1401"/>
      <c r="K27" s="1402"/>
      <c r="L27" s="1421">
        <f ca="1">OFFSET('VVP2'!$G148,0,(COLUMN()-6)/5)</f>
        <v>-4.4360668337362155</v>
      </c>
      <c r="M27" s="1401"/>
      <c r="N27" s="1401"/>
      <c r="O27" s="1401"/>
      <c r="P27" s="1402"/>
      <c r="Q27" s="1421">
        <f ca="1">OFFSET('VVP2'!$G148,0,(COLUMN()-6)/5)</f>
        <v>8.4452472302588415</v>
      </c>
      <c r="R27" s="1401"/>
      <c r="S27" s="1401"/>
      <c r="T27" s="1401"/>
      <c r="U27" s="1402"/>
      <c r="V27" s="1421">
        <f ca="1">OFFSET('VVP2'!$G148,0,(COLUMN()-6)/5)</f>
        <v>4.9945359828712768</v>
      </c>
      <c r="W27" s="1401"/>
      <c r="X27" s="1401"/>
      <c r="Y27" s="1401"/>
      <c r="Z27" s="1402"/>
      <c r="AA27" s="1421">
        <f ca="1">OFFSET('VVP2'!$G148,0,(COLUMN()-6)/5)</f>
        <v>5.5223706252804972</v>
      </c>
      <c r="AB27" s="1401"/>
      <c r="AC27" s="1401"/>
      <c r="AD27" s="1401"/>
      <c r="AE27" s="1402"/>
      <c r="AF27" s="1421">
        <f ca="1">OFFSET('VVP2'!$G148,0,(COLUMN()-6)/5)</f>
        <v>11.529179209455631</v>
      </c>
      <c r="AG27" s="1401"/>
      <c r="AH27" s="1401"/>
      <c r="AI27" s="1401"/>
      <c r="AJ27" s="1402"/>
      <c r="AK27" s="1421">
        <f ca="1">OFFSET('VVP2'!$G148,0,(COLUMN()-6)/5)</f>
        <v>0.33453525787855959</v>
      </c>
      <c r="AL27" s="1401"/>
      <c r="AM27" s="1401"/>
      <c r="AN27" s="1401"/>
      <c r="AO27" s="1402"/>
      <c r="AP27" s="1421">
        <f ca="1">OFFSET('VVP2'!$G148,0,(COLUMN()-6)/5)</f>
        <v>2.3978753293691151</v>
      </c>
      <c r="AQ27" s="1401"/>
      <c r="AR27" s="1401"/>
      <c r="AS27" s="1401"/>
      <c r="AT27" s="1402"/>
      <c r="AU27" s="1421">
        <f ca="1">OFFSET('VVP2'!$G148,0,(COLUMN()-6)/5)</f>
        <v>1.7328192677542962</v>
      </c>
      <c r="AV27" s="1401"/>
      <c r="AW27" s="1401"/>
      <c r="AX27" s="1401"/>
      <c r="AY27" s="1402"/>
      <c r="AZ27" s="1421">
        <f ca="1">OFFSET('VVP2'!$G148,0,(COLUMN()-6)/5)</f>
        <v>7.6156502794324901</v>
      </c>
      <c r="BA27" s="1401"/>
      <c r="BB27" s="1401"/>
      <c r="BC27" s="1401"/>
      <c r="BD27" s="1402"/>
      <c r="BE27" s="1421">
        <f ca="1">OFFSET('VVP2'!$G148,0,(COLUMN()-6)/5)</f>
        <v>6.1717780987988391</v>
      </c>
      <c r="BF27" s="1401"/>
      <c r="BG27" s="1401"/>
      <c r="BH27" s="1401"/>
      <c r="BI27" s="1402"/>
      <c r="BJ27" s="1421">
        <f ca="1">OFFSET('VVP2'!$G148,0,(COLUMN()-6)/5)</f>
        <v>5.7196990950348141</v>
      </c>
      <c r="BK27" s="1401"/>
      <c r="BL27" s="1401"/>
      <c r="BM27" s="1401"/>
      <c r="BN27" s="1402"/>
      <c r="BO27" s="1421">
        <f ca="1">OFFSET('VVP2'!$G148,0,(COLUMN()-6)/5)</f>
        <v>7.6629823062090301</v>
      </c>
      <c r="BP27" s="1401"/>
      <c r="BQ27" s="1401"/>
      <c r="BR27" s="1401"/>
      <c r="BS27" s="1402"/>
      <c r="BT27" s="1421">
        <f ca="1">OFFSET('VVP2'!$G148,0,(COLUMN()-6)/5)</f>
        <v>3.4029483306151924</v>
      </c>
      <c r="BU27" s="1401"/>
      <c r="BV27" s="1401"/>
      <c r="BW27" s="1401"/>
      <c r="BX27" s="1402"/>
      <c r="BY27" s="1421">
        <f ca="1">OFFSET('VVP2'!$G148,0,(COLUMN()-6)/5)</f>
        <v>-9.473441431177287</v>
      </c>
      <c r="BZ27" s="1401"/>
      <c r="CA27" s="1401"/>
      <c r="CB27" s="1401"/>
      <c r="CC27" s="1402"/>
      <c r="CD27" s="1421">
        <f ca="1">OFFSET('VVP2'!$G148,0,(COLUMN()-6)/5)</f>
        <v>9.1973254374466489</v>
      </c>
      <c r="CE27" s="1401"/>
      <c r="CF27" s="1401"/>
      <c r="CG27" s="1401"/>
      <c r="CH27" s="1402"/>
      <c r="CI27" s="1421">
        <f ca="1">OFFSET('VVP2'!$G148,0,(COLUMN()-6)/5)</f>
        <v>7.2559309012176127</v>
      </c>
      <c r="CJ27" s="1401"/>
      <c r="CK27" s="1401"/>
      <c r="CL27" s="1401"/>
      <c r="CM27" s="1402"/>
      <c r="CN27" s="1421">
        <f ca="1">OFFSET('VVP2'!$G148,0,(COLUMN()-6)/5)</f>
        <v>0.3122567893456662</v>
      </c>
      <c r="CO27" s="1401"/>
      <c r="CP27" s="1401"/>
      <c r="CQ27" s="1401"/>
      <c r="CR27" s="1402"/>
      <c r="CS27" s="1421">
        <f ca="1">OFFSET('VVP2'!$G148,0,(COLUMN()-6)/5)</f>
        <v>0.48029903167759208</v>
      </c>
      <c r="CT27" s="1401"/>
      <c r="CU27" s="1401"/>
      <c r="CV27" s="1401"/>
      <c r="CW27" s="1402"/>
      <c r="CX27" s="1421">
        <f ca="1">OFFSET('VVP2'!$G148,0,(COLUMN()-6)/5)</f>
        <v>6.3460683186035567</v>
      </c>
      <c r="CY27" s="1401"/>
      <c r="CZ27" s="1401"/>
      <c r="DA27" s="1401"/>
      <c r="DB27" s="1402"/>
      <c r="DC27" s="1421">
        <f ca="1">OFFSET('VVP2'!$G148,0,(COLUMN()-6)/5)</f>
        <v>4.0923234714937085</v>
      </c>
      <c r="DD27" s="1401"/>
      <c r="DE27" s="1401"/>
      <c r="DF27" s="1401"/>
      <c r="DG27" s="1402"/>
      <c r="DH27" s="3940">
        <f ca="1">OFFSET('VVP2'!$G148,0,(COLUMN()-6)/5)</f>
        <v>8.1077840621512056</v>
      </c>
      <c r="DI27" s="3948"/>
      <c r="DJ27" s="3948"/>
      <c r="DK27" s="3948"/>
      <c r="DL27" s="3949"/>
      <c r="DM27" s="3940">
        <f ca="1">OFFSET('VVP2'!$G148,0,(COLUMN()-6)/5)</f>
        <v>5.0215975777578459</v>
      </c>
      <c r="DN27" s="3948"/>
      <c r="DO27" s="3948"/>
      <c r="DP27" s="3948"/>
      <c r="DQ27" s="3949"/>
      <c r="DR27" s="3940">
        <f ca="1">OFFSET('VVP2'!$G148,0,(COLUMN()-6)/5)</f>
        <v>6.0182445153147945</v>
      </c>
      <c r="DS27" s="1401"/>
      <c r="DT27" s="1401"/>
      <c r="DU27" s="1401"/>
      <c r="DV27" s="1402"/>
      <c r="DW27" s="3940">
        <f ca="1">OFFSET('VVP2'!$G148,0,(COLUMN()-6)/5)</f>
        <v>5.5881373427076104</v>
      </c>
      <c r="DX27" s="1401"/>
      <c r="DY27" s="1401"/>
      <c r="DZ27" s="1401"/>
      <c r="EA27" s="1402"/>
    </row>
    <row r="28" spans="1:131">
      <c r="C28" s="1395" t="s">
        <v>2133</v>
      </c>
      <c r="D28" s="113"/>
      <c r="E28" s="113" t="s">
        <v>1792</v>
      </c>
      <c r="F28" s="1393" t="s">
        <v>2045</v>
      </c>
      <c r="G28" s="1427"/>
      <c r="H28" s="1399"/>
      <c r="I28" s="1399"/>
      <c r="J28" s="1399"/>
      <c r="K28" s="1400"/>
      <c r="L28" s="1422">
        <f ca="1">OFFSET('VVP2'!$G149,0,(COLUMN()-6)/5)</f>
        <v>0.61284804759425471</v>
      </c>
      <c r="M28" s="1399"/>
      <c r="N28" s="1399"/>
      <c r="O28" s="1399"/>
      <c r="P28" s="1400"/>
      <c r="Q28" s="1422">
        <f ca="1">OFFSET('VVP2'!$G149,0,(COLUMN()-6)/5)</f>
        <v>-4.734799050495293</v>
      </c>
      <c r="R28" s="1399"/>
      <c r="S28" s="1399"/>
      <c r="T28" s="1399"/>
      <c r="U28" s="1400"/>
      <c r="V28" s="1422">
        <f ca="1">OFFSET('VVP2'!$G149,0,(COLUMN()-6)/5)</f>
        <v>-3.0192640099844801</v>
      </c>
      <c r="W28" s="1399"/>
      <c r="X28" s="1399"/>
      <c r="Y28" s="1399"/>
      <c r="Z28" s="1400"/>
      <c r="AA28" s="1422">
        <f ca="1">OFFSET('VVP2'!$G149,0,(COLUMN()-6)/5)</f>
        <v>-1.9590596735669672</v>
      </c>
      <c r="AB28" s="1399"/>
      <c r="AC28" s="1399"/>
      <c r="AD28" s="1399"/>
      <c r="AE28" s="1400"/>
      <c r="AF28" s="1422">
        <f ca="1">OFFSET('VVP2'!$G149,0,(COLUMN()-6)/5)</f>
        <v>-7.895526452191076</v>
      </c>
      <c r="AG28" s="1399"/>
      <c r="AH28" s="1399"/>
      <c r="AI28" s="1399"/>
      <c r="AJ28" s="1400"/>
      <c r="AK28" s="1422">
        <f ca="1">OFFSET('VVP2'!$G149,0,(COLUMN()-6)/5)</f>
        <v>0.47701028240805926</v>
      </c>
      <c r="AL28" s="1399"/>
      <c r="AM28" s="1399"/>
      <c r="AN28" s="1399"/>
      <c r="AO28" s="1400"/>
      <c r="AP28" s="1422">
        <f ca="1">OFFSET('VVP2'!$G149,0,(COLUMN()-6)/5)</f>
        <v>-0.61736940582923305</v>
      </c>
      <c r="AQ28" s="1399"/>
      <c r="AR28" s="1399"/>
      <c r="AS28" s="1399"/>
      <c r="AT28" s="1400"/>
      <c r="AU28" s="1422">
        <f ca="1">OFFSET('VVP2'!$G149,0,(COLUMN()-6)/5)</f>
        <v>-0.95841757602370781</v>
      </c>
      <c r="AV28" s="1399"/>
      <c r="AW28" s="1399"/>
      <c r="AX28" s="1399"/>
      <c r="AY28" s="1400"/>
      <c r="AZ28" s="1422">
        <f ca="1">OFFSET('VVP2'!$G149,0,(COLUMN()-6)/5)</f>
        <v>-3.9807990419102732</v>
      </c>
      <c r="BA28" s="1399"/>
      <c r="BB28" s="1399"/>
      <c r="BC28" s="1399"/>
      <c r="BD28" s="1400"/>
      <c r="BE28" s="1422">
        <f ca="1">OFFSET('VVP2'!$G149,0,(COLUMN()-6)/5)</f>
        <v>-4.0775073107042008</v>
      </c>
      <c r="BF28" s="1399"/>
      <c r="BG28" s="1399"/>
      <c r="BH28" s="1399"/>
      <c r="BI28" s="1400"/>
      <c r="BJ28" s="1422">
        <f ca="1">OFFSET('VVP2'!$G149,0,(COLUMN()-6)/5)</f>
        <v>-3.2135576448941521</v>
      </c>
      <c r="BK28" s="1399"/>
      <c r="BL28" s="1399"/>
      <c r="BM28" s="1399"/>
      <c r="BN28" s="1400"/>
      <c r="BO28" s="1422">
        <f ca="1">OFFSET('VVP2'!$G149,0,(COLUMN()-6)/5)</f>
        <v>-4.2140086579187912</v>
      </c>
      <c r="BP28" s="1399"/>
      <c r="BQ28" s="1399"/>
      <c r="BR28" s="1399"/>
      <c r="BS28" s="1400"/>
      <c r="BT28" s="1422">
        <f ca="1">OFFSET('VVP2'!$G149,0,(COLUMN()-6)/5)</f>
        <v>-2.6197763240284822</v>
      </c>
      <c r="BU28" s="1399"/>
      <c r="BV28" s="1399"/>
      <c r="BW28" s="1399"/>
      <c r="BX28" s="1400"/>
      <c r="BY28" s="1422">
        <f ca="1">OFFSET('VVP2'!$G149,0,(COLUMN()-6)/5)</f>
        <v>7.2202680816359583</v>
      </c>
      <c r="BZ28" s="1399"/>
      <c r="CA28" s="1399"/>
      <c r="CB28" s="1399"/>
      <c r="CC28" s="1400"/>
      <c r="CD28" s="1422">
        <f ca="1">OFFSET('VVP2'!$G149,0,(COLUMN()-6)/5)</f>
        <v>-6.4531131775940258</v>
      </c>
      <c r="CE28" s="1399"/>
      <c r="CF28" s="1399"/>
      <c r="CG28" s="1399"/>
      <c r="CH28" s="1400"/>
      <c r="CI28" s="1422">
        <f ca="1">OFFSET('VVP2'!$G149,0,(COLUMN()-6)/5)</f>
        <v>-5.4576287898811469</v>
      </c>
      <c r="CJ28" s="1399"/>
      <c r="CK28" s="1399"/>
      <c r="CL28" s="1399"/>
      <c r="CM28" s="1400"/>
      <c r="CN28" s="1422">
        <f ca="1">OFFSET('VVP2'!$G149,0,(COLUMN()-6)/5)</f>
        <v>-7.7460025120912851E-2</v>
      </c>
      <c r="CO28" s="1399"/>
      <c r="CP28" s="1399"/>
      <c r="CQ28" s="1399"/>
      <c r="CR28" s="1400"/>
      <c r="CS28" s="1422">
        <f ca="1">OFFSET('VVP2'!$G149,0,(COLUMN()-6)/5)</f>
        <v>-0.27964877452449921</v>
      </c>
      <c r="CT28" s="1399"/>
      <c r="CU28" s="1399"/>
      <c r="CV28" s="1399"/>
      <c r="CW28" s="1400"/>
      <c r="CX28" s="1422">
        <f ca="1">OFFSET('VVP2'!$G149,0,(COLUMN()-6)/5)</f>
        <v>-4.9946336676586078</v>
      </c>
      <c r="CY28" s="1399"/>
      <c r="CZ28" s="1399"/>
      <c r="DA28" s="1399"/>
      <c r="DB28" s="1400"/>
      <c r="DC28" s="1422">
        <f ca="1">OFFSET('VVP2'!$G149,0,(COLUMN()-6)/5)</f>
        <v>-2.6878284286741811</v>
      </c>
      <c r="DD28" s="1399"/>
      <c r="DE28" s="1399"/>
      <c r="DF28" s="1399"/>
      <c r="DG28" s="1400"/>
      <c r="DH28" s="3175">
        <f ca="1">OFFSET('VVP2'!$G149,0,(COLUMN()-6)/5)</f>
        <v>-6.6417789208828157</v>
      </c>
      <c r="DI28" s="3946"/>
      <c r="DJ28" s="3946"/>
      <c r="DK28" s="3946"/>
      <c r="DL28" s="3947"/>
      <c r="DM28" s="3175">
        <f ca="1">OFFSET('VVP2'!$G149,0,(COLUMN()-6)/5)</f>
        <v>-3.3350897839675708</v>
      </c>
      <c r="DN28" s="3946"/>
      <c r="DO28" s="3946"/>
      <c r="DP28" s="3946"/>
      <c r="DQ28" s="3947"/>
      <c r="DR28" s="3175">
        <f ca="1">OFFSET('VVP2'!$G149,0,(COLUMN()-6)/5)</f>
        <v>-4.2099146583483282</v>
      </c>
      <c r="DS28" s="1399"/>
      <c r="DT28" s="1399"/>
      <c r="DU28" s="1399"/>
      <c r="DV28" s="1400"/>
      <c r="DW28" s="3175">
        <f ca="1">OFFSET('VVP2'!$G149,0,(COLUMN()-6)/5)</f>
        <v>-3.8552108606368694</v>
      </c>
      <c r="DX28" s="1399"/>
      <c r="DY28" s="1399"/>
      <c r="DZ28" s="1399"/>
      <c r="EA28" s="1400"/>
    </row>
    <row r="29" spans="1:131">
      <c r="D29" s="45"/>
      <c r="E29" s="45" t="s">
        <v>1476</v>
      </c>
      <c r="F29" s="1387" t="s">
        <v>398</v>
      </c>
      <c r="G29" s="45"/>
      <c r="H29" s="45"/>
      <c r="I29" s="45"/>
      <c r="J29" s="45"/>
      <c r="K29" s="45"/>
      <c r="L29" s="1423">
        <f ca="1">OFFSET('VVP2'!$G151,0,(COLUMN()-6)/5)</f>
        <v>-3.8232187861419744</v>
      </c>
      <c r="M29" s="45"/>
      <c r="N29" s="45"/>
      <c r="O29" s="45"/>
      <c r="P29" s="45"/>
      <c r="Q29" s="1423">
        <f ca="1">OFFSET('VVP2'!$G151,0,(COLUMN()-6)/5)</f>
        <v>3.7104481797635605</v>
      </c>
      <c r="R29" s="45"/>
      <c r="S29" s="45"/>
      <c r="T29" s="45"/>
      <c r="U29" s="45"/>
      <c r="V29" s="1423">
        <f ca="1">OFFSET('VVP2'!$G151,0,(COLUMN()-6)/5)</f>
        <v>1.9752719728868089</v>
      </c>
      <c r="W29" s="45"/>
      <c r="X29" s="45"/>
      <c r="Y29" s="45"/>
      <c r="Z29" s="45"/>
      <c r="AA29" s="1423">
        <f ca="1">OFFSET('VVP2'!$G151,0,(COLUMN()-6)/5)</f>
        <v>3.5633109517135413</v>
      </c>
      <c r="AB29" s="45"/>
      <c r="AC29" s="45"/>
      <c r="AD29" s="45"/>
      <c r="AE29" s="45"/>
      <c r="AF29" s="1423">
        <f ca="1">OFFSET('VVP2'!$G151,0,(COLUMN()-6)/5)</f>
        <v>3.6336527572645667</v>
      </c>
      <c r="AG29" s="45"/>
      <c r="AH29" s="45"/>
      <c r="AI29" s="45"/>
      <c r="AJ29" s="45"/>
      <c r="AK29" s="1423">
        <f ca="1">OFFSET('VVP2'!$G151,0,(COLUMN()-6)/5)</f>
        <v>0.81154554028660797</v>
      </c>
      <c r="AL29" s="45"/>
      <c r="AM29" s="45"/>
      <c r="AN29" s="45"/>
      <c r="AO29" s="45"/>
      <c r="AP29" s="1423">
        <f ca="1">OFFSET('VVP2'!$G151,0,(COLUMN()-6)/5)</f>
        <v>1.7805059235399032</v>
      </c>
      <c r="AQ29" s="45"/>
      <c r="AR29" s="45"/>
      <c r="AS29" s="45"/>
      <c r="AT29" s="45"/>
      <c r="AU29" s="1423">
        <f ca="1">OFFSET('VVP2'!$G151,0,(COLUMN()-6)/5)</f>
        <v>0.77440169173058848</v>
      </c>
      <c r="AV29" s="45"/>
      <c r="AW29" s="45"/>
      <c r="AX29" s="45"/>
      <c r="AY29" s="45"/>
      <c r="AZ29" s="1423">
        <f ca="1">OFFSET('VVP2'!$G151,0,(COLUMN()-6)/5)</f>
        <v>3.6348512375222062</v>
      </c>
      <c r="BA29" s="45"/>
      <c r="BB29" s="45"/>
      <c r="BC29" s="45"/>
      <c r="BD29" s="45"/>
      <c r="BE29" s="1423">
        <f ca="1">OFFSET('VVP2'!$G151,0,(COLUMN()-6)/5)</f>
        <v>2.0942707880946099</v>
      </c>
      <c r="BF29" s="45"/>
      <c r="BG29" s="45"/>
      <c r="BH29" s="45"/>
      <c r="BI29" s="45"/>
      <c r="BJ29" s="1423">
        <f ca="1">OFFSET('VVP2'!$G151,0,(COLUMN()-6)/5)</f>
        <v>2.5061414501406891</v>
      </c>
      <c r="BK29" s="45"/>
      <c r="BL29" s="45"/>
      <c r="BM29" s="45"/>
      <c r="BN29" s="45"/>
      <c r="BO29" s="1423">
        <f ca="1">OFFSET('VVP2'!$G151,0,(COLUMN()-6)/5)</f>
        <v>3.4489736482902664</v>
      </c>
      <c r="BP29" s="45"/>
      <c r="BQ29" s="45"/>
      <c r="BR29" s="45"/>
      <c r="BS29" s="45"/>
      <c r="BT29" s="1423">
        <f ca="1">OFFSET('VVP2'!$G151,0,(COLUMN()-6)/5)</f>
        <v>0.78317200658669339</v>
      </c>
      <c r="BU29" s="45"/>
      <c r="BV29" s="45"/>
      <c r="BW29" s="45"/>
      <c r="BX29" s="45"/>
      <c r="BY29" s="1423">
        <f ca="1">OFFSET('VVP2'!$G151,0,(COLUMN()-6)/5)</f>
        <v>-2.253173349541354</v>
      </c>
      <c r="BZ29" s="45"/>
      <c r="CA29" s="45"/>
      <c r="CB29" s="45"/>
      <c r="CC29" s="45"/>
      <c r="CD29" s="1423">
        <f ca="1">OFFSET('VVP2'!$G151,0,(COLUMN()-6)/5)</f>
        <v>2.7442122598526479</v>
      </c>
      <c r="CE29" s="45"/>
      <c r="CF29" s="45"/>
      <c r="CG29" s="45"/>
      <c r="CH29" s="45"/>
      <c r="CI29" s="1423">
        <f ca="1">OFFSET('VVP2'!$G151,0,(COLUMN()-6)/5)</f>
        <v>1.7983021113364657</v>
      </c>
      <c r="CJ29" s="45"/>
      <c r="CK29" s="45"/>
      <c r="CL29" s="45"/>
      <c r="CM29" s="45"/>
      <c r="CN29" s="1423">
        <f ca="1">OFFSET('VVP2'!$G151,0,(COLUMN()-6)/5)</f>
        <v>0.23479676422475337</v>
      </c>
      <c r="CO29" s="45"/>
      <c r="CP29" s="45"/>
      <c r="CQ29" s="45"/>
      <c r="CR29" s="45"/>
      <c r="CS29" s="1423">
        <f ca="1">OFFSET('VVP2'!$G151,0,(COLUMN()-6)/5)</f>
        <v>0.20065025715310753</v>
      </c>
      <c r="CT29" s="45"/>
      <c r="CU29" s="45"/>
      <c r="CV29" s="45"/>
      <c r="CW29" s="45"/>
      <c r="CX29" s="1636">
        <f ca="1">OFFSET('VVP2'!$G151,0,(COLUMN()-6)/5)</f>
        <v>1.3514346509449631</v>
      </c>
      <c r="CY29" s="45"/>
      <c r="CZ29" s="45"/>
      <c r="DA29" s="45"/>
      <c r="DB29" s="45"/>
      <c r="DC29" s="1636">
        <f ca="1">OFFSET('VVP2'!$G151,0,(COLUMN()-6)/5)</f>
        <v>1.4044950428195135</v>
      </c>
      <c r="DD29" s="1636"/>
      <c r="DE29" s="1636"/>
      <c r="DF29" s="1636"/>
      <c r="DG29" s="1636"/>
      <c r="DH29" s="1636">
        <f ca="1">OFFSET('VVP2'!$G151,0,(COLUMN()-6)/5)</f>
        <v>1.4660051412683779</v>
      </c>
      <c r="DI29" s="1636"/>
      <c r="DJ29" s="1636"/>
      <c r="DK29" s="1636"/>
      <c r="DL29" s="1636"/>
      <c r="DM29" s="1636">
        <f ca="1">OFFSET('VVP2'!$G151,0,(COLUMN()-6)/5)</f>
        <v>1.6865077937902488</v>
      </c>
      <c r="DN29" s="1636"/>
      <c r="DO29" s="1636"/>
      <c r="DP29" s="1636"/>
      <c r="DQ29" s="1636"/>
      <c r="DR29" s="1636">
        <f ca="1">OFFSET('VVP2'!$G151,0,(COLUMN()-6)/5)</f>
        <v>1.8083298569664925</v>
      </c>
      <c r="DS29" s="45"/>
      <c r="DT29" s="45"/>
      <c r="DU29" s="45"/>
      <c r="DV29" s="45"/>
      <c r="DW29" s="1636">
        <f ca="1">OFFSET('VVP2'!$G151,0,(COLUMN()-6)/5)</f>
        <v>1.7329264820707408</v>
      </c>
      <c r="DX29" s="45"/>
      <c r="DY29" s="45"/>
      <c r="DZ29" s="45"/>
      <c r="EA29" s="45"/>
    </row>
    <row r="30" spans="1:131">
      <c r="AF30" s="3734">
        <f ca="1">AF26+AF28</f>
        <v>3.3055317761114367E-2</v>
      </c>
      <c r="AK30" s="3734">
        <f ca="1">AK26+AK28</f>
        <v>0.71951603640554573</v>
      </c>
      <c r="AP30" s="3734">
        <f ca="1">AP26+AP28</f>
        <v>1.9750248619236079</v>
      </c>
      <c r="AU30" s="3734">
        <f ca="1">AU26+AU28</f>
        <v>0.13785004711184634</v>
      </c>
      <c r="AZ30" s="3734">
        <f ca="1">AZ26+AZ28</f>
        <v>0.27468915788180093</v>
      </c>
      <c r="BE30" s="3734">
        <f ca="1">BE26+BE28</f>
        <v>-0.52779553516452049</v>
      </c>
      <c r="BJ30" s="3734">
        <f ca="1">BJ26+BJ28</f>
        <v>0.66494990966763812</v>
      </c>
      <c r="BO30" s="3734">
        <f ca="1">BO26+BO28</f>
        <v>9.9133463031529701E-2</v>
      </c>
      <c r="BT30" s="3734">
        <f ca="1">BT26+BT28</f>
        <v>-1.2941037903283803</v>
      </c>
      <c r="BY30" s="3734">
        <f ca="1">BY26+BY28</f>
        <v>-0.29412406247636547</v>
      </c>
      <c r="CD30" s="3734">
        <f ca="1">CD26+CD28</f>
        <v>0.70867998759190165</v>
      </c>
      <c r="CI30" s="3734">
        <f ca="1">CI26+CI28</f>
        <v>-0.32184836777818759</v>
      </c>
      <c r="CN30" s="3734">
        <f ca="1">CN26+CN28</f>
        <v>0.19840457241153622</v>
      </c>
      <c r="CS30" s="3734">
        <f ca="1">CS26+CS28</f>
        <v>0.45194181009704348</v>
      </c>
      <c r="CX30" s="3734">
        <f ca="1">CX26+CX28</f>
        <v>-0.75737428644619254</v>
      </c>
      <c r="DC30" s="3734">
        <f ca="1">DC26+DC28</f>
        <v>2.3396365872564218E-2</v>
      </c>
      <c r="DD30" s="3734"/>
      <c r="DE30" s="3734"/>
      <c r="DF30" s="3734"/>
      <c r="DG30" s="3734"/>
      <c r="DH30" s="3734">
        <f ca="1">DH26+DH28</f>
        <v>-0.57044142136414244</v>
      </c>
      <c r="DI30" s="3734"/>
      <c r="DJ30" s="3734"/>
      <c r="DK30" s="3734"/>
      <c r="DL30" s="3734"/>
      <c r="DM30" s="3734">
        <f ca="1">DM26+DM28</f>
        <v>0.40212197101334235</v>
      </c>
      <c r="DN30" s="3734"/>
      <c r="DO30" s="3734"/>
      <c r="DP30" s="3734"/>
      <c r="DQ30" s="3734"/>
      <c r="DR30" s="3378">
        <f ca="1">DR26+DR28</f>
        <v>3.3203902712131139E-4</v>
      </c>
      <c r="DW30" s="3734">
        <f ca="1">DW26+DW28</f>
        <v>-3.7769176717073805E-2</v>
      </c>
    </row>
    <row r="31" spans="1:131">
      <c r="BB31" s="3734"/>
      <c r="BG31" s="3734"/>
      <c r="BL31" s="3734"/>
      <c r="BQ31" s="3734"/>
      <c r="BV31" s="3734"/>
      <c r="BY31" s="1335"/>
      <c r="CA31" s="3734"/>
      <c r="CF31" s="3734"/>
      <c r="CK31" s="3734"/>
      <c r="CP31" s="3734"/>
    </row>
    <row r="32" spans="1:131">
      <c r="D32" s="4106"/>
      <c r="E32" s="4108" t="s">
        <v>1849</v>
      </c>
      <c r="F32" s="4109"/>
      <c r="G32" s="4112">
        <f>+InputY!$G$3</f>
        <v>1995</v>
      </c>
      <c r="H32" s="4104"/>
      <c r="I32" s="4104"/>
      <c r="J32" s="4104"/>
      <c r="K32" s="4104"/>
      <c r="L32" s="4104">
        <f>+G32+1</f>
        <v>1996</v>
      </c>
      <c r="M32" s="4104"/>
      <c r="N32" s="4104"/>
      <c r="O32" s="4104"/>
      <c r="P32" s="4104"/>
      <c r="Q32" s="4104">
        <f>+L32+1</f>
        <v>1997</v>
      </c>
      <c r="R32" s="4104"/>
      <c r="S32" s="4104"/>
      <c r="T32" s="4104"/>
      <c r="U32" s="4104"/>
      <c r="V32" s="4104">
        <f>+Q32+1</f>
        <v>1998</v>
      </c>
      <c r="W32" s="4104"/>
      <c r="X32" s="4104"/>
      <c r="Y32" s="4104"/>
      <c r="Z32" s="4104"/>
      <c r="AA32" s="4104">
        <f>+V32+1</f>
        <v>1999</v>
      </c>
      <c r="AB32" s="4104"/>
      <c r="AC32" s="4104"/>
      <c r="AD32" s="4104"/>
      <c r="AE32" s="4104"/>
      <c r="AF32" s="4104">
        <f>+AA32+1</f>
        <v>2000</v>
      </c>
      <c r="AG32" s="4104"/>
      <c r="AH32" s="4104"/>
      <c r="AI32" s="4104"/>
      <c r="AJ32" s="4104"/>
      <c r="AK32" s="4104">
        <f>+AF32+1</f>
        <v>2001</v>
      </c>
      <c r="AL32" s="4104"/>
      <c r="AM32" s="4104"/>
      <c r="AN32" s="4104"/>
      <c r="AO32" s="4104"/>
      <c r="AP32" s="4104">
        <f>+AK32+1</f>
        <v>2002</v>
      </c>
      <c r="AQ32" s="4104"/>
      <c r="AR32" s="4104"/>
      <c r="AS32" s="4104"/>
      <c r="AT32" s="4104"/>
      <c r="AU32" s="4104">
        <f>+AP32+1</f>
        <v>2003</v>
      </c>
      <c r="AV32" s="4104"/>
      <c r="AW32" s="4104"/>
      <c r="AX32" s="4104"/>
      <c r="AY32" s="4104"/>
      <c r="AZ32" s="4104">
        <f>+AU32+1</f>
        <v>2004</v>
      </c>
      <c r="BA32" s="4104"/>
      <c r="BB32" s="4104"/>
      <c r="BC32" s="4104"/>
      <c r="BD32" s="4104"/>
      <c r="BE32" s="4104">
        <f>+AZ32+1</f>
        <v>2005</v>
      </c>
      <c r="BF32" s="4104"/>
      <c r="BG32" s="4104"/>
      <c r="BH32" s="4104"/>
      <c r="BI32" s="4104"/>
      <c r="BJ32" s="4104">
        <f>+BE32+1</f>
        <v>2006</v>
      </c>
      <c r="BK32" s="4104"/>
      <c r="BL32" s="4104"/>
      <c r="BM32" s="4104"/>
      <c r="BN32" s="4104"/>
      <c r="BO32" s="4093">
        <f>+BJ32+1</f>
        <v>2007</v>
      </c>
      <c r="BP32" s="4094"/>
      <c r="BQ32" s="4094"/>
      <c r="BR32" s="4094"/>
      <c r="BS32" s="4095"/>
      <c r="BT32" s="4093">
        <f>+BO32+1</f>
        <v>2008</v>
      </c>
      <c r="BU32" s="4094"/>
      <c r="BV32" s="4094"/>
      <c r="BW32" s="4094"/>
      <c r="BX32" s="4095"/>
      <c r="BY32" s="4104">
        <f>+BT32+1</f>
        <v>2009</v>
      </c>
      <c r="BZ32" s="4104"/>
      <c r="CA32" s="4104"/>
      <c r="CB32" s="4104"/>
      <c r="CC32" s="4104"/>
      <c r="CD32" s="4104">
        <f>+BY32+1</f>
        <v>2010</v>
      </c>
      <c r="CE32" s="4104"/>
      <c r="CF32" s="4104"/>
      <c r="CG32" s="4104"/>
      <c r="CH32" s="4104"/>
      <c r="CI32" s="4104">
        <f>+CD32+1</f>
        <v>2011</v>
      </c>
      <c r="CJ32" s="4104"/>
      <c r="CK32" s="4104"/>
      <c r="CL32" s="4104"/>
      <c r="CM32" s="4104"/>
      <c r="CN32" s="4104">
        <f>+CI32+1</f>
        <v>2012</v>
      </c>
      <c r="CO32" s="4104"/>
      <c r="CP32" s="4104"/>
      <c r="CQ32" s="4104"/>
      <c r="CR32" s="4104"/>
      <c r="CS32" s="4093">
        <f>+CN32+1</f>
        <v>2013</v>
      </c>
      <c r="CT32" s="4094"/>
      <c r="CU32" s="4094"/>
      <c r="CV32" s="4094"/>
      <c r="CW32" s="4095"/>
      <c r="CX32" s="4093">
        <f>+CS32+1</f>
        <v>2014</v>
      </c>
      <c r="CY32" s="4094"/>
      <c r="CZ32" s="4094"/>
      <c r="DA32" s="4094"/>
      <c r="DB32" s="4095"/>
      <c r="DC32" s="4093">
        <f>+CX32+1</f>
        <v>2015</v>
      </c>
      <c r="DD32" s="4094"/>
      <c r="DE32" s="4094"/>
      <c r="DF32" s="4094"/>
      <c r="DG32" s="4095"/>
      <c r="DH32" s="4093">
        <f>+DC32+1</f>
        <v>2016</v>
      </c>
      <c r="DI32" s="4094"/>
      <c r="DJ32" s="4094"/>
      <c r="DK32" s="4094"/>
      <c r="DL32" s="4095"/>
      <c r="DM32" s="4093">
        <f>+DH32+1</f>
        <v>2017</v>
      </c>
      <c r="DN32" s="4094"/>
      <c r="DO32" s="4094"/>
      <c r="DP32" s="4094"/>
      <c r="DQ32" s="4095"/>
      <c r="DR32" s="4093">
        <f>+DM32+1</f>
        <v>2018</v>
      </c>
      <c r="DS32" s="4094"/>
      <c r="DT32" s="4094"/>
      <c r="DU32" s="4094"/>
      <c r="DV32" s="4095"/>
      <c r="DW32" s="4093">
        <f>+DR32+1</f>
        <v>2019</v>
      </c>
      <c r="DX32" s="4094"/>
      <c r="DY32" s="4094"/>
      <c r="DZ32" s="4094"/>
      <c r="EA32" s="4095"/>
    </row>
    <row r="33" spans="1:131">
      <c r="C33" s="3"/>
      <c r="D33" s="4107"/>
      <c r="E33" s="4110"/>
      <c r="F33" s="4111"/>
      <c r="G33" s="1198" t="s">
        <v>506</v>
      </c>
      <c r="H33" s="1194" t="s">
        <v>499</v>
      </c>
      <c r="I33" s="1193" t="s">
        <v>1186</v>
      </c>
      <c r="J33" s="1194" t="s">
        <v>1304</v>
      </c>
      <c r="K33" s="1193" t="s">
        <v>1187</v>
      </c>
      <c r="L33" s="1193" t="s">
        <v>506</v>
      </c>
      <c r="M33" s="1194" t="s">
        <v>499</v>
      </c>
      <c r="N33" s="1193" t="s">
        <v>1186</v>
      </c>
      <c r="O33" s="1194" t="s">
        <v>1304</v>
      </c>
      <c r="P33" s="1193" t="s">
        <v>1187</v>
      </c>
      <c r="Q33" s="1193" t="s">
        <v>506</v>
      </c>
      <c r="R33" s="1194" t="s">
        <v>499</v>
      </c>
      <c r="S33" s="1193" t="s">
        <v>1186</v>
      </c>
      <c r="T33" s="1194" t="s">
        <v>1304</v>
      </c>
      <c r="U33" s="1193" t="s">
        <v>1187</v>
      </c>
      <c r="V33" s="1193" t="s">
        <v>506</v>
      </c>
      <c r="W33" s="1194" t="s">
        <v>499</v>
      </c>
      <c r="X33" s="1193" t="s">
        <v>1186</v>
      </c>
      <c r="Y33" s="1194" t="s">
        <v>1304</v>
      </c>
      <c r="Z33" s="1193" t="s">
        <v>1187</v>
      </c>
      <c r="AA33" s="1193" t="s">
        <v>506</v>
      </c>
      <c r="AB33" s="1194" t="s">
        <v>499</v>
      </c>
      <c r="AC33" s="1193" t="s">
        <v>1186</v>
      </c>
      <c r="AD33" s="1194" t="s">
        <v>1304</v>
      </c>
      <c r="AE33" s="1193" t="s">
        <v>1187</v>
      </c>
      <c r="AF33" s="1193" t="s">
        <v>506</v>
      </c>
      <c r="AG33" s="1194" t="s">
        <v>499</v>
      </c>
      <c r="AH33" s="1193" t="s">
        <v>1186</v>
      </c>
      <c r="AI33" s="1194" t="s">
        <v>1304</v>
      </c>
      <c r="AJ33" s="1193" t="s">
        <v>1187</v>
      </c>
      <c r="AK33" s="1193" t="s">
        <v>506</v>
      </c>
      <c r="AL33" s="1194" t="s">
        <v>499</v>
      </c>
      <c r="AM33" s="1193" t="s">
        <v>1186</v>
      </c>
      <c r="AN33" s="1194" t="s">
        <v>1304</v>
      </c>
      <c r="AO33" s="1193" t="s">
        <v>1187</v>
      </c>
      <c r="AP33" s="1193" t="s">
        <v>506</v>
      </c>
      <c r="AQ33" s="1194" t="s">
        <v>499</v>
      </c>
      <c r="AR33" s="1193" t="s">
        <v>1186</v>
      </c>
      <c r="AS33" s="1194" t="s">
        <v>1304</v>
      </c>
      <c r="AT33" s="1193" t="s">
        <v>1187</v>
      </c>
      <c r="AU33" s="1193" t="s">
        <v>506</v>
      </c>
      <c r="AV33" s="1194" t="s">
        <v>499</v>
      </c>
      <c r="AW33" s="1193" t="s">
        <v>1186</v>
      </c>
      <c r="AX33" s="1194" t="s">
        <v>1304</v>
      </c>
      <c r="AY33" s="1193" t="s">
        <v>1187</v>
      </c>
      <c r="AZ33" s="1193" t="s">
        <v>506</v>
      </c>
      <c r="BA33" s="1194" t="s">
        <v>499</v>
      </c>
      <c r="BB33" s="1193" t="s">
        <v>1186</v>
      </c>
      <c r="BC33" s="1194" t="s">
        <v>1304</v>
      </c>
      <c r="BD33" s="1193" t="s">
        <v>1187</v>
      </c>
      <c r="BE33" s="1193" t="s">
        <v>506</v>
      </c>
      <c r="BF33" s="1194" t="s">
        <v>499</v>
      </c>
      <c r="BG33" s="1193" t="s">
        <v>1186</v>
      </c>
      <c r="BH33" s="1194" t="s">
        <v>1304</v>
      </c>
      <c r="BI33" s="1193" t="s">
        <v>1187</v>
      </c>
      <c r="BJ33" s="1193" t="s">
        <v>506</v>
      </c>
      <c r="BK33" s="1194" t="s">
        <v>499</v>
      </c>
      <c r="BL33" s="1193" t="s">
        <v>1186</v>
      </c>
      <c r="BM33" s="1194" t="s">
        <v>1304</v>
      </c>
      <c r="BN33" s="1193" t="s">
        <v>1187</v>
      </c>
      <c r="BO33" s="1193" t="s">
        <v>506</v>
      </c>
      <c r="BP33" s="1194" t="s">
        <v>499</v>
      </c>
      <c r="BQ33" s="1193" t="s">
        <v>1186</v>
      </c>
      <c r="BR33" s="1194" t="s">
        <v>1304</v>
      </c>
      <c r="BS33" s="1193" t="s">
        <v>1187</v>
      </c>
      <c r="BT33" s="1193" t="s">
        <v>506</v>
      </c>
      <c r="BU33" s="1194" t="s">
        <v>499</v>
      </c>
      <c r="BV33" s="1193" t="s">
        <v>1186</v>
      </c>
      <c r="BW33" s="1194" t="s">
        <v>1304</v>
      </c>
      <c r="BX33" s="1193" t="s">
        <v>1187</v>
      </c>
      <c r="BY33" s="1193" t="s">
        <v>506</v>
      </c>
      <c r="BZ33" s="1194" t="s">
        <v>499</v>
      </c>
      <c r="CA33" s="1193" t="s">
        <v>1186</v>
      </c>
      <c r="CB33" s="1194" t="s">
        <v>1304</v>
      </c>
      <c r="CC33" s="1193" t="s">
        <v>1187</v>
      </c>
      <c r="CD33" s="1193" t="s">
        <v>506</v>
      </c>
      <c r="CE33" s="1194" t="s">
        <v>499</v>
      </c>
      <c r="CF33" s="1193" t="s">
        <v>1186</v>
      </c>
      <c r="CG33" s="1194" t="s">
        <v>1304</v>
      </c>
      <c r="CH33" s="1193" t="s">
        <v>1187</v>
      </c>
      <c r="CI33" s="1193" t="s">
        <v>506</v>
      </c>
      <c r="CJ33" s="1194" t="s">
        <v>499</v>
      </c>
      <c r="CK33" s="1193" t="s">
        <v>1186</v>
      </c>
      <c r="CL33" s="1194" t="s">
        <v>1304</v>
      </c>
      <c r="CM33" s="1193" t="s">
        <v>1187</v>
      </c>
      <c r="CN33" s="1193" t="s">
        <v>506</v>
      </c>
      <c r="CO33" s="1194" t="s">
        <v>499</v>
      </c>
      <c r="CP33" s="1193" t="s">
        <v>1186</v>
      </c>
      <c r="CQ33" s="1194" t="s">
        <v>1304</v>
      </c>
      <c r="CR33" s="1193" t="s">
        <v>1187</v>
      </c>
      <c r="CS33" s="1193" t="s">
        <v>506</v>
      </c>
      <c r="CT33" s="1194" t="s">
        <v>499</v>
      </c>
      <c r="CU33" s="1193" t="s">
        <v>1186</v>
      </c>
      <c r="CV33" s="1194" t="s">
        <v>1304</v>
      </c>
      <c r="CW33" s="1193" t="s">
        <v>1187</v>
      </c>
      <c r="CX33" s="1193" t="s">
        <v>506</v>
      </c>
      <c r="CY33" s="1194" t="s">
        <v>499</v>
      </c>
      <c r="CZ33" s="1193" t="s">
        <v>1186</v>
      </c>
      <c r="DA33" s="1194" t="s">
        <v>1304</v>
      </c>
      <c r="DB33" s="1193" t="s">
        <v>1187</v>
      </c>
      <c r="DC33" s="1193" t="s">
        <v>506</v>
      </c>
      <c r="DD33" s="1194" t="s">
        <v>499</v>
      </c>
      <c r="DE33" s="1193" t="s">
        <v>1186</v>
      </c>
      <c r="DF33" s="1194" t="s">
        <v>1304</v>
      </c>
      <c r="DG33" s="1193" t="s">
        <v>1187</v>
      </c>
      <c r="DH33" s="1193" t="s">
        <v>506</v>
      </c>
      <c r="DI33" s="1194" t="s">
        <v>499</v>
      </c>
      <c r="DJ33" s="1193" t="s">
        <v>1186</v>
      </c>
      <c r="DK33" s="1194" t="s">
        <v>1304</v>
      </c>
      <c r="DL33" s="1193" t="s">
        <v>1187</v>
      </c>
      <c r="DM33" s="1193" t="s">
        <v>506</v>
      </c>
      <c r="DN33" s="1194" t="s">
        <v>499</v>
      </c>
      <c r="DO33" s="1193" t="s">
        <v>1186</v>
      </c>
      <c r="DP33" s="1194" t="s">
        <v>1304</v>
      </c>
      <c r="DQ33" s="1193" t="s">
        <v>1187</v>
      </c>
      <c r="DR33" s="1193" t="s">
        <v>506</v>
      </c>
      <c r="DS33" s="1194" t="s">
        <v>499</v>
      </c>
      <c r="DT33" s="1193" t="s">
        <v>1186</v>
      </c>
      <c r="DU33" s="1194" t="s">
        <v>1304</v>
      </c>
      <c r="DV33" s="1193" t="s">
        <v>1187</v>
      </c>
      <c r="DW33" s="1193" t="s">
        <v>506</v>
      </c>
      <c r="DX33" s="1194" t="s">
        <v>499</v>
      </c>
      <c r="DY33" s="1193" t="s">
        <v>1186</v>
      </c>
      <c r="DZ33" s="1194" t="s">
        <v>1304</v>
      </c>
      <c r="EA33" s="1193" t="s">
        <v>1187</v>
      </c>
    </row>
    <row r="34" spans="1:131" s="28" customFormat="1">
      <c r="A34" s="1378"/>
      <c r="C34" s="1115" t="s">
        <v>624</v>
      </c>
      <c r="D34" s="1117" t="s">
        <v>589</v>
      </c>
      <c r="E34" s="1118" t="s">
        <v>1043</v>
      </c>
      <c r="F34" s="1119" t="s">
        <v>1305</v>
      </c>
      <c r="G34" s="1317"/>
      <c r="H34" s="1318"/>
      <c r="I34" s="1319"/>
      <c r="J34" s="1291">
        <f ca="1">OFFSET('VVP2'!$G$192,0,(COLUMN()-10)/5)</f>
        <v>112.9679</v>
      </c>
      <c r="K34" s="1320"/>
      <c r="L34" s="1296">
        <f ca="1">OFFSET('VVP2'!$G$10,0,(COLUMN()-7)/5)</f>
        <v>-2.0833967295878497</v>
      </c>
      <c r="M34" s="1291">
        <f ca="1">+J34*(1+L34/100)</f>
        <v>110.61433046591593</v>
      </c>
      <c r="N34" s="1297">
        <f ca="1">+O34/M34*100-100</f>
        <v>5.4175345173115517</v>
      </c>
      <c r="O34" s="1291">
        <f ca="1">OFFSET('VVP2'!$G$192,0,(COLUMN()-10)/5)</f>
        <v>116.6069</v>
      </c>
      <c r="P34" s="1298">
        <f ca="1">(O34/J34-1)*100</f>
        <v>3.2212690507657404</v>
      </c>
      <c r="Q34" s="1296">
        <f ca="1">OFFSET('VVP2'!$G$10,0,(COLUMN()-7)/5)</f>
        <v>1.7869137687009262</v>
      </c>
      <c r="R34" s="1291">
        <f ca="1">+O34*(1+Q34/100)</f>
        <v>118.69056475135531</v>
      </c>
      <c r="S34" s="1297">
        <f ca="1">+T34/R34*100-100</f>
        <v>1.5170837314801133</v>
      </c>
      <c r="T34" s="1291">
        <f ca="1">OFFSET('VVP2'!$G$192,0,(COLUMN()-10)/5)</f>
        <v>120.49119999999999</v>
      </c>
      <c r="U34" s="1298">
        <f ca="1">(T34/O34-1)*100</f>
        <v>3.3311064782615807</v>
      </c>
      <c r="V34" s="1296">
        <f ca="1">OFFSET('VVP2'!$G$10,0,(COLUMN()-7)/5)</f>
        <v>2.7204737446882232</v>
      </c>
      <c r="W34" s="1291">
        <f ca="1">+T34*(1+V34/100)</f>
        <v>123.76913146065976</v>
      </c>
      <c r="X34" s="1297">
        <f ca="1">+Y34/W34*100-100</f>
        <v>1.2019705735861095</v>
      </c>
      <c r="Y34" s="1291">
        <f ca="1">OFFSET('VVP2'!$G$192,0,(COLUMN()-10)/5)</f>
        <v>125.2568</v>
      </c>
      <c r="Z34" s="1298">
        <f ca="1">(Y34/T34-1)*100</f>
        <v>3.9551436121476158</v>
      </c>
      <c r="AA34" s="1296">
        <f ca="1">OFFSET('VVP2'!$G$10,0,(COLUMN()-7)/5)</f>
        <v>1.6759962207295143</v>
      </c>
      <c r="AB34" s="1291">
        <f ca="1">+Y34*(1+AA34/100)</f>
        <v>127.35609923420672</v>
      </c>
      <c r="AC34" s="1297">
        <f ca="1">+AD34/AB34*100-100</f>
        <v>0.62211450457212436</v>
      </c>
      <c r="AD34" s="1291">
        <f ca="1">OFFSET('VVP2'!$G$192,0,(COLUMN()-10)/5)</f>
        <v>128.14839999999998</v>
      </c>
      <c r="AE34" s="1298">
        <f ca="1">(AD34/Y34-1)*100</f>
        <v>2.3085373408868737</v>
      </c>
      <c r="AF34" s="1296">
        <f ca="1">OFFSET('VVP2'!$G$10,0,(COLUMN()-7)/5)</f>
        <v>2.9033695269794491</v>
      </c>
      <c r="AG34" s="1291">
        <f ca="1">+AD34*(1+AF34/100)</f>
        <v>131.86902159491171</v>
      </c>
      <c r="AH34" s="1297">
        <f ca="1">+AI34/AG34*100-100</f>
        <v>3.210593628345876</v>
      </c>
      <c r="AI34" s="1291">
        <f ca="1">OFFSET('VVP2'!$G$192,0,(COLUMN()-10)/5)</f>
        <v>136.1028</v>
      </c>
      <c r="AJ34" s="1298">
        <f ca="1">(AI34/AD34-1)*100</f>
        <v>6.2071785523658773</v>
      </c>
      <c r="AK34" s="1296">
        <f ca="1">OFFSET('VVP2'!$G$10,0,(COLUMN()-7)/5)</f>
        <v>1.0140111275836361</v>
      </c>
      <c r="AL34" s="1291">
        <f ca="1">+AI34*(1+AK34/100)</f>
        <v>137.48289753695289</v>
      </c>
      <c r="AM34" s="1297">
        <f ca="1">+AN34/AL34*100-100</f>
        <v>2.0424376510484592</v>
      </c>
      <c r="AN34" s="1291">
        <f ca="1">OFFSET('VVP2'!$G$192,0,(COLUMN()-10)/5)</f>
        <v>140.29089999999999</v>
      </c>
      <c r="AO34" s="1298">
        <f ca="1">(AN34/AI34-1)*100</f>
        <v>3.0771593236876837</v>
      </c>
      <c r="AP34" s="1296">
        <f ca="1">OFFSET('VVP2'!$G$10,0,(COLUMN()-7)/5)</f>
        <v>0.39763354109940696</v>
      </c>
      <c r="AQ34" s="1291">
        <f ca="1">+AN34*(1+AP34/100)</f>
        <v>140.84874367351023</v>
      </c>
      <c r="AR34" s="1297">
        <f ca="1">+AS34/AQ34*100-100</f>
        <v>1.3841488930911936</v>
      </c>
      <c r="AS34" s="1291">
        <f ca="1">OFFSET('VVP2'!$G$192,0,(COLUMN()-10)/5)</f>
        <v>142.79829999999998</v>
      </c>
      <c r="AT34" s="1298">
        <f ca="1">(AS34/AN34-1)*100</f>
        <v>1.7872862744483076</v>
      </c>
      <c r="AU34" s="1296">
        <f ca="1">OFFSET('VVP2'!$G$10,0,(COLUMN()-7)/5)</f>
        <v>0.51696596524011262</v>
      </c>
      <c r="AV34" s="1291">
        <f ca="1">+AS34*(1+AU34/100)</f>
        <v>143.53651860994145</v>
      </c>
      <c r="AW34" s="1297">
        <f ca="1">+AX34/AV34*100-100</f>
        <v>1.5772163153898333</v>
      </c>
      <c r="AX34" s="1291">
        <f ca="1">OFFSET('VVP2'!$G$192,0,(COLUMN()-10)/5)</f>
        <v>145.8004</v>
      </c>
      <c r="AY34" s="1298">
        <f ca="1">(AX34/AS34-1)*100</f>
        <v>2.1023359521787022</v>
      </c>
      <c r="AZ34" s="1296">
        <f ca="1">OFFSET('VVP2'!$G$10,0,(COLUMN()-7)/5)</f>
        <v>1.5600774356334002</v>
      </c>
      <c r="BA34" s="1291">
        <f ca="1">+AX34*(1+AZ34/100)</f>
        <v>148.07499914146322</v>
      </c>
      <c r="BB34" s="1297">
        <f ca="1">+BC34/BA34*100-100</f>
        <v>2.4136423293998206</v>
      </c>
      <c r="BC34" s="1291">
        <f ca="1">OFFSET('VVP2'!$G$192,0,(COLUMN()-10)/5)</f>
        <v>151.649</v>
      </c>
      <c r="BD34" s="1298">
        <f ca="1">(BC34/AX34-1)*100</f>
        <v>4.0113744543910812</v>
      </c>
      <c r="BE34" s="1296">
        <f ca="1">OFFSET('VVP2'!$G$10,0,(COLUMN()-7)/5)</f>
        <v>1.2299601205414845</v>
      </c>
      <c r="BF34" s="1291">
        <f ca="1">+BC34*(1+BE34/100)</f>
        <v>153.51422222319997</v>
      </c>
      <c r="BG34" s="1297">
        <f ca="1">+BH34/BF34*100-100</f>
        <v>2.701363897587683</v>
      </c>
      <c r="BH34" s="1291">
        <f ca="1">OFFSET('VVP2'!$G$192,0,(COLUMN()-10)/5)</f>
        <v>157.66120000000001</v>
      </c>
      <c r="BI34" s="1298">
        <f ca="1">(BH34/BC34-1)*100</f>
        <v>3.9645497167801969</v>
      </c>
      <c r="BJ34" s="1296">
        <f ca="1">OFFSET('VVP2'!$G$10,0,(COLUMN()-7)/5)</f>
        <v>1.4706070733341958</v>
      </c>
      <c r="BK34" s="1291">
        <f ca="1">+BH34*(1+BJ34/100)</f>
        <v>159.97977675910357</v>
      </c>
      <c r="BL34" s="1297">
        <f ca="1">+BM34/BK34*100-100</f>
        <v>3.1059696053824268</v>
      </c>
      <c r="BM34" s="1291">
        <f ca="1">OFFSET('VVP2'!$G$192,0,(COLUMN()-10)/5)</f>
        <v>164.9487</v>
      </c>
      <c r="BN34" s="1298">
        <f ca="1">(BM34/BH34-1)*100</f>
        <v>4.622253287428979</v>
      </c>
      <c r="BO34" s="1296">
        <f ca="1">OFFSET('VVP2'!$G$10,0,(COLUMN()-7)/5)</f>
        <v>1.8533925153511044</v>
      </c>
      <c r="BP34" s="1291">
        <f ca="1">+BM34*(1+BO34/100)</f>
        <v>168.00584685996895</v>
      </c>
      <c r="BQ34" s="1297">
        <f ca="1">+BR34/BP34*100-100</f>
        <v>2.8929071403580622</v>
      </c>
      <c r="BR34" s="1291">
        <f ca="1">OFFSET('VVP2'!$G$192,0,(COLUMN()-10)/5)</f>
        <v>172.86610000000002</v>
      </c>
      <c r="BS34" s="1298">
        <f ca="1">(BR34/BM34-1)*100</f>
        <v>4.7999165801246191</v>
      </c>
      <c r="BT34" s="1296">
        <f ca="1">OFFSET('VVP2'!$G$10,0,(COLUMN()-7)/5)</f>
        <v>1.695163125400545</v>
      </c>
      <c r="BU34" s="1291">
        <f ca="1">+BR34*(1+BT34/100)</f>
        <v>175.79646238351805</v>
      </c>
      <c r="BV34" s="1297">
        <f ca="1">+BW34/BU34*100-100</f>
        <v>3.1831343706302846</v>
      </c>
      <c r="BW34" s="1291">
        <f ca="1">OFFSET('VVP2'!$G$192,0,(COLUMN()-10)/5)</f>
        <v>181.39229999999998</v>
      </c>
      <c r="BX34" s="1298">
        <f ca="1">(BW34/BR34-1)*100</f>
        <v>4.9322568161137115</v>
      </c>
      <c r="BY34" s="1296">
        <f ca="1">OFFSET('VVP2'!$G$10,0,(COLUMN()-7)/5)</f>
        <v>0.49291314924939655</v>
      </c>
      <c r="BZ34" s="1291">
        <f ca="1">+BW34*(1+BY34/100)</f>
        <v>182.28640649842589</v>
      </c>
      <c r="CA34" s="1297">
        <f ca="1">+CB34/BZ34*100-100</f>
        <v>-0.40634214731325358</v>
      </c>
      <c r="CB34" s="1291">
        <f ca="1">OFFSET('VVP2'!$G$192,0,(COLUMN()-10)/5)</f>
        <v>181.54570000000001</v>
      </c>
      <c r="CC34" s="1298">
        <f ca="1">(CB34/BW34-1)*100</f>
        <v>8.4568088061098834E-2</v>
      </c>
      <c r="CD34" s="1296">
        <f ca="1">OFFSET('VVP2'!$G$10,0,(COLUMN()-7)/5)</f>
        <v>2.7060900277208422</v>
      </c>
      <c r="CE34" s="1291">
        <f ca="1">+CB34*(1+CD34/100)</f>
        <v>186.45849008345601</v>
      </c>
      <c r="CF34" s="1297">
        <f ca="1">+CG34/CE34*100-100</f>
        <v>1.7346541394260413</v>
      </c>
      <c r="CG34" s="1291">
        <f ca="1">OFFSET('VVP2'!$G$192,0,(COLUMN()-10)/5)</f>
        <v>189.69289999999998</v>
      </c>
      <c r="CH34" s="1298">
        <f ca="1">(CG34/CB34-1)*100</f>
        <v>4.4876854698293389</v>
      </c>
      <c r="CI34" s="1296">
        <f ca="1">OFFSET('VVP2'!$G$10,0,(COLUMN()-7)/5)</f>
        <v>0.34410354841958313</v>
      </c>
      <c r="CJ34" s="1291">
        <f ca="1">+CG34*(1+CI34/100)</f>
        <v>190.34564</v>
      </c>
      <c r="CK34" s="1297">
        <f ca="1">+CL34/CJ34*100-100</f>
        <v>3.0069299196976687</v>
      </c>
      <c r="CL34" s="1291">
        <f ca="1">OFFSET('VVP2'!$G$192,0,(COLUMN()-10)/5)</f>
        <v>196.06920000000002</v>
      </c>
      <c r="CM34" s="1298">
        <f ca="1">(CL34/CG34-1)*100</f>
        <v>3.3613804206694242</v>
      </c>
      <c r="CN34" s="3767">
        <f ca="1">OFFSET('VVP2'!$G$10,0,(COLUMN()-7)/5)</f>
        <v>0.58439478834397818</v>
      </c>
      <c r="CO34" s="1291">
        <f ca="1">+CL34*(1+CN34/100)</f>
        <v>197.21501818634775</v>
      </c>
      <c r="CP34" s="1297">
        <f ca="1">+CQ34/CO34*100-100</f>
        <v>2.0116022857365294</v>
      </c>
      <c r="CQ34" s="1291">
        <f ca="1">OFFSET('VVP2'!$G$192,0,(COLUMN()-10)/5)</f>
        <v>201.18220000000002</v>
      </c>
      <c r="CR34" s="1298">
        <f ca="1">(CQ34/CL34-1)*100</f>
        <v>2.6077527730005601</v>
      </c>
      <c r="CS34" s="3767">
        <f ca="1">OFFSET('VVP2'!$G$10,0,(COLUMN()-7)/5)</f>
        <v>0.7462732951209583</v>
      </c>
      <c r="CT34" s="1291">
        <f ca="1">+CQ34*(1+CS34/100)</f>
        <v>202.68356903313685</v>
      </c>
      <c r="CU34" s="1297">
        <f ca="1">+CV34/CT34*100-100</f>
        <v>0.83935317252333164</v>
      </c>
      <c r="CV34" s="1291">
        <f ca="1">OFFSET('VVP2'!$G$192,0,(COLUMN()-10)/5)</f>
        <v>204.38479999999998</v>
      </c>
      <c r="CW34" s="1298">
        <f ca="1">(CV34/CQ34-1)*100</f>
        <v>1.5918903362225789</v>
      </c>
      <c r="CX34" s="3767">
        <f ca="1">OFFSET('VVP2'!$G$10,0,(COLUMN()-7)/5)</f>
        <v>0.61074160540059985</v>
      </c>
      <c r="CY34" s="1291">
        <f ca="1">+CV34*(1+CX34/100)</f>
        <v>205.6330630087148</v>
      </c>
      <c r="CZ34" s="1297">
        <f ca="1">+DA34/CY34*100-100</f>
        <v>0.61076607667511951</v>
      </c>
      <c r="DA34" s="1291">
        <f ca="1">OFFSET('VVP2'!$G$192,0,(COLUMN()-10)/5)</f>
        <v>206.88900000000001</v>
      </c>
      <c r="DB34" s="1298">
        <f ca="1">(DA34/CV34-1)*100</f>
        <v>1.2252378846176581</v>
      </c>
      <c r="DC34" s="3767">
        <f ca="1">OFFSET('VVP2'!$G$10,0,(COLUMN()-7)/5)</f>
        <v>0.89459786251864237</v>
      </c>
      <c r="DD34" s="1291">
        <f ca="1">+DA34*(1+DC34/100)</f>
        <v>208.73982457178622</v>
      </c>
      <c r="DE34" s="1297">
        <f ca="1">+DF34/DD34*100-100</f>
        <v>0.55009887575090488</v>
      </c>
      <c r="DF34" s="1291">
        <f ca="1">OFFSET('VVP2'!$G$192,0,(COLUMN()-10)/5)</f>
        <v>209.88810000000001</v>
      </c>
      <c r="DG34" s="1298">
        <f ca="1">(DF34/DA34-1)*100</f>
        <v>1.4496179110537577</v>
      </c>
      <c r="DH34" s="3767">
        <f ca="1">OFFSET('VVP2'!$G$10,0,(COLUMN()-7)/5)</f>
        <v>1.656738641972888</v>
      </c>
      <c r="DI34" s="1291">
        <f ca="1">+DF34*(1+DH34/100)</f>
        <v>213.36539725760269</v>
      </c>
      <c r="DJ34" s="1297">
        <f ca="1">+DK34/DI34*100-100</f>
        <v>1.503947117780811</v>
      </c>
      <c r="DK34" s="1291">
        <f ca="1">OFFSET('VVP2'!$G$192,0,(COLUMN()-10)/5)</f>
        <v>216.57429999999999</v>
      </c>
      <c r="DL34" s="1298">
        <f ca="1">(DK34/DF34-1)*100</f>
        <v>3.1856022328088152</v>
      </c>
      <c r="DM34" s="3767">
        <f ca="1">OFFSET('VVP2'!$G$10,0,(COLUMN()-7)/5)</f>
        <v>1.1261883376440851</v>
      </c>
      <c r="DN34" s="1291">
        <f ca="1">+DK34*(1+DM34/100)</f>
        <v>219.01333450893432</v>
      </c>
      <c r="DO34" s="1297">
        <f ca="1">+DP34/DN34*100-100</f>
        <v>1.6938080502648063</v>
      </c>
      <c r="DP34" s="1291">
        <f ca="1">OFFSET('VVP2'!$G$192,0,(COLUMN()-10)/5)</f>
        <v>222.72300000000001</v>
      </c>
      <c r="DQ34" s="1298">
        <f ca="1">(DP34/DK34-1)*100</f>
        <v>2.8390718566330353</v>
      </c>
      <c r="DR34" s="3834">
        <v>1.65</v>
      </c>
      <c r="DS34" s="2215">
        <f ca="1">+DP34*(1+DR34/100)</f>
        <v>226.3979295</v>
      </c>
      <c r="DT34" s="3843">
        <v>1.7</v>
      </c>
      <c r="DU34" s="2215">
        <f ca="1">+DS34*(1+DT34/100)</f>
        <v>230.24669430149999</v>
      </c>
      <c r="DV34" s="2216">
        <f ca="1">(DU34/DP34-1)*100</f>
        <v>3.3780499999999769</v>
      </c>
      <c r="DW34" s="3834">
        <v>1.76</v>
      </c>
      <c r="DX34" s="2215">
        <f ca="1">+DU34*(1+DW34/100)</f>
        <v>234.2990361212064</v>
      </c>
      <c r="DY34" s="3843">
        <v>1.3</v>
      </c>
      <c r="DZ34" s="2215">
        <f ca="1">+DX34*(1+DY34/100)</f>
        <v>237.34492359078206</v>
      </c>
      <c r="EA34" s="2216">
        <f ca="1">(DZ34/DU34-1)*100</f>
        <v>3.0828799999999879</v>
      </c>
    </row>
    <row r="35" spans="1:131" s="2804" customFormat="1">
      <c r="A35" s="2803"/>
      <c r="C35" s="2805"/>
      <c r="D35" s="1697"/>
      <c r="E35" s="1697" t="s">
        <v>544</v>
      </c>
      <c r="F35" s="2806"/>
      <c r="G35" s="2807"/>
      <c r="H35" s="2807"/>
      <c r="I35" s="2807"/>
      <c r="J35" s="1175"/>
      <c r="K35" s="2807"/>
      <c r="L35" s="2809">
        <f ca="1">OFFSET('Q1'!$N44,0,(COLUMN()-12)*4/5)</f>
        <v>2.1890236279534747</v>
      </c>
      <c r="M35" s="2808"/>
      <c r="N35" s="1175"/>
      <c r="O35" s="1175"/>
      <c r="P35" s="1175"/>
      <c r="Q35" s="2809">
        <f ca="1">OFFSET('Q1'!$N44,0,(COLUMN()-12)*4/5)</f>
        <v>1.7904111767656445</v>
      </c>
      <c r="R35" s="1175"/>
      <c r="S35" s="1175"/>
      <c r="T35" s="1175"/>
      <c r="U35" s="1175"/>
      <c r="V35" s="2809">
        <f ca="1">OFFSET('Q1'!$N44,0,(COLUMN()-12)*4/5)</f>
        <v>2.7210066763215792</v>
      </c>
      <c r="W35" s="1175"/>
      <c r="X35" s="1175"/>
      <c r="Y35" s="1175"/>
      <c r="Z35" s="1175"/>
      <c r="AA35" s="2809">
        <f ca="1">OFFSET('Q1'!$N44,0,(COLUMN()-12)*4/5)</f>
        <v>1.6748860691365763</v>
      </c>
      <c r="AB35" s="1175"/>
      <c r="AC35" s="1175"/>
      <c r="AD35" s="1175"/>
      <c r="AE35" s="1175"/>
      <c r="AF35" s="2809">
        <f ca="1">OFFSET('Q1'!$N44,0,(COLUMN()-12)*4/5)</f>
        <v>2.9303797468354702</v>
      </c>
      <c r="AG35" s="1175"/>
      <c r="AH35" s="1175"/>
      <c r="AI35" s="1175"/>
      <c r="AJ35" s="1175"/>
      <c r="AK35" s="2809">
        <f ca="1">OFFSET('Q1'!$N44,0,(COLUMN()-12)*4/5)</f>
        <v>0.98830026887580402</v>
      </c>
      <c r="AL35" s="1175"/>
      <c r="AM35" s="1175"/>
      <c r="AN35" s="1175"/>
      <c r="AO35" s="1175"/>
      <c r="AP35" s="2809">
        <f ca="1">OFFSET('Q1'!$N44,0,(COLUMN()-12)*4/5)</f>
        <v>0.39687591677231637</v>
      </c>
      <c r="AQ35" s="1175"/>
      <c r="AR35" s="1175"/>
      <c r="AS35" s="1175"/>
      <c r="AT35" s="1175"/>
      <c r="AU35" s="2809">
        <f ca="1">OFFSET('Q1'!$N44,0,(COLUMN()-12)*4/5)</f>
        <v>0.51715202505265268</v>
      </c>
      <c r="AV35" s="1175"/>
      <c r="AW35" s="1175"/>
      <c r="AX35" s="1175"/>
      <c r="AY35" s="1175"/>
      <c r="AZ35" s="2809">
        <f ca="1">OFFSET('Q1'!$N44,0,(COLUMN()-12)*4/5)</f>
        <v>1.5566379253603628</v>
      </c>
      <c r="BA35" s="1175"/>
      <c r="BB35" s="1175"/>
      <c r="BC35" s="1175"/>
      <c r="BD35" s="1175"/>
      <c r="BE35" s="2809">
        <f ca="1">OFFSET('Q1'!$N44,0,(COLUMN()-12)*4/5)</f>
        <v>1.2476100975404165</v>
      </c>
      <c r="BF35" s="1175"/>
      <c r="BG35" s="1175"/>
      <c r="BH35" s="1175"/>
      <c r="BI35" s="1175"/>
      <c r="BJ35" s="2809">
        <f ca="1">OFFSET('Q1'!$N44,0,(COLUMN()-12)*4/5)</f>
        <v>1.4717492425212271</v>
      </c>
      <c r="BK35" s="1175"/>
      <c r="BL35" s="1175"/>
      <c r="BM35" s="1175"/>
      <c r="BN35" s="1175"/>
      <c r="BO35" s="2809">
        <f ca="1">OFFSET('Q1'!$N44,0,(COLUMN()-12)*4/5)</f>
        <v>1.8404714466705059</v>
      </c>
      <c r="BP35" s="1175"/>
      <c r="BQ35" s="1175"/>
      <c r="BR35" s="1175"/>
      <c r="BS35" s="1175"/>
      <c r="BT35" s="2809">
        <f ca="1">OFFSET('Q1'!$N44,0,(COLUMN()-12)*4/5)</f>
        <v>1.6895170448679551</v>
      </c>
      <c r="BU35" s="1175"/>
      <c r="BV35" s="1175"/>
      <c r="BW35" s="1175"/>
      <c r="BX35" s="1175"/>
      <c r="BY35" s="2809">
        <f ca="1">OFFSET('Q1'!$N44,0,(COLUMN()-12)*4/5)</f>
        <v>0.50102285821611758</v>
      </c>
      <c r="BZ35" s="1175"/>
      <c r="CA35" s="1175"/>
      <c r="CB35" s="1175"/>
      <c r="CC35" s="1175"/>
      <c r="CD35" s="2809">
        <f ca="1">OFFSET('Q1'!$N44,0,(COLUMN()-12)*4/5)</f>
        <v>2.7052691126555573</v>
      </c>
      <c r="CE35" s="1175"/>
      <c r="CF35" s="1175"/>
      <c r="CG35" s="1175"/>
      <c r="CH35" s="1175"/>
      <c r="CI35" s="2809">
        <f ca="1">OFFSET('Q1'!$N44,0,(COLUMN()-12)*4/5)</f>
        <v>0.26900757352220239</v>
      </c>
      <c r="CJ35" s="1175"/>
      <c r="CK35" s="1175"/>
      <c r="CL35" s="1175"/>
      <c r="CM35" s="1175"/>
      <c r="CN35" s="2843">
        <f ca="1">OFFSET('Q1'!$N44,0,(COLUMN()-12)*4/5)</f>
        <v>0.65967913599197914</v>
      </c>
      <c r="CO35" s="1175"/>
      <c r="CP35" s="1175"/>
      <c r="CQ35" s="1175"/>
      <c r="CR35" s="1175"/>
      <c r="CS35" s="2843">
        <f ca="1">OFFSET('Q1'!$N44,0,(COLUMN()-12)*4/5)</f>
        <v>0.74647228502378482</v>
      </c>
      <c r="CT35" s="1175"/>
      <c r="CU35" s="1175"/>
      <c r="CV35" s="1175"/>
      <c r="CW35" s="1175"/>
      <c r="CX35" s="2843">
        <f ca="1">OFFSET('Q1'!$N44,0,(COLUMN()-12)*4/5)</f>
        <v>0.61084134568878312</v>
      </c>
      <c r="CY35" s="1175"/>
      <c r="CZ35" s="1175"/>
      <c r="DA35" s="1175"/>
      <c r="DB35" s="1175"/>
      <c r="DC35" s="2843">
        <f ca="1">OFFSET('Q1'!$N44,0,(COLUMN()-12)*4/5)</f>
        <v>0.89459541309541635</v>
      </c>
      <c r="DD35" s="1175"/>
      <c r="DE35" s="1175"/>
      <c r="DF35" s="1175"/>
      <c r="DG35" s="1175"/>
      <c r="DH35" s="2843">
        <f ca="1">OFFSET('Q1'!$N44,0,(COLUMN()-12)*4/5)</f>
        <v>1.6565978045433667</v>
      </c>
      <c r="DI35" s="1175"/>
      <c r="DJ35" s="1175"/>
      <c r="DK35" s="1175"/>
      <c r="DL35" s="1175"/>
      <c r="DM35" s="2843">
        <f ca="1">OFFSET('Q1'!$N44,0,(COLUMN()-12)*4/5)</f>
        <v>1.1262390738874757</v>
      </c>
      <c r="DN35" s="1175"/>
      <c r="DO35" s="1175"/>
      <c r="DP35" s="1175"/>
      <c r="DQ35" s="1175"/>
      <c r="DR35" s="2843">
        <f ca="1">OFFSET('Q1'!$N44,0,(COLUMN()-12)*4/5)</f>
        <v>1.6513924139159428</v>
      </c>
      <c r="DS35" s="1175"/>
      <c r="DT35" s="1175"/>
      <c r="DU35" s="1175"/>
      <c r="DV35" s="1175"/>
      <c r="DW35" s="2843">
        <f ca="1">OFFSET('Q1'!$N44,0,(COLUMN()-12)*4/5)</f>
        <v>1.7605520839656776</v>
      </c>
      <c r="DX35" s="1175"/>
      <c r="DY35" s="1175"/>
      <c r="DZ35" s="1175"/>
      <c r="EA35" s="1175"/>
    </row>
    <row r="36" spans="1:131">
      <c r="DC36" s="3734"/>
      <c r="DD36" s="3734"/>
      <c r="DE36" s="3734"/>
      <c r="DF36" s="3734"/>
      <c r="DG36" s="3734"/>
      <c r="DH36" s="3734"/>
      <c r="DI36" s="3734"/>
      <c r="DJ36" s="3734"/>
      <c r="DK36" s="3734"/>
      <c r="DL36" s="3734"/>
      <c r="DM36" s="3734"/>
      <c r="DN36" s="3734"/>
      <c r="DO36" s="3734"/>
      <c r="DP36" s="3734"/>
      <c r="DQ36" s="3734"/>
      <c r="DR36" s="3734"/>
      <c r="DS36" s="3734"/>
      <c r="DT36" s="3734"/>
      <c r="DU36" s="3734"/>
      <c r="DV36" s="3734"/>
      <c r="DW36" s="3734"/>
      <c r="DX36" s="3734"/>
      <c r="DY36" s="3734"/>
      <c r="DZ36" s="3734"/>
      <c r="EA36" s="3734"/>
    </row>
    <row r="37" spans="1:131">
      <c r="DC37" s="3734"/>
      <c r="DD37" s="3734"/>
      <c r="DE37" s="3734"/>
      <c r="DF37" s="3734"/>
      <c r="DG37" s="3734"/>
      <c r="DH37" s="3734"/>
      <c r="DI37" s="3734"/>
      <c r="DJ37" s="3734"/>
      <c r="DK37" s="3734"/>
      <c r="DL37" s="3734"/>
      <c r="DM37" s="3734"/>
      <c r="DN37" s="3734"/>
      <c r="DO37" s="3734"/>
      <c r="DP37" s="3734"/>
      <c r="DQ37" s="3734"/>
      <c r="DR37" s="3734"/>
      <c r="DS37" s="3734"/>
      <c r="DT37" s="3734"/>
      <c r="DU37" s="3734"/>
      <c r="DV37" s="3734"/>
      <c r="DW37" s="3734"/>
      <c r="DX37" s="3734"/>
      <c r="DY37" s="3734"/>
      <c r="DZ37" s="3734"/>
      <c r="EA37" s="3734"/>
    </row>
    <row r="38" spans="1:131">
      <c r="B38" s="1"/>
      <c r="C38" s="822"/>
      <c r="D38" s="4106"/>
      <c r="E38" s="4108" t="s">
        <v>1908</v>
      </c>
      <c r="F38" s="4109"/>
      <c r="G38" s="4098">
        <f>+InputY!$G$3</f>
        <v>1995</v>
      </c>
      <c r="H38" s="4099"/>
      <c r="I38" s="4099"/>
      <c r="J38" s="4099"/>
      <c r="K38" s="4100"/>
      <c r="L38" s="4098">
        <f>+G38+1</f>
        <v>1996</v>
      </c>
      <c r="M38" s="4099"/>
      <c r="N38" s="4099"/>
      <c r="O38" s="4099"/>
      <c r="P38" s="4100"/>
      <c r="Q38" s="4098">
        <f>+L38+1</f>
        <v>1997</v>
      </c>
      <c r="R38" s="4099"/>
      <c r="S38" s="4099"/>
      <c r="T38" s="4099"/>
      <c r="U38" s="4100"/>
      <c r="V38" s="4098">
        <f>+Q38+1</f>
        <v>1998</v>
      </c>
      <c r="W38" s="4099"/>
      <c r="X38" s="4099"/>
      <c r="Y38" s="4099"/>
      <c r="Z38" s="4100"/>
      <c r="AA38" s="4098">
        <f>+V38+1</f>
        <v>1999</v>
      </c>
      <c r="AB38" s="4099"/>
      <c r="AC38" s="4099"/>
      <c r="AD38" s="4099"/>
      <c r="AE38" s="4100"/>
      <c r="AF38" s="4098">
        <f>+AA38+1</f>
        <v>2000</v>
      </c>
      <c r="AG38" s="4099"/>
      <c r="AH38" s="4099"/>
      <c r="AI38" s="4099"/>
      <c r="AJ38" s="4100"/>
      <c r="AK38" s="4098">
        <f>+AF38+1</f>
        <v>2001</v>
      </c>
      <c r="AL38" s="4099"/>
      <c r="AM38" s="4099"/>
      <c r="AN38" s="4099"/>
      <c r="AO38" s="4100"/>
      <c r="AP38" s="4098">
        <f>+AK38+1</f>
        <v>2002</v>
      </c>
      <c r="AQ38" s="4099"/>
      <c r="AR38" s="4099"/>
      <c r="AS38" s="4099"/>
      <c r="AT38" s="4100"/>
      <c r="AU38" s="4098">
        <f>+AP38+1</f>
        <v>2003</v>
      </c>
      <c r="AV38" s="4099"/>
      <c r="AW38" s="4099"/>
      <c r="AX38" s="4099"/>
      <c r="AY38" s="4100"/>
      <c r="AZ38" s="4098">
        <f>+AU38+1</f>
        <v>2004</v>
      </c>
      <c r="BA38" s="4099"/>
      <c r="BB38" s="4099"/>
      <c r="BC38" s="4099"/>
      <c r="BD38" s="4100"/>
      <c r="BE38" s="4098">
        <f>+AZ38+1</f>
        <v>2005</v>
      </c>
      <c r="BF38" s="4099"/>
      <c r="BG38" s="4099"/>
      <c r="BH38" s="4099"/>
      <c r="BI38" s="4100"/>
      <c r="BJ38" s="4098">
        <f>+BE38+1</f>
        <v>2006</v>
      </c>
      <c r="BK38" s="4099"/>
      <c r="BL38" s="4099"/>
      <c r="BM38" s="4099"/>
      <c r="BN38" s="4100"/>
      <c r="BO38" s="4098">
        <f>+BJ38+1</f>
        <v>2007</v>
      </c>
      <c r="BP38" s="4099"/>
      <c r="BQ38" s="4099"/>
      <c r="BR38" s="4099"/>
      <c r="BS38" s="4100"/>
      <c r="BT38" s="4090">
        <f>+BO38+1</f>
        <v>2008</v>
      </c>
      <c r="BU38" s="4091"/>
      <c r="BV38" s="4091"/>
      <c r="BW38" s="4091"/>
      <c r="BX38" s="4092"/>
      <c r="BY38" s="4098">
        <f>+BT38+1</f>
        <v>2009</v>
      </c>
      <c r="BZ38" s="4099"/>
      <c r="CA38" s="4099"/>
      <c r="CB38" s="4099"/>
      <c r="CC38" s="4100"/>
      <c r="CD38" s="4098">
        <f>+BY38+1</f>
        <v>2010</v>
      </c>
      <c r="CE38" s="4099"/>
      <c r="CF38" s="4099"/>
      <c r="CG38" s="4099"/>
      <c r="CH38" s="4100"/>
      <c r="CI38" s="4098">
        <f>+CD38+1</f>
        <v>2011</v>
      </c>
      <c r="CJ38" s="4099"/>
      <c r="CK38" s="4099"/>
      <c r="CL38" s="4099"/>
      <c r="CM38" s="4100"/>
      <c r="CN38" s="4098">
        <f>+CI38+1</f>
        <v>2012</v>
      </c>
      <c r="CO38" s="4099"/>
      <c r="CP38" s="4099"/>
      <c r="CQ38" s="4099"/>
      <c r="CR38" s="4100"/>
      <c r="CS38" s="4090">
        <f>+CN38+1</f>
        <v>2013</v>
      </c>
      <c r="CT38" s="4091"/>
      <c r="CU38" s="4091"/>
      <c r="CV38" s="4091"/>
      <c r="CW38" s="4092"/>
      <c r="CX38" s="4090">
        <f>+CS38+1</f>
        <v>2014</v>
      </c>
      <c r="CY38" s="4091"/>
      <c r="CZ38" s="4091"/>
      <c r="DA38" s="4091"/>
      <c r="DB38" s="4092"/>
      <c r="DC38" s="4090">
        <f>+CX38+1</f>
        <v>2015</v>
      </c>
      <c r="DD38" s="4091"/>
      <c r="DE38" s="4091"/>
      <c r="DF38" s="4091"/>
      <c r="DG38" s="4092"/>
      <c r="DH38" s="4090">
        <f>+DC38+1</f>
        <v>2016</v>
      </c>
      <c r="DI38" s="4091"/>
      <c r="DJ38" s="4091"/>
      <c r="DK38" s="4091"/>
      <c r="DL38" s="4092"/>
      <c r="DM38" s="4090">
        <f>+DH38+1</f>
        <v>2017</v>
      </c>
      <c r="DN38" s="4091"/>
      <c r="DO38" s="4091"/>
      <c r="DP38" s="4091"/>
      <c r="DQ38" s="4092"/>
      <c r="DR38" s="4090">
        <f>+DM38+1</f>
        <v>2018</v>
      </c>
      <c r="DS38" s="4091"/>
      <c r="DT38" s="4091"/>
      <c r="DU38" s="4091"/>
      <c r="DV38" s="4092"/>
      <c r="DW38" s="4090">
        <f>+DR38+1</f>
        <v>2019</v>
      </c>
      <c r="DX38" s="4091"/>
      <c r="DY38" s="4091"/>
      <c r="DZ38" s="4091"/>
      <c r="EA38" s="4092"/>
    </row>
    <row r="39" spans="1:131">
      <c r="B39" s="1"/>
      <c r="C39" s="822"/>
      <c r="D39" s="4106"/>
      <c r="E39" s="4108"/>
      <c r="F39" s="4109"/>
      <c r="G39" s="1195"/>
      <c r="H39" s="1196"/>
      <c r="I39" s="1195" t="s">
        <v>1186</v>
      </c>
      <c r="J39" s="1196" t="s">
        <v>1698</v>
      </c>
      <c r="K39" s="1195"/>
      <c r="L39" s="1195"/>
      <c r="M39" s="1196"/>
      <c r="N39" s="1195" t="s">
        <v>1186</v>
      </c>
      <c r="O39" s="1196" t="s">
        <v>1698</v>
      </c>
      <c r="P39" s="1195"/>
      <c r="Q39" s="1195"/>
      <c r="R39" s="1196"/>
      <c r="S39" s="1195" t="s">
        <v>1186</v>
      </c>
      <c r="T39" s="1196" t="s">
        <v>1698</v>
      </c>
      <c r="U39" s="1195"/>
      <c r="V39" s="1195"/>
      <c r="W39" s="1196"/>
      <c r="X39" s="1195" t="s">
        <v>1186</v>
      </c>
      <c r="Y39" s="1196" t="s">
        <v>1698</v>
      </c>
      <c r="Z39" s="1195"/>
      <c r="AA39" s="1195"/>
      <c r="AB39" s="1196"/>
      <c r="AC39" s="1195" t="s">
        <v>1186</v>
      </c>
      <c r="AD39" s="1196" t="s">
        <v>1698</v>
      </c>
      <c r="AE39" s="1195"/>
      <c r="AF39" s="1195"/>
      <c r="AG39" s="1196"/>
      <c r="AH39" s="1195" t="s">
        <v>1186</v>
      </c>
      <c r="AI39" s="1196" t="s">
        <v>1698</v>
      </c>
      <c r="AJ39" s="1195"/>
      <c r="AK39" s="1195"/>
      <c r="AL39" s="1196"/>
      <c r="AM39" s="1195" t="s">
        <v>1186</v>
      </c>
      <c r="AN39" s="1196" t="s">
        <v>1698</v>
      </c>
      <c r="AO39" s="1195"/>
      <c r="AP39" s="1195"/>
      <c r="AQ39" s="1196"/>
      <c r="AR39" s="1195" t="s">
        <v>1186</v>
      </c>
      <c r="AS39" s="1196" t="s">
        <v>1698</v>
      </c>
      <c r="AT39" s="1195"/>
      <c r="AU39" s="1195"/>
      <c r="AV39" s="1196"/>
      <c r="AW39" s="1195" t="s">
        <v>1186</v>
      </c>
      <c r="AX39" s="1196" t="s">
        <v>1698</v>
      </c>
      <c r="AY39" s="1195"/>
      <c r="AZ39" s="1195"/>
      <c r="BA39" s="1196"/>
      <c r="BB39" s="1195" t="s">
        <v>1186</v>
      </c>
      <c r="BC39" s="1196" t="s">
        <v>1698</v>
      </c>
      <c r="BD39" s="1195"/>
      <c r="BE39" s="1195"/>
      <c r="BF39" s="1196"/>
      <c r="BG39" s="1195" t="s">
        <v>1186</v>
      </c>
      <c r="BH39" s="1196" t="s">
        <v>1698</v>
      </c>
      <c r="BI39" s="1195"/>
      <c r="BJ39" s="1195"/>
      <c r="BK39" s="1196"/>
      <c r="BL39" s="1195" t="s">
        <v>1186</v>
      </c>
      <c r="BM39" s="1196" t="s">
        <v>1698</v>
      </c>
      <c r="BN39" s="1195"/>
      <c r="BO39" s="1195"/>
      <c r="BP39" s="1196"/>
      <c r="BQ39" s="1195" t="s">
        <v>1186</v>
      </c>
      <c r="BR39" s="1196" t="s">
        <v>1698</v>
      </c>
      <c r="BS39" s="1195"/>
      <c r="BT39" s="1195"/>
      <c r="BU39" s="1196"/>
      <c r="BV39" s="1195" t="s">
        <v>1186</v>
      </c>
      <c r="BW39" s="1196" t="s">
        <v>1698</v>
      </c>
      <c r="BX39" s="1195"/>
      <c r="BY39" s="1195"/>
      <c r="BZ39" s="1196"/>
      <c r="CA39" s="1195" t="s">
        <v>1186</v>
      </c>
      <c r="CB39" s="1196" t="s">
        <v>1698</v>
      </c>
      <c r="CC39" s="1195"/>
      <c r="CD39" s="1195"/>
      <c r="CE39" s="1196"/>
      <c r="CF39" s="1195" t="s">
        <v>1186</v>
      </c>
      <c r="CG39" s="1196" t="s">
        <v>1698</v>
      </c>
      <c r="CH39" s="1195"/>
      <c r="CI39" s="1195"/>
      <c r="CJ39" s="1196"/>
      <c r="CK39" s="1195" t="s">
        <v>1186</v>
      </c>
      <c r="CL39" s="1196" t="s">
        <v>1698</v>
      </c>
      <c r="CM39" s="1195"/>
      <c r="CN39" s="1195"/>
      <c r="CO39" s="1196"/>
      <c r="CP39" s="1195" t="s">
        <v>1186</v>
      </c>
      <c r="CQ39" s="1196" t="s">
        <v>1698</v>
      </c>
      <c r="CR39" s="1195"/>
      <c r="CS39" s="1195"/>
      <c r="CT39" s="1196"/>
      <c r="CU39" s="1195" t="s">
        <v>1186</v>
      </c>
      <c r="CV39" s="1196" t="s">
        <v>1698</v>
      </c>
      <c r="CW39" s="1195"/>
      <c r="CX39" s="1195"/>
      <c r="CY39" s="1196"/>
      <c r="CZ39" s="1195" t="s">
        <v>1186</v>
      </c>
      <c r="DA39" s="1196" t="s">
        <v>1698</v>
      </c>
      <c r="DB39" s="1195"/>
      <c r="DC39" s="3835"/>
      <c r="DD39" s="3835"/>
      <c r="DE39" s="3835" t="s">
        <v>1186</v>
      </c>
      <c r="DF39" s="3835" t="s">
        <v>1698</v>
      </c>
      <c r="DG39" s="3835"/>
      <c r="DH39" s="3835"/>
      <c r="DI39" s="3835"/>
      <c r="DJ39" s="3835" t="s">
        <v>1186</v>
      </c>
      <c r="DK39" s="3835" t="s">
        <v>1698</v>
      </c>
      <c r="DL39" s="3835"/>
      <c r="DM39" s="3835"/>
      <c r="DN39" s="3835"/>
      <c r="DO39" s="3835" t="s">
        <v>1186</v>
      </c>
      <c r="DP39" s="3835" t="s">
        <v>1698</v>
      </c>
      <c r="DQ39" s="3835"/>
      <c r="DR39" s="3835"/>
      <c r="DS39" s="3835"/>
      <c r="DT39" s="3835" t="s">
        <v>1186</v>
      </c>
      <c r="DU39" s="3835" t="s">
        <v>1698</v>
      </c>
      <c r="DV39" s="3835"/>
      <c r="DW39" s="3835"/>
      <c r="DX39" s="3835"/>
      <c r="DY39" s="3835" t="s">
        <v>1186</v>
      </c>
      <c r="DZ39" s="3835" t="s">
        <v>1698</v>
      </c>
      <c r="EA39" s="3835"/>
    </row>
    <row r="40" spans="1:131">
      <c r="B40" s="1"/>
      <c r="C40" s="1330"/>
      <c r="D40" s="1256"/>
      <c r="E40" s="1256" t="s">
        <v>1697</v>
      </c>
      <c r="F40" s="1331" t="s">
        <v>1139</v>
      </c>
      <c r="G40" s="1332"/>
      <c r="H40" s="1333"/>
      <c r="I40" s="1333"/>
      <c r="J40" s="1334">
        <f ca="1">OFFSET('VVP2'!$G$377,0,(COLUMN()-10)/5)</f>
        <v>83.762500000000003</v>
      </c>
      <c r="K40" s="1366"/>
      <c r="L40" s="1332"/>
      <c r="M40" s="1333"/>
      <c r="N40" s="1329">
        <f ca="1">(O40/J40-1)*100</f>
        <v>1.7808287320300265</v>
      </c>
      <c r="O40" s="1334">
        <f ca="1">OFFSET('VVP2'!$G$377,0,(COLUMN()-10)/5)</f>
        <v>85.254166666666663</v>
      </c>
      <c r="P40" s="1366"/>
      <c r="Q40" s="1332"/>
      <c r="R40" s="1333"/>
      <c r="S40" s="1329">
        <f ca="1">(T40/O40-1)*100</f>
        <v>1.4974830164703468</v>
      </c>
      <c r="T40" s="1334">
        <f ca="1">OFFSET('VVP2'!$G$377,0,(COLUMN()-10)/5)</f>
        <v>86.53083333333332</v>
      </c>
      <c r="U40" s="1366"/>
      <c r="V40" s="1332"/>
      <c r="W40" s="1333"/>
      <c r="X40" s="1329">
        <f ca="1">(Y40/T40-1)*100</f>
        <v>0.91200631759393858</v>
      </c>
      <c r="Y40" s="1334">
        <f ca="1">OFFSET('VVP2'!$G$377,0,(COLUMN()-10)/5)</f>
        <v>87.32</v>
      </c>
      <c r="Z40" s="1366"/>
      <c r="AA40" s="1332"/>
      <c r="AB40" s="1333"/>
      <c r="AC40" s="1329">
        <f ca="1">(AD40/Y40-1)*100</f>
        <v>1.1299435028248705</v>
      </c>
      <c r="AD40" s="1334">
        <f ca="1">OFFSET('VVP2'!$G$377,0,(COLUMN()-10)/5)</f>
        <v>88.306666666666672</v>
      </c>
      <c r="AE40" s="1366"/>
      <c r="AF40" s="1332"/>
      <c r="AG40" s="1333"/>
      <c r="AH40" s="1329">
        <f ca="1">(AI40/AD40-1)*100</f>
        <v>2.6781669938094499</v>
      </c>
      <c r="AI40" s="1334">
        <f ca="1">OFFSET('VVP2'!$G$377,0,(COLUMN()-10)/5)</f>
        <v>90.671666666666667</v>
      </c>
      <c r="AJ40" s="1366"/>
      <c r="AK40" s="1332"/>
      <c r="AL40" s="1333"/>
      <c r="AM40" s="1329">
        <f ca="1">(AN40/AI40-1)*100</f>
        <v>2.4373655864566413</v>
      </c>
      <c r="AN40" s="1334">
        <f ca="1">OFFSET('VVP2'!$G$377,0,(COLUMN()-10)/5)</f>
        <v>92.881666666666675</v>
      </c>
      <c r="AO40" s="1366"/>
      <c r="AP40" s="1332"/>
      <c r="AQ40" s="1333"/>
      <c r="AR40" s="1329">
        <f ca="1">(AS40/AN40-1)*100</f>
        <v>1.5530513736115692</v>
      </c>
      <c r="AS40" s="1334">
        <f ca="1">OFFSET('VVP2'!$G$377,0,(COLUMN()-10)/5)</f>
        <v>94.32416666666667</v>
      </c>
      <c r="AT40" s="1366"/>
      <c r="AU40" s="1332"/>
      <c r="AV40" s="1333"/>
      <c r="AW40" s="1329">
        <f ca="1">(AX40/AS40-1)*100</f>
        <v>1.5080970765710244</v>
      </c>
      <c r="AX40" s="1334">
        <f ca="1">OFFSET('VVP2'!$G$377,0,(COLUMN()-10)/5)</f>
        <v>95.746666666666655</v>
      </c>
      <c r="AY40" s="1366"/>
      <c r="AZ40" s="1332"/>
      <c r="BA40" s="1333"/>
      <c r="BB40" s="1329">
        <f ca="1">(BC40/AX40-1)*100</f>
        <v>1.8599429048879346</v>
      </c>
      <c r="BC40" s="1334">
        <f ca="1">OFFSET('VVP2'!$G$377,0,(COLUMN()-10)/5)</f>
        <v>97.527500000000018</v>
      </c>
      <c r="BD40" s="1366"/>
      <c r="BE40" s="1332"/>
      <c r="BF40" s="1333"/>
      <c r="BG40" s="1329">
        <f ca="1">(BH40/BC40-1)*100</f>
        <v>2.5343279246024419</v>
      </c>
      <c r="BH40" s="1334">
        <f ca="1">OFFSET('VVP2'!$G$377,0,(COLUMN()-10)/5)</f>
        <v>99.999166666666667</v>
      </c>
      <c r="BI40" s="1366"/>
      <c r="BJ40" s="1332"/>
      <c r="BK40" s="1333"/>
      <c r="BL40" s="1329">
        <f ca="1">(BM40/BH40-1)*100</f>
        <v>-15.404295035791971</v>
      </c>
      <c r="BM40" s="1334">
        <f ca="1">OFFSET('VVP2'!$G$377,0,(COLUMN()-10)/5)</f>
        <v>84.594999999999999</v>
      </c>
      <c r="BN40" s="1366"/>
      <c r="BO40" s="1332"/>
      <c r="BP40" s="1333"/>
      <c r="BQ40" s="1329">
        <f ca="1">(BR40/BM40-1)*100</f>
        <v>1.8164982169946997</v>
      </c>
      <c r="BR40" s="1334">
        <f ca="1">OFFSET('VVP2'!$G$377,0,(COLUMN()-10)/5)</f>
        <v>86.131666666666661</v>
      </c>
      <c r="BS40" s="1366"/>
      <c r="BT40" s="1332"/>
      <c r="BU40" s="1333"/>
      <c r="BV40" s="1329">
        <f ca="1">(BW40/BR40-1)*100</f>
        <v>4.4892509529983249</v>
      </c>
      <c r="BW40" s="1334">
        <f ca="1">OFFSET('VVP2'!$G$377,0,(COLUMN()-10)/5)</f>
        <v>89.998333333333335</v>
      </c>
      <c r="BX40" s="1366"/>
      <c r="BY40" s="1332"/>
      <c r="BZ40" s="1333"/>
      <c r="CA40" s="1329">
        <f ca="1">(CB40/BW40-1)*100</f>
        <v>-6.4816015111435199E-3</v>
      </c>
      <c r="CB40" s="1334">
        <f ca="1">OFFSET('VVP2'!$G$377,0,(COLUMN()-10)/5)</f>
        <v>89.992499999999993</v>
      </c>
      <c r="CC40" s="1366"/>
      <c r="CD40" s="1332"/>
      <c r="CE40" s="1333"/>
      <c r="CF40" s="3299">
        <f ca="1">(CG40/CB40-1)*100</f>
        <v>2.3335277939828147</v>
      </c>
      <c r="CG40" s="1367">
        <f ca="1">OFFSET('VVP2'!$G$377,0,(COLUMN()-10)/5)</f>
        <v>92.092499999999987</v>
      </c>
      <c r="CH40" s="1366"/>
      <c r="CI40" s="1332"/>
      <c r="CJ40" s="1333"/>
      <c r="CK40" s="3299">
        <f ca="1">(CL40/CG40-1)*100</f>
        <v>3.3526074327442812</v>
      </c>
      <c r="CL40" s="1367">
        <f ca="1">OFFSET('VVP2'!$G$377,0,(COLUMN()-10)/5)</f>
        <v>95.18</v>
      </c>
      <c r="CM40" s="1366"/>
      <c r="CN40" s="1332"/>
      <c r="CO40" s="1333"/>
      <c r="CP40" s="3299">
        <f ca="1">(CQ40/CL40-1)*100</f>
        <v>2.6257266932828927</v>
      </c>
      <c r="CQ40" s="1367">
        <f ca="1">OFFSET('VVP2'!$G$377,0,(COLUMN()-10)/5)</f>
        <v>97.679166666666674</v>
      </c>
      <c r="CR40" s="1366"/>
      <c r="CS40" s="1332"/>
      <c r="CT40" s="1333"/>
      <c r="CU40" s="3299">
        <f ca="1">(CV40/CQ40-1)*100</f>
        <v>1.2481337712749729</v>
      </c>
      <c r="CV40" s="1367">
        <f ca="1">OFFSET('VVP2'!$G$377,0,(COLUMN()-10)/5)</f>
        <v>98.898333333333312</v>
      </c>
      <c r="CW40" s="1366"/>
      <c r="CX40" s="1332"/>
      <c r="CY40" s="1333"/>
      <c r="CZ40" s="3299">
        <f ca="1">(DA40/CV40-1)*100</f>
        <v>0.49040260199870733</v>
      </c>
      <c r="DA40" s="1367">
        <f ca="1">OFFSET('VVP2'!$G$377,0,(COLUMN()-10)/5)</f>
        <v>99.38333333333334</v>
      </c>
      <c r="DB40" s="1366"/>
      <c r="DC40" s="1332"/>
      <c r="DD40" s="1333"/>
      <c r="DE40" s="3299">
        <f ca="1">(DF40/DA40-1)*100</f>
        <v>0.61965453630725698</v>
      </c>
      <c r="DF40" s="1367">
        <f ca="1">OFFSET('VVP2'!$G$377,0,(COLUMN()-10)/5)</f>
        <v>99.999166666666696</v>
      </c>
      <c r="DG40" s="1366"/>
      <c r="DH40" s="1332"/>
      <c r="DI40" s="1333"/>
      <c r="DJ40" s="3299">
        <f ca="1">(DK40/DF40-1)*100</f>
        <v>1.7700147501232166</v>
      </c>
      <c r="DK40" s="1367">
        <f ca="1">OFFSET('VVP2'!$G$377,0,(COLUMN()-10)/5)</f>
        <v>101.769166666667</v>
      </c>
      <c r="DL40" s="1366"/>
      <c r="DM40" s="1332"/>
      <c r="DN40" s="1333"/>
      <c r="DO40" s="3299">
        <f ca="1">(DP40/DK40-1)*100</f>
        <v>2.2239872915008618</v>
      </c>
      <c r="DP40" s="1367">
        <f ca="1">OFFSET('VVP2'!$G$377,0,(COLUMN()-10)/5)</f>
        <v>104.0325</v>
      </c>
      <c r="DQ40" s="1366"/>
      <c r="DR40" s="1332"/>
      <c r="DS40" s="1333"/>
      <c r="DT40" s="3844">
        <f ca="1">OFFSET('Q1'!$G298,0,4*(COLUMN()-9)/5+3)</f>
        <v>1.5704560715091702</v>
      </c>
      <c r="DU40" s="1367">
        <f ca="1">+DP40*(1+DT40/100)</f>
        <v>105.66628471259277</v>
      </c>
      <c r="DV40" s="1366"/>
      <c r="DW40" s="1332"/>
      <c r="DX40" s="1333"/>
      <c r="DY40" s="3844">
        <f ca="1">OFFSET('Q1'!$G298,0,4*(COLUMN()-9)/5+3)</f>
        <v>1.6342607393390551</v>
      </c>
      <c r="DZ40" s="1367">
        <f ca="1">+DU40*(1+DY40/100)</f>
        <v>107.3931473183689</v>
      </c>
      <c r="EA40" s="1366"/>
    </row>
    <row r="41" spans="1:131">
      <c r="B41" s="1"/>
      <c r="C41" s="1330"/>
      <c r="D41" s="1256"/>
      <c r="E41" s="1256" t="s">
        <v>1909</v>
      </c>
      <c r="F41" s="1331" t="s">
        <v>2079</v>
      </c>
      <c r="G41" s="1332"/>
      <c r="H41" s="1333"/>
      <c r="I41" s="1333"/>
      <c r="J41" s="1334">
        <f ca="1">OFFSET('VVP2'!$G$376,0,(COLUMN()-10)/5)</f>
        <v>85.252397999999985</v>
      </c>
      <c r="K41" s="1366"/>
      <c r="L41" s="1332"/>
      <c r="M41" s="1333"/>
      <c r="N41" s="1329">
        <f ca="1">(O41/J41-1)*100</f>
        <v>2.064196774852034</v>
      </c>
      <c r="O41" s="1334">
        <f ca="1">OFFSET('VVP2'!$G$376,0,(COLUMN()-10)/5)</f>
        <v>87.012175249999999</v>
      </c>
      <c r="P41" s="1366"/>
      <c r="Q41" s="1332"/>
      <c r="R41" s="1333"/>
      <c r="S41" s="1329">
        <f ca="1">(T41/O41-1)*100</f>
        <v>1.6274593135171544</v>
      </c>
      <c r="T41" s="1334">
        <f ca="1">OFFSET('VVP2'!$G$376,0,(COLUMN()-10)/5)</f>
        <v>88.428263000000001</v>
      </c>
      <c r="U41" s="1366"/>
      <c r="V41" s="1332"/>
      <c r="W41" s="1333"/>
      <c r="X41" s="1329">
        <f ca="1">(Y41/T41-1)*100</f>
        <v>0.95362261799336601</v>
      </c>
      <c r="Y41" s="1334">
        <f ca="1">OFFSET('VVP2'!$G$376,0,(COLUMN()-10)/5)</f>
        <v>89.271534916666667</v>
      </c>
      <c r="Z41" s="1366"/>
      <c r="AA41" s="1332"/>
      <c r="AB41" s="1333"/>
      <c r="AC41" s="1329">
        <f ca="1">(AD41/Y41-1)*100</f>
        <v>1.1192423590185019</v>
      </c>
      <c r="AD41" s="1334">
        <f ca="1">OFFSET('VVP2'!$G$376,0,(COLUMN()-10)/5)</f>
        <v>90.270699749999991</v>
      </c>
      <c r="AE41" s="1366"/>
      <c r="AF41" s="1332"/>
      <c r="AG41" s="1333"/>
      <c r="AH41" s="1329">
        <f ca="1">(AI41/AD41-1)*100</f>
        <v>2.5462460942833998</v>
      </c>
      <c r="AI41" s="1334">
        <f ca="1">OFFSET('VVP2'!$G$376,0,(COLUMN()-10)/5)</f>
        <v>92.569213916666669</v>
      </c>
      <c r="AJ41" s="1366"/>
      <c r="AK41" s="1332"/>
      <c r="AL41" s="1333"/>
      <c r="AM41" s="1329">
        <f ca="1">(AN41/AI41-1)*100</f>
        <v>2.4712729209584117</v>
      </c>
      <c r="AN41" s="1334">
        <f ca="1">OFFSET('VVP2'!$G$376,0,(COLUMN()-10)/5)</f>
        <v>94.856851833333323</v>
      </c>
      <c r="AO41" s="1366"/>
      <c r="AP41" s="1332"/>
      <c r="AQ41" s="1333"/>
      <c r="AR41" s="1329">
        <f ca="1">(AS41/AN41-1)*100</f>
        <v>1.6434544648453508</v>
      </c>
      <c r="AS41" s="1334">
        <f ca="1">OFFSET('VVP2'!$G$376,0,(COLUMN()-10)/5)</f>
        <v>96.415780999999981</v>
      </c>
      <c r="AT41" s="1366"/>
      <c r="AU41" s="1332"/>
      <c r="AV41" s="1333"/>
      <c r="AW41" s="1329">
        <f ca="1">(AX41/AS41-1)*100</f>
        <v>1.5913124567578318</v>
      </c>
      <c r="AX41" s="1334">
        <f ca="1">OFFSET('VVP2'!$G$376,0,(COLUMN()-10)/5)</f>
        <v>97.950057333333334</v>
      </c>
      <c r="AY41" s="1366"/>
      <c r="AZ41" s="1332"/>
      <c r="BA41" s="1333"/>
      <c r="BB41" s="1329">
        <f ca="1">(BC41/AX41-1)*100</f>
        <v>2.0964112282364056</v>
      </c>
      <c r="BC41" s="1334">
        <f ca="1">OFFSET('VVP2'!$G$376,0,(COLUMN()-10)/5)</f>
        <v>100.00349333333332</v>
      </c>
      <c r="BD41" s="1366"/>
      <c r="BE41" s="1332"/>
      <c r="BF41" s="1333"/>
      <c r="BG41" s="1329">
        <f ca="1">(BH41/BC41-1)*100</f>
        <v>2.782242806984625</v>
      </c>
      <c r="BH41" s="1334">
        <f ca="1">OFFSET('VVP2'!$G$376,0,(COLUMN()-10)/5)</f>
        <v>102.78583333333334</v>
      </c>
      <c r="BI41" s="1366"/>
      <c r="BJ41" s="1332"/>
      <c r="BK41" s="1333"/>
      <c r="BL41" s="1329">
        <f ca="1">(BM41/BH41-1)*100</f>
        <v>-16.837599215196654</v>
      </c>
      <c r="BM41" s="1334">
        <f ca="1">OFFSET('VVP2'!$G$376,0,(COLUMN()-10)/5)</f>
        <v>85.479166666666671</v>
      </c>
      <c r="BN41" s="1366"/>
      <c r="BO41" s="1332"/>
      <c r="BP41" s="1333"/>
      <c r="BQ41" s="1329">
        <f ca="1">(BR41/BM41-1)*100</f>
        <v>1.8230563002680666</v>
      </c>
      <c r="BR41" s="1334">
        <f ca="1">OFFSET('VVP2'!$G$376,0,(COLUMN()-10)/5)</f>
        <v>87.03749999999998</v>
      </c>
      <c r="BS41" s="1366"/>
      <c r="BT41" s="1332"/>
      <c r="BU41" s="1333"/>
      <c r="BV41" s="1329">
        <f ca="1">(BW41/BR41-1)*100</f>
        <v>4.4894442050840588</v>
      </c>
      <c r="BW41" s="1334">
        <f ca="1">OFFSET('VVP2'!$G$376,0,(COLUMN()-10)/5)</f>
        <v>90.945000000000007</v>
      </c>
      <c r="BX41" s="1366"/>
      <c r="BY41" s="1332"/>
      <c r="BZ41" s="1333"/>
      <c r="CA41" s="1329">
        <f ca="1">(CB41/BW41-1)*100</f>
        <v>-5.3145674125365527E-2</v>
      </c>
      <c r="CB41" s="1334">
        <f ca="1">OFFSET('VVP2'!$G$376,0,(COLUMN()-10)/5)</f>
        <v>90.89666666666669</v>
      </c>
      <c r="CC41" s="1366"/>
      <c r="CD41" s="1332"/>
      <c r="CE41" s="1333"/>
      <c r="CF41" s="3299">
        <f ca="1">(CG41/CB41-1)*100</f>
        <v>2.1892992042245485</v>
      </c>
      <c r="CG41" s="1367">
        <f ca="1">OFFSET('VVP2'!$G$376,0,(COLUMN()-10)/5)</f>
        <v>92.88666666666667</v>
      </c>
      <c r="CH41" s="1366"/>
      <c r="CI41" s="1332"/>
      <c r="CJ41" s="1333"/>
      <c r="CK41" s="3299">
        <f ca="1">(CL41/CG41-1)*100</f>
        <v>3.5320821072274411</v>
      </c>
      <c r="CL41" s="1367">
        <f ca="1">OFFSET('VVP2'!$G$376,0,(COLUMN()-10)/5)</f>
        <v>96.167500000000004</v>
      </c>
      <c r="CM41" s="1366"/>
      <c r="CN41" s="1332"/>
      <c r="CO41" s="1333"/>
      <c r="CP41" s="3299">
        <f ca="1">(CQ41/CL41-1)*100</f>
        <v>2.8396634344589833</v>
      </c>
      <c r="CQ41" s="1367">
        <f ca="1">OFFSET('VVP2'!$G$376,0,(COLUMN()-10)/5)</f>
        <v>98.898333333333355</v>
      </c>
      <c r="CR41" s="1366"/>
      <c r="CS41" s="1332"/>
      <c r="CT41" s="1333"/>
      <c r="CU41" s="3299">
        <f ca="1">(CV41/CQ41-1)*100</f>
        <v>1.1130959402753549</v>
      </c>
      <c r="CV41" s="1367">
        <f ca="1">OFFSET('VVP2'!$G$376,0,(COLUMN()-10)/5)</f>
        <v>99.999166666666667</v>
      </c>
      <c r="CW41" s="1366"/>
      <c r="CX41" s="1332"/>
      <c r="CY41" s="1333"/>
      <c r="CZ41" s="3299">
        <f ca="1">(DA41/CV41-1)*100</f>
        <v>0.34000283335693382</v>
      </c>
      <c r="DA41" s="1367">
        <f ca="1">OFFSET('VVP2'!$G$376,0,(COLUMN()-10)/5)</f>
        <v>100.33916666666666</v>
      </c>
      <c r="DB41" s="1366"/>
      <c r="DC41" s="1332"/>
      <c r="DD41" s="1333"/>
      <c r="DE41" s="3299">
        <f ca="1">(DF41/DA41-1)*100</f>
        <v>0.56142915279011607</v>
      </c>
      <c r="DF41" s="1367">
        <f ca="1">OFFSET('VVP2'!$G$376,0,(COLUMN()-10)/5)</f>
        <v>100.90249999999999</v>
      </c>
      <c r="DG41" s="1366"/>
      <c r="DH41" s="1332"/>
      <c r="DI41" s="1333"/>
      <c r="DJ41" s="3299">
        <f ca="1">(DK41/DF41-1)*100</f>
        <v>1.9738526465317152</v>
      </c>
      <c r="DK41" s="1367">
        <f ca="1">OFFSET('VVP2'!$G$376,0,(COLUMN()-10)/5)</f>
        <v>102.89416666666665</v>
      </c>
      <c r="DL41" s="1366"/>
      <c r="DM41" s="1332"/>
      <c r="DN41" s="1333"/>
      <c r="DO41" s="3299">
        <f ca="1">(DP41/DK41-1)*100</f>
        <v>2.1259708600260829</v>
      </c>
      <c r="DP41" s="1367">
        <f ca="1">OFFSET('VVP2'!$G$376,0,(COLUMN()-10)/5)</f>
        <v>105.08166666666666</v>
      </c>
      <c r="DQ41" s="1366"/>
      <c r="DR41" s="1332"/>
      <c r="DS41" s="1333"/>
      <c r="DT41" s="3766">
        <f ca="1">DT40</f>
        <v>1.5704560715091702</v>
      </c>
      <c r="DU41" s="1367">
        <f ca="1">+DP41*(1+DT41/100)</f>
        <v>106.73192808087634</v>
      </c>
      <c r="DV41" s="1366"/>
      <c r="DW41" s="1332"/>
      <c r="DX41" s="1333"/>
      <c r="DY41" s="3766">
        <f ca="1">DY40</f>
        <v>1.6342607393390551</v>
      </c>
      <c r="DZ41" s="1367">
        <f ca="1">+DU41*(1+DY41/100)</f>
        <v>108.4762060778417</v>
      </c>
      <c r="EA41" s="1366"/>
    </row>
    <row r="43" spans="1:131">
      <c r="BR43" s="1370"/>
      <c r="CB43" s="2909"/>
      <c r="CG43" s="1094"/>
      <c r="CL43" s="1094"/>
      <c r="CQ43" s="1094"/>
      <c r="CV43" s="1094"/>
      <c r="DA43" s="1094"/>
      <c r="DF43" s="1094"/>
      <c r="DK43" s="1094"/>
      <c r="DP43" s="1094"/>
      <c r="DU43" s="1094"/>
      <c r="DZ43" s="1094"/>
    </row>
    <row r="44" spans="1:131">
      <c r="D44" s="4113"/>
      <c r="E44" s="4108" t="s">
        <v>1850</v>
      </c>
      <c r="F44" s="4109"/>
      <c r="G44" s="4112">
        <f>+InputY!$G$3</f>
        <v>1995</v>
      </c>
      <c r="H44" s="4104"/>
      <c r="I44" s="4104"/>
      <c r="J44" s="4104"/>
      <c r="K44" s="4104"/>
      <c r="L44" s="4104">
        <f>+G44+1</f>
        <v>1996</v>
      </c>
      <c r="M44" s="4104"/>
      <c r="N44" s="4104"/>
      <c r="O44" s="4104"/>
      <c r="P44" s="4104"/>
      <c r="Q44" s="4104">
        <f>+L44+1</f>
        <v>1997</v>
      </c>
      <c r="R44" s="4104"/>
      <c r="S44" s="4104"/>
      <c r="T44" s="4104"/>
      <c r="U44" s="4104"/>
      <c r="V44" s="4104">
        <f>+Q44+1</f>
        <v>1998</v>
      </c>
      <c r="W44" s="4104"/>
      <c r="X44" s="4104"/>
      <c r="Y44" s="4104"/>
      <c r="Z44" s="4104"/>
      <c r="AA44" s="4104">
        <f>+V44+1</f>
        <v>1999</v>
      </c>
      <c r="AB44" s="4104"/>
      <c r="AC44" s="4104"/>
      <c r="AD44" s="4104"/>
      <c r="AE44" s="4104"/>
      <c r="AF44" s="4104">
        <f>+AA44+1</f>
        <v>2000</v>
      </c>
      <c r="AG44" s="4104"/>
      <c r="AH44" s="4104"/>
      <c r="AI44" s="4104"/>
      <c r="AJ44" s="4104"/>
      <c r="AK44" s="4104">
        <f>+AF44+1</f>
        <v>2001</v>
      </c>
      <c r="AL44" s="4104"/>
      <c r="AM44" s="4104"/>
      <c r="AN44" s="4104"/>
      <c r="AO44" s="4104"/>
      <c r="AP44" s="4104">
        <f>+AK44+1</f>
        <v>2002</v>
      </c>
      <c r="AQ44" s="4104"/>
      <c r="AR44" s="4104"/>
      <c r="AS44" s="4104"/>
      <c r="AT44" s="4104"/>
      <c r="AU44" s="4104">
        <f>+AP44+1</f>
        <v>2003</v>
      </c>
      <c r="AV44" s="4104"/>
      <c r="AW44" s="4104"/>
      <c r="AX44" s="4104"/>
      <c r="AY44" s="4104"/>
      <c r="AZ44" s="4104">
        <f>+AU44+1</f>
        <v>2004</v>
      </c>
      <c r="BA44" s="4104"/>
      <c r="BB44" s="4104"/>
      <c r="BC44" s="4104"/>
      <c r="BD44" s="4104"/>
      <c r="BE44" s="4104">
        <f>+AZ44+1</f>
        <v>2005</v>
      </c>
      <c r="BF44" s="4104"/>
      <c r="BG44" s="4104"/>
      <c r="BH44" s="4104"/>
      <c r="BI44" s="4104"/>
      <c r="BJ44" s="4104">
        <f>+BE44+1</f>
        <v>2006</v>
      </c>
      <c r="BK44" s="4104"/>
      <c r="BL44" s="4104"/>
      <c r="BM44" s="4104"/>
      <c r="BN44" s="4104"/>
      <c r="BO44" s="4093">
        <f>+BJ44+1</f>
        <v>2007</v>
      </c>
      <c r="BP44" s="4094"/>
      <c r="BQ44" s="4094"/>
      <c r="BR44" s="4094"/>
      <c r="BS44" s="4095"/>
      <c r="BT44" s="4093">
        <f>+BO44+1</f>
        <v>2008</v>
      </c>
      <c r="BU44" s="4094"/>
      <c r="BV44" s="4094"/>
      <c r="BW44" s="4094"/>
      <c r="BX44" s="4095"/>
      <c r="BY44" s="4104">
        <f>+BT44+1</f>
        <v>2009</v>
      </c>
      <c r="BZ44" s="4104"/>
      <c r="CA44" s="4104"/>
      <c r="CB44" s="4104"/>
      <c r="CC44" s="4104"/>
      <c r="CD44" s="4104">
        <f>+BY44+1</f>
        <v>2010</v>
      </c>
      <c r="CE44" s="4104"/>
      <c r="CF44" s="4104"/>
      <c r="CG44" s="4104"/>
      <c r="CH44" s="4104"/>
      <c r="CI44" s="4104">
        <f>+CD44+1</f>
        <v>2011</v>
      </c>
      <c r="CJ44" s="4104"/>
      <c r="CK44" s="4104"/>
      <c r="CL44" s="4104"/>
      <c r="CM44" s="4104"/>
      <c r="CN44" s="4104">
        <f>+CI44+1</f>
        <v>2012</v>
      </c>
      <c r="CO44" s="4104"/>
      <c r="CP44" s="4104"/>
      <c r="CQ44" s="4104"/>
      <c r="CR44" s="4104"/>
      <c r="CS44" s="4093">
        <f>+CN44+1</f>
        <v>2013</v>
      </c>
      <c r="CT44" s="4094"/>
      <c r="CU44" s="4094"/>
      <c r="CV44" s="4094"/>
      <c r="CW44" s="4095"/>
      <c r="CX44" s="4093">
        <f>+CS44+1</f>
        <v>2014</v>
      </c>
      <c r="CY44" s="4094"/>
      <c r="CZ44" s="4094"/>
      <c r="DA44" s="4094"/>
      <c r="DB44" s="4095"/>
      <c r="DC44" s="4093">
        <f>+CX44+1</f>
        <v>2015</v>
      </c>
      <c r="DD44" s="4094"/>
      <c r="DE44" s="4094"/>
      <c r="DF44" s="4094"/>
      <c r="DG44" s="4095"/>
      <c r="DH44" s="4093">
        <f>+DC44+1</f>
        <v>2016</v>
      </c>
      <c r="DI44" s="4094"/>
      <c r="DJ44" s="4094"/>
      <c r="DK44" s="4094"/>
      <c r="DL44" s="4095"/>
      <c r="DM44" s="4093">
        <f>+DH44+1</f>
        <v>2017</v>
      </c>
      <c r="DN44" s="4094"/>
      <c r="DO44" s="4094"/>
      <c r="DP44" s="4094"/>
      <c r="DQ44" s="4095"/>
      <c r="DR44" s="4093">
        <f>+DM44+1</f>
        <v>2018</v>
      </c>
      <c r="DS44" s="4094"/>
      <c r="DT44" s="4094"/>
      <c r="DU44" s="4094"/>
      <c r="DV44" s="4095"/>
      <c r="DW44" s="4093">
        <f>+DR44+1</f>
        <v>2019</v>
      </c>
      <c r="DX44" s="4094"/>
      <c r="DY44" s="4094"/>
      <c r="DZ44" s="4094"/>
      <c r="EA44" s="4095"/>
    </row>
    <row r="45" spans="1:131">
      <c r="A45" s="1378"/>
      <c r="C45" s="822"/>
      <c r="D45" s="4114"/>
      <c r="E45" s="4108"/>
      <c r="F45" s="4109"/>
      <c r="G45" s="1199" t="s">
        <v>506</v>
      </c>
      <c r="H45" s="1196" t="s">
        <v>499</v>
      </c>
      <c r="I45" s="1195" t="s">
        <v>1186</v>
      </c>
      <c r="J45" s="1196" t="s">
        <v>1304</v>
      </c>
      <c r="K45" s="1195" t="s">
        <v>1187</v>
      </c>
      <c r="L45" s="1195" t="s">
        <v>506</v>
      </c>
      <c r="M45" s="1196" t="s">
        <v>499</v>
      </c>
      <c r="N45" s="1195" t="s">
        <v>1186</v>
      </c>
      <c r="O45" s="1196" t="s">
        <v>1304</v>
      </c>
      <c r="P45" s="1195" t="s">
        <v>1187</v>
      </c>
      <c r="Q45" s="1195" t="s">
        <v>506</v>
      </c>
      <c r="R45" s="1196" t="s">
        <v>499</v>
      </c>
      <c r="S45" s="1195" t="s">
        <v>1186</v>
      </c>
      <c r="T45" s="1196" t="s">
        <v>1304</v>
      </c>
      <c r="U45" s="1195" t="s">
        <v>1187</v>
      </c>
      <c r="V45" s="1195" t="s">
        <v>506</v>
      </c>
      <c r="W45" s="1196" t="s">
        <v>499</v>
      </c>
      <c r="X45" s="1195" t="s">
        <v>1186</v>
      </c>
      <c r="Y45" s="1196" t="s">
        <v>1304</v>
      </c>
      <c r="Z45" s="1195" t="s">
        <v>1187</v>
      </c>
      <c r="AA45" s="1195" t="s">
        <v>506</v>
      </c>
      <c r="AB45" s="1196" t="s">
        <v>499</v>
      </c>
      <c r="AC45" s="1195" t="s">
        <v>1186</v>
      </c>
      <c r="AD45" s="1196" t="s">
        <v>1304</v>
      </c>
      <c r="AE45" s="1195" t="s">
        <v>1187</v>
      </c>
      <c r="AF45" s="1195" t="s">
        <v>506</v>
      </c>
      <c r="AG45" s="1196" t="s">
        <v>499</v>
      </c>
      <c r="AH45" s="1195" t="s">
        <v>1186</v>
      </c>
      <c r="AI45" s="1196" t="s">
        <v>1304</v>
      </c>
      <c r="AJ45" s="1195" t="s">
        <v>1187</v>
      </c>
      <c r="AK45" s="1195" t="s">
        <v>506</v>
      </c>
      <c r="AL45" s="1196" t="s">
        <v>499</v>
      </c>
      <c r="AM45" s="1195" t="s">
        <v>1186</v>
      </c>
      <c r="AN45" s="1196" t="s">
        <v>1304</v>
      </c>
      <c r="AO45" s="1195" t="s">
        <v>1187</v>
      </c>
      <c r="AP45" s="1195" t="s">
        <v>506</v>
      </c>
      <c r="AQ45" s="1196" t="s">
        <v>499</v>
      </c>
      <c r="AR45" s="1195" t="s">
        <v>1186</v>
      </c>
      <c r="AS45" s="1196" t="s">
        <v>1304</v>
      </c>
      <c r="AT45" s="1195" t="s">
        <v>1187</v>
      </c>
      <c r="AU45" s="1195" t="s">
        <v>506</v>
      </c>
      <c r="AV45" s="1196" t="s">
        <v>499</v>
      </c>
      <c r="AW45" s="1195" t="s">
        <v>1186</v>
      </c>
      <c r="AX45" s="1196" t="s">
        <v>1304</v>
      </c>
      <c r="AY45" s="1195" t="s">
        <v>1187</v>
      </c>
      <c r="AZ45" s="1195" t="s">
        <v>506</v>
      </c>
      <c r="BA45" s="1196" t="s">
        <v>499</v>
      </c>
      <c r="BB45" s="1195" t="s">
        <v>1186</v>
      </c>
      <c r="BC45" s="1196" t="s">
        <v>1304</v>
      </c>
      <c r="BD45" s="1195" t="s">
        <v>1187</v>
      </c>
      <c r="BE45" s="1195" t="s">
        <v>506</v>
      </c>
      <c r="BF45" s="1196" t="s">
        <v>499</v>
      </c>
      <c r="BG45" s="1195" t="s">
        <v>1186</v>
      </c>
      <c r="BH45" s="1196" t="s">
        <v>1304</v>
      </c>
      <c r="BI45" s="1195" t="s">
        <v>1187</v>
      </c>
      <c r="BJ45" s="1195" t="s">
        <v>506</v>
      </c>
      <c r="BK45" s="1196" t="s">
        <v>499</v>
      </c>
      <c r="BL45" s="1195" t="s">
        <v>1186</v>
      </c>
      <c r="BM45" s="1196" t="s">
        <v>1304</v>
      </c>
      <c r="BN45" s="1195" t="s">
        <v>1187</v>
      </c>
      <c r="BO45" s="1195" t="s">
        <v>506</v>
      </c>
      <c r="BP45" s="1196" t="s">
        <v>499</v>
      </c>
      <c r="BQ45" s="1195" t="s">
        <v>1186</v>
      </c>
      <c r="BR45" s="1196" t="s">
        <v>1304</v>
      </c>
      <c r="BS45" s="1195" t="s">
        <v>1187</v>
      </c>
      <c r="BT45" s="1195" t="s">
        <v>506</v>
      </c>
      <c r="BU45" s="1196" t="s">
        <v>499</v>
      </c>
      <c r="BV45" s="1195" t="s">
        <v>1186</v>
      </c>
      <c r="BW45" s="1196" t="s">
        <v>1304</v>
      </c>
      <c r="BX45" s="1195" t="s">
        <v>1187</v>
      </c>
      <c r="BY45" s="1195" t="s">
        <v>506</v>
      </c>
      <c r="BZ45" s="1196" t="s">
        <v>499</v>
      </c>
      <c r="CA45" s="1195" t="s">
        <v>1186</v>
      </c>
      <c r="CB45" s="1196" t="s">
        <v>1304</v>
      </c>
      <c r="CC45" s="1195" t="s">
        <v>1187</v>
      </c>
      <c r="CD45" s="1195" t="s">
        <v>506</v>
      </c>
      <c r="CE45" s="1196" t="s">
        <v>499</v>
      </c>
      <c r="CF45" s="1195" t="s">
        <v>1186</v>
      </c>
      <c r="CG45" s="1196" t="s">
        <v>1304</v>
      </c>
      <c r="CH45" s="1195" t="s">
        <v>1187</v>
      </c>
      <c r="CI45" s="1195" t="s">
        <v>506</v>
      </c>
      <c r="CJ45" s="1196" t="s">
        <v>499</v>
      </c>
      <c r="CK45" s="1195" t="s">
        <v>1186</v>
      </c>
      <c r="CL45" s="1196" t="s">
        <v>1304</v>
      </c>
      <c r="CM45" s="1195" t="s">
        <v>1187</v>
      </c>
      <c r="CN45" s="1195" t="s">
        <v>506</v>
      </c>
      <c r="CO45" s="1196" t="s">
        <v>499</v>
      </c>
      <c r="CP45" s="1195" t="s">
        <v>1186</v>
      </c>
      <c r="CQ45" s="1196" t="s">
        <v>1304</v>
      </c>
      <c r="CR45" s="1195" t="s">
        <v>1187</v>
      </c>
      <c r="CS45" s="1195" t="s">
        <v>506</v>
      </c>
      <c r="CT45" s="1196" t="s">
        <v>499</v>
      </c>
      <c r="CU45" s="1195" t="s">
        <v>1186</v>
      </c>
      <c r="CV45" s="1196" t="s">
        <v>1304</v>
      </c>
      <c r="CW45" s="1195" t="s">
        <v>1187</v>
      </c>
      <c r="CX45" s="1195" t="s">
        <v>506</v>
      </c>
      <c r="CY45" s="1196" t="s">
        <v>499</v>
      </c>
      <c r="CZ45" s="1195" t="s">
        <v>1186</v>
      </c>
      <c r="DA45" s="1196" t="s">
        <v>1304</v>
      </c>
      <c r="DB45" s="1195" t="s">
        <v>1187</v>
      </c>
      <c r="DC45" s="1195" t="s">
        <v>506</v>
      </c>
      <c r="DD45" s="1196" t="s">
        <v>499</v>
      </c>
      <c r="DE45" s="1195" t="s">
        <v>1186</v>
      </c>
      <c r="DF45" s="1196" t="s">
        <v>1304</v>
      </c>
      <c r="DG45" s="1195" t="s">
        <v>1187</v>
      </c>
      <c r="DH45" s="1195" t="s">
        <v>506</v>
      </c>
      <c r="DI45" s="1196" t="s">
        <v>499</v>
      </c>
      <c r="DJ45" s="1195" t="s">
        <v>1186</v>
      </c>
      <c r="DK45" s="1196" t="s">
        <v>1304</v>
      </c>
      <c r="DL45" s="1195" t="s">
        <v>1187</v>
      </c>
      <c r="DM45" s="1195" t="s">
        <v>506</v>
      </c>
      <c r="DN45" s="1196" t="s">
        <v>499</v>
      </c>
      <c r="DO45" s="1195" t="s">
        <v>1186</v>
      </c>
      <c r="DP45" s="1196" t="s">
        <v>1304</v>
      </c>
      <c r="DQ45" s="1195" t="s">
        <v>1187</v>
      </c>
      <c r="DR45" s="1195" t="s">
        <v>506</v>
      </c>
      <c r="DS45" s="1196" t="s">
        <v>499</v>
      </c>
      <c r="DT45" s="1195" t="s">
        <v>1186</v>
      </c>
      <c r="DU45" s="1196" t="s">
        <v>1304</v>
      </c>
      <c r="DV45" s="1195" t="s">
        <v>1187</v>
      </c>
      <c r="DW45" s="1195" t="s">
        <v>506</v>
      </c>
      <c r="DX45" s="1196" t="s">
        <v>499</v>
      </c>
      <c r="DY45" s="1195" t="s">
        <v>1186</v>
      </c>
      <c r="DZ45" s="1196" t="s">
        <v>1304</v>
      </c>
      <c r="EA45" s="1195" t="s">
        <v>1187</v>
      </c>
    </row>
    <row r="46" spans="1:131">
      <c r="A46" s="1378"/>
      <c r="C46" s="827" t="s">
        <v>622</v>
      </c>
      <c r="D46" s="718" t="s">
        <v>591</v>
      </c>
      <c r="E46" s="3814" t="s">
        <v>5</v>
      </c>
      <c r="F46" s="751" t="s">
        <v>1135</v>
      </c>
      <c r="G46" s="1341"/>
      <c r="H46" s="1203"/>
      <c r="I46" s="1342"/>
      <c r="J46" s="1171">
        <f ca="1">OFFSET('VVP2'!$G$198,0,(COLUMN()-6)/5)</f>
        <v>26.657700000000002</v>
      </c>
      <c r="K46" s="1164"/>
      <c r="L46" s="1184"/>
      <c r="M46" s="1185"/>
      <c r="N46" s="1186"/>
      <c r="O46" s="1171">
        <f ca="1">OFFSET('VVP2'!$G$198,0,(COLUMN()-6)/5)</f>
        <v>28.097549999999998</v>
      </c>
      <c r="P46" s="1204">
        <f ca="1">(O46/J46-1)*100</f>
        <v>5.4012536715470461</v>
      </c>
      <c r="Q46" s="1184"/>
      <c r="R46" s="1185"/>
      <c r="S46" s="1186"/>
      <c r="T46" s="1171">
        <f ca="1">OFFSET('VVP2'!$G$198,0,(COLUMN()-6)/5)</f>
        <v>28.59742</v>
      </c>
      <c r="U46" s="1204">
        <f ca="1">(T46/O46-1)*100</f>
        <v>1.779051910219942</v>
      </c>
      <c r="V46" s="1184"/>
      <c r="W46" s="1185"/>
      <c r="X46" s="1186"/>
      <c r="Y46" s="1171">
        <f ca="1">OFFSET('VVP2'!$G$198,0,(COLUMN()-6)/5)</f>
        <v>29.6874</v>
      </c>
      <c r="Z46" s="1204">
        <f ca="1">(Y46/T46-1)*100</f>
        <v>3.8114627123705613</v>
      </c>
      <c r="AA46" s="1184"/>
      <c r="AB46" s="1185"/>
      <c r="AC46" s="1186"/>
      <c r="AD46" s="1171">
        <f ca="1">OFFSET('VVP2'!$G$198,0,(COLUMN()-6)/5)</f>
        <v>30.96294</v>
      </c>
      <c r="AE46" s="1204">
        <f ca="1">(AD46/Y46-1)*100</f>
        <v>4.2965702621314161</v>
      </c>
      <c r="AF46" s="1184"/>
      <c r="AG46" s="1185"/>
      <c r="AH46" s="1186"/>
      <c r="AI46" s="1171">
        <f ca="1">OFFSET('VVP2'!$G$198,0,(COLUMN()-6)/5)</f>
        <v>32.323070000000001</v>
      </c>
      <c r="AJ46" s="1204">
        <f ca="1">(AI46/AD46-1)*100</f>
        <v>4.3927676118611592</v>
      </c>
      <c r="AK46" s="1184"/>
      <c r="AL46" s="1185"/>
      <c r="AM46" s="1186"/>
      <c r="AN46" s="1171">
        <f ca="1">OFFSET('VVP2'!$G$198,0,(COLUMN()-6)/5)</f>
        <v>34.466670000000001</v>
      </c>
      <c r="AO46" s="1204">
        <f ca="1">(AN46/AI46-1)*100</f>
        <v>6.6317958040495562</v>
      </c>
      <c r="AP46" s="1184"/>
      <c r="AQ46" s="1185"/>
      <c r="AR46" s="1186"/>
      <c r="AS46" s="1171">
        <f ca="1">OFFSET('VVP2'!$G$198,0,(COLUMN()-6)/5)</f>
        <v>36.268269999999994</v>
      </c>
      <c r="AT46" s="1204">
        <f ca="1">(AS46/AN46-1)*100</f>
        <v>5.2270787981548272</v>
      </c>
      <c r="AU46" s="1184"/>
      <c r="AV46" s="1185"/>
      <c r="AW46" s="1186"/>
      <c r="AX46" s="1171">
        <f ca="1">OFFSET('VVP2'!$G$198,0,(COLUMN()-6)/5)</f>
        <v>38.63326</v>
      </c>
      <c r="AY46" s="1204">
        <f ca="1">(AX46/AS46-1)*100</f>
        <v>6.5208238496073934</v>
      </c>
      <c r="AZ46" s="1184"/>
      <c r="BA46" s="1185"/>
      <c r="BB46" s="1186"/>
      <c r="BC46" s="1171">
        <f ca="1">OFFSET('VVP2'!$G$198,0,(COLUMN()-6)/5)</f>
        <v>40.629910000000002</v>
      </c>
      <c r="BD46" s="1204">
        <f ca="1">(BC46/AX46-1)*100</f>
        <v>5.1682151596836645</v>
      </c>
      <c r="BE46" s="1184"/>
      <c r="BF46" s="1185"/>
      <c r="BG46" s="1186"/>
      <c r="BH46" s="1171">
        <f ca="1">OFFSET('VVP2'!$G$198,0,(COLUMN()-6)/5)</f>
        <v>42.544309999999996</v>
      </c>
      <c r="BI46" s="1204">
        <f ca="1">(BH46/BC46-1)*100</f>
        <v>4.7117997554018576</v>
      </c>
      <c r="BJ46" s="1184"/>
      <c r="BK46" s="1185"/>
      <c r="BL46" s="1186"/>
      <c r="BM46" s="1171">
        <f ca="1">OFFSET('VVP2'!$G$198,0,(COLUMN()-6)/5)</f>
        <v>44.138940000000005</v>
      </c>
      <c r="BN46" s="1204">
        <f ca="1">(BM46/BH46-1)*100</f>
        <v>3.7481627977983711</v>
      </c>
      <c r="BO46" s="1184"/>
      <c r="BP46" s="1185"/>
      <c r="BQ46" s="1186"/>
      <c r="BR46" s="1171">
        <f ca="1">OFFSET('VVP2'!$G$198,0,(COLUMN()-6)/5)</f>
        <v>45.990639999999999</v>
      </c>
      <c r="BS46" s="1204">
        <f ca="1">(BR46/BM46-1)*100</f>
        <v>4.1951619137206242</v>
      </c>
      <c r="BT46" s="1184"/>
      <c r="BU46" s="1185"/>
      <c r="BV46" s="1186"/>
      <c r="BW46" s="1171">
        <f ca="1">OFFSET('VVP2'!$G$198,0,(COLUMN()-6)/5)</f>
        <v>49.736429999999999</v>
      </c>
      <c r="BX46" s="1204">
        <f ca="1">(BW46/BR46-1)*100</f>
        <v>8.1446790042495554</v>
      </c>
      <c r="BY46" s="1184"/>
      <c r="BZ46" s="1185"/>
      <c r="CA46" s="1186"/>
      <c r="CB46" s="1171">
        <f ca="1">OFFSET('VVP2'!$G$198,0,(COLUMN()-6)/5)</f>
        <v>52.559280000000001</v>
      </c>
      <c r="CC46" s="1204">
        <f ca="1">(CB46/BW46-1)*100</f>
        <v>5.6756184551243427</v>
      </c>
      <c r="CD46" s="1184"/>
      <c r="CE46" s="1185"/>
      <c r="CF46" s="1186"/>
      <c r="CG46" s="1171">
        <f ca="1">OFFSET('VVP2'!$G$198,0,(COLUMN()-6)/5)</f>
        <v>54.753219999999999</v>
      </c>
      <c r="CH46" s="1204">
        <f ca="1">(CG46/CB46-1)*100</f>
        <v>4.1742200425880949</v>
      </c>
      <c r="CI46" s="1184"/>
      <c r="CJ46" s="1185"/>
      <c r="CK46" s="1186"/>
      <c r="CL46" s="1171">
        <f ca="1">OFFSET('VVP2'!$G$198,0,(COLUMN()-6)/5)</f>
        <v>57.776780000000002</v>
      </c>
      <c r="CM46" s="1204">
        <f ca="1">(CL46/CG46-1)*100</f>
        <v>5.5221592446982992</v>
      </c>
      <c r="CN46" s="1184"/>
      <c r="CO46" s="1185"/>
      <c r="CP46" s="1186"/>
      <c r="CQ46" s="1171">
        <f ca="1">OFFSET('VVP2'!$G$198,0,(COLUMN()-6)/5)</f>
        <v>60.306669999999997</v>
      </c>
      <c r="CR46" s="1204">
        <f ca="1">(CQ46/CL46-1)*100</f>
        <v>4.3787313865535582</v>
      </c>
      <c r="CS46" s="1184"/>
      <c r="CT46" s="1185"/>
      <c r="CU46" s="1186"/>
      <c r="CV46" s="1171">
        <f ca="1">OFFSET('VVP2'!$G$198,0,(COLUMN()-6)/5)</f>
        <v>61.176910000000007</v>
      </c>
      <c r="CW46" s="1204">
        <f ca="1">(CV46/CQ46-1)*100</f>
        <v>1.4430244614733523</v>
      </c>
      <c r="CX46" s="1184"/>
      <c r="CY46" s="1185"/>
      <c r="CZ46" s="1186"/>
      <c r="DA46" s="1171">
        <f ca="1">OFFSET('VVP2'!$G$198,0,(COLUMN()-6)/5)</f>
        <v>62.885580000000004</v>
      </c>
      <c r="DB46" s="1204">
        <f ca="1">(DA46/CV46-1)*100</f>
        <v>2.792998207984021</v>
      </c>
      <c r="DC46" s="1184"/>
      <c r="DD46" s="1185"/>
      <c r="DE46" s="1186"/>
      <c r="DF46" s="1171">
        <f ca="1">OFFSET('VVP2'!$G$198,0,(COLUMN()-6)/5)</f>
        <v>64.084599999999995</v>
      </c>
      <c r="DG46" s="1204">
        <f ca="1">(DF46/DA46-1)*100</f>
        <v>1.9066692236916483</v>
      </c>
      <c r="DH46" s="1184"/>
      <c r="DI46" s="1185"/>
      <c r="DJ46" s="1186"/>
      <c r="DK46" s="1171">
        <f ca="1">OFFSET('VVP2'!$G$198,0,(COLUMN()-6)/5)</f>
        <v>65.977190000000007</v>
      </c>
      <c r="DL46" s="2214">
        <f ca="1">(DK46/DF46-1)*100</f>
        <v>2.9532680238310238</v>
      </c>
      <c r="DM46" s="1184"/>
      <c r="DN46" s="1185"/>
      <c r="DO46" s="1186"/>
      <c r="DP46" s="1171">
        <f ca="1">OFFSET('VVP2'!$G$198,0,(COLUMN()-6)/5)</f>
        <v>68.266030000000001</v>
      </c>
      <c r="DQ46" s="2214">
        <f ca="1">(DP46/DK46-1)*100</f>
        <v>3.4691383491779471</v>
      </c>
      <c r="DR46" s="1184"/>
      <c r="DS46" s="1185"/>
      <c r="DT46" s="1186"/>
      <c r="DU46" s="1816">
        <f ca="1">DU49-DU47</f>
        <v>69.792550685790019</v>
      </c>
      <c r="DV46" s="2214">
        <f ca="1">(DU46/DP46-1)*100</f>
        <v>2.2361351404058816</v>
      </c>
      <c r="DW46" s="1184"/>
      <c r="DX46" s="1185"/>
      <c r="DY46" s="1186"/>
      <c r="DZ46" s="1816">
        <f ca="1">DZ49-DZ47</f>
        <v>71.62248062880488</v>
      </c>
      <c r="EA46" s="2214">
        <f ca="1">(DZ46/DU46-1)*100</f>
        <v>2.6219559609639509</v>
      </c>
    </row>
    <row r="47" spans="1:131">
      <c r="A47" s="1378"/>
      <c r="C47" s="882" t="s">
        <v>622</v>
      </c>
      <c r="D47" s="726" t="s">
        <v>591</v>
      </c>
      <c r="E47" s="1205" t="s">
        <v>6</v>
      </c>
      <c r="F47" s="1169" t="s">
        <v>1136</v>
      </c>
      <c r="G47" s="1249"/>
      <c r="H47" s="1172"/>
      <c r="I47" s="1250"/>
      <c r="J47" s="1174">
        <f ca="1">OFFSET('VVP2'!$G$199,0,(COLUMN()-6)/5)</f>
        <v>18.110799999999998</v>
      </c>
      <c r="K47" s="1149"/>
      <c r="L47" s="1189"/>
      <c r="M47" s="1190"/>
      <c r="N47" s="1191"/>
      <c r="O47" s="1174">
        <f ca="1">OFFSET('VVP2'!$G$199,0,(COLUMN()-6)/5)</f>
        <v>18.340450000000001</v>
      </c>
      <c r="P47" s="1161">
        <f ca="1">(O47/J47-1)*100</f>
        <v>1.2680279170439901</v>
      </c>
      <c r="Q47" s="1189"/>
      <c r="R47" s="1190"/>
      <c r="S47" s="1191"/>
      <c r="T47" s="1174">
        <f ca="1">OFFSET('VVP2'!$G$199,0,(COLUMN()-6)/5)</f>
        <v>18.756080000000001</v>
      </c>
      <c r="U47" s="1161">
        <f ca="1">(T47/O47-1)*100</f>
        <v>2.2661930323410795</v>
      </c>
      <c r="V47" s="1189"/>
      <c r="W47" s="1190"/>
      <c r="X47" s="1191"/>
      <c r="Y47" s="1174">
        <f ca="1">OFFSET('VVP2'!$G$199,0,(COLUMN()-6)/5)</f>
        <v>19.2194</v>
      </c>
      <c r="Z47" s="1161">
        <f ca="1">(Y47/T47-1)*100</f>
        <v>2.4702389838388461</v>
      </c>
      <c r="AA47" s="1189"/>
      <c r="AB47" s="1190"/>
      <c r="AC47" s="1191"/>
      <c r="AD47" s="1174">
        <f ca="1">OFFSET('VVP2'!$G$199,0,(COLUMN()-6)/5)</f>
        <v>20.363259999999997</v>
      </c>
      <c r="AE47" s="1161">
        <f ca="1">(AD47/Y47-1)*100</f>
        <v>5.9515905803510849</v>
      </c>
      <c r="AF47" s="1189"/>
      <c r="AG47" s="1190"/>
      <c r="AH47" s="1191"/>
      <c r="AI47" s="1174">
        <f ca="1">OFFSET('VVP2'!$G$199,0,(COLUMN()-6)/5)</f>
        <v>21.579229999999999</v>
      </c>
      <c r="AJ47" s="1161">
        <f ca="1">(AI47/AD47-1)*100</f>
        <v>5.9713916141128864</v>
      </c>
      <c r="AK47" s="1189"/>
      <c r="AL47" s="1190"/>
      <c r="AM47" s="1191"/>
      <c r="AN47" s="1174">
        <f ca="1">OFFSET('VVP2'!$G$199,0,(COLUMN()-6)/5)</f>
        <v>22.08963</v>
      </c>
      <c r="AO47" s="1161">
        <f ca="1">(AN47/AI47-1)*100</f>
        <v>2.3652373138429938</v>
      </c>
      <c r="AP47" s="1189"/>
      <c r="AQ47" s="1190"/>
      <c r="AR47" s="1191"/>
      <c r="AS47" s="1174">
        <f ca="1">OFFSET('VVP2'!$G$199,0,(COLUMN()-6)/5)</f>
        <v>24.016029999999997</v>
      </c>
      <c r="AT47" s="1161">
        <f ca="1">(AS47/AN47-1)*100</f>
        <v>8.7208341651716204</v>
      </c>
      <c r="AU47" s="1189"/>
      <c r="AV47" s="1190"/>
      <c r="AW47" s="1191"/>
      <c r="AX47" s="1174">
        <f ca="1">OFFSET('VVP2'!$G$199,0,(COLUMN()-6)/5)</f>
        <v>24.54054</v>
      </c>
      <c r="AY47" s="1161">
        <f ca="1">(AX47/AS47-1)*100</f>
        <v>2.1839996035981191</v>
      </c>
      <c r="AZ47" s="1189"/>
      <c r="BA47" s="1190"/>
      <c r="BB47" s="1191"/>
      <c r="BC47" s="1174">
        <f ca="1">OFFSET('VVP2'!$G$199,0,(COLUMN()-6)/5)</f>
        <v>25.191790000000001</v>
      </c>
      <c r="BD47" s="1161">
        <f ca="1">(BC47/AX47-1)*100</f>
        <v>2.6537720848848423</v>
      </c>
      <c r="BE47" s="1189"/>
      <c r="BF47" s="1190"/>
      <c r="BG47" s="1191"/>
      <c r="BH47" s="1174">
        <f ca="1">OFFSET('VVP2'!$G$199,0,(COLUMN()-6)/5)</f>
        <v>26.31739</v>
      </c>
      <c r="BI47" s="1161">
        <f ca="1">(BH47/BC47-1)*100</f>
        <v>4.4681223525600888</v>
      </c>
      <c r="BJ47" s="1189"/>
      <c r="BK47" s="1190"/>
      <c r="BL47" s="1191"/>
      <c r="BM47" s="1174">
        <f ca="1">OFFSET('VVP2'!$G$199,0,(COLUMN()-6)/5)</f>
        <v>27.374759999999998</v>
      </c>
      <c r="BN47" s="1161">
        <f ca="1">(BM47/BH47-1)*100</f>
        <v>4.0177616397370608</v>
      </c>
      <c r="BO47" s="1189"/>
      <c r="BP47" s="1190"/>
      <c r="BQ47" s="1191"/>
      <c r="BR47" s="1174">
        <f ca="1">OFFSET('VVP2'!$G$199,0,(COLUMN()-6)/5)</f>
        <v>28.421060000000001</v>
      </c>
      <c r="BS47" s="1161">
        <f ca="1">(BR47/BM47-1)*100</f>
        <v>3.822133965740715</v>
      </c>
      <c r="BT47" s="1189"/>
      <c r="BU47" s="1190"/>
      <c r="BV47" s="1191"/>
      <c r="BW47" s="1174">
        <f ca="1">OFFSET('VVP2'!$G$199,0,(COLUMN()-6)/5)</f>
        <v>30.12097</v>
      </c>
      <c r="BX47" s="1161">
        <f ca="1">(BW47/BR47-1)*100</f>
        <v>5.9811632641428636</v>
      </c>
      <c r="BY47" s="1189"/>
      <c r="BZ47" s="1190"/>
      <c r="CA47" s="1191"/>
      <c r="CB47" s="1174">
        <f ca="1">OFFSET('VVP2'!$G$199,0,(COLUMN()-6)/5)</f>
        <v>31.222519999999999</v>
      </c>
      <c r="CC47" s="1161">
        <f ca="1">(CB47/BW47-1)*100</f>
        <v>3.657086740566462</v>
      </c>
      <c r="CD47" s="1189"/>
      <c r="CE47" s="1190"/>
      <c r="CF47" s="1191"/>
      <c r="CG47" s="1174">
        <f ca="1">OFFSET('VVP2'!$G$199,0,(COLUMN()-6)/5)</f>
        <v>31.24568</v>
      </c>
      <c r="CH47" s="1161">
        <f ca="1">(CG47/CB47-1)*100</f>
        <v>7.4177228487637414E-2</v>
      </c>
      <c r="CI47" s="1189"/>
      <c r="CJ47" s="1190"/>
      <c r="CK47" s="1191"/>
      <c r="CL47" s="1174">
        <f ca="1">OFFSET('VVP2'!$G$199,0,(COLUMN()-6)/5)</f>
        <v>32.350720000000003</v>
      </c>
      <c r="CM47" s="1161">
        <f ca="1">(CL47/CG47-1)*100</f>
        <v>3.5366169019205307</v>
      </c>
      <c r="CN47" s="1189"/>
      <c r="CO47" s="1190"/>
      <c r="CP47" s="1191"/>
      <c r="CQ47" s="1174">
        <f ca="1">OFFSET('VVP2'!$G$199,0,(COLUMN()-6)/5)</f>
        <v>33.70393</v>
      </c>
      <c r="CR47" s="1161">
        <f ca="1">(CQ47/CL47-1)*100</f>
        <v>4.1829362684972615</v>
      </c>
      <c r="CS47" s="1189"/>
      <c r="CT47" s="1190"/>
      <c r="CU47" s="1191"/>
      <c r="CV47" s="1174">
        <f ca="1">OFFSET('VVP2'!$G$199,0,(COLUMN()-6)/5)</f>
        <v>34.91019</v>
      </c>
      <c r="CW47" s="1161">
        <f ca="1">(CV47/CQ47-1)*100</f>
        <v>3.5789891564574239</v>
      </c>
      <c r="CX47" s="1189"/>
      <c r="CY47" s="1190"/>
      <c r="CZ47" s="1191"/>
      <c r="DA47" s="1174">
        <f ca="1">OFFSET('VVP2'!$G$199,0,(COLUMN()-6)/5)</f>
        <v>34.472120000000004</v>
      </c>
      <c r="DB47" s="1161">
        <f ca="1">(DA47/CV47-1)*100</f>
        <v>-1.2548485127121811</v>
      </c>
      <c r="DC47" s="1189"/>
      <c r="DD47" s="1190"/>
      <c r="DE47" s="1191"/>
      <c r="DF47" s="1174">
        <f ca="1">OFFSET('VVP2'!$G$199,0,(COLUMN()-6)/5)</f>
        <v>34.003</v>
      </c>
      <c r="DG47" s="1161">
        <f ca="1">(DF47/DA47-1)*100</f>
        <v>-1.3608678549506203</v>
      </c>
      <c r="DH47" s="1189"/>
      <c r="DI47" s="1190"/>
      <c r="DJ47" s="1191"/>
      <c r="DK47" s="1174">
        <f ca="1">OFFSET('VVP2'!$G$199,0,(COLUMN()-6)/5)</f>
        <v>33.262910000000005</v>
      </c>
      <c r="DL47" s="1161">
        <f ca="1">(DK47/DF47-1)*100</f>
        <v>-2.1765432461841483</v>
      </c>
      <c r="DM47" s="1189"/>
      <c r="DN47" s="1190"/>
      <c r="DO47" s="1191"/>
      <c r="DP47" s="1174">
        <f ca="1">OFFSET('VVP2'!$G$199,0,(COLUMN()-6)/5)</f>
        <v>34.146269999999994</v>
      </c>
      <c r="DQ47" s="1161">
        <f ca="1">(DP47/DK47-1)*100</f>
        <v>2.6556906776947331</v>
      </c>
      <c r="DR47" s="1189"/>
      <c r="DS47" s="1190"/>
      <c r="DT47" s="1191"/>
      <c r="DU47" s="2209">
        <f ca="1">+DP47*(1+DV47/100)</f>
        <v>34.972609733999995</v>
      </c>
      <c r="DV47" s="3746">
        <v>2.42</v>
      </c>
      <c r="DW47" s="1189"/>
      <c r="DX47" s="1190"/>
      <c r="DY47" s="1191"/>
      <c r="DZ47" s="2209">
        <f ca="1">+DU47*(1+EA47/100)</f>
        <v>36.126705855221992</v>
      </c>
      <c r="EA47" s="3746">
        <v>3.3</v>
      </c>
    </row>
    <row r="48" spans="1:131">
      <c r="A48" s="1378"/>
      <c r="C48" s="822"/>
      <c r="D48" s="1200" t="s">
        <v>591</v>
      </c>
      <c r="E48" s="1200" t="s">
        <v>2142</v>
      </c>
      <c r="F48" s="1143"/>
      <c r="G48" s="1201"/>
      <c r="H48" s="1201"/>
      <c r="I48" s="1201"/>
      <c r="J48" s="1202">
        <f ca="1">OFFSET('VVP2'!$G$201,0,(COLUMN()-6)/5)</f>
        <v>44.768500000000003</v>
      </c>
      <c r="K48" s="1201"/>
      <c r="L48" s="1177">
        <f ca="1">OFFSET('VVP2'!$G$16,0,(COLUMN()-7)/5)</f>
        <v>-4.3406259453040335</v>
      </c>
      <c r="M48" s="1177">
        <f ca="1">J48*(1+L48/100)</f>
        <v>42.825266873676568</v>
      </c>
      <c r="N48" s="1177">
        <f ca="1">+O48/M48*100-100</f>
        <v>8.4359850855805689</v>
      </c>
      <c r="O48" s="1202">
        <f ca="1">OFFSET('VVP2'!$G$201,0,(COLUMN()-6)/5)</f>
        <v>46.438000000000002</v>
      </c>
      <c r="P48" s="1202">
        <f ca="1">(O48/J48-1)*100</f>
        <v>3.7291845829098502</v>
      </c>
      <c r="Q48" s="1177">
        <f ca="1">OFFSET('VVP2'!$G$16,0,(COLUMN()-7)/5)</f>
        <v>0.64146493397740922</v>
      </c>
      <c r="R48" s="1177">
        <f ca="1">O48*(1+Q48/100)</f>
        <v>46.735883486040429</v>
      </c>
      <c r="S48" s="1177">
        <f ca="1">+T48/R48*100-100</f>
        <v>1.3215038807259134</v>
      </c>
      <c r="T48" s="1202">
        <f ca="1">OFFSET('VVP2'!$G$200,0,(COLUMN()-6)/5)</f>
        <v>47.353499999999997</v>
      </c>
      <c r="U48" s="1202">
        <f ca="1">(T48/O48-1)*100</f>
        <v>1.9714457986993228</v>
      </c>
      <c r="V48" s="1177">
        <f ca="1">OFFSET('VVP2'!$G$16,0,(COLUMN()-7)/5)</f>
        <v>1.8480074932747392</v>
      </c>
      <c r="W48" s="1177">
        <f ca="1">T48*(1+V48/100)</f>
        <v>48.228596228327852</v>
      </c>
      <c r="X48" s="1177">
        <f ca="1">+Y48/W48*100-100</f>
        <v>1.4062274764568059</v>
      </c>
      <c r="Y48" s="1202">
        <f ca="1">OFFSET('VVP2'!$G$200,0,(COLUMN()-6)/5)</f>
        <v>48.906800000000004</v>
      </c>
      <c r="Z48" s="1202">
        <f ca="1">(Y48/T48-1)*100</f>
        <v>3.2802221588689395</v>
      </c>
      <c r="AA48" s="1177">
        <f ca="1">OFFSET('VVP2'!$G$16,0,(COLUMN()-7)/5)</f>
        <v>2.6788084961003156</v>
      </c>
      <c r="AB48" s="1177">
        <f ca="1">Y48*(1+AA48/100)</f>
        <v>50.216919513570794</v>
      </c>
      <c r="AC48" s="1177">
        <f ca="1">+AD48/AB48*100-100</f>
        <v>2.2089775660759585</v>
      </c>
      <c r="AD48" s="1202">
        <f ca="1">OFFSET('VVP2'!$G$200,0,(COLUMN()-6)/5)</f>
        <v>51.3262</v>
      </c>
      <c r="AE48" s="1202">
        <f ca="1">(AD48/Y48-1)*100</f>
        <v>4.9469603408932805</v>
      </c>
      <c r="AF48" s="1177">
        <f ca="1">OFFSET('VVP2'!$G$16,0,(COLUMN()-7)/5)</f>
        <v>2.9841868725767773</v>
      </c>
      <c r="AG48" s="1177">
        <f ca="1">AD48*(1+AF48/100)</f>
        <v>52.857869722592504</v>
      </c>
      <c r="AH48" s="1177">
        <f ca="1">+AI48/AG48*100-100</f>
        <v>1.9759220015654506</v>
      </c>
      <c r="AI48" s="1202">
        <f ca="1">OFFSET('VVP2'!$G$200,0,(COLUMN()-6)/5)</f>
        <v>53.902300000000004</v>
      </c>
      <c r="AJ48" s="1202">
        <f ca="1">(AI48/AD48-1)*100</f>
        <v>5.0190740791252964</v>
      </c>
      <c r="AK48" s="1177">
        <f ca="1">OFFSET('VVP2'!$G$16,0,(COLUMN()-7)/5)</f>
        <v>1.0046381734411192</v>
      </c>
      <c r="AL48" s="1177">
        <f ca="1">AI48*(1+AK48/100)</f>
        <v>54.443823082162758</v>
      </c>
      <c r="AM48" s="1177">
        <f ca="1">+AN48/AL48*100-100</f>
        <v>3.8801039277664984</v>
      </c>
      <c r="AN48" s="1202">
        <f ca="1">OFFSET('VVP2'!$G$200,0,(COLUMN()-6)/5)</f>
        <v>56.5563</v>
      </c>
      <c r="AO48" s="1202">
        <f ca="1">(AN48/AI48-1)*100</f>
        <v>4.9237231064351628</v>
      </c>
      <c r="AP48" s="1177">
        <f ca="1">OFFSET('VVP2'!$G$16,0,(COLUMN()-7)/5)</f>
        <v>2.6650788853614715</v>
      </c>
      <c r="AQ48" s="1177">
        <f ca="1">AN48*(1+AP48/100)</f>
        <v>58.063570009641687</v>
      </c>
      <c r="AR48" s="1177">
        <f ca="1">+AS48/AQ48*100-100</f>
        <v>3.8246528589088484</v>
      </c>
      <c r="AS48" s="1202">
        <f ca="1">OFFSET('VVP2'!$G$201,0,(COLUMN()-6)/5)</f>
        <v>60.284299999999988</v>
      </c>
      <c r="AT48" s="1202">
        <f ca="1">(AS48/AN48-1)*100</f>
        <v>6.5916617600514593</v>
      </c>
      <c r="AU48" s="1177">
        <f ca="1">OFFSET('VVP2'!$G$16,0,(COLUMN()-7)/5)</f>
        <v>1.3962712868034632</v>
      </c>
      <c r="AV48" s="1177">
        <f ca="1">AS48*(1+AU48/100)</f>
        <v>61.126032371350448</v>
      </c>
      <c r="AW48" s="1177">
        <f ca="1">+AX48/AV48*100-100</f>
        <v>3.3500745086954709</v>
      </c>
      <c r="AX48" s="1202">
        <f ca="1">OFFSET('VVP2'!$G$201,0,(COLUMN()-6)/5)</f>
        <v>63.1738</v>
      </c>
      <c r="AY48" s="1202">
        <f ca="1">(AX48/AS48-1)*100</f>
        <v>4.7931219239503609</v>
      </c>
      <c r="AZ48" s="1361">
        <f ca="1">OFFSET('VVP2'!$G$16,0,(COLUMN()-7)/5)</f>
        <v>1.5940156425109375</v>
      </c>
      <c r="BA48" s="1177">
        <f ca="1">AX48*(1+AZ48/100)</f>
        <v>64.18080025396857</v>
      </c>
      <c r="BB48" s="1177">
        <f ca="1">+BC48/BA48*100-100</f>
        <v>2.5566832129519526</v>
      </c>
      <c r="BC48" s="1202">
        <f ca="1">OFFSET('VVP2'!$G$201,0,(COLUMN()-6)/5)</f>
        <v>65.821700000000007</v>
      </c>
      <c r="BD48" s="1202">
        <f ca="1">(BC48/AX48-1)*100</f>
        <v>4.1914527858067929</v>
      </c>
      <c r="BE48" s="1361">
        <f ca="1">OFFSET('VVP2'!$G$16,0,(COLUMN()-7)/5)</f>
        <v>0.64617710054972743</v>
      </c>
      <c r="BF48" s="1177">
        <f ca="1">BC48*(1+BE48/100)</f>
        <v>66.247024752592552</v>
      </c>
      <c r="BG48" s="1177">
        <f ca="1">+BH48/BF48*100-100</f>
        <v>3.9468568696817243</v>
      </c>
      <c r="BH48" s="1202">
        <f ca="1">OFFSET('VVP2'!$G$201,0,(COLUMN()-6)/5)</f>
        <v>68.861699999999999</v>
      </c>
      <c r="BI48" s="1202">
        <f ca="1">(BH48/BC48-1)*100</f>
        <v>4.6185376555148094</v>
      </c>
      <c r="BJ48" s="1361">
        <f ca="1">OFFSET('VVP2'!$G$16,0,(COLUMN()-7)/5)</f>
        <v>0.95095039760713096</v>
      </c>
      <c r="BK48" s="1177">
        <f ca="1">BH48*(1+BJ48/100)</f>
        <v>69.516540609949033</v>
      </c>
      <c r="BL48" s="1177">
        <f ca="1">+BM48/BK48*100-100</f>
        <v>2.8729268926899607</v>
      </c>
      <c r="BM48" s="1202">
        <f ca="1">OFFSET('VVP2'!$G$201,0,(COLUMN()-6)/5)</f>
        <v>71.5137</v>
      </c>
      <c r="BN48" s="1202">
        <f ca="1">(BM48/BH48-1)*100</f>
        <v>3.8511974000061011</v>
      </c>
      <c r="BO48" s="1361">
        <f ca="1">OFFSET('VVP2'!$G$16,0,(COLUMN()-7)/5)</f>
        <v>1.9216562700521189</v>
      </c>
      <c r="BP48" s="1177">
        <f ca="1">BM48*(1+BO48/100)</f>
        <v>72.887947499996258</v>
      </c>
      <c r="BQ48" s="1177">
        <f ca="1">+BR48/BP48*100-100</f>
        <v>2.090541100781877</v>
      </c>
      <c r="BR48" s="1202">
        <f ca="1">OFFSET('VVP2'!$G$201,0,(COLUMN()-6)/5)</f>
        <v>74.411699999999996</v>
      </c>
      <c r="BS48" s="1202">
        <f ca="1">(BR48/BM48-1)*100</f>
        <v>4.0523703849751902</v>
      </c>
      <c r="BT48" s="1361">
        <f ca="1">OFFSET('VVP2'!$G$16,0,(COLUMN()-7)/5)</f>
        <v>2.8611115961365563</v>
      </c>
      <c r="BU48" s="1177">
        <f ca="1">BR48*(1+BT48/100)</f>
        <v>76.540701777582342</v>
      </c>
      <c r="BV48" s="1177">
        <f ca="1">+BW48/BU48*100-100</f>
        <v>4.3332477301496084</v>
      </c>
      <c r="BW48" s="1202">
        <f ca="1">OFFSET('VVP2'!$G$201,0,(COLUMN()-6)/5)</f>
        <v>79.857399999999998</v>
      </c>
      <c r="BX48" s="1202">
        <f ca="1">(BW48/BR48-1)*100</f>
        <v>7.3183383795827783</v>
      </c>
      <c r="BY48" s="1361">
        <f ca="1">OFFSET('VVP2'!$G$16,0,(COLUMN()-7)/5)</f>
        <v>1.1177658784934152</v>
      </c>
      <c r="BZ48" s="1177">
        <f ca="1">BW48*(1+BY48/100)</f>
        <v>80.750018768651998</v>
      </c>
      <c r="CA48" s="1177">
        <f ca="1">+CB48/BZ48*100-100</f>
        <v>3.7545269680172169</v>
      </c>
      <c r="CB48" s="1202">
        <f ca="1">OFFSET('VVP2'!$G$201,0,(COLUMN()-6)/5)</f>
        <v>83.781800000000004</v>
      </c>
      <c r="CC48" s="1202">
        <f ca="1">(CB48/BW48-1)*100</f>
        <v>4.9142596678579675</v>
      </c>
      <c r="CD48" s="1361">
        <f ca="1">OFFSET('VVP2'!$G$16,0,(COLUMN()-7)/5)</f>
        <v>0.95904098015107131</v>
      </c>
      <c r="CE48" s="1177">
        <f ca="1">CB48*(1+CD48/100)</f>
        <v>84.585301795908208</v>
      </c>
      <c r="CF48" s="1177">
        <f ca="1">+CG48/CE48*100-100</f>
        <v>1.6712102151063846</v>
      </c>
      <c r="CG48" s="1202">
        <f ca="1">OFFSET('VVP2'!$G$201,0,(COLUMN()-6)/5)</f>
        <v>85.998899999999992</v>
      </c>
      <c r="CH48" s="1202">
        <f ca="1">(CG48/CB48-1)*100</f>
        <v>2.6462787860847881</v>
      </c>
      <c r="CI48" s="1361">
        <f ca="1">OFFSET('VVP2'!$G$16,0,(COLUMN()-7)/5)</f>
        <v>1.2337367105858421</v>
      </c>
      <c r="CJ48" s="1177">
        <f ca="1">CG48*(1+CI48/100)</f>
        <v>87.059899999999999</v>
      </c>
      <c r="CK48" s="1177">
        <f ca="1">+CL48/CJ48*100-100</f>
        <v>3.5235510263622984</v>
      </c>
      <c r="CL48" s="1202">
        <f ca="1">OFFSET('VVP2'!$G$201,0,(COLUMN()-6)/5)</f>
        <v>90.127499999999998</v>
      </c>
      <c r="CM48" s="1202">
        <f ca="1">(CL48/CG48-1)*100</f>
        <v>4.8007590794766131</v>
      </c>
      <c r="CN48" s="1361">
        <f ca="1">OFFSET('VVP2'!$G$16,0,(COLUMN()-7)/5)</f>
        <v>1.4104082361684478</v>
      </c>
      <c r="CO48" s="1177">
        <f ca="1">CL48*(1+CN48/100)</f>
        <v>91.398665683052712</v>
      </c>
      <c r="CP48" s="1177">
        <f ca="1">+CQ48/CO48*100-100</f>
        <v>2.8577379083462944</v>
      </c>
      <c r="CQ48" s="1202">
        <f ca="1">OFFSET('VVP2'!$G$201,0,(COLUMN()-6)/5)</f>
        <v>94.010599999999997</v>
      </c>
      <c r="CR48" s="1202">
        <f ca="1">(CQ48/CL48-1)*100</f>
        <v>4.3084519153421486</v>
      </c>
      <c r="CS48" s="1361">
        <f ca="1">OFFSET('VVP2'!$G$16,0,(COLUMN()-7)/5)</f>
        <v>0.31415439052735472</v>
      </c>
      <c r="CT48" s="1177">
        <f ca="1">CQ48*(1+CS48/100)</f>
        <v>94.305938427461101</v>
      </c>
      <c r="CU48" s="1361">
        <f ca="1">+CV48/CT48*100-100</f>
        <v>1.8887056342787361</v>
      </c>
      <c r="CV48" s="1202">
        <f ca="1">OFFSET('VVP2'!$G$201,0,(COLUMN()-6)/5)</f>
        <v>96.087100000000007</v>
      </c>
      <c r="CW48" s="1202">
        <f ca="1">(CV48/CQ48-1)*100</f>
        <v>2.2087934764803308</v>
      </c>
      <c r="CX48" s="1361">
        <f ca="1">OFFSET('VVP2'!$G$16,0,(COLUMN()-7)/5)</f>
        <v>0.66083547977555668</v>
      </c>
      <c r="CY48" s="1177">
        <f ca="1">CV48*(1+CX48/100)</f>
        <v>96.722077648287424</v>
      </c>
      <c r="CZ48" s="1361">
        <f ca="1">+DA48/CY48*100-100</f>
        <v>0.65716366642153901</v>
      </c>
      <c r="DA48" s="1202">
        <f ca="1">OFFSET('VVP2'!$G$201,0,(COLUMN()-6)/5)</f>
        <v>97.357700000000008</v>
      </c>
      <c r="DB48" s="1202">
        <f ca="1">(DA48/CV48-1)*100</f>
        <v>1.3223419168650219</v>
      </c>
      <c r="DC48" s="1361">
        <f ca="1">OFFSET('VVP2'!$G$16,0,(COLUMN()-7)/5)</f>
        <v>0.47377225213607321</v>
      </c>
      <c r="DD48" s="1177">
        <f ca="1">DA48*(1+DC48/100)</f>
        <v>97.81895376791789</v>
      </c>
      <c r="DE48" s="1361">
        <f ca="1">+DF48/DD48*100-100</f>
        <v>0.2746361740072274</v>
      </c>
      <c r="DF48" s="1202">
        <f ca="1">OFFSET('VVP2'!$G$201,0,(COLUMN()-6)/5)</f>
        <v>98.087599999999995</v>
      </c>
      <c r="DG48" s="1202">
        <f ca="1">(DF48/DA48-1)*100</f>
        <v>0.74970957613007538</v>
      </c>
      <c r="DH48" s="1361">
        <f ca="1">OFFSET('VVP2'!$G$16,0,(COLUMN()-7)/5)</f>
        <v>0.52448957719308797</v>
      </c>
      <c r="DI48" s="1177">
        <f ca="1">DF48*(1+DH48/100)</f>
        <v>98.602059238518848</v>
      </c>
      <c r="DJ48" s="1361">
        <f ca="1">+DK48/DI48*100-100</f>
        <v>0.64708664951686501</v>
      </c>
      <c r="DK48" s="1202">
        <f ca="1">OFFSET('VVP2'!$G$201,0,(COLUMN()-6)/5)</f>
        <v>99.240100000000012</v>
      </c>
      <c r="DL48" s="1202">
        <f ca="1">(DK48/DF48-1)*100</f>
        <v>1.1749701287420811</v>
      </c>
      <c r="DM48" s="1361">
        <f ca="1">OFFSET('VVP2'!$G$16,0,(COLUMN()-7)/5)</f>
        <v>1.0591097991395237</v>
      </c>
      <c r="DN48" s="1177">
        <f ca="1">DK48*(1+DM48/100)</f>
        <v>100.29116162377588</v>
      </c>
      <c r="DO48" s="1361">
        <f ca="1">+DP48/DN48*100-100</f>
        <v>2.114980365050684</v>
      </c>
      <c r="DP48" s="1202">
        <f ca="1">OFFSET('VVP2'!$G$201,0,(COLUMN()-6)/5)</f>
        <v>102.41229999999999</v>
      </c>
      <c r="DQ48" s="1202">
        <f ca="1">(DP48/DK48-1)*100</f>
        <v>3.1964901284863512</v>
      </c>
      <c r="DR48" s="3727">
        <v>0.19</v>
      </c>
      <c r="DS48" s="2215">
        <f ca="1">DP48*(1+DR48/100)</f>
        <v>102.60688336999999</v>
      </c>
      <c r="DT48" s="3728">
        <v>1.94</v>
      </c>
      <c r="DU48" s="2967">
        <f ca="1">DS48*(1+DT48/100)</f>
        <v>104.597456907378</v>
      </c>
      <c r="DV48" s="1340">
        <f ca="1">(DU48/DP48-1)*100</f>
        <v>2.1336860000000124</v>
      </c>
      <c r="DW48" s="3727">
        <v>1</v>
      </c>
      <c r="DX48" s="2215">
        <f ca="1">DU48*(1+DW48/100)</f>
        <v>105.64343147645178</v>
      </c>
      <c r="DY48" s="3728">
        <v>1.83</v>
      </c>
      <c r="DZ48" s="2967">
        <f ca="1">DX48*(1+DY48/100)</f>
        <v>107.57670627247084</v>
      </c>
      <c r="EA48" s="1340">
        <f ca="1">(DZ48/DU48-1)*100</f>
        <v>2.8483000000000036</v>
      </c>
    </row>
    <row r="49" spans="1:131" s="28" customFormat="1">
      <c r="A49" s="1378" t="s">
        <v>571</v>
      </c>
      <c r="C49" s="175" t="s">
        <v>624</v>
      </c>
      <c r="D49" s="1200" t="s">
        <v>591</v>
      </c>
      <c r="E49" s="1200" t="s">
        <v>1043</v>
      </c>
      <c r="F49" s="1143" t="s">
        <v>1999</v>
      </c>
      <c r="G49" s="1201"/>
      <c r="H49" s="1201"/>
      <c r="I49" s="1201"/>
      <c r="J49" s="1202">
        <f ca="1">OFFSET('VVP2'!$G$200,0,(COLUMN()-6)/5)</f>
        <v>44.768500000000003</v>
      </c>
      <c r="K49" s="1201"/>
      <c r="L49" s="1177">
        <f ca="1">OFFSET('VVP2'!$G$16,0,(COLUMN()-7)/5)</f>
        <v>-4.3406259453040335</v>
      </c>
      <c r="M49" s="1177">
        <f ca="1">J49*(1+L49/100)</f>
        <v>42.825266873676568</v>
      </c>
      <c r="N49" s="1177">
        <f ca="1">+O49/M49*100-100</f>
        <v>8.4359850855805689</v>
      </c>
      <c r="O49" s="1202">
        <f ca="1">OFFSET('VVP2'!$G$200,0,(COLUMN()-6)/5)</f>
        <v>46.438000000000002</v>
      </c>
      <c r="P49" s="1202">
        <f ca="1">(O49/J49-1)*100</f>
        <v>3.7291845829098502</v>
      </c>
      <c r="Q49" s="1177">
        <f ca="1">OFFSET('VVP2'!$G$16,0,(COLUMN()-7)/5)</f>
        <v>0.64146493397740922</v>
      </c>
      <c r="R49" s="1177">
        <f ca="1">O49*(1+Q49/100)</f>
        <v>46.735883486040429</v>
      </c>
      <c r="S49" s="1177">
        <f ca="1">+T49/R49*100-100</f>
        <v>1.3215038807259134</v>
      </c>
      <c r="T49" s="1202">
        <f ca="1">OFFSET('VVP2'!$G$200,0,(COLUMN()-6)/5)</f>
        <v>47.353499999999997</v>
      </c>
      <c r="U49" s="1202">
        <f ca="1">(T49/O49-1)*100</f>
        <v>1.9714457986993228</v>
      </c>
      <c r="V49" s="1177">
        <f ca="1">OFFSET('VVP2'!$G$16,0,(COLUMN()-7)/5)</f>
        <v>1.8480074932747392</v>
      </c>
      <c r="W49" s="1177">
        <f ca="1">T49*(1+V49/100)</f>
        <v>48.228596228327852</v>
      </c>
      <c r="X49" s="1177">
        <f ca="1">+Y49/W49*100-100</f>
        <v>1.4062274764568059</v>
      </c>
      <c r="Y49" s="1202">
        <f ca="1">OFFSET('VVP2'!$G$200,0,(COLUMN()-6)/5)</f>
        <v>48.906800000000004</v>
      </c>
      <c r="Z49" s="1202">
        <f ca="1">(Y49/T49-1)*100</f>
        <v>3.2802221588689395</v>
      </c>
      <c r="AA49" s="1177">
        <f ca="1">OFFSET('VVP2'!$G$16,0,(COLUMN()-7)/5)</f>
        <v>2.6788084961003156</v>
      </c>
      <c r="AB49" s="1177">
        <f ca="1">Y49*(1+AA49/100)</f>
        <v>50.216919513570794</v>
      </c>
      <c r="AC49" s="1177">
        <f ca="1">+AD49/AB49*100-100</f>
        <v>2.2089775660759585</v>
      </c>
      <c r="AD49" s="1202">
        <f ca="1">OFFSET('VVP2'!$G$200,0,(COLUMN()-6)/5)</f>
        <v>51.3262</v>
      </c>
      <c r="AE49" s="1202">
        <f ca="1">(AD49/Y49-1)*100</f>
        <v>4.9469603408932805</v>
      </c>
      <c r="AF49" s="1177">
        <f ca="1">OFFSET('VVP2'!$G$16,0,(COLUMN()-7)/5)</f>
        <v>2.9841868725767773</v>
      </c>
      <c r="AG49" s="1177">
        <f ca="1">AD49*(1+AF49/100)</f>
        <v>52.857869722592504</v>
      </c>
      <c r="AH49" s="1177">
        <f ca="1">+AI49/AG49*100-100</f>
        <v>1.9759220015654506</v>
      </c>
      <c r="AI49" s="1202">
        <f ca="1">OFFSET('VVP2'!$G$200,0,(COLUMN()-6)/5)</f>
        <v>53.902300000000004</v>
      </c>
      <c r="AJ49" s="1202">
        <f ca="1">(AI49/AD49-1)*100</f>
        <v>5.0190740791252964</v>
      </c>
      <c r="AK49" s="1177">
        <f ca="1">OFFSET('VVP2'!$G$16,0,(COLUMN()-7)/5)</f>
        <v>1.0046381734411192</v>
      </c>
      <c r="AL49" s="1177">
        <f ca="1">AI49*(1+AK49/100)</f>
        <v>54.443823082162758</v>
      </c>
      <c r="AM49" s="1177">
        <f ca="1">+AN49/AL49*100-100</f>
        <v>3.8801039277664984</v>
      </c>
      <c r="AN49" s="1202">
        <f ca="1">OFFSET('VVP2'!$G$200,0,(COLUMN()-6)/5)</f>
        <v>56.5563</v>
      </c>
      <c r="AO49" s="1202">
        <f ca="1">(AN49/AI49-1)*100</f>
        <v>4.9237231064351628</v>
      </c>
      <c r="AP49" s="1177">
        <f ca="1">OFFSET('VVP2'!$G$16,0,(COLUMN()-7)/5)</f>
        <v>2.6650788853614715</v>
      </c>
      <c r="AQ49" s="1177">
        <f ca="1">AN49*(1+AP49/100)</f>
        <v>58.063570009641687</v>
      </c>
      <c r="AR49" s="1177">
        <f ca="1">+AS49/AQ49*100-100</f>
        <v>3.8246528589088769</v>
      </c>
      <c r="AS49" s="1202">
        <f ca="1">OFFSET('VVP2'!$G$200,0,(COLUMN()-6)/5)</f>
        <v>60.284300000000002</v>
      </c>
      <c r="AT49" s="1202">
        <f ca="1">(AS49/AN49-1)*100</f>
        <v>6.5916617600514815</v>
      </c>
      <c r="AU49" s="1177">
        <f ca="1">OFFSET('VVP2'!$G$16,0,(COLUMN()-7)/5)</f>
        <v>1.3962712868034632</v>
      </c>
      <c r="AV49" s="1177">
        <f ca="1">AS49*(1+AU49/100)</f>
        <v>61.126032371350462</v>
      </c>
      <c r="AW49" s="1177">
        <f ca="1">+AX49/AV49*100-100</f>
        <v>3.3500745086954424</v>
      </c>
      <c r="AX49" s="1202">
        <f ca="1">OFFSET('VVP2'!$G$200,0,(COLUMN()-6)/5)</f>
        <v>63.1738</v>
      </c>
      <c r="AY49" s="1202">
        <f ca="1">(AX49/AS49-1)*100</f>
        <v>4.7931219239503386</v>
      </c>
      <c r="AZ49" s="1177">
        <f ca="1">OFFSET('VVP2'!$G$16,0,(COLUMN()-7)/5)</f>
        <v>1.5940156425109375</v>
      </c>
      <c r="BA49" s="1177">
        <f ca="1">AX49*(1+AZ49/100)</f>
        <v>64.18080025396857</v>
      </c>
      <c r="BB49" s="1177">
        <f ca="1">+BC49/BA49*100-100</f>
        <v>2.5566832129519241</v>
      </c>
      <c r="BC49" s="1202">
        <f ca="1">OFFSET('VVP2'!$G$200,0,(COLUMN()-6)/5)</f>
        <v>65.821699999999993</v>
      </c>
      <c r="BD49" s="1202">
        <f ca="1">(BC49/AX49-1)*100</f>
        <v>4.1914527858067707</v>
      </c>
      <c r="BE49" s="1177">
        <f ca="1">OFFSET('VVP2'!$G$16,0,(COLUMN()-7)/5)</f>
        <v>0.64617710054972743</v>
      </c>
      <c r="BF49" s="1177">
        <f ca="1">BC49*(1+BE49/100)</f>
        <v>66.247024752592537</v>
      </c>
      <c r="BG49" s="1177">
        <f ca="1">+BH49/BF49*100-100</f>
        <v>3.9468568696817528</v>
      </c>
      <c r="BH49" s="1202">
        <f ca="1">OFFSET('VVP2'!$G$200,0,(COLUMN()-6)/5)</f>
        <v>68.861699999999999</v>
      </c>
      <c r="BI49" s="1202">
        <f ca="1">(BH49/BC49-1)*100</f>
        <v>4.6185376555148316</v>
      </c>
      <c r="BJ49" s="1177">
        <f ca="1">OFFSET('VVP2'!$G$16,0,(COLUMN()-7)/5)</f>
        <v>0.95095039760713096</v>
      </c>
      <c r="BK49" s="1177">
        <f ca="1">BH49*(1+BJ49/100)</f>
        <v>69.516540609949033</v>
      </c>
      <c r="BL49" s="1177">
        <f ca="1">+BM49/BK49*100-100</f>
        <v>2.8729268926899607</v>
      </c>
      <c r="BM49" s="1202">
        <f ca="1">OFFSET('VVP2'!$G$200,0,(COLUMN()-6)/5)</f>
        <v>71.5137</v>
      </c>
      <c r="BN49" s="1202">
        <f ca="1">(BM49/BH49-1)*100</f>
        <v>3.8511974000061011</v>
      </c>
      <c r="BO49" s="1177">
        <f ca="1">OFFSET('VVP2'!$G$16,0,(COLUMN()-7)/5)</f>
        <v>1.9216562700521189</v>
      </c>
      <c r="BP49" s="1177">
        <f ca="1">BM49*(1+BO49/100)</f>
        <v>72.887947499996258</v>
      </c>
      <c r="BQ49" s="1177">
        <f ca="1">+BR49/BP49*100-100</f>
        <v>2.090541100781877</v>
      </c>
      <c r="BR49" s="1202">
        <f ca="1">OFFSET('VVP2'!$G$200,0,(COLUMN()-6)/5)</f>
        <v>74.411699999999996</v>
      </c>
      <c r="BS49" s="1202">
        <f ca="1">(BR49/BM49-1)*100</f>
        <v>4.0523703849751902</v>
      </c>
      <c r="BT49" s="1177">
        <f ca="1">OFFSET('VVP2'!$G$16,0,(COLUMN()-7)/5)</f>
        <v>2.8611115961365563</v>
      </c>
      <c r="BU49" s="1177">
        <f ca="1">BR49*(1+BT49/100)</f>
        <v>76.540701777582342</v>
      </c>
      <c r="BV49" s="1177">
        <f ca="1">+BW49/BU49*100-100</f>
        <v>4.3332477301496084</v>
      </c>
      <c r="BW49" s="1202">
        <f ca="1">OFFSET('VVP2'!$G$200,0,(COLUMN()-6)/5)</f>
        <v>79.857399999999998</v>
      </c>
      <c r="BX49" s="1202">
        <f ca="1">(BW49/BR49-1)*100</f>
        <v>7.3183383795827783</v>
      </c>
      <c r="BY49" s="1177">
        <f ca="1">OFFSET('VVP2'!$G$16,0,(COLUMN()-7)/5)</f>
        <v>1.1177658784934152</v>
      </c>
      <c r="BZ49" s="1177">
        <f ca="1">BW49*(1+BY49/100)</f>
        <v>80.750018768651998</v>
      </c>
      <c r="CA49" s="1177">
        <f ca="1">+CB49/BZ49*100-100</f>
        <v>3.7545269680172169</v>
      </c>
      <c r="CB49" s="1202">
        <f ca="1">OFFSET('VVP2'!$G$200,0,(COLUMN()-6)/5)</f>
        <v>83.781800000000004</v>
      </c>
      <c r="CC49" s="1202">
        <f ca="1">(CB49/BW49-1)*100</f>
        <v>4.9142596678579675</v>
      </c>
      <c r="CD49" s="1177">
        <f ca="1">OFFSET('VVP2'!$G$16,0,(COLUMN()-7)/5)</f>
        <v>0.95904098015107131</v>
      </c>
      <c r="CE49" s="1177">
        <f ca="1">CB49*(1+CD49/100)</f>
        <v>84.585301795908208</v>
      </c>
      <c r="CF49" s="1177">
        <f ca="1">+CG49/CE49*100-100</f>
        <v>1.6712102151063846</v>
      </c>
      <c r="CG49" s="1202">
        <f ca="1">OFFSET('VVP2'!$G$200,0,(COLUMN()-6)/5)</f>
        <v>85.998899999999992</v>
      </c>
      <c r="CH49" s="1202">
        <f ca="1">(CG49/CB49-1)*100</f>
        <v>2.6462787860847881</v>
      </c>
      <c r="CI49" s="1177">
        <f ca="1">OFFSET('VVP2'!$G$16,0,(COLUMN()-7)/5)</f>
        <v>1.2337367105858421</v>
      </c>
      <c r="CJ49" s="1177">
        <f ca="1">CG49*(1+CI49/100)</f>
        <v>87.059899999999999</v>
      </c>
      <c r="CK49" s="1177">
        <f ca="1">+CL49/CJ49*100-100</f>
        <v>3.5235510263622984</v>
      </c>
      <c r="CL49" s="1202">
        <f ca="1">OFFSET('VVP2'!$G$200,0,(COLUMN()-6)/5)</f>
        <v>90.127499999999998</v>
      </c>
      <c r="CM49" s="1202">
        <f ca="1">(CL49/CG49-1)*100</f>
        <v>4.8007590794766131</v>
      </c>
      <c r="CN49" s="1361">
        <f ca="1">OFFSET('VVP2'!$G$16,0,(COLUMN()-7)/5)</f>
        <v>1.4104082361684478</v>
      </c>
      <c r="CO49" s="1177">
        <f ca="1">CL49*(1+CN49/100)</f>
        <v>91.398665683052712</v>
      </c>
      <c r="CP49" s="1177">
        <f ca="1">+CQ49/CO49*100-100</f>
        <v>2.8577379083462944</v>
      </c>
      <c r="CQ49" s="1202">
        <f ca="1">OFFSET('VVP2'!$G$200,0,(COLUMN()-6)/5)</f>
        <v>94.010600000000011</v>
      </c>
      <c r="CR49" s="1202">
        <f ca="1">(CQ49/CL49-1)*100</f>
        <v>4.3084519153421708</v>
      </c>
      <c r="CS49" s="1361">
        <f ca="1">OFFSET('VVP2'!$G$16,0,(COLUMN()-7)/5)</f>
        <v>0.31415439052735472</v>
      </c>
      <c r="CT49" s="1177">
        <f ca="1">CQ49*(1+CS49/100)</f>
        <v>94.305938427461115</v>
      </c>
      <c r="CU49" s="1361">
        <f ca="1">+CV49/CT49*100-100</f>
        <v>1.8887056342787361</v>
      </c>
      <c r="CV49" s="1202">
        <f ca="1">OFFSET('VVP2'!$G$200,0,(COLUMN()-6)/5)</f>
        <v>96.087100000000007</v>
      </c>
      <c r="CW49" s="1202">
        <f ca="1">(CV49/CQ49-1)*100</f>
        <v>2.2087934764803085</v>
      </c>
      <c r="CX49" s="1361">
        <f ca="1">OFFSET('VVP2'!$G$16,0,(COLUMN()-7)/5)</f>
        <v>0.66083547977555668</v>
      </c>
      <c r="CY49" s="1177">
        <f ca="1">CV49*(1+CX49/100)</f>
        <v>96.722077648287424</v>
      </c>
      <c r="CZ49" s="1361">
        <f ca="1">+DA49/CY49*100-100</f>
        <v>0.70523955677730044</v>
      </c>
      <c r="DA49" s="1202">
        <f ca="1">OFFSET('VVP2'!$G$200,0,(COLUMN()-6)/5)</f>
        <v>97.404200000000003</v>
      </c>
      <c r="DB49" s="1202">
        <f ca="1">(DA49/CV49-1)*100</f>
        <v>1.370735509761456</v>
      </c>
      <c r="DC49" s="1361">
        <f ca="1">OFFSET('VVP2'!$G$16,0,(COLUMN()-7)/5)</f>
        <v>0.47377225213607321</v>
      </c>
      <c r="DD49" s="1177">
        <f ca="1">DA49*(1+DC49/100)</f>
        <v>97.865674072015125</v>
      </c>
      <c r="DE49" s="1361">
        <f ca="1">+DF49/DD49*100-100</f>
        <v>0.35132433434409904</v>
      </c>
      <c r="DF49" s="1202">
        <f ca="1">OFFSET('VVP2'!$G$200,0,(COLUMN()-6)/5)</f>
        <v>98.209500000000006</v>
      </c>
      <c r="DG49" s="1202">
        <f ca="1">(DF49/DA49-1)*100</f>
        <v>0.82676106369130586</v>
      </c>
      <c r="DH49" s="1361">
        <f ca="1">OFFSET('VVP2'!$G$16,0,(COLUMN()-7)/5)</f>
        <v>0.52448957719308797</v>
      </c>
      <c r="DI49" s="1177">
        <f ca="1">DF49*(1+DH49/100)</f>
        <v>98.724598591313452</v>
      </c>
      <c r="DJ49" s="1361">
        <f ca="1">+DK49/DI49*100-100</f>
        <v>1.0016768088166828</v>
      </c>
      <c r="DK49" s="1202">
        <f ca="1">OFFSET('VVP2'!$G$200,0,(COLUMN()-6)/5)</f>
        <v>99.713499999999996</v>
      </c>
      <c r="DL49" s="1202">
        <f ca="1">(DK49/DF49-1)*100</f>
        <v>1.531420076469181</v>
      </c>
      <c r="DM49" s="1361">
        <f ca="1">OFFSET('VVP2'!$G$16,0,(COLUMN()-7)/5)</f>
        <v>1.0591097991395237</v>
      </c>
      <c r="DN49" s="1177">
        <f ca="1">DK49*(1+DM49/100)</f>
        <v>100.76957544956498</v>
      </c>
      <c r="DO49" s="1361">
        <f ca="1">+DP49/DN49*100-100</f>
        <v>1.7931250998862964</v>
      </c>
      <c r="DP49" s="1202">
        <f ca="1">OFFSET('VVP2'!$G$200,0,(COLUMN()-6)/5)</f>
        <v>102.5765</v>
      </c>
      <c r="DQ49" s="1202">
        <f ca="1">(DP49/DK49-1)*100</f>
        <v>2.8712260626695407</v>
      </c>
      <c r="DR49" s="3727">
        <v>0.19</v>
      </c>
      <c r="DS49" s="2215">
        <f ca="1">DP49*(1+DR49/100)</f>
        <v>102.77139534999999</v>
      </c>
      <c r="DT49" s="3728">
        <v>1.94</v>
      </c>
      <c r="DU49" s="2967">
        <f ca="1">DS49*(1+DT49/100)</f>
        <v>104.76516041979001</v>
      </c>
      <c r="DV49" s="1340">
        <f ca="1">(DU49/DP49-1)*100</f>
        <v>2.1336860000000124</v>
      </c>
      <c r="DW49" s="3727">
        <v>1</v>
      </c>
      <c r="DX49" s="2215">
        <f ca="1">DU49*(1+DW49/100)</f>
        <v>105.8128120239879</v>
      </c>
      <c r="DY49" s="3728">
        <v>1.83</v>
      </c>
      <c r="DZ49" s="2967">
        <f ca="1">DX49*(1+DY49/100)</f>
        <v>107.74918648402688</v>
      </c>
      <c r="EA49" s="1340">
        <f ca="1">(DZ49/DU49-1)*100</f>
        <v>2.8483000000000036</v>
      </c>
    </row>
    <row r="50" spans="1:131" s="2804" customFormat="1">
      <c r="A50" s="2803"/>
      <c r="C50" s="2805"/>
      <c r="D50" s="1697"/>
      <c r="E50" s="1697" t="s">
        <v>544</v>
      </c>
      <c r="F50" s="2806"/>
      <c r="G50" s="2807"/>
      <c r="H50" s="2807"/>
      <c r="I50" s="2807"/>
      <c r="J50" s="1175"/>
      <c r="K50" s="2807"/>
      <c r="L50" s="2809">
        <f ca="1">OFFSET('Q1'!$N63,0,(COLUMN()-12)*4/5)</f>
        <v>1.3698073877556567</v>
      </c>
      <c r="M50" s="2808"/>
      <c r="N50" s="1175"/>
      <c r="O50" s="1175"/>
      <c r="P50" s="1175"/>
      <c r="Q50" s="2809">
        <f ca="1">OFFSET('Q1'!$N63,0,(COLUMN()-12)*4/5)</f>
        <v>0.64360203495748181</v>
      </c>
      <c r="R50" s="2808"/>
      <c r="S50" s="1175"/>
      <c r="T50" s="1175"/>
      <c r="U50" s="1175"/>
      <c r="V50" s="2809">
        <f ca="1">OFFSET('Q1'!$N63,0,(COLUMN()-12)*4/5)</f>
        <v>1.8468151725418664</v>
      </c>
      <c r="W50" s="2808"/>
      <c r="X50" s="1175"/>
      <c r="Y50" s="1175"/>
      <c r="Z50" s="1175"/>
      <c r="AA50" s="2809">
        <f ca="1">OFFSET('Q1'!$N63,0,(COLUMN()-12)*4/5)</f>
        <v>2.6796065915456495</v>
      </c>
      <c r="AB50" s="2808"/>
      <c r="AC50" s="1175"/>
      <c r="AD50" s="1175"/>
      <c r="AE50" s="1175"/>
      <c r="AF50" s="2809">
        <f ca="1">OFFSET('Q1'!$N63,0,(COLUMN()-12)*4/5)</f>
        <v>2.9852071756616141</v>
      </c>
      <c r="AG50" s="2808"/>
      <c r="AH50" s="1175"/>
      <c r="AI50" s="1175"/>
      <c r="AJ50" s="1175"/>
      <c r="AK50" s="2809">
        <f ca="1">OFFSET('Q1'!$N63,0,(COLUMN()-12)*4/5)</f>
        <v>1.0015398829688991</v>
      </c>
      <c r="AL50" s="2808"/>
      <c r="AM50" s="1175"/>
      <c r="AN50" s="1175"/>
      <c r="AO50" s="1175"/>
      <c r="AP50" s="2809">
        <f ca="1">OFFSET('Q1'!$N63,0,(COLUMN()-12)*4/5)</f>
        <v>2.6674635312484867</v>
      </c>
      <c r="AQ50" s="2808"/>
      <c r="AR50" s="1175"/>
      <c r="AS50" s="1175"/>
      <c r="AT50" s="1175"/>
      <c r="AU50" s="2809">
        <f ca="1">OFFSET('Q1'!$N63,0,(COLUMN()-12)*4/5)</f>
        <v>1.3959013959014044</v>
      </c>
      <c r="AV50" s="2808"/>
      <c r="AW50" s="1175"/>
      <c r="AX50" s="1175"/>
      <c r="AY50" s="1175"/>
      <c r="AZ50" s="2809">
        <f ca="1">OFFSET('Q1'!$N63,0,(COLUMN()-12)*4/5)</f>
        <v>1.594610427650835</v>
      </c>
      <c r="BA50" s="2808"/>
      <c r="BB50" s="1175"/>
      <c r="BC50" s="1175"/>
      <c r="BD50" s="1175"/>
      <c r="BE50" s="2809">
        <f ca="1">OFFSET('Q1'!$N63,0,(COLUMN()-12)*4/5)</f>
        <v>0.64582348260313438</v>
      </c>
      <c r="BF50" s="2808"/>
      <c r="BG50" s="1175"/>
      <c r="BH50" s="1175"/>
      <c r="BI50" s="1175"/>
      <c r="BJ50" s="2809">
        <f ca="1">OFFSET('Q1'!$N63,0,(COLUMN()-12)*4/5)</f>
        <v>0.94991463372710427</v>
      </c>
      <c r="BK50" s="2808"/>
      <c r="BL50" s="1175"/>
      <c r="BM50" s="1175"/>
      <c r="BN50" s="1175"/>
      <c r="BO50" s="2809">
        <f ca="1">OFFSET('Q1'!$N63,0,(COLUMN()-12)*4/5)</f>
        <v>1.9216799091941255</v>
      </c>
      <c r="BP50" s="1175"/>
      <c r="BQ50" s="1175"/>
      <c r="BR50" s="1175"/>
      <c r="BS50" s="1175"/>
      <c r="BT50" s="2809">
        <f ca="1">OFFSET('Q1'!$N63,0,(COLUMN()-12)*4/5)</f>
        <v>2.8621384740458353</v>
      </c>
      <c r="BU50" s="1175"/>
      <c r="BV50" s="1175"/>
      <c r="BW50" s="1175"/>
      <c r="BX50" s="1175"/>
      <c r="BY50" s="2809">
        <f ca="1">OFFSET('Q1'!$N63,0,(COLUMN()-12)*4/5)</f>
        <v>1.1184132174139307</v>
      </c>
      <c r="BZ50" s="1175"/>
      <c r="CA50" s="1175"/>
      <c r="CB50" s="1175">
        <f ca="1">CB46+CB47</f>
        <v>83.781800000000004</v>
      </c>
      <c r="CC50" s="1175"/>
      <c r="CD50" s="2843">
        <f ca="1">OFFSET('Q1'!$N63,0,(COLUMN()-12)*4/5)</f>
        <v>0.95721444173197767</v>
      </c>
      <c r="CE50" s="1175"/>
      <c r="CF50" s="1175"/>
      <c r="CG50" s="1175">
        <f ca="1">CG46+CG47</f>
        <v>85.998899999999992</v>
      </c>
      <c r="CH50" s="1175"/>
      <c r="CI50" s="2843">
        <f ca="1">OFFSET('Q1'!$N63,0,(COLUMN()-12)*4/5)</f>
        <v>1.2344893413935836</v>
      </c>
      <c r="CJ50" s="1175"/>
      <c r="CK50" s="1175"/>
      <c r="CL50" s="1175">
        <f ca="1">CL46+CL47</f>
        <v>90.127499999999998</v>
      </c>
      <c r="CM50" s="1175"/>
      <c r="CN50" s="2843">
        <f ca="1">OFFSET('Q1'!$N63,0,(COLUMN()-12)*4/5)</f>
        <v>1.4101032958283355</v>
      </c>
      <c r="CO50" s="1175"/>
      <c r="CP50" s="1175"/>
      <c r="CQ50" s="1175">
        <f ca="1">CQ46+CQ47</f>
        <v>94.010599999999997</v>
      </c>
      <c r="CR50" s="1175"/>
      <c r="CS50" s="2843">
        <f ca="1">OFFSET('Q1'!$N63,0,(COLUMN()-12)*4/5)</f>
        <v>0.31508264462809166</v>
      </c>
      <c r="CT50" s="1175"/>
      <c r="CU50" s="1175"/>
      <c r="CV50" s="1175">
        <f ca="1">CV46+CV47</f>
        <v>96.087100000000007</v>
      </c>
      <c r="CW50" s="1175"/>
      <c r="CX50" s="2843">
        <f ca="1">OFFSET('Q1'!$N63,0,(COLUMN()-12)*4/5)</f>
        <v>0.66114000308942877</v>
      </c>
      <c r="CY50" s="1175"/>
      <c r="CZ50" s="1175"/>
      <c r="DA50" s="1175">
        <f ca="1">DA46+DA47</f>
        <v>97.357700000000008</v>
      </c>
      <c r="DB50" s="1175"/>
      <c r="DC50" s="2843">
        <f ca="1">OFFSET('Q1'!$N63,0,(COLUMN()-12)*4/5)</f>
        <v>0.47367182624530813</v>
      </c>
      <c r="DD50" s="1175"/>
      <c r="DE50" s="1175"/>
      <c r="DF50" s="1175">
        <f ca="1">DF46+DF47</f>
        <v>98.087599999999995</v>
      </c>
      <c r="DG50" s="1175"/>
      <c r="DH50" s="2843">
        <f ca="1">OFFSET('Q1'!$N63,0,(COLUMN()-12)*4/5)</f>
        <v>0.52438651868442321</v>
      </c>
      <c r="DI50" s="1175"/>
      <c r="DJ50" s="1175"/>
      <c r="DK50" s="1175">
        <f ca="1">DK46+DK47</f>
        <v>99.240100000000012</v>
      </c>
      <c r="DL50" s="1175"/>
      <c r="DM50" s="2843">
        <f ca="1">OFFSET('Q1'!$N63,0,(COLUMN()-12)*4/5)</f>
        <v>1.0595087363889633</v>
      </c>
      <c r="DN50" s="1175"/>
      <c r="DO50" s="1175"/>
      <c r="DP50" s="1175">
        <f ca="1">DP46+DP47</f>
        <v>102.41229999999999</v>
      </c>
      <c r="DQ50" s="1175"/>
      <c r="DR50" s="2843">
        <f ca="1">OFFSET('Q1'!$N63,0,(COLUMN()-12)*4/5)</f>
        <v>0.19313648356329338</v>
      </c>
      <c r="DS50" s="1175"/>
      <c r="DT50" s="1175"/>
      <c r="DU50" s="1175">
        <f ca="1">DU46+DU47</f>
        <v>104.76516041979002</v>
      </c>
      <c r="DV50" s="1175"/>
      <c r="DW50" s="2843">
        <f ca="1">OFFSET('Q1'!$N63,0,(COLUMN()-12)*4/5)</f>
        <v>1.112970947796029</v>
      </c>
      <c r="DX50" s="1175"/>
      <c r="DY50" s="1175"/>
      <c r="DZ50" s="1175">
        <f ca="1">DZ46+DZ47</f>
        <v>107.74918648402686</v>
      </c>
      <c r="EA50" s="1175"/>
    </row>
    <row r="51" spans="1:131">
      <c r="D51" s="1697"/>
      <c r="E51" s="2870" t="s">
        <v>0</v>
      </c>
      <c r="F51" s="1697"/>
      <c r="G51" s="1697"/>
      <c r="H51" s="1697"/>
      <c r="I51" s="1697"/>
      <c r="J51" s="1697"/>
      <c r="K51" s="1697"/>
      <c r="L51" s="1697"/>
      <c r="M51" s="1697"/>
      <c r="N51" s="1697"/>
      <c r="O51" s="1697"/>
      <c r="P51" s="1697"/>
      <c r="Q51" s="1697"/>
      <c r="R51" s="1697"/>
      <c r="S51" s="1697"/>
      <c r="T51" s="1697"/>
      <c r="U51" s="1697"/>
      <c r="V51" s="1697"/>
      <c r="W51" s="1697"/>
      <c r="X51" s="1697"/>
      <c r="Y51" s="1697"/>
      <c r="Z51" s="1697"/>
      <c r="AA51" s="1697"/>
      <c r="AB51" s="1697"/>
      <c r="AC51" s="1697"/>
      <c r="AD51" s="1697"/>
      <c r="AE51" s="1697"/>
      <c r="AF51" s="1697"/>
      <c r="AG51" s="1697"/>
      <c r="AH51" s="1697"/>
      <c r="AI51" s="1697"/>
      <c r="AJ51" s="1697"/>
      <c r="AK51" s="1697"/>
      <c r="AL51" s="1697"/>
      <c r="AM51" s="1697"/>
      <c r="AN51" s="1697"/>
      <c r="AO51" s="1697"/>
      <c r="AP51" s="1697"/>
      <c r="AQ51" s="1697"/>
      <c r="AR51" s="1697"/>
      <c r="AS51" s="1697"/>
      <c r="AT51" s="1697"/>
      <c r="AU51" s="1697"/>
      <c r="AV51" s="1697"/>
      <c r="AW51" s="1697"/>
      <c r="AX51" s="1697"/>
      <c r="AY51" s="1697"/>
      <c r="AZ51" s="1697"/>
      <c r="BA51" s="1697"/>
      <c r="BB51" s="1697"/>
      <c r="BC51" s="1697"/>
      <c r="BD51" s="1697"/>
      <c r="BE51" s="1697"/>
      <c r="BF51" s="1697"/>
      <c r="BG51" s="1697"/>
      <c r="BH51" s="1697"/>
      <c r="BI51" s="1697"/>
      <c r="BJ51" s="1697"/>
      <c r="BK51" s="1697"/>
      <c r="BL51" s="1697"/>
      <c r="BM51" s="1697"/>
      <c r="BN51" s="1697"/>
      <c r="BO51" s="1697"/>
      <c r="BP51" s="1697"/>
      <c r="BQ51" s="1697"/>
      <c r="BR51" s="1697"/>
      <c r="BS51" s="1697"/>
      <c r="BT51" s="1697"/>
      <c r="BU51" s="1697"/>
      <c r="BV51" s="1697"/>
      <c r="BW51" s="1697"/>
      <c r="BX51" s="1697">
        <v>5.82</v>
      </c>
      <c r="BY51" s="1697"/>
      <c r="BZ51" s="1697"/>
      <c r="CA51" s="1697"/>
      <c r="CB51" s="1697"/>
      <c r="CC51" s="1697"/>
      <c r="CN51" s="3365"/>
      <c r="CP51" s="3365"/>
      <c r="CV51" s="3326"/>
      <c r="DA51" s="3326"/>
      <c r="DE51" s="3708"/>
    </row>
    <row r="52" spans="1:131">
      <c r="CE52" s="1335"/>
      <c r="CJ52" s="1335"/>
      <c r="CO52" s="1335"/>
    </row>
    <row r="53" spans="1:131">
      <c r="C53" s="822"/>
      <c r="D53" s="4113"/>
      <c r="E53" s="4108" t="s">
        <v>2040</v>
      </c>
      <c r="F53" s="4109"/>
      <c r="G53" s="4112">
        <f>+InputY!$G$3</f>
        <v>1995</v>
      </c>
      <c r="H53" s="4104"/>
      <c r="I53" s="4104"/>
      <c r="J53" s="4104"/>
      <c r="K53" s="4104"/>
      <c r="L53" s="4104">
        <f>+G53+1</f>
        <v>1996</v>
      </c>
      <c r="M53" s="4104"/>
      <c r="N53" s="4104"/>
      <c r="O53" s="4104"/>
      <c r="P53" s="4104"/>
      <c r="Q53" s="4104">
        <f>+L53+1</f>
        <v>1997</v>
      </c>
      <c r="R53" s="4104"/>
      <c r="S53" s="4104"/>
      <c r="T53" s="4104"/>
      <c r="U53" s="4104"/>
      <c r="V53" s="4104">
        <f>+Q53+1</f>
        <v>1998</v>
      </c>
      <c r="W53" s="4104"/>
      <c r="X53" s="4104"/>
      <c r="Y53" s="4104"/>
      <c r="Z53" s="4104"/>
      <c r="AA53" s="4104">
        <f>+V53+1</f>
        <v>1999</v>
      </c>
      <c r="AB53" s="4104"/>
      <c r="AC53" s="4104"/>
      <c r="AD53" s="4104"/>
      <c r="AE53" s="4104"/>
      <c r="AF53" s="4104">
        <f>+AA53+1</f>
        <v>2000</v>
      </c>
      <c r="AG53" s="4104"/>
      <c r="AH53" s="4104"/>
      <c r="AI53" s="4104"/>
      <c r="AJ53" s="4104"/>
      <c r="AK53" s="4104">
        <f>+AF53+1</f>
        <v>2001</v>
      </c>
      <c r="AL53" s="4104"/>
      <c r="AM53" s="4104"/>
      <c r="AN53" s="4104"/>
      <c r="AO53" s="4104"/>
      <c r="AP53" s="4104">
        <f>+AK53+1</f>
        <v>2002</v>
      </c>
      <c r="AQ53" s="4104"/>
      <c r="AR53" s="4104"/>
      <c r="AS53" s="4104"/>
      <c r="AT53" s="4104"/>
      <c r="AU53" s="4104">
        <f>+AP53+1</f>
        <v>2003</v>
      </c>
      <c r="AV53" s="4104"/>
      <c r="AW53" s="4104"/>
      <c r="AX53" s="4104"/>
      <c r="AY53" s="4104"/>
      <c r="AZ53" s="4104">
        <f>+AU53+1</f>
        <v>2004</v>
      </c>
      <c r="BA53" s="4104"/>
      <c r="BB53" s="4104"/>
      <c r="BC53" s="4104"/>
      <c r="BD53" s="4104"/>
      <c r="BE53" s="4104">
        <f>+AZ53+1</f>
        <v>2005</v>
      </c>
      <c r="BF53" s="4104"/>
      <c r="BG53" s="4104"/>
      <c r="BH53" s="4104"/>
      <c r="BI53" s="4104"/>
      <c r="BJ53" s="4104">
        <f>+BE53+1</f>
        <v>2006</v>
      </c>
      <c r="BK53" s="4104"/>
      <c r="BL53" s="4104"/>
      <c r="BM53" s="4104"/>
      <c r="BN53" s="4104"/>
      <c r="BO53" s="4104">
        <f>+BJ53+1</f>
        <v>2007</v>
      </c>
      <c r="BP53" s="4104"/>
      <c r="BQ53" s="4104"/>
      <c r="BR53" s="4104"/>
      <c r="BS53" s="4104"/>
      <c r="BT53" s="4104">
        <f>+BO53+1</f>
        <v>2008</v>
      </c>
      <c r="BU53" s="4104"/>
      <c r="BV53" s="4104"/>
      <c r="BW53" s="4104"/>
      <c r="BX53" s="4104"/>
      <c r="BY53" s="4104">
        <f>+BT53+1</f>
        <v>2009</v>
      </c>
      <c r="BZ53" s="4104"/>
      <c r="CA53" s="4104"/>
      <c r="CB53" s="4104"/>
      <c r="CC53" s="4104"/>
      <c r="CD53" s="4104">
        <f>+BY53+1</f>
        <v>2010</v>
      </c>
      <c r="CE53" s="4104"/>
      <c r="CF53" s="4104"/>
      <c r="CG53" s="4104"/>
      <c r="CH53" s="4104"/>
      <c r="CI53" s="4104">
        <f>+CD53+1</f>
        <v>2011</v>
      </c>
      <c r="CJ53" s="4104"/>
      <c r="CK53" s="4104"/>
      <c r="CL53" s="4104"/>
      <c r="CM53" s="4104"/>
      <c r="CN53" s="4104">
        <f>+CI53+1</f>
        <v>2012</v>
      </c>
      <c r="CO53" s="4104"/>
      <c r="CP53" s="4104"/>
      <c r="CQ53" s="4104"/>
      <c r="CR53" s="4104"/>
      <c r="CS53" s="4093">
        <f>+CN53+1</f>
        <v>2013</v>
      </c>
      <c r="CT53" s="4094"/>
      <c r="CU53" s="4094"/>
      <c r="CV53" s="4094"/>
      <c r="CW53" s="4095"/>
      <c r="CX53" s="4093">
        <f>+CS53+1</f>
        <v>2014</v>
      </c>
      <c r="CY53" s="4094"/>
      <c r="CZ53" s="4094"/>
      <c r="DA53" s="4094"/>
      <c r="DB53" s="4095"/>
      <c r="DC53" s="4093">
        <f>+CX53+1</f>
        <v>2015</v>
      </c>
      <c r="DD53" s="4094"/>
      <c r="DE53" s="4094"/>
      <c r="DF53" s="4094"/>
      <c r="DG53" s="4095"/>
      <c r="DH53" s="4093">
        <f>+DC53+1</f>
        <v>2016</v>
      </c>
      <c r="DI53" s="4094"/>
      <c r="DJ53" s="4094"/>
      <c r="DK53" s="4094"/>
      <c r="DL53" s="4095"/>
      <c r="DM53" s="4093">
        <f>+DH53+1</f>
        <v>2017</v>
      </c>
      <c r="DN53" s="4094"/>
      <c r="DO53" s="4094"/>
      <c r="DP53" s="4094"/>
      <c r="DQ53" s="4095"/>
      <c r="DR53" s="4093">
        <f>+DM53+1</f>
        <v>2018</v>
      </c>
      <c r="DS53" s="4094"/>
      <c r="DT53" s="4094"/>
      <c r="DU53" s="4094"/>
      <c r="DV53" s="4095"/>
      <c r="DW53" s="4093">
        <f>+DR53+1</f>
        <v>2019</v>
      </c>
      <c r="DX53" s="4094"/>
      <c r="DY53" s="4094"/>
      <c r="DZ53" s="4094"/>
      <c r="EA53" s="4095"/>
    </row>
    <row r="54" spans="1:131">
      <c r="C54" s="822"/>
      <c r="D54" s="4114"/>
      <c r="E54" s="4108"/>
      <c r="F54" s="4109"/>
      <c r="G54" s="1199" t="s">
        <v>506</v>
      </c>
      <c r="H54" s="1196" t="s">
        <v>499</v>
      </c>
      <c r="I54" s="1195" t="s">
        <v>1186</v>
      </c>
      <c r="J54" s="1196" t="s">
        <v>1304</v>
      </c>
      <c r="K54" s="1195" t="s">
        <v>1187</v>
      </c>
      <c r="L54" s="1195" t="s">
        <v>506</v>
      </c>
      <c r="M54" s="1196" t="s">
        <v>499</v>
      </c>
      <c r="N54" s="1195" t="s">
        <v>1186</v>
      </c>
      <c r="O54" s="1196" t="s">
        <v>1304</v>
      </c>
      <c r="P54" s="1195" t="s">
        <v>1187</v>
      </c>
      <c r="Q54" s="1195" t="s">
        <v>506</v>
      </c>
      <c r="R54" s="1196" t="s">
        <v>499</v>
      </c>
      <c r="S54" s="1195" t="s">
        <v>1186</v>
      </c>
      <c r="T54" s="1196" t="s">
        <v>1304</v>
      </c>
      <c r="U54" s="1195" t="s">
        <v>1187</v>
      </c>
      <c r="V54" s="1195" t="s">
        <v>506</v>
      </c>
      <c r="W54" s="1196" t="s">
        <v>499</v>
      </c>
      <c r="X54" s="1195" t="s">
        <v>1186</v>
      </c>
      <c r="Y54" s="1196" t="s">
        <v>1304</v>
      </c>
      <c r="Z54" s="1195" t="s">
        <v>1187</v>
      </c>
      <c r="AA54" s="1195" t="s">
        <v>506</v>
      </c>
      <c r="AB54" s="1196" t="s">
        <v>499</v>
      </c>
      <c r="AC54" s="1195" t="s">
        <v>1186</v>
      </c>
      <c r="AD54" s="1196" t="s">
        <v>1304</v>
      </c>
      <c r="AE54" s="1195" t="s">
        <v>1187</v>
      </c>
      <c r="AF54" s="1195" t="s">
        <v>506</v>
      </c>
      <c r="AG54" s="1196" t="s">
        <v>499</v>
      </c>
      <c r="AH54" s="1195" t="s">
        <v>1186</v>
      </c>
      <c r="AI54" s="1196" t="s">
        <v>1304</v>
      </c>
      <c r="AJ54" s="1195" t="s">
        <v>1187</v>
      </c>
      <c r="AK54" s="1195" t="s">
        <v>506</v>
      </c>
      <c r="AL54" s="1196" t="s">
        <v>499</v>
      </c>
      <c r="AM54" s="1195" t="s">
        <v>1186</v>
      </c>
      <c r="AN54" s="1196" t="s">
        <v>1304</v>
      </c>
      <c r="AO54" s="1195" t="s">
        <v>1187</v>
      </c>
      <c r="AP54" s="1195" t="s">
        <v>506</v>
      </c>
      <c r="AQ54" s="1196" t="s">
        <v>499</v>
      </c>
      <c r="AR54" s="1195" t="s">
        <v>1186</v>
      </c>
      <c r="AS54" s="1196" t="s">
        <v>1304</v>
      </c>
      <c r="AT54" s="1195" t="s">
        <v>1187</v>
      </c>
      <c r="AU54" s="1195" t="s">
        <v>506</v>
      </c>
      <c r="AV54" s="1196" t="s">
        <v>499</v>
      </c>
      <c r="AW54" s="1195" t="s">
        <v>1186</v>
      </c>
      <c r="AX54" s="1196" t="s">
        <v>1304</v>
      </c>
      <c r="AY54" s="1195" t="s">
        <v>1187</v>
      </c>
      <c r="AZ54" s="1195" t="s">
        <v>506</v>
      </c>
      <c r="BA54" s="1196" t="s">
        <v>499</v>
      </c>
      <c r="BB54" s="1195" t="s">
        <v>1186</v>
      </c>
      <c r="BC54" s="1196" t="s">
        <v>1304</v>
      </c>
      <c r="BD54" s="1195" t="s">
        <v>1187</v>
      </c>
      <c r="BE54" s="1195" t="s">
        <v>506</v>
      </c>
      <c r="BF54" s="1196" t="s">
        <v>499</v>
      </c>
      <c r="BG54" s="1195" t="s">
        <v>1186</v>
      </c>
      <c r="BH54" s="1196" t="s">
        <v>1304</v>
      </c>
      <c r="BI54" s="1195" t="s">
        <v>1187</v>
      </c>
      <c r="BJ54" s="1195" t="s">
        <v>506</v>
      </c>
      <c r="BK54" s="1196" t="s">
        <v>499</v>
      </c>
      <c r="BL54" s="1195" t="s">
        <v>1186</v>
      </c>
      <c r="BM54" s="1196" t="s">
        <v>1304</v>
      </c>
      <c r="BN54" s="1195" t="s">
        <v>1187</v>
      </c>
      <c r="BO54" s="1195" t="s">
        <v>506</v>
      </c>
      <c r="BP54" s="1196" t="s">
        <v>499</v>
      </c>
      <c r="BQ54" s="1195" t="s">
        <v>1186</v>
      </c>
      <c r="BR54" s="1196" t="s">
        <v>1304</v>
      </c>
      <c r="BS54" s="1195" t="s">
        <v>1187</v>
      </c>
      <c r="BT54" s="1195" t="s">
        <v>506</v>
      </c>
      <c r="BU54" s="1196" t="s">
        <v>499</v>
      </c>
      <c r="BV54" s="1195" t="s">
        <v>1186</v>
      </c>
      <c r="BW54" s="1196" t="s">
        <v>1304</v>
      </c>
      <c r="BX54" s="1195" t="s">
        <v>1187</v>
      </c>
      <c r="BY54" s="1195" t="s">
        <v>506</v>
      </c>
      <c r="BZ54" s="1196" t="s">
        <v>499</v>
      </c>
      <c r="CA54" s="1195" t="s">
        <v>1186</v>
      </c>
      <c r="CB54" s="1196" t="s">
        <v>1304</v>
      </c>
      <c r="CC54" s="1195" t="s">
        <v>1187</v>
      </c>
      <c r="CD54" s="1195" t="s">
        <v>506</v>
      </c>
      <c r="CE54" s="1196" t="s">
        <v>499</v>
      </c>
      <c r="CF54" s="1195" t="s">
        <v>1186</v>
      </c>
      <c r="CG54" s="1196" t="s">
        <v>1304</v>
      </c>
      <c r="CH54" s="1195" t="s">
        <v>1187</v>
      </c>
      <c r="CI54" s="1195" t="s">
        <v>506</v>
      </c>
      <c r="CJ54" s="1196" t="s">
        <v>499</v>
      </c>
      <c r="CK54" s="1195" t="s">
        <v>1186</v>
      </c>
      <c r="CL54" s="1196" t="s">
        <v>1304</v>
      </c>
      <c r="CM54" s="1195" t="s">
        <v>1187</v>
      </c>
      <c r="CN54" s="1195" t="s">
        <v>506</v>
      </c>
      <c r="CO54" s="1196" t="s">
        <v>499</v>
      </c>
      <c r="CP54" s="1195" t="s">
        <v>1186</v>
      </c>
      <c r="CQ54" s="1196" t="s">
        <v>1304</v>
      </c>
      <c r="CR54" s="1195" t="s">
        <v>1187</v>
      </c>
      <c r="CS54" s="1195" t="s">
        <v>506</v>
      </c>
      <c r="CT54" s="1196" t="s">
        <v>499</v>
      </c>
      <c r="CU54" s="1195" t="s">
        <v>1186</v>
      </c>
      <c r="CV54" s="1196" t="s">
        <v>1304</v>
      </c>
      <c r="CW54" s="1195" t="s">
        <v>1187</v>
      </c>
      <c r="CX54" s="1195" t="s">
        <v>506</v>
      </c>
      <c r="CY54" s="1196" t="s">
        <v>499</v>
      </c>
      <c r="CZ54" s="1195" t="s">
        <v>1186</v>
      </c>
      <c r="DA54" s="1196" t="s">
        <v>1304</v>
      </c>
      <c r="DB54" s="1195" t="s">
        <v>1187</v>
      </c>
      <c r="DC54" s="1195" t="s">
        <v>506</v>
      </c>
      <c r="DD54" s="1196" t="s">
        <v>499</v>
      </c>
      <c r="DE54" s="1195" t="s">
        <v>1186</v>
      </c>
      <c r="DF54" s="1196" t="s">
        <v>1304</v>
      </c>
      <c r="DG54" s="1195" t="s">
        <v>1187</v>
      </c>
      <c r="DH54" s="1195" t="s">
        <v>506</v>
      </c>
      <c r="DI54" s="1196" t="s">
        <v>499</v>
      </c>
      <c r="DJ54" s="1195" t="s">
        <v>1186</v>
      </c>
      <c r="DK54" s="1196" t="s">
        <v>1304</v>
      </c>
      <c r="DL54" s="1195" t="s">
        <v>1187</v>
      </c>
      <c r="DM54" s="1195" t="s">
        <v>506</v>
      </c>
      <c r="DN54" s="1196" t="s">
        <v>499</v>
      </c>
      <c r="DO54" s="1195" t="s">
        <v>1186</v>
      </c>
      <c r="DP54" s="1196" t="s">
        <v>1304</v>
      </c>
      <c r="DQ54" s="1195" t="s">
        <v>1187</v>
      </c>
      <c r="DR54" s="1195" t="s">
        <v>506</v>
      </c>
      <c r="DS54" s="1196" t="s">
        <v>499</v>
      </c>
      <c r="DT54" s="1195" t="s">
        <v>1186</v>
      </c>
      <c r="DU54" s="1196" t="s">
        <v>1304</v>
      </c>
      <c r="DV54" s="1195" t="s">
        <v>1187</v>
      </c>
      <c r="DW54" s="1195" t="s">
        <v>506</v>
      </c>
      <c r="DX54" s="1196" t="s">
        <v>499</v>
      </c>
      <c r="DY54" s="1195" t="s">
        <v>1186</v>
      </c>
      <c r="DZ54" s="1196" t="s">
        <v>1304</v>
      </c>
      <c r="EA54" s="1195" t="s">
        <v>1187</v>
      </c>
    </row>
    <row r="55" spans="1:131">
      <c r="C55" s="1112" t="s">
        <v>622</v>
      </c>
      <c r="D55" s="1121" t="s">
        <v>591</v>
      </c>
      <c r="E55" s="1080" t="s">
        <v>505</v>
      </c>
      <c r="F55" s="1105" t="s">
        <v>1728</v>
      </c>
      <c r="G55" s="1206"/>
      <c r="H55" s="1218"/>
      <c r="I55" s="1140"/>
      <c r="J55" s="1218"/>
      <c r="K55" s="1220"/>
      <c r="L55" s="1222"/>
      <c r="M55" s="1218"/>
      <c r="N55" s="1233"/>
      <c r="O55" s="1218"/>
      <c r="P55" s="1220"/>
      <c r="Q55" s="1222"/>
      <c r="R55" s="1218"/>
      <c r="S55" s="1233"/>
      <c r="T55" s="1218"/>
      <c r="U55" s="1220"/>
      <c r="V55" s="1222"/>
      <c r="W55" s="1218"/>
      <c r="X55" s="1233"/>
      <c r="Y55" s="1218"/>
      <c r="Z55" s="1220"/>
      <c r="AA55" s="1222"/>
      <c r="AB55" s="1218"/>
      <c r="AC55" s="1233"/>
      <c r="AD55" s="1218"/>
      <c r="AE55" s="1220"/>
      <c r="AF55" s="1222"/>
      <c r="AG55" s="1218"/>
      <c r="AH55" s="1233"/>
      <c r="AI55" s="1218"/>
      <c r="AJ55" s="1220"/>
      <c r="AK55" s="1222"/>
      <c r="AL55" s="1218"/>
      <c r="AM55" s="1233"/>
      <c r="AN55" s="1218"/>
      <c r="AO55" s="1220"/>
      <c r="AP55" s="1222"/>
      <c r="AQ55" s="1218"/>
      <c r="AR55" s="1233"/>
      <c r="AS55" s="1218"/>
      <c r="AT55" s="1220"/>
      <c r="AU55" s="1222"/>
      <c r="AV55" s="1218"/>
      <c r="AW55" s="1233"/>
      <c r="AX55" s="1218"/>
      <c r="AY55" s="1220"/>
      <c r="AZ55" s="1222"/>
      <c r="BA55" s="1218"/>
      <c r="BB55" s="1233"/>
      <c r="BC55" s="1218"/>
      <c r="BD55" s="1220"/>
      <c r="BE55" s="1222"/>
      <c r="BF55" s="1218"/>
      <c r="BG55" s="1233"/>
      <c r="BH55" s="1218"/>
      <c r="BI55" s="1220"/>
      <c r="BJ55" s="1222"/>
      <c r="BK55" s="1218"/>
      <c r="BL55" s="1233"/>
      <c r="BM55" s="1218"/>
      <c r="BN55" s="1220"/>
      <c r="BO55" s="1222"/>
      <c r="BP55" s="1218"/>
      <c r="BQ55" s="1233"/>
      <c r="BR55" s="1218"/>
      <c r="BS55" s="1220"/>
      <c r="BT55" s="1222"/>
      <c r="BU55" s="1218"/>
      <c r="BV55" s="1233"/>
      <c r="BW55" s="1218"/>
      <c r="BX55" s="1220"/>
      <c r="BY55" s="1222"/>
      <c r="BZ55" s="1218"/>
      <c r="CA55" s="1233"/>
      <c r="CB55" s="1218"/>
      <c r="CC55" s="1220"/>
      <c r="CD55" s="1222"/>
      <c r="CE55" s="1218"/>
      <c r="CF55" s="1233"/>
      <c r="CG55" s="1218"/>
      <c r="CH55" s="1220"/>
      <c r="CI55" s="1222"/>
      <c r="CJ55" s="1218"/>
      <c r="CK55" s="1233"/>
      <c r="CL55" s="1218"/>
      <c r="CM55" s="1220"/>
      <c r="CN55" s="1222"/>
      <c r="CO55" s="1218"/>
      <c r="CP55" s="1233"/>
      <c r="CQ55" s="1218"/>
      <c r="CR55" s="1220"/>
      <c r="CS55" s="1222"/>
      <c r="CT55" s="1218"/>
      <c r="CU55" s="1233"/>
      <c r="CV55" s="1218"/>
      <c r="CW55" s="1220"/>
      <c r="CX55" s="1222"/>
      <c r="CY55" s="1218"/>
      <c r="CZ55" s="1233"/>
      <c r="DA55" s="1218"/>
      <c r="DB55" s="1220"/>
      <c r="DC55" s="1222"/>
      <c r="DD55" s="1218"/>
      <c r="DE55" s="1233"/>
      <c r="DF55" s="1218"/>
      <c r="DG55" s="1220"/>
      <c r="DH55" s="1222"/>
      <c r="DI55" s="1218"/>
      <c r="DJ55" s="1233"/>
      <c r="DK55" s="1218"/>
      <c r="DL55" s="1220"/>
      <c r="DM55" s="1222"/>
      <c r="DN55" s="1218"/>
      <c r="DO55" s="1233"/>
      <c r="DP55" s="1218"/>
      <c r="DQ55" s="1220"/>
      <c r="DR55" s="1222"/>
      <c r="DS55" s="1353"/>
      <c r="DT55" s="1233"/>
      <c r="DU55" s="1353"/>
      <c r="DV55" s="1220"/>
      <c r="DW55" s="1222"/>
      <c r="DX55" s="1353"/>
      <c r="DY55" s="1233"/>
      <c r="DZ55" s="1353"/>
      <c r="EA55" s="1220"/>
    </row>
    <row r="56" spans="1:131">
      <c r="C56" s="1113" t="s">
        <v>622</v>
      </c>
      <c r="D56" s="1145" t="s">
        <v>1743</v>
      </c>
      <c r="E56" s="29" t="s">
        <v>505</v>
      </c>
      <c r="F56" s="1106" t="s">
        <v>1729</v>
      </c>
      <c r="G56" s="1147"/>
      <c r="H56" s="1219"/>
      <c r="I56" s="1141"/>
      <c r="J56" s="1219"/>
      <c r="K56" s="1221"/>
      <c r="L56" s="1223"/>
      <c r="M56" s="1219"/>
      <c r="N56" s="1234"/>
      <c r="O56" s="1219"/>
      <c r="P56" s="1221"/>
      <c r="Q56" s="1223"/>
      <c r="R56" s="1219"/>
      <c r="S56" s="1234"/>
      <c r="T56" s="1219"/>
      <c r="U56" s="1221"/>
      <c r="V56" s="1223"/>
      <c r="W56" s="1219"/>
      <c r="X56" s="1234"/>
      <c r="Y56" s="1219"/>
      <c r="Z56" s="1221"/>
      <c r="AA56" s="1223"/>
      <c r="AB56" s="1219"/>
      <c r="AC56" s="1234"/>
      <c r="AD56" s="1219"/>
      <c r="AE56" s="1221"/>
      <c r="AF56" s="1223"/>
      <c r="AG56" s="1219"/>
      <c r="AH56" s="1234"/>
      <c r="AI56" s="1219"/>
      <c r="AJ56" s="1221"/>
      <c r="AK56" s="1223"/>
      <c r="AL56" s="1219"/>
      <c r="AM56" s="1234"/>
      <c r="AN56" s="1219"/>
      <c r="AO56" s="1221"/>
      <c r="AP56" s="1223"/>
      <c r="AQ56" s="1219"/>
      <c r="AR56" s="1234"/>
      <c r="AS56" s="1219"/>
      <c r="AT56" s="1221"/>
      <c r="AU56" s="1223"/>
      <c r="AV56" s="1219"/>
      <c r="AW56" s="1234"/>
      <c r="AX56" s="1219"/>
      <c r="AY56" s="1221"/>
      <c r="AZ56" s="1223"/>
      <c r="BA56" s="1219"/>
      <c r="BB56" s="1234"/>
      <c r="BC56" s="1219"/>
      <c r="BD56" s="1221"/>
      <c r="BE56" s="1223"/>
      <c r="BF56" s="1219"/>
      <c r="BG56" s="1234"/>
      <c r="BH56" s="1219"/>
      <c r="BI56" s="1221"/>
      <c r="BJ56" s="1223"/>
      <c r="BK56" s="1219"/>
      <c r="BL56" s="1234"/>
      <c r="BM56" s="1219"/>
      <c r="BN56" s="1221"/>
      <c r="BO56" s="1223"/>
      <c r="BP56" s="1219"/>
      <c r="BQ56" s="1234"/>
      <c r="BR56" s="1219"/>
      <c r="BS56" s="1221"/>
      <c r="BT56" s="1223"/>
      <c r="BU56" s="1219"/>
      <c r="BV56" s="1234"/>
      <c r="BW56" s="1219"/>
      <c r="BX56" s="1221"/>
      <c r="BY56" s="1223"/>
      <c r="BZ56" s="1219"/>
      <c r="CA56" s="1234"/>
      <c r="CB56" s="1219"/>
      <c r="CC56" s="1221"/>
      <c r="CD56" s="1223"/>
      <c r="CE56" s="1219"/>
      <c r="CF56" s="1234"/>
      <c r="CG56" s="1219"/>
      <c r="CH56" s="1221"/>
      <c r="CI56" s="1223"/>
      <c r="CJ56" s="1219"/>
      <c r="CK56" s="1234"/>
      <c r="CL56" s="1219"/>
      <c r="CM56" s="1221"/>
      <c r="CN56" s="1223"/>
      <c r="CO56" s="1219"/>
      <c r="CP56" s="1234"/>
      <c r="CQ56" s="1219"/>
      <c r="CR56" s="1221"/>
      <c r="CS56" s="1223"/>
      <c r="CT56" s="1219"/>
      <c r="CU56" s="1234"/>
      <c r="CV56" s="1219"/>
      <c r="CW56" s="1221"/>
      <c r="CX56" s="1223"/>
      <c r="CY56" s="1219"/>
      <c r="CZ56" s="1234"/>
      <c r="DA56" s="1219"/>
      <c r="DB56" s="1221"/>
      <c r="DC56" s="1223"/>
      <c r="DD56" s="1219"/>
      <c r="DE56" s="1234"/>
      <c r="DF56" s="1219"/>
      <c r="DG56" s="1221"/>
      <c r="DH56" s="1223"/>
      <c r="DI56" s="1219"/>
      <c r="DJ56" s="1234"/>
      <c r="DK56" s="1219"/>
      <c r="DL56" s="1221"/>
      <c r="DM56" s="1223"/>
      <c r="DN56" s="1219"/>
      <c r="DO56" s="1234"/>
      <c r="DP56" s="1219"/>
      <c r="DQ56" s="1221"/>
      <c r="DR56" s="1223"/>
      <c r="DS56" s="1354"/>
      <c r="DT56" s="1234"/>
      <c r="DU56" s="1354"/>
      <c r="DV56" s="1221"/>
      <c r="DW56" s="1223"/>
      <c r="DX56" s="1354"/>
      <c r="DY56" s="1234"/>
      <c r="DZ56" s="1354"/>
      <c r="EA56" s="1221"/>
    </row>
    <row r="57" spans="1:131">
      <c r="C57" s="1113" t="s">
        <v>624</v>
      </c>
      <c r="D57" s="1146"/>
      <c r="E57" s="1146" t="s">
        <v>505</v>
      </c>
      <c r="F57" s="1170" t="s">
        <v>1730</v>
      </c>
      <c r="G57" s="1306"/>
      <c r="H57" s="1307"/>
      <c r="I57" s="1307"/>
      <c r="J57" s="1155">
        <f ca="1">OFFSET('VVP2'!$G$212,0,(COLUMN()-6)/5)</f>
        <v>10.1982</v>
      </c>
      <c r="K57" s="1309"/>
      <c r="L57" s="1224">
        <f ca="1">OFFSET('VVP2'!$G$35,0,(COLUMN()-7)/5)</f>
        <v>-2.9419597665618191</v>
      </c>
      <c r="M57" s="1159">
        <f ca="1">+J57*(1+L57/100)</f>
        <v>9.898173059086492</v>
      </c>
      <c r="N57" s="1231">
        <f ca="1">+O57/M57*100-100</f>
        <v>10.301163000756915</v>
      </c>
      <c r="O57" s="1155">
        <f ca="1">OFFSET('VVP2'!$G$212,0,(COLUMN()-6)/5)</f>
        <v>10.9178</v>
      </c>
      <c r="P57" s="1173">
        <f ca="1">(O57/J57-1)*100</f>
        <v>7.0561471632248907</v>
      </c>
      <c r="Q57" s="1224">
        <f ca="1">OFFSET('VVP2'!$G$35,0,(COLUMN()-7)/5)</f>
        <v>-0.25360368526823329</v>
      </c>
      <c r="R57" s="1159">
        <f ca="1">+O57*(1+Q57/100)</f>
        <v>10.890112056849784</v>
      </c>
      <c r="S57" s="1231">
        <f ca="1">+T57/R57*100-100</f>
        <v>1.3497376554336</v>
      </c>
      <c r="T57" s="1155">
        <f ca="1">OFFSET('VVP2'!$G$212,0,(COLUMN()-6)/5)</f>
        <v>11.037100000000001</v>
      </c>
      <c r="U57" s="1173">
        <f ca="1">(T57/O57-1)*100</f>
        <v>1.092710985729739</v>
      </c>
      <c r="V57" s="1224">
        <f ca="1">OFFSET('VVP2'!$G$35,0,(COLUMN()-7)/5)</f>
        <v>4.6049639855605395</v>
      </c>
      <c r="W57" s="1159">
        <f ca="1">+T57*(1+V57/100)</f>
        <v>11.545354480050303</v>
      </c>
      <c r="X57" s="1231">
        <f ca="1">+Y57/W57*100-100</f>
        <v>1.8089138822941351</v>
      </c>
      <c r="Y57" s="1155">
        <f ca="1">OFFSET('VVP2'!$G$212,0,(COLUMN()-6)/5)</f>
        <v>11.754200000000001</v>
      </c>
      <c r="Z57" s="1173">
        <f ca="1">(Y57/T57-1)*100</f>
        <v>6.4971777006641362</v>
      </c>
      <c r="AA57" s="1224">
        <f ca="1">OFFSET('VVP2'!$G$35,0,(COLUMN()-7)/5)</f>
        <v>-3.6219545902198114</v>
      </c>
      <c r="AB57" s="1159">
        <f ca="1">+Y57*(1+AA57/100)</f>
        <v>11.328468213556384</v>
      </c>
      <c r="AC57" s="1231">
        <f ca="1">+AD57/AB57*100-100</f>
        <v>3.188708125705304</v>
      </c>
      <c r="AD57" s="1155">
        <f ca="1">OFFSET('VVP2'!$G$212,0,(COLUMN()-6)/5)</f>
        <v>11.6897</v>
      </c>
      <c r="AE57" s="1173">
        <f ca="1">(AD57/Y57-1)*100</f>
        <v>-0.54874002484218698</v>
      </c>
      <c r="AF57" s="1224">
        <f ca="1">OFFSET('VVP2'!$G$35,0,(COLUMN()-7)/5)</f>
        <v>-1.4671989363886473</v>
      </c>
      <c r="AG57" s="1159">
        <f ca="1">+AD57*(1+AF57/100)</f>
        <v>11.518188845932977</v>
      </c>
      <c r="AH57" s="1231">
        <f ca="1">+AI57/AG57*100-100</f>
        <v>1.3510036703554107</v>
      </c>
      <c r="AI57" s="1155">
        <f ca="1">OFFSET('VVP2'!$G$212,0,(COLUMN()-6)/5)</f>
        <v>11.6738</v>
      </c>
      <c r="AJ57" s="1173">
        <f ca="1">(AI57/AD57-1)*100</f>
        <v>-0.13601717751524633</v>
      </c>
      <c r="AK57" s="1224">
        <f ca="1">OFFSET('VVP2'!$G$35,0,(COLUMN()-7)/5)</f>
        <v>-0.24570180786515072</v>
      </c>
      <c r="AL57" s="1159">
        <f ca="1">+AI57*(1+AK57/100)</f>
        <v>11.645117262353438</v>
      </c>
      <c r="AM57" s="1231">
        <f ca="1">+AN57/AL57*100-100</f>
        <v>0.38885600399194686</v>
      </c>
      <c r="AN57" s="1155">
        <f ca="1">OFFSET('VVP2'!$G$212,0,(COLUMN()-6)/5)</f>
        <v>11.6904</v>
      </c>
      <c r="AO57" s="1173">
        <f ca="1">(AN57/AI57-1)*100</f>
        <v>0.14219876989498559</v>
      </c>
      <c r="AP57" s="1224">
        <f ca="1">OFFSET('VVP2'!$G$35,0,(COLUMN()-7)/5)</f>
        <v>-5.9783620939351634</v>
      </c>
      <c r="AQ57" s="1159">
        <f ca="1">+AN57*(1+AP57/100)</f>
        <v>10.991505557770603</v>
      </c>
      <c r="AR57" s="1231">
        <f ca="1">+AS57/AQ57*100-100</f>
        <v>-5.9187139890994445E-2</v>
      </c>
      <c r="AS57" s="1155">
        <f ca="1">OFFSET('VVP2'!$G$212,0,(COLUMN()-6)/5)</f>
        <v>10.984999999999999</v>
      </c>
      <c r="AT57" s="1173">
        <f ca="1">(AS57/AN57-1)*100</f>
        <v>-6.0340108122904361</v>
      </c>
      <c r="AU57" s="1224">
        <f ca="1">OFFSET('VVP2'!$G$35,0,(COLUMN()-7)/5)</f>
        <v>8.0744719393255338E-2</v>
      </c>
      <c r="AV57" s="1159">
        <f ca="1">+AS57*(1+AU57/100)</f>
        <v>10.993869807425348</v>
      </c>
      <c r="AW57" s="1231">
        <f ca="1">+AX57/AV57*100-100</f>
        <v>3.5276949733633103</v>
      </c>
      <c r="AX57" s="1155">
        <f ca="1">OFFSET('VVP2'!$G$212,0,(COLUMN()-6)/5)</f>
        <v>11.3817</v>
      </c>
      <c r="AY57" s="1173">
        <f ca="1">(AX57/AS57-1)*100</f>
        <v>3.6112881201638691</v>
      </c>
      <c r="AZ57" s="1224">
        <f ca="1">OFFSET('VVP2'!$G$35,0,(COLUMN()-7)/5)</f>
        <v>10.182560116443518</v>
      </c>
      <c r="BA57" s="1159">
        <f ca="1">+AX57*(1+AZ57/100)</f>
        <v>12.540648444773252</v>
      </c>
      <c r="BB57" s="1231">
        <f ca="1">+BC57/BA57*100-100</f>
        <v>1.8942525681417806</v>
      </c>
      <c r="BC57" s="1155">
        <f ca="1">OFFSET('VVP2'!$G$212,0,(COLUMN()-6)/5)</f>
        <v>12.7782</v>
      </c>
      <c r="BD57" s="1173">
        <f ca="1">(BC57/AX57-1)*100</f>
        <v>12.269696091093586</v>
      </c>
      <c r="BE57" s="1224">
        <f ca="1">OFFSET('VVP2'!$G$35,0,(COLUMN()-7)/5)</f>
        <v>-0.32725186303371734</v>
      </c>
      <c r="BF57" s="1159">
        <f ca="1">+BC57*(1+BE57/100)</f>
        <v>12.736383102437825</v>
      </c>
      <c r="BG57" s="1231">
        <f ca="1">+BH57/BF57*100-100</f>
        <v>1.7839986103957699</v>
      </c>
      <c r="BH57" s="1155">
        <f ca="1">OFFSET('VVP2'!$G$212,0,(COLUMN()-6)/5)</f>
        <v>12.9636</v>
      </c>
      <c r="BI57" s="1173">
        <f ca="1">(BH57/BC57-1)*100</f>
        <v>1.4509085786730491</v>
      </c>
      <c r="BJ57" s="1224">
        <f ca="1">OFFSET('VVP2'!$G$35,0,(COLUMN()-7)/5)</f>
        <v>-1.0459704814698823</v>
      </c>
      <c r="BK57" s="1159">
        <f ca="1">+BH57*(1+BJ57/100)</f>
        <v>12.82800457066417</v>
      </c>
      <c r="BL57" s="1231">
        <f ca="1">+BM57/BK57*100-100</f>
        <v>5.1691237377030177</v>
      </c>
      <c r="BM57" s="1155">
        <f ca="1">OFFSET('VVP2'!$G$212,0,(COLUMN()-6)/5)</f>
        <v>13.491100000000001</v>
      </c>
      <c r="BN57" s="1173">
        <f ca="1">(BM57/BH57-1)*100</f>
        <v>4.0690857477861275</v>
      </c>
      <c r="BO57" s="1224">
        <f ca="1">OFFSET('VVP2'!$G$35,0,(COLUMN()-7)/5)</f>
        <v>7.5288305183814463</v>
      </c>
      <c r="BP57" s="1159">
        <f ca="1">+BM57*(1+BO57/100)</f>
        <v>14.50682205406536</v>
      </c>
      <c r="BQ57" s="1231">
        <f ca="1">+BR57/BP57*100-100</f>
        <v>3.4354729387128202</v>
      </c>
      <c r="BR57" s="1155">
        <f ca="1">OFFSET('VVP2'!$G$212,0,(COLUMN()-6)/5)</f>
        <v>15.0052</v>
      </c>
      <c r="BS57" s="1173">
        <f ca="1">(BR57/BM57-1)*100</f>
        <v>11.222954392154815</v>
      </c>
      <c r="BT57" s="1224">
        <f ca="1">OFFSET('VVP2'!$G$35,0,(COLUMN()-7)/5)</f>
        <v>5.687110388627592</v>
      </c>
      <c r="BU57" s="1159">
        <f ca="1">+BR57*(1+BT57/100)</f>
        <v>15.858562288034348</v>
      </c>
      <c r="BV57" s="1231">
        <f ca="1">+BW57/BU57*100-100</f>
        <v>2.9437581004293918</v>
      </c>
      <c r="BW57" s="1155">
        <f ca="1">OFFSET('VVP2'!$G$212,0,(COLUMN()-6)/5)</f>
        <v>16.325399999999998</v>
      </c>
      <c r="BX57" s="1173">
        <f ca="1">(BW57/BR57-1)*100</f>
        <v>8.7982832618025633</v>
      </c>
      <c r="BY57" s="1224">
        <f ca="1">OFFSET('VVP2'!$G$35,0,(COLUMN()-7)/5)</f>
        <v>7.984114283555277</v>
      </c>
      <c r="BZ57" s="1159">
        <f ca="1">+BW57*(1+BY57/100)</f>
        <v>17.628838593247533</v>
      </c>
      <c r="CA57" s="1231">
        <f ca="1">+CB57/BZ57*100-100</f>
        <v>-3.0474985087974744</v>
      </c>
      <c r="CB57" s="1155">
        <f ca="1">OFFSET('VVP2'!$G$212,0,(COLUMN()-6)/5)</f>
        <v>17.0916</v>
      </c>
      <c r="CC57" s="1173">
        <f ca="1">(CB57/BW57-1)*100</f>
        <v>4.6933000110257694</v>
      </c>
      <c r="CD57" s="1224">
        <f ca="1">OFFSET('VVP2'!$G$35,0,(COLUMN()-7)/5)</f>
        <v>-5.8859315074368475</v>
      </c>
      <c r="CE57" s="1159">
        <f ca="1">+CB57*(1+CD57/100)</f>
        <v>16.085600130474923</v>
      </c>
      <c r="CF57" s="1231">
        <f ca="1">+CG57/CE57*100-100</f>
        <v>3.6759577804301529</v>
      </c>
      <c r="CG57" s="1155">
        <f ca="1">OFFSET('VVP2'!$G$212,0,(COLUMN()-6)/5)</f>
        <v>16.6769</v>
      </c>
      <c r="CH57" s="1173">
        <f ca="1">(CG57/CB57-1)*100</f>
        <v>-2.4263380842051041</v>
      </c>
      <c r="CI57" s="1224">
        <f ca="1">OFFSET('VVP2'!$G$35,0,(COLUMN()-7)/5)</f>
        <v>13.123242329209873</v>
      </c>
      <c r="CJ57" s="1159">
        <f ca="1">+CG57*(1+CI57/100)</f>
        <v>18.865450000000003</v>
      </c>
      <c r="CK57" s="1231">
        <f ca="1">+CL57/CJ57*100-100</f>
        <v>4.4422476007728022</v>
      </c>
      <c r="CL57" s="1155">
        <f ca="1">OFFSET('VVP2'!$G$212,0,(COLUMN()-6)/5)</f>
        <v>19.703499999999998</v>
      </c>
      <c r="CM57" s="1173">
        <f ca="1">(CL57/CG57-1)*100</f>
        <v>18.14845684749562</v>
      </c>
      <c r="CN57" s="1224">
        <f ca="1">OFFSET('VVP2'!$G$35,0,(COLUMN()-7)/5)</f>
        <v>7.025276364995281</v>
      </c>
      <c r="CO57" s="1159">
        <f ca="1">+CL57*(1+CN57/100)</f>
        <v>21.087725328576845</v>
      </c>
      <c r="CP57" s="1231">
        <f ca="1">+CQ57/CO57*100-100</f>
        <v>1.0881907263472499</v>
      </c>
      <c r="CQ57" s="1155">
        <f ca="1">OFFSET('VVP2'!$G$212,0,(COLUMN()-6)/5)</f>
        <v>21.3172</v>
      </c>
      <c r="CR57" s="1173">
        <f ca="1">(CQ57/CL57-1)*100</f>
        <v>8.1899154972466803</v>
      </c>
      <c r="CS57" s="1224">
        <f ca="1">OFFSET('VVP2'!$G$35,0,(COLUMN()-7)/5)</f>
        <v>-0.86217485191275589</v>
      </c>
      <c r="CT57" s="1159">
        <f ca="1">+CQ57*(1+CS57/100)</f>
        <v>21.133408462468054</v>
      </c>
      <c r="CU57" s="1231">
        <f ca="1">+CV57/CT57*100-100</f>
        <v>-0.43158425026437897</v>
      </c>
      <c r="CV57" s="1155">
        <f ca="1">OFFSET('VVP2'!$G$212,0,(COLUMN()-6)/5)</f>
        <v>21.042200000000001</v>
      </c>
      <c r="CW57" s="1173">
        <f ca="1">(CV57/CQ57-1)*100</f>
        <v>-1.2900380913065446</v>
      </c>
      <c r="CX57" s="1224">
        <f ca="1">OFFSET('VVP2'!$G$35,0,(COLUMN()-7)/5)</f>
        <v>-0.85418590058708999</v>
      </c>
      <c r="CY57" s="1159">
        <f ca="1">+CV57*(1+CX57/100)</f>
        <v>20.862460494426664</v>
      </c>
      <c r="CZ57" s="1231">
        <f ca="1">+DA57/CY57*100-100</f>
        <v>-7.8420732928577763E-2</v>
      </c>
      <c r="DA57" s="1155">
        <f ca="1">OFFSET('VVP2'!$G$212,0,(COLUMN()-6)/5)</f>
        <v>20.8461</v>
      </c>
      <c r="DB57" s="1173">
        <f ca="1">(DA57/CV57-1)*100</f>
        <v>-0.93193677467185987</v>
      </c>
      <c r="DC57" s="1224">
        <f ca="1">OFFSET('VVP2'!$G$35,0,(COLUMN()-7)/5)</f>
        <v>-1.4276111649150103</v>
      </c>
      <c r="DD57" s="1159">
        <f ca="1">+DA57*(1+DC57/100)</f>
        <v>20.548498748950653</v>
      </c>
      <c r="DE57" s="1231">
        <f ca="1">+DF57/DD57*100-100</f>
        <v>-1.4473015892017145</v>
      </c>
      <c r="DF57" s="1155">
        <f ca="1">OFFSET('VVP2'!$G$212,0,(COLUMN()-6)/5)</f>
        <v>20.251099999999997</v>
      </c>
      <c r="DG57" s="1173">
        <f ca="1">(DF57/DA57-1)*100</f>
        <v>-2.8542509150392803</v>
      </c>
      <c r="DH57" s="1224">
        <f ca="1">OFFSET('VVP2'!$G$35,0,(COLUMN()-7)/5)</f>
        <v>1.6784221992984349</v>
      </c>
      <c r="DI57" s="1159">
        <f ca="1">+DF57*(1+DH57/100)</f>
        <v>20.590998958002121</v>
      </c>
      <c r="DJ57" s="1231">
        <f ca="1">+DK57/DI57*100-100</f>
        <v>0.66145912724135769</v>
      </c>
      <c r="DK57" s="1155">
        <f ca="1">OFFSET('VVP2'!$G$212,0,(COLUMN()-6)/5)</f>
        <v>20.7272</v>
      </c>
      <c r="DL57" s="1173">
        <f ca="1">(DK57/DF57-1)*100</f>
        <v>2.3509834033706989</v>
      </c>
      <c r="DM57" s="1224">
        <f ca="1">OFFSET('VVP2'!$G$35,0,(COLUMN()-7)/5)</f>
        <v>4.707864355107616</v>
      </c>
      <c r="DN57" s="1159">
        <f ca="1">+DK57*(1+DM57/100)</f>
        <v>21.703008460611866</v>
      </c>
      <c r="DO57" s="1231">
        <f ca="1">+DP57/DN57*100-100</f>
        <v>1.9872431058158213</v>
      </c>
      <c r="DP57" s="1155">
        <f ca="1">OFFSET('VVP2'!$G$212,0,(COLUMN()-6)/5)</f>
        <v>22.1343</v>
      </c>
      <c r="DQ57" s="1173">
        <f ca="1">(DP57/DK57-1)*100</f>
        <v>6.7886641707514794</v>
      </c>
      <c r="DR57" s="3331">
        <v>4.25</v>
      </c>
      <c r="DS57" s="2210">
        <f ca="1">+DP57*(1+DR57/100)</f>
        <v>23.075007749999997</v>
      </c>
      <c r="DT57" s="3726">
        <v>1</v>
      </c>
      <c r="DU57" s="2210">
        <f ca="1">+DS57*(1+DT57/100)</f>
        <v>23.305757827499999</v>
      </c>
      <c r="DV57" s="2211">
        <f ca="1">(DU57/DP57-1)*100</f>
        <v>5.2924999999999889</v>
      </c>
      <c r="DW57" s="3331">
        <v>3.6</v>
      </c>
      <c r="DX57" s="2210">
        <f ca="1">+DU57*(1+DW57/100)</f>
        <v>24.144765109289999</v>
      </c>
      <c r="DY57" s="3726">
        <v>1.2</v>
      </c>
      <c r="DZ57" s="2210">
        <f ca="1">+DX57*(1+DY57/100)</f>
        <v>24.434502290601479</v>
      </c>
      <c r="EA57" s="2211">
        <f ca="1">(DZ57/DU57-1)*100</f>
        <v>4.8432000000000031</v>
      </c>
    </row>
    <row r="58" spans="1:131">
      <c r="C58" s="1113" t="s">
        <v>622</v>
      </c>
      <c r="D58" s="3"/>
      <c r="E58" s="1" t="s">
        <v>1484</v>
      </c>
      <c r="F58" s="3" t="s">
        <v>1731</v>
      </c>
      <c r="G58" s="1310"/>
      <c r="H58" s="1219"/>
      <c r="I58" s="1141"/>
      <c r="J58" s="1104">
        <f ca="1">OFFSET('VVP2'!$G$213,0,(COLUMN()-6)/5)</f>
        <v>12.551299999999999</v>
      </c>
      <c r="K58" s="1221"/>
      <c r="L58" s="1225">
        <f ca="1">OFFSET('VVP2'!$G$36,0,(COLUMN()-7)/5)</f>
        <v>-14.26867727892558</v>
      </c>
      <c r="M58" s="1104">
        <f ca="1">+J58*(1+L58/100)</f>
        <v>10.760395508690213</v>
      </c>
      <c r="N58" s="1235">
        <f ca="1">+O58/M58*100-100</f>
        <v>9.1697790337995855</v>
      </c>
      <c r="O58" s="1104">
        <f ca="1">OFFSET('VVP2'!$G$213,0,(COLUMN()-6)/5)</f>
        <v>11.7471</v>
      </c>
      <c r="P58" s="1226">
        <f ca="1">(O58/J58-1)*100</f>
        <v>-6.4073044226494407</v>
      </c>
      <c r="Q58" s="1225">
        <f ca="1">OFFSET('VVP2'!$G$36,0,(COLUMN()-7)/5)</f>
        <v>7.7100215084325407</v>
      </c>
      <c r="R58" s="1104">
        <f ca="1">+O58*(1+Q58/100)</f>
        <v>12.652803936617079</v>
      </c>
      <c r="S58" s="1235">
        <f ca="1">+T58/R58*100-100</f>
        <v>1.2313165063124814</v>
      </c>
      <c r="T58" s="1104">
        <f ca="1">OFFSET('VVP2'!$G$213,0,(COLUMN()-6)/5)</f>
        <v>12.8086</v>
      </c>
      <c r="U58" s="1226">
        <f ca="1">(T58/O58-1)*100</f>
        <v>9.0362727822185906</v>
      </c>
      <c r="V58" s="1225">
        <f ca="1">OFFSET('VVP2'!$G$36,0,(COLUMN()-7)/5)</f>
        <v>-4.5821236585740888</v>
      </c>
      <c r="W58" s="1104">
        <f ca="1">+T58*(1+V58/100)</f>
        <v>12.221694109067879</v>
      </c>
      <c r="X58" s="1235">
        <f ca="1">+Y58/W58*100-100</f>
        <v>1.157825500043657</v>
      </c>
      <c r="Y58" s="1104">
        <f ca="1">OFFSET('VVP2'!$G$213,0,(COLUMN()-6)/5)</f>
        <v>12.363200000000001</v>
      </c>
      <c r="Z58" s="1226">
        <f ca="1">(Y58/T58-1)*100</f>
        <v>-3.4773511546929314</v>
      </c>
      <c r="AA58" s="1225">
        <f ca="1">OFFSET('VVP2'!$G$36,0,(COLUMN()-7)/5)</f>
        <v>2.5858424051349971</v>
      </c>
      <c r="AB58" s="1104">
        <f ca="1">+Y58*(1+AA58/100)</f>
        <v>12.682892868231651</v>
      </c>
      <c r="AC58" s="1235">
        <f ca="1">+AD58/AB58*100-100</f>
        <v>1.8805420360032059</v>
      </c>
      <c r="AD58" s="1104">
        <f ca="1">OFFSET('VVP2'!$G$213,0,(COLUMN()-6)/5)</f>
        <v>12.9214</v>
      </c>
      <c r="AE58" s="1226">
        <f ca="1">(AD58/Y58-1)*100</f>
        <v>4.5150122945515569</v>
      </c>
      <c r="AF58" s="1225">
        <f ca="1">OFFSET('VVP2'!$G$36,0,(COLUMN()-7)/5)</f>
        <v>4.2666849154282538E-2</v>
      </c>
      <c r="AG58" s="1104">
        <f ca="1">+AD58*(1+AF58/100)</f>
        <v>12.926913154246622</v>
      </c>
      <c r="AH58" s="1235">
        <f ca="1">+AI58/AG58*100-100</f>
        <v>2.9820487006733174</v>
      </c>
      <c r="AI58" s="1104">
        <f ca="1">OFFSET('VVP2'!$G$213,0,(COLUMN()-6)/5)</f>
        <v>13.3124</v>
      </c>
      <c r="AJ58" s="1226">
        <f ca="1">(AI58/AD58-1)*100</f>
        <v>3.025987896048421</v>
      </c>
      <c r="AK58" s="1225">
        <f ca="1">OFFSET('VVP2'!$G$36,0,(COLUMN()-7)/5)</f>
        <v>-2.1435223019286243</v>
      </c>
      <c r="AL58" s="1104">
        <f ca="1">+AI58*(1+AK58/100)</f>
        <v>13.027045737078055</v>
      </c>
      <c r="AM58" s="1235">
        <f ca="1">+AN58/AL58*100-100</f>
        <v>2.7800183574328656</v>
      </c>
      <c r="AN58" s="1104">
        <f ca="1">OFFSET('VVP2'!$G$213,0,(COLUMN()-6)/5)</f>
        <v>13.389200000000001</v>
      </c>
      <c r="AO58" s="1226">
        <f ca="1">(AN58/AI58-1)*100</f>
        <v>0.57690574201496592</v>
      </c>
      <c r="AP58" s="1225">
        <f ca="1">OFFSET('VVP2'!$G$36,0,(COLUMN()-7)/5)</f>
        <v>-4.9286760924973301</v>
      </c>
      <c r="AQ58" s="1104">
        <f ca="1">+AN58*(1+AP58/100)</f>
        <v>12.729289700623347</v>
      </c>
      <c r="AR58" s="1235">
        <f ca="1">+AS58/AQ58*100-100</f>
        <v>2.1628095977984714</v>
      </c>
      <c r="AS58" s="1104">
        <f ca="1">OFFSET('VVP2'!$G$213,0,(COLUMN()-6)/5)</f>
        <v>13.0046</v>
      </c>
      <c r="AT58" s="1226">
        <f ca="1">(AS58/AN58-1)*100</f>
        <v>-2.8724643742718103</v>
      </c>
      <c r="AU58" s="1225">
        <f ca="1">OFFSET('VVP2'!$G$36,0,(COLUMN()-7)/5)</f>
        <v>3.2807586089347307</v>
      </c>
      <c r="AV58" s="1104">
        <f ca="1">+AS58*(1+AU58/100)</f>
        <v>13.431249534057526</v>
      </c>
      <c r="AW58" s="1235">
        <f ca="1">+AX58/AV58*100-100</f>
        <v>2.5630561406037486</v>
      </c>
      <c r="AX58" s="1104">
        <f ca="1">OFFSET('VVP2'!$G$213,0,(COLUMN()-6)/5)</f>
        <v>13.775499999999999</v>
      </c>
      <c r="AY58" s="1226">
        <f ca="1">(AX58/AS58-1)*100</f>
        <v>5.927902434523169</v>
      </c>
      <c r="AZ58" s="1225">
        <f ca="1">OFFSET('VVP2'!$G$36,0,(COLUMN()-7)/5)</f>
        <v>7.476330571113432</v>
      </c>
      <c r="BA58" s="1104">
        <f ca="1">+AX58*(1+AZ58/100)</f>
        <v>14.80540191782373</v>
      </c>
      <c r="BB58" s="1235">
        <f ca="1">+BC58/BA58*100-100</f>
        <v>5.1548623023700486</v>
      </c>
      <c r="BC58" s="1104">
        <f ca="1">OFFSET('VVP2'!$G$213,0,(COLUMN()-6)/5)</f>
        <v>15.5686</v>
      </c>
      <c r="BD58" s="1226">
        <f ca="1">(BC58/AX58-1)*100</f>
        <v>13.016587419694382</v>
      </c>
      <c r="BE58" s="1225">
        <f ca="1">OFFSET('VVP2'!$G$36,0,(COLUMN()-7)/5)</f>
        <v>10.153501839111613</v>
      </c>
      <c r="BF58" s="1104">
        <f ca="1">+BC58*(1+BE58/100)</f>
        <v>17.149358087323929</v>
      </c>
      <c r="BG58" s="1235">
        <f ca="1">+BH58/BF58*100-100</f>
        <v>4.6733056047646642</v>
      </c>
      <c r="BH58" s="1104">
        <f ca="1">OFFSET('VVP2'!$G$213,0,(COLUMN()-6)/5)</f>
        <v>17.950800000000001</v>
      </c>
      <c r="BI58" s="1226">
        <f ca="1">(BH58/BC58-1)*100</f>
        <v>15.301311614403357</v>
      </c>
      <c r="BJ58" s="1225">
        <f ca="1">OFFSET('VVP2'!$G$36,0,(COLUMN()-7)/5)</f>
        <v>6.934059175910523</v>
      </c>
      <c r="BK58" s="1104">
        <f ca="1">+BH58*(1+BJ58/100)</f>
        <v>19.195519094549347</v>
      </c>
      <c r="BL58" s="1235">
        <f ca="1">+BM58/BK58*100-100</f>
        <v>5.6465308393687934</v>
      </c>
      <c r="BM58" s="1104">
        <f ca="1">OFFSET('VVP2'!$G$213,0,(COLUMN()-6)/5)</f>
        <v>20.279400000000003</v>
      </c>
      <c r="BN58" s="1226">
        <f ca="1">(BM58/BH58-1)*100</f>
        <v>12.972123805067181</v>
      </c>
      <c r="BO58" s="1225">
        <f ca="1">OFFSET('VVP2'!$G$36,0,(COLUMN()-7)/5)</f>
        <v>2.9414283176483647</v>
      </c>
      <c r="BP58" s="1104">
        <f ca="1">+BM58*(1+BO58/100)</f>
        <v>20.875904014249183</v>
      </c>
      <c r="BQ58" s="1235">
        <f ca="1">+BR58/BP58*100-100</f>
        <v>4.475954598723149</v>
      </c>
      <c r="BR58" s="1104">
        <f ca="1">OFFSET('VVP2'!$G$213,0,(COLUMN()-6)/5)</f>
        <v>21.810299999999998</v>
      </c>
      <c r="BS58" s="1226">
        <f ca="1">(BR58/BM58-1)*100</f>
        <v>7.5490399124234164</v>
      </c>
      <c r="BT58" s="1225">
        <f ca="1">OFFSET('VVP2'!$G$36,0,(COLUMN()-7)/5)</f>
        <v>-1.4184270957441458</v>
      </c>
      <c r="BU58" s="1104">
        <f ca="1">+BR58*(1+BT58/100)</f>
        <v>21.500936795136912</v>
      </c>
      <c r="BV58" s="1235">
        <f ca="1">+BW58/BU58*100-100</f>
        <v>7.7567001882462421</v>
      </c>
      <c r="BW58" s="1104">
        <f ca="1">OFFSET('VVP2'!$G$213,0,(COLUMN()-6)/5)</f>
        <v>23.168700000000001</v>
      </c>
      <c r="BX58" s="1226">
        <f ca="1">(BW58/BR58-1)*100</f>
        <v>6.2282499552963611</v>
      </c>
      <c r="BY58" s="1225">
        <f ca="1">OFFSET('VVP2'!$G$36,0,(COLUMN()-7)/5)</f>
        <v>-8.6385148778364229</v>
      </c>
      <c r="BZ58" s="1104">
        <f ca="1">+BW58*(1+BY58/100)</f>
        <v>21.167268403498714</v>
      </c>
      <c r="CA58" s="1235">
        <f ca="1">+CB58/BZ58*100-100</f>
        <v>1.2397990685369251</v>
      </c>
      <c r="CB58" s="1104">
        <f ca="1">OFFSET('VVP2'!$G$213,0,(COLUMN()-6)/5)</f>
        <v>21.4297</v>
      </c>
      <c r="CC58" s="1226">
        <f ca="1">(CB58/BW58-1)*100</f>
        <v>-7.505816036290347</v>
      </c>
      <c r="CD58" s="1225">
        <f ca="1">OFFSET('VVP2'!$G$36,0,(COLUMN()-7)/5)</f>
        <v>2.6409778193151601</v>
      </c>
      <c r="CE58" s="1104">
        <f ca="1">+CB58*(1+CD58/100)</f>
        <v>21.995653623745781</v>
      </c>
      <c r="CF58" s="1235">
        <f ca="1">+CG58/CE58*100-100</f>
        <v>1.5577912896587378</v>
      </c>
      <c r="CG58" s="1104">
        <f ca="1">OFFSET('VVP2'!$G$213,0,(COLUMN()-6)/5)</f>
        <v>22.3383</v>
      </c>
      <c r="CH58" s="1226">
        <f ca="1">(CG58/CB58-1)*100</f>
        <v>4.2399100314050031</v>
      </c>
      <c r="CI58" s="1225">
        <f ca="1">OFFSET('VVP2'!$G$36,0,(COLUMN()-7)/5)</f>
        <v>-2.3545211587273962</v>
      </c>
      <c r="CJ58" s="1104">
        <f ca="1">+CG58*(1+CI58/100)</f>
        <v>21.812339999999999</v>
      </c>
      <c r="CK58" s="1235">
        <f ca="1">+CL58/CJ58*100-100</f>
        <v>1.4939249984183363</v>
      </c>
      <c r="CL58" s="1104">
        <f ca="1">OFFSET('VVP2'!$G$213,0,(COLUMN()-6)/5)</f>
        <v>22.138200000000001</v>
      </c>
      <c r="CM58" s="1226">
        <f ca="1">(CL58/CG58-1)*100</f>
        <v>-0.8957709404923353</v>
      </c>
      <c r="CN58" s="1225">
        <f ca="1">OFFSET('VVP2'!$G$36,0,(COLUMN()-7)/5)</f>
        <v>0.21868355252119276</v>
      </c>
      <c r="CO58" s="1104">
        <f ca="1">+CL58*(1+CN58/100)</f>
        <v>22.186612602224248</v>
      </c>
      <c r="CP58" s="1235">
        <f ca="1">+CQ58/CO58*100-100</f>
        <v>3.0062606209155405</v>
      </c>
      <c r="CQ58" s="1104">
        <f ca="1">OFFSET('VVP2'!$G$213,0,(COLUMN()-6)/5)</f>
        <v>22.8536</v>
      </c>
      <c r="CR58" s="1226">
        <f ca="1">(CQ58/CL58-1)*100</f>
        <v>3.2315183709606066</v>
      </c>
      <c r="CS58" s="1225">
        <f ca="1">OFFSET('VVP2'!$G$36,0,(COLUMN()-7)/5)</f>
        <v>-3.3382372584862763</v>
      </c>
      <c r="CT58" s="1104">
        <f ca="1">+CQ58*(1+CS58/100)</f>
        <v>22.090692609894582</v>
      </c>
      <c r="CU58" s="1235">
        <f ca="1">+CV58/CT58*100-100</f>
        <v>1.6333004875719155</v>
      </c>
      <c r="CV58" s="1104">
        <f ca="1">OFFSET('VVP2'!$G$213,0,(COLUMN()-6)/5)</f>
        <v>22.451499999999999</v>
      </c>
      <c r="CW58" s="1226">
        <f ca="1">(CV58/CQ58-1)*100</f>
        <v>-1.7594602163335304</v>
      </c>
      <c r="CX58" s="1225">
        <f ca="1">OFFSET('VVP2'!$G$36,0,(COLUMN()-7)/5)</f>
        <v>5.5597885500915822</v>
      </c>
      <c r="CY58" s="1104">
        <f ca="1">+CV58*(1+CX58/100)</f>
        <v>23.69975592632381</v>
      </c>
      <c r="CZ58" s="1235">
        <f ca="1">+DA58/CY58*100-100</f>
        <v>0.38120254890827709</v>
      </c>
      <c r="DA58" s="1104">
        <f ca="1">OFFSET('VVP2'!$G$213,0,(COLUMN()-6)/5)</f>
        <v>23.790099999999999</v>
      </c>
      <c r="DB58" s="1226">
        <f ca="1">(DA58/CV58-1)*100</f>
        <v>5.9621851546667326</v>
      </c>
      <c r="DC58" s="1225">
        <f ca="1">OFFSET('VVP2'!$G$36,0,(COLUMN()-7)/5)</f>
        <v>0.54296999340956997</v>
      </c>
      <c r="DD58" s="1104">
        <f ca="1">+DA58*(1+DC58/100)</f>
        <v>23.91927310440213</v>
      </c>
      <c r="DE58" s="1235">
        <f ca="1">+DF58/DD58*100-100</f>
        <v>0.25430076964451587</v>
      </c>
      <c r="DF58" s="1104">
        <f ca="1">OFFSET('VVP2'!$G$213,0,(COLUMN()-6)/5)</f>
        <v>23.9801</v>
      </c>
      <c r="DG58" s="1226">
        <f ca="1">(DF58/DA58-1)*100</f>
        <v>0.79865153992628724</v>
      </c>
      <c r="DH58" s="1225">
        <f ca="1">OFFSET('VVP2'!$G$36,0,(COLUMN()-7)/5)</f>
        <v>3.0850509292475348</v>
      </c>
      <c r="DI58" s="1104">
        <f ca="1">+DF58*(1+DH58/100)</f>
        <v>24.719898297884487</v>
      </c>
      <c r="DJ58" s="1235">
        <f ca="1">+DK58/DI58*100-100</f>
        <v>0.26821187254313372</v>
      </c>
      <c r="DK58" s="1104">
        <f ca="1">OFFSET('VVP2'!$G$213,0,(COLUMN()-6)/5)</f>
        <v>24.786200000000001</v>
      </c>
      <c r="DL58" s="1226">
        <f ca="1">(DK58/DF58-1)*100</f>
        <v>3.3615372746569117</v>
      </c>
      <c r="DM58" s="1225">
        <f ca="1">OFFSET('VVP2'!$G$36,0,(COLUMN()-7)/5)</f>
        <v>0.45427667621043</v>
      </c>
      <c r="DN58" s="1104">
        <f ca="1">+DK58*(1+DM58/100)</f>
        <v>24.89879792551887</v>
      </c>
      <c r="DO58" s="1235">
        <f ca="1">+DP58/DN58*100-100</f>
        <v>1.3583068367107813</v>
      </c>
      <c r="DP58" s="1104">
        <f ca="1">OFFSET('VVP2'!$G$213,0,(COLUMN()-6)/5)</f>
        <v>25.236999999999998</v>
      </c>
      <c r="DQ58" s="1226">
        <f ca="1">(DP58/DK58-1)*100</f>
        <v>1.8187539840717637</v>
      </c>
      <c r="DR58" s="3331">
        <v>0.7</v>
      </c>
      <c r="DS58" s="2212">
        <f ca="1">+DP58*(1+DR58/100)</f>
        <v>25.413658999999996</v>
      </c>
      <c r="DT58" s="3727">
        <v>1</v>
      </c>
      <c r="DU58" s="2212">
        <f ca="1">+DS58*(1+DT58/100)</f>
        <v>25.667795589999997</v>
      </c>
      <c r="DV58" s="2213">
        <f ca="1">(DU58/DP58-1)*100</f>
        <v>1.7069999999999919</v>
      </c>
      <c r="DW58" s="3331">
        <v>0.7</v>
      </c>
      <c r="DX58" s="2212">
        <f ca="1">+DU58*(1+DW58/100)</f>
        <v>25.847470159129994</v>
      </c>
      <c r="DY58" s="3727">
        <v>1.2</v>
      </c>
      <c r="DZ58" s="2212">
        <f ca="1">+DX58*(1+DY58/100)</f>
        <v>26.157639801039554</v>
      </c>
      <c r="EA58" s="2213">
        <f ca="1">(DZ58/DU58-1)*100</f>
        <v>1.9083999999999879</v>
      </c>
    </row>
    <row r="59" spans="1:131">
      <c r="A59" s="1377" t="s">
        <v>571</v>
      </c>
      <c r="C59" s="1114" t="s">
        <v>624</v>
      </c>
      <c r="D59" s="1207"/>
      <c r="E59" s="1207" t="s">
        <v>1740</v>
      </c>
      <c r="F59" s="1208" t="s">
        <v>42</v>
      </c>
      <c r="G59" s="1311"/>
      <c r="H59" s="1312"/>
      <c r="I59" s="1312"/>
      <c r="J59" s="1157">
        <f ca="1">OFFSET('VVP2'!$G$214,0,(COLUMN()-6)/5)</f>
        <v>22.749499999999998</v>
      </c>
      <c r="K59" s="1315"/>
      <c r="L59" s="1385">
        <f ca="1">IF(UPPER($F$2)="Y",(M59/J59-1)*100,OFFSET('VVP2'!$G$37,0,(COLUMN()-7)/5))</f>
        <v>-9.1911093967924291</v>
      </c>
      <c r="M59" s="1386">
        <f ca="1">IF(UPPER($F$2)="Y",+M57+M58,J59*(1+L59/100))</f>
        <v>20.658568567776705</v>
      </c>
      <c r="N59" s="1236">
        <f ca="1">+O59/M59*100-100</f>
        <v>9.7118608467034591</v>
      </c>
      <c r="O59" s="1157">
        <f ca="1">OFFSET('VVP2'!$G$214,0,(COLUMN()-6)/5)</f>
        <v>22.664899999999999</v>
      </c>
      <c r="P59" s="1211">
        <f ca="1">(O59/J59-1)*100</f>
        <v>-0.37187630497372837</v>
      </c>
      <c r="Q59" s="1385">
        <f ca="1">IF(UPPER($F$2)="Y",(R59/O59-1)*100,OFFSET('VVP2'!$G$37,0,(COLUMN()-7)/5))</f>
        <v>3.8739019076495573</v>
      </c>
      <c r="R59" s="1386">
        <f ca="1">IF(UPPER($F$2)="Y",+R57+R58,O59*(1+Q59/100))</f>
        <v>23.542915993466863</v>
      </c>
      <c r="S59" s="1236">
        <f ca="1">+T59/R59*100-100</f>
        <v>1.2860939002507621</v>
      </c>
      <c r="T59" s="1157">
        <f ca="1">OFFSET('VVP2'!$G$214,0,(COLUMN()-6)/5)</f>
        <v>23.845700000000001</v>
      </c>
      <c r="U59" s="1211">
        <f ca="1">(T59/O59-1)*100</f>
        <v>5.2098178240362891</v>
      </c>
      <c r="V59" s="1385">
        <f ca="1">IF(UPPER($F$2)="Y",(W59/T59-1)*100,OFFSET('VVP2'!$G$37,0,(COLUMN()-7)/5))</f>
        <v>-0.32983477474688438</v>
      </c>
      <c r="W59" s="1386">
        <f ca="1">IF(UPPER($F$2)="Y",+W57+W58,T59*(1+V59/100))</f>
        <v>23.767048589118183</v>
      </c>
      <c r="X59" s="1236">
        <f ca="1">+Y59/W59*100-100</f>
        <v>1.4741056701597728</v>
      </c>
      <c r="Y59" s="1157">
        <f ca="1">OFFSET('VVP2'!$G$214,0,(COLUMN()-6)/5)</f>
        <v>24.117400000000004</v>
      </c>
      <c r="Z59" s="1211">
        <f ca="1">(Y59/T59-1)*100</f>
        <v>1.1394087822961918</v>
      </c>
      <c r="AA59" s="1385">
        <f ca="1">IF(UPPER($F$2)="Y",(AB59/Y59-1)*100,OFFSET('VVP2'!$G$37,0,(COLUMN()-7)/5))</f>
        <v>-0.43967806733714587</v>
      </c>
      <c r="AB59" s="1386">
        <f ca="1">IF(UPPER($F$2)="Y",+AB57+AB58,Y59*(1+AA59/100))</f>
        <v>24.011361081788035</v>
      </c>
      <c r="AC59" s="1236">
        <f ca="1">+AD59/AB59*100-100</f>
        <v>2.4977297878663336</v>
      </c>
      <c r="AD59" s="1157">
        <f ca="1">OFFSET('VVP2'!$G$214,0,(COLUMN()-6)/5)</f>
        <v>24.6111</v>
      </c>
      <c r="AE59" s="1211">
        <f ca="1">(AD59/Y59-1)*100</f>
        <v>2.0470697504705981</v>
      </c>
      <c r="AF59" s="1385">
        <f ca="1">IF(UPPER($F$2)="Y",(AG59/AD59-1)*100,OFFSET('VVP2'!$G$37,0,(COLUMN()-7)/5))</f>
        <v>-0.67448427668979072</v>
      </c>
      <c r="AG59" s="1386">
        <f ca="1">IF(UPPER($F$2)="Y",+AG57+AG58,AD59*(1+AF59/100))</f>
        <v>24.445102000179599</v>
      </c>
      <c r="AH59" s="1236">
        <f ca="1">+AI59/AG59*100-100</f>
        <v>2.2135231827481192</v>
      </c>
      <c r="AI59" s="1157">
        <f ca="1">OFFSET('VVP2'!$G$214,0,(COLUMN()-6)/5)</f>
        <v>24.9862</v>
      </c>
      <c r="AJ59" s="1211">
        <f ca="1">(AI59/AD59-1)*100</f>
        <v>1.5241090402298152</v>
      </c>
      <c r="AK59" s="1385">
        <f ca="1">IF(UPPER($F$2)="Y",(AL59/AI59-1)*100,OFFSET('VVP2'!$G$37,0,(COLUMN()-7)/5))</f>
        <v>-1.256841778936002</v>
      </c>
      <c r="AL59" s="1386">
        <f ca="1">IF(UPPER($F$2)="Y",+AL57+AL58,AI59*(1+AK59/100))</f>
        <v>24.672162999431492</v>
      </c>
      <c r="AM59" s="1236">
        <f ca="1">+AN59/AL59*100-100</f>
        <v>1.6514036510617132</v>
      </c>
      <c r="AN59" s="1157">
        <f ca="1">OFFSET('VVP2'!$G$214,0,(COLUMN()-6)/5)</f>
        <v>25.079599999999999</v>
      </c>
      <c r="AO59" s="1211">
        <f ca="1">(AN59/AI59-1)*100</f>
        <v>0.37380634110029121</v>
      </c>
      <c r="AP59" s="1385">
        <f ca="1">IF(UPPER($F$2)="Y",(AQ59/AN59-1)*100,OFFSET('VVP2'!$G$37,0,(COLUMN()-7)/5))</f>
        <v>-5.417968155816089</v>
      </c>
      <c r="AQ59" s="1386">
        <f ca="1">IF(UPPER($F$2)="Y",+AQ57+AQ58,AN59*(1+AP59/100))</f>
        <v>23.720795258393949</v>
      </c>
      <c r="AR59" s="1236">
        <f ca="1">+AS59/AQ59*100-100</f>
        <v>1.1332029077352672</v>
      </c>
      <c r="AS59" s="1157">
        <f ca="1">OFFSET('VVP2'!$G$214,0,(COLUMN()-6)/5)</f>
        <v>23.989599999999999</v>
      </c>
      <c r="AT59" s="1211">
        <f ca="1">(AS59/AN59-1)*100</f>
        <v>-4.3461618207626955</v>
      </c>
      <c r="AU59" s="1385">
        <f ca="1">IF(UPPER($F$2)="Y",(AV59/AS59-1)*100,OFFSET('VVP2'!$G$37,0,(COLUMN()-7)/5))</f>
        <v>1.815450618113168</v>
      </c>
      <c r="AV59" s="1386">
        <f ca="1">IF(UPPER($F$2)="Y",+AV57+AV58,AS59*(1+AU59/100))</f>
        <v>24.425119341482876</v>
      </c>
      <c r="AW59" s="1236">
        <f ca="1">+AX59/AV59*100-100</f>
        <v>2.9972449603297662</v>
      </c>
      <c r="AX59" s="1157">
        <f ca="1">OFFSET('VVP2'!$G$214,0,(COLUMN()-6)/5)</f>
        <v>25.1572</v>
      </c>
      <c r="AY59" s="1211">
        <f ca="1">(AX59/AS59-1)*100</f>
        <v>4.8671090806015949</v>
      </c>
      <c r="AZ59" s="1385">
        <f ca="1">IF(UPPER($F$2)="Y",(BA59/AX59-1)*100,OFFSET('VVP2'!$G$37,0,(COLUMN()-7)/5))</f>
        <v>8.700691502221968</v>
      </c>
      <c r="BA59" s="1386">
        <f ca="1">IF(UPPER($F$2)="Y",+BA57+BA58,AX59*(1+AZ59/100))</f>
        <v>27.346050362596984</v>
      </c>
      <c r="BB59" s="1236">
        <f ca="1">+BC59/BA59*100-100</f>
        <v>3.6595765170234813</v>
      </c>
      <c r="BC59" s="1157">
        <f ca="1">OFFSET('VVP2'!$G$214,0,(COLUMN()-6)/5)</f>
        <v>28.346800000000002</v>
      </c>
      <c r="BD59" s="1211">
        <f ca="1">(BC59/AX59-1)*100</f>
        <v>12.678676482279428</v>
      </c>
      <c r="BE59" s="1385">
        <f ca="1">IF(UPPER($F$2)="Y",(BF59/BC59-1)*100,OFFSET('VVP2'!$G$37,0,(COLUMN()-7)/5))</f>
        <v>5.4289767796074084</v>
      </c>
      <c r="BF59" s="1386">
        <f ca="1">IF(UPPER($F$2)="Y",+BF57+BF58,BC59*(1+BE59/100))</f>
        <v>29.885741189761752</v>
      </c>
      <c r="BG59" s="1236">
        <f ca="1">+BH59/BF59*100-100</f>
        <v>3.4419718878869503</v>
      </c>
      <c r="BH59" s="1157">
        <f ca="1">OFFSET('VVP2'!$G$214,0,(COLUMN()-6)/5)</f>
        <v>30.914400000000001</v>
      </c>
      <c r="BI59" s="1211">
        <f ca="1">(BH59/BC59-1)*100</f>
        <v>9.0578125220483372</v>
      </c>
      <c r="BJ59" s="1385">
        <f ca="1">IF(UPPER($F$2)="Y",(BK59/BH59-1)*100,OFFSET('VVP2'!$G$37,0,(COLUMN()-7)/5))</f>
        <v>3.5877250252746906</v>
      </c>
      <c r="BK59" s="1386">
        <f ca="1">IF(UPPER($F$2)="Y",+BK57+BK58,BH59*(1+BJ59/100))</f>
        <v>32.023523665213517</v>
      </c>
      <c r="BL59" s="1236">
        <f ca="1">+BM59/BK59*100-100</f>
        <v>5.455290782644866</v>
      </c>
      <c r="BM59" s="1157">
        <f ca="1">OFFSET('VVP2'!$G$214,0,(COLUMN()-6)/5)</f>
        <v>33.770500000000006</v>
      </c>
      <c r="BN59" s="1211">
        <f ca="1">(BM59/BH59-1)*100</f>
        <v>9.2387366405299876</v>
      </c>
      <c r="BO59" s="1385">
        <f ca="1">IF(UPPER($F$2)="Y",(BP59/BM59-1)*100,OFFSET('VVP2'!$G$37,0,(COLUMN()-7)/5))</f>
        <v>4.7740663250900539</v>
      </c>
      <c r="BP59" s="1386">
        <f ca="1">IF(UPPER($F$2)="Y",+BP57+BP58,BM59*(1+BO59/100))</f>
        <v>35.38272606831454</v>
      </c>
      <c r="BQ59" s="1236">
        <f ca="1">+BR59/BP59*100-100</f>
        <v>4.0493599303772072</v>
      </c>
      <c r="BR59" s="1157">
        <f ca="1">OFFSET('VVP2'!$G$214,0,(COLUMN()-6)/5)</f>
        <v>36.8155</v>
      </c>
      <c r="BS59" s="1211">
        <f ca="1">(BR59/BM59-1)*100</f>
        <v>9.0167453842850733</v>
      </c>
      <c r="BT59" s="1385">
        <f ca="1">IF(UPPER($F$2)="Y",(BU59/BR59-1)*100,OFFSET('VVP2'!$G$37,0,(COLUMN()-7)/5))</f>
        <v>1.477636004322247</v>
      </c>
      <c r="BU59" s="1386">
        <f ca="1">IF(UPPER($F$2)="Y",+BU57+BU58,BR59*(1+BT59/100))</f>
        <v>37.359499083171258</v>
      </c>
      <c r="BV59" s="1236">
        <f ca="1">+BW59/BU59*100-100</f>
        <v>5.7136764924942156</v>
      </c>
      <c r="BW59" s="1157">
        <f ca="1">OFFSET('VVP2'!$G$214,0,(COLUMN()-6)/5)</f>
        <v>39.494100000000003</v>
      </c>
      <c r="BX59" s="1211">
        <f ca="1">(BW59/BR59-1)*100</f>
        <v>7.2757398378400451</v>
      </c>
      <c r="BY59" s="1385">
        <f ca="1">IF(UPPER($F$2)="Y",(BZ59/BW59-1)*100,OFFSET('VVP2'!$G$37,0,(COLUMN()-7)/5))</f>
        <v>-1.7673348759783325</v>
      </c>
      <c r="BZ59" s="1386">
        <f ca="1">IF(UPPER($F$2)="Y",+BZ57+BZ58,BW59*(1+BY59/100))</f>
        <v>38.796106996746246</v>
      </c>
      <c r="CA59" s="1236">
        <f ca="1">+CB59/BZ59*100-100</f>
        <v>-0.70833652657287871</v>
      </c>
      <c r="CB59" s="1157">
        <f ca="1">OFFSET('VVP2'!$G$214,0,(COLUMN()-6)/5)</f>
        <v>38.521299999999997</v>
      </c>
      <c r="CC59" s="1211">
        <f ca="1">(CB59/BW59-1)*100</f>
        <v>-2.4631527240777884</v>
      </c>
      <c r="CD59" s="1385">
        <f ca="1">IF(UPPER($F$2)="Y",(CE59/CB59-1)*100,OFFSET('VVP2'!$G$37,0,(COLUMN()-7)/5))</f>
        <v>-1.1423452629565789</v>
      </c>
      <c r="CE59" s="1386">
        <f ca="1">IF(UPPER($F$2)="Y",+CE57+CE58,CB59*(1+CD59/100))</f>
        <v>38.081253754220704</v>
      </c>
      <c r="CF59" s="1236">
        <f ca="1">+CG59/CE59*100-100</f>
        <v>2.4525091841961313</v>
      </c>
      <c r="CG59" s="1157">
        <f ca="1">OFFSET('VVP2'!$G$214,0,(COLUMN()-6)/5)</f>
        <v>39.0152</v>
      </c>
      <c r="CH59" s="1211">
        <f ca="1">(CG59/CB59-1)*100</f>
        <v>1.2821477987503105</v>
      </c>
      <c r="CI59" s="1385">
        <f ca="1">IF(UPPER($F$2)="Y",(CJ59/CG59-1)*100,OFFSET('VVP2'!$G$37,0,(COLUMN()-7)/5))</f>
        <v>4.2613904324468432</v>
      </c>
      <c r="CJ59" s="1386">
        <f ca="1">IF(UPPER($F$2)="Y",+CJ57+CJ58,CG59*(1+CI59/100))</f>
        <v>40.677790000000002</v>
      </c>
      <c r="CK59" s="1236">
        <f ca="1">+CL59/CJ59*100-100</f>
        <v>2.8612911370062193</v>
      </c>
      <c r="CL59" s="1157">
        <f ca="1">OFFSET('VVP2'!$G$214,0,(COLUMN()-6)/5)</f>
        <v>41.841700000000003</v>
      </c>
      <c r="CM59" s="1211">
        <f ca="1">(CL59/CG59-1)*100</f>
        <v>7.2446123562099007</v>
      </c>
      <c r="CN59" s="1385">
        <f ca="1">IF(UPPER($F$2)="Y",(CO59/CL59-1)*100,OFFSET('VVP2'!$G$37,0,(COLUMN()-7)/5))</f>
        <v>3.4239477143641173</v>
      </c>
      <c r="CO59" s="1386">
        <f ca="1">IF(UPPER($F$2)="Y",+CO57+CO58,CL59*(1+CN59/100))</f>
        <v>43.274337930801096</v>
      </c>
      <c r="CP59" s="1236">
        <f ca="1">+CQ59/CO59*100-100</f>
        <v>2.0715789358404919</v>
      </c>
      <c r="CQ59" s="1157">
        <f ca="1">OFFSET('VVP2'!$G$214,0,(COLUMN()-6)/5)</f>
        <v>44.1708</v>
      </c>
      <c r="CR59" s="1211">
        <f ca="1">(CQ59/CL59-1)*100</f>
        <v>5.5664564298295582</v>
      </c>
      <c r="CS59" s="1385">
        <f ca="1">IF(UPPER($F$2)="Y",(CT59/CQ59-1)*100,OFFSET('VVP2'!$G$37,0,(COLUMN()-7)/5))</f>
        <v>-2.1432686925239364</v>
      </c>
      <c r="CT59" s="1386">
        <f ca="1">IF(UPPER($F$2)="Y",+CT57+CT58,CQ59*(1+CS59/100))</f>
        <v>43.224101072362636</v>
      </c>
      <c r="CU59" s="1236">
        <f ca="1">+CV59/CT59*100-100</f>
        <v>0.6237236193438207</v>
      </c>
      <c r="CV59" s="1157">
        <f ca="1">OFFSET('VVP2'!$G$214,0,(COLUMN()-6)/5)</f>
        <v>43.493700000000004</v>
      </c>
      <c r="CW59" s="1211">
        <f ca="1">(CV59/CQ59-1)*100</f>
        <v>-1.5329131462413992</v>
      </c>
      <c r="CX59" s="1385">
        <f ca="1">IF(UPPER($F$2)="Y",(CY59/CV59-1)*100,OFFSET('VVP2'!$G$37,0,(COLUMN()-7)/5))</f>
        <v>2.4567153880917791</v>
      </c>
      <c r="CY59" s="1386">
        <f ca="1">IF(UPPER($F$2)="Y",+CY57+CY58,CV59*(1+CX59/100))</f>
        <v>44.562216420750474</v>
      </c>
      <c r="CZ59" s="1236">
        <f ca="1">+DA59/CY59*100-100</f>
        <v>0.16602311373156908</v>
      </c>
      <c r="DA59" s="1157">
        <f ca="1">OFFSET('VVP2'!$G$214,0,(COLUMN()-6)/5)</f>
        <v>44.636200000000002</v>
      </c>
      <c r="DB59" s="1211">
        <f ca="1">(DA59/CV59-1)*100</f>
        <v>2.6268172172061677</v>
      </c>
      <c r="DC59" s="1385">
        <f ca="1">IF(UPPER($F$2)="Y",(DD59/DA59-1)*100,OFFSET('VVP2'!$G$37,0,(COLUMN()-7)/5))</f>
        <v>-0.37733531673219689</v>
      </c>
      <c r="DD59" s="1386">
        <f ca="1">IF(UPPER($F$2)="Y",+DD57+DD58,DA59*(1+DC59/100))</f>
        <v>44.467771853352787</v>
      </c>
      <c r="DE59" s="1236">
        <f ca="1">+DF59/DD59*100-100</f>
        <v>-0.53200743705566822</v>
      </c>
      <c r="DF59" s="1157">
        <f ca="1">OFFSET('VVP2'!$G$214,0,(COLUMN()-6)/5)</f>
        <v>44.231200000000001</v>
      </c>
      <c r="DG59" s="1211">
        <f ca="1">(DF59/DA59-1)*100</f>
        <v>-0.90733530184021749</v>
      </c>
      <c r="DH59" s="1385">
        <f ca="1">IF(UPPER($F$2)="Y",(DI59/DF59-1)*100,OFFSET('VVP2'!$G$37,0,(COLUMN()-7)/5))</f>
        <v>2.4410308919645018</v>
      </c>
      <c r="DI59" s="1386">
        <f ca="1">IF(UPPER($F$2)="Y",+DI57+DI58,DF59*(1+DH59/100))</f>
        <v>45.310897255886609</v>
      </c>
      <c r="DJ59" s="1236">
        <f ca="1">+DK59/DI59*100-100</f>
        <v>0.44691841560715773</v>
      </c>
      <c r="DK59" s="1157">
        <f ca="1">OFFSET('VVP2'!$G$214,0,(COLUMN()-6)/5)</f>
        <v>45.513400000000004</v>
      </c>
      <c r="DL59" s="1211">
        <f ca="1">(DK59/DF59-1)*100</f>
        <v>2.8988587241585151</v>
      </c>
      <c r="DM59" s="1385">
        <f ca="1">IF(UPPER($F$2)="Y",(DN59/DK59-1)*100,OFFSET('VVP2'!$G$37,0,(COLUMN()-7)/5))</f>
        <v>2.3913976677873539</v>
      </c>
      <c r="DN59" s="1386">
        <f ca="1">IF(UPPER($F$2)="Y",+DN57+DN58,DK59*(1+DM59/100))</f>
        <v>46.601806386130733</v>
      </c>
      <c r="DO59" s="1236">
        <f ca="1">+DP59/DN59*100-100</f>
        <v>1.6512098425830004</v>
      </c>
      <c r="DP59" s="1157">
        <f ca="1">OFFSET('VVP2'!$G$214,0,(COLUMN()-6)/5)</f>
        <v>47.371299999999998</v>
      </c>
      <c r="DQ59" s="1211">
        <f ca="1">(DP59/DK59-1)*100</f>
        <v>4.08209450403616</v>
      </c>
      <c r="DR59" s="1407">
        <f ca="1">IF(UPPER($F$2)="Y",(DS59/DP59-1)*100,OFFSET('VVP2'!$G$37,0,(COLUMN()-7)/5))</f>
        <v>2.3587420020138694</v>
      </c>
      <c r="DS59" s="1406">
        <f ca="1">IF(UPPER($F$2)="Y",+DS57+DS58,DP59*(1+DR59/100))</f>
        <v>48.488666749999993</v>
      </c>
      <c r="DT59" s="1408">
        <f ca="1">+DU59/DS59*100-100</f>
        <v>1.0000000000000284</v>
      </c>
      <c r="DU59" s="1154">
        <f ca="1">+DU57+DU58</f>
        <v>48.9735534175</v>
      </c>
      <c r="DV59" s="1346">
        <f ca="1">(DU59/DP59-1)*100</f>
        <v>3.382329422034025</v>
      </c>
      <c r="DW59" s="1407">
        <f ca="1">IF(UPPER($F$2)="Y",(DX59/DU59-1)*100,OFFSET('VVP2'!$G$37,0,(COLUMN()-7)/5))</f>
        <v>2.0800652185388957</v>
      </c>
      <c r="DX59" s="1406">
        <f ca="1">IF(UPPER($F$2)="Y",+DX57+DX58,DU59*(1+DW59/100))</f>
        <v>49.992235268419989</v>
      </c>
      <c r="DY59" s="1408">
        <f ca="1">+DZ59/DX59*100-100</f>
        <v>1.2000000000000171</v>
      </c>
      <c r="DZ59" s="1154">
        <f ca="1">+DZ57+DZ58</f>
        <v>50.592142091641037</v>
      </c>
      <c r="EA59" s="1346">
        <f ca="1">(DZ59/DU59-1)*100</f>
        <v>3.3050260011613819</v>
      </c>
    </row>
    <row r="60" spans="1:131" ht="12.75" customHeight="1">
      <c r="C60" s="1112"/>
      <c r="D60" s="1099" t="s">
        <v>591</v>
      </c>
      <c r="E60" s="1080" t="s">
        <v>1741</v>
      </c>
      <c r="F60" s="1099" t="s">
        <v>1732</v>
      </c>
      <c r="G60" s="1206"/>
      <c r="H60" s="1218"/>
      <c r="I60" s="1140"/>
      <c r="J60" s="1218"/>
      <c r="K60" s="1220"/>
      <c r="L60" s="1222"/>
      <c r="M60" s="1218"/>
      <c r="N60" s="1237"/>
      <c r="O60" s="1218"/>
      <c r="P60" s="1227"/>
      <c r="Q60" s="1222"/>
      <c r="R60" s="1218"/>
      <c r="S60" s="1237"/>
      <c r="T60" s="1218"/>
      <c r="U60" s="1227"/>
      <c r="V60" s="1222"/>
      <c r="W60" s="1218"/>
      <c r="X60" s="1237"/>
      <c r="Y60" s="1218"/>
      <c r="Z60" s="1227"/>
      <c r="AA60" s="1222"/>
      <c r="AB60" s="1218"/>
      <c r="AC60" s="1237"/>
      <c r="AD60" s="1218"/>
      <c r="AE60" s="1227"/>
      <c r="AF60" s="1222"/>
      <c r="AG60" s="1218"/>
      <c r="AH60" s="1237"/>
      <c r="AI60" s="1218"/>
      <c r="AJ60" s="1227"/>
      <c r="AK60" s="1222"/>
      <c r="AL60" s="1218"/>
      <c r="AM60" s="1237"/>
      <c r="AN60" s="1218"/>
      <c r="AO60" s="1227"/>
      <c r="AP60" s="1222"/>
      <c r="AQ60" s="1218"/>
      <c r="AR60" s="1237"/>
      <c r="AS60" s="1218"/>
      <c r="AT60" s="1227"/>
      <c r="AU60" s="1222"/>
      <c r="AV60" s="1218"/>
      <c r="AW60" s="1237"/>
      <c r="AX60" s="1218"/>
      <c r="AY60" s="1227"/>
      <c r="AZ60" s="1222"/>
      <c r="BA60" s="1218"/>
      <c r="BB60" s="1237"/>
      <c r="BC60" s="1218"/>
      <c r="BD60" s="1227"/>
      <c r="BE60" s="1222"/>
      <c r="BF60" s="1218"/>
      <c r="BG60" s="1237"/>
      <c r="BH60" s="1218"/>
      <c r="BI60" s="1227"/>
      <c r="BJ60" s="1222"/>
      <c r="BK60" s="1218"/>
      <c r="BL60" s="1237"/>
      <c r="BM60" s="1218"/>
      <c r="BN60" s="1227"/>
      <c r="BO60" s="1222"/>
      <c r="BP60" s="1218"/>
      <c r="BQ60" s="1237"/>
      <c r="BR60" s="1218"/>
      <c r="BS60" s="1227"/>
      <c r="BT60" s="1222"/>
      <c r="BU60" s="1218"/>
      <c r="BV60" s="1237"/>
      <c r="BW60" s="1218"/>
      <c r="BX60" s="1227"/>
      <c r="BY60" s="1222"/>
      <c r="BZ60" s="1218"/>
      <c r="CA60" s="1237"/>
      <c r="CB60" s="1218"/>
      <c r="CC60" s="1227"/>
      <c r="CD60" s="1222"/>
      <c r="CE60" s="1218"/>
      <c r="CF60" s="1237"/>
      <c r="CG60" s="1218"/>
      <c r="CH60" s="1227"/>
      <c r="CI60" s="1222"/>
      <c r="CJ60" s="1218"/>
      <c r="CK60" s="1237"/>
      <c r="CL60" s="1218"/>
      <c r="CM60" s="1227"/>
      <c r="CN60" s="1222"/>
      <c r="CO60" s="1218"/>
      <c r="CP60" s="1237"/>
      <c r="CQ60" s="1218"/>
      <c r="CR60" s="1227"/>
      <c r="CS60" s="1222"/>
      <c r="CT60" s="1218"/>
      <c r="CU60" s="1237"/>
      <c r="CV60" s="1218"/>
      <c r="CW60" s="1227"/>
      <c r="CX60" s="1222"/>
      <c r="CY60" s="1218"/>
      <c r="CZ60" s="1237"/>
      <c r="DA60" s="1218"/>
      <c r="DB60" s="1227"/>
      <c r="DC60" s="1222"/>
      <c r="DD60" s="1218"/>
      <c r="DE60" s="1237"/>
      <c r="DF60" s="1218"/>
      <c r="DG60" s="1227"/>
      <c r="DH60" s="1222"/>
      <c r="DI60" s="1218"/>
      <c r="DJ60" s="1237"/>
      <c r="DK60" s="1218"/>
      <c r="DL60" s="1227"/>
      <c r="DM60" s="1222"/>
      <c r="DN60" s="1218"/>
      <c r="DO60" s="1237"/>
      <c r="DP60" s="1218"/>
      <c r="DQ60" s="1227"/>
      <c r="DR60" s="1222"/>
      <c r="DS60" s="1353"/>
      <c r="DT60" s="1237"/>
      <c r="DU60" s="1353"/>
      <c r="DV60" s="1227"/>
      <c r="DW60" s="1222"/>
      <c r="DX60" s="1353"/>
      <c r="DY60" s="1237"/>
      <c r="DZ60" s="1353"/>
      <c r="EA60" s="1227"/>
    </row>
    <row r="61" spans="1:131">
      <c r="C61" s="1113" t="s">
        <v>622</v>
      </c>
      <c r="D61" s="1106" t="s">
        <v>1743</v>
      </c>
      <c r="E61" s="1" t="s">
        <v>1741</v>
      </c>
      <c r="F61" s="3" t="s">
        <v>1733</v>
      </c>
      <c r="G61" s="1147"/>
      <c r="H61" s="1219"/>
      <c r="I61" s="1141"/>
      <c r="J61" s="1219"/>
      <c r="K61" s="1221"/>
      <c r="L61" s="1223"/>
      <c r="M61" s="1219"/>
      <c r="N61" s="1238"/>
      <c r="O61" s="1219"/>
      <c r="P61" s="1228"/>
      <c r="Q61" s="1223"/>
      <c r="R61" s="1219"/>
      <c r="S61" s="1238"/>
      <c r="T61" s="1219"/>
      <c r="U61" s="1228"/>
      <c r="V61" s="1223"/>
      <c r="W61" s="1219"/>
      <c r="X61" s="1238"/>
      <c r="Y61" s="1219"/>
      <c r="Z61" s="1228"/>
      <c r="AA61" s="1223"/>
      <c r="AB61" s="1219"/>
      <c r="AC61" s="1238"/>
      <c r="AD61" s="1219"/>
      <c r="AE61" s="1228"/>
      <c r="AF61" s="1223"/>
      <c r="AG61" s="1219"/>
      <c r="AH61" s="1238"/>
      <c r="AI61" s="1219"/>
      <c r="AJ61" s="1228"/>
      <c r="AK61" s="1223"/>
      <c r="AL61" s="1219"/>
      <c r="AM61" s="1238"/>
      <c r="AN61" s="1219"/>
      <c r="AO61" s="1228"/>
      <c r="AP61" s="1223"/>
      <c r="AQ61" s="1219"/>
      <c r="AR61" s="1238"/>
      <c r="AS61" s="1219"/>
      <c r="AT61" s="1228"/>
      <c r="AU61" s="1223"/>
      <c r="AV61" s="1219"/>
      <c r="AW61" s="1238"/>
      <c r="AX61" s="1219"/>
      <c r="AY61" s="1228"/>
      <c r="AZ61" s="1223"/>
      <c r="BA61" s="1219"/>
      <c r="BB61" s="1238"/>
      <c r="BC61" s="1219"/>
      <c r="BD61" s="1228"/>
      <c r="BE61" s="1223"/>
      <c r="BF61" s="1219"/>
      <c r="BG61" s="1238"/>
      <c r="BH61" s="1219"/>
      <c r="BI61" s="1228"/>
      <c r="BJ61" s="1223"/>
      <c r="BK61" s="1219"/>
      <c r="BL61" s="1238"/>
      <c r="BM61" s="1219"/>
      <c r="BN61" s="1228"/>
      <c r="BO61" s="1223"/>
      <c r="BP61" s="1219"/>
      <c r="BQ61" s="1238"/>
      <c r="BR61" s="1219"/>
      <c r="BS61" s="1228"/>
      <c r="BT61" s="1223"/>
      <c r="BU61" s="1219"/>
      <c r="BV61" s="1238"/>
      <c r="BW61" s="1219"/>
      <c r="BX61" s="1228"/>
      <c r="BY61" s="1223"/>
      <c r="BZ61" s="1219"/>
      <c r="CA61" s="1238"/>
      <c r="CB61" s="1219"/>
      <c r="CC61" s="1228"/>
      <c r="CD61" s="1223"/>
      <c r="CE61" s="1219"/>
      <c r="CF61" s="1238"/>
      <c r="CG61" s="1219"/>
      <c r="CH61" s="1228"/>
      <c r="CI61" s="1223"/>
      <c r="CJ61" s="1219"/>
      <c r="CK61" s="1238"/>
      <c r="CL61" s="1219"/>
      <c r="CM61" s="1228"/>
      <c r="CN61" s="1223"/>
      <c r="CO61" s="1219"/>
      <c r="CP61" s="1238"/>
      <c r="CQ61" s="1219"/>
      <c r="CR61" s="1228"/>
      <c r="CS61" s="1223"/>
      <c r="CT61" s="1219"/>
      <c r="CU61" s="1238"/>
      <c r="CV61" s="1219"/>
      <c r="CW61" s="1228"/>
      <c r="CX61" s="1223"/>
      <c r="CY61" s="1219"/>
      <c r="CZ61" s="1238"/>
      <c r="DA61" s="1219"/>
      <c r="DB61" s="1228"/>
      <c r="DC61" s="1223"/>
      <c r="DD61" s="1219"/>
      <c r="DE61" s="1238"/>
      <c r="DF61" s="1219"/>
      <c r="DG61" s="1228"/>
      <c r="DH61" s="1223"/>
      <c r="DI61" s="1219"/>
      <c r="DJ61" s="1238"/>
      <c r="DK61" s="1219"/>
      <c r="DL61" s="1228"/>
      <c r="DM61" s="1223"/>
      <c r="DN61" s="1219"/>
      <c r="DO61" s="1238"/>
      <c r="DP61" s="1219"/>
      <c r="DQ61" s="1228"/>
      <c r="DR61" s="1223"/>
      <c r="DS61" s="1354"/>
      <c r="DT61" s="1238"/>
      <c r="DU61" s="1354"/>
      <c r="DV61" s="1228"/>
      <c r="DW61" s="1223"/>
      <c r="DX61" s="1354"/>
      <c r="DY61" s="1238"/>
      <c r="DZ61" s="1354"/>
      <c r="EA61" s="1228"/>
    </row>
    <row r="62" spans="1:131">
      <c r="C62" s="1114" t="s">
        <v>624</v>
      </c>
      <c r="D62" s="1207"/>
      <c r="E62" s="1207" t="s">
        <v>1741</v>
      </c>
      <c r="F62" s="1208" t="s">
        <v>1734</v>
      </c>
      <c r="G62" s="1311"/>
      <c r="H62" s="1312"/>
      <c r="I62" s="1312"/>
      <c r="J62" s="1157">
        <f ca="1">OFFSET('VVP2'!$G$218,0,(COLUMN()-6)/5)</f>
        <v>17.113099999999999</v>
      </c>
      <c r="K62" s="1315"/>
      <c r="L62" s="1209">
        <f ca="1">OFFSET('VVP2'!$G$40,0,(COLUMN()-7)/5)</f>
        <v>-3.5070434833226471</v>
      </c>
      <c r="M62" s="1210">
        <f ca="1">+J62*(1+L62/100)</f>
        <v>16.512936141655512</v>
      </c>
      <c r="N62" s="1236">
        <f ca="1">+O62/M62*100-100</f>
        <v>7.1317653519758579</v>
      </c>
      <c r="O62" s="1157">
        <f ca="1">OFFSET('VVP2'!$G$218,0,(COLUMN()-6)/5)</f>
        <v>17.6906</v>
      </c>
      <c r="P62" s="1211">
        <f ca="1">(O62/J62-1)*100</f>
        <v>3.3746077566308985</v>
      </c>
      <c r="Q62" s="1209">
        <f ca="1">OFFSET('VVP2'!$G$40,0,(COLUMN()-7)/5)</f>
        <v>10.239429956921997</v>
      </c>
      <c r="R62" s="1210">
        <f ca="1">+O62*(1+Q62/100)</f>
        <v>19.502016595959244</v>
      </c>
      <c r="S62" s="1236">
        <f ca="1">+T62/R62*100-100</f>
        <v>0.57985492671657823</v>
      </c>
      <c r="T62" s="1157">
        <f ca="1">OFFSET('VVP2'!$G$218,0,(COLUMN()-6)/5)</f>
        <v>19.615099999999998</v>
      </c>
      <c r="U62" s="1211">
        <f ca="1">(T62/O62-1)*100</f>
        <v>10.878658722711476</v>
      </c>
      <c r="V62" s="1209">
        <f ca="1">OFFSET('VVP2'!$G$40,0,(COLUMN()-7)/5)</f>
        <v>3.2956900199921257</v>
      </c>
      <c r="W62" s="1210">
        <f ca="1">+T62*(1+V62/100)</f>
        <v>20.261552893111475</v>
      </c>
      <c r="X62" s="1236">
        <f ca="1">+Y62/W62*100-100</f>
        <v>0.86245663306456777</v>
      </c>
      <c r="Y62" s="1157">
        <f ca="1">OFFSET('VVP2'!$G$218,0,(COLUMN()-6)/5)</f>
        <v>20.436299999999999</v>
      </c>
      <c r="Z62" s="1211">
        <f ca="1">(Y62/T62-1)*100</f>
        <v>4.1865705502393658</v>
      </c>
      <c r="AA62" s="1209">
        <f ca="1">OFFSET('VVP2'!$G$40,0,(COLUMN()-7)/5)</f>
        <v>8.4137185702920725</v>
      </c>
      <c r="AB62" s="1210">
        <f ca="1">+Y62*(1+AA62/100)</f>
        <v>22.155752768180598</v>
      </c>
      <c r="AC62" s="1236">
        <f ca="1">+AD62/AB62*100-100</f>
        <v>1.2220177515622055</v>
      </c>
      <c r="AD62" s="1157">
        <f ca="1">OFFSET('VVP2'!$G$218,0,(COLUMN()-6)/5)</f>
        <v>22.426500000000001</v>
      </c>
      <c r="AE62" s="1211">
        <f ca="1">(AD62/Y62-1)*100</f>
        <v>9.7385534563497309</v>
      </c>
      <c r="AF62" s="1209">
        <f ca="1">OFFSET('VVP2'!$G$40,0,(COLUMN()-7)/5)</f>
        <v>11.965471577332231</v>
      </c>
      <c r="AG62" s="1210">
        <f ca="1">+AD62*(1+AF62/100)</f>
        <v>25.109936483290415</v>
      </c>
      <c r="AH62" s="1236">
        <f ca="1">+AI62/AG62*100-100</f>
        <v>2.4952811693750476</v>
      </c>
      <c r="AI62" s="1157">
        <f ca="1">OFFSET('VVP2'!$G$218,0,(COLUMN()-6)/5)</f>
        <v>25.736499999999999</v>
      </c>
      <c r="AJ62" s="1211">
        <f ca="1">(AI62/AD62-1)*100</f>
        <v>14.759324905803407</v>
      </c>
      <c r="AK62" s="1209">
        <f ca="1">OFFSET('VVP2'!$G$40,0,(COLUMN()-7)/5)</f>
        <v>1.9422422691098173</v>
      </c>
      <c r="AL62" s="1210">
        <f ca="1">+AI62*(1+AK62/100)</f>
        <v>26.236365181589449</v>
      </c>
      <c r="AM62" s="1236">
        <f ca="1">+AN62/AL62*100-100</f>
        <v>3.2149340627668721E-2</v>
      </c>
      <c r="AN62" s="1157">
        <f ca="1">OFFSET('VVP2'!$G$218,0,(COLUMN()-6)/5)</f>
        <v>26.244799999999998</v>
      </c>
      <c r="AO62" s="1211">
        <f ca="1">(AN62/AI62-1)*100</f>
        <v>1.9750160278203976</v>
      </c>
      <c r="AP62" s="1209">
        <f ca="1">OFFSET('VVP2'!$G$40,0,(COLUMN()-7)/5)</f>
        <v>-5.5375804908887272</v>
      </c>
      <c r="AQ62" s="1210">
        <f ca="1">+AN62*(1+AP62/100)</f>
        <v>24.791473075327232</v>
      </c>
      <c r="AR62" s="1236">
        <f ca="1">+AS62/AQ62*100-100</f>
        <v>-2.1026305042196611</v>
      </c>
      <c r="AS62" s="1157">
        <f ca="1">OFFSET('VVP2'!$G$218,0,(COLUMN()-6)/5)</f>
        <v>24.270199999999999</v>
      </c>
      <c r="AT62" s="1211">
        <f ca="1">(AS62/AN62-1)*100</f>
        <v>-7.5237761385112396</v>
      </c>
      <c r="AU62" s="1209">
        <f ca="1">OFFSET('VVP2'!$G$40,0,(COLUMN()-7)/5)</f>
        <v>-4.4187856742785581</v>
      </c>
      <c r="AV62" s="1210">
        <f ca="1">+AS62*(1+AU62/100)</f>
        <v>23.197751879281245</v>
      </c>
      <c r="AW62" s="1236">
        <f ca="1">+AX62/AV62*100-100</f>
        <v>2.6267550575147993</v>
      </c>
      <c r="AX62" s="1157">
        <f ca="1">OFFSET('VVP2'!$G$218,0,(COLUMN()-6)/5)</f>
        <v>23.807099999999998</v>
      </c>
      <c r="AY62" s="1211">
        <f ca="1">(AX62/AS62-1)*100</f>
        <v>-1.9081012929436092</v>
      </c>
      <c r="AZ62" s="1209">
        <f ca="1">OFFSET('VVP2'!$G$40,0,(COLUMN()-7)/5)</f>
        <v>9.1883687912996272</v>
      </c>
      <c r="BA62" s="1210">
        <f ca="1">+AX62*(1+AZ62/100)</f>
        <v>25.994584146513493</v>
      </c>
      <c r="BB62" s="1236">
        <f ca="1">+BC62/BA62*100-100</f>
        <v>-0.2246011945581472</v>
      </c>
      <c r="BC62" s="1157">
        <f ca="1">OFFSET('VVP2'!$G$218,0,(COLUMN()-6)/5)</f>
        <v>25.936199999999999</v>
      </c>
      <c r="BD62" s="1211">
        <f ca="1">(BC62/AX62-1)*100</f>
        <v>8.9431304106758027</v>
      </c>
      <c r="BE62" s="1209">
        <f ca="1">OFFSET('VVP2'!$G$40,0,(COLUMN()-7)/5)</f>
        <v>7.4003438670824373</v>
      </c>
      <c r="BF62" s="1210">
        <f ca="1">+BC62*(1+BE62/100)</f>
        <v>27.855567986054236</v>
      </c>
      <c r="BG62" s="1236">
        <f ca="1">+BH62/BF62*100-100</f>
        <v>0.72384815146008918</v>
      </c>
      <c r="BH62" s="1157">
        <f ca="1">OFFSET('VVP2'!$G$218,0,(COLUMN()-6)/5)</f>
        <v>28.057200000000002</v>
      </c>
      <c r="BI62" s="1211">
        <f ca="1">(BH62/BC62-1)*100</f>
        <v>8.1777592708261118</v>
      </c>
      <c r="BJ62" s="1209">
        <f ca="1">OFFSET('VVP2'!$G$40,0,(COLUMN()-7)/5)</f>
        <v>0.69095674225319037</v>
      </c>
      <c r="BK62" s="1210">
        <f ca="1">+BH62*(1+BJ62/100)</f>
        <v>28.251063115087465</v>
      </c>
      <c r="BL62" s="1236">
        <f ca="1">+BM62/BK62*100-100</f>
        <v>2.2857082662056598</v>
      </c>
      <c r="BM62" s="1157">
        <f ca="1">OFFSET('VVP2'!$G$218,0,(COLUMN()-6)/5)</f>
        <v>28.896799999999999</v>
      </c>
      <c r="BN62" s="1211">
        <f ca="1">(BM62/BH62-1)*100</f>
        <v>2.9924582638324537</v>
      </c>
      <c r="BO62" s="1209">
        <f ca="1">OFFSET('VVP2'!$G$40,0,(COLUMN()-7)/5)</f>
        <v>9.9430942600664096</v>
      </c>
      <c r="BP62" s="1210">
        <f ca="1">+BM62*(1+BO62/100)</f>
        <v>31.770036062142868</v>
      </c>
      <c r="BQ62" s="1236">
        <f ca="1">+BR62/BP62*100-100</f>
        <v>1.3986888053509006</v>
      </c>
      <c r="BR62" s="1157">
        <f ca="1">OFFSET('VVP2'!$G$218,0,(COLUMN()-6)/5)</f>
        <v>32.214400000000005</v>
      </c>
      <c r="BS62" s="1211">
        <f ca="1">(BR62/BM62-1)*100</f>
        <v>11.480856011738339</v>
      </c>
      <c r="BT62" s="1209">
        <f ca="1">OFFSET('VVP2'!$G$40,0,(COLUMN()-7)/5)</f>
        <v>1.4286836131468972</v>
      </c>
      <c r="BU62" s="1210">
        <f ca="1">+BR62*(1+BT62/100)</f>
        <v>32.674641853873602</v>
      </c>
      <c r="BV62" s="1236">
        <f ca="1">+BW62/BU62*100-100</f>
        <v>2.3555212925314919</v>
      </c>
      <c r="BW62" s="1157">
        <f ca="1">OFFSET('VVP2'!$G$218,0,(COLUMN()-6)/5)</f>
        <v>33.444300000000005</v>
      </c>
      <c r="BX62" s="1211">
        <f ca="1">(BW62/BR62-1)*100</f>
        <v>3.817857852388995</v>
      </c>
      <c r="BY62" s="1209">
        <f ca="1">OFFSET('VVP2'!$G$40,0,(COLUMN()-7)/5)</f>
        <v>-16.698416128006144</v>
      </c>
      <c r="BZ62" s="1210">
        <f ca="1">+BW62*(1+BY62/100)</f>
        <v>27.859631614901247</v>
      </c>
      <c r="CA62" s="1236">
        <f ca="1">+CB62/BZ62*100-100</f>
        <v>-1.5249003316828436</v>
      </c>
      <c r="CB62" s="1157">
        <f ca="1">OFFSET('VVP2'!$G$218,0,(COLUMN()-6)/5)</f>
        <v>27.434799999999999</v>
      </c>
      <c r="CC62" s="1211">
        <f ca="1">(CB62/BW62-1)*100</f>
        <v>-17.968682256767245</v>
      </c>
      <c r="CD62" s="1209">
        <f ca="1">OFFSET('VVP2'!$G$40,0,(COLUMN()-7)/5)</f>
        <v>-1.6197316033909059</v>
      </c>
      <c r="CE62" s="1210">
        <f ca="1">+CB62*(1+CD62/100)</f>
        <v>26.990429874072912</v>
      </c>
      <c r="CF62" s="1236">
        <f ca="1">+CG62/CE62*100-100</f>
        <v>1.1814192193855888</v>
      </c>
      <c r="CG62" s="1157">
        <f ca="1">OFFSET('VVP2'!$G$218,0,(COLUMN()-6)/5)</f>
        <v>27.3093</v>
      </c>
      <c r="CH62" s="1211">
        <f ca="1">(CG62/CB62-1)*100</f>
        <v>-0.45744820447023438</v>
      </c>
      <c r="CI62" s="1209">
        <f ca="1">OFFSET('VVP2'!$G$40,0,(COLUMN()-7)/5)</f>
        <v>3.5357186013555753</v>
      </c>
      <c r="CJ62" s="1210">
        <f ca="1">+CG62*(1+CI62/100)</f>
        <v>28.27488</v>
      </c>
      <c r="CK62" s="1236">
        <f ca="1">+CL62/CJ62*100-100</f>
        <v>3.3436746681152982</v>
      </c>
      <c r="CL62" s="1157">
        <f ca="1">OFFSET('VVP2'!$G$218,0,(COLUMN()-6)/5)</f>
        <v>29.220299999999998</v>
      </c>
      <c r="CM62" s="1211">
        <f ca="1">(CL62/CG62-1)*100</f>
        <v>6.9976161966802453</v>
      </c>
      <c r="CN62" s="1209">
        <f ca="1">OFFSET('VVP2'!$G$40,0,(COLUMN()-7)/5)</f>
        <v>-4.7975800427800248</v>
      </c>
      <c r="CO62" s="1210">
        <f ca="1">+CL62*(1+CN62/100)</f>
        <v>27.818432718759546</v>
      </c>
      <c r="CP62" s="1236">
        <f ca="1">+CQ62/CO62*100-100</f>
        <v>1.9820213698402682</v>
      </c>
      <c r="CQ62" s="1157">
        <f ca="1">OFFSET('VVP2'!$G$218,0,(COLUMN()-6)/5)</f>
        <v>28.369799999999998</v>
      </c>
      <c r="CR62" s="1211">
        <f ca="1">(CQ62/CL62-1)*100</f>
        <v>-2.910647734622851</v>
      </c>
      <c r="CS62" s="1209">
        <f ca="1">OFFSET('VVP2'!$G$40,0,(COLUMN()-7)/5)</f>
        <v>-1.6097557170066445</v>
      </c>
      <c r="CT62" s="1210">
        <f ca="1">+CQ62*(1+CS62/100)</f>
        <v>27.913115522596648</v>
      </c>
      <c r="CU62" s="1236">
        <f ca="1">+CV62/CT62*100-100</f>
        <v>8.7716748721703652E-2</v>
      </c>
      <c r="CV62" s="1157">
        <f ca="1">OFFSET('VVP2'!$G$218,0,(COLUMN()-6)/5)</f>
        <v>27.9376</v>
      </c>
      <c r="CW62" s="1211">
        <f ca="1">(CV62/CQ62-1)*100</f>
        <v>-1.5234509936622675</v>
      </c>
      <c r="CX62" s="1209">
        <f ca="1">OFFSET('VVP2'!$G$40,0,(COLUMN()-7)/5)</f>
        <v>7.9387805573333026</v>
      </c>
      <c r="CY62" s="1210">
        <f ca="1">+CV62*(1+CX62/100)</f>
        <v>30.155504756985547</v>
      </c>
      <c r="CZ62" s="1236">
        <f ca="1">+DA62/CY62*100-100</f>
        <v>8.2224599502708884E-2</v>
      </c>
      <c r="DA62" s="1157">
        <f ca="1">OFFSET('VVP2'!$G$218,0,(COLUMN()-6)/5)</f>
        <v>30.180299999999999</v>
      </c>
      <c r="DB62" s="1211">
        <f ca="1">(DA62/CV62-1)*100</f>
        <v>8.0275327873546622</v>
      </c>
      <c r="DC62" s="1209">
        <f ca="1">OFFSET('VVP2'!$G$40,0,(COLUMN()-7)/5)</f>
        <v>1.6194061489510858</v>
      </c>
      <c r="DD62" s="1210">
        <f ca="1">+DA62*(1+DC62/100)</f>
        <v>30.669041633971883</v>
      </c>
      <c r="DE62" s="1236">
        <f ca="1">+DF62/DD62*100-100</f>
        <v>1.6702783612928158</v>
      </c>
      <c r="DF62" s="1157">
        <f ca="1">OFFSET('VVP2'!$G$218,0,(COLUMN()-6)/5)</f>
        <v>31.1813</v>
      </c>
      <c r="DG62" s="1211">
        <f ca="1">(DF62/DA62-1)*100</f>
        <v>3.3167331007312839</v>
      </c>
      <c r="DH62" s="1209">
        <f ca="1">OFFSET('VVP2'!$G$40,0,(COLUMN()-7)/5)</f>
        <v>13.084760068556278</v>
      </c>
      <c r="DI62" s="1210">
        <f ca="1">+DF62*(1+DH62/100)</f>
        <v>35.261298291256736</v>
      </c>
      <c r="DJ62" s="1236">
        <f ca="1">+DK62/DI62*100-100</f>
        <v>0.45716328256477823</v>
      </c>
      <c r="DK62" s="1157">
        <f ca="1">OFFSET('VVP2'!$G$218,0,(COLUMN()-6)/5)</f>
        <v>35.422499999999999</v>
      </c>
      <c r="DL62" s="1211">
        <f ca="1">(DK62/DF62-1)*100</f>
        <v>13.601742069766164</v>
      </c>
      <c r="DM62" s="1209">
        <f ca="1">OFFSET('VVP2'!$G$40,0,(COLUMN()-7)/5)</f>
        <v>-1.1749435875488046</v>
      </c>
      <c r="DN62" s="1210">
        <f ca="1">+DK62*(1+DM62/100)</f>
        <v>35.006305607700526</v>
      </c>
      <c r="DO62" s="1236">
        <f ca="1">+DP62/DN62*100-100</f>
        <v>1.677110400848278</v>
      </c>
      <c r="DP62" s="1157">
        <f ca="1">OFFSET('VVP2'!$G$218,0,(COLUMN()-6)/5)</f>
        <v>35.593400000000003</v>
      </c>
      <c r="DQ62" s="1211">
        <f ca="1">(DP62/DK62-1)*100</f>
        <v>0.48246171218859768</v>
      </c>
      <c r="DR62" s="3726">
        <v>5.6</v>
      </c>
      <c r="DS62" s="1150">
        <f ca="1">+DP62*(1+DR62/100)</f>
        <v>37.586630400000004</v>
      </c>
      <c r="DT62" s="3726">
        <v>1</v>
      </c>
      <c r="DU62" s="1153">
        <f ca="1">+DS62*(1+DT62/100)</f>
        <v>37.962496704000003</v>
      </c>
      <c r="DV62" s="1160">
        <f ca="1">(DU62/DP62-1)*100</f>
        <v>6.6559999999999953</v>
      </c>
      <c r="DW62" s="3726">
        <v>3.6</v>
      </c>
      <c r="DX62" s="1150">
        <f ca="1">+DU62*(1+DW62/100)</f>
        <v>39.329146585344006</v>
      </c>
      <c r="DY62" s="3726">
        <v>1.2</v>
      </c>
      <c r="DZ62" s="1153">
        <f ca="1">+DX62*(1+DY62/100)</f>
        <v>39.801096344368133</v>
      </c>
      <c r="EA62" s="1160">
        <f ca="1">(DZ62/DU62-1)*100</f>
        <v>4.8432000000000031</v>
      </c>
    </row>
    <row r="63" spans="1:131">
      <c r="C63" s="1115" t="s">
        <v>624</v>
      </c>
      <c r="D63" s="1212"/>
      <c r="E63" s="1212" t="s">
        <v>1742</v>
      </c>
      <c r="F63" s="1213" t="s">
        <v>1458</v>
      </c>
      <c r="G63" s="1313"/>
      <c r="H63" s="1314"/>
      <c r="I63" s="1314"/>
      <c r="J63" s="1214">
        <f ca="1">OFFSET('VVP2'!$G$219,0,(COLUMN()-6)/5)</f>
        <v>5.2808000000000002</v>
      </c>
      <c r="K63" s="1316"/>
      <c r="L63" s="1215">
        <f ca="1">OFFSET('VVP2'!$G$41,0,(COLUMN()-7)/5)</f>
        <v>-4.2455530402374269</v>
      </c>
      <c r="M63" s="1216">
        <f ca="1">+J63*(1+L63/100)</f>
        <v>5.0566008350511424</v>
      </c>
      <c r="N63" s="1239">
        <f ca="1">+O63/M63*100-100</f>
        <v>11.487937923084687</v>
      </c>
      <c r="O63" s="1214">
        <f ca="1">OFFSET('VVP2'!$G$219,0,(COLUMN()-6)/5)</f>
        <v>5.6375000000000002</v>
      </c>
      <c r="P63" s="1217">
        <f ca="1">(O63/J63-1)*100</f>
        <v>6.7546583850931707</v>
      </c>
      <c r="Q63" s="1215">
        <f ca="1">OFFSET('VVP2'!$G$41,0,(COLUMN()-7)/5)</f>
        <v>6.4954596758409977</v>
      </c>
      <c r="R63" s="1216">
        <f ca="1">+O63*(1+Q63/100)</f>
        <v>6.0036815392255365</v>
      </c>
      <c r="S63" s="1239">
        <f ca="1">+T63/R63*100-100</f>
        <v>2.288903231735901</v>
      </c>
      <c r="T63" s="1214">
        <f ca="1">OFFSET('VVP2'!$G$219,0,(COLUMN()-6)/5)</f>
        <v>6.1411000000000007</v>
      </c>
      <c r="U63" s="1217">
        <f ca="1">(T63/O63-1)*100</f>
        <v>8.9330376940133007</v>
      </c>
      <c r="V63" s="1215">
        <f ca="1">OFFSET('VVP2'!$G$41,0,(COLUMN()-7)/5)</f>
        <v>10.58850622175127</v>
      </c>
      <c r="W63" s="1216">
        <f ca="1">+T63*(1+V63/100)</f>
        <v>6.7913507555839683</v>
      </c>
      <c r="X63" s="1239">
        <f ca="1">+Y63/W63*100-100</f>
        <v>1.3701139547169561</v>
      </c>
      <c r="Y63" s="1214">
        <f ca="1">OFFSET('VVP2'!$G$219,0,(COLUMN()-6)/5)</f>
        <v>6.8843999999999994</v>
      </c>
      <c r="Z63" s="1217">
        <f ca="1">(Y63/T63-1)*100</f>
        <v>12.103694777808505</v>
      </c>
      <c r="AA63" s="1215">
        <f ca="1">OFFSET('VVP2'!$G$41,0,(COLUMN()-7)/5)</f>
        <v>4.7564302534274239</v>
      </c>
      <c r="AB63" s="1216">
        <f ca="1">+Y63*(1+AA63/100)</f>
        <v>7.2118516843669571</v>
      </c>
      <c r="AC63" s="1239">
        <f ca="1">+AD63/AB63*100-100</f>
        <v>1.6451851871862004</v>
      </c>
      <c r="AD63" s="1214">
        <f ca="1">OFFSET('VVP2'!$G$219,0,(COLUMN()-6)/5)</f>
        <v>7.3304999999999998</v>
      </c>
      <c r="AE63" s="1217">
        <f ca="1">(AD63/Y63-1)*100</f>
        <v>6.4798675265818506</v>
      </c>
      <c r="AF63" s="1215">
        <f ca="1">OFFSET('VVP2'!$G$41,0,(COLUMN()-7)/5)</f>
        <v>-1.9658471358160456</v>
      </c>
      <c r="AG63" s="1216">
        <f ca="1">+AD63*(1+AF63/100)</f>
        <v>7.1863935757090047</v>
      </c>
      <c r="AH63" s="1239">
        <f ca="1">+AI63/AG63*100-100</f>
        <v>2.2974865285569308</v>
      </c>
      <c r="AI63" s="1214">
        <f ca="1">OFFSET('VVP2'!$G$219,0,(COLUMN()-6)/5)</f>
        <v>7.3514999999999997</v>
      </c>
      <c r="AJ63" s="1217">
        <f ca="1">(AI63/AD63-1)*100</f>
        <v>0.28647431962349756</v>
      </c>
      <c r="AK63" s="1215">
        <f ca="1">OFFSET('VVP2'!$G$41,0,(COLUMN()-7)/5)</f>
        <v>10.370453718274518</v>
      </c>
      <c r="AL63" s="1216">
        <f ca="1">+AI63*(1+AK63/100)</f>
        <v>8.1138839050989517</v>
      </c>
      <c r="AM63" s="1239">
        <f ca="1">+AN63/AL63*100-100</f>
        <v>1.712078907288145</v>
      </c>
      <c r="AN63" s="1214">
        <f ca="1">OFFSET('VVP2'!$G$219,0,(COLUMN()-6)/5)</f>
        <v>8.2527999999999988</v>
      </c>
      <c r="AO63" s="1217">
        <f ca="1">(AN63/AI63-1)*100</f>
        <v>12.26008297626333</v>
      </c>
      <c r="AP63" s="1215">
        <f ca="1">OFFSET('VVP2'!$G$41,0,(COLUMN()-7)/5)</f>
        <v>2.9545180056350651</v>
      </c>
      <c r="AQ63" s="1216">
        <f ca="1">+AN63*(1+AP63/100)</f>
        <v>8.4966304619690494</v>
      </c>
      <c r="AR63" s="1239">
        <f ca="1">+AS63/AQ63*100-100</f>
        <v>0.89882146072824298</v>
      </c>
      <c r="AS63" s="1214">
        <f ca="1">OFFSET('VVP2'!$G$219,0,(COLUMN()-6)/5)</f>
        <v>8.5730000000000004</v>
      </c>
      <c r="AT63" s="1217">
        <f ca="1">(AS63/AN63-1)*100</f>
        <v>3.8798953082590293</v>
      </c>
      <c r="AU63" s="1215">
        <f ca="1">OFFSET('VVP2'!$G$41,0,(COLUMN()-7)/5)</f>
        <v>4.7704395336181982</v>
      </c>
      <c r="AV63" s="1216">
        <f ca="1">+AS63*(1+AU63/100)</f>
        <v>8.9819697812170887</v>
      </c>
      <c r="AW63" s="1239">
        <f ca="1">+AX63/AV63*100-100</f>
        <v>-1.9691647325173136</v>
      </c>
      <c r="AX63" s="1214">
        <f ca="1">OFFSET('VVP2'!$G$219,0,(COLUMN()-6)/5)</f>
        <v>8.8050999999999995</v>
      </c>
      <c r="AY63" s="1217">
        <f ca="1">(AX63/AS63-1)*100</f>
        <v>2.7073369882188114</v>
      </c>
      <c r="AZ63" s="1215">
        <f ca="1">OFFSET('VVP2'!$G$41,0,(COLUMN()-7)/5)</f>
        <v>8.5846938551887408</v>
      </c>
      <c r="BA63" s="1216">
        <f ca="1">+AX63*(1+AZ63/100)</f>
        <v>9.5609908786432225</v>
      </c>
      <c r="BB63" s="1239">
        <f ca="1">+BC63/BA63*100-100</f>
        <v>-0.6630157841152311</v>
      </c>
      <c r="BC63" s="1214">
        <f ca="1">OFFSET('VVP2'!$G$219,0,(COLUMN()-6)/5)</f>
        <v>9.4976000000000003</v>
      </c>
      <c r="BD63" s="1217">
        <f ca="1">(BC63/AX63-1)*100</f>
        <v>7.8647601957956281</v>
      </c>
      <c r="BE63" s="1215">
        <f ca="1">OFFSET('VVP2'!$G$41,0,(COLUMN()-7)/5)</f>
        <v>4.3697818299136104</v>
      </c>
      <c r="BF63" s="1216">
        <f ca="1">+BC63*(1+BE63/100)</f>
        <v>9.9126243990778757</v>
      </c>
      <c r="BG63" s="1239">
        <f ca="1">+BH63/BF63*100-100</f>
        <v>1.3313891015017418</v>
      </c>
      <c r="BH63" s="1214">
        <f ca="1">OFFSET('VVP2'!$G$219,0,(COLUMN()-6)/5)</f>
        <v>10.044600000000001</v>
      </c>
      <c r="BI63" s="1217">
        <f ca="1">(BH63/BC63-1)*100</f>
        <v>5.7593497304582186</v>
      </c>
      <c r="BJ63" s="1215">
        <f ca="1">OFFSET('VVP2'!$G$41,0,(COLUMN()-7)/5)</f>
        <v>0.48745128499514401</v>
      </c>
      <c r="BK63" s="1216">
        <f ca="1">+BH63*(1+BJ63/100)</f>
        <v>10.093562531772623</v>
      </c>
      <c r="BL63" s="1239">
        <f ca="1">+BM63/BK63*100-100</f>
        <v>2.2988659107918181</v>
      </c>
      <c r="BM63" s="1214">
        <f ca="1">OFFSET('VVP2'!$G$219,0,(COLUMN()-6)/5)</f>
        <v>10.3256</v>
      </c>
      <c r="BN63" s="1217">
        <f ca="1">(BM63/BH63-1)*100</f>
        <v>2.7975230472094381</v>
      </c>
      <c r="BO63" s="1215">
        <f ca="1">OFFSET('VVP2'!$G$41,0,(COLUMN()-7)/5)</f>
        <v>4.3214106263951946</v>
      </c>
      <c r="BP63" s="1216">
        <f ca="1">+BM63*(1+BO63/100)</f>
        <v>10.771811575639061</v>
      </c>
      <c r="BQ63" s="1239">
        <f ca="1">+BR63/BP63*100-100</f>
        <v>2.7143848767480279</v>
      </c>
      <c r="BR63" s="1214">
        <f ca="1">OFFSET('VVP2'!$G$219,0,(COLUMN()-6)/5)</f>
        <v>11.064200000000001</v>
      </c>
      <c r="BS63" s="1217">
        <f ca="1">(BR63/BM63-1)*100</f>
        <v>7.1530952196482644</v>
      </c>
      <c r="BT63" s="1215">
        <f ca="1">OFFSET('VVP2'!$G$41,0,(COLUMN()-7)/5)</f>
        <v>4.6634322790531701</v>
      </c>
      <c r="BU63" s="1216">
        <f ca="1">+BR63*(1+BT63/100)</f>
        <v>11.580171474219002</v>
      </c>
      <c r="BV63" s="1239">
        <f ca="1">+BW63/BU63*100-100</f>
        <v>3.1729109244971596</v>
      </c>
      <c r="BW63" s="1214">
        <f ca="1">OFFSET('VVP2'!$G$219,0,(COLUMN()-6)/5)</f>
        <v>11.9476</v>
      </c>
      <c r="BX63" s="1217">
        <f ca="1">(BW63/BR63-1)*100</f>
        <v>7.9843097557889209</v>
      </c>
      <c r="BY63" s="1215">
        <f ca="1">OFFSET('VVP2'!$G$41,0,(COLUMN()-7)/5)</f>
        <v>5.4770759124127544</v>
      </c>
      <c r="BZ63" s="1216">
        <f ca="1">+BW63*(1+BY63/100)</f>
        <v>12.601979121711425</v>
      </c>
      <c r="CA63" s="1239">
        <f ca="1">+CB63/BZ63*100-100</f>
        <v>1.7625872582655973</v>
      </c>
      <c r="CB63" s="1214">
        <f ca="1">OFFSET('VVP2'!$G$219,0,(COLUMN()-6)/5)</f>
        <v>12.8241</v>
      </c>
      <c r="CC63" s="1217">
        <f ca="1">(CB63/BW63-1)*100</f>
        <v>7.3362014128360409</v>
      </c>
      <c r="CD63" s="1215">
        <f ca="1">OFFSET('VVP2'!$G$41,0,(COLUMN()-7)/5)</f>
        <v>1.8020675053757484</v>
      </c>
      <c r="CE63" s="1216">
        <f ca="1">+CB63*(1+CD63/100)</f>
        <v>13.055198938956892</v>
      </c>
      <c r="CF63" s="1239">
        <f ca="1">+CG63/CE63*100-100</f>
        <v>2.1547052814622418</v>
      </c>
      <c r="CG63" s="1214">
        <f ca="1">OFFSET('VVP2'!$G$219,0,(COLUMN()-6)/5)</f>
        <v>13.336499999999999</v>
      </c>
      <c r="CH63" s="1217">
        <f ca="1">(CG63/CB63-1)*100</f>
        <v>3.995602030551848</v>
      </c>
      <c r="CI63" s="1215">
        <f ca="1">OFFSET('VVP2'!$G$41,0,(COLUMN()-7)/5)</f>
        <v>5.5003186743148413</v>
      </c>
      <c r="CJ63" s="1216">
        <f ca="1">+CG63*(1+CI63/100)</f>
        <v>14.070049999999998</v>
      </c>
      <c r="CK63" s="1239">
        <f ca="1">+CL63/CJ63*100-100</f>
        <v>3.3919566739279503</v>
      </c>
      <c r="CL63" s="1214">
        <f ca="1">OFFSET('VVP2'!$G$219,0,(COLUMN()-6)/5)</f>
        <v>14.5473</v>
      </c>
      <c r="CM63" s="1217">
        <f ca="1">(CL63/CG63-1)*100</f>
        <v>9.0788437746035289</v>
      </c>
      <c r="CN63" s="1215">
        <f ca="1">OFFSET('VVP2'!$G$41,0,(COLUMN()-7)/5)</f>
        <v>0.94822129274596545</v>
      </c>
      <c r="CO63" s="1216">
        <f ca="1">+CL63*(1+CN63/100)</f>
        <v>14.685240596119634</v>
      </c>
      <c r="CP63" s="1239">
        <f ca="1">+CQ63/CO63*100-100</f>
        <v>3.0388293672102691</v>
      </c>
      <c r="CQ63" s="1214">
        <f ca="1">OFFSET('VVP2'!$G$219,0,(COLUMN()-6)/5)</f>
        <v>15.131500000000001</v>
      </c>
      <c r="CR63" s="1217">
        <f ca="1">(CQ63/CL63-1)*100</f>
        <v>4.0158654870663391</v>
      </c>
      <c r="CS63" s="1215">
        <f ca="1">OFFSET('VVP2'!$G$41,0,(COLUMN()-7)/5)</f>
        <v>0.64530407646909982</v>
      </c>
      <c r="CT63" s="1216">
        <f ca="1">+CQ63*(1+CS63/100)</f>
        <v>15.229144186330922</v>
      </c>
      <c r="CU63" s="1239">
        <f ca="1">+CV63/CT63*100-100</f>
        <v>1.859958840781843</v>
      </c>
      <c r="CV63" s="1214">
        <f ca="1">OFFSET('VVP2'!$G$219,0,(COLUMN()-6)/5)</f>
        <v>15.5124</v>
      </c>
      <c r="CW63" s="1217">
        <f ca="1">(CV63/CQ63-1)*100</f>
        <v>2.5172653074711615</v>
      </c>
      <c r="CX63" s="1215">
        <f ca="1">OFFSET('VVP2'!$G$41,0,(COLUMN()-7)/5)</f>
        <v>12.235528615594227</v>
      </c>
      <c r="CY63" s="1216">
        <f ca="1">+CV63*(1+CX63/100)</f>
        <v>17.410424140965439</v>
      </c>
      <c r="CZ63" s="1239">
        <f ca="1">+DA63/CY63*100-100</f>
        <v>0.50243381968356005</v>
      </c>
      <c r="DA63" s="1214">
        <f ca="1">OFFSET('VVP2'!$G$219,0,(COLUMN()-6)/5)</f>
        <v>17.497900000000001</v>
      </c>
      <c r="DB63" s="1217">
        <f ca="1">(DA63/CV63-1)*100</f>
        <v>12.799437869059593</v>
      </c>
      <c r="DC63" s="1215">
        <f ca="1">OFFSET('VVP2'!$G$41,0,(COLUMN()-7)/5)</f>
        <v>12.288887240637081</v>
      </c>
      <c r="DD63" s="1216">
        <f ca="1">+DA63*(1+DC63/100)</f>
        <v>19.648197200479437</v>
      </c>
      <c r="DE63" s="1239">
        <f ca="1">+DF63/DD63*100-100</f>
        <v>0.63824074158569033</v>
      </c>
      <c r="DF63" s="1214">
        <f ca="1">OFFSET('VVP2'!$G$219,0,(COLUMN()-6)/5)</f>
        <v>19.773599999999998</v>
      </c>
      <c r="DG63" s="1217">
        <f ca="1">(DF63/DA63-1)*100</f>
        <v>13.005560667280047</v>
      </c>
      <c r="DH63" s="1215">
        <f ca="1">OFFSET('VVP2'!$G$41,0,(COLUMN()-7)/5)</f>
        <v>-8.753638347288728</v>
      </c>
      <c r="DI63" s="1216">
        <f ca="1">+DF63*(1+DH63/100)</f>
        <v>18.042690567760516</v>
      </c>
      <c r="DJ63" s="1239">
        <f ca="1">+DK63/DI63*100-100</f>
        <v>0.96941989656474448</v>
      </c>
      <c r="DK63" s="1214">
        <f ca="1">OFFSET('VVP2'!$G$219,0,(COLUMN()-6)/5)</f>
        <v>18.217599999999997</v>
      </c>
      <c r="DL63" s="1217">
        <f ca="1">(DK63/DF63-1)*100</f>
        <v>-7.8690779625359086</v>
      </c>
      <c r="DM63" s="1215">
        <f ca="1">OFFSET('VVP2'!$G$41,0,(COLUMN()-7)/5)</f>
        <v>1.6937337203826619</v>
      </c>
      <c r="DN63" s="1216">
        <f ca="1">+DK63*(1+DM63/100)</f>
        <v>18.526157634244431</v>
      </c>
      <c r="DO63" s="1239">
        <f ca="1">+DP63/DN63*100-100</f>
        <v>2.2737708167663016</v>
      </c>
      <c r="DP63" s="1214">
        <f ca="1">OFFSET('VVP2'!$G$219,0,(COLUMN()-6)/5)</f>
        <v>18.947400000000002</v>
      </c>
      <c r="DQ63" s="1217">
        <f ca="1">(DP63/DK63-1)*100</f>
        <v>4.006016160196757</v>
      </c>
      <c r="DR63" s="3727">
        <v>5</v>
      </c>
      <c r="DS63" s="1343">
        <f ca="1">+DP63*(1+DR63/100)</f>
        <v>19.894770000000001</v>
      </c>
      <c r="DT63" s="3727">
        <v>1</v>
      </c>
      <c r="DU63" s="1344">
        <f ca="1">+DS63*(1+DT63/100)</f>
        <v>20.093717700000003</v>
      </c>
      <c r="DV63" s="1345">
        <f ca="1">(DU63/DP63-1)*100</f>
        <v>6.05</v>
      </c>
      <c r="DW63" s="3727">
        <v>2.7</v>
      </c>
      <c r="DX63" s="1343">
        <f ca="1">+DU63*(1+DW63/100)</f>
        <v>20.636248077899999</v>
      </c>
      <c r="DY63" s="3727">
        <v>1.2</v>
      </c>
      <c r="DZ63" s="1344">
        <f ca="1">+DX63*(1+DY63/100)</f>
        <v>20.883883054834801</v>
      </c>
      <c r="EA63" s="1345">
        <f ca="1">(DZ63/DU63-1)*100</f>
        <v>3.9323999999999915</v>
      </c>
    </row>
    <row r="64" spans="1:131" ht="12.75" customHeight="1">
      <c r="A64" s="1377" t="s">
        <v>571</v>
      </c>
      <c r="C64" s="1144" t="s">
        <v>1744</v>
      </c>
      <c r="D64" s="1200"/>
      <c r="E64" s="1200" t="s">
        <v>1248</v>
      </c>
      <c r="F64" s="1143" t="s">
        <v>2048</v>
      </c>
      <c r="G64" s="1201"/>
      <c r="H64" s="1201"/>
      <c r="I64" s="1201"/>
      <c r="J64" s="1202">
        <f ca="1">OFFSET('VVP2'!$G$220,0,(COLUMN()-6)/5)</f>
        <v>44.869</v>
      </c>
      <c r="K64" s="1201"/>
      <c r="L64" s="1383">
        <f ca="1">IF(UPPER($F$2)="Y",(M64/J64-1)*100,OFFSET('VVP2'!$G$42,0,(COLUMN()-7)/5))</f>
        <v>-5.8857885299798181</v>
      </c>
      <c r="M64" s="1384">
        <f ca="1">IF(UPPER($F$2)="Y",+M59+M62+M63,J64*(1+L64/100))</f>
        <v>42.228105544483356</v>
      </c>
      <c r="N64" s="1202">
        <f ca="1">+O64/M64*100-100</f>
        <v>8.9156129714383638</v>
      </c>
      <c r="O64" s="1202">
        <f ca="1">OFFSET('VVP2'!$G$220,0,(COLUMN()-6)/5)</f>
        <v>45.993000000000002</v>
      </c>
      <c r="P64" s="1202">
        <f ca="1">(O64/J64-1)*100</f>
        <v>2.5050703158082444</v>
      </c>
      <c r="Q64" s="1383">
        <f ca="1">IF(UPPER($F$2)="Y",(R64/O64-1)*100,OFFSET('VVP2'!$G$42,0,(COLUMN()-7)/5))</f>
        <v>6.6436504003905883</v>
      </c>
      <c r="R64" s="1384">
        <f ca="1">IF(UPPER($F$2)="Y",+R59+R62+R63,O64*(1+Q64/100))</f>
        <v>49.04861412865165</v>
      </c>
      <c r="S64" s="1202">
        <f ca="1">+T64/R64*100-100</f>
        <v>1.1280356869963981</v>
      </c>
      <c r="T64" s="1202">
        <f ca="1">OFFSET('VVP2'!$G$220,0,(COLUMN()-6)/5)</f>
        <v>49.601900000000001</v>
      </c>
      <c r="U64" s="1202">
        <f ca="1">(T64/O64-1)*100</f>
        <v>7.8466288348226776</v>
      </c>
      <c r="V64" s="1383">
        <f ca="1">IF(UPPER($F$2)="Y",(W64/T64-1)*100,OFFSET('VVP2'!$G$42,0,(COLUMN()-7)/5))</f>
        <v>2.4556564119794455</v>
      </c>
      <c r="W64" s="1384">
        <f ca="1">IF(UPPER($F$2)="Y",+W59+W62+W63,T64*(1+V64/100))</f>
        <v>50.819952237813631</v>
      </c>
      <c r="X64" s="1202">
        <f ca="1">+Y64/W64*100-100</f>
        <v>1.2165453428473398</v>
      </c>
      <c r="Y64" s="1202">
        <f ca="1">OFFSET('VVP2'!$G$220,0,(COLUMN()-6)/5)</f>
        <v>51.438199999999995</v>
      </c>
      <c r="Z64" s="1202">
        <f ca="1">(Y64/T64-1)*100</f>
        <v>3.7020759285430582</v>
      </c>
      <c r="AA64" s="1383">
        <f ca="1">IF(UPPER($F$2)="Y",(AB64/Y64-1)*100,OFFSET('VVP2'!$G$42,0,(COLUMN()-7)/5))</f>
        <v>3.7730043709452987</v>
      </c>
      <c r="AB64" s="1384">
        <f ca="1">IF(UPPER($F$2)="Y",+AB59+AB62+AB63,Y64*(1+AA64/100))</f>
        <v>53.378965534335585</v>
      </c>
      <c r="AC64" s="1202">
        <f ca="1">+AD64/AB64*100-100</f>
        <v>1.8532289934095587</v>
      </c>
      <c r="AD64" s="1202">
        <f ca="1">OFFSET('VVP2'!$G$220,0,(COLUMN()-6)/5)</f>
        <v>54.368199999999995</v>
      </c>
      <c r="AE64" s="1202">
        <f ca="1">(AD64/Y64-1)*100</f>
        <v>5.6961557752798431</v>
      </c>
      <c r="AF64" s="1383">
        <f ca="1">IF(UPPER($F$2)="Y",(AG64/AD64-1)*100,OFFSET('VVP2'!$G$42,0,(COLUMN()-7)/5))</f>
        <v>4.3651105962290826</v>
      </c>
      <c r="AG64" s="1384">
        <f ca="1">IF(UPPER($F$2)="Y",+AG59+AG62+AG63,AD64*(1+AF64/100))</f>
        <v>56.741432059179019</v>
      </c>
      <c r="AH64" s="1202">
        <f ca="1">+AI64/AG64*100-100</f>
        <v>2.3488443848772818</v>
      </c>
      <c r="AI64" s="1202">
        <f ca="1">OFFSET('VVP2'!$G$220,0,(COLUMN()-6)/5)</f>
        <v>58.074199999999998</v>
      </c>
      <c r="AJ64" s="1202">
        <f ca="1">(AI64/AD64-1)*100</f>
        <v>6.8164846362395837</v>
      </c>
      <c r="AK64" s="1383">
        <f ca="1">IF(UPPER($F$2)="Y",(AL64/AI64-1)*100,OFFSET('VVP2'!$G$42,0,(COLUMN()-7)/5))</f>
        <v>1.6327596180746307</v>
      </c>
      <c r="AL64" s="1384">
        <f ca="1">IF(UPPER($F$2)="Y",+AL59+AL62+AL63,AI64*(1+AK64/100))</f>
        <v>59.022412086119893</v>
      </c>
      <c r="AM64" s="1202">
        <f ca="1">+AN64/AL64*100-100</f>
        <v>0.93996143883549621</v>
      </c>
      <c r="AN64" s="1202">
        <f ca="1">OFFSET('VVP2'!$G$220,0,(COLUMN()-6)/5)</f>
        <v>59.577199999999998</v>
      </c>
      <c r="AO64" s="1202">
        <f ca="1">(AN64/AI64-1)*100</f>
        <v>2.5880683677089067</v>
      </c>
      <c r="AP64" s="1383">
        <f ca="1">IF(UPPER($F$2)="Y",(AQ64/AN64-1)*100,OFFSET('VVP2'!$G$42,0,(COLUMN()-7)/5))</f>
        <v>-4.3108793369103786</v>
      </c>
      <c r="AQ64" s="1384">
        <f ca="1">IF(UPPER($F$2)="Y",+AQ59+AQ62+AQ63,AN64*(1+AP64/100))</f>
        <v>57.008898795690229</v>
      </c>
      <c r="AR64" s="1202">
        <f ca="1">+AS64/AQ64*100-100</f>
        <v>-0.30872161962113864</v>
      </c>
      <c r="AS64" s="1202">
        <f ca="1">OFFSET('VVP2'!$G$220,0,(COLUMN()-6)/5)</f>
        <v>56.832900000000002</v>
      </c>
      <c r="AT64" s="1202">
        <f ca="1">(AS64/AN64-1)*100</f>
        <v>-4.6062923400226889</v>
      </c>
      <c r="AU64" s="1383">
        <f ca="1">IF(UPPER($F$2)="Y",(AV64/AS64-1)*100,OFFSET('VVP2'!$G$42,0,(COLUMN()-7)/5))</f>
        <v>-0.40127988897062927</v>
      </c>
      <c r="AV64" s="1384">
        <f ca="1">IF(UPPER($F$2)="Y",+AV59+AV62+AV63,AS64*(1+AU64/100))</f>
        <v>56.604841001981214</v>
      </c>
      <c r="AW64" s="1202">
        <f ca="1">+AX64/AV64*100-100</f>
        <v>2.057525429632463</v>
      </c>
      <c r="AX64" s="1202">
        <f ca="1">OFFSET('VVP2'!$G$220,0,(COLUMN()-6)/5)</f>
        <v>57.769500000000001</v>
      </c>
      <c r="AY64" s="1202">
        <f ca="1">(AX64/AS64-1)*100</f>
        <v>1.6479891049022699</v>
      </c>
      <c r="AZ64" s="1383">
        <f ca="1">IF(UPPER($F$2)="Y",(BA64/AX64-1)*100,OFFSET('VVP2'!$G$42,0,(COLUMN()-7)/5))</f>
        <v>8.8837974844055978</v>
      </c>
      <c r="BA64" s="1384">
        <f ca="1">IF(UPPER($F$2)="Y",+BA59+BA62+BA63,AX64*(1+AZ64/100))</f>
        <v>62.901625387753697</v>
      </c>
      <c r="BB64" s="1202">
        <f ca="1">+BC64/BA64*100-100</f>
        <v>1.3972208298728788</v>
      </c>
      <c r="BC64" s="1202">
        <f ca="1">OFFSET('VVP2'!$G$220,0,(COLUMN()-6)/5)</f>
        <v>63.780500000000004</v>
      </c>
      <c r="BD64" s="1202">
        <f ca="1">(BC64/AX64-1)*100</f>
        <v>10.405144583214332</v>
      </c>
      <c r="BE64" s="1383">
        <f ca="1">IF(UPPER($F$2)="Y",(BF64/BC64-1)*100,OFFSET('VVP2'!$G$42,0,(COLUMN()-7)/5))</f>
        <v>6.0730686885393625</v>
      </c>
      <c r="BF64" s="1384">
        <f ca="1">IF(UPPER($F$2)="Y",+BF59+BF62+BF63,BC64*(1+BE64/100))</f>
        <v>67.653933574893856</v>
      </c>
      <c r="BG64" s="1202">
        <f ca="1">+BH64/BF64*100-100</f>
        <v>2.0137283275598179</v>
      </c>
      <c r="BH64" s="1202">
        <f ca="1">OFFSET('VVP2'!$G$220,0,(COLUMN()-6)/5)</f>
        <v>69.016300000000001</v>
      </c>
      <c r="BI64" s="1202">
        <f ca="1">(BH64/BC64-1)*100</f>
        <v>8.2090921206324765</v>
      </c>
      <c r="BJ64" s="1383">
        <f ca="1">IF(UPPER($F$2)="Y",(BK64/BH64-1)*100,OFFSET('VVP2'!$G$42,0,(COLUMN()-7)/5))</f>
        <v>1.9587391849078983</v>
      </c>
      <c r="BK64" s="1384">
        <f ca="1">IF(UPPER($F$2)="Y",+BK59+BK62+BK63,BH64*(1+BJ64/100))</f>
        <v>70.368149312073598</v>
      </c>
      <c r="BL64" s="1202">
        <f ca="1">+BM64/BK64*100-100</f>
        <v>3.7300266009355596</v>
      </c>
      <c r="BM64" s="1202">
        <f ca="1">OFFSET('VVP2'!$G$220,0,(COLUMN()-6)/5)</f>
        <v>72.992899999999992</v>
      </c>
      <c r="BN64" s="1202">
        <f ca="1">(BM64/BH64-1)*100</f>
        <v>5.7618272784834668</v>
      </c>
      <c r="BO64" s="1383">
        <f ca="1">IF(UPPER($F$2)="Y",(BP64/BM64-1)*100,OFFSET('VVP2'!$G$42,0,(COLUMN()-7)/5))</f>
        <v>6.7563745324497049</v>
      </c>
      <c r="BP64" s="1384">
        <f ca="1">IF(UPPER($F$2)="Y",+BP59+BP62+BP63,BM64*(1+BO64/100))</f>
        <v>77.924573706096467</v>
      </c>
      <c r="BQ64" s="1202">
        <f ca="1">+BR64/BP64*100-100</f>
        <v>2.7842645659976029</v>
      </c>
      <c r="BR64" s="1202">
        <f ca="1">OFFSET('VVP2'!$G$220,0,(COLUMN()-6)/5)</f>
        <v>80.094200000000001</v>
      </c>
      <c r="BS64" s="1202">
        <f ca="1">(BR64/BM64-1)*100</f>
        <v>9.7287544405003867</v>
      </c>
      <c r="BT64" s="1383">
        <f ca="1">IF(UPPER($F$2)="Y",(BU64/BR64-1)*100,OFFSET('VVP2'!$G$42,0,(COLUMN()-7)/5))</f>
        <v>1.8979057300826607</v>
      </c>
      <c r="BU64" s="1384">
        <f ca="1">IF(UPPER($F$2)="Y",+BU59+BU62+BU63,BR64*(1+BT64/100))</f>
        <v>81.614312411263867</v>
      </c>
      <c r="BV64" s="1202">
        <f ca="1">+BW64/BU64*100-100</f>
        <v>4.0084728916795171</v>
      </c>
      <c r="BW64" s="1202">
        <f ca="1">OFFSET('VVP2'!$G$220,0,(COLUMN()-6)/5)</f>
        <v>84.885800000000003</v>
      </c>
      <c r="BX64" s="1202">
        <f ca="1">(BW64/BR64-1)*100</f>
        <v>5.9824556584621602</v>
      </c>
      <c r="BY64" s="1383">
        <f ca="1">IF(UPPER($F$2)="Y",(BZ64/BW64-1)*100,OFFSET('VVP2'!$G$42,0,(COLUMN()-7)/5))</f>
        <v>-6.6301810981825966</v>
      </c>
      <c r="BZ64" s="1384">
        <f ca="1">IF(UPPER($F$2)="Y",+BZ59+BZ62+BZ63,BW64*(1+BY64/100))</f>
        <v>79.257717733358916</v>
      </c>
      <c r="CA64" s="1202">
        <f ca="1">+CB64/BZ64*100-100</f>
        <v>-0.60236119208613559</v>
      </c>
      <c r="CB64" s="1202">
        <f ca="1">OFFSET('VVP2'!$G$220,0,(COLUMN()-6)/5)</f>
        <v>78.780299999999997</v>
      </c>
      <c r="CC64" s="1202">
        <f ca="1">(CB64/BW64-1)*100</f>
        <v>-7.1926046523682512</v>
      </c>
      <c r="CD64" s="1383">
        <f ca="1">IF(UPPER($F$2)="Y",(CE64/CB64-1)*100,OFFSET('VVP2'!$G$42,0,(COLUMN()-7)/5))</f>
        <v>-0.8294172943610123</v>
      </c>
      <c r="CE64" s="1384">
        <f ca="1">IF(UPPER($F$2)="Y",+CE59+CE62+CE63,CB64*(1+CD64/100))</f>
        <v>78.126882567250505</v>
      </c>
      <c r="CF64" s="1202">
        <f ca="1">+CG64/CE64*100-100</f>
        <v>1.9634949998536371</v>
      </c>
      <c r="CG64" s="1202">
        <f ca="1">OFFSET('VVP2'!$G$220,0,(COLUMN()-6)/5)</f>
        <v>79.660899999999998</v>
      </c>
      <c r="CH64" s="1202">
        <f ca="1">(CG64/CB64-1)*100</f>
        <v>1.1177921383899392</v>
      </c>
      <c r="CI64" s="1383">
        <f ca="1">IF(UPPER($F$2)="Y",(CJ64/CG64-1)*100,OFFSET('VVP2'!$G$42,0,(COLUMN()-7)/5))</f>
        <v>4.2201632168353598</v>
      </c>
      <c r="CJ64" s="1384">
        <f ca="1">IF(UPPER($F$2)="Y",+CJ59+CJ62+CJ63,CG64*(1+CI64/100))</f>
        <v>83.022719999999993</v>
      </c>
      <c r="CK64" s="1202">
        <f ca="1">+CL64/CJ64*100-100</f>
        <v>3.1156290711747374</v>
      </c>
      <c r="CL64" s="1202">
        <f ca="1">OFFSET('VVP2'!$G$220,0,(COLUMN()-6)/5)</f>
        <v>85.609399999999994</v>
      </c>
      <c r="CM64" s="1202">
        <f ca="1">(CL64/CG64-1)*100</f>
        <v>7.4672769200448297</v>
      </c>
      <c r="CN64" s="3430">
        <f ca="1">IF(UPPER($F$2)="Y",(CO64/CL64-1)*100,OFFSET('VVP2'!$G$42,0,(COLUMN()-7)/5))</f>
        <v>0.19695412615936547</v>
      </c>
      <c r="CO64" s="1384">
        <f ca="1">IF(UPPER($F$2)="Y",+CO59+CO62+CO63,CL64*(1+CN64/100))</f>
        <v>85.778011245680261</v>
      </c>
      <c r="CP64" s="1202">
        <f ca="1">+CQ64/CO64*100-100</f>
        <v>2.2077788081326162</v>
      </c>
      <c r="CQ64" s="1202">
        <f ca="1">OFFSET('VVP2'!$G$220,0,(COLUMN()-6)/5)</f>
        <v>87.671800000000005</v>
      </c>
      <c r="CR64" s="1202">
        <f ca="1">(CQ64/CL64-1)*100</f>
        <v>2.4090812457510546</v>
      </c>
      <c r="CS64" s="3430">
        <f ca="1">IF(UPPER($F$2)="Y",(CT64/CQ64-1)*100,OFFSET('VVP2'!$G$42,0,(COLUMN()-7)/5))</f>
        <v>-1.4890069768269787</v>
      </c>
      <c r="CT64" s="1384">
        <f ca="1">IF(UPPER($F$2)="Y",+CT59+CT62+CT63,CQ64*(1+CS64/100))</f>
        <v>86.366360781290211</v>
      </c>
      <c r="CU64" s="1202">
        <f ca="1">+CV64/CT64*100-100</f>
        <v>0.6684769550170131</v>
      </c>
      <c r="CV64" s="1202">
        <f ca="1">OFFSET('VVP2'!$G$220,0,(COLUMN()-6)/5)</f>
        <v>86.943699999999993</v>
      </c>
      <c r="CW64" s="1202">
        <f ca="1">(CV64/CQ64-1)*100</f>
        <v>-0.83048369030863656</v>
      </c>
      <c r="CX64" s="3430">
        <f ca="1">IF(UPPER($F$2)="Y",(CY64/CV64-1)*100,OFFSET('VVP2'!$G$42,0,(COLUMN()-7)/5))</f>
        <v>5.9629913595826478</v>
      </c>
      <c r="CY64" s="1384">
        <f ca="1">IF(UPPER($F$2)="Y",+CY59+CY62+CY63,CV64*(1+CX64/100))</f>
        <v>92.128145318701456</v>
      </c>
      <c r="CZ64" s="1202">
        <f ca="1">+DA64/CY64*100-100</f>
        <v>0.20216914239858852</v>
      </c>
      <c r="DA64" s="1202">
        <f ca="1">OFFSET('VVP2'!$G$220,0,(COLUMN()-6)/5)</f>
        <v>92.314399999999992</v>
      </c>
      <c r="DB64" s="1202">
        <f ca="1">(DA64/CV64-1)*100</f>
        <v>6.1772158304742142</v>
      </c>
      <c r="DC64" s="3430">
        <f ca="1">IF(UPPER($F$2)="Y",(DD64/DA64-1)*100,OFFSET('VVP2'!$G$42,0,(COLUMN()-7)/5))</f>
        <v>2.6763004339562579</v>
      </c>
      <c r="DD64" s="1384">
        <f ca="1">IF(UPPER($F$2)="Y",+DD59+DD62+DD63,DA64*(1+DC64/100))</f>
        <v>94.785010687804117</v>
      </c>
      <c r="DE64" s="1202">
        <f ca="1">+DF64/DD64*100-100</f>
        <v>0.42315689926645916</v>
      </c>
      <c r="DF64" s="1202">
        <f ca="1">OFFSET('VVP2'!$G$220,0,(COLUMN()-6)/5)</f>
        <v>95.18610000000001</v>
      </c>
      <c r="DG64" s="1202">
        <f ca="1">(DF64/DA64-1)*100</f>
        <v>3.1107822831541121</v>
      </c>
      <c r="DH64" s="3430">
        <f ca="1">IF(UPPER($F$2)="Y",(DI64/DF64-1)*100,OFFSET('VVP2'!$G$42,0,(COLUMN()-7)/5))</f>
        <v>3.6021920373918492</v>
      </c>
      <c r="DI64" s="1384">
        <f ca="1">IF(UPPER($F$2)="Y",+DI59+DI62+DI63,DF64*(1+DH64/100))</f>
        <v>98.614886114903854</v>
      </c>
      <c r="DJ64" s="1202">
        <f ca="1">+DK64/DI64*100-100</f>
        <v>0.54628049204301021</v>
      </c>
      <c r="DK64" s="1202">
        <f ca="1">OFFSET('VVP2'!$G$220,0,(COLUMN()-6)/5)</f>
        <v>99.153600000000012</v>
      </c>
      <c r="DL64" s="1202">
        <f ca="1">(DK64/DF64-1)*100</f>
        <v>4.1681506018210746</v>
      </c>
      <c r="DM64" s="3430">
        <f ca="1">IF(UPPER($F$2)="Y",(DN64/DK64-1)*100,OFFSET('VVP2'!$G$42,0,(COLUMN()-7)/5))</f>
        <v>0.98904086999935803</v>
      </c>
      <c r="DN64" s="1384">
        <f ca="1">IF(UPPER($F$2)="Y",+DN59+DN62+DN63,DK64*(1+DM64/100))</f>
        <v>100.13426962807569</v>
      </c>
      <c r="DO64" s="1202">
        <f ca="1">+DP64/DN64*100-100</f>
        <v>1.7754464865301856</v>
      </c>
      <c r="DP64" s="1202">
        <f ca="1">OFFSET('VVP2'!$G$220,0,(COLUMN()-6)/5)</f>
        <v>101.91210000000001</v>
      </c>
      <c r="DQ64" s="1202">
        <f ca="1">(DP64/DK64-1)*100</f>
        <v>2.7820472479062719</v>
      </c>
      <c r="DR64" s="3313">
        <f ca="1">IF(UPPER($F$2)="Y",(DS64/DP64-1)*100,OFFSET('VVP2'!$G$42,0,(COLUMN()-7)/5))</f>
        <v>3.9818305677147281</v>
      </c>
      <c r="DS64" s="1405">
        <f ca="1">IF(UPPER($F$2)="Y",+DS59+DS62+DS63,DP64*(1+DR64/100))</f>
        <v>105.97006715000001</v>
      </c>
      <c r="DT64" s="1339">
        <f ca="1">+DU64/DS64*100-100</f>
        <v>1</v>
      </c>
      <c r="DU64" s="1339">
        <f ca="1">+DU59+DU62+DU63</f>
        <v>107.0297678215</v>
      </c>
      <c r="DV64" s="1348">
        <f ca="1">(DU64/DP64-1)*100</f>
        <v>5.0216488733918707</v>
      </c>
      <c r="DW64" s="3313">
        <f ca="1">IF(UPPER($F$2)="Y",(DX64/DU64-1)*100,OFFSET('VVP2'!$G$42,0,(COLUMN()-7)/5))</f>
        <v>2.7355586859227454</v>
      </c>
      <c r="DX64" s="1405">
        <f ca="1">IF(UPPER($F$2)="Y",+DX59+DX62+DX63,DU64*(1+DW64/100))</f>
        <v>109.957629931664</v>
      </c>
      <c r="DY64" s="1339">
        <f ca="1">+DZ64/DX64*100-100</f>
        <v>1.2000000000000028</v>
      </c>
      <c r="DZ64" s="1339">
        <f ca="1">+DZ59+DZ62+DZ63</f>
        <v>111.27712149084397</v>
      </c>
      <c r="EA64" s="1348">
        <f ca="1">(DZ64/DU64-1)*100</f>
        <v>3.968385390153828</v>
      </c>
    </row>
    <row r="65" spans="1:131" s="2804" customFormat="1">
      <c r="A65" s="2803"/>
      <c r="C65" s="2805"/>
      <c r="D65" s="1697"/>
      <c r="E65" s="1697" t="s">
        <v>544</v>
      </c>
      <c r="F65" s="2806"/>
      <c r="G65" s="2807"/>
      <c r="H65" s="2807"/>
      <c r="I65" s="2807"/>
      <c r="J65" s="1175"/>
      <c r="K65" s="2807"/>
      <c r="L65" s="2809">
        <f ca="1">OFFSET('Q1'!$N89,0,(COLUMN()-12)*4/5)</f>
        <v>0.84293657828995094</v>
      </c>
      <c r="M65" s="2808"/>
      <c r="N65" s="1175"/>
      <c r="O65" s="1175"/>
      <c r="P65" s="1175"/>
      <c r="Q65" s="2809">
        <f ca="1">OFFSET('Q1'!$N89,0,(COLUMN()-12)*4/5)</f>
        <v>6.6439713591612417</v>
      </c>
      <c r="R65" s="1175"/>
      <c r="S65" s="1175"/>
      <c r="T65" s="1175"/>
      <c r="U65" s="1175"/>
      <c r="V65" s="2809">
        <f ca="1">OFFSET('Q1'!$N89,0,(COLUMN()-12)*4/5)</f>
        <v>2.4548520044960611</v>
      </c>
      <c r="W65" s="1175"/>
      <c r="X65" s="1175"/>
      <c r="Y65" s="1175"/>
      <c r="Z65" s="1175"/>
      <c r="AA65" s="2809">
        <f ca="1">OFFSET('Q1'!$N89,0,(COLUMN()-12)*4/5)</f>
        <v>3.7725085206910194</v>
      </c>
      <c r="AB65" s="1175"/>
      <c r="AC65" s="1175"/>
      <c r="AD65" s="1175"/>
      <c r="AE65" s="1175"/>
      <c r="AF65" s="2809">
        <f ca="1">OFFSET('Q1'!$N89,0,(COLUMN()-12)*4/5)</f>
        <v>4.3641284429533727</v>
      </c>
      <c r="AG65" s="1175"/>
      <c r="AH65" s="1175"/>
      <c r="AI65" s="1175"/>
      <c r="AJ65" s="1175"/>
      <c r="AK65" s="2809">
        <f ca="1">OFFSET('Q1'!$N89,0,(COLUMN()-12)*4/5)</f>
        <v>1.6302439287933339</v>
      </c>
      <c r="AL65" s="1175"/>
      <c r="AM65" s="1175"/>
      <c r="AN65" s="1175"/>
      <c r="AO65" s="1175"/>
      <c r="AP65" s="2809">
        <f ca="1">OFFSET('Q1'!$N89,0,(COLUMN()-12)*4/5)</f>
        <v>-4.3139079008572168</v>
      </c>
      <c r="AQ65" s="1175"/>
      <c r="AR65" s="1175"/>
      <c r="AS65" s="1175"/>
      <c r="AT65" s="1175"/>
      <c r="AU65" s="2809">
        <f ca="1">OFFSET('Q1'!$N89,0,(COLUMN()-12)*4/5)</f>
        <v>-0.40278337199126213</v>
      </c>
      <c r="AV65" s="1175"/>
      <c r="AW65" s="1175"/>
      <c r="AX65" s="1175"/>
      <c r="AY65" s="1175"/>
      <c r="AZ65" s="2809">
        <f ca="1">OFFSET('Q1'!$N89,0,(COLUMN()-12)*4/5)</f>
        <v>8.8817303267372267</v>
      </c>
      <c r="BA65" s="1175"/>
      <c r="BB65" s="1175"/>
      <c r="BC65" s="1175"/>
      <c r="BD65" s="1175"/>
      <c r="BE65" s="2809">
        <f ca="1">OFFSET('Q1'!$N89,0,(COLUMN()-12)*4/5)</f>
        <v>6.0708522246983705</v>
      </c>
      <c r="BF65" s="1175"/>
      <c r="BG65" s="1175"/>
      <c r="BH65" s="1175"/>
      <c r="BI65" s="1175"/>
      <c r="BJ65" s="2809">
        <f ca="1">OFFSET('Q1'!$N89,0,(COLUMN()-12)*4/5)</f>
        <v>1.957303967736479</v>
      </c>
      <c r="BK65" s="1175"/>
      <c r="BL65" s="1175"/>
      <c r="BM65" s="1175"/>
      <c r="BN65" s="1175"/>
      <c r="BO65" s="2809">
        <f ca="1">OFFSET('Q1'!$N89,0,(COLUMN()-12)*4/5)</f>
        <v>6.7551723729556414</v>
      </c>
      <c r="BP65" s="1175"/>
      <c r="BQ65" s="1175"/>
      <c r="BR65" s="1175"/>
      <c r="BS65" s="1175"/>
      <c r="BT65" s="2809">
        <f ca="1">OFFSET('Q1'!$N89,0,(COLUMN()-12)*4/5)</f>
        <v>1.8925485062622869</v>
      </c>
      <c r="BU65" s="2966">
        <f ca="1">BR64*(1+BT64%)-BU64</f>
        <v>0</v>
      </c>
      <c r="BV65" s="1175"/>
      <c r="BW65" s="1175"/>
      <c r="BX65" s="1175"/>
      <c r="BY65" s="2809">
        <f ca="1">OFFSET('Q1'!$N89,0,(COLUMN()-12)*4/5)</f>
        <v>-6.6293590567126301</v>
      </c>
      <c r="BZ65" s="2966">
        <f ca="1">BW64*(1+BY64%)-BZ64</f>
        <v>0</v>
      </c>
      <c r="CA65" s="1175"/>
      <c r="CB65" s="1175"/>
      <c r="CC65" s="1175"/>
      <c r="CD65" s="2809">
        <f ca="1">OFFSET('Q1'!$N89,0,(COLUMN()-12)*4/5)</f>
        <v>-0.83138992537315914</v>
      </c>
      <c r="CE65" s="2966">
        <f ca="1">CE64-CE63-CE62-CE59</f>
        <v>0</v>
      </c>
      <c r="CF65" s="1175"/>
      <c r="CG65" s="2966">
        <f ca="1">CG64-CG63-CG62-CG59</f>
        <v>-1.0000000000331966E-4</v>
      </c>
      <c r="CH65" s="1175"/>
      <c r="CI65" s="2809">
        <f ca="1">OFFSET('Q1'!$N89,0,(COLUMN()-12)*4/5)</f>
        <v>4.2200195186191252</v>
      </c>
      <c r="CJ65" s="2966">
        <f ca="1">CJ64-CJ63-CJ62-CJ59</f>
        <v>0</v>
      </c>
      <c r="CK65" s="1175"/>
      <c r="CL65" s="2966">
        <f ca="1">CL64-CL63-CL62-CL59</f>
        <v>9.9999999989108801E-5</v>
      </c>
      <c r="CM65" s="1175"/>
      <c r="CN65" s="2843">
        <f ca="1">OFFSET('Q1'!$N89,0,(COLUMN()-12)*4/5)</f>
        <v>0.19743670743264374</v>
      </c>
      <c r="CO65" s="2966">
        <f ca="1">CO64-CO63-CO62-CO59</f>
        <v>0</v>
      </c>
      <c r="CP65" s="1175"/>
      <c r="CQ65" s="2966">
        <f ca="1">CQ64-CQ63-CQ62-CQ59</f>
        <v>-2.9999999999574811E-4</v>
      </c>
      <c r="CR65" s="1175"/>
      <c r="CS65" s="2843">
        <f ca="1">OFFSET('Q1'!$N89,0,(COLUMN()-12)*4/5)</f>
        <v>-1.4896803323912593</v>
      </c>
      <c r="CT65" s="1175"/>
      <c r="CU65" s="1175"/>
      <c r="CV65" s="1175"/>
      <c r="CW65" s="1175"/>
      <c r="CX65" s="2843">
        <f ca="1">OFFSET('Q1'!$N89,0,(COLUMN()-12)*4/5)</f>
        <v>5.9631035113386872</v>
      </c>
      <c r="CY65" s="1175"/>
      <c r="CZ65" s="1175"/>
      <c r="DA65" s="1175"/>
      <c r="DB65" s="1175"/>
      <c r="DC65" s="2843">
        <f ca="1">OFFSET('Q1'!$N89,0,(COLUMN()-12)*4/5)</f>
        <v>2.6762310554986328</v>
      </c>
      <c r="DD65" s="1175"/>
      <c r="DE65" s="1175"/>
      <c r="DF65" s="1175"/>
      <c r="DG65" s="1175"/>
      <c r="DH65" s="2843">
        <f ca="1">OFFSET('Q1'!$N89,0,(COLUMN()-12)*4/5)</f>
        <v>3.6024205240266411</v>
      </c>
      <c r="DI65" s="1175"/>
      <c r="DJ65" s="1175"/>
      <c r="DK65" s="1175"/>
      <c r="DL65" s="1175"/>
      <c r="DM65" s="2843">
        <f ca="1">OFFSET('Q1'!$N89,0,(COLUMN()-12)*4/5)</f>
        <v>0.98970744815699163</v>
      </c>
      <c r="DN65" s="1175"/>
      <c r="DO65" s="1175"/>
      <c r="DP65" s="1175"/>
      <c r="DQ65" s="1175"/>
      <c r="DR65" s="2843">
        <f ca="1">OFFSET('Q1'!$N89,0,(COLUMN()-12)*4/5)</f>
        <v>3.9756639090252008</v>
      </c>
      <c r="DS65" s="1175"/>
      <c r="DT65" s="1175"/>
      <c r="DU65" s="1175"/>
      <c r="DV65" s="1175"/>
      <c r="DW65" s="2843">
        <f ca="1">OFFSET('Q1'!$N89,0,(COLUMN()-12)*4/5)</f>
        <v>2.7293179010726476</v>
      </c>
      <c r="DX65" s="1175"/>
      <c r="DY65" s="1175"/>
      <c r="DZ65" s="1175"/>
      <c r="EA65" s="1175"/>
    </row>
    <row r="66" spans="1:131">
      <c r="BV66" s="1370"/>
      <c r="CB66" s="1094"/>
      <c r="CC66" s="1094">
        <f ca="1">CB65-CB64</f>
        <v>-78.780299999999997</v>
      </c>
      <c r="CI66">
        <f>359.4*0.6</f>
        <v>215.64</v>
      </c>
      <c r="DK66" s="1335">
        <f ca="1">DK64/DK16</f>
        <v>0.23437885594177879</v>
      </c>
      <c r="DP66" s="1335">
        <f ca="1">DP64/DP16</f>
        <v>0.23241888084553028</v>
      </c>
      <c r="DU66" s="1335">
        <f ca="1">DU64/DU16</f>
        <v>0.23607443412294996</v>
      </c>
      <c r="DZ66" s="1335">
        <f ca="1">DZ64/DZ16</f>
        <v>0.23724392529542793</v>
      </c>
    </row>
    <row r="67" spans="1:131">
      <c r="CB67" s="1094"/>
      <c r="CG67" s="1094"/>
      <c r="CL67" s="1094"/>
      <c r="CQ67" s="1094"/>
      <c r="DF67" s="1094"/>
      <c r="DK67" s="1094"/>
      <c r="DP67" s="1094"/>
      <c r="DU67" s="1094"/>
      <c r="DZ67" s="1094"/>
    </row>
    <row r="68" spans="1:131">
      <c r="D68" s="4106"/>
      <c r="E68" s="4108" t="s">
        <v>2041</v>
      </c>
      <c r="F68" s="4109"/>
      <c r="G68" s="4112">
        <f>+InputY!$G$3</f>
        <v>1995</v>
      </c>
      <c r="H68" s="4104"/>
      <c r="I68" s="4104"/>
      <c r="J68" s="4104"/>
      <c r="K68" s="4104"/>
      <c r="L68" s="4104">
        <f>+G68+1</f>
        <v>1996</v>
      </c>
      <c r="M68" s="4104"/>
      <c r="N68" s="4104"/>
      <c r="O68" s="4104"/>
      <c r="P68" s="4104"/>
      <c r="Q68" s="4104">
        <f>+L68+1</f>
        <v>1997</v>
      </c>
      <c r="R68" s="4104"/>
      <c r="S68" s="4104"/>
      <c r="T68" s="4104"/>
      <c r="U68" s="4104"/>
      <c r="V68" s="4104">
        <f>+Q68+1</f>
        <v>1998</v>
      </c>
      <c r="W68" s="4104"/>
      <c r="X68" s="4104"/>
      <c r="Y68" s="4104"/>
      <c r="Z68" s="4104"/>
      <c r="AA68" s="4104">
        <f>+V68+1</f>
        <v>1999</v>
      </c>
      <c r="AB68" s="4104"/>
      <c r="AC68" s="4104"/>
      <c r="AD68" s="4104"/>
      <c r="AE68" s="4104"/>
      <c r="AF68" s="4104">
        <f>+AA68+1</f>
        <v>2000</v>
      </c>
      <c r="AG68" s="4104"/>
      <c r="AH68" s="4104"/>
      <c r="AI68" s="4104"/>
      <c r="AJ68" s="4104"/>
      <c r="AK68" s="4104">
        <f>+AF68+1</f>
        <v>2001</v>
      </c>
      <c r="AL68" s="4104"/>
      <c r="AM68" s="4104"/>
      <c r="AN68" s="4104"/>
      <c r="AO68" s="4104"/>
      <c r="AP68" s="4104">
        <f>+AK68+1</f>
        <v>2002</v>
      </c>
      <c r="AQ68" s="4104"/>
      <c r="AR68" s="4104"/>
      <c r="AS68" s="4104"/>
      <c r="AT68" s="4104"/>
      <c r="AU68" s="4104">
        <f>+AP68+1</f>
        <v>2003</v>
      </c>
      <c r="AV68" s="4104"/>
      <c r="AW68" s="4104"/>
      <c r="AX68" s="4104"/>
      <c r="AY68" s="4104"/>
      <c r="AZ68" s="4104">
        <f>+AU68+1</f>
        <v>2004</v>
      </c>
      <c r="BA68" s="4104"/>
      <c r="BB68" s="4104"/>
      <c r="BC68" s="4104"/>
      <c r="BD68" s="4104"/>
      <c r="BE68" s="4104">
        <f>+AZ68+1</f>
        <v>2005</v>
      </c>
      <c r="BF68" s="4104"/>
      <c r="BG68" s="4104"/>
      <c r="BH68" s="4104"/>
      <c r="BI68" s="4104"/>
      <c r="BJ68" s="4093">
        <f>+BE68+1</f>
        <v>2006</v>
      </c>
      <c r="BK68" s="4094"/>
      <c r="BL68" s="4094"/>
      <c r="BM68" s="4094"/>
      <c r="BN68" s="4095"/>
      <c r="BO68" s="4104">
        <f>+BJ68+1</f>
        <v>2007</v>
      </c>
      <c r="BP68" s="4104"/>
      <c r="BQ68" s="4104"/>
      <c r="BR68" s="4104"/>
      <c r="BS68" s="4104"/>
      <c r="BT68" s="4104">
        <f>+BO68+1</f>
        <v>2008</v>
      </c>
      <c r="BU68" s="4104"/>
      <c r="BV68" s="4104"/>
      <c r="BW68" s="4104"/>
      <c r="BX68" s="4104"/>
      <c r="BY68" s="4093">
        <f>+BT68+1</f>
        <v>2009</v>
      </c>
      <c r="BZ68" s="4094"/>
      <c r="CA68" s="4094"/>
      <c r="CB68" s="4094"/>
      <c r="CC68" s="4095"/>
      <c r="CD68" s="4093">
        <f>+BY68+1</f>
        <v>2010</v>
      </c>
      <c r="CE68" s="4094"/>
      <c r="CF68" s="4094"/>
      <c r="CG68" s="4094"/>
      <c r="CH68" s="4095"/>
      <c r="CI68" s="4093">
        <f>+CD68+1</f>
        <v>2011</v>
      </c>
      <c r="CJ68" s="4094"/>
      <c r="CK68" s="4094"/>
      <c r="CL68" s="4094"/>
      <c r="CM68" s="4095"/>
      <c r="CN68" s="4093">
        <f>+CI68+1</f>
        <v>2012</v>
      </c>
      <c r="CO68" s="4094"/>
      <c r="CP68" s="4094"/>
      <c r="CQ68" s="4094"/>
      <c r="CR68" s="4095"/>
      <c r="CS68" s="4093">
        <f>+CN68+1</f>
        <v>2013</v>
      </c>
      <c r="CT68" s="4094"/>
      <c r="CU68" s="4094"/>
      <c r="CV68" s="4094"/>
      <c r="CW68" s="4095"/>
      <c r="CX68" s="4093">
        <f>+CS68+1</f>
        <v>2014</v>
      </c>
      <c r="CY68" s="4094"/>
      <c r="CZ68" s="4094"/>
      <c r="DA68" s="4094"/>
      <c r="DB68" s="4095"/>
      <c r="DC68" s="4093">
        <f>+CX68+1</f>
        <v>2015</v>
      </c>
      <c r="DD68" s="4094"/>
      <c r="DE68" s="4094"/>
      <c r="DF68" s="4094"/>
      <c r="DG68" s="4095"/>
      <c r="DH68" s="4093">
        <f>+DC68+1</f>
        <v>2016</v>
      </c>
      <c r="DI68" s="4094"/>
      <c r="DJ68" s="4094"/>
      <c r="DK68" s="4094"/>
      <c r="DL68" s="4095"/>
      <c r="DM68" s="4093">
        <f>+DH68+1</f>
        <v>2017</v>
      </c>
      <c r="DN68" s="4094"/>
      <c r="DO68" s="4094"/>
      <c r="DP68" s="4094"/>
      <c r="DQ68" s="4095"/>
      <c r="DR68" s="4093">
        <f>+DM68+1</f>
        <v>2018</v>
      </c>
      <c r="DS68" s="4094"/>
      <c r="DT68" s="4094"/>
      <c r="DU68" s="4094"/>
      <c r="DV68" s="4095"/>
      <c r="DW68" s="4093">
        <f>+DR68+1</f>
        <v>2019</v>
      </c>
      <c r="DX68" s="4094"/>
      <c r="DY68" s="4094"/>
      <c r="DZ68" s="4094"/>
      <c r="EA68" s="4095"/>
    </row>
    <row r="69" spans="1:131">
      <c r="C69" s="3"/>
      <c r="D69" s="4107"/>
      <c r="E69" s="4110" t="s">
        <v>2041</v>
      </c>
      <c r="F69" s="4111"/>
      <c r="G69" s="1199" t="s">
        <v>506</v>
      </c>
      <c r="H69" s="1196" t="s">
        <v>499</v>
      </c>
      <c r="I69" s="1195" t="s">
        <v>1186</v>
      </c>
      <c r="J69" s="1196" t="s">
        <v>1304</v>
      </c>
      <c r="K69" s="1195" t="s">
        <v>1187</v>
      </c>
      <c r="L69" s="1195" t="s">
        <v>506</v>
      </c>
      <c r="M69" s="1196" t="s">
        <v>499</v>
      </c>
      <c r="N69" s="1195" t="s">
        <v>1186</v>
      </c>
      <c r="O69" s="1196" t="s">
        <v>1304</v>
      </c>
      <c r="P69" s="1195" t="s">
        <v>1187</v>
      </c>
      <c r="Q69" s="1195" t="s">
        <v>506</v>
      </c>
      <c r="R69" s="1196" t="s">
        <v>499</v>
      </c>
      <c r="S69" s="1195" t="s">
        <v>1186</v>
      </c>
      <c r="T69" s="1196" t="s">
        <v>1304</v>
      </c>
      <c r="U69" s="1195" t="s">
        <v>1187</v>
      </c>
      <c r="V69" s="1195" t="s">
        <v>506</v>
      </c>
      <c r="W69" s="1196" t="s">
        <v>499</v>
      </c>
      <c r="X69" s="1195" t="s">
        <v>1186</v>
      </c>
      <c r="Y69" s="1196" t="s">
        <v>1304</v>
      </c>
      <c r="Z69" s="1195" t="s">
        <v>1187</v>
      </c>
      <c r="AA69" s="1195" t="s">
        <v>506</v>
      </c>
      <c r="AB69" s="1196" t="s">
        <v>499</v>
      </c>
      <c r="AC69" s="1195" t="s">
        <v>1186</v>
      </c>
      <c r="AD69" s="1196" t="s">
        <v>1304</v>
      </c>
      <c r="AE69" s="1195" t="s">
        <v>1187</v>
      </c>
      <c r="AF69" s="1195" t="s">
        <v>506</v>
      </c>
      <c r="AG69" s="1196" t="s">
        <v>499</v>
      </c>
      <c r="AH69" s="1195" t="s">
        <v>1186</v>
      </c>
      <c r="AI69" s="1196" t="s">
        <v>1304</v>
      </c>
      <c r="AJ69" s="1195" t="s">
        <v>1187</v>
      </c>
      <c r="AK69" s="1195" t="s">
        <v>506</v>
      </c>
      <c r="AL69" s="1196" t="s">
        <v>499</v>
      </c>
      <c r="AM69" s="1195" t="s">
        <v>1186</v>
      </c>
      <c r="AN69" s="1196" t="s">
        <v>1304</v>
      </c>
      <c r="AO69" s="1195" t="s">
        <v>1187</v>
      </c>
      <c r="AP69" s="1195" t="s">
        <v>506</v>
      </c>
      <c r="AQ69" s="1196" t="s">
        <v>499</v>
      </c>
      <c r="AR69" s="1195" t="s">
        <v>1186</v>
      </c>
      <c r="AS69" s="1196" t="s">
        <v>1304</v>
      </c>
      <c r="AT69" s="1195" t="s">
        <v>1187</v>
      </c>
      <c r="AU69" s="1195" t="s">
        <v>506</v>
      </c>
      <c r="AV69" s="1196" t="s">
        <v>499</v>
      </c>
      <c r="AW69" s="1195" t="s">
        <v>1186</v>
      </c>
      <c r="AX69" s="1196" t="s">
        <v>1304</v>
      </c>
      <c r="AY69" s="1195" t="s">
        <v>1187</v>
      </c>
      <c r="AZ69" s="1195" t="s">
        <v>506</v>
      </c>
      <c r="BA69" s="1196" t="s">
        <v>499</v>
      </c>
      <c r="BB69" s="1195" t="s">
        <v>1186</v>
      </c>
      <c r="BC69" s="1196" t="s">
        <v>1304</v>
      </c>
      <c r="BD69" s="1195" t="s">
        <v>1187</v>
      </c>
      <c r="BE69" s="1195" t="s">
        <v>506</v>
      </c>
      <c r="BF69" s="1196" t="s">
        <v>499</v>
      </c>
      <c r="BG69" s="1195" t="s">
        <v>1186</v>
      </c>
      <c r="BH69" s="1196" t="s">
        <v>1304</v>
      </c>
      <c r="BI69" s="1195" t="s">
        <v>1187</v>
      </c>
      <c r="BJ69" s="1195" t="s">
        <v>506</v>
      </c>
      <c r="BK69" s="1196" t="s">
        <v>499</v>
      </c>
      <c r="BL69" s="1195" t="s">
        <v>1186</v>
      </c>
      <c r="BM69" s="1196" t="s">
        <v>1304</v>
      </c>
      <c r="BN69" s="1195" t="s">
        <v>1187</v>
      </c>
      <c r="BO69" s="1195" t="s">
        <v>506</v>
      </c>
      <c r="BP69" s="1196" t="s">
        <v>499</v>
      </c>
      <c r="BQ69" s="1195" t="s">
        <v>1186</v>
      </c>
      <c r="BR69" s="1196" t="s">
        <v>1304</v>
      </c>
      <c r="BS69" s="1195" t="s">
        <v>1187</v>
      </c>
      <c r="BT69" s="1195" t="s">
        <v>506</v>
      </c>
      <c r="BU69" s="1196" t="s">
        <v>499</v>
      </c>
      <c r="BV69" s="1195" t="s">
        <v>1186</v>
      </c>
      <c r="BW69" s="1196" t="s">
        <v>1304</v>
      </c>
      <c r="BX69" s="1195" t="s">
        <v>1187</v>
      </c>
      <c r="BY69" s="1195" t="s">
        <v>506</v>
      </c>
      <c r="BZ69" s="1196" t="s">
        <v>499</v>
      </c>
      <c r="CA69" s="1195" t="s">
        <v>1186</v>
      </c>
      <c r="CB69" s="1196" t="s">
        <v>1304</v>
      </c>
      <c r="CC69" s="1195" t="s">
        <v>1187</v>
      </c>
      <c r="CD69" s="1195" t="s">
        <v>506</v>
      </c>
      <c r="CE69" s="1196" t="s">
        <v>499</v>
      </c>
      <c r="CF69" s="1195" t="s">
        <v>1186</v>
      </c>
      <c r="CG69" s="1196" t="s">
        <v>1304</v>
      </c>
      <c r="CH69" s="1195" t="s">
        <v>1187</v>
      </c>
      <c r="CI69" s="1195" t="s">
        <v>506</v>
      </c>
      <c r="CJ69" s="1196" t="s">
        <v>499</v>
      </c>
      <c r="CK69" s="1195" t="s">
        <v>1186</v>
      </c>
      <c r="CL69" s="1196" t="s">
        <v>1304</v>
      </c>
      <c r="CM69" s="1195" t="s">
        <v>1187</v>
      </c>
      <c r="CN69" s="1195" t="s">
        <v>506</v>
      </c>
      <c r="CO69" s="1196" t="s">
        <v>499</v>
      </c>
      <c r="CP69" s="1195" t="s">
        <v>1186</v>
      </c>
      <c r="CQ69" s="1196" t="s">
        <v>1304</v>
      </c>
      <c r="CR69" s="1195" t="s">
        <v>1187</v>
      </c>
      <c r="CS69" s="1195" t="s">
        <v>506</v>
      </c>
      <c r="CT69" s="1196" t="s">
        <v>499</v>
      </c>
      <c r="CU69" s="1195" t="s">
        <v>1186</v>
      </c>
      <c r="CV69" s="1196" t="s">
        <v>1304</v>
      </c>
      <c r="CW69" s="1195" t="s">
        <v>1187</v>
      </c>
      <c r="CX69" s="1195" t="s">
        <v>506</v>
      </c>
      <c r="CY69" s="1196" t="s">
        <v>499</v>
      </c>
      <c r="CZ69" s="1195" t="s">
        <v>1186</v>
      </c>
      <c r="DA69" s="1196" t="s">
        <v>1304</v>
      </c>
      <c r="DB69" s="1195" t="s">
        <v>1187</v>
      </c>
      <c r="DC69" s="1195" t="s">
        <v>506</v>
      </c>
      <c r="DD69" s="1196" t="s">
        <v>499</v>
      </c>
      <c r="DE69" s="1195" t="s">
        <v>1186</v>
      </c>
      <c r="DF69" s="1196" t="s">
        <v>1304</v>
      </c>
      <c r="DG69" s="1195" t="s">
        <v>1187</v>
      </c>
      <c r="DH69" s="1195" t="s">
        <v>506</v>
      </c>
      <c r="DI69" s="1196" t="s">
        <v>499</v>
      </c>
      <c r="DJ69" s="1195" t="s">
        <v>1186</v>
      </c>
      <c r="DK69" s="1196" t="s">
        <v>1304</v>
      </c>
      <c r="DL69" s="1195" t="s">
        <v>1187</v>
      </c>
      <c r="DM69" s="1195" t="s">
        <v>506</v>
      </c>
      <c r="DN69" s="1196" t="s">
        <v>499</v>
      </c>
      <c r="DO69" s="1195" t="s">
        <v>1186</v>
      </c>
      <c r="DP69" s="1196" t="s">
        <v>1304</v>
      </c>
      <c r="DQ69" s="1195" t="s">
        <v>1187</v>
      </c>
      <c r="DR69" s="1195" t="s">
        <v>506</v>
      </c>
      <c r="DS69" s="1196" t="s">
        <v>499</v>
      </c>
      <c r="DT69" s="1195" t="s">
        <v>1186</v>
      </c>
      <c r="DU69" s="1196" t="s">
        <v>1304</v>
      </c>
      <c r="DV69" s="1195" t="s">
        <v>1187</v>
      </c>
      <c r="DW69" s="1195" t="s">
        <v>506</v>
      </c>
      <c r="DX69" s="1196" t="s">
        <v>499</v>
      </c>
      <c r="DY69" s="1195" t="s">
        <v>1186</v>
      </c>
      <c r="DZ69" s="1196" t="s">
        <v>1304</v>
      </c>
      <c r="EA69" s="1195" t="s">
        <v>1187</v>
      </c>
    </row>
    <row r="70" spans="1:131" s="1240" customFormat="1">
      <c r="A70" s="1379"/>
      <c r="C70" s="1241" t="s">
        <v>622</v>
      </c>
      <c r="D70" s="1242" t="s">
        <v>591</v>
      </c>
      <c r="E70" s="1242" t="s">
        <v>1248</v>
      </c>
      <c r="F70" s="1243" t="s">
        <v>1948</v>
      </c>
      <c r="G70" s="1180"/>
      <c r="H70" s="1181"/>
      <c r="I70" s="1182"/>
      <c r="J70" s="1171">
        <f ca="1">OFFSET('VVP2'!$G$237,0,(COLUMN()-6)/5)</f>
        <v>4.6926999999999994</v>
      </c>
      <c r="K70" s="1183"/>
      <c r="L70" s="1244">
        <f ca="1">OFFSET('VVP2'!$G$54,0,(COLUMN()-7)/5)</f>
        <v>-4.1426453632020905</v>
      </c>
      <c r="M70" s="1171">
        <f ca="1">+J70*(1+L70/100)</f>
        <v>4.4982980810410149</v>
      </c>
      <c r="N70" s="1244">
        <f ca="1">+O70/M70*100-100</f>
        <v>3.4969207492488295</v>
      </c>
      <c r="O70" s="1171">
        <f ca="1">OFFSET('VVP2'!$G$237,0,(COLUMN()-6)/5)</f>
        <v>4.6556000000000006</v>
      </c>
      <c r="P70" s="1164">
        <f ca="1">(O70/J70-1)*100</f>
        <v>-0.79058963922685743</v>
      </c>
      <c r="Q70" s="1244">
        <f ca="1">OFFSET('VVP2'!$G$54,0,(COLUMN()-7)/5)</f>
        <v>6.8004124065641269</v>
      </c>
      <c r="R70" s="1171">
        <f ca="1">+O70*(1+Q70/100)</f>
        <v>4.9722</v>
      </c>
      <c r="S70" s="1244">
        <f ca="1">+T70/R70*100-100</f>
        <v>0</v>
      </c>
      <c r="T70" s="1171">
        <f ca="1">OFFSET('VVP2'!$G$237,0,(COLUMN()-6)/5)</f>
        <v>4.9722</v>
      </c>
      <c r="U70" s="1164">
        <f ca="1">(T70/O70-1)*100</f>
        <v>6.8004124065641269</v>
      </c>
      <c r="V70" s="1244">
        <f ca="1">OFFSET('VVP2'!$G$54,0,(COLUMN()-7)/5)</f>
        <v>1.2107316680745051</v>
      </c>
      <c r="W70" s="1171">
        <f ca="1">+T70*(1+V70/100)</f>
        <v>5.0324000000000009</v>
      </c>
      <c r="X70" s="1244">
        <f ca="1">+Y70/W70*100-100</f>
        <v>0</v>
      </c>
      <c r="Y70" s="1171">
        <f ca="1">OFFSET('VVP2'!$G$237,0,(COLUMN()-6)/5)</f>
        <v>5.0324</v>
      </c>
      <c r="Z70" s="1164">
        <f ca="1">(Y70/T70-1)*100</f>
        <v>1.2107316680745051</v>
      </c>
      <c r="AA70" s="1244">
        <f ca="1">OFFSET('VVP2'!$G$54,0,(COLUMN()-7)/5)</f>
        <v>18.357046339718618</v>
      </c>
      <c r="AB70" s="1171">
        <f ca="1">+Y70*(1+AA70/100)</f>
        <v>5.9561999999999999</v>
      </c>
      <c r="AC70" s="1244">
        <f ca="1">+AD70/AB70*100-100</f>
        <v>0</v>
      </c>
      <c r="AD70" s="1171">
        <f ca="1">OFFSET('VVP2'!$G$237,0,(COLUMN()-6)/5)</f>
        <v>5.9561999999999999</v>
      </c>
      <c r="AE70" s="1164">
        <f ca="1">(AD70/Y70-1)*100</f>
        <v>18.357046339718618</v>
      </c>
      <c r="AF70" s="1244">
        <f ca="1">OFFSET('VVP2'!$G$54,0,(COLUMN()-7)/5)</f>
        <v>5.2634229878110173</v>
      </c>
      <c r="AG70" s="1171">
        <f ca="1">+AD70*(1+AF70/100)</f>
        <v>6.2696999999999994</v>
      </c>
      <c r="AH70" s="1244">
        <f ca="1">+AI70/AG70*100-100</f>
        <v>0</v>
      </c>
      <c r="AI70" s="1171">
        <f ca="1">OFFSET('VVP2'!$G$237,0,(COLUMN()-6)/5)</f>
        <v>6.2696999999999994</v>
      </c>
      <c r="AJ70" s="1164">
        <f ca="1">(AI70/AD70-1)*100</f>
        <v>5.2634229878110173</v>
      </c>
      <c r="AK70" s="1244">
        <f ca="1">OFFSET('VVP2'!$G$54,0,(COLUMN()-7)/5)</f>
        <v>-7.6191843309887153</v>
      </c>
      <c r="AL70" s="1171">
        <f ca="1">+AI70*(1+AK70/100)</f>
        <v>5.7919999999999998</v>
      </c>
      <c r="AM70" s="1244">
        <f ca="1">+AN70/AL70*100-100</f>
        <v>0</v>
      </c>
      <c r="AN70" s="1171">
        <f ca="1">OFFSET('VVP2'!$G$237,0,(COLUMN()-6)/5)</f>
        <v>5.7919999999999998</v>
      </c>
      <c r="AO70" s="1164">
        <f ca="1">(AN70/AI70-1)*100</f>
        <v>-7.6191843309887153</v>
      </c>
      <c r="AP70" s="1244">
        <f ca="1">OFFSET('VVP2'!$G$54,0,(COLUMN()-7)/5)</f>
        <v>0.70959944751380899</v>
      </c>
      <c r="AQ70" s="1171">
        <f ca="1">+AN70*(1+AP70/100)</f>
        <v>5.8331</v>
      </c>
      <c r="AR70" s="1244">
        <f ca="1">+AS70/AQ70*100-100</f>
        <v>0</v>
      </c>
      <c r="AS70" s="1171">
        <f ca="1">OFFSET('VVP2'!$G$237,0,(COLUMN()-6)/5)</f>
        <v>5.8331</v>
      </c>
      <c r="AT70" s="1164">
        <f ca="1">(AS70/AN70-1)*100</f>
        <v>0.70959944751380899</v>
      </c>
      <c r="AU70" s="1244">
        <f ca="1">OFFSET('VVP2'!$G$54,0,(COLUMN()-7)/5)</f>
        <v>4.4436063156811922</v>
      </c>
      <c r="AV70" s="1171">
        <f ca="1">+AS70*(1+AU70/100)</f>
        <v>6.0922999999999998</v>
      </c>
      <c r="AW70" s="1244">
        <f ca="1">+AX70/AV70*100-100</f>
        <v>0</v>
      </c>
      <c r="AX70" s="1171">
        <f ca="1">OFFSET('VVP2'!$G$237,0,(COLUMN()-6)/5)</f>
        <v>6.0922999999999998</v>
      </c>
      <c r="AY70" s="1164">
        <f ca="1">(AX70/AS70-1)*100</f>
        <v>4.4436063156811922</v>
      </c>
      <c r="AZ70" s="1244">
        <f ca="1">OFFSET('VVP2'!$G$54,0,(COLUMN()-7)/5)</f>
        <v>1.6611132084762836</v>
      </c>
      <c r="BA70" s="1171">
        <f ca="1">+AX70*(1+AZ70/100)</f>
        <v>6.1935000000000002</v>
      </c>
      <c r="BB70" s="1244">
        <f ca="1">+BC70/BA70*100-100</f>
        <v>0</v>
      </c>
      <c r="BC70" s="1171">
        <f ca="1">OFFSET('VVP2'!$G$237,0,(COLUMN()-6)/5)</f>
        <v>6.1935000000000002</v>
      </c>
      <c r="BD70" s="1164">
        <f ca="1">(BC70/AX70-1)*100</f>
        <v>1.6611132084762836</v>
      </c>
      <c r="BE70" s="1244">
        <f ca="1">OFFSET('VVP2'!$G$54,0,(COLUMN()-7)/5)</f>
        <v>6.9540647452974946</v>
      </c>
      <c r="BF70" s="1171">
        <f ca="1">+BC70*(1+BE70/100)</f>
        <v>6.624200000000001</v>
      </c>
      <c r="BG70" s="1244">
        <f ca="1">+BH70/BF70*100-100</f>
        <v>0</v>
      </c>
      <c r="BH70" s="1171">
        <f ca="1">OFFSET('VVP2'!$G$237,0,(COLUMN()-6)/5)</f>
        <v>6.6242000000000001</v>
      </c>
      <c r="BI70" s="1164">
        <f ca="1">(BH70/BC70-1)*100</f>
        <v>6.9540647452974946</v>
      </c>
      <c r="BJ70" s="1244">
        <f ca="1">OFFSET('VVP2'!$G$54,0,(COLUMN()-7)/5)</f>
        <v>-3.1203768002173837</v>
      </c>
      <c r="BK70" s="1171">
        <f ca="1">+BH70*(1+BJ70/100)</f>
        <v>6.4175000000000004</v>
      </c>
      <c r="BL70" s="1244">
        <f ca="1">+BM70/BK70*100-100</f>
        <v>0</v>
      </c>
      <c r="BM70" s="1171">
        <f ca="1">OFFSET('VVP2'!$G$237,0,(COLUMN()-6)/5)</f>
        <v>6.4175000000000004</v>
      </c>
      <c r="BN70" s="1164">
        <f ca="1">(BM70/BH70-1)*100</f>
        <v>-3.1203768002173837</v>
      </c>
      <c r="BO70" s="1244">
        <f ca="1">OFFSET('VVP2'!$G$54,0,(COLUMN()-7)/5)</f>
        <v>9.5457732761978988</v>
      </c>
      <c r="BP70" s="1171">
        <f ca="1">+BM70*(1+BO70/100)</f>
        <v>7.0301000000000009</v>
      </c>
      <c r="BQ70" s="1244">
        <f ca="1">+BR70/BP70*100-100</f>
        <v>0</v>
      </c>
      <c r="BR70" s="1171">
        <f ca="1">OFFSET('VVP2'!$G$237,0,(COLUMN()-6)/5)</f>
        <v>7.0301</v>
      </c>
      <c r="BS70" s="1164">
        <f ca="1">(BR70/BM70-1)*100</f>
        <v>9.5457732761978988</v>
      </c>
      <c r="BT70" s="1244">
        <f ca="1">OFFSET('VVP2'!$G$54,0,(COLUMN()-7)/5)</f>
        <v>5.4992105375456957</v>
      </c>
      <c r="BU70" s="1171">
        <f ca="1">+BR70*(1+BT70/100)</f>
        <v>7.4166999999999996</v>
      </c>
      <c r="BV70" s="1244">
        <f ca="1">+BW70/BU70*100-100</f>
        <v>0</v>
      </c>
      <c r="BW70" s="1171">
        <f ca="1">OFFSET('VVP2'!$G$237,0,(COLUMN()-6)/5)</f>
        <v>7.4166999999999996</v>
      </c>
      <c r="BX70" s="1164">
        <f ca="1">(BW70/BR70-1)*100</f>
        <v>5.4992105375456957</v>
      </c>
      <c r="BY70" s="1244">
        <f ca="1">OFFSET('VVP2'!$G$54,0,(COLUMN()-7)/5)</f>
        <v>9.6255747165181482</v>
      </c>
      <c r="BZ70" s="1171">
        <f ca="1">+BW70*(1+BY70/100)</f>
        <v>8.1306000000000012</v>
      </c>
      <c r="CA70" s="1244">
        <f ca="1">+CB70/BZ70*100-100</f>
        <v>0</v>
      </c>
      <c r="CB70" s="1171">
        <f ca="1">OFFSET('VVP2'!$G$237,0,(COLUMN()-6)/5)</f>
        <v>8.1306000000000012</v>
      </c>
      <c r="CC70" s="1164">
        <f ca="1">(CB70/BW70-1)*100</f>
        <v>9.6255747165181482</v>
      </c>
      <c r="CD70" s="1244">
        <f ca="1">OFFSET('VVP2'!$G$54,0,(COLUMN()-7)/5)</f>
        <v>3.2396133126706417</v>
      </c>
      <c r="CE70" s="1171">
        <f ca="1">+CB70*(1+CD70/100)</f>
        <v>8.3940000000000001</v>
      </c>
      <c r="CF70" s="1244">
        <f ca="1">+CG70/CE70*100-100</f>
        <v>0</v>
      </c>
      <c r="CG70" s="3307">
        <f ca="1">OFFSET('VVP2'!$G$237,0,(COLUMN()-6)/5)</f>
        <v>8.3940000000000001</v>
      </c>
      <c r="CH70" s="1164">
        <f ca="1">(CG70/CB70-1)*100</f>
        <v>3.2396133126706417</v>
      </c>
      <c r="CI70" s="1244">
        <f ca="1">OFFSET('VVP2'!$G$54,0,(COLUMN()-7)/5)</f>
        <v>10.492018108172507</v>
      </c>
      <c r="CJ70" s="1171">
        <f ca="1">+CG70*(1+CI70/100)</f>
        <v>9.2747000000000011</v>
      </c>
      <c r="CK70" s="1244">
        <f ca="1">+CL70/CJ70*100-100</f>
        <v>0</v>
      </c>
      <c r="CL70" s="3307">
        <f ca="1">OFFSET('VVP2'!$G$237,0,(COLUMN()-6)/5)</f>
        <v>9.2747000000000011</v>
      </c>
      <c r="CM70" s="1164">
        <f ca="1">(CL70/CG70-1)*100</f>
        <v>10.492018108172507</v>
      </c>
      <c r="CN70" s="1244">
        <f ca="1">OFFSET('VVP2'!$G$54,0,(COLUMN()-7)/5)</f>
        <v>3.9764089404508818</v>
      </c>
      <c r="CO70" s="1171">
        <f ca="1">+CL70*(1+CN70/100)</f>
        <v>9.6434999999999995</v>
      </c>
      <c r="CP70" s="1244">
        <f ca="1">+CQ70/CO70*100-100</f>
        <v>0</v>
      </c>
      <c r="CQ70" s="3013">
        <f ca="1">OFFSET('VVP2'!$G$237,0,(COLUMN()-6)/5)</f>
        <v>9.6434999999999995</v>
      </c>
      <c r="CR70" s="1164">
        <f ca="1">(CQ70/CL70-1)*100</f>
        <v>3.9764089404508818</v>
      </c>
      <c r="CS70" s="1244">
        <f ca="1">OFFSET('VVP2'!$G$54,0,(COLUMN()-7)/5)</f>
        <v>-4.0773578057759163</v>
      </c>
      <c r="CT70" s="1171">
        <f ca="1">+CQ70*(1+CS70/100)</f>
        <v>9.2502999999999993</v>
      </c>
      <c r="CU70" s="1244">
        <f ca="1">+CV70/CT70*100-100</f>
        <v>0</v>
      </c>
      <c r="CV70" s="3013">
        <f ca="1">OFFSET('VVP2'!$G$237,0,(COLUMN()-6)/5)</f>
        <v>9.2502999999999993</v>
      </c>
      <c r="CW70" s="1164">
        <f ca="1">(CV70/CQ70-1)*100</f>
        <v>-4.0773578057759163</v>
      </c>
      <c r="CX70" s="1244">
        <f ca="1">OFFSET('VVP2'!$G$54,0,(COLUMN()-7)/5)</f>
        <v>3.456104126352666</v>
      </c>
      <c r="CY70" s="1171">
        <f ca="1">+CV70*(1+CX70/100)</f>
        <v>9.57</v>
      </c>
      <c r="CZ70" s="1244">
        <f ca="1">+DA70/CY70*100-100</f>
        <v>-2.1149425287356394</v>
      </c>
      <c r="DA70" s="3013">
        <f ca="1">OFFSET('VVP2'!$G$237,0,(COLUMN()-6)/5)</f>
        <v>9.3675999999999995</v>
      </c>
      <c r="DB70" s="1164">
        <f ca="1">(DA70/CV70-1)*100</f>
        <v>1.2680669816114154</v>
      </c>
      <c r="DC70" s="1244">
        <f ca="1">OFFSET('VVP2'!$G$54,0,(COLUMN()-7)/5)</f>
        <v>0.59665621734588115</v>
      </c>
      <c r="DD70" s="1171">
        <f ca="1">+DA70*(1+DC70/100)</f>
        <v>9.4234923678160918</v>
      </c>
      <c r="DE70" s="1244">
        <f ca="1">+DF70/DD70*100-100</f>
        <v>8.9219918218660155E-2</v>
      </c>
      <c r="DF70" s="3013">
        <f ca="1">OFFSET('VVP2'!$G$237,0,(COLUMN()-6)/5)</f>
        <v>9.4318999999999988</v>
      </c>
      <c r="DG70" s="1164">
        <f ca="1">(DF70/DA70-1)*100</f>
        <v>0.68640847175369668</v>
      </c>
      <c r="DH70" s="1244">
        <f ca="1">OFFSET('VVP2'!$G$54,0,(COLUMN()-7)/5)</f>
        <v>-2.4659554798433514</v>
      </c>
      <c r="DI70" s="1171">
        <f ca="1">+DF70*(1+DH70/100)</f>
        <v>9.1993135450966541</v>
      </c>
      <c r="DJ70" s="1244">
        <f ca="1">+DK70/DI70*100-100</f>
        <v>1.6412795820381945</v>
      </c>
      <c r="DK70" s="3013">
        <f ca="1">OFFSET('VVP2'!$G$237,0,(COLUMN()-6)/5)</f>
        <v>9.3502999999999989</v>
      </c>
      <c r="DL70" s="1164">
        <f ca="1">(DK70/DF70-1)*100</f>
        <v>-0.86514912159798563</v>
      </c>
      <c r="DM70" s="3719">
        <v>2.75</v>
      </c>
      <c r="DN70" s="1171">
        <f ca="1">+DK70*(1+DM70/100)</f>
        <v>9.6074332499999997</v>
      </c>
      <c r="DO70" s="3749">
        <v>1</v>
      </c>
      <c r="DP70" s="3013">
        <f ca="1">OFFSET('VVP2'!$G$237,0,(COLUMN()-6)/5)</f>
        <v>9.704600000000001</v>
      </c>
      <c r="DQ70" s="3952">
        <f ca="1">(DP70/DK70-1)*100</f>
        <v>3.7891832347625387</v>
      </c>
      <c r="DR70" s="3719">
        <v>10.26</v>
      </c>
      <c r="DS70" s="1171">
        <f ca="1">+DP70*(1+DR70/100)</f>
        <v>10.700291960000001</v>
      </c>
      <c r="DT70" s="3749">
        <v>1.6</v>
      </c>
      <c r="DU70" s="2951">
        <f ca="1">+DS70*(1+DT70/100)</f>
        <v>10.871496631360001</v>
      </c>
      <c r="DV70" s="3952">
        <f ca="1">(DU70/DP70-1)*100</f>
        <v>12.024159999999995</v>
      </c>
      <c r="DW70" s="3719">
        <v>5.5</v>
      </c>
      <c r="DX70" s="1171">
        <f ca="1">+DU70*(1+DW70/100)</f>
        <v>11.4694289460848</v>
      </c>
      <c r="DY70" s="3749">
        <v>2</v>
      </c>
      <c r="DZ70" s="2951">
        <f ca="1">+DX70*(1+DY70/100)</f>
        <v>11.698817525006497</v>
      </c>
      <c r="EA70" s="3952">
        <f ca="1">(DZ70/DU70-1)*100</f>
        <v>7.6100000000000056</v>
      </c>
    </row>
    <row r="71" spans="1:131" s="1240" customFormat="1">
      <c r="A71" s="1379"/>
      <c r="C71" s="1245" t="s">
        <v>622</v>
      </c>
      <c r="D71" s="1242" t="s">
        <v>589</v>
      </c>
      <c r="E71" s="1242" t="s">
        <v>1248</v>
      </c>
      <c r="F71" s="1243" t="s">
        <v>2046</v>
      </c>
      <c r="G71" s="1184"/>
      <c r="H71" s="1185"/>
      <c r="I71" s="1186"/>
      <c r="J71" s="1175">
        <f ca="1">OFFSET('VVP2'!$G$236,0,(COLUMN()-6)/5)</f>
        <v>14.479299999999999</v>
      </c>
      <c r="K71" s="1188"/>
      <c r="L71" s="1184"/>
      <c r="M71" s="1185"/>
      <c r="N71" s="1186"/>
      <c r="O71" s="1175">
        <f ca="1">OFFSET('VVP2'!$G$236,0,(COLUMN()-6)/5)</f>
        <v>13.462299999999999</v>
      </c>
      <c r="P71" s="1160">
        <f ca="1">(O71/J71-1)*100</f>
        <v>-7.023820212303078</v>
      </c>
      <c r="Q71" s="1184"/>
      <c r="R71" s="1185"/>
      <c r="S71" s="1186"/>
      <c r="T71" s="1175">
        <f ca="1">OFFSET('VVP2'!$G$236,0,(COLUMN()-6)/5)</f>
        <v>14.876299999999999</v>
      </c>
      <c r="U71" s="1160">
        <f ca="1">(T71/O71-1)*100</f>
        <v>10.503405807328603</v>
      </c>
      <c r="V71" s="1184"/>
      <c r="W71" s="1185"/>
      <c r="X71" s="1186"/>
      <c r="Y71" s="1175">
        <f ca="1">OFFSET('VVP2'!$G$236,0,(COLUMN()-6)/5)</f>
        <v>14.363</v>
      </c>
      <c r="Z71" s="1160">
        <f ca="1">(Y71/T71-1)*100</f>
        <v>-3.4504547501730931</v>
      </c>
      <c r="AA71" s="1184"/>
      <c r="AB71" s="1185"/>
      <c r="AC71" s="1186"/>
      <c r="AD71" s="1175">
        <f ca="1">OFFSET('VVP2'!$G$236,0,(COLUMN()-6)/5)</f>
        <v>14.995100000000001</v>
      </c>
      <c r="AE71" s="1160">
        <f ca="1">(AD71/Y71-1)*100</f>
        <v>4.4008911787231098</v>
      </c>
      <c r="AF71" s="1184"/>
      <c r="AG71" s="1185"/>
      <c r="AH71" s="1186"/>
      <c r="AI71" s="1175">
        <f ca="1">OFFSET('VVP2'!$G$236,0,(COLUMN()-6)/5)</f>
        <v>15.137799999999999</v>
      </c>
      <c r="AJ71" s="1160">
        <f ca="1">(AI71/AD71-1)*100</f>
        <v>0.95164420377322756</v>
      </c>
      <c r="AK71" s="1184"/>
      <c r="AL71" s="1185"/>
      <c r="AM71" s="1186"/>
      <c r="AN71" s="1175">
        <f ca="1">OFFSET('VVP2'!$G$236,0,(COLUMN()-6)/5)</f>
        <v>14.555</v>
      </c>
      <c r="AO71" s="1160">
        <f ca="1">(AN71/AI71-1)*100</f>
        <v>-3.8499649883074083</v>
      </c>
      <c r="AP71" s="1184"/>
      <c r="AQ71" s="1185"/>
      <c r="AR71" s="1186"/>
      <c r="AS71" s="1175">
        <f ca="1">OFFSET('VVP2'!$G$236,0,(COLUMN()-6)/5)</f>
        <v>14.399700000000001</v>
      </c>
      <c r="AT71" s="1160">
        <f ca="1">(AS71/AN71-1)*100</f>
        <v>-1.0669872895911925</v>
      </c>
      <c r="AU71" s="1184"/>
      <c r="AV71" s="1185"/>
      <c r="AW71" s="1186"/>
      <c r="AX71" s="1175">
        <f ca="1">OFFSET('VVP2'!$G$236,0,(COLUMN()-6)/5)</f>
        <v>14.9672</v>
      </c>
      <c r="AY71" s="1160">
        <f ca="1">(AX71/AS71-1)*100</f>
        <v>3.9410543275206988</v>
      </c>
      <c r="AZ71" s="1184"/>
      <c r="BA71" s="1185"/>
      <c r="BB71" s="1186"/>
      <c r="BC71" s="1175">
        <f ca="1">OFFSET('VVP2'!$G$236,0,(COLUMN()-6)/5)</f>
        <v>16.460599999999999</v>
      </c>
      <c r="BD71" s="1160">
        <f ca="1">(BC71/AX71-1)*100</f>
        <v>9.9778181623817463</v>
      </c>
      <c r="BE71" s="1184"/>
      <c r="BF71" s="1185"/>
      <c r="BG71" s="1186"/>
      <c r="BH71" s="1175">
        <f ca="1">OFFSET('VVP2'!$G$236,0,(COLUMN()-6)/5)</f>
        <v>19.201000000000001</v>
      </c>
      <c r="BI71" s="1160">
        <f ca="1">(BH71/BC71-1)*100</f>
        <v>16.648238824830198</v>
      </c>
      <c r="BJ71" s="1184"/>
      <c r="BK71" s="1185"/>
      <c r="BL71" s="1186"/>
      <c r="BM71" s="1175">
        <f ca="1">OFFSET('VVP2'!$G$236,0,(COLUMN()-6)/5)</f>
        <v>21.168200000000002</v>
      </c>
      <c r="BN71" s="1160">
        <f ca="1">(BM71/BH71-1)*100</f>
        <v>10.245299723972723</v>
      </c>
      <c r="BO71" s="1184"/>
      <c r="BP71" s="1185"/>
      <c r="BQ71" s="1186"/>
      <c r="BR71" s="1175">
        <f ca="1">OFFSET('VVP2'!$G$236,0,(COLUMN()-6)/5)</f>
        <v>23.024699999999999</v>
      </c>
      <c r="BS71" s="1160">
        <f ca="1">(BR71/BM71-1)*100</f>
        <v>8.7702308179249844</v>
      </c>
      <c r="BT71" s="1184"/>
      <c r="BU71" s="1185"/>
      <c r="BV71" s="1186"/>
      <c r="BW71" s="1175">
        <f ca="1">OFFSET('VVP2'!$G$236,0,(COLUMN()-6)/5)</f>
        <v>24.052599999999998</v>
      </c>
      <c r="BX71" s="1160">
        <f ca="1">(BW71/BR71-1)*100</f>
        <v>4.4643361259864456</v>
      </c>
      <c r="BY71" s="1184"/>
      <c r="BZ71" s="1185"/>
      <c r="CA71" s="1186"/>
      <c r="CB71" s="1175">
        <f ca="1">OFFSET('VVP2'!$G$236,0,(COLUMN()-6)/5)</f>
        <v>21.7988</v>
      </c>
      <c r="CC71" s="1160">
        <f ca="1">(CB71/BW71-1)*100</f>
        <v>-9.3702967662539489</v>
      </c>
      <c r="CD71" s="1184"/>
      <c r="CE71" s="1185"/>
      <c r="CF71" s="1186"/>
      <c r="CG71" s="1175">
        <f ca="1">OFFSET('VVP2'!$G$236,0,(COLUMN()-6)/5)</f>
        <v>22.4406</v>
      </c>
      <c r="CH71" s="1160">
        <f ca="1">(CG71/CB71-1)*100</f>
        <v>2.9441987632346622</v>
      </c>
      <c r="CI71" s="1184"/>
      <c r="CJ71" s="1185"/>
      <c r="CK71" s="1186"/>
      <c r="CL71" s="1175">
        <f ca="1">OFFSET('VVP2'!$G$236,0,(COLUMN()-6)/5)</f>
        <v>22.331299999999999</v>
      </c>
      <c r="CM71" s="1160">
        <f ca="1">(CL71/CG71-1)*100</f>
        <v>-0.48706362574976181</v>
      </c>
      <c r="CN71" s="1184"/>
      <c r="CO71" s="1185"/>
      <c r="CP71" s="1186"/>
      <c r="CQ71" s="1175">
        <f ca="1">OFFSET('VVP2'!$G$236,0,(COLUMN()-6)/5)</f>
        <v>22.794700000000002</v>
      </c>
      <c r="CR71" s="2214">
        <f ca="1">(CQ71/CL71-1)*100</f>
        <v>2.0751143014513529</v>
      </c>
      <c r="CS71" s="1184"/>
      <c r="CT71" s="1185"/>
      <c r="CU71" s="1186"/>
      <c r="CV71" s="1175">
        <f ca="1">OFFSET('VVP2'!$G$236,0,(COLUMN()-6)/5)</f>
        <v>22.203799999999998</v>
      </c>
      <c r="CW71" s="2214">
        <f ca="1">(CV71/CQ71-1)*100</f>
        <v>-2.5922692555725879</v>
      </c>
      <c r="CX71" s="1184"/>
      <c r="CY71" s="1185"/>
      <c r="CZ71" s="1186"/>
      <c r="DA71" s="1175">
        <f ca="1">OFFSET('VVP2'!$G$236,0,(COLUMN()-6)/5)</f>
        <v>23.541400000000003</v>
      </c>
      <c r="DB71" s="2214">
        <f ca="1">(DA71/CV71-1)*100</f>
        <v>6.0241940568731778</v>
      </c>
      <c r="DC71" s="1872">
        <f ca="1">DC58</f>
        <v>0.54296999340956997</v>
      </c>
      <c r="DD71" s="1816">
        <f ca="1">+DA71*(1+DC71/100)</f>
        <v>23.669222738028523</v>
      </c>
      <c r="DE71" s="1817">
        <f ca="1">DE58</f>
        <v>0.25430076964451587</v>
      </c>
      <c r="DF71" s="1175">
        <f ca="1">OFFSET('VVP2'!$G$236,0,(COLUMN()-6)/5)</f>
        <v>23.821900000000003</v>
      </c>
      <c r="DG71" s="2214">
        <f ca="1">(DF71/DA71-1)*100</f>
        <v>1.1915179216189342</v>
      </c>
      <c r="DH71" s="1872">
        <f ca="1">DH58</f>
        <v>3.0850509292475348</v>
      </c>
      <c r="DI71" s="1816">
        <f ca="1">+DF71*(1+DH71/100)</f>
        <v>24.556817747314422</v>
      </c>
      <c r="DJ71" s="1817">
        <f ca="1">DJ58</f>
        <v>0.26821187254313372</v>
      </c>
      <c r="DK71" s="1175">
        <f ca="1">OFFSET('VVP2'!$G$236,0,(COLUMN()-6)/5)</f>
        <v>24.479200000000002</v>
      </c>
      <c r="DL71" s="2214">
        <f ca="1">(DK71/DF71-1)*100</f>
        <v>2.7592257544528431</v>
      </c>
      <c r="DM71" s="1872">
        <f ca="1">DM58</f>
        <v>0.45427667621043</v>
      </c>
      <c r="DN71" s="1816">
        <f ca="1">+DK71*(1+DM71/100)</f>
        <v>24.590403296122904</v>
      </c>
      <c r="DO71" s="1817">
        <f ca="1">DO58</f>
        <v>1.3583068367107813</v>
      </c>
      <c r="DP71" s="2951">
        <f ca="1">+DN71*(1+DO71/100)</f>
        <v>24.924416425268898</v>
      </c>
      <c r="DQ71" s="2214">
        <f ca="1">(DP71/DK71-1)*100</f>
        <v>1.8187539840717637</v>
      </c>
      <c r="DR71" s="1872">
        <f>DR58</f>
        <v>0.7</v>
      </c>
      <c r="DS71" s="1816">
        <f ca="1">+DP71*(1+DR71/100)</f>
        <v>25.098887340245778</v>
      </c>
      <c r="DT71" s="1817">
        <f>DT58</f>
        <v>1</v>
      </c>
      <c r="DU71" s="2208">
        <f ca="1">+DS71*(1+DT71/100)</f>
        <v>25.349876213648237</v>
      </c>
      <c r="DV71" s="2214">
        <f ca="1">(DU71/DP71-1)*100</f>
        <v>1.7069999999999919</v>
      </c>
      <c r="DW71" s="1872">
        <f>DW58</f>
        <v>0.7</v>
      </c>
      <c r="DX71" s="1816">
        <f ca="1">+DU71*(1+DW71/100)</f>
        <v>25.527325347143773</v>
      </c>
      <c r="DY71" s="1817">
        <f>DY58</f>
        <v>1.2</v>
      </c>
      <c r="DZ71" s="2208">
        <f ca="1">+DX71*(1+DY71/100)</f>
        <v>25.833653251309499</v>
      </c>
      <c r="EA71" s="2214">
        <f ca="1">(DZ71/DU71-1)*100</f>
        <v>1.9083999999999879</v>
      </c>
    </row>
    <row r="72" spans="1:131" s="1240" customFormat="1">
      <c r="A72" s="1379"/>
      <c r="C72" s="1246" t="s">
        <v>622</v>
      </c>
      <c r="D72" s="1818" t="s">
        <v>590</v>
      </c>
      <c r="E72" s="1818" t="s">
        <v>1248</v>
      </c>
      <c r="F72" s="1819" t="s">
        <v>2047</v>
      </c>
      <c r="G72" s="1189"/>
      <c r="H72" s="1190"/>
      <c r="I72" s="1191"/>
      <c r="J72" s="1174">
        <f ca="1">OFFSET('VVP2'!$G$240,0,(COLUMN()-6)/5)</f>
        <v>25.806999999999999</v>
      </c>
      <c r="K72" s="1192"/>
      <c r="L72" s="1189"/>
      <c r="M72" s="1190"/>
      <c r="N72" s="1191"/>
      <c r="O72" s="1174">
        <f ca="1">OFFSET('VVP2'!$G$240,0,(COLUMN()-6)/5)</f>
        <v>27.8751</v>
      </c>
      <c r="P72" s="1161">
        <f ca="1">(O72/J72-1)*100</f>
        <v>8.0137172085093198</v>
      </c>
      <c r="Q72" s="1189"/>
      <c r="R72" s="1190"/>
      <c r="S72" s="1191"/>
      <c r="T72" s="1174">
        <f ca="1">OFFSET('VVP2'!$G$240,0,(COLUMN()-6)/5)</f>
        <v>29.753400000000003</v>
      </c>
      <c r="U72" s="1161">
        <f ca="1">(T72/O72-1)*100</f>
        <v>6.7382717909532319</v>
      </c>
      <c r="V72" s="1189"/>
      <c r="W72" s="1190"/>
      <c r="X72" s="1191"/>
      <c r="Y72" s="1174">
        <f ca="1">OFFSET('VVP2'!$G$240,0,(COLUMN()-6)/5)</f>
        <v>32.0428</v>
      </c>
      <c r="Z72" s="1161">
        <f ca="1">(Y72/T72-1)*100</f>
        <v>7.694582803982053</v>
      </c>
      <c r="AA72" s="1189"/>
      <c r="AB72" s="1190"/>
      <c r="AC72" s="1191"/>
      <c r="AD72" s="1174">
        <f ca="1">OFFSET('VVP2'!$G$240,0,(COLUMN()-6)/5)</f>
        <v>33.416899999999998</v>
      </c>
      <c r="AE72" s="1161">
        <f ca="1">(AD72/Y72-1)*100</f>
        <v>4.2883268628209681</v>
      </c>
      <c r="AF72" s="1189"/>
      <c r="AG72" s="1190"/>
      <c r="AH72" s="1191"/>
      <c r="AI72" s="1174">
        <f ca="1">OFFSET('VVP2'!$G$240,0,(COLUMN()-6)/5)</f>
        <v>36.666699999999999</v>
      </c>
      <c r="AJ72" s="1161">
        <f ca="1">(AI72/AD72-1)*100</f>
        <v>9.7250193764233153</v>
      </c>
      <c r="AK72" s="1189"/>
      <c r="AL72" s="1190"/>
      <c r="AM72" s="1191"/>
      <c r="AN72" s="1174">
        <f ca="1">OFFSET('VVP2'!$G$240,0,(COLUMN()-6)/5)</f>
        <v>39.230199999999996</v>
      </c>
      <c r="AO72" s="1161">
        <f ca="1">(AN72/AI72-1)*100</f>
        <v>6.9913572805842872</v>
      </c>
      <c r="AP72" s="1189"/>
      <c r="AQ72" s="1190"/>
      <c r="AR72" s="1191"/>
      <c r="AS72" s="1174">
        <f ca="1">OFFSET('VVP2'!$G$240,0,(COLUMN()-6)/5)</f>
        <v>36.600099999999998</v>
      </c>
      <c r="AT72" s="1161">
        <f ca="1">(AS72/AN72-1)*100</f>
        <v>-6.7042737482857611</v>
      </c>
      <c r="AU72" s="1189"/>
      <c r="AV72" s="1190"/>
      <c r="AW72" s="1191"/>
      <c r="AX72" s="1174">
        <f ca="1">OFFSET('VVP2'!$G$240,0,(COLUMN()-6)/5)</f>
        <v>36.71</v>
      </c>
      <c r="AY72" s="1161">
        <f ca="1">(AX72/AS72-1)*100</f>
        <v>0.30027240362731078</v>
      </c>
      <c r="AZ72" s="1189"/>
      <c r="BA72" s="1190"/>
      <c r="BB72" s="1191"/>
      <c r="BC72" s="1174">
        <f ca="1">OFFSET('VVP2'!$G$240,0,(COLUMN()-6)/5)</f>
        <v>41.126400000000004</v>
      </c>
      <c r="BD72" s="1161">
        <f ca="1">(BC72/AX72-1)*100</f>
        <v>12.030509397984201</v>
      </c>
      <c r="BE72" s="1189"/>
      <c r="BF72" s="1190"/>
      <c r="BG72" s="1191"/>
      <c r="BH72" s="1174">
        <f ca="1">OFFSET('VVP2'!$G$240,0,(COLUMN()-6)/5)</f>
        <v>43.191099999999999</v>
      </c>
      <c r="BI72" s="1161">
        <f ca="1">(BH72/BC72-1)*100</f>
        <v>5.0203762060379686</v>
      </c>
      <c r="BJ72" s="1189"/>
      <c r="BK72" s="1190"/>
      <c r="BL72" s="1191"/>
      <c r="BM72" s="1174">
        <f ca="1">OFFSET('VVP2'!$G$240,0,(COLUMN()-6)/5)</f>
        <v>45.407199999999996</v>
      </c>
      <c r="BN72" s="1161">
        <f ca="1">(BM72/BH72-1)*100</f>
        <v>5.1309181752722033</v>
      </c>
      <c r="BO72" s="1189"/>
      <c r="BP72" s="1190"/>
      <c r="BQ72" s="1191"/>
      <c r="BR72" s="1174">
        <f ca="1">OFFSET('VVP2'!$G$240,0,(COLUMN()-6)/5)</f>
        <v>50.039400000000001</v>
      </c>
      <c r="BS72" s="1161">
        <f ca="1">(BR72/BM72-1)*100</f>
        <v>10.201465846826064</v>
      </c>
      <c r="BT72" s="1189"/>
      <c r="BU72" s="1190"/>
      <c r="BV72" s="1191"/>
      <c r="BW72" s="1174">
        <f ca="1">OFFSET('VVP2'!$G$240,0,(COLUMN()-6)/5)</f>
        <v>53.416499999999999</v>
      </c>
      <c r="BX72" s="1161">
        <f ca="1">(BW72/BR72-1)*100</f>
        <v>6.7488818810777174</v>
      </c>
      <c r="BY72" s="1189"/>
      <c r="BZ72" s="1190"/>
      <c r="CA72" s="1191"/>
      <c r="CB72" s="1174">
        <f ca="1">OFFSET('VVP2'!$G$240,0,(COLUMN()-6)/5)</f>
        <v>48.850900000000003</v>
      </c>
      <c r="CC72" s="1161">
        <f ca="1">(CB72/BW72-1)*100</f>
        <v>-8.5471717540460226</v>
      </c>
      <c r="CD72" s="1189"/>
      <c r="CE72" s="1190"/>
      <c r="CF72" s="1191"/>
      <c r="CG72" s="1174">
        <f ca="1">OFFSET('VVP2'!$G$240,0,(COLUMN()-6)/5)</f>
        <v>48.826300000000003</v>
      </c>
      <c r="CH72" s="1161">
        <f ca="1">(CG72/CB72-1)*100</f>
        <v>-5.0357311738369326E-2</v>
      </c>
      <c r="CI72" s="1189"/>
      <c r="CJ72" s="1190"/>
      <c r="CK72" s="1191"/>
      <c r="CL72" s="1174">
        <f ca="1">OFFSET('VVP2'!$G$240,0,(COLUMN()-6)/5)</f>
        <v>54.003399999999999</v>
      </c>
      <c r="CM72" s="1161">
        <f ca="1">(CL72/CG72-1)*100</f>
        <v>10.60309710135725</v>
      </c>
      <c r="CN72" s="1189"/>
      <c r="CO72" s="1190"/>
      <c r="CP72" s="1191"/>
      <c r="CQ72" s="1174">
        <f ca="1">OFFSET('VVP2'!$G$240,0,(COLUMN()-6)/5)</f>
        <v>55.233599999999996</v>
      </c>
      <c r="CR72" s="1160">
        <f ca="1">(CQ72/CL72-1)*100</f>
        <v>2.278004718221438</v>
      </c>
      <c r="CS72" s="1189"/>
      <c r="CT72" s="1190"/>
      <c r="CU72" s="1191"/>
      <c r="CV72" s="1174">
        <f ca="1">OFFSET('VVP2'!$G$240,0,(COLUMN()-6)/5)</f>
        <v>55.489599999999996</v>
      </c>
      <c r="CW72" s="1160">
        <f ca="1">(CV72/CQ72-1)*100</f>
        <v>0.46348599403260859</v>
      </c>
      <c r="CX72" s="1189"/>
      <c r="CY72" s="1190"/>
      <c r="CZ72" s="1191"/>
      <c r="DA72" s="1174">
        <f ca="1">OFFSET('VVP2'!$G$240,0,(COLUMN()-6)/5)</f>
        <v>59.203000000000003</v>
      </c>
      <c r="DB72" s="1160">
        <f ca="1">(DA72/CV72-1)*100</f>
        <v>6.6920648193535603</v>
      </c>
      <c r="DC72" s="1872">
        <f ca="1">+(DD72/DA72-1)*100</f>
        <v>4.2046781108381337</v>
      </c>
      <c r="DD72" s="1816">
        <f ca="1">+DD64-DD70-DD71</f>
        <v>61.692295581959499</v>
      </c>
      <c r="DE72" s="1817">
        <f ca="1">+DF72/DD72*100-100</f>
        <v>7.2625629534201153E-2</v>
      </c>
      <c r="DF72" s="1174">
        <f ca="1">OFFSET('VVP2'!$G$240,0,(COLUMN()-6)/5)</f>
        <v>61.737099999999998</v>
      </c>
      <c r="DG72" s="1160">
        <f ca="1">(DF72/DA72-1)*100</f>
        <v>4.2803574143202017</v>
      </c>
      <c r="DH72" s="1872">
        <f ca="1">+(DI72/DF72-1)*100</f>
        <v>5.056367763456282</v>
      </c>
      <c r="DI72" s="1816">
        <f ca="1">+DI64-DI70-DI71</f>
        <v>64.85875482249277</v>
      </c>
      <c r="DJ72" s="1817">
        <f ca="1">+DK72/DI72*100-100</f>
        <v>0.65672734339869976</v>
      </c>
      <c r="DK72" s="1174">
        <f ca="1">OFFSET('VVP2'!$G$240,0,(COLUMN()-6)/5)</f>
        <v>65.284700000000001</v>
      </c>
      <c r="DL72" s="1160">
        <f ca="1">(DK72/DF72-1)*100</f>
        <v>5.7463016565403979</v>
      </c>
      <c r="DM72" s="1872">
        <f ca="1">+(DN72/DK72-1)*100</f>
        <v>0.99829375328794878</v>
      </c>
      <c r="DN72" s="1816">
        <f ca="1">+DN64-DN70-DN71</f>
        <v>65.936433081952785</v>
      </c>
      <c r="DO72" s="1817">
        <f ca="1">+DP72/DN72*100-100</f>
        <v>2.0423465902448186</v>
      </c>
      <c r="DP72" s="2951">
        <f ca="1">+DP64-DP70-DP71</f>
        <v>67.283083574731108</v>
      </c>
      <c r="DQ72" s="1160">
        <f ca="1">(DP72/DK72-1)*100</f>
        <v>3.0610289619636966</v>
      </c>
      <c r="DR72" s="1872">
        <f ca="1">+(DS72/DP72-1)*100</f>
        <v>4.2920212950936509</v>
      </c>
      <c r="DS72" s="1816">
        <f ca="1">+DS64-DS70-DS71</f>
        <v>70.170887849754223</v>
      </c>
      <c r="DT72" s="1817">
        <f ca="1">+DU72/DS72*100-100</f>
        <v>0.90850657056319051</v>
      </c>
      <c r="DU72" s="2208">
        <f ca="1">+DU64-DU70-DU71</f>
        <v>70.808394976491769</v>
      </c>
      <c r="DV72" s="1160">
        <f ca="1">(DU72/DP72-1)*100</f>
        <v>5.2395211611327319</v>
      </c>
      <c r="DW72" s="1872">
        <f ca="1">+(DX72/DU72-1)*100</f>
        <v>3.0398664772139927</v>
      </c>
      <c r="DX72" s="1816">
        <f ca="1">+DX64-DX70-DX71</f>
        <v>72.960875638435425</v>
      </c>
      <c r="DY72" s="1817">
        <f ca="1">+DZ72/DX72*100-100</f>
        <v>1.0742402270178815</v>
      </c>
      <c r="DZ72" s="2208">
        <f ca="1">+DZ64-DZ70-DZ71</f>
        <v>73.744650714527978</v>
      </c>
      <c r="EA72" s="1160">
        <f ca="1">(DZ72/DU72-1)*100</f>
        <v>4.1467621727777404</v>
      </c>
    </row>
    <row r="73" spans="1:131" s="28" customFormat="1">
      <c r="A73" s="1378" t="s">
        <v>571</v>
      </c>
      <c r="C73" s="175" t="s">
        <v>624</v>
      </c>
      <c r="D73" s="1126"/>
      <c r="E73" s="1126" t="s">
        <v>1248</v>
      </c>
      <c r="F73" s="1125" t="s">
        <v>2048</v>
      </c>
      <c r="G73" s="1176"/>
      <c r="H73" s="1176"/>
      <c r="I73" s="1177" t="e">
        <f ca="1">+J73/H73*100-100</f>
        <v>#DIV/0!</v>
      </c>
      <c r="J73" s="1177">
        <f ca="1">SUM(J70:J72)</f>
        <v>44.978999999999999</v>
      </c>
      <c r="K73" s="1177" t="e">
        <f ca="1">(J73/E73-1)*100</f>
        <v>#VALUE!</v>
      </c>
      <c r="L73" s="1383"/>
      <c r="M73" s="1383"/>
      <c r="N73" s="1177"/>
      <c r="O73" s="1177">
        <f ca="1">SUM(O70:O72)</f>
        <v>45.992999999999995</v>
      </c>
      <c r="P73" s="1177">
        <f ca="1">(O73/J73-1)*100</f>
        <v>2.2543853798439262</v>
      </c>
      <c r="Q73" s="1383"/>
      <c r="R73" s="1383"/>
      <c r="S73" s="1177"/>
      <c r="T73" s="1177">
        <f ca="1">SUM(T70:T72)</f>
        <v>49.601900000000001</v>
      </c>
      <c r="U73" s="1177">
        <f ca="1">(T73/O73-1)*100</f>
        <v>7.8466288348226998</v>
      </c>
      <c r="V73" s="1383"/>
      <c r="W73" s="1383"/>
      <c r="X73" s="1177"/>
      <c r="Y73" s="1177">
        <f ca="1">SUM(Y70:Y72)</f>
        <v>51.438199999999995</v>
      </c>
      <c r="Z73" s="1177">
        <f ca="1">(Y73/T73-1)*100</f>
        <v>3.7020759285430582</v>
      </c>
      <c r="AA73" s="1383"/>
      <c r="AB73" s="1383"/>
      <c r="AC73" s="1177"/>
      <c r="AD73" s="1177">
        <f ca="1">SUM(AD70:AD72)</f>
        <v>54.368200000000002</v>
      </c>
      <c r="AE73" s="1177">
        <f ca="1">(AD73/Y73-1)*100</f>
        <v>5.6961557752798653</v>
      </c>
      <c r="AF73" s="1383"/>
      <c r="AG73" s="1383"/>
      <c r="AH73" s="1177"/>
      <c r="AI73" s="1177">
        <f ca="1">SUM(AI70:AI72)</f>
        <v>58.074199999999998</v>
      </c>
      <c r="AJ73" s="1177">
        <f ca="1">(AI73/AD73-1)*100</f>
        <v>6.8164846362395615</v>
      </c>
      <c r="AK73" s="1383"/>
      <c r="AL73" s="1383"/>
      <c r="AM73" s="1177"/>
      <c r="AN73" s="1177">
        <f ca="1">SUM(AN70:AN72)</f>
        <v>59.577199999999998</v>
      </c>
      <c r="AO73" s="1177">
        <f ca="1">(AN73/AI73-1)*100</f>
        <v>2.5880683677089067</v>
      </c>
      <c r="AP73" s="1383"/>
      <c r="AQ73" s="1383"/>
      <c r="AR73" s="1177"/>
      <c r="AS73" s="1177">
        <f ca="1">SUM(AS70:AS72)</f>
        <v>56.832899999999995</v>
      </c>
      <c r="AT73" s="1177">
        <f ca="1">(AS73/AN73-1)*100</f>
        <v>-4.6062923400226996</v>
      </c>
      <c r="AU73" s="1383"/>
      <c r="AV73" s="1383"/>
      <c r="AW73" s="1177"/>
      <c r="AX73" s="1177">
        <f ca="1">SUM(AX70:AX72)</f>
        <v>57.769500000000001</v>
      </c>
      <c r="AY73" s="1177">
        <f ca="1">(AX73/AS73-1)*100</f>
        <v>1.6479891049022699</v>
      </c>
      <c r="AZ73" s="1383"/>
      <c r="BA73" s="1383"/>
      <c r="BB73" s="1177"/>
      <c r="BC73" s="1177">
        <f ca="1">SUM(BC70:BC72)</f>
        <v>63.780500000000004</v>
      </c>
      <c r="BD73" s="1177">
        <f ca="1">(BC73/AX73-1)*100</f>
        <v>10.405144583214332</v>
      </c>
      <c r="BE73" s="1383"/>
      <c r="BF73" s="1383"/>
      <c r="BG73" s="1177"/>
      <c r="BH73" s="1177">
        <f ca="1">SUM(BH70:BH72)</f>
        <v>69.016300000000001</v>
      </c>
      <c r="BI73" s="1177">
        <f ca="1">(BH73/BC73-1)*100</f>
        <v>8.2090921206324765</v>
      </c>
      <c r="BJ73" s="1383"/>
      <c r="BK73" s="1383"/>
      <c r="BL73" s="1177"/>
      <c r="BM73" s="1177">
        <f ca="1">SUM(BM70:BM72)</f>
        <v>72.992899999999992</v>
      </c>
      <c r="BN73" s="1177">
        <f ca="1">(BM73/BH73-1)*100</f>
        <v>5.7618272784834668</v>
      </c>
      <c r="BO73" s="1383"/>
      <c r="BP73" s="1383"/>
      <c r="BQ73" s="1177"/>
      <c r="BR73" s="1177">
        <f ca="1">SUM(BR70:BR72)</f>
        <v>80.094200000000001</v>
      </c>
      <c r="BS73" s="1177">
        <f ca="1">(BR73/BM73-1)*100</f>
        <v>9.7287544405003867</v>
      </c>
      <c r="BT73" s="1383"/>
      <c r="BU73" s="1383"/>
      <c r="BV73" s="1177"/>
      <c r="BW73" s="1177">
        <f ca="1">SUM(BW70:BW72)</f>
        <v>84.885799999999989</v>
      </c>
      <c r="BX73" s="1177">
        <f ca="1">(BW73/BR73-1)*100</f>
        <v>5.982455658462138</v>
      </c>
      <c r="BY73" s="1383"/>
      <c r="BZ73" s="1383"/>
      <c r="CA73" s="1177"/>
      <c r="CB73" s="1177">
        <f ca="1">SUM(CB70:CB72)</f>
        <v>78.780300000000011</v>
      </c>
      <c r="CC73" s="1177">
        <f ca="1">(CB73/BW73-1)*100</f>
        <v>-7.1926046523682174</v>
      </c>
      <c r="CD73" s="1383"/>
      <c r="CE73" s="1383"/>
      <c r="CF73" s="1177"/>
      <c r="CG73" s="1177">
        <f ca="1">SUM(CG70:CG72)</f>
        <v>79.660899999999998</v>
      </c>
      <c r="CH73" s="1177">
        <f ca="1">(CG73/CB73-1)*100</f>
        <v>1.117792138389917</v>
      </c>
      <c r="CI73" s="1383"/>
      <c r="CJ73" s="1383"/>
      <c r="CK73" s="1177"/>
      <c r="CL73" s="1177">
        <f ca="1">SUM(CL70:CL72)</f>
        <v>85.609399999999994</v>
      </c>
      <c r="CM73" s="1177">
        <f ca="1">(CL73/CG73-1)*100</f>
        <v>7.4672769200448297</v>
      </c>
      <c r="CN73" s="1383"/>
      <c r="CO73" s="1383"/>
      <c r="CP73" s="1177"/>
      <c r="CQ73" s="1177">
        <f ca="1">SUM(CQ70:CQ72)</f>
        <v>87.67179999999999</v>
      </c>
      <c r="CR73" s="1177">
        <f ca="1">(CQ73/CL73-1)*100</f>
        <v>2.4090812457510546</v>
      </c>
      <c r="CS73" s="1383"/>
      <c r="CT73" s="1383"/>
      <c r="CU73" s="1177"/>
      <c r="CV73" s="1177">
        <f ca="1">SUM(CV70:CV72)</f>
        <v>86.943699999999993</v>
      </c>
      <c r="CW73" s="1177">
        <f ca="1">(CV73/CQ73-1)*100</f>
        <v>-0.83048369030862546</v>
      </c>
      <c r="CX73" s="1383"/>
      <c r="CY73" s="1383"/>
      <c r="CZ73" s="1177"/>
      <c r="DA73" s="1177">
        <f ca="1">SUM(DA70:DA72)</f>
        <v>92.112000000000009</v>
      </c>
      <c r="DB73" s="1177">
        <f ca="1">(DA73/CV73-1)*100</f>
        <v>5.9444215049509141</v>
      </c>
      <c r="DC73" s="1383"/>
      <c r="DD73" s="1383"/>
      <c r="DE73" s="1177"/>
      <c r="DF73" s="1177">
        <f ca="1">SUM(DF70:DF72)</f>
        <v>94.990899999999996</v>
      </c>
      <c r="DG73" s="1177">
        <f ca="1">(DF73/DA73-1)*100</f>
        <v>3.1254342539516866</v>
      </c>
      <c r="DH73" s="1383"/>
      <c r="DI73" s="1383"/>
      <c r="DJ73" s="1177"/>
      <c r="DK73" s="1177">
        <f ca="1">SUM(DK70:DK72)</f>
        <v>99.114200000000011</v>
      </c>
      <c r="DL73" s="1177">
        <f ca="1">(DK73/DF73-1)*100</f>
        <v>4.3407315858677187</v>
      </c>
      <c r="DM73" s="1383"/>
      <c r="DN73" s="1383"/>
      <c r="DO73" s="1177"/>
      <c r="DP73" s="1177">
        <f ca="1">SUM(DP70:DP72)</f>
        <v>101.91210000000001</v>
      </c>
      <c r="DQ73" s="1177">
        <f ca="1">(DP73/DK73-1)*100</f>
        <v>2.8229052951040279</v>
      </c>
      <c r="DR73" s="1383">
        <f ca="1">IF(UPPER($F$2)="Y",(DS73/DP73-1)*100,OFFSET('VVP2'!$G$72,0,(COLUMN()-7)/5))</f>
        <v>3.9818305677147281</v>
      </c>
      <c r="DS73" s="1383">
        <f ca="1">IF(UPPER($F$2)="Y",+DS70+DS71+DS72,DP73*(1+DR73/100))</f>
        <v>105.97006715000001</v>
      </c>
      <c r="DT73" s="1177">
        <f ca="1">+DU73/DS73*100-100</f>
        <v>1</v>
      </c>
      <c r="DU73" s="1177">
        <f ca="1">SUM(DU70:DU72)</f>
        <v>107.0297678215</v>
      </c>
      <c r="DV73" s="1177">
        <f ca="1">(DU73/DP73-1)*100</f>
        <v>5.0216488733918707</v>
      </c>
      <c r="DW73" s="1383">
        <f ca="1">IF(UPPER($F$2)="Y",(DX73/DU73-1)*100,OFFSET('VVP2'!$G$72,0,(COLUMN()-7)/5))</f>
        <v>2.7355586859227454</v>
      </c>
      <c r="DX73" s="1383">
        <f ca="1">IF(UPPER($F$2)="Y",+DX70+DX71+DX72,DU73*(1+DW73/100))</f>
        <v>109.957629931664</v>
      </c>
      <c r="DY73" s="1177">
        <f ca="1">+DZ73/DX73*100-100</f>
        <v>1.2000000000000028</v>
      </c>
      <c r="DZ73" s="1177">
        <f ca="1">SUM(DZ70:DZ72)</f>
        <v>111.27712149084397</v>
      </c>
      <c r="EA73" s="1177">
        <f ca="1">(DZ73/DU73-1)*100</f>
        <v>3.968385390153828</v>
      </c>
    </row>
    <row r="74" spans="1:131" s="28" customFormat="1">
      <c r="A74" s="1378"/>
      <c r="C74" s="175"/>
      <c r="D74" s="1200"/>
      <c r="E74" s="1200"/>
      <c r="F74" s="1143"/>
      <c r="G74" s="1201"/>
      <c r="H74" s="1201"/>
      <c r="I74" s="1201" t="s">
        <v>158</v>
      </c>
      <c r="J74" s="1202">
        <f ca="1">+J64-J73</f>
        <v>-0.10999999999999943</v>
      </c>
      <c r="K74" s="1384"/>
      <c r="L74" s="1384"/>
      <c r="M74" s="1384"/>
      <c r="N74" s="1201" t="s">
        <v>158</v>
      </c>
      <c r="O74" s="1202">
        <f ca="1">+O64-O73</f>
        <v>0</v>
      </c>
      <c r="P74" s="1384"/>
      <c r="Q74" s="1384"/>
      <c r="R74" s="1384"/>
      <c r="S74" s="1201" t="s">
        <v>158</v>
      </c>
      <c r="T74" s="1202">
        <f ca="1">+T64-T73</f>
        <v>0</v>
      </c>
      <c r="U74" s="1384"/>
      <c r="V74" s="1384"/>
      <c r="W74" s="1384"/>
      <c r="X74" s="1201" t="s">
        <v>158</v>
      </c>
      <c r="Y74" s="1202">
        <f ca="1">+Y64-Y73</f>
        <v>0</v>
      </c>
      <c r="Z74" s="1384"/>
      <c r="AA74" s="1384"/>
      <c r="AB74" s="1384"/>
      <c r="AC74" s="1201" t="s">
        <v>158</v>
      </c>
      <c r="AD74" s="1202">
        <f ca="1">+AD64-AD73</f>
        <v>0</v>
      </c>
      <c r="AE74" s="1384"/>
      <c r="AF74" s="1384"/>
      <c r="AG74" s="1384"/>
      <c r="AH74" s="1201" t="s">
        <v>158</v>
      </c>
      <c r="AI74" s="1202">
        <f ca="1">+AI64-AI73</f>
        <v>0</v>
      </c>
      <c r="AJ74" s="1384"/>
      <c r="AK74" s="1384"/>
      <c r="AL74" s="1384"/>
      <c r="AM74" s="1201" t="s">
        <v>158</v>
      </c>
      <c r="AN74" s="1202">
        <f ca="1">+AN64-AN73</f>
        <v>0</v>
      </c>
      <c r="AO74" s="1384"/>
      <c r="AP74" s="1384"/>
      <c r="AQ74" s="1384"/>
      <c r="AR74" s="1201" t="s">
        <v>158</v>
      </c>
      <c r="AS74" s="1202">
        <f ca="1">+AS64-AS73</f>
        <v>0</v>
      </c>
      <c r="AT74" s="1384"/>
      <c r="AU74" s="1384"/>
      <c r="AV74" s="1384"/>
      <c r="AW74" s="1201" t="s">
        <v>158</v>
      </c>
      <c r="AX74" s="1202">
        <f ca="1">+AX64-AX73</f>
        <v>0</v>
      </c>
      <c r="AY74" s="1384"/>
      <c r="AZ74" s="1384"/>
      <c r="BA74" s="1384"/>
      <c r="BB74" s="1201" t="s">
        <v>158</v>
      </c>
      <c r="BC74" s="1202">
        <f ca="1">+BC64-BC73</f>
        <v>0</v>
      </c>
      <c r="BD74" s="1384"/>
      <c r="BE74" s="1384"/>
      <c r="BF74" s="1384"/>
      <c r="BG74" s="1201" t="s">
        <v>158</v>
      </c>
      <c r="BH74" s="1202">
        <f ca="1">+BH64-BH73</f>
        <v>0</v>
      </c>
      <c r="BI74" s="1384"/>
      <c r="BJ74" s="1384"/>
      <c r="BK74" s="1384"/>
      <c r="BL74" s="1201" t="s">
        <v>158</v>
      </c>
      <c r="BM74" s="1202">
        <f ca="1">+BM64-BM73</f>
        <v>0</v>
      </c>
      <c r="BN74" s="1384"/>
      <c r="BO74" s="1384"/>
      <c r="BP74" s="1384"/>
      <c r="BQ74" s="1201"/>
      <c r="BR74" s="1202"/>
      <c r="BS74" s="1384"/>
      <c r="BT74" s="1384"/>
      <c r="BU74" s="1384"/>
      <c r="BV74" s="1201"/>
      <c r="BW74" s="1202"/>
      <c r="BX74" s="1384"/>
      <c r="BY74" s="1384"/>
      <c r="BZ74" s="1384"/>
      <c r="CA74" s="1201"/>
      <c r="CB74" s="1202"/>
      <c r="CC74" s="1384"/>
      <c r="CD74" s="1384"/>
      <c r="CE74" s="1384"/>
      <c r="CF74" s="1201"/>
      <c r="CG74" s="1202"/>
      <c r="CH74" s="1384"/>
      <c r="CI74" s="1384"/>
      <c r="CJ74" s="1384"/>
      <c r="CK74" s="1201"/>
      <c r="CL74" s="1202"/>
      <c r="CM74" s="1384"/>
      <c r="CN74" s="1384"/>
      <c r="CO74" s="1384"/>
      <c r="CP74" s="1201"/>
      <c r="CQ74" s="1202"/>
      <c r="CR74" s="1384"/>
      <c r="CS74" s="1384"/>
      <c r="CT74" s="1384"/>
      <c r="CU74" s="1201"/>
      <c r="CV74" s="1202"/>
      <c r="CW74" s="1384"/>
      <c r="CX74" s="1384"/>
      <c r="CY74" s="1384"/>
      <c r="CZ74" s="1201"/>
      <c r="DA74" s="1202"/>
      <c r="DB74" s="1384"/>
      <c r="DC74" s="1384"/>
      <c r="DD74" s="1384"/>
      <c r="DE74" s="1201"/>
      <c r="DF74" s="1202"/>
      <c r="DG74" s="1384"/>
      <c r="DH74" s="1384"/>
      <c r="DI74" s="1384"/>
      <c r="DJ74" s="1201"/>
      <c r="DK74" s="1202"/>
      <c r="DL74" s="1384"/>
      <c r="DM74" s="1384"/>
      <c r="DN74" s="1384"/>
      <c r="DO74" s="1201"/>
      <c r="DP74" s="1202"/>
      <c r="DQ74" s="1384"/>
      <c r="DR74" s="1384"/>
      <c r="DS74" s="1384"/>
      <c r="DT74" s="1201"/>
      <c r="DU74" s="1202"/>
      <c r="DV74" s="1384"/>
      <c r="DW74" s="1384"/>
      <c r="DX74" s="1384"/>
      <c r="DY74" s="1201"/>
      <c r="DZ74" s="1202"/>
      <c r="EA74" s="1384"/>
    </row>
    <row r="75" spans="1:131" s="2804" customFormat="1">
      <c r="A75" s="2803"/>
      <c r="C75" s="2805"/>
      <c r="D75" s="1697"/>
      <c r="E75" s="1697" t="s">
        <v>994</v>
      </c>
      <c r="F75" s="2806"/>
      <c r="G75" s="2807"/>
      <c r="H75" s="2807"/>
      <c r="I75" s="2807"/>
      <c r="J75" s="1175"/>
      <c r="K75" s="2807"/>
      <c r="L75" s="2809"/>
      <c r="M75" s="2809">
        <f ca="1">IF(UPPER($F$2)="Y",M64-M70,OFFSET('VVP2'!$G$29,0,(COLUMN()-7)/5)-OFFSET('VVP2'!$G$47,0,(COLUMN()-7)/5))</f>
        <v>37.729807463442341</v>
      </c>
      <c r="N75" s="2809">
        <f ca="1">+O75/M75*100-100</f>
        <v>21.900966615226267</v>
      </c>
      <c r="O75" s="2809">
        <f ca="1">+O73</f>
        <v>45.992999999999995</v>
      </c>
      <c r="P75" s="1175"/>
      <c r="Q75" s="2809">
        <f ca="1">+R75/M75*100-100</f>
        <v>16.82120077437115</v>
      </c>
      <c r="R75" s="2809">
        <f ca="1">IF(UPPER($F$2)="Y",R64-R70,OFFSET('VVP2'!$G$29,0,(COLUMN()-7)/5)-OFFSET('VVP2'!$G$47,0,(COLUMN()-7)/5))</f>
        <v>44.076414128651649</v>
      </c>
      <c r="S75" s="2809">
        <f ca="1">+T75/R75*100-100</f>
        <v>12.536151092555727</v>
      </c>
      <c r="T75" s="2809">
        <f ca="1">+T73</f>
        <v>49.601900000000001</v>
      </c>
      <c r="U75" s="1175"/>
      <c r="V75" s="2809">
        <f ca="1">+W75/R75*100-100</f>
        <v>3.8822080765632592</v>
      </c>
      <c r="W75" s="2809">
        <f ca="1">IF(UPPER($F$2)="Y",W64-W70,OFFSET('VVP2'!$G$29,0,(COLUMN()-7)/5)-OFFSET('VVP2'!$G$47,0,(COLUMN()-7)/5))</f>
        <v>45.787552237813628</v>
      </c>
      <c r="X75" s="2809">
        <f ca="1">+Y75/W75*100-100</f>
        <v>12.341012974089026</v>
      </c>
      <c r="Y75" s="2809">
        <f ca="1">+Y73</f>
        <v>51.438199999999995</v>
      </c>
      <c r="Z75" s="1175"/>
      <c r="AA75" s="2809">
        <f ca="1">+AB75/W75*100-100</f>
        <v>3.5713053365004015</v>
      </c>
      <c r="AB75" s="2809">
        <f ca="1">IF(UPPER($F$2)="Y",AB64-AB70,OFFSET('VVP2'!$G$29,0,(COLUMN()-7)/5)-OFFSET('VVP2'!$G$47,0,(COLUMN()-7)/5))</f>
        <v>47.422765534335582</v>
      </c>
      <c r="AC75" s="2809">
        <f ca="1">+AD75/AB75*100-100</f>
        <v>14.645781171567691</v>
      </c>
      <c r="AD75" s="2809">
        <f ca="1">+AD73</f>
        <v>54.368200000000002</v>
      </c>
      <c r="AE75" s="1175"/>
      <c r="AF75" s="2809">
        <f ca="1">+AG75/AB75*100-100</f>
        <v>6.4293309141490056</v>
      </c>
      <c r="AG75" s="2809">
        <f ca="1">IF(UPPER($F$2)="Y",AG64-AG70,OFFSET('VVP2'!$G$29,0,(COLUMN()-7)/5)-OFFSET('VVP2'!$G$47,0,(COLUMN()-7)/5))</f>
        <v>50.471732059179018</v>
      </c>
      <c r="AH75" s="2809">
        <f ca="1">+AI75/AG75*100-100</f>
        <v>15.062823546271304</v>
      </c>
      <c r="AI75" s="2809">
        <f ca="1">+AI73</f>
        <v>58.074199999999998</v>
      </c>
      <c r="AJ75" s="1175"/>
      <c r="AK75" s="2809">
        <f ca="1">+AL75/AG75*100-100</f>
        <v>5.4657922650767574</v>
      </c>
      <c r="AL75" s="2809">
        <f ca="1">IF(UPPER($F$2)="Y",AL64-AL70,OFFSET('VVP2'!$G$29,0,(COLUMN()-7)/5)-OFFSET('VVP2'!$G$47,0,(COLUMN()-7)/5))</f>
        <v>53.230412086119891</v>
      </c>
      <c r="AM75" s="2809">
        <f ca="1">+AN75/AL75*100-100</f>
        <v>11.923236482956085</v>
      </c>
      <c r="AN75" s="2809">
        <f ca="1">+AN73</f>
        <v>59.577199999999998</v>
      </c>
      <c r="AO75" s="1175"/>
      <c r="AP75" s="2809">
        <f ca="1">+AQ75/AL75*100-100</f>
        <v>-3.8598485525634629</v>
      </c>
      <c r="AQ75" s="2809">
        <f ca="1">IF(UPPER($F$2)="Y",AQ64-AQ70,OFFSET('VVP2'!$G$29,0,(COLUMN()-7)/5)-OFFSET('VVP2'!$G$47,0,(COLUMN()-7)/5))</f>
        <v>51.175798795690227</v>
      </c>
      <c r="AR75" s="2809">
        <f ca="1">+AS75/AQ75*100-100</f>
        <v>11.054250910463921</v>
      </c>
      <c r="AS75" s="2809">
        <f ca="1">+AS73</f>
        <v>56.832899999999995</v>
      </c>
      <c r="AT75" s="1175"/>
      <c r="AU75" s="2809">
        <f ca="1">+AV75/AQ75*100-100</f>
        <v>-1.2960379892787728</v>
      </c>
      <c r="AV75" s="2809">
        <f ca="1">IF(UPPER($F$2)="Y",AV64-AV70,OFFSET('VVP2'!$G$29,0,(COLUMN()-7)/5)-OFFSET('VVP2'!$G$47,0,(COLUMN()-7)/5))</f>
        <v>50.512541001981212</v>
      </c>
      <c r="AW75" s="2809">
        <f ca="1">+AX75/AV75*100-100</f>
        <v>14.366648072078078</v>
      </c>
      <c r="AX75" s="2809">
        <f ca="1">+AX73</f>
        <v>57.769500000000001</v>
      </c>
      <c r="AY75" s="1175"/>
      <c r="AZ75" s="2809">
        <f ca="1">+BA75/AV75*100-100</f>
        <v>12.265437974164641</v>
      </c>
      <c r="BA75" s="2809">
        <f ca="1">IF(UPPER($F$2)="Y",BA64-BA70,OFFSET('VVP2'!$G$29,0,(COLUMN()-7)/5)-OFFSET('VVP2'!$G$47,0,(COLUMN()-7)/5))</f>
        <v>56.708125387753697</v>
      </c>
      <c r="BB75" s="2809">
        <f ca="1">+BC75/BA75*100-100</f>
        <v>12.471536598833865</v>
      </c>
      <c r="BC75" s="2809">
        <f ca="1">+BC73</f>
        <v>63.780500000000004</v>
      </c>
      <c r="BD75" s="1175"/>
      <c r="BE75" s="2809">
        <f ca="1">+BF75/BA75*100-100</f>
        <v>7.6207918311357474</v>
      </c>
      <c r="BF75" s="2809">
        <f ca="1">IF(UPPER($F$2)="Y",BF64-BF70,OFFSET('VVP2'!$G$29,0,(COLUMN()-7)/5)-OFFSET('VVP2'!$G$47,0,(COLUMN()-7)/5))</f>
        <v>61.029733574893854</v>
      </c>
      <c r="BG75" s="2809">
        <f ca="1">+BH75/BF75*100-100</f>
        <v>13.086353089359747</v>
      </c>
      <c r="BH75" s="2809">
        <f ca="1">+BH73</f>
        <v>69.016300000000001</v>
      </c>
      <c r="BI75" s="1175"/>
      <c r="BJ75" s="2809">
        <f ca="1">+BK75/BF75*100-100</f>
        <v>4.7860535612453248</v>
      </c>
      <c r="BK75" s="2809">
        <f ca="1">IF(UPPER($F$2)="Y",BK64-BK70,OFFSET('VVP2'!$G$29,0,(COLUMN()-7)/5)-OFFSET('VVP2'!$G$47,0,(COLUMN()-7)/5))</f>
        <v>63.950649312073594</v>
      </c>
      <c r="BL75" s="2809">
        <f ca="1">+BM75/BK75*100-100</f>
        <v>14.139419670003676</v>
      </c>
      <c r="BM75" s="2809">
        <f ca="1">+BM73</f>
        <v>72.992899999999992</v>
      </c>
      <c r="BN75" s="1175"/>
      <c r="BO75" s="2809">
        <f ca="1">+BP75/BK75*100-100</f>
        <v>10.85809834414286</v>
      </c>
      <c r="BP75" s="2809">
        <f ca="1">IF(UPPER($F$2)="Y",BP64-BP70,OFFSET('VVP2'!$G$29,0,(COLUMN()-7)/5)-OFFSET('VVP2'!$G$47,0,(COLUMN()-7)/5))</f>
        <v>70.894473706096463</v>
      </c>
      <c r="BQ75" s="2809">
        <f ca="1">+BR75/BP75*100-100</f>
        <v>12.976647985345608</v>
      </c>
      <c r="BR75" s="2809">
        <f ca="1">+BR73</f>
        <v>80.094200000000001</v>
      </c>
      <c r="BS75" s="1175"/>
      <c r="BT75" s="2809">
        <f ca="1">+BU75/BP75*100-100</f>
        <v>4.6592329874131764</v>
      </c>
      <c r="BU75" s="2809">
        <f ca="1">IF(UPPER($F$2)="Y",BU64-BU70,OFFSET('VVP2'!$G$29,0,(COLUMN()-7)/5)-OFFSET('VVP2'!$G$47,0,(COLUMN()-7)/5))</f>
        <v>74.197612411263862</v>
      </c>
      <c r="BV75" s="2809">
        <f ca="1">+BW75/BU75*100-100</f>
        <v>14.405029004832997</v>
      </c>
      <c r="BW75" s="2809">
        <f ca="1">+BW73</f>
        <v>84.885799999999989</v>
      </c>
      <c r="BX75" s="1175"/>
      <c r="BY75" s="2809">
        <f ca="1">+BZ75/BU75*100-100</f>
        <v>-4.1382661491662986</v>
      </c>
      <c r="BZ75" s="2809">
        <f ca="1">IF(UPPER($F$2)="Y",BZ64-BZ70,OFFSET('VVP2'!$G$29,0,(COLUMN()-7)/5)-OFFSET('VVP2'!$G$47,0,(COLUMN()-7)/5))</f>
        <v>71.127117733358915</v>
      </c>
      <c r="CA75" s="2809">
        <f ca="1">+CB75/BZ75*100-100</f>
        <v>10.75986559068977</v>
      </c>
      <c r="CB75" s="2809">
        <f ca="1">+CB73</f>
        <v>78.780300000000011</v>
      </c>
      <c r="CC75" s="1175"/>
      <c r="CD75" s="2809">
        <f ca="1">+CE75/BZ75*100-100</f>
        <v>-1.9602019743512216</v>
      </c>
      <c r="CE75" s="2809">
        <f ca="1">IF(UPPER($F$2)="Y",CE64-CE70,OFFSET('VVP2'!$G$29,0,(COLUMN()-7)/5)-OFFSET('VVP2'!$G$47,0,(COLUMN()-7)/5))</f>
        <v>69.732882567250499</v>
      </c>
      <c r="CF75" s="2809">
        <f ca="1">+CG75/CE75*100-100</f>
        <v>14.237210720745551</v>
      </c>
      <c r="CG75" s="2809">
        <f ca="1">+CG73</f>
        <v>79.660899999999998</v>
      </c>
      <c r="CH75" s="1175"/>
      <c r="CI75" s="2809">
        <f ca="1">+CJ75/CE75*100-100</f>
        <v>5.7578824866121039</v>
      </c>
      <c r="CJ75" s="2809">
        <f ca="1">IF(UPPER($F$2)="Y",CJ64-CJ70,OFFSET('VVP2'!$G$29,0,(COLUMN()-7)/5)-OFFSET('VVP2'!$G$47,0,(COLUMN()-7)/5))</f>
        <v>73.748019999999997</v>
      </c>
      <c r="CK75" s="2809">
        <f ca="1">+CL75/CJ75*100-100</f>
        <v>16.083658923995529</v>
      </c>
      <c r="CL75" s="2809">
        <f ca="1">+CL73</f>
        <v>85.609399999999994</v>
      </c>
      <c r="CM75" s="1175"/>
      <c r="CN75" s="2809">
        <f ca="1">+CO75/CJ75*100-100</f>
        <v>3.2360072116922822</v>
      </c>
      <c r="CO75" s="2809">
        <f ca="1">IF(UPPER($F$2)="Y",CO64-CO70,OFFSET('VVP2'!$G$29,0,(COLUMN()-7)/5)-OFFSET('VVP2'!$G$47,0,(COLUMN()-7)/5))</f>
        <v>76.134511245680258</v>
      </c>
      <c r="CP75" s="2809">
        <f ca="1">+CQ75/CO75*100-100</f>
        <v>15.153822577372011</v>
      </c>
      <c r="CQ75" s="2809">
        <f ca="1">+CQ73</f>
        <v>87.67179999999999</v>
      </c>
      <c r="CR75" s="1175"/>
      <c r="CS75" s="2809">
        <f ca="1">+CT75/CO75*100-100</f>
        <v>1.2892307569199062</v>
      </c>
      <c r="CT75" s="2809">
        <f ca="1">IF(UPPER($F$2)="Y",CT64-CT70,OFFSET('VVP2'!$G$29,0,(COLUMN()-7)/5)-OFFSET('VVP2'!$G$47,0,(COLUMN()-7)/5))</f>
        <v>77.116060781290216</v>
      </c>
      <c r="CU75" s="2809">
        <f ca="1">+CV75/CT75*100-100</f>
        <v>12.743959065261464</v>
      </c>
      <c r="CV75" s="2809">
        <f ca="1">+CV73</f>
        <v>86.943699999999993</v>
      </c>
      <c r="CW75" s="1175"/>
      <c r="CX75" s="2809">
        <f ca="1">+CY75/CT75*100-100</f>
        <v>7.057005353068547</v>
      </c>
      <c r="CY75" s="2809">
        <f ca="1">IF(UPPER($F$2)="Y",CY64-CY70,OFFSET('VVP2'!$G$29,0,(COLUMN()-7)/5)-OFFSET('VVP2'!$G$47,0,(COLUMN()-7)/5))</f>
        <v>82.558145318701463</v>
      </c>
      <c r="CZ75" s="2809">
        <f ca="1">+DA75/CY75*100-100</f>
        <v>11.572273873665083</v>
      </c>
      <c r="DA75" s="2809">
        <f ca="1">+DA73</f>
        <v>92.112000000000009</v>
      </c>
      <c r="DB75" s="1175"/>
      <c r="DC75" s="2809">
        <f ca="1">+DD75/CY75*100-100</f>
        <v>3.395634665077111</v>
      </c>
      <c r="DD75" s="2809">
        <f ca="1">IF(UPPER($F$2)="Y",DD64-DD70,OFFSET('VVP2'!$G$29,0,(COLUMN()-7)/5)-OFFSET('VVP2'!$G$47,0,(COLUMN()-7)/5))</f>
        <v>85.361518319988022</v>
      </c>
      <c r="DE75" s="2809">
        <f ca="1">+DF75/DD75*100-100</f>
        <v>11.280705720246289</v>
      </c>
      <c r="DF75" s="2809">
        <f ca="1">+DF73</f>
        <v>94.990899999999996</v>
      </c>
      <c r="DG75" s="1175"/>
      <c r="DH75" s="2809">
        <f ca="1">+DI75/DD75*100-100</f>
        <v>4.7492761722232473</v>
      </c>
      <c r="DI75" s="2809">
        <f ca="1">IF(UPPER($F$2)="Y",DI64-DI70,OFFSET('VVP2'!$G$29,0,(COLUMN()-7)/5)-OFFSET('VVP2'!$G$47,0,(COLUMN()-7)/5))</f>
        <v>89.415572569807196</v>
      </c>
      <c r="DJ75" s="2809">
        <f ca="1">+DK75/DI75*100-100</f>
        <v>10.846687161367825</v>
      </c>
      <c r="DK75" s="2809">
        <f ca="1">+DK73</f>
        <v>99.114200000000011</v>
      </c>
      <c r="DL75" s="1175"/>
      <c r="DM75" s="2809">
        <f ca="1">+DN75/DI75*100-100</f>
        <v>1.2428079095516864</v>
      </c>
      <c r="DN75" s="2809">
        <f ca="1">IF(UPPER($F$2)="Y",DN64-DN70,OFFSET('VVP2'!$G$29,0,(COLUMN()-7)/5)-OFFSET('VVP2'!$G$47,0,(COLUMN()-7)/5))</f>
        <v>90.526836378075686</v>
      </c>
      <c r="DO75" s="2809">
        <f ca="1">+DP75/DN75*100-100</f>
        <v>12.576672374117862</v>
      </c>
      <c r="DP75" s="2809">
        <f ca="1">+DP73</f>
        <v>101.91210000000001</v>
      </c>
      <c r="DQ75" s="1175"/>
      <c r="DR75" s="2809">
        <f ca="1">+DS75/DN75*100-100</f>
        <v>5.2392627442716844</v>
      </c>
      <c r="DS75" s="2809">
        <f ca="1">IF(UPPER($F$2)="Y",DS64-DS70,OFFSET('VVP2'!$G$29,0,(COLUMN()-7)/5)-OFFSET('VVP2'!$G$47,0,(COLUMN()-7)/5))</f>
        <v>95.269775190000004</v>
      </c>
      <c r="DT75" s="2809">
        <f ca="1">+DU75/DS75*100-100</f>
        <v>12.343886199003421</v>
      </c>
      <c r="DU75" s="2809">
        <f ca="1">+DU73</f>
        <v>107.0297678215</v>
      </c>
      <c r="DV75" s="1175"/>
      <c r="DW75" s="2809">
        <f ca="1">+DX75/DS75*100-100</f>
        <v>3.3782233548474068</v>
      </c>
      <c r="DX75" s="2809">
        <f ca="1">IF(UPPER($F$2)="Y",DX64-DX70,OFFSET('VVP2'!$G$29,0,(COLUMN()-7)/5)-OFFSET('VVP2'!$G$47,0,(COLUMN()-7)/5))</f>
        <v>98.488200985579198</v>
      </c>
      <c r="DY75" s="2809">
        <f ca="1">+DZ75/DX75*100-100</f>
        <v>12.985231101071008</v>
      </c>
      <c r="DZ75" s="2809">
        <f ca="1">+DZ73</f>
        <v>111.27712149084397</v>
      </c>
      <c r="EA75" s="1175"/>
    </row>
    <row r="76" spans="1:131">
      <c r="BY76" s="1370"/>
      <c r="BZ76" s="1370"/>
      <c r="CA76" s="2909"/>
      <c r="CD76" s="2909"/>
      <c r="CI76" s="2909"/>
      <c r="CN76" s="2909"/>
      <c r="CS76" s="2909"/>
      <c r="CX76" s="2909"/>
      <c r="DC76" s="2909"/>
      <c r="DH76" s="2909"/>
      <c r="DM76" s="2909"/>
      <c r="DR76" s="2909"/>
      <c r="DW76" s="2909"/>
    </row>
    <row r="77" spans="1:131">
      <c r="BT77" s="1370"/>
      <c r="BY77" s="2909"/>
      <c r="CD77" s="1370"/>
      <c r="CE77" s="1370"/>
      <c r="CI77" s="2909"/>
      <c r="CJ77" s="1370"/>
      <c r="CN77" s="2909"/>
      <c r="CO77" s="1370"/>
      <c r="CS77" s="2909"/>
      <c r="CT77" s="1370"/>
      <c r="CX77" s="2909"/>
      <c r="CY77" s="1370"/>
      <c r="DC77" s="2909"/>
      <c r="DD77" s="1370"/>
      <c r="DE77" s="3734"/>
      <c r="DH77" s="2909"/>
      <c r="DI77" s="1370"/>
      <c r="DJ77" s="3734"/>
      <c r="DM77" s="2909"/>
      <c r="DN77" s="1370"/>
      <c r="DO77" s="3734"/>
      <c r="DR77" s="2909"/>
      <c r="DS77" s="1370"/>
      <c r="DT77" s="3734"/>
      <c r="DW77" s="2909"/>
      <c r="DX77" s="1370"/>
      <c r="DY77" s="3734"/>
    </row>
    <row r="78" spans="1:131">
      <c r="B78" s="1"/>
      <c r="C78" s="822"/>
      <c r="D78" s="4106"/>
      <c r="E78" s="4108" t="s">
        <v>2049</v>
      </c>
      <c r="F78" s="4109"/>
      <c r="G78" s="4112">
        <f>+InputY!$G$3</f>
        <v>1995</v>
      </c>
      <c r="H78" s="4104"/>
      <c r="I78" s="4104"/>
      <c r="J78" s="4104"/>
      <c r="K78" s="4104"/>
      <c r="L78" s="4104">
        <f>+G78+1</f>
        <v>1996</v>
      </c>
      <c r="M78" s="4104"/>
      <c r="N78" s="4104"/>
      <c r="O78" s="4104"/>
      <c r="P78" s="4104"/>
      <c r="Q78" s="4104">
        <f>+L78+1</f>
        <v>1997</v>
      </c>
      <c r="R78" s="4104"/>
      <c r="S78" s="4104"/>
      <c r="T78" s="4104"/>
      <c r="U78" s="4104"/>
      <c r="V78" s="4104">
        <f>+Q78+1</f>
        <v>1998</v>
      </c>
      <c r="W78" s="4104"/>
      <c r="X78" s="4104"/>
      <c r="Y78" s="4104"/>
      <c r="Z78" s="4104"/>
      <c r="AA78" s="4104">
        <f>+V78+1</f>
        <v>1999</v>
      </c>
      <c r="AB78" s="4104"/>
      <c r="AC78" s="4104"/>
      <c r="AD78" s="4104"/>
      <c r="AE78" s="4104"/>
      <c r="AF78" s="4104">
        <f>+AA78+1</f>
        <v>2000</v>
      </c>
      <c r="AG78" s="4104"/>
      <c r="AH78" s="4104"/>
      <c r="AI78" s="4104"/>
      <c r="AJ78" s="4104"/>
      <c r="AK78" s="4104">
        <f>+AF78+1</f>
        <v>2001</v>
      </c>
      <c r="AL78" s="4104"/>
      <c r="AM78" s="4104"/>
      <c r="AN78" s="4104"/>
      <c r="AO78" s="4104"/>
      <c r="AP78" s="4104">
        <f>+AK78+1</f>
        <v>2002</v>
      </c>
      <c r="AQ78" s="4104"/>
      <c r="AR78" s="4104"/>
      <c r="AS78" s="4104"/>
      <c r="AT78" s="4104"/>
      <c r="AU78" s="4104">
        <f>+AP78+1</f>
        <v>2003</v>
      </c>
      <c r="AV78" s="4104"/>
      <c r="AW78" s="4104"/>
      <c r="AX78" s="4104"/>
      <c r="AY78" s="4104"/>
      <c r="AZ78" s="4104">
        <f>+AU78+1</f>
        <v>2004</v>
      </c>
      <c r="BA78" s="4104"/>
      <c r="BB78" s="4104"/>
      <c r="BC78" s="4104"/>
      <c r="BD78" s="4104"/>
      <c r="BE78" s="4104">
        <f>+AZ78+1</f>
        <v>2005</v>
      </c>
      <c r="BF78" s="4104"/>
      <c r="BG78" s="4104"/>
      <c r="BH78" s="4104"/>
      <c r="BI78" s="4104"/>
      <c r="BJ78" s="4104">
        <f>+BE78+1</f>
        <v>2006</v>
      </c>
      <c r="BK78" s="4104"/>
      <c r="BL78" s="4104"/>
      <c r="BM78" s="4104"/>
      <c r="BN78" s="4104"/>
      <c r="BO78" s="4104">
        <f>+BJ78+1</f>
        <v>2007</v>
      </c>
      <c r="BP78" s="4104"/>
      <c r="BQ78" s="4104"/>
      <c r="BR78" s="4104"/>
      <c r="BS78" s="4104"/>
      <c r="BT78" s="4104">
        <f>+BO78+1</f>
        <v>2008</v>
      </c>
      <c r="BU78" s="4104"/>
      <c r="BV78" s="4104"/>
      <c r="BW78" s="4104"/>
      <c r="BX78" s="4104"/>
      <c r="BY78" s="4104">
        <f>+BT78+1</f>
        <v>2009</v>
      </c>
      <c r="BZ78" s="4104"/>
      <c r="CA78" s="4104"/>
      <c r="CB78" s="4104"/>
      <c r="CC78" s="4104"/>
      <c r="CD78" s="4104">
        <f>+BY78+1</f>
        <v>2010</v>
      </c>
      <c r="CE78" s="4104"/>
      <c r="CF78" s="4104"/>
      <c r="CG78" s="4104"/>
      <c r="CH78" s="4104"/>
      <c r="CI78" s="4104">
        <f>+CD78+1</f>
        <v>2011</v>
      </c>
      <c r="CJ78" s="4104"/>
      <c r="CK78" s="4104"/>
      <c r="CL78" s="4104"/>
      <c r="CM78" s="4104"/>
      <c r="CN78" s="4104">
        <f>+CI78+1</f>
        <v>2012</v>
      </c>
      <c r="CO78" s="4104"/>
      <c r="CP78" s="4104"/>
      <c r="CQ78" s="4104"/>
      <c r="CR78" s="4104"/>
      <c r="CS78" s="4093">
        <f>+CN78+1</f>
        <v>2013</v>
      </c>
      <c r="CT78" s="4094"/>
      <c r="CU78" s="4094"/>
      <c r="CV78" s="4094"/>
      <c r="CW78" s="4095"/>
      <c r="CX78" s="4093">
        <f>+CS78+1</f>
        <v>2014</v>
      </c>
      <c r="CY78" s="4094"/>
      <c r="CZ78" s="4094"/>
      <c r="DA78" s="4094"/>
      <c r="DB78" s="4095"/>
      <c r="DC78" s="4093">
        <f>+CX78+1</f>
        <v>2015</v>
      </c>
      <c r="DD78" s="4094"/>
      <c r="DE78" s="4094"/>
      <c r="DF78" s="4094"/>
      <c r="DG78" s="4095"/>
      <c r="DH78" s="4093">
        <f>+DC78+1</f>
        <v>2016</v>
      </c>
      <c r="DI78" s="4094"/>
      <c r="DJ78" s="4094"/>
      <c r="DK78" s="4094"/>
      <c r="DL78" s="4095"/>
      <c r="DM78" s="4093">
        <f>+DH78+1</f>
        <v>2017</v>
      </c>
      <c r="DN78" s="4094"/>
      <c r="DO78" s="4094"/>
      <c r="DP78" s="4094"/>
      <c r="DQ78" s="4095"/>
      <c r="DR78" s="4093">
        <f>+DM78+1</f>
        <v>2018</v>
      </c>
      <c r="DS78" s="4094"/>
      <c r="DT78" s="4094"/>
      <c r="DU78" s="4094"/>
      <c r="DV78" s="4095"/>
      <c r="DW78" s="4093">
        <f>+DR78+1</f>
        <v>2019</v>
      </c>
      <c r="DX78" s="4094"/>
      <c r="DY78" s="4094"/>
      <c r="DZ78" s="4094"/>
      <c r="EA78" s="4095"/>
    </row>
    <row r="79" spans="1:131">
      <c r="B79" s="1"/>
      <c r="C79" s="822"/>
      <c r="D79" s="4106"/>
      <c r="E79" s="4108"/>
      <c r="F79" s="4109"/>
      <c r="G79" s="1199" t="s">
        <v>506</v>
      </c>
      <c r="H79" s="1196" t="s">
        <v>499</v>
      </c>
      <c r="I79" s="1195" t="s">
        <v>1186</v>
      </c>
      <c r="J79" s="1196" t="s">
        <v>1304</v>
      </c>
      <c r="K79" s="1195" t="s">
        <v>1187</v>
      </c>
      <c r="L79" s="1195" t="s">
        <v>506</v>
      </c>
      <c r="M79" s="1196" t="s">
        <v>499</v>
      </c>
      <c r="N79" s="1195" t="s">
        <v>1186</v>
      </c>
      <c r="O79" s="1196" t="s">
        <v>1304</v>
      </c>
      <c r="P79" s="1195" t="s">
        <v>1187</v>
      </c>
      <c r="Q79" s="1195" t="s">
        <v>506</v>
      </c>
      <c r="R79" s="1196" t="s">
        <v>499</v>
      </c>
      <c r="S79" s="1195" t="s">
        <v>1186</v>
      </c>
      <c r="T79" s="1196" t="s">
        <v>1304</v>
      </c>
      <c r="U79" s="1195" t="s">
        <v>1187</v>
      </c>
      <c r="V79" s="1195" t="s">
        <v>506</v>
      </c>
      <c r="W79" s="1196" t="s">
        <v>499</v>
      </c>
      <c r="X79" s="1195" t="s">
        <v>1186</v>
      </c>
      <c r="Y79" s="1196" t="s">
        <v>1304</v>
      </c>
      <c r="Z79" s="1195" t="s">
        <v>1187</v>
      </c>
      <c r="AA79" s="1195" t="s">
        <v>506</v>
      </c>
      <c r="AB79" s="1196" t="s">
        <v>499</v>
      </c>
      <c r="AC79" s="1195" t="s">
        <v>1186</v>
      </c>
      <c r="AD79" s="1196" t="s">
        <v>1304</v>
      </c>
      <c r="AE79" s="1195" t="s">
        <v>1187</v>
      </c>
      <c r="AF79" s="1195" t="s">
        <v>506</v>
      </c>
      <c r="AG79" s="1196" t="s">
        <v>499</v>
      </c>
      <c r="AH79" s="1195" t="s">
        <v>1186</v>
      </c>
      <c r="AI79" s="1196" t="s">
        <v>1304</v>
      </c>
      <c r="AJ79" s="1195" t="s">
        <v>1187</v>
      </c>
      <c r="AK79" s="1195" t="s">
        <v>506</v>
      </c>
      <c r="AL79" s="1196" t="s">
        <v>499</v>
      </c>
      <c r="AM79" s="1195" t="s">
        <v>1186</v>
      </c>
      <c r="AN79" s="1196" t="s">
        <v>1304</v>
      </c>
      <c r="AO79" s="1195" t="s">
        <v>1187</v>
      </c>
      <c r="AP79" s="1195" t="s">
        <v>506</v>
      </c>
      <c r="AQ79" s="1196" t="s">
        <v>499</v>
      </c>
      <c r="AR79" s="1195" t="s">
        <v>1186</v>
      </c>
      <c r="AS79" s="1196" t="s">
        <v>1304</v>
      </c>
      <c r="AT79" s="1195" t="s">
        <v>1187</v>
      </c>
      <c r="AU79" s="1195" t="s">
        <v>506</v>
      </c>
      <c r="AV79" s="1196" t="s">
        <v>499</v>
      </c>
      <c r="AW79" s="1195" t="s">
        <v>1186</v>
      </c>
      <c r="AX79" s="1196" t="s">
        <v>1304</v>
      </c>
      <c r="AY79" s="1195" t="s">
        <v>1187</v>
      </c>
      <c r="AZ79" s="1195" t="s">
        <v>506</v>
      </c>
      <c r="BA79" s="1196" t="s">
        <v>499</v>
      </c>
      <c r="BB79" s="1195" t="s">
        <v>1186</v>
      </c>
      <c r="BC79" s="1196" t="s">
        <v>1304</v>
      </c>
      <c r="BD79" s="1195" t="s">
        <v>1187</v>
      </c>
      <c r="BE79" s="1195" t="s">
        <v>506</v>
      </c>
      <c r="BF79" s="1196" t="s">
        <v>499</v>
      </c>
      <c r="BG79" s="1195" t="s">
        <v>1186</v>
      </c>
      <c r="BH79" s="1196" t="s">
        <v>1304</v>
      </c>
      <c r="BI79" s="1195" t="s">
        <v>1187</v>
      </c>
      <c r="BJ79" s="1195" t="s">
        <v>506</v>
      </c>
      <c r="BK79" s="1196" t="s">
        <v>499</v>
      </c>
      <c r="BL79" s="1195" t="s">
        <v>1186</v>
      </c>
      <c r="BM79" s="1196" t="s">
        <v>1304</v>
      </c>
      <c r="BN79" s="1195" t="s">
        <v>1187</v>
      </c>
      <c r="BO79" s="1195" t="s">
        <v>506</v>
      </c>
      <c r="BP79" s="1196" t="s">
        <v>499</v>
      </c>
      <c r="BQ79" s="1195" t="s">
        <v>1186</v>
      </c>
      <c r="BR79" s="1196" t="s">
        <v>1304</v>
      </c>
      <c r="BS79" s="1195" t="s">
        <v>1187</v>
      </c>
      <c r="BT79" s="1195" t="s">
        <v>506</v>
      </c>
      <c r="BU79" s="1196" t="s">
        <v>499</v>
      </c>
      <c r="BV79" s="1195" t="s">
        <v>1186</v>
      </c>
      <c r="BW79" s="1196" t="s">
        <v>1304</v>
      </c>
      <c r="BX79" s="1195" t="s">
        <v>1187</v>
      </c>
      <c r="BY79" s="1195" t="s">
        <v>506</v>
      </c>
      <c r="BZ79" s="1196" t="s">
        <v>499</v>
      </c>
      <c r="CA79" s="1195" t="s">
        <v>1186</v>
      </c>
      <c r="CB79" s="1196" t="s">
        <v>1304</v>
      </c>
      <c r="CC79" s="1195" t="s">
        <v>1187</v>
      </c>
      <c r="CD79" s="1195" t="s">
        <v>506</v>
      </c>
      <c r="CE79" s="1196" t="s">
        <v>499</v>
      </c>
      <c r="CF79" s="1195" t="s">
        <v>1186</v>
      </c>
      <c r="CG79" s="1196" t="s">
        <v>1304</v>
      </c>
      <c r="CH79" s="1195" t="s">
        <v>1187</v>
      </c>
      <c r="CI79" s="1195" t="s">
        <v>506</v>
      </c>
      <c r="CJ79" s="1196" t="s">
        <v>499</v>
      </c>
      <c r="CK79" s="1195" t="s">
        <v>1186</v>
      </c>
      <c r="CL79" s="1196" t="s">
        <v>1304</v>
      </c>
      <c r="CM79" s="1195" t="s">
        <v>1187</v>
      </c>
      <c r="CN79" s="1195" t="s">
        <v>506</v>
      </c>
      <c r="CO79" s="1196" t="s">
        <v>499</v>
      </c>
      <c r="CP79" s="1195" t="s">
        <v>1186</v>
      </c>
      <c r="CQ79" s="1196" t="s">
        <v>1304</v>
      </c>
      <c r="CR79" s="1195" t="s">
        <v>1187</v>
      </c>
      <c r="CS79" s="1195" t="s">
        <v>506</v>
      </c>
      <c r="CT79" s="1196" t="s">
        <v>499</v>
      </c>
      <c r="CU79" s="1195" t="s">
        <v>1186</v>
      </c>
      <c r="CV79" s="1196" t="s">
        <v>1304</v>
      </c>
      <c r="CW79" s="1195" t="s">
        <v>1187</v>
      </c>
      <c r="CX79" s="1195" t="s">
        <v>506</v>
      </c>
      <c r="CY79" s="1196" t="s">
        <v>499</v>
      </c>
      <c r="CZ79" s="1195" t="s">
        <v>1186</v>
      </c>
      <c r="DA79" s="1196" t="s">
        <v>1304</v>
      </c>
      <c r="DB79" s="1195" t="s">
        <v>1187</v>
      </c>
      <c r="DC79" s="1195" t="s">
        <v>506</v>
      </c>
      <c r="DD79" s="1196" t="s">
        <v>499</v>
      </c>
      <c r="DE79" s="1195" t="s">
        <v>1186</v>
      </c>
      <c r="DF79" s="1196" t="s">
        <v>1304</v>
      </c>
      <c r="DG79" s="1195" t="s">
        <v>1187</v>
      </c>
      <c r="DH79" s="1195" t="s">
        <v>506</v>
      </c>
      <c r="DI79" s="1196" t="s">
        <v>499</v>
      </c>
      <c r="DJ79" s="1195" t="s">
        <v>1186</v>
      </c>
      <c r="DK79" s="1196" t="s">
        <v>1304</v>
      </c>
      <c r="DL79" s="1195" t="s">
        <v>1187</v>
      </c>
      <c r="DM79" s="3835" t="s">
        <v>506</v>
      </c>
      <c r="DN79" s="1196" t="s">
        <v>499</v>
      </c>
      <c r="DO79" s="1195" t="s">
        <v>1186</v>
      </c>
      <c r="DP79" s="1196" t="s">
        <v>1304</v>
      </c>
      <c r="DQ79" s="1195" t="s">
        <v>1187</v>
      </c>
      <c r="DR79" s="3835" t="s">
        <v>506</v>
      </c>
      <c r="DS79" s="1196" t="s">
        <v>499</v>
      </c>
      <c r="DT79" s="1195" t="s">
        <v>1186</v>
      </c>
      <c r="DU79" s="1196" t="s">
        <v>1304</v>
      </c>
      <c r="DV79" s="1195" t="s">
        <v>1187</v>
      </c>
      <c r="DW79" s="3835" t="s">
        <v>506</v>
      </c>
      <c r="DX79" s="1196" t="s">
        <v>499</v>
      </c>
      <c r="DY79" s="1195" t="s">
        <v>1186</v>
      </c>
      <c r="DZ79" s="1196" t="s">
        <v>1304</v>
      </c>
      <c r="EA79" s="1195" t="s">
        <v>1187</v>
      </c>
    </row>
    <row r="80" spans="1:131">
      <c r="B80" s="1"/>
      <c r="C80" s="1115"/>
      <c r="D80" s="1117"/>
      <c r="E80" s="1118" t="s">
        <v>1518</v>
      </c>
      <c r="F80" s="1119" t="s">
        <v>1675</v>
      </c>
      <c r="G80" s="1317"/>
      <c r="H80" s="1318"/>
      <c r="I80" s="1319"/>
      <c r="J80" s="1291">
        <f ca="1">OFFSET('VVP2'!$G$274,0,(COLUMN()-6)/5)</f>
        <v>1.3454000000000002</v>
      </c>
      <c r="K80" s="1320"/>
      <c r="L80" s="1296">
        <f ca="1">+L11</f>
        <v>-50.729355441515089</v>
      </c>
      <c r="M80" s="1291">
        <f ca="1">+J80*(1+L80/100)</f>
        <v>0.66288725188985609</v>
      </c>
      <c r="N80" s="1297">
        <f ca="1">+O80/M80*100-100</f>
        <v>21.151824493592983</v>
      </c>
      <c r="O80" s="1291">
        <f ca="1">OFFSET('VVP2'!$G$274,0,(COLUMN()-6)/5)</f>
        <v>0.80310000000000004</v>
      </c>
      <c r="P80" s="1298">
        <f ca="1">(O80/J80-1)*100</f>
        <v>-40.307715177642343</v>
      </c>
      <c r="Q80" s="1296">
        <f ca="1">+Q11</f>
        <v>62.761994109241016</v>
      </c>
      <c r="R80" s="1291">
        <f ca="1">+O80*(1+Q80/100)</f>
        <v>1.3071415746913146</v>
      </c>
      <c r="S80" s="1297">
        <f ca="1">+T80/R80*100-100</f>
        <v>-40.442564518396175</v>
      </c>
      <c r="T80" s="1291">
        <f ca="1">OFFSET('VVP2'!$G$274,0,(COLUMN()-6)/5)</f>
        <v>0.77849999999999997</v>
      </c>
      <c r="U80" s="1298">
        <f ca="1">(T80/O80-1)*100</f>
        <v>-3.0631303698169687</v>
      </c>
      <c r="V80" s="1296">
        <f ca="1">+V11</f>
        <v>-33.580778423089768</v>
      </c>
      <c r="W80" s="1291">
        <f ca="1">+T80*(1+V80/100)</f>
        <v>0.51707363997624611</v>
      </c>
      <c r="X80" s="1297">
        <f ca="1">+Y80/W80*100-100</f>
        <v>117.78329292743135</v>
      </c>
      <c r="Y80" s="1291">
        <f ca="1">OFFSET('VVP2'!$G$274,0,(COLUMN()-6)/5)</f>
        <v>1.1260999999999999</v>
      </c>
      <c r="Z80" s="1298">
        <f ca="1">(Y80/T80-1)*100</f>
        <v>44.649967886962095</v>
      </c>
      <c r="AA80" s="1296">
        <f ca="1">+AA11</f>
        <v>14.846499111496385</v>
      </c>
      <c r="AB80" s="1291">
        <f ca="1">+Y80*(1+AA80/100)</f>
        <v>1.2932864264945607</v>
      </c>
      <c r="AC80" s="1297">
        <f ca="1">+AD80/AB80*100-100</f>
        <v>-14.782991808919675</v>
      </c>
      <c r="AD80" s="1291">
        <f ca="1">OFFSET('VVP2'!$G$274,0,(COLUMN()-6)/5)</f>
        <v>1.1020999999999999</v>
      </c>
      <c r="AE80" s="1298">
        <f ca="1">(AD80/Y80-1)*100</f>
        <v>-2.1312494449871267</v>
      </c>
      <c r="AF80" s="1296">
        <f ca="1">+AF11</f>
        <v>106.05589594737935</v>
      </c>
      <c r="AG80" s="1291">
        <f ca="1">+AD80*(1+AF80/100)</f>
        <v>2.2709420292360676</v>
      </c>
      <c r="AH80" s="1297">
        <f ca="1">+AI80/AG80*100-100</f>
        <v>46.886180142700994</v>
      </c>
      <c r="AI80" s="1291">
        <f ca="1">OFFSET('VVP2'!$G$274,0,(COLUMN()-6)/5)</f>
        <v>3.3356999999999997</v>
      </c>
      <c r="AJ80" s="1298">
        <f ca="1">(AI80/AD80-1)*100</f>
        <v>202.66763451592414</v>
      </c>
      <c r="AK80" s="1296">
        <f ca="1">+AK11</f>
        <v>-78.86113688390401</v>
      </c>
      <c r="AL80" s="1291">
        <f ca="1">+AI80*(1+AK80/100)</f>
        <v>0.70512905696361372</v>
      </c>
      <c r="AM80" s="1297">
        <f ca="1">+AN80/AL80*100-100</f>
        <v>-33.345535067880064</v>
      </c>
      <c r="AN80" s="1291">
        <f ca="1">OFFSET('VVP2'!$G$274,0,(COLUMN()-6)/5)</f>
        <v>0.47</v>
      </c>
      <c r="AO80" s="1298">
        <f ca="1">(AN80/AI80-1)*100</f>
        <v>-85.910003897232968</v>
      </c>
      <c r="AP80" s="1296">
        <f ca="1">+AP11</f>
        <v>-2.6391389255311424</v>
      </c>
      <c r="AQ80" s="1291">
        <f ca="1">+AN80*(1+AP80/100)</f>
        <v>0.45759604705000362</v>
      </c>
      <c r="AR80" s="1297">
        <f ca="1">+AS80/AQ80*100-100</f>
        <v>-98.208026478186781</v>
      </c>
      <c r="AS80" s="1291">
        <f ca="1">OFFSET('VVP2'!$G$274,0,(COLUMN()-6)/5)</f>
        <v>8.199999999999999E-3</v>
      </c>
      <c r="AT80" s="1298">
        <f ca="1">(AS80/AN80-1)*100</f>
        <v>-98.255319148936167</v>
      </c>
      <c r="AU80" s="1296">
        <f ca="1">+AU11</f>
        <v>4880.6274272132969</v>
      </c>
      <c r="AV80" s="1291">
        <f ca="1">+AS80*(1+AU80/100)</f>
        <v>0.40841144903149029</v>
      </c>
      <c r="AW80" s="1297">
        <f ca="1">+AX80/AV80*100-100</f>
        <v>191.47077116053504</v>
      </c>
      <c r="AX80" s="1291">
        <f ca="1">OFFSET('VVP2'!$G$274,0,(COLUMN()-6)/5)</f>
        <v>1.1904000000000001</v>
      </c>
      <c r="AY80" s="1298">
        <f ca="1">(AX80/AS80-1)*100</f>
        <v>14417.073170731712</v>
      </c>
      <c r="AZ80" s="1296">
        <f ca="1">+AZ11</f>
        <v>91.076356527521028</v>
      </c>
      <c r="BA80" s="1291">
        <f ca="1">+AX80*(1+AZ80/100)</f>
        <v>2.2745729481036108</v>
      </c>
      <c r="BB80" s="1297">
        <f ca="1">+BC80/BA80*100-100</f>
        <v>50.089712569838014</v>
      </c>
      <c r="BC80" s="1291">
        <f ca="1">OFFSET('VVP2'!$G$274,0,(COLUMN()-6)/5)</f>
        <v>3.4138999999999999</v>
      </c>
      <c r="BD80" s="1298">
        <f ca="1">(BC80/AX80-1)*100</f>
        <v>186.78595430107526</v>
      </c>
      <c r="BE80" s="1296">
        <f ca="1">+BE11</f>
        <v>48.920220260036473</v>
      </c>
      <c r="BF80" s="1291">
        <f ca="1">+BC80*(1+BE80/100)</f>
        <v>5.083987399457385</v>
      </c>
      <c r="BG80" s="1297">
        <f ca="1">+BH80/BF80*100-100</f>
        <v>-11.05406751238931</v>
      </c>
      <c r="BH80" s="1291">
        <f ca="1">OFFSET('VVP2'!$G$274,0,(COLUMN()-6)/5)</f>
        <v>4.5220000000000002</v>
      </c>
      <c r="BI80" s="1298">
        <f ca="1">(BH80/BC80-1)*100</f>
        <v>32.458478572893192</v>
      </c>
      <c r="BJ80" s="1296">
        <f ca="1">+BJ11</f>
        <v>31.201283679313661</v>
      </c>
      <c r="BK80" s="1291">
        <f ca="1">+BH80*(1+BJ80/100)</f>
        <v>5.9329220479785647</v>
      </c>
      <c r="BL80" s="1297">
        <f ca="1">+BM80/BK80*100-100</f>
        <v>-15.259294503743249</v>
      </c>
      <c r="BM80" s="1291">
        <f ca="1">OFFSET('VVP2'!$G$274,0,(COLUMN()-6)/5)</f>
        <v>5.0276000000000005</v>
      </c>
      <c r="BN80" s="1298">
        <f ca="1">(BM80/BH80-1)*100</f>
        <v>11.180893409995573</v>
      </c>
      <c r="BO80" s="1296">
        <f ca="1">+BO11</f>
        <v>31.438845281055336</v>
      </c>
      <c r="BP80" s="1291">
        <f ca="1">+BM80*(1+BO80/100)</f>
        <v>6.6082193853503393</v>
      </c>
      <c r="BQ80" s="1297">
        <f ca="1">+BR80/BP80*100-100</f>
        <v>-36.757547588919273</v>
      </c>
      <c r="BR80" s="1291">
        <f ca="1">OFFSET('VVP2'!$G$274,0,(COLUMN()-6)/5)</f>
        <v>4.1791999999999998</v>
      </c>
      <c r="BS80" s="1298">
        <f ca="1">(BR80/BM80-1)*100</f>
        <v>-16.874850823454544</v>
      </c>
      <c r="BT80" s="1296">
        <f ca="1">+BT11</f>
        <v>14.010495956857611</v>
      </c>
      <c r="BU80" s="1291">
        <f ca="1">+BR80*(1+BT80/100)</f>
        <v>4.7647266470289935</v>
      </c>
      <c r="BV80" s="1297">
        <f ca="1">+BW80/BU80*100-100</f>
        <v>30.47967828073746</v>
      </c>
      <c r="BW80" s="1291">
        <f ca="1">OFFSET('VVP2'!$G$274,0,(COLUMN()-6)/5)</f>
        <v>6.2169999999999996</v>
      </c>
      <c r="BX80" s="1298">
        <f ca="1">(BW80/BR80-1)*100</f>
        <v>48.760528330781014</v>
      </c>
      <c r="BY80" s="1296">
        <f ca="1">+BY11</f>
        <v>-49.781052343023489</v>
      </c>
      <c r="BZ80" s="1291">
        <f ca="1">+BW80*(1+BY80/100)</f>
        <v>3.1221119758342293</v>
      </c>
      <c r="CA80" s="1297">
        <f ca="1">+CB80/BZ80*100-100</f>
        <v>-203.10008176884526</v>
      </c>
      <c r="CB80" s="1291">
        <f ca="1">OFFSET('VVP2'!$G$274,0,(COLUMN()-6)/5)</f>
        <v>-3.2189000000000001</v>
      </c>
      <c r="CC80" s="1298">
        <f ca="1">(CB80/BW80-1)*100</f>
        <v>-151.77577609779638</v>
      </c>
      <c r="CD80" s="1296">
        <f ca="1">+CD11</f>
        <v>-63.264088521085995</v>
      </c>
      <c r="CE80" s="1291">
        <f ca="1">+CB80*(1+CD80/100)</f>
        <v>-1.1824922545947629</v>
      </c>
      <c r="CF80" s="1297">
        <f ca="1">+CG80/CE80*100-100</f>
        <v>-369.5916178404471</v>
      </c>
      <c r="CG80" s="1291">
        <f ca="1">OFFSET('VVP2'!$G$274,0,(COLUMN()-6)/5)</f>
        <v>3.1879</v>
      </c>
      <c r="CH80" s="1298">
        <f ca="1">(CG80/CB80-1)*100</f>
        <v>-199.03693808443879</v>
      </c>
      <c r="CI80" s="1296">
        <f ca="1">+CI11</f>
        <v>83.62307475140139</v>
      </c>
      <c r="CJ80" s="1291">
        <f ca="1">+CG80*(1+CI80/100)</f>
        <v>5.8537199999999245</v>
      </c>
      <c r="CK80" s="1297">
        <f ca="1">+CL80/CJ80*100-100</f>
        <v>-8.7998742679856718</v>
      </c>
      <c r="CL80" s="1291">
        <f ca="1">OFFSET('VVP2'!$G$274,0,(COLUMN()-6)/5)</f>
        <v>5.3386000000000005</v>
      </c>
      <c r="CM80" s="1298">
        <f ca="1">(CL80/CG80-1)*100</f>
        <v>67.464475046268717</v>
      </c>
      <c r="CN80" s="1296">
        <f ca="1">+CN11</f>
        <v>-45.844788698578512</v>
      </c>
      <c r="CO80" s="1291">
        <f ca="1">+CL80*(1+CN80/100)</f>
        <v>2.8911301105376879</v>
      </c>
      <c r="CP80" s="1297">
        <f ca="1">+CQ80/CO80*100-100</f>
        <v>-22.321033155359117</v>
      </c>
      <c r="CQ80" s="1291">
        <f ca="1">OFFSET('VVP2'!$G$274,0,(COLUMN()-6)/5)</f>
        <v>2.2458</v>
      </c>
      <c r="CR80" s="1298">
        <f ca="1">(CQ80/CL80-1)*100</f>
        <v>-57.932791368523581</v>
      </c>
      <c r="CS80" s="1296">
        <f ca="1">+CS11</f>
        <v>-65.237956050981353</v>
      </c>
      <c r="CT80" s="1291">
        <f ca="1">+CQ80*(1+CS80/100)</f>
        <v>0.78068598300706082</v>
      </c>
      <c r="CU80" s="1297">
        <f ca="1">+CV80/CT80*100-100</f>
        <v>-93.403237521745766</v>
      </c>
      <c r="CV80" s="3833">
        <f ca="1">OFFSET('VVP2'!$G$274,0,(COLUMN()-6)/5)</f>
        <v>5.1499999999999997E-2</v>
      </c>
      <c r="CW80" s="1298">
        <f ca="1">(CV80/CQ80-1)*100</f>
        <v>-97.706830528096887</v>
      </c>
      <c r="CX80" s="1296">
        <f ca="1">+CX11</f>
        <v>2341.7734560565295</v>
      </c>
      <c r="CY80" s="1291">
        <f ca="1">+CV80*(1+CX80/100)</f>
        <v>1.2575133298691128</v>
      </c>
      <c r="CZ80" s="1297">
        <f ca="1">+DA80/CY80*100-100</f>
        <v>-9.0427136769157528</v>
      </c>
      <c r="DA80" s="3833">
        <f ca="1">OFFSET('VVP2'!$G$274,0,(COLUMN()-6)/5)</f>
        <v>1.1437999999999999</v>
      </c>
      <c r="DB80" s="1298">
        <f ca="1">(DA80/CV80-1)*100</f>
        <v>2120.9708737864075</v>
      </c>
      <c r="DC80" s="1296">
        <f ca="1">+DC11</f>
        <v>65.162420439760382</v>
      </c>
      <c r="DD80" s="1291">
        <f ca="1">+DA80*(1+DC80/100)</f>
        <v>1.8891277649899789</v>
      </c>
      <c r="DE80" s="1297">
        <f ca="1">+DF80/DD80*100-100</f>
        <v>-16.68112505834938</v>
      </c>
      <c r="DF80" s="3833">
        <f ca="1">OFFSET('VVP2'!$G$274,0,(COLUMN()-6)/5)</f>
        <v>1.5740000000000001</v>
      </c>
      <c r="DG80" s="1298">
        <f ca="1">(DF80/DA80-1)*100</f>
        <v>37.611470536807154</v>
      </c>
      <c r="DH80" s="1296">
        <f ca="1">+DH11</f>
        <v>59.536223576318719</v>
      </c>
      <c r="DI80" s="1291">
        <f ca="1">+DF80*(1+DH80/100)</f>
        <v>2.5111001590912565</v>
      </c>
      <c r="DJ80" s="1297">
        <f ca="1">+DK80/DI80*100-100</f>
        <v>-21.078416851472994</v>
      </c>
      <c r="DK80" s="3833">
        <f ca="1">OFFSET('VVP2'!$G$274,0,(COLUMN()-6)/5)</f>
        <v>1.9818</v>
      </c>
      <c r="DL80" s="1298">
        <f ca="1">(DK80/DF80-1)*100</f>
        <v>25.908513341804309</v>
      </c>
      <c r="DM80" s="1296">
        <f ca="1">+DM11</f>
        <v>48.326635406186057</v>
      </c>
      <c r="DN80" s="1291">
        <f ca="1">+DK80*(1+DM80/100)</f>
        <v>2.9395372604797956</v>
      </c>
      <c r="DO80" s="1297">
        <f ca="1">+DP80/DN80*100-100</f>
        <v>89.999292578737112</v>
      </c>
      <c r="DP80" s="3833">
        <f ca="1">OFFSET('VVP2'!$G$274,0,(COLUMN()-6)/5)</f>
        <v>5.5851000000000006</v>
      </c>
      <c r="DQ80" s="1298">
        <f ca="1">(DP80/DK80-1)*100</f>
        <v>181.81955797759616</v>
      </c>
      <c r="DR80" s="3831">
        <v>0</v>
      </c>
      <c r="DS80" s="2215">
        <f ca="1">+DP80*(1+DR80/100)</f>
        <v>5.5851000000000006</v>
      </c>
      <c r="DT80" s="3727">
        <v>0</v>
      </c>
      <c r="DU80" s="2215">
        <f ca="1">+DS80*(1+DT80/100)</f>
        <v>5.5851000000000006</v>
      </c>
      <c r="DV80" s="2216">
        <f ca="1">(DU80/DP80-1)*100</f>
        <v>0</v>
      </c>
      <c r="DW80" s="3831">
        <v>0</v>
      </c>
      <c r="DX80" s="2215">
        <f ca="1">+DU80*(1+DW80/100)</f>
        <v>5.5851000000000006</v>
      </c>
      <c r="DY80" s="3727">
        <v>0</v>
      </c>
      <c r="DZ80" s="2215">
        <f ca="1">+DX80*(1+DY80/100)</f>
        <v>5.5851000000000006</v>
      </c>
      <c r="EA80" s="2216">
        <f ca="1">(DZ80/DU80-1)*100</f>
        <v>0</v>
      </c>
    </row>
    <row r="81" spans="1:131">
      <c r="BO81" s="3431"/>
      <c r="BQ81" s="3743">
        <f ca="1">BQ85-BQ100</f>
        <v>-0.48338648416158492</v>
      </c>
      <c r="BT81" s="3431"/>
      <c r="BV81" s="3743">
        <f ca="1">BV85-BV100</f>
        <v>-1.4280744743268627</v>
      </c>
      <c r="BY81" s="3431"/>
      <c r="CA81" s="3743">
        <f ca="1">CA85-CA100</f>
        <v>2.3718736731087233</v>
      </c>
      <c r="CD81" s="3431"/>
      <c r="CF81" s="3743">
        <f ca="1">CF85-CF100</f>
        <v>0.50217509144596306</v>
      </c>
      <c r="CI81" s="3431"/>
      <c r="CK81" s="3743">
        <f ca="1">CK85-CK100</f>
        <v>1.9955814601973856</v>
      </c>
      <c r="CN81" s="3431"/>
      <c r="CP81" s="3743">
        <f ca="1">CP85-CP100</f>
        <v>1.3026162982024374</v>
      </c>
      <c r="CU81" s="3743">
        <f ca="1">CU85-CU100</f>
        <v>0.94050001627091717</v>
      </c>
      <c r="CZ81" s="3743">
        <f ca="1">CZ85-CZ100</f>
        <v>2.4735469179091751E-2</v>
      </c>
      <c r="DE81" s="3743">
        <f ca="1">DE85-DE100</f>
        <v>-1.3190433607107366</v>
      </c>
      <c r="DJ81" s="3743">
        <f ca="1">DJ85-DJ100</f>
        <v>0.67582035927888739</v>
      </c>
      <c r="DO81" s="3743">
        <f ca="1">DO85-DO100</f>
        <v>-0.3074138723124662</v>
      </c>
      <c r="DT81" s="3743">
        <f>DT85-DT100</f>
        <v>0</v>
      </c>
      <c r="DY81" s="3743">
        <f>DY85-DY100</f>
        <v>0.49999999999999989</v>
      </c>
    </row>
    <row r="82" spans="1:131">
      <c r="BQ82" s="3743">
        <f ca="1">BQ86-BQ101</f>
        <v>0.27959779427619935</v>
      </c>
      <c r="BV82" s="3743">
        <f ca="1">BV86-BV101</f>
        <v>-3.1830584993450373</v>
      </c>
      <c r="BY82" s="1094"/>
      <c r="CA82" s="3743">
        <f ca="1">CA86-CA101</f>
        <v>2.8200533658038154</v>
      </c>
      <c r="CF82" s="3743">
        <f ca="1">CF86-CF101</f>
        <v>-2.3660507130294661</v>
      </c>
      <c r="CK82" s="3743">
        <f ca="1">CK86-CK101</f>
        <v>-2.174002258879824</v>
      </c>
      <c r="CP82" s="3743">
        <f ca="1">CP86-CP101</f>
        <v>-0.58474489122164641</v>
      </c>
      <c r="CS82" s="3734"/>
      <c r="CU82" s="3743">
        <f ca="1">CU86-CU101</f>
        <v>-3.1616524837787097E-2</v>
      </c>
      <c r="CX82" s="3734"/>
      <c r="CZ82" s="3743">
        <f ca="1">CZ86-CZ101</f>
        <v>0.20497467284728543</v>
      </c>
      <c r="DC82" s="3734"/>
      <c r="DE82" s="3743">
        <f ca="1">DE86-DE101</f>
        <v>1.7092656982871119</v>
      </c>
      <c r="DJ82" s="3743">
        <f ca="1">DJ86-DJ101</f>
        <v>0.66201790873493849</v>
      </c>
      <c r="DL82" s="3734"/>
      <c r="DO82" s="3743">
        <f ca="1">DO86-DO101</f>
        <v>-0.5520941733700937</v>
      </c>
      <c r="DQ82" s="3734"/>
      <c r="DT82" s="3743">
        <f>DT86-DT101</f>
        <v>0</v>
      </c>
      <c r="DV82" s="3734"/>
      <c r="DY82" s="3743">
        <f>DY86-DY101</f>
        <v>0.29999999999999993</v>
      </c>
      <c r="EA82" s="3734"/>
    </row>
    <row r="83" spans="1:131">
      <c r="B83" s="1"/>
      <c r="C83" s="822"/>
      <c r="D83" s="4106"/>
      <c r="E83" s="4108" t="s">
        <v>2042</v>
      </c>
      <c r="F83" s="4109"/>
      <c r="G83" s="4098">
        <f>+InputY!$G$3</f>
        <v>1995</v>
      </c>
      <c r="H83" s="4099"/>
      <c r="I83" s="4099"/>
      <c r="J83" s="4099"/>
      <c r="K83" s="4100"/>
      <c r="L83" s="4098">
        <f>+G83+1</f>
        <v>1996</v>
      </c>
      <c r="M83" s="4099"/>
      <c r="N83" s="4099"/>
      <c r="O83" s="4099"/>
      <c r="P83" s="4100"/>
      <c r="Q83" s="4098">
        <f>+L83+1</f>
        <v>1997</v>
      </c>
      <c r="R83" s="4099"/>
      <c r="S83" s="4099"/>
      <c r="T83" s="4099"/>
      <c r="U83" s="4100"/>
      <c r="V83" s="4098">
        <f>+Q83+1</f>
        <v>1998</v>
      </c>
      <c r="W83" s="4099"/>
      <c r="X83" s="4099"/>
      <c r="Y83" s="4099"/>
      <c r="Z83" s="4100"/>
      <c r="AA83" s="4098">
        <f>+V83+1</f>
        <v>1999</v>
      </c>
      <c r="AB83" s="4099"/>
      <c r="AC83" s="4099"/>
      <c r="AD83" s="4099"/>
      <c r="AE83" s="4100"/>
      <c r="AF83" s="4098">
        <f>+AA83+1</f>
        <v>2000</v>
      </c>
      <c r="AG83" s="4099"/>
      <c r="AH83" s="4099"/>
      <c r="AI83" s="4099"/>
      <c r="AJ83" s="4100"/>
      <c r="AK83" s="4098">
        <f>+AF83+1</f>
        <v>2001</v>
      </c>
      <c r="AL83" s="4099"/>
      <c r="AM83" s="4099"/>
      <c r="AN83" s="4099"/>
      <c r="AO83" s="4100"/>
      <c r="AP83" s="4098">
        <f>+AK83+1</f>
        <v>2002</v>
      </c>
      <c r="AQ83" s="4099"/>
      <c r="AR83" s="4099"/>
      <c r="AS83" s="4099"/>
      <c r="AT83" s="4100"/>
      <c r="AU83" s="4098">
        <f>+AP83+1</f>
        <v>2003</v>
      </c>
      <c r="AV83" s="4099"/>
      <c r="AW83" s="4099"/>
      <c r="AX83" s="4099"/>
      <c r="AY83" s="4100"/>
      <c r="AZ83" s="4098">
        <f>+AU83+1</f>
        <v>2004</v>
      </c>
      <c r="BA83" s="4099"/>
      <c r="BB83" s="4099"/>
      <c r="BC83" s="4099"/>
      <c r="BD83" s="4100"/>
      <c r="BE83" s="4098">
        <f>+AZ83+1</f>
        <v>2005</v>
      </c>
      <c r="BF83" s="4099"/>
      <c r="BG83" s="4099"/>
      <c r="BH83" s="4099"/>
      <c r="BI83" s="4100"/>
      <c r="BJ83" s="4098">
        <f>+BE83+1</f>
        <v>2006</v>
      </c>
      <c r="BK83" s="4099"/>
      <c r="BL83" s="4099"/>
      <c r="BM83" s="4099"/>
      <c r="BN83" s="4100"/>
      <c r="BO83" s="4090">
        <f>+BJ83+1</f>
        <v>2007</v>
      </c>
      <c r="BP83" s="4091"/>
      <c r="BQ83" s="4091"/>
      <c r="BR83" s="4091"/>
      <c r="BS83" s="4092"/>
      <c r="BT83" s="4098">
        <f>+BO83+1</f>
        <v>2008</v>
      </c>
      <c r="BU83" s="4099"/>
      <c r="BV83" s="4099"/>
      <c r="BW83" s="4099"/>
      <c r="BX83" s="4100"/>
      <c r="BY83" s="4098">
        <f>+BT83+1</f>
        <v>2009</v>
      </c>
      <c r="BZ83" s="4099"/>
      <c r="CA83" s="4099"/>
      <c r="CB83" s="4099"/>
      <c r="CC83" s="4100"/>
      <c r="CD83" s="4098">
        <f>+BY83+1</f>
        <v>2010</v>
      </c>
      <c r="CE83" s="4099"/>
      <c r="CF83" s="4099"/>
      <c r="CG83" s="4099"/>
      <c r="CH83" s="4100"/>
      <c r="CI83" s="4098">
        <f>+CD83+1</f>
        <v>2011</v>
      </c>
      <c r="CJ83" s="4099"/>
      <c r="CK83" s="4099"/>
      <c r="CL83" s="4099"/>
      <c r="CM83" s="4100"/>
      <c r="CN83" s="4098">
        <f>+CI83+1</f>
        <v>2012</v>
      </c>
      <c r="CO83" s="4099"/>
      <c r="CP83" s="4099"/>
      <c r="CQ83" s="4099"/>
      <c r="CR83" s="4100"/>
      <c r="CS83" s="4090">
        <f>+CN83+1</f>
        <v>2013</v>
      </c>
      <c r="CT83" s="4091"/>
      <c r="CU83" s="4091"/>
      <c r="CV83" s="4091"/>
      <c r="CW83" s="4092"/>
      <c r="CX83" s="4090">
        <f>+CS83+1</f>
        <v>2014</v>
      </c>
      <c r="CY83" s="4091"/>
      <c r="CZ83" s="4091"/>
      <c r="DA83" s="4091"/>
      <c r="DB83" s="4092"/>
      <c r="DC83" s="4090">
        <f>+CX83+1</f>
        <v>2015</v>
      </c>
      <c r="DD83" s="4091"/>
      <c r="DE83" s="4091"/>
      <c r="DF83" s="4091"/>
      <c r="DG83" s="4092"/>
      <c r="DH83" s="4090">
        <f>+DC83+1</f>
        <v>2016</v>
      </c>
      <c r="DI83" s="4091"/>
      <c r="DJ83" s="4091"/>
      <c r="DK83" s="4091"/>
      <c r="DL83" s="4092"/>
      <c r="DM83" s="4090">
        <f>+DH83+1</f>
        <v>2017</v>
      </c>
      <c r="DN83" s="4091"/>
      <c r="DO83" s="4091"/>
      <c r="DP83" s="4091"/>
      <c r="DQ83" s="4092"/>
      <c r="DR83" s="4090">
        <f>+DM83+1</f>
        <v>2018</v>
      </c>
      <c r="DS83" s="4091"/>
      <c r="DT83" s="4091"/>
      <c r="DU83" s="4091"/>
      <c r="DV83" s="4092"/>
      <c r="DW83" s="4090">
        <f>+DR83+1</f>
        <v>2019</v>
      </c>
      <c r="DX83" s="4091"/>
      <c r="DY83" s="4091"/>
      <c r="DZ83" s="4091"/>
      <c r="EA83" s="4092"/>
    </row>
    <row r="84" spans="1:131" ht="12.75" customHeight="1">
      <c r="B84" s="1"/>
      <c r="C84" s="822"/>
      <c r="D84" s="4106"/>
      <c r="E84" s="4108"/>
      <c r="F84" s="4109"/>
      <c r="G84" s="1195" t="s">
        <v>506</v>
      </c>
      <c r="H84" s="1196" t="s">
        <v>499</v>
      </c>
      <c r="I84" s="1195" t="s">
        <v>1186</v>
      </c>
      <c r="J84" s="1196" t="s">
        <v>1304</v>
      </c>
      <c r="K84" s="1195" t="s">
        <v>1187</v>
      </c>
      <c r="L84" s="1195" t="s">
        <v>506</v>
      </c>
      <c r="M84" s="1196" t="s">
        <v>499</v>
      </c>
      <c r="N84" s="1195" t="s">
        <v>1186</v>
      </c>
      <c r="O84" s="1196" t="s">
        <v>1304</v>
      </c>
      <c r="P84" s="1195" t="s">
        <v>1187</v>
      </c>
      <c r="Q84" s="1195" t="s">
        <v>506</v>
      </c>
      <c r="R84" s="1196" t="s">
        <v>499</v>
      </c>
      <c r="S84" s="1195" t="s">
        <v>1186</v>
      </c>
      <c r="T84" s="1196" t="s">
        <v>1304</v>
      </c>
      <c r="U84" s="1195" t="s">
        <v>1187</v>
      </c>
      <c r="V84" s="1195" t="s">
        <v>506</v>
      </c>
      <c r="W84" s="1196" t="s">
        <v>499</v>
      </c>
      <c r="X84" s="1195" t="s">
        <v>1186</v>
      </c>
      <c r="Y84" s="1196" t="s">
        <v>1304</v>
      </c>
      <c r="Z84" s="1195" t="s">
        <v>1187</v>
      </c>
      <c r="AA84" s="1195" t="s">
        <v>506</v>
      </c>
      <c r="AB84" s="1196" t="s">
        <v>499</v>
      </c>
      <c r="AC84" s="1195" t="s">
        <v>1186</v>
      </c>
      <c r="AD84" s="1196" t="s">
        <v>1304</v>
      </c>
      <c r="AE84" s="1195" t="s">
        <v>1187</v>
      </c>
      <c r="AF84" s="1195" t="s">
        <v>506</v>
      </c>
      <c r="AG84" s="1196" t="s">
        <v>499</v>
      </c>
      <c r="AH84" s="1195" t="s">
        <v>1186</v>
      </c>
      <c r="AI84" s="1196" t="s">
        <v>1304</v>
      </c>
      <c r="AJ84" s="1195" t="s">
        <v>1187</v>
      </c>
      <c r="AK84" s="1195" t="s">
        <v>506</v>
      </c>
      <c r="AL84" s="1196" t="s">
        <v>499</v>
      </c>
      <c r="AM84" s="1195" t="s">
        <v>1186</v>
      </c>
      <c r="AN84" s="1196" t="s">
        <v>1304</v>
      </c>
      <c r="AO84" s="1195" t="s">
        <v>1187</v>
      </c>
      <c r="AP84" s="1195" t="s">
        <v>506</v>
      </c>
      <c r="AQ84" s="1196" t="s">
        <v>499</v>
      </c>
      <c r="AR84" s="1195" t="s">
        <v>1186</v>
      </c>
      <c r="AS84" s="1196" t="s">
        <v>1304</v>
      </c>
      <c r="AT84" s="1195" t="s">
        <v>1187</v>
      </c>
      <c r="AU84" s="1195" t="s">
        <v>506</v>
      </c>
      <c r="AV84" s="1196" t="s">
        <v>499</v>
      </c>
      <c r="AW84" s="1195" t="s">
        <v>1186</v>
      </c>
      <c r="AX84" s="1196" t="s">
        <v>1304</v>
      </c>
      <c r="AY84" s="1195" t="s">
        <v>1187</v>
      </c>
      <c r="AZ84" s="1195" t="s">
        <v>506</v>
      </c>
      <c r="BA84" s="1196" t="s">
        <v>499</v>
      </c>
      <c r="BB84" s="1195" t="s">
        <v>1186</v>
      </c>
      <c r="BC84" s="1196" t="s">
        <v>1304</v>
      </c>
      <c r="BD84" s="1195" t="s">
        <v>1187</v>
      </c>
      <c r="BE84" s="1195" t="s">
        <v>506</v>
      </c>
      <c r="BF84" s="1196" t="s">
        <v>499</v>
      </c>
      <c r="BG84" s="1195" t="s">
        <v>1186</v>
      </c>
      <c r="BH84" s="1196" t="s">
        <v>1304</v>
      </c>
      <c r="BI84" s="1195" t="s">
        <v>1187</v>
      </c>
      <c r="BJ84" s="1195" t="s">
        <v>506</v>
      </c>
      <c r="BK84" s="1196" t="s">
        <v>499</v>
      </c>
      <c r="BL84" s="1195" t="s">
        <v>1186</v>
      </c>
      <c r="BM84" s="1196" t="s">
        <v>1304</v>
      </c>
      <c r="BN84" s="1195" t="s">
        <v>1187</v>
      </c>
      <c r="BO84" s="1195" t="s">
        <v>506</v>
      </c>
      <c r="BP84" s="1196" t="s">
        <v>499</v>
      </c>
      <c r="BQ84" s="1195" t="s">
        <v>1186</v>
      </c>
      <c r="BR84" s="1196" t="s">
        <v>1304</v>
      </c>
      <c r="BS84" s="1195" t="s">
        <v>1187</v>
      </c>
      <c r="BT84" s="1195" t="s">
        <v>506</v>
      </c>
      <c r="BU84" s="1196" t="s">
        <v>499</v>
      </c>
      <c r="BV84" s="1195" t="s">
        <v>1186</v>
      </c>
      <c r="BW84" s="1196" t="s">
        <v>1304</v>
      </c>
      <c r="BX84" s="1195" t="s">
        <v>1187</v>
      </c>
      <c r="BY84" s="1195" t="s">
        <v>506</v>
      </c>
      <c r="BZ84" s="1196" t="s">
        <v>499</v>
      </c>
      <c r="CA84" s="1195" t="s">
        <v>1186</v>
      </c>
      <c r="CB84" s="1196" t="s">
        <v>1304</v>
      </c>
      <c r="CC84" s="1195" t="s">
        <v>1187</v>
      </c>
      <c r="CD84" s="1195" t="s">
        <v>506</v>
      </c>
      <c r="CE84" s="1196" t="s">
        <v>499</v>
      </c>
      <c r="CF84" s="1195" t="s">
        <v>1186</v>
      </c>
      <c r="CG84" s="1196" t="s">
        <v>1304</v>
      </c>
      <c r="CH84" s="1195" t="s">
        <v>1187</v>
      </c>
      <c r="CI84" s="1195" t="s">
        <v>506</v>
      </c>
      <c r="CJ84" s="1196" t="s">
        <v>499</v>
      </c>
      <c r="CK84" s="1195" t="s">
        <v>1186</v>
      </c>
      <c r="CL84" s="1196" t="s">
        <v>1304</v>
      </c>
      <c r="CM84" s="1195" t="s">
        <v>1187</v>
      </c>
      <c r="CN84" s="1195" t="s">
        <v>506</v>
      </c>
      <c r="CO84" s="1196" t="s">
        <v>499</v>
      </c>
      <c r="CP84" s="1195" t="s">
        <v>1186</v>
      </c>
      <c r="CQ84" s="1196" t="s">
        <v>1304</v>
      </c>
      <c r="CR84" s="1195" t="s">
        <v>1187</v>
      </c>
      <c r="CS84" s="1195" t="s">
        <v>506</v>
      </c>
      <c r="CT84" s="1196" t="s">
        <v>499</v>
      </c>
      <c r="CU84" s="1195" t="s">
        <v>1186</v>
      </c>
      <c r="CV84" s="1196" t="s">
        <v>1304</v>
      </c>
      <c r="CW84" s="1195" t="s">
        <v>1187</v>
      </c>
      <c r="CX84" s="1195" t="s">
        <v>506</v>
      </c>
      <c r="CY84" s="1196" t="s">
        <v>499</v>
      </c>
      <c r="CZ84" s="1195" t="s">
        <v>1186</v>
      </c>
      <c r="DA84" s="1196" t="s">
        <v>1304</v>
      </c>
      <c r="DB84" s="1195" t="s">
        <v>1187</v>
      </c>
      <c r="DC84" s="1195" t="s">
        <v>506</v>
      </c>
      <c r="DD84" s="1196" t="s">
        <v>499</v>
      </c>
      <c r="DE84" s="1195" t="s">
        <v>1186</v>
      </c>
      <c r="DF84" s="1196" t="s">
        <v>1304</v>
      </c>
      <c r="DG84" s="1195" t="s">
        <v>1187</v>
      </c>
      <c r="DH84" s="1195" t="s">
        <v>506</v>
      </c>
      <c r="DI84" s="1196" t="s">
        <v>499</v>
      </c>
      <c r="DJ84" s="1195" t="s">
        <v>1186</v>
      </c>
      <c r="DK84" s="1196" t="s">
        <v>1304</v>
      </c>
      <c r="DL84" s="1195" t="s">
        <v>1187</v>
      </c>
      <c r="DM84" s="1195" t="s">
        <v>506</v>
      </c>
      <c r="DN84" s="1196" t="s">
        <v>499</v>
      </c>
      <c r="DO84" s="1195" t="s">
        <v>1186</v>
      </c>
      <c r="DP84" s="1196" t="s">
        <v>1304</v>
      </c>
      <c r="DQ84" s="1195" t="s">
        <v>1187</v>
      </c>
      <c r="DR84" s="1195" t="s">
        <v>506</v>
      </c>
      <c r="DS84" s="1196" t="s">
        <v>499</v>
      </c>
      <c r="DT84" s="1195" t="s">
        <v>1186</v>
      </c>
      <c r="DU84" s="1196" t="s">
        <v>1304</v>
      </c>
      <c r="DV84" s="1195" t="s">
        <v>1187</v>
      </c>
      <c r="DW84" s="1195" t="s">
        <v>506</v>
      </c>
      <c r="DX84" s="1196" t="s">
        <v>499</v>
      </c>
      <c r="DY84" s="1195" t="s">
        <v>1186</v>
      </c>
      <c r="DZ84" s="1196" t="s">
        <v>1304</v>
      </c>
      <c r="EA84" s="1195" t="s">
        <v>1187</v>
      </c>
    </row>
    <row r="85" spans="1:131" ht="14.25" customHeight="1">
      <c r="A85" s="1377" t="s">
        <v>399</v>
      </c>
      <c r="B85" s="1"/>
      <c r="C85" s="1241" t="s">
        <v>624</v>
      </c>
      <c r="D85" s="1242"/>
      <c r="E85" s="1242" t="s">
        <v>691</v>
      </c>
      <c r="F85" s="1243" t="s">
        <v>1122</v>
      </c>
      <c r="G85" s="1180"/>
      <c r="H85" s="1181"/>
      <c r="I85" s="1182"/>
      <c r="J85" s="1171">
        <f ca="1">OFFSET('VVP2'!$G$291,0,(COLUMN()-6)/5)</f>
        <v>25.4572</v>
      </c>
      <c r="K85" s="1183"/>
      <c r="L85" s="1244">
        <f ca="1">OFFSET('VVP2'!$G$94,0,(COLUMN()-7)/5)</f>
        <v>3.1485993483801655</v>
      </c>
      <c r="M85" s="1171">
        <f ca="1">+J85*(1+L85/100)</f>
        <v>26.258745233315835</v>
      </c>
      <c r="N85" s="1244">
        <f ca="1">+O85/M85*100-100</f>
        <v>1.0798488814477167</v>
      </c>
      <c r="O85" s="1171">
        <f ca="1">OFFSET('VVP2'!$G$291,0,(COLUMN()-6)/5)</f>
        <v>26.542300000000001</v>
      </c>
      <c r="P85" s="1164">
        <f ca="1">(O85/J85-1)*100</f>
        <v>4.2624483446726202</v>
      </c>
      <c r="Q85" s="1244">
        <f ca="1">OFFSET('VVP2'!$G$94,0,(COLUMN()-7)/5)</f>
        <v>8.5379428630043321</v>
      </c>
      <c r="R85" s="1171">
        <f ca="1">+O85*(1+Q85/100)</f>
        <v>28.808466408527199</v>
      </c>
      <c r="S85" s="1244">
        <f ca="1">+T85/R85*100-100</f>
        <v>1.1223561396419797</v>
      </c>
      <c r="T85" s="1171">
        <f ca="1">OFFSET('VVP2'!$G$291,0,(COLUMN()-6)/5)</f>
        <v>29.131799999999998</v>
      </c>
      <c r="U85" s="1164">
        <f ca="1">(T85/O85-1)*100</f>
        <v>9.7561251285683603</v>
      </c>
      <c r="V85" s="1244">
        <f ca="1">OFFSET('VVP2'!$G$94,0,(COLUMN()-7)/5)</f>
        <v>6.9453808598854527</v>
      </c>
      <c r="W85" s="1171">
        <f ca="1">+T85*(1+V85/100)</f>
        <v>31.155114461340109</v>
      </c>
      <c r="X85" s="1244">
        <f ca="1">+Y85/W85*100-100</f>
        <v>-1.5015655356381785</v>
      </c>
      <c r="Y85" s="1171">
        <f ca="1">OFFSET('VVP2'!$G$291,0,(COLUMN()-6)/5)</f>
        <v>30.6873</v>
      </c>
      <c r="Z85" s="1164">
        <f ca="1">(Y85/T85-1)*100</f>
        <v>5.3395258789364242</v>
      </c>
      <c r="AA85" s="1244">
        <f ca="1">OFFSET('VVP2'!$G$94,0,(COLUMN()-7)/5)</f>
        <v>7.8770324618759435</v>
      </c>
      <c r="AB85" s="1171">
        <f ca="1">+Y85*(1+AA85/100)</f>
        <v>33.10454858267326</v>
      </c>
      <c r="AC85" s="1244">
        <f ca="1">+AD85/AB85*100-100</f>
        <v>-0.13638181037420338</v>
      </c>
      <c r="AD85" s="1171">
        <f ca="1">OFFSET('VVP2'!$G$291,0,(COLUMN()-6)/5)</f>
        <v>33.059400000000004</v>
      </c>
      <c r="AE85" s="1164">
        <f ca="1">(AD85/Y85-1)*100</f>
        <v>7.729907812026493</v>
      </c>
      <c r="AF85" s="1244">
        <f ca="1">OFFSET('VVP2'!$G$94,0,(COLUMN()-7)/5)</f>
        <v>11.613378132739749</v>
      </c>
      <c r="AG85" s="1171">
        <f ca="1">+AD85*(1+AF85/100)</f>
        <v>36.898713130414968</v>
      </c>
      <c r="AH85" s="1244">
        <f ca="1">+AI85/AG85*100-100</f>
        <v>8.2799279714356686</v>
      </c>
      <c r="AI85" s="1171">
        <f ca="1">OFFSET('VVP2'!$G$291,0,(COLUMN()-6)/5)</f>
        <v>39.953900000000004</v>
      </c>
      <c r="AJ85" s="1164">
        <f ca="1">(AI85/AD85-1)*100</f>
        <v>20.854885448616734</v>
      </c>
      <c r="AK85" s="1244">
        <f ca="1">OFFSET('VVP2'!$G$94,0,(COLUMN()-7)/5)</f>
        <v>5.4468222069832262</v>
      </c>
      <c r="AL85" s="1171">
        <f ca="1">+AI85*(1+AK85/100)</f>
        <v>42.130117897755873</v>
      </c>
      <c r="AM85" s="1244">
        <f ca="1">+AN85/AL85*100-100</f>
        <v>1.8632326264767869</v>
      </c>
      <c r="AN85" s="1171">
        <f ca="1">OFFSET('VVP2'!$G$291,0,(COLUMN()-6)/5)</f>
        <v>42.915099999999995</v>
      </c>
      <c r="AO85" s="1164">
        <f ca="1">(AN85/AI85-1)*100</f>
        <v>7.411541801926691</v>
      </c>
      <c r="AP85" s="1244">
        <f ca="1">OFFSET('VVP2'!$G$94,0,(COLUMN()-7)/5)</f>
        <v>-2.3952070196258557</v>
      </c>
      <c r="AQ85" s="1171">
        <f ca="1">+AN85*(1+AP85/100)</f>
        <v>41.887194512320541</v>
      </c>
      <c r="AR85" s="1244">
        <f ca="1">+AS85/AQ85*100-100</f>
        <v>0.48249946083167572</v>
      </c>
      <c r="AS85" s="1171">
        <f ca="1">OFFSET('VVP2'!$G$291,0,(COLUMN()-6)/5)</f>
        <v>42.089300000000001</v>
      </c>
      <c r="AT85" s="1164">
        <f ca="1">(AS85/AN85-1)*100</f>
        <v>-1.9242644197496772</v>
      </c>
      <c r="AU85" s="1244">
        <f ca="1">OFFSET('VVP2'!$G$94,0,(COLUMN()-7)/5)</f>
        <v>-2.0553454318884556</v>
      </c>
      <c r="AV85" s="1171">
        <f ca="1">+AS85*(1+AU85/100)</f>
        <v>41.224219495136175</v>
      </c>
      <c r="AW85" s="1244">
        <f ca="1">+AX85/AV85*100-100</f>
        <v>1.2841492485413397</v>
      </c>
      <c r="AX85" s="1171">
        <f ca="1">OFFSET('VVP2'!$G$291,0,(COLUMN()-6)/5)</f>
        <v>41.753599999999999</v>
      </c>
      <c r="AY85" s="1164">
        <f ca="1">(AX85/AS85-1)*100</f>
        <v>-0.7975898862656372</v>
      </c>
      <c r="AZ85" s="1244">
        <f ca="1">OFFSET('VVP2'!$G$94,0,(COLUMN()-7)/5)</f>
        <v>1.6863668080157934</v>
      </c>
      <c r="BA85" s="1171">
        <f ca="1">+AX85*(1+AZ85/100)</f>
        <v>42.457718851551682</v>
      </c>
      <c r="BB85" s="1244">
        <f ca="1">+BC85/BA85*100-100</f>
        <v>4.7074623943798457</v>
      </c>
      <c r="BC85" s="1171">
        <f ca="1">OFFSET('VVP2'!$G$291,0,(COLUMN()-6)/5)</f>
        <v>44.456400000000002</v>
      </c>
      <c r="BD85" s="1164">
        <f ca="1">(BC85/AX85-1)*100</f>
        <v>6.4732142857143016</v>
      </c>
      <c r="BE85" s="1244">
        <f ca="1">OFFSET('VVP2'!$G$94,0,(COLUMN()-7)/5)</f>
        <v>5.8775894689263808</v>
      </c>
      <c r="BF85" s="1171">
        <f ca="1">+BC85*(1+BE85/100)</f>
        <v>47.069364684663789</v>
      </c>
      <c r="BG85" s="1244">
        <f ca="1">+BH85/BF85*100-100</f>
        <v>0.21847610654009486</v>
      </c>
      <c r="BH85" s="1171">
        <f ca="1">OFFSET('VVP2'!$G$291,0,(COLUMN()-6)/5)</f>
        <v>47.172199999999997</v>
      </c>
      <c r="BI85" s="1164">
        <f ca="1">(BH85/BC85-1)*100</f>
        <v>6.1089067040965839</v>
      </c>
      <c r="BJ85" s="1244">
        <f ca="1">OFFSET('VVP2'!$G$94,0,(COLUMN()-7)/5)</f>
        <v>2.8301022508175677</v>
      </c>
      <c r="BK85" s="1171">
        <f ca="1">+BH85*(1+BJ85/100)</f>
        <v>48.507221493960159</v>
      </c>
      <c r="BL85" s="1244">
        <f ca="1">+BM85/BK85*100-100</f>
        <v>0.74809171678700181</v>
      </c>
      <c r="BM85" s="1171">
        <f ca="1">OFFSET('VVP2'!$G$291,0,(COLUMN()-6)/5)</f>
        <v>48.870100000000001</v>
      </c>
      <c r="BN85" s="1164">
        <f ca="1">(BM85/BH85-1)*100</f>
        <v>3.5993657281195413</v>
      </c>
      <c r="BO85" s="1244">
        <f ca="1">OFFSET('VVP2'!$G$94,0,(COLUMN()-7)/5)</f>
        <v>9.7639557313896841</v>
      </c>
      <c r="BP85" s="1171">
        <f ca="1">+BM85*(1+BO85/100)</f>
        <v>53.64175492988587</v>
      </c>
      <c r="BQ85" s="1244">
        <f ca="1">+BR85/BP85*100-100</f>
        <v>3.717151075165944</v>
      </c>
      <c r="BR85" s="1171">
        <f ca="1">OFFSET('VVP2'!$G$291,0,(COLUMN()-6)/5)</f>
        <v>55.6357</v>
      </c>
      <c r="BS85" s="1164">
        <f ca="1">(BR85/BM85-1)*100</f>
        <v>13.8440477920037</v>
      </c>
      <c r="BT85" s="1244">
        <f ca="1">OFFSET('VVP2'!$G$94,0,(COLUMN()-7)/5)</f>
        <v>12.739975639692357</v>
      </c>
      <c r="BU85" s="1171">
        <f ca="1">+BR85*(1+BT85/100)</f>
        <v>62.723674626972318</v>
      </c>
      <c r="BV85" s="1244">
        <f ca="1">+BW85/BU85*100-100</f>
        <v>4.9205111010835338</v>
      </c>
      <c r="BW85" s="1171">
        <f ca="1">OFFSET('VVP2'!$G$291,0,(COLUMN()-6)/5)</f>
        <v>65.81</v>
      </c>
      <c r="BX85" s="1164">
        <f ca="1">(BW85/BR85-1)*100</f>
        <v>18.287358656402276</v>
      </c>
      <c r="BY85" s="1244">
        <f ca="1">OFFSET('VVP2'!$G$94,0,(COLUMN()-7)/5)</f>
        <v>2.0085518615254649</v>
      </c>
      <c r="BZ85" s="1171">
        <f ca="1">+BW85*(1+BY85/100)</f>
        <v>67.131827980069914</v>
      </c>
      <c r="CA85" s="1244">
        <f ca="1">+CB85/BZ85*100-100</f>
        <v>-1.5712785005393783</v>
      </c>
      <c r="CB85" s="1171">
        <f ca="1">OFFSET('VVP2'!$G$291,0,(COLUMN()-6)/5)</f>
        <v>66.076999999999998</v>
      </c>
      <c r="CC85" s="1164">
        <f ca="1">(CB85/BW85-1)*100</f>
        <v>0.40571341741375555</v>
      </c>
      <c r="CD85" s="1244">
        <f ca="1">OFFSET('VVP2'!$G$94,0,(COLUMN()-7)/5)</f>
        <v>8.5069934567857395</v>
      </c>
      <c r="CE85" s="1171">
        <f ca="1">+CB85*(1+CD85/100)</f>
        <v>71.698166066440308</v>
      </c>
      <c r="CF85" s="1244">
        <f ca="1">+CG85/CE85*100-100</f>
        <v>3.9976391179986877</v>
      </c>
      <c r="CG85" s="1171">
        <f ca="1">OFFSET('VVP2'!$G$291,0,(COLUMN()-6)/5)</f>
        <v>74.564399999999992</v>
      </c>
      <c r="CH85" s="1164">
        <f ca="1">(CG85/CB85-1)*100</f>
        <v>12.844711472978476</v>
      </c>
      <c r="CI85" s="1244">
        <f ca="1">OFFSET('VVP2'!$G$94,0,(COLUMN()-7)/5)</f>
        <v>-2.104221317410504E-2</v>
      </c>
      <c r="CJ85" s="1171">
        <f ca="1">+CG85*(1+CI85/100)</f>
        <v>74.54871</v>
      </c>
      <c r="CK85" s="1244">
        <f ca="1">+CL85/CJ85*100-100</f>
        <v>1.9587059252936854</v>
      </c>
      <c r="CL85" s="1171">
        <f ca="1">OFFSET('VVP2'!$G$291,0,(COLUMN()-6)/5)</f>
        <v>76.008899999999997</v>
      </c>
      <c r="CM85" s="1164">
        <f ca="1">(CL85/CG85-1)*100</f>
        <v>1.937251557043318</v>
      </c>
      <c r="CN85" s="1244">
        <f ca="1">OFFSET('VVP2'!$G$94,0,(COLUMN()-7)/5)</f>
        <v>8.0470071178964542</v>
      </c>
      <c r="CO85" s="1171">
        <f ca="1">+CL85*(1+CN85/100)</f>
        <v>82.125341593234793</v>
      </c>
      <c r="CP85" s="1244">
        <f ca="1">+CQ85/CO85*100-100</f>
        <v>2.2916902021388239</v>
      </c>
      <c r="CQ85" s="1171">
        <f ca="1">OFFSET('VVP2'!$G$291,0,(COLUMN()-6)/5)</f>
        <v>84.00739999999999</v>
      </c>
      <c r="CR85" s="1164">
        <f ca="1">(CQ85/CL85-1)*100</f>
        <v>10.523109793721508</v>
      </c>
      <c r="CS85" s="1244">
        <f ca="1">OFFSET('VVP2'!$G$94,0,(COLUMN()-7)/5)</f>
        <v>1.6303641384944223</v>
      </c>
      <c r="CT85" s="1171">
        <f ca="1">+CQ85*(1+CS85/100)</f>
        <v>85.377026523281558</v>
      </c>
      <c r="CU85" s="1244">
        <f ca="1">+CV85/CT85*100-100</f>
        <v>0.72053748153280139</v>
      </c>
      <c r="CV85" s="1171">
        <f ca="1">OFFSET('VVP2'!$G$291,0,(COLUMN()-6)/5)</f>
        <v>85.992199999999997</v>
      </c>
      <c r="CW85" s="1164">
        <f ca="1">(CV85/CQ85-1)*100</f>
        <v>2.3626490047305548</v>
      </c>
      <c r="CX85" s="1244">
        <f ca="1">OFFSET('VVP2'!$G$94,0,(COLUMN()-7)/5)</f>
        <v>9.6382190905129672</v>
      </c>
      <c r="CY85" s="1171">
        <f ca="1">+CV85*(1+CX85/100)</f>
        <v>94.28031663675209</v>
      </c>
      <c r="CZ85" s="1244">
        <f ca="1">+DA85/CY85*100-100</f>
        <v>0.12365610066528632</v>
      </c>
      <c r="DA85" s="1171">
        <f ca="1">OFFSET('VVP2'!$G$291,0,(COLUMN()-6)/5)</f>
        <v>94.396899999999988</v>
      </c>
      <c r="DB85" s="1164">
        <f ca="1">(DA85/CV85-1)*100</f>
        <v>9.7737934370791599</v>
      </c>
      <c r="DC85" s="1244">
        <f ca="1">OFFSET('VVP2'!$G$94,0,(COLUMN()-7)/5)</f>
        <v>8.9401320099653745</v>
      </c>
      <c r="DD85" s="1171">
        <f ca="1">+DA85*(1+DC85/100)</f>
        <v>102.836107473315</v>
      </c>
      <c r="DE85" s="1244">
        <f ca="1">+DF85/DD85*100-100</f>
        <v>-1.2311896126985857</v>
      </c>
      <c r="DF85" s="1171">
        <f ca="1">OFFSET('VVP2'!$G$291,0,(COLUMN()-6)/5)</f>
        <v>101.57</v>
      </c>
      <c r="DG85" s="1164">
        <f ca="1">(DF85/DA85-1)*100</f>
        <v>7.5988724205985569</v>
      </c>
      <c r="DH85" s="1244">
        <f ca="1">OFFSET('VVP2'!$G$94,0,(COLUMN()-7)/5)</f>
        <v>0.20970672967957071</v>
      </c>
      <c r="DI85" s="1171">
        <f ca="1">+DF85*(1+DH85/100)</f>
        <v>101.78299912533554</v>
      </c>
      <c r="DJ85" s="1244">
        <f ca="1">+DK85/DI85*100-100</f>
        <v>0.60059231887214537</v>
      </c>
      <c r="DK85" s="1171">
        <f ca="1">OFFSET('VVP2'!$G$291,0,(COLUMN()-6)/5)</f>
        <v>102.3943</v>
      </c>
      <c r="DL85" s="1164">
        <f ca="1">(DK85/DF85-1)*100</f>
        <v>0.81155853106233966</v>
      </c>
      <c r="DM85" s="1244">
        <f ca="1">OFFSET('VVP2'!$G$94,0,(COLUMN()-7)/5)</f>
        <v>-0.88600003592580467</v>
      </c>
      <c r="DN85" s="1171">
        <f ca="1">+DK85*(1+DM85/100)</f>
        <v>101.48708646521402</v>
      </c>
      <c r="DO85" s="1244">
        <f ca="1">+DP85/DN85*100-100</f>
        <v>1.4707423247366478</v>
      </c>
      <c r="DP85" s="1171">
        <f ca="1">OFFSET('VVP2'!$G$291,0,(COLUMN()-6)/5)</f>
        <v>102.97969999999999</v>
      </c>
      <c r="DQ85" s="1164">
        <f ca="1">(DP85/DK85-1)*100</f>
        <v>0.57171151128529996</v>
      </c>
      <c r="DR85" s="3330">
        <v>4.4000000000000004</v>
      </c>
      <c r="DS85" s="1171">
        <f ca="1">+DP85*(1+DR85/100)</f>
        <v>107.5108068</v>
      </c>
      <c r="DT85" s="3749">
        <v>1</v>
      </c>
      <c r="DU85" s="2208">
        <f ca="1">+DS85*(1+DT85/100)</f>
        <v>108.585914868</v>
      </c>
      <c r="DV85" s="2214">
        <f ca="1">(DU85/DP85-1)*100</f>
        <v>5.4440000000000044</v>
      </c>
      <c r="DW85" s="3330">
        <v>4.2</v>
      </c>
      <c r="DX85" s="1171">
        <f ca="1">+DU85*(1+DW85/100)</f>
        <v>113.14652329245601</v>
      </c>
      <c r="DY85" s="3749">
        <v>1.4</v>
      </c>
      <c r="DZ85" s="2208">
        <f ca="1">+DX85*(1+DY85/100)</f>
        <v>114.73057461855039</v>
      </c>
      <c r="EA85" s="2214">
        <f ca="1">(DZ85/DU85-1)*100</f>
        <v>5.6588000000000083</v>
      </c>
    </row>
    <row r="86" spans="1:131" ht="12.75" customHeight="1">
      <c r="A86" s="1377" t="s">
        <v>399</v>
      </c>
      <c r="B86" s="1"/>
      <c r="C86" s="1114" t="s">
        <v>622</v>
      </c>
      <c r="D86" s="1110"/>
      <c r="E86" s="1111" t="s">
        <v>692</v>
      </c>
      <c r="F86" s="1110" t="s">
        <v>1120</v>
      </c>
      <c r="G86" s="1324"/>
      <c r="H86" s="1325"/>
      <c r="I86" s="1326"/>
      <c r="J86" s="1292">
        <f ca="1">OFFSET('VVP2'!$G$292,0,(COLUMN()-6)/5)</f>
        <v>100.4145</v>
      </c>
      <c r="K86" s="1323"/>
      <c r="L86" s="1300">
        <f ca="1">OFFSET('VVP2'!$G$95,0,(COLUMN()-7)/5)</f>
        <v>5.5086746010421184</v>
      </c>
      <c r="M86" s="1292">
        <f ca="1">+J86*(1+L86/100)</f>
        <v>105.94600805726344</v>
      </c>
      <c r="N86" s="1301">
        <f ca="1">+O86/M86*100-100</f>
        <v>-1.8563304963792717</v>
      </c>
      <c r="O86" s="1292">
        <f ca="1">OFFSET('VVP2'!$G$292,0,(COLUMN()-6)/5)</f>
        <v>103.97930000000001</v>
      </c>
      <c r="P86" s="1299">
        <f ca="1">(O86/J86-1)*100</f>
        <v>3.5500848980973831</v>
      </c>
      <c r="Q86" s="1300">
        <f ca="1">OFFSET('VVP2'!$G$95,0,(COLUMN()-7)/5)</f>
        <v>9.6455233709097588</v>
      </c>
      <c r="R86" s="1292">
        <f ca="1">+O86*(1+Q86/100)</f>
        <v>114.00864768240838</v>
      </c>
      <c r="S86" s="1301">
        <f ca="1">+T86/R86*100-100</f>
        <v>1.0931208666410015</v>
      </c>
      <c r="T86" s="1292">
        <f ca="1">OFFSET('VVP2'!$G$292,0,(COLUMN()-6)/5)</f>
        <v>115.25489999999999</v>
      </c>
      <c r="U86" s="1299">
        <f ca="1">(T86/O86-1)*100</f>
        <v>10.844081466214895</v>
      </c>
      <c r="V86" s="1300">
        <f ca="1">OFFSET('VVP2'!$G$95,0,(COLUMN()-7)/5)</f>
        <v>3.6035129306009939</v>
      </c>
      <c r="W86" s="1292">
        <f ca="1">+T86*(1+V86/100)</f>
        <v>119.40812522465124</v>
      </c>
      <c r="X86" s="1301">
        <f ca="1">+Y86/W86*100-100</f>
        <v>-1.2021168760087875</v>
      </c>
      <c r="Y86" s="1292">
        <f ca="1">OFFSET('VVP2'!$G$292,0,(COLUMN()-6)/5)</f>
        <v>117.9727</v>
      </c>
      <c r="Z86" s="1299">
        <f ca="1">(Y86/T86-1)*100</f>
        <v>2.3580776175242901</v>
      </c>
      <c r="AA86" s="1300">
        <f ca="1">OFFSET('VVP2'!$G$95,0,(COLUMN()-7)/5)</f>
        <v>4.2510833173559526</v>
      </c>
      <c r="AB86" s="1292">
        <f ca="1">+Y86*(1+AA86/100)</f>
        <v>122.98781776873439</v>
      </c>
      <c r="AC86" s="1301">
        <f ca="1">+AD86/AB86*100-100</f>
        <v>8.1977479139823117E-3</v>
      </c>
      <c r="AD86" s="1292">
        <f ca="1">OFFSET('VVP2'!$G$292,0,(COLUMN()-6)/5)</f>
        <v>122.99789999999999</v>
      </c>
      <c r="AE86" s="1299">
        <f ca="1">(AD86/Y86-1)*100</f>
        <v>4.2596295583639199</v>
      </c>
      <c r="AF86" s="1300">
        <f ca="1">OFFSET('VVP2'!$G$95,0,(COLUMN()-7)/5)</f>
        <v>12.621624495309526</v>
      </c>
      <c r="AG86" s="1292">
        <f ca="1">+AD86*(1+AF86/100)</f>
        <v>138.5222330751163</v>
      </c>
      <c r="AH86" s="1301">
        <f ca="1">+AI86/AG86*100-100</f>
        <v>5.1081813856167315</v>
      </c>
      <c r="AI86" s="1292">
        <f ca="1">OFFSET('VVP2'!$G$292,0,(COLUMN()-6)/5)</f>
        <v>145.59820000000002</v>
      </c>
      <c r="AJ86" s="1299">
        <f ca="1">(AI86/AD86-1)*100</f>
        <v>18.374541353958108</v>
      </c>
      <c r="AK86" s="1300">
        <f ca="1">OFFSET('VVP2'!$G$95,0,(COLUMN()-7)/5)</f>
        <v>-1.0645342369436039</v>
      </c>
      <c r="AL86" s="1292">
        <f ca="1">+AI86*(1+AK86/100)</f>
        <v>144.04825731262639</v>
      </c>
      <c r="AM86" s="1301">
        <f ca="1">+AN86/AL86*100-100</f>
        <v>1.2499579800301746</v>
      </c>
      <c r="AN86" s="1292">
        <f ca="1">OFFSET('VVP2'!$G$292,0,(COLUMN()-6)/5)</f>
        <v>145.84879999999998</v>
      </c>
      <c r="AO86" s="1299">
        <f ca="1">(AN86/AI86-1)*100</f>
        <v>0.17211751244174955</v>
      </c>
      <c r="AP86" s="1300">
        <f ca="1">OFFSET('VVP2'!$G$95,0,(COLUMN()-7)/5)</f>
        <v>5.4289611703121965</v>
      </c>
      <c r="AQ86" s="1292">
        <f ca="1">+AN86*(1+AP86/100)</f>
        <v>153.76687471936629</v>
      </c>
      <c r="AR86" s="1301">
        <f ca="1">+AS86/AQ86*100-100</f>
        <v>-1.5899228776211629</v>
      </c>
      <c r="AS86" s="1292">
        <f ca="1">OFFSET('VVP2'!$G$292,0,(COLUMN()-6)/5)</f>
        <v>151.32210000000001</v>
      </c>
      <c r="AT86" s="1299">
        <f ca="1">(AS86/AN86-1)*100</f>
        <v>3.7527219970270753</v>
      </c>
      <c r="AU86" s="1300">
        <f ca="1">OFFSET('VVP2'!$G$95,0,(COLUMN()-7)/5)</f>
        <v>2.5644713196250724</v>
      </c>
      <c r="AV86" s="1292">
        <f ca="1">+AS86*(1+AU86/100)</f>
        <v>155.20271185475437</v>
      </c>
      <c r="AW86" s="1301">
        <f ca="1">+AX86/AV86*100-100</f>
        <v>-1.9836714307128602</v>
      </c>
      <c r="AX86" s="1292">
        <f ca="1">OFFSET('VVP2'!$G$292,0,(COLUMN()-6)/5)</f>
        <v>152.124</v>
      </c>
      <c r="AY86" s="1299">
        <f ca="1">(AX86/AS86-1)*100</f>
        <v>0.52992920399597132</v>
      </c>
      <c r="AZ86" s="1300">
        <f ca="1">OFFSET('VVP2'!$G$95,0,(COLUMN()-7)/5)</f>
        <v>7.4435817709982199</v>
      </c>
      <c r="BA86" s="1292">
        <f ca="1">+AX86*(1+AZ86/100)</f>
        <v>163.44747433331332</v>
      </c>
      <c r="BB86" s="1301">
        <f ca="1">+BC86/BA86*100-100</f>
        <v>1.4064614189135369</v>
      </c>
      <c r="BC86" s="1292">
        <f ca="1">OFFSET('VVP2'!$G$292,0,(COLUMN()-6)/5)</f>
        <v>165.74629999999999</v>
      </c>
      <c r="BD86" s="1299">
        <f ca="1">(BC86/AX86-1)*100</f>
        <v>8.9547342957061247</v>
      </c>
      <c r="BE86" s="1300">
        <f ca="1">OFFSET('VVP2'!$G$95,0,(COLUMN()-7)/5)</f>
        <v>4.8207812348761481</v>
      </c>
      <c r="BF86" s="1292">
        <f ca="1">+BC86*(1+BE86/100)</f>
        <v>173.73656652790152</v>
      </c>
      <c r="BG86" s="1301">
        <f ca="1">+BH86/BF86*100-100</f>
        <v>4.6597752182458976</v>
      </c>
      <c r="BH86" s="1292">
        <f ca="1">OFFSET('VVP2'!$G$292,0,(COLUMN()-6)/5)</f>
        <v>181.83229999999998</v>
      </c>
      <c r="BI86" s="1299">
        <f ca="1">(BH86/BC86-1)*100</f>
        <v>9.7051940224306641</v>
      </c>
      <c r="BJ86" s="1300">
        <f ca="1">OFFSET('VVP2'!$G$95,0,(COLUMN()-7)/5)</f>
        <v>5.9097341849364549</v>
      </c>
      <c r="BK86" s="1292">
        <f ca="1">+BH86*(1+BJ86/100)</f>
        <v>192.5781055923562</v>
      </c>
      <c r="BL86" s="1301">
        <f ca="1">+BM86/BK86*100-100</f>
        <v>3.0488379712656553</v>
      </c>
      <c r="BM86" s="1292">
        <f ca="1">OFFSET('VVP2'!$G$292,0,(COLUMN()-6)/5)</f>
        <v>198.4495</v>
      </c>
      <c r="BN86" s="1299">
        <f ca="1">(BM86/BH86-1)*100</f>
        <v>9.1387503760333111</v>
      </c>
      <c r="BO86" s="1300">
        <f ca="1">OFFSET('VVP2'!$G$95,0,(COLUMN()-7)/5)</f>
        <v>4.6952707291694207</v>
      </c>
      <c r="BP86" s="1292">
        <f ca="1">+BM86*(1+BO86/100)</f>
        <v>207.76724128568307</v>
      </c>
      <c r="BQ86" s="1301">
        <f ca="1">+BR86/BP86*100-100</f>
        <v>1.7893382476042348</v>
      </c>
      <c r="BR86" s="1292">
        <f ca="1">OFFSET('VVP2'!$G$292,0,(COLUMN()-6)/5)</f>
        <v>211.48489999999998</v>
      </c>
      <c r="BS86" s="1299">
        <f ca="1">(BR86/BM86-1)*100</f>
        <v>6.5686232517592646</v>
      </c>
      <c r="BT86" s="1300">
        <f ca="1">OFFSET('VVP2'!$G$95,0,(COLUMN()-7)/5)</f>
        <v>-1.1906753063819941</v>
      </c>
      <c r="BU86" s="1292">
        <f ca="1">+BR86*(1+BT86/100)</f>
        <v>208.96680151897334</v>
      </c>
      <c r="BV86" s="1301">
        <f ca="1">+BW86/BU86*100-100</f>
        <v>3.5409923620593844</v>
      </c>
      <c r="BW86" s="1292">
        <f ca="1">OFFSET('VVP2'!$G$292,0,(COLUMN()-6)/5)</f>
        <v>216.3663</v>
      </c>
      <c r="BX86" s="1299">
        <f ca="1">(BW86/BR86-1)*100</f>
        <v>2.3081553340214889</v>
      </c>
      <c r="BY86" s="1300">
        <f ca="1">OFFSET('VVP2'!$G$95,0,(COLUMN()-7)/5)</f>
        <v>-12.907667024939595</v>
      </c>
      <c r="BZ86" s="1292">
        <f ca="1">+BW86*(1+BY86/100)</f>
        <v>188.43845844181811</v>
      </c>
      <c r="CA86" s="1301">
        <f ca="1">+CB86/BZ86*100-100</f>
        <v>-6.779963361758675</v>
      </c>
      <c r="CB86" s="1292">
        <f ca="1">OFFSET('VVP2'!$G$292,0,(COLUMN()-6)/5)</f>
        <v>175.66239999999999</v>
      </c>
      <c r="CC86" s="1299">
        <f ca="1">(CB86/BW86-1)*100</f>
        <v>-18.81249529154957</v>
      </c>
      <c r="CD86" s="1300">
        <f ca="1">OFFSET('VVP2'!$G$95,0,(COLUMN()-7)/5)</f>
        <v>11.019958585695866</v>
      </c>
      <c r="CE86" s="1292">
        <f ca="1">+CB86*(1+CD86/100)</f>
        <v>195.0203237306394</v>
      </c>
      <c r="CF86" s="1301">
        <f ca="1">+CG86/CE86*100-100</f>
        <v>4.8861452422373759</v>
      </c>
      <c r="CG86" s="1292">
        <f ca="1">OFFSET('VVP2'!$G$292,0,(COLUMN()-6)/5)</f>
        <v>204.54929999999999</v>
      </c>
      <c r="CH86" s="1299">
        <f ca="1">(CG86/CB86-1)*100</f>
        <v>16.444555010064764</v>
      </c>
      <c r="CI86" s="1300">
        <f ca="1">OFFSET('VVP2'!$G$95,0,(COLUMN()-7)/5)</f>
        <v>9.1745168524165024</v>
      </c>
      <c r="CJ86" s="1292">
        <f ca="1">+CG86*(1+CI86/100)</f>
        <v>223.31570999999997</v>
      </c>
      <c r="CK86" s="1301">
        <f ca="1">+CL86/CJ86*100-100</f>
        <v>4.5500112822335979</v>
      </c>
      <c r="CL86" s="1292">
        <f ca="1">OFFSET('VVP2'!$G$292,0,(COLUMN()-6)/5)</f>
        <v>233.47660000000002</v>
      </c>
      <c r="CM86" s="1299">
        <f ca="1">(CL86/CG86-1)*100</f>
        <v>14.141969686525456</v>
      </c>
      <c r="CN86" s="1300">
        <f ca="1">OFFSET('VVP2'!$G$95,0,(COLUMN()-7)/5)</f>
        <v>-2.1717907799679526</v>
      </c>
      <c r="CO86" s="1292">
        <f ca="1">+CL86*(1+CN86/100)</f>
        <v>228.40597672781738</v>
      </c>
      <c r="CP86" s="1301">
        <f ca="1">+CQ86/CO86*100-100</f>
        <v>2.8553645423886564</v>
      </c>
      <c r="CQ86" s="1292">
        <f ca="1">OFFSET('VVP2'!$G$292,0,(COLUMN()-6)/5)</f>
        <v>234.92779999999999</v>
      </c>
      <c r="CR86" s="1299">
        <f ca="1">(CQ86/CL86-1)*100</f>
        <v>0.62156121855465596</v>
      </c>
      <c r="CS86" s="1300">
        <f ca="1">OFFSET('VVP2'!$G$95,0,(COLUMN()-7)/5)</f>
        <v>0.6237316090173417</v>
      </c>
      <c r="CT86" s="1292">
        <f ca="1">+CQ86*(1+CS86/100)</f>
        <v>236.39311894696903</v>
      </c>
      <c r="CU86" s="1301">
        <f ca="1">+CV86/CT86*100-100</f>
        <v>-0.72964008201776664</v>
      </c>
      <c r="CV86" s="1292">
        <f ca="1">OFFSET('VVP2'!$G$292,0,(COLUMN()-6)/5)</f>
        <v>234.66829999999999</v>
      </c>
      <c r="CW86" s="1299">
        <f ca="1">(CV86/CQ86-1)*100</f>
        <v>-0.11045946882404234</v>
      </c>
      <c r="CX86" s="1300">
        <f ca="1">OFFSET('VVP2'!$G$95,0,(COLUMN()-7)/5)</f>
        <v>3.5523935942762819</v>
      </c>
      <c r="CY86" s="1292">
        <f ca="1">+CV86*(1+CX86/100)</f>
        <v>243.00464165699702</v>
      </c>
      <c r="CZ86" s="1301">
        <f ca="1">+DA86/CY86*100-100</f>
        <v>-2.7427631059018012</v>
      </c>
      <c r="DA86" s="1292">
        <f ca="1">OFFSET('VVP2'!$G$292,0,(COLUMN()-6)/5)</f>
        <v>236.33960000000002</v>
      </c>
      <c r="DB86" s="1299">
        <f ca="1">(DA86/CV86-1)*100</f>
        <v>0.71219674749423145</v>
      </c>
      <c r="DC86" s="1300">
        <f ca="1">OFFSET('VVP2'!$G$95,0,(COLUMN()-7)/5)</f>
        <v>1.02119346995313</v>
      </c>
      <c r="DD86" s="1292">
        <f ca="1">+DA86*(1+DC86/100)</f>
        <v>238.75308456211337</v>
      </c>
      <c r="DE86" s="1301">
        <f ca="1">+DF86/DD86*100-100</f>
        <v>-3.6990033357310494</v>
      </c>
      <c r="DF86" s="1292">
        <f ca="1">OFFSET('VVP2'!$G$292,0,(COLUMN()-6)/5)</f>
        <v>229.92160000000001</v>
      </c>
      <c r="DG86" s="1299">
        <f ca="1">(DF86/DA86-1)*100</f>
        <v>-2.7155838462957549</v>
      </c>
      <c r="DH86" s="1300">
        <f ca="1">OFFSET('VVP2'!$G$95,0,(COLUMN()-7)/5)</f>
        <v>10.745357747723672</v>
      </c>
      <c r="DI86" s="1292">
        <f ca="1">+DF86*(1+DH86/100)</f>
        <v>254.62749845929025</v>
      </c>
      <c r="DJ86" s="1301">
        <f ca="1">+DK86/DI86*100-100</f>
        <v>-2.5379813643040166</v>
      </c>
      <c r="DK86" s="1292">
        <f ca="1">OFFSET('VVP2'!$G$292,0,(COLUMN()-6)/5)</f>
        <v>248.1651</v>
      </c>
      <c r="DL86" s="1299">
        <f ca="1">(DK86/DF86-1)*100</f>
        <v>7.9346612062546562</v>
      </c>
      <c r="DM86" s="1300">
        <f ca="1">OFFSET('VVP2'!$G$95,0,(COLUMN()-7)/5)</f>
        <v>6.7364255536867201</v>
      </c>
      <c r="DN86" s="1292">
        <f ca="1">+DK86*(1+DM86/100)</f>
        <v>264.88255721173221</v>
      </c>
      <c r="DO86" s="1301">
        <f ca="1">+DP86/DN86*100-100</f>
        <v>1.3302283190550952</v>
      </c>
      <c r="DP86" s="1292">
        <f ca="1">OFFSET('VVP2'!$G$292,0,(COLUMN()-6)/5)</f>
        <v>268.40609999999998</v>
      </c>
      <c r="DQ86" s="1299">
        <f ca="1">(DP86/DK86-1)*100</f>
        <v>8.1562637131490145</v>
      </c>
      <c r="DR86" s="3762">
        <v>5.19</v>
      </c>
      <c r="DS86" s="2210">
        <f ca="1">+DP86*(1+DR86/100)</f>
        <v>282.33637658999999</v>
      </c>
      <c r="DT86" s="3749">
        <v>1</v>
      </c>
      <c r="DU86" s="2210">
        <f ca="1">+DS86*(1+DT86/100)</f>
        <v>285.1597403559</v>
      </c>
      <c r="DV86" s="2211">
        <f ca="1">(DU86/DP86-1)*100</f>
        <v>6.2419000000000002</v>
      </c>
      <c r="DW86" s="3762">
        <v>4.47</v>
      </c>
      <c r="DX86" s="2210">
        <f ca="1">+DU86*(1+DW86/100)</f>
        <v>297.9063807498087</v>
      </c>
      <c r="DY86" s="3749">
        <v>1.2</v>
      </c>
      <c r="DZ86" s="2210">
        <f ca="1">+DX86*(1+DY86/100)</f>
        <v>301.4812573188064</v>
      </c>
      <c r="EA86" s="2211">
        <f ca="1">(DZ86/DU86-1)*100</f>
        <v>5.7236399999999854</v>
      </c>
    </row>
    <row r="87" spans="1:131" s="28" customFormat="1">
      <c r="A87" s="1378" t="s">
        <v>571</v>
      </c>
      <c r="C87" s="175" t="s">
        <v>624</v>
      </c>
      <c r="D87" s="1200"/>
      <c r="E87" s="1200" t="s">
        <v>824</v>
      </c>
      <c r="F87" s="1143" t="s">
        <v>1119</v>
      </c>
      <c r="G87" s="1201"/>
      <c r="H87" s="1201"/>
      <c r="I87" s="1201"/>
      <c r="J87" s="1202">
        <f ca="1">OFFSET('VVP2'!$G$293,0,(COLUMN()-6)/5)</f>
        <v>125.8717</v>
      </c>
      <c r="K87" s="1202"/>
      <c r="L87" s="1383">
        <f ca="1">IF(UPPER($F$2)="Y",(M87/J87-1)*100,OFFSET('VVP2'!$G$96,0,(COLUMN()-7)/5))</f>
        <v>5.03135596848161</v>
      </c>
      <c r="M87" s="1383">
        <f ca="1">IF(UPPER($F$2)="Y",+M85+M86,J87*(1+L87/100))</f>
        <v>132.20475329057928</v>
      </c>
      <c r="N87" s="1202">
        <f ca="1">+O87/M87*100-100</f>
        <v>-1.2731412817508811</v>
      </c>
      <c r="O87" s="1202">
        <f ca="1">OFFSET('VVP2'!$G$293,0,(COLUMN()-6)/5)</f>
        <v>130.52160000000001</v>
      </c>
      <c r="P87" s="1202">
        <f ca="1">(O87/J87-1)*100</f>
        <v>3.6941584168641572</v>
      </c>
      <c r="Q87" s="1383">
        <f ca="1">IF(UPPER($F$2)="Y",(R87/O87-1)*100,OFFSET('VVP2'!$G$96,0,(COLUMN()-7)/5))</f>
        <v>9.4202906575889145</v>
      </c>
      <c r="R87" s="1383">
        <f ca="1">IF(UPPER($F$2)="Y",+R85+R86,O87*(1+Q87/100))</f>
        <v>142.81711409093558</v>
      </c>
      <c r="S87" s="1202">
        <f ca="1">+T87/R87*100-100</f>
        <v>1.0990180827103302</v>
      </c>
      <c r="T87" s="1202">
        <f ca="1">OFFSET('VVP2'!$G$293,0,(COLUMN()-6)/5)</f>
        <v>144.38670000000002</v>
      </c>
      <c r="U87" s="1202">
        <f ca="1">(T87/O87-1)*100</f>
        <v>10.622839438070031</v>
      </c>
      <c r="V87" s="1383">
        <f ca="1">IF(UPPER($F$2)="Y",(W87/T87-1)*100,OFFSET('VVP2'!$G$96,0,(COLUMN()-7)/5))</f>
        <v>4.2777760597003445</v>
      </c>
      <c r="W87" s="1383">
        <f ca="1">IF(UPPER($F$2)="Y",+W85+W86,T87*(1+V87/100))</f>
        <v>150.56323968599136</v>
      </c>
      <c r="X87" s="1202">
        <f ca="1">+Y87/W87*100-100</f>
        <v>-1.2640799241306837</v>
      </c>
      <c r="Y87" s="1202">
        <f ca="1">OFFSET('VVP2'!$G$293,0,(COLUMN()-6)/5)</f>
        <v>148.66</v>
      </c>
      <c r="Z87" s="1202">
        <f ca="1">(Y87/T87-1)*100</f>
        <v>2.9596216271997156</v>
      </c>
      <c r="AA87" s="1383">
        <f ca="1">IF(UPPER($F$2)="Y",(AB87/Y87-1)*100,OFFSET('VVP2'!$G$96,0,(COLUMN()-7)/5))</f>
        <v>4.9995737598598433</v>
      </c>
      <c r="AB87" s="1383">
        <f ca="1">IF(UPPER($F$2)="Y",+AB85+AB86,Y87*(1+AA87/100))</f>
        <v>156.09236635140763</v>
      </c>
      <c r="AC87" s="1202">
        <f ca="1">+AD87/AB87*100-100</f>
        <v>-2.2465128966459247E-2</v>
      </c>
      <c r="AD87" s="1202">
        <f ca="1">OFFSET('VVP2'!$G$293,0,(COLUMN()-6)/5)</f>
        <v>156.0573</v>
      </c>
      <c r="AE87" s="1202">
        <f ca="1">(AD87/Y87-1)*100</f>
        <v>4.9759854702004613</v>
      </c>
      <c r="AF87" s="1383">
        <f ca="1">IF(UPPER($F$2)="Y",(AG87/AD87-1)*100,OFFSET('VVP2'!$G$96,0,(COLUMN()-7)/5))</f>
        <v>12.408036154368475</v>
      </c>
      <c r="AG87" s="1383">
        <f ca="1">IF(UPPER($F$2)="Y",+AG85+AG86,AD87*(1+AF87/100))</f>
        <v>175.42094620553127</v>
      </c>
      <c r="AH87" s="1202">
        <f ca="1">+AI87/AG87*100-100</f>
        <v>5.7753387002020844</v>
      </c>
      <c r="AI87" s="1202">
        <f ca="1">OFFSET('VVP2'!$G$293,0,(COLUMN()-6)/5)</f>
        <v>185.5521</v>
      </c>
      <c r="AJ87" s="1202">
        <f ca="1">(AI87/AD87-1)*100</f>
        <v>18.899980968528872</v>
      </c>
      <c r="AK87" s="1383">
        <f ca="1">IF(UPPER($F$2)="Y",(AL87/AI87-1)*100,OFFSET('VVP2'!$G$96,0,(COLUMN()-7)/5))</f>
        <v>0.33751987198327171</v>
      </c>
      <c r="AL87" s="1383">
        <f ca="1">IF(UPPER($F$2)="Y",+AL85+AL86,AI87*(1+AK87/100))</f>
        <v>186.17837521038226</v>
      </c>
      <c r="AM87" s="1202">
        <f ca="1">+AN87/AL87*100-100</f>
        <v>1.3887352850169066</v>
      </c>
      <c r="AN87" s="1202">
        <f ca="1">OFFSET('VVP2'!$G$293,0,(COLUMN()-6)/5)</f>
        <v>188.76390000000001</v>
      </c>
      <c r="AO87" s="1202">
        <f ca="1">(AN87/AI87-1)*100</f>
        <v>1.7309424145563579</v>
      </c>
      <c r="AP87" s="1383">
        <f ca="1">IF(UPPER($F$2)="Y",(AQ87/AN87-1)*100,OFFSET('VVP2'!$G$96,0,(COLUMN()-7)/5))</f>
        <v>3.6501519791055426</v>
      </c>
      <c r="AQ87" s="1383">
        <f ca="1">IF(UPPER($F$2)="Y",+AQ85+AQ86,AN87*(1+AP87/100))</f>
        <v>195.65406923168683</v>
      </c>
      <c r="AR87" s="1202">
        <f ca="1">+AS87/AQ87*100-100</f>
        <v>-1.146242059004237</v>
      </c>
      <c r="AS87" s="1202">
        <f ca="1">OFFSET('VVP2'!$G$293,0,(COLUMN()-6)/5)</f>
        <v>193.41139999999999</v>
      </c>
      <c r="AT87" s="1202">
        <f ca="1">(AS87/AN87-1)*100</f>
        <v>2.4620703428992474</v>
      </c>
      <c r="AU87" s="1383">
        <f ca="1">IF(UPPER($F$2)="Y",(AV87/AS87-1)*100,OFFSET('VVP2'!$G$96,0,(COLUMN()-7)/5))</f>
        <v>1.5591280296252119</v>
      </c>
      <c r="AV87" s="1383">
        <f ca="1">IF(UPPER($F$2)="Y",+AV85+AV86,AS87*(1+AU87/100))</f>
        <v>196.42693134989054</v>
      </c>
      <c r="AW87" s="1202">
        <f ca="1">+AX87/AV87*100-100</f>
        <v>-1.2978522508960282</v>
      </c>
      <c r="AX87" s="1202">
        <f ca="1">OFFSET('VVP2'!$G$293,0,(COLUMN()-6)/5)</f>
        <v>193.8776</v>
      </c>
      <c r="AY87" s="1202">
        <f ca="1">(AX87/AS87-1)*100</f>
        <v>0.24104060050236242</v>
      </c>
      <c r="AZ87" s="1383">
        <f ca="1">IF(UPPER($F$2)="Y",(BA87/AX87-1)*100,OFFSET('VVP2'!$G$96,0,(COLUMN()-7)/5))</f>
        <v>6.2037043912576806</v>
      </c>
      <c r="BA87" s="1383">
        <f ca="1">IF(UPPER($F$2)="Y",+BA85+BA86,AX87*(1+AZ87/100))</f>
        <v>205.905193184865</v>
      </c>
      <c r="BB87" s="1202">
        <f ca="1">+BC87/BA87*100-100</f>
        <v>2.0871289104770909</v>
      </c>
      <c r="BC87" s="1202">
        <f ca="1">OFFSET('VVP2'!$G$293,0,(COLUMN()-6)/5)</f>
        <v>210.20270000000002</v>
      </c>
      <c r="BD87" s="1202">
        <f ca="1">(BC87/AX87-1)*100</f>
        <v>8.4203126096052507</v>
      </c>
      <c r="BE87" s="1383">
        <f ca="1">IF(UPPER($F$2)="Y",(BF87/BC87-1)*100,OFFSET('VVP2'!$G$96,0,(COLUMN()-7)/5))</f>
        <v>5.0442887805747905</v>
      </c>
      <c r="BF87" s="1383">
        <f ca="1">IF(UPPER($F$2)="Y",+BF85+BF86,BC87*(1+BE87/100))</f>
        <v>220.8059312125653</v>
      </c>
      <c r="BG87" s="1202">
        <f ca="1">+BH87/BF87*100-100</f>
        <v>3.7130201813021557</v>
      </c>
      <c r="BH87" s="1202">
        <f ca="1">OFFSET('VVP2'!$G$293,0,(COLUMN()-6)/5)</f>
        <v>229.00450000000001</v>
      </c>
      <c r="BI87" s="1202">
        <f ca="1">(BH87/BC87-1)*100</f>
        <v>8.9446044223028487</v>
      </c>
      <c r="BJ87" s="1383">
        <f ca="1">IF(UPPER($F$2)="Y",(BK87/BH87-1)*100,OFFSET('VVP2'!$G$96,0,(COLUMN()-7)/5))</f>
        <v>5.2753666789588483</v>
      </c>
      <c r="BK87" s="1383">
        <f ca="1">IF(UPPER($F$2)="Y",+BK85+BK86,BH87*(1+BJ87/100))</f>
        <v>241.08532708631634</v>
      </c>
      <c r="BL87" s="1202">
        <f ca="1">+BM87/BK87*100-100</f>
        <v>2.5859196779120452</v>
      </c>
      <c r="BM87" s="1202">
        <f ca="1">OFFSET('VVP2'!$G$293,0,(COLUMN()-6)/5)</f>
        <v>247.31960000000001</v>
      </c>
      <c r="BN87" s="1202">
        <f ca="1">(BM87/BH87-1)*100</f>
        <v>7.9977031019041078</v>
      </c>
      <c r="BO87" s="1383">
        <f ca="1">IF(UPPER($F$2)="Y",(BP87/BM87-1)*100,OFFSET('VVP2'!$G$96,0,(COLUMN()-7)/5))</f>
        <v>5.6968377013261184</v>
      </c>
      <c r="BP87" s="1383">
        <f ca="1">IF(UPPER($F$2)="Y",+BP85+BP86,BM87*(1+BO87/100))</f>
        <v>261.40899621556895</v>
      </c>
      <c r="BQ87" s="1202">
        <f ca="1">+BR87/BP87*100-100</f>
        <v>2.1849300778160625</v>
      </c>
      <c r="BR87" s="1202">
        <f ca="1">OFFSET('VVP2'!$G$293,0,(COLUMN()-6)/5)</f>
        <v>267.12059999999997</v>
      </c>
      <c r="BS87" s="1202">
        <f ca="1">(BR87/BM87-1)*100</f>
        <v>8.0062396995628227</v>
      </c>
      <c r="BT87" s="1383">
        <f ca="1">IF(UPPER($F$2)="Y",(BU87/BR87-1)*100,OFFSET('VVP2'!$G$96,0,(COLUMN()-7)/5))</f>
        <v>1.7107913601368319</v>
      </c>
      <c r="BU87" s="1383">
        <f ca="1">IF(UPPER($F$2)="Y",+BU85+BU86,BR87*(1+BT87/100))</f>
        <v>271.69047614594564</v>
      </c>
      <c r="BV87" s="1202">
        <f ca="1">+BW87/BU87*100-100</f>
        <v>3.8594742085922746</v>
      </c>
      <c r="BW87" s="1202">
        <f ca="1">OFFSET('VVP2'!$G$293,0,(COLUMN()-6)/5)</f>
        <v>282.17629999999997</v>
      </c>
      <c r="BX87" s="1202">
        <f ca="1">(BW87/BR87-1)*100</f>
        <v>5.6362931200364175</v>
      </c>
      <c r="BY87" s="1383">
        <f ca="1">IF(UPPER($F$2)="Y",(BZ87/BW87-1)*100,OFFSET('VVP2'!$G$96,0,(COLUMN()-7)/5))</f>
        <v>-9.4288618775254847</v>
      </c>
      <c r="BZ87" s="1383">
        <f ca="1">IF(UPPER($F$2)="Y",+BZ85+BZ86,BW87*(1+BY87/100))</f>
        <v>255.57028642188803</v>
      </c>
      <c r="CA87" s="1202">
        <f ca="1">+CB87/BZ87*100-100</f>
        <v>-5.4117740428777523</v>
      </c>
      <c r="CB87" s="1202">
        <f ca="1">OFFSET('VVP2'!$G$293,0,(COLUMN()-6)/5)</f>
        <v>241.73939999999999</v>
      </c>
      <c r="CC87" s="1202">
        <f ca="1">(CB87/BW87-1)*100</f>
        <v>-14.330367220776507</v>
      </c>
      <c r="CD87" s="1383">
        <f ca="1">IF(UPPER($F$2)="Y",(CE87/CB87-1)*100,OFFSET('VVP2'!$G$96,0,(COLUMN()-7)/5))</f>
        <v>10.333065192136548</v>
      </c>
      <c r="CE87" s="1383">
        <f ca="1">IF(UPPER($F$2)="Y",+CE85+CE86,CB87*(1+CD87/100))</f>
        <v>266.71848979707971</v>
      </c>
      <c r="CF87" s="1202">
        <f ca="1">+CG87/CE87*100-100</f>
        <v>4.647300684834633</v>
      </c>
      <c r="CG87" s="1202">
        <f ca="1">OFFSET('VVP2'!$G$293,0,(COLUMN()-6)/5)</f>
        <v>279.11369999999999</v>
      </c>
      <c r="CH87" s="1202">
        <f ca="1">(CG87/CB87-1)*100</f>
        <v>15.46057448640974</v>
      </c>
      <c r="CI87" s="3430">
        <f ca="1">IF(UPPER($F$2)="Y",(CJ87/CG87-1)*100,OFFSET('VVP2'!$G$96,0,(COLUMN()-7)/5))</f>
        <v>6.7179504266540846</v>
      </c>
      <c r="CJ87" s="1383">
        <f ca="1">IF(UPPER($F$2)="Y",+CJ85+CJ86,CG87*(1+CI87/100))</f>
        <v>297.86442</v>
      </c>
      <c r="CK87" s="1202">
        <f ca="1">+CL87/CJ87*100-100</f>
        <v>3.9014663114177921</v>
      </c>
      <c r="CL87" s="1202">
        <f ca="1">OFFSET('VVP2'!$G$293,0,(COLUMN()-6)/5)</f>
        <v>309.4855</v>
      </c>
      <c r="CM87" s="1202">
        <f ca="1">(CL87/CG87-1)*100</f>
        <v>10.881515310785538</v>
      </c>
      <c r="CN87" s="3430">
        <f ca="1">IF(UPPER($F$2)="Y",(CO87/CL87-1)*100,OFFSET('VVP2'!$G$96,0,(COLUMN()-7)/5))</f>
        <v>0.33792158955818774</v>
      </c>
      <c r="CO87" s="1383">
        <f ca="1">IF(UPPER($F$2)="Y",+CO85+CO86,CL87*(1+CN87/100))</f>
        <v>310.53131832105214</v>
      </c>
      <c r="CP87" s="1202">
        <f ca="1">+CQ87/CO87*100-100</f>
        <v>2.7062911800281881</v>
      </c>
      <c r="CQ87" s="1202">
        <f ca="1">OFFSET('VVP2'!$G$293,0,(COLUMN()-6)/5)</f>
        <v>318.93520000000001</v>
      </c>
      <c r="CR87" s="1202">
        <f ca="1">(CQ87/CL87-1)*100</f>
        <v>3.0533579117600018</v>
      </c>
      <c r="CS87" s="3430">
        <f ca="1">IF(UPPER($F$2)="Y",(CT87/CQ87-1)*100,OFFSET('VVP2'!$G$96,0,(COLUMN()-7)/5))</f>
        <v>0.88887820166934084</v>
      </c>
      <c r="CT87" s="1383">
        <f ca="1">IF(UPPER($F$2)="Y",+CT85+CT86,CQ87*(1+CS87/100))</f>
        <v>321.77014547025055</v>
      </c>
      <c r="CU87" s="1202">
        <f ca="1">+CV87/CT87*100-100</f>
        <v>-0.34485656480927673</v>
      </c>
      <c r="CV87" s="1202">
        <f ca="1">OFFSET('VVP2'!$G$293,0,(COLUMN()-6)/5)</f>
        <v>320.66050000000001</v>
      </c>
      <c r="CW87" s="1202">
        <f ca="1">(CV87/CQ87-1)*100</f>
        <v>0.54095628202845969</v>
      </c>
      <c r="CX87" s="3430">
        <f ca="1">IF(UPPER($F$2)="Y",(CY87/CV87-1)*100,OFFSET('VVP2'!$G$96,0,(COLUMN()-7)/5))</f>
        <v>5.1844422040597804</v>
      </c>
      <c r="CY87" s="1383">
        <f ca="1">IF(UPPER($F$2)="Y",+CY85+CY86,CV87*(1+CX87/100))</f>
        <v>337.28495829374913</v>
      </c>
      <c r="CZ87" s="1202">
        <f ca="1">+DA87/CY87*100-100</f>
        <v>-1.9415209995952267</v>
      </c>
      <c r="DA87" s="1202">
        <f ca="1">OFFSET('VVP2'!$G$293,0,(COLUMN()-6)/5)</f>
        <v>330.73649999999998</v>
      </c>
      <c r="DB87" s="1202">
        <f ca="1">(DA87/CV87-1)*100</f>
        <v>3.1422641703608534</v>
      </c>
      <c r="DC87" s="3430">
        <f ca="1">IF(UPPER($F$2)="Y",(DD87/DA87-1)*100,OFFSET('VVP2'!$G$96,0,(COLUMN()-7)/5))</f>
        <v>3.281371132435762</v>
      </c>
      <c r="DD87" s="1383">
        <f ca="1">IF(UPPER($F$2)="Y",+DD85+DD86,DA87*(1+DC87/100))</f>
        <v>341.58919203542837</v>
      </c>
      <c r="DE87" s="1202">
        <f ca="1">+DF87/DD87*100-100</f>
        <v>-2.9560630929977236</v>
      </c>
      <c r="DF87" s="1202">
        <f ca="1">OFFSET('VVP2'!$G$293,0,(COLUMN()-6)/5)</f>
        <v>331.49159999999995</v>
      </c>
      <c r="DG87" s="1202">
        <f ca="1">(DF87/DA87-1)*100</f>
        <v>0.22830863844782723</v>
      </c>
      <c r="DH87" s="3430">
        <f ca="1">IF(UPPER($F$2)="Y",(DI87/DF87-1)*100,OFFSET('VVP2'!$G$96,0,(COLUMN()-7)/5))</f>
        <v>7.5172033272112637</v>
      </c>
      <c r="DI87" s="1383">
        <f ca="1">IF(UPPER($F$2)="Y",+DI85+DI86,DF87*(1+DH87/100))</f>
        <v>356.41049758462577</v>
      </c>
      <c r="DJ87" s="1202">
        <f ca="1">+DK87/DI87*100-100</f>
        <v>-1.6416737509917141</v>
      </c>
      <c r="DK87" s="1202">
        <f ca="1">OFFSET('VVP2'!$G$293,0,(COLUMN()-6)/5)</f>
        <v>350.55940000000004</v>
      </c>
      <c r="DL87" s="1202">
        <f ca="1">(DK87/DF87-1)*100</f>
        <v>5.7521216223880511</v>
      </c>
      <c r="DM87" s="3430">
        <f ca="1">IF(UPPER($F$2)="Y",(DN87/DK87-1)*100,OFFSET('VVP2'!$G$96,0,(COLUMN()-7)/5))</f>
        <v>4.5100042038371146</v>
      </c>
      <c r="DN87" s="1383">
        <f ca="1">IF(UPPER($F$2)="Y",+DN85+DN86,DK87*(1+DM87/100))</f>
        <v>366.36964367694623</v>
      </c>
      <c r="DO87" s="1202">
        <f ca="1">+DP87/DN87*100-100</f>
        <v>1.3691790271458899</v>
      </c>
      <c r="DP87" s="1202">
        <f ca="1">OFFSET('VVP2'!$G$293,0,(COLUMN()-6)/5)</f>
        <v>371.38590000000005</v>
      </c>
      <c r="DQ87" s="1202">
        <f ca="1">(DP87/DK87-1)*100</f>
        <v>5.9409332626653377</v>
      </c>
      <c r="DR87" s="3430">
        <f ca="1">IF(UPPER($F$2)="Y",(DS87/DP87-1)*100,OFFSET('VVP2'!$G$96,0,(COLUMN()-7)/5))</f>
        <v>4.970916609919751</v>
      </c>
      <c r="DS87" s="1383">
        <f ca="1">IF(UPPER($F$2)="Y",+DS85+DS86,DP87*(1+DR87/100))</f>
        <v>389.84718339</v>
      </c>
      <c r="DT87" s="3823">
        <f ca="1">+DU87/DS87*100-100</f>
        <v>1</v>
      </c>
      <c r="DU87" s="1202">
        <f ca="1">+DU85+DU86</f>
        <v>393.74565522390003</v>
      </c>
      <c r="DV87" s="1202">
        <f ca="1">(DU87/DP87-1)*100</f>
        <v>6.0206257760189619</v>
      </c>
      <c r="DW87" s="3430">
        <f ca="1">IF(UPPER($F$2)="Y",(DX87/DU87-1)*100,OFFSET('VVP2'!$G$96,0,(COLUMN()-7)/5))</f>
        <v>4.3955402653327091</v>
      </c>
      <c r="DX87" s="1383">
        <f ca="1">IF(UPPER($F$2)="Y",+DX85+DX86,DU87*(1+DW87/100))</f>
        <v>411.05290404226469</v>
      </c>
      <c r="DY87" s="3823">
        <f ca="1">+DZ87/DX87*100-100</f>
        <v>1.2550520491059842</v>
      </c>
      <c r="DZ87" s="1202">
        <f ca="1">+DZ85+DZ86</f>
        <v>416.21183193735681</v>
      </c>
      <c r="EA87" s="1202">
        <f ca="1">(DZ87/DU87-1)*100</f>
        <v>5.7057586326080489</v>
      </c>
    </row>
    <row r="88" spans="1:131" s="2804" customFormat="1">
      <c r="A88" s="2803"/>
      <c r="C88" s="2805"/>
      <c r="D88" s="1697"/>
      <c r="E88" s="1697" t="s">
        <v>544</v>
      </c>
      <c r="F88" s="2806"/>
      <c r="G88" s="2807"/>
      <c r="H88" s="2807"/>
      <c r="I88" s="2807"/>
      <c r="J88" s="1175"/>
      <c r="K88" s="2807"/>
      <c r="L88" s="2809">
        <f ca="1">OFFSET('Q1'!$N170,0,(COLUMN()-12)*4/5)</f>
        <v>5.0462511846443192</v>
      </c>
      <c r="M88" s="2808"/>
      <c r="N88" s="1175"/>
      <c r="O88" s="1175"/>
      <c r="P88" s="1175"/>
      <c r="Q88" s="2809">
        <f ca="1">OFFSET('Q1'!$N170,0,(COLUMN()-12)*4/5)</f>
        <v>9.4170716985927356</v>
      </c>
      <c r="R88" s="1175"/>
      <c r="S88" s="1175"/>
      <c r="T88" s="1175"/>
      <c r="U88" s="1175"/>
      <c r="V88" s="2809">
        <f ca="1">OFFSET('Q1'!$N170,0,(COLUMN()-12)*4/5)</f>
        <v>4.2771619526527473</v>
      </c>
      <c r="W88" s="1175"/>
      <c r="X88" s="1175"/>
      <c r="Y88" s="1175"/>
      <c r="Z88" s="1175"/>
      <c r="AA88" s="2809">
        <f ca="1">OFFSET('Q1'!$N170,0,(COLUMN()-12)*4/5)</f>
        <v>4.9999164731628269</v>
      </c>
      <c r="AB88" s="1175"/>
      <c r="AC88" s="1175"/>
      <c r="AD88" s="1175"/>
      <c r="AE88" s="1175"/>
      <c r="AF88" s="2809">
        <f ca="1">OFFSET('Q1'!$N170,0,(COLUMN()-12)*4/5)</f>
        <v>12.386376894602307</v>
      </c>
      <c r="AG88" s="1175"/>
      <c r="AH88" s="1175"/>
      <c r="AI88" s="1175"/>
      <c r="AJ88" s="1175"/>
      <c r="AK88" s="2809">
        <f ca="1">OFFSET('Q1'!$N170,0,(COLUMN()-12)*4/5)</f>
        <v>0.35626987797165555</v>
      </c>
      <c r="AL88" s="1175"/>
      <c r="AM88" s="1175"/>
      <c r="AN88" s="1175"/>
      <c r="AO88" s="1175"/>
      <c r="AP88" s="2809">
        <f ca="1">OFFSET('Q1'!$N170,0,(COLUMN()-12)*4/5)</f>
        <v>3.6511451853314725</v>
      </c>
      <c r="AQ88" s="1175"/>
      <c r="AR88" s="1175"/>
      <c r="AS88" s="1175"/>
      <c r="AT88" s="1175"/>
      <c r="AU88" s="2809">
        <f ca="1">OFFSET('Q1'!$N170,0,(COLUMN()-12)*4/5)</f>
        <v>1.5591685644036062</v>
      </c>
      <c r="AV88" s="1175"/>
      <c r="AW88" s="1175"/>
      <c r="AX88" s="1175"/>
      <c r="AY88" s="1175"/>
      <c r="AZ88" s="2809">
        <f ca="1">OFFSET('Q1'!$N170,0,(COLUMN()-12)*4/5)</f>
        <v>6.206141820212153</v>
      </c>
      <c r="BA88" s="1175"/>
      <c r="BB88" s="1175"/>
      <c r="BC88" s="1175"/>
      <c r="BD88" s="1175"/>
      <c r="BE88" s="2809">
        <f ca="1">OFFSET('Q1'!$N170,0,(COLUMN()-12)*4/5)</f>
        <v>5.0313539611976523</v>
      </c>
      <c r="BF88" s="1175"/>
      <c r="BG88" s="3832">
        <f ca="1">((1+BG87/100)/(1+BG102/100)-1)*100</f>
        <v>-0.69500365174914869</v>
      </c>
      <c r="BH88" s="1175"/>
      <c r="BI88" s="1175"/>
      <c r="BJ88" s="2809">
        <f ca="1">OFFSET('Q1'!$N170,0,(COLUMN()-12)*4/5)</f>
        <v>5.2744542149183928</v>
      </c>
      <c r="BK88" s="1175"/>
      <c r="BL88" s="3832">
        <f ca="1">((1+BL87/100)/(1+BL102/100)-1)*100</f>
        <v>-0.70622312714506696</v>
      </c>
      <c r="BM88" s="1175"/>
      <c r="BN88" s="1175"/>
      <c r="BO88" s="2809">
        <f ca="1">OFFSET('Q1'!$N170,0,(COLUMN()-12)*4/5)</f>
        <v>5.7055046709064925</v>
      </c>
      <c r="BP88" s="1175"/>
      <c r="BQ88" s="3832">
        <f ca="1">((1+BQ87/100)/(1+BQ102/100)-1)*100</f>
        <v>0.15169136888832924</v>
      </c>
      <c r="BR88" s="1175"/>
      <c r="BS88" s="1175"/>
      <c r="BT88" s="2843">
        <f ca="1">OFFSET('Q1'!$N170,0,(COLUMN()-12)*4/5)</f>
        <v>1.7146208762738269</v>
      </c>
      <c r="BU88" s="2966"/>
      <c r="BV88" s="3832">
        <f ca="1">((1+BV87/100)/(1+BV102/100)-1)*100</f>
        <v>-2.6109927627822827</v>
      </c>
      <c r="BW88" s="2966"/>
      <c r="BX88" s="1175"/>
      <c r="BY88" s="2843">
        <f ca="1">OFFSET('Q1'!$N170,0,(COLUMN()-12)*4/5)</f>
        <v>-9.4329410016662791</v>
      </c>
      <c r="BZ88" s="2966"/>
      <c r="CA88" s="3832">
        <f ca="1">((1+CA87/100)/(1+CA102/100)-1)*100</f>
        <v>3.1031698151813059</v>
      </c>
      <c r="CB88" s="2966"/>
      <c r="CC88" s="1175"/>
      <c r="CD88" s="2843">
        <f ca="1">OFFSET('Q1'!$N170,0,(COLUMN()-12)*4/5)</f>
        <v>10.332610691197445</v>
      </c>
      <c r="CE88" s="2966"/>
      <c r="CF88" s="3832">
        <f ca="1">((1+CF87/100)/(1+CF102/100)-1)*100</f>
        <v>-1.5725113060719109</v>
      </c>
      <c r="CG88" s="1175">
        <f ca="1">CG87-CG86-CG85</f>
        <v>0</v>
      </c>
      <c r="CH88" s="1175"/>
      <c r="CI88" s="2843">
        <f ca="1">OFFSET('Q1'!$N170,0,(COLUMN()-12)*4/5)</f>
        <v>6.7181907334567654</v>
      </c>
      <c r="CJ88" s="2966"/>
      <c r="CK88" s="3832">
        <f ca="1">((1+CK87/100)/(1+CK102/100)-1)*100</f>
        <v>-1.1814646464672229</v>
      </c>
      <c r="CL88" s="1175">
        <f ca="1">CL87-CL86-CL85</f>
        <v>0</v>
      </c>
      <c r="CM88" s="1175"/>
      <c r="CN88" s="2843">
        <f ca="1">OFFSET('Q1'!$N170,0,(COLUMN()-12)*4/5)</f>
        <v>0.33805190539854379</v>
      </c>
      <c r="CO88" s="2966"/>
      <c r="CP88" s="3832">
        <f ca="1">((1+CP87/100)/(1+CP102/100)-1)*100</f>
        <v>-0.12553486475178621</v>
      </c>
      <c r="CQ88" s="1175">
        <f ca="1">CQ87-CQ86-CQ85</f>
        <v>0</v>
      </c>
      <c r="CR88" s="1175"/>
      <c r="CS88" s="2843">
        <f ca="1">OFFSET('Q1'!$N170,0,(COLUMN()-12)*4/5)</f>
        <v>0.88906669488051193</v>
      </c>
      <c r="CT88" s="1175"/>
      <c r="CU88" s="3832">
        <f ca="1">((1+CU87/100)/(1+CU102/100)-1)*100</f>
        <v>0.23619779575319022</v>
      </c>
      <c r="CV88" s="1175"/>
      <c r="CW88" s="1175"/>
      <c r="CX88" s="2843">
        <f ca="1">OFFSET('Q1'!$N170,0,(COLUMN()-12)*4/5)</f>
        <v>5.1841607650233641</v>
      </c>
      <c r="CY88" s="1175"/>
      <c r="CZ88" s="3832">
        <f ca="1">((1+CZ87/100)/(1+CZ102/100)-1)*100</f>
        <v>0.20490780652728802</v>
      </c>
      <c r="DA88" s="1175"/>
      <c r="DB88" s="1175"/>
      <c r="DC88" s="2843">
        <f ca="1">OFFSET('Q1'!$N170,0,(COLUMN()-12)*4/5)</f>
        <v>3.2810942173479702</v>
      </c>
      <c r="DD88" s="1175"/>
      <c r="DE88" s="3832">
        <f ca="1">((1+DE87/100)/(1+DE102/100)-1)*100</f>
        <v>0.92810981208921728</v>
      </c>
      <c r="DF88" s="1175"/>
      <c r="DG88" s="1175"/>
      <c r="DH88" s="2843">
        <f ca="1">OFFSET('Q1'!$N170,0,(COLUMN()-12)*4/5)</f>
        <v>7.5172478287494897</v>
      </c>
      <c r="DI88" s="1175"/>
      <c r="DJ88" s="3832">
        <f ca="1">((1+DJ87/100)/(1+DJ102/100)-1)*100</f>
        <v>0.70800042299221655</v>
      </c>
      <c r="DK88" s="1175"/>
      <c r="DL88" s="1175"/>
      <c r="DM88" s="2843">
        <f ca="1">OFFSET('Q1'!$N170,0,(COLUMN()-12)*4/5)</f>
        <v>4.5102550433489625</v>
      </c>
      <c r="DN88" s="1175"/>
      <c r="DO88" s="3832">
        <f ca="1">((1+DO87/100)/(1+DO102/100)-1)*100</f>
        <v>-0.47548977622855482</v>
      </c>
      <c r="DP88" s="1175"/>
      <c r="DQ88" s="1175"/>
      <c r="DR88" s="2843">
        <f ca="1">OFFSET('Q1'!$N170,0,(COLUMN()-12)*4/5)</f>
        <v>5.0720652911306274</v>
      </c>
      <c r="DS88" s="1175"/>
      <c r="DT88" s="3832">
        <f ca="1">((1+DT87/100)/(1+DT102/100)-1)*100</f>
        <v>0</v>
      </c>
      <c r="DU88" s="1175"/>
      <c r="DV88" s="1175"/>
      <c r="DW88" s="2843">
        <f ca="1">OFFSET('Q1'!$N170,0,(COLUMN()-12)*4/5)</f>
        <v>4.4225112810096334</v>
      </c>
      <c r="DX88" s="1175"/>
      <c r="DY88" s="3832">
        <f ca="1">((1+DY87/100)/(1+DY102/100)-1)*100</f>
        <v>0.35188508335579627</v>
      </c>
      <c r="DZ88" s="1175"/>
      <c r="EA88" s="1175"/>
    </row>
    <row r="89" spans="1:131">
      <c r="AR89"/>
      <c r="AW89"/>
      <c r="BB89"/>
      <c r="BY89" s="1094"/>
      <c r="CD89" s="2909"/>
      <c r="CI89" s="2909"/>
      <c r="CN89" s="2909"/>
      <c r="DC89" s="2909"/>
      <c r="DH89" s="2909"/>
      <c r="DM89" s="2909"/>
      <c r="DR89" s="2909"/>
      <c r="DW89" s="2909"/>
    </row>
    <row r="90" spans="1:131">
      <c r="BT90" s="28"/>
      <c r="BU90" s="28"/>
      <c r="BV90" s="28"/>
      <c r="BW90" s="28"/>
      <c r="BX90" s="28"/>
      <c r="BY90" s="28"/>
      <c r="BZ90" s="28"/>
      <c r="CA90" s="28"/>
      <c r="CB90" s="28"/>
      <c r="CC90" s="28"/>
      <c r="CD90" s="28"/>
      <c r="CI90" s="28"/>
      <c r="CN90" s="28"/>
      <c r="CS90" s="28"/>
      <c r="CX90" s="28"/>
      <c r="DC90" s="28"/>
      <c r="DH90" s="28"/>
      <c r="DM90" s="28"/>
      <c r="DR90" s="28"/>
      <c r="DW90" s="28"/>
    </row>
    <row r="91" spans="1:131">
      <c r="D91" s="4106"/>
      <c r="E91" s="4108" t="s">
        <v>275</v>
      </c>
      <c r="F91" s="4109"/>
      <c r="G91" s="4112">
        <f>+InputY!$G$3</f>
        <v>1995</v>
      </c>
      <c r="H91" s="4104"/>
      <c r="I91" s="4104"/>
      <c r="J91" s="4104"/>
      <c r="K91" s="4104"/>
      <c r="L91" s="4104">
        <f>+G91+1</f>
        <v>1996</v>
      </c>
      <c r="M91" s="4104"/>
      <c r="N91" s="4104"/>
      <c r="O91" s="4104"/>
      <c r="P91" s="4104"/>
      <c r="Q91" s="4104">
        <f>+L91+1</f>
        <v>1997</v>
      </c>
      <c r="R91" s="4104"/>
      <c r="S91" s="4104"/>
      <c r="T91" s="4104"/>
      <c r="U91" s="4104"/>
      <c r="V91" s="4104">
        <f>+Q91+1</f>
        <v>1998</v>
      </c>
      <c r="W91" s="4104"/>
      <c r="X91" s="4104"/>
      <c r="Y91" s="4104"/>
      <c r="Z91" s="4104"/>
      <c r="AA91" s="4104">
        <f>+V91+1</f>
        <v>1999</v>
      </c>
      <c r="AB91" s="4104"/>
      <c r="AC91" s="4104"/>
      <c r="AD91" s="4104"/>
      <c r="AE91" s="4104"/>
      <c r="AF91" s="4104">
        <f>+AA91+1</f>
        <v>2000</v>
      </c>
      <c r="AG91" s="4104"/>
      <c r="AH91" s="4104"/>
      <c r="AI91" s="4104"/>
      <c r="AJ91" s="4104"/>
      <c r="AK91" s="4104">
        <f>+AF91+1</f>
        <v>2001</v>
      </c>
      <c r="AL91" s="4104"/>
      <c r="AM91" s="4104"/>
      <c r="AN91" s="4104"/>
      <c r="AO91" s="4104"/>
      <c r="AP91" s="4104">
        <f>+AK91+1</f>
        <v>2002</v>
      </c>
      <c r="AQ91" s="4104"/>
      <c r="AR91" s="4104"/>
      <c r="AS91" s="4104"/>
      <c r="AT91" s="4104"/>
      <c r="AU91" s="4104">
        <f>+AP91+1</f>
        <v>2003</v>
      </c>
      <c r="AV91" s="4104"/>
      <c r="AW91" s="4104"/>
      <c r="AX91" s="4104"/>
      <c r="AY91" s="4104"/>
      <c r="AZ91" s="4104">
        <f>+AU91+1</f>
        <v>2004</v>
      </c>
      <c r="BA91" s="4104"/>
      <c r="BB91" s="4104"/>
      <c r="BC91" s="4104"/>
      <c r="BD91" s="4104"/>
      <c r="BE91" s="4104">
        <f>+AZ91+1</f>
        <v>2005</v>
      </c>
      <c r="BF91" s="4104"/>
      <c r="BG91" s="4104"/>
      <c r="BH91" s="4104"/>
      <c r="BI91" s="4104"/>
      <c r="BJ91" s="4104">
        <f>+BE91+1</f>
        <v>2006</v>
      </c>
      <c r="BK91" s="4104"/>
      <c r="BL91" s="4104"/>
      <c r="BM91" s="4104"/>
      <c r="BN91" s="4104"/>
      <c r="BO91" s="4104">
        <f>+BJ91+1</f>
        <v>2007</v>
      </c>
      <c r="BP91" s="4104"/>
      <c r="BQ91" s="4104"/>
      <c r="BR91" s="4104"/>
      <c r="BS91" s="4104"/>
      <c r="BT91" s="4104">
        <f>+BO91+1</f>
        <v>2008</v>
      </c>
      <c r="BU91" s="4104"/>
      <c r="BV91" s="4104"/>
      <c r="BW91" s="4104"/>
      <c r="BX91" s="4104"/>
      <c r="BY91" s="4104">
        <f>+BT91+1</f>
        <v>2009</v>
      </c>
      <c r="BZ91" s="4104"/>
      <c r="CA91" s="4104"/>
      <c r="CB91" s="4104"/>
      <c r="CC91" s="4104"/>
      <c r="CD91" s="4104">
        <f>+BY91+1</f>
        <v>2010</v>
      </c>
      <c r="CE91" s="4104"/>
      <c r="CF91" s="4104"/>
      <c r="CG91" s="4104"/>
      <c r="CH91" s="4104"/>
      <c r="CI91" s="4104">
        <f>+CD91+1</f>
        <v>2011</v>
      </c>
      <c r="CJ91" s="4104"/>
      <c r="CK91" s="4104"/>
      <c r="CL91" s="4104"/>
      <c r="CM91" s="4104"/>
      <c r="CN91" s="4104">
        <f>+CI91+1</f>
        <v>2012</v>
      </c>
      <c r="CO91" s="4104"/>
      <c r="CP91" s="4104"/>
      <c r="CQ91" s="4104"/>
      <c r="CR91" s="4104"/>
      <c r="CS91" s="4093">
        <f>+CN91+1</f>
        <v>2013</v>
      </c>
      <c r="CT91" s="4094"/>
      <c r="CU91" s="4094"/>
      <c r="CV91" s="4094"/>
      <c r="CW91" s="4095"/>
      <c r="CX91" s="4093">
        <f>+CS91+1</f>
        <v>2014</v>
      </c>
      <c r="CY91" s="4094"/>
      <c r="CZ91" s="4094"/>
      <c r="DA91" s="4094"/>
      <c r="DB91" s="4095"/>
      <c r="DC91" s="4093">
        <f>+CX91+1</f>
        <v>2015</v>
      </c>
      <c r="DD91" s="4094"/>
      <c r="DE91" s="4094"/>
      <c r="DF91" s="4094"/>
      <c r="DG91" s="4095"/>
      <c r="DH91" s="4093">
        <f>+DC91+1</f>
        <v>2016</v>
      </c>
      <c r="DI91" s="4094"/>
      <c r="DJ91" s="4094"/>
      <c r="DK91" s="4094"/>
      <c r="DL91" s="4095"/>
      <c r="DM91" s="4093">
        <f>+DH91+1</f>
        <v>2017</v>
      </c>
      <c r="DN91" s="4094"/>
      <c r="DO91" s="4094"/>
      <c r="DP91" s="4094"/>
      <c r="DQ91" s="4095"/>
      <c r="DR91" s="4093">
        <f>+DM91+1</f>
        <v>2018</v>
      </c>
      <c r="DS91" s="4094"/>
      <c r="DT91" s="4094"/>
      <c r="DU91" s="4094"/>
      <c r="DV91" s="4095"/>
      <c r="DW91" s="4093">
        <f>+DR91+1</f>
        <v>2019</v>
      </c>
      <c r="DX91" s="4094"/>
      <c r="DY91" s="4094"/>
      <c r="DZ91" s="4094"/>
      <c r="EA91" s="4095"/>
    </row>
    <row r="92" spans="1:131">
      <c r="C92" s="3"/>
      <c r="D92" s="4107"/>
      <c r="E92" s="4110" t="s">
        <v>2041</v>
      </c>
      <c r="F92" s="4111"/>
      <c r="G92" s="1199" t="s">
        <v>506</v>
      </c>
      <c r="H92" s="1196" t="s">
        <v>499</v>
      </c>
      <c r="I92" s="1195" t="s">
        <v>1186</v>
      </c>
      <c r="J92" s="1196" t="s">
        <v>1304</v>
      </c>
      <c r="K92" s="1195" t="s">
        <v>1187</v>
      </c>
      <c r="L92" s="1195" t="s">
        <v>506</v>
      </c>
      <c r="M92" s="1196" t="s">
        <v>499</v>
      </c>
      <c r="N92" s="1195" t="s">
        <v>1186</v>
      </c>
      <c r="O92" s="1196" t="s">
        <v>1304</v>
      </c>
      <c r="P92" s="1195" t="s">
        <v>1187</v>
      </c>
      <c r="Q92" s="1195" t="s">
        <v>506</v>
      </c>
      <c r="R92" s="1196" t="s">
        <v>499</v>
      </c>
      <c r="S92" s="1195" t="s">
        <v>1186</v>
      </c>
      <c r="T92" s="1196" t="s">
        <v>1304</v>
      </c>
      <c r="U92" s="1195" t="s">
        <v>1187</v>
      </c>
      <c r="V92" s="1195" t="s">
        <v>506</v>
      </c>
      <c r="W92" s="1196" t="s">
        <v>499</v>
      </c>
      <c r="X92" s="1195" t="s">
        <v>1186</v>
      </c>
      <c r="Y92" s="1196" t="s">
        <v>1304</v>
      </c>
      <c r="Z92" s="1195" t="s">
        <v>1187</v>
      </c>
      <c r="AA92" s="1195" t="s">
        <v>506</v>
      </c>
      <c r="AB92" s="1196" t="s">
        <v>499</v>
      </c>
      <c r="AC92" s="1195" t="s">
        <v>1186</v>
      </c>
      <c r="AD92" s="1196" t="s">
        <v>1304</v>
      </c>
      <c r="AE92" s="1195" t="s">
        <v>1187</v>
      </c>
      <c r="AF92" s="1195" t="s">
        <v>506</v>
      </c>
      <c r="AG92" s="1196" t="s">
        <v>499</v>
      </c>
      <c r="AH92" s="1195" t="s">
        <v>1186</v>
      </c>
      <c r="AI92" s="1196" t="s">
        <v>1304</v>
      </c>
      <c r="AJ92" s="1195" t="s">
        <v>1187</v>
      </c>
      <c r="AK92" s="1195" t="s">
        <v>506</v>
      </c>
      <c r="AL92" s="1196" t="s">
        <v>499</v>
      </c>
      <c r="AM92" s="1195" t="s">
        <v>1186</v>
      </c>
      <c r="AN92" s="1196" t="s">
        <v>1304</v>
      </c>
      <c r="AO92" s="1195" t="s">
        <v>1187</v>
      </c>
      <c r="AP92" s="1195" t="s">
        <v>506</v>
      </c>
      <c r="AQ92" s="1196" t="s">
        <v>499</v>
      </c>
      <c r="AR92" s="1195" t="s">
        <v>1186</v>
      </c>
      <c r="AS92" s="1196" t="s">
        <v>1304</v>
      </c>
      <c r="AT92" s="1195" t="s">
        <v>1187</v>
      </c>
      <c r="AU92" s="1195" t="s">
        <v>506</v>
      </c>
      <c r="AV92" s="1196" t="s">
        <v>499</v>
      </c>
      <c r="AW92" s="1195" t="s">
        <v>1186</v>
      </c>
      <c r="AX92" s="1196" t="s">
        <v>1304</v>
      </c>
      <c r="AY92" s="1195" t="s">
        <v>1187</v>
      </c>
      <c r="AZ92" s="1195" t="s">
        <v>506</v>
      </c>
      <c r="BA92" s="1196" t="s">
        <v>499</v>
      </c>
      <c r="BB92" s="1195" t="s">
        <v>1186</v>
      </c>
      <c r="BC92" s="1196" t="s">
        <v>1304</v>
      </c>
      <c r="BD92" s="1195" t="s">
        <v>1187</v>
      </c>
      <c r="BE92" s="1195" t="s">
        <v>506</v>
      </c>
      <c r="BF92" s="1196" t="s">
        <v>499</v>
      </c>
      <c r="BG92" s="1195" t="s">
        <v>1186</v>
      </c>
      <c r="BH92" s="1196" t="s">
        <v>1304</v>
      </c>
      <c r="BI92" s="1195" t="s">
        <v>1187</v>
      </c>
      <c r="BJ92" s="1195" t="s">
        <v>506</v>
      </c>
      <c r="BK92" s="1196" t="s">
        <v>499</v>
      </c>
      <c r="BL92" s="1195" t="s">
        <v>1186</v>
      </c>
      <c r="BM92" s="1196" t="s">
        <v>1304</v>
      </c>
      <c r="BN92" s="1195" t="s">
        <v>1187</v>
      </c>
      <c r="BO92" s="1195" t="s">
        <v>506</v>
      </c>
      <c r="BP92" s="1196" t="s">
        <v>499</v>
      </c>
      <c r="BQ92" s="1195" t="s">
        <v>1186</v>
      </c>
      <c r="BR92" s="1196" t="s">
        <v>1304</v>
      </c>
      <c r="BS92" s="1195" t="s">
        <v>1187</v>
      </c>
      <c r="BT92" s="1195" t="s">
        <v>506</v>
      </c>
      <c r="BU92" s="1196" t="s">
        <v>499</v>
      </c>
      <c r="BV92" s="1195" t="s">
        <v>1186</v>
      </c>
      <c r="BW92" s="1196" t="s">
        <v>1304</v>
      </c>
      <c r="BX92" s="1195" t="s">
        <v>1187</v>
      </c>
      <c r="BY92" s="1195" t="s">
        <v>506</v>
      </c>
      <c r="BZ92" s="1196" t="s">
        <v>499</v>
      </c>
      <c r="CA92" s="1195" t="s">
        <v>1186</v>
      </c>
      <c r="CB92" s="1196" t="s">
        <v>1304</v>
      </c>
      <c r="CC92" s="1195" t="s">
        <v>1187</v>
      </c>
      <c r="CD92" s="1195" t="s">
        <v>506</v>
      </c>
      <c r="CE92" s="1196" t="s">
        <v>499</v>
      </c>
      <c r="CF92" s="1195" t="s">
        <v>1186</v>
      </c>
      <c r="CG92" s="1196" t="s">
        <v>1304</v>
      </c>
      <c r="CH92" s="1195" t="s">
        <v>1187</v>
      </c>
      <c r="CI92" s="1195" t="s">
        <v>506</v>
      </c>
      <c r="CJ92" s="1196" t="s">
        <v>499</v>
      </c>
      <c r="CK92" s="1195" t="s">
        <v>1186</v>
      </c>
      <c r="CL92" s="1196" t="s">
        <v>1304</v>
      </c>
      <c r="CM92" s="1195" t="s">
        <v>1187</v>
      </c>
      <c r="CN92" s="1195" t="s">
        <v>506</v>
      </c>
      <c r="CO92" s="1196" t="s">
        <v>499</v>
      </c>
      <c r="CP92" s="1195" t="s">
        <v>1186</v>
      </c>
      <c r="CQ92" s="1196" t="s">
        <v>1304</v>
      </c>
      <c r="CR92" s="1195" t="s">
        <v>1187</v>
      </c>
      <c r="CS92" s="1195" t="s">
        <v>506</v>
      </c>
      <c r="CT92" s="1196" t="s">
        <v>499</v>
      </c>
      <c r="CU92" s="1195" t="s">
        <v>1186</v>
      </c>
      <c r="CV92" s="1196" t="s">
        <v>1304</v>
      </c>
      <c r="CW92" s="1195" t="s">
        <v>1187</v>
      </c>
      <c r="CX92" s="1195" t="s">
        <v>506</v>
      </c>
      <c r="CY92" s="1196" t="s">
        <v>499</v>
      </c>
      <c r="CZ92" s="1195" t="s">
        <v>1186</v>
      </c>
      <c r="DA92" s="1196" t="s">
        <v>1304</v>
      </c>
      <c r="DB92" s="1195" t="s">
        <v>1187</v>
      </c>
      <c r="DC92" s="1195" t="s">
        <v>506</v>
      </c>
      <c r="DD92" s="1196" t="s">
        <v>499</v>
      </c>
      <c r="DE92" s="1195" t="s">
        <v>1186</v>
      </c>
      <c r="DF92" s="1196" t="s">
        <v>1304</v>
      </c>
      <c r="DG92" s="1195" t="s">
        <v>1187</v>
      </c>
      <c r="DH92" s="1195" t="s">
        <v>506</v>
      </c>
      <c r="DI92" s="1196" t="s">
        <v>499</v>
      </c>
      <c r="DJ92" s="1195" t="s">
        <v>1186</v>
      </c>
      <c r="DK92" s="1196" t="s">
        <v>1304</v>
      </c>
      <c r="DL92" s="1195" t="s">
        <v>1187</v>
      </c>
      <c r="DM92" s="1195" t="s">
        <v>506</v>
      </c>
      <c r="DN92" s="1196" t="s">
        <v>499</v>
      </c>
      <c r="DO92" s="1195" t="s">
        <v>1186</v>
      </c>
      <c r="DP92" s="1196" t="s">
        <v>1304</v>
      </c>
      <c r="DQ92" s="1195" t="s">
        <v>1187</v>
      </c>
      <c r="DR92" s="1195" t="s">
        <v>506</v>
      </c>
      <c r="DS92" s="1196" t="s">
        <v>499</v>
      </c>
      <c r="DT92" s="1195" t="s">
        <v>1186</v>
      </c>
      <c r="DU92" s="1196" t="s">
        <v>1304</v>
      </c>
      <c r="DV92" s="1195" t="s">
        <v>1187</v>
      </c>
      <c r="DW92" s="1195" t="s">
        <v>506</v>
      </c>
      <c r="DX92" s="1196" t="s">
        <v>499</v>
      </c>
      <c r="DY92" s="1195" t="s">
        <v>1186</v>
      </c>
      <c r="DZ92" s="1196" t="s">
        <v>1304</v>
      </c>
      <c r="EA92" s="1195" t="s">
        <v>1187</v>
      </c>
    </row>
    <row r="93" spans="1:131" s="1240" customFormat="1">
      <c r="A93" s="1379"/>
      <c r="C93" s="1241" t="s">
        <v>622</v>
      </c>
      <c r="D93" s="1242"/>
      <c r="E93" s="1242" t="s">
        <v>1132</v>
      </c>
      <c r="F93" s="1243" t="s">
        <v>1130</v>
      </c>
      <c r="G93" s="1180"/>
      <c r="H93" s="1181"/>
      <c r="I93" s="1182"/>
      <c r="J93" s="1171">
        <f ca="1">OFFSET('VVP2'!$G$302,0,(COLUMN()-6)/5)</f>
        <v>101.1867</v>
      </c>
      <c r="K93" s="1183"/>
      <c r="L93" s="1180"/>
      <c r="M93" s="1181"/>
      <c r="N93" s="1182"/>
      <c r="O93" s="1171">
        <f ca="1">OFFSET('VVP2'!$G$302,0,(COLUMN()-6)/5)</f>
        <v>105.7623</v>
      </c>
      <c r="P93" s="1164">
        <f ca="1">(O93/J93-1)*100</f>
        <v>4.5219381598569752</v>
      </c>
      <c r="Q93" s="1180"/>
      <c r="R93" s="1181"/>
      <c r="S93" s="1182"/>
      <c r="T93" s="1171">
        <f ca="1">OFFSET('VVP2'!$G$302,0,(COLUMN()-6)/5)</f>
        <v>117.24380000000001</v>
      </c>
      <c r="U93" s="1164">
        <f ca="1">(T93/O93-1)*100</f>
        <v>10.85594772428362</v>
      </c>
      <c r="V93" s="1180"/>
      <c r="W93" s="1181"/>
      <c r="X93" s="1182"/>
      <c r="Y93" s="1171">
        <f ca="1">OFFSET('VVP2'!$G$302,0,(COLUMN()-6)/5)</f>
        <v>127.2176</v>
      </c>
      <c r="Z93" s="1164">
        <f ca="1">(Y93/T93-1)*100</f>
        <v>8.5068890636434524</v>
      </c>
      <c r="AA93" s="1180"/>
      <c r="AB93" s="1181"/>
      <c r="AC93" s="1182"/>
      <c r="AD93" s="1171">
        <f ca="1">OFFSET('VVP2'!$G$302,0,(COLUMN()-6)/5)</f>
        <v>132.40679999999998</v>
      </c>
      <c r="AE93" s="1164">
        <f ca="1">(AD93/Y93-1)*100</f>
        <v>4.0789953591326755</v>
      </c>
      <c r="AF93" s="1180"/>
      <c r="AG93" s="1181"/>
      <c r="AH93" s="1182"/>
      <c r="AI93" s="1171">
        <f ca="1">OFFSET('VVP2'!$G$302,0,(COLUMN()-6)/5)</f>
        <v>156.69550000000001</v>
      </c>
      <c r="AJ93" s="1164">
        <f ca="1">(AI93/AD93-1)*100</f>
        <v>18.343997438198056</v>
      </c>
      <c r="AK93" s="1180"/>
      <c r="AL93" s="1181"/>
      <c r="AM93" s="1182"/>
      <c r="AN93" s="1171">
        <f ca="1">OFFSET('VVP2'!$G$302,0,(COLUMN()-6)/5)</f>
        <v>165.80600000000001</v>
      </c>
      <c r="AO93" s="1164">
        <f ca="1">(AN93/AI93-1)*100</f>
        <v>5.8141427162873294</v>
      </c>
      <c r="AP93" s="1180"/>
      <c r="AQ93" s="1181"/>
      <c r="AR93" s="1182"/>
      <c r="AS93" s="1171">
        <f ca="1">OFFSET('VVP2'!$G$302,0,(COLUMN()-6)/5)</f>
        <v>172.62379999999999</v>
      </c>
      <c r="AT93" s="1164">
        <f ca="1">(AS93/AN93-1)*100</f>
        <v>4.1119139235009428</v>
      </c>
      <c r="AU93" s="1180"/>
      <c r="AV93" s="1181"/>
      <c r="AW93" s="1182"/>
      <c r="AX93" s="1171">
        <f ca="1">OFFSET('VVP2'!$G$302,0,(COLUMN()-6)/5)</f>
        <v>174.60470000000001</v>
      </c>
      <c r="AY93" s="1164">
        <f ca="1">(AX93/AS93-1)*100</f>
        <v>1.1475242695387466</v>
      </c>
      <c r="AZ93" s="1180"/>
      <c r="BA93" s="1181"/>
      <c r="BB93" s="1182"/>
      <c r="BC93" s="1171">
        <f ca="1">OFFSET('VVP2'!$G$302,0,(COLUMN()-6)/5)</f>
        <v>190.27289999999999</v>
      </c>
      <c r="BD93" s="1164">
        <f ca="1">(BC93/AX93-1)*100</f>
        <v>8.9735270585499691</v>
      </c>
      <c r="BE93" s="1180"/>
      <c r="BF93" s="1181"/>
      <c r="BG93" s="1182"/>
      <c r="BH93" s="1171">
        <f ca="1">OFFSET('VVP2'!$G$302,0,(COLUMN()-6)/5)</f>
        <v>206.45600000000002</v>
      </c>
      <c r="BI93" s="1164">
        <f ca="1">(BH93/BC93-1)*100</f>
        <v>8.5052048925517099</v>
      </c>
      <c r="BJ93" s="1180"/>
      <c r="BK93" s="1181"/>
      <c r="BL93" s="1182"/>
      <c r="BM93" s="1171">
        <f ca="1">OFFSET('VVP2'!$G$302,0,(COLUMN()-6)/5)</f>
        <v>223.3871</v>
      </c>
      <c r="BN93" s="1164">
        <f ca="1">(BM93/BH93-1)*100</f>
        <v>8.2008272949199768</v>
      </c>
      <c r="BO93" s="1180"/>
      <c r="BP93" s="1181"/>
      <c r="BQ93" s="1182"/>
      <c r="BR93" s="1171">
        <f ca="1">OFFSET('VVP2'!$G$302,0,(COLUMN()-6)/5)</f>
        <v>239.48610000000005</v>
      </c>
      <c r="BS93" s="1164">
        <f ca="1">(BR93/BM93-1)*100</f>
        <v>7.2067724591079907</v>
      </c>
      <c r="BT93" s="1180"/>
      <c r="BU93" s="1181"/>
      <c r="BV93" s="1182"/>
      <c r="BW93" s="1171">
        <f ca="1">OFFSET('VVP2'!$G$302,0,(COLUMN()-6)/5)</f>
        <v>246.84370000000001</v>
      </c>
      <c r="BX93" s="1164">
        <f ca="1">(BW93/BR93-1)*100</f>
        <v>3.0722451115116733</v>
      </c>
      <c r="BY93" s="1180"/>
      <c r="BZ93" s="1181"/>
      <c r="CA93" s="1182"/>
      <c r="CB93" s="1171">
        <f ca="1">OFFSET('VVP2'!$G$302,0,(COLUMN()-6)/5)</f>
        <v>201.27879999999999</v>
      </c>
      <c r="CC93" s="1164">
        <f ca="1">(CB93/BW93-1)*100</f>
        <v>-18.459008676340538</v>
      </c>
      <c r="CD93" s="1180"/>
      <c r="CE93" s="1181"/>
      <c r="CF93" s="1182"/>
      <c r="CG93" s="1171">
        <f ca="1">OFFSET('VVP2'!$G$302,0,(COLUMN()-6)/5)</f>
        <v>224.59620000000004</v>
      </c>
      <c r="CH93" s="1164">
        <f ca="1">(CG93/CB93-1)*100</f>
        <v>11.584627889275989</v>
      </c>
      <c r="CI93" s="1180"/>
      <c r="CJ93" s="1181"/>
      <c r="CK93" s="1182"/>
      <c r="CL93" s="1171">
        <f ca="1">OFFSET('VVP2'!$G$302,0,(COLUMN()-6)/5)</f>
        <v>246.04180000000002</v>
      </c>
      <c r="CM93" s="1164">
        <f ca="1">(CL93/CG93-1)*100</f>
        <v>9.5485141778890217</v>
      </c>
      <c r="CN93" s="1180"/>
      <c r="CO93" s="1181"/>
      <c r="CP93" s="1182"/>
      <c r="CQ93" s="1171">
        <f ca="1">OFFSET('VVP2'!$G$302,0,(COLUMN()-6)/5)</f>
        <v>243.05099999999996</v>
      </c>
      <c r="CR93" s="1164">
        <f ca="1">(CQ93/CL93-1)*100</f>
        <v>-1.215565810362329</v>
      </c>
      <c r="CS93" s="1180"/>
      <c r="CT93" s="1181"/>
      <c r="CU93" s="1182"/>
      <c r="CV93" s="1171">
        <f ca="1">OFFSET('VVP2'!$G$302,0,(COLUMN()-6)/5)</f>
        <v>247.57239999999996</v>
      </c>
      <c r="CW93" s="1164">
        <f ca="1">(CV93/CQ93-1)*100</f>
        <v>1.86026800959469</v>
      </c>
      <c r="CX93" s="1180"/>
      <c r="CY93" s="1181"/>
      <c r="CZ93" s="1182"/>
      <c r="DA93" s="1171">
        <f ca="1">OFFSET('VVP2'!$G$302,0,(COLUMN()-6)/5)</f>
        <v>250.59639999999996</v>
      </c>
      <c r="DB93" s="1164">
        <f ca="1">(DA93/CV93-1)*100</f>
        <v>1.2214608736676569</v>
      </c>
      <c r="DC93" s="1180"/>
      <c r="DD93" s="1181"/>
      <c r="DE93" s="1182"/>
      <c r="DF93" s="1171">
        <f ca="1">OFFSET('VVP2'!$G$302,0,(COLUMN()-6)/5)</f>
        <v>256.49360000000001</v>
      </c>
      <c r="DG93" s="1164">
        <f ca="1">(DF93/DA93-1)*100</f>
        <v>2.3532660485146906</v>
      </c>
      <c r="DH93" s="1180"/>
      <c r="DI93" s="1181"/>
      <c r="DJ93" s="1182"/>
      <c r="DK93" s="1171">
        <f ca="1">OFFSET('VVP2'!$G$302,0,(COLUMN()-6)/5)</f>
        <v>258.77640000000002</v>
      </c>
      <c r="DL93" s="1164">
        <f ca="1">(DK93/DF93-1)*100</f>
        <v>0.89000271351800109</v>
      </c>
      <c r="DM93" s="1253"/>
      <c r="DN93" s="1358"/>
      <c r="DO93" s="1095"/>
      <c r="DP93" s="1171">
        <f ca="1">OFFSET('VVP2'!$G$302,0,(COLUMN()-6)/5)</f>
        <v>274.46430000000004</v>
      </c>
      <c r="DQ93" s="1164">
        <f ca="1">(DP93/DK93-1)*100</f>
        <v>6.0623379875444527</v>
      </c>
      <c r="DR93" s="1253"/>
      <c r="DS93" s="1358"/>
      <c r="DT93" s="1095"/>
      <c r="DU93" s="1153">
        <f ca="1">+DU95-DU94</f>
        <v>293.98497058950005</v>
      </c>
      <c r="DV93" s="1359">
        <f ca="1">(DU93/DP93-1)*100</f>
        <v>7.1122803911109811</v>
      </c>
      <c r="DW93" s="1253"/>
      <c r="DX93" s="1358"/>
      <c r="DY93" s="1095"/>
      <c r="DZ93" s="1153">
        <f ca="1">+DZ95-DZ94</f>
        <v>312.72172305725604</v>
      </c>
      <c r="EA93" s="1359">
        <f ca="1">(DZ93/DU93-1)*100</f>
        <v>6.3733708666075639</v>
      </c>
    </row>
    <row r="94" spans="1:131" s="1240" customFormat="1">
      <c r="A94" s="1379"/>
      <c r="C94" s="1246" t="s">
        <v>622</v>
      </c>
      <c r="D94" s="1247"/>
      <c r="E94" s="1247" t="s">
        <v>1133</v>
      </c>
      <c r="F94" s="1248" t="s">
        <v>1131</v>
      </c>
      <c r="G94" s="1189"/>
      <c r="H94" s="1190"/>
      <c r="I94" s="1191"/>
      <c r="J94" s="1174">
        <f ca="1">OFFSET('VVP2'!$G$303,0,(COLUMN()-6)/5)</f>
        <v>27.167300000000001</v>
      </c>
      <c r="K94" s="1192"/>
      <c r="L94" s="1189"/>
      <c r="M94" s="1190"/>
      <c r="N94" s="1191"/>
      <c r="O94" s="1174">
        <f ca="1">OFFSET('VVP2'!$G$303,0,(COLUMN()-6)/5)</f>
        <v>28.8492</v>
      </c>
      <c r="P94" s="1161">
        <f ca="1">(O94/J94-1)*100</f>
        <v>6.1908986170874591</v>
      </c>
      <c r="Q94" s="1189"/>
      <c r="R94" s="1190"/>
      <c r="S94" s="1191"/>
      <c r="T94" s="1174">
        <f ca="1">OFFSET('VVP2'!$G$303,0,(COLUMN()-6)/5)</f>
        <v>35.033499999999997</v>
      </c>
      <c r="U94" s="1161">
        <f ca="1">(T94/O94-1)*100</f>
        <v>21.436642957170381</v>
      </c>
      <c r="V94" s="1189"/>
      <c r="W94" s="1190"/>
      <c r="X94" s="1191"/>
      <c r="Y94" s="1174">
        <f ca="1">OFFSET('VVP2'!$G$303,0,(COLUMN()-6)/5)</f>
        <v>33.698500000000003</v>
      </c>
      <c r="Z94" s="1161">
        <f ca="1">(Y94/T94-1)*100</f>
        <v>-3.8106383889705442</v>
      </c>
      <c r="AA94" s="1189"/>
      <c r="AB94" s="1190"/>
      <c r="AC94" s="1191"/>
      <c r="AD94" s="1174">
        <f ca="1">OFFSET('VVP2'!$G$303,0,(COLUMN()-6)/5)</f>
        <v>35.684400000000004</v>
      </c>
      <c r="AE94" s="1161">
        <f ca="1">(AD94/Y94-1)*100</f>
        <v>5.893140644242334</v>
      </c>
      <c r="AF94" s="1189"/>
      <c r="AG94" s="1190"/>
      <c r="AH94" s="1191"/>
      <c r="AI94" s="1174">
        <f ca="1">OFFSET('VVP2'!$G$303,0,(COLUMN()-6)/5)</f>
        <v>47.257699999999993</v>
      </c>
      <c r="AJ94" s="1161">
        <f ca="1">(AI94/AD94-1)*100</f>
        <v>32.432379415094516</v>
      </c>
      <c r="AK94" s="1189"/>
      <c r="AL94" s="1190"/>
      <c r="AM94" s="1191"/>
      <c r="AN94" s="1174">
        <f ca="1">OFFSET('VVP2'!$G$303,0,(COLUMN()-6)/5)</f>
        <v>46.73149999999999</v>
      </c>
      <c r="AO94" s="1161">
        <f ca="1">(AN94/AI94-1)*100</f>
        <v>-1.1134693393880846</v>
      </c>
      <c r="AP94" s="1189"/>
      <c r="AQ94" s="1190"/>
      <c r="AR94" s="1191"/>
      <c r="AS94" s="1174">
        <f ca="1">OFFSET('VVP2'!$G$303,0,(COLUMN()-6)/5)</f>
        <v>55.937399999999997</v>
      </c>
      <c r="AT94" s="1161">
        <f ca="1">(AS94/AN94-1)*100</f>
        <v>19.699560253790295</v>
      </c>
      <c r="AU94" s="1189"/>
      <c r="AV94" s="1190"/>
      <c r="AW94" s="1191"/>
      <c r="AX94" s="1174">
        <f ca="1">OFFSET('VVP2'!$G$303,0,(COLUMN()-6)/5)</f>
        <v>51.364900000000006</v>
      </c>
      <c r="AY94" s="1161">
        <f ca="1">(AX94/AS94-1)*100</f>
        <v>-8.1743162892805028</v>
      </c>
      <c r="AZ94" s="1189"/>
      <c r="BA94" s="1190"/>
      <c r="BB94" s="1191"/>
      <c r="BC94" s="1174">
        <f ca="1">OFFSET('VVP2'!$G$303,0,(COLUMN()-6)/5)</f>
        <v>56.42410000000001</v>
      </c>
      <c r="BD94" s="1161">
        <f ca="1">(BC94/AX94-1)*100</f>
        <v>9.8495275956927753</v>
      </c>
      <c r="BE94" s="1189"/>
      <c r="BF94" s="1190"/>
      <c r="BG94" s="1191"/>
      <c r="BH94" s="1174">
        <f ca="1">OFFSET('VVP2'!$G$303,0,(COLUMN()-6)/5)</f>
        <v>62.332699999999988</v>
      </c>
      <c r="BI94" s="1161">
        <f ca="1">(BH94/BC94-1)*100</f>
        <v>10.471766496940106</v>
      </c>
      <c r="BJ94" s="1189"/>
      <c r="BK94" s="1190"/>
      <c r="BL94" s="1191"/>
      <c r="BM94" s="1174">
        <f ca="1">OFFSET('VVP2'!$G$303,0,(COLUMN()-6)/5)</f>
        <v>68.699999999999932</v>
      </c>
      <c r="BN94" s="1161">
        <f ca="1">(BM94/BH94-1)*100</f>
        <v>10.215023575105754</v>
      </c>
      <c r="BO94" s="1189"/>
      <c r="BP94" s="1190"/>
      <c r="BQ94" s="1191"/>
      <c r="BR94" s="1174">
        <f ca="1">OFFSET('VVP2'!$G$303,0,(COLUMN()-6)/5)</f>
        <v>74.962699999999984</v>
      </c>
      <c r="BS94" s="1161">
        <f ca="1">(BR94/BM94-1)*100</f>
        <v>9.1160116448326889</v>
      </c>
      <c r="BT94" s="1189"/>
      <c r="BU94" s="1190"/>
      <c r="BV94" s="1191"/>
      <c r="BW94" s="1174">
        <f ca="1">OFFSET('VVP2'!$G$303,0,(COLUMN()-6)/5)</f>
        <v>73.961300000000008</v>
      </c>
      <c r="BX94" s="1161">
        <f ca="1">(BW94/BR94-1)*100</f>
        <v>-1.3358643698799244</v>
      </c>
      <c r="BY94" s="1189"/>
      <c r="BZ94" s="1190"/>
      <c r="CA94" s="1191"/>
      <c r="CB94" s="1174">
        <f ca="1">OFFSET('VVP2'!$G$303,0,(COLUMN()-6)/5)</f>
        <v>64.7072</v>
      </c>
      <c r="CC94" s="1161">
        <f ca="1">(CB94/BW94-1)*100</f>
        <v>-12.512084022319792</v>
      </c>
      <c r="CD94" s="1189"/>
      <c r="CE94" s="1190"/>
      <c r="CF94" s="1191"/>
      <c r="CG94" s="1174">
        <f ca="1">OFFSET('VVP2'!$G$303,0,(COLUMN()-6)/5)</f>
        <v>82.933699999999988</v>
      </c>
      <c r="CH94" s="1161">
        <f ca="1">(CG94/CB94-1)*100</f>
        <v>28.16765367687055</v>
      </c>
      <c r="CI94" s="1189"/>
      <c r="CJ94" s="1190"/>
      <c r="CK94" s="1191"/>
      <c r="CL94" s="1174">
        <f ca="1">OFFSET('VVP2'!$G$303,0,(COLUMN()-6)/5)</f>
        <v>95.676299999999998</v>
      </c>
      <c r="CM94" s="1161">
        <f ca="1">(CL94/CG94-1)*100</f>
        <v>15.364803451431698</v>
      </c>
      <c r="CN94" s="1189"/>
      <c r="CO94" s="1190"/>
      <c r="CP94" s="1191"/>
      <c r="CQ94" s="1174">
        <f ca="1">OFFSET('VVP2'!$G$303,0,(COLUMN()-6)/5)</f>
        <v>104.03720000000006</v>
      </c>
      <c r="CR94" s="1161">
        <f ca="1">(CQ94/CL94-1)*100</f>
        <v>8.7387367613505731</v>
      </c>
      <c r="CS94" s="1189"/>
      <c r="CT94" s="1190"/>
      <c r="CU94" s="1191"/>
      <c r="CV94" s="1174">
        <f ca="1">OFFSET('VVP2'!$G$303,0,(COLUMN()-6)/5)</f>
        <v>105.38320000000003</v>
      </c>
      <c r="CW94" s="1161">
        <f ca="1">(CV94/CQ94-1)*100</f>
        <v>1.2937679983697992</v>
      </c>
      <c r="CX94" s="1189"/>
      <c r="CY94" s="1190"/>
      <c r="CZ94" s="1191"/>
      <c r="DA94" s="1174">
        <f ca="1">OFFSET('VVP2'!$G$303,0,(COLUMN()-6)/5)</f>
        <v>104.69130000000006</v>
      </c>
      <c r="DB94" s="1161">
        <f ca="1">(DA94/CV94-1)*100</f>
        <v>-0.65655626323738447</v>
      </c>
      <c r="DC94" s="1189"/>
      <c r="DD94" s="1190"/>
      <c r="DE94" s="1191"/>
      <c r="DF94" s="1174">
        <f ca="1">OFFSET('VVP2'!$G$303,0,(COLUMN()-6)/5)</f>
        <v>101.25980000000003</v>
      </c>
      <c r="DG94" s="1161">
        <f ca="1">(DF94/DA94-1)*100</f>
        <v>-3.2777317694975827</v>
      </c>
      <c r="DH94" s="1189"/>
      <c r="DI94" s="1190"/>
      <c r="DJ94" s="1191"/>
      <c r="DK94" s="1174">
        <f ca="1">OFFSET('VVP2'!$G$303,0,(COLUMN()-6)/5)</f>
        <v>100.76729999999998</v>
      </c>
      <c r="DL94" s="1161">
        <f ca="1">(DK94/DF94-1)*100</f>
        <v>-0.4863726770150123</v>
      </c>
      <c r="DM94" s="1148"/>
      <c r="DN94" s="1351"/>
      <c r="DO94" s="924"/>
      <c r="DP94" s="1174">
        <f ca="1">OFFSET('VVP2'!$G$303,0,(COLUMN()-6)/5)</f>
        <v>106.55620000000005</v>
      </c>
      <c r="DQ94" s="1161">
        <f ca="1">(DP94/DK94-1)*100</f>
        <v>5.7448199961694701</v>
      </c>
      <c r="DR94" s="1148"/>
      <c r="DS94" s="1351"/>
      <c r="DT94" s="924"/>
      <c r="DU94" s="1153">
        <f ca="1">+DP94*(1+DV94/100)</f>
        <v>110.81844800000005</v>
      </c>
      <c r="DV94" s="3372">
        <v>4</v>
      </c>
      <c r="DW94" s="1148"/>
      <c r="DX94" s="1351"/>
      <c r="DY94" s="924"/>
      <c r="DZ94" s="1153">
        <f ca="1">+DU94*(1+EA94/100)</f>
        <v>115.25118592000005</v>
      </c>
      <c r="EA94" s="3372">
        <v>4</v>
      </c>
    </row>
    <row r="95" spans="1:131" s="28" customFormat="1">
      <c r="A95" s="1378"/>
      <c r="C95" s="175" t="s">
        <v>624</v>
      </c>
      <c r="D95" s="1126"/>
      <c r="E95" s="1126" t="s">
        <v>692</v>
      </c>
      <c r="F95" s="1125" t="s">
        <v>1119</v>
      </c>
      <c r="G95" s="1176"/>
      <c r="H95" s="1176"/>
      <c r="I95" s="1176"/>
      <c r="J95" s="1177">
        <f ca="1">+J93+J94</f>
        <v>128.35400000000001</v>
      </c>
      <c r="K95" s="1176"/>
      <c r="L95" s="1176"/>
      <c r="M95" s="1176"/>
      <c r="N95" s="1176"/>
      <c r="O95" s="1177">
        <f ca="1">+O93+O94</f>
        <v>134.61150000000001</v>
      </c>
      <c r="P95" s="1177">
        <f ca="1">(O95/J95-1)*100</f>
        <v>4.8751889306137608</v>
      </c>
      <c r="Q95" s="1176"/>
      <c r="R95" s="1176"/>
      <c r="S95" s="1176"/>
      <c r="T95" s="1177">
        <f ca="1">+T93+T94</f>
        <v>152.2773</v>
      </c>
      <c r="U95" s="1177">
        <f ca="1">(T95/O95-1)*100</f>
        <v>13.123544422281896</v>
      </c>
      <c r="V95" s="1176"/>
      <c r="W95" s="1176"/>
      <c r="X95" s="1176"/>
      <c r="Y95" s="1177">
        <f ca="1">+Y93+Y94</f>
        <v>160.9161</v>
      </c>
      <c r="Z95" s="1177">
        <f ca="1">(Y95/T95-1)*100</f>
        <v>5.6730714295564866</v>
      </c>
      <c r="AA95" s="1176"/>
      <c r="AB95" s="1176"/>
      <c r="AC95" s="1176"/>
      <c r="AD95" s="1177">
        <f ca="1">+AD93+AD94</f>
        <v>168.09119999999999</v>
      </c>
      <c r="AE95" s="1177">
        <f ca="1">(AD95/Y95-1)*100</f>
        <v>4.4589074679289409</v>
      </c>
      <c r="AF95" s="1176"/>
      <c r="AG95" s="1176"/>
      <c r="AH95" s="1176"/>
      <c r="AI95" s="1177">
        <f ca="1">+AI93+AI94</f>
        <v>203.95320000000001</v>
      </c>
      <c r="AJ95" s="1177">
        <f ca="1">(AI95/AD95-1)*100</f>
        <v>21.334846797452833</v>
      </c>
      <c r="AK95" s="1176"/>
      <c r="AL95" s="1176"/>
      <c r="AM95" s="1176"/>
      <c r="AN95" s="1177">
        <f ca="1">+AN93+AN94</f>
        <v>212.53749999999999</v>
      </c>
      <c r="AO95" s="1177">
        <f ca="1">(AN95/AI95-1)*100</f>
        <v>4.2089557800514932</v>
      </c>
      <c r="AP95" s="1176"/>
      <c r="AQ95" s="1176"/>
      <c r="AR95" s="1176"/>
      <c r="AS95" s="1177">
        <f ca="1">+AS93+AS94</f>
        <v>228.56119999999999</v>
      </c>
      <c r="AT95" s="1177">
        <f ca="1">(AS95/AN95-1)*100</f>
        <v>7.5392342527789147</v>
      </c>
      <c r="AU95" s="1176"/>
      <c r="AV95" s="1176"/>
      <c r="AW95" s="1176"/>
      <c r="AX95" s="1177">
        <f ca="1">+AX93+AX94</f>
        <v>225.96960000000001</v>
      </c>
      <c r="AY95" s="1177">
        <f ca="1">(AX95/AS95-1)*100</f>
        <v>-1.133875740939394</v>
      </c>
      <c r="AZ95" s="1176"/>
      <c r="BA95" s="1176"/>
      <c r="BB95" s="1176"/>
      <c r="BC95" s="1177">
        <f ca="1">+BC93+BC94</f>
        <v>246.697</v>
      </c>
      <c r="BD95" s="1177">
        <f ca="1">(BC95/AX95-1)*100</f>
        <v>9.1726497723587652</v>
      </c>
      <c r="BE95" s="1176"/>
      <c r="BF95" s="1176"/>
      <c r="BG95" s="1176"/>
      <c r="BH95" s="1177">
        <f ca="1">+BH93+BH94</f>
        <v>268.78870000000001</v>
      </c>
      <c r="BI95" s="1177">
        <f ca="1">(BH95/BC95-1)*100</f>
        <v>8.9549933724366362</v>
      </c>
      <c r="BJ95" s="1176"/>
      <c r="BK95" s="1176"/>
      <c r="BL95" s="1176"/>
      <c r="BM95" s="1177">
        <f ca="1">+BM93+BM94</f>
        <v>292.08709999999996</v>
      </c>
      <c r="BN95" s="1177">
        <f ca="1">(BM95/BH95-1)*100</f>
        <v>8.6679239119799245</v>
      </c>
      <c r="BO95" s="1176"/>
      <c r="BP95" s="1176"/>
      <c r="BQ95" s="1176"/>
      <c r="BR95" s="1177">
        <f ca="1">+BR93+BR94</f>
        <v>314.44880000000001</v>
      </c>
      <c r="BS95" s="1177">
        <f ca="1">(BR95/BM95-1)*100</f>
        <v>7.6558327978195617</v>
      </c>
      <c r="BT95" s="1176"/>
      <c r="BU95" s="1176"/>
      <c r="BV95" s="1176"/>
      <c r="BW95" s="1177">
        <f ca="1">+BW93+BW94</f>
        <v>320.80500000000001</v>
      </c>
      <c r="BX95" s="1177">
        <f ca="1">(BW95/BR95-1)*100</f>
        <v>2.0213783611195302</v>
      </c>
      <c r="BY95" s="1176"/>
      <c r="BZ95" s="1176"/>
      <c r="CA95" s="1176"/>
      <c r="CB95" s="1177">
        <f ca="1">+CB93+CB94</f>
        <v>265.98599999999999</v>
      </c>
      <c r="CC95" s="1177">
        <f ca="1">(CB95/BW95-1)*100</f>
        <v>-17.087950624210979</v>
      </c>
      <c r="CD95" s="1176"/>
      <c r="CE95" s="1176"/>
      <c r="CF95" s="1176"/>
      <c r="CG95" s="1177">
        <f ca="1">+CG93+CG94</f>
        <v>307.5299</v>
      </c>
      <c r="CH95" s="1177">
        <f ca="1">(CG95/CB95-1)*100</f>
        <v>15.618829562458171</v>
      </c>
      <c r="CI95" s="1176"/>
      <c r="CJ95" s="1176"/>
      <c r="CK95" s="1176"/>
      <c r="CL95" s="1177">
        <f ca="1">+CL93+CL94</f>
        <v>341.71810000000005</v>
      </c>
      <c r="CM95" s="1177">
        <f ca="1">(CL95/CG95-1)*100</f>
        <v>11.117032847862941</v>
      </c>
      <c r="CN95" s="1176"/>
      <c r="CO95" s="1176"/>
      <c r="CP95" s="1176"/>
      <c r="CQ95" s="1177">
        <f ca="1">+CQ93+CQ94</f>
        <v>347.08820000000003</v>
      </c>
      <c r="CR95" s="1177">
        <f ca="1">(CQ95/CL95-1)*100</f>
        <v>1.5715000171193649</v>
      </c>
      <c r="CS95" s="1176"/>
      <c r="CT95" s="1176"/>
      <c r="CU95" s="1176"/>
      <c r="CV95" s="1177">
        <f ca="1">+CV93+CV94</f>
        <v>352.9556</v>
      </c>
      <c r="CW95" s="1177">
        <f ca="1">(CV95/CQ95-1)*100</f>
        <v>1.6904636919376603</v>
      </c>
      <c r="CX95" s="1176"/>
      <c r="CY95" s="1176"/>
      <c r="CZ95" s="1176"/>
      <c r="DA95" s="1177">
        <f ca="1">+DA93+DA94</f>
        <v>355.28770000000003</v>
      </c>
      <c r="DB95" s="1177">
        <f ca="1">(DA95/CV95-1)*100</f>
        <v>0.66073466464338093</v>
      </c>
      <c r="DC95" s="1176"/>
      <c r="DD95" s="1176"/>
      <c r="DE95" s="1176"/>
      <c r="DF95" s="1177">
        <f ca="1">+DF93+DF94</f>
        <v>357.75340000000006</v>
      </c>
      <c r="DG95" s="1177">
        <f ca="1">(DF95/DA95-1)*100</f>
        <v>0.694000946275386</v>
      </c>
      <c r="DH95" s="1176"/>
      <c r="DI95" s="1176"/>
      <c r="DJ95" s="1176"/>
      <c r="DK95" s="1177">
        <f ca="1">+DK93+DK94</f>
        <v>359.5437</v>
      </c>
      <c r="DL95" s="1177">
        <f ca="1">(DK95/DF95-1)*100</f>
        <v>0.50042850745790624</v>
      </c>
      <c r="DM95" s="1176"/>
      <c r="DN95" s="1176"/>
      <c r="DO95" s="1176"/>
      <c r="DP95" s="1177">
        <f ca="1">+DP93+DP94</f>
        <v>381.02050000000008</v>
      </c>
      <c r="DQ95" s="1177">
        <f ca="1">(DP95/DK95-1)*100</f>
        <v>5.9733489976323106</v>
      </c>
      <c r="DR95" s="1347"/>
      <c r="DS95" s="1339"/>
      <c r="DT95" s="1339"/>
      <c r="DU95" s="1339">
        <f ca="1">+DP95*(1+DV95/100)</f>
        <v>404.8034185895001</v>
      </c>
      <c r="DV95" s="1348">
        <f ca="1">+DV86</f>
        <v>6.2419000000000002</v>
      </c>
      <c r="DW95" s="1347"/>
      <c r="DX95" s="1339"/>
      <c r="DY95" s="1339"/>
      <c r="DZ95" s="1339">
        <f ca="1">+DU95*(1+EA95/100)</f>
        <v>427.97290897725611</v>
      </c>
      <c r="EA95" s="1348">
        <f ca="1">+EA86</f>
        <v>5.7236399999999854</v>
      </c>
    </row>
    <row r="96" spans="1:131">
      <c r="BC96" s="3378">
        <f ca="1">BC94/BC95*100</f>
        <v>22.871822519122652</v>
      </c>
      <c r="BH96" s="3378">
        <f ca="1">BH94/BH95*100</f>
        <v>23.190223398528282</v>
      </c>
      <c r="BM96" s="3378">
        <f ca="1">BM94/BM95*100</f>
        <v>23.52038142047353</v>
      </c>
      <c r="BR96" s="3378">
        <f ca="1">BR94/BR95*100</f>
        <v>23.839397701629004</v>
      </c>
      <c r="BW96" s="3378">
        <f ca="1">BW94/BW95*100</f>
        <v>23.054908745187888</v>
      </c>
      <c r="BY96" s="2909"/>
      <c r="CB96" s="3378">
        <f ca="1">CB94/CB95*100</f>
        <v>24.327295421563541</v>
      </c>
      <c r="CG96" s="3378">
        <f ca="1">CG94/CG95*100</f>
        <v>26.967686719242579</v>
      </c>
      <c r="CL96" s="3378">
        <f ca="1">CL94/CL95*100</f>
        <v>27.998604697848894</v>
      </c>
      <c r="CQ96" s="3378">
        <f ca="1">CQ94/CQ95*100</f>
        <v>29.974283193724261</v>
      </c>
      <c r="CV96" s="3378">
        <f ca="1">CV94/CV95*100</f>
        <v>29.857353162834087</v>
      </c>
      <c r="DA96" s="3378">
        <f ca="1">DA94/DA95*100</f>
        <v>29.466626624000785</v>
      </c>
      <c r="DF96" s="3378">
        <f ca="1">DF94/DF95*100</f>
        <v>28.304357135389914</v>
      </c>
      <c r="DK96" s="3378">
        <f ca="1">DK94/DK95*100</f>
        <v>28.026440179594296</v>
      </c>
      <c r="DM96" s="3734"/>
      <c r="DN96" s="3734"/>
      <c r="DO96" s="3734"/>
      <c r="DP96" s="3734">
        <f ca="1">DP94/DP95*100</f>
        <v>27.966001829297905</v>
      </c>
      <c r="DR96" s="3734"/>
      <c r="DS96" s="3734"/>
      <c r="DT96" s="3734"/>
      <c r="DU96" s="3734">
        <f ca="1">DU94/DU95*100</f>
        <v>27.375867621409082</v>
      </c>
      <c r="DW96" s="3734"/>
      <c r="DX96" s="3734"/>
      <c r="DY96" s="3734"/>
      <c r="DZ96" s="3734">
        <f ca="1">DZ94/DZ95*100</f>
        <v>26.929551731538425</v>
      </c>
    </row>
    <row r="97" spans="1:131">
      <c r="BC97" s="3378"/>
      <c r="BH97" s="3378">
        <f ca="1">BH96-BC96</f>
        <v>0.31840087940562967</v>
      </c>
      <c r="BM97" s="3378">
        <f ca="1">BM96-BH96</f>
        <v>0.33015802194524824</v>
      </c>
      <c r="BR97" s="3378">
        <f ca="1">BR96-BM96</f>
        <v>0.31901628115547354</v>
      </c>
      <c r="BW97" s="3378">
        <f ca="1">BW96-BR96</f>
        <v>-0.78448895644111616</v>
      </c>
      <c r="BY97" s="1370"/>
      <c r="CB97" s="3378">
        <f ca="1">CB96-BW96</f>
        <v>1.2723866763756533</v>
      </c>
      <c r="CD97" s="1370"/>
      <c r="CG97" s="3378">
        <f ca="1">CG96-CB96</f>
        <v>2.640391297679038</v>
      </c>
      <c r="CI97" s="1370"/>
      <c r="CL97" s="3378">
        <f ca="1">CL96-CG96</f>
        <v>1.0309179786063147</v>
      </c>
      <c r="CN97" s="1370"/>
      <c r="CQ97" s="3378">
        <f ca="1">CQ96-CL96</f>
        <v>1.9756784958753677</v>
      </c>
      <c r="CS97" s="1370"/>
      <c r="CV97" s="3378">
        <f ca="1">CV96-CQ96</f>
        <v>-0.11693003089017395</v>
      </c>
      <c r="CX97" s="1370"/>
      <c r="DA97" s="3378">
        <f ca="1">DA96-CV96</f>
        <v>-0.39072653883330233</v>
      </c>
      <c r="DC97" s="1370"/>
      <c r="DF97" s="3378">
        <f ca="1">DF96-DA96</f>
        <v>-1.1622694886108711</v>
      </c>
      <c r="DH97" s="1370"/>
      <c r="DK97" s="3378">
        <f ca="1">DK96-DF96</f>
        <v>-0.27791695579561804</v>
      </c>
      <c r="DM97" s="1370"/>
      <c r="DP97" s="3378">
        <f ca="1">DP96-DK96</f>
        <v>-6.0438350296390553E-2</v>
      </c>
      <c r="DR97" s="1370"/>
      <c r="DU97" s="3378">
        <f ca="1">DU96-DP96</f>
        <v>-0.59013420788882343</v>
      </c>
      <c r="DW97" s="1370"/>
      <c r="DZ97" s="3378">
        <f ca="1">DZ96-DU96</f>
        <v>-0.4463158898706574</v>
      </c>
    </row>
    <row r="98" spans="1:131">
      <c r="B98" s="1"/>
      <c r="C98" s="822"/>
      <c r="D98" s="4106"/>
      <c r="E98" s="4108" t="s">
        <v>2043</v>
      </c>
      <c r="F98" s="4109"/>
      <c r="G98" s="4098">
        <f>+InputY!$G$3</f>
        <v>1995</v>
      </c>
      <c r="H98" s="4099"/>
      <c r="I98" s="4099"/>
      <c r="J98" s="4099"/>
      <c r="K98" s="4100"/>
      <c r="L98" s="4098">
        <f>+G98+1</f>
        <v>1996</v>
      </c>
      <c r="M98" s="4099"/>
      <c r="N98" s="4099"/>
      <c r="O98" s="4099"/>
      <c r="P98" s="4100"/>
      <c r="Q98" s="4098">
        <f>+L98+1</f>
        <v>1997</v>
      </c>
      <c r="R98" s="4099"/>
      <c r="S98" s="4099"/>
      <c r="T98" s="4099"/>
      <c r="U98" s="4100"/>
      <c r="V98" s="4098">
        <f>+Q98+1</f>
        <v>1998</v>
      </c>
      <c r="W98" s="4099"/>
      <c r="X98" s="4099"/>
      <c r="Y98" s="4099"/>
      <c r="Z98" s="4100"/>
      <c r="AA98" s="4098">
        <f>+V98+1</f>
        <v>1999</v>
      </c>
      <c r="AB98" s="4099"/>
      <c r="AC98" s="4099"/>
      <c r="AD98" s="4099"/>
      <c r="AE98" s="4100"/>
      <c r="AF98" s="4098">
        <f>+AA98+1</f>
        <v>2000</v>
      </c>
      <c r="AG98" s="4099"/>
      <c r="AH98" s="4099"/>
      <c r="AI98" s="4099"/>
      <c r="AJ98" s="4100"/>
      <c r="AK98" s="4098">
        <f>+AF98+1</f>
        <v>2001</v>
      </c>
      <c r="AL98" s="4099"/>
      <c r="AM98" s="4099"/>
      <c r="AN98" s="4099"/>
      <c r="AO98" s="4100"/>
      <c r="AP98" s="4098">
        <f>+AK98+1</f>
        <v>2002</v>
      </c>
      <c r="AQ98" s="4099"/>
      <c r="AR98" s="4099"/>
      <c r="AS98" s="4099"/>
      <c r="AT98" s="4100"/>
      <c r="AU98" s="4098">
        <f>+AP98+1</f>
        <v>2003</v>
      </c>
      <c r="AV98" s="4099"/>
      <c r="AW98" s="4099"/>
      <c r="AX98" s="4099"/>
      <c r="AY98" s="4100"/>
      <c r="AZ98" s="4098">
        <f>+AU98+1</f>
        <v>2004</v>
      </c>
      <c r="BA98" s="4099"/>
      <c r="BB98" s="4099"/>
      <c r="BC98" s="4099"/>
      <c r="BD98" s="4100"/>
      <c r="BE98" s="4098">
        <f>+AZ98+1</f>
        <v>2005</v>
      </c>
      <c r="BF98" s="4099"/>
      <c r="BG98" s="4099"/>
      <c r="BH98" s="4099"/>
      <c r="BI98" s="4100"/>
      <c r="BJ98" s="4098">
        <f>+BE98+1</f>
        <v>2006</v>
      </c>
      <c r="BK98" s="4099"/>
      <c r="BL98" s="4099"/>
      <c r="BM98" s="4099"/>
      <c r="BN98" s="4100"/>
      <c r="BO98" s="4098">
        <f>+BJ98+1</f>
        <v>2007</v>
      </c>
      <c r="BP98" s="4099"/>
      <c r="BQ98" s="4099"/>
      <c r="BR98" s="4099"/>
      <c r="BS98" s="4100"/>
      <c r="BT98" s="4090">
        <f>+BO98+1</f>
        <v>2008</v>
      </c>
      <c r="BU98" s="4091"/>
      <c r="BV98" s="4091"/>
      <c r="BW98" s="4091"/>
      <c r="BX98" s="4092"/>
      <c r="BY98" s="4098">
        <f>+BT98+1</f>
        <v>2009</v>
      </c>
      <c r="BZ98" s="4099"/>
      <c r="CA98" s="4099"/>
      <c r="CB98" s="4099"/>
      <c r="CC98" s="4100"/>
      <c r="CD98" s="4098">
        <f>+BY98+1</f>
        <v>2010</v>
      </c>
      <c r="CE98" s="4099"/>
      <c r="CF98" s="4099"/>
      <c r="CG98" s="4099"/>
      <c r="CH98" s="4100"/>
      <c r="CI98" s="4098">
        <f>+CD98+1</f>
        <v>2011</v>
      </c>
      <c r="CJ98" s="4099"/>
      <c r="CK98" s="4099"/>
      <c r="CL98" s="4099"/>
      <c r="CM98" s="4100"/>
      <c r="CN98" s="4098">
        <f>+CI98+1</f>
        <v>2012</v>
      </c>
      <c r="CO98" s="4099"/>
      <c r="CP98" s="4099"/>
      <c r="CQ98" s="4099"/>
      <c r="CR98" s="4100"/>
      <c r="CS98" s="4090">
        <f>+CN98+1</f>
        <v>2013</v>
      </c>
      <c r="CT98" s="4091"/>
      <c r="CU98" s="4091"/>
      <c r="CV98" s="4091"/>
      <c r="CW98" s="4092"/>
      <c r="CX98" s="4090">
        <f>+CS98+1</f>
        <v>2014</v>
      </c>
      <c r="CY98" s="4091"/>
      <c r="CZ98" s="4091"/>
      <c r="DA98" s="4091"/>
      <c r="DB98" s="4092"/>
      <c r="DC98" s="4090">
        <f>+CX98+1</f>
        <v>2015</v>
      </c>
      <c r="DD98" s="4091"/>
      <c r="DE98" s="4091"/>
      <c r="DF98" s="4091"/>
      <c r="DG98" s="4092"/>
      <c r="DH98" s="4090">
        <f>+DC98+1</f>
        <v>2016</v>
      </c>
      <c r="DI98" s="4091"/>
      <c r="DJ98" s="4091"/>
      <c r="DK98" s="4091"/>
      <c r="DL98" s="4092"/>
      <c r="DM98" s="4090">
        <f>+DH98+1</f>
        <v>2017</v>
      </c>
      <c r="DN98" s="4091"/>
      <c r="DO98" s="4091"/>
      <c r="DP98" s="4091"/>
      <c r="DQ98" s="4092"/>
      <c r="DR98" s="4090">
        <f>+DM98+1</f>
        <v>2018</v>
      </c>
      <c r="DS98" s="4091"/>
      <c r="DT98" s="4091"/>
      <c r="DU98" s="4091"/>
      <c r="DV98" s="4092"/>
      <c r="DW98" s="4090">
        <f>+DR98+1</f>
        <v>2019</v>
      </c>
      <c r="DX98" s="4091"/>
      <c r="DY98" s="4091"/>
      <c r="DZ98" s="4091"/>
      <c r="EA98" s="4092"/>
    </row>
    <row r="99" spans="1:131">
      <c r="B99" s="1"/>
      <c r="C99" s="822"/>
      <c r="D99" s="4106"/>
      <c r="E99" s="4108"/>
      <c r="F99" s="4109"/>
      <c r="G99" s="1195" t="s">
        <v>506</v>
      </c>
      <c r="H99" s="1196" t="s">
        <v>499</v>
      </c>
      <c r="I99" s="1195" t="s">
        <v>1186</v>
      </c>
      <c r="J99" s="1196" t="s">
        <v>1304</v>
      </c>
      <c r="K99" s="1195" t="s">
        <v>1187</v>
      </c>
      <c r="L99" s="1195" t="s">
        <v>506</v>
      </c>
      <c r="M99" s="1196" t="s">
        <v>499</v>
      </c>
      <c r="N99" s="1195" t="s">
        <v>1186</v>
      </c>
      <c r="O99" s="1196" t="s">
        <v>1304</v>
      </c>
      <c r="P99" s="1195" t="s">
        <v>1187</v>
      </c>
      <c r="Q99" s="1195" t="s">
        <v>506</v>
      </c>
      <c r="R99" s="1196" t="s">
        <v>499</v>
      </c>
      <c r="S99" s="1195" t="s">
        <v>1186</v>
      </c>
      <c r="T99" s="1196" t="s">
        <v>1304</v>
      </c>
      <c r="U99" s="1195" t="s">
        <v>1187</v>
      </c>
      <c r="V99" s="1195" t="s">
        <v>506</v>
      </c>
      <c r="W99" s="1196" t="s">
        <v>499</v>
      </c>
      <c r="X99" s="1195" t="s">
        <v>1186</v>
      </c>
      <c r="Y99" s="1196" t="s">
        <v>1304</v>
      </c>
      <c r="Z99" s="1195" t="s">
        <v>1187</v>
      </c>
      <c r="AA99" s="1195" t="s">
        <v>506</v>
      </c>
      <c r="AB99" s="1196" t="s">
        <v>499</v>
      </c>
      <c r="AC99" s="1195" t="s">
        <v>1186</v>
      </c>
      <c r="AD99" s="1196" t="s">
        <v>1304</v>
      </c>
      <c r="AE99" s="1195" t="s">
        <v>1187</v>
      </c>
      <c r="AF99" s="1195" t="s">
        <v>506</v>
      </c>
      <c r="AG99" s="1196" t="s">
        <v>499</v>
      </c>
      <c r="AH99" s="1195" t="s">
        <v>1186</v>
      </c>
      <c r="AI99" s="1196" t="s">
        <v>1304</v>
      </c>
      <c r="AJ99" s="1195" t="s">
        <v>1187</v>
      </c>
      <c r="AK99" s="1195" t="s">
        <v>506</v>
      </c>
      <c r="AL99" s="1196" t="s">
        <v>499</v>
      </c>
      <c r="AM99" s="1195" t="s">
        <v>1186</v>
      </c>
      <c r="AN99" s="1196" t="s">
        <v>1304</v>
      </c>
      <c r="AO99" s="1195" t="s">
        <v>1187</v>
      </c>
      <c r="AP99" s="1195" t="s">
        <v>506</v>
      </c>
      <c r="AQ99" s="1196" t="s">
        <v>499</v>
      </c>
      <c r="AR99" s="1195" t="s">
        <v>1186</v>
      </c>
      <c r="AS99" s="1196" t="s">
        <v>1304</v>
      </c>
      <c r="AT99" s="1195" t="s">
        <v>1187</v>
      </c>
      <c r="AU99" s="1195" t="s">
        <v>506</v>
      </c>
      <c r="AV99" s="1196" t="s">
        <v>499</v>
      </c>
      <c r="AW99" s="1195" t="s">
        <v>1186</v>
      </c>
      <c r="AX99" s="1196" t="s">
        <v>1304</v>
      </c>
      <c r="AY99" s="1195" t="s">
        <v>1187</v>
      </c>
      <c r="AZ99" s="1195" t="s">
        <v>506</v>
      </c>
      <c r="BA99" s="1196" t="s">
        <v>499</v>
      </c>
      <c r="BB99" s="1195" t="s">
        <v>1186</v>
      </c>
      <c r="BC99" s="1196" t="s">
        <v>1304</v>
      </c>
      <c r="BD99" s="1195" t="s">
        <v>1187</v>
      </c>
      <c r="BE99" s="1195" t="s">
        <v>506</v>
      </c>
      <c r="BF99" s="1196" t="s">
        <v>499</v>
      </c>
      <c r="BG99" s="1195" t="s">
        <v>1186</v>
      </c>
      <c r="BH99" s="1196" t="s">
        <v>1304</v>
      </c>
      <c r="BI99" s="1195" t="s">
        <v>1187</v>
      </c>
      <c r="BJ99" s="1195" t="s">
        <v>506</v>
      </c>
      <c r="BK99" s="1196" t="s">
        <v>499</v>
      </c>
      <c r="BL99" s="1195" t="s">
        <v>1186</v>
      </c>
      <c r="BM99" s="1196" t="s">
        <v>1304</v>
      </c>
      <c r="BN99" s="1195" t="s">
        <v>1187</v>
      </c>
      <c r="BO99" s="1195" t="s">
        <v>506</v>
      </c>
      <c r="BP99" s="1196" t="s">
        <v>499</v>
      </c>
      <c r="BQ99" s="1195" t="s">
        <v>1186</v>
      </c>
      <c r="BR99" s="1196" t="s">
        <v>1304</v>
      </c>
      <c r="BS99" s="1195" t="s">
        <v>1187</v>
      </c>
      <c r="BT99" s="1195" t="s">
        <v>506</v>
      </c>
      <c r="BU99" s="1196" t="s">
        <v>499</v>
      </c>
      <c r="BV99" s="1195" t="s">
        <v>1186</v>
      </c>
      <c r="BW99" s="1196" t="s">
        <v>1304</v>
      </c>
      <c r="BX99" s="1195" t="s">
        <v>1187</v>
      </c>
      <c r="BY99" s="1195" t="s">
        <v>506</v>
      </c>
      <c r="BZ99" s="1196" t="s">
        <v>499</v>
      </c>
      <c r="CA99" s="1195" t="s">
        <v>1186</v>
      </c>
      <c r="CB99" s="1196" t="s">
        <v>1304</v>
      </c>
      <c r="CC99" s="1195" t="s">
        <v>1187</v>
      </c>
      <c r="CD99" s="1195" t="s">
        <v>506</v>
      </c>
      <c r="CE99" s="1196" t="s">
        <v>499</v>
      </c>
      <c r="CF99" s="1195" t="s">
        <v>1186</v>
      </c>
      <c r="CG99" s="1196" t="s">
        <v>1304</v>
      </c>
      <c r="CH99" s="1195" t="s">
        <v>1187</v>
      </c>
      <c r="CI99" s="1195" t="s">
        <v>506</v>
      </c>
      <c r="CJ99" s="1196" t="s">
        <v>499</v>
      </c>
      <c r="CK99" s="1195" t="s">
        <v>1186</v>
      </c>
      <c r="CL99" s="1196" t="s">
        <v>1304</v>
      </c>
      <c r="CM99" s="1195" t="s">
        <v>1187</v>
      </c>
      <c r="CN99" s="1195" t="s">
        <v>506</v>
      </c>
      <c r="CO99" s="1196" t="s">
        <v>499</v>
      </c>
      <c r="CP99" s="1195" t="s">
        <v>1186</v>
      </c>
      <c r="CQ99" s="1196" t="s">
        <v>1304</v>
      </c>
      <c r="CR99" s="1195" t="s">
        <v>1187</v>
      </c>
      <c r="CS99" s="1195" t="s">
        <v>506</v>
      </c>
      <c r="CT99" s="1196" t="s">
        <v>499</v>
      </c>
      <c r="CU99" s="1195" t="s">
        <v>1186</v>
      </c>
      <c r="CV99" s="1196" t="s">
        <v>1304</v>
      </c>
      <c r="CW99" s="1195" t="s">
        <v>1187</v>
      </c>
      <c r="CX99" s="1195" t="s">
        <v>506</v>
      </c>
      <c r="CY99" s="1196" t="s">
        <v>499</v>
      </c>
      <c r="CZ99" s="1195" t="s">
        <v>1186</v>
      </c>
      <c r="DA99" s="1196" t="s">
        <v>1304</v>
      </c>
      <c r="DB99" s="1195" t="s">
        <v>1187</v>
      </c>
      <c r="DC99" s="1195" t="s">
        <v>506</v>
      </c>
      <c r="DD99" s="1196" t="s">
        <v>499</v>
      </c>
      <c r="DE99" s="1195" t="s">
        <v>1186</v>
      </c>
      <c r="DF99" s="1196" t="s">
        <v>1304</v>
      </c>
      <c r="DG99" s="1195" t="s">
        <v>1187</v>
      </c>
      <c r="DH99" s="1195" t="s">
        <v>506</v>
      </c>
      <c r="DI99" s="1196" t="s">
        <v>499</v>
      </c>
      <c r="DJ99" s="1195" t="s">
        <v>1186</v>
      </c>
      <c r="DK99" s="1196" t="s">
        <v>1304</v>
      </c>
      <c r="DL99" s="1195" t="s">
        <v>1187</v>
      </c>
      <c r="DM99" s="1195" t="s">
        <v>506</v>
      </c>
      <c r="DN99" s="1196" t="s">
        <v>499</v>
      </c>
      <c r="DO99" s="1195" t="s">
        <v>1186</v>
      </c>
      <c r="DP99" s="1196" t="s">
        <v>1304</v>
      </c>
      <c r="DQ99" s="1195" t="s">
        <v>1187</v>
      </c>
      <c r="DR99" s="1195" t="s">
        <v>506</v>
      </c>
      <c r="DS99" s="1196" t="s">
        <v>499</v>
      </c>
      <c r="DT99" s="1195" t="s">
        <v>1186</v>
      </c>
      <c r="DU99" s="1196" t="s">
        <v>1304</v>
      </c>
      <c r="DV99" s="1195" t="s">
        <v>1187</v>
      </c>
      <c r="DW99" s="1195" t="s">
        <v>506</v>
      </c>
      <c r="DX99" s="1196" t="s">
        <v>499</v>
      </c>
      <c r="DY99" s="1195" t="s">
        <v>1186</v>
      </c>
      <c r="DZ99" s="1196" t="s">
        <v>1304</v>
      </c>
      <c r="EA99" s="1195" t="s">
        <v>1187</v>
      </c>
    </row>
    <row r="100" spans="1:131" ht="12.75" customHeight="1">
      <c r="A100" s="1377" t="s">
        <v>399</v>
      </c>
      <c r="B100" s="1"/>
      <c r="C100" s="1241" t="s">
        <v>624</v>
      </c>
      <c r="D100" s="1242"/>
      <c r="E100" s="1242" t="s">
        <v>693</v>
      </c>
      <c r="F100" s="1243" t="s">
        <v>1123</v>
      </c>
      <c r="G100" s="1180"/>
      <c r="H100" s="1181"/>
      <c r="I100" s="1182"/>
      <c r="J100" s="1171">
        <f ca="1">OFFSET('VVP2'!$G$323,0,(COLUMN()-6)/5)</f>
        <v>23.710900000000002</v>
      </c>
      <c r="K100" s="1183"/>
      <c r="L100" s="1244">
        <f ca="1">OFFSET('VVP2'!$G$116,0,(COLUMN()-7)/5)</f>
        <v>3.0190080841839828</v>
      </c>
      <c r="M100" s="1171">
        <f ca="1">+J100*(1+L100/100)</f>
        <v>24.426733987832783</v>
      </c>
      <c r="N100" s="1244">
        <f ca="1">+O100/M100*100-100</f>
        <v>0.81126691872080414</v>
      </c>
      <c r="O100" s="1171">
        <f ca="1">OFFSET('VVP2'!$G$323,0,(COLUMN()-6)/5)</f>
        <v>24.6249</v>
      </c>
      <c r="P100" s="1164">
        <f ca="1">(O100/J100-1)*100</f>
        <v>3.8547672167652758</v>
      </c>
      <c r="Q100" s="1244">
        <f ca="1">OFFSET('VVP2'!$G$116,0,(COLUMN()-7)/5)</f>
        <v>8.2601128796781165</v>
      </c>
      <c r="R100" s="1171">
        <f ca="1">+O100*(1+Q100/100)</f>
        <v>26.658944536507857</v>
      </c>
      <c r="S100" s="1244">
        <f ca="1">+T100/R100*100-100</f>
        <v>0.7961885482805684</v>
      </c>
      <c r="T100" s="1171">
        <f ca="1">OFFSET('VVP2'!$G$323,0,(COLUMN()-6)/5)</f>
        <v>26.871200000000002</v>
      </c>
      <c r="U100" s="1164">
        <f ca="1">(T100/O100-1)*100</f>
        <v>9.1220675007817285</v>
      </c>
      <c r="V100" s="1244">
        <f ca="1">OFFSET('VVP2'!$G$116,0,(COLUMN()-7)/5)</f>
        <v>7.0708622152470424</v>
      </c>
      <c r="W100" s="1171">
        <f ca="1">+T100*(1+V100/100)</f>
        <v>28.771225527583464</v>
      </c>
      <c r="X100" s="1244">
        <f ca="1">+Y100/W100*100-100</f>
        <v>0.42394604393753355</v>
      </c>
      <c r="Y100" s="1171">
        <f ca="1">OFFSET('VVP2'!$G$323,0,(COLUMN()-6)/5)</f>
        <v>28.8932</v>
      </c>
      <c r="Z100" s="1164">
        <f ca="1">(Y100/T100-1)*100</f>
        <v>7.5247848998183819</v>
      </c>
      <c r="AA100" s="1244">
        <f ca="1">OFFSET('VVP2'!$G$116,0,(COLUMN()-7)/5)</f>
        <v>10.390987503397685</v>
      </c>
      <c r="AB100" s="1171">
        <f ca="1">+Y100*(1+AA100/100)</f>
        <v>31.895488801331702</v>
      </c>
      <c r="AC100" s="1244">
        <f ca="1">+AD100/AB100*100-100</f>
        <v>-1.9002336195781879</v>
      </c>
      <c r="AD100" s="1171">
        <f ca="1">OFFSET('VVP2'!$G$323,0,(COLUMN()-6)/5)</f>
        <v>31.289400000000001</v>
      </c>
      <c r="AE100" s="1164">
        <f ca="1">(AD100/Y100-1)*100</f>
        <v>8.2933008458737625</v>
      </c>
      <c r="AF100" s="1244">
        <f ca="1">OFFSET('VVP2'!$G$116,0,(COLUMN()-7)/5)</f>
        <v>12.921567326664052</v>
      </c>
      <c r="AG100" s="1171">
        <f ca="1">+AD100*(1+AF100/100)</f>
        <v>35.33248088710922</v>
      </c>
      <c r="AH100" s="1244">
        <f ca="1">+AI100/AG100*100-100</f>
        <v>6.3505846647451847</v>
      </c>
      <c r="AI100" s="1171">
        <f ca="1">OFFSET('VVP2'!$G$323,0,(COLUMN()-6)/5)</f>
        <v>37.576300000000003</v>
      </c>
      <c r="AJ100" s="1164">
        <f ca="1">(AI100/AD100-1)*100</f>
        <v>20.092747064501083</v>
      </c>
      <c r="AK100" s="1244">
        <f ca="1">OFFSET('VVP2'!$G$116,0,(COLUMN()-7)/5)</f>
        <v>6.9988155613629699</v>
      </c>
      <c r="AL100" s="1171">
        <f ca="1">+AI100*(1+AK100/100)</f>
        <v>40.206195931784436</v>
      </c>
      <c r="AM100" s="1244">
        <f ca="1">+AN100/AL100*100-100</f>
        <v>0.39696386220262525</v>
      </c>
      <c r="AN100" s="1171">
        <f ca="1">OFFSET('VVP2'!$G$323,0,(COLUMN()-6)/5)</f>
        <v>40.3658</v>
      </c>
      <c r="AO100" s="1164">
        <f ca="1">(AN100/AI100-1)*100</f>
        <v>7.4235621921264094</v>
      </c>
      <c r="AP100" s="1244">
        <f ca="1">OFFSET('VVP2'!$G$116,0,(COLUMN()-7)/5)</f>
        <v>-1.0445317138163213</v>
      </c>
      <c r="AQ100" s="1171">
        <f ca="1">+AN100*(1+AP100/100)</f>
        <v>39.944166417464331</v>
      </c>
      <c r="AR100" s="1244">
        <f ca="1">+AS100/AQ100*100-100</f>
        <v>1.819623859312486</v>
      </c>
      <c r="AS100" s="1171">
        <f ca="1">OFFSET('VVP2'!$G$323,0,(COLUMN()-6)/5)</f>
        <v>40.670999999999999</v>
      </c>
      <c r="AT100" s="1164">
        <f ca="1">(AS100/AN100-1)*100</f>
        <v>0.7560855972134739</v>
      </c>
      <c r="AU100" s="1244">
        <f ca="1">OFFSET('VVP2'!$G$116,0,(COLUMN()-7)/5)</f>
        <v>-2.2859256596194366</v>
      </c>
      <c r="AV100" s="1171">
        <f ca="1">+AS100*(1+AU100/100)</f>
        <v>39.741291174976176</v>
      </c>
      <c r="AW100" s="1244">
        <f ca="1">+AX100/AV100*100-100</f>
        <v>8.4569031428415542E-2</v>
      </c>
      <c r="AX100" s="1171">
        <f ca="1">OFFSET('VVP2'!$G$323,0,(COLUMN()-6)/5)</f>
        <v>39.774900000000002</v>
      </c>
      <c r="AY100" s="1164">
        <f ca="1">(AX100/AS100-1)*100</f>
        <v>-2.2032898133805379</v>
      </c>
      <c r="AZ100" s="1244">
        <f ca="1">OFFSET('VVP2'!$G$116,0,(COLUMN()-7)/5)</f>
        <v>-2.2543334775970703E-2</v>
      </c>
      <c r="BA100" s="1171">
        <f ca="1">+AX100*(1+AZ100/100)</f>
        <v>39.765933411136196</v>
      </c>
      <c r="BB100" s="1244">
        <f ca="1">+BC100/BA100*100-100</f>
        <v>2.5385210462106613</v>
      </c>
      <c r="BC100" s="1171">
        <f ca="1">OFFSET('VVP2'!$G$323,0,(COLUMN()-6)/5)</f>
        <v>40.775400000000005</v>
      </c>
      <c r="BD100" s="1164">
        <f ca="1">(BC100/AX100-1)*100</f>
        <v>2.5154054441368867</v>
      </c>
      <c r="BE100" s="1244">
        <f ca="1">OFFSET('VVP2'!$G$116,0,(COLUMN()-7)/5)</f>
        <v>1.2720923974605336</v>
      </c>
      <c r="BF100" s="1171">
        <f ca="1">+BC100*(1+BE100/100)</f>
        <v>41.29410076343413</v>
      </c>
      <c r="BG100" s="1244">
        <f ca="1">+BH100/BF100*100-100</f>
        <v>2.5618652955451608</v>
      </c>
      <c r="BH100" s="1171">
        <f ca="1">OFFSET('VVP2'!$G$323,0,(COLUMN()-6)/5)</f>
        <v>42.351999999999997</v>
      </c>
      <c r="BI100" s="1164">
        <f ca="1">(BH100/BC100-1)*100</f>
        <v>3.8665469866635105</v>
      </c>
      <c r="BJ100" s="1244">
        <f ca="1">OFFSET('VVP2'!$G$116,0,(COLUMN()-7)/5)</f>
        <v>2.3615378604754378</v>
      </c>
      <c r="BK100" s="1171">
        <f ca="1">+BH100*(1+BJ100/100)</f>
        <v>43.352158514668552</v>
      </c>
      <c r="BL100" s="1244">
        <f ca="1">+BM100/BK100*100-100</f>
        <v>2.0362111497464781</v>
      </c>
      <c r="BM100" s="1171">
        <f ca="1">OFFSET('VVP2'!$G$323,0,(COLUMN()-6)/5)</f>
        <v>44.234900000000003</v>
      </c>
      <c r="BN100" s="1164">
        <f ca="1">(BM100/BH100-1)*100</f>
        <v>4.4458349074424142</v>
      </c>
      <c r="BO100" s="1244">
        <f ca="1">OFFSET('VVP2'!$G$116,0,(COLUMN()-7)/5)</f>
        <v>8.8284470403987125</v>
      </c>
      <c r="BP100" s="1171">
        <f ca="1">+BM100*(1+BO100/100)</f>
        <v>48.140154719873337</v>
      </c>
      <c r="BQ100" s="1244">
        <f ca="1">+BR100/BP100*100-100</f>
        <v>4.2005375593275289</v>
      </c>
      <c r="BR100" s="1171">
        <f ca="1">OFFSET('VVP2'!$G$323,0,(COLUMN()-6)/5)</f>
        <v>50.162300000000002</v>
      </c>
      <c r="BS100" s="1164">
        <f ca="1">(BR100/BM100-1)*100</f>
        <v>13.399826833563534</v>
      </c>
      <c r="BT100" s="1244">
        <f ca="1">OFFSET('VVP2'!$G$116,0,(COLUMN()-7)/5)</f>
        <v>11.862552215970945</v>
      </c>
      <c r="BU100" s="1171">
        <f ca="1">+BR100*(1+BT100/100)</f>
        <v>56.112829030231993</v>
      </c>
      <c r="BV100" s="1244">
        <f ca="1">+BW100/BU100*100-100</f>
        <v>6.3485855754103966</v>
      </c>
      <c r="BW100" s="1171">
        <f ca="1">OFFSET('VVP2'!$G$323,0,(COLUMN()-6)/5)</f>
        <v>59.675199999999997</v>
      </c>
      <c r="BX100" s="1164">
        <f ca="1">(BW100/BR100-1)*100</f>
        <v>18.96424207023999</v>
      </c>
      <c r="BY100" s="1244">
        <f ca="1">OFFSET('VVP2'!$G$116,0,(COLUMN()-7)/5)</f>
        <v>1.2839441328973411</v>
      </c>
      <c r="BZ100" s="1171">
        <f ca="1">+BW100*(1+BY100/100)</f>
        <v>60.441396229194751</v>
      </c>
      <c r="CA100" s="1244">
        <f ca="1">+CB100/BZ100*100-100</f>
        <v>-3.9431521736481017</v>
      </c>
      <c r="CB100" s="1171">
        <f ca="1">OFFSET('VVP2'!$G$323,0,(COLUMN()-6)/5)</f>
        <v>58.058099999999996</v>
      </c>
      <c r="CC100" s="1164">
        <f ca="1">(CB100/BW100-1)*100</f>
        <v>-2.7098359117355253</v>
      </c>
      <c r="CD100" s="1244">
        <f ca="1">OFFSET('VVP2'!$G$116,0,(COLUMN()-7)/5)</f>
        <v>9.6619097149989628</v>
      </c>
      <c r="CE100" s="1171">
        <f ca="1">+CB100*(1+CD100/100)</f>
        <v>63.667621204243808</v>
      </c>
      <c r="CF100" s="1244">
        <f ca="1">+CG100/CE100*100-100</f>
        <v>3.4954640265527246</v>
      </c>
      <c r="CG100" s="1171">
        <f ca="1">OFFSET('VVP2'!$G$323,0,(COLUMN()-6)/5)</f>
        <v>65.893100000000004</v>
      </c>
      <c r="CH100" s="1164">
        <f ca="1">(CG100/CB100-1)*100</f>
        <v>13.495102319917486</v>
      </c>
      <c r="CI100" s="1244">
        <f ca="1">OFFSET('VVP2'!$G$116,0,(COLUMN()-7)/5)</f>
        <v>3.7515460647624677</v>
      </c>
      <c r="CJ100" s="1171">
        <f ca="1">+CG100*(1+CI100/100)</f>
        <v>68.365110000000001</v>
      </c>
      <c r="CK100" s="1244">
        <f ca="1">+CL100/CJ100*100-100</f>
        <v>-3.6875534903700213E-2</v>
      </c>
      <c r="CL100" s="1171">
        <f ca="1">OFFSET('VVP2'!$G$323,0,(COLUMN()-6)/5)</f>
        <v>68.3399</v>
      </c>
      <c r="CM100" s="1164">
        <f ca="1">(CL100/CG100-1)*100</f>
        <v>3.7132871271802204</v>
      </c>
      <c r="CN100" s="1244">
        <f ca="1">OFFSET('VVP2'!$G$116,0,(COLUMN()-7)/5)</f>
        <v>11.128849203928738</v>
      </c>
      <c r="CO100" s="1171">
        <f ca="1">+CL100*(1+CN100/100)</f>
        <v>75.945344417115692</v>
      </c>
      <c r="CP100" s="1244">
        <f ca="1">+CQ100/CO100*100-100</f>
        <v>0.9890739039363865</v>
      </c>
      <c r="CQ100" s="1171">
        <f ca="1">OFFSET('VVP2'!$G$323,0,(COLUMN()-6)/5)</f>
        <v>76.6965</v>
      </c>
      <c r="CR100" s="1164">
        <f ca="1">(CQ100/CL100-1)*100</f>
        <v>12.227995651149627</v>
      </c>
      <c r="CS100" s="1244">
        <f ca="1">OFFSET('VVP2'!$G$116,0,(COLUMN()-7)/5)</f>
        <v>2.5149078571752082</v>
      </c>
      <c r="CT100" s="1171">
        <f ca="1">+CQ100*(1+CS100/100)</f>
        <v>78.625346304678388</v>
      </c>
      <c r="CU100" s="1244">
        <f ca="1">+CV100/CT100*100-100</f>
        <v>-0.21996253473811578</v>
      </c>
      <c r="CV100" s="1171">
        <f ca="1">OFFSET('VVP2'!$G$323,0,(COLUMN()-6)/5)</f>
        <v>78.452399999999997</v>
      </c>
      <c r="CW100" s="1164">
        <f ca="1">(CV100/CQ100-1)*100</f>
        <v>2.2894134673681288</v>
      </c>
      <c r="CX100" s="1244">
        <f ca="1">OFFSET('VVP2'!$G$116,0,(COLUMN()-7)/5)</f>
        <v>13.053602009757581</v>
      </c>
      <c r="CY100" s="1171">
        <f ca="1">+CV100*(1+CX100/100)</f>
        <v>88.693264063103058</v>
      </c>
      <c r="CZ100" s="1244">
        <f ca="1">+DA100/CY100*100-100</f>
        <v>9.8920631486194566E-2</v>
      </c>
      <c r="DA100" s="1171">
        <f ca="1">OFFSET('VVP2'!$G$323,0,(COLUMN()-6)/5)</f>
        <v>88.781000000000006</v>
      </c>
      <c r="DB100" s="1164">
        <f ca="1">(DA100/CV100-1)*100</f>
        <v>13.165435346783539</v>
      </c>
      <c r="DC100" s="1244">
        <f ca="1">OFFSET('VVP2'!$G$116,0,(COLUMN()-7)/5)</f>
        <v>8.353574514861851</v>
      </c>
      <c r="DD100" s="1171">
        <f ca="1">+DA100*(1+DC100/100)</f>
        <v>96.197386990039504</v>
      </c>
      <c r="DE100" s="1244">
        <f ca="1">+DF100/DD100*100-100</f>
        <v>8.7853748012150845E-2</v>
      </c>
      <c r="DF100" s="1171">
        <f ca="1">OFFSET('VVP2'!$G$323,0,(COLUMN()-6)/5)</f>
        <v>96.281899999999993</v>
      </c>
      <c r="DG100" s="1164">
        <f ca="1">(DF100/DA100-1)*100</f>
        <v>8.4487671911782858</v>
      </c>
      <c r="DH100" s="1244">
        <f ca="1">OFFSET('VVP2'!$G$116,0,(COLUMN()-7)/5)</f>
        <v>1.7576554615445161</v>
      </c>
      <c r="DI100" s="1171">
        <f ca="1">+DF100*(1+DH100/100)</f>
        <v>97.97420407382883</v>
      </c>
      <c r="DJ100" s="1244">
        <f ca="1">+DK100/DI100*100-100</f>
        <v>-7.5228040406742025E-2</v>
      </c>
      <c r="DK100" s="1171">
        <f ca="1">OFFSET('VVP2'!$G$323,0,(COLUMN()-6)/5)</f>
        <v>97.900499999999994</v>
      </c>
      <c r="DL100" s="1164">
        <f ca="1">(DK100/DF100-1)*100</f>
        <v>1.681105171376962</v>
      </c>
      <c r="DM100" s="1244">
        <f ca="1">OFFSET('VVP2'!$G$116,0,(COLUMN()-7)/5)</f>
        <v>1.5403008848718924</v>
      </c>
      <c r="DN100" s="1171">
        <f ca="1">+DK100*(1+DM100/100)</f>
        <v>99.408462267794008</v>
      </c>
      <c r="DO100" s="1244">
        <f ca="1">+DP100/DN100*100-100</f>
        <v>1.778156197049114</v>
      </c>
      <c r="DP100" s="1171">
        <f ca="1">OFFSET('VVP2'!$G$323,0,(COLUMN()-6)/5)</f>
        <v>101.17610000000001</v>
      </c>
      <c r="DQ100" s="1164">
        <f ca="1">(DP100/DK100-1)*100</f>
        <v>3.3458460375585641</v>
      </c>
      <c r="DR100" s="3719">
        <v>4.6500000000000004</v>
      </c>
      <c r="DS100" s="1171">
        <f ca="1">+DP100*(1+DR100/100)</f>
        <v>105.88078865</v>
      </c>
      <c r="DT100" s="3749">
        <v>1</v>
      </c>
      <c r="DU100" s="2208">
        <f ca="1">+DS100*(1+DT100/100)</f>
        <v>106.93959653650001</v>
      </c>
      <c r="DV100" s="2214">
        <f ca="1">(DU100/DP100-1)*100</f>
        <v>5.6964999999999932</v>
      </c>
      <c r="DW100" s="3719">
        <v>3.65</v>
      </c>
      <c r="DX100" s="1171">
        <f ca="1">+DU100*(1+DW100/100)</f>
        <v>110.84289181008225</v>
      </c>
      <c r="DY100" s="3749">
        <v>0.9</v>
      </c>
      <c r="DZ100" s="2208">
        <f ca="1">+DX100*(1+DY100/100)</f>
        <v>111.84047783637298</v>
      </c>
      <c r="EA100" s="2214">
        <f ca="1">(DZ100/DU100-1)*100</f>
        <v>4.5828499999999828</v>
      </c>
    </row>
    <row r="101" spans="1:131">
      <c r="A101" s="1377" t="s">
        <v>399</v>
      </c>
      <c r="B101" s="1"/>
      <c r="C101" s="1114" t="s">
        <v>622</v>
      </c>
      <c r="D101" s="1110"/>
      <c r="E101" s="1111" t="s">
        <v>694</v>
      </c>
      <c r="F101" s="1110" t="s">
        <v>1124</v>
      </c>
      <c r="G101" s="1324"/>
      <c r="H101" s="1325"/>
      <c r="I101" s="1326"/>
      <c r="J101" s="1292">
        <f ca="1">OFFSET('VVP2'!$G$324,0,(COLUMN()-6)/5)</f>
        <v>94.820800000000006</v>
      </c>
      <c r="K101" s="1323"/>
      <c r="L101" s="1300">
        <f ca="1">OFFSET('VVP2'!$G$117,0,(COLUMN()-7)/5)</f>
        <v>6.0901002104516211</v>
      </c>
      <c r="M101" s="1292">
        <f ca="1">+J101*(1+L101/100)</f>
        <v>100.59548174035191</v>
      </c>
      <c r="N101" s="1301">
        <f ca="1">+O101/M101*100-100</f>
        <v>-0.79544501055949013</v>
      </c>
      <c r="O101" s="1292">
        <f ca="1">OFFSET('VVP2'!$G$324,0,(COLUMN()-6)/5)</f>
        <v>99.795299999999997</v>
      </c>
      <c r="P101" s="1299">
        <f ca="1">(O101/J101-1)*100</f>
        <v>5.2462118016300074</v>
      </c>
      <c r="Q101" s="1300">
        <f ca="1">OFFSET('VVP2'!$G$117,0,(COLUMN()-7)/5)</f>
        <v>8.2072077395785925</v>
      </c>
      <c r="R101" s="1292">
        <f ca="1">+O101*(1+Q101/100)</f>
        <v>107.98570758533567</v>
      </c>
      <c r="S101" s="1301">
        <f ca="1">+T101/R101*100-100</f>
        <v>1.6541007644486569</v>
      </c>
      <c r="T101" s="1292">
        <f ca="1">OFFSET('VVP2'!$G$324,0,(COLUMN()-6)/5)</f>
        <v>109.77189999999999</v>
      </c>
      <c r="U101" s="1299">
        <f ca="1">(T101/O101-1)*100</f>
        <v>9.9970639899874989</v>
      </c>
      <c r="V101" s="1300">
        <f ca="1">OFFSET('VVP2'!$G$117,0,(COLUMN()-7)/5)</f>
        <v>4.484376210575336</v>
      </c>
      <c r="W101" s="1292">
        <f ca="1">+T101*(1+V101/100)</f>
        <v>114.69448496949653</v>
      </c>
      <c r="X101" s="1301">
        <f ca="1">+Y101/W101*100-100</f>
        <v>-2.3448250107333308</v>
      </c>
      <c r="Y101" s="1292">
        <f ca="1">OFFSET('VVP2'!$G$324,0,(COLUMN()-6)/5)</f>
        <v>112.0051</v>
      </c>
      <c r="Z101" s="1299">
        <f ca="1">(Y101/T101-1)*100</f>
        <v>2.0344004248810554</v>
      </c>
      <c r="AA101" s="1300">
        <f ca="1">OFFSET('VVP2'!$G$117,0,(COLUMN()-7)/5)</f>
        <v>1.420898778127766</v>
      </c>
      <c r="AB101" s="1292">
        <f ca="1">+Y101*(1+AA101/100)</f>
        <v>113.59657909734078</v>
      </c>
      <c r="AC101" s="1301">
        <f ca="1">+AD101/AB101*100-100</f>
        <v>1.6639769592352849</v>
      </c>
      <c r="AD101" s="1292">
        <f ca="1">OFFSET('VVP2'!$G$324,0,(COLUMN()-6)/5)</f>
        <v>115.4868</v>
      </c>
      <c r="AE101" s="1299">
        <f ca="1">(AD101/Y101-1)*100</f>
        <v>3.1085191656451405</v>
      </c>
      <c r="AF101" s="1300">
        <f ca="1">OFFSET('VVP2'!$G$117,0,(COLUMN()-7)/5)</f>
        <v>13.1961700382784</v>
      </c>
      <c r="AG101" s="1292">
        <f ca="1">+AD101*(1+AF101/100)</f>
        <v>130.7266344997665</v>
      </c>
      <c r="AH101" s="1301">
        <f ca="1">+AI101/AG101*100-100</f>
        <v>7.987787293837286</v>
      </c>
      <c r="AI101" s="1292">
        <f ca="1">OFFSET('VVP2'!$G$324,0,(COLUMN()-6)/5)</f>
        <v>141.16879999999998</v>
      </c>
      <c r="AJ101" s="1299">
        <f ca="1">(AI101/AD101-1)*100</f>
        <v>22.23803932570647</v>
      </c>
      <c r="AK101" s="1300">
        <f ca="1">OFFSET('VVP2'!$G$117,0,(COLUMN()-7)/5)</f>
        <v>-2.7354258983139479</v>
      </c>
      <c r="AL101" s="1292">
        <f ca="1">+AI101*(1+AK101/100)</f>
        <v>137.30723208446096</v>
      </c>
      <c r="AM101" s="1301">
        <f ca="1">+AN101/AL101*100-100</f>
        <v>1.5999651891516464</v>
      </c>
      <c r="AN101" s="1292">
        <f ca="1">OFFSET('VVP2'!$G$324,0,(COLUMN()-6)/5)</f>
        <v>139.50409999999999</v>
      </c>
      <c r="AO101" s="1299">
        <f ca="1">(AN101/AI101-1)*100</f>
        <v>-1.1792265713103656</v>
      </c>
      <c r="AP101" s="1300">
        <f ca="1">OFFSET('VVP2'!$G$117,0,(COLUMN()-7)/5)</f>
        <v>1.478428394065312</v>
      </c>
      <c r="AQ101" s="1292">
        <f ca="1">+AN101*(1+AP101/100)</f>
        <v>141.56656822528527</v>
      </c>
      <c r="AR101" s="1301">
        <f ca="1">+AS101/AQ101*100-100</f>
        <v>-2.8026166594441975</v>
      </c>
      <c r="AS101" s="1292">
        <f ca="1">OFFSET('VVP2'!$G$324,0,(COLUMN()-6)/5)</f>
        <v>137.59899999999999</v>
      </c>
      <c r="AT101" s="1299">
        <f ca="1">(AS101/AN101-1)*100</f>
        <v>-1.36562294584891</v>
      </c>
      <c r="AU101" s="1300">
        <f ca="1">OFFSET('VVP2'!$G$117,0,(COLUMN()-7)/5)</f>
        <v>2.5915303553662783</v>
      </c>
      <c r="AV101" s="1292">
        <f ca="1">+AS101*(1+AU101/100)</f>
        <v>141.16491985368043</v>
      </c>
      <c r="AW101" s="1301">
        <f ca="1">+AX101/AV101*100-100</f>
        <v>-1.2500413385347429</v>
      </c>
      <c r="AX101" s="1292">
        <f ca="1">OFFSET('VVP2'!$G$324,0,(COLUMN()-6)/5)</f>
        <v>139.40029999999999</v>
      </c>
      <c r="AY101" s="1299">
        <f ca="1">(AX101/AS101-1)*100</f>
        <v>1.3090938160887688</v>
      </c>
      <c r="AZ101" s="1300">
        <f ca="1">OFFSET('VVP2'!$G$117,0,(COLUMN()-7)/5)</f>
        <v>8.0775535500416282</v>
      </c>
      <c r="BA101" s="1292">
        <f ca="1">+AX101*(1+AZ101/100)</f>
        <v>150.66043388141867</v>
      </c>
      <c r="BB101" s="1301">
        <f ca="1">+BC101/BA101*100-100</f>
        <v>3.1336469681862553</v>
      </c>
      <c r="BC101" s="1292">
        <f ca="1">OFFSET('VVP2'!$G$324,0,(COLUMN()-6)/5)</f>
        <v>155.38159999999999</v>
      </c>
      <c r="BD101" s="1299">
        <f ca="1">(BC101/AX101-1)*100</f>
        <v>11.464322530152371</v>
      </c>
      <c r="BE101" s="1300">
        <f ca="1">OFFSET('VVP2'!$G$117,0,(COLUMN()-7)/5)</f>
        <v>7.5049931523127</v>
      </c>
      <c r="BF101" s="1292">
        <f ca="1">+BC101*(1+BE101/100)</f>
        <v>167.04297843995391</v>
      </c>
      <c r="BG101" s="1301">
        <f ca="1">+BH101/BF101*100-100</f>
        <v>4.9028828607663257</v>
      </c>
      <c r="BH101" s="1292">
        <f ca="1">OFFSET('VVP2'!$G$324,0,(COLUMN()-6)/5)</f>
        <v>175.2329</v>
      </c>
      <c r="BI101" s="1299">
        <f ca="1">(BH101/BC101-1)*100</f>
        <v>12.775837036045456</v>
      </c>
      <c r="BJ101" s="1300">
        <f ca="1">OFFSET('VVP2'!$G$117,0,(COLUMN()-7)/5)</f>
        <v>5.141339232194464</v>
      </c>
      <c r="BK101" s="1292">
        <f ca="1">+BH101*(1+BJ101/100)</f>
        <v>184.24221783541211</v>
      </c>
      <c r="BL101" s="1301">
        <f ca="1">+BM101/BK101*100-100</f>
        <v>3.6165881212634616</v>
      </c>
      <c r="BM101" s="1292">
        <f ca="1">OFFSET('VVP2'!$G$324,0,(COLUMN()-6)/5)</f>
        <v>190.90549999999999</v>
      </c>
      <c r="BN101" s="1299">
        <f ca="1">(BM101/BH101-1)*100</f>
        <v>8.9438684174033547</v>
      </c>
      <c r="BO101" s="1300">
        <f ca="1">OFFSET('VVP2'!$G$117,0,(COLUMN()-7)/5)</f>
        <v>5.1650974741232147</v>
      </c>
      <c r="BP101" s="1292">
        <f ca="1">+BM101*(1+BO101/100)</f>
        <v>200.76595515846228</v>
      </c>
      <c r="BQ101" s="1301">
        <f ca="1">+BR101/BP101*100-100</f>
        <v>1.5097404533280354</v>
      </c>
      <c r="BR101" s="1292">
        <f ca="1">OFFSET('VVP2'!$G$324,0,(COLUMN()-6)/5)</f>
        <v>203.797</v>
      </c>
      <c r="BS101" s="1299">
        <f ca="1">(BR101/BM101-1)*100</f>
        <v>6.7528174934718965</v>
      </c>
      <c r="BT101" s="1300">
        <f ca="1">OFFSET('VVP2'!$G$117,0,(COLUMN()-7)/5)</f>
        <v>1.5113930160063571</v>
      </c>
      <c r="BU101" s="1292">
        <f ca="1">+BR101*(1+BT101/100)</f>
        <v>206.87717362483048</v>
      </c>
      <c r="BV101" s="1301">
        <f ca="1">+BW101/BU101*100-100</f>
        <v>6.7240508614044217</v>
      </c>
      <c r="BW101" s="1292">
        <f ca="1">OFFSET('VVP2'!$G$324,0,(COLUMN()-6)/5)</f>
        <v>220.7877</v>
      </c>
      <c r="BX101" s="1299">
        <f ca="1">(BW101/BR101-1)*100</f>
        <v>8.337070712522765</v>
      </c>
      <c r="BY101" s="1300">
        <f ca="1">OFFSET('VVP2'!$G$117,0,(COLUMN()-7)/5)</f>
        <v>-11.925797945828599</v>
      </c>
      <c r="BZ101" s="1292">
        <f ca="1">+BW101*(1+BY101/100)</f>
        <v>194.45700500875779</v>
      </c>
      <c r="CA101" s="1301">
        <f ca="1">+CB101/BZ101*100-100</f>
        <v>-9.6000167275624904</v>
      </c>
      <c r="CB101" s="1292">
        <f ca="1">OFFSET('VVP2'!$G$324,0,(COLUMN()-6)/5)</f>
        <v>175.78910000000002</v>
      </c>
      <c r="CC101" s="1299">
        <f ca="1">(CB101/BW101-1)*100</f>
        <v>-20.380936075696233</v>
      </c>
      <c r="CD101" s="1300">
        <f ca="1">OFFSET('VVP2'!$G$117,0,(COLUMN()-7)/5)</f>
        <v>9.6124185686605745</v>
      </c>
      <c r="CE101" s="1292">
        <f ca="1">+CB101*(1+CD101/100)</f>
        <v>192.68668409008131</v>
      </c>
      <c r="CF101" s="1301">
        <f ca="1">+CG101/CE101*100-100</f>
        <v>7.252195955266842</v>
      </c>
      <c r="CG101" s="1292">
        <f ca="1">OFFSET('VVP2'!$G$324,0,(COLUMN()-6)/5)</f>
        <v>206.66070000000002</v>
      </c>
      <c r="CH101" s="1299">
        <f ca="1">(CG101/CB101-1)*100</f>
        <v>17.561725954567152</v>
      </c>
      <c r="CI101" s="1300">
        <f ca="1">OFFSET('VVP2'!$G$117,0,(COLUMN()-7)/5)</f>
        <v>8.4456357691617079</v>
      </c>
      <c r="CJ101" s="1292">
        <f ca="1">+CG101*(1+CI101/100)</f>
        <v>224.11451</v>
      </c>
      <c r="CK101" s="1301">
        <f ca="1">+CL101/CJ101*100-100</f>
        <v>6.7240135411134219</v>
      </c>
      <c r="CL101" s="1292">
        <f ca="1">OFFSET('VVP2'!$G$324,0,(COLUMN()-6)/5)</f>
        <v>239.184</v>
      </c>
      <c r="CM101" s="1299">
        <f ca="1">(CL101/CG101-1)*100</f>
        <v>15.737535003026682</v>
      </c>
      <c r="CN101" s="1300">
        <f ca="1">OFFSET('VVP2'!$G$117,0,(COLUMN()-7)/5)</f>
        <v>-3.0569194292685453</v>
      </c>
      <c r="CO101" s="1292">
        <f ca="1">+CL101*(1+CN101/100)</f>
        <v>231.87233783229831</v>
      </c>
      <c r="CP101" s="1301">
        <f ca="1">+CQ101/CO101*100-100</f>
        <v>3.4401094336103029</v>
      </c>
      <c r="CQ101" s="1292">
        <f ca="1">OFFSET('VVP2'!$G$324,0,(COLUMN()-6)/5)</f>
        <v>239.84899999999999</v>
      </c>
      <c r="CR101" s="1299">
        <f ca="1">(CQ101/CL101-1)*100</f>
        <v>0.27802863067762917</v>
      </c>
      <c r="CS101" s="1300">
        <f ca="1">OFFSET('VVP2'!$G$117,0,(COLUMN()-7)/5)</f>
        <v>-0.35242917690135878</v>
      </c>
      <c r="CT101" s="1292">
        <f ca="1">+CQ101*(1+CS101/100)</f>
        <v>239.00370214349385</v>
      </c>
      <c r="CU101" s="1301">
        <f ca="1">+CV101/CT101*100-100</f>
        <v>-0.69802355717997955</v>
      </c>
      <c r="CV101" s="1292">
        <f ca="1">OFFSET('VVP2'!$G$324,0,(COLUMN()-6)/5)</f>
        <v>237.33539999999999</v>
      </c>
      <c r="CW101" s="1299">
        <f ca="1">(CV101/CQ101-1)*100</f>
        <v>-1.0479926954041874</v>
      </c>
      <c r="CX101" s="1300">
        <f ca="1">OFFSET('VVP2'!$G$117,0,(COLUMN()-7)/5)</f>
        <v>3.9417165466939519</v>
      </c>
      <c r="CY101" s="1292">
        <f ca="1">+CV101*(1+CX101/100)</f>
        <v>246.69048873296228</v>
      </c>
      <c r="CZ101" s="1301">
        <f ca="1">+DA101/CY101*100-100</f>
        <v>-2.9477377787490866</v>
      </c>
      <c r="DA101" s="1292">
        <f ca="1">OFFSET('VVP2'!$G$324,0,(COLUMN()-6)/5)</f>
        <v>239.4187</v>
      </c>
      <c r="DB101" s="1299">
        <f ca="1">(DA101/CV101-1)*100</f>
        <v>0.87778730016676576</v>
      </c>
      <c r="DC101" s="1300">
        <f ca="1">OFFSET('VVP2'!$G$117,0,(COLUMN()-7)/5)</f>
        <v>1.3961687326140781</v>
      </c>
      <c r="DD101" s="1292">
        <f ca="1">+DA101*(1+DC101/100)</f>
        <v>242.76138902943111</v>
      </c>
      <c r="DE101" s="1301">
        <f ca="1">+DF101/DD101*100-100</f>
        <v>-5.4082690340181614</v>
      </c>
      <c r="DF101" s="1292">
        <f ca="1">OFFSET('VVP2'!$G$324,0,(COLUMN()-6)/5)</f>
        <v>229.63220000000001</v>
      </c>
      <c r="DG101" s="1299">
        <f ca="1">(DF101/DA101-1)*100</f>
        <v>-4.0876088626326972</v>
      </c>
      <c r="DH101" s="1300">
        <f ca="1">OFFSET('VVP2'!$G$117,0,(COLUMN()-7)/5)</f>
        <v>11.134284037365273</v>
      </c>
      <c r="DI101" s="1292">
        <f ca="1">+DF101*(1+DH101/100)</f>
        <v>255.2001013892507</v>
      </c>
      <c r="DJ101" s="1301">
        <f ca="1">+DK101/DI101*100-100</f>
        <v>-3.199999273038955</v>
      </c>
      <c r="DK101" s="1292">
        <f ca="1">OFFSET('VVP2'!$G$324,0,(COLUMN()-6)/5)</f>
        <v>247.03370000000001</v>
      </c>
      <c r="DL101" s="1299">
        <f ca="1">(DK101/DF101-1)*100</f>
        <v>7.5779877560725462</v>
      </c>
      <c r="DM101" s="1300">
        <f ca="1">OFFSET('VVP2'!$G$117,0,(COLUMN()-7)/5)</f>
        <v>5.1009384340167552</v>
      </c>
      <c r="DN101" s="1292">
        <f ca="1">+DK101*(1+DM101/100)</f>
        <v>259.63473694827366</v>
      </c>
      <c r="DO101" s="1301">
        <f ca="1">+DP101/DN101*100-100</f>
        <v>1.8823224924251889</v>
      </c>
      <c r="DP101" s="1292">
        <f ca="1">OFFSET('VVP2'!$G$324,0,(COLUMN()-6)/5)</f>
        <v>264.52190000000002</v>
      </c>
      <c r="DQ101" s="1299">
        <f ca="1">(DP101/DK101-1)*100</f>
        <v>7.0792770379102254</v>
      </c>
      <c r="DR101" s="3804">
        <v>5.2</v>
      </c>
      <c r="DS101" s="2210">
        <f ca="1">+DP101*(1+DR101/100)</f>
        <v>278.27703880000001</v>
      </c>
      <c r="DT101" s="3749">
        <v>1</v>
      </c>
      <c r="DU101" s="2210">
        <f ca="1">+DS101*(1+DT101/100)</f>
        <v>281.05980918800003</v>
      </c>
      <c r="DV101" s="2211">
        <f ca="1">(DU101/DP101-1)*100</f>
        <v>6.2520000000000131</v>
      </c>
      <c r="DW101" s="3804">
        <v>4.83</v>
      </c>
      <c r="DX101" s="2210">
        <f ca="1">+DU101*(1+DW101/100)</f>
        <v>294.63499797178042</v>
      </c>
      <c r="DY101" s="3749">
        <v>0.9</v>
      </c>
      <c r="DZ101" s="2210">
        <f ca="1">+DX101*(1+DY101/100)</f>
        <v>297.28671295352643</v>
      </c>
      <c r="EA101" s="2211">
        <f ca="1">(DZ101/DU101-1)*100</f>
        <v>5.7734699999999917</v>
      </c>
    </row>
    <row r="102" spans="1:131" s="28" customFormat="1">
      <c r="A102" s="1378" t="s">
        <v>571</v>
      </c>
      <c r="C102" s="175" t="s">
        <v>624</v>
      </c>
      <c r="D102" s="1200"/>
      <c r="E102" s="1200" t="s">
        <v>1792</v>
      </c>
      <c r="F102" s="1143" t="s">
        <v>1121</v>
      </c>
      <c r="G102" s="1201"/>
      <c r="H102" s="1201"/>
      <c r="I102" s="1201"/>
      <c r="J102" s="1202">
        <f ca="1">OFFSET('VVP2'!$G$325,0,(COLUMN()-6)/5)</f>
        <v>118.5317</v>
      </c>
      <c r="K102" s="1202"/>
      <c r="L102" s="1383">
        <f ca="1">IF(UPPER($F$2)="Y",(M102/J102-1)*100,OFFSET('VVP2'!$G$118,0,(COLUMN()-7)/5))</f>
        <v>5.4757636380687202</v>
      </c>
      <c r="M102" s="1383">
        <f ca="1">IF(UPPER($F$2)="Y",+M100+M101,J102*(1+L102/100))</f>
        <v>125.0222157281847</v>
      </c>
      <c r="N102" s="1202">
        <f ca="1">+O102/M102*100-100</f>
        <v>-0.48152700276371263</v>
      </c>
      <c r="O102" s="1202">
        <f ca="1">OFFSET('VVP2'!$G$325,0,(COLUMN()-6)/5)</f>
        <v>124.42019999999999</v>
      </c>
      <c r="P102" s="1202">
        <f ca="1">(O102/J102-1)*100</f>
        <v>4.9678693547801966</v>
      </c>
      <c r="Q102" s="1383">
        <f ca="1">IF(UPPER($F$2)="Y",(R102/O102-1)*100,OFFSET('VVP2'!$G$118,0,(COLUMN()-7)/5))</f>
        <v>8.2176785777900552</v>
      </c>
      <c r="R102" s="1383">
        <f ca="1">IF(UPPER($F$2)="Y",+R100+R101,O102*(1+Q102/100))</f>
        <v>134.64465212184354</v>
      </c>
      <c r="S102" s="1202">
        <f ca="1">+T102/R102*100-100</f>
        <v>1.4842385840530881</v>
      </c>
      <c r="T102" s="1202">
        <f ca="1">OFFSET('VVP2'!$G$325,0,(COLUMN()-6)/5)</f>
        <v>136.6431</v>
      </c>
      <c r="U102" s="1202">
        <f ca="1">(T102/O102-1)*100</f>
        <v>9.8238871180081677</v>
      </c>
      <c r="V102" s="1383">
        <f ca="1">IF(UPPER($F$2)="Y",(W102/T102-1)*100,OFFSET('VVP2'!$G$118,0,(COLUMN()-7)/5))</f>
        <v>4.9930150128912221</v>
      </c>
      <c r="W102" s="1383">
        <f ca="1">IF(UPPER($F$2)="Y",+W100+W101,T102*(1+V102/100))</f>
        <v>143.46571049707998</v>
      </c>
      <c r="X102" s="1202">
        <f ca="1">+Y102/W102*100-100</f>
        <v>-1.7895638534005371</v>
      </c>
      <c r="Y102" s="1202">
        <f ca="1">OFFSET('VVP2'!$G$325,0,(COLUMN()-6)/5)</f>
        <v>140.89829999999998</v>
      </c>
      <c r="Z102" s="1202">
        <f ca="1">(Y102/T102-1)*100</f>
        <v>3.1140979676251401</v>
      </c>
      <c r="AA102" s="1383">
        <f ca="1">IF(UPPER($F$2)="Y",(AB102/Y102-1)*100,OFFSET('VVP2'!$G$118,0,(COLUMN()-7)/5))</f>
        <v>3.2603430266174183</v>
      </c>
      <c r="AB102" s="1383">
        <f ca="1">IF(UPPER($F$2)="Y",+AB100+AB101,Y102*(1+AA102/100))</f>
        <v>145.49206789867247</v>
      </c>
      <c r="AC102" s="1202">
        <f ca="1">+AD102/AB102*100-100</f>
        <v>0.88261313477369185</v>
      </c>
      <c r="AD102" s="1202">
        <f ca="1">OFFSET('VVP2'!$G$325,0,(COLUMN()-6)/5)</f>
        <v>146.77620000000002</v>
      </c>
      <c r="AE102" s="1202">
        <f ca="1">(AD102/Y102-1)*100</f>
        <v>4.1717323771827131</v>
      </c>
      <c r="AF102" s="1383">
        <f ca="1">IF(UPPER($F$2)="Y",(AG102/AD102-1)*100,OFFSET('VVP2'!$G$118,0,(COLUMN()-7)/5))</f>
        <v>13.137630887620544</v>
      </c>
      <c r="AG102" s="1383">
        <f ca="1">IF(UPPER($F$2)="Y",+AG100+AG101,AD102*(1+AF102/100))</f>
        <v>166.05911538687573</v>
      </c>
      <c r="AH102" s="1202">
        <f ca="1">+AI102/AG102*100-100</f>
        <v>7.639438873059845</v>
      </c>
      <c r="AI102" s="1202">
        <f ca="1">OFFSET('VVP2'!$G$325,0,(COLUMN()-6)/5)</f>
        <v>178.74510000000001</v>
      </c>
      <c r="AJ102" s="1202">
        <f ca="1">(AI102/AD102-1)*100</f>
        <v>21.780711041708379</v>
      </c>
      <c r="AK102" s="1383">
        <f ca="1">IF(UPPER($F$2)="Y",(AL102/AI102-1)*100,OFFSET('VVP2'!$G$118,0,(COLUMN()-7)/5))</f>
        <v>-0.68906615272508187</v>
      </c>
      <c r="AL102" s="1383">
        <f ca="1">IF(UPPER($F$2)="Y",+AL100+AL101,AI102*(1+AK102/100))</f>
        <v>177.5134280162454</v>
      </c>
      <c r="AM102" s="1202">
        <f ca="1">+AN102/AL102*100-100</f>
        <v>1.3274894243712936</v>
      </c>
      <c r="AN102" s="1202">
        <f ca="1">OFFSET('VVP2'!$G$325,0,(COLUMN()-6)/5)</f>
        <v>179.8699</v>
      </c>
      <c r="AO102" s="1202">
        <f ca="1">(AN102/AI102-1)*100</f>
        <v>0.62927599134185996</v>
      </c>
      <c r="AP102" s="1383">
        <f ca="1">IF(UPPER($F$2)="Y",(AQ102/AN102-1)*100,OFFSET('VVP2'!$G$118,0,(COLUMN()-7)/5))</f>
        <v>0.91223414409502546</v>
      </c>
      <c r="AQ102" s="1383">
        <f ca="1">IF(UPPER($F$2)="Y",+AQ100+AQ101,AN102*(1+AP102/100))</f>
        <v>181.51073464274958</v>
      </c>
      <c r="AR102" s="1202">
        <f ca="1">+AS102/AQ102*100-100</f>
        <v>-1.7854231316555484</v>
      </c>
      <c r="AS102" s="1202">
        <f ca="1">OFFSET('VVP2'!$G$325,0,(COLUMN()-6)/5)</f>
        <v>178.27</v>
      </c>
      <c r="AT102" s="1202">
        <f ca="1">(AS102/AN102-1)*100</f>
        <v>-0.88947622698405393</v>
      </c>
      <c r="AU102" s="1383">
        <f ca="1">IF(UPPER($F$2)="Y",(AV102/AS102-1)*100,OFFSET('VVP2'!$G$118,0,(COLUMN()-7)/5))</f>
        <v>1.4787743471456727</v>
      </c>
      <c r="AV102" s="1383">
        <f ca="1">IF(UPPER($F$2)="Y",+AV100+AV101,AS102*(1+AU102/100))</f>
        <v>180.9062110286566</v>
      </c>
      <c r="AW102" s="1202">
        <f ca="1">+AX102/AV102*100-100</f>
        <v>-0.9568554992190883</v>
      </c>
      <c r="AX102" s="1202">
        <f ca="1">OFFSET('VVP2'!$G$325,0,(COLUMN()-6)/5)</f>
        <v>179.17520000000002</v>
      </c>
      <c r="AY102" s="1202">
        <f ca="1">(AX102/AS102-1)*100</f>
        <v>0.5077691142648888</v>
      </c>
      <c r="AZ102" s="1383">
        <f ca="1">IF(UPPER($F$2)="Y",(BA102/AX102-1)*100,OFFSET('VVP2'!$G$118,0,(COLUMN()-7)/5))</f>
        <v>6.2794222038289105</v>
      </c>
      <c r="BA102" s="1383">
        <f ca="1">IF(UPPER($F$2)="Y",+BA100+BA101,AX102*(1+AZ102/100))</f>
        <v>190.42636729255486</v>
      </c>
      <c r="BB102" s="1202">
        <f ca="1">+BC102/BA102*100-100</f>
        <v>3.0093693373045767</v>
      </c>
      <c r="BC102" s="1202">
        <f ca="1">OFFSET('VVP2'!$G$325,0,(COLUMN()-6)/5)</f>
        <v>196.15700000000001</v>
      </c>
      <c r="BD102" s="1202">
        <f ca="1">(BC102/AX102-1)*100</f>
        <v>9.4777625474954164</v>
      </c>
      <c r="BE102" s="1383">
        <f ca="1">IF(UPPER($F$2)="Y",(BF102/BC102-1)*100,OFFSET('VVP2'!$G$118,0,(COLUMN()-7)/5))</f>
        <v>6.2093523062587863</v>
      </c>
      <c r="BF102" s="1383">
        <f ca="1">IF(UPPER($F$2)="Y",+BF100+BF101,BC102*(1+BE102/100))</f>
        <v>208.33707920338804</v>
      </c>
      <c r="BG102" s="1202">
        <f ca="1">+BH102/BF102*100-100</f>
        <v>4.4388741706337527</v>
      </c>
      <c r="BH102" s="1202">
        <f ca="1">OFFSET('VVP2'!$G$325,0,(COLUMN()-6)/5)</f>
        <v>217.5849</v>
      </c>
      <c r="BI102" s="1202">
        <f ca="1">(BH102/BC102-1)*100</f>
        <v>10.92385181257869</v>
      </c>
      <c r="BJ102" s="1383">
        <f ca="1">IF(UPPER($F$2)="Y",(BK102/BH102-1)*100,OFFSET('VVP2'!$G$118,0,(COLUMN()-7)/5))</f>
        <v>4.6002624033564254</v>
      </c>
      <c r="BK102" s="1383">
        <f ca="1">IF(UPPER($F$2)="Y",+BK100+BK101,BH102*(1+BJ102/100))</f>
        <v>227.59437635008067</v>
      </c>
      <c r="BL102" s="1202">
        <f ca="1">+BM102/BK102*100-100</f>
        <v>3.3155580427489184</v>
      </c>
      <c r="BM102" s="1202">
        <f ca="1">OFFSET('VVP2'!$G$325,0,(COLUMN()-6)/5)</f>
        <v>235.1404</v>
      </c>
      <c r="BN102" s="1202">
        <f ca="1">(BM102/BH102-1)*100</f>
        <v>8.0683448162073734</v>
      </c>
      <c r="BO102" s="1383">
        <f ca="1">IF(UPPER($F$2)="Y",(BP102/BM102-1)*100,OFFSET('VVP2'!$G$118,0,(COLUMN()-7)/5))</f>
        <v>5.8542512806542879</v>
      </c>
      <c r="BP102" s="1383">
        <f ca="1">IF(UPPER($F$2)="Y",+BP100+BP101,BM102*(1+BO102/100))</f>
        <v>248.9061098783356</v>
      </c>
      <c r="BQ102" s="1202">
        <f ca="1">+BR102/BP102*100-100</f>
        <v>2.0301591327486506</v>
      </c>
      <c r="BR102" s="1202">
        <f ca="1">OFFSET('VVP2'!$G$325,0,(COLUMN()-6)/5)</f>
        <v>253.95929999999998</v>
      </c>
      <c r="BS102" s="1202">
        <f ca="1">(BR102/BM102-1)*100</f>
        <v>8.0032610304311635</v>
      </c>
      <c r="BT102" s="1383">
        <f ca="1">IF(UPPER($F$2)="Y",(BU102/BR102-1)*100,OFFSET('VVP2'!$G$118,0,(COLUMN()-7)/5))</f>
        <v>3.5559645404056761</v>
      </c>
      <c r="BU102" s="1383">
        <f ca="1">IF(UPPER($F$2)="Y",+BU100+BU101,BR102*(1+BT102/100))</f>
        <v>262.99000265506248</v>
      </c>
      <c r="BV102" s="1202">
        <f ca="1">+BW102/BU102*100-100</f>
        <v>6.6439397576093455</v>
      </c>
      <c r="BW102" s="3057">
        <f ca="1">OFFSET('VVP2'!$G$325,0,(COLUMN()-6)/5)</f>
        <v>280.46290000000005</v>
      </c>
      <c r="BX102" s="1202">
        <f ca="1">(BW102/BR102-1)*100</f>
        <v>10.436160439881537</v>
      </c>
      <c r="BY102" s="1383">
        <f ca="1">IF(UPPER($F$2)="Y",(BZ102/BW102-1)*100,OFFSET('VVP2'!$G$118,0,(COLUMN()-7)/5))</f>
        <v>-9.1151089010516166</v>
      </c>
      <c r="BZ102" s="1383">
        <f ca="1">IF(UPPER($F$2)="Y",+BZ100+BZ101,BW102*(1+BY102/100))</f>
        <v>254.89840123795256</v>
      </c>
      <c r="CA102" s="1202">
        <f ca="1">+CB102/BZ102*100-100</f>
        <v>-8.2586635050334536</v>
      </c>
      <c r="CB102" s="3057">
        <f ca="1">OFFSET('VVP2'!$G$325,0,(COLUMN()-6)/5)</f>
        <v>233.84720000000002</v>
      </c>
      <c r="CC102" s="1202">
        <f ca="1">(CB102/BW102-1)*100</f>
        <v>-16.620986233829871</v>
      </c>
      <c r="CD102" s="1383">
        <f ca="1">IF(UPPER($F$2)="Y",(CE102/CB102-1)*100,OFFSET('VVP2'!$G$118,0,(COLUMN()-7)/5))</f>
        <v>9.624705916652033</v>
      </c>
      <c r="CE102" s="1383">
        <f ca="1">IF(UPPER($F$2)="Y",+CE100+CE101,CB102*(1+CD102/100))</f>
        <v>256.35430529432512</v>
      </c>
      <c r="CF102" s="1202">
        <f ca="1">+CG102/CE102*100-100</f>
        <v>6.319181839788456</v>
      </c>
      <c r="CG102" s="3057">
        <f ca="1">OFFSET('VVP2'!$G$325,0,(COLUMN()-6)/5)</f>
        <v>272.55379999999997</v>
      </c>
      <c r="CH102" s="1202">
        <f ca="1">(CG102/CB102-1)*100</f>
        <v>16.552090424858612</v>
      </c>
      <c r="CI102" s="1383">
        <f ca="1">IF(UPPER($F$2)="Y",(CJ102/CG102-1)*100,OFFSET('VVP2'!$G$118,0,(COLUMN()-7)/5))</f>
        <v>7.3107841461025558</v>
      </c>
      <c r="CJ102" s="1383">
        <f ca="1">IF(UPPER($F$2)="Y",+CJ100+CJ101,CG102*(1+CI102/100))</f>
        <v>292.47962000000001</v>
      </c>
      <c r="CK102" s="1202">
        <f ca="1">+CL102/CJ102*100-100</f>
        <v>5.1437019782780027</v>
      </c>
      <c r="CL102" s="1202">
        <f ca="1">OFFSET('VVP2'!$G$325,0,(COLUMN()-6)/5)</f>
        <v>307.52390000000003</v>
      </c>
      <c r="CM102" s="1202">
        <f ca="1">(CL102/CG102-1)*100</f>
        <v>12.830531073131279</v>
      </c>
      <c r="CN102" s="3430">
        <f ca="1">IF(UPPER($F$2)="Y",(CO102/CL102-1)*100,OFFSET('VVP2'!$G$118,0,(COLUMN()-7)/5))</f>
        <v>9.5531517847557978E-2</v>
      </c>
      <c r="CO102" s="1383">
        <f ca="1">IF(UPPER($F$2)="Y",+CO100+CO101,CL102*(1+CN102/100))</f>
        <v>307.81768224941402</v>
      </c>
      <c r="CP102" s="1202">
        <f ca="1">+CQ102/CO102*100-100</f>
        <v>2.8353854420598594</v>
      </c>
      <c r="CQ102" s="1202">
        <f ca="1">OFFSET('VVP2'!$G$325,0,(COLUMN()-6)/5)</f>
        <v>316.5455</v>
      </c>
      <c r="CR102" s="1202">
        <f ca="1">(CQ102/CL102-1)*100</f>
        <v>2.9336256466570454</v>
      </c>
      <c r="CS102" s="3430">
        <f ca="1">IF(UPPER($F$2)="Y",(CT102/CQ102-1)*100,OFFSET('VVP2'!$G$118,0,(COLUMN()-7)/5))</f>
        <v>0.34230417054490481</v>
      </c>
      <c r="CT102" s="1383">
        <f ca="1">IF(UPPER($F$2)="Y",+CT100+CT101,CQ102*(1+CS102/100))</f>
        <v>317.62904844817223</v>
      </c>
      <c r="CU102" s="1202">
        <f ca="1">+CV102/CT102*100-100</f>
        <v>-0.579685156999318</v>
      </c>
      <c r="CV102" s="1202">
        <f ca="1">OFFSET('VVP2'!$G$325,0,(COLUMN()-6)/5)</f>
        <v>315.7878</v>
      </c>
      <c r="CW102" s="1202">
        <f ca="1">(CV102/CQ102-1)*100</f>
        <v>-0.23936527292285348</v>
      </c>
      <c r="CX102" s="3430">
        <f ca="1">IF(UPPER($F$2)="Y",(CY102/CV102-1)*100,OFFSET('VVP2'!$G$118,0,(COLUMN()-7)/5))</f>
        <v>6.2054179408024268</v>
      </c>
      <c r="CY102" s="1383">
        <f ca="1">IF(UPPER($F$2)="Y",+CY100+CY101,CV102*(1+CX102/100))</f>
        <v>335.38375279606532</v>
      </c>
      <c r="CZ102" s="1202">
        <f ca="1">+DA102/CY102*100-100</f>
        <v>-2.1420395997637058</v>
      </c>
      <c r="DA102" s="1202">
        <f ca="1">OFFSET('VVP2'!$G$325,0,(COLUMN()-6)/5)</f>
        <v>328.19970000000001</v>
      </c>
      <c r="DB102" s="1202">
        <f ca="1">(DA102/CV102-1)*100</f>
        <v>3.9304558314159133</v>
      </c>
      <c r="DC102" s="3430">
        <f ca="1">IF(UPPER($F$2)="Y",(DD102/DA102-1)*100,OFFSET('VVP2'!$G$118,0,(COLUMN()-7)/5))</f>
        <v>3.2782101932057328</v>
      </c>
      <c r="DD102" s="1383">
        <f ca="1">IF(UPPER($F$2)="Y",+DD100+DD101,DA102*(1+DC102/100))</f>
        <v>338.95877601947063</v>
      </c>
      <c r="DE102" s="1202">
        <f ca="1">+DF102/DD102*100-100</f>
        <v>-3.8484550164652944</v>
      </c>
      <c r="DF102" s="1202">
        <f ca="1">OFFSET('VVP2'!$G$325,0,(COLUMN()-6)/5)</f>
        <v>325.91409999999996</v>
      </c>
      <c r="DG102" s="1202">
        <f ca="1">(DF102/DA102-1)*100</f>
        <v>-0.69640526789026547</v>
      </c>
      <c r="DH102" s="3430">
        <f ca="1">IF(UPPER($F$2)="Y",(DI102/DF102-1)*100,OFFSET('VVP2'!$G$118,0,(COLUMN()-7)/5))</f>
        <v>8.3642301646598138</v>
      </c>
      <c r="DI102" s="1383">
        <f ca="1">IF(UPPER($F$2)="Y",+DI100+DI101,DF102*(1+DH102/100))</f>
        <v>353.17430546307952</v>
      </c>
      <c r="DJ102" s="1202">
        <f ca="1">+DK102/DI102*100-100</f>
        <v>-2.3331554237149561</v>
      </c>
      <c r="DK102" s="1202">
        <f ca="1">OFFSET('VVP2'!$G$325,0,(COLUMN()-6)/5)</f>
        <v>344.93420000000003</v>
      </c>
      <c r="DL102" s="1202">
        <f ca="1">(DK102/DF102-1)*100</f>
        <v>5.8359242512060927</v>
      </c>
      <c r="DM102" s="3430">
        <f ca="1">IF(UPPER($F$2)="Y",(DN102/DK102-1)*100,OFFSET('VVP2'!$G$118,0,(COLUMN()-7)/5))</f>
        <v>4.0903451197554785</v>
      </c>
      <c r="DN102" s="1383">
        <f ca="1">IF(UPPER($F$2)="Y",+DN100+DN101,DK102*(1+DM102/100))</f>
        <v>359.04319921606765</v>
      </c>
      <c r="DO102" s="1202">
        <f ca="1">+DP102/DN102*100-100</f>
        <v>1.853481920410232</v>
      </c>
      <c r="DP102" s="1202">
        <f ca="1">OFFSET('VVP2'!$G$325,0,(COLUMN()-6)/5)</f>
        <v>365.69799999999998</v>
      </c>
      <c r="DQ102" s="1202">
        <f ca="1">(DP102/DK102-1)*100</f>
        <v>6.0196408474427754</v>
      </c>
      <c r="DR102" s="3430">
        <f ca="1">IF(UPPER($F$2)="Y",(DS102/DP102-1)*100,OFFSET('VVP2'!$G$118,0,(COLUMN()-7)/5))</f>
        <v>5.047833854710726</v>
      </c>
      <c r="DS102" s="1383">
        <f ca="1">IF(UPPER($F$2)="Y",+DS100+DS101,DP102*(1+DR102/100))</f>
        <v>384.15782745000001</v>
      </c>
      <c r="DT102" s="3823">
        <f ca="1">+DU102/DS102*100-100</f>
        <v>1</v>
      </c>
      <c r="DU102" s="1202">
        <f ca="1">+DU100+DU101</f>
        <v>387.99940572450004</v>
      </c>
      <c r="DV102" s="1202">
        <f ca="1">(DU102/DP102-1)*100</f>
        <v>6.0983121932578488</v>
      </c>
      <c r="DW102" s="3430">
        <f ca="1">IF(UPPER($F$2)="Y",(DX102/DU102-1)*100,OFFSET('VVP2'!$G$118,0,(COLUMN()-7)/5))</f>
        <v>4.5047708319876367</v>
      </c>
      <c r="DX102" s="1383">
        <f ca="1">IF(UPPER($F$2)="Y",+DX100+DX101,DU102*(1+DW102/100))</f>
        <v>405.4778897818627</v>
      </c>
      <c r="DY102" s="3823">
        <f ca="1">+DZ102/DX102*100-100</f>
        <v>0.89999999999999147</v>
      </c>
      <c r="DZ102" s="1202">
        <f ca="1">+DZ100+DZ101</f>
        <v>409.12719078989943</v>
      </c>
      <c r="EA102" s="1202">
        <f ca="1">(DZ102/DU102-1)*100</f>
        <v>5.4453137694755238</v>
      </c>
    </row>
    <row r="103" spans="1:131" s="2804" customFormat="1">
      <c r="A103" s="2803"/>
      <c r="C103" s="2805"/>
      <c r="D103" s="1697"/>
      <c r="E103" s="1697" t="s">
        <v>544</v>
      </c>
      <c r="F103" s="2806"/>
      <c r="G103" s="2807"/>
      <c r="H103" s="2807"/>
      <c r="I103" s="2807"/>
      <c r="J103" s="1175"/>
      <c r="K103" s="2807"/>
      <c r="L103" s="2809">
        <f ca="1">OFFSET('Q1'!$N211,0,(COLUMN()-12)*4/5)</f>
        <v>5.2589911784664167</v>
      </c>
      <c r="M103" s="2808"/>
      <c r="N103" s="1175"/>
      <c r="O103" s="1175"/>
      <c r="P103" s="1175"/>
      <c r="Q103" s="2809">
        <f ca="1">OFFSET('Q1'!$N211,0,(COLUMN()-12)*4/5)</f>
        <v>8.2575417617353253</v>
      </c>
      <c r="R103" s="1175"/>
      <c r="S103" s="1175"/>
      <c r="T103" s="1175"/>
      <c r="U103" s="1175"/>
      <c r="V103" s="2809">
        <f ca="1">OFFSET('Q1'!$N211,0,(COLUMN()-12)*4/5)</f>
        <v>4.9887905466943891</v>
      </c>
      <c r="W103" s="1175"/>
      <c r="X103" s="1175"/>
      <c r="Y103" s="1175"/>
      <c r="Z103" s="1175"/>
      <c r="AA103" s="2809">
        <f ca="1">OFFSET('Q1'!$N211,0,(COLUMN()-12)*4/5)</f>
        <v>3.2558708550901088</v>
      </c>
      <c r="AB103" s="1175"/>
      <c r="AC103" s="1175"/>
      <c r="AD103" s="1175"/>
      <c r="AE103" s="1175"/>
      <c r="AF103" s="2809">
        <f ca="1">OFFSET('Q1'!$N211,0,(COLUMN()-12)*4/5)</f>
        <v>13.515973374119469</v>
      </c>
      <c r="AG103" s="1175"/>
      <c r="AH103" s="1175"/>
      <c r="AI103" s="1175"/>
      <c r="AJ103" s="1175"/>
      <c r="AK103" s="2809">
        <f ca="1">OFFSET('Q1'!$N211,0,(COLUMN()-12)*4/5)</f>
        <v>-1.0242858701685691</v>
      </c>
      <c r="AL103" s="1175"/>
      <c r="AM103" s="1175"/>
      <c r="AN103" s="1175"/>
      <c r="AO103" s="1175"/>
      <c r="AP103" s="2809">
        <f ca="1">OFFSET('Q1'!$N211,0,(COLUMN()-12)*4/5)</f>
        <v>0.91936612629541514</v>
      </c>
      <c r="AQ103" s="1175"/>
      <c r="AR103" s="1175"/>
      <c r="AS103" s="1175"/>
      <c r="AT103" s="1175"/>
      <c r="AU103" s="2809">
        <f ca="1">OFFSET('Q1'!$N211,0,(COLUMN()-12)*4/5)</f>
        <v>1.4842785218960586</v>
      </c>
      <c r="AV103" s="1175"/>
      <c r="AW103" s="1175"/>
      <c r="AX103" s="1175"/>
      <c r="AY103" s="1175"/>
      <c r="AZ103" s="2809">
        <f ca="1">OFFSET('Q1'!$N211,0,(COLUMN()-12)*4/5)</f>
        <v>6.2289097418856727</v>
      </c>
      <c r="BA103" s="1175"/>
      <c r="BB103" s="1175"/>
      <c r="BC103" s="1175"/>
      <c r="BD103" s="1175"/>
      <c r="BE103" s="2809">
        <f ca="1">OFFSET('Q1'!$N211,0,(COLUMN()-12)*4/5)</f>
        <v>6.4527214570831717</v>
      </c>
      <c r="BF103" s="1175"/>
      <c r="BG103" s="1175"/>
      <c r="BH103" s="1175"/>
      <c r="BI103" s="1175"/>
      <c r="BJ103" s="2809">
        <f ca="1">OFFSET('Q1'!$N211,0,(COLUMN()-12)*4/5)</f>
        <v>4.5997847860276551</v>
      </c>
      <c r="BK103" s="1175"/>
      <c r="BL103" s="1175"/>
      <c r="BM103" s="1175"/>
      <c r="BN103" s="1175"/>
      <c r="BO103" s="2809">
        <f ca="1">OFFSET('Q1'!$N211,0,(COLUMN()-12)*4/5)</f>
        <v>5.6755323779151183</v>
      </c>
      <c r="BP103" s="1175"/>
      <c r="BQ103" s="1175"/>
      <c r="BR103" s="1175"/>
      <c r="BS103" s="1175"/>
      <c r="BT103" s="2843">
        <f ca="1">OFFSET('Q1'!$N211,0,(COLUMN()-12)*4/5)</f>
        <v>3.4825032387542336</v>
      </c>
      <c r="BU103" s="2966"/>
      <c r="BV103" s="1175"/>
      <c r="BW103" s="2966"/>
      <c r="BX103" s="1175"/>
      <c r="BY103" s="2843">
        <f ca="1">OFFSET('Q1'!$N211,0,(COLUMN()-12)*4/5)</f>
        <v>-9.0104530373147185</v>
      </c>
      <c r="BZ103" s="2966"/>
      <c r="CA103" s="1175"/>
      <c r="CB103" s="2966"/>
      <c r="CC103" s="1175"/>
      <c r="CD103" s="2843">
        <f ca="1">OFFSET('Q1'!$N211,0,(COLUMN()-12)*4/5)</f>
        <v>9.6251729787335591</v>
      </c>
      <c r="CE103" s="2966"/>
      <c r="CF103" s="1175"/>
      <c r="CG103" s="1175">
        <f ca="1">CG102-CG101-CG100</f>
        <v>0</v>
      </c>
      <c r="CH103" s="1175"/>
      <c r="CI103" s="2843">
        <f ca="1">OFFSET('Q1'!$N211,0,(COLUMN()-12)*4/5)</f>
        <v>7.3102607724144946</v>
      </c>
      <c r="CJ103" s="2966"/>
      <c r="CK103" s="1175"/>
      <c r="CL103" s="1175">
        <f ca="1">CL102-CL101-CL100</f>
        <v>0</v>
      </c>
      <c r="CM103" s="1175"/>
      <c r="CN103" s="2843">
        <f ca="1">OFFSET('Q1'!$N211,0,(COLUMN()-12)*4/5)</f>
        <v>9.5999783662463756E-2</v>
      </c>
      <c r="CO103" s="2966"/>
      <c r="CP103" s="1175"/>
      <c r="CQ103" s="1175">
        <f ca="1">CQ102-CQ101-CQ100</f>
        <v>0</v>
      </c>
      <c r="CR103" s="1175"/>
      <c r="CS103" s="2843">
        <f ca="1">OFFSET('Q1'!$N211,0,(COLUMN()-12)*4/5)</f>
        <v>0.34209335467616597</v>
      </c>
      <c r="CT103" s="1175"/>
      <c r="CU103" s="1175"/>
      <c r="CV103" s="1175"/>
      <c r="CW103" s="1175"/>
      <c r="CX103" s="2843">
        <f ca="1">OFFSET('Q1'!$N211,0,(COLUMN()-12)*4/5)</f>
        <v>6.2053437709293462</v>
      </c>
      <c r="CY103" s="1175"/>
      <c r="CZ103" s="1175"/>
      <c r="DA103" s="1175"/>
      <c r="DB103" s="1175"/>
      <c r="DC103" s="2843">
        <f ca="1">OFFSET('Q1'!$N211,0,(COLUMN()-12)*4/5)</f>
        <v>3.2782054004037064</v>
      </c>
      <c r="DD103" s="1175"/>
      <c r="DE103" s="1175"/>
      <c r="DF103" s="1175"/>
      <c r="DG103" s="1175"/>
      <c r="DH103" s="2843">
        <f ca="1">OFFSET('Q1'!$N211,0,(COLUMN()-12)*4/5)</f>
        <v>8.3644765183453131</v>
      </c>
      <c r="DI103" s="1175"/>
      <c r="DJ103" s="1175"/>
      <c r="DK103" s="1175"/>
      <c r="DL103" s="1175"/>
      <c r="DM103" s="2843">
        <f ca="1">OFFSET('Q1'!$N211,0,(COLUMN()-12)*4/5)</f>
        <v>4.0903234940185627</v>
      </c>
      <c r="DN103" s="1175"/>
      <c r="DO103" s="1175"/>
      <c r="DP103" s="1175"/>
      <c r="DQ103" s="1175"/>
      <c r="DR103" s="2843">
        <f ca="1">OFFSET('Q1'!$N211,0,(COLUMN()-12)*4/5)</f>
        <v>4.8757782435979919</v>
      </c>
      <c r="DS103" s="1175"/>
      <c r="DT103" s="1175"/>
      <c r="DU103" s="1175"/>
      <c r="DV103" s="1175"/>
      <c r="DW103" s="2843">
        <f ca="1">OFFSET('Q1'!$N211,0,(COLUMN()-12)*4/5)</f>
        <v>4.5728104572951906</v>
      </c>
      <c r="DX103" s="1175"/>
      <c r="DY103" s="1175"/>
      <c r="DZ103" s="1175"/>
      <c r="EA103" s="1175"/>
    </row>
    <row r="104" spans="1:131">
      <c r="BM104" s="1335">
        <f ca="1">(-BM100+BM85)/BM16</f>
        <v>1.4189586119724321E-2</v>
      </c>
      <c r="BN104" s="1335">
        <f ca="1">BM105+BM104</f>
        <v>3.7283786518240131E-2</v>
      </c>
      <c r="BR104" s="1335">
        <f ca="1">(-BR100+BR85)/BR16</f>
        <v>1.587815933567828E-2</v>
      </c>
      <c r="BS104" s="1335">
        <f ca="1">BR105+BR104</f>
        <v>3.8180512746128978E-2</v>
      </c>
      <c r="BT104" s="1370"/>
      <c r="BW104" s="1335">
        <f ca="1">(-BW100+BW85)/BW16</f>
        <v>1.7326717992328561E-2</v>
      </c>
      <c r="BX104" s="1335">
        <f ca="1">BW105+BW104</f>
        <v>4.8392121353680196E-3</v>
      </c>
      <c r="BY104" s="2909"/>
      <c r="CB104" s="1335">
        <f ca="1">(-CB100+CB85)/CB16</f>
        <v>2.2991211393048543E-2</v>
      </c>
      <c r="CC104" s="1335">
        <f ca="1">CB105+CB104</f>
        <v>2.2627946296401885E-2</v>
      </c>
      <c r="CD104" s="1370"/>
      <c r="CG104" s="1335">
        <f ca="1">(-CG100+CG85)/CG16</f>
        <v>2.3750446794786606E-2</v>
      </c>
      <c r="CH104" s="1335">
        <f ca="1">CG105+CG104</f>
        <v>1.7967381583974703E-2</v>
      </c>
      <c r="CI104" s="1370"/>
      <c r="CL104" s="1335">
        <f ca="1">(-CL100+CL85)/CL16</f>
        <v>2.0229154725205034E-2</v>
      </c>
      <c r="CM104" s="1335">
        <f ca="1">CL105+CL104</f>
        <v>5.1742743394135593E-3</v>
      </c>
      <c r="CN104" s="1370"/>
      <c r="CQ104" s="1335">
        <f ca="1">(-CQ100+CQ85)/CQ16</f>
        <v>1.8866833840817047E-2</v>
      </c>
      <c r="CR104" s="1335">
        <f ca="1">CQ105+CQ104</f>
        <v>6.1669661504603242E-3</v>
      </c>
      <c r="CS104" s="1370"/>
      <c r="CT104" s="3734"/>
      <c r="CV104" s="1335">
        <f ca="1">(-CV100+CV85)/CV16</f>
        <v>1.9217525216661681E-2</v>
      </c>
      <c r="CW104" s="1335">
        <f ca="1">CV105+CV104</f>
        <v>1.2419591384814885E-2</v>
      </c>
      <c r="CX104" s="1370"/>
      <c r="CY104" s="3734"/>
      <c r="DA104" s="1335">
        <f ca="1">(-DA100+DA85)/DA16</f>
        <v>1.4029641643196032E-2</v>
      </c>
      <c r="DB104" s="1335">
        <f ca="1">DA105+DA104</f>
        <v>6.3374338788902583E-3</v>
      </c>
      <c r="DC104" s="1370"/>
      <c r="DD104" s="3734"/>
      <c r="DF104" s="1335">
        <f ca="1">(-DF100+DF85)/DF16</f>
        <v>1.288412884664863E-2</v>
      </c>
      <c r="DG104" s="1335">
        <f ca="1">DF105+DF104</f>
        <v>1.3589234061795869E-2</v>
      </c>
      <c r="DH104" s="1370"/>
      <c r="DK104" s="1335">
        <f ca="1">(-DK100+DK85)/DK16</f>
        <v>1.0622425235504985E-2</v>
      </c>
      <c r="DL104" s="1335">
        <f ca="1">DK105+DK104</f>
        <v>1.329682372040644E-2</v>
      </c>
      <c r="DM104" s="1370"/>
      <c r="DP104" s="1335">
        <f ca="1">(-DP100+DP85)/DP16</f>
        <v>4.1132573413068295E-3</v>
      </c>
      <c r="DQ104" s="1335">
        <f ca="1">DP105+DP104</f>
        <v>1.2971493183568938E-2</v>
      </c>
      <c r="DR104" s="1370"/>
      <c r="DU104" s="1335">
        <f ca="1">(-DU100+DU85)/DU16</f>
        <v>3.6312670428593507E-3</v>
      </c>
      <c r="DV104" s="1335">
        <f ca="1">DU105+DU104</f>
        <v>1.2674442134290333E-2</v>
      </c>
      <c r="DW104" s="1370"/>
      <c r="DZ104" s="1335">
        <f ca="1">(-DZ100+DZ85)/DZ16</f>
        <v>6.1617149680122767E-3</v>
      </c>
      <c r="EA104" s="1335">
        <f ca="1">DZ105+DZ104</f>
        <v>1.5104525104655857E-2</v>
      </c>
    </row>
    <row r="105" spans="1:131">
      <c r="BM105" s="1335">
        <f ca="1">(-BM101+BM86)/BM16</f>
        <v>2.3094200398515813E-2</v>
      </c>
      <c r="BR105" s="1335">
        <f ca="1">(-BR101+BR86)/BR16</f>
        <v>2.2302353410450695E-2</v>
      </c>
      <c r="BT105" s="28"/>
      <c r="BU105" s="28"/>
      <c r="BV105" s="28"/>
      <c r="BW105" s="1335">
        <f ca="1">(-BW101+BW86)/BW16</f>
        <v>-1.2487505856960542E-2</v>
      </c>
      <c r="BY105" s="3018"/>
      <c r="BZ105" s="28"/>
      <c r="CA105" s="28"/>
      <c r="CB105" s="1335">
        <f ca="1">(-CB101+CB86)/CB16</f>
        <v>-3.6326509664665892E-4</v>
      </c>
      <c r="CD105" s="28"/>
      <c r="CG105" s="1335">
        <f ca="1">(-CG101+CG86)/CG16</f>
        <v>-5.783065210811904E-3</v>
      </c>
      <c r="CI105" s="28"/>
      <c r="CL105" s="1335">
        <f ca="1">(-CL101+CL86)/CL16</f>
        <v>-1.5054880385791475E-2</v>
      </c>
      <c r="CN105" s="28"/>
      <c r="CQ105" s="1335">
        <f ca="1">(-CQ101+CQ86)/CQ16</f>
        <v>-1.2699867690356723E-2</v>
      </c>
      <c r="CS105" s="28"/>
      <c r="CV105" s="1335">
        <f ca="1">(-CV101+CV86)/CV16</f>
        <v>-6.7979338318467945E-3</v>
      </c>
      <c r="CX105" s="28"/>
      <c r="DA105" s="1335">
        <f ca="1">(-DA101+DA86)/DA16</f>
        <v>-7.6922077643057736E-3</v>
      </c>
      <c r="DC105" s="28"/>
      <c r="DF105" s="1335">
        <f ca="1">(-DF101+DF86)/DF16</f>
        <v>7.0510521514724012E-4</v>
      </c>
      <c r="DH105" s="28"/>
      <c r="DK105" s="1335">
        <f ca="1">(-DK101+DK86)/DK16</f>
        <v>2.6743984849014559E-3</v>
      </c>
      <c r="DM105" s="28"/>
      <c r="DP105" s="1335">
        <f ca="1">(-DP101+DP86)/DP16</f>
        <v>8.8582358422621098E-3</v>
      </c>
      <c r="DR105" s="28"/>
      <c r="DU105" s="1335">
        <f ca="1">(-DU101+DU86)/DU16</f>
        <v>9.0431750914309831E-3</v>
      </c>
      <c r="DW105" s="28"/>
      <c r="DZ105" s="1335">
        <f ca="1">(-DZ101+DZ86)/DZ16</f>
        <v>8.9428101366435808E-3</v>
      </c>
    </row>
    <row r="106" spans="1:131">
      <c r="D106" s="4106"/>
      <c r="E106" s="4108" t="s">
        <v>562</v>
      </c>
      <c r="F106" s="4109"/>
      <c r="G106" s="4112">
        <f>+InputY!$G$3</f>
        <v>1995</v>
      </c>
      <c r="H106" s="4104"/>
      <c r="I106" s="4104"/>
      <c r="J106" s="4104"/>
      <c r="K106" s="4104"/>
      <c r="L106" s="4093">
        <f>+G106+1</f>
        <v>1996</v>
      </c>
      <c r="M106" s="4094"/>
      <c r="N106" s="4094"/>
      <c r="O106" s="4094"/>
      <c r="P106" s="4095"/>
      <c r="Q106" s="4093">
        <f>+L106+1</f>
        <v>1997</v>
      </c>
      <c r="R106" s="4094"/>
      <c r="S106" s="4094"/>
      <c r="T106" s="4094"/>
      <c r="U106" s="4095"/>
      <c r="V106" s="4093">
        <f>+Q106+1</f>
        <v>1998</v>
      </c>
      <c r="W106" s="4094"/>
      <c r="X106" s="4094"/>
      <c r="Y106" s="4094"/>
      <c r="Z106" s="4095"/>
      <c r="AA106" s="4093">
        <f>+V106+1</f>
        <v>1999</v>
      </c>
      <c r="AB106" s="4094"/>
      <c r="AC106" s="4094"/>
      <c r="AD106" s="4094"/>
      <c r="AE106" s="4095"/>
      <c r="AF106" s="4093">
        <f>+AA106+1</f>
        <v>2000</v>
      </c>
      <c r="AG106" s="4094"/>
      <c r="AH106" s="4094"/>
      <c r="AI106" s="4094"/>
      <c r="AJ106" s="4095"/>
      <c r="AK106" s="4093">
        <f>+AF106+1</f>
        <v>2001</v>
      </c>
      <c r="AL106" s="4094"/>
      <c r="AM106" s="4094"/>
      <c r="AN106" s="4094"/>
      <c r="AO106" s="4095"/>
      <c r="AP106" s="4093">
        <f>+AK106+1</f>
        <v>2002</v>
      </c>
      <c r="AQ106" s="4094"/>
      <c r="AR106" s="4094"/>
      <c r="AS106" s="4094"/>
      <c r="AT106" s="4095"/>
      <c r="AU106" s="4093">
        <f>+AP106+1</f>
        <v>2003</v>
      </c>
      <c r="AV106" s="4094"/>
      <c r="AW106" s="4094"/>
      <c r="AX106" s="4094"/>
      <c r="AY106" s="4095"/>
      <c r="AZ106" s="4093">
        <f>+AU106+1</f>
        <v>2004</v>
      </c>
      <c r="BA106" s="4094"/>
      <c r="BB106" s="4094"/>
      <c r="BC106" s="4094"/>
      <c r="BD106" s="4095"/>
      <c r="BE106" s="4093">
        <f>+AZ106+1</f>
        <v>2005</v>
      </c>
      <c r="BF106" s="4094"/>
      <c r="BG106" s="4094"/>
      <c r="BH106" s="4094"/>
      <c r="BI106" s="4095"/>
      <c r="BJ106" s="4093">
        <f>+BE106+1</f>
        <v>2006</v>
      </c>
      <c r="BK106" s="4094"/>
      <c r="BL106" s="4094"/>
      <c r="BM106" s="4094"/>
      <c r="BN106" s="4095"/>
      <c r="BO106" s="4093">
        <f>+BJ106+1</f>
        <v>2007</v>
      </c>
      <c r="BP106" s="4094"/>
      <c r="BQ106" s="4094"/>
      <c r="BR106" s="4094"/>
      <c r="BS106" s="4095"/>
      <c r="BT106" s="4093">
        <f>+BO106+1</f>
        <v>2008</v>
      </c>
      <c r="BU106" s="4094"/>
      <c r="BV106" s="4094"/>
      <c r="BW106" s="4094"/>
      <c r="BX106" s="4095"/>
      <c r="BY106" s="4104">
        <f>+BT106+1</f>
        <v>2009</v>
      </c>
      <c r="BZ106" s="4104"/>
      <c r="CA106" s="4104"/>
      <c r="CB106" s="4104"/>
      <c r="CC106" s="4104"/>
      <c r="CD106" s="4104">
        <f>+BY106+1</f>
        <v>2010</v>
      </c>
      <c r="CE106" s="4104"/>
      <c r="CF106" s="4104"/>
      <c r="CG106" s="4104"/>
      <c r="CH106" s="4104"/>
      <c r="CI106" s="4104">
        <f>+CD106+1</f>
        <v>2011</v>
      </c>
      <c r="CJ106" s="4104"/>
      <c r="CK106" s="4104"/>
      <c r="CL106" s="4104"/>
      <c r="CM106" s="4104"/>
      <c r="CN106" s="4104">
        <f>+CI106+1</f>
        <v>2012</v>
      </c>
      <c r="CO106" s="4104"/>
      <c r="CP106" s="4104"/>
      <c r="CQ106" s="4104"/>
      <c r="CR106" s="4104"/>
      <c r="CS106" s="4104">
        <f>+CN106+1</f>
        <v>2013</v>
      </c>
      <c r="CT106" s="4104"/>
      <c r="CU106" s="4104"/>
      <c r="CV106" s="4104"/>
      <c r="CW106" s="4104"/>
      <c r="CX106" s="4104">
        <f>+CS106+1</f>
        <v>2014</v>
      </c>
      <c r="CY106" s="4104"/>
      <c r="CZ106" s="4104"/>
      <c r="DA106" s="4104"/>
      <c r="DB106" s="4104"/>
      <c r="DC106" s="4093">
        <f>+CX106+1</f>
        <v>2015</v>
      </c>
      <c r="DD106" s="4094"/>
      <c r="DE106" s="4094"/>
      <c r="DF106" s="4094"/>
      <c r="DG106" s="4095"/>
      <c r="DH106" s="4093">
        <f>+DC106+1</f>
        <v>2016</v>
      </c>
      <c r="DI106" s="4094"/>
      <c r="DJ106" s="4094"/>
      <c r="DK106" s="4094"/>
      <c r="DL106" s="4095"/>
      <c r="DM106" s="4093">
        <f>+DH106+1</f>
        <v>2017</v>
      </c>
      <c r="DN106" s="4094"/>
      <c r="DO106" s="4094"/>
      <c r="DP106" s="4094"/>
      <c r="DQ106" s="4095"/>
      <c r="DR106" s="4093">
        <f>+DM106+1</f>
        <v>2018</v>
      </c>
      <c r="DS106" s="4094"/>
      <c r="DT106" s="4094"/>
      <c r="DU106" s="4094"/>
      <c r="DV106" s="4095"/>
      <c r="DW106" s="4093">
        <f>+DR106+1</f>
        <v>2019</v>
      </c>
      <c r="DX106" s="4094"/>
      <c r="DY106" s="4094"/>
      <c r="DZ106" s="4094"/>
      <c r="EA106" s="4095"/>
    </row>
    <row r="107" spans="1:131">
      <c r="C107" s="3"/>
      <c r="D107" s="4107"/>
      <c r="E107" s="4110" t="s">
        <v>2041</v>
      </c>
      <c r="F107" s="4111"/>
      <c r="G107" s="1199" t="s">
        <v>506</v>
      </c>
      <c r="H107" s="1196" t="s">
        <v>499</v>
      </c>
      <c r="I107" s="1195" t="s">
        <v>1186</v>
      </c>
      <c r="J107" s="1196" t="s">
        <v>1304</v>
      </c>
      <c r="K107" s="1195" t="s">
        <v>1187</v>
      </c>
      <c r="L107" s="1195" t="s">
        <v>506</v>
      </c>
      <c r="M107" s="1196" t="s">
        <v>499</v>
      </c>
      <c r="N107" s="1195" t="s">
        <v>1186</v>
      </c>
      <c r="O107" s="1196" t="s">
        <v>1304</v>
      </c>
      <c r="P107" s="1195" t="s">
        <v>1187</v>
      </c>
      <c r="Q107" s="1195" t="s">
        <v>506</v>
      </c>
      <c r="R107" s="1196" t="s">
        <v>499</v>
      </c>
      <c r="S107" s="1195" t="s">
        <v>1186</v>
      </c>
      <c r="T107" s="1196" t="s">
        <v>1304</v>
      </c>
      <c r="U107" s="1195" t="s">
        <v>1187</v>
      </c>
      <c r="V107" s="1195" t="s">
        <v>506</v>
      </c>
      <c r="W107" s="1196" t="s">
        <v>499</v>
      </c>
      <c r="X107" s="1195" t="s">
        <v>1186</v>
      </c>
      <c r="Y107" s="1196" t="s">
        <v>1304</v>
      </c>
      <c r="Z107" s="1195" t="s">
        <v>1187</v>
      </c>
      <c r="AA107" s="1195" t="s">
        <v>506</v>
      </c>
      <c r="AB107" s="1196" t="s">
        <v>499</v>
      </c>
      <c r="AC107" s="1195" t="s">
        <v>1186</v>
      </c>
      <c r="AD107" s="1196" t="s">
        <v>1304</v>
      </c>
      <c r="AE107" s="1195" t="s">
        <v>1187</v>
      </c>
      <c r="AF107" s="1195" t="s">
        <v>506</v>
      </c>
      <c r="AG107" s="1196" t="s">
        <v>499</v>
      </c>
      <c r="AH107" s="1195" t="s">
        <v>1186</v>
      </c>
      <c r="AI107" s="1196" t="s">
        <v>1304</v>
      </c>
      <c r="AJ107" s="1195" t="s">
        <v>1187</v>
      </c>
      <c r="AK107" s="1195" t="s">
        <v>506</v>
      </c>
      <c r="AL107" s="1196" t="s">
        <v>499</v>
      </c>
      <c r="AM107" s="1195" t="s">
        <v>1186</v>
      </c>
      <c r="AN107" s="1196" t="s">
        <v>1304</v>
      </c>
      <c r="AO107" s="1195" t="s">
        <v>1187</v>
      </c>
      <c r="AP107" s="1195" t="s">
        <v>506</v>
      </c>
      <c r="AQ107" s="1196" t="s">
        <v>499</v>
      </c>
      <c r="AR107" s="1195" t="s">
        <v>1186</v>
      </c>
      <c r="AS107" s="1196" t="s">
        <v>1304</v>
      </c>
      <c r="AT107" s="1195" t="s">
        <v>1187</v>
      </c>
      <c r="AU107" s="1195" t="s">
        <v>506</v>
      </c>
      <c r="AV107" s="1196" t="s">
        <v>499</v>
      </c>
      <c r="AW107" s="1195" t="s">
        <v>1186</v>
      </c>
      <c r="AX107" s="1196" t="s">
        <v>1304</v>
      </c>
      <c r="AY107" s="1195" t="s">
        <v>1187</v>
      </c>
      <c r="AZ107" s="1195" t="s">
        <v>506</v>
      </c>
      <c r="BA107" s="1196" t="s">
        <v>499</v>
      </c>
      <c r="BB107" s="1195" t="s">
        <v>1186</v>
      </c>
      <c r="BC107" s="1196" t="s">
        <v>1304</v>
      </c>
      <c r="BD107" s="1195" t="s">
        <v>1187</v>
      </c>
      <c r="BE107" s="1195" t="s">
        <v>506</v>
      </c>
      <c r="BF107" s="1196" t="s">
        <v>499</v>
      </c>
      <c r="BG107" s="1195" t="s">
        <v>1186</v>
      </c>
      <c r="BH107" s="1196" t="s">
        <v>1304</v>
      </c>
      <c r="BI107" s="1195" t="s">
        <v>1187</v>
      </c>
      <c r="BJ107" s="1195" t="s">
        <v>506</v>
      </c>
      <c r="BK107" s="1196" t="s">
        <v>499</v>
      </c>
      <c r="BL107" s="1195" t="s">
        <v>1186</v>
      </c>
      <c r="BM107" s="1196" t="s">
        <v>1304</v>
      </c>
      <c r="BN107" s="1195" t="s">
        <v>1187</v>
      </c>
      <c r="BO107" s="1195" t="s">
        <v>506</v>
      </c>
      <c r="BP107" s="1196" t="s">
        <v>499</v>
      </c>
      <c r="BQ107" s="1195" t="s">
        <v>1186</v>
      </c>
      <c r="BR107" s="1196" t="s">
        <v>1304</v>
      </c>
      <c r="BS107" s="1195" t="s">
        <v>1187</v>
      </c>
      <c r="BT107" s="1195" t="s">
        <v>506</v>
      </c>
      <c r="BU107" s="1196" t="s">
        <v>499</v>
      </c>
      <c r="BV107" s="1195" t="s">
        <v>1186</v>
      </c>
      <c r="BW107" s="1196" t="s">
        <v>1304</v>
      </c>
      <c r="BX107" s="1195" t="s">
        <v>1187</v>
      </c>
      <c r="BY107" s="1195" t="s">
        <v>506</v>
      </c>
      <c r="BZ107" s="1196" t="s">
        <v>499</v>
      </c>
      <c r="CA107" s="1195" t="s">
        <v>1186</v>
      </c>
      <c r="CB107" s="1196" t="s">
        <v>1304</v>
      </c>
      <c r="CC107" s="1195" t="s">
        <v>1187</v>
      </c>
      <c r="CD107" s="1195" t="s">
        <v>506</v>
      </c>
      <c r="CE107" s="1196" t="s">
        <v>499</v>
      </c>
      <c r="CF107" s="1195" t="s">
        <v>1186</v>
      </c>
      <c r="CG107" s="1196" t="s">
        <v>1304</v>
      </c>
      <c r="CH107" s="1195" t="s">
        <v>1187</v>
      </c>
      <c r="CI107" s="1195" t="s">
        <v>506</v>
      </c>
      <c r="CJ107" s="1196" t="s">
        <v>499</v>
      </c>
      <c r="CK107" s="1195" t="s">
        <v>1186</v>
      </c>
      <c r="CL107" s="1196" t="s">
        <v>1304</v>
      </c>
      <c r="CM107" s="1195" t="s">
        <v>1187</v>
      </c>
      <c r="CN107" s="1195" t="s">
        <v>506</v>
      </c>
      <c r="CO107" s="1196" t="s">
        <v>499</v>
      </c>
      <c r="CP107" s="1195" t="s">
        <v>1186</v>
      </c>
      <c r="CQ107" s="1196" t="s">
        <v>1304</v>
      </c>
      <c r="CR107" s="1195" t="s">
        <v>1187</v>
      </c>
      <c r="CS107" s="1195" t="s">
        <v>506</v>
      </c>
      <c r="CT107" s="1196" t="s">
        <v>499</v>
      </c>
      <c r="CU107" s="1195" t="s">
        <v>1186</v>
      </c>
      <c r="CV107" s="1196" t="s">
        <v>1304</v>
      </c>
      <c r="CW107" s="1195" t="s">
        <v>1187</v>
      </c>
      <c r="CX107" s="1195" t="s">
        <v>506</v>
      </c>
      <c r="CY107" s="1196" t="s">
        <v>499</v>
      </c>
      <c r="CZ107" s="1195" t="s">
        <v>1186</v>
      </c>
      <c r="DA107" s="1196" t="s">
        <v>1304</v>
      </c>
      <c r="DB107" s="1195" t="s">
        <v>1187</v>
      </c>
      <c r="DC107" s="1195" t="s">
        <v>506</v>
      </c>
      <c r="DD107" s="1196" t="s">
        <v>499</v>
      </c>
      <c r="DE107" s="1195" t="s">
        <v>1186</v>
      </c>
      <c r="DF107" s="1196" t="s">
        <v>1304</v>
      </c>
      <c r="DG107" s="1195" t="s">
        <v>1187</v>
      </c>
      <c r="DH107" s="1195" t="s">
        <v>506</v>
      </c>
      <c r="DI107" s="1196" t="s">
        <v>499</v>
      </c>
      <c r="DJ107" s="1195" t="s">
        <v>1186</v>
      </c>
      <c r="DK107" s="1196" t="s">
        <v>1304</v>
      </c>
      <c r="DL107" s="1195" t="s">
        <v>1187</v>
      </c>
      <c r="DM107" s="1195" t="s">
        <v>506</v>
      </c>
      <c r="DN107" s="1196" t="s">
        <v>499</v>
      </c>
      <c r="DO107" s="1195" t="s">
        <v>1186</v>
      </c>
      <c r="DP107" s="1196" t="s">
        <v>1304</v>
      </c>
      <c r="DQ107" s="1195" t="s">
        <v>1187</v>
      </c>
      <c r="DR107" s="1195" t="s">
        <v>506</v>
      </c>
      <c r="DS107" s="1196" t="s">
        <v>499</v>
      </c>
      <c r="DT107" s="1195" t="s">
        <v>1186</v>
      </c>
      <c r="DU107" s="1196" t="s">
        <v>1304</v>
      </c>
      <c r="DV107" s="1195" t="s">
        <v>1187</v>
      </c>
      <c r="DW107" s="1195" t="s">
        <v>506</v>
      </c>
      <c r="DX107" s="1196" t="s">
        <v>499</v>
      </c>
      <c r="DY107" s="1195" t="s">
        <v>1186</v>
      </c>
      <c r="DZ107" s="1196" t="s">
        <v>1304</v>
      </c>
      <c r="EA107" s="1195" t="s">
        <v>1187</v>
      </c>
    </row>
    <row r="108" spans="1:131" s="1240" customFormat="1">
      <c r="A108" s="1379"/>
      <c r="C108" s="1241" t="s">
        <v>622</v>
      </c>
      <c r="D108" s="1242"/>
      <c r="E108" s="1242" t="s">
        <v>800</v>
      </c>
      <c r="F108" s="1243" t="s">
        <v>1156</v>
      </c>
      <c r="G108" s="1180"/>
      <c r="H108" s="1181"/>
      <c r="I108" s="1182"/>
      <c r="J108" s="1171">
        <f ca="1">OFFSET('VVP2'!$G$334,0,(COLUMN()-6)/5)</f>
        <v>86.559200000000004</v>
      </c>
      <c r="K108" s="1183"/>
      <c r="L108" s="1180"/>
      <c r="M108" s="1181"/>
      <c r="N108" s="1182"/>
      <c r="O108" s="1171">
        <f ca="1">OFFSET('VVP2'!$G$334,0,(COLUMN()-6)/5)</f>
        <v>92.838300000000004</v>
      </c>
      <c r="P108" s="1164">
        <f ca="1">(O108/J108-1)*100</f>
        <v>7.2541104816125745</v>
      </c>
      <c r="Q108" s="1180"/>
      <c r="R108" s="1181"/>
      <c r="S108" s="1182"/>
      <c r="T108" s="1171">
        <f ca="1">OFFSET('VVP2'!$G$334,0,(COLUMN()-6)/5)</f>
        <v>101.0364</v>
      </c>
      <c r="U108" s="1164">
        <f ca="1">(T108/O108-1)*100</f>
        <v>8.8305149921961146</v>
      </c>
      <c r="V108" s="1180"/>
      <c r="W108" s="1181"/>
      <c r="X108" s="1182"/>
      <c r="Y108" s="1171">
        <f ca="1">OFFSET('VVP2'!$G$334,0,(COLUMN()-6)/5)</f>
        <v>107.7954</v>
      </c>
      <c r="Z108" s="1164">
        <f ca="1">(Y108/T108-1)*100</f>
        <v>6.6896682779671535</v>
      </c>
      <c r="AA108" s="1180"/>
      <c r="AB108" s="1181"/>
      <c r="AC108" s="1182"/>
      <c r="AD108" s="1171">
        <f ca="1">OFFSET('VVP2'!$G$334,0,(COLUMN()-6)/5)</f>
        <v>111.8467</v>
      </c>
      <c r="AE108" s="1164">
        <f ca="1">(AD108/Y108-1)*100</f>
        <v>3.758323639042116</v>
      </c>
      <c r="AF108" s="1180"/>
      <c r="AG108" s="1181"/>
      <c r="AH108" s="1182"/>
      <c r="AI108" s="1171">
        <f ca="1">OFFSET('VVP2'!$G$334,0,(COLUMN()-6)/5)</f>
        <v>136.20339999999999</v>
      </c>
      <c r="AJ108" s="1164">
        <f ca="1">(AI108/AD108-1)*100</f>
        <v>21.776860649442487</v>
      </c>
      <c r="AK108" s="1180"/>
      <c r="AL108" s="1181"/>
      <c r="AM108" s="1182"/>
      <c r="AN108" s="1171">
        <f ca="1">OFFSET('VVP2'!$G$334,0,(COLUMN()-6)/5)</f>
        <v>143.63560000000001</v>
      </c>
      <c r="AO108" s="1164">
        <f ca="1">(AN108/AI108-1)*100</f>
        <v>5.4566919768522792</v>
      </c>
      <c r="AP108" s="1180"/>
      <c r="AQ108" s="1181"/>
      <c r="AR108" s="1182"/>
      <c r="AS108" s="1171">
        <f ca="1">OFFSET('VVP2'!$G$334,0,(COLUMN()-6)/5)</f>
        <v>152.87910000000002</v>
      </c>
      <c r="AT108" s="1164">
        <f ca="1">(AS108/AN108-1)*100</f>
        <v>6.4353823146907851</v>
      </c>
      <c r="AU108" s="1180"/>
      <c r="AV108" s="1181"/>
      <c r="AW108" s="1182"/>
      <c r="AX108" s="1171">
        <f ca="1">OFFSET('VVP2'!$G$334,0,(COLUMN()-6)/5)</f>
        <v>152.8528</v>
      </c>
      <c r="AY108" s="1164">
        <f ca="1">(AX108/AS108-1)*100</f>
        <v>-1.7203136334542624E-2</v>
      </c>
      <c r="AZ108" s="1180"/>
      <c r="BA108" s="1181"/>
      <c r="BB108" s="1182"/>
      <c r="BC108" s="1171">
        <f ca="1">OFFSET('VVP2'!$G$334,0,(COLUMN()-6)/5)</f>
        <v>167.285</v>
      </c>
      <c r="BD108" s="1164">
        <f ca="1">(BC108/AX108-1)*100</f>
        <v>9.4418944239163416</v>
      </c>
      <c r="BE108" s="1180"/>
      <c r="BF108" s="1181"/>
      <c r="BG108" s="1182"/>
      <c r="BH108" s="1171">
        <f ca="1">OFFSET('VVP2'!$G$334,0,(COLUMN()-6)/5)</f>
        <v>184.72590000000002</v>
      </c>
      <c r="BI108" s="1164">
        <f ca="1">(BH108/BC108-1)*100</f>
        <v>10.425860059180447</v>
      </c>
      <c r="BJ108" s="1180"/>
      <c r="BK108" s="1181"/>
      <c r="BL108" s="1182"/>
      <c r="BM108" s="1171">
        <f ca="1">OFFSET('VVP2'!$G$334,0,(COLUMN()-6)/5)</f>
        <v>200.14849999999998</v>
      </c>
      <c r="BN108" s="1164">
        <f ca="1">(BM108/BH108-1)*100</f>
        <v>8.3489104668051262</v>
      </c>
      <c r="BO108" s="1180"/>
      <c r="BP108" s="1181"/>
      <c r="BQ108" s="1182"/>
      <c r="BR108" s="1171">
        <f ca="1">OFFSET('VVP2'!$G$334,0,(COLUMN()-6)/5)</f>
        <v>211.94280000000001</v>
      </c>
      <c r="BS108" s="1164">
        <f ca="1">(BR108/BM108-1)*100</f>
        <v>5.892774614848495</v>
      </c>
      <c r="BT108" s="1180"/>
      <c r="BU108" s="1181"/>
      <c r="BV108" s="1182"/>
      <c r="BW108" s="1171">
        <f ca="1">OFFSET('VVP2'!$G$334,0,(COLUMN()-6)/5)</f>
        <v>221.63839999999996</v>
      </c>
      <c r="BX108" s="1164">
        <f ca="1">(BW108/BR108-1)*100</f>
        <v>4.5746305135158982</v>
      </c>
      <c r="BY108" s="1180"/>
      <c r="BZ108" s="1181"/>
      <c r="CA108" s="1182"/>
      <c r="CB108" s="1171">
        <f ca="1">OFFSET('VVP2'!$G$334,0,(COLUMN()-6)/5)</f>
        <v>178.9665</v>
      </c>
      <c r="CC108" s="1164">
        <f ca="1">(CB108/BW108-1)*100</f>
        <v>-19.252936314284874</v>
      </c>
      <c r="CD108" s="1180"/>
      <c r="CE108" s="1181"/>
      <c r="CF108" s="1182"/>
      <c r="CG108" s="1171">
        <f ca="1">OFFSET('VVP2'!$G$334,0,(COLUMN()-6)/5)</f>
        <v>203.95889999999997</v>
      </c>
      <c r="CH108" s="1164">
        <f ca="1">(CG108/CB108-1)*100</f>
        <v>13.964848169908883</v>
      </c>
      <c r="CI108" s="1180"/>
      <c r="CJ108" s="1181"/>
      <c r="CK108" s="1182"/>
      <c r="CL108" s="1171">
        <f ca="1">OFFSET('VVP2'!$G$334,0,(COLUMN()-6)/5)</f>
        <v>227.01139999999998</v>
      </c>
      <c r="CM108" s="1164">
        <f ca="1">(CL108/CG108-1)*100</f>
        <v>11.302522223840207</v>
      </c>
      <c r="CN108" s="1180"/>
      <c r="CO108" s="1181"/>
      <c r="CP108" s="1182"/>
      <c r="CQ108" s="1171">
        <f ca="1">OFFSET('VVP2'!$G$334,0,(COLUMN()-6)/5)</f>
        <v>230.94420000000002</v>
      </c>
      <c r="CR108" s="1164">
        <f ca="1">(CQ108/CL108-1)*100</f>
        <v>1.7324240104241717</v>
      </c>
      <c r="CS108" s="1180"/>
      <c r="CT108" s="1181"/>
      <c r="CU108" s="1182"/>
      <c r="CV108" s="1171">
        <f ca="1">OFFSET('VVP2'!$G$334,0,(COLUMN()-6)/5)</f>
        <v>225.90789999999996</v>
      </c>
      <c r="CW108" s="1164">
        <f ca="1">(CV108/CQ108-1)*100</f>
        <v>-2.1807432271518712</v>
      </c>
      <c r="CX108" s="1180"/>
      <c r="CY108" s="1181"/>
      <c r="CZ108" s="1182"/>
      <c r="DA108" s="1171">
        <f ca="1">OFFSET('VVP2'!$G$334,0,(COLUMN()-6)/5)</f>
        <v>221.79759999999999</v>
      </c>
      <c r="DB108" s="1164">
        <f ca="1">(DA108/CV108-1)*100</f>
        <v>-1.8194582836633777</v>
      </c>
      <c r="DC108" s="1180"/>
      <c r="DD108" s="1181"/>
      <c r="DE108" s="1182"/>
      <c r="DF108" s="1171">
        <f ca="1">OFFSET('VVP2'!$G$334,0,(COLUMN()-6)/5)</f>
        <v>212.56850000000003</v>
      </c>
      <c r="DG108" s="1164">
        <f ca="1">(DF108/DA108-1)*100</f>
        <v>-4.1610459265564508</v>
      </c>
      <c r="DH108" s="1180"/>
      <c r="DI108" s="1181"/>
      <c r="DJ108" s="1182"/>
      <c r="DK108" s="1171">
        <f ca="1">OFFSET('VVP2'!$G$334,0,(COLUMN()-6)/5)</f>
        <v>218.50980000000001</v>
      </c>
      <c r="DL108" s="1164">
        <f ca="1">(DK108/DF108-1)*100</f>
        <v>2.7950049043014236</v>
      </c>
      <c r="DM108" s="1253"/>
      <c r="DN108" s="1358"/>
      <c r="DO108" s="1095"/>
      <c r="DP108" s="1171">
        <f ca="1">OFFSET('VVP2'!$G$334,0,(COLUMN()-6)/5)</f>
        <v>231.54430000000002</v>
      </c>
      <c r="DQ108" s="1164">
        <f ca="1">(DP108/DK108-1)*100</f>
        <v>5.9651786784848948</v>
      </c>
      <c r="DR108" s="1253"/>
      <c r="DS108" s="1358"/>
      <c r="DT108" s="1095"/>
      <c r="DU108" s="1153">
        <f ca="1">+DU110-DU109</f>
        <v>247.63087470000005</v>
      </c>
      <c r="DV108" s="1359">
        <f ca="1">(DU108/DP108-1)*100</f>
        <v>6.947514881601502</v>
      </c>
      <c r="DW108" s="1253"/>
      <c r="DX108" s="1358"/>
      <c r="DY108" s="1095"/>
      <c r="DZ108" s="1153">
        <f ca="1">+DZ110-DZ109</f>
        <v>262.97241452700905</v>
      </c>
      <c r="EA108" s="1359">
        <f ca="1">(DZ108/DU108-1)*100</f>
        <v>6.1953259445515219</v>
      </c>
    </row>
    <row r="109" spans="1:131" s="1240" customFormat="1">
      <c r="A109" s="1379"/>
      <c r="C109" s="1246" t="s">
        <v>622</v>
      </c>
      <c r="D109" s="1247"/>
      <c r="E109" s="1247" t="s">
        <v>1155</v>
      </c>
      <c r="F109" s="1248" t="s">
        <v>1157</v>
      </c>
      <c r="G109" s="1189"/>
      <c r="H109" s="1190"/>
      <c r="I109" s="1191"/>
      <c r="J109" s="1174">
        <f ca="1">OFFSET('VVP2'!$G$335,0,(COLUMN()-6)/5)</f>
        <v>30</v>
      </c>
      <c r="K109" s="1192"/>
      <c r="L109" s="1189"/>
      <c r="M109" s="1190"/>
      <c r="N109" s="1191"/>
      <c r="O109" s="1174">
        <f ca="1">OFFSET('VVP2'!$G$335,0,(COLUMN()-6)/5)</f>
        <v>32.738799999999998</v>
      </c>
      <c r="P109" s="1161">
        <f ca="1">(O109/J109-1)*100</f>
        <v>9.1293333333333226</v>
      </c>
      <c r="Q109" s="1189"/>
      <c r="R109" s="1190"/>
      <c r="S109" s="1191"/>
      <c r="T109" s="1174">
        <f ca="1">OFFSET('VVP2'!$G$335,0,(COLUMN()-6)/5)</f>
        <v>38.259</v>
      </c>
      <c r="U109" s="1161">
        <f ca="1">(T109/O109-1)*100</f>
        <v>16.861338839542086</v>
      </c>
      <c r="V109" s="1189"/>
      <c r="W109" s="1190"/>
      <c r="X109" s="1191"/>
      <c r="Y109" s="1174">
        <f ca="1">OFFSET('VVP2'!$G$335,0,(COLUMN()-6)/5)</f>
        <v>40.146000000000001</v>
      </c>
      <c r="Z109" s="1161">
        <f ca="1">(Y109/T109-1)*100</f>
        <v>4.9321728220810712</v>
      </c>
      <c r="AA109" s="1189"/>
      <c r="AB109" s="1190"/>
      <c r="AC109" s="1191"/>
      <c r="AD109" s="1174">
        <f ca="1">OFFSET('VVP2'!$G$335,0,(COLUMN()-6)/5)</f>
        <v>42.788499999999999</v>
      </c>
      <c r="AE109" s="1161">
        <f ca="1">(AD109/Y109-1)*100</f>
        <v>6.5822248791909566</v>
      </c>
      <c r="AF109" s="1189"/>
      <c r="AG109" s="1190"/>
      <c r="AH109" s="1191"/>
      <c r="AI109" s="1174">
        <f ca="1">OFFSET('VVP2'!$G$335,0,(COLUMN()-6)/5)</f>
        <v>55.991499999999988</v>
      </c>
      <c r="AJ109" s="1161">
        <f ca="1">(AI109/AD109-1)*100</f>
        <v>30.856421702092817</v>
      </c>
      <c r="AK109" s="1189"/>
      <c r="AL109" s="1190"/>
      <c r="AM109" s="1191"/>
      <c r="AN109" s="1174">
        <f ca="1">OFFSET('VVP2'!$G$335,0,(COLUMN()-6)/5)</f>
        <v>55.855600000000031</v>
      </c>
      <c r="AO109" s="1161">
        <f ca="1">(AN109/AI109-1)*100</f>
        <v>-0.24271541216069892</v>
      </c>
      <c r="AP109" s="1189"/>
      <c r="AQ109" s="1190"/>
      <c r="AR109" s="1191"/>
      <c r="AS109" s="1174">
        <f ca="1">OFFSET('VVP2'!$G$335,0,(COLUMN()-6)/5)</f>
        <v>56.840799999999959</v>
      </c>
      <c r="AT109" s="1161">
        <f ca="1">(AS109/AN109-1)*100</f>
        <v>1.7638338859486291</v>
      </c>
      <c r="AU109" s="1189"/>
      <c r="AV109" s="1190"/>
      <c r="AW109" s="1191"/>
      <c r="AX109" s="1174">
        <f ca="1">OFFSET('VVP2'!$G$335,0,(COLUMN()-6)/5)</f>
        <v>54.842400000000012</v>
      </c>
      <c r="AY109" s="1161">
        <f ca="1">(AX109/AS109-1)*100</f>
        <v>-3.5157844365314106</v>
      </c>
      <c r="AZ109" s="1189"/>
      <c r="BA109" s="1190"/>
      <c r="BB109" s="1191"/>
      <c r="BC109" s="1174">
        <f ca="1">OFFSET('VVP2'!$G$335,0,(COLUMN()-6)/5)</f>
        <v>62.332100000000018</v>
      </c>
      <c r="BD109" s="1161">
        <f ca="1">(BC109/AX109-1)*100</f>
        <v>13.656769215059894</v>
      </c>
      <c r="BE109" s="1189"/>
      <c r="BF109" s="1190"/>
      <c r="BG109" s="1191"/>
      <c r="BH109" s="1174">
        <f ca="1">OFFSET('VVP2'!$G$335,0,(COLUMN()-6)/5)</f>
        <v>71.442999999999984</v>
      </c>
      <c r="BI109" s="1161">
        <f ca="1">(BH109/BC109-1)*100</f>
        <v>14.616706319857609</v>
      </c>
      <c r="BJ109" s="1189"/>
      <c r="BK109" s="1190"/>
      <c r="BL109" s="1191"/>
      <c r="BM109" s="1174">
        <f ca="1">OFFSET('VVP2'!$G$335,0,(COLUMN()-6)/5)</f>
        <v>79.904699999999991</v>
      </c>
      <c r="BN109" s="1161">
        <f ca="1">(BM109/BH109-1)*100</f>
        <v>11.84398751452207</v>
      </c>
      <c r="BO109" s="1189"/>
      <c r="BP109" s="1190"/>
      <c r="BQ109" s="1191"/>
      <c r="BR109" s="1174">
        <f ca="1">OFFSET('VVP2'!$G$335,0,(COLUMN()-6)/5)</f>
        <v>88.354799999999969</v>
      </c>
      <c r="BS109" s="1161">
        <f ca="1">(BR109/BM109-1)*100</f>
        <v>10.575222734081958</v>
      </c>
      <c r="BT109" s="1189"/>
      <c r="BU109" s="1190"/>
      <c r="BV109" s="1191"/>
      <c r="BW109" s="1174">
        <f ca="1">OFFSET('VVP2'!$G$335,0,(COLUMN()-6)/5)</f>
        <v>95.405000000000044</v>
      </c>
      <c r="BX109" s="1161">
        <f ca="1">(BW109/BR109-1)*100</f>
        <v>7.9794193411111491</v>
      </c>
      <c r="BY109" s="1189"/>
      <c r="BZ109" s="1190"/>
      <c r="CA109" s="1191"/>
      <c r="CB109" s="1174">
        <f ca="1">OFFSET('VVP2'!$G$335,0,(COLUMN()-6)/5)</f>
        <v>75.401000000000025</v>
      </c>
      <c r="CC109" s="1161">
        <f ca="1">(CB109/BW109-1)*100</f>
        <v>-20.9674545359258</v>
      </c>
      <c r="CD109" s="1189"/>
      <c r="CE109" s="1190"/>
      <c r="CF109" s="1191"/>
      <c r="CG109" s="1174">
        <f ca="1">OFFSET('VVP2'!$G$335,0,(COLUMN()-6)/5)</f>
        <v>91.113300000000024</v>
      </c>
      <c r="CH109" s="1161">
        <f ca="1">(CG109/CB109-1)*100</f>
        <v>20.838317794193696</v>
      </c>
      <c r="CI109" s="1189"/>
      <c r="CJ109" s="1190"/>
      <c r="CK109" s="1191"/>
      <c r="CL109" s="1174">
        <f ca="1">OFFSET('VVP2'!$G$335,0,(COLUMN()-6)/5)</f>
        <v>108.4361</v>
      </c>
      <c r="CM109" s="1161">
        <f ca="1">(CL109/CG109-1)*100</f>
        <v>19.012372507636055</v>
      </c>
      <c r="CN109" s="1189"/>
      <c r="CO109" s="1190"/>
      <c r="CP109" s="1191"/>
      <c r="CQ109" s="1174">
        <f ca="1">OFFSET('VVP2'!$G$335,0,(COLUMN()-6)/5)</f>
        <v>110.84309999999998</v>
      </c>
      <c r="CR109" s="1161">
        <f ca="1">(CQ109/CL109-1)*100</f>
        <v>2.2197404738827586</v>
      </c>
      <c r="CS109" s="1189"/>
      <c r="CT109" s="1190"/>
      <c r="CU109" s="1191"/>
      <c r="CV109" s="1174">
        <f ca="1">OFFSET('VVP2'!$G$335,0,(COLUMN()-6)/5)</f>
        <v>114.18510000000003</v>
      </c>
      <c r="CW109" s="1161">
        <f ca="1">(CV109/CQ109-1)*100</f>
        <v>3.015072656755402</v>
      </c>
      <c r="CX109" s="1189"/>
      <c r="CY109" s="1190"/>
      <c r="CZ109" s="1191"/>
      <c r="DA109" s="1174">
        <f ca="1">OFFSET('VVP2'!$G$335,0,(COLUMN()-6)/5)</f>
        <v>119.62920000000003</v>
      </c>
      <c r="DB109" s="1161">
        <f ca="1">(DA109/CV109-1)*100</f>
        <v>4.7677849386653648</v>
      </c>
      <c r="DC109" s="1189"/>
      <c r="DD109" s="1190"/>
      <c r="DE109" s="1191"/>
      <c r="DF109" s="1174">
        <f ca="1">OFFSET('VVP2'!$G$335,0,(COLUMN()-6)/5)</f>
        <v>126.00220000000003</v>
      </c>
      <c r="DG109" s="1161">
        <f ca="1">(DF109/DA109-1)*100</f>
        <v>5.3272946738756044</v>
      </c>
      <c r="DH109" s="1189"/>
      <c r="DI109" s="1190"/>
      <c r="DJ109" s="1191"/>
      <c r="DK109" s="1174">
        <f ca="1">OFFSET('VVP2'!$G$335,0,(COLUMN()-6)/5)</f>
        <v>123.97069999999999</v>
      </c>
      <c r="DL109" s="1161">
        <f ca="1">(DK109/DF109-1)*100</f>
        <v>-1.6122734364955815</v>
      </c>
      <c r="DM109" s="1148"/>
      <c r="DN109" s="1351"/>
      <c r="DO109" s="924"/>
      <c r="DP109" s="1174">
        <f ca="1">OFFSET('VVP2'!$G$335,0,(COLUMN()-6)/5)</f>
        <v>128.62820000000002</v>
      </c>
      <c r="DQ109" s="1161">
        <f ca="1">(DP109/DK109-1)*100</f>
        <v>3.7569361147432589</v>
      </c>
      <c r="DR109" s="1148"/>
      <c r="DS109" s="1351"/>
      <c r="DT109" s="924"/>
      <c r="DU109" s="1153">
        <f ca="1">+DP109*(1+DV109/100)</f>
        <v>135.05961000000002</v>
      </c>
      <c r="DV109" s="3372">
        <v>5</v>
      </c>
      <c r="DW109" s="1148"/>
      <c r="DX109" s="1351"/>
      <c r="DY109" s="924"/>
      <c r="DZ109" s="1153">
        <f ca="1">+DU109*(1+EA109/100)</f>
        <v>141.81259050000003</v>
      </c>
      <c r="EA109" s="3372">
        <v>5</v>
      </c>
    </row>
    <row r="110" spans="1:131" s="28" customFormat="1">
      <c r="A110" s="1378"/>
      <c r="C110" s="175" t="s">
        <v>624</v>
      </c>
      <c r="D110" s="1126"/>
      <c r="E110" s="1126" t="s">
        <v>487</v>
      </c>
      <c r="F110" s="1125" t="s">
        <v>1569</v>
      </c>
      <c r="G110" s="1176"/>
      <c r="H110" s="1176"/>
      <c r="I110" s="1176"/>
      <c r="J110" s="1177">
        <f ca="1">+J108+J109</f>
        <v>116.5592</v>
      </c>
      <c r="K110" s="1176"/>
      <c r="L110" s="1176"/>
      <c r="M110" s="1176"/>
      <c r="N110" s="1176"/>
      <c r="O110" s="1177">
        <f ca="1">+O108+O109</f>
        <v>125.5771</v>
      </c>
      <c r="P110" s="1177">
        <f ca="1">(O110/J110-1)*100</f>
        <v>7.7367552282445295</v>
      </c>
      <c r="Q110" s="1176"/>
      <c r="R110" s="1176"/>
      <c r="S110" s="1176"/>
      <c r="T110" s="1177">
        <f ca="1">+T108+T109</f>
        <v>139.2954</v>
      </c>
      <c r="U110" s="1177">
        <f ca="1">(T110/O110-1)*100</f>
        <v>10.924205129756936</v>
      </c>
      <c r="V110" s="1176"/>
      <c r="W110" s="1176"/>
      <c r="X110" s="1176"/>
      <c r="Y110" s="1177">
        <f ca="1">+Y108+Y109</f>
        <v>147.94139999999999</v>
      </c>
      <c r="Z110" s="1177">
        <f ca="1">(Y110/T110-1)*100</f>
        <v>6.2069529934225987</v>
      </c>
      <c r="AA110" s="1176"/>
      <c r="AB110" s="1176"/>
      <c r="AC110" s="1176"/>
      <c r="AD110" s="1177">
        <f ca="1">+AD108+AD109</f>
        <v>154.6352</v>
      </c>
      <c r="AE110" s="1177">
        <f ca="1">(AD110/Y110-1)*100</f>
        <v>4.5246293464844989</v>
      </c>
      <c r="AF110" s="1176"/>
      <c r="AG110" s="1176"/>
      <c r="AH110" s="1176"/>
      <c r="AI110" s="1177">
        <f ca="1">+AI108+AI109</f>
        <v>192.19489999999996</v>
      </c>
      <c r="AJ110" s="1177">
        <f ca="1">(AI110/AD110-1)*100</f>
        <v>24.289230395149342</v>
      </c>
      <c r="AK110" s="1176"/>
      <c r="AL110" s="1176"/>
      <c r="AM110" s="1176"/>
      <c r="AN110" s="1177">
        <f ca="1">+AN108+AN109</f>
        <v>199.49120000000005</v>
      </c>
      <c r="AO110" s="1177">
        <f ca="1">(AN110/AI110-1)*100</f>
        <v>3.796302607405333</v>
      </c>
      <c r="AP110" s="1176"/>
      <c r="AQ110" s="1176"/>
      <c r="AR110" s="1176"/>
      <c r="AS110" s="1177">
        <f ca="1">+AS108+AS109</f>
        <v>209.7199</v>
      </c>
      <c r="AT110" s="1177">
        <f ca="1">(AS110/AN110-1)*100</f>
        <v>5.1273940905663729</v>
      </c>
      <c r="AU110" s="1176"/>
      <c r="AV110" s="1176"/>
      <c r="AW110" s="1176"/>
      <c r="AX110" s="1177">
        <f ca="1">+AX108+AX109</f>
        <v>207.6952</v>
      </c>
      <c r="AY110" s="1177">
        <f ca="1">(AX110/AS110-1)*100</f>
        <v>-0.96543055761517671</v>
      </c>
      <c r="AZ110" s="1176"/>
      <c r="BA110" s="1176"/>
      <c r="BB110" s="1176"/>
      <c r="BC110" s="1177">
        <f ca="1">+BC108+BC109</f>
        <v>229.61710000000002</v>
      </c>
      <c r="BD110" s="1177">
        <f ca="1">(BC110/AX110-1)*100</f>
        <v>10.554841902942403</v>
      </c>
      <c r="BE110" s="1176"/>
      <c r="BF110" s="1176"/>
      <c r="BG110" s="1176"/>
      <c r="BH110" s="1177">
        <f ca="1">+BH108+BH109</f>
        <v>256.16890000000001</v>
      </c>
      <c r="BI110" s="1177">
        <f ca="1">(BH110/BC110-1)*100</f>
        <v>11.563511602576625</v>
      </c>
      <c r="BJ110" s="1176"/>
      <c r="BK110" s="1176"/>
      <c r="BL110" s="1176"/>
      <c r="BM110" s="1177">
        <f ca="1">+BM108+BM109</f>
        <v>280.05319999999995</v>
      </c>
      <c r="BN110" s="1177">
        <f ca="1">(BM110/BH110-1)*100</f>
        <v>9.3236532615785563</v>
      </c>
      <c r="BO110" s="1176"/>
      <c r="BP110" s="1176"/>
      <c r="BQ110" s="1176"/>
      <c r="BR110" s="1177">
        <f ca="1">+BR108+BR109</f>
        <v>300.29759999999999</v>
      </c>
      <c r="BS110" s="1177">
        <f ca="1">(BR110/BM110-1)*100</f>
        <v>7.2287693909586004</v>
      </c>
      <c r="BT110" s="1176"/>
      <c r="BU110" s="1176"/>
      <c r="BV110" s="1176"/>
      <c r="BW110" s="1177">
        <f ca="1">+BW108+BW109</f>
        <v>317.04340000000002</v>
      </c>
      <c r="BX110" s="1177">
        <f ca="1">(BW110/BR110-1)*100</f>
        <v>5.5764015430026959</v>
      </c>
      <c r="BY110" s="1176"/>
      <c r="BZ110" s="1176"/>
      <c r="CA110" s="1176"/>
      <c r="CB110" s="1177">
        <f ca="1">+CB108+CB109</f>
        <v>254.36750000000001</v>
      </c>
      <c r="CC110" s="1177">
        <f ca="1">(CB110/BW110-1)*100</f>
        <v>-19.768870760280777</v>
      </c>
      <c r="CD110" s="1176"/>
      <c r="CE110" s="1176"/>
      <c r="CF110" s="1176"/>
      <c r="CG110" s="1177">
        <f ca="1">+CG108+CG109</f>
        <v>295.07220000000001</v>
      </c>
      <c r="CH110" s="1177">
        <f ca="1">(CG110/CB110-1)*100</f>
        <v>16.002319478706983</v>
      </c>
      <c r="CI110" s="1176"/>
      <c r="CJ110" s="1176"/>
      <c r="CK110" s="1176"/>
      <c r="CL110" s="1177">
        <f ca="1">+CL108+CL109</f>
        <v>335.44749999999999</v>
      </c>
      <c r="CM110" s="1177">
        <f ca="1">(CL110/CG110-1)*100</f>
        <v>13.683193469259392</v>
      </c>
      <c r="CN110" s="1176"/>
      <c r="CO110" s="1176"/>
      <c r="CP110" s="1176"/>
      <c r="CQ110" s="1177">
        <f ca="1">+CQ108+CQ109</f>
        <v>341.78730000000002</v>
      </c>
      <c r="CR110" s="1177">
        <f ca="1">(CQ110/CL110-1)*100</f>
        <v>1.8899529732670617</v>
      </c>
      <c r="CS110" s="1176"/>
      <c r="CT110" s="1176"/>
      <c r="CU110" s="1176"/>
      <c r="CV110" s="1177">
        <f ca="1">+CV108+CV109</f>
        <v>340.09299999999996</v>
      </c>
      <c r="CW110" s="1177">
        <f ca="1">(CV110/CQ110-1)*100</f>
        <v>-0.49571765832143733</v>
      </c>
      <c r="CX110" s="1176"/>
      <c r="CY110" s="1176"/>
      <c r="CZ110" s="1176"/>
      <c r="DA110" s="1177">
        <f ca="1">+DA108+DA109</f>
        <v>341.42680000000001</v>
      </c>
      <c r="DB110" s="1177">
        <f ca="1">(DA110/CV110-1)*100</f>
        <v>0.39218684301061124</v>
      </c>
      <c r="DC110" s="1176"/>
      <c r="DD110" s="1176"/>
      <c r="DE110" s="1176"/>
      <c r="DF110" s="1177">
        <f ca="1">+DF108+DF109</f>
        <v>338.57070000000004</v>
      </c>
      <c r="DG110" s="1177">
        <f ca="1">(DF110/DA110-1)*100</f>
        <v>-0.8365189844499521</v>
      </c>
      <c r="DH110" s="1176"/>
      <c r="DI110" s="1176"/>
      <c r="DJ110" s="1176"/>
      <c r="DK110" s="1177">
        <f ca="1">+DK108+DK109</f>
        <v>342.48050000000001</v>
      </c>
      <c r="DL110" s="1177">
        <f ca="1">(DK110/DF110-1)*100</f>
        <v>1.1547957339486103</v>
      </c>
      <c r="DM110" s="1176"/>
      <c r="DN110" s="1176"/>
      <c r="DO110" s="1176"/>
      <c r="DP110" s="1177">
        <f ca="1">+DP108+DP109</f>
        <v>360.17250000000001</v>
      </c>
      <c r="DQ110" s="1177">
        <f ca="1">(DP110/DK110-1)*100</f>
        <v>5.1658415588624829</v>
      </c>
      <c r="DR110" s="1347"/>
      <c r="DS110" s="1339"/>
      <c r="DT110" s="1339"/>
      <c r="DU110" s="1339">
        <f ca="1">+DP110*(1+DV110/100)</f>
        <v>382.69048470000007</v>
      </c>
      <c r="DV110" s="1348">
        <f ca="1">+DV101</f>
        <v>6.2520000000000131</v>
      </c>
      <c r="DW110" s="1347"/>
      <c r="DX110" s="1339"/>
      <c r="DY110" s="1339"/>
      <c r="DZ110" s="1339">
        <f ca="1">+DU110*(1+EA110/100)</f>
        <v>404.78500502700911</v>
      </c>
      <c r="EA110" s="1348">
        <f ca="1">+EA101</f>
        <v>5.7734699999999917</v>
      </c>
    </row>
    <row r="111" spans="1:131">
      <c r="BC111" s="3378">
        <f ca="1">BC109/BC110*100</f>
        <v>27.146105407654748</v>
      </c>
      <c r="BH111" s="3378">
        <f ca="1">BH109/BH110*100</f>
        <v>27.889021657195695</v>
      </c>
      <c r="BM111" s="3378">
        <f ca="1">BM109/BM110*100</f>
        <v>28.531971782504183</v>
      </c>
      <c r="BR111" s="3378">
        <f ca="1">BR109/BR110*100</f>
        <v>29.422412966337387</v>
      </c>
      <c r="BW111" s="3378">
        <f ca="1">BW109/BW110*100</f>
        <v>30.092094646978946</v>
      </c>
      <c r="CB111" s="3378">
        <f ca="1">CB109/CB110*100</f>
        <v>29.642544743333964</v>
      </c>
      <c r="CG111" s="3378">
        <f ca="1">CG109/CG110*100</f>
        <v>30.878307071964091</v>
      </c>
      <c r="CL111" s="3378">
        <f ca="1">CL109/CL110*100</f>
        <v>32.325803590725819</v>
      </c>
      <c r="CQ111" s="3378">
        <f ca="1">CQ109/CQ110*100</f>
        <v>32.430432611159041</v>
      </c>
      <c r="CV111" s="3378">
        <f ca="1">CV109/CV110*100</f>
        <v>33.574669281637682</v>
      </c>
      <c r="DA111" s="3378">
        <f ca="1">DA109/DA110*100</f>
        <v>35.038022791415322</v>
      </c>
      <c r="DF111" s="3378">
        <f ca="1">DF109/DF110*100</f>
        <v>37.215919747337857</v>
      </c>
      <c r="DK111" s="3378">
        <f ca="1">DK109/DK110*100</f>
        <v>36.197885719040933</v>
      </c>
      <c r="DP111" s="3378">
        <f ca="1">DP109/DP110*100</f>
        <v>35.712943103651732</v>
      </c>
      <c r="DU111" s="3378">
        <f ca="1">DU109/DU110*100</f>
        <v>35.292126509462705</v>
      </c>
      <c r="DZ111" s="3378">
        <f ca="1">DZ109/DZ110*100</f>
        <v>35.034052333667262</v>
      </c>
    </row>
    <row r="112" spans="1:131">
      <c r="BH112" s="3378">
        <f ca="1">BH111-BC111</f>
        <v>0.74291624954094715</v>
      </c>
      <c r="BM112" s="3378">
        <f ca="1">BM111-BH111</f>
        <v>0.64295012530848794</v>
      </c>
      <c r="BR112" s="3378">
        <f ca="1">BR111-BM111</f>
        <v>0.89044118383320381</v>
      </c>
      <c r="BW112" s="3378">
        <f ca="1">BW111-BR111</f>
        <v>0.66968168064155975</v>
      </c>
      <c r="CB112" s="3378">
        <f ca="1">CB111-BW111</f>
        <v>-0.44954990364498215</v>
      </c>
      <c r="CG112" s="3378">
        <f ca="1">CG111-CB111</f>
        <v>1.2357623286301269</v>
      </c>
      <c r="CL112" s="3378">
        <f ca="1">CL111-CG111</f>
        <v>1.4474965187617279</v>
      </c>
      <c r="CQ112" s="3378">
        <f ca="1">CQ111-CL111</f>
        <v>0.10462902043322231</v>
      </c>
      <c r="CV112" s="3378">
        <f ca="1">CV111-CQ111</f>
        <v>1.1442366704786409</v>
      </c>
      <c r="DA112" s="3378">
        <f ca="1">DA111-CV111</f>
        <v>1.4633535097776402</v>
      </c>
      <c r="DF112" s="3378">
        <f ca="1">DF111-DA111</f>
        <v>2.1778969559225345</v>
      </c>
      <c r="DK112" s="3378">
        <f ca="1">DK111-DF111</f>
        <v>-1.018034028296924</v>
      </c>
      <c r="DP112" s="3378">
        <f ca="1">DP111-DK111</f>
        <v>-0.48494261538920114</v>
      </c>
      <c r="DU112" s="3378">
        <f ca="1">DU111-DP111</f>
        <v>-0.42081659418902717</v>
      </c>
      <c r="DZ112" s="3378">
        <f ca="1">DZ111-DU111</f>
        <v>-0.25807417579544278</v>
      </c>
    </row>
    <row r="113" spans="1:131">
      <c r="B113" s="1"/>
      <c r="C113" s="822"/>
      <c r="D113" s="4106"/>
      <c r="E113" s="4108" t="s">
        <v>1118</v>
      </c>
      <c r="F113" s="4109"/>
      <c r="G113" s="4098">
        <f>+InputY!$G$3</f>
        <v>1995</v>
      </c>
      <c r="H113" s="4099"/>
      <c r="I113" s="4099"/>
      <c r="J113" s="4099"/>
      <c r="K113" s="4100"/>
      <c r="L113" s="4098">
        <f>+G113+1</f>
        <v>1996</v>
      </c>
      <c r="M113" s="4099"/>
      <c r="N113" s="4099"/>
      <c r="O113" s="4099"/>
      <c r="P113" s="4100"/>
      <c r="Q113" s="4098">
        <f>+L113+1</f>
        <v>1997</v>
      </c>
      <c r="R113" s="4099"/>
      <c r="S113" s="4099"/>
      <c r="T113" s="4099"/>
      <c r="U113" s="4100"/>
      <c r="V113" s="4098">
        <f>+Q113+1</f>
        <v>1998</v>
      </c>
      <c r="W113" s="4099"/>
      <c r="X113" s="4099"/>
      <c r="Y113" s="4099"/>
      <c r="Z113" s="4100"/>
      <c r="AA113" s="4098">
        <f>+V113+1</f>
        <v>1999</v>
      </c>
      <c r="AB113" s="4099"/>
      <c r="AC113" s="4099"/>
      <c r="AD113" s="4099"/>
      <c r="AE113" s="4100"/>
      <c r="AF113" s="4098">
        <f>+AA113+1</f>
        <v>2000</v>
      </c>
      <c r="AG113" s="4099"/>
      <c r="AH113" s="4099"/>
      <c r="AI113" s="4099"/>
      <c r="AJ113" s="4100"/>
      <c r="AK113" s="4098">
        <f>+AF113+1</f>
        <v>2001</v>
      </c>
      <c r="AL113" s="4099"/>
      <c r="AM113" s="4099"/>
      <c r="AN113" s="4099"/>
      <c r="AO113" s="4100"/>
      <c r="AP113" s="4098">
        <f>+AK113+1</f>
        <v>2002</v>
      </c>
      <c r="AQ113" s="4099"/>
      <c r="AR113" s="4099"/>
      <c r="AS113" s="4099"/>
      <c r="AT113" s="4100"/>
      <c r="AU113" s="4098">
        <f>+AP113+1</f>
        <v>2003</v>
      </c>
      <c r="AV113" s="4099"/>
      <c r="AW113" s="4099"/>
      <c r="AX113" s="4099"/>
      <c r="AY113" s="4100"/>
      <c r="AZ113" s="4098">
        <f>+AU113+1</f>
        <v>2004</v>
      </c>
      <c r="BA113" s="4099"/>
      <c r="BB113" s="4099"/>
      <c r="BC113" s="4099"/>
      <c r="BD113" s="4100"/>
      <c r="BE113" s="4098">
        <f>+AZ113+1</f>
        <v>2005</v>
      </c>
      <c r="BF113" s="4099"/>
      <c r="BG113" s="4099"/>
      <c r="BH113" s="4099"/>
      <c r="BI113" s="4100"/>
      <c r="BJ113" s="4098">
        <f>+BE113+1</f>
        <v>2006</v>
      </c>
      <c r="BK113" s="4099"/>
      <c r="BL113" s="4099"/>
      <c r="BM113" s="4099"/>
      <c r="BN113" s="4100"/>
      <c r="BO113" s="4098">
        <f>+BJ113+1</f>
        <v>2007</v>
      </c>
      <c r="BP113" s="4099"/>
      <c r="BQ113" s="4099"/>
      <c r="BR113" s="4099"/>
      <c r="BS113" s="4100"/>
      <c r="BT113" s="4098">
        <f>+BO113+1</f>
        <v>2008</v>
      </c>
      <c r="BU113" s="4099"/>
      <c r="BV113" s="4099"/>
      <c r="BW113" s="4099"/>
      <c r="BX113" s="4100"/>
      <c r="BY113" s="4098">
        <f>+BT113+1</f>
        <v>2009</v>
      </c>
      <c r="BZ113" s="4099"/>
      <c r="CA113" s="4099"/>
      <c r="CB113" s="4099"/>
      <c r="CC113" s="4100"/>
      <c r="CD113" s="4098">
        <f>+BY113+1</f>
        <v>2010</v>
      </c>
      <c r="CE113" s="4099"/>
      <c r="CF113" s="4099"/>
      <c r="CG113" s="4099"/>
      <c r="CH113" s="4100"/>
      <c r="CI113" s="4098">
        <f>+CD113+1</f>
        <v>2011</v>
      </c>
      <c r="CJ113" s="4099"/>
      <c r="CK113" s="4099"/>
      <c r="CL113" s="4099"/>
      <c r="CM113" s="4100"/>
      <c r="CN113" s="4098">
        <f>+CI113+1</f>
        <v>2012</v>
      </c>
      <c r="CO113" s="4099"/>
      <c r="CP113" s="4099"/>
      <c r="CQ113" s="4099"/>
      <c r="CR113" s="4100"/>
      <c r="CS113" s="4098">
        <f>+CN113+1</f>
        <v>2013</v>
      </c>
      <c r="CT113" s="4099"/>
      <c r="CU113" s="4099"/>
      <c r="CV113" s="4099"/>
      <c r="CW113" s="4100"/>
      <c r="CX113" s="4098">
        <f>+CS113+1</f>
        <v>2014</v>
      </c>
      <c r="CY113" s="4099"/>
      <c r="CZ113" s="4099"/>
      <c r="DA113" s="4099"/>
      <c r="DB113" s="4100"/>
      <c r="DC113" s="4090">
        <f>+CX113+1</f>
        <v>2015</v>
      </c>
      <c r="DD113" s="4091"/>
      <c r="DE113" s="4091"/>
      <c r="DF113" s="4091"/>
      <c r="DG113" s="4092"/>
      <c r="DH113" s="4090">
        <f>+DC113+1</f>
        <v>2016</v>
      </c>
      <c r="DI113" s="4091"/>
      <c r="DJ113" s="4091"/>
      <c r="DK113" s="4091"/>
      <c r="DL113" s="4092"/>
      <c r="DM113" s="4090">
        <f>+DH113+1</f>
        <v>2017</v>
      </c>
      <c r="DN113" s="4091"/>
      <c r="DO113" s="4091"/>
      <c r="DP113" s="4091"/>
      <c r="DQ113" s="4092"/>
      <c r="DR113" s="4090">
        <f>+DM113+1</f>
        <v>2018</v>
      </c>
      <c r="DS113" s="4091"/>
      <c r="DT113" s="4091"/>
      <c r="DU113" s="4091"/>
      <c r="DV113" s="4092"/>
      <c r="DW113" s="4090">
        <f>+DR113+1</f>
        <v>2019</v>
      </c>
      <c r="DX113" s="4091"/>
      <c r="DY113" s="4091"/>
      <c r="DZ113" s="4091"/>
      <c r="EA113" s="4092"/>
    </row>
    <row r="114" spans="1:131">
      <c r="B114" s="1"/>
      <c r="C114" s="822"/>
      <c r="D114" s="4106"/>
      <c r="E114" s="4108"/>
      <c r="F114" s="4109"/>
      <c r="G114" s="1195" t="s">
        <v>506</v>
      </c>
      <c r="H114" s="1196" t="s">
        <v>499</v>
      </c>
      <c r="I114" s="1195" t="s">
        <v>1186</v>
      </c>
      <c r="J114" s="1196" t="s">
        <v>1304</v>
      </c>
      <c r="K114" s="1195" t="s">
        <v>1187</v>
      </c>
      <c r="L114" s="1195" t="s">
        <v>506</v>
      </c>
      <c r="M114" s="1196" t="s">
        <v>499</v>
      </c>
      <c r="N114" s="1195" t="s">
        <v>1186</v>
      </c>
      <c r="O114" s="1196" t="s">
        <v>1304</v>
      </c>
      <c r="P114" s="1195" t="s">
        <v>1187</v>
      </c>
      <c r="Q114" s="1195" t="s">
        <v>506</v>
      </c>
      <c r="R114" s="1196" t="s">
        <v>499</v>
      </c>
      <c r="S114" s="1195" t="s">
        <v>1186</v>
      </c>
      <c r="T114" s="1196" t="s">
        <v>1304</v>
      </c>
      <c r="U114" s="1195" t="s">
        <v>1187</v>
      </c>
      <c r="V114" s="1195" t="s">
        <v>506</v>
      </c>
      <c r="W114" s="1196" t="s">
        <v>499</v>
      </c>
      <c r="X114" s="1195" t="s">
        <v>1186</v>
      </c>
      <c r="Y114" s="1196" t="s">
        <v>1304</v>
      </c>
      <c r="Z114" s="1195" t="s">
        <v>1187</v>
      </c>
      <c r="AA114" s="1195" t="s">
        <v>506</v>
      </c>
      <c r="AB114" s="1196" t="s">
        <v>499</v>
      </c>
      <c r="AC114" s="1195" t="s">
        <v>1186</v>
      </c>
      <c r="AD114" s="1196" t="s">
        <v>1304</v>
      </c>
      <c r="AE114" s="1195" t="s">
        <v>1187</v>
      </c>
      <c r="AF114" s="1195" t="s">
        <v>506</v>
      </c>
      <c r="AG114" s="1196" t="s">
        <v>499</v>
      </c>
      <c r="AH114" s="1195" t="s">
        <v>1186</v>
      </c>
      <c r="AI114" s="1196" t="s">
        <v>1304</v>
      </c>
      <c r="AJ114" s="1195" t="s">
        <v>1187</v>
      </c>
      <c r="AK114" s="1195" t="s">
        <v>506</v>
      </c>
      <c r="AL114" s="1196" t="s">
        <v>499</v>
      </c>
      <c r="AM114" s="1195" t="s">
        <v>1186</v>
      </c>
      <c r="AN114" s="1196" t="s">
        <v>1304</v>
      </c>
      <c r="AO114" s="1195" t="s">
        <v>1187</v>
      </c>
      <c r="AP114" s="1195" t="s">
        <v>506</v>
      </c>
      <c r="AQ114" s="1196" t="s">
        <v>499</v>
      </c>
      <c r="AR114" s="1195" t="s">
        <v>1186</v>
      </c>
      <c r="AS114" s="1196" t="s">
        <v>1304</v>
      </c>
      <c r="AT114" s="1195" t="s">
        <v>1187</v>
      </c>
      <c r="AU114" s="1195" t="s">
        <v>506</v>
      </c>
      <c r="AV114" s="1196" t="s">
        <v>499</v>
      </c>
      <c r="AW114" s="1195" t="s">
        <v>1186</v>
      </c>
      <c r="AX114" s="1196" t="s">
        <v>1304</v>
      </c>
      <c r="AY114" s="1195" t="s">
        <v>1187</v>
      </c>
      <c r="AZ114" s="1195" t="s">
        <v>506</v>
      </c>
      <c r="BA114" s="1196" t="s">
        <v>499</v>
      </c>
      <c r="BB114" s="1195" t="s">
        <v>1186</v>
      </c>
      <c r="BC114" s="1196" t="s">
        <v>1304</v>
      </c>
      <c r="BD114" s="1195" t="s">
        <v>1187</v>
      </c>
      <c r="BE114" s="1195" t="s">
        <v>506</v>
      </c>
      <c r="BF114" s="1196" t="s">
        <v>499</v>
      </c>
      <c r="BG114" s="1195" t="s">
        <v>1186</v>
      </c>
      <c r="BH114" s="1196" t="s">
        <v>1304</v>
      </c>
      <c r="BI114" s="1195" t="s">
        <v>1187</v>
      </c>
      <c r="BJ114" s="1195" t="s">
        <v>506</v>
      </c>
      <c r="BK114" s="1196" t="s">
        <v>499</v>
      </c>
      <c r="BL114" s="1195" t="s">
        <v>1186</v>
      </c>
      <c r="BM114" s="1196" t="s">
        <v>1304</v>
      </c>
      <c r="BN114" s="1195" t="s">
        <v>1187</v>
      </c>
      <c r="BO114" s="1195" t="s">
        <v>506</v>
      </c>
      <c r="BP114" s="1196" t="s">
        <v>499</v>
      </c>
      <c r="BQ114" s="1195" t="s">
        <v>1186</v>
      </c>
      <c r="BR114" s="1196" t="s">
        <v>1304</v>
      </c>
      <c r="BS114" s="1195" t="s">
        <v>1187</v>
      </c>
      <c r="BT114" s="1195" t="s">
        <v>506</v>
      </c>
      <c r="BU114" s="1196" t="s">
        <v>499</v>
      </c>
      <c r="BV114" s="1195" t="s">
        <v>1186</v>
      </c>
      <c r="BW114" s="1196" t="s">
        <v>1304</v>
      </c>
      <c r="BX114" s="1195" t="s">
        <v>1187</v>
      </c>
      <c r="BY114" s="1195" t="s">
        <v>506</v>
      </c>
      <c r="BZ114" s="1196" t="s">
        <v>499</v>
      </c>
      <c r="CA114" s="1195" t="s">
        <v>1186</v>
      </c>
      <c r="CB114" s="1196" t="s">
        <v>1304</v>
      </c>
      <c r="CC114" s="1195" t="s">
        <v>1187</v>
      </c>
      <c r="CD114" s="1195" t="s">
        <v>506</v>
      </c>
      <c r="CE114" s="1196" t="s">
        <v>499</v>
      </c>
      <c r="CF114" s="1195" t="s">
        <v>1186</v>
      </c>
      <c r="CG114" s="1196" t="s">
        <v>1304</v>
      </c>
      <c r="CH114" s="1195" t="s">
        <v>1187</v>
      </c>
      <c r="CI114" s="1195" t="s">
        <v>506</v>
      </c>
      <c r="CJ114" s="1196" t="s">
        <v>499</v>
      </c>
      <c r="CK114" s="1195" t="s">
        <v>1186</v>
      </c>
      <c r="CL114" s="1196" t="s">
        <v>1304</v>
      </c>
      <c r="CM114" s="1195" t="s">
        <v>1187</v>
      </c>
      <c r="CN114" s="1195" t="s">
        <v>506</v>
      </c>
      <c r="CO114" s="1196" t="s">
        <v>499</v>
      </c>
      <c r="CP114" s="1195" t="s">
        <v>1186</v>
      </c>
      <c r="CQ114" s="1196" t="s">
        <v>1304</v>
      </c>
      <c r="CR114" s="1195" t="s">
        <v>1187</v>
      </c>
      <c r="CS114" s="1195" t="s">
        <v>506</v>
      </c>
      <c r="CT114" s="1196" t="s">
        <v>499</v>
      </c>
      <c r="CU114" s="1195" t="s">
        <v>1186</v>
      </c>
      <c r="CV114" s="1196" t="s">
        <v>1304</v>
      </c>
      <c r="CW114" s="1195" t="s">
        <v>1187</v>
      </c>
      <c r="CX114" s="1195" t="s">
        <v>506</v>
      </c>
      <c r="CY114" s="1196" t="s">
        <v>499</v>
      </c>
      <c r="CZ114" s="1195" t="s">
        <v>1186</v>
      </c>
      <c r="DA114" s="1196" t="s">
        <v>1304</v>
      </c>
      <c r="DB114" s="1195" t="s">
        <v>1187</v>
      </c>
      <c r="DC114" s="1195" t="s">
        <v>506</v>
      </c>
      <c r="DD114" s="1196" t="s">
        <v>499</v>
      </c>
      <c r="DE114" s="1195" t="s">
        <v>1186</v>
      </c>
      <c r="DF114" s="1196" t="s">
        <v>1304</v>
      </c>
      <c r="DG114" s="1195" t="s">
        <v>1187</v>
      </c>
      <c r="DH114" s="1195" t="s">
        <v>506</v>
      </c>
      <c r="DI114" s="1196" t="s">
        <v>499</v>
      </c>
      <c r="DJ114" s="1195" t="s">
        <v>1186</v>
      </c>
      <c r="DK114" s="1196" t="s">
        <v>1304</v>
      </c>
      <c r="DL114" s="1195" t="s">
        <v>1187</v>
      </c>
      <c r="DM114" s="1195" t="s">
        <v>506</v>
      </c>
      <c r="DN114" s="1196" t="s">
        <v>499</v>
      </c>
      <c r="DO114" s="1195" t="s">
        <v>1186</v>
      </c>
      <c r="DP114" s="1196" t="s">
        <v>1304</v>
      </c>
      <c r="DQ114" s="1195" t="s">
        <v>1187</v>
      </c>
      <c r="DR114" s="1195" t="s">
        <v>506</v>
      </c>
      <c r="DS114" s="1196" t="s">
        <v>499</v>
      </c>
      <c r="DT114" s="1195" t="s">
        <v>1186</v>
      </c>
      <c r="DU114" s="1196" t="s">
        <v>1304</v>
      </c>
      <c r="DV114" s="1195" t="s">
        <v>1187</v>
      </c>
      <c r="DW114" s="1195" t="s">
        <v>506</v>
      </c>
      <c r="DX114" s="1196" t="s">
        <v>499</v>
      </c>
      <c r="DY114" s="1195" t="s">
        <v>1186</v>
      </c>
      <c r="DZ114" s="1196" t="s">
        <v>1304</v>
      </c>
      <c r="EA114" s="1195" t="s">
        <v>1187</v>
      </c>
    </row>
    <row r="115" spans="1:131">
      <c r="B115" s="1"/>
      <c r="C115" s="1120" t="s">
        <v>622</v>
      </c>
      <c r="D115" s="1038"/>
      <c r="E115" s="1038" t="s">
        <v>1476</v>
      </c>
      <c r="F115" s="1121" t="s">
        <v>398</v>
      </c>
      <c r="G115" s="1253"/>
      <c r="H115" s="1254"/>
      <c r="I115" s="1095"/>
      <c r="J115" s="1293">
        <f ca="1">OFFSET('VVP2'!$G$355,0,(COLUMN()-6)/5)</f>
        <v>211.29079999999999</v>
      </c>
      <c r="K115" s="1321"/>
      <c r="L115" s="1788">
        <f ca="1">+L16</f>
        <v>-3.8232187861419797</v>
      </c>
      <c r="M115" s="1293">
        <f ca="1">+J115*(1+L115/100)</f>
        <v>203.21269044101032</v>
      </c>
      <c r="N115" s="1303">
        <f ca="1">+O115/M115*100-100</f>
        <v>6.2642296262914243</v>
      </c>
      <c r="O115" s="1293">
        <f ca="1">OFFSET('VVP2'!$G$355,0,(COLUMN()-6)/5)</f>
        <v>215.94239999999999</v>
      </c>
      <c r="P115" s="1255">
        <f ca="1">(O115/J115-1)*100</f>
        <v>2.2015156362700239</v>
      </c>
      <c r="Q115" s="1302">
        <f ca="1">+Q16</f>
        <v>3.7104481797635591</v>
      </c>
      <c r="R115" s="1293">
        <f ca="1">+O115*(1+Q115/100)</f>
        <v>223.95483085013774</v>
      </c>
      <c r="S115" s="1303">
        <f ca="1">+T115/R115*100-100</f>
        <v>0.89923005555074553</v>
      </c>
      <c r="T115" s="1293">
        <f ca="1">OFFSET('VVP2'!$G$355,0,(COLUMN()-6)/5)</f>
        <v>225.96870000000001</v>
      </c>
      <c r="U115" s="1255">
        <f ca="1">(T115/O115-1)*100</f>
        <v>4.6430437005423819</v>
      </c>
      <c r="V115" s="1302">
        <f ca="1">+V16</f>
        <v>1.9752719728868051</v>
      </c>
      <c r="W115" s="1293">
        <f ca="1">+T115*(1+V115/100)</f>
        <v>230.43219639859669</v>
      </c>
      <c r="X115" s="1303">
        <f ca="1">+Y115/W115*100-100</f>
        <v>1.7607798149807508</v>
      </c>
      <c r="Y115" s="1293">
        <f ca="1">OFFSET('VVP2'!$G$355,0,(COLUMN()-6)/5)</f>
        <v>234.4896</v>
      </c>
      <c r="Z115" s="1255">
        <f ca="1">(Y115/T115-1)*100</f>
        <v>3.7708319780571209</v>
      </c>
      <c r="AA115" s="1302">
        <f ca="1">+AA16</f>
        <v>3.5633109517135386</v>
      </c>
      <c r="AB115" s="1293">
        <f ca="1">+Y115*(1+AA115/100)</f>
        <v>242.84519359742927</v>
      </c>
      <c r="AC115" s="1303">
        <f ca="1">+AD115/AB115*100-100</f>
        <v>0.56859531873614344</v>
      </c>
      <c r="AD115" s="1293">
        <f ca="1">OFFSET('VVP2'!$G$355,0,(COLUMN()-6)/5)</f>
        <v>244.226</v>
      </c>
      <c r="AE115" s="1255">
        <f ca="1">(AD115/Y115-1)*100</f>
        <v>4.1521670897131546</v>
      </c>
      <c r="AF115" s="1302">
        <f ca="1">+AF16</f>
        <v>3.6336527572645716</v>
      </c>
      <c r="AG115" s="1293">
        <f ca="1">+AD115*(1+AF115/100)</f>
        <v>253.10032478295696</v>
      </c>
      <c r="AH115" s="1303">
        <f ca="1">+AI115/AG115*100-100</f>
        <v>2.0235751263594892</v>
      </c>
      <c r="AI115" s="1293">
        <f ca="1">OFFSET('VVP2'!$G$355,0,(COLUMN()-6)/5)</f>
        <v>258.22199999999998</v>
      </c>
      <c r="AJ115" s="1255">
        <f ca="1">(AI115/AD115-1)*100</f>
        <v>5.7307575769983465</v>
      </c>
      <c r="AK115" s="1302">
        <f ca="1">+AK16</f>
        <v>0.81154554028661785</v>
      </c>
      <c r="AL115" s="1293">
        <f ca="1">+AI115*(1+AK115/100)</f>
        <v>260.31758912503886</v>
      </c>
      <c r="AM115" s="1303">
        <f ca="1">+AN115/AL115*100-100</f>
        <v>2.1015909425672135</v>
      </c>
      <c r="AN115" s="1293">
        <f ca="1">OFFSET('VVP2'!$G$355,0,(COLUMN()-6)/5)</f>
        <v>265.78840000000002</v>
      </c>
      <c r="AO115" s="1255">
        <f ca="1">(AN115/AI115-1)*100</f>
        <v>2.9301918504232916</v>
      </c>
      <c r="AP115" s="1302">
        <f ca="1">+AP16</f>
        <v>1.7805059235399101</v>
      </c>
      <c r="AQ115" s="1293">
        <f ca="1">+AN115*(1+AP115/100)</f>
        <v>270.52077820608196</v>
      </c>
      <c r="AR115" s="1303">
        <f ca="1">+AS115/AQ115*100-100</f>
        <v>1.6798420528186426</v>
      </c>
      <c r="AS115" s="1293">
        <f ca="1">OFFSET('VVP2'!$G$355,0,(COLUMN()-6)/5)</f>
        <v>275.06509999999997</v>
      </c>
      <c r="AT115" s="1255">
        <f ca="1">(AS115/AN115-1)*100</f>
        <v>3.4902576636151039</v>
      </c>
      <c r="AU115" s="1302">
        <f ca="1">+AU16</f>
        <v>0.77440169173059736</v>
      </c>
      <c r="AV115" s="1293">
        <f ca="1">+AS115*(1+AU115/100)</f>
        <v>277.19520878776041</v>
      </c>
      <c r="AW115" s="1303">
        <f ca="1">+AX115/AV115*100-100</f>
        <v>1.962981696558046</v>
      </c>
      <c r="AX115" s="1293">
        <f ca="1">OFFSET('VVP2'!$G$355,0,(COLUMN()-6)/5)</f>
        <v>282.63650000000001</v>
      </c>
      <c r="AY115" s="1255">
        <f ca="1">(AX115/AS115-1)*100</f>
        <v>2.7525847517551494</v>
      </c>
      <c r="AZ115" s="1302">
        <f ca="1">+AZ16</f>
        <v>3.6348512375222075</v>
      </c>
      <c r="BA115" s="1293">
        <f ca="1">+AX115*(1+AZ115/100)</f>
        <v>292.90991631793946</v>
      </c>
      <c r="BB115" s="1303">
        <f ca="1">+BC115/BA115*100-100</f>
        <v>1.9804326719222303</v>
      </c>
      <c r="BC115" s="1293">
        <f ca="1">OFFSET('VVP2'!$G$355,0,(COLUMN()-6)/5)</f>
        <v>298.71080000000001</v>
      </c>
      <c r="BD115" s="1255">
        <f ca="1">(BC115/AX115-1)*100</f>
        <v>5.6872696909280984</v>
      </c>
      <c r="BE115" s="1302">
        <f ca="1">+BE16</f>
        <v>2.0942707880946099</v>
      </c>
      <c r="BF115" s="1293">
        <f ca="1">+BC115*(1+BE115/100)</f>
        <v>304.96661302528372</v>
      </c>
      <c r="BG115" s="1303">
        <f ca="1">+BH115/BF115*100-100</f>
        <v>2.1360328299859503</v>
      </c>
      <c r="BH115" s="1293">
        <f ca="1">OFFSET('VVP2'!$G$355,0,(COLUMN()-6)/5)</f>
        <v>311.48079999999999</v>
      </c>
      <c r="BI115" s="1255">
        <f ca="1">(BH115/BC115-1)*100</f>
        <v>4.2750379296630614</v>
      </c>
      <c r="BJ115" s="1302">
        <f ca="1">+BJ16</f>
        <v>2.5061414501406976</v>
      </c>
      <c r="BK115" s="1293">
        <f ca="1">+BH115*(1+BJ115/100)</f>
        <v>319.28694943802981</v>
      </c>
      <c r="BL115" s="1303">
        <f ca="1">+BM115/BK115*100-100</f>
        <v>2.3098816205770305</v>
      </c>
      <c r="BM115" s="1293">
        <f ca="1">OFFSET('VVP2'!$G$355,0,(COLUMN()-6)/5)</f>
        <v>326.66209999999995</v>
      </c>
      <c r="BN115" s="1255">
        <f ca="1">(BM115/BH115-1)*100</f>
        <v>4.8739119714601875</v>
      </c>
      <c r="BO115" s="1302">
        <f ca="1">+BO16</f>
        <v>3.4489736482902655</v>
      </c>
      <c r="BP115" s="1293">
        <f ca="1">+BM115*(1+BO115/100)</f>
        <v>337.92858974795155</v>
      </c>
      <c r="BQ115" s="1303">
        <f ca="1">+BR115/BP115*100-100</f>
        <v>2.0074981690978859</v>
      </c>
      <c r="BR115" s="1293">
        <f ca="1">OFFSET('VVP2'!$G$355,0,(COLUMN()-6)/5)</f>
        <v>344.71249999999998</v>
      </c>
      <c r="BS115" s="1255">
        <f ca="1">(BR115/BM115-1)*100</f>
        <v>5.5257099002302468</v>
      </c>
      <c r="BT115" s="1302">
        <f ca="1">+BT16</f>
        <v>0.7831720065866854</v>
      </c>
      <c r="BU115" s="1293">
        <f ca="1">+BR115*(1+BT115/100)</f>
        <v>347.41219180320513</v>
      </c>
      <c r="BV115" s="1303">
        <f ca="1">+BW115/BU115*100-100</f>
        <v>1.9152201200135011</v>
      </c>
      <c r="BW115" s="1293">
        <f ca="1">OFFSET('VVP2'!$G$355,0,(COLUMN()-6)/5)</f>
        <v>354.0659</v>
      </c>
      <c r="BX115" s="1255">
        <f ca="1">(BW115/BR115-1)*100</f>
        <v>2.7133915944446585</v>
      </c>
      <c r="BY115" s="1302">
        <f ca="1">+BY16</f>
        <v>-2.2531733495413597</v>
      </c>
      <c r="BZ115" s="1293">
        <f ca="1">+BW115*(1+BY115/100)</f>
        <v>346.08818150138626</v>
      </c>
      <c r="CA115" s="1303">
        <f ca="1">+CB115/BZ115*100-100</f>
        <v>0.77810183720559678</v>
      </c>
      <c r="CB115" s="1293">
        <f ca="1">OFFSET('VVP2'!$G$355,0,(COLUMN()-6)/5)</f>
        <v>348.78109999999998</v>
      </c>
      <c r="CC115" s="1255">
        <f ca="1">(CB115/BW115-1)*100</f>
        <v>-1.4926034955639711</v>
      </c>
      <c r="CD115" s="1302">
        <f ca="1">+CD16</f>
        <v>2.7442122598526408</v>
      </c>
      <c r="CE115" s="1293">
        <f ca="1">+CB115*(1+CD115/100)</f>
        <v>358.3523937062489</v>
      </c>
      <c r="CF115" s="1303">
        <f ca="1">+CG115/CE115*100-100</f>
        <v>1.8830922891177124</v>
      </c>
      <c r="CG115" s="1293">
        <f ca="1">OFFSET('VVP2'!$G$355,0,(COLUMN()-6)/5)</f>
        <v>365.10050000000001</v>
      </c>
      <c r="CH115" s="1255">
        <f ca="1">(CG115/CB115-1)*100</f>
        <v>4.6789805984326582</v>
      </c>
      <c r="CI115" s="1302">
        <f ca="1">+CI16</f>
        <v>1.7983021113364694</v>
      </c>
      <c r="CJ115" s="1293">
        <f ca="1">+CG115*(1+CI115/100)</f>
        <v>371.66611</v>
      </c>
      <c r="CK115" s="1303">
        <f ca="1">+CL115/CJ115*100-100</f>
        <v>2.0018478413326335</v>
      </c>
      <c r="CL115" s="1293">
        <f ca="1">OFFSET('VVP2'!$G$355,0,(COLUMN()-6)/5)</f>
        <v>379.10629999999998</v>
      </c>
      <c r="CM115" s="1255">
        <f ca="1">(CL115/CG115-1)*100</f>
        <v>3.8361492246655304</v>
      </c>
      <c r="CN115" s="1302">
        <f ca="1">+CN16</f>
        <v>0.23479676422475393</v>
      </c>
      <c r="CO115" s="1293">
        <f ca="1">+CL115*(1+CN115/100)</f>
        <v>379.99642932537216</v>
      </c>
      <c r="CP115" s="1303">
        <f ca="1">+CQ115/CO115*100-100</f>
        <v>1.9746687325324217</v>
      </c>
      <c r="CQ115" s="1293">
        <f ca="1">OFFSET('VVP2'!$G$355,0,(COLUMN()-6)/5)</f>
        <v>387.50009999999997</v>
      </c>
      <c r="CR115" s="1255">
        <f ca="1">(CQ115/CL115-1)*100</f>
        <v>2.2141019550453223</v>
      </c>
      <c r="CS115" s="1302">
        <f ca="1">+CS16</f>
        <v>0.20065025715310103</v>
      </c>
      <c r="CT115" s="1293">
        <f ca="1">+CQ115*(1+CS115/100)</f>
        <v>388.27761994711852</v>
      </c>
      <c r="CU115" s="1303">
        <f ca="1">+CV115/CT115*100-100</f>
        <v>1.0462050461303107</v>
      </c>
      <c r="CV115" s="1293">
        <f ca="1">OFFSET('VVP2'!$G$355,0,(COLUMN()-6)/5)</f>
        <v>392.33979999999997</v>
      </c>
      <c r="CW115" s="1255">
        <f ca="1">(CV115/CQ115-1)*100</f>
        <v>1.2489545163988369</v>
      </c>
      <c r="CX115" s="1302">
        <f ca="1">+CX16</f>
        <v>1.3514346509449604</v>
      </c>
      <c r="CY115" s="1293">
        <f ca="1">+CV115*(1+CX115/100)</f>
        <v>397.64201600664813</v>
      </c>
      <c r="CZ115" s="1303">
        <f ca="1">+DA115/CY115*100-100</f>
        <v>0.66546891093813088</v>
      </c>
      <c r="DA115" s="1293">
        <f ca="1">OFFSET('VVP2'!$G$355,0,(COLUMN()-6)/5)</f>
        <v>400.28820000000002</v>
      </c>
      <c r="DB115" s="1255">
        <f ca="1">(DA115/CV115-1)*100</f>
        <v>2.0258969393367909</v>
      </c>
      <c r="DC115" s="1302">
        <f ca="1">+DC16</f>
        <v>1.4044950428195202</v>
      </c>
      <c r="DD115" s="1293">
        <f ca="1">+DA115*(1+DC115/100)</f>
        <v>405.91022792599148</v>
      </c>
      <c r="DE115" s="1303">
        <f ca="1">+DF115/DD115*100-100</f>
        <v>1.1147716324195471</v>
      </c>
      <c r="DF115" s="1293">
        <f ca="1">OFFSET('VVP2'!$G$355,0,(COLUMN()-6)/5)</f>
        <v>410.43520000000001</v>
      </c>
      <c r="DG115" s="1255">
        <f ca="1">(DF115/DA115-1)*100</f>
        <v>2.5349235875551601</v>
      </c>
      <c r="DH115" s="1302">
        <f ca="1">+DH16</f>
        <v>1.4660051412683783</v>
      </c>
      <c r="DI115" s="1293">
        <f ca="1">+DF115*(1+DH115/100)</f>
        <v>416.45220113357516</v>
      </c>
      <c r="DJ115" s="1303">
        <f ca="1">+DK115/DI115*100-100</f>
        <v>1.5839029901799364</v>
      </c>
      <c r="DK115" s="1293">
        <f ca="1">OFFSET('VVP2'!$G$355,0,(COLUMN()-6)/5)</f>
        <v>423.04840000000002</v>
      </c>
      <c r="DL115" s="1255">
        <f ca="1">(DK115/DF115-1)*100</f>
        <v>3.0731282307170593</v>
      </c>
      <c r="DM115" s="1302">
        <f ca="1">+DM16</f>
        <v>1.6865077937902484</v>
      </c>
      <c r="DN115" s="1293">
        <f ca="1">+DK115*(1+DM115/100)</f>
        <v>430.18314423750496</v>
      </c>
      <c r="DO115" s="1303">
        <f ca="1">+DP115/DN115*100-100</f>
        <v>1.9297491948944838</v>
      </c>
      <c r="DP115" s="1293">
        <f ca="1">OFFSET('VVP2'!$G$355,0,(COLUMN()-6)/5)</f>
        <v>438.4846</v>
      </c>
      <c r="DQ115" s="1255">
        <f ca="1">(DP115/DK115-1)*100</f>
        <v>3.6488023592572416</v>
      </c>
      <c r="DR115" s="1349">
        <f ca="1">+DR16</f>
        <v>1.8083298569664841</v>
      </c>
      <c r="DS115" s="832">
        <f ca="1">+DP115*(1+DR115/100)</f>
        <v>446.41384794000004</v>
      </c>
      <c r="DT115" s="1350">
        <f ca="1">+DT16</f>
        <v>1.5588952122123914</v>
      </c>
      <c r="DU115" s="832">
        <f ca="1">+DS115*(1+DT115/100)</f>
        <v>453.37297204218982</v>
      </c>
      <c r="DV115" s="1255">
        <f ca="1">(DU115/DP115-1)*100</f>
        <v>3.3954150367401237</v>
      </c>
      <c r="DW115" s="1349">
        <f ca="1">+DW16</f>
        <v>1.7329264820707513</v>
      </c>
      <c r="DX115" s="832">
        <f ca="1">+DU115*(1+DW115/100)</f>
        <v>461.22959233726016</v>
      </c>
      <c r="DY115" s="1350">
        <f ca="1">+DY16</f>
        <v>1.6935991327586208</v>
      </c>
      <c r="DZ115" s="832">
        <f ca="1">+DX115*(1+DY115/100)</f>
        <v>469.04097271311008</v>
      </c>
      <c r="EA115" s="1255">
        <f ca="1">(DZ115/DU115-1)*100</f>
        <v>3.4558744427010568</v>
      </c>
    </row>
    <row r="116" spans="1:131">
      <c r="B116" s="1"/>
      <c r="C116" s="1113" t="s">
        <v>2133</v>
      </c>
      <c r="D116" s="1085"/>
      <c r="E116" s="1085" t="s">
        <v>621</v>
      </c>
      <c r="F116" s="3" t="s">
        <v>1125</v>
      </c>
      <c r="G116" s="1148"/>
      <c r="H116" s="1251"/>
      <c r="I116" s="924"/>
      <c r="J116" s="1294">
        <f ca="1">OFFSET(Sector1!$G$8,0,(COLUMN()-6)/5)</f>
        <v>22.749400000000001</v>
      </c>
      <c r="K116" s="1322"/>
      <c r="L116" s="1148"/>
      <c r="M116" s="1251"/>
      <c r="N116" s="924"/>
      <c r="O116" s="1294">
        <f ca="1">OFFSET(Sector1!$G$8,0,(COLUMN()-6)/5)</f>
        <v>23.991299999999999</v>
      </c>
      <c r="P116" s="1252">
        <f ca="1">(O116/J116-1)*100</f>
        <v>5.4590450737162177</v>
      </c>
      <c r="Q116" s="1148"/>
      <c r="R116" s="1251"/>
      <c r="S116" s="924"/>
      <c r="T116" s="1294">
        <f ca="1">OFFSET(Sector1!$G$8,0,(COLUMN()-6)/5)</f>
        <v>25.373799999999999</v>
      </c>
      <c r="U116" s="1252">
        <f ca="1">(T116/O116-1)*100</f>
        <v>5.762505574937582</v>
      </c>
      <c r="V116" s="1148"/>
      <c r="W116" s="1251"/>
      <c r="X116" s="924"/>
      <c r="Y116" s="1294">
        <f ca="1">OFFSET(Sector1!$G$8,0,(COLUMN()-6)/5)</f>
        <v>26.328599999999998</v>
      </c>
      <c r="Z116" s="1252">
        <f ca="1">(Y116/T116-1)*100</f>
        <v>3.7629365723699237</v>
      </c>
      <c r="AA116" s="1148"/>
      <c r="AB116" s="1251"/>
      <c r="AC116" s="924"/>
      <c r="AD116" s="1294">
        <f ca="1">OFFSET(Sector1!$G$8,0,(COLUMN()-6)/5)</f>
        <v>28.1768</v>
      </c>
      <c r="AE116" s="1252">
        <f ca="1">(AD116/Y116-1)*100</f>
        <v>7.019742789210226</v>
      </c>
      <c r="AF116" s="1148"/>
      <c r="AG116" s="1251"/>
      <c r="AH116" s="924"/>
      <c r="AI116" s="1294">
        <f ca="1">OFFSET(Sector1!$G$8,0,(COLUMN()-6)/5)</f>
        <v>29.686599999999999</v>
      </c>
      <c r="AJ116" s="1252">
        <f ca="1">(AI116/AD116-1)*100</f>
        <v>5.3583089634025027</v>
      </c>
      <c r="AK116" s="1148"/>
      <c r="AL116" s="1251"/>
      <c r="AM116" s="924"/>
      <c r="AN116" s="1294">
        <f ca="1">OFFSET(Sector1!$G$8,0,(COLUMN()-6)/5)</f>
        <v>29.2758</v>
      </c>
      <c r="AO116" s="1252">
        <f ca="1">(AN116/AI116-1)*100</f>
        <v>-1.3837893190867256</v>
      </c>
      <c r="AP116" s="1148"/>
      <c r="AQ116" s="1251"/>
      <c r="AR116" s="924"/>
      <c r="AS116" s="1294">
        <f ca="1">OFFSET(Sector1!$G$8,0,(COLUMN()-6)/5)</f>
        <v>30.504999999999999</v>
      </c>
      <c r="AT116" s="1252">
        <f ca="1">(AS116/AN116-1)*100</f>
        <v>4.1986897027578962</v>
      </c>
      <c r="AU116" s="1148"/>
      <c r="AV116" s="1251"/>
      <c r="AW116" s="924"/>
      <c r="AX116" s="1294">
        <f ca="1">OFFSET(Sector1!$G$8,0,(COLUMN()-6)/5)</f>
        <v>31.297999999999998</v>
      </c>
      <c r="AY116" s="1252">
        <f ca="1">(AX116/AS116-1)*100</f>
        <v>2.5995738403540303</v>
      </c>
      <c r="AZ116" s="1148"/>
      <c r="BA116" s="1251"/>
      <c r="BB116" s="924"/>
      <c r="BC116" s="1294">
        <f ca="1">OFFSET(Sector1!$G$8,0,(COLUMN()-6)/5)</f>
        <v>33.624699999999997</v>
      </c>
      <c r="BD116" s="1252">
        <f ca="1">(BC116/AX116-1)*100</f>
        <v>7.4340213432168234</v>
      </c>
      <c r="BE116" s="1148"/>
      <c r="BF116" s="1251"/>
      <c r="BG116" s="924"/>
      <c r="BH116" s="1294">
        <f ca="1">OFFSET(Sector1!$G$8,0,(COLUMN()-6)/5)</f>
        <v>35.670300000000005</v>
      </c>
      <c r="BI116" s="1252">
        <f ca="1">(BH116/BC116-1)*100</f>
        <v>6.0836230509119904</v>
      </c>
      <c r="BJ116" s="1148"/>
      <c r="BK116" s="1251"/>
      <c r="BL116" s="924"/>
      <c r="BM116" s="1294">
        <f ca="1">OFFSET(Sector1!$G$8,0,(COLUMN()-6)/5)</f>
        <v>37.2408</v>
      </c>
      <c r="BN116" s="1252">
        <f ca="1">(BM116/BH116-1)*100</f>
        <v>4.402822516210958</v>
      </c>
      <c r="BO116" s="1148"/>
      <c r="BP116" s="1251"/>
      <c r="BQ116" s="924"/>
      <c r="BR116" s="1294">
        <f ca="1">OFFSET(Sector1!$G$8,0,(COLUMN()-6)/5)</f>
        <v>39.244399999999999</v>
      </c>
      <c r="BS116" s="1252">
        <f ca="1">(BR116/BM116-1)*100</f>
        <v>5.3801207278039165</v>
      </c>
      <c r="BT116" s="1148"/>
      <c r="BU116" s="1251"/>
      <c r="BV116" s="924"/>
      <c r="BW116" s="1294">
        <f ca="1">OFFSET(Sector1!$G$8,0,(COLUMN()-6)/5)</f>
        <v>39.414199999999994</v>
      </c>
      <c r="BX116" s="1252">
        <f ca="1">(BW116/BR116-1)*100</f>
        <v>0.43267319668538473</v>
      </c>
      <c r="BY116" s="1148"/>
      <c r="BZ116" s="1351"/>
      <c r="CA116" s="924"/>
      <c r="CB116" s="843">
        <f ca="1">OFFSET(Sector1!$G$8,0,(COLUMN()-6)/5)</f>
        <v>38.091900000000003</v>
      </c>
      <c r="CC116" s="1252">
        <f ca="1">(CB116/BW116-1)*100</f>
        <v>-3.3548822505594211</v>
      </c>
      <c r="CD116" s="1148"/>
      <c r="CE116" s="1351"/>
      <c r="CF116" s="924"/>
      <c r="CG116" s="843">
        <f ca="1">OFFSET(Sector1!$G$8,0,(COLUMN()-6)/5)</f>
        <v>40.911499999999997</v>
      </c>
      <c r="CH116" s="1252">
        <f ca="1">(CG116/CB116-1)*100</f>
        <v>7.4020986088905838</v>
      </c>
      <c r="CI116" s="1148"/>
      <c r="CJ116" s="1351"/>
      <c r="CK116" s="924"/>
      <c r="CL116" s="843">
        <f ca="1">OFFSET(Sector1!$G$8,0,(COLUMN()-6)/5)</f>
        <v>41.971699999999998</v>
      </c>
      <c r="CM116" s="1252">
        <f ca="1">(CL116/CG116-1)*100</f>
        <v>2.5914473925424453</v>
      </c>
      <c r="CN116" s="1148"/>
      <c r="CO116" s="1351"/>
      <c r="CP116" s="924"/>
      <c r="CQ116" s="843">
        <f ca="1">OFFSET(Sector1!$G$8,0,(COLUMN()-6)/5)</f>
        <v>42.977199999999996</v>
      </c>
      <c r="CR116" s="1252">
        <f ca="1">(CQ116/CL116-1)*100</f>
        <v>2.3956618388104367</v>
      </c>
      <c r="CS116" s="1148"/>
      <c r="CT116" s="1351"/>
      <c r="CU116" s="924"/>
      <c r="CV116" s="843">
        <f ca="1">OFFSET(Sector1!$G$8,0,(COLUMN()-6)/5)</f>
        <v>43.547599999999996</v>
      </c>
      <c r="CW116" s="1252">
        <f ca="1">(CV116/CQ116-1)*100</f>
        <v>1.3272153607028825</v>
      </c>
      <c r="CX116" s="1148"/>
      <c r="CY116" s="1351"/>
      <c r="CZ116" s="924"/>
      <c r="DA116" s="843">
        <f ca="1">OFFSET(Sector1!$G$8,0,(COLUMN()-6)/5)</f>
        <v>44.171500000000002</v>
      </c>
      <c r="DB116" s="1252">
        <f ca="1">(DA116/CV116-1)*100</f>
        <v>1.4326851537168617</v>
      </c>
      <c r="DC116" s="1148"/>
      <c r="DD116" s="1351"/>
      <c r="DE116" s="924"/>
      <c r="DF116" s="843">
        <f ca="1">OFFSET(Sector1!$G$8,0,(COLUMN()-6)/5)</f>
        <v>45.102699999999999</v>
      </c>
      <c r="DG116" s="1252">
        <f ca="1">(DF116/DA116-1)*100</f>
        <v>2.1081466556490014</v>
      </c>
      <c r="DH116" s="1148"/>
      <c r="DI116" s="1351"/>
      <c r="DJ116" s="924"/>
      <c r="DK116" s="843">
        <f ca="1">OFFSET(Sector1!$G$8,0,(COLUMN()-6)/5)</f>
        <v>47.467699999999994</v>
      </c>
      <c r="DL116" s="1252">
        <f ca="1">(DK116/DF116-1)*100</f>
        <v>5.243588521308018</v>
      </c>
      <c r="DM116" s="1148"/>
      <c r="DN116" s="1351"/>
      <c r="DO116" s="924"/>
      <c r="DP116" s="843">
        <f ca="1">OFFSET(Sector1!$G$8,0,(COLUMN()-6)/5)</f>
        <v>49.843199999999996</v>
      </c>
      <c r="DQ116" s="1252">
        <f ca="1">(DP116/DK116-1)*100</f>
        <v>5.0044556614287306</v>
      </c>
      <c r="DR116" s="1148"/>
      <c r="DS116" s="1351"/>
      <c r="DT116" s="924"/>
      <c r="DU116" s="843">
        <f ca="1">OFFSET(Sector1!$G$8,0,(COLUMN()-6)/5)</f>
        <v>51.238809599999996</v>
      </c>
      <c r="DV116" s="1252">
        <f ca="1">(DU116/DP116-1)*100</f>
        <v>2.8000000000000025</v>
      </c>
      <c r="DW116" s="1148"/>
      <c r="DX116" s="1351"/>
      <c r="DY116" s="924"/>
      <c r="DZ116" s="843">
        <f ca="1">OFFSET(Sector1!$G$8,0,(COLUMN()-6)/5)</f>
        <v>52.9809291264</v>
      </c>
      <c r="EA116" s="1252">
        <f ca="1">(DZ116/DU116-1)*100</f>
        <v>3.400000000000003</v>
      </c>
    </row>
    <row r="117" spans="1:131">
      <c r="B117" s="1"/>
      <c r="C117" s="1114" t="s">
        <v>622</v>
      </c>
      <c r="D117" s="1110"/>
      <c r="E117" s="1111" t="s">
        <v>623</v>
      </c>
      <c r="F117" s="1110" t="s">
        <v>1126</v>
      </c>
      <c r="G117" s="1324"/>
      <c r="H117" s="1327"/>
      <c r="I117" s="1326"/>
      <c r="J117" s="1292">
        <f ca="1">OFFSET(Sector1!$G$132,0,(COLUMN()-6)/5)</f>
        <v>2.1591999999999998</v>
      </c>
      <c r="K117" s="1328"/>
      <c r="L117" s="1148"/>
      <c r="M117" s="1251"/>
      <c r="N117" s="924"/>
      <c r="O117" s="1292">
        <f ca="1">OFFSET(Sector1!$G$132,0,(COLUMN()-6)/5)</f>
        <v>2.0954999999999999</v>
      </c>
      <c r="P117" s="1299">
        <f ca="1">(O117/J117-1)*100</f>
        <v>-2.9501667284179245</v>
      </c>
      <c r="Q117" s="1148"/>
      <c r="R117" s="1251"/>
      <c r="S117" s="924"/>
      <c r="T117" s="1292">
        <f ca="1">OFFSET(Sector1!$G$132,0,(COLUMN()-6)/5)</f>
        <v>1.9287000000000001</v>
      </c>
      <c r="U117" s="1299">
        <f ca="1">(T117/O117-1)*100</f>
        <v>-7.9599141016463815</v>
      </c>
      <c r="V117" s="1148"/>
      <c r="W117" s="1251"/>
      <c r="X117" s="924"/>
      <c r="Y117" s="1292">
        <f ca="1">OFFSET(Sector1!$G$132,0,(COLUMN()-6)/5)</f>
        <v>1.9761</v>
      </c>
      <c r="Z117" s="1299">
        <f ca="1">(Y117/T117-1)*100</f>
        <v>2.457613936848646</v>
      </c>
      <c r="AA117" s="1148"/>
      <c r="AB117" s="1251"/>
      <c r="AC117" s="924"/>
      <c r="AD117" s="1292">
        <f ca="1">OFFSET(Sector1!$G$132,0,(COLUMN()-6)/5)</f>
        <v>2.0933999999999999</v>
      </c>
      <c r="AE117" s="1299">
        <f ca="1">(AD117/Y117-1)*100</f>
        <v>5.9359344162744687</v>
      </c>
      <c r="AF117" s="1148"/>
      <c r="AG117" s="1251"/>
      <c r="AH117" s="924"/>
      <c r="AI117" s="1292">
        <f ca="1">OFFSET(Sector1!$G$132,0,(COLUMN()-6)/5)</f>
        <v>1.9535</v>
      </c>
      <c r="AJ117" s="1299">
        <f ca="1">(AI117/AD117-1)*100</f>
        <v>-6.682908187637338</v>
      </c>
      <c r="AK117" s="1148"/>
      <c r="AL117" s="1251"/>
      <c r="AM117" s="924"/>
      <c r="AN117" s="1292">
        <f ca="1">OFFSET(Sector1!$G$132,0,(COLUMN()-6)/5)</f>
        <v>2.0861000000000001</v>
      </c>
      <c r="AO117" s="1299">
        <f ca="1">(AN117/AI117-1)*100</f>
        <v>6.78781673918607</v>
      </c>
      <c r="AP117" s="1148"/>
      <c r="AQ117" s="1251"/>
      <c r="AR117" s="924"/>
      <c r="AS117" s="1292">
        <f ca="1">OFFSET(Sector1!$G$132,0,(COLUMN()-6)/5)</f>
        <v>2.0305</v>
      </c>
      <c r="AT117" s="1299">
        <f ca="1">(AS117/AN117-1)*100</f>
        <v>-2.6652605340108382</v>
      </c>
      <c r="AU117" s="1148"/>
      <c r="AV117" s="1251"/>
      <c r="AW117" s="924"/>
      <c r="AX117" s="1292">
        <f ca="1">OFFSET(Sector1!$G$132,0,(COLUMN()-6)/5)</f>
        <v>2.4741999999999997</v>
      </c>
      <c r="AY117" s="1299">
        <f ca="1">(AX117/AS117-1)*100</f>
        <v>21.851760650086185</v>
      </c>
      <c r="AZ117" s="1148"/>
      <c r="BA117" s="1251"/>
      <c r="BB117" s="924"/>
      <c r="BC117" s="1292">
        <f ca="1">OFFSET(Sector1!$G$132,0,(COLUMN()-6)/5)</f>
        <v>1.9581</v>
      </c>
      <c r="BD117" s="1299">
        <f ca="1">(BC117/AX117-1)*100</f>
        <v>-20.859267642066115</v>
      </c>
      <c r="BE117" s="1148"/>
      <c r="BF117" s="1251"/>
      <c r="BG117" s="924"/>
      <c r="BH117" s="1292">
        <f ca="1">OFFSET(Sector1!$G$132,0,(COLUMN()-6)/5)</f>
        <v>2.6843000000000004</v>
      </c>
      <c r="BI117" s="1299">
        <f ca="1">(BH117/BC117-1)*100</f>
        <v>37.086972064756665</v>
      </c>
      <c r="BJ117" s="1148"/>
      <c r="BK117" s="1251"/>
      <c r="BL117" s="924"/>
      <c r="BM117" s="1292">
        <f ca="1">OFFSET(Sector1!$G$132,0,(COLUMN()-6)/5)</f>
        <v>2.4045000000000001</v>
      </c>
      <c r="BN117" s="1299">
        <f ca="1">(BM117/BH117-1)*100</f>
        <v>-10.423574116156919</v>
      </c>
      <c r="BO117" s="1148"/>
      <c r="BP117" s="1251"/>
      <c r="BQ117" s="924"/>
      <c r="BR117" s="1292">
        <f ca="1">OFFSET(Sector1!$G$132,0,(COLUMN()-6)/5)</f>
        <v>2.4918</v>
      </c>
      <c r="BS117" s="1299">
        <f ca="1">(BR117/BM117-1)*100</f>
        <v>3.6306924516531502</v>
      </c>
      <c r="BT117" s="1148"/>
      <c r="BU117" s="1251"/>
      <c r="BV117" s="924"/>
      <c r="BW117" s="1292">
        <f ca="1">OFFSET(Sector1!$G$132,0,(COLUMN()-6)/5)</f>
        <v>2.3571</v>
      </c>
      <c r="BX117" s="1299">
        <f ca="1">(BW117/BR117-1)*100</f>
        <v>-5.4057307970142077</v>
      </c>
      <c r="BY117" s="1148"/>
      <c r="BZ117" s="1351"/>
      <c r="CA117" s="924"/>
      <c r="CB117" s="1103">
        <f ca="1">OFFSET(Sector1!$G$132,0,(COLUMN()-6)/5)</f>
        <v>1.9072</v>
      </c>
      <c r="CC117" s="1299">
        <f ca="1">(CB117/BW117-1)*100</f>
        <v>-19.087013703279453</v>
      </c>
      <c r="CD117" s="1148"/>
      <c r="CE117" s="1351"/>
      <c r="CF117" s="924"/>
      <c r="CG117" s="1103">
        <f ca="1">OFFSET(Sector1!$G$132,0,(COLUMN()-6)/5)</f>
        <v>2.3447</v>
      </c>
      <c r="CH117" s="1299">
        <f ca="1">(CG117/CB117-1)*100</f>
        <v>22.939387583892625</v>
      </c>
      <c r="CI117" s="1148"/>
      <c r="CJ117" s="1351"/>
      <c r="CK117" s="924"/>
      <c r="CL117" s="1103">
        <f ca="1">OFFSET(Sector1!$G$132,0,(COLUMN()-6)/5)</f>
        <v>2.5096999999999996</v>
      </c>
      <c r="CM117" s="1299">
        <f ca="1">(CL117/CG117-1)*100</f>
        <v>7.03714760950227</v>
      </c>
      <c r="CN117" s="1148"/>
      <c r="CO117" s="1351"/>
      <c r="CP117" s="924"/>
      <c r="CQ117" s="1103">
        <f ca="1">OFFSET(Sector1!$G$132,0,(COLUMN()-6)/5)</f>
        <v>2.1755</v>
      </c>
      <c r="CR117" s="1299">
        <f ca="1">(CQ117/CL117-1)*100</f>
        <v>-13.31633262939792</v>
      </c>
      <c r="CS117" s="1148"/>
      <c r="CT117" s="1351"/>
      <c r="CU117" s="924"/>
      <c r="CV117" s="1103">
        <f ca="1">OFFSET(Sector1!$G$132,0,(COLUMN()-6)/5)</f>
        <v>2.0844</v>
      </c>
      <c r="CW117" s="1299">
        <f ca="1">(CV117/CQ117-1)*100</f>
        <v>-4.1875430935417128</v>
      </c>
      <c r="CX117" s="1148"/>
      <c r="CY117" s="1351"/>
      <c r="CZ117" s="924"/>
      <c r="DA117" s="1103">
        <f ca="1">OFFSET(Sector1!$G$132,0,(COLUMN()-6)/5)</f>
        <v>1.9342999999999999</v>
      </c>
      <c r="DB117" s="1299">
        <f ca="1">(DA117/CV117-1)*100</f>
        <v>-7.2011130301285808</v>
      </c>
      <c r="DC117" s="1148"/>
      <c r="DD117" s="1351"/>
      <c r="DE117" s="924"/>
      <c r="DF117" s="1103">
        <f ca="1">OFFSET(Sector1!$G$132,0,(COLUMN()-6)/5)</f>
        <v>2.1391</v>
      </c>
      <c r="DG117" s="1299">
        <f ca="1">(DF117/DA117-1)*100</f>
        <v>10.587809543504111</v>
      </c>
      <c r="DH117" s="1148"/>
      <c r="DI117" s="1351"/>
      <c r="DJ117" s="924"/>
      <c r="DK117" s="1103">
        <f ca="1">OFFSET(Sector1!$G$132,0,(COLUMN()-6)/5)</f>
        <v>2.0548999999999999</v>
      </c>
      <c r="DL117" s="1299">
        <f ca="1">(DK117/DF117-1)*100</f>
        <v>-3.9362348651301948</v>
      </c>
      <c r="DM117" s="1148"/>
      <c r="DN117" s="1351"/>
      <c r="DO117" s="924"/>
      <c r="DP117" s="1103">
        <f ca="1">OFFSET(Sector1!$G$132,0,(COLUMN()-6)/5)</f>
        <v>2.105</v>
      </c>
      <c r="DQ117" s="1299">
        <f ca="1">(DP117/DK117-1)*100</f>
        <v>2.438074845491256</v>
      </c>
      <c r="DR117" s="1148"/>
      <c r="DS117" s="1351"/>
      <c r="DT117" s="924"/>
      <c r="DU117" s="1103">
        <f ca="1">OFFSET(Sector1!$G$132,0,(COLUMN()-6)/5)</f>
        <v>2.0824764999999998</v>
      </c>
      <c r="DV117" s="1299">
        <f ca="1">(DU117/DP117-1)*100</f>
        <v>-1.0700000000000043</v>
      </c>
      <c r="DW117" s="1148"/>
      <c r="DX117" s="1351"/>
      <c r="DY117" s="924"/>
      <c r="DZ117" s="1103">
        <f ca="1">OFFSET(Sector1!$G$132,0,(COLUMN()-6)/5)</f>
        <v>2.0568620390499999</v>
      </c>
      <c r="EA117" s="1299">
        <f ca="1">(DZ117/DU117-1)*100</f>
        <v>-1.2299999999999978</v>
      </c>
    </row>
    <row r="118" spans="1:131" s="28" customFormat="1">
      <c r="A118" s="1378"/>
      <c r="C118" s="175" t="s">
        <v>624</v>
      </c>
      <c r="D118" s="1200"/>
      <c r="E118" s="1295" t="s">
        <v>1684</v>
      </c>
      <c r="F118" s="1143" t="s">
        <v>1127</v>
      </c>
      <c r="G118" s="1201"/>
      <c r="H118" s="1202"/>
      <c r="I118" s="1201"/>
      <c r="J118" s="1202">
        <f ca="1">OFFSET(Sector1!$G$179,0,(COLUMN()-6)/5)</f>
        <v>190.70060000000001</v>
      </c>
      <c r="K118" s="1201"/>
      <c r="L118" s="1202">
        <f ca="1">OFFSET('VVP2'!$G$169,0,(COLUMN()-7)/5)</f>
        <v>-4.0380015394413498</v>
      </c>
      <c r="M118" s="1202">
        <f ca="1">+J118*(1+L118/100)</f>
        <v>183.00010683627613</v>
      </c>
      <c r="N118" s="1202">
        <f ca="1">+O118/M118*100-100</f>
        <v>6.036331538104946</v>
      </c>
      <c r="O118" s="1202">
        <f ca="1">OFFSET(Sector1!$G$179,0,(COLUMN()-6)/5)</f>
        <v>194.04660000000001</v>
      </c>
      <c r="P118" s="1202">
        <f ca="1">(O118/J118-1)*100</f>
        <v>1.7545828382291351</v>
      </c>
      <c r="Q118" s="1202">
        <f ca="1">OFFSET('VVP2'!$G$169,0,(COLUMN()-7)/5)</f>
        <v>3.4891779904631104</v>
      </c>
      <c r="R118" s="1202">
        <f ca="1">+O118*(1+Q118/100)</f>
        <v>200.81723125844201</v>
      </c>
      <c r="S118" s="1202">
        <f ca="1">+T118/R118*100-100</f>
        <v>0.8497123134627742</v>
      </c>
      <c r="T118" s="1202">
        <f ca="1">OFFSET(Sector1!$G$179,0,(COLUMN()-6)/5)</f>
        <v>202.52360000000002</v>
      </c>
      <c r="U118" s="1202">
        <f ca="1">(T118/O118-1)*100</f>
        <v>4.3685382789494964</v>
      </c>
      <c r="V118" s="1202">
        <f ca="1">OFFSET('VVP2'!$G$169,0,(COLUMN()-7)/5)</f>
        <v>1.9393027769883053</v>
      </c>
      <c r="W118" s="1202">
        <f ca="1">+T118*(1+V118/100)</f>
        <v>206.45114579885671</v>
      </c>
      <c r="X118" s="1202">
        <f ca="1">+Y118/W118*100-100</f>
        <v>1.785388105685044</v>
      </c>
      <c r="Y118" s="1202">
        <f ca="1">OFFSET(Sector1!$G$179,0,(COLUMN()-6)/5)</f>
        <v>210.1371</v>
      </c>
      <c r="Z118" s="1202">
        <f ca="1">(Y118/T118-1)*100</f>
        <v>3.7593149637869194</v>
      </c>
      <c r="AA118" s="1202">
        <f ca="1">OFFSET('VVP2'!$G$169,0,(COLUMN()-7)/5)</f>
        <v>3.2964298235606204</v>
      </c>
      <c r="AB118" s="1202">
        <f ca="1">+Y118*(1+AA118/100)</f>
        <v>217.0641220347654</v>
      </c>
      <c r="AC118" s="1202">
        <f ca="1">+AD118/AB118*100-100</f>
        <v>0.49684763890269323</v>
      </c>
      <c r="AD118" s="1202">
        <f ca="1">OFFSET(Sector1!$G$179,0,(COLUMN()-6)/5)</f>
        <v>218.14260000000002</v>
      </c>
      <c r="AE118" s="1202">
        <f ca="1">(AD118/Y118-1)*100</f>
        <v>3.8096556962097683</v>
      </c>
      <c r="AF118" s="1202">
        <f ca="1">OFFSET('VVP2'!$G$169,0,(COLUMN()-7)/5)</f>
        <v>3.4802011642417918</v>
      </c>
      <c r="AG118" s="1202">
        <f ca="1">+AD118*(1+AF118/100)</f>
        <v>225.73440130490732</v>
      </c>
      <c r="AH118" s="1202">
        <f ca="1">+AI118/AG118*100-100</f>
        <v>2.1062357653987505</v>
      </c>
      <c r="AI118" s="1202">
        <f ca="1">OFFSET(Sector1!$G$179,0,(COLUMN()-6)/5)</f>
        <v>230.4889</v>
      </c>
      <c r="AJ118" s="1202">
        <f ca="1">(AI118/AD118-1)*100</f>
        <v>5.6597381712696126</v>
      </c>
      <c r="AK118" s="1202">
        <f ca="1">OFFSET('VVP2'!$G$169,0,(COLUMN()-7)/5)</f>
        <v>1.3319493373110447</v>
      </c>
      <c r="AL118" s="1202">
        <f ca="1">+AI118*(1+AK118/100)</f>
        <v>233.55889537612552</v>
      </c>
      <c r="AM118" s="1202">
        <f ca="1">+AN118/AL118*100-100</f>
        <v>2.1578303047539009</v>
      </c>
      <c r="AN118" s="1202">
        <f ca="1">OFFSET(Sector1!$G$179,0,(COLUMN()-6)/5)</f>
        <v>238.59870000000001</v>
      </c>
      <c r="AO118" s="1202">
        <f ca="1">(AN118/AI118-1)*100</f>
        <v>3.5185208485094099</v>
      </c>
      <c r="AP118" s="1202">
        <f ca="1">OFFSET('VVP2'!$G$169,0,(COLUMN()-7)/5)</f>
        <v>1.6609643343521885</v>
      </c>
      <c r="AQ118" s="1202">
        <f ca="1">+AN118*(1+AP118/100)</f>
        <v>242.56173930922799</v>
      </c>
      <c r="AR118" s="1202">
        <f ca="1">+AS118/AQ118*100-100</f>
        <v>1.660962978846328</v>
      </c>
      <c r="AS118" s="1202">
        <f ca="1">OFFSET(Sector1!$G$179,0,(COLUMN()-6)/5)</f>
        <v>246.59059999999999</v>
      </c>
      <c r="AT118" s="1202">
        <f ca="1">(AS118/AN118-1)*100</f>
        <v>3.3495153158839441</v>
      </c>
      <c r="AU118" s="1202">
        <f ca="1">OFFSET('VVP2'!$G$169,0,(COLUMN()-7)/5)</f>
        <v>0.93238219822433521</v>
      </c>
      <c r="AV118" s="1202">
        <f ca="1">+AS118*(1+AU118/100)</f>
        <v>248.88976685689457</v>
      </c>
      <c r="AW118" s="1202">
        <f ca="1">+AX118/AV118*100-100</f>
        <v>1.9779572319403655</v>
      </c>
      <c r="AX118" s="1202">
        <f ca="1">OFFSET(Sector1!$G$179,0,(COLUMN()-6)/5)</f>
        <v>253.81270000000001</v>
      </c>
      <c r="AY118" s="1202">
        <f ca="1">(AX118/AS118-1)*100</f>
        <v>2.9287815512837989</v>
      </c>
      <c r="AZ118" s="1202">
        <f ca="1">OFFSET('VVP2'!$G$169,0,(COLUMN()-7)/5)</f>
        <v>3.1565078453268614</v>
      </c>
      <c r="BA118" s="1202">
        <f ca="1">+AX118*(1+AZ118/100)</f>
        <v>261.82431778793591</v>
      </c>
      <c r="BB118" s="1202">
        <f ca="1">+BC118/BA118*100-100</f>
        <v>1.9936582881854008</v>
      </c>
      <c r="BC118" s="1202">
        <f ca="1">OFFSET(Sector1!$G$179,0,(COLUMN()-6)/5)</f>
        <v>267.04419999999999</v>
      </c>
      <c r="BD118" s="1202">
        <f ca="1">(BC118/AX118-1)*100</f>
        <v>5.2130961137878407</v>
      </c>
      <c r="BE118" s="1202">
        <f ca="1">OFFSET('VVP2'!$G$169,0,(COLUMN()-7)/5)</f>
        <v>2.1539661102374819</v>
      </c>
      <c r="BF118" s="1202">
        <f ca="1">+BC118*(1+BE118/100)</f>
        <v>272.7962415673548</v>
      </c>
      <c r="BG118" s="1202">
        <f ca="1">+BH118/BF118*100-100</f>
        <v>2.0889431613515086</v>
      </c>
      <c r="BH118" s="1202">
        <f ca="1">OFFSET(Sector1!$G$179,0,(COLUMN()-6)/5)</f>
        <v>278.4948</v>
      </c>
      <c r="BI118" s="1202">
        <f ca="1">(BH118/BC118-1)*100</f>
        <v>4.2879043993466315</v>
      </c>
      <c r="BJ118" s="1202">
        <f ca="1">OFFSET('VVP2'!$G$169,0,(COLUMN()-7)/5)</f>
        <v>2.4198104781012697</v>
      </c>
      <c r="BK118" s="1202">
        <f ca="1">+BH118*(1+BJ118/100)</f>
        <v>285.23384635136716</v>
      </c>
      <c r="BL118" s="1202">
        <f ca="1">+BM118/BK118*100-100</f>
        <v>2.3110699283956961</v>
      </c>
      <c r="BM118" s="1202">
        <f ca="1">OFFSET(Sector1!$G$179,0,(COLUMN()-6)/5)</f>
        <v>291.82580000000002</v>
      </c>
      <c r="BN118" s="1202">
        <f ca="1">(BM118/BH118-1)*100</f>
        <v>4.7868039187805467</v>
      </c>
      <c r="BO118" s="1202">
        <f ca="1">OFFSET('VVP2'!$G$169,0,(COLUMN()-7)/5)</f>
        <v>3.4630508328860499</v>
      </c>
      <c r="BP118" s="1202">
        <f ca="1">+BM118*(1+BO118/100)</f>
        <v>301.93187579747638</v>
      </c>
      <c r="BQ118" s="1202">
        <f ca="1">+BR118/BP118*100-100</f>
        <v>1.9964848648729543</v>
      </c>
      <c r="BR118" s="1202">
        <f ca="1">OFFSET(Sector1!$G$179,0,(COLUMN()-6)/5)</f>
        <v>307.9599</v>
      </c>
      <c r="BS118" s="1202">
        <f ca="1">(BR118/BM118-1)*100</f>
        <v>5.5286749835004256</v>
      </c>
      <c r="BT118" s="1202">
        <f ca="1">OFFSET('VVP2'!$G$169,0,(COLUMN()-7)/5)</f>
        <v>1.2881991306727736</v>
      </c>
      <c r="BU118" s="1202">
        <f ca="1">+BR118*(1+BT118/100)</f>
        <v>311.92703675462076</v>
      </c>
      <c r="BV118" s="1202">
        <f ca="1">+BW118/BU118*100-100</f>
        <v>1.6291512586569468</v>
      </c>
      <c r="BW118" s="1202">
        <f ca="1">OFFSET(Sector1!$G$179,0,(COLUMN()-6)/5)</f>
        <v>317.00880000000001</v>
      </c>
      <c r="BX118" s="1202">
        <f ca="1">(BW118/BR118-1)*100</f>
        <v>2.9383371016810989</v>
      </c>
      <c r="BY118" s="1202">
        <f ca="1">OFFSET('VVP2'!$G$169,0,(COLUMN()-7)/5)</f>
        <v>-2.2527901590052579</v>
      </c>
      <c r="BZ118" s="1202">
        <f ca="1">+BW118*(1+BY118/100)</f>
        <v>309.86725695041935</v>
      </c>
      <c r="CA118" s="1202">
        <f ca="1">+CB118/BZ118*100-100</f>
        <v>0.88074586403214994</v>
      </c>
      <c r="CB118" s="1202">
        <f ca="1">OFFSET(Sector1!$G$179,0,(COLUMN()-6)/5)</f>
        <v>312.59640000000002</v>
      </c>
      <c r="CC118" s="1202">
        <f ca="1">(CB118/BW118-1)*100</f>
        <v>-1.3918856511238809</v>
      </c>
      <c r="CD118" s="1202">
        <f ca="1">OFFSET('VVP2'!$G$169,0,(COLUMN()-7)/5)</f>
        <v>2.565429048004586</v>
      </c>
      <c r="CE118" s="1202">
        <f ca="1">+CB118*(1+CD118/100)</f>
        <v>320.61583884861665</v>
      </c>
      <c r="CF118" s="1202">
        <f ca="1">+CG118/CE118*100-100</f>
        <v>1.845779413966369</v>
      </c>
      <c r="CG118" s="1202">
        <f ca="1">OFFSET(Sector1!$G$179,0,(COLUMN()-6)/5)</f>
        <v>326.53370000000001</v>
      </c>
      <c r="CH118" s="1202">
        <f ca="1">(CG118/CB118-1)*100</f>
        <v>4.4585606232189434</v>
      </c>
      <c r="CI118" s="1202">
        <f ca="1">OFFSET('VVP2'!$G$169,0,(COLUMN()-7)/5)</f>
        <v>2.1451935895131058</v>
      </c>
      <c r="CJ118" s="1202">
        <f ca="1">+CG118*(1+CI118/100)</f>
        <v>333.53847999999999</v>
      </c>
      <c r="CK118" s="1202">
        <f ca="1">+CL118/CJ118*100-100</f>
        <v>1.830619363618851</v>
      </c>
      <c r="CL118" s="1202">
        <f ca="1">OFFSET(Sector1!$G$179,0,(COLUMN()-6)/5)</f>
        <v>339.64429999999999</v>
      </c>
      <c r="CM118" s="1202">
        <f ca="1">(CL118/CG118-1)*100</f>
        <v>4.0150832823687033</v>
      </c>
      <c r="CN118" s="1202">
        <f ca="1">OFFSET('VVP2'!$G$169,0,(COLUMN()-7)/5)</f>
        <v>0.1948200999177141</v>
      </c>
      <c r="CO118" s="1202">
        <f ca="1">+CL118*(1+CN118/100)</f>
        <v>340.30599536462483</v>
      </c>
      <c r="CP118" s="1202">
        <f ca="1">+CQ118/CO118*100-100</f>
        <v>1.8784284504085775</v>
      </c>
      <c r="CQ118" s="1202">
        <f ca="1">OFFSET(Sector1!$G$179,0,(COLUMN()-6)/5)</f>
        <v>346.69840000000005</v>
      </c>
      <c r="CR118" s="1202">
        <f ca="1">(CQ118/CL118-1)*100</f>
        <v>2.0769081065102668</v>
      </c>
      <c r="CS118" s="1202">
        <f ca="1">OFFSET('VVP2'!$G$169,0,(COLUMN()-7)/5)</f>
        <v>0.16360238605614974</v>
      </c>
      <c r="CT118" s="1202">
        <f ca="1">+CQ118*(1+CS118/100)</f>
        <v>347.26560685481854</v>
      </c>
      <c r="CU118" s="1202">
        <f ca="1">+CV118/CT118*100-100</f>
        <v>1.0398361006395618</v>
      </c>
      <c r="CV118" s="1202">
        <f ca="1">OFFSET(Sector1!$G$179,0,(COLUMN()-6)/5)</f>
        <v>350.8766</v>
      </c>
      <c r="CW118" s="1202">
        <f ca="1">(CV118/CQ118-1)*100</f>
        <v>1.2051396833674399</v>
      </c>
      <c r="CX118" s="1202">
        <f ca="1">OFFSET('VVP2'!$G$169,0,(COLUMN()-7)/5)</f>
        <v>1.3504592378771552</v>
      </c>
      <c r="CY118" s="1202">
        <f ca="1">+CV118*(1+CX118/100)</f>
        <v>355.61504545824926</v>
      </c>
      <c r="CZ118" s="1202">
        <f ca="1">+DA118/CY118*100-100</f>
        <v>0.6849976042525725</v>
      </c>
      <c r="DA118" s="1202">
        <f ca="1">OFFSET(Sector1!$G$179,0,(COLUMN()-6)/5)</f>
        <v>358.05099999999999</v>
      </c>
      <c r="DB118" s="1202">
        <f ca="1">(DA118/CV118-1)*100</f>
        <v>2.0447074555556055</v>
      </c>
      <c r="DC118" s="1202">
        <f ca="1">OFFSET('VVP2'!$G$169,0,(COLUMN()-7)/5)</f>
        <v>1.5794556951593153</v>
      </c>
      <c r="DD118" s="1202">
        <f ca="1">+DA118*(1+DC118/100)</f>
        <v>363.70625691107489</v>
      </c>
      <c r="DE118" s="1202">
        <f ca="1">+DF118/DD118*100-100</f>
        <v>1.035270363755572</v>
      </c>
      <c r="DF118" s="1202">
        <f ca="1">OFFSET(Sector1!$G$179,0,(COLUMN()-6)/5)</f>
        <v>367.47159999999997</v>
      </c>
      <c r="DG118" s="1202">
        <f ca="1">(DF118/DA118-1)*100</f>
        <v>2.6310776956355308</v>
      </c>
      <c r="DH118" s="1202">
        <f ca="1">OFFSET('VVP2'!$G$169,0,(COLUMN()-7)/5)</f>
        <v>1.2132100196663442</v>
      </c>
      <c r="DI118" s="1202">
        <f ca="1">+DF118*(1+DH118/100)</f>
        <v>371.92980227062822</v>
      </c>
      <c r="DJ118" s="1202">
        <f ca="1">+DK118/DI118*100-100</f>
        <v>1.5341060852176724</v>
      </c>
      <c r="DK118" s="1202">
        <f ca="1">OFFSET(Sector1!$G$179,0,(COLUMN()-6)/5)</f>
        <v>377.63559999999995</v>
      </c>
      <c r="DL118" s="1202">
        <f ca="1">(DK118/DF118-1)*100</f>
        <v>2.7659280336221892</v>
      </c>
      <c r="DM118" s="1202">
        <f ca="1">OFFSET('VVP2'!$G$169,0,(COLUMN()-7)/5)</f>
        <v>1.651572976612381</v>
      </c>
      <c r="DN118" s="1202">
        <f ca="1">+DK118*(1+DM118/100)</f>
        <v>383.87252751966798</v>
      </c>
      <c r="DO118" s="1202">
        <f ca="1">+DP118/DN118*100-100</f>
        <v>1.7906393366427693</v>
      </c>
      <c r="DP118" s="1202">
        <f ca="1">OFFSET(Sector1!$G$179,0,(COLUMN()-6)/5)</f>
        <v>390.74629999999996</v>
      </c>
      <c r="DQ118" s="1202">
        <f ca="1">(DP118/DK118-1)*100</f>
        <v>3.4717860286477276</v>
      </c>
      <c r="DR118" s="1356">
        <f ca="1">(DS118/DP118-1)*100</f>
        <v>1.859454121279569</v>
      </c>
      <c r="DS118" s="1339">
        <f ca="1">+DU118/(1+DT118/100)</f>
        <v>398.01204817909735</v>
      </c>
      <c r="DT118" s="1352">
        <f ca="1">+DT115</f>
        <v>1.5588952122123914</v>
      </c>
      <c r="DU118" s="1339">
        <f ca="1">+DU115-DU116+DU117</f>
        <v>404.21663894218977</v>
      </c>
      <c r="DV118" s="1348">
        <f ca="1">(DU118/DP118-1)*100</f>
        <v>3.4473362747618586</v>
      </c>
      <c r="DW118" s="1356">
        <f ca="1">(DX118/DU118-1)*100</f>
        <v>1.7161521853572559</v>
      </c>
      <c r="DX118" s="1339">
        <f ca="1">+DZ118/(1+DY118/100)</f>
        <v>411.15361162497379</v>
      </c>
      <c r="DY118" s="1352">
        <f ca="1">+DY115</f>
        <v>1.6935991327586208</v>
      </c>
      <c r="DZ118" s="1339">
        <f ca="1">+DZ115-DZ116+DZ117</f>
        <v>418.11690562576007</v>
      </c>
      <c r="EA118" s="1348">
        <f ca="1">(DZ118/DU118-1)*100</f>
        <v>3.4388160566438897</v>
      </c>
    </row>
    <row r="121" spans="1:131">
      <c r="J121" s="3734">
        <f ca="1">J93/J95*100</f>
        <v>78.83408386181965</v>
      </c>
      <c r="K121" s="3734"/>
      <c r="L121" s="3734"/>
      <c r="M121" s="3734"/>
      <c r="N121" s="3734"/>
      <c r="O121" s="3734">
        <f ca="1">O93/O95*100</f>
        <v>78.568547263792468</v>
      </c>
      <c r="P121" s="3734"/>
      <c r="Q121" s="3734"/>
      <c r="R121" s="3734"/>
      <c r="S121" s="3734"/>
      <c r="T121" s="3734">
        <f ca="1">T93/T95*100</f>
        <v>76.993616251404518</v>
      </c>
      <c r="U121" s="3734"/>
      <c r="V121" s="3734"/>
      <c r="W121" s="3734"/>
      <c r="X121" s="3734"/>
      <c r="Y121" s="3734">
        <f ca="1">Y93/Y95*100</f>
        <v>79.058341582973995</v>
      </c>
      <c r="Z121" s="3734"/>
      <c r="AA121" s="3734"/>
      <c r="AB121" s="3734"/>
      <c r="AC121" s="3734"/>
      <c r="AD121" s="3734">
        <f ca="1">AD93/AD95*100</f>
        <v>78.770810131642804</v>
      </c>
      <c r="AE121" s="3734"/>
      <c r="AF121" s="3734"/>
      <c r="AG121" s="3734"/>
      <c r="AH121" s="3734"/>
      <c r="AI121" s="3734">
        <f ca="1">AI93/AI95*100</f>
        <v>76.829145117605407</v>
      </c>
      <c r="AJ121" s="3734"/>
      <c r="AK121" s="3734"/>
      <c r="AL121" s="3734"/>
      <c r="AM121" s="3734"/>
      <c r="AN121" s="3734">
        <f ca="1">AN93/AN95*100</f>
        <v>78.012586014232781</v>
      </c>
      <c r="AO121" s="3734"/>
      <c r="AP121" s="3734"/>
      <c r="AQ121" s="3734"/>
      <c r="AR121" s="3734"/>
      <c r="AS121" s="3734">
        <f ca="1">AS93/AS95*100</f>
        <v>75.526292301580497</v>
      </c>
      <c r="AU121"/>
      <c r="AW121"/>
      <c r="AX121" s="3734">
        <f ca="1">AX93/AX95*100</f>
        <v>77.269110535222438</v>
      </c>
      <c r="AY121" s="3734"/>
      <c r="AZ121" s="3734"/>
      <c r="BA121" s="3734"/>
      <c r="BB121" s="3734"/>
      <c r="BC121" s="3734">
        <f ca="1">BC93/BC95*100</f>
        <v>77.128177480877341</v>
      </c>
      <c r="BD121" s="3734"/>
      <c r="BE121" s="3734"/>
      <c r="BF121" s="3734"/>
      <c r="BG121" s="3734"/>
      <c r="BH121" s="3734">
        <f ca="1">BH93/BH95*100</f>
        <v>76.809776601471711</v>
      </c>
      <c r="BM121" s="3734">
        <f ca="1">BM93/BM95*100</f>
        <v>76.479618579526459</v>
      </c>
      <c r="BN121" s="3734"/>
      <c r="BO121" s="3734"/>
      <c r="BP121" s="3734"/>
      <c r="BQ121" s="3734"/>
      <c r="BR121" s="3734">
        <f ca="1">BR93/BR95*100</f>
        <v>76.160602298371003</v>
      </c>
      <c r="BS121" s="3734"/>
      <c r="BT121" s="3734"/>
      <c r="BU121" s="3734"/>
      <c r="BV121" s="3734"/>
      <c r="BW121" s="3734">
        <f ca="1">BW93/BW95*100</f>
        <v>76.945091254812112</v>
      </c>
      <c r="CB121" s="3734">
        <f ca="1">CB93/CB95*100</f>
        <v>75.672704578436452</v>
      </c>
      <c r="CC121" s="3734"/>
      <c r="CD121" s="3734"/>
      <c r="CE121" s="3734"/>
      <c r="CF121" s="3734"/>
      <c r="CG121" s="3734">
        <f ca="1">CG93/CG95*100</f>
        <v>73.032313280757435</v>
      </c>
      <c r="CH121" s="3734"/>
      <c r="CI121" s="3734"/>
      <c r="CJ121" s="3734"/>
      <c r="CK121" s="3734"/>
      <c r="CL121" s="3734">
        <f ca="1">CL93/CL95*100</f>
        <v>72.001395302151096</v>
      </c>
      <c r="CQ121" s="3734">
        <f ca="1">CQ93/CQ95*100</f>
        <v>70.025716806275739</v>
      </c>
      <c r="CV121" s="3734">
        <f ca="1">CV93/CV95*100</f>
        <v>70.142646837165913</v>
      </c>
      <c r="DA121" s="3734">
        <f ca="1">DA93/DA95*100</f>
        <v>70.533373375999204</v>
      </c>
      <c r="DC121" s="3734"/>
      <c r="DD121" s="3734"/>
      <c r="DE121" s="3734"/>
      <c r="DF121" s="3734">
        <f ca="1">DF93/DF95*100</f>
        <v>71.695642864610093</v>
      </c>
      <c r="DG121" s="3734"/>
      <c r="DH121" s="3734"/>
      <c r="DI121" s="3734"/>
      <c r="DJ121" s="3734"/>
      <c r="DK121" s="3734">
        <f ca="1">DK93/DK95*100</f>
        <v>71.973559820405711</v>
      </c>
      <c r="DM121" s="3734"/>
      <c r="DN121" s="3734"/>
      <c r="DO121" s="3734"/>
      <c r="DP121" s="3734">
        <f ca="1">DP93/DP95*100</f>
        <v>72.033998170702091</v>
      </c>
      <c r="DR121" s="3734"/>
      <c r="DS121" s="3734"/>
      <c r="DT121" s="3734"/>
      <c r="DU121" s="3734">
        <f ca="1">DU93/DU95*100</f>
        <v>72.624132378590915</v>
      </c>
      <c r="DW121" s="3734"/>
      <c r="DX121" s="3734"/>
      <c r="DY121" s="3734"/>
      <c r="DZ121" s="3734">
        <f ca="1">DZ93/DZ95*100</f>
        <v>73.070448268461561</v>
      </c>
    </row>
    <row r="122" spans="1:131">
      <c r="J122" s="3734">
        <f ca="1">100-J121</f>
        <v>21.16591613818035</v>
      </c>
      <c r="K122" s="3734"/>
      <c r="L122" s="3734"/>
      <c r="M122" s="3734"/>
      <c r="N122" s="3734"/>
      <c r="O122" s="3734">
        <f ca="1">100-O121</f>
        <v>21.431452736207532</v>
      </c>
      <c r="P122" s="3734"/>
      <c r="Q122" s="3734"/>
      <c r="R122" s="3734"/>
      <c r="S122" s="3734"/>
      <c r="T122" s="3734">
        <f ca="1">100-T121</f>
        <v>23.006383748595482</v>
      </c>
      <c r="U122" s="3734"/>
      <c r="V122" s="3734"/>
      <c r="W122" s="3734"/>
      <c r="X122" s="3734"/>
      <c r="Y122" s="3734">
        <f ca="1">100-Y121</f>
        <v>20.941658417026005</v>
      </c>
      <c r="Z122" s="3734"/>
      <c r="AA122" s="3734"/>
      <c r="AB122" s="3734"/>
      <c r="AC122" s="3734"/>
      <c r="AD122" s="3734">
        <f ca="1">100-AD121</f>
        <v>21.229189868357196</v>
      </c>
      <c r="AE122" s="3734"/>
      <c r="AF122" s="3734"/>
      <c r="AG122" s="3734"/>
      <c r="AH122" s="3734"/>
      <c r="AI122" s="3734">
        <f ca="1">100-AI121</f>
        <v>23.170854882394593</v>
      </c>
      <c r="AJ122" s="3734"/>
      <c r="AK122" s="3734"/>
      <c r="AL122" s="3734"/>
      <c r="AM122" s="3734"/>
      <c r="AN122" s="3734">
        <f ca="1">100-AN121</f>
        <v>21.987413985767219</v>
      </c>
      <c r="AO122" s="3734"/>
      <c r="AP122" s="3734"/>
      <c r="AQ122" s="3734"/>
      <c r="AR122" s="3734"/>
      <c r="AS122" s="3734">
        <f ca="1">100-AS121</f>
        <v>24.473707698419503</v>
      </c>
      <c r="AU122"/>
      <c r="AW122"/>
      <c r="AX122" s="3734">
        <f ca="1">100-AX121</f>
        <v>22.730889464777562</v>
      </c>
      <c r="AY122" s="3734"/>
      <c r="AZ122" s="3734"/>
      <c r="BA122" s="3734"/>
      <c r="BB122" s="3734"/>
      <c r="BC122" s="3734">
        <f ca="1">100-BC121</f>
        <v>22.871822519122659</v>
      </c>
      <c r="BD122" s="3734"/>
      <c r="BE122" s="3734"/>
      <c r="BF122" s="3734"/>
      <c r="BG122" s="3734"/>
      <c r="BH122" s="3734">
        <f ca="1">100-BH121</f>
        <v>23.190223398528289</v>
      </c>
      <c r="BM122" s="3734">
        <f ca="1">100-BM121</f>
        <v>23.520381420473541</v>
      </c>
      <c r="BN122" s="3734"/>
      <c r="BO122" s="3734"/>
      <c r="BP122" s="3734"/>
      <c r="BQ122" s="3734"/>
      <c r="BR122" s="3734">
        <f ca="1">100-BR121</f>
        <v>23.839397701628997</v>
      </c>
      <c r="BS122" s="3734"/>
      <c r="BT122" s="3734"/>
      <c r="BU122" s="3734"/>
      <c r="BV122" s="3734"/>
      <c r="BW122" s="3734">
        <f ca="1">100-BW121</f>
        <v>23.054908745187888</v>
      </c>
      <c r="CB122" s="3734">
        <f ca="1">100-CB121</f>
        <v>24.327295421563548</v>
      </c>
      <c r="CC122" s="3734"/>
      <c r="CD122" s="3734"/>
      <c r="CE122" s="3734"/>
      <c r="CF122" s="3734"/>
      <c r="CG122" s="3734">
        <f ca="1">100-CG121</f>
        <v>26.967686719242565</v>
      </c>
      <c r="CH122" s="3734"/>
      <c r="CI122" s="3734"/>
      <c r="CJ122" s="3734"/>
      <c r="CK122" s="3734"/>
      <c r="CL122" s="3734">
        <f ca="1">100-CL121</f>
        <v>27.998604697848904</v>
      </c>
      <c r="CQ122" s="3734">
        <f ca="1">100-CQ121</f>
        <v>29.974283193724261</v>
      </c>
      <c r="CV122" s="3734">
        <f ca="1">100-CV121</f>
        <v>29.857353162834087</v>
      </c>
      <c r="DA122" s="3734">
        <f ca="1">100-DA121</f>
        <v>29.466626624000796</v>
      </c>
      <c r="DC122" s="3734"/>
      <c r="DD122" s="3734"/>
      <c r="DE122" s="3734"/>
      <c r="DF122" s="3734">
        <f ca="1">100-DF121</f>
        <v>28.304357135389907</v>
      </c>
      <c r="DG122" s="3734"/>
      <c r="DH122" s="3734"/>
      <c r="DI122" s="3734"/>
      <c r="DJ122" s="3734"/>
      <c r="DK122" s="3734">
        <f ca="1">100-DK121</f>
        <v>28.026440179594289</v>
      </c>
      <c r="DM122" s="3734"/>
      <c r="DN122" s="3734"/>
      <c r="DO122" s="3734"/>
      <c r="DP122" s="3734">
        <f ca="1">100-DP121</f>
        <v>27.966001829297909</v>
      </c>
      <c r="DR122" s="3734"/>
      <c r="DS122" s="3734"/>
      <c r="DT122" s="3734"/>
      <c r="DU122" s="3734">
        <f ca="1">100-DU121</f>
        <v>27.375867621409085</v>
      </c>
      <c r="DW122" s="3734"/>
      <c r="DX122" s="3734"/>
      <c r="DY122" s="3734"/>
      <c r="DZ122" s="3734">
        <f ca="1">100-DZ121</f>
        <v>26.929551731538439</v>
      </c>
    </row>
    <row r="125" spans="1:131">
      <c r="BW125" s="3734">
        <f ca="1">BW108/BW110*100</f>
        <v>69.90790535302105</v>
      </c>
      <c r="BX125" s="3734"/>
      <c r="BY125" s="3734"/>
      <c r="BZ125" s="3734"/>
      <c r="CA125" s="3734"/>
      <c r="CB125" s="3734">
        <f ca="1">CB108/CB110*100</f>
        <v>70.357455256666043</v>
      </c>
      <c r="CC125" s="3734"/>
      <c r="CD125" s="3734"/>
      <c r="CE125" s="3734"/>
      <c r="CF125" s="3734"/>
      <c r="CG125" s="3734">
        <f ca="1">CG108/CG110*100</f>
        <v>69.121692928035898</v>
      </c>
      <c r="CH125" s="3734"/>
      <c r="CI125" s="3734"/>
      <c r="CJ125" s="3734"/>
      <c r="CK125" s="3734"/>
      <c r="CL125" s="3734">
        <f ca="1">CL108/CL110*100</f>
        <v>67.674196409274174</v>
      </c>
      <c r="CM125" s="3734"/>
      <c r="CN125" s="3734"/>
      <c r="CO125" s="3734"/>
      <c r="CP125" s="3734"/>
      <c r="CQ125" s="3734">
        <f ca="1">CQ108/CQ110*100</f>
        <v>67.569567388840952</v>
      </c>
      <c r="CR125" s="3734"/>
      <c r="CS125" s="3734"/>
      <c r="CT125" s="3734"/>
      <c r="CU125" s="3734"/>
      <c r="CV125" s="3734">
        <f ca="1">CV108/CV110*100</f>
        <v>66.425330718362332</v>
      </c>
      <c r="CX125" s="3734"/>
      <c r="CY125" s="3734"/>
      <c r="CZ125" s="3734"/>
      <c r="DA125" s="3734">
        <f ca="1">DA108/DA110*100</f>
        <v>64.961977208584671</v>
      </c>
      <c r="DC125" s="3734"/>
      <c r="DD125" s="3734"/>
      <c r="DE125" s="3734"/>
      <c r="DF125" s="3734">
        <f ca="1">DF108/DF110*100</f>
        <v>62.784080252662143</v>
      </c>
      <c r="DG125" s="3734"/>
      <c r="DH125" s="3734"/>
      <c r="DI125" s="3734"/>
      <c r="DJ125" s="3734"/>
      <c r="DK125" s="3734">
        <f ca="1">DK108/DK110*100</f>
        <v>63.802114280959067</v>
      </c>
      <c r="DM125" s="3734"/>
      <c r="DN125" s="3734"/>
      <c r="DO125" s="3734"/>
      <c r="DP125" s="3734">
        <f ca="1">DP108/DP110*100</f>
        <v>64.287056896348275</v>
      </c>
      <c r="DR125" s="3734"/>
      <c r="DS125" s="3734"/>
      <c r="DT125" s="3734"/>
      <c r="DU125" s="3734">
        <f ca="1">DU108/DU110*100</f>
        <v>64.70787349053731</v>
      </c>
      <c r="DW125" s="3734"/>
      <c r="DX125" s="3734"/>
      <c r="DY125" s="3734"/>
      <c r="DZ125" s="3734">
        <f ca="1">DZ108/DZ110*100</f>
        <v>64.965947666332738</v>
      </c>
    </row>
    <row r="126" spans="1:131">
      <c r="BW126" s="3734">
        <f ca="1">100-BW125</f>
        <v>30.09209464697895</v>
      </c>
      <c r="BX126" s="3734"/>
      <c r="BY126" s="3734"/>
      <c r="BZ126" s="3734"/>
      <c r="CA126" s="3734"/>
      <c r="CB126" s="3734">
        <f ca="1">100-CB125</f>
        <v>29.642544743333957</v>
      </c>
      <c r="CC126" s="3734"/>
      <c r="CD126" s="3734"/>
      <c r="CE126" s="3734"/>
      <c r="CF126" s="3734"/>
      <c r="CG126" s="3734">
        <f ca="1">100-CG125</f>
        <v>30.878307071964102</v>
      </c>
      <c r="CH126" s="3734"/>
      <c r="CI126" s="3734"/>
      <c r="CJ126" s="3734"/>
      <c r="CK126" s="3734"/>
      <c r="CL126" s="3734">
        <f ca="1">100-CL125</f>
        <v>32.325803590725826</v>
      </c>
      <c r="CM126" s="3734"/>
      <c r="CN126" s="3734"/>
      <c r="CO126" s="3734"/>
      <c r="CP126" s="3734"/>
      <c r="CQ126" s="3734">
        <f ca="1">100-CQ125</f>
        <v>32.430432611159048</v>
      </c>
      <c r="CR126" s="3734"/>
      <c r="CS126" s="3734"/>
      <c r="CT126" s="3734"/>
      <c r="CU126" s="3734"/>
      <c r="CV126" s="3734">
        <f ca="1">100-CV125</f>
        <v>33.574669281637668</v>
      </c>
      <c r="CX126" s="3734"/>
      <c r="CY126" s="3734"/>
      <c r="CZ126" s="3734"/>
      <c r="DA126" s="3734">
        <f ca="1">100-DA125</f>
        <v>35.038022791415329</v>
      </c>
      <c r="DC126" s="3734"/>
      <c r="DD126" s="3734"/>
      <c r="DE126" s="3734"/>
      <c r="DF126" s="3734">
        <f ca="1">100-DF125</f>
        <v>37.215919747337857</v>
      </c>
      <c r="DG126" s="3734"/>
      <c r="DH126" s="3734"/>
      <c r="DI126" s="3734"/>
      <c r="DJ126" s="3734"/>
      <c r="DK126" s="3734">
        <f ca="1">100-DK125</f>
        <v>36.197885719040933</v>
      </c>
      <c r="DM126" s="3734"/>
      <c r="DN126" s="3734"/>
      <c r="DO126" s="3734"/>
      <c r="DP126" s="3734">
        <f ca="1">100-DP125</f>
        <v>35.712943103651725</v>
      </c>
      <c r="DR126" s="3734"/>
      <c r="DS126" s="3734"/>
      <c r="DT126" s="3734"/>
      <c r="DU126" s="3734">
        <f ca="1">100-DU125</f>
        <v>35.29212650946269</v>
      </c>
      <c r="DW126" s="3734"/>
      <c r="DX126" s="3734"/>
      <c r="DY126" s="3734"/>
      <c r="DZ126" s="3734">
        <f ca="1">100-DZ125</f>
        <v>35.034052333667262</v>
      </c>
    </row>
    <row r="129" spans="79:130">
      <c r="CA129" s="3729"/>
      <c r="CB129" s="3378"/>
      <c r="CF129" s="3729"/>
      <c r="CG129" s="3378"/>
      <c r="CK129" s="3729"/>
      <c r="CL129" s="3378"/>
      <c r="CP129" s="3729"/>
      <c r="CQ129" s="3378"/>
      <c r="CU129" s="3729"/>
      <c r="CV129" s="3378"/>
      <c r="CZ129" s="3729"/>
      <c r="DA129" s="3378"/>
      <c r="DE129" s="3729"/>
      <c r="DF129" s="3378"/>
      <c r="DJ129" s="3729"/>
      <c r="DK129" s="3378"/>
      <c r="DO129" s="3729"/>
      <c r="DP129" s="3378"/>
      <c r="DT129" s="3729"/>
      <c r="DU129" s="3378"/>
      <c r="DY129" s="3729"/>
      <c r="DZ129" s="3378"/>
    </row>
    <row r="130" spans="79:130">
      <c r="CA130" s="3729"/>
      <c r="CB130" s="3378"/>
      <c r="CF130" s="3729"/>
      <c r="CG130" s="3378"/>
      <c r="CK130" s="3729"/>
      <c r="CL130" s="3378"/>
      <c r="CP130" s="3729"/>
      <c r="CQ130" s="3378"/>
      <c r="CU130" s="3729"/>
      <c r="CV130" s="3378"/>
      <c r="CZ130" s="3729"/>
      <c r="DA130" s="3378"/>
      <c r="DE130" s="3729"/>
      <c r="DF130" s="3378"/>
      <c r="DJ130" s="3729"/>
      <c r="DK130" s="3378"/>
      <c r="DO130" s="3729"/>
      <c r="DP130" s="3378"/>
      <c r="DT130" s="3729"/>
      <c r="DU130" s="3378"/>
      <c r="DY130" s="3729"/>
      <c r="DZ130" s="3378"/>
    </row>
  </sheetData>
  <protectedRanges>
    <protectedRange sqref="F2:F3" name="Range1"/>
  </protectedRanges>
  <mergeCells count="374">
    <mergeCell ref="DW83:EA83"/>
    <mergeCell ref="DW91:EA91"/>
    <mergeCell ref="DW98:EA98"/>
    <mergeCell ref="DW106:EA106"/>
    <mergeCell ref="DW113:EA113"/>
    <mergeCell ref="DW4:EA4"/>
    <mergeCell ref="DW5:EA5"/>
    <mergeCell ref="DW19:EA19"/>
    <mergeCell ref="DW32:EA32"/>
    <mergeCell ref="DW38:EA38"/>
    <mergeCell ref="DW44:EA44"/>
    <mergeCell ref="DW53:EA53"/>
    <mergeCell ref="DW68:EA68"/>
    <mergeCell ref="DW78:EA78"/>
    <mergeCell ref="DM83:DQ83"/>
    <mergeCell ref="DM91:DQ91"/>
    <mergeCell ref="DM98:DQ98"/>
    <mergeCell ref="DM106:DQ106"/>
    <mergeCell ref="DM113:DQ113"/>
    <mergeCell ref="DM4:DQ4"/>
    <mergeCell ref="DM5:DQ5"/>
    <mergeCell ref="DM19:DQ19"/>
    <mergeCell ref="DM32:DQ32"/>
    <mergeCell ref="DM38:DQ38"/>
    <mergeCell ref="DM44:DQ44"/>
    <mergeCell ref="DM53:DQ53"/>
    <mergeCell ref="DM68:DQ68"/>
    <mergeCell ref="DM78:DQ78"/>
    <mergeCell ref="CX4:DB4"/>
    <mergeCell ref="CX5:DB5"/>
    <mergeCell ref="CX19:DB19"/>
    <mergeCell ref="CX32:DB32"/>
    <mergeCell ref="CX38:DB38"/>
    <mergeCell ref="CX44:DB44"/>
    <mergeCell ref="CX106:DB106"/>
    <mergeCell ref="CX113:DB113"/>
    <mergeCell ref="CX53:DB53"/>
    <mergeCell ref="CX68:DB68"/>
    <mergeCell ref="CX78:DB78"/>
    <mergeCell ref="CX83:DB83"/>
    <mergeCell ref="CX91:DB91"/>
    <mergeCell ref="CX98:DB98"/>
    <mergeCell ref="BT38:BX38"/>
    <mergeCell ref="BT44:BX44"/>
    <mergeCell ref="BT53:BX53"/>
    <mergeCell ref="CD106:CH106"/>
    <mergeCell ref="CD113:CH113"/>
    <mergeCell ref="BJ5:BN5"/>
    <mergeCell ref="BO5:BS5"/>
    <mergeCell ref="BT68:BX68"/>
    <mergeCell ref="BT106:BX106"/>
    <mergeCell ref="BT78:BX78"/>
    <mergeCell ref="BT83:BX83"/>
    <mergeCell ref="BT91:BX91"/>
    <mergeCell ref="BT98:BX98"/>
    <mergeCell ref="BO19:BS19"/>
    <mergeCell ref="BY5:CC5"/>
    <mergeCell ref="CD38:CH38"/>
    <mergeCell ref="CD98:CH98"/>
    <mergeCell ref="CD44:CH44"/>
    <mergeCell ref="CD53:CH53"/>
    <mergeCell ref="CD68:CH68"/>
    <mergeCell ref="CD83:CH83"/>
    <mergeCell ref="CD78:CH78"/>
    <mergeCell ref="CD91:CH91"/>
    <mergeCell ref="BY113:CC113"/>
    <mergeCell ref="BE78:BI78"/>
    <mergeCell ref="BJ78:BN78"/>
    <mergeCell ref="BO78:BS78"/>
    <mergeCell ref="AZ78:BD78"/>
    <mergeCell ref="AZ83:BD83"/>
    <mergeCell ref="BO44:BS44"/>
    <mergeCell ref="AZ113:BD113"/>
    <mergeCell ref="BJ53:BN53"/>
    <mergeCell ref="BO53:BS53"/>
    <mergeCell ref="BJ68:BN68"/>
    <mergeCell ref="BE44:BI44"/>
    <mergeCell ref="BE53:BI53"/>
    <mergeCell ref="BO113:BS113"/>
    <mergeCell ref="BJ113:BN113"/>
    <mergeCell ref="BO83:BS83"/>
    <mergeCell ref="BE98:BI98"/>
    <mergeCell ref="BJ98:BN98"/>
    <mergeCell ref="BO98:BS98"/>
    <mergeCell ref="BJ83:BN83"/>
    <mergeCell ref="BE83:BI83"/>
    <mergeCell ref="BO68:BS68"/>
    <mergeCell ref="BE68:BI68"/>
    <mergeCell ref="BJ44:BN44"/>
    <mergeCell ref="AZ44:BD44"/>
    <mergeCell ref="AU113:AY113"/>
    <mergeCell ref="AK98:AO98"/>
    <mergeCell ref="AK113:AO113"/>
    <mergeCell ref="AP98:AT98"/>
    <mergeCell ref="AP113:AT113"/>
    <mergeCell ref="AK106:AO106"/>
    <mergeCell ref="AP106:AT106"/>
    <mergeCell ref="AK83:AO83"/>
    <mergeCell ref="BT113:BX113"/>
    <mergeCell ref="BE113:BI113"/>
    <mergeCell ref="BE106:BI106"/>
    <mergeCell ref="AZ98:BD98"/>
    <mergeCell ref="AZ106:BD106"/>
    <mergeCell ref="AP91:AT91"/>
    <mergeCell ref="AU91:AY91"/>
    <mergeCell ref="AZ91:BD91"/>
    <mergeCell ref="AU98:AY98"/>
    <mergeCell ref="AU106:AY106"/>
    <mergeCell ref="AK91:AO91"/>
    <mergeCell ref="BO106:BS106"/>
    <mergeCell ref="BE91:BI91"/>
    <mergeCell ref="BJ91:BN91"/>
    <mergeCell ref="BO91:BS91"/>
    <mergeCell ref="BJ106:BN106"/>
    <mergeCell ref="AZ53:BD53"/>
    <mergeCell ref="AZ68:BD68"/>
    <mergeCell ref="AZ38:BD38"/>
    <mergeCell ref="AU44:AY44"/>
    <mergeCell ref="AU53:AY53"/>
    <mergeCell ref="AU68:AY68"/>
    <mergeCell ref="AU32:AY32"/>
    <mergeCell ref="AZ32:BD32"/>
    <mergeCell ref="E5:F6"/>
    <mergeCell ref="E32:F33"/>
    <mergeCell ref="AZ5:BD5"/>
    <mergeCell ref="AK38:AO38"/>
    <mergeCell ref="L68:P68"/>
    <mergeCell ref="L44:P44"/>
    <mergeCell ref="V68:Z68"/>
    <mergeCell ref="Q53:U53"/>
    <mergeCell ref="V38:Z38"/>
    <mergeCell ref="V44:Z44"/>
    <mergeCell ref="V53:Z53"/>
    <mergeCell ref="AK53:AO53"/>
    <mergeCell ref="AA38:AE38"/>
    <mergeCell ref="D32:D33"/>
    <mergeCell ref="G44:K44"/>
    <mergeCell ref="Q68:U68"/>
    <mergeCell ref="Q38:U38"/>
    <mergeCell ref="AA68:AE68"/>
    <mergeCell ref="AF113:AJ113"/>
    <mergeCell ref="AF91:AJ91"/>
    <mergeCell ref="AF106:AJ106"/>
    <mergeCell ref="AA91:AE91"/>
    <mergeCell ref="AF32:AJ32"/>
    <mergeCell ref="AF44:AJ44"/>
    <mergeCell ref="AF53:AJ53"/>
    <mergeCell ref="AF68:AJ68"/>
    <mergeCell ref="AA44:AE44"/>
    <mergeCell ref="AF78:AJ78"/>
    <mergeCell ref="AA113:AE113"/>
    <mergeCell ref="AA98:AE98"/>
    <mergeCell ref="AF98:AJ98"/>
    <mergeCell ref="AA53:AE53"/>
    <mergeCell ref="AA32:AE32"/>
    <mergeCell ref="Q113:U113"/>
    <mergeCell ref="L113:P113"/>
    <mergeCell ref="V113:Z113"/>
    <mergeCell ref="Q98:U98"/>
    <mergeCell ref="BE5:BI5"/>
    <mergeCell ref="E44:F45"/>
    <mergeCell ref="D44:D45"/>
    <mergeCell ref="D53:D54"/>
    <mergeCell ref="E53:F54"/>
    <mergeCell ref="AP38:AT38"/>
    <mergeCell ref="AK19:AO19"/>
    <mergeCell ref="AP19:AT19"/>
    <mergeCell ref="V32:Z32"/>
    <mergeCell ref="G5:K5"/>
    <mergeCell ref="L5:P5"/>
    <mergeCell ref="V5:Z5"/>
    <mergeCell ref="AA5:AE5"/>
    <mergeCell ref="AP5:AT5"/>
    <mergeCell ref="AU5:AY5"/>
    <mergeCell ref="Q32:U32"/>
    <mergeCell ref="Q44:U44"/>
    <mergeCell ref="AK5:AO5"/>
    <mergeCell ref="Q5:U5"/>
    <mergeCell ref="AF5:AJ5"/>
    <mergeCell ref="AF38:AJ38"/>
    <mergeCell ref="V19:Z19"/>
    <mergeCell ref="G38:K38"/>
    <mergeCell ref="L38:P38"/>
    <mergeCell ref="D106:D107"/>
    <mergeCell ref="E106:F107"/>
    <mergeCell ref="D83:D84"/>
    <mergeCell ref="D78:D79"/>
    <mergeCell ref="E78:F79"/>
    <mergeCell ref="E83:F84"/>
    <mergeCell ref="Q83:U83"/>
    <mergeCell ref="V83:Z83"/>
    <mergeCell ref="D113:D114"/>
    <mergeCell ref="E113:F114"/>
    <mergeCell ref="G113:K113"/>
    <mergeCell ref="V78:Z78"/>
    <mergeCell ref="Q78:U78"/>
    <mergeCell ref="D91:D92"/>
    <mergeCell ref="E91:F92"/>
    <mergeCell ref="G91:K91"/>
    <mergeCell ref="L91:P91"/>
    <mergeCell ref="Q91:U91"/>
    <mergeCell ref="V91:Z91"/>
    <mergeCell ref="D98:D99"/>
    <mergeCell ref="E98:F99"/>
    <mergeCell ref="G98:K98"/>
    <mergeCell ref="G106:K106"/>
    <mergeCell ref="L106:P106"/>
    <mergeCell ref="Q106:U106"/>
    <mergeCell ref="V106:Z106"/>
    <mergeCell ref="AA106:AE106"/>
    <mergeCell ref="AP78:AT78"/>
    <mergeCell ref="L78:P78"/>
    <mergeCell ref="G78:K78"/>
    <mergeCell ref="G83:K83"/>
    <mergeCell ref="L83:P83"/>
    <mergeCell ref="AP83:AT83"/>
    <mergeCell ref="AA83:AE83"/>
    <mergeCell ref="AF83:AJ83"/>
    <mergeCell ref="AA78:AE78"/>
    <mergeCell ref="AK78:AO78"/>
    <mergeCell ref="V98:Z98"/>
    <mergeCell ref="L98:P98"/>
    <mergeCell ref="D68:D69"/>
    <mergeCell ref="E68:F69"/>
    <mergeCell ref="G19:K19"/>
    <mergeCell ref="L19:P19"/>
    <mergeCell ref="AA19:AE19"/>
    <mergeCell ref="AF19:AJ19"/>
    <mergeCell ref="AU78:AY78"/>
    <mergeCell ref="AU83:AY83"/>
    <mergeCell ref="G68:K68"/>
    <mergeCell ref="G53:K53"/>
    <mergeCell ref="L53:P53"/>
    <mergeCell ref="G32:K32"/>
    <mergeCell ref="L32:P32"/>
    <mergeCell ref="Q19:U19"/>
    <mergeCell ref="AP44:AT44"/>
    <mergeCell ref="AP53:AT53"/>
    <mergeCell ref="AP68:AT68"/>
    <mergeCell ref="AK32:AO32"/>
    <mergeCell ref="AU38:AY38"/>
    <mergeCell ref="AK68:AO68"/>
    <mergeCell ref="AK44:AO44"/>
    <mergeCell ref="AP32:AT32"/>
    <mergeCell ref="D38:D39"/>
    <mergeCell ref="E38:F39"/>
    <mergeCell ref="BY106:CC106"/>
    <mergeCell ref="BE38:BI38"/>
    <mergeCell ref="BJ38:BN38"/>
    <mergeCell ref="BO38:BS38"/>
    <mergeCell ref="BJ32:BN32"/>
    <mergeCell ref="BO32:BS32"/>
    <mergeCell ref="BE32:BI32"/>
    <mergeCell ref="AF4:AJ4"/>
    <mergeCell ref="AK4:AO4"/>
    <mergeCell ref="AP4:AT4"/>
    <mergeCell ref="AU4:AY4"/>
    <mergeCell ref="AZ4:BD4"/>
    <mergeCell ref="BE4:BI4"/>
    <mergeCell ref="BY78:CC78"/>
    <mergeCell ref="BY83:CC83"/>
    <mergeCell ref="BY91:CC91"/>
    <mergeCell ref="BY98:CC98"/>
    <mergeCell ref="BY68:CC68"/>
    <mergeCell ref="BY19:CC19"/>
    <mergeCell ref="BY32:CC32"/>
    <mergeCell ref="BY38:CC38"/>
    <mergeCell ref="BY53:CC53"/>
    <mergeCell ref="BY44:CC44"/>
    <mergeCell ref="AU19:AY19"/>
    <mergeCell ref="D4:F4"/>
    <mergeCell ref="G4:K4"/>
    <mergeCell ref="L4:P4"/>
    <mergeCell ref="Q4:U4"/>
    <mergeCell ref="V4:Z4"/>
    <mergeCell ref="AA4:AE4"/>
    <mergeCell ref="CI5:CM5"/>
    <mergeCell ref="CI19:CM19"/>
    <mergeCell ref="CI32:CM32"/>
    <mergeCell ref="CD32:CH32"/>
    <mergeCell ref="CD19:CH19"/>
    <mergeCell ref="CD5:CH5"/>
    <mergeCell ref="BJ4:BN4"/>
    <mergeCell ref="BO4:BS4"/>
    <mergeCell ref="BT4:BX4"/>
    <mergeCell ref="BY4:CC4"/>
    <mergeCell ref="CD4:CH4"/>
    <mergeCell ref="CI4:CM4"/>
    <mergeCell ref="BJ19:BN19"/>
    <mergeCell ref="BT5:BX5"/>
    <mergeCell ref="BT19:BX19"/>
    <mergeCell ref="BT32:BX32"/>
    <mergeCell ref="AZ19:BD19"/>
    <mergeCell ref="BE19:BI19"/>
    <mergeCell ref="CI38:CM38"/>
    <mergeCell ref="CI44:CM44"/>
    <mergeCell ref="CI53:CM53"/>
    <mergeCell ref="CI98:CM98"/>
    <mergeCell ref="CI106:CM106"/>
    <mergeCell ref="CI113:CM113"/>
    <mergeCell ref="CI68:CM68"/>
    <mergeCell ref="CI78:CM78"/>
    <mergeCell ref="CI83:CM83"/>
    <mergeCell ref="CI91:CM91"/>
    <mergeCell ref="CN53:CR53"/>
    <mergeCell ref="CN68:CR68"/>
    <mergeCell ref="CN106:CR106"/>
    <mergeCell ref="CN113:CR113"/>
    <mergeCell ref="CN78:CR78"/>
    <mergeCell ref="CN83:CR83"/>
    <mergeCell ref="CN91:CR91"/>
    <mergeCell ref="CN98:CR98"/>
    <mergeCell ref="CN4:CR4"/>
    <mergeCell ref="CN5:CR5"/>
    <mergeCell ref="CN19:CR19"/>
    <mergeCell ref="CN32:CR32"/>
    <mergeCell ref="CN38:CR38"/>
    <mergeCell ref="CN44:CR44"/>
    <mergeCell ref="CS53:CW53"/>
    <mergeCell ref="CS68:CW68"/>
    <mergeCell ref="CS106:CW106"/>
    <mergeCell ref="CS113:CW113"/>
    <mergeCell ref="CS78:CW78"/>
    <mergeCell ref="CS83:CW83"/>
    <mergeCell ref="CS91:CW91"/>
    <mergeCell ref="CS98:CW98"/>
    <mergeCell ref="CS4:CW4"/>
    <mergeCell ref="CS5:CW5"/>
    <mergeCell ref="CS19:CW19"/>
    <mergeCell ref="CS32:CW32"/>
    <mergeCell ref="CS38:CW38"/>
    <mergeCell ref="CS44:CW44"/>
    <mergeCell ref="DC106:DG106"/>
    <mergeCell ref="DC113:DG113"/>
    <mergeCell ref="DC53:DG53"/>
    <mergeCell ref="DC68:DG68"/>
    <mergeCell ref="DC78:DG78"/>
    <mergeCell ref="DC83:DG83"/>
    <mergeCell ref="DC91:DG91"/>
    <mergeCell ref="DC98:DG98"/>
    <mergeCell ref="DC4:DG4"/>
    <mergeCell ref="DC5:DG5"/>
    <mergeCell ref="DC19:DG19"/>
    <mergeCell ref="DC32:DG32"/>
    <mergeCell ref="DC38:DG38"/>
    <mergeCell ref="DC44:DG44"/>
    <mergeCell ref="DH83:DL83"/>
    <mergeCell ref="DH91:DL91"/>
    <mergeCell ref="DH98:DL98"/>
    <mergeCell ref="DH106:DL106"/>
    <mergeCell ref="DH113:DL113"/>
    <mergeCell ref="DH4:DL4"/>
    <mergeCell ref="DH5:DL5"/>
    <mergeCell ref="DH19:DL19"/>
    <mergeCell ref="DH32:DL32"/>
    <mergeCell ref="DH38:DL38"/>
    <mergeCell ref="DH44:DL44"/>
    <mergeCell ref="DH53:DL53"/>
    <mergeCell ref="DH68:DL68"/>
    <mergeCell ref="DH78:DL78"/>
    <mergeCell ref="DR83:DV83"/>
    <mergeCell ref="DR91:DV91"/>
    <mergeCell ref="DR98:DV98"/>
    <mergeCell ref="DR106:DV106"/>
    <mergeCell ref="DR113:DV113"/>
    <mergeCell ref="DR4:DV4"/>
    <mergeCell ref="DR5:DV5"/>
    <mergeCell ref="DR19:DV19"/>
    <mergeCell ref="DR32:DV32"/>
    <mergeCell ref="DR38:DV38"/>
    <mergeCell ref="DR44:DV44"/>
    <mergeCell ref="DR53:DV53"/>
    <mergeCell ref="DR68:DV68"/>
    <mergeCell ref="DR78:DV78"/>
  </mergeCells>
  <phoneticPr fontId="76" type="noConversion"/>
  <conditionalFormatting sqref="BW74 O74 J74 CQ74 BR74 T74 Y74 AD74 AI74 AN74 AS74 AX74 BC74 BH74 BM74 CB74 CG74 CL74">
    <cfRule type="cellIs" dxfId="116" priority="18" stopIfTrue="1" operator="notEqual">
      <formula>0</formula>
    </cfRule>
  </conditionalFormatting>
  <conditionalFormatting sqref="F3">
    <cfRule type="cellIs" dxfId="115" priority="19" stopIfTrue="1" operator="notEqual">
      <formula>$F$2</formula>
    </cfRule>
  </conditionalFormatting>
  <conditionalFormatting sqref="G4 L4 Q4 V4 AA4 AF4 AK4 AP4 AU4 AZ4 BE4 BJ4 BO4 BT4 BY4 CD4 CI4 D4 CN4 CS4">
    <cfRule type="cellIs" dxfId="114" priority="20" stopIfTrue="1" operator="notEqual">
      <formula>"ok"</formula>
    </cfRule>
  </conditionalFormatting>
  <conditionalFormatting sqref="DC4">
    <cfRule type="cellIs" dxfId="113" priority="17" stopIfTrue="1" operator="notEqual">
      <formula>"ok"</formula>
    </cfRule>
  </conditionalFormatting>
  <conditionalFormatting sqref="DH4">
    <cfRule type="cellIs" dxfId="112" priority="15" stopIfTrue="1" operator="notEqual">
      <formula>"ok"</formula>
    </cfRule>
  </conditionalFormatting>
  <conditionalFormatting sqref="CV74">
    <cfRule type="cellIs" dxfId="111" priority="13" stopIfTrue="1" operator="notEqual">
      <formula>0</formula>
    </cfRule>
  </conditionalFormatting>
  <conditionalFormatting sqref="DM4">
    <cfRule type="cellIs" dxfId="110" priority="12" stopIfTrue="1" operator="notEqual">
      <formula>"ok"</formula>
    </cfRule>
  </conditionalFormatting>
  <conditionalFormatting sqref="CX4">
    <cfRule type="cellIs" dxfId="109" priority="9" stopIfTrue="1" operator="notEqual">
      <formula>"ok"</formula>
    </cfRule>
  </conditionalFormatting>
  <conditionalFormatting sqref="DA74">
    <cfRule type="cellIs" dxfId="108" priority="8" stopIfTrue="1" operator="notEqual">
      <formula>0</formula>
    </cfRule>
  </conditionalFormatting>
  <conditionalFormatting sqref="DF74">
    <cfRule type="cellIs" dxfId="107" priority="7" stopIfTrue="1" operator="notEqual">
      <formula>0</formula>
    </cfRule>
  </conditionalFormatting>
  <conditionalFormatting sqref="DU74">
    <cfRule type="cellIs" dxfId="106" priority="5" stopIfTrue="1" operator="notEqual">
      <formula>0</formula>
    </cfRule>
  </conditionalFormatting>
  <conditionalFormatting sqref="DR4">
    <cfRule type="cellIs" dxfId="105" priority="6" stopIfTrue="1" operator="notEqual">
      <formula>"ok"</formula>
    </cfRule>
  </conditionalFormatting>
  <conditionalFormatting sqref="DK74">
    <cfRule type="cellIs" dxfId="104" priority="4" stopIfTrue="1" operator="notEqual">
      <formula>0</formula>
    </cfRule>
  </conditionalFormatting>
  <conditionalFormatting sqref="DZ74">
    <cfRule type="cellIs" dxfId="103" priority="2" stopIfTrue="1" operator="notEqual">
      <formula>0</formula>
    </cfRule>
  </conditionalFormatting>
  <conditionalFormatting sqref="DW4">
    <cfRule type="cellIs" dxfId="102" priority="3" stopIfTrue="1" operator="notEqual">
      <formula>"ok"</formula>
    </cfRule>
  </conditionalFormatting>
  <conditionalFormatting sqref="DP74">
    <cfRule type="cellIs" dxfId="101" priority="1" stopIfTrue="1" operator="notEqual">
      <formula>0</formula>
    </cfRule>
  </conditionalFormatting>
  <dataValidations disablePrompts="1" count="1">
    <dataValidation type="list" allowBlank="1" showInputMessage="1" showErrorMessage="1" sqref="F2:F3">
      <formula1>$B$2:$B$3</formula1>
    </dataValidation>
  </dataValidations>
  <hyperlinks>
    <hyperlink ref="E51" location="Sector1!C399" display="Follow this link to the detailed breakdown of nominal government consumption in the sector sheet"/>
  </hyperlinks>
  <printOptions horizontalCentered="1" verticalCentered="1"/>
  <pageMargins left="0.27559055118110237" right="0.31496062992125984" top="0.98425196850393704" bottom="0.98425196850393704" header="0.51181102362204722" footer="0.51181102362204722"/>
  <pageSetup paperSize="9"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tabColor indexed="43"/>
  </sheetPr>
  <dimension ref="A1:DJ318"/>
  <sheetViews>
    <sheetView showGridLines="0" zoomScale="85" zoomScaleNormal="85" workbookViewId="0">
      <pane xSplit="6" ySplit="15" topLeftCell="CQ178" activePane="bottomRight" state="frozen"/>
      <selection pane="topRight" activeCell="G1" sqref="G1"/>
      <selection pane="bottomLeft" activeCell="A16" sqref="A16"/>
      <selection pane="bottomRight" activeCell="DA211" sqref="DA211"/>
    </sheetView>
  </sheetViews>
  <sheetFormatPr defaultColWidth="7.6640625" defaultRowHeight="13.2"/>
  <cols>
    <col min="1" max="2" width="3.6640625" style="715" customWidth="1"/>
    <col min="3" max="4" width="3.6640625" style="720" customWidth="1"/>
    <col min="5" max="5" width="34" style="218" customWidth="1"/>
    <col min="6" max="6" width="7.6640625" style="744" customWidth="1"/>
    <col min="7" max="48" width="9.109375" style="218" customWidth="1"/>
    <col min="49" max="50" width="9.33203125" style="218" bestFit="1" customWidth="1"/>
    <col min="51" max="51" width="9.33203125" style="577" bestFit="1" customWidth="1"/>
    <col min="52" max="52" width="9.33203125" style="218" bestFit="1" customWidth="1"/>
    <col min="53" max="53" width="9.6640625" style="577" bestFit="1" customWidth="1"/>
    <col min="54" max="54" width="9.88671875" style="577" bestFit="1" customWidth="1"/>
    <col min="55" max="57" width="9.33203125" style="577" bestFit="1" customWidth="1"/>
    <col min="58" max="58" width="9.88671875" style="577" bestFit="1" customWidth="1"/>
    <col min="59" max="61" width="9.33203125" style="577" bestFit="1" customWidth="1"/>
    <col min="62" max="62" width="10.6640625" style="577" bestFit="1" customWidth="1"/>
    <col min="63" max="65" width="9.33203125" style="577" bestFit="1" customWidth="1"/>
    <col min="66" max="66" width="8.44140625" style="577" customWidth="1"/>
    <col min="67" max="69" width="8.33203125" style="218" customWidth="1"/>
    <col min="70" max="70" width="9.88671875" style="218" customWidth="1"/>
    <col min="71" max="97" width="8.33203125" style="218" customWidth="1"/>
    <col min="98" max="98" width="9.109375" style="218" customWidth="1"/>
    <col min="99" max="101" width="8.33203125" style="218" customWidth="1"/>
    <col min="102" max="102" width="9.109375" style="218" customWidth="1"/>
    <col min="103" max="105" width="8.33203125" style="218" customWidth="1"/>
    <col min="106" max="106" width="9.109375" style="218" customWidth="1"/>
    <col min="107" max="16384" width="7.6640625" style="218"/>
  </cols>
  <sheetData>
    <row r="1" spans="1:106">
      <c r="A1" s="1363" t="s">
        <v>820</v>
      </c>
      <c r="BS1" s="3959">
        <f t="shared" ref="BS1:BZ1" si="0">BS237</f>
        <v>2.548627860995234</v>
      </c>
      <c r="BT1" s="3959">
        <f t="shared" si="0"/>
        <v>1.8170451750430638</v>
      </c>
      <c r="BU1" s="3959">
        <f t="shared" si="0"/>
        <v>1.5958043813196987</v>
      </c>
      <c r="BV1" s="3959">
        <f t="shared" si="0"/>
        <v>1.2457830345892873</v>
      </c>
      <c r="BW1" s="3959">
        <f t="shared" si="0"/>
        <v>0.77627368442303446</v>
      </c>
      <c r="BX1" s="3959">
        <f t="shared" si="0"/>
        <v>0.29190027076264613</v>
      </c>
      <c r="BY1" s="3959">
        <f t="shared" si="0"/>
        <v>3.0129254501809477E-2</v>
      </c>
      <c r="BZ1" s="3959">
        <f t="shared" si="0"/>
        <v>-0.15757040486562568</v>
      </c>
      <c r="CA1" s="3959">
        <f t="shared" ref="CA1:CI1" si="1">CA237</f>
        <v>-0.67012581136308702</v>
      </c>
      <c r="CB1" s="3959">
        <f t="shared" si="1"/>
        <v>1.0036230793319945E-3</v>
      </c>
      <c r="CC1" s="3959">
        <f t="shared" si="1"/>
        <v>0.52810714751858612</v>
      </c>
      <c r="CD1" s="3959">
        <f t="shared" si="1"/>
        <v>0.94691448618329233</v>
      </c>
      <c r="CE1" s="3959">
        <f t="shared" si="1"/>
        <v>1.5772011738249159</v>
      </c>
      <c r="CF1" s="3959">
        <f t="shared" si="1"/>
        <v>1.3418305901244487</v>
      </c>
      <c r="CG1" s="3959">
        <f t="shared" si="1"/>
        <v>1.2394259290700704</v>
      </c>
      <c r="CH1" s="3959">
        <f t="shared" si="1"/>
        <v>1.2507094988200018</v>
      </c>
      <c r="CI1" s="3959">
        <f t="shared" si="1"/>
        <v>1.3620975508056521</v>
      </c>
      <c r="CJ1" s="3959">
        <f t="shared" ref="CJ1:CL1" si="2">CJ237</f>
        <v>1.5825385978985196</v>
      </c>
      <c r="CK1" s="3959">
        <f t="shared" si="2"/>
        <v>1.2499013495383293</v>
      </c>
      <c r="CL1" s="3959">
        <f t="shared" si="2"/>
        <v>1.4231060494300785</v>
      </c>
      <c r="CM1" s="3959">
        <f t="shared" ref="CM1:CP1" si="3">CM237</f>
        <v>1.2869861604912769</v>
      </c>
      <c r="CN1" s="3959">
        <f t="shared" si="3"/>
        <v>1.563733853278082</v>
      </c>
      <c r="CO1" s="3959">
        <f t="shared" si="3"/>
        <v>1.6164076582062537</v>
      </c>
      <c r="CP1" s="3959">
        <f t="shared" si="3"/>
        <v>1.3963500959990771</v>
      </c>
      <c r="CQ1" s="3959">
        <f t="shared" ref="CQ1:CT1" si="4">CQ237</f>
        <v>1.7918443522574545</v>
      </c>
      <c r="CR1" s="3959">
        <f t="shared" si="4"/>
        <v>1.5079814549957327</v>
      </c>
      <c r="CS1" s="3959">
        <f t="shared" si="4"/>
        <v>1.590695533779507</v>
      </c>
      <c r="CT1" s="3959">
        <f t="shared" si="4"/>
        <v>1.8562439033720457</v>
      </c>
      <c r="CU1" s="3932">
        <f t="shared" ref="CU1:CX1" si="5">CU237</f>
        <v>1.5941473980202181</v>
      </c>
      <c r="CV1" s="4041">
        <f t="shared" si="5"/>
        <v>1.6659785466855759</v>
      </c>
      <c r="CW1" s="4041">
        <f t="shared" si="5"/>
        <v>1.9652230048894603</v>
      </c>
      <c r="CX1" s="4042">
        <f t="shared" si="5"/>
        <v>1.9299120692455096</v>
      </c>
      <c r="CY1" s="3932">
        <f t="shared" ref="CY1:DB1" si="6">CY237</f>
        <v>1.9624694663192388</v>
      </c>
      <c r="CZ1" s="3932">
        <f t="shared" si="6"/>
        <v>1.8496177585345386</v>
      </c>
      <c r="DA1" s="3932">
        <f t="shared" si="6"/>
        <v>1.6755067620186415</v>
      </c>
      <c r="DB1" s="3933">
        <f t="shared" si="6"/>
        <v>1.4565337351311269</v>
      </c>
    </row>
    <row r="2" spans="1:106">
      <c r="A2" s="1363" t="s">
        <v>454</v>
      </c>
      <c r="AX2" s="1380">
        <f>AX233</f>
        <v>2.0993421144917193</v>
      </c>
      <c r="BB2" s="1380">
        <f>BB233</f>
        <v>2.5068145347431283</v>
      </c>
      <c r="BF2" s="1380">
        <f>BF233</f>
        <v>3.4445692412029558</v>
      </c>
      <c r="BJ2" s="1380">
        <f>BJ233</f>
        <v>0.78128846517628858</v>
      </c>
      <c r="BN2" s="1380">
        <f>BN233</f>
        <v>-2.2503574036552862</v>
      </c>
      <c r="BR2" s="1380">
        <f>BR233</f>
        <v>2.744078871224005</v>
      </c>
      <c r="BV2" s="1380">
        <f>BV233</f>
        <v>1.7985335231287536</v>
      </c>
      <c r="BW2" s="1602"/>
      <c r="BX2" s="1602"/>
      <c r="BY2" s="1602"/>
      <c r="BZ2" s="1380">
        <f>BZ233</f>
        <v>0.23439405866389507</v>
      </c>
      <c r="CD2" s="1380">
        <f>CD233</f>
        <v>0.20072612676355561</v>
      </c>
      <c r="CE2" s="1602"/>
      <c r="CF2" s="3810"/>
      <c r="CG2" s="1602"/>
      <c r="CH2" s="1380">
        <f>CH233</f>
        <v>1.3516863526754435</v>
      </c>
      <c r="CI2" s="1602"/>
      <c r="CJ2" s="1602"/>
      <c r="CK2" s="1602"/>
      <c r="CL2" s="1380">
        <f>CL233</f>
        <v>1.4043201869791773</v>
      </c>
      <c r="CO2" s="1602"/>
      <c r="CP2" s="1380">
        <f>CP233</f>
        <v>1.4660055794461897</v>
      </c>
      <c r="CS2" s="1602"/>
      <c r="CT2" s="1380">
        <f>CT233</f>
        <v>1.6866289512356758</v>
      </c>
      <c r="CU2" s="1602"/>
      <c r="CV2" s="1602"/>
      <c r="CW2" s="1602"/>
      <c r="CX2" s="1604">
        <f>CX233</f>
        <v>1.7893745315157901</v>
      </c>
      <c r="CY2" s="1602"/>
      <c r="CZ2" s="1602"/>
      <c r="DA2" s="1602"/>
      <c r="DB2" s="1604">
        <f>DB233</f>
        <v>1.7349789318533198</v>
      </c>
    </row>
    <row r="3" spans="1:106">
      <c r="A3" s="2816"/>
      <c r="AX3" s="1380">
        <f ca="1">AX234</f>
        <v>2.0942707880946045</v>
      </c>
      <c r="BB3" s="1380">
        <f ca="1">BB234</f>
        <v>2.5061414501407029</v>
      </c>
      <c r="BF3" s="1380">
        <f ca="1">BF234</f>
        <v>3.4489736482902629</v>
      </c>
      <c r="BJ3" s="1380">
        <f ca="1">BJ234</f>
        <v>0.78317200658668185</v>
      </c>
      <c r="BN3" s="1380">
        <f ca="1">BN234</f>
        <v>-2.2531733495413562</v>
      </c>
      <c r="BR3" s="1380">
        <f ca="1">BR234</f>
        <v>2.7442122598526453</v>
      </c>
      <c r="BV3" s="1380">
        <f ca="1">BV234</f>
        <v>1.7983021113364686</v>
      </c>
      <c r="BW3" s="1602"/>
      <c r="BX3" s="1602"/>
      <c r="BY3" s="1602"/>
      <c r="BZ3" s="1380">
        <f ca="1">BZ234</f>
        <v>0.23479676422475393</v>
      </c>
      <c r="CD3" s="1380">
        <f ca="1">CD234</f>
        <v>0.20065025715310014</v>
      </c>
      <c r="CE3" s="1602"/>
      <c r="CF3" s="3810"/>
      <c r="CG3" s="1602"/>
      <c r="CH3" s="1380">
        <f ca="1">CH234</f>
        <v>1.3514346509449666</v>
      </c>
      <c r="CI3" s="1602"/>
      <c r="CJ3" s="1602"/>
      <c r="CK3" s="1602"/>
      <c r="CL3" s="1380">
        <f ca="1">CL234</f>
        <v>1.4044950428195193</v>
      </c>
      <c r="CO3" s="1602"/>
      <c r="CP3" s="1380">
        <f ca="1">CP234</f>
        <v>1.4660051412683828</v>
      </c>
      <c r="CS3" s="1602"/>
      <c r="CT3" s="1380">
        <f ca="1">CT234</f>
        <v>1.6865077937902413</v>
      </c>
      <c r="CU3" s="1602"/>
      <c r="CV3" s="1602"/>
      <c r="CW3" s="1602" t="s">
        <v>2738</v>
      </c>
      <c r="CX3" s="1604">
        <f ca="1">CX234</f>
        <v>1.8083298569664805</v>
      </c>
      <c r="CY3" s="1602"/>
      <c r="CZ3" s="1602"/>
      <c r="DA3" s="1602" t="s">
        <v>2738</v>
      </c>
      <c r="DB3" s="1604">
        <f ca="1">DB234</f>
        <v>1.7329264820707522</v>
      </c>
    </row>
    <row r="4" spans="1:106">
      <c r="C4" s="4117" t="s">
        <v>4</v>
      </c>
      <c r="D4" s="4118"/>
      <c r="E4" s="4118"/>
      <c r="F4" s="4119"/>
      <c r="G4" s="4122">
        <f ca="1">OFFSET(InputY!$G$3,0,(COLUMN()-7)/4)</f>
        <v>1995</v>
      </c>
      <c r="H4" s="4123"/>
      <c r="I4" s="4123"/>
      <c r="J4" s="4123"/>
      <c r="K4" s="4117">
        <f ca="1">OFFSET(InputY!$G$3,0,(COLUMN()-7)/4)</f>
        <v>1996</v>
      </c>
      <c r="L4" s="4118"/>
      <c r="M4" s="4118"/>
      <c r="N4" s="4119"/>
      <c r="O4" s="4117">
        <f ca="1">OFFSET(InputY!$G$3,0,(COLUMN()-7)/4)</f>
        <v>1997</v>
      </c>
      <c r="P4" s="4118"/>
      <c r="Q4" s="4118"/>
      <c r="R4" s="4119"/>
      <c r="S4" s="4117">
        <f ca="1">OFFSET(InputY!$G$3,0,(COLUMN()-7)/4)</f>
        <v>1998</v>
      </c>
      <c r="T4" s="4118"/>
      <c r="U4" s="4118"/>
      <c r="V4" s="4119"/>
      <c r="W4" s="4117">
        <f ca="1">OFFSET(InputY!$G$3,0,(COLUMN()-7)/4)</f>
        <v>1999</v>
      </c>
      <c r="X4" s="4118"/>
      <c r="Y4" s="4118"/>
      <c r="Z4" s="4119"/>
      <c r="AA4" s="4117">
        <f ca="1">OFFSET(InputY!$G$3,0,(COLUMN()-7)/4)</f>
        <v>2000</v>
      </c>
      <c r="AB4" s="4118"/>
      <c r="AC4" s="4118"/>
      <c r="AD4" s="4119"/>
      <c r="AE4" s="4117">
        <f ca="1">OFFSET(InputY!$G$3,0,(COLUMN()-7)/4)</f>
        <v>2001</v>
      </c>
      <c r="AF4" s="4118"/>
      <c r="AG4" s="4118"/>
      <c r="AH4" s="4119"/>
      <c r="AI4" s="4117">
        <f ca="1">OFFSET(InputY!$G$3,0,(COLUMN()-7)/4)</f>
        <v>2002</v>
      </c>
      <c r="AJ4" s="4118"/>
      <c r="AK4" s="4118"/>
      <c r="AL4" s="4119"/>
      <c r="AM4" s="4117">
        <f ca="1">OFFSET(InputY!$G$3,0,(COLUMN()-7)/4)</f>
        <v>2003</v>
      </c>
      <c r="AN4" s="4118"/>
      <c r="AO4" s="4118"/>
      <c r="AP4" s="4119"/>
      <c r="AQ4" s="4117">
        <f ca="1">OFFSET(InputY!$G$3,0,(COLUMN()-7)/4)</f>
        <v>2004</v>
      </c>
      <c r="AR4" s="4118"/>
      <c r="AS4" s="4118"/>
      <c r="AT4" s="4119"/>
      <c r="AU4" s="4117">
        <f ca="1">OFFSET(InputY!$G$3,0,(COLUMN()-7)/4)</f>
        <v>2005</v>
      </c>
      <c r="AV4" s="4118"/>
      <c r="AW4" s="4118"/>
      <c r="AX4" s="4119"/>
      <c r="AY4" s="4117">
        <f ca="1">OFFSET(InputY!$G$3,0,(COLUMN()-7)/4)</f>
        <v>2006</v>
      </c>
      <c r="AZ4" s="4118"/>
      <c r="BA4" s="4118"/>
      <c r="BB4" s="4119"/>
      <c r="BC4" s="4117">
        <f ca="1">OFFSET(InputY!$G$3,0,(COLUMN()-7)/4)</f>
        <v>2007</v>
      </c>
      <c r="BD4" s="4118"/>
      <c r="BE4" s="4118"/>
      <c r="BF4" s="4119"/>
      <c r="BG4" s="4117">
        <f ca="1">OFFSET(InputY!$G$3,0,(COLUMN()-7)/4)</f>
        <v>2008</v>
      </c>
      <c r="BH4" s="4118"/>
      <c r="BI4" s="4118"/>
      <c r="BJ4" s="4119"/>
      <c r="BK4" s="4117">
        <f ca="1">OFFSET(InputY!$G$3,0,(COLUMN()-7)/4)</f>
        <v>2009</v>
      </c>
      <c r="BL4" s="4118"/>
      <c r="BM4" s="4118"/>
      <c r="BN4" s="4119"/>
      <c r="BO4" s="4117">
        <f ca="1">OFFSET(InputY!$G$3,0,(COLUMN()-7)/4)</f>
        <v>2010</v>
      </c>
      <c r="BP4" s="4118"/>
      <c r="BQ4" s="4118"/>
      <c r="BR4" s="4119"/>
      <c r="BS4" s="4117">
        <f ca="1">OFFSET(InputY!$G$3,0,(COLUMN()-7)/4)</f>
        <v>2011</v>
      </c>
      <c r="BT4" s="4118"/>
      <c r="BU4" s="4118"/>
      <c r="BV4" s="4119"/>
      <c r="BW4" s="4117">
        <f ca="1">OFFSET(InputY!$G$3,0,(COLUMN()-7)/4)</f>
        <v>2012</v>
      </c>
      <c r="BX4" s="4118"/>
      <c r="BY4" s="4118"/>
      <c r="BZ4" s="4119"/>
      <c r="CA4" s="4117">
        <f ca="1">OFFSET(InputY!$G$3,0,(COLUMN()-7)/4)</f>
        <v>2013</v>
      </c>
      <c r="CB4" s="4118"/>
      <c r="CC4" s="4118"/>
      <c r="CD4" s="4119"/>
      <c r="CE4" s="4117">
        <f ca="1">OFFSET(InputY!$G$3,0,(COLUMN()-7)/4)</f>
        <v>2014</v>
      </c>
      <c r="CF4" s="4118"/>
      <c r="CG4" s="4118"/>
      <c r="CH4" s="4119"/>
      <c r="CI4" s="4117">
        <f ca="1">OFFSET(InputY!$G$3,0,(COLUMN()-7)/4)</f>
        <v>2015</v>
      </c>
      <c r="CJ4" s="4118"/>
      <c r="CK4" s="4118"/>
      <c r="CL4" s="4119"/>
      <c r="CM4" s="4117">
        <f ca="1">OFFSET(InputY!$G$3,0,(COLUMN()-7)/4)</f>
        <v>2016</v>
      </c>
      <c r="CN4" s="4118"/>
      <c r="CO4" s="4118"/>
      <c r="CP4" s="4119"/>
      <c r="CQ4" s="4117">
        <f ca="1">OFFSET(InputY!$G$3,0,(COLUMN()-7)/4)</f>
        <v>2017</v>
      </c>
      <c r="CR4" s="4118"/>
      <c r="CS4" s="4118"/>
      <c r="CT4" s="4119"/>
      <c r="CU4" s="4117">
        <f ca="1">OFFSET(InputY!$G$3,0,(COLUMN()-7)/4)</f>
        <v>2018</v>
      </c>
      <c r="CV4" s="4118"/>
      <c r="CW4" s="4118"/>
      <c r="CX4" s="4119"/>
      <c r="CY4" s="4117">
        <f ca="1">OFFSET(InputY!$G$3,0,(COLUMN()-7)/4)</f>
        <v>2019</v>
      </c>
      <c r="CZ4" s="4118"/>
      <c r="DA4" s="4118"/>
      <c r="DB4" s="4119"/>
    </row>
    <row r="5" spans="1:106" s="749" customFormat="1" ht="12.75" customHeight="1">
      <c r="A5" s="714"/>
      <c r="B5" s="714"/>
      <c r="C5" s="1456"/>
      <c r="D5" s="790"/>
      <c r="E5" s="791" t="s">
        <v>115</v>
      </c>
      <c r="F5" s="792"/>
      <c r="G5" s="1484" t="s">
        <v>364</v>
      </c>
      <c r="H5" s="1485" t="s">
        <v>671</v>
      </c>
      <c r="I5" s="1485" t="s">
        <v>672</v>
      </c>
      <c r="J5" s="1486" t="s">
        <v>673</v>
      </c>
      <c r="K5" s="1484" t="s">
        <v>364</v>
      </c>
      <c r="L5" s="1485" t="s">
        <v>671</v>
      </c>
      <c r="M5" s="1485" t="s">
        <v>672</v>
      </c>
      <c r="N5" s="1486" t="s">
        <v>673</v>
      </c>
      <c r="O5" s="1484" t="s">
        <v>364</v>
      </c>
      <c r="P5" s="1485" t="s">
        <v>671</v>
      </c>
      <c r="Q5" s="1485" t="s">
        <v>672</v>
      </c>
      <c r="R5" s="1486" t="s">
        <v>673</v>
      </c>
      <c r="S5" s="1484" t="s">
        <v>364</v>
      </c>
      <c r="T5" s="1485" t="s">
        <v>671</v>
      </c>
      <c r="U5" s="1485" t="s">
        <v>672</v>
      </c>
      <c r="V5" s="1486" t="s">
        <v>673</v>
      </c>
      <c r="W5" s="1484" t="s">
        <v>364</v>
      </c>
      <c r="X5" s="1485" t="s">
        <v>671</v>
      </c>
      <c r="Y5" s="1485" t="s">
        <v>672</v>
      </c>
      <c r="Z5" s="1486" t="s">
        <v>673</v>
      </c>
      <c r="AA5" s="1484" t="s">
        <v>364</v>
      </c>
      <c r="AB5" s="1485" t="s">
        <v>671</v>
      </c>
      <c r="AC5" s="1485" t="s">
        <v>672</v>
      </c>
      <c r="AD5" s="1486" t="s">
        <v>673</v>
      </c>
      <c r="AE5" s="1484" t="s">
        <v>364</v>
      </c>
      <c r="AF5" s="1485" t="s">
        <v>671</v>
      </c>
      <c r="AG5" s="1485" t="s">
        <v>672</v>
      </c>
      <c r="AH5" s="1486" t="s">
        <v>673</v>
      </c>
      <c r="AI5" s="1484" t="s">
        <v>364</v>
      </c>
      <c r="AJ5" s="1485" t="s">
        <v>671</v>
      </c>
      <c r="AK5" s="1485" t="s">
        <v>672</v>
      </c>
      <c r="AL5" s="1486" t="s">
        <v>673</v>
      </c>
      <c r="AM5" s="1484" t="s">
        <v>364</v>
      </c>
      <c r="AN5" s="1485" t="s">
        <v>671</v>
      </c>
      <c r="AO5" s="1485" t="s">
        <v>672</v>
      </c>
      <c r="AP5" s="1486" t="s">
        <v>673</v>
      </c>
      <c r="AQ5" s="1484" t="s">
        <v>364</v>
      </c>
      <c r="AR5" s="1485" t="s">
        <v>671</v>
      </c>
      <c r="AS5" s="1485" t="s">
        <v>672</v>
      </c>
      <c r="AT5" s="1486" t="s">
        <v>673</v>
      </c>
      <c r="AU5" s="1484" t="s">
        <v>364</v>
      </c>
      <c r="AV5" s="1485" t="s">
        <v>671</v>
      </c>
      <c r="AW5" s="1485" t="s">
        <v>672</v>
      </c>
      <c r="AX5" s="1486" t="s">
        <v>673</v>
      </c>
      <c r="AY5" s="1484" t="s">
        <v>364</v>
      </c>
      <c r="AZ5" s="1485" t="s">
        <v>671</v>
      </c>
      <c r="BA5" s="1485" t="s">
        <v>672</v>
      </c>
      <c r="BB5" s="1485" t="s">
        <v>673</v>
      </c>
      <c r="BC5" s="1485" t="s">
        <v>364</v>
      </c>
      <c r="BD5" s="1485" t="s">
        <v>671</v>
      </c>
      <c r="BE5" s="1485" t="s">
        <v>672</v>
      </c>
      <c r="BF5" s="1485" t="s">
        <v>673</v>
      </c>
      <c r="BG5" s="1485" t="s">
        <v>364</v>
      </c>
      <c r="BH5" s="1485" t="s">
        <v>671</v>
      </c>
      <c r="BI5" s="1485" t="s">
        <v>672</v>
      </c>
      <c r="BJ5" s="1485" t="s">
        <v>673</v>
      </c>
      <c r="BK5" s="1485" t="s">
        <v>364</v>
      </c>
      <c r="BL5" s="1485" t="s">
        <v>671</v>
      </c>
      <c r="BM5" s="1485" t="s">
        <v>672</v>
      </c>
      <c r="BN5" s="1485" t="s">
        <v>673</v>
      </c>
      <c r="BO5" s="1485" t="s">
        <v>364</v>
      </c>
      <c r="BP5" s="1485" t="s">
        <v>671</v>
      </c>
      <c r="BQ5" s="1485" t="s">
        <v>672</v>
      </c>
      <c r="BR5" s="1485" t="s">
        <v>673</v>
      </c>
      <c r="BS5" s="1485" t="s">
        <v>364</v>
      </c>
      <c r="BT5" s="1485" t="s">
        <v>671</v>
      </c>
      <c r="BU5" s="1485" t="s">
        <v>672</v>
      </c>
      <c r="BV5" s="1485" t="s">
        <v>673</v>
      </c>
      <c r="BW5" s="1485" t="s">
        <v>364</v>
      </c>
      <c r="BX5" s="1485" t="s">
        <v>671</v>
      </c>
      <c r="BY5" s="1485" t="s">
        <v>672</v>
      </c>
      <c r="BZ5" s="1485" t="s">
        <v>673</v>
      </c>
      <c r="CA5" s="1485" t="s">
        <v>364</v>
      </c>
      <c r="CB5" s="1485" t="s">
        <v>671</v>
      </c>
      <c r="CC5" s="1485" t="s">
        <v>672</v>
      </c>
      <c r="CD5" s="1485" t="s">
        <v>673</v>
      </c>
      <c r="CE5" s="1485" t="s">
        <v>364</v>
      </c>
      <c r="CF5" s="1485" t="s">
        <v>671</v>
      </c>
      <c r="CG5" s="1485" t="s">
        <v>672</v>
      </c>
      <c r="CH5" s="1485" t="s">
        <v>673</v>
      </c>
      <c r="CI5" s="1485" t="s">
        <v>364</v>
      </c>
      <c r="CJ5" s="1485" t="s">
        <v>671</v>
      </c>
      <c r="CK5" s="1485" t="s">
        <v>672</v>
      </c>
      <c r="CL5" s="1485" t="s">
        <v>673</v>
      </c>
      <c r="CM5" s="1485" t="s">
        <v>364</v>
      </c>
      <c r="CN5" s="1485" t="s">
        <v>671</v>
      </c>
      <c r="CO5" s="1485" t="s">
        <v>672</v>
      </c>
      <c r="CP5" s="1485" t="s">
        <v>673</v>
      </c>
      <c r="CQ5" s="1485" t="s">
        <v>364</v>
      </c>
      <c r="CR5" s="1485" t="s">
        <v>671</v>
      </c>
      <c r="CS5" s="1485" t="s">
        <v>672</v>
      </c>
      <c r="CT5" s="1485" t="s">
        <v>673</v>
      </c>
      <c r="CU5" s="1485" t="s">
        <v>364</v>
      </c>
      <c r="CV5" s="1485" t="s">
        <v>671</v>
      </c>
      <c r="CW5" s="1485" t="s">
        <v>672</v>
      </c>
      <c r="CX5" s="1485" t="s">
        <v>673</v>
      </c>
      <c r="CY5" s="1485" t="s">
        <v>364</v>
      </c>
      <c r="CZ5" s="1485" t="s">
        <v>671</v>
      </c>
      <c r="DA5" s="1485" t="s">
        <v>672</v>
      </c>
      <c r="DB5" s="1485" t="s">
        <v>673</v>
      </c>
    </row>
    <row r="6" spans="1:106">
      <c r="B6" s="715">
        <v>15</v>
      </c>
      <c r="C6" s="810"/>
      <c r="D6" s="739"/>
      <c r="E6" s="781" t="s">
        <v>1534</v>
      </c>
      <c r="F6" s="811"/>
      <c r="G6" s="2818"/>
      <c r="H6" s="2818">
        <f t="shared" ref="H6:BD6" si="7">+H43</f>
        <v>0.8503315280659951</v>
      </c>
      <c r="I6" s="2818">
        <f t="shared" si="7"/>
        <v>0.81304893350062635</v>
      </c>
      <c r="J6" s="2818">
        <f t="shared" si="7"/>
        <v>0.66709812316423367</v>
      </c>
      <c r="K6" s="2818">
        <f t="shared" si="7"/>
        <v>0.30413926116412693</v>
      </c>
      <c r="L6" s="2818">
        <f t="shared" si="7"/>
        <v>0.65573770491804684</v>
      </c>
      <c r="M6" s="2818">
        <f t="shared" si="7"/>
        <v>0.46288359334818452</v>
      </c>
      <c r="N6" s="2818">
        <f t="shared" si="7"/>
        <v>0.11214041930764918</v>
      </c>
      <c r="O6" s="2818">
        <f t="shared" si="7"/>
        <v>0.32386889397553187</v>
      </c>
      <c r="P6" s="2818">
        <f t="shared" si="7"/>
        <v>0.781572368261374</v>
      </c>
      <c r="Q6" s="2818">
        <f t="shared" si="7"/>
        <v>0.61173863827941322</v>
      </c>
      <c r="R6" s="2818">
        <f t="shared" si="7"/>
        <v>0.33273488928786676</v>
      </c>
      <c r="S6" s="2818">
        <f t="shared" si="7"/>
        <v>0.75869637829841796</v>
      </c>
      <c r="T6" s="2818">
        <f t="shared" si="7"/>
        <v>1.0371282439856078</v>
      </c>
      <c r="U6" s="2818">
        <f t="shared" si="7"/>
        <v>0.73353644246543226</v>
      </c>
      <c r="V6" s="2818">
        <f t="shared" si="7"/>
        <v>0.16052858106694323</v>
      </c>
      <c r="W6" s="2818">
        <f t="shared" si="7"/>
        <v>5.1100994146602297E-2</v>
      </c>
      <c r="X6" s="2818">
        <f t="shared" si="7"/>
        <v>0.50842735757068436</v>
      </c>
      <c r="Y6" s="2818">
        <f t="shared" si="7"/>
        <v>0.73452983161248486</v>
      </c>
      <c r="Z6" s="2818">
        <f t="shared" si="7"/>
        <v>0.48382288872075296</v>
      </c>
      <c r="AA6" s="2818">
        <f t="shared" si="7"/>
        <v>0.87627219204966522</v>
      </c>
      <c r="AB6" s="2818">
        <f t="shared" si="7"/>
        <v>0.67637877211237374</v>
      </c>
      <c r="AC6" s="2818">
        <f t="shared" si="7"/>
        <v>0.86057746320638007</v>
      </c>
      <c r="AD6" s="2818">
        <f t="shared" si="7"/>
        <v>0.90447335590804201</v>
      </c>
      <c r="AE6" s="2818">
        <f t="shared" si="7"/>
        <v>0.17662383538659121</v>
      </c>
      <c r="AF6" s="2818">
        <f t="shared" si="7"/>
        <v>-0.14986556177547516</v>
      </c>
      <c r="AG6" s="2818">
        <f t="shared" si="7"/>
        <v>-0.48779411115524862</v>
      </c>
      <c r="AH6" s="2818">
        <f t="shared" si="7"/>
        <v>-0.41920816235998526</v>
      </c>
      <c r="AI6" s="2818">
        <f t="shared" si="7"/>
        <v>0.4009265858873734</v>
      </c>
      <c r="AJ6" s="2818">
        <f t="shared" si="7"/>
        <v>0.35939302511314164</v>
      </c>
      <c r="AK6" s="2818">
        <f t="shared" si="7"/>
        <v>0.46863256554225963</v>
      </c>
      <c r="AL6" s="2818">
        <f t="shared" si="7"/>
        <v>0.36083608360835129</v>
      </c>
      <c r="AM6" s="2818">
        <f t="shared" si="7"/>
        <v>-0.27842329109483144</v>
      </c>
      <c r="AN6" s="2818">
        <f t="shared" si="7"/>
        <v>-0.17587442566009415</v>
      </c>
      <c r="AO6" s="2818">
        <f t="shared" si="7"/>
        <v>0.22023036095757398</v>
      </c>
      <c r="AP6" s="2818">
        <f t="shared" si="7"/>
        <v>0.89656536357043404</v>
      </c>
      <c r="AQ6" s="2818">
        <f t="shared" si="7"/>
        <v>0.54448437329848165</v>
      </c>
      <c r="AR6" s="2818">
        <f t="shared" si="7"/>
        <v>0.1386331636521243</v>
      </c>
      <c r="AS6" s="2818">
        <f t="shared" si="7"/>
        <v>8.4362629518275334E-2</v>
      </c>
      <c r="AT6" s="2818">
        <f t="shared" si="7"/>
        <v>0.4841359038644244</v>
      </c>
      <c r="AU6" s="2818">
        <f t="shared" si="7"/>
        <v>8.6036307321690764E-2</v>
      </c>
      <c r="AV6" s="2818">
        <f t="shared" si="7"/>
        <v>0.26218516289866489</v>
      </c>
      <c r="AW6" s="2818">
        <f t="shared" si="7"/>
        <v>0.67303982509538951</v>
      </c>
      <c r="AX6" s="2818">
        <f t="shared" si="7"/>
        <v>0.72815533980581382</v>
      </c>
      <c r="AY6" s="2818">
        <f t="shared" si="7"/>
        <v>0.24941872754173922</v>
      </c>
      <c r="AZ6" s="2818">
        <f t="shared" si="7"/>
        <v>0.12650754828371635</v>
      </c>
      <c r="BA6" s="2818">
        <f t="shared" si="7"/>
        <v>0.10950134770888464</v>
      </c>
      <c r="BB6" s="2818">
        <f t="shared" si="7"/>
        <v>0.47749263777872031</v>
      </c>
      <c r="BC6" s="2818">
        <f t="shared" si="7"/>
        <v>0.64479661691125845</v>
      </c>
      <c r="BD6" s="2818">
        <f t="shared" si="7"/>
        <v>0.48049921996877742</v>
      </c>
      <c r="BE6" s="2818">
        <f t="shared" ref="BE6:BN6" si="8">+BE43</f>
        <v>0.5009729640210514</v>
      </c>
      <c r="BF6" s="2818">
        <f t="shared" si="8"/>
        <v>0.50877482079592085</v>
      </c>
      <c r="BG6" s="2818">
        <f t="shared" si="8"/>
        <v>1.0042012501280784</v>
      </c>
      <c r="BH6" s="2942">
        <f t="shared" si="8"/>
        <v>0.32667140103479486</v>
      </c>
      <c r="BI6" s="2942">
        <f t="shared" si="8"/>
        <v>-0.15774784613517001</v>
      </c>
      <c r="BJ6" s="2942">
        <f t="shared" si="8"/>
        <v>-0.9520337060443973</v>
      </c>
      <c r="BK6" s="2942">
        <f t="shared" si="8"/>
        <v>-0.25563417726696125</v>
      </c>
      <c r="BL6" s="2942">
        <f t="shared" si="8"/>
        <v>0.787320853751039</v>
      </c>
      <c r="BM6" s="2942">
        <f t="shared" si="8"/>
        <v>1.2653335232011953</v>
      </c>
      <c r="BN6" s="2942">
        <f t="shared" si="8"/>
        <v>0.99640410614916242</v>
      </c>
      <c r="BO6" s="2942">
        <f t="shared" ref="BO6:BV6" si="9">+BO43</f>
        <v>0.76578816509198511</v>
      </c>
      <c r="BP6" s="2942">
        <f t="shared" si="9"/>
        <v>0.29609159099883708</v>
      </c>
      <c r="BQ6" s="2942">
        <f t="shared" si="9"/>
        <v>-3.9362330249959054E-2</v>
      </c>
      <c r="BR6" s="2942">
        <f t="shared" si="9"/>
        <v>0.57097853908250062</v>
      </c>
      <c r="BS6" s="2942">
        <f t="shared" si="9"/>
        <v>-0.36413469068128368</v>
      </c>
      <c r="BT6" s="2942">
        <f t="shared" si="9"/>
        <v>-9.8243407867237842E-3</v>
      </c>
      <c r="BU6" s="2942">
        <f t="shared" si="9"/>
        <v>0.32030497750004105</v>
      </c>
      <c r="BV6" s="2942">
        <f t="shared" si="9"/>
        <v>0</v>
      </c>
      <c r="BW6" s="2942">
        <f t="shared" ref="BW6:CD6" si="10">+BW43</f>
        <v>0.3192823003995926</v>
      </c>
      <c r="BX6" s="2942">
        <f t="shared" si="10"/>
        <v>-3.5145953333981517E-2</v>
      </c>
      <c r="BY6" s="2942">
        <f t="shared" si="10"/>
        <v>0.26173408598160197</v>
      </c>
      <c r="BZ6" s="2942">
        <f t="shared" si="10"/>
        <v>0.30780619898305162</v>
      </c>
      <c r="CA6" s="2942">
        <f>+CA43</f>
        <v>6.4091359319462526E-2</v>
      </c>
      <c r="CB6" s="2942">
        <f t="shared" si="10"/>
        <v>0.23873296844068026</v>
      </c>
      <c r="CC6" s="2942">
        <f t="shared" ref="CC6" si="11">+CC43</f>
        <v>0.35627843934553649</v>
      </c>
      <c r="CD6" s="2942">
        <f t="shared" si="10"/>
        <v>-0.11769472689034943</v>
      </c>
      <c r="CE6" s="2942">
        <f>+CE43</f>
        <v>0.20669139236593193</v>
      </c>
      <c r="CF6" s="2942">
        <f t="shared" ref="CF6:CH6" si="12">+CF43</f>
        <v>2.8915662650597085E-2</v>
      </c>
      <c r="CG6" s="2942">
        <f t="shared" si="12"/>
        <v>0.22547697051453763</v>
      </c>
      <c r="CH6" s="2942">
        <f t="shared" si="12"/>
        <v>0.47685888438095958</v>
      </c>
      <c r="CI6" s="2942">
        <f>+CI43</f>
        <v>5.1669696679734756E-2</v>
      </c>
      <c r="CJ6" s="2942">
        <f t="shared" ref="CJ6:CL6" si="13">+CJ43</f>
        <v>0.22187368501589422</v>
      </c>
      <c r="CK6" s="2942">
        <f t="shared" si="13"/>
        <v>0.19084697889231172</v>
      </c>
      <c r="CL6" s="2942">
        <f t="shared" si="13"/>
        <v>0.40382490761552425</v>
      </c>
      <c r="CM6" s="2942">
        <f>+CM43</f>
        <v>0.55018023145512185</v>
      </c>
      <c r="CN6" s="2942">
        <f t="shared" ref="CN6:CP6" si="14">+CN43</f>
        <v>0.65660377358489619</v>
      </c>
      <c r="CO6" s="2942">
        <f t="shared" si="14"/>
        <v>0.30179200719802068</v>
      </c>
      <c r="CP6" s="2942">
        <f t="shared" si="14"/>
        <v>-1.8688444934467086E-3</v>
      </c>
      <c r="CQ6" s="2942">
        <f>+CQ43</f>
        <v>0.35321821036107259</v>
      </c>
      <c r="CR6" s="2942">
        <f t="shared" ref="CR6:CS6" si="15">+CR43</f>
        <v>0.42460472652101622</v>
      </c>
      <c r="CS6" s="2942">
        <f t="shared" si="15"/>
        <v>0.20213259156236507</v>
      </c>
      <c r="CT6" s="2942">
        <f t="shared" ref="CT6" si="16">+CT43</f>
        <v>0.14435355516897452</v>
      </c>
      <c r="CU6" s="2942">
        <f t="shared" ref="CU6:CX6" si="17">+CU43</f>
        <v>0.53</v>
      </c>
      <c r="CV6" s="2942">
        <f t="shared" si="17"/>
        <v>0.53</v>
      </c>
      <c r="CW6" s="2942">
        <f t="shared" si="17"/>
        <v>0.53</v>
      </c>
      <c r="CX6" s="2942">
        <f t="shared" si="17"/>
        <v>0.53</v>
      </c>
      <c r="CY6" s="2942">
        <f t="shared" ref="CY6:DB6" si="18">+CY43</f>
        <v>0.38500000000000001</v>
      </c>
      <c r="CZ6" s="2942">
        <f t="shared" si="18"/>
        <v>0.38</v>
      </c>
      <c r="DA6" s="2942">
        <f t="shared" si="18"/>
        <v>0.38</v>
      </c>
      <c r="DB6" s="2942">
        <f t="shared" si="18"/>
        <v>0.38</v>
      </c>
    </row>
    <row r="7" spans="1:106">
      <c r="B7" s="715">
        <v>16</v>
      </c>
      <c r="C7" s="975"/>
      <c r="D7" s="724"/>
      <c r="E7" s="221" t="s">
        <v>674</v>
      </c>
      <c r="F7" s="759"/>
      <c r="G7" s="2819"/>
      <c r="H7" s="2819">
        <f t="shared" ref="H7:BD7" si="19">+H62</f>
        <v>0.44689083873781232</v>
      </c>
      <c r="I7" s="2819">
        <f t="shared" si="19"/>
        <v>0.41777440182300118</v>
      </c>
      <c r="J7" s="2819">
        <f t="shared" si="19"/>
        <v>0.44845472228227656</v>
      </c>
      <c r="K7" s="2819">
        <f t="shared" si="19"/>
        <v>0.28508418051744755</v>
      </c>
      <c r="L7" s="2819">
        <f t="shared" si="19"/>
        <v>0.34863763140957627</v>
      </c>
      <c r="M7" s="2819">
        <f t="shared" si="19"/>
        <v>0.20845582340049962</v>
      </c>
      <c r="N7" s="2819">
        <f t="shared" si="19"/>
        <v>0.22402389588220828</v>
      </c>
      <c r="O7" s="2819">
        <f t="shared" si="19"/>
        <v>-6.9185737094190625E-2</v>
      </c>
      <c r="P7" s="2819">
        <f t="shared" si="19"/>
        <v>0.17042126005220037</v>
      </c>
      <c r="Q7" s="2819">
        <f t="shared" si="19"/>
        <v>0.26583018767611932</v>
      </c>
      <c r="R7" s="2819">
        <f t="shared" si="19"/>
        <v>0.36587305795641178</v>
      </c>
      <c r="S7" s="2819">
        <f t="shared" si="19"/>
        <v>0.56001690617073496</v>
      </c>
      <c r="T7" s="2819">
        <f t="shared" si="19"/>
        <v>0.54639066932857805</v>
      </c>
      <c r="U7" s="2819">
        <f t="shared" si="19"/>
        <v>0.53297105235654563</v>
      </c>
      <c r="V7" s="2819">
        <f t="shared" si="19"/>
        <v>0.58731808731811164</v>
      </c>
      <c r="W7" s="2819">
        <f t="shared" si="19"/>
        <v>0.66139616596909701</v>
      </c>
      <c r="X7" s="2819">
        <f t="shared" si="19"/>
        <v>0.70324931985008554</v>
      </c>
      <c r="Y7" s="2819">
        <f t="shared" si="19"/>
        <v>0.78499337343256315</v>
      </c>
      <c r="Z7" s="2819">
        <f t="shared" si="19"/>
        <v>0.90532065547239693</v>
      </c>
      <c r="AA7" s="2819">
        <f t="shared" si="19"/>
        <v>0.92225953586286824</v>
      </c>
      <c r="AB7" s="2819">
        <f t="shared" si="19"/>
        <v>0.63570896448970071</v>
      </c>
      <c r="AC7" s="2819">
        <f t="shared" si="19"/>
        <v>0.45402951191826357</v>
      </c>
      <c r="AD7" s="2819">
        <f t="shared" si="19"/>
        <v>0.32915745517072548</v>
      </c>
      <c r="AE7" s="2819">
        <f t="shared" si="19"/>
        <v>-0.12241700127314514</v>
      </c>
      <c r="AF7" s="2819">
        <f t="shared" si="19"/>
        <v>0.17649654360936129</v>
      </c>
      <c r="AG7" s="2819">
        <f t="shared" si="19"/>
        <v>0.41109969167523186</v>
      </c>
      <c r="AH7" s="2819">
        <f t="shared" si="19"/>
        <v>0.60437685821512765</v>
      </c>
      <c r="AI7" s="2819">
        <f t="shared" si="19"/>
        <v>0.94956639697689749</v>
      </c>
      <c r="AJ7" s="2819">
        <f t="shared" si="19"/>
        <v>0.79186063252867367</v>
      </c>
      <c r="AK7" s="2819">
        <f t="shared" si="19"/>
        <v>0.63327302161699794</v>
      </c>
      <c r="AL7" s="2819">
        <f t="shared" si="19"/>
        <v>0.31227821149750756</v>
      </c>
      <c r="AM7" s="2819">
        <f t="shared" si="19"/>
        <v>-5.6601103721520829E-2</v>
      </c>
      <c r="AN7" s="2819">
        <f t="shared" si="19"/>
        <v>0.37283496153663886</v>
      </c>
      <c r="AO7" s="2819">
        <f t="shared" si="19"/>
        <v>0.55482414895617893</v>
      </c>
      <c r="AP7" s="2819">
        <f t="shared" si="19"/>
        <v>0.56579070419902067</v>
      </c>
      <c r="AQ7" s="2819">
        <f t="shared" si="19"/>
        <v>0.40916910773234338</v>
      </c>
      <c r="AR7" s="2819">
        <f t="shared" si="19"/>
        <v>0.25468858532067262</v>
      </c>
      <c r="AS7" s="2819">
        <f t="shared" si="19"/>
        <v>0.25866050808314167</v>
      </c>
      <c r="AT7" s="2819">
        <f t="shared" si="19"/>
        <v>0.24877913940846152</v>
      </c>
      <c r="AU7" s="2819">
        <f t="shared" si="19"/>
        <v>0.16084558823530326</v>
      </c>
      <c r="AV7" s="2819">
        <f t="shared" si="19"/>
        <v>8.2587749483820083E-2</v>
      </c>
      <c r="AW7" s="2819">
        <f t="shared" si="19"/>
        <v>6.4181909870275611E-2</v>
      </c>
      <c r="AX7" s="2819">
        <f t="shared" si="19"/>
        <v>4.1233334860479864E-2</v>
      </c>
      <c r="AY7" s="2819">
        <f t="shared" si="19"/>
        <v>0.25645722659828341</v>
      </c>
      <c r="AZ7" s="2819">
        <f t="shared" si="19"/>
        <v>0.42481271697423217</v>
      </c>
      <c r="BA7" s="2819">
        <f t="shared" si="19"/>
        <v>0.35933591084831296</v>
      </c>
      <c r="BB7" s="2819">
        <f t="shared" si="19"/>
        <v>0.4305656272661329</v>
      </c>
      <c r="BC7" s="2819">
        <f t="shared" si="19"/>
        <v>0.38359131729772677</v>
      </c>
      <c r="BD7" s="2819">
        <f t="shared" si="19"/>
        <v>0.49001978061500306</v>
      </c>
      <c r="BE7" s="2819">
        <f t="shared" ref="BE7:BN7" si="20">+BE62</f>
        <v>0.71131391759495788</v>
      </c>
      <c r="BF7" s="2819">
        <f t="shared" si="20"/>
        <v>0.76403695806681604</v>
      </c>
      <c r="BG7" s="2819">
        <f t="shared" si="20"/>
        <v>0.72738494092752237</v>
      </c>
      <c r="BH7" s="2819">
        <f t="shared" si="20"/>
        <v>0.75714473281105477</v>
      </c>
      <c r="BI7" s="1842">
        <f t="shared" si="20"/>
        <v>0.660238033185645</v>
      </c>
      <c r="BJ7" s="1842">
        <f t="shared" si="20"/>
        <v>0.62138603607491127</v>
      </c>
      <c r="BK7" s="1842">
        <f t="shared" si="20"/>
        <v>-0.19298396088859304</v>
      </c>
      <c r="BL7" s="1842">
        <f t="shared" si="20"/>
        <v>0.15898251192367763</v>
      </c>
      <c r="BM7" s="1842">
        <f t="shared" si="20"/>
        <v>0.24453024453026106</v>
      </c>
      <c r="BN7" s="1842">
        <f t="shared" si="20"/>
        <v>0.33808362220224542</v>
      </c>
      <c r="BO7" s="1842">
        <f t="shared" ref="BO7:BV7" si="21">+BO62</f>
        <v>0.37106542693849942</v>
      </c>
      <c r="BP7" s="1842">
        <f t="shared" si="21"/>
        <v>8.9236391450286945E-2</v>
      </c>
      <c r="BQ7" s="1842">
        <f t="shared" si="21"/>
        <v>5.5192324021402506E-2</v>
      </c>
      <c r="BR7" s="1842">
        <f t="shared" si="21"/>
        <v>0.29278228030720221</v>
      </c>
      <c r="BS7" s="1842">
        <f t="shared" si="21"/>
        <v>0.32577424268065425</v>
      </c>
      <c r="BT7" s="1842">
        <f t="shared" si="21"/>
        <v>0.2445915742419702</v>
      </c>
      <c r="BU7" s="1842">
        <f t="shared" si="21"/>
        <v>0.76143199697109587</v>
      </c>
      <c r="BV7" s="1842">
        <f t="shared" si="21"/>
        <v>0.27555110220440771</v>
      </c>
      <c r="BW7" s="1842">
        <f t="shared" ref="BW7:CD7" si="22">+BW62</f>
        <v>0.29144808060621585</v>
      </c>
      <c r="BX7" s="1842">
        <f t="shared" si="22"/>
        <v>0.54383925606111827</v>
      </c>
      <c r="BY7" s="1842">
        <f t="shared" si="22"/>
        <v>-8.2579792724857271E-3</v>
      </c>
      <c r="BZ7" s="1842">
        <f t="shared" si="22"/>
        <v>0.24363050749474091</v>
      </c>
      <c r="CA7" s="1842">
        <f>+CA62</f>
        <v>0.32954358213874713</v>
      </c>
      <c r="CB7" s="1842">
        <f t="shared" si="22"/>
        <v>-0.41468221382822135</v>
      </c>
      <c r="CC7" s="1842">
        <f t="shared" ref="CC7" si="23">+CC62</f>
        <v>8.658008658009031E-2</v>
      </c>
      <c r="CD7" s="1842">
        <f t="shared" si="22"/>
        <v>-0.23891909705058278</v>
      </c>
      <c r="CE7" s="1842">
        <f>+CE62</f>
        <v>0.2725245685027522</v>
      </c>
      <c r="CF7" s="1842">
        <f t="shared" ref="CF7:CH7" si="24">+CF62</f>
        <v>0.2841377038379278</v>
      </c>
      <c r="CG7" s="1842">
        <f t="shared" si="24"/>
        <v>0.68985340615119739</v>
      </c>
      <c r="CH7" s="1842">
        <f t="shared" si="24"/>
        <v>0.27731332327392</v>
      </c>
      <c r="CI7" s="1842">
        <f>+CI62</f>
        <v>-0.15860750742201501</v>
      </c>
      <c r="CJ7" s="1842">
        <f t="shared" ref="CJ7:CL7" si="25">+CJ62</f>
        <v>0.13849287169043212</v>
      </c>
      <c r="CK7" s="1842">
        <f t="shared" si="25"/>
        <v>-0.35388870810283413</v>
      </c>
      <c r="CL7" s="1842">
        <f t="shared" si="25"/>
        <v>0.33473486549373543</v>
      </c>
      <c r="CM7" s="1842">
        <f>+CM62</f>
        <v>0.26852190894666172</v>
      </c>
      <c r="CN7" s="1842">
        <f t="shared" ref="CN7:CP7" si="26">+CN62</f>
        <v>-0.27591803611278776</v>
      </c>
      <c r="CO7" s="1842">
        <f t="shared" si="26"/>
        <v>0.32957643325060015</v>
      </c>
      <c r="CP7" s="1842">
        <f t="shared" si="26"/>
        <v>0.75837456403600179</v>
      </c>
      <c r="CQ7" s="1842">
        <f>+CQ62</f>
        <v>-0.24552223787482896</v>
      </c>
      <c r="CR7" s="1842">
        <f t="shared" ref="CR7:CS7" si="27">+CR62</f>
        <v>0.32682375726273971</v>
      </c>
      <c r="CS7" s="1842">
        <f t="shared" si="27"/>
        <v>0.41423687914741159</v>
      </c>
      <c r="CT7" s="1842">
        <f t="shared" ref="CT7" si="28">+CT62</f>
        <v>0.74495354053187857</v>
      </c>
      <c r="CU7" s="1842">
        <f t="shared" ref="CU7:CX7" si="29">+CU62</f>
        <v>-0.26</v>
      </c>
      <c r="CV7" s="1842">
        <f t="shared" si="29"/>
        <v>-0.26</v>
      </c>
      <c r="CW7" s="1842">
        <f t="shared" si="29"/>
        <v>-0.26</v>
      </c>
      <c r="CX7" s="1842">
        <f t="shared" si="29"/>
        <v>-0.26</v>
      </c>
      <c r="CY7" s="1842">
        <f t="shared" ref="CY7:DB7" si="30">+CY62</f>
        <v>0.6</v>
      </c>
      <c r="CZ7" s="1842">
        <f t="shared" si="30"/>
        <v>0.6</v>
      </c>
      <c r="DA7" s="1842">
        <f t="shared" si="30"/>
        <v>0.6</v>
      </c>
      <c r="DB7" s="1842">
        <f t="shared" si="30"/>
        <v>0.6</v>
      </c>
    </row>
    <row r="8" spans="1:106">
      <c r="B8" s="715">
        <v>17</v>
      </c>
      <c r="C8" s="975"/>
      <c r="D8" s="724"/>
      <c r="E8" s="221" t="s">
        <v>677</v>
      </c>
      <c r="F8" s="759"/>
      <c r="G8" s="2819"/>
      <c r="H8" s="2819">
        <f t="shared" ref="H8:BD8" si="31">+H88</f>
        <v>1.7213060902700139</v>
      </c>
      <c r="I8" s="2819">
        <f t="shared" si="31"/>
        <v>1.181941484208493</v>
      </c>
      <c r="J8" s="2819">
        <f t="shared" si="31"/>
        <v>5.744925315971372E-2</v>
      </c>
      <c r="K8" s="2819">
        <f t="shared" si="31"/>
        <v>-1.5821371610845403</v>
      </c>
      <c r="L8" s="2819">
        <f t="shared" si="31"/>
        <v>0.26576780968432523</v>
      </c>
      <c r="M8" s="2819">
        <f t="shared" si="31"/>
        <v>1.2994569433669501</v>
      </c>
      <c r="N8" s="2819">
        <f t="shared" si="31"/>
        <v>2.1379794498691762</v>
      </c>
      <c r="O8" s="2819">
        <f t="shared" si="31"/>
        <v>2.0244938765308529</v>
      </c>
      <c r="P8" s="2819">
        <f t="shared" si="31"/>
        <v>2.3640372366486861</v>
      </c>
      <c r="Q8" s="2819">
        <f t="shared" si="31"/>
        <v>-0.38889553667582621</v>
      </c>
      <c r="R8" s="2819">
        <f t="shared" si="31"/>
        <v>2.312451198270149</v>
      </c>
      <c r="S8" s="2819">
        <f t="shared" si="31"/>
        <v>-1.2386990724433389</v>
      </c>
      <c r="T8" s="2819">
        <f t="shared" si="31"/>
        <v>0.26154669202878011</v>
      </c>
      <c r="U8" s="2819">
        <f t="shared" si="31"/>
        <v>1.9624118100432852</v>
      </c>
      <c r="V8" s="2819">
        <f t="shared" si="31"/>
        <v>1.6106524014420254</v>
      </c>
      <c r="W8" s="2819">
        <f t="shared" si="31"/>
        <v>0.3147353361945715</v>
      </c>
      <c r="X8" s="2819">
        <f t="shared" si="31"/>
        <v>1.5059897318881799</v>
      </c>
      <c r="Y8" s="2819">
        <f t="shared" si="31"/>
        <v>0.46082949308756671</v>
      </c>
      <c r="Z8" s="2819">
        <f t="shared" si="31"/>
        <v>-0.74960841351533469</v>
      </c>
      <c r="AA8" s="2819">
        <f t="shared" si="31"/>
        <v>2.8745350016908811</v>
      </c>
      <c r="AB8" s="2819">
        <f t="shared" si="31"/>
        <v>0.88209511286434505</v>
      </c>
      <c r="AC8" s="2819">
        <f t="shared" si="31"/>
        <v>1.1513604518546661</v>
      </c>
      <c r="AD8" s="2819">
        <f t="shared" si="31"/>
        <v>0.66040268456375451</v>
      </c>
      <c r="AE8" s="2819">
        <f t="shared" si="31"/>
        <v>1.7441860465116088</v>
      </c>
      <c r="AF8" s="2819">
        <f t="shared" si="31"/>
        <v>-1.1533420707732556</v>
      </c>
      <c r="AG8" s="2819">
        <f t="shared" si="31"/>
        <v>1.0978520286396121</v>
      </c>
      <c r="AH8" s="2819">
        <f t="shared" si="31"/>
        <v>-4.2440457454621772</v>
      </c>
      <c r="AI8" s="2819">
        <f t="shared" si="31"/>
        <v>-1.643565441297179E-2</v>
      </c>
      <c r="AJ8" s="2819">
        <f t="shared" si="31"/>
        <v>-1.452054794520552</v>
      </c>
      <c r="AK8" s="2819">
        <f t="shared" si="31"/>
        <v>-1.523491798721166</v>
      </c>
      <c r="AL8" s="2819">
        <f t="shared" si="31"/>
        <v>1.9310033312630592</v>
      </c>
      <c r="AM8" s="2819">
        <f t="shared" si="31"/>
        <v>-0.47637511770898255</v>
      </c>
      <c r="AN8" s="2819">
        <f t="shared" si="31"/>
        <v>0.21149885901932119</v>
      </c>
      <c r="AO8" s="2819">
        <f t="shared" si="31"/>
        <v>-5.5540127742281786E-2</v>
      </c>
      <c r="AP8" s="2819">
        <f t="shared" si="31"/>
        <v>-1.4059460961378112</v>
      </c>
      <c r="AQ8" s="2819">
        <f t="shared" si="31"/>
        <v>6.5043399842182437</v>
      </c>
      <c r="AR8" s="2819">
        <f t="shared" si="31"/>
        <v>3.0429720575783303</v>
      </c>
      <c r="AS8" s="2819">
        <f t="shared" si="31"/>
        <v>3.0352832417441356</v>
      </c>
      <c r="AT8" s="2819">
        <f t="shared" si="31"/>
        <v>-2.0586182833217004</v>
      </c>
      <c r="AU8" s="2819">
        <f t="shared" si="31"/>
        <v>3.8933279047279834</v>
      </c>
      <c r="AV8" s="2819">
        <f t="shared" si="31"/>
        <v>3.9286763985500128</v>
      </c>
      <c r="AW8" s="2819">
        <f t="shared" si="31"/>
        <v>-2.1540346907994001</v>
      </c>
      <c r="AX8" s="2819">
        <f t="shared" si="31"/>
        <v>-1.5896719495158806</v>
      </c>
      <c r="AY8" s="2819">
        <f t="shared" si="31"/>
        <v>2.7412012335405578</v>
      </c>
      <c r="AZ8" s="2819">
        <f t="shared" si="31"/>
        <v>-0.41926723521845677</v>
      </c>
      <c r="BA8" s="2819">
        <f t="shared" si="31"/>
        <v>1.7128367063776961</v>
      </c>
      <c r="BB8" s="2819">
        <f t="shared" si="31"/>
        <v>0.14582059363092981</v>
      </c>
      <c r="BC8" s="1842">
        <f t="shared" si="31"/>
        <v>3.2785345232503538</v>
      </c>
      <c r="BD8" s="1842">
        <f t="shared" si="31"/>
        <v>1.4371475350190899</v>
      </c>
      <c r="BE8" s="1842">
        <f t="shared" ref="BE8:BN8" si="32">+BE88</f>
        <v>1.9323888091822061</v>
      </c>
      <c r="BF8" s="1842">
        <f t="shared" si="32"/>
        <v>1.675830217725971</v>
      </c>
      <c r="BG8" s="2819">
        <f t="shared" si="32"/>
        <v>0.71811732133586492</v>
      </c>
      <c r="BH8" s="2819">
        <f t="shared" si="32"/>
        <v>9.8788763851898054E-2</v>
      </c>
      <c r="BI8" s="1842">
        <f t="shared" si="32"/>
        <v>-2.1025531001930831</v>
      </c>
      <c r="BJ8" s="1842">
        <f t="shared" si="32"/>
        <v>-1.6129739206662386</v>
      </c>
      <c r="BK8" s="1842">
        <f t="shared" si="32"/>
        <v>-3.0605426114848178</v>
      </c>
      <c r="BL8" s="1842">
        <f t="shared" si="32"/>
        <v>-1.0018382352941169</v>
      </c>
      <c r="BM8" s="1842">
        <f t="shared" si="32"/>
        <v>-2.0285953022003533</v>
      </c>
      <c r="BN8" s="1842">
        <f t="shared" si="32"/>
        <v>1.1750769959725238</v>
      </c>
      <c r="BO8" s="1842">
        <f t="shared" ref="BO8:BV8" si="33">+BO88</f>
        <v>-1.6437971245258365</v>
      </c>
      <c r="BP8" s="1842">
        <f t="shared" si="33"/>
        <v>0.18093514903343433</v>
      </c>
      <c r="BQ8" s="1842">
        <f t="shared" si="33"/>
        <v>1.7870722433460218</v>
      </c>
      <c r="BR8" s="1842">
        <f t="shared" si="33"/>
        <v>0.80780724691817962</v>
      </c>
      <c r="BS8" s="1842">
        <f t="shared" si="33"/>
        <v>0.93566167955905222</v>
      </c>
      <c r="BT8" s="1842">
        <f t="shared" si="33"/>
        <v>1.9182231196365418</v>
      </c>
      <c r="BU8" s="1842">
        <f t="shared" si="33"/>
        <v>-0.2026205592327357</v>
      </c>
      <c r="BV8" s="1842">
        <f t="shared" si="33"/>
        <v>1.3896408590507114</v>
      </c>
      <c r="BW8" s="1842">
        <f t="shared" ref="BW8:CD8" si="34">+BW88</f>
        <v>-0.80989676041296477</v>
      </c>
      <c r="BX8" s="1842">
        <f t="shared" si="34"/>
        <v>0.24226110363392284</v>
      </c>
      <c r="BY8" s="1842">
        <f t="shared" si="34"/>
        <v>-0.29090583601862896</v>
      </c>
      <c r="BZ8" s="1842">
        <f t="shared" si="34"/>
        <v>-1.7101306162754182</v>
      </c>
      <c r="CA8" s="1842">
        <f>+CA88</f>
        <v>-0.73066033427710009</v>
      </c>
      <c r="CB8" s="1842">
        <f t="shared" si="34"/>
        <v>0.62563253289171783</v>
      </c>
      <c r="CC8" s="1842">
        <f t="shared" ref="CC8" si="35">+CC88</f>
        <v>0.25601170339215606</v>
      </c>
      <c r="CD8" s="1842">
        <f t="shared" si="34"/>
        <v>7.2959416324680504E-2</v>
      </c>
      <c r="CE8" s="1842">
        <f>+CE88</f>
        <v>1.8135423311765209</v>
      </c>
      <c r="CF8" s="1842">
        <f t="shared" ref="CF8:CH8" si="36">+CF88</f>
        <v>1.6872538489079769</v>
      </c>
      <c r="CG8" s="1842">
        <f t="shared" si="36"/>
        <v>7.4732626204832453</v>
      </c>
      <c r="CH8" s="1842">
        <f t="shared" si="36"/>
        <v>-4.9060158073631177</v>
      </c>
      <c r="CI8" s="1842">
        <f>+CI88</f>
        <v>9.6335213815081033</v>
      </c>
      <c r="CJ8" s="1842">
        <f t="shared" ref="CJ8:CL8" si="37">+CJ88</f>
        <v>-10.574279204965043</v>
      </c>
      <c r="CK8" s="1842">
        <f t="shared" si="37"/>
        <v>2.6706492137397841</v>
      </c>
      <c r="CL8" s="1842">
        <f t="shared" si="37"/>
        <v>0.91554718918458455</v>
      </c>
      <c r="CM8" s="1842">
        <f>+CM88</f>
        <v>1.5389180939460623</v>
      </c>
      <c r="CN8" s="1842">
        <f t="shared" ref="CN8:CP8" si="38">+CN88</f>
        <v>0.709782472548115</v>
      </c>
      <c r="CO8" s="1842">
        <f t="shared" si="38"/>
        <v>7.7857468595829316</v>
      </c>
      <c r="CP8" s="1842">
        <f t="shared" si="38"/>
        <v>-5.5963690911188806</v>
      </c>
      <c r="CQ8" s="1842">
        <f>+CQ88</f>
        <v>0.19964146023467855</v>
      </c>
      <c r="CR8" s="1842">
        <f t="shared" ref="CR8:CS8" si="39">+CR88</f>
        <v>0.87423250518439133</v>
      </c>
      <c r="CS8" s="1842">
        <f t="shared" si="39"/>
        <v>1.1528539180909458</v>
      </c>
      <c r="CT8" s="1842">
        <f t="shared" ref="CT8" si="40">+CT88</f>
        <v>7.9700326771403596E-3</v>
      </c>
      <c r="CU8" s="1842">
        <f t="shared" ref="CU8:CX8" si="41">+CU88</f>
        <v>1.2118664328976569</v>
      </c>
      <c r="CV8" s="1842">
        <f t="shared" si="41"/>
        <v>1.2674108360862801</v>
      </c>
      <c r="CW8" s="1842">
        <f t="shared" si="41"/>
        <v>1.2693063030658314</v>
      </c>
      <c r="CX8" s="1842">
        <f t="shared" si="41"/>
        <v>1.271196260444496</v>
      </c>
      <c r="CY8" s="1842">
        <f t="shared" ref="CY8:DB8" si="42">+CY88</f>
        <v>0.35075487953128981</v>
      </c>
      <c r="CZ8" s="1842">
        <f t="shared" si="42"/>
        <v>0.35125009969576571</v>
      </c>
      <c r="DA8" s="1842">
        <f t="shared" si="42"/>
        <v>0.26876027108759803</v>
      </c>
      <c r="DB8" s="1842">
        <f t="shared" si="42"/>
        <v>0.24804898476988857</v>
      </c>
    </row>
    <row r="9" spans="1:106">
      <c r="B9" s="715">
        <v>18</v>
      </c>
      <c r="C9" s="975"/>
      <c r="D9" s="766"/>
      <c r="E9" s="767" t="s">
        <v>1013</v>
      </c>
      <c r="F9" s="967"/>
      <c r="G9" s="2820"/>
      <c r="H9" s="2820">
        <f t="shared" ref="H9:BD9" si="43">+H111</f>
        <v>0.93043621038804147</v>
      </c>
      <c r="I9" s="2820">
        <f t="shared" si="43"/>
        <v>0.79171411528660141</v>
      </c>
      <c r="J9" s="2820">
        <f t="shared" si="43"/>
        <v>0.48420939366222715</v>
      </c>
      <c r="K9" s="2820">
        <f t="shared" si="43"/>
        <v>-9.6375220859890032E-2</v>
      </c>
      <c r="L9" s="2820">
        <f t="shared" si="43"/>
        <v>0.49841899351519281</v>
      </c>
      <c r="M9" s="2820">
        <f t="shared" si="43"/>
        <v>0.57193899317407038</v>
      </c>
      <c r="N9" s="2820">
        <f t="shared" si="43"/>
        <v>0.56073279690338484</v>
      </c>
      <c r="O9" s="2820">
        <f t="shared" si="43"/>
        <v>0.58528868969154324</v>
      </c>
      <c r="P9" s="2820">
        <f t="shared" si="43"/>
        <v>0.96980499056404934</v>
      </c>
      <c r="Q9" s="2820">
        <f t="shared" si="43"/>
        <v>0.31021234619179605</v>
      </c>
      <c r="R9" s="2820">
        <f t="shared" si="43"/>
        <v>0.76730975764398579</v>
      </c>
      <c r="S9" s="2820">
        <f t="shared" si="43"/>
        <v>0.27351173660690176</v>
      </c>
      <c r="T9" s="2820">
        <f t="shared" si="43"/>
        <v>0.75042579620689942</v>
      </c>
      <c r="U9" s="2820">
        <f t="shared" si="43"/>
        <v>0.94820463933906751</v>
      </c>
      <c r="V9" s="2820">
        <f t="shared" si="43"/>
        <v>0.57793278855717833</v>
      </c>
      <c r="W9" s="2820">
        <f t="shared" si="43"/>
        <v>0.25663495242864709</v>
      </c>
      <c r="X9" s="2820">
        <f t="shared" si="43"/>
        <v>0.77417743647374415</v>
      </c>
      <c r="Y9" s="2820">
        <f t="shared" si="43"/>
        <v>0.68645065361501167</v>
      </c>
      <c r="Z9" s="2820">
        <f t="shared" si="43"/>
        <v>0.31504202611403187</v>
      </c>
      <c r="AA9" s="2820">
        <f t="shared" si="43"/>
        <v>1.3224559896951593</v>
      </c>
      <c r="AB9" s="2820">
        <f t="shared" si="43"/>
        <v>0.71192473938468392</v>
      </c>
      <c r="AC9" s="2820">
        <f t="shared" si="43"/>
        <v>0.82590976304683927</v>
      </c>
      <c r="AD9" s="2820">
        <f t="shared" si="43"/>
        <v>0.71064053035723163</v>
      </c>
      <c r="AE9" s="2820">
        <f t="shared" si="43"/>
        <v>0.45226368630422176</v>
      </c>
      <c r="AF9" s="2820">
        <f t="shared" si="43"/>
        <v>-0.29700869811188912</v>
      </c>
      <c r="AG9" s="2820">
        <f t="shared" si="43"/>
        <v>8.2748185450509659E-2</v>
      </c>
      <c r="AH9" s="2820">
        <f t="shared" si="43"/>
        <v>-1.032315978456011</v>
      </c>
      <c r="AI9" s="2820">
        <f t="shared" si="43"/>
        <v>0.44516052034848652</v>
      </c>
      <c r="AJ9" s="2820">
        <f t="shared" si="43"/>
        <v>7.3666575573594351E-2</v>
      </c>
      <c r="AK9" s="2820">
        <f t="shared" si="43"/>
        <v>8.4298011279315688E-2</v>
      </c>
      <c r="AL9" s="2820">
        <f t="shared" si="43"/>
        <v>0.67856126032075359</v>
      </c>
      <c r="AM9" s="2820">
        <f t="shared" si="43"/>
        <v>-0.26511759438185845</v>
      </c>
      <c r="AN9" s="2820">
        <f t="shared" si="43"/>
        <v>4.3713006391565834E-2</v>
      </c>
      <c r="AO9" s="2820">
        <f t="shared" si="43"/>
        <v>0.24563060935285375</v>
      </c>
      <c r="AP9" s="2820">
        <f t="shared" si="43"/>
        <v>0.32513429459994914</v>
      </c>
      <c r="AQ9" s="2820">
        <f t="shared" si="43"/>
        <v>1.7519139542529816</v>
      </c>
      <c r="AR9" s="2820">
        <f t="shared" si="43"/>
        <v>0.80086779911372474</v>
      </c>
      <c r="AS9" s="2820">
        <f t="shared" si="43"/>
        <v>0.78534630795650262</v>
      </c>
      <c r="AT9" s="2820">
        <f t="shared" si="43"/>
        <v>-0.15334635830797083</v>
      </c>
      <c r="AU9" s="2820">
        <f t="shared" si="43"/>
        <v>0.95562052763904504</v>
      </c>
      <c r="AV9" s="2820">
        <f t="shared" si="43"/>
        <v>1.0615160974070781</v>
      </c>
      <c r="AW9" s="2820">
        <f t="shared" si="43"/>
        <v>-0.1438399696709558</v>
      </c>
      <c r="AX9" s="2820">
        <f t="shared" si="43"/>
        <v>2.3449538825737193E-2</v>
      </c>
      <c r="AY9" s="2820">
        <f t="shared" si="43"/>
        <v>0.81942506279653049</v>
      </c>
      <c r="AZ9" s="2820">
        <f t="shared" si="43"/>
        <v>7.1975107685839923E-2</v>
      </c>
      <c r="BA9" s="2820">
        <f t="shared" si="43"/>
        <v>0.5410848252816125</v>
      </c>
      <c r="BB9" s="2820">
        <f t="shared" si="43"/>
        <v>0.38849696796274813</v>
      </c>
      <c r="BC9" s="2820">
        <f t="shared" si="43"/>
        <v>1.1960620943694211</v>
      </c>
      <c r="BD9" s="2820">
        <f t="shared" si="43"/>
        <v>0.7106719967066244</v>
      </c>
      <c r="BE9" s="2820">
        <f t="shared" ref="BE9:BN9" si="44">+BE111</f>
        <v>0.89497972311565199</v>
      </c>
      <c r="BF9" s="2820">
        <f t="shared" si="44"/>
        <v>0.85292392984699372</v>
      </c>
      <c r="BG9" s="968">
        <f t="shared" si="44"/>
        <v>0.86791056609756279</v>
      </c>
      <c r="BH9" s="968">
        <f t="shared" si="44"/>
        <v>0.37415108577176781</v>
      </c>
      <c r="BI9" s="968">
        <f t="shared" si="44"/>
        <v>-0.43436041473066123</v>
      </c>
      <c r="BJ9" s="968">
        <f t="shared" si="44"/>
        <v>-0.72779135249640969</v>
      </c>
      <c r="BK9" s="968">
        <f t="shared" si="44"/>
        <v>-0.90531675522641519</v>
      </c>
      <c r="BL9" s="968">
        <f t="shared" si="44"/>
        <v>0.21640406797005518</v>
      </c>
      <c r="BM9" s="968">
        <f t="shared" si="44"/>
        <v>0.25742216170792087</v>
      </c>
      <c r="BN9" s="968">
        <f t="shared" si="44"/>
        <v>0.87320028434711983</v>
      </c>
      <c r="BO9" s="968">
        <f t="shared" ref="BO9:BV9" si="45">+BO111</f>
        <v>0.12726928497799328</v>
      </c>
      <c r="BP9" s="968">
        <f t="shared" si="45"/>
        <v>0.21954934607910648</v>
      </c>
      <c r="BQ9" s="968">
        <f t="shared" si="45"/>
        <v>0.38677623579723708</v>
      </c>
      <c r="BR9" s="968">
        <f t="shared" si="45"/>
        <v>0.55548014576132232</v>
      </c>
      <c r="BS9" s="968">
        <f t="shared" si="45"/>
        <v>9.6568194797774787E-2</v>
      </c>
      <c r="BT9" s="968">
        <f t="shared" si="45"/>
        <v>0.48859934853420217</v>
      </c>
      <c r="BU9" s="968">
        <f t="shared" si="45"/>
        <v>0.30866427856177658</v>
      </c>
      <c r="BV9" s="968">
        <f t="shared" si="45"/>
        <v>0.38490037872549454</v>
      </c>
      <c r="BW9" s="968">
        <f t="shared" ref="BW9:CD9" si="46">+BW111</f>
        <v>5.2285169465449144E-2</v>
      </c>
      <c r="BX9" s="968">
        <f t="shared" si="46"/>
        <v>0.1711188302439659</v>
      </c>
      <c r="BY9" s="968">
        <f t="shared" si="46"/>
        <v>6.8535188216056753E-2</v>
      </c>
      <c r="BZ9" s="968">
        <f t="shared" si="46"/>
        <v>-0.16764287977756309</v>
      </c>
      <c r="CA9" s="968">
        <f>+CA111</f>
        <v>-4.8124673622551573E-2</v>
      </c>
      <c r="CB9" s="968">
        <f t="shared" si="46"/>
        <v>0.16185871168661325</v>
      </c>
      <c r="CC9" s="968">
        <f t="shared" ref="CC9" si="47">+CC111</f>
        <v>0.26694213185509685</v>
      </c>
      <c r="CD9" s="968">
        <f t="shared" si="46"/>
        <v>-0.10506451777425596</v>
      </c>
      <c r="CE9" s="968">
        <f>+CE111</f>
        <v>0.583057631826156</v>
      </c>
      <c r="CF9" s="968">
        <f t="shared" ref="CF9:CH9" si="48">+CF111</f>
        <v>0.46800605057715217</v>
      </c>
      <c r="CG9" s="968">
        <f t="shared" si="48"/>
        <v>2.0037589426457947</v>
      </c>
      <c r="CH9" s="968">
        <f t="shared" si="48"/>
        <v>-0.87372581651756764</v>
      </c>
      <c r="CI9" s="968">
        <f>+CI111</f>
        <v>2.2235546894518565</v>
      </c>
      <c r="CJ9" s="968">
        <f t="shared" ref="CJ9:CL9" si="49">+CJ111</f>
        <v>-2.4850914067846341</v>
      </c>
      <c r="CK9" s="968">
        <f t="shared" si="49"/>
        <v>0.62256887356137991</v>
      </c>
      <c r="CL9" s="968">
        <f t="shared" si="49"/>
        <v>0.50613237154899515</v>
      </c>
      <c r="CM9" s="968">
        <f>+CM111</f>
        <v>0.71274918960713141</v>
      </c>
      <c r="CN9" s="968">
        <f t="shared" ref="CN9:CP9" si="50">+CN111</f>
        <v>0.44293082404818218</v>
      </c>
      <c r="CO9" s="968">
        <f t="shared" si="50"/>
        <v>2.0774944632812709</v>
      </c>
      <c r="CP9" s="968">
        <f t="shared" si="50"/>
        <v>-1.2182477967858873</v>
      </c>
      <c r="CQ9" s="968">
        <f>+CQ111</f>
        <v>0.17201667687103406</v>
      </c>
      <c r="CR9" s="968">
        <f t="shared" ref="CR9:CS9" si="51">+CR111</f>
        <v>0.50837262549234818</v>
      </c>
      <c r="CS9" s="968">
        <f t="shared" si="51"/>
        <v>0.4807042607000378</v>
      </c>
      <c r="CT9" s="968">
        <f t="shared" ref="CT9" si="52">+CT111</f>
        <v>0.25553335382724196</v>
      </c>
      <c r="CU9" s="968">
        <f t="shared" ref="CU9:CX9" si="53">+CU111</f>
        <v>0.50355800003831774</v>
      </c>
      <c r="CV9" s="968">
        <f t="shared" si="53"/>
        <v>0.51961113247069868</v>
      </c>
      <c r="CW9" s="968">
        <f t="shared" si="53"/>
        <v>0.52286761830309114</v>
      </c>
      <c r="CX9" s="968">
        <f t="shared" si="53"/>
        <v>0.52613168181772085</v>
      </c>
      <c r="CY9" s="968">
        <f t="shared" ref="CY9:DB9" si="54">+CY111</f>
        <v>0.42675568179741941</v>
      </c>
      <c r="CZ9" s="968">
        <f t="shared" si="54"/>
        <v>0.42437861149153822</v>
      </c>
      <c r="DA9" s="968">
        <f t="shared" si="54"/>
        <v>0.40407966192754774</v>
      </c>
      <c r="DB9" s="968">
        <f t="shared" si="54"/>
        <v>0.39910377553002974</v>
      </c>
    </row>
    <row r="10" spans="1:106">
      <c r="B10" s="715">
        <v>19</v>
      </c>
      <c r="C10" s="975"/>
      <c r="D10" s="850"/>
      <c r="E10" s="335" t="s">
        <v>1614</v>
      </c>
      <c r="F10" s="186"/>
      <c r="G10" s="2822"/>
      <c r="H10" s="2822">
        <f t="shared" ref="H10:BD10" si="55">+H135</f>
        <v>0</v>
      </c>
      <c r="I10" s="2822">
        <f t="shared" si="55"/>
        <v>0</v>
      </c>
      <c r="J10" s="2822">
        <f t="shared" si="55"/>
        <v>0</v>
      </c>
      <c r="K10" s="2822">
        <f t="shared" si="55"/>
        <v>0</v>
      </c>
      <c r="L10" s="2822">
        <f t="shared" si="55"/>
        <v>0</v>
      </c>
      <c r="M10" s="2822">
        <f t="shared" si="55"/>
        <v>0</v>
      </c>
      <c r="N10" s="2822">
        <f t="shared" si="55"/>
        <v>0</v>
      </c>
      <c r="O10" s="2822">
        <f t="shared" si="55"/>
        <v>0</v>
      </c>
      <c r="P10" s="2822">
        <f t="shared" si="55"/>
        <v>0</v>
      </c>
      <c r="Q10" s="2822">
        <f t="shared" si="55"/>
        <v>0</v>
      </c>
      <c r="R10" s="2822">
        <f t="shared" si="55"/>
        <v>0</v>
      </c>
      <c r="S10" s="2822">
        <f t="shared" si="55"/>
        <v>0</v>
      </c>
      <c r="T10" s="2822">
        <f t="shared" si="55"/>
        <v>0</v>
      </c>
      <c r="U10" s="2822">
        <f t="shared" si="55"/>
        <v>0</v>
      </c>
      <c r="V10" s="2822">
        <f t="shared" si="55"/>
        <v>0</v>
      </c>
      <c r="W10" s="2822">
        <f t="shared" si="55"/>
        <v>0</v>
      </c>
      <c r="X10" s="2822">
        <f t="shared" si="55"/>
        <v>0</v>
      </c>
      <c r="Y10" s="2822">
        <f t="shared" si="55"/>
        <v>0</v>
      </c>
      <c r="Z10" s="2822">
        <f t="shared" si="55"/>
        <v>0</v>
      </c>
      <c r="AA10" s="2822">
        <f t="shared" si="55"/>
        <v>0</v>
      </c>
      <c r="AB10" s="2822">
        <f t="shared" si="55"/>
        <v>0</v>
      </c>
      <c r="AC10" s="2822">
        <f t="shared" si="55"/>
        <v>0</v>
      </c>
      <c r="AD10" s="2822">
        <f t="shared" si="55"/>
        <v>0</v>
      </c>
      <c r="AE10" s="2822">
        <f t="shared" si="55"/>
        <v>0</v>
      </c>
      <c r="AF10" s="2822">
        <f t="shared" si="55"/>
        <v>0</v>
      </c>
      <c r="AG10" s="2822">
        <f t="shared" si="55"/>
        <v>0</v>
      </c>
      <c r="AH10" s="2822">
        <f t="shared" si="55"/>
        <v>0</v>
      </c>
      <c r="AI10" s="2822">
        <f t="shared" si="55"/>
        <v>0</v>
      </c>
      <c r="AJ10" s="2822">
        <f t="shared" si="55"/>
        <v>0</v>
      </c>
      <c r="AK10" s="2822">
        <f t="shared" si="55"/>
        <v>0</v>
      </c>
      <c r="AL10" s="2822">
        <f t="shared" si="55"/>
        <v>0</v>
      </c>
      <c r="AM10" s="2822">
        <f t="shared" si="55"/>
        <v>0</v>
      </c>
      <c r="AN10" s="2822">
        <f t="shared" si="55"/>
        <v>0</v>
      </c>
      <c r="AO10" s="2822">
        <f t="shared" si="55"/>
        <v>0</v>
      </c>
      <c r="AP10" s="2822">
        <f t="shared" si="55"/>
        <v>0</v>
      </c>
      <c r="AQ10" s="2822">
        <f t="shared" si="55"/>
        <v>0</v>
      </c>
      <c r="AR10" s="2822">
        <f t="shared" si="55"/>
        <v>0</v>
      </c>
      <c r="AS10" s="2822">
        <f t="shared" si="55"/>
        <v>0</v>
      </c>
      <c r="AT10" s="2822">
        <f t="shared" si="55"/>
        <v>0</v>
      </c>
      <c r="AU10" s="2822">
        <f t="shared" si="55"/>
        <v>0</v>
      </c>
      <c r="AV10" s="2822">
        <f t="shared" si="55"/>
        <v>0</v>
      </c>
      <c r="AW10" s="2822">
        <f t="shared" si="55"/>
        <v>0</v>
      </c>
      <c r="AX10" s="2822">
        <f t="shared" si="55"/>
        <v>0</v>
      </c>
      <c r="AY10" s="2822">
        <f t="shared" si="55"/>
        <v>0</v>
      </c>
      <c r="AZ10" s="2822">
        <f t="shared" si="55"/>
        <v>0</v>
      </c>
      <c r="BA10" s="2822">
        <f t="shared" si="55"/>
        <v>0</v>
      </c>
      <c r="BB10" s="2822">
        <f t="shared" si="55"/>
        <v>0</v>
      </c>
      <c r="BC10" s="2822">
        <f t="shared" si="55"/>
        <v>0</v>
      </c>
      <c r="BD10" s="2822">
        <f t="shared" si="55"/>
        <v>0</v>
      </c>
      <c r="BE10" s="2822">
        <f t="shared" ref="BE10:BN10" si="56">+BE135</f>
        <v>0</v>
      </c>
      <c r="BF10" s="2822">
        <f t="shared" si="56"/>
        <v>0</v>
      </c>
      <c r="BG10" s="2822">
        <f t="shared" si="56"/>
        <v>0</v>
      </c>
      <c r="BH10" s="2946">
        <f t="shared" si="56"/>
        <v>0</v>
      </c>
      <c r="BI10" s="2946">
        <f t="shared" si="56"/>
        <v>0</v>
      </c>
      <c r="BJ10" s="2946">
        <f t="shared" si="56"/>
        <v>0</v>
      </c>
      <c r="BK10" s="2946">
        <f t="shared" si="56"/>
        <v>0</v>
      </c>
      <c r="BL10" s="2946">
        <f t="shared" si="56"/>
        <v>0</v>
      </c>
      <c r="BM10" s="2946">
        <f t="shared" si="56"/>
        <v>0</v>
      </c>
      <c r="BN10" s="2946">
        <f t="shared" si="56"/>
        <v>0</v>
      </c>
      <c r="BO10" s="2946">
        <f t="shared" ref="BO10:BV10" si="57">+BO135</f>
        <v>0</v>
      </c>
      <c r="BP10" s="2946">
        <f t="shared" si="57"/>
        <v>0</v>
      </c>
      <c r="BQ10" s="2946">
        <f t="shared" si="57"/>
        <v>0</v>
      </c>
      <c r="BR10" s="2946">
        <f t="shared" si="57"/>
        <v>0</v>
      </c>
      <c r="BS10" s="2946">
        <f t="shared" si="57"/>
        <v>0</v>
      </c>
      <c r="BT10" s="2946">
        <f t="shared" si="57"/>
        <v>0</v>
      </c>
      <c r="BU10" s="2946">
        <f t="shared" si="57"/>
        <v>0</v>
      </c>
      <c r="BV10" s="2946">
        <f t="shared" si="57"/>
        <v>0</v>
      </c>
      <c r="BW10" s="2946">
        <f t="shared" ref="BW10:CD10" si="58">+BW135</f>
        <v>0</v>
      </c>
      <c r="BX10" s="2946">
        <f t="shared" si="58"/>
        <v>0</v>
      </c>
      <c r="BY10" s="2946">
        <f t="shared" si="58"/>
        <v>0</v>
      </c>
      <c r="BZ10" s="2946">
        <f t="shared" si="58"/>
        <v>0</v>
      </c>
      <c r="CA10" s="2946">
        <f>+CA135</f>
        <v>0</v>
      </c>
      <c r="CB10" s="2946">
        <f t="shared" si="58"/>
        <v>0</v>
      </c>
      <c r="CC10" s="2946">
        <f t="shared" ref="CC10" si="59">+CC135</f>
        <v>0</v>
      </c>
      <c r="CD10" s="2946">
        <f t="shared" si="58"/>
        <v>0</v>
      </c>
      <c r="CE10" s="2946">
        <f>+CE135</f>
        <v>0</v>
      </c>
      <c r="CF10" s="2946">
        <f t="shared" ref="CF10:CH10" si="60">+CF135</f>
        <v>0</v>
      </c>
      <c r="CG10" s="2946">
        <f t="shared" si="60"/>
        <v>0</v>
      </c>
      <c r="CH10" s="2946">
        <f t="shared" si="60"/>
        <v>0</v>
      </c>
      <c r="CI10" s="2946">
        <f>+CI135</f>
        <v>0</v>
      </c>
      <c r="CJ10" s="2946">
        <f t="shared" ref="CJ10:CL10" si="61">+CJ135</f>
        <v>0</v>
      </c>
      <c r="CK10" s="2946">
        <f t="shared" si="61"/>
        <v>0</v>
      </c>
      <c r="CL10" s="2946">
        <f t="shared" si="61"/>
        <v>0</v>
      </c>
      <c r="CM10" s="2946">
        <f>+CM135</f>
        <v>0</v>
      </c>
      <c r="CN10" s="2946">
        <f t="shared" ref="CN10:CP10" si="62">+CN135</f>
        <v>0</v>
      </c>
      <c r="CO10" s="2946">
        <f t="shared" si="62"/>
        <v>0</v>
      </c>
      <c r="CP10" s="2946">
        <f t="shared" si="62"/>
        <v>0</v>
      </c>
      <c r="CQ10" s="2946">
        <f>+CQ135</f>
        <v>0</v>
      </c>
      <c r="CR10" s="2946">
        <f t="shared" ref="CR10:CS10" si="63">+CR135</f>
        <v>0</v>
      </c>
      <c r="CS10" s="2946">
        <f t="shared" si="63"/>
        <v>0</v>
      </c>
      <c r="CT10" s="2946">
        <f t="shared" ref="CT10" si="64">+CT135</f>
        <v>0</v>
      </c>
      <c r="CU10" s="2946">
        <f t="shared" ref="CU10:CX10" si="65">+CU135</f>
        <v>0</v>
      </c>
      <c r="CV10" s="2946">
        <f t="shared" si="65"/>
        <v>0</v>
      </c>
      <c r="CW10" s="2946">
        <f t="shared" si="65"/>
        <v>0</v>
      </c>
      <c r="CX10" s="2946">
        <f t="shared" si="65"/>
        <v>0</v>
      </c>
      <c r="CY10" s="2946">
        <f t="shared" ref="CY10:DB10" si="66">+CY135</f>
        <v>0</v>
      </c>
      <c r="CZ10" s="2946">
        <f t="shared" si="66"/>
        <v>0</v>
      </c>
      <c r="DA10" s="2946">
        <f t="shared" si="66"/>
        <v>0</v>
      </c>
      <c r="DB10" s="2946">
        <f t="shared" si="66"/>
        <v>0</v>
      </c>
    </row>
    <row r="11" spans="1:106">
      <c r="B11" s="715">
        <v>20</v>
      </c>
      <c r="C11" s="975"/>
      <c r="D11" s="766"/>
      <c r="E11" s="767" t="s">
        <v>116</v>
      </c>
      <c r="F11" s="967"/>
      <c r="G11" s="2820"/>
      <c r="H11" s="2820">
        <f t="shared" ref="H11:BD11" si="67">+H150</f>
        <v>0.93043621038804147</v>
      </c>
      <c r="I11" s="2820">
        <f t="shared" si="67"/>
        <v>0.79171411528660141</v>
      </c>
      <c r="J11" s="2820">
        <f t="shared" si="67"/>
        <v>0.48420939366222715</v>
      </c>
      <c r="K11" s="2820">
        <f t="shared" si="67"/>
        <v>-9.6375220859890032E-2</v>
      </c>
      <c r="L11" s="2820">
        <f t="shared" si="67"/>
        <v>0.49841899351519281</v>
      </c>
      <c r="M11" s="2820">
        <f t="shared" si="67"/>
        <v>0.57193899317407038</v>
      </c>
      <c r="N11" s="2820">
        <f t="shared" si="67"/>
        <v>0.56073279690338484</v>
      </c>
      <c r="O11" s="2820">
        <f t="shared" si="67"/>
        <v>0.58528868969154324</v>
      </c>
      <c r="P11" s="2820">
        <f t="shared" si="67"/>
        <v>0.96980499056404934</v>
      </c>
      <c r="Q11" s="2820">
        <f t="shared" si="67"/>
        <v>0.31021234619179605</v>
      </c>
      <c r="R11" s="2820">
        <f t="shared" si="67"/>
        <v>0.76730975764398579</v>
      </c>
      <c r="S11" s="2820">
        <f t="shared" si="67"/>
        <v>0.27351173660690176</v>
      </c>
      <c r="T11" s="2820">
        <f t="shared" si="67"/>
        <v>0.75042579620689942</v>
      </c>
      <c r="U11" s="2820">
        <f t="shared" si="67"/>
        <v>0.94820463933906751</v>
      </c>
      <c r="V11" s="2820">
        <f t="shared" si="67"/>
        <v>0.57793278855717833</v>
      </c>
      <c r="W11" s="2820">
        <f t="shared" si="67"/>
        <v>0.25663495242864709</v>
      </c>
      <c r="X11" s="2820">
        <f t="shared" si="67"/>
        <v>0.77417743647374415</v>
      </c>
      <c r="Y11" s="2820">
        <f t="shared" si="67"/>
        <v>0.68645065361501167</v>
      </c>
      <c r="Z11" s="2820">
        <f t="shared" si="67"/>
        <v>0.31504202611403187</v>
      </c>
      <c r="AA11" s="2820">
        <f t="shared" si="67"/>
        <v>1.3224559896951593</v>
      </c>
      <c r="AB11" s="2820">
        <f t="shared" si="67"/>
        <v>0.71192473938468392</v>
      </c>
      <c r="AC11" s="2820">
        <f t="shared" si="67"/>
        <v>0.82590976304683927</v>
      </c>
      <c r="AD11" s="2820">
        <f t="shared" si="67"/>
        <v>0.71064053035723163</v>
      </c>
      <c r="AE11" s="2820">
        <f t="shared" si="67"/>
        <v>0.45226368630422176</v>
      </c>
      <c r="AF11" s="2820">
        <f t="shared" si="67"/>
        <v>-0.29700869811188912</v>
      </c>
      <c r="AG11" s="2820">
        <f t="shared" si="67"/>
        <v>8.2748185450509659E-2</v>
      </c>
      <c r="AH11" s="2820">
        <f t="shared" si="67"/>
        <v>-1.032315978456011</v>
      </c>
      <c r="AI11" s="2820">
        <f t="shared" si="67"/>
        <v>0.44516052034848652</v>
      </c>
      <c r="AJ11" s="2820">
        <f t="shared" si="67"/>
        <v>7.3666575573594351E-2</v>
      </c>
      <c r="AK11" s="2820">
        <f t="shared" si="67"/>
        <v>8.4298011279315688E-2</v>
      </c>
      <c r="AL11" s="2820">
        <f t="shared" si="67"/>
        <v>0.67856126032075359</v>
      </c>
      <c r="AM11" s="2820">
        <f t="shared" si="67"/>
        <v>-0.26511759438185845</v>
      </c>
      <c r="AN11" s="2820">
        <f t="shared" si="67"/>
        <v>4.3713006391565834E-2</v>
      </c>
      <c r="AO11" s="2820">
        <f t="shared" si="67"/>
        <v>0.24563060935285375</v>
      </c>
      <c r="AP11" s="2820">
        <f t="shared" si="67"/>
        <v>0.32513429459994914</v>
      </c>
      <c r="AQ11" s="2820">
        <f t="shared" si="67"/>
        <v>1.7519139542529816</v>
      </c>
      <c r="AR11" s="2820">
        <f t="shared" si="67"/>
        <v>0.80086779911372474</v>
      </c>
      <c r="AS11" s="2820">
        <f t="shared" si="67"/>
        <v>0.78534630795650262</v>
      </c>
      <c r="AT11" s="2820">
        <f t="shared" si="67"/>
        <v>-0.15334635830797083</v>
      </c>
      <c r="AU11" s="2820">
        <f t="shared" si="67"/>
        <v>0.95562052763904504</v>
      </c>
      <c r="AV11" s="2820">
        <f t="shared" si="67"/>
        <v>1.0615160974070781</v>
      </c>
      <c r="AW11" s="2820">
        <f t="shared" si="67"/>
        <v>-0.1438399696709558</v>
      </c>
      <c r="AX11" s="2820">
        <f t="shared" si="67"/>
        <v>2.3449538825737193E-2</v>
      </c>
      <c r="AY11" s="2820">
        <f t="shared" si="67"/>
        <v>0.81942506279653049</v>
      </c>
      <c r="AZ11" s="2820">
        <f t="shared" si="67"/>
        <v>7.1975107685839923E-2</v>
      </c>
      <c r="BA11" s="2820">
        <f t="shared" si="67"/>
        <v>0.5410848252816125</v>
      </c>
      <c r="BB11" s="2820">
        <f t="shared" si="67"/>
        <v>0.38849696796274813</v>
      </c>
      <c r="BC11" s="2820">
        <f t="shared" si="67"/>
        <v>1.1960620943694211</v>
      </c>
      <c r="BD11" s="2820">
        <f t="shared" si="67"/>
        <v>0.7106719967066244</v>
      </c>
      <c r="BE11" s="2820">
        <f t="shared" ref="BE11:BN11" si="68">+BE150</f>
        <v>0.89497972311565199</v>
      </c>
      <c r="BF11" s="2820">
        <f t="shared" si="68"/>
        <v>0.85292392984699372</v>
      </c>
      <c r="BG11" s="2820">
        <f t="shared" si="68"/>
        <v>0.86791056609756279</v>
      </c>
      <c r="BH11" s="968">
        <f t="shared" si="68"/>
        <v>0.37415108577176781</v>
      </c>
      <c r="BI11" s="968">
        <f t="shared" si="68"/>
        <v>-0.43436041473066123</v>
      </c>
      <c r="BJ11" s="968">
        <f t="shared" si="68"/>
        <v>-0.72779135249640969</v>
      </c>
      <c r="BK11" s="968">
        <f t="shared" si="68"/>
        <v>-0.90531675522641519</v>
      </c>
      <c r="BL11" s="968">
        <f t="shared" si="68"/>
        <v>0.21640406797005518</v>
      </c>
      <c r="BM11" s="968">
        <f t="shared" si="68"/>
        <v>0.25742216170792087</v>
      </c>
      <c r="BN11" s="968">
        <f t="shared" si="68"/>
        <v>0.87320028434711983</v>
      </c>
      <c r="BO11" s="968">
        <f t="shared" ref="BO11:BV11" si="69">+BO150</f>
        <v>0.12726928497799328</v>
      </c>
      <c r="BP11" s="968">
        <f t="shared" si="69"/>
        <v>0.21954934607910648</v>
      </c>
      <c r="BQ11" s="968">
        <f t="shared" si="69"/>
        <v>0.38677623579723708</v>
      </c>
      <c r="BR11" s="968">
        <f t="shared" si="69"/>
        <v>0.55548014576132232</v>
      </c>
      <c r="BS11" s="968">
        <f t="shared" si="69"/>
        <v>9.6568194797774787E-2</v>
      </c>
      <c r="BT11" s="968">
        <f t="shared" si="69"/>
        <v>0.48859934853420217</v>
      </c>
      <c r="BU11" s="968">
        <f t="shared" si="69"/>
        <v>0.30866427856177658</v>
      </c>
      <c r="BV11" s="968">
        <f t="shared" si="69"/>
        <v>0.38490037872549454</v>
      </c>
      <c r="BW11" s="968">
        <f t="shared" ref="BW11:CD11" si="70">+BW150</f>
        <v>5.2285169465449144E-2</v>
      </c>
      <c r="BX11" s="968">
        <f t="shared" si="70"/>
        <v>0.1711188302439659</v>
      </c>
      <c r="BY11" s="968">
        <f t="shared" si="70"/>
        <v>6.8535188216056753E-2</v>
      </c>
      <c r="BZ11" s="968">
        <f t="shared" si="70"/>
        <v>-0.16764287977756309</v>
      </c>
      <c r="CA11" s="968">
        <f>+CA150</f>
        <v>-4.8124673622551573E-2</v>
      </c>
      <c r="CB11" s="968">
        <f t="shared" si="70"/>
        <v>0.16185871168661325</v>
      </c>
      <c r="CC11" s="968">
        <f t="shared" ref="CC11" si="71">+CC150</f>
        <v>0.26694213185509685</v>
      </c>
      <c r="CD11" s="968">
        <f t="shared" si="70"/>
        <v>-0.10506451777425596</v>
      </c>
      <c r="CE11" s="968">
        <f>+CE150</f>
        <v>0.583057631826156</v>
      </c>
      <c r="CF11" s="968">
        <f t="shared" ref="CF11:CH11" si="72">+CF150</f>
        <v>0.46800605057715217</v>
      </c>
      <c r="CG11" s="968">
        <f t="shared" si="72"/>
        <v>2.0037589426457947</v>
      </c>
      <c r="CH11" s="968">
        <f t="shared" si="72"/>
        <v>-0.87372581651756764</v>
      </c>
      <c r="CI11" s="968">
        <f>+CI150</f>
        <v>2.2235546894518565</v>
      </c>
      <c r="CJ11" s="968">
        <f t="shared" ref="CJ11:CL11" si="73">+CJ150</f>
        <v>-2.4850914067846341</v>
      </c>
      <c r="CK11" s="968">
        <f t="shared" si="73"/>
        <v>0.62256887356137991</v>
      </c>
      <c r="CL11" s="968">
        <f t="shared" si="73"/>
        <v>0.50613237154899515</v>
      </c>
      <c r="CM11" s="968">
        <f>+CM150</f>
        <v>0.71274918960713141</v>
      </c>
      <c r="CN11" s="968">
        <f t="shared" ref="CN11:CP11" si="74">+CN150</f>
        <v>0.44293082404818218</v>
      </c>
      <c r="CO11" s="968">
        <f t="shared" si="74"/>
        <v>2.0774944632812709</v>
      </c>
      <c r="CP11" s="968">
        <f t="shared" si="74"/>
        <v>-1.2182477967858873</v>
      </c>
      <c r="CQ11" s="968">
        <f>+CQ150</f>
        <v>0.17201667687103406</v>
      </c>
      <c r="CR11" s="968">
        <f t="shared" ref="CR11:CS11" si="75">+CR150</f>
        <v>0.50837262549234818</v>
      </c>
      <c r="CS11" s="968">
        <f t="shared" si="75"/>
        <v>0.4807042607000378</v>
      </c>
      <c r="CT11" s="968">
        <f t="shared" ref="CT11" si="76">+CT150</f>
        <v>0.25553335382724196</v>
      </c>
      <c r="CU11" s="968">
        <f t="shared" ref="CU11:CX11" si="77">+CU150</f>
        <v>0.50355800003831774</v>
      </c>
      <c r="CV11" s="968">
        <f t="shared" si="77"/>
        <v>0.51961113247069868</v>
      </c>
      <c r="CW11" s="968">
        <f t="shared" si="77"/>
        <v>0.52286761830309114</v>
      </c>
      <c r="CX11" s="968">
        <f t="shared" si="77"/>
        <v>0.52613168181772085</v>
      </c>
      <c r="CY11" s="968">
        <f t="shared" ref="CY11:DB11" si="78">+CY150</f>
        <v>0.42675568179741941</v>
      </c>
      <c r="CZ11" s="968">
        <f t="shared" si="78"/>
        <v>0.42437861149153822</v>
      </c>
      <c r="DA11" s="968">
        <f t="shared" si="78"/>
        <v>0.40407966192754774</v>
      </c>
      <c r="DB11" s="968">
        <f t="shared" si="78"/>
        <v>0.39910377553002974</v>
      </c>
    </row>
    <row r="12" spans="1:106">
      <c r="B12" s="715">
        <v>21</v>
      </c>
      <c r="C12" s="975"/>
      <c r="D12" s="724"/>
      <c r="E12" s="221" t="s">
        <v>1445</v>
      </c>
      <c r="F12" s="759"/>
      <c r="G12" s="2819"/>
      <c r="H12" s="2819">
        <f t="shared" ref="H12:BD12" si="79">+H169</f>
        <v>-2.2142539325254673</v>
      </c>
      <c r="I12" s="2819">
        <f t="shared" si="79"/>
        <v>-1.5550975616284268</v>
      </c>
      <c r="J12" s="2819">
        <f t="shared" si="79"/>
        <v>1.9195214790646897</v>
      </c>
      <c r="K12" s="2819">
        <f t="shared" si="79"/>
        <v>2.2995251560582686</v>
      </c>
      <c r="L12" s="2819">
        <f t="shared" si="79"/>
        <v>2.1409199958276837</v>
      </c>
      <c r="M12" s="2819">
        <f t="shared" si="79"/>
        <v>0.83739692103450558</v>
      </c>
      <c r="N12" s="2819">
        <f t="shared" si="79"/>
        <v>2.2381446692153917</v>
      </c>
      <c r="O12" s="2819">
        <f t="shared" si="79"/>
        <v>3.4744062801812747</v>
      </c>
      <c r="P12" s="2819">
        <f t="shared" si="79"/>
        <v>2.4339460080413655</v>
      </c>
      <c r="Q12" s="2819">
        <f t="shared" si="79"/>
        <v>1.689212868858192</v>
      </c>
      <c r="R12" s="2819">
        <f t="shared" si="79"/>
        <v>1.34178843856263</v>
      </c>
      <c r="S12" s="2819">
        <f t="shared" si="79"/>
        <v>0.85698739457695794</v>
      </c>
      <c r="T12" s="2819">
        <f t="shared" si="79"/>
        <v>0.99581890931979</v>
      </c>
      <c r="U12" s="2819">
        <f t="shared" si="79"/>
        <v>1.0527721516169875</v>
      </c>
      <c r="V12" s="2819">
        <f t="shared" si="79"/>
        <v>-1.4008193471653274</v>
      </c>
      <c r="W12" s="2819">
        <f t="shared" si="79"/>
        <v>-2.6806058169148717E-2</v>
      </c>
      <c r="X12" s="2819">
        <f t="shared" si="79"/>
        <v>3.3047325378737114</v>
      </c>
      <c r="Y12" s="2819">
        <f t="shared" si="79"/>
        <v>3.8976488655289465</v>
      </c>
      <c r="Z12" s="2819">
        <f t="shared" si="79"/>
        <v>3.1331320911835103</v>
      </c>
      <c r="AA12" s="2819">
        <f t="shared" si="79"/>
        <v>4.2006459426725984</v>
      </c>
      <c r="AB12" s="2819">
        <f t="shared" si="79"/>
        <v>2.0514906724007576</v>
      </c>
      <c r="AC12" s="2819">
        <f t="shared" si="79"/>
        <v>1.5850417615793422</v>
      </c>
      <c r="AD12" s="2819">
        <f t="shared" si="79"/>
        <v>1.096888722787992</v>
      </c>
      <c r="AE12" s="2819">
        <f t="shared" si="79"/>
        <v>-0.15156556134707788</v>
      </c>
      <c r="AF12" s="2819">
        <f t="shared" si="79"/>
        <v>-1.7863754165124091</v>
      </c>
      <c r="AG12" s="2819">
        <f t="shared" si="79"/>
        <v>-0.42597304683819059</v>
      </c>
      <c r="AH12" s="2819">
        <f t="shared" si="79"/>
        <v>-0.11357398398607055</v>
      </c>
      <c r="AI12" s="2819">
        <f t="shared" si="79"/>
        <v>2.7667759479997667</v>
      </c>
      <c r="AJ12" s="2819">
        <f t="shared" si="79"/>
        <v>1.6577845802061564</v>
      </c>
      <c r="AK12" s="2819">
        <f t="shared" si="79"/>
        <v>0.73828181686257377</v>
      </c>
      <c r="AL12" s="2819">
        <f t="shared" si="79"/>
        <v>1.9807328711629602E-2</v>
      </c>
      <c r="AM12" s="2819">
        <f t="shared" si="79"/>
        <v>-0.72012386130414496</v>
      </c>
      <c r="AN12" s="2819">
        <f t="shared" si="79"/>
        <v>0.78700177710078201</v>
      </c>
      <c r="AO12" s="2819">
        <f t="shared" si="79"/>
        <v>0.75746671464556048</v>
      </c>
      <c r="AP12" s="2819">
        <f t="shared" si="79"/>
        <v>2.0481777111123201</v>
      </c>
      <c r="AQ12" s="2819">
        <f t="shared" si="79"/>
        <v>1.5923566878980777</v>
      </c>
      <c r="AR12" s="2819">
        <f t="shared" si="79"/>
        <v>1.7034689448482521</v>
      </c>
      <c r="AS12" s="2819">
        <f t="shared" si="79"/>
        <v>1.4090470303317781</v>
      </c>
      <c r="AT12" s="2819">
        <f t="shared" si="79"/>
        <v>1.5130513201623286</v>
      </c>
      <c r="AU12" s="2819">
        <f t="shared" si="79"/>
        <v>1.0018919141235427</v>
      </c>
      <c r="AV12" s="2819">
        <f t="shared" si="79"/>
        <v>1.389386585008312</v>
      </c>
      <c r="AW12" s="2819">
        <f t="shared" si="79"/>
        <v>0.76951499670667722</v>
      </c>
      <c r="AX12" s="2819">
        <f t="shared" si="79"/>
        <v>1.0187163217804551</v>
      </c>
      <c r="AY12" s="2819">
        <f t="shared" si="79"/>
        <v>2.0342460348772962</v>
      </c>
      <c r="AZ12" s="2819">
        <f t="shared" si="79"/>
        <v>1.1569276456213196</v>
      </c>
      <c r="BA12" s="2819">
        <f t="shared" si="79"/>
        <v>0.98926638329104311</v>
      </c>
      <c r="BB12" s="2819">
        <f t="shared" si="79"/>
        <v>1.1355205983436534</v>
      </c>
      <c r="BC12" s="2819">
        <f t="shared" si="79"/>
        <v>2.8263896166110136</v>
      </c>
      <c r="BD12" s="2819">
        <f t="shared" si="79"/>
        <v>1.0991890750797095</v>
      </c>
      <c r="BE12" s="2819">
        <f t="shared" ref="BE12:BN12" si="80">+BE169</f>
        <v>0.5673799717750061</v>
      </c>
      <c r="BF12" s="2819">
        <f t="shared" si="80"/>
        <v>0.14748840139755526</v>
      </c>
      <c r="BG12" s="1842">
        <f t="shared" si="80"/>
        <v>1.7901314002201962</v>
      </c>
      <c r="BH12" s="1842">
        <f t="shared" si="80"/>
        <v>2.8894101782528825</v>
      </c>
      <c r="BI12" s="1842">
        <f t="shared" si="80"/>
        <v>-0.63756006989952319</v>
      </c>
      <c r="BJ12" s="1842">
        <f t="shared" si="80"/>
        <v>-10.074057789807789</v>
      </c>
      <c r="BK12" s="1842">
        <f t="shared" si="80"/>
        <v>-5.5203288056349216</v>
      </c>
      <c r="BL12" s="1842">
        <f t="shared" si="80"/>
        <v>1.0220583478879774</v>
      </c>
      <c r="BM12" s="1842">
        <f t="shared" si="80"/>
        <v>4.2373695332009742</v>
      </c>
      <c r="BN12" s="1842">
        <f t="shared" si="80"/>
        <v>2.2590800890731844</v>
      </c>
      <c r="BO12" s="1842">
        <f t="shared" ref="BO12:BV12" si="81">+BO169</f>
        <v>1.1413810710960259</v>
      </c>
      <c r="BP12" s="1842">
        <f t="shared" si="81"/>
        <v>5.2356487393460549</v>
      </c>
      <c r="BQ12" s="1842">
        <f t="shared" si="81"/>
        <v>1.4970651315046934</v>
      </c>
      <c r="BR12" s="1842">
        <f t="shared" si="81"/>
        <v>0.5185380840504239</v>
      </c>
      <c r="BS12" s="1842">
        <f t="shared" si="81"/>
        <v>3.6304041158410127</v>
      </c>
      <c r="BT12" s="1842">
        <f t="shared" si="81"/>
        <v>1.0649797813989004</v>
      </c>
      <c r="BU12" s="1842">
        <f t="shared" si="81"/>
        <v>1.1963712712435237</v>
      </c>
      <c r="BV12" s="1842">
        <f t="shared" si="81"/>
        <v>-3.2583023422718127</v>
      </c>
      <c r="BW12" s="1842">
        <f t="shared" ref="BW12:CD12" si="82">+BW169</f>
        <v>2.8851601068277999</v>
      </c>
      <c r="BX12" s="1842">
        <f t="shared" si="82"/>
        <v>-0.6922139045846154</v>
      </c>
      <c r="BY12" s="1842">
        <f t="shared" si="82"/>
        <v>-0.70760010033136256</v>
      </c>
      <c r="BZ12" s="1842">
        <f t="shared" si="82"/>
        <v>0</v>
      </c>
      <c r="CA12" s="1842">
        <f>+CA169</f>
        <v>-0.30845731455998449</v>
      </c>
      <c r="CB12" s="1842">
        <f t="shared" si="82"/>
        <v>0.60948773689335489</v>
      </c>
      <c r="CC12" s="1842">
        <f t="shared" ref="CC12" si="83">+CC169</f>
        <v>1.7762931148757932</v>
      </c>
      <c r="CD12" s="1842">
        <f t="shared" si="82"/>
        <v>1.5186642006824735</v>
      </c>
      <c r="CE12" s="1842">
        <f>+CE169</f>
        <v>1.0058503541003683</v>
      </c>
      <c r="CF12" s="1842">
        <f t="shared" ref="CF12:CH12" si="84">+CF169</f>
        <v>1.3133827863022196</v>
      </c>
      <c r="CG12" s="1842">
        <f t="shared" si="84"/>
        <v>1.5019683558586738</v>
      </c>
      <c r="CH12" s="1842">
        <f t="shared" si="84"/>
        <v>0.67934782608696231</v>
      </c>
      <c r="CI12" s="1842">
        <f>+CI169</f>
        <v>-0.30180345969821332</v>
      </c>
      <c r="CJ12" s="1842">
        <f t="shared" ref="CJ12:CL12" si="85">+CJ169</f>
        <v>2.0648749753888529</v>
      </c>
      <c r="CK12" s="1842">
        <f t="shared" si="85"/>
        <v>-0.91509729690625319</v>
      </c>
      <c r="CL12" s="1842">
        <f t="shared" si="85"/>
        <v>3.5518294537799644</v>
      </c>
      <c r="CM12" s="1842">
        <f>+CM169</f>
        <v>-0.83076778454090894</v>
      </c>
      <c r="CN12" s="1842">
        <f t="shared" ref="CN12:CP12" si="86">+CN169</f>
        <v>5.7835179809230475</v>
      </c>
      <c r="CO12" s="1842">
        <f t="shared" si="86"/>
        <v>0.90617859223083297</v>
      </c>
      <c r="CP12" s="1842">
        <f t="shared" si="86"/>
        <v>2.8517511239384952</v>
      </c>
      <c r="CQ12" s="1842">
        <f>+CQ169</f>
        <v>-0.21693612795993245</v>
      </c>
      <c r="CR12" s="1842">
        <f t="shared" ref="CR12:CS12" si="87">+CR169</f>
        <v>0.69765177982326065</v>
      </c>
      <c r="CS12" s="1842">
        <f t="shared" si="87"/>
        <v>-0.57358912114117144</v>
      </c>
      <c r="CT12" s="1842">
        <f t="shared" ref="CT12" si="88">+CT169</f>
        <v>1.9510824942742477</v>
      </c>
      <c r="CU12" s="1842">
        <f t="shared" ref="CU12:CX12" si="89">+CU169</f>
        <v>1.48</v>
      </c>
      <c r="CV12" s="1842">
        <f t="shared" si="89"/>
        <v>1.55</v>
      </c>
      <c r="CW12" s="1842">
        <f t="shared" si="89"/>
        <v>1.35</v>
      </c>
      <c r="CX12" s="1842">
        <f t="shared" si="89"/>
        <v>1.25</v>
      </c>
      <c r="CY12" s="1842">
        <f t="shared" ref="CY12:DB12" si="90">+CY169</f>
        <v>1.1100000000000001</v>
      </c>
      <c r="CZ12" s="1842">
        <f t="shared" si="90"/>
        <v>0.92</v>
      </c>
      <c r="DA12" s="1842">
        <f t="shared" si="90"/>
        <v>0.77</v>
      </c>
      <c r="DB12" s="1842">
        <f t="shared" si="90"/>
        <v>0.7</v>
      </c>
    </row>
    <row r="13" spans="1:106">
      <c r="B13" s="715">
        <v>22</v>
      </c>
      <c r="C13" s="975"/>
      <c r="D13" s="766"/>
      <c r="E13" s="767" t="s">
        <v>825</v>
      </c>
      <c r="F13" s="967"/>
      <c r="G13" s="2820"/>
      <c r="H13" s="2820">
        <f t="shared" ref="H13:BD13" si="91">+H191</f>
        <v>-0.14915851236847466</v>
      </c>
      <c r="I13" s="2820">
        <f t="shared" si="91"/>
        <v>2.6996625421826792E-3</v>
      </c>
      <c r="J13" s="2820">
        <f t="shared" si="91"/>
        <v>0.95925419336260198</v>
      </c>
      <c r="K13" s="2820">
        <f t="shared" si="91"/>
        <v>0.70413747615736266</v>
      </c>
      <c r="L13" s="2820">
        <f t="shared" si="91"/>
        <v>1.0559017205976184</v>
      </c>
      <c r="M13" s="2820">
        <f t="shared" si="91"/>
        <v>0.66300568415704753</v>
      </c>
      <c r="N13" s="2820">
        <f t="shared" si="91"/>
        <v>1.1371743783388677</v>
      </c>
      <c r="O13" s="2820">
        <f t="shared" si="91"/>
        <v>1.5889402190277124</v>
      </c>
      <c r="P13" s="2820">
        <f t="shared" si="91"/>
        <v>1.4878734503082525</v>
      </c>
      <c r="Q13" s="2820">
        <f t="shared" si="91"/>
        <v>0.80270349201052582</v>
      </c>
      <c r="R13" s="2820">
        <f t="shared" si="91"/>
        <v>0.97428129164700561</v>
      </c>
      <c r="S13" s="2820">
        <f t="shared" si="91"/>
        <v>0.48448976915005382</v>
      </c>
      <c r="T13" s="2820">
        <f t="shared" si="91"/>
        <v>0.83948602896186664</v>
      </c>
      <c r="U13" s="2820">
        <f t="shared" si="91"/>
        <v>0.98621403838063948</v>
      </c>
      <c r="V13" s="2820">
        <f t="shared" si="91"/>
        <v>-0.14180078991852252</v>
      </c>
      <c r="W13" s="2820">
        <f t="shared" si="91"/>
        <v>0.15483850263946497</v>
      </c>
      <c r="X13" s="2820">
        <f t="shared" si="91"/>
        <v>1.6813655988913823</v>
      </c>
      <c r="Y13" s="2820">
        <f t="shared" si="91"/>
        <v>1.85602420079094</v>
      </c>
      <c r="Z13" s="2820">
        <f t="shared" si="91"/>
        <v>1.3620121583368006</v>
      </c>
      <c r="AA13" s="2820">
        <f t="shared" si="91"/>
        <v>2.4104383655717099</v>
      </c>
      <c r="AB13" s="2820">
        <f t="shared" si="91"/>
        <v>1.2271447091957599</v>
      </c>
      <c r="AC13" s="2820">
        <f t="shared" si="91"/>
        <v>1.1202626213556721</v>
      </c>
      <c r="AD13" s="2820">
        <f t="shared" si="91"/>
        <v>0.86109635107691762</v>
      </c>
      <c r="AE13" s="2820">
        <f t="shared" si="91"/>
        <v>0.21650332693445851</v>
      </c>
      <c r="AF13" s="2820">
        <f t="shared" si="91"/>
        <v>-0.87638442815376472</v>
      </c>
      <c r="AG13" s="2820">
        <f t="shared" si="91"/>
        <v>-0.11333173506528071</v>
      </c>
      <c r="AH13" s="2820">
        <f t="shared" si="91"/>
        <v>-0.67930731019033574</v>
      </c>
      <c r="AI13" s="2820">
        <f t="shared" si="91"/>
        <v>1.3422769645354826</v>
      </c>
      <c r="AJ13" s="2820">
        <f t="shared" si="91"/>
        <v>0.6944043008266565</v>
      </c>
      <c r="AK13" s="2820">
        <f t="shared" si="91"/>
        <v>0.34301378513557079</v>
      </c>
      <c r="AL13" s="2820">
        <f t="shared" si="91"/>
        <v>0.41693186775464408</v>
      </c>
      <c r="AM13" s="2820">
        <f t="shared" si="91"/>
        <v>-0.44511231073824931</v>
      </c>
      <c r="AN13" s="2820">
        <f t="shared" si="91"/>
        <v>0.33693638269105541</v>
      </c>
      <c r="AO13" s="2820">
        <f t="shared" si="91"/>
        <v>0.4484528732354276</v>
      </c>
      <c r="AP13" s="2820">
        <f t="shared" si="91"/>
        <v>1.0100149763288879</v>
      </c>
      <c r="AQ13" s="2820">
        <f t="shared" si="91"/>
        <v>1.6878408004946888</v>
      </c>
      <c r="AR13" s="2820">
        <f t="shared" si="91"/>
        <v>1.1629835399477484</v>
      </c>
      <c r="AS13" s="2820">
        <f t="shared" si="91"/>
        <v>1.0369064939855344</v>
      </c>
      <c r="AT13" s="2820">
        <f t="shared" si="91"/>
        <v>0.52124530980632855</v>
      </c>
      <c r="AU13" s="2820">
        <f t="shared" si="91"/>
        <v>0.97453694362614751</v>
      </c>
      <c r="AV13" s="2820">
        <f t="shared" si="91"/>
        <v>1.1955906350950896</v>
      </c>
      <c r="AW13" s="2820">
        <f t="shared" si="91"/>
        <v>0.23036924899624278</v>
      </c>
      <c r="AX13" s="2820">
        <f t="shared" si="91"/>
        <v>0.43341213553980129</v>
      </c>
      <c r="AY13" s="2820">
        <f t="shared" si="91"/>
        <v>1.322740944161116</v>
      </c>
      <c r="AZ13" s="2820">
        <f t="shared" si="91"/>
        <v>0.52464136600349764</v>
      </c>
      <c r="BA13" s="2820">
        <f t="shared" si="91"/>
        <v>0.72925225965487783</v>
      </c>
      <c r="BB13" s="2820">
        <f t="shared" si="91"/>
        <v>0.70294177628222876</v>
      </c>
      <c r="BC13" s="2820">
        <f t="shared" si="91"/>
        <v>1.8852640572097679</v>
      </c>
      <c r="BD13" s="2820">
        <f t="shared" si="91"/>
        <v>0.87643017752214725</v>
      </c>
      <c r="BE13" s="2820">
        <f t="shared" ref="BE13:BN13" si="92">+BE191</f>
        <v>0.75490286629105174</v>
      </c>
      <c r="BF13" s="2820">
        <f t="shared" si="92"/>
        <v>0.55185142179658975</v>
      </c>
      <c r="BG13" s="2820">
        <f t="shared" si="92"/>
        <v>1.2599219614183088</v>
      </c>
      <c r="BH13" s="968">
        <f t="shared" si="92"/>
        <v>1.4489187128992054</v>
      </c>
      <c r="BI13" s="968">
        <f t="shared" si="92"/>
        <v>-0.52242029096974951</v>
      </c>
      <c r="BJ13" s="968">
        <f t="shared" si="92"/>
        <v>-4.7734598960377799</v>
      </c>
      <c r="BK13" s="968">
        <f t="shared" si="92"/>
        <v>-2.7917957429799189</v>
      </c>
      <c r="BL13" s="968">
        <f t="shared" si="92"/>
        <v>0.53648758047313283</v>
      </c>
      <c r="BM13" s="968">
        <f t="shared" si="92"/>
        <v>1.8462777277171716</v>
      </c>
      <c r="BN13" s="968">
        <f t="shared" si="92"/>
        <v>1.4394538358244446</v>
      </c>
      <c r="BO13" s="968">
        <f t="shared" ref="BO13:BV13" si="93">+BO191</f>
        <v>0.54497092663614577</v>
      </c>
      <c r="BP13" s="968">
        <f t="shared" si="93"/>
        <v>2.2978817652161698</v>
      </c>
      <c r="BQ13" s="968">
        <f t="shared" si="93"/>
        <v>0.86001587721618034</v>
      </c>
      <c r="BR13" s="968">
        <f t="shared" si="93"/>
        <v>0.53963483715548932</v>
      </c>
      <c r="BS13" s="968">
        <f t="shared" si="93"/>
        <v>1.611994472484013</v>
      </c>
      <c r="BT13" s="968">
        <f t="shared" si="93"/>
        <v>0.74068021175632826</v>
      </c>
      <c r="BU13" s="968">
        <f t="shared" si="93"/>
        <v>0.69815409216791302</v>
      </c>
      <c r="BV13" s="968">
        <f t="shared" si="93"/>
        <v>-1.2214979027979855</v>
      </c>
      <c r="BW13" s="968">
        <f t="shared" ref="BW13:CD13" si="94">+BW191</f>
        <v>1.2756290773532131</v>
      </c>
      <c r="BX13" s="968">
        <f t="shared" si="94"/>
        <v>-0.20762638753092366</v>
      </c>
      <c r="BY13" s="968">
        <f t="shared" si="94"/>
        <v>-0.27030298140153786</v>
      </c>
      <c r="BZ13" s="968">
        <f t="shared" si="94"/>
        <v>-9.4775774387434453E-2</v>
      </c>
      <c r="CA13" s="968">
        <f>+CA191</f>
        <v>-0.16138735278464766</v>
      </c>
      <c r="CB13" s="968">
        <f t="shared" si="94"/>
        <v>0.35632137290915189</v>
      </c>
      <c r="CC13" s="968">
        <f t="shared" ref="CC13" si="95">+CC191</f>
        <v>0.92430085675356821</v>
      </c>
      <c r="CD13" s="968">
        <f t="shared" si="94"/>
        <v>0.60807834657605753</v>
      </c>
      <c r="CE13" s="968">
        <f>+CE191</f>
        <v>0.7704291660033169</v>
      </c>
      <c r="CF13" s="968">
        <f t="shared" ref="CF13:CH13" si="96">+CF191</f>
        <v>0.84353188776229437</v>
      </c>
      <c r="CG13" s="968">
        <f t="shared" si="96"/>
        <v>1.7798193883374447</v>
      </c>
      <c r="CH13" s="968">
        <f t="shared" si="96"/>
        <v>-0.18251084345296542</v>
      </c>
      <c r="CI13" s="968">
        <f>+CI191</f>
        <v>1.0899077516177913</v>
      </c>
      <c r="CJ13" s="968">
        <f t="shared" ref="CJ13:CL13" si="97">+CJ191</f>
        <v>-0.47070616821206501</v>
      </c>
      <c r="CK13" s="968">
        <f t="shared" si="97"/>
        <v>-7.5537796266889057E-2</v>
      </c>
      <c r="CL13" s="968">
        <f t="shared" si="97"/>
        <v>1.8772733248608509</v>
      </c>
      <c r="CM13" s="968">
        <f>+CM191</f>
        <v>6.4523413933592622E-3</v>
      </c>
      <c r="CN13" s="968">
        <f t="shared" ref="CN13:CP13" si="98">+CN191</f>
        <v>2.8662677226317435</v>
      </c>
      <c r="CO13" s="968">
        <f t="shared" si="98"/>
        <v>1.5309269190160846</v>
      </c>
      <c r="CP13" s="968">
        <f t="shared" si="98"/>
        <v>0.66923722400400454</v>
      </c>
      <c r="CQ13" s="968">
        <f>+CQ191</f>
        <v>-1.2273013178143444E-2</v>
      </c>
      <c r="CR13" s="968">
        <f t="shared" ref="CR13:CS13" si="99">+CR191</f>
        <v>0.59787139372056153</v>
      </c>
      <c r="CS13" s="968">
        <f t="shared" si="99"/>
        <v>-1.8302354902988149E-2</v>
      </c>
      <c r="CT13" s="968">
        <f t="shared" ref="CT13" si="100">+CT191</f>
        <v>1.0535950371199254</v>
      </c>
      <c r="CU13" s="968">
        <f t="shared" ref="CU13:CX13" si="101">+CU191</f>
        <v>0.96723184992852929</v>
      </c>
      <c r="CV13" s="968">
        <f t="shared" si="101"/>
        <v>1.011387119338214</v>
      </c>
      <c r="CW13" s="968">
        <f t="shared" si="101"/>
        <v>0.91973990815301665</v>
      </c>
      <c r="CX13" s="968">
        <f t="shared" si="101"/>
        <v>0.87493688360302801</v>
      </c>
      <c r="CY13" s="968">
        <f t="shared" ref="CY13:DB13" si="102">+CY191</f>
        <v>0.75720980006372951</v>
      </c>
      <c r="CZ13" s="968">
        <f t="shared" si="102"/>
        <v>0.66492739107049115</v>
      </c>
      <c r="DA13" s="968">
        <f t="shared" si="102"/>
        <v>0.58212832767678968</v>
      </c>
      <c r="DB13" s="968">
        <f t="shared" si="102"/>
        <v>0.54578662935826916</v>
      </c>
    </row>
    <row r="14" spans="1:106">
      <c r="B14" s="715">
        <v>23</v>
      </c>
      <c r="C14" s="740"/>
      <c r="D14" s="741"/>
      <c r="E14" s="784" t="s">
        <v>996</v>
      </c>
      <c r="F14" s="976"/>
      <c r="G14" s="2821"/>
      <c r="H14" s="2821">
        <f t="shared" ref="H14:BD14" si="103">+H210</f>
        <v>-0.78938975122263555</v>
      </c>
      <c r="I14" s="2821">
        <f t="shared" si="103"/>
        <v>-0.26254453880568684</v>
      </c>
      <c r="J14" s="2821">
        <f t="shared" si="103"/>
        <v>2.4309006419726664</v>
      </c>
      <c r="K14" s="2821">
        <f t="shared" si="103"/>
        <v>2.1135994125976776</v>
      </c>
      <c r="L14" s="2821">
        <f t="shared" si="103"/>
        <v>1.2095531587057007</v>
      </c>
      <c r="M14" s="2821">
        <f t="shared" si="103"/>
        <v>0.42627692776129322</v>
      </c>
      <c r="N14" s="2821">
        <f t="shared" si="103"/>
        <v>1.7938805932439017</v>
      </c>
      <c r="O14" s="2821">
        <f t="shared" si="103"/>
        <v>3.1820099779095834</v>
      </c>
      <c r="P14" s="2821">
        <f t="shared" si="103"/>
        <v>2.8649779894638128</v>
      </c>
      <c r="Q14" s="2821">
        <f t="shared" si="103"/>
        <v>1.2440952247322334</v>
      </c>
      <c r="R14" s="2821">
        <f t="shared" si="103"/>
        <v>0.83845336536241266</v>
      </c>
      <c r="S14" s="2821">
        <f t="shared" si="103"/>
        <v>0.74214902535676419</v>
      </c>
      <c r="T14" s="2821">
        <f t="shared" si="103"/>
        <v>1.8348832450376218</v>
      </c>
      <c r="U14" s="2821">
        <f t="shared" si="103"/>
        <v>1.9692774850406547</v>
      </c>
      <c r="V14" s="2821">
        <f t="shared" si="103"/>
        <v>-0.61309393474928697</v>
      </c>
      <c r="W14" s="2821">
        <f t="shared" si="103"/>
        <v>-1.3439083498567927</v>
      </c>
      <c r="X14" s="2821">
        <f t="shared" si="103"/>
        <v>1.8244752121482799</v>
      </c>
      <c r="Y14" s="2821">
        <f t="shared" si="103"/>
        <v>3.0045836348882471</v>
      </c>
      <c r="Z14" s="2821">
        <f t="shared" si="103"/>
        <v>2.9233291459961341</v>
      </c>
      <c r="AA14" s="2821">
        <f t="shared" si="103"/>
        <v>5.1985932974762061</v>
      </c>
      <c r="AB14" s="2821">
        <f t="shared" si="103"/>
        <v>2.6291467563368753</v>
      </c>
      <c r="AC14" s="2821">
        <f t="shared" si="103"/>
        <v>2.7840582487066445</v>
      </c>
      <c r="AD14" s="2821">
        <f t="shared" si="103"/>
        <v>0.84260760956695879</v>
      </c>
      <c r="AE14" s="2821">
        <f t="shared" si="103"/>
        <v>-0.86514465292539811</v>
      </c>
      <c r="AF14" s="2821">
        <f t="shared" si="103"/>
        <v>-2.4670408562850854</v>
      </c>
      <c r="AG14" s="2821">
        <f t="shared" si="103"/>
        <v>-1.4377485469562634</v>
      </c>
      <c r="AH14" s="2821">
        <f t="shared" si="103"/>
        <v>-0.80113283674735358</v>
      </c>
      <c r="AI14" s="2821">
        <f t="shared" si="103"/>
        <v>1.2319364868299987</v>
      </c>
      <c r="AJ14" s="2821">
        <f t="shared" si="103"/>
        <v>1.1860379763951379</v>
      </c>
      <c r="AK14" s="2821">
        <f t="shared" si="103"/>
        <v>1.1053204283832496</v>
      </c>
      <c r="AL14" s="2821">
        <f t="shared" si="103"/>
        <v>0.87609984517200701</v>
      </c>
      <c r="AM14" s="2821">
        <f t="shared" si="103"/>
        <v>-0.42675850709392726</v>
      </c>
      <c r="AN14" s="2821">
        <f t="shared" si="103"/>
        <v>-0.55453212526787032</v>
      </c>
      <c r="AO14" s="2821">
        <f t="shared" si="103"/>
        <v>0.51036803205868342</v>
      </c>
      <c r="AP14" s="2821">
        <f t="shared" si="103"/>
        <v>2.2906362251518653</v>
      </c>
      <c r="AQ14" s="2821">
        <f t="shared" si="103"/>
        <v>1.4947325844349324</v>
      </c>
      <c r="AR14" s="2821">
        <f t="shared" si="103"/>
        <v>1.7498731975943871</v>
      </c>
      <c r="AS14" s="2821">
        <f t="shared" si="103"/>
        <v>1.7482641979704505</v>
      </c>
      <c r="AT14" s="2821">
        <f t="shared" si="103"/>
        <v>2.2676371780515181</v>
      </c>
      <c r="AU14" s="2821">
        <f t="shared" si="103"/>
        <v>1.2062003832466361</v>
      </c>
      <c r="AV14" s="2821">
        <f t="shared" si="103"/>
        <v>2.0709008841478971</v>
      </c>
      <c r="AW14" s="2821">
        <f t="shared" si="103"/>
        <v>0.74530458113883924</v>
      </c>
      <c r="AX14" s="2821">
        <f t="shared" si="103"/>
        <v>0.71184323009141348</v>
      </c>
      <c r="AY14" s="2821">
        <f t="shared" si="103"/>
        <v>2.2200094676874338</v>
      </c>
      <c r="AZ14" s="2821">
        <f t="shared" si="103"/>
        <v>0.83198926877565693</v>
      </c>
      <c r="BA14" s="2821">
        <f t="shared" si="103"/>
        <v>0.14253587152766034</v>
      </c>
      <c r="BB14" s="2821">
        <f t="shared" si="103"/>
        <v>0.80180921052630527</v>
      </c>
      <c r="BC14" s="2821">
        <f t="shared" si="103"/>
        <v>2.9118749901943852</v>
      </c>
      <c r="BD14" s="2821">
        <f t="shared" si="103"/>
        <v>1.2104581141855197</v>
      </c>
      <c r="BE14" s="2821">
        <f t="shared" ref="BE14:BN14" si="104">+BE210</f>
        <v>1.2246004609197447</v>
      </c>
      <c r="BF14" s="2821">
        <f t="shared" si="104"/>
        <v>1.0267551560965371</v>
      </c>
      <c r="BG14" s="977">
        <f t="shared" si="104"/>
        <v>2.0753549755494038</v>
      </c>
      <c r="BH14" s="977">
        <f t="shared" si="104"/>
        <v>2.7719657724996738</v>
      </c>
      <c r="BI14" s="977">
        <f t="shared" si="104"/>
        <v>-0.29766083513519392</v>
      </c>
      <c r="BJ14" s="977">
        <f t="shared" si="104"/>
        <v>-8.6804675397831321</v>
      </c>
      <c r="BK14" s="977">
        <f t="shared" si="104"/>
        <v>-5.5068932547882703</v>
      </c>
      <c r="BL14" s="977">
        <f t="shared" si="104"/>
        <v>0.51081191350470512</v>
      </c>
      <c r="BM14" s="977">
        <f t="shared" si="104"/>
        <v>3.5493927388452251</v>
      </c>
      <c r="BN14" s="977">
        <f t="shared" si="104"/>
        <v>1.669959544642019</v>
      </c>
      <c r="BO14" s="977">
        <f t="shared" ref="BO14:BV14" si="105">+BO210</f>
        <v>1.9617822606764479</v>
      </c>
      <c r="BP14" s="977">
        <f t="shared" si="105"/>
        <v>4.7117726248279368</v>
      </c>
      <c r="BQ14" s="977">
        <f t="shared" si="105"/>
        <v>0.56770577528675314</v>
      </c>
      <c r="BR14" s="977">
        <f t="shared" si="105"/>
        <v>1.5886467774601787</v>
      </c>
      <c r="BS14" s="977">
        <f t="shared" si="105"/>
        <v>3.2930364086249719</v>
      </c>
      <c r="BT14" s="977">
        <f t="shared" si="105"/>
        <v>1.370219289840402</v>
      </c>
      <c r="BU14" s="977">
        <f t="shared" si="105"/>
        <v>2.0579299169535936</v>
      </c>
      <c r="BV14" s="977">
        <f t="shared" si="105"/>
        <v>-3.219148176080644</v>
      </c>
      <c r="BW14" s="977">
        <f t="shared" ref="BW14:CD14" si="106">+BW210</f>
        <v>2.3227517567604439</v>
      </c>
      <c r="BX14" s="977">
        <f t="shared" si="106"/>
        <v>-0.97134077092658755</v>
      </c>
      <c r="BY14" s="977">
        <f t="shared" si="106"/>
        <v>-0.75690115761352095</v>
      </c>
      <c r="BZ14" s="977">
        <f t="shared" si="106"/>
        <v>5.5739086694672757E-2</v>
      </c>
      <c r="CA14" s="977">
        <f>+CA210</f>
        <v>-0.36414032990027545</v>
      </c>
      <c r="CB14" s="977">
        <f t="shared" si="106"/>
        <v>0.30410473203328348</v>
      </c>
      <c r="CC14" s="977">
        <f t="shared" ref="CC14" si="107">+CC210</f>
        <v>1.1080445393117921</v>
      </c>
      <c r="CD14" s="977">
        <f t="shared" si="106"/>
        <v>2.0331325301204739</v>
      </c>
      <c r="CE14" s="977">
        <f>+CE210</f>
        <v>1.1175540326831879</v>
      </c>
      <c r="CF14" s="977">
        <f t="shared" ref="CF14:CH14" si="108">+CF210</f>
        <v>1.5835157960587987</v>
      </c>
      <c r="CG14" s="977">
        <f t="shared" si="108"/>
        <v>3.7950810207459273</v>
      </c>
      <c r="CH14" s="977">
        <f t="shared" si="108"/>
        <v>-1.1174151122977372</v>
      </c>
      <c r="CI14" s="977">
        <f>+CI210</f>
        <v>2.0475767841294124</v>
      </c>
      <c r="CJ14" s="977">
        <f t="shared" ref="CJ14:CL14" si="109">+CJ210</f>
        <v>-1.2617137257303845</v>
      </c>
      <c r="CK14" s="977">
        <f t="shared" si="109"/>
        <v>-0.33000434216240437</v>
      </c>
      <c r="CL14" s="977">
        <f t="shared" si="109"/>
        <v>3.7291975254857501</v>
      </c>
      <c r="CM14" s="977">
        <f>+CM210</f>
        <v>-0.59878802423950495</v>
      </c>
      <c r="CN14" s="977">
        <f t="shared" ref="CN14:CP14" si="110">+CN210</f>
        <v>6.1277705345502032</v>
      </c>
      <c r="CO14" s="977">
        <f t="shared" si="110"/>
        <v>3.0564655564655485</v>
      </c>
      <c r="CP14" s="977">
        <f t="shared" si="110"/>
        <v>1.3565271139857948</v>
      </c>
      <c r="CQ14" s="977">
        <f>+CQ210</f>
        <v>-0.51618242801759751</v>
      </c>
      <c r="CR14" s="977">
        <f t="shared" ref="CR14:CS14" si="111">+CR210</f>
        <v>0.77719640081441721</v>
      </c>
      <c r="CS14" s="977">
        <f t="shared" si="111"/>
        <v>-0.73861661452901961</v>
      </c>
      <c r="CT14" s="977">
        <f t="shared" ref="CT14" si="112">+CT210</f>
        <v>1.5702967696752168</v>
      </c>
      <c r="CU14" s="977">
        <f t="shared" ref="CU14:CX14" si="113">+CU210</f>
        <v>1.6</v>
      </c>
      <c r="CV14" s="977">
        <f t="shared" si="113"/>
        <v>1.55</v>
      </c>
      <c r="CW14" s="977">
        <f t="shared" si="113"/>
        <v>1.4</v>
      </c>
      <c r="CX14" s="977">
        <f t="shared" si="113"/>
        <v>1.3</v>
      </c>
      <c r="CY14" s="977">
        <f t="shared" ref="CY14:DB14" si="114">+CY210</f>
        <v>1.1000000000000001</v>
      </c>
      <c r="CZ14" s="977">
        <f t="shared" si="114"/>
        <v>0.93</v>
      </c>
      <c r="DA14" s="977">
        <f t="shared" si="114"/>
        <v>0.87</v>
      </c>
      <c r="DB14" s="977">
        <f t="shared" si="114"/>
        <v>0.84</v>
      </c>
    </row>
    <row r="15" spans="1:106" s="1232" customFormat="1">
      <c r="A15" s="715"/>
      <c r="B15" s="715">
        <v>24</v>
      </c>
      <c r="C15" s="946"/>
      <c r="D15" s="3763"/>
      <c r="E15" s="3764" t="s">
        <v>701</v>
      </c>
      <c r="F15" s="3765"/>
      <c r="G15" s="3396"/>
      <c r="H15" s="3788">
        <f t="shared" ref="H15:BD15" si="115">+H232</f>
        <v>0.47953919498930908</v>
      </c>
      <c r="I15" s="3788">
        <f t="shared" si="115"/>
        <v>0.73883400584386916</v>
      </c>
      <c r="J15" s="3788">
        <f t="shared" si="115"/>
        <v>0.36601704396348467</v>
      </c>
      <c r="K15" s="3788">
        <f t="shared" si="115"/>
        <v>-0.20091927448875335</v>
      </c>
      <c r="L15" s="3788">
        <f t="shared" si="115"/>
        <v>0.76254826254826824</v>
      </c>
      <c r="M15" s="3788">
        <f t="shared" si="115"/>
        <v>0.50086899401968754</v>
      </c>
      <c r="N15" s="3788">
        <f t="shared" si="115"/>
        <v>0.78840942823297233</v>
      </c>
      <c r="O15" s="3788">
        <f t="shared" si="115"/>
        <v>0.93490772514792653</v>
      </c>
      <c r="P15" s="3788">
        <f t="shared" si="115"/>
        <v>1.4844063713023825</v>
      </c>
      <c r="Q15" s="3788">
        <f t="shared" si="115"/>
        <v>0.86917527268888239</v>
      </c>
      <c r="R15" s="3788">
        <f t="shared" si="115"/>
        <v>0.57271372159313216</v>
      </c>
      <c r="S15" s="3788">
        <f t="shared" si="115"/>
        <v>0.26522440064487007</v>
      </c>
      <c r="T15" s="3788">
        <f t="shared" si="115"/>
        <v>0.33324688796678714</v>
      </c>
      <c r="U15" s="3788">
        <f t="shared" si="115"/>
        <v>0.31404680977553667</v>
      </c>
      <c r="V15" s="3788">
        <f t="shared" si="115"/>
        <v>0.24735892811129645</v>
      </c>
      <c r="W15" s="3788">
        <f t="shared" si="115"/>
        <v>1.0589626278723063</v>
      </c>
      <c r="X15" s="3788">
        <f t="shared" si="115"/>
        <v>1.3467114298794325</v>
      </c>
      <c r="Y15" s="3788">
        <f t="shared" si="115"/>
        <v>1.4404918752745077</v>
      </c>
      <c r="Z15" s="3788">
        <f t="shared" si="115"/>
        <v>1.1800650643840394</v>
      </c>
      <c r="AA15" s="3788">
        <f t="shared" si="115"/>
        <v>0.74697116031150479</v>
      </c>
      <c r="AB15" s="3788">
        <f t="shared" si="115"/>
        <v>0.65770313561790417</v>
      </c>
      <c r="AC15" s="3788">
        <f t="shared" si="115"/>
        <v>0.39783001808317842</v>
      </c>
      <c r="AD15" s="3788">
        <f t="shared" si="115"/>
        <v>0.88616714697407062</v>
      </c>
      <c r="AE15" s="3788">
        <f t="shared" si="115"/>
        <v>-5.8320836011338528E-2</v>
      </c>
      <c r="AF15" s="3788">
        <f t="shared" si="115"/>
        <v>-5.8354869058807601E-2</v>
      </c>
      <c r="AG15" s="3788">
        <f t="shared" si="115"/>
        <v>-0.20495710200190143</v>
      </c>
      <c r="AH15" s="3788">
        <f t="shared" si="115"/>
        <v>-5.8508859913075639E-2</v>
      </c>
      <c r="AI15" s="3788">
        <f t="shared" si="115"/>
        <v>0.93071601811252069</v>
      </c>
      <c r="AJ15" s="3788">
        <f t="shared" si="115"/>
        <v>0.878335187859558</v>
      </c>
      <c r="AK15" s="3788">
        <f t="shared" si="115"/>
        <v>0.52804505984511696</v>
      </c>
      <c r="AL15" s="3788">
        <f t="shared" si="115"/>
        <v>0.31049375510681099</v>
      </c>
      <c r="AM15" s="3788">
        <f t="shared" si="115"/>
        <v>-0.39447961273507692</v>
      </c>
      <c r="AN15" s="3788">
        <f t="shared" si="115"/>
        <v>0.10047081089292753</v>
      </c>
      <c r="AO15" s="3788">
        <f t="shared" si="115"/>
        <v>0.38514057631036103</v>
      </c>
      <c r="AP15" s="3788">
        <f t="shared" si="115"/>
        <v>0.74523618522779334</v>
      </c>
      <c r="AQ15" s="3788">
        <f t="shared" si="115"/>
        <v>1.5579200036928587</v>
      </c>
      <c r="AR15" s="3788">
        <f t="shared" si="115"/>
        <v>0.98063724376165062</v>
      </c>
      <c r="AS15" s="3788">
        <f t="shared" si="115"/>
        <v>0.87434030630042514</v>
      </c>
      <c r="AT15" s="3788">
        <f t="shared" si="115"/>
        <v>0.31903975726206291</v>
      </c>
      <c r="AU15" s="3788">
        <f t="shared" si="115"/>
        <v>0.39586344934949835</v>
      </c>
      <c r="AV15" s="3788">
        <f t="shared" si="115"/>
        <v>0.4995237356843818</v>
      </c>
      <c r="AW15" s="3788">
        <f t="shared" si="115"/>
        <v>0.38683227349372018</v>
      </c>
      <c r="AX15" s="3788">
        <f t="shared" si="115"/>
        <v>0.8003249604777718</v>
      </c>
      <c r="AY15" s="3788">
        <f t="shared" si="115"/>
        <v>0.62842393020901</v>
      </c>
      <c r="AZ15" s="3788">
        <f t="shared" si="115"/>
        <v>0.32686105158343803</v>
      </c>
      <c r="BA15" s="3788">
        <f t="shared" si="115"/>
        <v>0.84253905238629301</v>
      </c>
      <c r="BB15" s="3788">
        <f t="shared" si="115"/>
        <v>1.0772703445767418</v>
      </c>
      <c r="BC15" s="3788">
        <f t="shared" si="115"/>
        <v>1.2869903899072943</v>
      </c>
      <c r="BD15" s="3788">
        <f t="shared" si="115"/>
        <v>0.39289446185997168</v>
      </c>
      <c r="BE15" s="3788">
        <f t="shared" ref="BE15:BN15" si="116">+BE232</f>
        <v>0.77230525833715813</v>
      </c>
      <c r="BF15" s="3788">
        <f t="shared" si="116"/>
        <v>0.5050713710260446</v>
      </c>
      <c r="BG15" s="3788">
        <f t="shared" si="116"/>
        <v>0.57755351619102058</v>
      </c>
      <c r="BH15" s="3788">
        <f t="shared" si="116"/>
        <v>0.15939674462803755</v>
      </c>
      <c r="BI15" s="3788">
        <f t="shared" si="116"/>
        <v>-0.50293292527416877</v>
      </c>
      <c r="BJ15" s="3788">
        <f t="shared" si="116"/>
        <v>-2.0936718205306959</v>
      </c>
      <c r="BK15" s="3788">
        <f t="shared" si="116"/>
        <v>-1.1498586239396813</v>
      </c>
      <c r="BL15" s="3788">
        <f t="shared" si="116"/>
        <v>-0.10911941689972782</v>
      </c>
      <c r="BM15" s="3788">
        <f t="shared" si="116"/>
        <v>1.1135975564487977</v>
      </c>
      <c r="BN15" s="3788">
        <f t="shared" si="116"/>
        <v>0.84435540544793852</v>
      </c>
      <c r="BO15" s="3788">
        <f t="shared" ref="BO15:BZ15" si="117">+BO232</f>
        <v>0.47532867365618348</v>
      </c>
      <c r="BP15" s="3788">
        <f t="shared" si="117"/>
        <v>1.0093063218807208</v>
      </c>
      <c r="BQ15" s="3788">
        <f t="shared" si="117"/>
        <v>0.44170697712553331</v>
      </c>
      <c r="BR15" s="3788">
        <f t="shared" si="117"/>
        <v>0.41323578928036397</v>
      </c>
      <c r="BS15" s="3788">
        <f t="shared" si="117"/>
        <v>0.66150469454944183</v>
      </c>
      <c r="BT15" s="3788">
        <f t="shared" si="117"/>
        <v>0.28870516741872354</v>
      </c>
      <c r="BU15" s="3788">
        <f t="shared" si="117"/>
        <v>0.22345469003210994</v>
      </c>
      <c r="BV15" s="3788">
        <f t="shared" si="117"/>
        <v>6.7288668387388562E-2</v>
      </c>
      <c r="BW15" s="3788">
        <f t="shared" si="117"/>
        <v>0.19470483148997797</v>
      </c>
      <c r="BX15" s="3788">
        <f t="shared" si="117"/>
        <v>-0.1933247856398701</v>
      </c>
      <c r="BY15" s="3788">
        <f t="shared" si="117"/>
        <v>-3.8137677014016269E-2</v>
      </c>
      <c r="BZ15" s="3788">
        <f t="shared" si="117"/>
        <v>-0.12048071806508576</v>
      </c>
      <c r="CA15" s="3788">
        <f>+CA232</f>
        <v>-0.31965903036760279</v>
      </c>
      <c r="CB15" s="3788">
        <f t="shared" ref="CB15:CD15" si="118">+CB232</f>
        <v>0.48102618920364826</v>
      </c>
      <c r="CC15" s="3788">
        <f t="shared" si="118"/>
        <v>0.48875953432356845</v>
      </c>
      <c r="CD15" s="3788">
        <f t="shared" si="118"/>
        <v>0.29562455681284572</v>
      </c>
      <c r="CE15" s="3788">
        <f>+CE232</f>
        <v>0.30271949652969088</v>
      </c>
      <c r="CF15" s="3788">
        <f t="shared" ref="CF15:CH15" si="119">+CF232</f>
        <v>0.24819561785816013</v>
      </c>
      <c r="CG15" s="3788">
        <f t="shared" si="119"/>
        <v>0.38721689097516165</v>
      </c>
      <c r="CH15" s="3788">
        <f t="shared" si="119"/>
        <v>0.30680293583775775</v>
      </c>
      <c r="CI15" s="3788">
        <f>+CI232</f>
        <v>0.41306464461687842</v>
      </c>
      <c r="CJ15" s="3788">
        <f t="shared" ref="CJ15:CL15" si="120">+CJ232</f>
        <v>0.46621416468328736</v>
      </c>
      <c r="CK15" s="3788">
        <f t="shared" si="120"/>
        <v>5.8493785035351742E-2</v>
      </c>
      <c r="CL15" s="3788">
        <f t="shared" si="120"/>
        <v>0.47839430993326104</v>
      </c>
      <c r="CM15" s="3788">
        <f>+CM232</f>
        <v>0.27830033163314116</v>
      </c>
      <c r="CN15" s="3788">
        <f t="shared" ref="CN15:CP15" si="121">+CN232</f>
        <v>0.74071925193157639</v>
      </c>
      <c r="CO15" s="3788">
        <f t="shared" si="121"/>
        <v>0.11038693018745604</v>
      </c>
      <c r="CP15" s="3788">
        <f t="shared" si="121"/>
        <v>0.26080119661726631</v>
      </c>
      <c r="CQ15" s="3788">
        <f>+CQ232</f>
        <v>0.66943365912437436</v>
      </c>
      <c r="CR15" s="3788">
        <f t="shared" ref="CR15:CS15" si="122">+CR232</f>
        <v>0.45978758573517187</v>
      </c>
      <c r="CS15" s="3788">
        <f t="shared" si="122"/>
        <v>0.19196217494090728</v>
      </c>
      <c r="CT15" s="3788">
        <f t="shared" ref="CT15:CW15" si="123">+CT232</f>
        <v>0.5228733495040272</v>
      </c>
      <c r="CU15" s="3788">
        <f t="shared" si="123"/>
        <v>0.41039105410907162</v>
      </c>
      <c r="CV15" s="3788">
        <f t="shared" si="123"/>
        <v>0.53081669638552764</v>
      </c>
      <c r="CW15" s="3788">
        <f t="shared" si="123"/>
        <v>0.48686800151156451</v>
      </c>
      <c r="CX15" s="3788">
        <f t="shared" ref="CX15:DA15" si="124">+CX232</f>
        <v>0.48806190490571222</v>
      </c>
      <c r="CY15" s="3788">
        <f t="shared" si="124"/>
        <v>0.44246310151412338</v>
      </c>
      <c r="CZ15" s="3788">
        <f t="shared" si="124"/>
        <v>0.41954953692420194</v>
      </c>
      <c r="DA15" s="3788">
        <f t="shared" si="124"/>
        <v>0.3150866133281971</v>
      </c>
      <c r="DB15" s="3788">
        <f t="shared" ref="DB15" si="125">+DB232</f>
        <v>0.271646213633292</v>
      </c>
    </row>
    <row r="16" spans="1:106">
      <c r="BD16" s="1380"/>
      <c r="BE16" s="1380"/>
      <c r="BF16" s="1380"/>
      <c r="BG16" s="1380"/>
      <c r="BH16" s="1380"/>
      <c r="BI16" s="1380"/>
      <c r="BJ16" s="1380"/>
      <c r="BK16" s="1380"/>
      <c r="BL16" s="1604"/>
      <c r="BM16" s="1604"/>
      <c r="BN16" s="1604"/>
      <c r="BO16" s="1604"/>
      <c r="BP16" s="1380"/>
      <c r="BQ16" s="1380"/>
      <c r="BS16" s="1380"/>
      <c r="BT16" s="1380"/>
      <c r="BU16" s="1380"/>
      <c r="BV16" s="1380"/>
      <c r="BW16" s="1380"/>
      <c r="BX16" s="1380"/>
      <c r="BY16" s="1380"/>
      <c r="BZ16" s="1380"/>
      <c r="CA16" s="1380"/>
      <c r="CB16" s="1380"/>
      <c r="CC16" s="1380"/>
      <c r="CD16" s="1380"/>
      <c r="CE16" s="1380"/>
      <c r="CF16" s="1380"/>
      <c r="CG16" s="1380"/>
      <c r="CH16" s="1380"/>
      <c r="CI16" s="1380"/>
      <c r="CJ16" s="1380"/>
      <c r="CK16" s="1380"/>
      <c r="CL16" s="1380"/>
      <c r="CM16" s="1380"/>
      <c r="CN16" s="1380"/>
      <c r="CO16" s="1380"/>
      <c r="CP16" s="1380"/>
      <c r="CQ16" s="1380"/>
      <c r="CR16" s="1380"/>
      <c r="CS16" s="1380"/>
    </row>
    <row r="17" spans="1:106" s="749" customFormat="1" ht="12.75" customHeight="1">
      <c r="A17" s="714"/>
      <c r="B17" s="714"/>
      <c r="C17" s="1456"/>
      <c r="D17" s="790"/>
      <c r="E17" s="791" t="s">
        <v>166</v>
      </c>
      <c r="F17" s="792"/>
      <c r="G17" s="1484" t="s">
        <v>364</v>
      </c>
      <c r="H17" s="1485" t="s">
        <v>671</v>
      </c>
      <c r="I17" s="1485" t="s">
        <v>672</v>
      </c>
      <c r="J17" s="1486" t="s">
        <v>673</v>
      </c>
      <c r="K17" s="1484" t="s">
        <v>364</v>
      </c>
      <c r="L17" s="1485" t="s">
        <v>671</v>
      </c>
      <c r="M17" s="1485" t="s">
        <v>672</v>
      </c>
      <c r="N17" s="1486" t="s">
        <v>673</v>
      </c>
      <c r="O17" s="1484" t="s">
        <v>364</v>
      </c>
      <c r="P17" s="1485" t="s">
        <v>671</v>
      </c>
      <c r="Q17" s="1485" t="s">
        <v>672</v>
      </c>
      <c r="R17" s="1486" t="s">
        <v>673</v>
      </c>
      <c r="S17" s="1484" t="s">
        <v>364</v>
      </c>
      <c r="T17" s="1485" t="s">
        <v>671</v>
      </c>
      <c r="U17" s="1485" t="s">
        <v>672</v>
      </c>
      <c r="V17" s="1486" t="s">
        <v>673</v>
      </c>
      <c r="W17" s="1484" t="s">
        <v>364</v>
      </c>
      <c r="X17" s="1485" t="s">
        <v>671</v>
      </c>
      <c r="Y17" s="1485" t="s">
        <v>672</v>
      </c>
      <c r="Z17" s="1486" t="s">
        <v>673</v>
      </c>
      <c r="AA17" s="1484" t="s">
        <v>364</v>
      </c>
      <c r="AB17" s="1485" t="s">
        <v>671</v>
      </c>
      <c r="AC17" s="1485" t="s">
        <v>672</v>
      </c>
      <c r="AD17" s="1486" t="s">
        <v>673</v>
      </c>
      <c r="AE17" s="1484" t="s">
        <v>364</v>
      </c>
      <c r="AF17" s="1485" t="s">
        <v>671</v>
      </c>
      <c r="AG17" s="1485" t="s">
        <v>672</v>
      </c>
      <c r="AH17" s="1486" t="s">
        <v>673</v>
      </c>
      <c r="AI17" s="1484" t="s">
        <v>364</v>
      </c>
      <c r="AJ17" s="1485" t="s">
        <v>671</v>
      </c>
      <c r="AK17" s="1485" t="s">
        <v>672</v>
      </c>
      <c r="AL17" s="1486" t="s">
        <v>673</v>
      </c>
      <c r="AM17" s="1484" t="s">
        <v>364</v>
      </c>
      <c r="AN17" s="1485" t="s">
        <v>671</v>
      </c>
      <c r="AO17" s="1485" t="s">
        <v>672</v>
      </c>
      <c r="AP17" s="1486" t="s">
        <v>673</v>
      </c>
      <c r="AQ17" s="1484" t="s">
        <v>364</v>
      </c>
      <c r="AR17" s="1485" t="s">
        <v>671</v>
      </c>
      <c r="AS17" s="1485" t="s">
        <v>672</v>
      </c>
      <c r="AT17" s="1486" t="s">
        <v>673</v>
      </c>
      <c r="AU17" s="1484" t="s">
        <v>364</v>
      </c>
      <c r="AV17" s="1485" t="s">
        <v>671</v>
      </c>
      <c r="AW17" s="1485" t="s">
        <v>672</v>
      </c>
      <c r="AX17" s="1486" t="s">
        <v>673</v>
      </c>
      <c r="AY17" s="1484" t="s">
        <v>364</v>
      </c>
      <c r="AZ17" s="1485" t="s">
        <v>671</v>
      </c>
      <c r="BA17" s="1485" t="s">
        <v>672</v>
      </c>
      <c r="BB17" s="1485" t="s">
        <v>673</v>
      </c>
      <c r="BC17" s="1485" t="s">
        <v>364</v>
      </c>
      <c r="BD17" s="1485" t="s">
        <v>671</v>
      </c>
      <c r="BE17" s="1485" t="s">
        <v>672</v>
      </c>
      <c r="BF17" s="1485" t="s">
        <v>673</v>
      </c>
      <c r="BG17" s="1485" t="s">
        <v>364</v>
      </c>
      <c r="BH17" s="1485" t="s">
        <v>671</v>
      </c>
      <c r="BI17" s="1485" t="s">
        <v>672</v>
      </c>
      <c r="BJ17" s="1485" t="s">
        <v>673</v>
      </c>
      <c r="BK17" s="1485" t="s">
        <v>364</v>
      </c>
      <c r="BL17" s="1485" t="s">
        <v>671</v>
      </c>
      <c r="BM17" s="1485" t="s">
        <v>672</v>
      </c>
      <c r="BN17" s="1485" t="s">
        <v>673</v>
      </c>
      <c r="BO17" s="1485" t="s">
        <v>364</v>
      </c>
      <c r="BP17" s="1485" t="s">
        <v>671</v>
      </c>
      <c r="BQ17" s="1485" t="s">
        <v>672</v>
      </c>
      <c r="BR17" s="1485" t="s">
        <v>673</v>
      </c>
      <c r="BS17" s="1485" t="s">
        <v>364</v>
      </c>
      <c r="BT17" s="1485" t="s">
        <v>671</v>
      </c>
      <c r="BU17" s="1485" t="s">
        <v>672</v>
      </c>
      <c r="BV17" s="1485" t="s">
        <v>673</v>
      </c>
      <c r="BW17" s="1485" t="s">
        <v>364</v>
      </c>
      <c r="BX17" s="1485" t="s">
        <v>671</v>
      </c>
      <c r="BY17" s="1485" t="s">
        <v>672</v>
      </c>
      <c r="BZ17" s="1485" t="s">
        <v>673</v>
      </c>
      <c r="CA17" s="1485" t="s">
        <v>364</v>
      </c>
      <c r="CB17" s="1485" t="s">
        <v>671</v>
      </c>
      <c r="CC17" s="1485" t="s">
        <v>672</v>
      </c>
      <c r="CD17" s="1485" t="s">
        <v>673</v>
      </c>
      <c r="CE17" s="1485" t="s">
        <v>364</v>
      </c>
      <c r="CF17" s="1485" t="s">
        <v>671</v>
      </c>
      <c r="CG17" s="1485" t="s">
        <v>672</v>
      </c>
      <c r="CH17" s="1485" t="s">
        <v>673</v>
      </c>
      <c r="CI17" s="1485" t="s">
        <v>364</v>
      </c>
      <c r="CJ17" s="1485" t="s">
        <v>671</v>
      </c>
      <c r="CK17" s="1485" t="s">
        <v>672</v>
      </c>
      <c r="CL17" s="1485" t="s">
        <v>673</v>
      </c>
      <c r="CM17" s="1485" t="s">
        <v>364</v>
      </c>
      <c r="CN17" s="1485" t="s">
        <v>671</v>
      </c>
      <c r="CO17" s="1485" t="s">
        <v>672</v>
      </c>
      <c r="CP17" s="1485" t="s">
        <v>673</v>
      </c>
      <c r="CQ17" s="1485" t="s">
        <v>364</v>
      </c>
      <c r="CR17" s="1485" t="s">
        <v>671</v>
      </c>
      <c r="CS17" s="1485" t="s">
        <v>672</v>
      </c>
      <c r="CT17" s="1485" t="s">
        <v>673</v>
      </c>
      <c r="CU17" s="1485" t="s">
        <v>364</v>
      </c>
      <c r="CV17" s="1485" t="s">
        <v>671</v>
      </c>
      <c r="CW17" s="1485" t="s">
        <v>672</v>
      </c>
      <c r="CX17" s="1485" t="s">
        <v>673</v>
      </c>
      <c r="CY17" s="1485" t="s">
        <v>364</v>
      </c>
      <c r="CZ17" s="1485" t="s">
        <v>671</v>
      </c>
      <c r="DA17" s="1485" t="s">
        <v>672</v>
      </c>
      <c r="DB17" s="1485" t="s">
        <v>673</v>
      </c>
    </row>
    <row r="18" spans="1:106">
      <c r="B18" s="715">
        <v>15</v>
      </c>
      <c r="C18" s="810"/>
      <c r="D18" s="739"/>
      <c r="E18" s="781" t="s">
        <v>1534</v>
      </c>
      <c r="F18" s="811"/>
      <c r="G18" s="2818"/>
      <c r="H18" s="2818">
        <f t="shared" ref="H18:AM18" si="126">(H38-G38)/(H$227-G$227)*H$232</f>
        <v>0.46975268080584692</v>
      </c>
      <c r="I18" s="2818">
        <f t="shared" si="126"/>
        <v>0.45081396966744997</v>
      </c>
      <c r="J18" s="2818">
        <f t="shared" si="126"/>
        <v>0.37016063314042996</v>
      </c>
      <c r="K18" s="2818">
        <f t="shared" si="126"/>
        <v>0.16926760795969889</v>
      </c>
      <c r="L18" s="2818">
        <f t="shared" si="126"/>
        <v>0.36679536679537872</v>
      </c>
      <c r="M18" s="2818">
        <f t="shared" si="126"/>
        <v>0.25864546412492095</v>
      </c>
      <c r="N18" s="2818">
        <f t="shared" si="126"/>
        <v>6.2637018477920123E-2</v>
      </c>
      <c r="O18" s="2818">
        <f t="shared" si="126"/>
        <v>0.17968602231888922</v>
      </c>
      <c r="P18" s="2818">
        <f t="shared" si="126"/>
        <v>0.43099986614911401</v>
      </c>
      <c r="Q18" s="2818">
        <f t="shared" si="126"/>
        <v>0.33500837520937321</v>
      </c>
      <c r="R18" s="2818">
        <f t="shared" si="126"/>
        <v>0.1817516148434854</v>
      </c>
      <c r="S18" s="2818">
        <f t="shared" si="126"/>
        <v>0.41343803629933779</v>
      </c>
      <c r="T18" s="2818">
        <f t="shared" si="126"/>
        <v>0.56794605809127929</v>
      </c>
      <c r="U18" s="2818">
        <f t="shared" si="126"/>
        <v>0.40451296897011429</v>
      </c>
      <c r="V18" s="2818">
        <f t="shared" si="126"/>
        <v>8.889461479000374E-2</v>
      </c>
      <c r="W18" s="2818">
        <f t="shared" si="126"/>
        <v>2.8273274045132489E-2</v>
      </c>
      <c r="X18" s="2818">
        <f t="shared" si="126"/>
        <v>0.27849839768045143</v>
      </c>
      <c r="Y18" s="2818">
        <f t="shared" si="126"/>
        <v>0.39902126858648623</v>
      </c>
      <c r="Z18" s="2818">
        <f t="shared" si="126"/>
        <v>0.26099971549794615</v>
      </c>
      <c r="AA18" s="2818">
        <f t="shared" si="126"/>
        <v>0.46945486998300512</v>
      </c>
      <c r="AB18" s="2818">
        <f t="shared" si="126"/>
        <v>0.36282885156780892</v>
      </c>
      <c r="AC18" s="2818">
        <f t="shared" si="126"/>
        <v>0.46172393007835255</v>
      </c>
      <c r="AD18" s="2818">
        <f t="shared" si="126"/>
        <v>0.48751200768492126</v>
      </c>
      <c r="AE18" s="2818">
        <f t="shared" si="126"/>
        <v>9.5217691447076924E-2</v>
      </c>
      <c r="AF18" s="2818">
        <f t="shared" si="126"/>
        <v>-8.0982267265302499E-2</v>
      </c>
      <c r="AG18" s="2818">
        <f t="shared" si="126"/>
        <v>-0.26334604385128069</v>
      </c>
      <c r="AH18" s="2818">
        <f t="shared" si="126"/>
        <v>-0.22567703109326145</v>
      </c>
      <c r="AI18" s="2818">
        <f t="shared" si="126"/>
        <v>0.21505633281162292</v>
      </c>
      <c r="AJ18" s="2818">
        <f t="shared" si="126"/>
        <v>0.19176590354885001</v>
      </c>
      <c r="AK18" s="2818">
        <f t="shared" si="126"/>
        <v>0.24876789486036852</v>
      </c>
      <c r="AL18" s="2818">
        <f t="shared" si="126"/>
        <v>0.19143223999065501</v>
      </c>
      <c r="AM18" s="2818">
        <f t="shared" si="126"/>
        <v>-0.14778439769130097</v>
      </c>
      <c r="AN18" s="2818">
        <f t="shared" ref="AN18:BV18" si="127">(AN38-AM38)/(AN$227-AM$227)*AN$232</f>
        <v>-9.3461219435273898E-2</v>
      </c>
      <c r="AO18" s="2818">
        <f t="shared" si="127"/>
        <v>0.11670926554859652</v>
      </c>
      <c r="AP18" s="2818">
        <f t="shared" si="127"/>
        <v>0.4743469010498359</v>
      </c>
      <c r="AQ18" s="2818">
        <f t="shared" si="127"/>
        <v>0.28850370438756456</v>
      </c>
      <c r="AR18" s="2818">
        <f t="shared" si="127"/>
        <v>7.2723967092405251E-2</v>
      </c>
      <c r="AS18" s="2818">
        <f t="shared" si="127"/>
        <v>4.3885806879945727E-2</v>
      </c>
      <c r="AT18" s="2818">
        <f t="shared" si="127"/>
        <v>0.24987729240105133</v>
      </c>
      <c r="AU18" s="2818">
        <f t="shared" si="127"/>
        <v>4.4479039252752359E-2</v>
      </c>
      <c r="AV18" s="2818">
        <f t="shared" si="127"/>
        <v>0.13512615466407754</v>
      </c>
      <c r="AW18" s="2818">
        <f t="shared" si="127"/>
        <v>0.34605508227073639</v>
      </c>
      <c r="AX18" s="2818">
        <f t="shared" si="127"/>
        <v>0.37546109256981791</v>
      </c>
      <c r="AY18" s="2818">
        <f t="shared" si="127"/>
        <v>0.12851650565798692</v>
      </c>
      <c r="AZ18" s="2818">
        <f t="shared" si="127"/>
        <v>6.4939281771548063E-2</v>
      </c>
      <c r="BA18" s="2818">
        <f t="shared" si="127"/>
        <v>5.6097350478984086E-2</v>
      </c>
      <c r="BB18" s="2818">
        <f t="shared" si="127"/>
        <v>0.24284048482515072</v>
      </c>
      <c r="BC18" s="2818">
        <f t="shared" si="127"/>
        <v>0.32598111849625311</v>
      </c>
      <c r="BD18" s="2818">
        <f t="shared" si="127"/>
        <v>0.24137931034482338</v>
      </c>
      <c r="BE18" s="2818">
        <f t="shared" si="127"/>
        <v>0.25188392522586872</v>
      </c>
      <c r="BF18" s="2818">
        <f t="shared" si="127"/>
        <v>0.25511784998656822</v>
      </c>
      <c r="BG18" s="2818">
        <f t="shared" si="127"/>
        <v>0.50356089489964118</v>
      </c>
      <c r="BH18" s="2818">
        <f t="shared" si="127"/>
        <v>0.16450561464816213</v>
      </c>
      <c r="BI18" s="2818">
        <f t="shared" si="127"/>
        <v>-7.95715378729865E-2</v>
      </c>
      <c r="BJ18" s="2818">
        <f t="shared" si="127"/>
        <v>-0.48189312225730846</v>
      </c>
      <c r="BK18" s="2818">
        <f t="shared" si="127"/>
        <v>-0.13090375955597477</v>
      </c>
      <c r="BL18" s="2818">
        <f t="shared" si="127"/>
        <v>0.40681413679123313</v>
      </c>
      <c r="BM18" s="2818">
        <f t="shared" si="127"/>
        <v>0.65967398105824937</v>
      </c>
      <c r="BN18" s="2818">
        <f t="shared" si="127"/>
        <v>0.52024879640021104</v>
      </c>
      <c r="BO18" s="2818">
        <f t="shared" si="127"/>
        <v>0.40044100515893272</v>
      </c>
      <c r="BP18" s="2818">
        <f t="shared" si="127"/>
        <v>0.15527789567396383</v>
      </c>
      <c r="BQ18" s="2818">
        <f t="shared" si="127"/>
        <v>-2.0496843486106288E-2</v>
      </c>
      <c r="BR18" s="2818">
        <f t="shared" si="127"/>
        <v>0.29589723183038236</v>
      </c>
      <c r="BS18" s="2818">
        <f t="shared" si="127"/>
        <v>-0.18900134129984153</v>
      </c>
      <c r="BT18" s="2818">
        <f>(BT38-BS38)/(BT$227-BS$227)*BT$232</f>
        <v>-5.0472931366863571E-3</v>
      </c>
      <c r="BU18" s="2818">
        <f t="shared" si="127"/>
        <v>0.16406808322177538</v>
      </c>
      <c r="BV18" s="2818">
        <f t="shared" si="127"/>
        <v>0</v>
      </c>
      <c r="BW18" s="2818">
        <f t="shared" ref="BW18:CH18" si="128">(BW38-BV38)/(BW$227-BV$227)*BW$232</f>
        <v>0.1635922037776755</v>
      </c>
      <c r="BX18" s="2818">
        <f t="shared" si="128"/>
        <v>-1.8030290888693432E-2</v>
      </c>
      <c r="BY18" s="2818">
        <f t="shared" si="128"/>
        <v>0.13448549262838516</v>
      </c>
      <c r="BZ18" s="2818">
        <f t="shared" si="128"/>
        <v>0.15863294545235104</v>
      </c>
      <c r="CA18" s="2818">
        <f t="shared" si="128"/>
        <v>3.3172163528714979E-2</v>
      </c>
      <c r="CB18" s="2818">
        <f t="shared" si="128"/>
        <v>0.12403819973176204</v>
      </c>
      <c r="CC18" s="2818">
        <f t="shared" si="128"/>
        <v>0.18466479325572144</v>
      </c>
      <c r="CD18" s="2818">
        <f t="shared" si="128"/>
        <v>-6.0922628262105323E-2</v>
      </c>
      <c r="CE18" s="2818">
        <f t="shared" si="128"/>
        <v>0.10654929647590955</v>
      </c>
      <c r="CF18" s="2818">
        <f t="shared" si="128"/>
        <v>1.4891737071490172E-2</v>
      </c>
      <c r="CG18" s="2818">
        <f t="shared" si="128"/>
        <v>0.115867969933744</v>
      </c>
      <c r="CH18" s="2818">
        <f t="shared" si="128"/>
        <v>0.24465314497673193</v>
      </c>
      <c r="CI18" s="2942">
        <f t="shared" ref="CI18" si="129">(CI38-CH38)/(CI$227-CH$227)*CI$232</f>
        <v>2.6554155725364664E-2</v>
      </c>
      <c r="CJ18" s="2942">
        <f t="shared" ref="CJ18:CS18" si="130">(CJ38-CI38)/(CJ$227-CI$227)*CJ$232</f>
        <v>0.11361521660349704</v>
      </c>
      <c r="CK18" s="2942">
        <f t="shared" si="130"/>
        <v>9.7489641725577003E-2</v>
      </c>
      <c r="CL18" s="2942">
        <f t="shared" si="130"/>
        <v>0.20655721732352952</v>
      </c>
      <c r="CM18" s="2942">
        <f t="shared" si="130"/>
        <v>0.28120939433314623</v>
      </c>
      <c r="CN18" s="2942">
        <f t="shared" si="130"/>
        <v>0.336514751530269</v>
      </c>
      <c r="CO18" s="2942">
        <f t="shared" si="130"/>
        <v>0.15454170226244665</v>
      </c>
      <c r="CP18" s="2942">
        <f t="shared" si="130"/>
        <v>-9.5882792873769535E-4</v>
      </c>
      <c r="CQ18" s="2942">
        <f t="shared" si="130"/>
        <v>0.18074708796358038</v>
      </c>
      <c r="CR18" s="2942">
        <f t="shared" si="130"/>
        <v>0.21659415195788798</v>
      </c>
      <c r="CS18" s="2942">
        <f t="shared" si="130"/>
        <v>0.10307328605201442</v>
      </c>
      <c r="CT18" s="2942">
        <f t="shared" ref="CT18" si="131">(CT38-CS38)/(CT$227-CS$227)*CT$232</f>
        <v>7.3617547403096589E-2</v>
      </c>
      <c r="CU18" s="2942">
        <f t="shared" ref="CU18" si="132">(CU38-CT38)/(CU$227-CT$227)*CU$232</f>
        <v>0.2692720666247253</v>
      </c>
      <c r="CV18" s="2942">
        <f t="shared" ref="CV18" si="133">(CV38-CU38)/(CV$227-CU$227)*CV$232</f>
        <v>0.26959282374666921</v>
      </c>
      <c r="CW18" s="2942">
        <f t="shared" ref="CW18" si="134">(CW38-CV38)/(CW$227-CV$227)*CW$232</f>
        <v>0.26959063361740032</v>
      </c>
      <c r="CX18" s="2942">
        <f t="shared" ref="CX18" si="135">(CX38-CW38)/(CX$227-CW$227)*CX$232</f>
        <v>0.26970635005907884</v>
      </c>
      <c r="CY18" s="2942">
        <f t="shared" ref="CY18" si="136">(CY38-CX38)/(CY$227-CX$227)*CY$232</f>
        <v>0.19600052925318506</v>
      </c>
      <c r="CZ18" s="2942">
        <f t="shared" ref="CZ18" si="137">(CZ38-CY38)/(CZ$227-CY$227)*CZ$232</f>
        <v>0.19334439225092057</v>
      </c>
      <c r="DA18" s="2942">
        <f t="shared" ref="DA18" si="138">(DA38-CZ38)/(DA$227-CZ$227)*DA$232</f>
        <v>0.19326824491491032</v>
      </c>
      <c r="DB18" s="2942">
        <f t="shared" ref="DB18" si="139">(DB38-DA38)/(DB$227-DA$227)*DB$232</f>
        <v>0.19339330782156827</v>
      </c>
    </row>
    <row r="19" spans="1:106">
      <c r="B19" s="715">
        <v>16</v>
      </c>
      <c r="C19" s="975"/>
      <c r="D19" s="724"/>
      <c r="E19" s="221" t="s">
        <v>674</v>
      </c>
      <c r="F19" s="759"/>
      <c r="G19" s="2819"/>
      <c r="H19" s="2819">
        <f t="shared" ref="H19:AM19" si="140">(H57-G57)/(H$227-G$227)*H$232</f>
        <v>0.11464202329190465</v>
      </c>
      <c r="I19" s="2819">
        <f t="shared" si="140"/>
        <v>0.10713788785306493</v>
      </c>
      <c r="J19" s="2819">
        <f t="shared" si="140"/>
        <v>0.11463930056215048</v>
      </c>
      <c r="K19" s="2819">
        <f t="shared" si="140"/>
        <v>7.2936448958241931E-2</v>
      </c>
      <c r="L19" s="2819">
        <f t="shared" si="140"/>
        <v>8.9630446773306796E-2</v>
      </c>
      <c r="M19" s="2819">
        <f t="shared" si="140"/>
        <v>5.3371286248001568E-2</v>
      </c>
      <c r="N19" s="2819">
        <f t="shared" si="140"/>
        <v>5.7190321218968658E-2</v>
      </c>
      <c r="O19" s="2819">
        <f t="shared" si="140"/>
        <v>-1.7563295414626319E-2</v>
      </c>
      <c r="P19" s="2819">
        <f t="shared" si="140"/>
        <v>4.2832284834694229E-2</v>
      </c>
      <c r="Q19" s="2819">
        <f t="shared" si="140"/>
        <v>6.5946530553027738E-2</v>
      </c>
      <c r="R19" s="2819">
        <f t="shared" si="140"/>
        <v>9.0222024634532799E-2</v>
      </c>
      <c r="S19" s="2819">
        <f t="shared" si="140"/>
        <v>0.1378126787664444</v>
      </c>
      <c r="T19" s="2819">
        <f t="shared" si="140"/>
        <v>0.13485477178423355</v>
      </c>
      <c r="U19" s="2819">
        <f t="shared" si="140"/>
        <v>0.13182211768354943</v>
      </c>
      <c r="V19" s="2819">
        <f t="shared" si="140"/>
        <v>0.14558103581551185</v>
      </c>
      <c r="W19" s="2819">
        <f t="shared" si="140"/>
        <v>0.16449904898987336</v>
      </c>
      <c r="X19" s="2819">
        <f t="shared" si="140"/>
        <v>0.17422045882292589</v>
      </c>
      <c r="Y19" s="2819">
        <f t="shared" si="140"/>
        <v>0.19323671497584674</v>
      </c>
      <c r="Z19" s="2819">
        <f t="shared" si="140"/>
        <v>0.2214168202565481</v>
      </c>
      <c r="AA19" s="2819">
        <f t="shared" si="140"/>
        <v>0.22494712520019103</v>
      </c>
      <c r="AB19" s="2819">
        <f t="shared" si="140"/>
        <v>0.15532472575478148</v>
      </c>
      <c r="AC19" s="2819">
        <f t="shared" si="140"/>
        <v>0.11091018685955183</v>
      </c>
      <c r="AD19" s="2819">
        <f t="shared" si="140"/>
        <v>8.0451488952930778E-2</v>
      </c>
      <c r="AE19" s="2819">
        <f t="shared" si="140"/>
        <v>-2.9755528577212066E-2</v>
      </c>
      <c r="AF19" s="2819">
        <f t="shared" si="140"/>
        <v>4.2872965022805708E-2</v>
      </c>
      <c r="AG19" s="2819">
        <f t="shared" si="140"/>
        <v>0.10009532888465081</v>
      </c>
      <c r="AH19" s="2819">
        <f t="shared" si="140"/>
        <v>0.14806323733102719</v>
      </c>
      <c r="AI19" s="2819">
        <f t="shared" si="140"/>
        <v>0.23417245128376935</v>
      </c>
      <c r="AJ19" s="2819">
        <f t="shared" si="140"/>
        <v>0.19531712398493997</v>
      </c>
      <c r="AK19" s="2819">
        <f t="shared" si="140"/>
        <v>0.15606665102089226</v>
      </c>
      <c r="AL19" s="2819">
        <f t="shared" si="140"/>
        <v>7.7039803898679649E-2</v>
      </c>
      <c r="AM19" s="2819">
        <f t="shared" si="140"/>
        <v>-1.3963880096816882E-2</v>
      </c>
      <c r="AN19" s="2819">
        <f t="shared" ref="AN19:BV19" si="141">(AN57-AM57)/(AN$227-AM$227)*AN$232</f>
        <v>9.229295419232747E-2</v>
      </c>
      <c r="AO19" s="2819">
        <f t="shared" si="141"/>
        <v>0.13771693334734025</v>
      </c>
      <c r="AP19" s="2819">
        <f t="shared" si="141"/>
        <v>0.140676409379978</v>
      </c>
      <c r="AQ19" s="2819">
        <f t="shared" si="141"/>
        <v>0.10155330394441976</v>
      </c>
      <c r="AR19" s="2819">
        <f t="shared" si="141"/>
        <v>6.2497159220035382E-2</v>
      </c>
      <c r="AS19" s="2819">
        <f t="shared" si="141"/>
        <v>6.3015517571202787E-2</v>
      </c>
      <c r="AT19" s="2819">
        <f t="shared" si="141"/>
        <v>6.0238275846685202E-2</v>
      </c>
      <c r="AU19" s="2819">
        <f t="shared" si="141"/>
        <v>3.8919159346159297E-2</v>
      </c>
      <c r="AV19" s="2819">
        <f t="shared" si="141"/>
        <v>1.9936645770105475E-2</v>
      </c>
      <c r="AW19" s="2819">
        <f t="shared" si="141"/>
        <v>1.5429207489781247E-2</v>
      </c>
      <c r="AX19" s="2819">
        <f t="shared" si="141"/>
        <v>9.8805550676232985E-3</v>
      </c>
      <c r="AY19" s="2819">
        <f t="shared" si="141"/>
        <v>6.099088404108214E-2</v>
      </c>
      <c r="AZ19" s="2819">
        <f t="shared" si="141"/>
        <v>0.10065588674589564</v>
      </c>
      <c r="BA19" s="2819">
        <f t="shared" si="141"/>
        <v>8.5224820919996377E-2</v>
      </c>
      <c r="BB19" s="2819">
        <f t="shared" si="141"/>
        <v>0.10162927779025836</v>
      </c>
      <c r="BC19" s="2819">
        <f t="shared" si="141"/>
        <v>8.9962321662927933E-2</v>
      </c>
      <c r="BD19" s="2819">
        <f t="shared" si="141"/>
        <v>0.1138975966562199</v>
      </c>
      <c r="BE19" s="2819">
        <f t="shared" si="141"/>
        <v>0.16549398392938891</v>
      </c>
      <c r="BF19" s="2819">
        <f t="shared" si="141"/>
        <v>0.17765291578012107</v>
      </c>
      <c r="BG19" s="2819">
        <f t="shared" si="141"/>
        <v>0.1695664237927372</v>
      </c>
      <c r="BH19" s="2819">
        <f t="shared" si="141"/>
        <v>0.17676690269646905</v>
      </c>
      <c r="BI19" s="2819">
        <f t="shared" si="141"/>
        <v>0.15506248406018813</v>
      </c>
      <c r="BJ19" s="2819">
        <f t="shared" si="141"/>
        <v>0.14764385022351811</v>
      </c>
      <c r="BK19" s="2819">
        <f t="shared" si="141"/>
        <v>-4.7125353440152708E-2</v>
      </c>
      <c r="BL19" s="2819">
        <f t="shared" si="141"/>
        <v>3.9198237138738275E-2</v>
      </c>
      <c r="BM19" s="2819">
        <f t="shared" si="141"/>
        <v>6.0452438778651474E-2</v>
      </c>
      <c r="BN19" s="2819">
        <f t="shared" si="141"/>
        <v>8.2862207491164103E-2</v>
      </c>
      <c r="BO19" s="2819">
        <f t="shared" si="141"/>
        <v>9.0489266100849924E-2</v>
      </c>
      <c r="BP19" s="2819">
        <f t="shared" si="141"/>
        <v>2.1738905394351256E-2</v>
      </c>
      <c r="BQ19" s="2819">
        <f t="shared" si="141"/>
        <v>1.3322948265968722E-2</v>
      </c>
      <c r="BR19" s="2819">
        <f t="shared" si="141"/>
        <v>7.0403134469986778E-2</v>
      </c>
      <c r="BS19" s="2819">
        <f t="shared" si="141"/>
        <v>7.8242490753162003E-2</v>
      </c>
      <c r="BT19" s="2819">
        <f t="shared" si="141"/>
        <v>5.854860038561481E-2</v>
      </c>
      <c r="BU19" s="2819">
        <f t="shared" si="141"/>
        <v>0.18218603106222148</v>
      </c>
      <c r="BV19" s="2819">
        <f t="shared" si="141"/>
        <v>6.6284359903986442E-2</v>
      </c>
      <c r="BW19" s="2819">
        <f t="shared" ref="BW19:CH19" si="142">(BW57-BV57)/(BW$227-BV$227)*BW$232</f>
        <v>7.0254320640718182E-2</v>
      </c>
      <c r="BX19" s="2819">
        <f t="shared" si="142"/>
        <v>0.13122045035659746</v>
      </c>
      <c r="BY19" s="2819">
        <f t="shared" si="142"/>
        <v>-2.0072461586350624E-3</v>
      </c>
      <c r="BZ19" s="2819">
        <f t="shared" si="142"/>
        <v>5.923635304866598E-2</v>
      </c>
      <c r="CA19" s="2819">
        <f t="shared" si="142"/>
        <v>8.0417366130216938E-2</v>
      </c>
      <c r="CB19" s="2819">
        <f t="shared" si="142"/>
        <v>-0.10185250547079529</v>
      </c>
      <c r="CC19" s="2819">
        <f t="shared" si="142"/>
        <v>2.1075873143317117E-2</v>
      </c>
      <c r="CD19" s="2819">
        <f t="shared" si="142"/>
        <v>-5.7926433429542658E-2</v>
      </c>
      <c r="CE19" s="2819">
        <f t="shared" si="142"/>
        <v>6.5721995957102444E-2</v>
      </c>
      <c r="CF19" s="2819">
        <f t="shared" si="142"/>
        <v>6.8501990528854792E-2</v>
      </c>
      <c r="CG19" s="2819">
        <f t="shared" si="142"/>
        <v>0.16637452093050728</v>
      </c>
      <c r="CH19" s="2819">
        <f t="shared" si="142"/>
        <v>6.7082313945229552E-2</v>
      </c>
      <c r="CI19" s="1842">
        <f t="shared" ref="CI19" si="143">(CI57-CH57)/(CI$227-CH$227)*CI$232</f>
        <v>-3.835600271442223E-2</v>
      </c>
      <c r="CJ19" s="1842">
        <f t="shared" ref="CJ19:CS19" si="144">(CJ57-CI57)/(CJ$227-CI$227)*CJ$232</f>
        <v>3.3301011763090964E-2</v>
      </c>
      <c r="CK19" s="1842">
        <f t="shared" si="144"/>
        <v>-8.481598830125657E-2</v>
      </c>
      <c r="CL19" s="1842">
        <f t="shared" si="144"/>
        <v>7.9894772738345804E-2</v>
      </c>
      <c r="CM19" s="1842">
        <f t="shared" si="144"/>
        <v>6.3999379399956591E-2</v>
      </c>
      <c r="CN19" s="1842">
        <f t="shared" si="144"/>
        <v>-6.5755756046142616E-2</v>
      </c>
      <c r="CO19" s="1842">
        <f t="shared" si="144"/>
        <v>7.7750794305950291E-2</v>
      </c>
      <c r="CP19" s="1842">
        <f t="shared" si="144"/>
        <v>0.17930082267436462</v>
      </c>
      <c r="CQ19" s="1842">
        <f t="shared" si="144"/>
        <v>-5.8336361723695183E-2</v>
      </c>
      <c r="CR19" s="1842">
        <f t="shared" si="144"/>
        <v>7.6947922406093203E-2</v>
      </c>
      <c r="CS19" s="1842">
        <f t="shared" si="144"/>
        <v>9.7399527186765797E-2</v>
      </c>
      <c r="CT19" s="1842">
        <f t="shared" ref="CT19" si="145">(CT57-CS57)/(CT$227-CS$227)*CT$232</f>
        <v>0.17554953611506979</v>
      </c>
      <c r="CU19" s="1842">
        <f t="shared" ref="CU19" si="146">(CU57-CT57)/(CU$227-CT$227)*CU$232</f>
        <v>-6.1404790295473494E-2</v>
      </c>
      <c r="CV19" s="1842">
        <f t="shared" ref="CV19" si="147">(CV57-CU57)/(CV$227-CU$227)*CV$232</f>
        <v>-6.09948205536847E-2</v>
      </c>
      <c r="CW19" s="1842">
        <f t="shared" ref="CW19" si="148">(CW57-CV57)/(CW$227-CV$227)*CW$232</f>
        <v>-6.0515010242060151E-2</v>
      </c>
      <c r="CX19" s="1842">
        <f t="shared" ref="CX19" si="149">(CX57-CW57)/(CX$227-CW$227)*CX$232</f>
        <v>-6.0065232816811802E-2</v>
      </c>
      <c r="CY19" s="1842">
        <f t="shared" ref="CY19" si="150">(CY57-CX57)/(CY$227-CX$227)*CY$232</f>
        <v>0.1375802077514795</v>
      </c>
      <c r="CZ19" s="1842">
        <f t="shared" ref="CZ19" si="151">(CZ57-CY57)/(CZ$227-CY$227)*CZ$232</f>
        <v>0.13779599257547082</v>
      </c>
      <c r="DA19" s="1842">
        <f t="shared" ref="DA19" si="152">(DA57-CZ57)/(DA$227-CZ$227)*DA$232</f>
        <v>0.13804360721609751</v>
      </c>
      <c r="DB19" s="1842">
        <f t="shared" ref="DB19" si="153">(DB57-DA57)/(DB$227-DA$227)*DB$232</f>
        <v>0.13843567657443523</v>
      </c>
    </row>
    <row r="20" spans="1:106">
      <c r="B20" s="715">
        <v>17</v>
      </c>
      <c r="C20" s="975"/>
      <c r="D20" s="724"/>
      <c r="E20" s="221" t="s">
        <v>677</v>
      </c>
      <c r="F20" s="759"/>
      <c r="G20" s="2819"/>
      <c r="H20" s="2819">
        <f t="shared" ref="H20:AM20" si="154">(H80-G80)/(H$227-G$227)*H$232</f>
        <v>0.36629524515218048</v>
      </c>
      <c r="I20" s="2819">
        <f t="shared" si="154"/>
        <v>0.25462640879365356</v>
      </c>
      <c r="J20" s="2819">
        <f t="shared" si="154"/>
        <v>1.2430767530835772E-2</v>
      </c>
      <c r="K20" s="2819">
        <f t="shared" si="154"/>
        <v>-0.34128753474801904</v>
      </c>
      <c r="L20" s="2819">
        <f t="shared" si="154"/>
        <v>5.6536127964700603E-2</v>
      </c>
      <c r="M20" s="2819">
        <f t="shared" si="154"/>
        <v>0.27506739835507527</v>
      </c>
      <c r="N20" s="2819">
        <f t="shared" si="154"/>
        <v>0.45616089543703436</v>
      </c>
      <c r="O20" s="2819">
        <f t="shared" si="154"/>
        <v>0.43773136264151646</v>
      </c>
      <c r="P20" s="2819">
        <f t="shared" si="154"/>
        <v>0.51666443581849764</v>
      </c>
      <c r="Q20" s="2819">
        <f t="shared" si="154"/>
        <v>-8.5730489718931838E-2</v>
      </c>
      <c r="R20" s="2819">
        <f t="shared" si="154"/>
        <v>0.50341274614920906</v>
      </c>
      <c r="S20" s="2819">
        <f t="shared" si="154"/>
        <v>-0.27432523792188757</v>
      </c>
      <c r="T20" s="2819">
        <f t="shared" si="154"/>
        <v>5.705394190871331E-2</v>
      </c>
      <c r="U20" s="2819">
        <f t="shared" si="154"/>
        <v>0.42777569562015866</v>
      </c>
      <c r="V20" s="2819">
        <f t="shared" si="154"/>
        <v>0.35686678691058255</v>
      </c>
      <c r="W20" s="2819">
        <f t="shared" si="154"/>
        <v>7.0683185112835792E-2</v>
      </c>
      <c r="X20" s="2819">
        <f t="shared" si="154"/>
        <v>0.33572409583396612</v>
      </c>
      <c r="Y20" s="2819">
        <f t="shared" si="154"/>
        <v>0.10289227680532198</v>
      </c>
      <c r="Z20" s="2819">
        <f t="shared" si="154"/>
        <v>-0.16575337382333621</v>
      </c>
      <c r="AA20" s="2819">
        <f t="shared" si="154"/>
        <v>0.62349474919617565</v>
      </c>
      <c r="AB20" s="2819">
        <f t="shared" si="154"/>
        <v>0.19536938161343756</v>
      </c>
      <c r="AC20" s="2819">
        <f t="shared" si="154"/>
        <v>0.25557564798070959</v>
      </c>
      <c r="AD20" s="2819">
        <f t="shared" si="154"/>
        <v>0.14769452449567985</v>
      </c>
      <c r="AE20" s="2819">
        <f t="shared" si="154"/>
        <v>0.3892023137898985</v>
      </c>
      <c r="AF20" s="2819">
        <f t="shared" si="154"/>
        <v>-0.26200145291713473</v>
      </c>
      <c r="AG20" s="2819">
        <f t="shared" si="154"/>
        <v>0.24666348903717719</v>
      </c>
      <c r="AH20" s="2819">
        <f t="shared" si="154"/>
        <v>-0.96599321774840574</v>
      </c>
      <c r="AI20" s="2819">
        <f t="shared" si="154"/>
        <v>-3.5842722135271902E-3</v>
      </c>
      <c r="AJ20" s="2819">
        <f t="shared" si="154"/>
        <v>-0.31369113852126951</v>
      </c>
      <c r="AK20" s="2819">
        <f t="shared" si="154"/>
        <v>-0.32152076977235911</v>
      </c>
      <c r="AL20" s="2819">
        <f t="shared" si="154"/>
        <v>0.39920625656589448</v>
      </c>
      <c r="AM20" s="2819">
        <f t="shared" si="154"/>
        <v>-0.10007447402718629</v>
      </c>
      <c r="AN20" s="2819">
        <f t="shared" ref="AN20:BV20" si="155">(AN80-AM80)/(AN$227-AM$227)*AN$232</f>
        <v>4.4394079231752405E-2</v>
      </c>
      <c r="AO20" s="2819">
        <f t="shared" si="155"/>
        <v>-1.1670926554857164E-2</v>
      </c>
      <c r="AP20" s="2819">
        <f t="shared" si="155"/>
        <v>-0.29414158324903961</v>
      </c>
      <c r="AQ20" s="2819">
        <f t="shared" si="155"/>
        <v>1.3317330994529981</v>
      </c>
      <c r="AR20" s="2819">
        <f t="shared" si="155"/>
        <v>0.65337939184582694</v>
      </c>
      <c r="AS20" s="2819">
        <f t="shared" si="155"/>
        <v>0.66503876579607657</v>
      </c>
      <c r="AT20" s="2819">
        <f t="shared" si="155"/>
        <v>-0.46071125786444556</v>
      </c>
      <c r="AU20" s="2819">
        <f t="shared" si="155"/>
        <v>0.85066162570890769</v>
      </c>
      <c r="AV20" s="2819">
        <f t="shared" si="155"/>
        <v>0.88828832820150749</v>
      </c>
      <c r="AW20" s="2819">
        <f t="shared" si="155"/>
        <v>-0.50365341591632729</v>
      </c>
      <c r="AX20" s="2819">
        <f t="shared" si="155"/>
        <v>-0.36228701914631889</v>
      </c>
      <c r="AY20" s="2819">
        <f t="shared" si="155"/>
        <v>0.60990884041081372</v>
      </c>
      <c r="AZ20" s="2819">
        <f t="shared" si="155"/>
        <v>-9.5244279931601242E-2</v>
      </c>
      <c r="BA20" s="2819">
        <f t="shared" si="155"/>
        <v>0.38620868214377857</v>
      </c>
      <c r="BB20" s="2819">
        <f t="shared" si="155"/>
        <v>3.3163238015767642E-2</v>
      </c>
      <c r="BC20" s="2819">
        <f t="shared" si="155"/>
        <v>0.73874941789086013</v>
      </c>
      <c r="BD20" s="2819">
        <f t="shared" si="155"/>
        <v>0.33019853709508973</v>
      </c>
      <c r="BE20" s="2819">
        <f t="shared" si="155"/>
        <v>0.44860318914193242</v>
      </c>
      <c r="BF20" s="2819">
        <f t="shared" si="155"/>
        <v>0.39352186576875547</v>
      </c>
      <c r="BG20" s="2819">
        <f t="shared" si="155"/>
        <v>0.17059409908845202</v>
      </c>
      <c r="BH20" s="2819">
        <f t="shared" si="155"/>
        <v>2.3500802092594069E-2</v>
      </c>
      <c r="BI20" s="2819">
        <f t="shared" si="155"/>
        <v>-0.49987248150981201</v>
      </c>
      <c r="BJ20" s="2819">
        <f t="shared" si="155"/>
        <v>-0.37731206168232118</v>
      </c>
      <c r="BK20" s="2819">
        <f t="shared" si="155"/>
        <v>-0.71944706251963475</v>
      </c>
      <c r="BL20" s="2819">
        <f t="shared" si="155"/>
        <v>-0.23095177557419366</v>
      </c>
      <c r="BM20" s="2819">
        <f t="shared" si="155"/>
        <v>-0.46346869730297829</v>
      </c>
      <c r="BN20" s="2819">
        <f t="shared" si="155"/>
        <v>0.26012439820010919</v>
      </c>
      <c r="BO20" s="2819">
        <f t="shared" si="155"/>
        <v>-0.36507738392412248</v>
      </c>
      <c r="BP20" s="2819">
        <f t="shared" si="155"/>
        <v>3.9337066904069608E-2</v>
      </c>
      <c r="BQ20" s="2819">
        <f t="shared" si="155"/>
        <v>0.3853406575387392</v>
      </c>
      <c r="BR20" s="2819">
        <f t="shared" si="155"/>
        <v>0.17651800381605445</v>
      </c>
      <c r="BS20" s="2819">
        <f t="shared" si="155"/>
        <v>0.20525952119660396</v>
      </c>
      <c r="BT20" s="2819">
        <f t="shared" si="155"/>
        <v>0.42195370622736239</v>
      </c>
      <c r="BU20" s="2819">
        <f t="shared" si="155"/>
        <v>-4.529486960110269E-2</v>
      </c>
      <c r="BV20" s="2819">
        <f t="shared" si="155"/>
        <v>0.30932701288527487</v>
      </c>
      <c r="BW20" s="2819">
        <f t="shared" ref="BW20:CH20" si="156">(BW80-BV80)/(BW$227-BV$227)*BW$232</f>
        <v>-0.1826612336658687</v>
      </c>
      <c r="BX20" s="2819">
        <f t="shared" si="156"/>
        <v>5.4090872666080307E-2</v>
      </c>
      <c r="BY20" s="2819">
        <f t="shared" si="156"/>
        <v>-6.5235500155561094E-2</v>
      </c>
      <c r="BZ20" s="2819">
        <f t="shared" si="156"/>
        <v>-0.38252627985663301</v>
      </c>
      <c r="CA20" s="2819">
        <f t="shared" si="156"/>
        <v>-0.16083473226043032</v>
      </c>
      <c r="CB20" s="2819">
        <f t="shared" si="156"/>
        <v>0.13714792815869029</v>
      </c>
      <c r="CC20" s="2819">
        <f t="shared" si="156"/>
        <v>5.6202328382177792E-2</v>
      </c>
      <c r="CD20" s="2819">
        <f t="shared" si="156"/>
        <v>1.5979705773668775E-2</v>
      </c>
      <c r="CE20" s="2819">
        <f t="shared" si="156"/>
        <v>0.39632355137768444</v>
      </c>
      <c r="CF20" s="2819">
        <f t="shared" si="156"/>
        <v>0.37427899173010437</v>
      </c>
      <c r="CG20" s="2819">
        <f t="shared" si="156"/>
        <v>1.6815710508333492</v>
      </c>
      <c r="CH20" s="2819">
        <f t="shared" si="156"/>
        <v>-1.181832530976288</v>
      </c>
      <c r="CI20" s="1842">
        <f t="shared" ref="CI20" si="157">(CI80-CH80)/(CI$227-CH$227)*CI$232</f>
        <v>2.2000609762094108</v>
      </c>
      <c r="CJ20" s="1842">
        <f t="shared" ref="CJ20:CS20" si="158">(CJ80-CI80)/(CJ$227-CI$227)*CJ$232</f>
        <v>-2.6366565784189326</v>
      </c>
      <c r="CK20" s="1842">
        <f t="shared" si="158"/>
        <v>0.59273702169154241</v>
      </c>
      <c r="CL20" s="1842">
        <f t="shared" si="158"/>
        <v>0.2085058703171466</v>
      </c>
      <c r="CM20" s="1842">
        <f t="shared" si="158"/>
        <v>0.35199658669976641</v>
      </c>
      <c r="CN20" s="1842">
        <f t="shared" si="158"/>
        <v>0.16438939011535997</v>
      </c>
      <c r="CO20" s="1842">
        <f t="shared" si="158"/>
        <v>1.8026665642787103</v>
      </c>
      <c r="CP20" s="1842">
        <f t="shared" si="158"/>
        <v>-1.3950946363165966</v>
      </c>
      <c r="CQ20" s="1842">
        <f t="shared" si="158"/>
        <v>4.6860356138705525E-2</v>
      </c>
      <c r="CR20" s="1842">
        <f t="shared" si="158"/>
        <v>0.20424448539889045</v>
      </c>
      <c r="CS20" s="1842">
        <f t="shared" si="158"/>
        <v>0.27044917257684209</v>
      </c>
      <c r="CT20" s="1842">
        <f t="shared" ref="CT20" si="159">(CT80-CS80)/(CT$227-CS$227)*CT$232</f>
        <v>1.8876294205911028E-3</v>
      </c>
      <c r="CU20" s="1842">
        <f t="shared" ref="CU20" si="160">(CU80-CT80)/(CU$227-CT$227)*CU$232</f>
        <v>0.285549306618335</v>
      </c>
      <c r="CV20" s="1842">
        <f t="shared" ref="CV20" si="161">(CV80-CU80)/(CV$227-CU$227)*CV$232</f>
        <v>0.30102082718822853</v>
      </c>
      <c r="CW20" s="1842">
        <f t="shared" ref="CW20" si="162">(CW80-CV80)/(CW$227-CV$227)*CW$232</f>
        <v>0.30367990934901523</v>
      </c>
      <c r="CX20" s="1842">
        <f t="shared" ref="CX20" si="163">(CX80-CW80)/(CX$227-CW$227)*CX$232</f>
        <v>0.30650019550913321</v>
      </c>
      <c r="CY20" s="1842">
        <f t="shared" ref="CY20" si="164">(CY80-CX80)/(CY$227-CX$227)*CY$232</f>
        <v>8.5230167245027105E-2</v>
      </c>
      <c r="CZ20" s="1842">
        <f t="shared" ref="CZ20" si="165">(CZ80-CY80)/(CZ$227-CY$227)*CZ$232</f>
        <v>8.5272572508678923E-2</v>
      </c>
      <c r="DA20" s="1842">
        <f t="shared" ref="DA20" si="166">(DA80-CZ80)/(DA$227-CZ$227)*DA$232</f>
        <v>6.5202237202349383E-2</v>
      </c>
      <c r="DB20" s="1842">
        <f t="shared" ref="DB20" si="167">(DB80-DA80)/(DB$227-DA$227)*DB$232</f>
        <v>6.0149811913190285E-2</v>
      </c>
    </row>
    <row r="21" spans="1:106">
      <c r="B21" s="715">
        <v>18</v>
      </c>
      <c r="C21" s="975"/>
      <c r="D21" s="766"/>
      <c r="E21" s="767" t="s">
        <v>1013</v>
      </c>
      <c r="F21" s="967"/>
      <c r="G21" s="2820"/>
      <c r="H21" s="2820">
        <f>SUM(H18:H20)</f>
        <v>0.950689949249932</v>
      </c>
      <c r="I21" s="2820">
        <f t="shared" ref="I21:BT21" si="168">SUM(I18:I20)</f>
        <v>0.81257826631416852</v>
      </c>
      <c r="J21" s="2820">
        <f t="shared" si="168"/>
        <v>0.49723070123341623</v>
      </c>
      <c r="K21" s="2820">
        <f t="shared" si="168"/>
        <v>-9.9083477830078204E-2</v>
      </c>
      <c r="L21" s="2820">
        <f t="shared" si="168"/>
        <v>0.51296194153338615</v>
      </c>
      <c r="M21" s="2820">
        <f t="shared" si="168"/>
        <v>0.58708414872799786</v>
      </c>
      <c r="N21" s="2820">
        <f t="shared" si="168"/>
        <v>0.57598823513392317</v>
      </c>
      <c r="O21" s="2820">
        <f t="shared" si="168"/>
        <v>0.59985408954577935</v>
      </c>
      <c r="P21" s="2820">
        <f t="shared" si="168"/>
        <v>0.9904965868023059</v>
      </c>
      <c r="Q21" s="2820">
        <f t="shared" si="168"/>
        <v>0.31522441604346912</v>
      </c>
      <c r="R21" s="2820">
        <f t="shared" si="168"/>
        <v>0.77538638562722728</v>
      </c>
      <c r="S21" s="2820">
        <f t="shared" si="168"/>
        <v>0.27692547714389459</v>
      </c>
      <c r="T21" s="2820">
        <f t="shared" si="168"/>
        <v>0.75985477178422611</v>
      </c>
      <c r="U21" s="2820">
        <f t="shared" si="168"/>
        <v>0.96411078227382241</v>
      </c>
      <c r="V21" s="2820">
        <f t="shared" si="168"/>
        <v>0.59134243751609816</v>
      </c>
      <c r="W21" s="2820">
        <f t="shared" si="168"/>
        <v>0.26345550814784163</v>
      </c>
      <c r="X21" s="2820">
        <f t="shared" si="168"/>
        <v>0.78844295233734341</v>
      </c>
      <c r="Y21" s="2820">
        <f t="shared" si="168"/>
        <v>0.69515026036765493</v>
      </c>
      <c r="Z21" s="2820">
        <f t="shared" si="168"/>
        <v>0.31666316193115807</v>
      </c>
      <c r="AA21" s="2820">
        <f t="shared" si="168"/>
        <v>1.3178967443793717</v>
      </c>
      <c r="AB21" s="2820">
        <f t="shared" si="168"/>
        <v>0.71352295893602791</v>
      </c>
      <c r="AC21" s="2820">
        <f t="shared" si="168"/>
        <v>0.82820976491861398</v>
      </c>
      <c r="AD21" s="2820">
        <f t="shared" si="168"/>
        <v>0.71565802113353194</v>
      </c>
      <c r="AE21" s="2820">
        <f t="shared" si="168"/>
        <v>0.45466447665976339</v>
      </c>
      <c r="AF21" s="2820">
        <f t="shared" si="168"/>
        <v>-0.30011075515963154</v>
      </c>
      <c r="AG21" s="2820">
        <f t="shared" si="168"/>
        <v>8.3412774070547313E-2</v>
      </c>
      <c r="AH21" s="2820">
        <f t="shared" si="168"/>
        <v>-1.0436070115106399</v>
      </c>
      <c r="AI21" s="2820">
        <f t="shared" si="168"/>
        <v>0.44564451188186505</v>
      </c>
      <c r="AJ21" s="2820">
        <f t="shared" si="168"/>
        <v>7.3391889012520473E-2</v>
      </c>
      <c r="AK21" s="2820">
        <f t="shared" si="168"/>
        <v>8.3313776108901672E-2</v>
      </c>
      <c r="AL21" s="2820">
        <f t="shared" si="168"/>
        <v>0.66767830045522913</v>
      </c>
      <c r="AM21" s="2820">
        <f t="shared" si="168"/>
        <v>-0.26182275181530412</v>
      </c>
      <c r="AN21" s="2820">
        <f t="shared" si="168"/>
        <v>4.3225813988805976E-2</v>
      </c>
      <c r="AO21" s="2820">
        <f t="shared" si="168"/>
        <v>0.2427552723410796</v>
      </c>
      <c r="AP21" s="2820">
        <f t="shared" si="168"/>
        <v>0.32088172718077435</v>
      </c>
      <c r="AQ21" s="2820">
        <f t="shared" si="168"/>
        <v>1.7217901077849824</v>
      </c>
      <c r="AR21" s="2820">
        <f t="shared" si="168"/>
        <v>0.78860051815826759</v>
      </c>
      <c r="AS21" s="2820">
        <f t="shared" si="168"/>
        <v>0.7719400902472251</v>
      </c>
      <c r="AT21" s="2820">
        <f t="shared" si="168"/>
        <v>-0.15059568961670899</v>
      </c>
      <c r="AU21" s="2820">
        <f t="shared" si="168"/>
        <v>0.93405982430781931</v>
      </c>
      <c r="AV21" s="2820">
        <f t="shared" si="168"/>
        <v>1.0433511286356905</v>
      </c>
      <c r="AW21" s="2820">
        <f t="shared" si="168"/>
        <v>-0.14216912615580962</v>
      </c>
      <c r="AX21" s="2820">
        <f t="shared" si="168"/>
        <v>2.3054628491122331E-2</v>
      </c>
      <c r="AY21" s="2820">
        <f t="shared" si="168"/>
        <v>0.79941623010988283</v>
      </c>
      <c r="AZ21" s="2820">
        <f t="shared" si="168"/>
        <v>7.0350888585842472E-2</v>
      </c>
      <c r="BA21" s="2820">
        <f t="shared" si="168"/>
        <v>0.52753085354275897</v>
      </c>
      <c r="BB21" s="2820">
        <f t="shared" si="168"/>
        <v>0.37763300063117672</v>
      </c>
      <c r="BC21" s="2820">
        <f t="shared" si="168"/>
        <v>1.1546928580500411</v>
      </c>
      <c r="BD21" s="2820">
        <f t="shared" si="168"/>
        <v>0.68547544409613304</v>
      </c>
      <c r="BE21" s="2820">
        <f t="shared" si="168"/>
        <v>0.86598109829719006</v>
      </c>
      <c r="BF21" s="2820">
        <f t="shared" si="168"/>
        <v>0.82629263153544474</v>
      </c>
      <c r="BG21" s="2820">
        <f t="shared" si="168"/>
        <v>0.84372141778083043</v>
      </c>
      <c r="BH21" s="2820">
        <f t="shared" si="168"/>
        <v>0.36477331943722524</v>
      </c>
      <c r="BI21" s="2820">
        <f t="shared" si="168"/>
        <v>-0.42438153532261036</v>
      </c>
      <c r="BJ21" s="2820">
        <f t="shared" si="168"/>
        <v>-0.71156133371611152</v>
      </c>
      <c r="BK21" s="2820">
        <f t="shared" si="168"/>
        <v>-0.8974761755157622</v>
      </c>
      <c r="BL21" s="2820">
        <f t="shared" si="168"/>
        <v>0.21506059835577773</v>
      </c>
      <c r="BM21" s="2820">
        <f t="shared" si="168"/>
        <v>0.25665772253392255</v>
      </c>
      <c r="BN21" s="2820">
        <f t="shared" si="168"/>
        <v>0.86323540209148431</v>
      </c>
      <c r="BO21" s="2820">
        <f t="shared" si="168"/>
        <v>0.12585288733566014</v>
      </c>
      <c r="BP21" s="2820">
        <f t="shared" si="168"/>
        <v>0.21635386797238468</v>
      </c>
      <c r="BQ21" s="2820">
        <f t="shared" si="168"/>
        <v>0.37816676231860163</v>
      </c>
      <c r="BR21" s="2820">
        <f t="shared" si="168"/>
        <v>0.54281837011642353</v>
      </c>
      <c r="BS21" s="2820">
        <f t="shared" si="168"/>
        <v>9.4500670649924429E-2</v>
      </c>
      <c r="BT21" s="2820">
        <f t="shared" si="168"/>
        <v>0.47545501347629082</v>
      </c>
      <c r="BU21" s="2820">
        <f t="shared" ref="BU21:BZ21" si="169">SUM(BU18:BU20)</f>
        <v>0.3009592446828942</v>
      </c>
      <c r="BV21" s="2820">
        <f t="shared" si="169"/>
        <v>0.37561137278926132</v>
      </c>
      <c r="BW21" s="2820">
        <f t="shared" si="169"/>
        <v>5.1185290752524981E-2</v>
      </c>
      <c r="BX21" s="2820">
        <f t="shared" si="169"/>
        <v>0.16728103213398435</v>
      </c>
      <c r="BY21" s="2820">
        <f t="shared" si="169"/>
        <v>6.7242746314189E-2</v>
      </c>
      <c r="BZ21" s="2820">
        <f t="shared" si="169"/>
        <v>-0.16465698135561599</v>
      </c>
      <c r="CA21" s="2820">
        <f>SUM(CA18:CA20)</f>
        <v>-4.7245202601498407E-2</v>
      </c>
      <c r="CB21" s="2820">
        <f t="shared" ref="CB21:CD21" si="170">SUM(CB18:CB20)</f>
        <v>0.15933362241965704</v>
      </c>
      <c r="CC21" s="2820">
        <f t="shared" si="170"/>
        <v>0.26194299478121635</v>
      </c>
      <c r="CD21" s="2820">
        <f t="shared" si="170"/>
        <v>-0.1028693559179792</v>
      </c>
      <c r="CE21" s="2820">
        <f>SUM(CE18:CE20)</f>
        <v>0.56859484381069647</v>
      </c>
      <c r="CF21" s="2820">
        <f t="shared" ref="CF21:CH21" si="171">SUM(CF18:CF20)</f>
        <v>0.45767271933044934</v>
      </c>
      <c r="CG21" s="2820">
        <f t="shared" si="171"/>
        <v>1.9638135416976006</v>
      </c>
      <c r="CH21" s="2820">
        <f t="shared" si="171"/>
        <v>-0.87009707205432663</v>
      </c>
      <c r="CI21" s="968">
        <f>SUM(CI18:CI20)</f>
        <v>2.188259129220353</v>
      </c>
      <c r="CJ21" s="968">
        <f t="shared" ref="CJ21:CL21" si="172">SUM(CJ18:CJ20)</f>
        <v>-2.4897403500523447</v>
      </c>
      <c r="CK21" s="968">
        <f t="shared" si="172"/>
        <v>0.60541067511586288</v>
      </c>
      <c r="CL21" s="968">
        <f t="shared" si="172"/>
        <v>0.4949578603790219</v>
      </c>
      <c r="CM21" s="968">
        <f>SUM(CM18:CM20)</f>
        <v>0.69720536043286918</v>
      </c>
      <c r="CN21" s="968">
        <f t="shared" ref="CN21:CP21" si="173">SUM(CN18:CN20)</f>
        <v>0.43514838559948638</v>
      </c>
      <c r="CO21" s="968">
        <f t="shared" si="173"/>
        <v>2.0349590608471071</v>
      </c>
      <c r="CP21" s="968">
        <f t="shared" si="173"/>
        <v>-1.2167526415709697</v>
      </c>
      <c r="CQ21" s="968">
        <f>SUM(CQ18:CQ20)</f>
        <v>0.16927108237859073</v>
      </c>
      <c r="CR21" s="968">
        <f t="shared" ref="CR21:CS21" si="174">SUM(CR18:CR20)</f>
        <v>0.49778655976287162</v>
      </c>
      <c r="CS21" s="968">
        <f t="shared" si="174"/>
        <v>0.47092198581562228</v>
      </c>
      <c r="CT21" s="968">
        <f t="shared" ref="CT21" si="175">SUM(CT18:CT20)</f>
        <v>0.25105471293875747</v>
      </c>
      <c r="CU21" s="968">
        <f t="shared" ref="CU21:CX21" si="176">SUM(CU18:CU20)</f>
        <v>0.49341658294758683</v>
      </c>
      <c r="CV21" s="968">
        <f t="shared" si="176"/>
        <v>0.50961883038121303</v>
      </c>
      <c r="CW21" s="968">
        <f t="shared" si="176"/>
        <v>0.51275553272435537</v>
      </c>
      <c r="CX21" s="968">
        <f t="shared" si="176"/>
        <v>0.51614131275140029</v>
      </c>
      <c r="CY21" s="968">
        <f t="shared" ref="CY21:DB21" si="177">SUM(CY18:CY20)</f>
        <v>0.4188109042496917</v>
      </c>
      <c r="CZ21" s="968">
        <f t="shared" si="177"/>
        <v>0.41641295733507033</v>
      </c>
      <c r="DA21" s="968">
        <f t="shared" si="177"/>
        <v>0.39651408933335719</v>
      </c>
      <c r="DB21" s="968">
        <f t="shared" si="177"/>
        <v>0.3919787963091938</v>
      </c>
    </row>
    <row r="22" spans="1:106">
      <c r="B22" s="715">
        <v>19</v>
      </c>
      <c r="C22" s="975"/>
      <c r="D22" s="850"/>
      <c r="E22" s="335" t="s">
        <v>1614</v>
      </c>
      <c r="F22" s="186"/>
      <c r="G22" s="2822"/>
      <c r="H22" s="2822">
        <f>H23-H21</f>
        <v>-9.8809849191638932E-15</v>
      </c>
      <c r="I22" s="2822">
        <f t="shared" ref="I22:BT22" si="178">I23-I21</f>
        <v>9.8809849191638932E-15</v>
      </c>
      <c r="J22" s="2822">
        <f t="shared" si="178"/>
        <v>-4.8849813083506888E-15</v>
      </c>
      <c r="K22" s="2822">
        <f t="shared" si="178"/>
        <v>4.8433479449272454E-15</v>
      </c>
      <c r="L22" s="2822">
        <f t="shared" si="178"/>
        <v>-9.8809849191638932E-15</v>
      </c>
      <c r="M22" s="2822">
        <f t="shared" si="178"/>
        <v>0</v>
      </c>
      <c r="N22" s="2822">
        <f t="shared" si="178"/>
        <v>4.7739590058881731E-15</v>
      </c>
      <c r="O22" s="2822">
        <f t="shared" si="178"/>
        <v>9.6589403142388619E-15</v>
      </c>
      <c r="P22" s="2822">
        <f t="shared" si="178"/>
        <v>-9.5479180117763462E-15</v>
      </c>
      <c r="Q22" s="2822">
        <f t="shared" si="178"/>
        <v>4.6629367034256575E-15</v>
      </c>
      <c r="R22" s="2822">
        <f t="shared" si="178"/>
        <v>4.5519144009631418E-15</v>
      </c>
      <c r="S22" s="2822">
        <f t="shared" si="178"/>
        <v>-4.6074255521943996E-15</v>
      </c>
      <c r="T22" s="2822">
        <f t="shared" si="178"/>
        <v>-9.1038288019262836E-15</v>
      </c>
      <c r="U22" s="2822">
        <f t="shared" si="178"/>
        <v>2.2870594307278225E-14</v>
      </c>
      <c r="V22" s="2822">
        <f t="shared" si="178"/>
        <v>-2.298161660974074E-14</v>
      </c>
      <c r="W22" s="2822">
        <f t="shared" si="178"/>
        <v>0</v>
      </c>
      <c r="X22" s="2822">
        <f t="shared" si="178"/>
        <v>9.1038288019262836E-15</v>
      </c>
      <c r="Y22" s="2822">
        <f t="shared" si="178"/>
        <v>4.5519144009631418E-15</v>
      </c>
      <c r="Z22" s="2822">
        <f t="shared" si="178"/>
        <v>-8.7707618945387367E-15</v>
      </c>
      <c r="AA22" s="2822">
        <f t="shared" si="178"/>
        <v>4.4408920985006262E-15</v>
      </c>
      <c r="AB22" s="2822">
        <f t="shared" si="178"/>
        <v>-8.5487172896137054E-15</v>
      </c>
      <c r="AC22" s="2822">
        <f t="shared" si="178"/>
        <v>4.2188474935755949E-15</v>
      </c>
      <c r="AD22" s="2822">
        <f t="shared" si="178"/>
        <v>4.1078251911130792E-15</v>
      </c>
      <c r="AE22" s="2822">
        <f t="shared" si="178"/>
        <v>4.2188474935755949E-15</v>
      </c>
      <c r="AF22" s="2822">
        <f t="shared" si="178"/>
        <v>-8.4376949871511897E-15</v>
      </c>
      <c r="AG22" s="2822">
        <f t="shared" si="178"/>
        <v>4.2049697057677804E-15</v>
      </c>
      <c r="AH22" s="2822">
        <f t="shared" si="178"/>
        <v>8.2156503822261584E-15</v>
      </c>
      <c r="AI22" s="2822">
        <f t="shared" si="178"/>
        <v>-1.27675647831893E-14</v>
      </c>
      <c r="AJ22" s="2822">
        <f t="shared" si="178"/>
        <v>0</v>
      </c>
      <c r="AK22" s="2822">
        <f t="shared" si="178"/>
        <v>8.2989171090730451E-15</v>
      </c>
      <c r="AL22" s="2822">
        <f t="shared" si="178"/>
        <v>-8.2156503822261584E-15</v>
      </c>
      <c r="AM22" s="2822">
        <f t="shared" si="178"/>
        <v>4.1078251911130792E-15</v>
      </c>
      <c r="AN22" s="2822">
        <f t="shared" si="178"/>
        <v>1.2455314557513475E-14</v>
      </c>
      <c r="AO22" s="2822">
        <f t="shared" si="178"/>
        <v>-4.1910919179599659E-15</v>
      </c>
      <c r="AP22" s="2822">
        <f t="shared" si="178"/>
        <v>-8.3266726846886741E-15</v>
      </c>
      <c r="AQ22" s="2822">
        <f t="shared" si="178"/>
        <v>8.2156503822261584E-15</v>
      </c>
      <c r="AR22" s="2822">
        <f t="shared" si="178"/>
        <v>-1.1990408665951691E-14</v>
      </c>
      <c r="AS22" s="2822">
        <f t="shared" si="178"/>
        <v>3.9968028886505635E-15</v>
      </c>
      <c r="AT22" s="2822">
        <f t="shared" si="178"/>
        <v>-4.0245584642661925E-15</v>
      </c>
      <c r="AU22" s="2822">
        <f t="shared" si="178"/>
        <v>3.8857805861880479E-15</v>
      </c>
      <c r="AV22" s="2822">
        <f t="shared" si="178"/>
        <v>3.9968028886505635E-15</v>
      </c>
      <c r="AW22" s="2822">
        <f t="shared" si="178"/>
        <v>-7.8270723236073536E-15</v>
      </c>
      <c r="AX22" s="2822">
        <f t="shared" si="178"/>
        <v>7.7993167479917247E-15</v>
      </c>
      <c r="AY22" s="2822">
        <f t="shared" si="178"/>
        <v>-3.9968028886505635E-15</v>
      </c>
      <c r="AZ22" s="2822">
        <f t="shared" si="178"/>
        <v>-3.8719027983802334E-15</v>
      </c>
      <c r="BA22" s="2822">
        <f t="shared" si="178"/>
        <v>3.8857805861880479E-15</v>
      </c>
      <c r="BB22" s="2822">
        <f t="shared" si="178"/>
        <v>-7.6050277186823223E-15</v>
      </c>
      <c r="BC22" s="2822">
        <f t="shared" si="178"/>
        <v>7.5495165674510645E-15</v>
      </c>
      <c r="BD22" s="2822">
        <f t="shared" si="178"/>
        <v>-3.7747582837255322E-15</v>
      </c>
      <c r="BE22" s="2822">
        <f t="shared" si="178"/>
        <v>3.6637359812630166E-15</v>
      </c>
      <c r="BF22" s="2822">
        <f t="shared" si="178"/>
        <v>-3.6637359812630166E-15</v>
      </c>
      <c r="BG22" s="2822">
        <f t="shared" si="178"/>
        <v>3.5527136788005009E-15</v>
      </c>
      <c r="BH22" s="2822">
        <f t="shared" si="178"/>
        <v>0</v>
      </c>
      <c r="BI22" s="2822">
        <f t="shared" si="178"/>
        <v>-3.6637359812630166E-15</v>
      </c>
      <c r="BJ22" s="2822">
        <f t="shared" si="178"/>
        <v>-3.7747582837255322E-15</v>
      </c>
      <c r="BK22" s="2822">
        <f t="shared" si="178"/>
        <v>1.4765966227514582E-14</v>
      </c>
      <c r="BL22" s="2822">
        <f t="shared" si="178"/>
        <v>-3.7747582837255322E-15</v>
      </c>
      <c r="BM22" s="2822">
        <f t="shared" si="178"/>
        <v>-3.7747582837255322E-15</v>
      </c>
      <c r="BN22" s="2822">
        <f t="shared" si="178"/>
        <v>1.1213252548714081E-14</v>
      </c>
      <c r="BO22" s="2822">
        <f t="shared" si="178"/>
        <v>-1.4765966227514582E-14</v>
      </c>
      <c r="BP22" s="2822">
        <f>BP23-BP21</f>
        <v>0</v>
      </c>
      <c r="BQ22" s="2822">
        <f t="shared" si="178"/>
        <v>0</v>
      </c>
      <c r="BR22" s="2822">
        <f t="shared" si="178"/>
        <v>0</v>
      </c>
      <c r="BS22" s="2822">
        <f t="shared" si="178"/>
        <v>0</v>
      </c>
      <c r="BT22" s="2822">
        <f t="shared" si="178"/>
        <v>0</v>
      </c>
      <c r="BU22" s="2822">
        <f t="shared" ref="BU22:BZ22" si="179">BU23-BU21</f>
        <v>7.1054273576010019E-15</v>
      </c>
      <c r="BV22" s="2822">
        <f t="shared" si="179"/>
        <v>-3.5527136788005009E-15</v>
      </c>
      <c r="BW22" s="2822">
        <f t="shared" si="179"/>
        <v>-1.4259426972529354E-14</v>
      </c>
      <c r="BX22" s="2822">
        <f t="shared" si="179"/>
        <v>0</v>
      </c>
      <c r="BY22" s="2822">
        <f t="shared" si="179"/>
        <v>1.0713652187632761E-14</v>
      </c>
      <c r="BZ22" s="2822">
        <f t="shared" si="179"/>
        <v>3.5527136788005009E-15</v>
      </c>
      <c r="CA22" s="2822">
        <f>CA23-CA21</f>
        <v>0</v>
      </c>
      <c r="CB22" s="2822">
        <f t="shared" ref="CB22:CD22" si="180">CB23-CB21</f>
        <v>0</v>
      </c>
      <c r="CC22" s="2822">
        <f t="shared" si="180"/>
        <v>-3.5527136788005009E-15</v>
      </c>
      <c r="CD22" s="2822">
        <f t="shared" si="180"/>
        <v>3.5388358909926865E-15</v>
      </c>
      <c r="CE22" s="2822">
        <f>CE23-CE21</f>
        <v>-1.4210854715202004E-14</v>
      </c>
      <c r="CF22" s="2822">
        <f t="shared" ref="CF22:CH22" si="181">CF23-CF21</f>
        <v>1.0602629885170245E-14</v>
      </c>
      <c r="CG22" s="2822">
        <f t="shared" si="181"/>
        <v>-7.3274719625260332E-15</v>
      </c>
      <c r="CH22" s="2822">
        <f t="shared" si="181"/>
        <v>7.1054273576010019E-15</v>
      </c>
      <c r="CI22" s="2946">
        <f>CI23-CI21</f>
        <v>0</v>
      </c>
      <c r="CJ22" s="2946">
        <f t="shared" ref="CJ22:CL22" si="182">CJ23-CJ21</f>
        <v>-7.1054273576010019E-15</v>
      </c>
      <c r="CK22" s="2946">
        <f t="shared" si="182"/>
        <v>1.3766765505351941E-14</v>
      </c>
      <c r="CL22" s="2946">
        <f t="shared" si="182"/>
        <v>3.4972025275692431E-15</v>
      </c>
      <c r="CM22" s="2946">
        <f>CM23-CM21</f>
        <v>-3.4416913763379853E-15</v>
      </c>
      <c r="CN22" s="2946">
        <f t="shared" ref="CN22:CP22" si="183">CN23-CN21</f>
        <v>-1.0380585280245214E-14</v>
      </c>
      <c r="CO22" s="2946">
        <f t="shared" si="183"/>
        <v>3.5527136788005009E-15</v>
      </c>
      <c r="CP22" s="2946">
        <f t="shared" si="183"/>
        <v>6.8833827526759706E-15</v>
      </c>
      <c r="CQ22" s="2946">
        <f>CQ23-CQ21</f>
        <v>-6.7723604502134549E-15</v>
      </c>
      <c r="CR22" s="2946">
        <f t="shared" ref="CR22:CS22" si="184">CR23-CR21</f>
        <v>-6.7723604502134549E-15</v>
      </c>
      <c r="CS22" s="2946">
        <f t="shared" si="184"/>
        <v>1.3433698597964394E-14</v>
      </c>
      <c r="CT22" s="2946">
        <f t="shared" ref="CT22" si="185">CT23-CT21</f>
        <v>3.3861802251067274E-15</v>
      </c>
      <c r="CU22" s="2946">
        <f t="shared" ref="CU22:CX22" si="186">CU23-CU21</f>
        <v>-3.2751579226442118E-15</v>
      </c>
      <c r="CV22" s="2946">
        <f t="shared" si="186"/>
        <v>-6.6613381477509392E-15</v>
      </c>
      <c r="CW22" s="2946">
        <f t="shared" si="186"/>
        <v>3.4416913763379853E-15</v>
      </c>
      <c r="CX22" s="2946">
        <f t="shared" si="186"/>
        <v>-9.9920072216264089E-15</v>
      </c>
      <c r="CY22" s="2946">
        <f t="shared" ref="CY22:DB22" si="187">CY23-CY21</f>
        <v>9.7699626167013776E-15</v>
      </c>
      <c r="CZ22" s="2946">
        <f t="shared" si="187"/>
        <v>3.2751579226442118E-15</v>
      </c>
      <c r="DA22" s="2946">
        <f t="shared" si="187"/>
        <v>-1.2934098236883074E-14</v>
      </c>
      <c r="DB22" s="2946">
        <f t="shared" si="187"/>
        <v>0</v>
      </c>
    </row>
    <row r="23" spans="1:106">
      <c r="B23" s="715">
        <v>20</v>
      </c>
      <c r="C23" s="975"/>
      <c r="D23" s="766"/>
      <c r="E23" s="767" t="s">
        <v>116</v>
      </c>
      <c r="F23" s="967"/>
      <c r="G23" s="2820"/>
      <c r="H23" s="2820">
        <f t="shared" ref="H23:AM23" si="188">(H145-G145)/(H$227-G$227)*H$232</f>
        <v>0.95068994924992212</v>
      </c>
      <c r="I23" s="2820">
        <f t="shared" si="188"/>
        <v>0.8125782663141784</v>
      </c>
      <c r="J23" s="2820">
        <f t="shared" si="188"/>
        <v>0.49723070123341134</v>
      </c>
      <c r="K23" s="2820">
        <f t="shared" si="188"/>
        <v>-9.908347783007336E-2</v>
      </c>
      <c r="L23" s="2820">
        <f t="shared" si="188"/>
        <v>0.51296194153337626</v>
      </c>
      <c r="M23" s="2820">
        <f t="shared" si="188"/>
        <v>0.58708414872799775</v>
      </c>
      <c r="N23" s="2820">
        <f t="shared" si="188"/>
        <v>0.57598823513392794</v>
      </c>
      <c r="O23" s="2820">
        <f t="shared" si="188"/>
        <v>0.599854089545789</v>
      </c>
      <c r="P23" s="2820">
        <f t="shared" si="188"/>
        <v>0.99049658680229635</v>
      </c>
      <c r="Q23" s="2820">
        <f t="shared" si="188"/>
        <v>0.31522441604347379</v>
      </c>
      <c r="R23" s="2820">
        <f t="shared" si="188"/>
        <v>0.77538638562723183</v>
      </c>
      <c r="S23" s="2820">
        <f t="shared" si="188"/>
        <v>0.27692547714388999</v>
      </c>
      <c r="T23" s="2820">
        <f t="shared" si="188"/>
        <v>0.75985477178421701</v>
      </c>
      <c r="U23" s="2820">
        <f t="shared" si="188"/>
        <v>0.96411078227384528</v>
      </c>
      <c r="V23" s="2820">
        <f t="shared" si="188"/>
        <v>0.59134243751607518</v>
      </c>
      <c r="W23" s="2820">
        <f t="shared" si="188"/>
        <v>0.26345550814784163</v>
      </c>
      <c r="X23" s="2820">
        <f t="shared" si="188"/>
        <v>0.78844295233735251</v>
      </c>
      <c r="Y23" s="2820">
        <f t="shared" si="188"/>
        <v>0.69515026036765948</v>
      </c>
      <c r="Z23" s="2820">
        <f t="shared" si="188"/>
        <v>0.3166631619311493</v>
      </c>
      <c r="AA23" s="2820">
        <f t="shared" si="188"/>
        <v>1.3178967443793761</v>
      </c>
      <c r="AB23" s="2820">
        <f t="shared" si="188"/>
        <v>0.71352295893601936</v>
      </c>
      <c r="AC23" s="2820">
        <f t="shared" si="188"/>
        <v>0.8282097649186182</v>
      </c>
      <c r="AD23" s="2820">
        <f t="shared" si="188"/>
        <v>0.71565802113353605</v>
      </c>
      <c r="AE23" s="2820">
        <f t="shared" si="188"/>
        <v>0.45466447665976761</v>
      </c>
      <c r="AF23" s="2820">
        <f t="shared" si="188"/>
        <v>-0.30011075515963997</v>
      </c>
      <c r="AG23" s="2820">
        <f t="shared" si="188"/>
        <v>8.3412774070551518E-2</v>
      </c>
      <c r="AH23" s="2820">
        <f t="shared" si="188"/>
        <v>-1.0436070115106317</v>
      </c>
      <c r="AI23" s="2820">
        <f t="shared" si="188"/>
        <v>0.44564451188185228</v>
      </c>
      <c r="AJ23" s="2820">
        <f t="shared" si="188"/>
        <v>7.3391889012520445E-2</v>
      </c>
      <c r="AK23" s="2820">
        <f t="shared" si="188"/>
        <v>8.331377610890997E-2</v>
      </c>
      <c r="AL23" s="2820">
        <f t="shared" si="188"/>
        <v>0.66767830045522092</v>
      </c>
      <c r="AM23" s="2820">
        <f t="shared" si="188"/>
        <v>-0.26182275181530001</v>
      </c>
      <c r="AN23" s="2820">
        <f t="shared" ref="AN23:BV23" si="189">(AN145-AM145)/(AN$227-AM$227)*AN$232</f>
        <v>4.3225813988818432E-2</v>
      </c>
      <c r="AO23" s="2820">
        <f t="shared" si="189"/>
        <v>0.24275527234107541</v>
      </c>
      <c r="AP23" s="2820">
        <f t="shared" si="189"/>
        <v>0.32088172718076602</v>
      </c>
      <c r="AQ23" s="2820">
        <f t="shared" si="189"/>
        <v>1.7217901077849906</v>
      </c>
      <c r="AR23" s="2820">
        <f t="shared" si="189"/>
        <v>0.7886005181582556</v>
      </c>
      <c r="AS23" s="2820">
        <f t="shared" si="189"/>
        <v>0.77194009024722909</v>
      </c>
      <c r="AT23" s="2820">
        <f t="shared" si="189"/>
        <v>-0.15059568961671302</v>
      </c>
      <c r="AU23" s="2820">
        <f t="shared" si="189"/>
        <v>0.93405982430782319</v>
      </c>
      <c r="AV23" s="2820">
        <f t="shared" si="189"/>
        <v>1.0433511286356945</v>
      </c>
      <c r="AW23" s="2820">
        <f t="shared" si="189"/>
        <v>-0.14216912615581745</v>
      </c>
      <c r="AX23" s="2820">
        <f t="shared" si="189"/>
        <v>2.305462849113013E-2</v>
      </c>
      <c r="AY23" s="2820">
        <f t="shared" si="189"/>
        <v>0.79941623010987883</v>
      </c>
      <c r="AZ23" s="2820">
        <f t="shared" si="189"/>
        <v>7.03508885858386E-2</v>
      </c>
      <c r="BA23" s="2820">
        <f t="shared" si="189"/>
        <v>0.52753085354276286</v>
      </c>
      <c r="BB23" s="2820">
        <f t="shared" si="189"/>
        <v>0.37763300063116911</v>
      </c>
      <c r="BC23" s="2820">
        <f t="shared" si="189"/>
        <v>1.1546928580500486</v>
      </c>
      <c r="BD23" s="2820">
        <f t="shared" si="189"/>
        <v>0.68547544409612926</v>
      </c>
      <c r="BE23" s="2820">
        <f t="shared" si="189"/>
        <v>0.86598109829719372</v>
      </c>
      <c r="BF23" s="2820">
        <f t="shared" si="189"/>
        <v>0.82629263153544108</v>
      </c>
      <c r="BG23" s="2820">
        <f t="shared" si="189"/>
        <v>0.84372141778083398</v>
      </c>
      <c r="BH23" s="2820">
        <f t="shared" si="189"/>
        <v>0.36477331943722524</v>
      </c>
      <c r="BI23" s="2820">
        <f t="shared" si="189"/>
        <v>-0.42438153532261402</v>
      </c>
      <c r="BJ23" s="2820">
        <f t="shared" si="189"/>
        <v>-0.7115613337161153</v>
      </c>
      <c r="BK23" s="2820">
        <f t="shared" si="189"/>
        <v>-0.89747617551574743</v>
      </c>
      <c r="BL23" s="2820">
        <f t="shared" si="189"/>
        <v>0.21506059835577396</v>
      </c>
      <c r="BM23" s="2820">
        <f t="shared" si="189"/>
        <v>0.25665772253391878</v>
      </c>
      <c r="BN23" s="2820">
        <f t="shared" si="189"/>
        <v>0.86323540209149552</v>
      </c>
      <c r="BO23" s="2820">
        <f t="shared" si="189"/>
        <v>0.12585288733564537</v>
      </c>
      <c r="BP23" s="2820">
        <f t="shared" si="189"/>
        <v>0.21635386797238471</v>
      </c>
      <c r="BQ23" s="2820">
        <f t="shared" si="189"/>
        <v>0.37816676231860163</v>
      </c>
      <c r="BR23" s="2820">
        <f t="shared" si="189"/>
        <v>0.54281837011642353</v>
      </c>
      <c r="BS23" s="2820">
        <f t="shared" si="189"/>
        <v>9.4500670649924387E-2</v>
      </c>
      <c r="BT23" s="2820">
        <f t="shared" si="189"/>
        <v>0.47545501347629088</v>
      </c>
      <c r="BU23" s="2820">
        <f t="shared" si="189"/>
        <v>0.30095924468290131</v>
      </c>
      <c r="BV23" s="2820">
        <f t="shared" si="189"/>
        <v>0.37561137278925777</v>
      </c>
      <c r="BW23" s="2820">
        <f t="shared" ref="BW23:CH23" si="190">(BW145-BV145)/(BW$227-BV$227)*BW$232</f>
        <v>5.1185290752510722E-2</v>
      </c>
      <c r="BX23" s="2820">
        <f t="shared" si="190"/>
        <v>0.16728103213398435</v>
      </c>
      <c r="BY23" s="2820">
        <f t="shared" si="190"/>
        <v>6.7242746314199714E-2</v>
      </c>
      <c r="BZ23" s="2820">
        <f t="shared" si="190"/>
        <v>-0.16465698135561244</v>
      </c>
      <c r="CA23" s="2820">
        <f t="shared" si="190"/>
        <v>-4.7245202601498386E-2</v>
      </c>
      <c r="CB23" s="2820">
        <f t="shared" si="190"/>
        <v>0.15933362241965704</v>
      </c>
      <c r="CC23" s="2820">
        <f t="shared" si="190"/>
        <v>0.2619429947812128</v>
      </c>
      <c r="CD23" s="2820">
        <f t="shared" si="190"/>
        <v>-0.10286935591797566</v>
      </c>
      <c r="CE23" s="2820">
        <f t="shared" si="190"/>
        <v>0.56859484381068226</v>
      </c>
      <c r="CF23" s="2820">
        <f t="shared" si="190"/>
        <v>0.45767271933045994</v>
      </c>
      <c r="CG23" s="2820">
        <f t="shared" si="190"/>
        <v>1.9638135416975933</v>
      </c>
      <c r="CH23" s="2820">
        <f t="shared" si="190"/>
        <v>-0.87009707205431952</v>
      </c>
      <c r="CI23" s="968">
        <f t="shared" ref="CI23" si="191">(CI145-CH145)/(CI$227-CH$227)*CI$232</f>
        <v>2.1882591292203535</v>
      </c>
      <c r="CJ23" s="968">
        <f t="shared" ref="CJ23:CS23" si="192">(CJ145-CI145)/(CJ$227-CI$227)*CJ$232</f>
        <v>-2.4897403500523518</v>
      </c>
      <c r="CK23" s="968">
        <f t="shared" si="192"/>
        <v>0.60541067511587665</v>
      </c>
      <c r="CL23" s="968">
        <f t="shared" si="192"/>
        <v>0.49495786037902539</v>
      </c>
      <c r="CM23" s="968">
        <f t="shared" si="192"/>
        <v>0.69720536043286574</v>
      </c>
      <c r="CN23" s="968">
        <f t="shared" si="192"/>
        <v>0.435148385599476</v>
      </c>
      <c r="CO23" s="968">
        <f t="shared" si="192"/>
        <v>2.0349590608471106</v>
      </c>
      <c r="CP23" s="968">
        <f t="shared" si="192"/>
        <v>-1.2167526415709629</v>
      </c>
      <c r="CQ23" s="968">
        <f t="shared" si="192"/>
        <v>0.16927108237858396</v>
      </c>
      <c r="CR23" s="968">
        <f t="shared" si="192"/>
        <v>0.49778655976286484</v>
      </c>
      <c r="CS23" s="968">
        <f t="shared" si="192"/>
        <v>0.47092198581563571</v>
      </c>
      <c r="CT23" s="968">
        <f t="shared" ref="CT23" si="193">(CT145-CS145)/(CT$227-CS$227)*CT$232</f>
        <v>0.25105471293876086</v>
      </c>
      <c r="CU23" s="968">
        <f t="shared" ref="CU23" si="194">(CU145-CT145)/(CU$227-CT$227)*CU$232</f>
        <v>0.49341658294758356</v>
      </c>
      <c r="CV23" s="968">
        <f t="shared" ref="CV23" si="195">(CV145-CU145)/(CV$227-CU$227)*CV$232</f>
        <v>0.50961883038120637</v>
      </c>
      <c r="CW23" s="968">
        <f t="shared" ref="CW23" si="196">(CW145-CV145)/(CW$227-CV$227)*CW$232</f>
        <v>0.51275553272435881</v>
      </c>
      <c r="CX23" s="968">
        <f t="shared" ref="CX23" si="197">(CX145-CW145)/(CX$227-CW$227)*CX$232</f>
        <v>0.5161413127513903</v>
      </c>
      <c r="CY23" s="968">
        <f t="shared" ref="CY23" si="198">(CY145-CX145)/(CY$227-CX$227)*CY$232</f>
        <v>0.41881090424970147</v>
      </c>
      <c r="CZ23" s="968">
        <f t="shared" ref="CZ23" si="199">(CZ145-CY145)/(CZ$227-CY$227)*CZ$232</f>
        <v>0.41641295733507361</v>
      </c>
      <c r="DA23" s="968">
        <f t="shared" ref="DA23" si="200">(DA145-CZ145)/(DA$227-CZ$227)*DA$232</f>
        <v>0.39651408933334426</v>
      </c>
      <c r="DB23" s="968">
        <f t="shared" ref="DB23" si="201">(DB145-DA145)/(DB$227-DA$227)*DB$232</f>
        <v>0.3919787963091938</v>
      </c>
    </row>
    <row r="24" spans="1:106">
      <c r="B24" s="715">
        <v>21</v>
      </c>
      <c r="C24" s="975"/>
      <c r="D24" s="724"/>
      <c r="E24" s="221" t="s">
        <v>1445</v>
      </c>
      <c r="F24" s="759"/>
      <c r="G24" s="2819"/>
      <c r="H24" s="2819">
        <f t="shared" ref="H24:AM24" si="202">(H164-G164)/(H$227-G$227)*H$232</f>
        <v>-1.1827701427433033</v>
      </c>
      <c r="I24" s="2819">
        <f t="shared" si="202"/>
        <v>-0.80840406289132138</v>
      </c>
      <c r="J24" s="2819">
        <f t="shared" si="202"/>
        <v>0.97512465297440809</v>
      </c>
      <c r="K24" s="2819">
        <f t="shared" si="202"/>
        <v>1.1862494151322247</v>
      </c>
      <c r="L24" s="2819">
        <f t="shared" si="202"/>
        <v>1.1321014892443575</v>
      </c>
      <c r="M24" s="2819">
        <f t="shared" si="202"/>
        <v>0.44886620229087199</v>
      </c>
      <c r="N24" s="2819">
        <f t="shared" si="202"/>
        <v>1.2037200942278732</v>
      </c>
      <c r="O24" s="2819">
        <f t="shared" si="202"/>
        <v>1.8954848820557122</v>
      </c>
      <c r="P24" s="2819">
        <f t="shared" si="202"/>
        <v>1.3612635524026289</v>
      </c>
      <c r="Q24" s="2819">
        <f t="shared" si="202"/>
        <v>0.95358683179676618</v>
      </c>
      <c r="R24" s="2819">
        <f t="shared" si="202"/>
        <v>0.76361829545750026</v>
      </c>
      <c r="S24" s="2819">
        <f t="shared" si="202"/>
        <v>0.4914452129595937</v>
      </c>
      <c r="T24" s="2819">
        <f t="shared" si="202"/>
        <v>0.57442946058090905</v>
      </c>
      <c r="U24" s="2819">
        <f t="shared" si="202"/>
        <v>0.61129276141490907</v>
      </c>
      <c r="V24" s="2819">
        <f t="shared" si="202"/>
        <v>-0.81937644936870269</v>
      </c>
      <c r="W24" s="2819">
        <f t="shared" si="202"/>
        <v>-1.5421785842801199E-2</v>
      </c>
      <c r="X24" s="2819">
        <f t="shared" si="202"/>
        <v>1.8808179459789276</v>
      </c>
      <c r="Y24" s="2819">
        <f t="shared" si="202"/>
        <v>2.2611205219901036</v>
      </c>
      <c r="Z24" s="2819">
        <f t="shared" si="202"/>
        <v>1.861633041821797</v>
      </c>
      <c r="AA24" s="2819">
        <f t="shared" si="202"/>
        <v>2.5441030844651933</v>
      </c>
      <c r="AB24" s="2819">
        <f t="shared" si="202"/>
        <v>1.2850694107368208</v>
      </c>
      <c r="AC24" s="2819">
        <f t="shared" si="202"/>
        <v>1.0066305003013818</v>
      </c>
      <c r="AD24" s="2819">
        <f t="shared" si="202"/>
        <v>0.70485110470701406</v>
      </c>
      <c r="AE24" s="2819">
        <f t="shared" si="202"/>
        <v>-9.7598133733239681E-2</v>
      </c>
      <c r="AF24" s="2819">
        <f t="shared" si="202"/>
        <v>-1.1492336457501693</v>
      </c>
      <c r="AG24" s="2819">
        <f t="shared" si="202"/>
        <v>-0.26930409914203679</v>
      </c>
      <c r="AH24" s="2819">
        <f t="shared" si="202"/>
        <v>-7.1643501934371412E-2</v>
      </c>
      <c r="AI24" s="2819">
        <f t="shared" si="202"/>
        <v>1.7443458105831673</v>
      </c>
      <c r="AJ24" s="2819">
        <f t="shared" si="202"/>
        <v>1.0641823906815886</v>
      </c>
      <c r="AK24" s="2819">
        <f t="shared" si="202"/>
        <v>0.47758742079324312</v>
      </c>
      <c r="AL24" s="2819">
        <f t="shared" si="202"/>
        <v>1.2839967316450065E-2</v>
      </c>
      <c r="AM24" s="2819">
        <f t="shared" si="202"/>
        <v>-0.4654626698938768</v>
      </c>
      <c r="AN24" s="2819">
        <f t="shared" ref="AN24:BV24" si="203">(AN164-AM164)/(AN$227-AM$227)*AN$232</f>
        <v>0.50702711543632373</v>
      </c>
      <c r="AO24" s="2819">
        <f t="shared" si="203"/>
        <v>0.49134600795958361</v>
      </c>
      <c r="AP24" s="2819">
        <f t="shared" si="203"/>
        <v>1.3335193517258892</v>
      </c>
      <c r="AQ24" s="2819">
        <f t="shared" si="203"/>
        <v>1.0501534839707312</v>
      </c>
      <c r="AR24" s="2819">
        <f t="shared" si="203"/>
        <v>1.1238125539748207</v>
      </c>
      <c r="AS24" s="2819">
        <f t="shared" si="203"/>
        <v>0.93623054677214079</v>
      </c>
      <c r="AT24" s="2819">
        <f t="shared" si="203"/>
        <v>1.0106644058721233</v>
      </c>
      <c r="AU24" s="2819">
        <f t="shared" si="203"/>
        <v>0.67719337262317103</v>
      </c>
      <c r="AV24" s="2819">
        <f t="shared" si="203"/>
        <v>0.94477549121681748</v>
      </c>
      <c r="AW24" s="2819">
        <f t="shared" si="203"/>
        <v>0.52789931340026253</v>
      </c>
      <c r="AX24" s="2819">
        <f t="shared" si="203"/>
        <v>0.70151940980150762</v>
      </c>
      <c r="AY24" s="2819">
        <f t="shared" si="203"/>
        <v>1.4038794558741645</v>
      </c>
      <c r="AZ24" s="2819">
        <f t="shared" si="203"/>
        <v>0.80957637941860683</v>
      </c>
      <c r="BA24" s="2819">
        <f t="shared" si="203"/>
        <v>0.69798049538275564</v>
      </c>
      <c r="BB24" s="2819">
        <f t="shared" si="203"/>
        <v>0.80233640360731251</v>
      </c>
      <c r="BC24" s="2819">
        <f t="shared" si="203"/>
        <v>1.9982219211718288</v>
      </c>
      <c r="BD24" s="2819">
        <f t="shared" si="203"/>
        <v>0.78892371995820276</v>
      </c>
      <c r="BE24" s="2819">
        <f t="shared" si="203"/>
        <v>0.41009201049170174</v>
      </c>
      <c r="BF24" s="2819">
        <f t="shared" si="203"/>
        <v>0.10638517631018267</v>
      </c>
      <c r="BG24" s="2819">
        <f t="shared" si="203"/>
        <v>1.2866494702333919</v>
      </c>
      <c r="BH24" s="2819">
        <f t="shared" si="203"/>
        <v>2.1017891262811612</v>
      </c>
      <c r="BI24" s="2819">
        <f t="shared" si="203"/>
        <v>-0.47640907931649451</v>
      </c>
      <c r="BJ24" s="2819">
        <f t="shared" si="203"/>
        <v>-7.5175327072140385</v>
      </c>
      <c r="BK24" s="2819">
        <f t="shared" si="203"/>
        <v>-3.7836422662058942</v>
      </c>
      <c r="BL24" s="2819">
        <f t="shared" si="203"/>
        <v>0.66954826680225488</v>
      </c>
      <c r="BM24" s="2819">
        <f t="shared" si="203"/>
        <v>2.8073264113523484</v>
      </c>
      <c r="BN24" s="2819">
        <f t="shared" si="203"/>
        <v>1.5429152812595157</v>
      </c>
      <c r="BO24" s="2819">
        <f t="shared" si="203"/>
        <v>0.79048094524881163</v>
      </c>
      <c r="BP24" s="2819">
        <f t="shared" si="203"/>
        <v>3.6500657343091674</v>
      </c>
      <c r="BQ24" s="2819">
        <f t="shared" si="203"/>
        <v>1.0873575469377759</v>
      </c>
      <c r="BR24" s="2819">
        <f t="shared" si="203"/>
        <v>0.38058506025079353</v>
      </c>
      <c r="BS24" s="2819">
        <f t="shared" si="203"/>
        <v>2.6673576393122809</v>
      </c>
      <c r="BT24" s="2819">
        <f t="shared" si="203"/>
        <v>0.80554798461587696</v>
      </c>
      <c r="BU24" s="2819">
        <f t="shared" si="203"/>
        <v>0.9119367079689108</v>
      </c>
      <c r="BV24" s="2819">
        <f t="shared" si="203"/>
        <v>-2.5077582830341933</v>
      </c>
      <c r="BW24" s="2819">
        <f t="shared" ref="BW24:CH24" si="204">(BW164-BV164)/(BW$227-BV$227)*BW$232</f>
        <v>2.1467713121499328</v>
      </c>
      <c r="BX24" s="2819">
        <f t="shared" si="204"/>
        <v>-0.52888853273499314</v>
      </c>
      <c r="BY24" s="2819">
        <f t="shared" si="204"/>
        <v>-0.53794197051354065</v>
      </c>
      <c r="BZ24" s="2819">
        <f t="shared" si="204"/>
        <v>0</v>
      </c>
      <c r="CA24" s="2819">
        <f t="shared" si="204"/>
        <v>-0.23321036177762308</v>
      </c>
      <c r="CB24" s="2819">
        <f t="shared" si="204"/>
        <v>0.46085737623913892</v>
      </c>
      <c r="CC24" s="2819">
        <f t="shared" si="204"/>
        <v>1.3448414291449495</v>
      </c>
      <c r="CD24" s="2819">
        <f t="shared" si="204"/>
        <v>1.1645210582559784</v>
      </c>
      <c r="CE24" s="2819">
        <f t="shared" si="204"/>
        <v>0.78069764894497884</v>
      </c>
      <c r="CF24" s="2819">
        <f t="shared" si="204"/>
        <v>1.0265370754613563</v>
      </c>
      <c r="CG24" s="2819">
        <f t="shared" si="204"/>
        <v>1.1864087861592112</v>
      </c>
      <c r="CH24" s="2819">
        <f t="shared" si="204"/>
        <v>0.54257753926291452</v>
      </c>
      <c r="CI24" s="1842">
        <f t="shared" ref="CI24" si="205">(CI164-CH164)/(CI$227-CH$227)*CI$232</f>
        <v>-0.2419378632756084</v>
      </c>
      <c r="CJ24" s="1842">
        <f t="shared" ref="CJ24:CS24" si="206">(CJ164-CI164)/(CJ$227-CI$227)*CJ$232</f>
        <v>1.6435028746608327</v>
      </c>
      <c r="CK24" s="1842">
        <f t="shared" si="206"/>
        <v>-0.73994638069715801</v>
      </c>
      <c r="CL24" s="1842">
        <f t="shared" si="206"/>
        <v>2.8440590441857201</v>
      </c>
      <c r="CM24" s="1842">
        <f t="shared" si="206"/>
        <v>-0.68556910963288686</v>
      </c>
      <c r="CN24" s="1842">
        <f t="shared" si="206"/>
        <v>4.7199094891357696</v>
      </c>
      <c r="CO24" s="1842">
        <f t="shared" si="206"/>
        <v>0.77654805671004901</v>
      </c>
      <c r="CP24" s="1842">
        <f t="shared" si="206"/>
        <v>2.4632289489328825</v>
      </c>
      <c r="CQ24" s="1842">
        <f t="shared" si="206"/>
        <v>-0.19222309354856326</v>
      </c>
      <c r="CR24" s="1842">
        <f t="shared" si="206"/>
        <v>0.61273345619666797</v>
      </c>
      <c r="CS24" s="1842">
        <f t="shared" si="206"/>
        <v>-0.50496453900711402</v>
      </c>
      <c r="CT24" s="1842">
        <f t="shared" ref="CT24" si="207">(CT164-CS164)/(CT$227-CS$227)*CT$232</f>
        <v>1.7045293667947214</v>
      </c>
      <c r="CU24" s="1842">
        <f t="shared" ref="CU24" si="208">(CU164-CT164)/(CU$227-CT$227)*CU$232</f>
        <v>1.3113466720496934</v>
      </c>
      <c r="CV24" s="1842">
        <f t="shared" ref="CV24" si="209">(CV164-CU164)/(CV$227-CU$227)*CV$232</f>
        <v>1.3879994732051648</v>
      </c>
      <c r="CW24" s="1842">
        <f t="shared" ref="CW24" si="210">(CW164-CV164)/(CW$227-CV$227)*CW$232</f>
        <v>1.2211586458916741</v>
      </c>
      <c r="CX24" s="1842">
        <f t="shared" ref="CX24" si="211">(CX164-CW164)/(CX$227-CW$227)*CX$232</f>
        <v>1.1404146191082818</v>
      </c>
      <c r="CY24" s="1842">
        <f t="shared" ref="CY24" si="212">(CY164-CX164)/(CY$227-CX$227)*CY$232</f>
        <v>1.0203667625818269</v>
      </c>
      <c r="CZ24" s="1842">
        <f t="shared" ref="CZ24" si="213">(CZ164-CY164)/(CZ$227-CY$227)*CZ$232</f>
        <v>0.85132994215609326</v>
      </c>
      <c r="DA24" s="1842">
        <f t="shared" ref="DA24" si="214">(DA164-CZ164)/(DA$227-CZ$227)*DA$232</f>
        <v>0.71607708968016681</v>
      </c>
      <c r="DB24" s="1842">
        <f t="shared" ref="DB24" si="215">(DB164-DA164)/(DB$227-DA$227)*DB$232</f>
        <v>0.65393126219670938</v>
      </c>
    </row>
    <row r="25" spans="1:106">
      <c r="B25" s="715">
        <v>22</v>
      </c>
      <c r="C25" s="975"/>
      <c r="D25" s="766"/>
      <c r="E25" s="767" t="s">
        <v>825</v>
      </c>
      <c r="F25" s="967"/>
      <c r="G25" s="2820"/>
      <c r="H25" s="2820">
        <f>H23+H24</f>
        <v>-0.23208019349338116</v>
      </c>
      <c r="I25" s="2820">
        <f t="shared" ref="I25:BT25" si="216">I23+I24</f>
        <v>4.1742034228570146E-3</v>
      </c>
      <c r="J25" s="2820">
        <f t="shared" si="216"/>
        <v>1.4723553542078194</v>
      </c>
      <c r="K25" s="2820">
        <f t="shared" si="216"/>
        <v>1.0871659373021514</v>
      </c>
      <c r="L25" s="2820">
        <f t="shared" si="216"/>
        <v>1.6450634307777339</v>
      </c>
      <c r="M25" s="2820">
        <f t="shared" si="216"/>
        <v>1.0359503510188697</v>
      </c>
      <c r="N25" s="2820">
        <f t="shared" si="216"/>
        <v>1.7797083293618012</v>
      </c>
      <c r="O25" s="2820">
        <f t="shared" si="216"/>
        <v>2.4953389716015013</v>
      </c>
      <c r="P25" s="2820">
        <f t="shared" si="216"/>
        <v>2.3517601392049254</v>
      </c>
      <c r="Q25" s="2820">
        <f t="shared" si="216"/>
        <v>1.26881124784024</v>
      </c>
      <c r="R25" s="2820">
        <f t="shared" si="216"/>
        <v>1.539004681084732</v>
      </c>
      <c r="S25" s="2820">
        <f t="shared" si="216"/>
        <v>0.76837069010348369</v>
      </c>
      <c r="T25" s="2820">
        <f t="shared" si="216"/>
        <v>1.3342842323651261</v>
      </c>
      <c r="U25" s="2820">
        <f t="shared" si="216"/>
        <v>1.5754035436887543</v>
      </c>
      <c r="V25" s="2820">
        <f t="shared" si="216"/>
        <v>-0.22803401185262751</v>
      </c>
      <c r="W25" s="2820">
        <f t="shared" si="216"/>
        <v>0.24803372230504042</v>
      </c>
      <c r="X25" s="2820">
        <f t="shared" si="216"/>
        <v>2.66926089831628</v>
      </c>
      <c r="Y25" s="2820">
        <f t="shared" si="216"/>
        <v>2.956270782357763</v>
      </c>
      <c r="Z25" s="2820">
        <f t="shared" si="216"/>
        <v>2.1782962037529465</v>
      </c>
      <c r="AA25" s="2820">
        <f t="shared" si="216"/>
        <v>3.8619998288445694</v>
      </c>
      <c r="AB25" s="2820">
        <f t="shared" si="216"/>
        <v>1.9985923696728403</v>
      </c>
      <c r="AC25" s="2820">
        <f t="shared" si="216"/>
        <v>1.83484026522</v>
      </c>
      <c r="AD25" s="2820">
        <f t="shared" si="216"/>
        <v>1.42050912584055</v>
      </c>
      <c r="AE25" s="2820">
        <f t="shared" si="216"/>
        <v>0.35706634292652795</v>
      </c>
      <c r="AF25" s="2820">
        <f t="shared" si="216"/>
        <v>-1.4493444009098093</v>
      </c>
      <c r="AG25" s="2820">
        <f t="shared" si="216"/>
        <v>-0.18589132507148526</v>
      </c>
      <c r="AH25" s="2820">
        <f t="shared" si="216"/>
        <v>-1.115250513445003</v>
      </c>
      <c r="AI25" s="2820">
        <f t="shared" si="216"/>
        <v>2.1899903224650195</v>
      </c>
      <c r="AJ25" s="2820">
        <f t="shared" si="216"/>
        <v>1.1375742796941091</v>
      </c>
      <c r="AK25" s="2820">
        <f t="shared" si="216"/>
        <v>0.56090119690215312</v>
      </c>
      <c r="AL25" s="2820">
        <f t="shared" si="216"/>
        <v>0.68051826777167101</v>
      </c>
      <c r="AM25" s="2820">
        <f t="shared" si="216"/>
        <v>-0.72728542170917687</v>
      </c>
      <c r="AN25" s="2820">
        <f t="shared" si="216"/>
        <v>0.55025292942514215</v>
      </c>
      <c r="AO25" s="2820">
        <f t="shared" si="216"/>
        <v>0.73410128030065902</v>
      </c>
      <c r="AP25" s="2820">
        <f t="shared" si="216"/>
        <v>1.6544010789066552</v>
      </c>
      <c r="AQ25" s="2820">
        <f t="shared" si="216"/>
        <v>2.771943591755722</v>
      </c>
      <c r="AR25" s="2820">
        <f t="shared" si="216"/>
        <v>1.9124130721330763</v>
      </c>
      <c r="AS25" s="2820">
        <f t="shared" si="216"/>
        <v>1.7081706370193699</v>
      </c>
      <c r="AT25" s="2820">
        <f t="shared" si="216"/>
        <v>0.86006871625541026</v>
      </c>
      <c r="AU25" s="2820">
        <f t="shared" si="216"/>
        <v>1.6112531969309942</v>
      </c>
      <c r="AV25" s="2820">
        <f t="shared" si="216"/>
        <v>1.9881266198525118</v>
      </c>
      <c r="AW25" s="2820">
        <f t="shared" si="216"/>
        <v>0.38573018724444508</v>
      </c>
      <c r="AX25" s="2820">
        <f t="shared" si="216"/>
        <v>0.72457403829263778</v>
      </c>
      <c r="AY25" s="2820">
        <f t="shared" si="216"/>
        <v>2.2032956859840436</v>
      </c>
      <c r="AZ25" s="2820">
        <f t="shared" si="216"/>
        <v>0.87992726800444543</v>
      </c>
      <c r="BA25" s="2820">
        <f t="shared" si="216"/>
        <v>1.2255113489255185</v>
      </c>
      <c r="BB25" s="2820">
        <f t="shared" si="216"/>
        <v>1.1799694042384816</v>
      </c>
      <c r="BC25" s="2820">
        <f t="shared" si="216"/>
        <v>3.1529147792218772</v>
      </c>
      <c r="BD25" s="2820">
        <f t="shared" si="216"/>
        <v>1.4743991640543319</v>
      </c>
      <c r="BE25" s="2820">
        <f t="shared" si="216"/>
        <v>1.2760731087888955</v>
      </c>
      <c r="BF25" s="2820">
        <f t="shared" si="216"/>
        <v>0.93267780784562371</v>
      </c>
      <c r="BG25" s="2820">
        <f t="shared" si="216"/>
        <v>2.1303708880142258</v>
      </c>
      <c r="BH25" s="2820">
        <f t="shared" si="216"/>
        <v>2.4665624457183863</v>
      </c>
      <c r="BI25" s="2820">
        <f t="shared" si="216"/>
        <v>-0.90079061463910848</v>
      </c>
      <c r="BJ25" s="2820">
        <f t="shared" si="216"/>
        <v>-8.2290940409301534</v>
      </c>
      <c r="BK25" s="2820">
        <f t="shared" si="216"/>
        <v>-4.681118441721642</v>
      </c>
      <c r="BL25" s="2820">
        <f t="shared" si="216"/>
        <v>0.88460886515802883</v>
      </c>
      <c r="BM25" s="2820">
        <f t="shared" si="216"/>
        <v>3.063984133886267</v>
      </c>
      <c r="BN25" s="2820">
        <f t="shared" si="216"/>
        <v>2.4061506833510111</v>
      </c>
      <c r="BO25" s="2820">
        <f t="shared" si="216"/>
        <v>0.916333832584457</v>
      </c>
      <c r="BP25" s="2820">
        <f t="shared" si="216"/>
        <v>3.8664196022815522</v>
      </c>
      <c r="BQ25" s="2820">
        <f t="shared" si="216"/>
        <v>1.4655243092563774</v>
      </c>
      <c r="BR25" s="2820">
        <f t="shared" si="216"/>
        <v>0.92340343036721706</v>
      </c>
      <c r="BS25" s="2820">
        <f t="shared" si="216"/>
        <v>2.7618583099622054</v>
      </c>
      <c r="BT25" s="2820">
        <f t="shared" si="216"/>
        <v>1.2810029980921678</v>
      </c>
      <c r="BU25" s="2820">
        <f t="shared" ref="BU25:BZ25" si="217">BU23+BU24</f>
        <v>1.2128959526518122</v>
      </c>
      <c r="BV25" s="2820">
        <f t="shared" si="217"/>
        <v>-2.1321469102449355</v>
      </c>
      <c r="BW25" s="2820">
        <f t="shared" si="217"/>
        <v>2.1979566029024435</v>
      </c>
      <c r="BX25" s="2820">
        <f t="shared" si="217"/>
        <v>-0.36160750060100877</v>
      </c>
      <c r="BY25" s="2820">
        <f t="shared" si="217"/>
        <v>-0.47069922419934096</v>
      </c>
      <c r="BZ25" s="2820">
        <f t="shared" si="217"/>
        <v>-0.16465698135561244</v>
      </c>
      <c r="CA25" s="2820">
        <f>CA23+CA24</f>
        <v>-0.28045556437912145</v>
      </c>
      <c r="CB25" s="2820">
        <f t="shared" ref="CB25:CD25" si="218">CB23+CB24</f>
        <v>0.6201909986587959</v>
      </c>
      <c r="CC25" s="2820">
        <f t="shared" si="218"/>
        <v>1.6067844239261624</v>
      </c>
      <c r="CD25" s="2820">
        <f t="shared" si="218"/>
        <v>1.0616517023380028</v>
      </c>
      <c r="CE25" s="2820">
        <f>CE23+CE24</f>
        <v>1.3492924927556611</v>
      </c>
      <c r="CF25" s="2820">
        <f t="shared" ref="CF25:CH25" si="219">CF23+CF24</f>
        <v>1.4842097947918163</v>
      </c>
      <c r="CG25" s="2820">
        <f t="shared" si="219"/>
        <v>3.1502223278568042</v>
      </c>
      <c r="CH25" s="2820">
        <f t="shared" si="219"/>
        <v>-0.327519532791405</v>
      </c>
      <c r="CI25" s="968">
        <f>CI23+CI24</f>
        <v>1.9463212659447451</v>
      </c>
      <c r="CJ25" s="968">
        <f t="shared" ref="CJ25:CL25" si="220">CJ23+CJ24</f>
        <v>-0.84623747539151917</v>
      </c>
      <c r="CK25" s="968">
        <f t="shared" si="220"/>
        <v>-0.13453570558128136</v>
      </c>
      <c r="CL25" s="968">
        <f t="shared" si="220"/>
        <v>3.3390169045647453</v>
      </c>
      <c r="CM25" s="968">
        <f>CM23+CM24</f>
        <v>1.1636250799978876E-2</v>
      </c>
      <c r="CN25" s="968">
        <f t="shared" ref="CN25:CP25" si="221">CN23+CN24</f>
        <v>5.1550578747352453</v>
      </c>
      <c r="CO25" s="968">
        <f t="shared" si="221"/>
        <v>2.8115071175571598</v>
      </c>
      <c r="CP25" s="968">
        <f t="shared" si="221"/>
        <v>1.2464763073619196</v>
      </c>
      <c r="CQ25" s="968">
        <f>CQ23+CQ24</f>
        <v>-2.2952011169979303E-2</v>
      </c>
      <c r="CR25" s="968">
        <f t="shared" ref="CR25:CS25" si="222">CR23+CR24</f>
        <v>1.1105200159595328</v>
      </c>
      <c r="CS25" s="968">
        <f t="shared" si="222"/>
        <v>-3.4042553191478309E-2</v>
      </c>
      <c r="CT25" s="968">
        <f t="shared" ref="CT25" si="223">CT23+CT24</f>
        <v>1.9555840797334823</v>
      </c>
      <c r="CU25" s="968">
        <f t="shared" ref="CU25:CX25" si="224">CU23+CU24</f>
        <v>1.804763254997277</v>
      </c>
      <c r="CV25" s="968">
        <f t="shared" si="224"/>
        <v>1.8976183035863712</v>
      </c>
      <c r="CW25" s="968">
        <f t="shared" si="224"/>
        <v>1.733914178616033</v>
      </c>
      <c r="CX25" s="968">
        <f t="shared" si="224"/>
        <v>1.6565559318596721</v>
      </c>
      <c r="CY25" s="968">
        <f t="shared" ref="CY25:DB25" si="225">CY23+CY24</f>
        <v>1.4391776668315284</v>
      </c>
      <c r="CZ25" s="968">
        <f t="shared" si="225"/>
        <v>1.2677428994911668</v>
      </c>
      <c r="DA25" s="968">
        <f t="shared" si="225"/>
        <v>1.112591179013511</v>
      </c>
      <c r="DB25" s="968">
        <f t="shared" si="225"/>
        <v>1.0459100585059031</v>
      </c>
    </row>
    <row r="26" spans="1:106">
      <c r="B26" s="715">
        <v>23</v>
      </c>
      <c r="C26" s="740"/>
      <c r="D26" s="741"/>
      <c r="E26" s="784" t="s">
        <v>996</v>
      </c>
      <c r="F26" s="976"/>
      <c r="G26" s="2821"/>
      <c r="H26" s="2821">
        <f t="shared" ref="H26:AM26" si="226">(H205-G205)/(H$227-G$227)*H$232</f>
        <v>-0.41522781606946163</v>
      </c>
      <c r="I26" s="2821">
        <f t="shared" si="226"/>
        <v>-0.13635731181299351</v>
      </c>
      <c r="J26" s="2821">
        <f t="shared" si="226"/>
        <v>1.2499827350451069</v>
      </c>
      <c r="K26" s="2821">
        <f t="shared" si="226"/>
        <v>1.1091844879310535</v>
      </c>
      <c r="L26" s="2821">
        <f t="shared" si="226"/>
        <v>0.64947600661887683</v>
      </c>
      <c r="M26" s="2821">
        <f t="shared" si="226"/>
        <v>0.22990707922215087</v>
      </c>
      <c r="N26" s="2821">
        <f t="shared" si="226"/>
        <v>0.96678876346356402</v>
      </c>
      <c r="O26" s="2821">
        <f t="shared" si="226"/>
        <v>1.7320111324272407</v>
      </c>
      <c r="P26" s="2821">
        <f t="shared" si="226"/>
        <v>1.5941641011912777</v>
      </c>
      <c r="Q26" s="2821">
        <f t="shared" si="226"/>
        <v>0.70167108508420051</v>
      </c>
      <c r="R26" s="2821">
        <f t="shared" si="226"/>
        <v>0.47464630351211318</v>
      </c>
      <c r="S26" s="2821">
        <f t="shared" si="226"/>
        <v>0.42123875396537269</v>
      </c>
      <c r="T26" s="2821">
        <f t="shared" si="226"/>
        <v>1.0464211618257011</v>
      </c>
      <c r="U26" s="2821">
        <f t="shared" si="226"/>
        <v>1.1398736058519112</v>
      </c>
      <c r="V26" s="2821">
        <f t="shared" si="226"/>
        <v>-0.36073177016232183</v>
      </c>
      <c r="W26" s="2821">
        <f t="shared" si="226"/>
        <v>-0.78394078034236381</v>
      </c>
      <c r="X26" s="2821">
        <f t="shared" si="226"/>
        <v>1.0389643420316328</v>
      </c>
      <c r="Y26" s="2821">
        <f t="shared" si="226"/>
        <v>1.7190538929669461</v>
      </c>
      <c r="Z26" s="2821">
        <f t="shared" si="226"/>
        <v>1.6983535989510508</v>
      </c>
      <c r="AA26" s="2821">
        <f t="shared" si="226"/>
        <v>3.0722398131960675</v>
      </c>
      <c r="AB26" s="2821">
        <f t="shared" si="226"/>
        <v>1.6224152994854848</v>
      </c>
      <c r="AC26" s="2821">
        <f t="shared" si="226"/>
        <v>1.7516576250753404</v>
      </c>
      <c r="AD26" s="2821">
        <f t="shared" si="226"/>
        <v>0.54274735830932053</v>
      </c>
      <c r="AE26" s="2821">
        <f t="shared" si="226"/>
        <v>-0.55702349496535819</v>
      </c>
      <c r="AF26" s="2821">
        <f t="shared" si="226"/>
        <v>-1.5755814645880506</v>
      </c>
      <c r="AG26" s="2821">
        <f t="shared" si="226"/>
        <v>-0.89609151572926182</v>
      </c>
      <c r="AH26" s="2821">
        <f t="shared" si="226"/>
        <v>-0.49314610498156719</v>
      </c>
      <c r="AI26" s="2821">
        <f t="shared" si="226"/>
        <v>0.75269716484067595</v>
      </c>
      <c r="AJ26" s="2821">
        <f t="shared" si="226"/>
        <v>0.72681644925305822</v>
      </c>
      <c r="AK26" s="2821">
        <f t="shared" si="226"/>
        <v>0.6794179770007136</v>
      </c>
      <c r="AL26" s="2821">
        <f t="shared" si="226"/>
        <v>0.54161316680284577</v>
      </c>
      <c r="AM26" s="2821">
        <f t="shared" si="226"/>
        <v>-0.26531372183951252</v>
      </c>
      <c r="AN26" s="2821">
        <f t="shared" ref="AN26:BV26" si="227">(AN205-AM205)/(AN$227-AM$227)*AN$232</f>
        <v>-0.34463824666755122</v>
      </c>
      <c r="AO26" s="2821">
        <f t="shared" si="227"/>
        <v>0.31511501698120975</v>
      </c>
      <c r="AP26" s="2821">
        <f t="shared" si="227"/>
        <v>1.416065013428178</v>
      </c>
      <c r="AQ26" s="2821">
        <f t="shared" si="227"/>
        <v>0.93821404666836283</v>
      </c>
      <c r="AR26" s="2821">
        <f t="shared" si="227"/>
        <v>1.0976773783009921</v>
      </c>
      <c r="AS26" s="2821">
        <f t="shared" si="227"/>
        <v>1.105022111695001</v>
      </c>
      <c r="AT26" s="2821">
        <f t="shared" si="227"/>
        <v>1.4457186203203893</v>
      </c>
      <c r="AU26" s="2821">
        <f t="shared" si="227"/>
        <v>0.7839430668297751</v>
      </c>
      <c r="AV26" s="2821">
        <f t="shared" si="227"/>
        <v>1.3567995037990628</v>
      </c>
      <c r="AW26" s="2821">
        <f t="shared" si="227"/>
        <v>0.49593881217144054</v>
      </c>
      <c r="AX26" s="2821">
        <f t="shared" si="227"/>
        <v>0.47536448269804582</v>
      </c>
      <c r="AY26" s="2821">
        <f t="shared" si="227"/>
        <v>1.4812071838548266</v>
      </c>
      <c r="AZ26" s="2821">
        <f t="shared" si="227"/>
        <v>0.56388943004958847</v>
      </c>
      <c r="BA26" s="2821">
        <f t="shared" si="227"/>
        <v>9.7091568136699974E-2</v>
      </c>
      <c r="BB26" s="2821">
        <f t="shared" si="227"/>
        <v>0.54237940883854097</v>
      </c>
      <c r="BC26" s="2821">
        <f t="shared" si="227"/>
        <v>1.964353753016385</v>
      </c>
      <c r="BD26" s="2821">
        <f t="shared" si="227"/>
        <v>0.82967607105538344</v>
      </c>
      <c r="BE26" s="2821">
        <f t="shared" si="227"/>
        <v>0.84620508763895919</v>
      </c>
      <c r="BF26" s="2821">
        <f t="shared" si="227"/>
        <v>0.71267739469931812</v>
      </c>
      <c r="BG26" s="2821">
        <f t="shared" si="227"/>
        <v>1.4479944916604182</v>
      </c>
      <c r="BH26" s="2821">
        <f t="shared" si="227"/>
        <v>1.9628278617336365</v>
      </c>
      <c r="BI26" s="2821">
        <f t="shared" si="227"/>
        <v>-0.21627135934709191</v>
      </c>
      <c r="BJ26" s="2821">
        <f t="shared" si="227"/>
        <v>-6.3199770331788452</v>
      </c>
      <c r="BK26" s="2821">
        <f t="shared" si="227"/>
        <v>-3.7396586029950925</v>
      </c>
      <c r="BL26" s="2821">
        <f t="shared" si="227"/>
        <v>0.33159589795744576</v>
      </c>
      <c r="BM26" s="2821">
        <f t="shared" si="227"/>
        <v>2.3184040556162651</v>
      </c>
      <c r="BN26" s="2821">
        <f t="shared" si="227"/>
        <v>1.1170664680770745</v>
      </c>
      <c r="BO26" s="2821">
        <f t="shared" si="227"/>
        <v>1.3230154767848499</v>
      </c>
      <c r="BP26" s="2821">
        <f t="shared" si="227"/>
        <v>3.2246043001625218</v>
      </c>
      <c r="BQ26" s="2821">
        <f t="shared" si="227"/>
        <v>0.40276297450192627</v>
      </c>
      <c r="BR26" s="2821">
        <f t="shared" si="227"/>
        <v>1.1284908220841459</v>
      </c>
      <c r="BS26" s="2821">
        <f t="shared" si="227"/>
        <v>2.3665813112222178</v>
      </c>
      <c r="BT26" s="2821">
        <f t="shared" si="227"/>
        <v>1.0104680859655324</v>
      </c>
      <c r="BU26" s="2821">
        <f t="shared" si="227"/>
        <v>1.5339862504907273</v>
      </c>
      <c r="BV26" s="2821">
        <f t="shared" si="227"/>
        <v>-2.4434825400969862</v>
      </c>
      <c r="BW26" s="2821">
        <f t="shared" ref="BW26:CH26" si="228">(BW205-BV205)/(BW$227-BV$227)*BW$232</f>
        <v>1.7051727252654227</v>
      </c>
      <c r="BX26" s="2821">
        <f t="shared" si="228"/>
        <v>-0.72822341533776103</v>
      </c>
      <c r="BY26" s="2821">
        <f t="shared" si="228"/>
        <v>-0.56303254749643972</v>
      </c>
      <c r="BZ26" s="2821">
        <f t="shared" si="228"/>
        <v>4.1164245338899549E-2</v>
      </c>
      <c r="CA26" s="2821">
        <f t="shared" si="228"/>
        <v>-0.26939817653622122</v>
      </c>
      <c r="CB26" s="2821">
        <f t="shared" si="228"/>
        <v>0.22488226455432325</v>
      </c>
      <c r="CC26" s="2821">
        <f t="shared" si="228"/>
        <v>0.81794460056203588</v>
      </c>
      <c r="CD26" s="2821">
        <f t="shared" si="228"/>
        <v>1.5100821956115307</v>
      </c>
      <c r="CE26" s="2821">
        <f t="shared" si="228"/>
        <v>0.84442806926702585</v>
      </c>
      <c r="CF26" s="2821">
        <f t="shared" si="228"/>
        <v>1.2062307027906616</v>
      </c>
      <c r="CG26" s="2821">
        <f t="shared" si="228"/>
        <v>2.9293799578121575</v>
      </c>
      <c r="CH26" s="2821">
        <f t="shared" si="228"/>
        <v>-0.89180017362484121</v>
      </c>
      <c r="CI26" s="977">
        <f t="shared" ref="CI26" si="229">(CI205-CH205)/(CI$227-CH$227)*CI$232</f>
        <v>1.6109521140058245</v>
      </c>
      <c r="CJ26" s="977">
        <f t="shared" ref="CJ26:CS26" si="230">(CJ205-CI205)/(CJ$227-CI$227)*CJ$232</f>
        <v>-1.0088247681172005</v>
      </c>
      <c r="CK26" s="977">
        <f t="shared" si="230"/>
        <v>-0.2593224469900548</v>
      </c>
      <c r="CL26" s="977">
        <f t="shared" si="230"/>
        <v>2.9190821844400179</v>
      </c>
      <c r="CM26" s="977">
        <f t="shared" si="230"/>
        <v>-0.48387409576634155</v>
      </c>
      <c r="CN26" s="977">
        <f t="shared" si="230"/>
        <v>4.9084737895622208</v>
      </c>
      <c r="CO26" s="977">
        <f t="shared" si="230"/>
        <v>2.5792146209887594</v>
      </c>
      <c r="CP26" s="977">
        <f t="shared" si="230"/>
        <v>1.1783995244213732</v>
      </c>
      <c r="CQ26" s="977">
        <f t="shared" si="230"/>
        <v>-0.45330222060707809</v>
      </c>
      <c r="CR26" s="977">
        <f t="shared" si="230"/>
        <v>0.67448178899167921</v>
      </c>
      <c r="CS26" s="977">
        <f t="shared" si="230"/>
        <v>-0.64302600472814597</v>
      </c>
      <c r="CT26" s="977">
        <f t="shared" ref="CT26" si="231">(CT205-CS205)/(CT$227-CS$227)*CT$232</f>
        <v>1.3543741092748691</v>
      </c>
      <c r="CU26" s="977">
        <f t="shared" ref="CU26" si="232">(CU205-CT205)/(CU$227-CT$227)*CU$232</f>
        <v>1.3943722008881785</v>
      </c>
      <c r="CV26" s="977">
        <f t="shared" ref="CV26" si="233">(CV205-CU205)/(CV$227-CU$227)*CV$232</f>
        <v>1.3668016072008702</v>
      </c>
      <c r="CW26" s="977">
        <f t="shared" ref="CW26" si="234">(CW205-CV205)/(CW$227-CV$227)*CW$232</f>
        <v>1.2470461771044683</v>
      </c>
      <c r="CX26" s="977">
        <f t="shared" ref="CX26" si="235">(CX205-CW205)/(CX$227-CW$227)*CX$232</f>
        <v>1.1684940269539339</v>
      </c>
      <c r="CY26" s="977">
        <f t="shared" ref="CY26" si="236">(CY205-CX205)/(CY$227-CX$227)*CY$232</f>
        <v>0.9967145653174313</v>
      </c>
      <c r="CZ26" s="977">
        <f t="shared" ref="CZ26" si="237">(CZ205-CY205)/(CZ$227-CY$227)*CZ$232</f>
        <v>0.84819336256695188</v>
      </c>
      <c r="DA26" s="977">
        <f t="shared" ref="DA26" si="238">(DA205-CZ205)/(DA$227-CZ$227)*DA$232</f>
        <v>0.79750456568531392</v>
      </c>
      <c r="DB26" s="977">
        <f t="shared" ref="DB26" si="239">(DB205-DA205)/(DB$227-DA$227)*DB$232</f>
        <v>0.77426384487261113</v>
      </c>
    </row>
    <row r="27" spans="1:106" s="1232" customFormat="1">
      <c r="A27" s="715"/>
      <c r="B27" s="715">
        <v>24</v>
      </c>
      <c r="C27" s="946"/>
      <c r="D27" s="3763"/>
      <c r="E27" s="3764" t="s">
        <v>701</v>
      </c>
      <c r="F27" s="3765"/>
      <c r="G27" s="3396"/>
      <c r="H27" s="3396">
        <f>H25-H26</f>
        <v>0.18314762257608047</v>
      </c>
      <c r="I27" s="3396">
        <f t="shared" ref="I27:BT27" si="240">I25-I26</f>
        <v>0.14053151523585053</v>
      </c>
      <c r="J27" s="3396">
        <f t="shared" si="240"/>
        <v>0.22237261916271245</v>
      </c>
      <c r="K27" s="3396">
        <f t="shared" si="240"/>
        <v>-2.2018550628902123E-2</v>
      </c>
      <c r="L27" s="3396">
        <f t="shared" si="240"/>
        <v>0.99558742415885704</v>
      </c>
      <c r="M27" s="3396">
        <f t="shared" si="240"/>
        <v>0.80604327179671875</v>
      </c>
      <c r="N27" s="3396">
        <f t="shared" si="240"/>
        <v>0.81291956589823722</v>
      </c>
      <c r="O27" s="3396">
        <f t="shared" si="240"/>
        <v>0.76332783917426061</v>
      </c>
      <c r="P27" s="3396">
        <f t="shared" si="240"/>
        <v>0.75759603801364772</v>
      </c>
      <c r="Q27" s="3396">
        <f t="shared" si="240"/>
        <v>0.56714016275603951</v>
      </c>
      <c r="R27" s="3396">
        <f t="shared" si="240"/>
        <v>1.0643583775726189</v>
      </c>
      <c r="S27" s="3396">
        <f t="shared" si="240"/>
        <v>0.347131936138111</v>
      </c>
      <c r="T27" s="3396">
        <f t="shared" si="240"/>
        <v>0.28786307053942495</v>
      </c>
      <c r="U27" s="3396">
        <f t="shared" si="240"/>
        <v>0.43552993783684313</v>
      </c>
      <c r="V27" s="3396">
        <f t="shared" si="240"/>
        <v>0.13269775830969432</v>
      </c>
      <c r="W27" s="3396">
        <f t="shared" si="240"/>
        <v>1.0319745026474043</v>
      </c>
      <c r="X27" s="3396">
        <f t="shared" si="240"/>
        <v>1.6302965562846472</v>
      </c>
      <c r="Y27" s="3396">
        <f t="shared" si="240"/>
        <v>1.2372168893908169</v>
      </c>
      <c r="Z27" s="3396">
        <f t="shared" si="240"/>
        <v>0.47994260480189577</v>
      </c>
      <c r="AA27" s="3396">
        <f t="shared" si="240"/>
        <v>0.78976001564850185</v>
      </c>
      <c r="AB27" s="3396">
        <f t="shared" si="240"/>
        <v>0.37617707018735547</v>
      </c>
      <c r="AC27" s="3396">
        <f t="shared" si="240"/>
        <v>8.3182640144659592E-2</v>
      </c>
      <c r="AD27" s="3396">
        <f t="shared" si="240"/>
        <v>0.87776176753122948</v>
      </c>
      <c r="AE27" s="3396">
        <f t="shared" si="240"/>
        <v>0.91408983789188614</v>
      </c>
      <c r="AF27" s="3396">
        <f t="shared" si="240"/>
        <v>0.12623706367824128</v>
      </c>
      <c r="AG27" s="3396">
        <f t="shared" si="240"/>
        <v>0.71020019065777662</v>
      </c>
      <c r="AH27" s="3396">
        <f t="shared" si="240"/>
        <v>-0.62210440846343584</v>
      </c>
      <c r="AI27" s="3396">
        <f t="shared" si="240"/>
        <v>1.4372931576243435</v>
      </c>
      <c r="AJ27" s="3396">
        <f t="shared" si="240"/>
        <v>0.41075783044105085</v>
      </c>
      <c r="AK27" s="3396">
        <f t="shared" si="240"/>
        <v>-0.11851678009856048</v>
      </c>
      <c r="AL27" s="3396">
        <f t="shared" si="240"/>
        <v>0.13890510096882525</v>
      </c>
      <c r="AM27" s="3396">
        <f t="shared" si="240"/>
        <v>-0.46197169986966435</v>
      </c>
      <c r="AN27" s="3396">
        <f t="shared" si="240"/>
        <v>0.89489117609269342</v>
      </c>
      <c r="AO27" s="3396">
        <f t="shared" si="240"/>
        <v>0.41898626331944927</v>
      </c>
      <c r="AP27" s="3396">
        <f t="shared" si="240"/>
        <v>0.23833606547847719</v>
      </c>
      <c r="AQ27" s="3396">
        <f t="shared" si="240"/>
        <v>1.8337295450873592</v>
      </c>
      <c r="AR27" s="3396">
        <f t="shared" si="240"/>
        <v>0.81473569383208422</v>
      </c>
      <c r="AS27" s="3396">
        <f t="shared" si="240"/>
        <v>0.60314852532436891</v>
      </c>
      <c r="AT27" s="3396">
        <f t="shared" si="240"/>
        <v>-0.58564990406497908</v>
      </c>
      <c r="AU27" s="3396">
        <f t="shared" si="240"/>
        <v>0.82731013010121912</v>
      </c>
      <c r="AV27" s="3396">
        <f t="shared" si="240"/>
        <v>0.63132711605344904</v>
      </c>
      <c r="AW27" s="3396">
        <f t="shared" si="240"/>
        <v>-0.11020862492699546</v>
      </c>
      <c r="AX27" s="3396">
        <f t="shared" si="240"/>
        <v>0.24920955559459196</v>
      </c>
      <c r="AY27" s="3396">
        <f t="shared" si="240"/>
        <v>0.72208850212921694</v>
      </c>
      <c r="AZ27" s="3396">
        <f t="shared" si="240"/>
        <v>0.31603783795485696</v>
      </c>
      <c r="BA27" s="3396">
        <f t="shared" si="240"/>
        <v>1.1284197807888185</v>
      </c>
      <c r="BB27" s="3396">
        <f t="shared" si="240"/>
        <v>0.63758999539994066</v>
      </c>
      <c r="BC27" s="3396">
        <f t="shared" si="240"/>
        <v>1.1885610262054922</v>
      </c>
      <c r="BD27" s="3396">
        <f t="shared" si="240"/>
        <v>0.64472309299894848</v>
      </c>
      <c r="BE27" s="3396">
        <f t="shared" si="240"/>
        <v>0.42986802114993627</v>
      </c>
      <c r="BF27" s="3396">
        <f t="shared" si="240"/>
        <v>0.22000041314630558</v>
      </c>
      <c r="BG27" s="3396">
        <f t="shared" si="240"/>
        <v>0.68237639635380765</v>
      </c>
      <c r="BH27" s="3396">
        <f t="shared" si="240"/>
        <v>0.5037345839847498</v>
      </c>
      <c r="BI27" s="3396">
        <f t="shared" si="240"/>
        <v>-0.68451925529201652</v>
      </c>
      <c r="BJ27" s="3396">
        <f t="shared" si="240"/>
        <v>-1.9091170077513082</v>
      </c>
      <c r="BK27" s="3396">
        <f t="shared" si="240"/>
        <v>-0.94145983872654959</v>
      </c>
      <c r="BL27" s="3396">
        <f t="shared" si="240"/>
        <v>0.55301296720058302</v>
      </c>
      <c r="BM27" s="3396">
        <f t="shared" si="240"/>
        <v>0.74558007827000194</v>
      </c>
      <c r="BN27" s="3396">
        <f t="shared" si="240"/>
        <v>1.2890842152739366</v>
      </c>
      <c r="BO27" s="3396">
        <f t="shared" si="240"/>
        <v>-0.40668164420039288</v>
      </c>
      <c r="BP27" s="3396">
        <f t="shared" si="240"/>
        <v>0.64181530211903048</v>
      </c>
      <c r="BQ27" s="3396">
        <f t="shared" si="240"/>
        <v>1.0627613347544511</v>
      </c>
      <c r="BR27" s="3396">
        <f t="shared" si="240"/>
        <v>-0.2050873917169288</v>
      </c>
      <c r="BS27" s="3396">
        <f t="shared" si="240"/>
        <v>0.39527699873998756</v>
      </c>
      <c r="BT27" s="3396">
        <f t="shared" si="240"/>
        <v>0.27053491212663539</v>
      </c>
      <c r="BU27" s="3396">
        <f t="shared" ref="BU27:BZ27" si="241">BU25-BU26</f>
        <v>-0.32109029783891518</v>
      </c>
      <c r="BV27" s="3396">
        <f t="shared" si="241"/>
        <v>0.31133562985205065</v>
      </c>
      <c r="BW27" s="3396">
        <f t="shared" si="241"/>
        <v>0.49278387763702081</v>
      </c>
      <c r="BX27" s="3396">
        <f t="shared" si="241"/>
        <v>0.36661591473675226</v>
      </c>
      <c r="BY27" s="3396">
        <f t="shared" si="241"/>
        <v>9.2333323297098757E-2</v>
      </c>
      <c r="BZ27" s="3396">
        <f t="shared" si="241"/>
        <v>-0.20582122669451197</v>
      </c>
      <c r="CA27" s="3396">
        <f>CA25-CA26</f>
        <v>-1.1057387842900224E-2</v>
      </c>
      <c r="CB27" s="3396">
        <f t="shared" ref="CB27:CD27" si="242">CB25-CB26</f>
        <v>0.39530873410447265</v>
      </c>
      <c r="CC27" s="3396">
        <f t="shared" si="242"/>
        <v>0.7888398233641265</v>
      </c>
      <c r="CD27" s="3396">
        <f t="shared" si="242"/>
        <v>-0.44843049327352791</v>
      </c>
      <c r="CE27" s="3396">
        <f>CE25-CE26</f>
        <v>0.50486442348863525</v>
      </c>
      <c r="CF27" s="3396">
        <f t="shared" ref="CF27:CH27" si="243">CF25-CF26</f>
        <v>0.27797909200115467</v>
      </c>
      <c r="CG27" s="3396">
        <f t="shared" si="243"/>
        <v>0.22084237004464669</v>
      </c>
      <c r="CH27" s="3396">
        <f t="shared" si="243"/>
        <v>0.56428064083343621</v>
      </c>
      <c r="CI27" s="3788">
        <f>CI25-CI26</f>
        <v>0.33536915193892058</v>
      </c>
      <c r="CJ27" s="3788">
        <f t="shared" ref="CJ27:CL27" si="244">CJ25-CJ26</f>
        <v>0.16258729272568129</v>
      </c>
      <c r="CK27" s="3788">
        <f t="shared" si="244"/>
        <v>0.12478674140877344</v>
      </c>
      <c r="CL27" s="3788">
        <f t="shared" si="244"/>
        <v>0.41993472012472743</v>
      </c>
      <c r="CM27" s="3788">
        <f>CM25-CM26</f>
        <v>0.49551034656632043</v>
      </c>
      <c r="CN27" s="3788">
        <f t="shared" ref="CN27:CP27" si="245">CN25-CN26</f>
        <v>0.24658408517302455</v>
      </c>
      <c r="CO27" s="3788">
        <f t="shared" si="245"/>
        <v>0.23229249656840034</v>
      </c>
      <c r="CP27" s="3788">
        <f t="shared" si="245"/>
        <v>6.8076782940546421E-2</v>
      </c>
      <c r="CQ27" s="3788">
        <f>CQ25-CQ26</f>
        <v>0.43035020943709879</v>
      </c>
      <c r="CR27" s="3788">
        <f t="shared" ref="CR27:CS27" si="246">CR25-CR26</f>
        <v>0.43603822696785355</v>
      </c>
      <c r="CS27" s="3788">
        <f t="shared" si="246"/>
        <v>0.60898345153666766</v>
      </c>
      <c r="CT27" s="3788">
        <f t="shared" ref="CT27" si="247">CT25-CT26</f>
        <v>0.60120997045861313</v>
      </c>
      <c r="CU27" s="3788">
        <f t="shared" ref="CU27:CX27" si="248">CU25-CU26</f>
        <v>0.41039105410909849</v>
      </c>
      <c r="CV27" s="3788">
        <f t="shared" si="248"/>
        <v>0.530816696385501</v>
      </c>
      <c r="CW27" s="3788">
        <f t="shared" si="248"/>
        <v>0.48686800151156473</v>
      </c>
      <c r="CX27" s="3788">
        <f t="shared" si="248"/>
        <v>0.4880619049057382</v>
      </c>
      <c r="CY27" s="3788">
        <f t="shared" ref="CY27:DB27" si="249">CY25-CY26</f>
        <v>0.44246310151409707</v>
      </c>
      <c r="CZ27" s="3788">
        <f t="shared" si="249"/>
        <v>0.41954953692421493</v>
      </c>
      <c r="DA27" s="3788">
        <f t="shared" si="249"/>
        <v>0.3150866133281971</v>
      </c>
      <c r="DB27" s="3788">
        <f t="shared" si="249"/>
        <v>0.271646213633292</v>
      </c>
    </row>
    <row r="28" spans="1:106" s="2804" customFormat="1">
      <c r="A28" s="1123"/>
      <c r="B28" s="1123"/>
      <c r="C28" s="1082"/>
      <c r="D28" s="1082"/>
      <c r="E28" s="767" t="s">
        <v>701</v>
      </c>
      <c r="F28" s="2805"/>
      <c r="G28" s="3033"/>
      <c r="H28" s="3033">
        <f>H232</f>
        <v>0.47953919498930908</v>
      </c>
      <c r="I28" s="3033">
        <f t="shared" ref="I28:BT28" si="250">I232</f>
        <v>0.73883400584386916</v>
      </c>
      <c r="J28" s="3033">
        <f t="shared" si="250"/>
        <v>0.36601704396348467</v>
      </c>
      <c r="K28" s="3033">
        <f t="shared" si="250"/>
        <v>-0.20091927448875335</v>
      </c>
      <c r="L28" s="3033">
        <f t="shared" si="250"/>
        <v>0.76254826254826824</v>
      </c>
      <c r="M28" s="3033">
        <f t="shared" si="250"/>
        <v>0.50086899401968754</v>
      </c>
      <c r="N28" s="3033">
        <f t="shared" si="250"/>
        <v>0.78840942823297233</v>
      </c>
      <c r="O28" s="3033">
        <f t="shared" si="250"/>
        <v>0.93490772514792653</v>
      </c>
      <c r="P28" s="3033">
        <f t="shared" si="250"/>
        <v>1.4844063713023825</v>
      </c>
      <c r="Q28" s="3033">
        <f t="shared" si="250"/>
        <v>0.86917527268888239</v>
      </c>
      <c r="R28" s="3033">
        <f t="shared" si="250"/>
        <v>0.57271372159313216</v>
      </c>
      <c r="S28" s="3033">
        <f t="shared" si="250"/>
        <v>0.26522440064487007</v>
      </c>
      <c r="T28" s="3033">
        <f t="shared" si="250"/>
        <v>0.33324688796678714</v>
      </c>
      <c r="U28" s="3033">
        <f t="shared" si="250"/>
        <v>0.31404680977553667</v>
      </c>
      <c r="V28" s="3033">
        <f t="shared" si="250"/>
        <v>0.24735892811129645</v>
      </c>
      <c r="W28" s="3033">
        <f t="shared" si="250"/>
        <v>1.0589626278723063</v>
      </c>
      <c r="X28" s="3033">
        <f t="shared" si="250"/>
        <v>1.3467114298794325</v>
      </c>
      <c r="Y28" s="3033">
        <f t="shared" si="250"/>
        <v>1.4404918752745077</v>
      </c>
      <c r="Z28" s="3033">
        <f t="shared" si="250"/>
        <v>1.1800650643840394</v>
      </c>
      <c r="AA28" s="3033">
        <f t="shared" si="250"/>
        <v>0.74697116031150479</v>
      </c>
      <c r="AB28" s="3033">
        <f t="shared" si="250"/>
        <v>0.65770313561790417</v>
      </c>
      <c r="AC28" s="3033">
        <f t="shared" si="250"/>
        <v>0.39783001808317842</v>
      </c>
      <c r="AD28" s="3033">
        <f t="shared" si="250"/>
        <v>0.88616714697407062</v>
      </c>
      <c r="AE28" s="3033">
        <f t="shared" si="250"/>
        <v>-5.8320836011338528E-2</v>
      </c>
      <c r="AF28" s="3033">
        <f t="shared" si="250"/>
        <v>-5.8354869058807601E-2</v>
      </c>
      <c r="AG28" s="3033">
        <f t="shared" si="250"/>
        <v>-0.20495710200190143</v>
      </c>
      <c r="AH28" s="3033">
        <f t="shared" si="250"/>
        <v>-5.8508859913075639E-2</v>
      </c>
      <c r="AI28" s="3033">
        <f t="shared" si="250"/>
        <v>0.93071601811252069</v>
      </c>
      <c r="AJ28" s="3033">
        <f t="shared" si="250"/>
        <v>0.878335187859558</v>
      </c>
      <c r="AK28" s="3033">
        <f t="shared" si="250"/>
        <v>0.52804505984511696</v>
      </c>
      <c r="AL28" s="3033">
        <f t="shared" si="250"/>
        <v>0.31049375510681099</v>
      </c>
      <c r="AM28" s="3033">
        <f t="shared" si="250"/>
        <v>-0.39447961273507692</v>
      </c>
      <c r="AN28" s="3033">
        <f t="shared" si="250"/>
        <v>0.10047081089292753</v>
      </c>
      <c r="AO28" s="3033">
        <f t="shared" si="250"/>
        <v>0.38514057631036103</v>
      </c>
      <c r="AP28" s="3033">
        <f t="shared" si="250"/>
        <v>0.74523618522779334</v>
      </c>
      <c r="AQ28" s="3033">
        <f t="shared" si="250"/>
        <v>1.5579200036928587</v>
      </c>
      <c r="AR28" s="3033">
        <f t="shared" si="250"/>
        <v>0.98063724376165062</v>
      </c>
      <c r="AS28" s="3033">
        <f t="shared" si="250"/>
        <v>0.87434030630042514</v>
      </c>
      <c r="AT28" s="3033">
        <f t="shared" si="250"/>
        <v>0.31903975726206291</v>
      </c>
      <c r="AU28" s="3033">
        <f t="shared" si="250"/>
        <v>0.39586344934949835</v>
      </c>
      <c r="AV28" s="3033">
        <f t="shared" si="250"/>
        <v>0.4995237356843818</v>
      </c>
      <c r="AW28" s="3033">
        <f t="shared" si="250"/>
        <v>0.38683227349372018</v>
      </c>
      <c r="AX28" s="3033">
        <f t="shared" si="250"/>
        <v>0.8003249604777718</v>
      </c>
      <c r="AY28" s="3033">
        <f t="shared" si="250"/>
        <v>0.62842393020901</v>
      </c>
      <c r="AZ28" s="3033">
        <f t="shared" si="250"/>
        <v>0.32686105158343803</v>
      </c>
      <c r="BA28" s="3033">
        <f t="shared" si="250"/>
        <v>0.84253905238629301</v>
      </c>
      <c r="BB28" s="3033">
        <f t="shared" si="250"/>
        <v>1.0772703445767418</v>
      </c>
      <c r="BC28" s="3033">
        <f t="shared" si="250"/>
        <v>1.2869903899072943</v>
      </c>
      <c r="BD28" s="3033">
        <f t="shared" si="250"/>
        <v>0.39289446185997168</v>
      </c>
      <c r="BE28" s="3033">
        <f t="shared" si="250"/>
        <v>0.77230525833715813</v>
      </c>
      <c r="BF28" s="3033">
        <f t="shared" si="250"/>
        <v>0.5050713710260446</v>
      </c>
      <c r="BG28" s="3033">
        <f t="shared" si="250"/>
        <v>0.57755351619102058</v>
      </c>
      <c r="BH28" s="3033">
        <f t="shared" si="250"/>
        <v>0.15939674462803755</v>
      </c>
      <c r="BI28" s="3033">
        <f t="shared" si="250"/>
        <v>-0.50293292527416877</v>
      </c>
      <c r="BJ28" s="3033">
        <f t="shared" si="250"/>
        <v>-2.0936718205306959</v>
      </c>
      <c r="BK28" s="3033">
        <f t="shared" si="250"/>
        <v>-1.1498586239396813</v>
      </c>
      <c r="BL28" s="3033">
        <f t="shared" si="250"/>
        <v>-0.10911941689972782</v>
      </c>
      <c r="BM28" s="3033">
        <f t="shared" si="250"/>
        <v>1.1135975564487977</v>
      </c>
      <c r="BN28" s="3033">
        <f t="shared" si="250"/>
        <v>0.84435540544793852</v>
      </c>
      <c r="BO28" s="3033">
        <f t="shared" si="250"/>
        <v>0.47532867365618348</v>
      </c>
      <c r="BP28" s="3033">
        <f t="shared" si="250"/>
        <v>1.0093063218807208</v>
      </c>
      <c r="BQ28" s="3033">
        <f t="shared" si="250"/>
        <v>0.44170697712553331</v>
      </c>
      <c r="BR28" s="3033">
        <f t="shared" si="250"/>
        <v>0.41323578928036397</v>
      </c>
      <c r="BS28" s="3033">
        <f t="shared" si="250"/>
        <v>0.66150469454944183</v>
      </c>
      <c r="BT28" s="3033">
        <f t="shared" si="250"/>
        <v>0.28870516741872354</v>
      </c>
      <c r="BU28" s="3033">
        <f t="shared" ref="BU28:BZ28" si="251">BU232</f>
        <v>0.22345469003210994</v>
      </c>
      <c r="BV28" s="3033">
        <f t="shared" si="251"/>
        <v>6.7288668387388562E-2</v>
      </c>
      <c r="BW28" s="3033">
        <f t="shared" si="251"/>
        <v>0.19470483148997797</v>
      </c>
      <c r="BX28" s="3033">
        <f t="shared" si="251"/>
        <v>-0.1933247856398701</v>
      </c>
      <c r="BY28" s="3033">
        <f t="shared" si="251"/>
        <v>-3.8137677014016269E-2</v>
      </c>
      <c r="BZ28" s="3033">
        <f t="shared" si="251"/>
        <v>-0.12048071806508576</v>
      </c>
      <c r="CA28" s="3033">
        <f>CA232</f>
        <v>-0.31965903036760279</v>
      </c>
      <c r="CB28" s="3033">
        <f t="shared" ref="CB28:CD28" si="252">CB232</f>
        <v>0.48102618920364826</v>
      </c>
      <c r="CC28" s="3033">
        <f t="shared" si="252"/>
        <v>0.48875953432356845</v>
      </c>
      <c r="CD28" s="3033">
        <f t="shared" si="252"/>
        <v>0.29562455681284572</v>
      </c>
      <c r="CE28" s="3033">
        <f>CE232</f>
        <v>0.30271949652969088</v>
      </c>
      <c r="CF28" s="3033">
        <f t="shared" ref="CF28:CH28" si="253">CF232</f>
        <v>0.24819561785816013</v>
      </c>
      <c r="CG28" s="3033">
        <f t="shared" si="253"/>
        <v>0.38721689097516165</v>
      </c>
      <c r="CH28" s="3033">
        <f t="shared" si="253"/>
        <v>0.30680293583775775</v>
      </c>
      <c r="CI28" s="1600">
        <f>CI232</f>
        <v>0.41306464461687842</v>
      </c>
      <c r="CJ28" s="1600">
        <f t="shared" ref="CJ28:CL28" si="254">CJ232</f>
        <v>0.46621416468328736</v>
      </c>
      <c r="CK28" s="1600">
        <f t="shared" si="254"/>
        <v>5.8493785035351742E-2</v>
      </c>
      <c r="CL28" s="1600">
        <f t="shared" si="254"/>
        <v>0.47839430993326104</v>
      </c>
      <c r="CM28" s="1600">
        <f>CM232</f>
        <v>0.27830033163314116</v>
      </c>
      <c r="CN28" s="1600">
        <f t="shared" ref="CN28:CP28" si="255">CN232</f>
        <v>0.74071925193157639</v>
      </c>
      <c r="CO28" s="1600">
        <f t="shared" si="255"/>
        <v>0.11038693018745604</v>
      </c>
      <c r="CP28" s="1600">
        <f t="shared" si="255"/>
        <v>0.26080119661726631</v>
      </c>
      <c r="CQ28" s="1600">
        <f>CQ232</f>
        <v>0.66943365912437436</v>
      </c>
      <c r="CR28" s="1600">
        <f t="shared" ref="CR28:CS28" si="256">CR232</f>
        <v>0.45978758573517187</v>
      </c>
      <c r="CS28" s="1600">
        <f t="shared" si="256"/>
        <v>0.19196217494090728</v>
      </c>
      <c r="CT28" s="1600">
        <f t="shared" ref="CT28" si="257">CT232</f>
        <v>0.5228733495040272</v>
      </c>
      <c r="CU28" s="1600">
        <f t="shared" ref="CU28:CX28" si="258">CU232</f>
        <v>0.41039105410907162</v>
      </c>
      <c r="CV28" s="1600">
        <f t="shared" si="258"/>
        <v>0.53081669638552764</v>
      </c>
      <c r="CW28" s="1600">
        <f t="shared" si="258"/>
        <v>0.48686800151156451</v>
      </c>
      <c r="CX28" s="1600">
        <f t="shared" si="258"/>
        <v>0.48806190490571222</v>
      </c>
      <c r="CY28" s="1600">
        <f t="shared" ref="CY28:DB28" si="259">CY232</f>
        <v>0.44246310151412338</v>
      </c>
      <c r="CZ28" s="1600">
        <f t="shared" si="259"/>
        <v>0.41954953692420194</v>
      </c>
      <c r="DA28" s="1600">
        <f t="shared" si="259"/>
        <v>0.3150866133281971</v>
      </c>
      <c r="DB28" s="1600">
        <f t="shared" si="259"/>
        <v>0.271646213633292</v>
      </c>
    </row>
    <row r="29" spans="1:106" s="2804" customFormat="1">
      <c r="A29" s="1123"/>
      <c r="B29" s="1123"/>
      <c r="C29" s="1082"/>
      <c r="D29" s="1082"/>
      <c r="E29" s="166"/>
      <c r="F29" s="2805"/>
      <c r="G29" s="3033"/>
      <c r="H29" s="3956">
        <f t="shared" ref="H29" si="260">H28-H27</f>
        <v>0.29639157241322861</v>
      </c>
      <c r="I29" s="3956">
        <f t="shared" ref="I29" si="261">I28-I27</f>
        <v>0.59830249060801866</v>
      </c>
      <c r="J29" s="3956">
        <f t="shared" ref="J29" si="262">J28-J27</f>
        <v>0.14364442480077222</v>
      </c>
      <c r="K29" s="3956">
        <f t="shared" ref="K29" si="263">K28-K27</f>
        <v>-0.17890072385985123</v>
      </c>
      <c r="L29" s="3956">
        <f t="shared" ref="L29" si="264">L28-L27</f>
        <v>-0.2330391616105888</v>
      </c>
      <c r="M29" s="3956">
        <f t="shared" ref="M29" si="265">M28-M27</f>
        <v>-0.30517427777703121</v>
      </c>
      <c r="N29" s="3956">
        <f t="shared" ref="N29" si="266">N28-N27</f>
        <v>-2.4510137665264886E-2</v>
      </c>
      <c r="O29" s="3956">
        <f t="shared" ref="O29" si="267">O28-O27</f>
        <v>0.17157988597366591</v>
      </c>
      <c r="P29" s="3956">
        <f t="shared" ref="P29" si="268">P28-P27</f>
        <v>0.72681033328873479</v>
      </c>
      <c r="Q29" s="3956">
        <f t="shared" ref="Q29" si="269">Q28-Q27</f>
        <v>0.30203510993284288</v>
      </c>
      <c r="R29" s="3956">
        <f t="shared" ref="R29" si="270">R28-R27</f>
        <v>-0.4916446559794867</v>
      </c>
      <c r="S29" s="3956">
        <f t="shared" ref="S29" si="271">S28-S27</f>
        <v>-8.1907535493240924E-2</v>
      </c>
      <c r="T29" s="3956">
        <f t="shared" ref="T29" si="272">T28-T27</f>
        <v>4.5383817427362194E-2</v>
      </c>
      <c r="U29" s="3956">
        <f t="shared" ref="U29" si="273">U28-U27</f>
        <v>-0.12148312806130646</v>
      </c>
      <c r="V29" s="3956">
        <f t="shared" ref="V29" si="274">V28-V27</f>
        <v>0.11466116980160213</v>
      </c>
      <c r="W29" s="3956">
        <f t="shared" ref="W29" si="275">W28-W27</f>
        <v>2.6988125224902015E-2</v>
      </c>
      <c r="X29" s="3956">
        <f t="shared" ref="X29" si="276">X28-X27</f>
        <v>-0.28358512640521472</v>
      </c>
      <c r="Y29" s="3956">
        <f t="shared" ref="Y29" si="277">Y28-Y27</f>
        <v>0.20327498588369086</v>
      </c>
      <c r="Z29" s="3956">
        <f t="shared" ref="Z29" si="278">Z28-Z27</f>
        <v>0.70012245958214359</v>
      </c>
      <c r="AA29" s="3956">
        <f t="shared" ref="AA29" si="279">AA28-AA27</f>
        <v>-4.2788855336997056E-2</v>
      </c>
      <c r="AB29" s="3956">
        <f t="shared" ref="AB29" si="280">AB28-AB27</f>
        <v>0.2815260654305487</v>
      </c>
      <c r="AC29" s="3956">
        <f t="shared" ref="AC29" si="281">AC28-AC27</f>
        <v>0.31464737793851882</v>
      </c>
      <c r="AD29" s="3956">
        <f t="shared" ref="AD29" si="282">AD28-AD27</f>
        <v>8.4053794428411432E-3</v>
      </c>
      <c r="AE29" s="3956">
        <f t="shared" ref="AE29" si="283">AE28-AE27</f>
        <v>-0.97241067390322466</v>
      </c>
      <c r="AF29" s="3956">
        <f t="shared" ref="AF29" si="284">AF28-AF27</f>
        <v>-0.18459193273704888</v>
      </c>
      <c r="AG29" s="3956">
        <f t="shared" ref="AG29" si="285">AG28-AG27</f>
        <v>-0.91515729265967805</v>
      </c>
      <c r="AH29" s="3956">
        <f t="shared" ref="AH29" si="286">AH28-AH27</f>
        <v>0.5635955485503602</v>
      </c>
      <c r="AI29" s="3956">
        <f t="shared" ref="AI29" si="287">AI28-AI27</f>
        <v>-0.50657713951182282</v>
      </c>
      <c r="AJ29" s="3956">
        <f t="shared" ref="AJ29" si="288">AJ28-AJ27</f>
        <v>0.46757735741850714</v>
      </c>
      <c r="AK29" s="3956">
        <f t="shared" ref="AK29" si="289">AK28-AK27</f>
        <v>0.64656183994367744</v>
      </c>
      <c r="AL29" s="3956">
        <f t="shared" ref="AL29" si="290">AL28-AL27</f>
        <v>0.17158865413798574</v>
      </c>
      <c r="AM29" s="3956">
        <f t="shared" ref="AM29" si="291">AM28-AM27</f>
        <v>6.7492087134587431E-2</v>
      </c>
      <c r="AN29" s="3956">
        <f t="shared" ref="AN29" si="292">AN28-AN27</f>
        <v>-0.79442036519976589</v>
      </c>
      <c r="AO29" s="3956">
        <f t="shared" ref="AO29" si="293">AO28-AO27</f>
        <v>-3.3845687009088243E-2</v>
      </c>
      <c r="AP29" s="3956">
        <f t="shared" ref="AP29" si="294">AP28-AP27</f>
        <v>0.50690011974931615</v>
      </c>
      <c r="AQ29" s="3956">
        <f t="shared" ref="AQ29" si="295">AQ28-AQ27</f>
        <v>-0.27580954139450053</v>
      </c>
      <c r="AR29" s="3956">
        <f t="shared" ref="AR29" si="296">AR28-AR27</f>
        <v>0.16590154992956641</v>
      </c>
      <c r="AS29" s="3956">
        <f t="shared" ref="AS29" si="297">AS28-AS27</f>
        <v>0.27119178097605623</v>
      </c>
      <c r="AT29" s="3956">
        <f t="shared" ref="AT29" si="298">AT28-AT27</f>
        <v>0.90468966132704198</v>
      </c>
      <c r="AU29" s="3956">
        <f t="shared" ref="AU29" si="299">AU28-AU27</f>
        <v>-0.43144668075172077</v>
      </c>
      <c r="AV29" s="3956">
        <f t="shared" ref="AV29" si="300">AV28-AV27</f>
        <v>-0.13180338036906725</v>
      </c>
      <c r="AW29" s="3956">
        <f t="shared" ref="AW29" si="301">AW28-AW27</f>
        <v>0.49704089842071564</v>
      </c>
      <c r="AX29" s="3956">
        <f t="shared" ref="AX29" si="302">AX28-AX27</f>
        <v>0.55111540488317989</v>
      </c>
      <c r="AY29" s="3956">
        <f t="shared" ref="AY29" si="303">AY28-AY27</f>
        <v>-9.366457192020694E-2</v>
      </c>
      <c r="AZ29" s="3956">
        <f t="shared" ref="AZ29" si="304">AZ28-AZ27</f>
        <v>1.0823213628581074E-2</v>
      </c>
      <c r="BA29" s="3956">
        <f t="shared" ref="BA29" si="305">BA28-BA27</f>
        <v>-0.28588072840252554</v>
      </c>
      <c r="BB29" s="3956">
        <f t="shared" ref="BB29" si="306">BB28-BB27</f>
        <v>0.4396803491768011</v>
      </c>
      <c r="BC29" s="3956">
        <f t="shared" ref="BC29" si="307">BC28-BC27</f>
        <v>9.8429363701802108E-2</v>
      </c>
      <c r="BD29" s="3956">
        <f t="shared" ref="BD29" si="308">BD28-BD27</f>
        <v>-0.2518286311389768</v>
      </c>
      <c r="BE29" s="3956">
        <f t="shared" ref="BE29" si="309">BE28-BE27</f>
        <v>0.34243723718722185</v>
      </c>
      <c r="BF29" s="3956">
        <f t="shared" ref="BF29" si="310">BF28-BF27</f>
        <v>0.28507095787973902</v>
      </c>
      <c r="BG29" s="3956">
        <f t="shared" ref="BG29" si="311">BG28-BG27</f>
        <v>-0.10482288016278707</v>
      </c>
      <c r="BH29" s="3956">
        <f t="shared" ref="BH29" si="312">BH28-BH27</f>
        <v>-0.34433783935671225</v>
      </c>
      <c r="BI29" s="3956">
        <f t="shared" ref="BI29" si="313">BI28-BI27</f>
        <v>0.18158633001784774</v>
      </c>
      <c r="BJ29" s="3956">
        <f t="shared" ref="BJ29" si="314">BJ28-BJ27</f>
        <v>-0.18455481277938768</v>
      </c>
      <c r="BK29" s="3956">
        <f t="shared" ref="BK29" si="315">BK28-BK27</f>
        <v>-0.20839878521313171</v>
      </c>
      <c r="BL29" s="3956">
        <f t="shared" ref="BL29" si="316">BL28-BL27</f>
        <v>-0.66213238410031083</v>
      </c>
      <c r="BM29" s="3956">
        <f t="shared" ref="BM29" si="317">BM28-BM27</f>
        <v>0.36801747817879571</v>
      </c>
      <c r="BN29" s="3956">
        <f t="shared" ref="BN29" si="318">BN28-BN27</f>
        <v>-0.44472880982599805</v>
      </c>
      <c r="BO29" s="3956">
        <f t="shared" ref="BO29" si="319">BO28-BO27</f>
        <v>0.88201031785657635</v>
      </c>
      <c r="BP29" s="3956">
        <f t="shared" ref="BP29" si="320">BP28-BP27</f>
        <v>0.3674910197616903</v>
      </c>
      <c r="BQ29" s="3956">
        <f t="shared" ref="BQ29" si="321">BQ28-BQ27</f>
        <v>-0.62105435762891781</v>
      </c>
      <c r="BR29" s="3956">
        <f t="shared" ref="BR29" si="322">BR28-BR27</f>
        <v>0.61832318099729278</v>
      </c>
      <c r="BS29" s="3956">
        <f t="shared" ref="BS29" si="323">BS28-BS27</f>
        <v>0.26622769580945427</v>
      </c>
      <c r="BT29" s="3956">
        <f t="shared" ref="BT29" si="324">BT28-BT27</f>
        <v>1.8170255292088155E-2</v>
      </c>
      <c r="BU29" s="3956">
        <f t="shared" ref="BU29" si="325">BU28-BU27</f>
        <v>0.54454498787102512</v>
      </c>
      <c r="BV29" s="3956">
        <f t="shared" ref="BV29" si="326">BV28-BV27</f>
        <v>-0.24404696146466209</v>
      </c>
      <c r="BW29" s="3956">
        <f t="shared" ref="BW29" si="327">BW28-BW27</f>
        <v>-0.29807904614704284</v>
      </c>
      <c r="BX29" s="3956">
        <f t="shared" ref="BX29" si="328">BX28-BX27</f>
        <v>-0.55994070037662236</v>
      </c>
      <c r="BY29" s="3956">
        <f t="shared" ref="BY29" si="329">BY28-BY27</f>
        <v>-0.13047100031111503</v>
      </c>
      <c r="BZ29" s="3956">
        <f t="shared" ref="BZ29" si="330">BZ28-BZ27</f>
        <v>8.5340508629426215E-2</v>
      </c>
      <c r="CA29" s="3956">
        <f t="shared" ref="CA29" si="331">CA28-CA27</f>
        <v>-0.30860164252470257</v>
      </c>
      <c r="CB29" s="3956">
        <f t="shared" ref="CB29" si="332">CB28-CB27</f>
        <v>8.571745509917561E-2</v>
      </c>
      <c r="CC29" s="3956">
        <f t="shared" ref="CC29" si="333">CC28-CC27</f>
        <v>-0.30008028904055806</v>
      </c>
      <c r="CD29" s="3956">
        <f t="shared" ref="CD29" si="334">CD28-CD27</f>
        <v>0.74405505008637363</v>
      </c>
      <c r="CE29" s="3956">
        <f t="shared" ref="CE29" si="335">CE28-CE27</f>
        <v>-0.20214492695894437</v>
      </c>
      <c r="CF29" s="3956">
        <f t="shared" ref="CF29" si="336">CF28-CF27</f>
        <v>-2.9783474142994537E-2</v>
      </c>
      <c r="CG29" s="3956">
        <f t="shared" ref="CG29" si="337">CG28-CG27</f>
        <v>0.16637452093051497</v>
      </c>
      <c r="CH29" s="3956">
        <f t="shared" ref="CH29:CN29" si="338">CH28-CH27</f>
        <v>-0.25747770499567846</v>
      </c>
      <c r="CI29" s="3956">
        <f t="shared" si="338"/>
        <v>7.7695492677957834E-2</v>
      </c>
      <c r="CJ29" s="3956">
        <f t="shared" si="338"/>
        <v>0.30362687195760607</v>
      </c>
      <c r="CK29" s="3956">
        <f t="shared" si="338"/>
        <v>-6.6292956373421696E-2</v>
      </c>
      <c r="CL29" s="3956">
        <f t="shared" si="338"/>
        <v>5.8459589808533607E-2</v>
      </c>
      <c r="CM29" s="3956">
        <f t="shared" si="338"/>
        <v>-0.21721001493317926</v>
      </c>
      <c r="CN29" s="3956">
        <f t="shared" si="338"/>
        <v>0.49413516675855185</v>
      </c>
      <c r="CO29" s="3956">
        <f t="shared" ref="CO29:CR29" si="339">CO28-CO27</f>
        <v>-0.1219055663809443</v>
      </c>
      <c r="CP29" s="3956">
        <f t="shared" si="339"/>
        <v>0.19272441367671989</v>
      </c>
      <c r="CQ29" s="3956">
        <f t="shared" si="339"/>
        <v>0.23908344968727557</v>
      </c>
      <c r="CR29" s="3956">
        <f t="shared" si="339"/>
        <v>2.3749358767318318E-2</v>
      </c>
      <c r="CS29" s="3956">
        <f t="shared" ref="CS29:CT29" si="340">CS28-CS27</f>
        <v>-0.41702127659576038</v>
      </c>
      <c r="CT29" s="3956">
        <f t="shared" si="340"/>
        <v>-7.8336620954585934E-2</v>
      </c>
      <c r="CU29" s="3957">
        <f t="shared" ref="CU29:DB29" si="341">CU24-CU26</f>
        <v>-8.302552883848513E-2</v>
      </c>
      <c r="CV29" s="3957">
        <f t="shared" si="341"/>
        <v>2.119786600429463E-2</v>
      </c>
      <c r="CW29" s="3957">
        <f t="shared" si="341"/>
        <v>-2.588753121279419E-2</v>
      </c>
      <c r="CX29" s="3957">
        <f t="shared" si="341"/>
        <v>-2.8079407845652105E-2</v>
      </c>
      <c r="CY29" s="3957">
        <f t="shared" si="341"/>
        <v>2.3652197264395602E-2</v>
      </c>
      <c r="CZ29" s="3957">
        <f t="shared" si="341"/>
        <v>3.136579589141375E-3</v>
      </c>
      <c r="DA29" s="3957">
        <f t="shared" si="341"/>
        <v>-8.1427476005147104E-2</v>
      </c>
      <c r="DB29" s="3957">
        <f t="shared" si="341"/>
        <v>-0.12033258267590174</v>
      </c>
    </row>
    <row r="30" spans="1:106">
      <c r="BD30" s="1380"/>
      <c r="BE30" s="1380"/>
      <c r="BF30" s="1380"/>
      <c r="BG30" s="1380"/>
      <c r="BH30" s="1380"/>
      <c r="BI30" s="1380"/>
      <c r="BJ30" s="1380"/>
      <c r="BK30" s="1380"/>
      <c r="BL30" s="1604"/>
      <c r="BM30" s="1604"/>
      <c r="BN30" s="1604"/>
      <c r="BO30" s="1604"/>
      <c r="BP30" s="1380"/>
      <c r="BQ30" s="1380"/>
      <c r="BR30" s="1380"/>
      <c r="BS30" s="1380"/>
      <c r="BT30" s="1380"/>
      <c r="BU30" s="1380"/>
      <c r="BV30" s="1380"/>
      <c r="BW30" s="1380"/>
      <c r="BX30" s="1380"/>
      <c r="BY30" s="1380"/>
      <c r="BZ30" s="1380"/>
      <c r="CA30" s="1380"/>
      <c r="CB30" s="1380"/>
      <c r="CC30" s="1380"/>
      <c r="CD30" s="1380"/>
      <c r="CE30" s="1380"/>
      <c r="CF30" s="1380"/>
      <c r="CG30" s="1380"/>
      <c r="CH30" s="1380"/>
      <c r="CI30" s="1380"/>
      <c r="CK30" s="1380"/>
      <c r="CL30" s="1380"/>
      <c r="CM30" s="1380"/>
      <c r="CN30" s="3955" t="s">
        <v>2604</v>
      </c>
      <c r="CO30" s="1380"/>
      <c r="CP30" s="1380"/>
      <c r="CQ30" s="1380"/>
      <c r="CR30" s="3955"/>
      <c r="CS30" s="1380"/>
      <c r="CT30" s="1380"/>
      <c r="CU30" s="1380"/>
      <c r="CV30" s="1380"/>
      <c r="CW30" s="1380"/>
      <c r="CX30" s="1380"/>
      <c r="CY30" s="1380"/>
      <c r="CZ30" s="1380"/>
      <c r="DA30" s="1380"/>
      <c r="DB30" s="1380"/>
    </row>
    <row r="31" spans="1:106">
      <c r="BD31" s="1380"/>
      <c r="BE31" s="1380"/>
      <c r="BF31" s="1380"/>
      <c r="BG31" s="1380"/>
      <c r="BH31" s="1380"/>
      <c r="BI31" s="1380"/>
      <c r="BJ31" s="1380"/>
      <c r="BK31" s="1380"/>
      <c r="BL31" s="1380"/>
      <c r="BM31" s="1380"/>
      <c r="BN31" s="1380"/>
      <c r="BO31" s="1380"/>
      <c r="BP31" s="1380"/>
      <c r="BQ31" s="1380"/>
      <c r="BR31" s="1380"/>
      <c r="BS31" s="1380"/>
      <c r="BT31" s="1380"/>
      <c r="BU31" s="1380"/>
      <c r="BV31" s="1380"/>
      <c r="BW31" s="1380"/>
      <c r="BX31" s="1380"/>
      <c r="BY31" s="1380"/>
      <c r="BZ31" s="1380"/>
      <c r="CA31" s="1380"/>
      <c r="CB31" s="1604"/>
      <c r="CC31" s="1380"/>
      <c r="CD31" s="1380"/>
      <c r="CE31" s="1380"/>
      <c r="CF31" s="1604"/>
      <c r="CG31" s="1380"/>
      <c r="CH31" s="1380"/>
      <c r="CI31" s="1380"/>
      <c r="CJ31" s="1604"/>
      <c r="CK31" s="1380"/>
      <c r="CL31" s="1380"/>
      <c r="CM31" s="1380"/>
      <c r="CN31" s="1604"/>
      <c r="CO31" s="1380"/>
      <c r="CP31" s="1380"/>
      <c r="CQ31" s="1380"/>
      <c r="CR31" s="1604"/>
      <c r="CS31" s="1380"/>
      <c r="CT31" s="1380"/>
      <c r="CU31" s="1380"/>
      <c r="CV31" s="1380"/>
      <c r="CW31" s="1380"/>
      <c r="CX31" s="1380"/>
      <c r="CY31" s="1380"/>
      <c r="CZ31" s="1380"/>
      <c r="DA31" s="1380"/>
      <c r="DB31" s="1380"/>
    </row>
    <row r="32" spans="1:106">
      <c r="H32" s="1604"/>
      <c r="I32" s="1604"/>
      <c r="J32" s="1604"/>
      <c r="K32" s="1604"/>
      <c r="L32" s="1604"/>
      <c r="M32" s="1604"/>
      <c r="N32" s="1604"/>
      <c r="O32" s="1604"/>
      <c r="P32" s="1604"/>
      <c r="Q32" s="1604"/>
      <c r="R32" s="1604"/>
      <c r="S32" s="1604"/>
      <c r="T32" s="1604"/>
      <c r="U32" s="1604"/>
      <c r="V32" s="1604"/>
      <c r="W32" s="1604"/>
      <c r="X32" s="1604"/>
      <c r="Y32" s="1604"/>
      <c r="Z32" s="1604"/>
      <c r="AA32" s="1604"/>
      <c r="AB32" s="1604"/>
      <c r="AC32" s="1604"/>
      <c r="AD32" s="1604"/>
      <c r="AE32" s="1604"/>
      <c r="AF32" s="1604"/>
      <c r="AG32" s="1604"/>
      <c r="AH32" s="1604"/>
      <c r="AI32" s="1380">
        <f t="shared" ref="AI32:BE32" si="342">AI24-AI26</f>
        <v>0.99164864574249134</v>
      </c>
      <c r="AJ32" s="1380">
        <f t="shared" si="342"/>
        <v>0.33736594142853038</v>
      </c>
      <c r="AK32" s="1380">
        <f t="shared" si="342"/>
        <v>-0.20183055620747048</v>
      </c>
      <c r="AL32" s="1380">
        <f t="shared" si="342"/>
        <v>-0.52877319948639567</v>
      </c>
      <c r="AM32" s="1380">
        <f t="shared" si="342"/>
        <v>-0.20014894805436428</v>
      </c>
      <c r="AN32" s="1380">
        <f t="shared" si="342"/>
        <v>0.851665362103875</v>
      </c>
      <c r="AO32" s="1380">
        <f t="shared" si="342"/>
        <v>0.17623099097837386</v>
      </c>
      <c r="AP32" s="1380">
        <f t="shared" si="342"/>
        <v>-8.2545661702288831E-2</v>
      </c>
      <c r="AQ32" s="1380">
        <f t="shared" si="342"/>
        <v>0.11193943730236833</v>
      </c>
      <c r="AR32" s="1380">
        <f t="shared" si="342"/>
        <v>2.6135175673828615E-2</v>
      </c>
      <c r="AS32" s="1380">
        <f t="shared" si="342"/>
        <v>-0.16879156492286018</v>
      </c>
      <c r="AT32" s="1380">
        <f t="shared" si="342"/>
        <v>-0.43505421444826609</v>
      </c>
      <c r="AU32" s="1380">
        <f t="shared" si="342"/>
        <v>-0.10674969420660407</v>
      </c>
      <c r="AV32" s="1380">
        <f t="shared" si="342"/>
        <v>-0.4120240125822453</v>
      </c>
      <c r="AW32" s="1380">
        <f t="shared" si="342"/>
        <v>3.1960501228821991E-2</v>
      </c>
      <c r="AX32" s="1380">
        <f t="shared" si="342"/>
        <v>0.2261549271034618</v>
      </c>
      <c r="AY32" s="1380">
        <f t="shared" si="342"/>
        <v>-7.732772798066212E-2</v>
      </c>
      <c r="AZ32" s="1380">
        <f t="shared" si="342"/>
        <v>0.24568694936901836</v>
      </c>
      <c r="BA32" s="1380">
        <f t="shared" si="342"/>
        <v>0.60088892724605569</v>
      </c>
      <c r="BB32" s="1380">
        <f t="shared" si="342"/>
        <v>0.25995699476877154</v>
      </c>
      <c r="BC32" s="1380">
        <f t="shared" si="342"/>
        <v>3.3868168155443801E-2</v>
      </c>
      <c r="BD32" s="1380">
        <f t="shared" si="342"/>
        <v>-4.0752351097180672E-2</v>
      </c>
      <c r="BE32" s="1380">
        <f t="shared" si="342"/>
        <v>-0.43611307714725744</v>
      </c>
      <c r="BF32" s="1380">
        <f t="shared" ref="BF32:BT32" si="343">BF24-BF26</f>
        <v>-0.6062922183891355</v>
      </c>
      <c r="BG32" s="1380">
        <f t="shared" si="343"/>
        <v>-0.16134502142702623</v>
      </c>
      <c r="BH32" s="1380">
        <f t="shared" si="343"/>
        <v>0.13896126454752467</v>
      </c>
      <c r="BI32" s="1380">
        <f t="shared" si="343"/>
        <v>-0.2601377199694026</v>
      </c>
      <c r="BJ32" s="1380">
        <f t="shared" si="343"/>
        <v>-1.1975556740351934</v>
      </c>
      <c r="BK32" s="1380">
        <f t="shared" si="343"/>
        <v>-4.3983663210801716E-2</v>
      </c>
      <c r="BL32" s="1380">
        <f t="shared" si="343"/>
        <v>0.33795236884480911</v>
      </c>
      <c r="BM32" s="1380">
        <f t="shared" si="343"/>
        <v>0.48892235573608334</v>
      </c>
      <c r="BN32" s="1380">
        <f t="shared" si="343"/>
        <v>0.42584881318244117</v>
      </c>
      <c r="BO32" s="1380">
        <f t="shared" si="343"/>
        <v>-0.53253453153603825</v>
      </c>
      <c r="BP32" s="1380">
        <f t="shared" si="343"/>
        <v>0.42546143414664561</v>
      </c>
      <c r="BQ32" s="1380">
        <f t="shared" si="343"/>
        <v>0.68459457243584954</v>
      </c>
      <c r="BR32" s="1380">
        <f t="shared" si="343"/>
        <v>-0.74790576183335233</v>
      </c>
      <c r="BS32" s="1380">
        <f t="shared" si="343"/>
        <v>0.30077632809006305</v>
      </c>
      <c r="BT32" s="1380">
        <f t="shared" si="343"/>
        <v>-0.20492010134965544</v>
      </c>
      <c r="BU32" s="1380">
        <f t="shared" ref="BU32:CD32" si="344">BU24-BU26</f>
        <v>-0.62204954252181655</v>
      </c>
      <c r="BV32" s="1380">
        <f>BV24-BV26</f>
        <v>-6.427574293720717E-2</v>
      </c>
      <c r="BW32" s="1380">
        <f t="shared" si="344"/>
        <v>0.44159858688451004</v>
      </c>
      <c r="BX32" s="1380">
        <f t="shared" si="344"/>
        <v>0.19933488260276788</v>
      </c>
      <c r="BY32" s="1380">
        <f t="shared" si="344"/>
        <v>2.5090576982899071E-2</v>
      </c>
      <c r="BZ32" s="1380">
        <f t="shared" si="344"/>
        <v>-4.1164245338899549E-2</v>
      </c>
      <c r="CA32" s="1380">
        <f t="shared" si="344"/>
        <v>3.6187814758598141E-2</v>
      </c>
      <c r="CB32" s="1380">
        <f>CB24-CB26</f>
        <v>0.23597511168481566</v>
      </c>
      <c r="CC32" s="1380">
        <f t="shared" ref="CC32" si="345">CC24-CC26</f>
        <v>0.52689682858291365</v>
      </c>
      <c r="CD32" s="1380">
        <f t="shared" si="344"/>
        <v>-0.34556113735555227</v>
      </c>
      <c r="CE32" s="1380">
        <f t="shared" ref="CE32" si="346">CE24-CE26</f>
        <v>-6.373042032204701E-2</v>
      </c>
      <c r="CF32" s="1380">
        <f>CF24-CF26</f>
        <v>-0.17969362732930527</v>
      </c>
      <c r="CG32" s="1380">
        <f t="shared" ref="CG32:CI32" si="347">CG24-CG26</f>
        <v>-1.7429711716529463</v>
      </c>
      <c r="CH32" s="1380">
        <f t="shared" si="347"/>
        <v>1.4343777128877557</v>
      </c>
      <c r="CI32" s="1380">
        <f t="shared" si="347"/>
        <v>-1.8528899772814329</v>
      </c>
      <c r="CJ32" s="1380">
        <f>CJ24-CJ26</f>
        <v>2.6523276427780331</v>
      </c>
      <c r="CK32" s="1380">
        <f t="shared" ref="CK32:CM32" si="348">CK24-CK26</f>
        <v>-0.48062393370710321</v>
      </c>
      <c r="CL32" s="1380">
        <f t="shared" si="348"/>
        <v>-7.5023140254297793E-2</v>
      </c>
      <c r="CM32" s="1380">
        <f t="shared" si="348"/>
        <v>-0.20169501386654531</v>
      </c>
      <c r="CN32" s="1380">
        <f>CN24-CN26</f>
        <v>-0.18856430042645123</v>
      </c>
      <c r="CO32" s="1380">
        <f t="shared" ref="CO32:CQ32" si="349">CO24-CO26</f>
        <v>-1.8026665642787103</v>
      </c>
      <c r="CP32" s="1380">
        <f t="shared" si="349"/>
        <v>1.2848294245115093</v>
      </c>
      <c r="CQ32" s="1380">
        <f t="shared" si="349"/>
        <v>0.26107912705851483</v>
      </c>
      <c r="CR32" s="1380">
        <f>CR24-CR26</f>
        <v>-6.174833279501124E-2</v>
      </c>
      <c r="CS32" s="1380">
        <f t="shared" ref="CS32" si="350">CS24-CS26</f>
        <v>0.13806146572103195</v>
      </c>
      <c r="CT32" s="1380">
        <f t="shared" ref="CT32" si="351">CT24-CT26</f>
        <v>0.35015525751985233</v>
      </c>
      <c r="CU32" s="1380">
        <f t="shared" ref="CU32:CX32" si="352">CU24-CU26</f>
        <v>-8.302552883848513E-2</v>
      </c>
      <c r="CV32" s="1380">
        <f t="shared" si="352"/>
        <v>2.119786600429463E-2</v>
      </c>
      <c r="CW32" s="1380">
        <f t="shared" si="352"/>
        <v>-2.588753121279419E-2</v>
      </c>
      <c r="CX32" s="1380">
        <f t="shared" si="352"/>
        <v>-2.8079407845652105E-2</v>
      </c>
      <c r="CY32" s="1380">
        <f t="shared" ref="CY32:DB32" si="353">CY24-CY26</f>
        <v>2.3652197264395602E-2</v>
      </c>
      <c r="CZ32" s="1380">
        <f t="shared" si="353"/>
        <v>3.136579589141375E-3</v>
      </c>
      <c r="DA32" s="1380">
        <f t="shared" si="353"/>
        <v>-8.1427476005147104E-2</v>
      </c>
      <c r="DB32" s="1380">
        <f t="shared" si="353"/>
        <v>-0.12033258267590174</v>
      </c>
    </row>
    <row r="33" spans="1:106">
      <c r="BD33" s="1380"/>
      <c r="BE33" s="1380"/>
      <c r="BF33" s="1380"/>
      <c r="BG33" s="1380"/>
      <c r="BH33" s="1380"/>
      <c r="BI33" s="1380"/>
      <c r="BJ33" s="1604"/>
      <c r="BK33" s="1604"/>
      <c r="BL33" s="1380"/>
      <c r="BM33" s="1380"/>
      <c r="BN33" s="1380"/>
      <c r="BO33" s="1380"/>
      <c r="BP33" s="1380"/>
      <c r="BQ33" s="1380"/>
      <c r="BR33" s="1380"/>
      <c r="BS33" s="1380"/>
      <c r="BT33" s="1380"/>
      <c r="BU33" s="1380"/>
      <c r="BV33" s="1380"/>
      <c r="BW33" s="1380"/>
      <c r="BX33" s="1380"/>
      <c r="BY33" s="1380"/>
      <c r="BZ33" s="1380"/>
      <c r="CA33" s="1380"/>
      <c r="CB33" s="1380"/>
      <c r="CC33" s="1380"/>
      <c r="CD33" s="1380"/>
      <c r="CE33" s="1380"/>
      <c r="CF33" s="1380"/>
      <c r="CG33" s="1380"/>
      <c r="CH33" s="1380"/>
      <c r="CI33" s="1380"/>
      <c r="CJ33" s="1380"/>
      <c r="CK33" s="1380"/>
      <c r="CL33" s="1380"/>
      <c r="CM33" s="1380"/>
      <c r="CN33" s="1380"/>
      <c r="CO33" s="1380"/>
      <c r="CP33" s="1380"/>
      <c r="CQ33" s="1380"/>
      <c r="CR33" s="1380"/>
      <c r="CS33" s="1380"/>
      <c r="CT33" s="1380"/>
      <c r="CU33" s="1380"/>
      <c r="CV33" s="1380"/>
      <c r="CW33" s="1380"/>
      <c r="CX33" s="1380"/>
      <c r="CY33" s="1380"/>
      <c r="CZ33" s="1380"/>
      <c r="DA33" s="1380"/>
      <c r="DB33" s="1380"/>
    </row>
    <row r="34" spans="1:106" ht="30" customHeight="1">
      <c r="C34" s="4124" t="s">
        <v>1534</v>
      </c>
      <c r="D34" s="4124"/>
      <c r="E34" s="4124"/>
      <c r="F34" s="4124"/>
      <c r="BB34" s="2826"/>
      <c r="BC34" s="2826"/>
      <c r="BD34" s="2826"/>
      <c r="BE34" s="2826"/>
      <c r="BF34" s="2826"/>
      <c r="BJ34" s="2826"/>
      <c r="BK34" s="2826"/>
      <c r="BL34" s="2826"/>
      <c r="BM34" s="2826"/>
      <c r="BN34" s="2826"/>
      <c r="BR34" s="2826"/>
      <c r="BS34" s="2826"/>
      <c r="BT34" s="2826"/>
      <c r="BU34" s="2826"/>
      <c r="BV34" s="2826"/>
      <c r="BZ34" s="2826"/>
      <c r="CA34" s="2826"/>
      <c r="CB34" s="2826"/>
      <c r="CD34" s="2826"/>
      <c r="CE34" s="2826"/>
      <c r="CF34" s="2826"/>
      <c r="CH34" s="2826"/>
      <c r="CI34" s="2826"/>
      <c r="CJ34" s="2826"/>
      <c r="CL34" s="2826"/>
      <c r="CM34" s="2826"/>
      <c r="CN34" s="2826"/>
      <c r="CP34" s="2826"/>
      <c r="CQ34" s="2826"/>
      <c r="CR34" s="2826"/>
      <c r="CT34" s="2826"/>
      <c r="CU34" s="2826"/>
      <c r="CV34" s="2826"/>
      <c r="CW34" s="2826"/>
      <c r="CX34" s="2826"/>
      <c r="CY34" s="2826"/>
      <c r="CZ34" s="2826"/>
      <c r="DA34" s="2826"/>
      <c r="DB34" s="2826"/>
    </row>
    <row r="35" spans="1:106">
      <c r="C35" s="715"/>
      <c r="D35" s="715"/>
      <c r="E35" s="715"/>
      <c r="F35" s="715"/>
      <c r="BG35" s="1380"/>
      <c r="BH35" s="1380"/>
      <c r="BI35" s="1380"/>
      <c r="BJ35" s="1380"/>
      <c r="BK35" s="1380"/>
      <c r="BL35" s="1380"/>
      <c r="BM35" s="1380"/>
      <c r="BN35" s="1380"/>
      <c r="BO35" s="1380"/>
      <c r="BP35" s="1380"/>
      <c r="BQ35" s="1380"/>
      <c r="BR35" s="1380"/>
      <c r="BS35" s="1380"/>
      <c r="BT35" s="1380"/>
      <c r="BU35" s="1380"/>
      <c r="BV35" s="1380"/>
      <c r="BW35" s="1380"/>
      <c r="BX35" s="1380"/>
      <c r="BY35" s="1380"/>
      <c r="BZ35" s="1380"/>
      <c r="CA35" s="1380"/>
      <c r="CB35" s="1380"/>
      <c r="CC35" s="1380"/>
      <c r="CD35" s="1380"/>
      <c r="CE35" s="1380"/>
      <c r="CF35" s="1380"/>
      <c r="CG35" s="1380"/>
      <c r="CH35" s="1380"/>
      <c r="CI35" s="1380"/>
      <c r="CJ35" s="1380"/>
      <c r="CK35" s="1380"/>
      <c r="CL35" s="1380"/>
      <c r="CM35" s="1380"/>
      <c r="CN35" s="1380"/>
      <c r="CO35" s="1380"/>
      <c r="CP35" s="1380"/>
      <c r="CQ35" s="1380"/>
      <c r="CR35" s="1380"/>
      <c r="CS35" s="1380"/>
      <c r="CT35" s="1380"/>
      <c r="CU35" s="1380"/>
      <c r="CV35" s="1380"/>
      <c r="CW35" s="1380"/>
      <c r="CX35" s="1380"/>
      <c r="CY35" s="1380"/>
      <c r="CZ35" s="1380"/>
      <c r="DA35" s="1380"/>
      <c r="DB35" s="1380"/>
    </row>
    <row r="36" spans="1:106">
      <c r="G36" s="4122">
        <f ca="1">OFFSET(InputY!$G$3,0,(COLUMN()-7)/4)</f>
        <v>1995</v>
      </c>
      <c r="H36" s="4123"/>
      <c r="I36" s="4123"/>
      <c r="J36" s="4123"/>
      <c r="K36" s="4117">
        <f ca="1">OFFSET(InputY!$G$3,0,(COLUMN()-7)/4)</f>
        <v>1996</v>
      </c>
      <c r="L36" s="4118"/>
      <c r="M36" s="4118"/>
      <c r="N36" s="4119"/>
      <c r="O36" s="4117">
        <f ca="1">OFFSET(InputY!$G$3,0,(COLUMN()-7)/4)</f>
        <v>1997</v>
      </c>
      <c r="P36" s="4118"/>
      <c r="Q36" s="4118"/>
      <c r="R36" s="4119"/>
      <c r="S36" s="4117">
        <f ca="1">OFFSET(InputY!$G$3,0,(COLUMN()-7)/4)</f>
        <v>1998</v>
      </c>
      <c r="T36" s="4118"/>
      <c r="U36" s="4118"/>
      <c r="V36" s="4119"/>
      <c r="W36" s="4117">
        <f ca="1">OFFSET(InputY!$G$3,0,(COLUMN()-7)/4)</f>
        <v>1999</v>
      </c>
      <c r="X36" s="4118"/>
      <c r="Y36" s="4118"/>
      <c r="Z36" s="4119"/>
      <c r="AA36" s="4117">
        <f ca="1">OFFSET(InputY!$G$3,0,(COLUMN()-7)/4)</f>
        <v>2000</v>
      </c>
      <c r="AB36" s="4118"/>
      <c r="AC36" s="4118"/>
      <c r="AD36" s="4119"/>
      <c r="AE36" s="4117">
        <f ca="1">OFFSET(InputY!$G$3,0,(COLUMN()-7)/4)</f>
        <v>2001</v>
      </c>
      <c r="AF36" s="4118"/>
      <c r="AG36" s="4118"/>
      <c r="AH36" s="4119"/>
      <c r="AI36" s="4117">
        <f ca="1">OFFSET(InputY!$G$3,0,(COLUMN()-7)/4)</f>
        <v>2002</v>
      </c>
      <c r="AJ36" s="4118"/>
      <c r="AK36" s="4118"/>
      <c r="AL36" s="4119"/>
      <c r="AM36" s="4117">
        <f ca="1">OFFSET(InputY!$G$3,0,(COLUMN()-7)/4)</f>
        <v>2003</v>
      </c>
      <c r="AN36" s="4118"/>
      <c r="AO36" s="4118"/>
      <c r="AP36" s="4119"/>
      <c r="AQ36" s="4117">
        <f ca="1">OFFSET(InputY!$G$3,0,(COLUMN()-7)/4)</f>
        <v>2004</v>
      </c>
      <c r="AR36" s="4118"/>
      <c r="AS36" s="4118"/>
      <c r="AT36" s="4119"/>
      <c r="AU36" s="4117">
        <f ca="1">OFFSET(InputY!$G$3,0,(COLUMN()-7)/4)</f>
        <v>2005</v>
      </c>
      <c r="AV36" s="4118"/>
      <c r="AW36" s="4118"/>
      <c r="AX36" s="4119"/>
      <c r="AY36" s="4117">
        <f ca="1">OFFSET(InputY!$G$3,0,(COLUMN()-7)/4)</f>
        <v>2006</v>
      </c>
      <c r="AZ36" s="4118"/>
      <c r="BA36" s="4118"/>
      <c r="BB36" s="4119"/>
      <c r="BC36" s="4117">
        <f ca="1">OFFSET(InputY!$G$3,0,(COLUMN()-7)/4)</f>
        <v>2007</v>
      </c>
      <c r="BD36" s="4118"/>
      <c r="BE36" s="4118"/>
      <c r="BF36" s="4119"/>
      <c r="BG36" s="4117">
        <f ca="1">OFFSET(InputY!$G$3,0,(COLUMN()-7)/4)</f>
        <v>2008</v>
      </c>
      <c r="BH36" s="4118"/>
      <c r="BI36" s="4118"/>
      <c r="BJ36" s="4119"/>
      <c r="BK36" s="4117">
        <f ca="1">OFFSET(InputY!$G$3,0,(COLUMN()-7)/4)</f>
        <v>2009</v>
      </c>
      <c r="BL36" s="4118"/>
      <c r="BM36" s="4118"/>
      <c r="BN36" s="4119"/>
      <c r="BO36" s="4117">
        <f ca="1">OFFSET(InputY!$G$3,0,(COLUMN()-7)/4)</f>
        <v>2010</v>
      </c>
      <c r="BP36" s="4118"/>
      <c r="BQ36" s="4118"/>
      <c r="BR36" s="4119"/>
      <c r="BS36" s="4117">
        <f ca="1">OFFSET(InputY!$G$3,0,(COLUMN()-7)/4)</f>
        <v>2011</v>
      </c>
      <c r="BT36" s="4118"/>
      <c r="BU36" s="4118"/>
      <c r="BV36" s="4119"/>
      <c r="BW36" s="4117">
        <f ca="1">OFFSET(InputY!$G$3,0,(COLUMN()-7)/4)</f>
        <v>2012</v>
      </c>
      <c r="BX36" s="4118"/>
      <c r="BY36" s="4118"/>
      <c r="BZ36" s="4119"/>
      <c r="CA36" s="4117">
        <f ca="1">OFFSET(InputY!$G$3,0,(COLUMN()-7)/4)</f>
        <v>2013</v>
      </c>
      <c r="CB36" s="4118"/>
      <c r="CC36" s="4118"/>
      <c r="CD36" s="4119"/>
      <c r="CE36" s="4117">
        <f ca="1">OFFSET(InputY!$G$3,0,(COLUMN()-7)/4)</f>
        <v>2014</v>
      </c>
      <c r="CF36" s="4118"/>
      <c r="CG36" s="4118"/>
      <c r="CH36" s="4119"/>
      <c r="CI36" s="4117">
        <f ca="1">OFFSET(InputY!$G$3,0,(COLUMN()-7)/4)</f>
        <v>2015</v>
      </c>
      <c r="CJ36" s="4118"/>
      <c r="CK36" s="4118"/>
      <c r="CL36" s="4119"/>
      <c r="CM36" s="4117">
        <f ca="1">OFFSET(InputY!$G$3,0,(COLUMN()-7)/4)</f>
        <v>2016</v>
      </c>
      <c r="CN36" s="4118"/>
      <c r="CO36" s="4118"/>
      <c r="CP36" s="4119"/>
      <c r="CQ36" s="4117">
        <f ca="1">OFFSET(InputY!$G$3,0,(COLUMN()-7)/4)</f>
        <v>2017</v>
      </c>
      <c r="CR36" s="4118"/>
      <c r="CS36" s="4118"/>
      <c r="CT36" s="4119"/>
      <c r="CU36" s="4117">
        <f ca="1">OFFSET(InputY!$G$3,0,(COLUMN()-7)/4)</f>
        <v>2018</v>
      </c>
      <c r="CV36" s="4118"/>
      <c r="CW36" s="4118"/>
      <c r="CX36" s="4119"/>
      <c r="CY36" s="4117">
        <f ca="1">OFFSET(InputY!$G$3,0,(COLUMN()-7)/4)</f>
        <v>2019</v>
      </c>
      <c r="CZ36" s="4118"/>
      <c r="DA36" s="4118"/>
      <c r="DB36" s="4119"/>
    </row>
    <row r="37" spans="1:106" s="749" customFormat="1" ht="12.75" customHeight="1">
      <c r="A37" s="714"/>
      <c r="B37" s="714"/>
      <c r="C37" s="716"/>
      <c r="D37" s="745"/>
      <c r="E37" s="746" t="s">
        <v>719</v>
      </c>
      <c r="F37" s="747"/>
      <c r="G37" s="1472" t="s">
        <v>364</v>
      </c>
      <c r="H37" s="1473" t="s">
        <v>671</v>
      </c>
      <c r="I37" s="1473" t="s">
        <v>672</v>
      </c>
      <c r="J37" s="1474" t="s">
        <v>673</v>
      </c>
      <c r="K37" s="1472" t="s">
        <v>364</v>
      </c>
      <c r="L37" s="1473" t="s">
        <v>671</v>
      </c>
      <c r="M37" s="1473" t="s">
        <v>672</v>
      </c>
      <c r="N37" s="1474" t="s">
        <v>673</v>
      </c>
      <c r="O37" s="1472" t="s">
        <v>364</v>
      </c>
      <c r="P37" s="1473" t="s">
        <v>671</v>
      </c>
      <c r="Q37" s="1473" t="s">
        <v>672</v>
      </c>
      <c r="R37" s="1474" t="s">
        <v>673</v>
      </c>
      <c r="S37" s="1472" t="s">
        <v>364</v>
      </c>
      <c r="T37" s="1473" t="s">
        <v>671</v>
      </c>
      <c r="U37" s="1473" t="s">
        <v>672</v>
      </c>
      <c r="V37" s="1474" t="s">
        <v>673</v>
      </c>
      <c r="W37" s="1472" t="s">
        <v>364</v>
      </c>
      <c r="X37" s="1473" t="s">
        <v>671</v>
      </c>
      <c r="Y37" s="1473" t="s">
        <v>672</v>
      </c>
      <c r="Z37" s="1474" t="s">
        <v>673</v>
      </c>
      <c r="AA37" s="1472" t="s">
        <v>364</v>
      </c>
      <c r="AB37" s="1473" t="s">
        <v>671</v>
      </c>
      <c r="AC37" s="1473" t="s">
        <v>672</v>
      </c>
      <c r="AD37" s="1474" t="s">
        <v>673</v>
      </c>
      <c r="AE37" s="1472" t="s">
        <v>364</v>
      </c>
      <c r="AF37" s="1473" t="s">
        <v>671</v>
      </c>
      <c r="AG37" s="1473" t="s">
        <v>672</v>
      </c>
      <c r="AH37" s="1474" t="s">
        <v>673</v>
      </c>
      <c r="AI37" s="1472" t="s">
        <v>364</v>
      </c>
      <c r="AJ37" s="1473" t="s">
        <v>671</v>
      </c>
      <c r="AK37" s="1473" t="s">
        <v>672</v>
      </c>
      <c r="AL37" s="1474" t="s">
        <v>673</v>
      </c>
      <c r="AM37" s="1472" t="s">
        <v>364</v>
      </c>
      <c r="AN37" s="1473" t="s">
        <v>671</v>
      </c>
      <c r="AO37" s="1473" t="s">
        <v>672</v>
      </c>
      <c r="AP37" s="1474" t="s">
        <v>673</v>
      </c>
      <c r="AQ37" s="1472" t="s">
        <v>364</v>
      </c>
      <c r="AR37" s="1473" t="s">
        <v>671</v>
      </c>
      <c r="AS37" s="1473" t="s">
        <v>672</v>
      </c>
      <c r="AT37" s="1474" t="s">
        <v>673</v>
      </c>
      <c r="AU37" s="1472" t="s">
        <v>364</v>
      </c>
      <c r="AV37" s="1473" t="s">
        <v>671</v>
      </c>
      <c r="AW37" s="1473" t="s">
        <v>672</v>
      </c>
      <c r="AX37" s="1474" t="s">
        <v>673</v>
      </c>
      <c r="AY37" s="1472" t="s">
        <v>364</v>
      </c>
      <c r="AZ37" s="1473" t="s">
        <v>671</v>
      </c>
      <c r="BA37" s="1473" t="s">
        <v>672</v>
      </c>
      <c r="BB37" s="1474" t="s">
        <v>673</v>
      </c>
      <c r="BC37" s="1472" t="s">
        <v>364</v>
      </c>
      <c r="BD37" s="1473" t="s">
        <v>671</v>
      </c>
      <c r="BE37" s="1473" t="s">
        <v>672</v>
      </c>
      <c r="BF37" s="1474" t="s">
        <v>673</v>
      </c>
      <c r="BG37" s="1472" t="s">
        <v>364</v>
      </c>
      <c r="BH37" s="1473" t="s">
        <v>671</v>
      </c>
      <c r="BI37" s="1473" t="s">
        <v>672</v>
      </c>
      <c r="BJ37" s="1474" t="s">
        <v>673</v>
      </c>
      <c r="BK37" s="1472" t="s">
        <v>364</v>
      </c>
      <c r="BL37" s="1473" t="s">
        <v>671</v>
      </c>
      <c r="BM37" s="1473" t="s">
        <v>672</v>
      </c>
      <c r="BN37" s="1474" t="s">
        <v>673</v>
      </c>
      <c r="BO37" s="1472" t="s">
        <v>364</v>
      </c>
      <c r="BP37" s="1473" t="s">
        <v>671</v>
      </c>
      <c r="BQ37" s="1473" t="s">
        <v>672</v>
      </c>
      <c r="BR37" s="1474" t="s">
        <v>673</v>
      </c>
      <c r="BS37" s="1472" t="s">
        <v>364</v>
      </c>
      <c r="BT37" s="1473" t="s">
        <v>671</v>
      </c>
      <c r="BU37" s="1473" t="s">
        <v>672</v>
      </c>
      <c r="BV37" s="1474" t="s">
        <v>673</v>
      </c>
      <c r="BW37" s="1472" t="s">
        <v>364</v>
      </c>
      <c r="BX37" s="1473" t="s">
        <v>671</v>
      </c>
      <c r="BY37" s="1473" t="s">
        <v>672</v>
      </c>
      <c r="BZ37" s="1474" t="s">
        <v>673</v>
      </c>
      <c r="CA37" s="1472" t="s">
        <v>364</v>
      </c>
      <c r="CB37" s="1473" t="s">
        <v>671</v>
      </c>
      <c r="CC37" s="1473" t="s">
        <v>672</v>
      </c>
      <c r="CD37" s="1474" t="s">
        <v>673</v>
      </c>
      <c r="CE37" s="1472" t="s">
        <v>364</v>
      </c>
      <c r="CF37" s="1473" t="s">
        <v>671</v>
      </c>
      <c r="CG37" s="1473" t="s">
        <v>672</v>
      </c>
      <c r="CH37" s="1474" t="s">
        <v>673</v>
      </c>
      <c r="CI37" s="1472" t="s">
        <v>364</v>
      </c>
      <c r="CJ37" s="1473" t="s">
        <v>671</v>
      </c>
      <c r="CK37" s="1473" t="s">
        <v>672</v>
      </c>
      <c r="CL37" s="1474" t="s">
        <v>673</v>
      </c>
      <c r="CM37" s="1472" t="s">
        <v>364</v>
      </c>
      <c r="CN37" s="1473" t="s">
        <v>671</v>
      </c>
      <c r="CO37" s="1473" t="s">
        <v>672</v>
      </c>
      <c r="CP37" s="1474" t="s">
        <v>673</v>
      </c>
      <c r="CQ37" s="1472" t="s">
        <v>364</v>
      </c>
      <c r="CR37" s="1473" t="s">
        <v>671</v>
      </c>
      <c r="CS37" s="1473" t="s">
        <v>672</v>
      </c>
      <c r="CT37" s="1474" t="s">
        <v>673</v>
      </c>
      <c r="CU37" s="1472" t="s">
        <v>364</v>
      </c>
      <c r="CV37" s="1473" t="s">
        <v>671</v>
      </c>
      <c r="CW37" s="1473" t="s">
        <v>672</v>
      </c>
      <c r="CX37" s="1474" t="s">
        <v>673</v>
      </c>
      <c r="CY37" s="1472" t="s">
        <v>364</v>
      </c>
      <c r="CZ37" s="1473" t="s">
        <v>671</v>
      </c>
      <c r="DA37" s="1473" t="s">
        <v>672</v>
      </c>
      <c r="DB37" s="1474" t="s">
        <v>673</v>
      </c>
    </row>
    <row r="38" spans="1:106" s="749" customFormat="1" ht="12.75" customHeight="1">
      <c r="A38" s="714" t="str">
        <f>"Q" &amp; ROW(InputQ!A5)</f>
        <v>Q5</v>
      </c>
      <c r="C38" s="717"/>
      <c r="D38" s="718"/>
      <c r="E38" s="750" t="s">
        <v>1801</v>
      </c>
      <c r="F38" s="751"/>
      <c r="G38" s="1471">
        <f>InputQ!G5/1000</f>
        <v>39.514000000000003</v>
      </c>
      <c r="H38" s="828">
        <f>InputQ!H5/1000</f>
        <v>39.85</v>
      </c>
      <c r="I38" s="828">
        <f>InputQ!I5/1000</f>
        <v>40.173999999999999</v>
      </c>
      <c r="J38" s="828">
        <f>InputQ!J5/1000</f>
        <v>40.442</v>
      </c>
      <c r="K38" s="828">
        <f>InputQ!K5/1000</f>
        <v>40.564999999999998</v>
      </c>
      <c r="L38" s="828">
        <f>InputQ!L5/1000</f>
        <v>40.831000000000003</v>
      </c>
      <c r="M38" s="828">
        <f>InputQ!M5/1000</f>
        <v>41.02</v>
      </c>
      <c r="N38" s="1495">
        <f>InputQ!N5/1000</f>
        <v>41.066000000000003</v>
      </c>
      <c r="O38" s="828">
        <f>InputQ!O5/1000</f>
        <v>41.198999999999998</v>
      </c>
      <c r="P38" s="828">
        <f>InputQ!P5/1000</f>
        <v>41.521000000000001</v>
      </c>
      <c r="Q38" s="828">
        <f>InputQ!Q5/1000</f>
        <v>41.774999999999999</v>
      </c>
      <c r="R38" s="1495">
        <f>InputQ!R5/1000</f>
        <v>41.914000000000001</v>
      </c>
      <c r="S38" s="828">
        <f>InputQ!S5/1000</f>
        <v>42.231999999999999</v>
      </c>
      <c r="T38" s="828">
        <f>InputQ!T5/1000</f>
        <v>42.67</v>
      </c>
      <c r="U38" s="828">
        <f>InputQ!U5/1000</f>
        <v>42.982999999999997</v>
      </c>
      <c r="V38" s="1495">
        <f>InputQ!V5/1000</f>
        <v>43.052</v>
      </c>
      <c r="W38" s="828">
        <f>InputQ!W5/1000</f>
        <v>43.073999999999998</v>
      </c>
      <c r="X38" s="828">
        <f>InputQ!X5/1000</f>
        <v>43.292999999999999</v>
      </c>
      <c r="Y38" s="828">
        <f>InputQ!Y5/1000</f>
        <v>43.610999999999997</v>
      </c>
      <c r="Z38" s="1495">
        <f>InputQ!Z5/1000</f>
        <v>43.822000000000003</v>
      </c>
      <c r="AA38" s="828">
        <f>InputQ!AA5/1000</f>
        <v>44.206000000000003</v>
      </c>
      <c r="AB38" s="828">
        <f>InputQ!AB5/1000</f>
        <v>44.505000000000003</v>
      </c>
      <c r="AC38" s="828">
        <f>InputQ!AC5/1000</f>
        <v>44.887999999999998</v>
      </c>
      <c r="AD38" s="1495">
        <f>InputQ!AD5/1000</f>
        <v>45.293999999999997</v>
      </c>
      <c r="AE38" s="828">
        <f>InputQ!AE5/1000</f>
        <v>45.374000000000002</v>
      </c>
      <c r="AF38" s="828">
        <f>InputQ!AF5/1000</f>
        <v>45.305999999999997</v>
      </c>
      <c r="AG38" s="828">
        <f>InputQ!AG5/1000</f>
        <v>45.085000000000001</v>
      </c>
      <c r="AH38" s="1495">
        <f>InputQ!AH5/1000</f>
        <v>44.896000000000001</v>
      </c>
      <c r="AI38" s="828">
        <f>InputQ!AI5/1000</f>
        <v>45.076000000000001</v>
      </c>
      <c r="AJ38" s="828">
        <f>InputQ!AJ5/1000</f>
        <v>45.238</v>
      </c>
      <c r="AK38" s="828">
        <f>InputQ!AK5/1000</f>
        <v>45.45</v>
      </c>
      <c r="AL38" s="1495">
        <f>InputQ!AL5/1000</f>
        <v>45.613999999999997</v>
      </c>
      <c r="AM38" s="828">
        <f>InputQ!AM5/1000</f>
        <v>45.487000000000002</v>
      </c>
      <c r="AN38" s="828">
        <f>InputQ!AN5/1000</f>
        <v>45.406999999999996</v>
      </c>
      <c r="AO38" s="828">
        <f>InputQ!AO5/1000</f>
        <v>45.506999999999998</v>
      </c>
      <c r="AP38" s="1495">
        <f>InputQ!AP5/1000</f>
        <v>45.914999999999999</v>
      </c>
      <c r="AQ38" s="828">
        <f>InputQ!AQ5/1000</f>
        <v>46.164999999999999</v>
      </c>
      <c r="AR38" s="828">
        <f>InputQ!AR5/1000</f>
        <v>46.228999999999999</v>
      </c>
      <c r="AS38" s="828">
        <f>InputQ!AS5/1000</f>
        <v>46.268000000000001</v>
      </c>
      <c r="AT38" s="1495">
        <f>InputQ!AT5/1000</f>
        <v>46.491999999999997</v>
      </c>
      <c r="AU38" s="828">
        <f>InputQ!AU5/1000</f>
        <v>46.531999999999996</v>
      </c>
      <c r="AV38" s="828">
        <f>InputQ!AV5/1000</f>
        <v>46.654000000000003</v>
      </c>
      <c r="AW38" s="828">
        <f>InputQ!AW5/1000</f>
        <v>46.968000000000004</v>
      </c>
      <c r="AX38" s="1495">
        <f>InputQ!AX5/1000</f>
        <v>47.31</v>
      </c>
      <c r="AY38" s="828">
        <f>InputQ!AY5/1000</f>
        <v>47.427999999999997</v>
      </c>
      <c r="AZ38" s="828">
        <f>InputQ!AZ5/1000</f>
        <v>47.488</v>
      </c>
      <c r="BA38" s="828">
        <f>InputQ!BA5/1000</f>
        <v>47.54</v>
      </c>
      <c r="BB38" s="828">
        <f>InputQ!BB5/1000</f>
        <v>47.767000000000003</v>
      </c>
      <c r="BC38" s="828">
        <f>InputQ!BC5/1000</f>
        <v>48.075000000000003</v>
      </c>
      <c r="BD38" s="828">
        <f>InputQ!BD5/1000</f>
        <v>48.305999999999997</v>
      </c>
      <c r="BE38" s="828">
        <f>InputQ!BE5/1000</f>
        <v>48.548000000000002</v>
      </c>
      <c r="BF38" s="828">
        <f>InputQ!BF5/1000</f>
        <v>48.795000000000002</v>
      </c>
      <c r="BG38" s="828">
        <f>InputQ!BG5/1000</f>
        <v>49.284999999999997</v>
      </c>
      <c r="BH38" s="828">
        <f>InputQ!BH5/1000</f>
        <v>49.445999999999998</v>
      </c>
      <c r="BI38" s="828">
        <f>InputQ!BI5/1000</f>
        <v>49.368000000000002</v>
      </c>
      <c r="BJ38" s="2956">
        <f>InputQ!BJ5/1000</f>
        <v>48.898000000000003</v>
      </c>
      <c r="BK38" s="2956">
        <f>InputQ!BK5/1000</f>
        <v>48.773000000000003</v>
      </c>
      <c r="BL38" s="2956">
        <f>InputQ!BL5/1000</f>
        <v>49.156999999999996</v>
      </c>
      <c r="BM38" s="2956">
        <f>InputQ!BM5/1000</f>
        <v>49.779000000000003</v>
      </c>
      <c r="BN38" s="2956">
        <f>InputQ!BN5/1000</f>
        <v>50.274999999999999</v>
      </c>
      <c r="BO38" s="2956">
        <f>InputQ!BO5/1000</f>
        <v>50.66</v>
      </c>
      <c r="BP38" s="2956">
        <f>InputQ!BP5/1000</f>
        <v>50.81</v>
      </c>
      <c r="BQ38" s="2956">
        <f>InputQ!BQ5/1000</f>
        <v>50.79</v>
      </c>
      <c r="BR38" s="2956">
        <f>InputQ!BR5/1000</f>
        <v>51.08</v>
      </c>
      <c r="BS38" s="2956">
        <f>InputQ!BS5/1000</f>
        <v>50.893999999999998</v>
      </c>
      <c r="BT38" s="2956">
        <f>InputQ!BT5/1000</f>
        <v>50.889000000000003</v>
      </c>
      <c r="BU38" s="2956">
        <f>InputQ!BU5/1000</f>
        <v>51.052</v>
      </c>
      <c r="BV38" s="2956">
        <f>InputQ!BV5/1000</f>
        <v>51.052</v>
      </c>
      <c r="BW38" s="2956">
        <f>InputQ!BW5/1000</f>
        <v>51.215000000000003</v>
      </c>
      <c r="BX38" s="2956">
        <f>InputQ!BX5/1000</f>
        <v>51.197000000000003</v>
      </c>
      <c r="BY38" s="2956">
        <f>InputQ!BY5/1000</f>
        <v>51.331000000000003</v>
      </c>
      <c r="BZ38" s="2956">
        <f>InputQ!BZ5/1000</f>
        <v>51.488999999999997</v>
      </c>
      <c r="CA38" s="2956">
        <f>InputQ!CA5/1000</f>
        <v>51.521999999999998</v>
      </c>
      <c r="CB38" s="2956">
        <f>InputQ!CB5/1000</f>
        <v>51.645000000000003</v>
      </c>
      <c r="CC38" s="2956">
        <f>InputQ!CC5/1000</f>
        <v>51.829000000000001</v>
      </c>
      <c r="CD38" s="2956">
        <f>InputQ!CD5/1000</f>
        <v>51.768000000000001</v>
      </c>
      <c r="CE38" s="2956">
        <f>InputQ!CE5/1000</f>
        <v>51.875</v>
      </c>
      <c r="CF38" s="2956">
        <f>InputQ!CF5/1000</f>
        <v>51.89</v>
      </c>
      <c r="CG38" s="2956">
        <f>InputQ!CG5/1000</f>
        <v>52.006999999999998</v>
      </c>
      <c r="CH38" s="2956">
        <f>InputQ!CH5/1000</f>
        <v>52.255000000000003</v>
      </c>
      <c r="CI38" s="2956">
        <f>InputQ!CI5/1000</f>
        <v>52.281999999999996</v>
      </c>
      <c r="CJ38" s="2956">
        <f>InputQ!CJ5/1000</f>
        <v>52.398000000000003</v>
      </c>
      <c r="CK38" s="2956">
        <f>InputQ!CK5/1000</f>
        <v>52.497999999999998</v>
      </c>
      <c r="CL38" s="2956">
        <f>InputQ!CL5/1000</f>
        <v>52.71</v>
      </c>
      <c r="CM38" s="2956">
        <f>InputQ!CM5/1000</f>
        <v>53</v>
      </c>
      <c r="CN38" s="2956">
        <f>InputQ!CN5/1000</f>
        <v>53.347999999999999</v>
      </c>
      <c r="CO38" s="2956">
        <f>InputQ!CO5/1000</f>
        <v>53.509</v>
      </c>
      <c r="CP38" s="2956">
        <f>InputQ!CP5/1000</f>
        <v>53.508000000000003</v>
      </c>
      <c r="CQ38" s="2956">
        <f>InputQ!CQ5/1000</f>
        <v>53.697000000000003</v>
      </c>
      <c r="CR38" s="2956">
        <f>InputQ!CR5/1000</f>
        <v>53.924999999999997</v>
      </c>
      <c r="CS38" s="2956">
        <f>InputQ!CS5/1000</f>
        <v>54.033999999999999</v>
      </c>
      <c r="CT38" s="2956">
        <f>InputQ!CT5/1000</f>
        <v>54.112000000000002</v>
      </c>
      <c r="CU38" s="1496">
        <f t="shared" ref="CU38" si="354">CT38*(1+CU43/100)</f>
        <v>54.398793600000005</v>
      </c>
      <c r="CV38" s="1496">
        <f t="shared" ref="CV38" si="355">CU38*(1+CV43/100)</f>
        <v>54.687107206080007</v>
      </c>
      <c r="CW38" s="1496">
        <f t="shared" ref="CW38" si="356">CV38*(1+CW43/100)</f>
        <v>54.976948874272239</v>
      </c>
      <c r="CX38" s="1496">
        <f t="shared" ref="CX38" si="357">CW38*(1+CX43/100)</f>
        <v>55.268326703305888</v>
      </c>
      <c r="CY38" s="1496">
        <f t="shared" ref="CY38" si="358">CX38*(1+CY43/100)</f>
        <v>55.481109761113608</v>
      </c>
      <c r="CZ38" s="1496">
        <f t="shared" ref="CZ38" si="359">CY38*(1+CZ43/100)</f>
        <v>55.691937978205843</v>
      </c>
      <c r="DA38" s="1496">
        <f t="shared" ref="DA38" si="360">CZ38*(1+DA43/100)</f>
        <v>55.903567342523026</v>
      </c>
      <c r="DB38" s="1496">
        <f t="shared" ref="DB38" si="361">DA38*(1+DB43/100)</f>
        <v>56.116000898424616</v>
      </c>
    </row>
    <row r="39" spans="1:106" s="26" customFormat="1">
      <c r="A39" s="723"/>
      <c r="B39" s="723"/>
      <c r="C39" s="737"/>
      <c r="D39" s="733"/>
      <c r="E39" s="734" t="s">
        <v>357</v>
      </c>
      <c r="F39" s="735"/>
      <c r="G39" s="1476"/>
      <c r="H39" s="1477"/>
      <c r="I39" s="1477"/>
      <c r="J39" s="1481">
        <f>SUM(G38:J38)</f>
        <v>159.98000000000002</v>
      </c>
      <c r="K39" s="1476"/>
      <c r="L39" s="1477"/>
      <c r="M39" s="1477"/>
      <c r="N39" s="1481">
        <f>SUM(K38:N38)</f>
        <v>163.482</v>
      </c>
      <c r="O39" s="1476"/>
      <c r="P39" s="1477"/>
      <c r="Q39" s="1477"/>
      <c r="R39" s="1481">
        <f>SUM(O38:R38)</f>
        <v>166.40899999999999</v>
      </c>
      <c r="S39" s="1476"/>
      <c r="T39" s="1477"/>
      <c r="U39" s="1477"/>
      <c r="V39" s="1481">
        <f>SUM(S38:V38)</f>
        <v>170.93699999999998</v>
      </c>
      <c r="W39" s="1476"/>
      <c r="X39" s="1477"/>
      <c r="Y39" s="1477"/>
      <c r="Z39" s="1481">
        <f>SUM(W38:Z38)</f>
        <v>173.79999999999998</v>
      </c>
      <c r="AA39" s="1476"/>
      <c r="AB39" s="1477"/>
      <c r="AC39" s="1477"/>
      <c r="AD39" s="1481">
        <f>SUM(AA38:AD38)</f>
        <v>178.89300000000003</v>
      </c>
      <c r="AE39" s="1476"/>
      <c r="AF39" s="1477"/>
      <c r="AG39" s="1477"/>
      <c r="AH39" s="1481">
        <f>SUM(AE38:AH38)</f>
        <v>180.661</v>
      </c>
      <c r="AI39" s="1476"/>
      <c r="AJ39" s="1477"/>
      <c r="AK39" s="1477"/>
      <c r="AL39" s="1481">
        <f>SUM(AI38:AL38)</f>
        <v>181.37800000000001</v>
      </c>
      <c r="AM39" s="1476"/>
      <c r="AN39" s="1477"/>
      <c r="AO39" s="1477"/>
      <c r="AP39" s="1481">
        <f>SUM(AM38:AP38)</f>
        <v>182.316</v>
      </c>
      <c r="AQ39" s="1476"/>
      <c r="AR39" s="1477"/>
      <c r="AS39" s="1477"/>
      <c r="AT39" s="1481">
        <f>SUM(AQ38:AT38)</f>
        <v>185.154</v>
      </c>
      <c r="AU39" s="1476"/>
      <c r="AV39" s="1477"/>
      <c r="AW39" s="1477"/>
      <c r="AX39" s="1481">
        <f>SUM(AU38:AX38)</f>
        <v>187.464</v>
      </c>
      <c r="AY39" s="1476"/>
      <c r="AZ39" s="1477"/>
      <c r="BA39" s="912"/>
      <c r="BB39" s="1497">
        <f>SUM(AY38:BB38)</f>
        <v>190.22299999999998</v>
      </c>
      <c r="BC39" s="912"/>
      <c r="BD39" s="912"/>
      <c r="BE39" s="912"/>
      <c r="BF39" s="1497">
        <f>SUM(BC38:BF38)</f>
        <v>193.72399999999999</v>
      </c>
      <c r="BG39" s="912"/>
      <c r="BH39" s="912"/>
      <c r="BI39" s="912"/>
      <c r="BJ39" s="1497">
        <f>SUM(BG38:BJ38)</f>
        <v>196.99699999999999</v>
      </c>
      <c r="BK39" s="912"/>
      <c r="BL39" s="912"/>
      <c r="BM39" s="912"/>
      <c r="BN39" s="1497">
        <f>SUM(BK38:BN38)</f>
        <v>197.98400000000001</v>
      </c>
      <c r="BO39" s="912"/>
      <c r="BP39" s="912"/>
      <c r="BQ39" s="912"/>
      <c r="BR39" s="1497">
        <f>SUM(BO38:BR38)</f>
        <v>203.33999999999997</v>
      </c>
      <c r="BS39" s="912"/>
      <c r="BT39" s="912"/>
      <c r="BU39" s="912"/>
      <c r="BV39" s="1497">
        <f>SUM(BS38:BV38)</f>
        <v>203.887</v>
      </c>
      <c r="BW39" s="912"/>
      <c r="BX39" s="912"/>
      <c r="BY39" s="912"/>
      <c r="BZ39" s="1497">
        <f>SUM(BW38:BZ38)</f>
        <v>205.232</v>
      </c>
      <c r="CA39" s="912"/>
      <c r="CB39" s="912"/>
      <c r="CC39" s="912"/>
      <c r="CD39" s="1497">
        <f>SUM(CA38:CD38)</f>
        <v>206.76400000000001</v>
      </c>
      <c r="CE39" s="912"/>
      <c r="CF39" s="912"/>
      <c r="CG39" s="912"/>
      <c r="CH39" s="1497">
        <f>SUM(CE38:CH38)</f>
        <v>208.02699999999999</v>
      </c>
      <c r="CI39" s="912"/>
      <c r="CJ39" s="912"/>
      <c r="CK39" s="912"/>
      <c r="CL39" s="1497">
        <f>SUM(CI38:CL38)</f>
        <v>209.88800000000001</v>
      </c>
      <c r="CM39" s="912"/>
      <c r="CN39" s="912"/>
      <c r="CO39" s="912"/>
      <c r="CP39" s="1497">
        <f>SUM(CM38:CP38)</f>
        <v>213.36500000000001</v>
      </c>
      <c r="CQ39" s="912"/>
      <c r="CR39" s="912"/>
      <c r="CS39" s="912"/>
      <c r="CT39" s="1497">
        <f>SUM(CQ38:CT38)</f>
        <v>215.768</v>
      </c>
      <c r="CU39" s="912"/>
      <c r="CV39" s="912"/>
      <c r="CW39" s="912"/>
      <c r="CX39" s="1497">
        <f>SUM(CU38:CX38)</f>
        <v>219.33117638365815</v>
      </c>
      <c r="CY39" s="912"/>
      <c r="CZ39" s="912"/>
      <c r="DA39" s="912"/>
      <c r="DB39" s="1497">
        <f>SUM(CY38:DB38)</f>
        <v>223.19261598026708</v>
      </c>
    </row>
    <row r="40" spans="1:106" s="749" customFormat="1" ht="12.75" customHeight="1">
      <c r="A40" s="714"/>
      <c r="B40" s="714"/>
      <c r="C40" s="719"/>
      <c r="D40" s="729"/>
      <c r="E40" s="1478" t="s">
        <v>675</v>
      </c>
      <c r="F40" s="729"/>
      <c r="G40" s="1479"/>
      <c r="H40" s="2801" t="s">
        <v>543</v>
      </c>
      <c r="I40" s="2802">
        <f ca="1">+J40/J39*100</f>
        <v>97.366108263532936</v>
      </c>
      <c r="J40" s="1480">
        <f ca="1">OFFSET('VVP2'!$G$7,0,(COLUMN()-10)/4)</f>
        <v>155.7663</v>
      </c>
      <c r="K40" s="1479"/>
      <c r="L40" s="2801" t="s">
        <v>543</v>
      </c>
      <c r="M40" s="2802">
        <f ca="1">+N40/N39*100</f>
        <v>93.29532914938649</v>
      </c>
      <c r="N40" s="1480">
        <f ca="1">OFFSET('VVP2'!$G$7,0,(COLUMN()-10)/4)</f>
        <v>152.52107000000001</v>
      </c>
      <c r="O40" s="1479"/>
      <c r="P40" s="2801" t="s">
        <v>543</v>
      </c>
      <c r="Q40" s="2802">
        <f ca="1">+R40/R39*100</f>
        <v>93.292123623121341</v>
      </c>
      <c r="R40" s="1480">
        <f ca="1">OFFSET('VVP2'!$G$7,0,(COLUMN()-10)/4)</f>
        <v>155.24648999999999</v>
      </c>
      <c r="S40" s="1479"/>
      <c r="T40" s="2801" t="s">
        <v>543</v>
      </c>
      <c r="U40" s="2802">
        <f ca="1">+V40/V39*100</f>
        <v>93.291639609914782</v>
      </c>
      <c r="V40" s="1480">
        <f ca="1">OFFSET('VVP2'!$G$7,0,(COLUMN()-10)/4)</f>
        <v>159.46993000000001</v>
      </c>
      <c r="W40" s="1479"/>
      <c r="X40" s="2801" t="s">
        <v>543</v>
      </c>
      <c r="Y40" s="2802">
        <f ca="1">+Z40/Z39*100</f>
        <v>93.292658227848108</v>
      </c>
      <c r="Z40" s="1480">
        <f ca="1">OFFSET('VVP2'!$G$7,0,(COLUMN()-10)/4)</f>
        <v>162.14264</v>
      </c>
      <c r="AA40" s="1479"/>
      <c r="AB40" s="2801" t="s">
        <v>543</v>
      </c>
      <c r="AC40" s="2802">
        <f ca="1">+AD40/AD39*100</f>
        <v>93.26817706673819</v>
      </c>
      <c r="AD40" s="1480">
        <f ca="1">OFFSET('VVP2'!$G$7,0,(COLUMN()-10)/4)</f>
        <v>166.85023999999999</v>
      </c>
      <c r="AE40" s="1479"/>
      <c r="AF40" s="2801" t="s">
        <v>543</v>
      </c>
      <c r="AG40" s="2802">
        <f ca="1">+AH40/AH39*100</f>
        <v>93.291922440371735</v>
      </c>
      <c r="AH40" s="1480">
        <f ca="1">OFFSET('VVP2'!$G$7,0,(COLUMN()-10)/4)</f>
        <v>168.54211999999998</v>
      </c>
      <c r="AI40" s="1479"/>
      <c r="AJ40" s="2801" t="s">
        <v>543</v>
      </c>
      <c r="AK40" s="2802">
        <f ca="1">+AL40/AL39*100</f>
        <v>93.292626448632134</v>
      </c>
      <c r="AL40" s="1480">
        <f ca="1">OFFSET('VVP2'!$G$7,0,(COLUMN()-10)/4)</f>
        <v>169.2123</v>
      </c>
      <c r="AM40" s="1479"/>
      <c r="AN40" s="2801" t="s">
        <v>543</v>
      </c>
      <c r="AO40" s="2802">
        <f ca="1">+AP40/AP39*100</f>
        <v>93.29245376160074</v>
      </c>
      <c r="AP40" s="1480">
        <f ca="1">OFFSET('VVP2'!$G$7,0,(COLUMN()-10)/4)</f>
        <v>170.08707000000001</v>
      </c>
      <c r="AQ40" s="1479"/>
      <c r="AR40" s="2801" t="s">
        <v>543</v>
      </c>
      <c r="AS40" s="2802">
        <f ca="1">+AT40/AT39*100</f>
        <v>93.295613381293407</v>
      </c>
      <c r="AT40" s="1480">
        <f ca="1">OFFSET('VVP2'!$G$7,0,(COLUMN()-10)/4)</f>
        <v>172.74055999999999</v>
      </c>
      <c r="AU40" s="1479"/>
      <c r="AV40" s="2801" t="s">
        <v>543</v>
      </c>
      <c r="AW40" s="2802">
        <f ca="1">+AX40/AX39*100</f>
        <v>93.279349635129947</v>
      </c>
      <c r="AX40" s="1480">
        <f ca="1">OFFSET('VVP2'!$G$7,0,(COLUMN()-10)/4)</f>
        <v>174.86520000000002</v>
      </c>
      <c r="AY40" s="1479"/>
      <c r="AZ40" s="2801" t="s">
        <v>543</v>
      </c>
      <c r="BA40" s="2802">
        <f ca="1">+BB40/BB39*100</f>
        <v>93.278299679849439</v>
      </c>
      <c r="BB40" s="1498">
        <f ca="1">OFFSET('VVP2'!$G$7,0,(COLUMN()-10)/4)</f>
        <v>177.43678</v>
      </c>
      <c r="BC40" s="1479"/>
      <c r="BD40" s="2801" t="s">
        <v>543</v>
      </c>
      <c r="BE40" s="2802">
        <f ca="1">+BF40/BF39*100</f>
        <v>93.290134418038036</v>
      </c>
      <c r="BF40" s="1498">
        <f ca="1">OFFSET('VVP2'!$G$7,0,(COLUMN()-10)/4)</f>
        <v>180.72538</v>
      </c>
      <c r="BG40" s="1479"/>
      <c r="BH40" s="2801" t="s">
        <v>543</v>
      </c>
      <c r="BI40" s="2802">
        <f ca="1">+BJ40/BJ39*100</f>
        <v>93.295314141839739</v>
      </c>
      <c r="BJ40" s="1498">
        <f ca="1">OFFSET('VVP2'!$G$7,0,(COLUMN()-10)/4)</f>
        <v>183.78897000000001</v>
      </c>
      <c r="BK40" s="1479"/>
      <c r="BL40" s="2801" t="s">
        <v>543</v>
      </c>
      <c r="BM40" s="2802">
        <f ca="1">+BN40/BN39*100</f>
        <v>93.287785881687412</v>
      </c>
      <c r="BN40" s="1498">
        <f ca="1">OFFSET('VVP2'!$G$7,0,(COLUMN()-10)/4)</f>
        <v>184.69489000000002</v>
      </c>
      <c r="BO40" s="1479"/>
      <c r="BP40" s="2801" t="s">
        <v>543</v>
      </c>
      <c r="BQ40" s="2802">
        <f ca="1">+BR40/BR39*100</f>
        <v>93.2885315235566</v>
      </c>
      <c r="BR40" s="1498">
        <f ca="1">OFFSET('VVP2'!$G$7,0,(COLUMN()-10)/4)</f>
        <v>189.69289999999998</v>
      </c>
      <c r="BS40" s="1479"/>
      <c r="BT40" s="2801" t="s">
        <v>543</v>
      </c>
      <c r="BU40" s="2802">
        <f ca="1">+BV40/BV39*100</f>
        <v>93.358399505608503</v>
      </c>
      <c r="BV40" s="1498">
        <f ca="1">OFFSET('VVP2'!$G$7,0,(COLUMN()-10)/4)</f>
        <v>190.34564</v>
      </c>
      <c r="BW40" s="1479"/>
      <c r="BX40" s="2801" t="s">
        <v>543</v>
      </c>
      <c r="BY40" s="2802">
        <f ca="1">+BZ40/BZ39*100</f>
        <v>93.288575855617069</v>
      </c>
      <c r="BZ40" s="1498">
        <f ca="1">OFFSET('VVP2'!$G$7,0,(COLUMN()-10)/4)</f>
        <v>191.45801</v>
      </c>
      <c r="CA40" s="1479"/>
      <c r="CB40" s="2801" t="s">
        <v>543</v>
      </c>
      <c r="CC40" s="2802">
        <f ca="1">+CD40/CD39*100</f>
        <v>93.288391596215973</v>
      </c>
      <c r="CD40" s="1498">
        <f ca="1">OFFSET('VVP2'!$G$7,0,(COLUMN()-10)/4)</f>
        <v>192.88681</v>
      </c>
      <c r="CE40" s="1479"/>
      <c r="CF40" s="2801" t="s">
        <v>543</v>
      </c>
      <c r="CG40" s="2802">
        <f ca="1">+CH40/CH39*100</f>
        <v>93.288299115018731</v>
      </c>
      <c r="CH40" s="1498">
        <f ca="1">OFFSET('VVP2'!$G$7,0,(COLUMN()-10)/4)</f>
        <v>194.06485000000001</v>
      </c>
      <c r="CI40" s="1479"/>
      <c r="CJ40" s="2801" t="s">
        <v>543</v>
      </c>
      <c r="CK40" s="2802">
        <f ca="1">+CL40/CL39*100</f>
        <v>93.288301379783505</v>
      </c>
      <c r="CL40" s="1498">
        <f ca="1">OFFSET('VVP2'!$G$7,0,(COLUMN()-10)/4)</f>
        <v>195.80095</v>
      </c>
      <c r="CM40" s="1479"/>
      <c r="CN40" s="2801" t="s">
        <v>543</v>
      </c>
      <c r="CO40" s="2802">
        <f ca="1">+CP40/CP39*100</f>
        <v>93.288430623579316</v>
      </c>
      <c r="CP40" s="1498">
        <f ca="1">OFFSET('VVP2'!$G$7,0,(COLUMN()-10)/4)</f>
        <v>199.04486</v>
      </c>
      <c r="CQ40" s="1479"/>
      <c r="CR40" s="2801" t="s">
        <v>543</v>
      </c>
      <c r="CS40" s="2802">
        <f ca="1">+CT40/CT39*100</f>
        <v>93.288383819658165</v>
      </c>
      <c r="CT40" s="1498">
        <f ca="1">OFFSET('VVP2'!$G$7,0,(COLUMN()-10)/4)</f>
        <v>201.28648000000001</v>
      </c>
      <c r="CU40" s="1479"/>
      <c r="CV40" s="2801" t="s">
        <v>543</v>
      </c>
      <c r="CW40" s="2802">
        <f ca="1">+CX40/CX39*100</f>
        <v>93.287105961669766</v>
      </c>
      <c r="CX40" s="1498">
        <f ca="1">OFFSET('VVP2'!$G$7,0,(COLUMN()-10)/4)</f>
        <v>204.60770692</v>
      </c>
      <c r="CY40" s="1479"/>
      <c r="CZ40" s="2801" t="s">
        <v>543</v>
      </c>
      <c r="DA40" s="2802">
        <f ca="1">+DB40/DB39*100</f>
        <v>93.28659984889471</v>
      </c>
      <c r="DB40" s="1498">
        <f ca="1">OFFSET('VVP2'!$G$7,0,(COLUMN()-10)/4)</f>
        <v>208.208802561792</v>
      </c>
    </row>
    <row r="41" spans="1:106">
      <c r="AY41" s="218"/>
      <c r="BO41" s="577"/>
      <c r="BP41" s="577"/>
      <c r="BQ41" s="577"/>
      <c r="BR41" s="577"/>
      <c r="BS41" s="577"/>
      <c r="BT41" s="577"/>
      <c r="BU41" s="577"/>
      <c r="BV41" s="577"/>
      <c r="BW41" s="577"/>
      <c r="BX41" s="577"/>
      <c r="BY41" s="577"/>
      <c r="BZ41" s="577"/>
      <c r="CA41" s="577"/>
      <c r="CB41" s="577"/>
      <c r="CC41" s="577"/>
      <c r="CD41" s="577"/>
      <c r="CE41" s="577"/>
      <c r="CF41" s="577"/>
      <c r="CG41" s="577"/>
      <c r="CH41" s="577"/>
      <c r="CI41" s="577"/>
      <c r="CJ41" s="577"/>
      <c r="CK41" s="577"/>
      <c r="CL41" s="577"/>
      <c r="CM41" s="577"/>
      <c r="CN41" s="577"/>
      <c r="CO41" s="577"/>
      <c r="CP41" s="577"/>
      <c r="CQ41" s="577"/>
      <c r="CR41" s="577"/>
      <c r="CS41" s="577"/>
      <c r="CT41" s="577"/>
      <c r="CU41" s="577"/>
      <c r="CV41" s="577"/>
      <c r="CW41" s="577"/>
      <c r="CX41" s="577"/>
      <c r="CY41" s="577"/>
      <c r="CZ41" s="577"/>
      <c r="DA41" s="577"/>
      <c r="DB41" s="577"/>
    </row>
    <row r="42" spans="1:106" s="749" customFormat="1" ht="12.75" customHeight="1">
      <c r="A42" s="714"/>
      <c r="C42" s="1456"/>
      <c r="D42" s="790"/>
      <c r="E42" s="791" t="s">
        <v>73</v>
      </c>
      <c r="F42" s="792"/>
      <c r="G42" s="1484" t="str">
        <f t="shared" ref="G42:N42" si="362">G37</f>
        <v>Q1</v>
      </c>
      <c r="H42" s="1485" t="str">
        <f t="shared" si="362"/>
        <v>Q2</v>
      </c>
      <c r="I42" s="1485" t="str">
        <f t="shared" si="362"/>
        <v>Q3</v>
      </c>
      <c r="J42" s="1486" t="str">
        <f t="shared" si="362"/>
        <v>Q4</v>
      </c>
      <c r="K42" s="1484" t="str">
        <f t="shared" si="362"/>
        <v>Q1</v>
      </c>
      <c r="L42" s="1485" t="str">
        <f t="shared" si="362"/>
        <v>Q2</v>
      </c>
      <c r="M42" s="1485" t="str">
        <f t="shared" si="362"/>
        <v>Q3</v>
      </c>
      <c r="N42" s="1486" t="str">
        <f t="shared" si="362"/>
        <v>Q4</v>
      </c>
      <c r="O42" s="1484" t="str">
        <f t="shared" ref="O42:AX42" si="363">O37</f>
        <v>Q1</v>
      </c>
      <c r="P42" s="1485" t="str">
        <f t="shared" si="363"/>
        <v>Q2</v>
      </c>
      <c r="Q42" s="1485" t="str">
        <f t="shared" si="363"/>
        <v>Q3</v>
      </c>
      <c r="R42" s="1486" t="str">
        <f t="shared" si="363"/>
        <v>Q4</v>
      </c>
      <c r="S42" s="1484" t="str">
        <f t="shared" si="363"/>
        <v>Q1</v>
      </c>
      <c r="T42" s="1485" t="str">
        <f t="shared" si="363"/>
        <v>Q2</v>
      </c>
      <c r="U42" s="1485" t="str">
        <f t="shared" si="363"/>
        <v>Q3</v>
      </c>
      <c r="V42" s="1486" t="str">
        <f t="shared" si="363"/>
        <v>Q4</v>
      </c>
      <c r="W42" s="1484" t="str">
        <f t="shared" si="363"/>
        <v>Q1</v>
      </c>
      <c r="X42" s="1485" t="str">
        <f t="shared" si="363"/>
        <v>Q2</v>
      </c>
      <c r="Y42" s="1485" t="str">
        <f t="shared" si="363"/>
        <v>Q3</v>
      </c>
      <c r="Z42" s="1486" t="str">
        <f t="shared" si="363"/>
        <v>Q4</v>
      </c>
      <c r="AA42" s="1484" t="str">
        <f t="shared" si="363"/>
        <v>Q1</v>
      </c>
      <c r="AB42" s="1485" t="str">
        <f t="shared" si="363"/>
        <v>Q2</v>
      </c>
      <c r="AC42" s="1485" t="str">
        <f t="shared" si="363"/>
        <v>Q3</v>
      </c>
      <c r="AD42" s="1486" t="str">
        <f t="shared" si="363"/>
        <v>Q4</v>
      </c>
      <c r="AE42" s="1484" t="str">
        <f t="shared" si="363"/>
        <v>Q1</v>
      </c>
      <c r="AF42" s="1485" t="str">
        <f t="shared" si="363"/>
        <v>Q2</v>
      </c>
      <c r="AG42" s="1485" t="str">
        <f t="shared" si="363"/>
        <v>Q3</v>
      </c>
      <c r="AH42" s="1486" t="str">
        <f t="shared" si="363"/>
        <v>Q4</v>
      </c>
      <c r="AI42" s="1484" t="str">
        <f t="shared" si="363"/>
        <v>Q1</v>
      </c>
      <c r="AJ42" s="1485" t="str">
        <f t="shared" si="363"/>
        <v>Q2</v>
      </c>
      <c r="AK42" s="1485" t="str">
        <f t="shared" si="363"/>
        <v>Q3</v>
      </c>
      <c r="AL42" s="1486" t="str">
        <f t="shared" si="363"/>
        <v>Q4</v>
      </c>
      <c r="AM42" s="1484" t="str">
        <f t="shared" si="363"/>
        <v>Q1</v>
      </c>
      <c r="AN42" s="1485" t="str">
        <f t="shared" si="363"/>
        <v>Q2</v>
      </c>
      <c r="AO42" s="1485" t="str">
        <f t="shared" si="363"/>
        <v>Q3</v>
      </c>
      <c r="AP42" s="1486" t="str">
        <f t="shared" si="363"/>
        <v>Q4</v>
      </c>
      <c r="AQ42" s="1484" t="str">
        <f t="shared" si="363"/>
        <v>Q1</v>
      </c>
      <c r="AR42" s="1485" t="str">
        <f t="shared" si="363"/>
        <v>Q2</v>
      </c>
      <c r="AS42" s="1485" t="str">
        <f t="shared" si="363"/>
        <v>Q3</v>
      </c>
      <c r="AT42" s="1486" t="str">
        <f t="shared" si="363"/>
        <v>Q4</v>
      </c>
      <c r="AU42" s="1484" t="str">
        <f t="shared" si="363"/>
        <v>Q1</v>
      </c>
      <c r="AV42" s="1485" t="str">
        <f t="shared" si="363"/>
        <v>Q2</v>
      </c>
      <c r="AW42" s="1485" t="str">
        <f t="shared" si="363"/>
        <v>Q3</v>
      </c>
      <c r="AX42" s="1486" t="str">
        <f t="shared" si="363"/>
        <v>Q4</v>
      </c>
      <c r="AY42" s="1484" t="str">
        <f>AY37</f>
        <v>Q1</v>
      </c>
      <c r="AZ42" s="1485" t="str">
        <f>AZ37</f>
        <v>Q2</v>
      </c>
      <c r="BA42" s="1485" t="str">
        <f t="shared" ref="BA42:BF42" si="364">BA37</f>
        <v>Q3</v>
      </c>
      <c r="BB42" s="1485" t="str">
        <f t="shared" si="364"/>
        <v>Q4</v>
      </c>
      <c r="BC42" s="1485" t="str">
        <f t="shared" si="364"/>
        <v>Q1</v>
      </c>
      <c r="BD42" s="1485" t="str">
        <f t="shared" si="364"/>
        <v>Q2</v>
      </c>
      <c r="BE42" s="1485" t="str">
        <f t="shared" si="364"/>
        <v>Q3</v>
      </c>
      <c r="BF42" s="1485" t="str">
        <f t="shared" si="364"/>
        <v>Q4</v>
      </c>
      <c r="BG42" s="1485" t="str">
        <f t="shared" ref="BG42:BN42" si="365">BG37</f>
        <v>Q1</v>
      </c>
      <c r="BH42" s="1485" t="str">
        <f t="shared" si="365"/>
        <v>Q2</v>
      </c>
      <c r="BI42" s="1485" t="str">
        <f t="shared" si="365"/>
        <v>Q3</v>
      </c>
      <c r="BJ42" s="1485" t="str">
        <f t="shared" si="365"/>
        <v>Q4</v>
      </c>
      <c r="BK42" s="1485" t="str">
        <f>BK37</f>
        <v>Q1</v>
      </c>
      <c r="BL42" s="1485" t="str">
        <f>BL37</f>
        <v>Q2</v>
      </c>
      <c r="BM42" s="1485" t="str">
        <f>BM37</f>
        <v>Q3</v>
      </c>
      <c r="BN42" s="1485" t="str">
        <f t="shared" si="365"/>
        <v>Q4</v>
      </c>
      <c r="BO42" s="1485" t="str">
        <f>BO37</f>
        <v>Q1</v>
      </c>
      <c r="BP42" s="1485" t="str">
        <f>BP37</f>
        <v>Q2</v>
      </c>
      <c r="BQ42" s="1485" t="str">
        <f t="shared" ref="BQ42:BV42" si="366">BQ37</f>
        <v>Q3</v>
      </c>
      <c r="BR42" s="1485" t="str">
        <f t="shared" si="366"/>
        <v>Q4</v>
      </c>
      <c r="BS42" s="1485" t="str">
        <f t="shared" si="366"/>
        <v>Q1</v>
      </c>
      <c r="BT42" s="1485" t="str">
        <f t="shared" si="366"/>
        <v>Q2</v>
      </c>
      <c r="BU42" s="1485" t="str">
        <f t="shared" si="366"/>
        <v>Q3</v>
      </c>
      <c r="BV42" s="1485" t="str">
        <f t="shared" si="366"/>
        <v>Q4</v>
      </c>
      <c r="BW42" s="1485" t="str">
        <f t="shared" ref="BW42:CD42" si="367">BW37</f>
        <v>Q1</v>
      </c>
      <c r="BX42" s="1485" t="str">
        <f t="shared" si="367"/>
        <v>Q2</v>
      </c>
      <c r="BY42" s="1485" t="str">
        <f t="shared" si="367"/>
        <v>Q3</v>
      </c>
      <c r="BZ42" s="1485" t="str">
        <f t="shared" si="367"/>
        <v>Q4</v>
      </c>
      <c r="CA42" s="1485" t="str">
        <f>CA37</f>
        <v>Q1</v>
      </c>
      <c r="CB42" s="1485" t="str">
        <f t="shared" si="367"/>
        <v>Q2</v>
      </c>
      <c r="CC42" s="1485" t="str">
        <f t="shared" ref="CC42" si="368">CC37</f>
        <v>Q3</v>
      </c>
      <c r="CD42" s="1485" t="str">
        <f t="shared" si="367"/>
        <v>Q4</v>
      </c>
      <c r="CE42" s="1485" t="str">
        <f>CE37</f>
        <v>Q1</v>
      </c>
      <c r="CF42" s="1485" t="str">
        <f t="shared" ref="CF42:CH42" si="369">CF37</f>
        <v>Q2</v>
      </c>
      <c r="CG42" s="1485" t="str">
        <f t="shared" si="369"/>
        <v>Q3</v>
      </c>
      <c r="CH42" s="1485" t="str">
        <f t="shared" si="369"/>
        <v>Q4</v>
      </c>
      <c r="CI42" s="1485" t="str">
        <f>CI37</f>
        <v>Q1</v>
      </c>
      <c r="CJ42" s="1485" t="str">
        <f t="shared" ref="CJ42:CL42" si="370">CJ37</f>
        <v>Q2</v>
      </c>
      <c r="CK42" s="1485" t="str">
        <f t="shared" si="370"/>
        <v>Q3</v>
      </c>
      <c r="CL42" s="1485" t="str">
        <f t="shared" si="370"/>
        <v>Q4</v>
      </c>
      <c r="CM42" s="1485" t="str">
        <f>CM37</f>
        <v>Q1</v>
      </c>
      <c r="CN42" s="1485" t="str">
        <f t="shared" ref="CN42:CP42" si="371">CN37</f>
        <v>Q2</v>
      </c>
      <c r="CO42" s="1485" t="str">
        <f t="shared" si="371"/>
        <v>Q3</v>
      </c>
      <c r="CP42" s="1485" t="str">
        <f t="shared" si="371"/>
        <v>Q4</v>
      </c>
      <c r="CQ42" s="1485" t="str">
        <f>CQ37</f>
        <v>Q1</v>
      </c>
      <c r="CR42" s="1485" t="str">
        <f t="shared" ref="CR42:CS42" si="372">CR37</f>
        <v>Q2</v>
      </c>
      <c r="CS42" s="1485" t="str">
        <f t="shared" si="372"/>
        <v>Q3</v>
      </c>
      <c r="CT42" s="1485" t="str">
        <f t="shared" ref="CT42" si="373">CT37</f>
        <v>Q4</v>
      </c>
      <c r="CU42" s="1485" t="str">
        <f t="shared" ref="CU42:CX42" si="374">CU37</f>
        <v>Q1</v>
      </c>
      <c r="CV42" s="1485" t="str">
        <f t="shared" si="374"/>
        <v>Q2</v>
      </c>
      <c r="CW42" s="1485" t="str">
        <f t="shared" si="374"/>
        <v>Q3</v>
      </c>
      <c r="CX42" s="1485" t="str">
        <f t="shared" si="374"/>
        <v>Q4</v>
      </c>
      <c r="CY42" s="1485" t="str">
        <f t="shared" ref="CY42:DB42" si="375">CY37</f>
        <v>Q1</v>
      </c>
      <c r="CZ42" s="1485" t="str">
        <f t="shared" si="375"/>
        <v>Q2</v>
      </c>
      <c r="DA42" s="1485" t="str">
        <f t="shared" si="375"/>
        <v>Q3</v>
      </c>
      <c r="DB42" s="1485" t="str">
        <f t="shared" si="375"/>
        <v>Q4</v>
      </c>
    </row>
    <row r="43" spans="1:106" s="749" customFormat="1" ht="12.75" customHeight="1">
      <c r="B43" s="714"/>
      <c r="C43" s="1482"/>
      <c r="D43" s="739"/>
      <c r="E43" s="787" t="str">
        <f>E38</f>
        <v xml:space="preserve">Household final consumption expenditure (domestic)            </v>
      </c>
      <c r="F43" s="782" t="s">
        <v>2066</v>
      </c>
      <c r="G43" s="1475"/>
      <c r="H43" s="788">
        <f t="shared" ref="H43:BE43" si="376">(H38/G38-1)*100</f>
        <v>0.8503315280659951</v>
      </c>
      <c r="I43" s="788">
        <f t="shared" si="376"/>
        <v>0.81304893350062635</v>
      </c>
      <c r="J43" s="788">
        <f t="shared" si="376"/>
        <v>0.66709812316423367</v>
      </c>
      <c r="K43" s="788">
        <f t="shared" si="376"/>
        <v>0.30413926116412693</v>
      </c>
      <c r="L43" s="788">
        <f t="shared" si="376"/>
        <v>0.65573770491804684</v>
      </c>
      <c r="M43" s="788">
        <f t="shared" si="376"/>
        <v>0.46288359334818452</v>
      </c>
      <c r="N43" s="3233">
        <f t="shared" si="376"/>
        <v>0.11214041930764918</v>
      </c>
      <c r="O43" s="788">
        <f t="shared" si="376"/>
        <v>0.32386889397553187</v>
      </c>
      <c r="P43" s="788">
        <f t="shared" si="376"/>
        <v>0.781572368261374</v>
      </c>
      <c r="Q43" s="788">
        <f t="shared" si="376"/>
        <v>0.61173863827941322</v>
      </c>
      <c r="R43" s="3233">
        <f t="shared" si="376"/>
        <v>0.33273488928786676</v>
      </c>
      <c r="S43" s="788">
        <f t="shared" si="376"/>
        <v>0.75869637829841796</v>
      </c>
      <c r="T43" s="788">
        <f t="shared" si="376"/>
        <v>1.0371282439856078</v>
      </c>
      <c r="U43" s="788">
        <f t="shared" si="376"/>
        <v>0.73353644246543226</v>
      </c>
      <c r="V43" s="3233">
        <f t="shared" si="376"/>
        <v>0.16052858106694323</v>
      </c>
      <c r="W43" s="788">
        <f t="shared" si="376"/>
        <v>5.1100994146602297E-2</v>
      </c>
      <c r="X43" s="788">
        <f t="shared" si="376"/>
        <v>0.50842735757068436</v>
      </c>
      <c r="Y43" s="788">
        <f t="shared" si="376"/>
        <v>0.73452983161248486</v>
      </c>
      <c r="Z43" s="3233">
        <f t="shared" si="376"/>
        <v>0.48382288872075296</v>
      </c>
      <c r="AA43" s="788">
        <f t="shared" si="376"/>
        <v>0.87627219204966522</v>
      </c>
      <c r="AB43" s="788">
        <f t="shared" si="376"/>
        <v>0.67637877211237374</v>
      </c>
      <c r="AC43" s="788">
        <f t="shared" si="376"/>
        <v>0.86057746320638007</v>
      </c>
      <c r="AD43" s="3233">
        <f t="shared" si="376"/>
        <v>0.90447335590804201</v>
      </c>
      <c r="AE43" s="788">
        <f t="shared" si="376"/>
        <v>0.17662383538659121</v>
      </c>
      <c r="AF43" s="788">
        <f t="shared" si="376"/>
        <v>-0.14986556177547516</v>
      </c>
      <c r="AG43" s="788">
        <f t="shared" si="376"/>
        <v>-0.48779411115524862</v>
      </c>
      <c r="AH43" s="3233">
        <f t="shared" si="376"/>
        <v>-0.41920816235998526</v>
      </c>
      <c r="AI43" s="788">
        <f t="shared" si="376"/>
        <v>0.4009265858873734</v>
      </c>
      <c r="AJ43" s="788">
        <f t="shared" si="376"/>
        <v>0.35939302511314164</v>
      </c>
      <c r="AK43" s="788">
        <f t="shared" si="376"/>
        <v>0.46863256554225963</v>
      </c>
      <c r="AL43" s="3233">
        <f t="shared" si="376"/>
        <v>0.36083608360835129</v>
      </c>
      <c r="AM43" s="788">
        <f t="shared" si="376"/>
        <v>-0.27842329109483144</v>
      </c>
      <c r="AN43" s="788">
        <f t="shared" si="376"/>
        <v>-0.17587442566009415</v>
      </c>
      <c r="AO43" s="788">
        <f t="shared" si="376"/>
        <v>0.22023036095757398</v>
      </c>
      <c r="AP43" s="3233">
        <f t="shared" si="376"/>
        <v>0.89656536357043404</v>
      </c>
      <c r="AQ43" s="788">
        <f t="shared" si="376"/>
        <v>0.54448437329848165</v>
      </c>
      <c r="AR43" s="788">
        <f t="shared" si="376"/>
        <v>0.1386331636521243</v>
      </c>
      <c r="AS43" s="788">
        <f t="shared" si="376"/>
        <v>8.4362629518275334E-2</v>
      </c>
      <c r="AT43" s="3233">
        <f t="shared" si="376"/>
        <v>0.4841359038644244</v>
      </c>
      <c r="AU43" s="788">
        <f t="shared" si="376"/>
        <v>8.6036307321690764E-2</v>
      </c>
      <c r="AV43" s="788">
        <f t="shared" si="376"/>
        <v>0.26218516289866489</v>
      </c>
      <c r="AW43" s="788">
        <f t="shared" si="376"/>
        <v>0.67303982509538951</v>
      </c>
      <c r="AX43" s="3233">
        <f t="shared" si="376"/>
        <v>0.72815533980581382</v>
      </c>
      <c r="AY43" s="788">
        <f t="shared" si="376"/>
        <v>0.24941872754173922</v>
      </c>
      <c r="AZ43" s="788">
        <f t="shared" si="376"/>
        <v>0.12650754828371635</v>
      </c>
      <c r="BA43" s="788">
        <f t="shared" si="376"/>
        <v>0.10950134770888464</v>
      </c>
      <c r="BB43" s="788">
        <f t="shared" si="376"/>
        <v>0.47749263777872031</v>
      </c>
      <c r="BC43" s="788">
        <f t="shared" si="376"/>
        <v>0.64479661691125845</v>
      </c>
      <c r="BD43" s="788">
        <f t="shared" si="376"/>
        <v>0.48049921996877742</v>
      </c>
      <c r="BE43" s="788">
        <f t="shared" si="376"/>
        <v>0.5009729640210514</v>
      </c>
      <c r="BF43" s="788">
        <f t="shared" ref="BF43:BN43" si="377">(BF38/BE38-1)*100</f>
        <v>0.50877482079592085</v>
      </c>
      <c r="BG43" s="788">
        <f t="shared" si="377"/>
        <v>1.0042012501280784</v>
      </c>
      <c r="BH43" s="788">
        <f t="shared" si="377"/>
        <v>0.32667140103479486</v>
      </c>
      <c r="BI43" s="788">
        <f t="shared" si="377"/>
        <v>-0.15774784613517001</v>
      </c>
      <c r="BJ43" s="788">
        <f t="shared" si="377"/>
        <v>-0.9520337060443973</v>
      </c>
      <c r="BK43" s="788">
        <f t="shared" si="377"/>
        <v>-0.25563417726696125</v>
      </c>
      <c r="BL43" s="788">
        <f t="shared" si="377"/>
        <v>0.787320853751039</v>
      </c>
      <c r="BM43" s="788">
        <f t="shared" si="377"/>
        <v>1.2653335232011953</v>
      </c>
      <c r="BN43" s="788">
        <f t="shared" si="377"/>
        <v>0.99640410614916242</v>
      </c>
      <c r="BO43" s="788">
        <f t="shared" ref="BO43:CH43" si="378">(BO38/BN38-1)*100</f>
        <v>0.76578816509198511</v>
      </c>
      <c r="BP43" s="788">
        <f t="shared" si="378"/>
        <v>0.29609159099883708</v>
      </c>
      <c r="BQ43" s="788">
        <f t="shared" si="378"/>
        <v>-3.9362330249959054E-2</v>
      </c>
      <c r="BR43" s="788">
        <f t="shared" si="378"/>
        <v>0.57097853908250062</v>
      </c>
      <c r="BS43" s="788">
        <f t="shared" si="378"/>
        <v>-0.36413469068128368</v>
      </c>
      <c r="BT43" s="788">
        <f t="shared" si="378"/>
        <v>-9.8243407867237842E-3</v>
      </c>
      <c r="BU43" s="788">
        <f t="shared" si="378"/>
        <v>0.32030497750004105</v>
      </c>
      <c r="BV43" s="788">
        <f t="shared" si="378"/>
        <v>0</v>
      </c>
      <c r="BW43" s="788">
        <f t="shared" si="378"/>
        <v>0.3192823003995926</v>
      </c>
      <c r="BX43" s="788">
        <f t="shared" si="378"/>
        <v>-3.5145953333981517E-2</v>
      </c>
      <c r="BY43" s="788">
        <f t="shared" si="378"/>
        <v>0.26173408598160197</v>
      </c>
      <c r="BZ43" s="788">
        <f t="shared" si="378"/>
        <v>0.30780619898305162</v>
      </c>
      <c r="CA43" s="788">
        <f t="shared" si="378"/>
        <v>6.4091359319462526E-2</v>
      </c>
      <c r="CB43" s="788">
        <f t="shared" si="378"/>
        <v>0.23873296844068026</v>
      </c>
      <c r="CC43" s="788">
        <f t="shared" si="378"/>
        <v>0.35627843934553649</v>
      </c>
      <c r="CD43" s="788">
        <f t="shared" si="378"/>
        <v>-0.11769472689034943</v>
      </c>
      <c r="CE43" s="788">
        <f t="shared" si="378"/>
        <v>0.20669139236593193</v>
      </c>
      <c r="CF43" s="788">
        <f t="shared" si="378"/>
        <v>2.8915662650597085E-2</v>
      </c>
      <c r="CG43" s="1020">
        <f t="shared" si="378"/>
        <v>0.22547697051453763</v>
      </c>
      <c r="CH43" s="1020">
        <f t="shared" si="378"/>
        <v>0.47685888438095958</v>
      </c>
      <c r="CI43" s="1020">
        <f t="shared" ref="CI43" si="379">(CI38/CH38-1)*100</f>
        <v>5.1669696679734756E-2</v>
      </c>
      <c r="CJ43" s="1020">
        <f t="shared" ref="CJ43:CT43" si="380">(CJ38/CI38-1)*100</f>
        <v>0.22187368501589422</v>
      </c>
      <c r="CK43" s="1020">
        <f t="shared" si="380"/>
        <v>0.19084697889231172</v>
      </c>
      <c r="CL43" s="1020">
        <f t="shared" si="380"/>
        <v>0.40382490761552425</v>
      </c>
      <c r="CM43" s="1020">
        <f t="shared" si="380"/>
        <v>0.55018023145512185</v>
      </c>
      <c r="CN43" s="1020">
        <f t="shared" si="380"/>
        <v>0.65660377358489619</v>
      </c>
      <c r="CO43" s="1020">
        <f t="shared" si="380"/>
        <v>0.30179200719802068</v>
      </c>
      <c r="CP43" s="1020">
        <f t="shared" si="380"/>
        <v>-1.8688444934467086E-3</v>
      </c>
      <c r="CQ43" s="1020">
        <f t="shared" si="380"/>
        <v>0.35321821036107259</v>
      </c>
      <c r="CR43" s="1020">
        <f t="shared" si="380"/>
        <v>0.42460472652101622</v>
      </c>
      <c r="CS43" s="1020">
        <f t="shared" si="380"/>
        <v>0.20213259156236507</v>
      </c>
      <c r="CT43" s="1020">
        <f t="shared" si="380"/>
        <v>0.14435355516897452</v>
      </c>
      <c r="CU43" s="3718">
        <v>0.53</v>
      </c>
      <c r="CV43" s="3718">
        <v>0.53</v>
      </c>
      <c r="CW43" s="3718">
        <v>0.53</v>
      </c>
      <c r="CX43" s="4002">
        <v>0.53</v>
      </c>
      <c r="CY43" s="3718">
        <v>0.38500000000000001</v>
      </c>
      <c r="CZ43" s="3718">
        <v>0.38</v>
      </c>
      <c r="DA43" s="3718">
        <v>0.38</v>
      </c>
      <c r="DB43" s="3718">
        <v>0.38</v>
      </c>
    </row>
    <row r="44" spans="1:106" s="26" customFormat="1">
      <c r="A44" s="723"/>
      <c r="B44" s="723"/>
      <c r="C44" s="1509"/>
      <c r="D44" s="1510"/>
      <c r="E44" s="1488" t="s">
        <v>74</v>
      </c>
      <c r="F44" s="1562"/>
      <c r="G44" s="1511"/>
      <c r="H44" s="1512"/>
      <c r="I44" s="1512"/>
      <c r="J44" s="1512"/>
      <c r="K44" s="1513"/>
      <c r="L44" s="1513"/>
      <c r="M44" s="1513"/>
      <c r="N44" s="1514">
        <f>N39/J39*100-100</f>
        <v>2.1890236279534747</v>
      </c>
      <c r="O44" s="1513"/>
      <c r="P44" s="1513"/>
      <c r="Q44" s="1513"/>
      <c r="R44" s="1514">
        <f>R39/N39*100-100</f>
        <v>1.7904111767656445</v>
      </c>
      <c r="S44" s="1513"/>
      <c r="T44" s="1513"/>
      <c r="U44" s="1513"/>
      <c r="V44" s="1514">
        <f>V39/R39*100-100</f>
        <v>2.7210066763215792</v>
      </c>
      <c r="W44" s="1513"/>
      <c r="X44" s="1513"/>
      <c r="Y44" s="1513"/>
      <c r="Z44" s="1514">
        <f>Z39/V39*100-100</f>
        <v>1.6748860691365763</v>
      </c>
      <c r="AA44" s="1513"/>
      <c r="AB44" s="1513"/>
      <c r="AC44" s="1513"/>
      <c r="AD44" s="1514">
        <f>AD39/Z39*100-100</f>
        <v>2.9303797468354702</v>
      </c>
      <c r="AE44" s="1513"/>
      <c r="AF44" s="1513"/>
      <c r="AG44" s="1513"/>
      <c r="AH44" s="1514">
        <f>AH39/AD39*100-100</f>
        <v>0.98830026887580402</v>
      </c>
      <c r="AI44" s="1513"/>
      <c r="AJ44" s="1513"/>
      <c r="AK44" s="1513"/>
      <c r="AL44" s="1514">
        <f>AL39/AH39*100-100</f>
        <v>0.39687591677231637</v>
      </c>
      <c r="AM44" s="1513"/>
      <c r="AN44" s="1513"/>
      <c r="AO44" s="1513"/>
      <c r="AP44" s="1514">
        <f>AP39/AL39*100-100</f>
        <v>0.51715202505265268</v>
      </c>
      <c r="AQ44" s="1513"/>
      <c r="AR44" s="1513"/>
      <c r="AS44" s="1513"/>
      <c r="AT44" s="1514">
        <f>AT39/AP39*100-100</f>
        <v>1.5566379253603628</v>
      </c>
      <c r="AU44" s="1513"/>
      <c r="AV44" s="1513"/>
      <c r="AW44" s="1513"/>
      <c r="AX44" s="1514">
        <f>AX39/AT39*100-100</f>
        <v>1.2476100975404165</v>
      </c>
      <c r="AY44" s="1513"/>
      <c r="AZ44" s="1513"/>
      <c r="BA44" s="1515"/>
      <c r="BB44" s="1516">
        <f>BB39/AX39*100-100</f>
        <v>1.4717492425212271</v>
      </c>
      <c r="BC44" s="1515"/>
      <c r="BD44" s="1515"/>
      <c r="BE44" s="1515"/>
      <c r="BF44" s="1516">
        <f>BF39/BB39*100-100</f>
        <v>1.8404714466705059</v>
      </c>
      <c r="BG44" s="1515"/>
      <c r="BH44" s="1515"/>
      <c r="BI44" s="1515"/>
      <c r="BJ44" s="1516">
        <f>BJ39/BF39*100-100</f>
        <v>1.6895170448679551</v>
      </c>
      <c r="BK44" s="1515"/>
      <c r="BL44" s="1515"/>
      <c r="BM44" s="1515"/>
      <c r="BN44" s="2937">
        <f>BN39/BJ39*100-100</f>
        <v>0.50102285821611758</v>
      </c>
      <c r="BO44" s="1515"/>
      <c r="BP44" s="1515"/>
      <c r="BQ44" s="1515"/>
      <c r="BR44" s="1516">
        <f>BR39/BN39*100-100</f>
        <v>2.7052691126555573</v>
      </c>
      <c r="BS44" s="1515"/>
      <c r="BT44" s="1515"/>
      <c r="BU44" s="1515"/>
      <c r="BV44" s="2937">
        <f>BV39/BR39*100-100</f>
        <v>0.26900757352220239</v>
      </c>
      <c r="BW44" s="1515"/>
      <c r="BX44" s="1515"/>
      <c r="BY44" s="1515"/>
      <c r="BZ44" s="1516">
        <f>BZ39/BV39*100-100</f>
        <v>0.65967913599197914</v>
      </c>
      <c r="CA44" s="1515"/>
      <c r="CB44" s="1515"/>
      <c r="CC44" s="1515"/>
      <c r="CD44" s="1516">
        <f>CD39/BZ39*100-100</f>
        <v>0.74647228502378482</v>
      </c>
      <c r="CE44" s="1515"/>
      <c r="CF44" s="1515"/>
      <c r="CG44" s="1515"/>
      <c r="CH44" s="1516">
        <f>CH39/CD39*100-100</f>
        <v>0.61084134568878312</v>
      </c>
      <c r="CI44" s="1515"/>
      <c r="CJ44" s="1515"/>
      <c r="CK44" s="1515"/>
      <c r="CL44" s="1516">
        <f>CL39/CH39*100-100</f>
        <v>0.89459541309541635</v>
      </c>
      <c r="CM44" s="1515"/>
      <c r="CN44" s="1515"/>
      <c r="CO44" s="1515"/>
      <c r="CP44" s="1516">
        <f>CP39/CL39*100-100</f>
        <v>1.6565978045433667</v>
      </c>
      <c r="CQ44" s="1515"/>
      <c r="CR44" s="1515"/>
      <c r="CS44" s="1515"/>
      <c r="CT44" s="1516">
        <f>CT39/CP39*100-100</f>
        <v>1.1262390738874757</v>
      </c>
      <c r="CU44" s="1515"/>
      <c r="CV44" s="1515"/>
      <c r="CW44" s="1515"/>
      <c r="CX44" s="1516">
        <f>CX39/CT39*100-100</f>
        <v>1.6513924139159428</v>
      </c>
      <c r="CY44" s="1515"/>
      <c r="CZ44" s="1515"/>
      <c r="DA44" s="1515"/>
      <c r="DB44" s="1516">
        <f>DB39/CX39*100-100</f>
        <v>1.7605520839656776</v>
      </c>
    </row>
    <row r="45" spans="1:106" s="1506" customFormat="1" ht="12.75" customHeight="1">
      <c r="A45" s="1039"/>
      <c r="B45" s="1039"/>
      <c r="C45" s="1501"/>
      <c r="D45" s="1041"/>
      <c r="E45" s="1502" t="s">
        <v>675</v>
      </c>
      <c r="F45" s="1041"/>
      <c r="G45" s="1503"/>
      <c r="H45" s="1503"/>
      <c r="I45" s="1503"/>
      <c r="J45" s="1504"/>
      <c r="K45" s="1503"/>
      <c r="L45" s="1503"/>
      <c r="M45" s="1503"/>
      <c r="N45" s="1505">
        <f ca="1">N40/J40*100-100</f>
        <v>-2.0833967295878466</v>
      </c>
      <c r="O45" s="1503"/>
      <c r="P45" s="1503"/>
      <c r="Q45" s="1503"/>
      <c r="R45" s="1505">
        <f ca="1">R40/N40*100-100</f>
        <v>1.7869137687009271</v>
      </c>
      <c r="S45" s="1503"/>
      <c r="T45" s="1503"/>
      <c r="U45" s="1503"/>
      <c r="V45" s="1505">
        <f ca="1">V40/R40*100-100</f>
        <v>2.7204737446882206</v>
      </c>
      <c r="W45" s="1503"/>
      <c r="X45" s="1503"/>
      <c r="Y45" s="1503"/>
      <c r="Z45" s="1505">
        <f ca="1">Z40/V40*100-100</f>
        <v>1.675996220729516</v>
      </c>
      <c r="AA45" s="1503"/>
      <c r="AB45" s="1503"/>
      <c r="AC45" s="1503"/>
      <c r="AD45" s="1505">
        <f ca="1">AD40/Z40*100-100</f>
        <v>2.9033695269794464</v>
      </c>
      <c r="AE45" s="1503"/>
      <c r="AF45" s="1503"/>
      <c r="AG45" s="1503"/>
      <c r="AH45" s="1505">
        <f ca="1">AH40/AD40*100-100</f>
        <v>1.0140111275836432</v>
      </c>
      <c r="AI45" s="1503"/>
      <c r="AJ45" s="1503"/>
      <c r="AK45" s="1503"/>
      <c r="AL45" s="1505">
        <f ca="1">AL40/AH40*100-100</f>
        <v>0.39763354109940963</v>
      </c>
      <c r="AM45" s="1503"/>
      <c r="AN45" s="1503"/>
      <c r="AO45" s="1503"/>
      <c r="AP45" s="1505">
        <f ca="1">AP40/AL40*100-100</f>
        <v>0.51696596524011795</v>
      </c>
      <c r="AQ45" s="1503"/>
      <c r="AR45" s="1503"/>
      <c r="AS45" s="1503"/>
      <c r="AT45" s="1505">
        <f ca="1">AT40/AP40*100-100</f>
        <v>1.5600774356334028</v>
      </c>
      <c r="AU45" s="1503"/>
      <c r="AV45" s="1503"/>
      <c r="AW45" s="1503"/>
      <c r="AX45" s="1505">
        <f ca="1">AX40/AT40*100-100</f>
        <v>1.2299601205414774</v>
      </c>
      <c r="AY45" s="1503"/>
      <c r="AZ45" s="1503"/>
      <c r="BA45" s="1503"/>
      <c r="BB45" s="1518">
        <f ca="1">BB40/AX40*100-100</f>
        <v>1.4706070733341932</v>
      </c>
      <c r="BC45" s="1517"/>
      <c r="BD45" s="1517"/>
      <c r="BE45" s="1503"/>
      <c r="BF45" s="1518">
        <f ca="1">BF40/BB40*100-100</f>
        <v>1.8533925153511035</v>
      </c>
      <c r="BG45" s="1517"/>
      <c r="BH45" s="1517"/>
      <c r="BI45" s="1503"/>
      <c r="BJ45" s="1518">
        <f ca="1">BJ40/BF40*100-100</f>
        <v>1.6951631254005406</v>
      </c>
      <c r="BK45" s="1517"/>
      <c r="BL45" s="1517"/>
      <c r="BM45" s="1503"/>
      <c r="BN45" s="2936">
        <f ca="1">BN40/BJ40*100-100</f>
        <v>0.49291314924940366</v>
      </c>
      <c r="BO45" s="1517"/>
      <c r="BP45" s="1517"/>
      <c r="BQ45" s="1503"/>
      <c r="BR45" s="1518">
        <f ca="1">BR40/BN40*100-100</f>
        <v>2.7060900277208475</v>
      </c>
      <c r="BS45" s="1517"/>
      <c r="BT45" s="1517"/>
      <c r="BU45" s="1503"/>
      <c r="BV45" s="2936">
        <f ca="1">BV40/BR40*100-100</f>
        <v>0.34410354841958224</v>
      </c>
      <c r="BW45" s="1517"/>
      <c r="BX45" s="1517"/>
      <c r="BY45" s="1503"/>
      <c r="BZ45" s="1518">
        <f ca="1">BZ40/BV40*100-100</f>
        <v>0.58439478834398528</v>
      </c>
      <c r="CA45" s="1517"/>
      <c r="CB45" s="1517"/>
      <c r="CC45" s="1503"/>
      <c r="CD45" s="1518">
        <f ca="1">CD40/BZ40*100-100</f>
        <v>0.74627329512095741</v>
      </c>
      <c r="CE45" s="1517"/>
      <c r="CF45" s="1517"/>
      <c r="CG45" s="1503"/>
      <c r="CH45" s="1518">
        <f ca="1">CH40/CD40*100-100</f>
        <v>0.61074160540060518</v>
      </c>
      <c r="CI45" s="1517"/>
      <c r="CJ45" s="1517"/>
      <c r="CK45" s="1503"/>
      <c r="CL45" s="1518">
        <f ca="1">CL40/CH40*100-100</f>
        <v>0.89459786251863704</v>
      </c>
      <c r="CM45" s="1517"/>
      <c r="CN45" s="1517"/>
      <c r="CO45" s="1503"/>
      <c r="CP45" s="1518">
        <f ca="1">CP40/CL40*100-100</f>
        <v>1.6567386419728933</v>
      </c>
      <c r="CQ45" s="1517"/>
      <c r="CR45" s="1517"/>
      <c r="CS45" s="1503"/>
      <c r="CT45" s="1518">
        <f ca="1">CT40/CP40*100-100</f>
        <v>1.1261883376440807</v>
      </c>
      <c r="CU45" s="1517"/>
      <c r="CV45" s="1517"/>
      <c r="CW45" s="1503"/>
      <c r="CX45" s="1518">
        <f ca="1">CX40/CT40*100-100</f>
        <v>1.6499999999999915</v>
      </c>
      <c r="CY45" s="1517"/>
      <c r="CZ45" s="1517"/>
      <c r="DA45" s="1503"/>
      <c r="DB45" s="1518">
        <f ca="1">DB40/CX40*100-100</f>
        <v>1.7600000000000051</v>
      </c>
    </row>
    <row r="46" spans="1:106" s="26" customFormat="1">
      <c r="A46" s="723"/>
      <c r="B46" s="723"/>
      <c r="C46" s="1048"/>
      <c r="D46" s="1048"/>
      <c r="F46" s="1507"/>
      <c r="BA46" s="1508"/>
      <c r="BB46" s="1508"/>
      <c r="BC46" s="1508"/>
      <c r="BD46" s="1508"/>
      <c r="BE46" s="1508"/>
      <c r="BF46" s="1508"/>
      <c r="BG46" s="1508"/>
      <c r="BH46" s="1508"/>
      <c r="BI46" s="1508"/>
      <c r="BJ46" s="1508"/>
      <c r="BK46" s="1508"/>
      <c r="BL46" s="1508"/>
      <c r="BM46" s="1508"/>
      <c r="BN46" s="1508"/>
      <c r="BO46" s="1508"/>
      <c r="BP46" s="1508"/>
      <c r="BQ46" s="1508"/>
      <c r="BR46" s="1508"/>
      <c r="BS46" s="1508"/>
      <c r="BT46" s="1508"/>
      <c r="BU46" s="1508"/>
      <c r="BV46" s="1508"/>
      <c r="BW46" s="1508"/>
      <c r="BX46" s="1508"/>
      <c r="BY46" s="1508"/>
      <c r="BZ46" s="1508"/>
      <c r="CA46" s="1508"/>
      <c r="CB46" s="1508"/>
      <c r="CC46" s="1508"/>
      <c r="CD46" s="1508"/>
      <c r="CE46" s="1508"/>
      <c r="CF46" s="1508"/>
      <c r="CG46" s="1508"/>
      <c r="CH46" s="1508"/>
      <c r="CI46" s="1508"/>
      <c r="CJ46" s="1508"/>
      <c r="CK46" s="1508"/>
      <c r="CL46" s="1508"/>
      <c r="CM46" s="1508"/>
      <c r="CN46" s="1508"/>
      <c r="CO46" s="1508"/>
      <c r="CP46" s="1508"/>
      <c r="CQ46" s="1508"/>
      <c r="CR46" s="1508"/>
      <c r="CS46" s="1508"/>
      <c r="CT46" s="1508"/>
      <c r="CU46" s="1508"/>
      <c r="CV46" s="1508"/>
      <c r="CW46" s="1508"/>
      <c r="CX46" s="1508"/>
      <c r="CY46" s="1508"/>
      <c r="CZ46" s="1508"/>
      <c r="DA46" s="1508"/>
      <c r="DB46" s="1508"/>
    </row>
    <row r="47" spans="1:106" s="749" customFormat="1" ht="12.75" customHeight="1">
      <c r="A47" s="714"/>
      <c r="B47" s="714"/>
      <c r="C47" s="716"/>
      <c r="D47" s="898"/>
      <c r="E47" s="899"/>
      <c r="F47" s="900"/>
      <c r="G47" s="1494" t="str">
        <f t="shared" ref="G47:N47" si="381">G42</f>
        <v>Q1</v>
      </c>
      <c r="H47" s="1494" t="str">
        <f t="shared" si="381"/>
        <v>Q2</v>
      </c>
      <c r="I47" s="1494" t="str">
        <f t="shared" si="381"/>
        <v>Q3</v>
      </c>
      <c r="J47" s="1494" t="str">
        <f t="shared" si="381"/>
        <v>Q4</v>
      </c>
      <c r="K47" s="1499" t="str">
        <f t="shared" si="381"/>
        <v>Q1</v>
      </c>
      <c r="L47" s="1494" t="str">
        <f t="shared" si="381"/>
        <v>Q2</v>
      </c>
      <c r="M47" s="1494" t="str">
        <f t="shared" si="381"/>
        <v>Q3</v>
      </c>
      <c r="N47" s="1500" t="str">
        <f t="shared" si="381"/>
        <v>Q4</v>
      </c>
      <c r="O47" s="1499" t="str">
        <f t="shared" ref="O47:AX47" si="382">O42</f>
        <v>Q1</v>
      </c>
      <c r="P47" s="1494" t="str">
        <f t="shared" si="382"/>
        <v>Q2</v>
      </c>
      <c r="Q47" s="1494" t="str">
        <f t="shared" si="382"/>
        <v>Q3</v>
      </c>
      <c r="R47" s="1500" t="str">
        <f t="shared" si="382"/>
        <v>Q4</v>
      </c>
      <c r="S47" s="1499" t="str">
        <f t="shared" si="382"/>
        <v>Q1</v>
      </c>
      <c r="T47" s="1494" t="str">
        <f t="shared" si="382"/>
        <v>Q2</v>
      </c>
      <c r="U47" s="1494" t="str">
        <f t="shared" si="382"/>
        <v>Q3</v>
      </c>
      <c r="V47" s="1500" t="str">
        <f t="shared" si="382"/>
        <v>Q4</v>
      </c>
      <c r="W47" s="1499" t="str">
        <f t="shared" si="382"/>
        <v>Q1</v>
      </c>
      <c r="X47" s="1494" t="str">
        <f t="shared" si="382"/>
        <v>Q2</v>
      </c>
      <c r="Y47" s="1494" t="str">
        <f t="shared" si="382"/>
        <v>Q3</v>
      </c>
      <c r="Z47" s="1500" t="str">
        <f t="shared" si="382"/>
        <v>Q4</v>
      </c>
      <c r="AA47" s="1499" t="str">
        <f t="shared" si="382"/>
        <v>Q1</v>
      </c>
      <c r="AB47" s="1494" t="str">
        <f t="shared" si="382"/>
        <v>Q2</v>
      </c>
      <c r="AC47" s="1494" t="str">
        <f t="shared" si="382"/>
        <v>Q3</v>
      </c>
      <c r="AD47" s="1500" t="str">
        <f t="shared" si="382"/>
        <v>Q4</v>
      </c>
      <c r="AE47" s="1499" t="str">
        <f t="shared" si="382"/>
        <v>Q1</v>
      </c>
      <c r="AF47" s="1494" t="str">
        <f t="shared" si="382"/>
        <v>Q2</v>
      </c>
      <c r="AG47" s="1494" t="str">
        <f t="shared" si="382"/>
        <v>Q3</v>
      </c>
      <c r="AH47" s="1500" t="str">
        <f t="shared" si="382"/>
        <v>Q4</v>
      </c>
      <c r="AI47" s="1499" t="str">
        <f t="shared" si="382"/>
        <v>Q1</v>
      </c>
      <c r="AJ47" s="1494" t="str">
        <f t="shared" si="382"/>
        <v>Q2</v>
      </c>
      <c r="AK47" s="1494" t="str">
        <f t="shared" si="382"/>
        <v>Q3</v>
      </c>
      <c r="AL47" s="1500" t="str">
        <f t="shared" si="382"/>
        <v>Q4</v>
      </c>
      <c r="AM47" s="1499" t="str">
        <f t="shared" si="382"/>
        <v>Q1</v>
      </c>
      <c r="AN47" s="1494" t="str">
        <f t="shared" si="382"/>
        <v>Q2</v>
      </c>
      <c r="AO47" s="1494" t="str">
        <f t="shared" si="382"/>
        <v>Q3</v>
      </c>
      <c r="AP47" s="1500" t="str">
        <f t="shared" si="382"/>
        <v>Q4</v>
      </c>
      <c r="AQ47" s="1499" t="str">
        <f t="shared" si="382"/>
        <v>Q1</v>
      </c>
      <c r="AR47" s="1494" t="str">
        <f t="shared" si="382"/>
        <v>Q2</v>
      </c>
      <c r="AS47" s="1494" t="str">
        <f t="shared" si="382"/>
        <v>Q3</v>
      </c>
      <c r="AT47" s="1500" t="str">
        <f t="shared" si="382"/>
        <v>Q4</v>
      </c>
      <c r="AU47" s="1499" t="str">
        <f t="shared" si="382"/>
        <v>Q1</v>
      </c>
      <c r="AV47" s="1494" t="str">
        <f t="shared" si="382"/>
        <v>Q2</v>
      </c>
      <c r="AW47" s="1494" t="str">
        <f t="shared" si="382"/>
        <v>Q3</v>
      </c>
      <c r="AX47" s="1500" t="str">
        <f t="shared" si="382"/>
        <v>Q4</v>
      </c>
      <c r="AY47" s="1499" t="str">
        <f>AY42</f>
        <v>Q1</v>
      </c>
      <c r="AZ47" s="1494" t="str">
        <f>AZ42</f>
        <v>Q2</v>
      </c>
      <c r="BA47" s="1494" t="str">
        <f t="shared" ref="BA47:BF47" si="383">BA42</f>
        <v>Q3</v>
      </c>
      <c r="BB47" s="1500" t="str">
        <f t="shared" si="383"/>
        <v>Q4</v>
      </c>
      <c r="BC47" s="1499" t="str">
        <f t="shared" si="383"/>
        <v>Q1</v>
      </c>
      <c r="BD47" s="1494" t="str">
        <f t="shared" si="383"/>
        <v>Q2</v>
      </c>
      <c r="BE47" s="1494" t="str">
        <f t="shared" si="383"/>
        <v>Q3</v>
      </c>
      <c r="BF47" s="1500" t="str">
        <f t="shared" si="383"/>
        <v>Q4</v>
      </c>
      <c r="BG47" s="1499" t="str">
        <f t="shared" ref="BG47:BN47" si="384">BG42</f>
        <v>Q1</v>
      </c>
      <c r="BH47" s="1494" t="str">
        <f t="shared" si="384"/>
        <v>Q2</v>
      </c>
      <c r="BI47" s="1494" t="str">
        <f t="shared" si="384"/>
        <v>Q3</v>
      </c>
      <c r="BJ47" s="1500" t="str">
        <f t="shared" si="384"/>
        <v>Q4</v>
      </c>
      <c r="BK47" s="1499" t="str">
        <f>BK42</f>
        <v>Q1</v>
      </c>
      <c r="BL47" s="1494" t="str">
        <f>BL42</f>
        <v>Q2</v>
      </c>
      <c r="BM47" s="1494" t="str">
        <f>BM42</f>
        <v>Q3</v>
      </c>
      <c r="BN47" s="1500" t="str">
        <f t="shared" si="384"/>
        <v>Q4</v>
      </c>
      <c r="BO47" s="1499" t="str">
        <f>BO42</f>
        <v>Q1</v>
      </c>
      <c r="BP47" s="1494" t="str">
        <f>BP42</f>
        <v>Q2</v>
      </c>
      <c r="BQ47" s="1494" t="str">
        <f t="shared" ref="BQ47:BV47" si="385">BQ42</f>
        <v>Q3</v>
      </c>
      <c r="BR47" s="1500" t="str">
        <f t="shared" si="385"/>
        <v>Q4</v>
      </c>
      <c r="BS47" s="1499" t="str">
        <f t="shared" si="385"/>
        <v>Q1</v>
      </c>
      <c r="BT47" s="1494" t="str">
        <f t="shared" si="385"/>
        <v>Q2</v>
      </c>
      <c r="BU47" s="1494" t="str">
        <f t="shared" si="385"/>
        <v>Q3</v>
      </c>
      <c r="BV47" s="1500" t="str">
        <f t="shared" si="385"/>
        <v>Q4</v>
      </c>
      <c r="BW47" s="1499" t="str">
        <f t="shared" ref="BW47:CD47" si="386">BW42</f>
        <v>Q1</v>
      </c>
      <c r="BX47" s="1494" t="str">
        <f t="shared" si="386"/>
        <v>Q2</v>
      </c>
      <c r="BY47" s="1494" t="str">
        <f t="shared" si="386"/>
        <v>Q3</v>
      </c>
      <c r="BZ47" s="1500" t="str">
        <f t="shared" si="386"/>
        <v>Q4</v>
      </c>
      <c r="CA47" s="1499" t="str">
        <f>CA42</f>
        <v>Q1</v>
      </c>
      <c r="CB47" s="1494" t="str">
        <f t="shared" si="386"/>
        <v>Q2</v>
      </c>
      <c r="CC47" s="1494" t="str">
        <f t="shared" ref="CC47" si="387">CC42</f>
        <v>Q3</v>
      </c>
      <c r="CD47" s="1500" t="str">
        <f t="shared" si="386"/>
        <v>Q4</v>
      </c>
      <c r="CE47" s="1499" t="str">
        <f>CE42</f>
        <v>Q1</v>
      </c>
      <c r="CF47" s="1494" t="str">
        <f t="shared" ref="CF47:CH47" si="388">CF42</f>
        <v>Q2</v>
      </c>
      <c r="CG47" s="1494" t="str">
        <f t="shared" si="388"/>
        <v>Q3</v>
      </c>
      <c r="CH47" s="1500" t="str">
        <f t="shared" si="388"/>
        <v>Q4</v>
      </c>
      <c r="CI47" s="1499" t="str">
        <f>CI42</f>
        <v>Q1</v>
      </c>
      <c r="CJ47" s="1494" t="str">
        <f t="shared" ref="CJ47:CL47" si="389">CJ42</f>
        <v>Q2</v>
      </c>
      <c r="CK47" s="1494" t="str">
        <f t="shared" si="389"/>
        <v>Q3</v>
      </c>
      <c r="CL47" s="1500" t="str">
        <f t="shared" si="389"/>
        <v>Q4</v>
      </c>
      <c r="CM47" s="1499" t="str">
        <f>CM42</f>
        <v>Q1</v>
      </c>
      <c r="CN47" s="1494" t="str">
        <f t="shared" ref="CN47:CP47" si="390">CN42</f>
        <v>Q2</v>
      </c>
      <c r="CO47" s="1494" t="str">
        <f t="shared" si="390"/>
        <v>Q3</v>
      </c>
      <c r="CP47" s="1500" t="str">
        <f t="shared" si="390"/>
        <v>Q4</v>
      </c>
      <c r="CQ47" s="1499" t="str">
        <f>CQ42</f>
        <v>Q1</v>
      </c>
      <c r="CR47" s="1494" t="str">
        <f t="shared" ref="CR47:CS47" si="391">CR42</f>
        <v>Q2</v>
      </c>
      <c r="CS47" s="1494" t="str">
        <f t="shared" si="391"/>
        <v>Q3</v>
      </c>
      <c r="CT47" s="1500" t="str">
        <f t="shared" ref="CT47" si="392">CT42</f>
        <v>Q4</v>
      </c>
      <c r="CU47" s="1499" t="str">
        <f t="shared" ref="CU47:CX47" si="393">CU42</f>
        <v>Q1</v>
      </c>
      <c r="CV47" s="1494" t="str">
        <f t="shared" si="393"/>
        <v>Q2</v>
      </c>
      <c r="CW47" s="1494" t="str">
        <f t="shared" si="393"/>
        <v>Q3</v>
      </c>
      <c r="CX47" s="1500" t="str">
        <f t="shared" si="393"/>
        <v>Q4</v>
      </c>
      <c r="CY47" s="1499" t="str">
        <f t="shared" ref="CY47:DB47" si="394">CY42</f>
        <v>Q1</v>
      </c>
      <c r="CZ47" s="1494" t="str">
        <f t="shared" si="394"/>
        <v>Q2</v>
      </c>
      <c r="DA47" s="1494" t="str">
        <f t="shared" si="394"/>
        <v>Q3</v>
      </c>
      <c r="DB47" s="1500" t="str">
        <f t="shared" si="394"/>
        <v>Q4</v>
      </c>
    </row>
    <row r="48" spans="1:106" s="749" customFormat="1" ht="12.75" customHeight="1">
      <c r="A48" s="714"/>
      <c r="B48" s="714"/>
      <c r="C48" s="902"/>
      <c r="D48" s="903"/>
      <c r="E48" s="904" t="s">
        <v>676</v>
      </c>
      <c r="F48" s="905"/>
      <c r="G48" s="755"/>
      <c r="H48" s="755"/>
      <c r="I48" s="755"/>
      <c r="J48" s="755"/>
      <c r="K48" s="1469">
        <f t="shared" ref="K48:BF48" si="395">(K38/G38-1)*100</f>
        <v>2.6598167738016709</v>
      </c>
      <c r="L48" s="1469">
        <f t="shared" si="395"/>
        <v>2.4617314930991174</v>
      </c>
      <c r="M48" s="1469">
        <f t="shared" si="395"/>
        <v>2.1058395977497923</v>
      </c>
      <c r="N48" s="1469">
        <f t="shared" si="395"/>
        <v>1.5429503981009951</v>
      </c>
      <c r="O48" s="1469">
        <f t="shared" si="395"/>
        <v>1.5629237026993703</v>
      </c>
      <c r="P48" s="1469">
        <f t="shared" si="395"/>
        <v>1.6898924836521223</v>
      </c>
      <c r="Q48" s="1469">
        <f t="shared" si="395"/>
        <v>1.8405655777669283</v>
      </c>
      <c r="R48" s="1469">
        <f t="shared" si="395"/>
        <v>2.0649685871523937</v>
      </c>
      <c r="S48" s="1469">
        <f t="shared" si="395"/>
        <v>2.5073424112235676</v>
      </c>
      <c r="T48" s="1469">
        <f t="shared" si="395"/>
        <v>2.76727439127189</v>
      </c>
      <c r="U48" s="1469">
        <f t="shared" si="395"/>
        <v>2.8916816277678059</v>
      </c>
      <c r="V48" s="1469">
        <f t="shared" si="395"/>
        <v>2.7150832657345969</v>
      </c>
      <c r="W48" s="1469">
        <f t="shared" si="395"/>
        <v>1.9937488160636452</v>
      </c>
      <c r="X48" s="1469">
        <f t="shared" si="395"/>
        <v>1.4600421842043465</v>
      </c>
      <c r="Y48" s="1469">
        <f t="shared" si="395"/>
        <v>1.46104273782659</v>
      </c>
      <c r="Z48" s="1469">
        <f t="shared" si="395"/>
        <v>1.7885347951314801</v>
      </c>
      <c r="AA48" s="1469">
        <f t="shared" si="395"/>
        <v>2.6280354738357437</v>
      </c>
      <c r="AB48" s="1469">
        <f t="shared" si="395"/>
        <v>2.7995287921835033</v>
      </c>
      <c r="AC48" s="1469">
        <f t="shared" si="395"/>
        <v>2.9281603265231215</v>
      </c>
      <c r="AD48" s="1469">
        <f t="shared" si="395"/>
        <v>3.3590434028569982</v>
      </c>
      <c r="AE48" s="1469">
        <f t="shared" si="395"/>
        <v>2.6421752703252865</v>
      </c>
      <c r="AF48" s="1469">
        <f t="shared" si="395"/>
        <v>1.7997977755308314</v>
      </c>
      <c r="AG48" s="1469">
        <f t="shared" si="395"/>
        <v>0.4388700766351894</v>
      </c>
      <c r="AH48" s="1469">
        <f t="shared" si="395"/>
        <v>-0.87870358104825685</v>
      </c>
      <c r="AI48" s="1469">
        <f t="shared" si="395"/>
        <v>-0.65676378542778302</v>
      </c>
      <c r="AJ48" s="1469">
        <f t="shared" si="395"/>
        <v>-0.15009049574007394</v>
      </c>
      <c r="AK48" s="1469">
        <f t="shared" si="395"/>
        <v>0.80958190085393955</v>
      </c>
      <c r="AL48" s="1469">
        <f t="shared" si="395"/>
        <v>1.5992516037063309</v>
      </c>
      <c r="AM48" s="1469">
        <f t="shared" si="395"/>
        <v>0.91179341556482107</v>
      </c>
      <c r="AN48" s="1469">
        <f t="shared" si="395"/>
        <v>0.37357973385205856</v>
      </c>
      <c r="AO48" s="1469">
        <f t="shared" si="395"/>
        <v>0.12541254125411072</v>
      </c>
      <c r="AP48" s="1469">
        <f t="shared" si="395"/>
        <v>0.65988512298855717</v>
      </c>
      <c r="AQ48" s="1469">
        <f t="shared" si="395"/>
        <v>1.490535757469158</v>
      </c>
      <c r="AR48" s="1469">
        <f t="shared" si="395"/>
        <v>1.810293567071164</v>
      </c>
      <c r="AS48" s="1469">
        <f t="shared" si="395"/>
        <v>1.6722702001889855</v>
      </c>
      <c r="AT48" s="1469">
        <f t="shared" si="395"/>
        <v>1.2566699335728959</v>
      </c>
      <c r="AU48" s="1469">
        <f t="shared" si="395"/>
        <v>0.79497454781760624</v>
      </c>
      <c r="AV48" s="1469">
        <f t="shared" si="395"/>
        <v>0.91933634731447</v>
      </c>
      <c r="AW48" s="1469">
        <f t="shared" si="395"/>
        <v>1.512924699576379</v>
      </c>
      <c r="AX48" s="1469">
        <f t="shared" si="395"/>
        <v>1.7594424847285683</v>
      </c>
      <c r="AY48" s="1469">
        <f t="shared" si="395"/>
        <v>1.9255566062064799</v>
      </c>
      <c r="AZ48" s="1469">
        <f t="shared" si="395"/>
        <v>1.7876280704762548</v>
      </c>
      <c r="BA48" s="1469">
        <f t="shared" si="395"/>
        <v>1.2178504513711275</v>
      </c>
      <c r="BB48" s="1469">
        <f t="shared" si="395"/>
        <v>0.96596913971676024</v>
      </c>
      <c r="BC48" s="1469">
        <f t="shared" si="395"/>
        <v>1.3641730623260573</v>
      </c>
      <c r="BD48" s="1469">
        <f t="shared" si="395"/>
        <v>1.7225404312668502</v>
      </c>
      <c r="BE48" s="1469">
        <f t="shared" si="395"/>
        <v>2.1203197307530619</v>
      </c>
      <c r="BF48" s="1469">
        <f t="shared" si="395"/>
        <v>2.1521133837167916</v>
      </c>
      <c r="BG48" s="1469">
        <f t="shared" ref="BG48:BN48" si="396">(BG38/BC38-1)*100</f>
        <v>2.516900676027034</v>
      </c>
      <c r="BH48" s="1469">
        <f t="shared" si="396"/>
        <v>2.3599552850577687</v>
      </c>
      <c r="BI48" s="1469">
        <f t="shared" si="396"/>
        <v>1.6890500123589058</v>
      </c>
      <c r="BJ48" s="1469">
        <f t="shared" si="396"/>
        <v>0.21108720155753602</v>
      </c>
      <c r="BK48" s="1469">
        <f>(BK38/BG38-1)*100</f>
        <v>-1.0388556355889089</v>
      </c>
      <c r="BL48" s="1469">
        <f>(BL38/BH38-1)*100</f>
        <v>-0.58447599401367789</v>
      </c>
      <c r="BM48" s="1469">
        <f>(BM38/BI38-1)*100</f>
        <v>0.83252309188137641</v>
      </c>
      <c r="BN48" s="1469">
        <f t="shared" si="396"/>
        <v>2.8160660967728735</v>
      </c>
      <c r="BO48" s="1469">
        <f>(BO38/BK38-1)*100</f>
        <v>3.8689438828860112</v>
      </c>
      <c r="BP48" s="1469">
        <f>(BP38/BL38-1)*100</f>
        <v>3.3626950383465415</v>
      </c>
      <c r="BQ48" s="1469">
        <f t="shared" ref="BQ48:BV48" si="397">(BQ38/BM38-1)*100</f>
        <v>2.0309769179774451</v>
      </c>
      <c r="BR48" s="1469">
        <f t="shared" si="397"/>
        <v>1.6011934361014335</v>
      </c>
      <c r="BS48" s="1469">
        <f t="shared" si="397"/>
        <v>0.46190288195815388</v>
      </c>
      <c r="BT48" s="1469">
        <f t="shared" si="397"/>
        <v>0.15548120448731773</v>
      </c>
      <c r="BU48" s="1469">
        <f t="shared" si="397"/>
        <v>0.51584957668833198</v>
      </c>
      <c r="BV48" s="1469">
        <f t="shared" si="397"/>
        <v>-5.4815974941269108E-2</v>
      </c>
      <c r="BW48" s="1469">
        <f t="shared" ref="BW48:CH48" si="398">(BW38/BS38-1)*100</f>
        <v>0.63072267850827757</v>
      </c>
      <c r="BX48" s="1469">
        <f t="shared" si="398"/>
        <v>0.60523885319028192</v>
      </c>
      <c r="BY48" s="1469">
        <f t="shared" si="398"/>
        <v>0.54650160620544064</v>
      </c>
      <c r="BZ48" s="1469">
        <f t="shared" si="398"/>
        <v>0.85598997100995167</v>
      </c>
      <c r="CA48" s="1469">
        <f t="shared" si="398"/>
        <v>0.59943375964071066</v>
      </c>
      <c r="CB48" s="1469">
        <f t="shared" si="398"/>
        <v>0.87505127253550974</v>
      </c>
      <c r="CC48" s="1469">
        <f t="shared" si="398"/>
        <v>0.97017396894663044</v>
      </c>
      <c r="CD48" s="1469">
        <f t="shared" si="398"/>
        <v>0.54186331061003568</v>
      </c>
      <c r="CE48" s="1469">
        <f t="shared" si="398"/>
        <v>0.68514421024028493</v>
      </c>
      <c r="CF48" s="1469">
        <f t="shared" si="398"/>
        <v>0.4743924871720262</v>
      </c>
      <c r="CG48" s="1469">
        <f t="shared" si="398"/>
        <v>0.34343707190953587</v>
      </c>
      <c r="CH48" s="1469">
        <f t="shared" si="398"/>
        <v>0.94073558955338754</v>
      </c>
      <c r="CI48" s="1469">
        <f t="shared" ref="CI48" si="399">(CI38/CE38-1)*100</f>
        <v>0.78457831325300376</v>
      </c>
      <c r="CJ48" s="1469">
        <f t="shared" ref="CJ48:CS48" si="400">(CJ38/CF38-1)*100</f>
        <v>0.97899402582386497</v>
      </c>
      <c r="CK48" s="1469">
        <f t="shared" si="400"/>
        <v>0.94410367835098263</v>
      </c>
      <c r="CL48" s="1469">
        <f t="shared" si="400"/>
        <v>0.87073007367715061</v>
      </c>
      <c r="CM48" s="1469">
        <f t="shared" si="400"/>
        <v>1.3733216020810346</v>
      </c>
      <c r="CN48" s="1469">
        <f t="shared" si="400"/>
        <v>1.8130462994770724</v>
      </c>
      <c r="CO48" s="1469">
        <f t="shared" si="400"/>
        <v>1.9257876490533121</v>
      </c>
      <c r="CP48" s="1469">
        <f t="shared" si="400"/>
        <v>1.5139442231075773</v>
      </c>
      <c r="CQ48" s="1469">
        <f t="shared" si="400"/>
        <v>1.3150943396226467</v>
      </c>
      <c r="CR48" s="1469">
        <f t="shared" si="400"/>
        <v>1.0815775661692895</v>
      </c>
      <c r="CS48" s="1469">
        <f t="shared" si="400"/>
        <v>0.98114335906109851</v>
      </c>
      <c r="CT48" s="1469">
        <f t="shared" ref="CT48" si="401">(CT38/CP38-1)*100</f>
        <v>1.1288031696194967</v>
      </c>
      <c r="CU48" s="1469">
        <f t="shared" ref="CU48" si="402">(CU38/CQ38-1)*100</f>
        <v>1.3069512263254923</v>
      </c>
      <c r="CV48" s="1469">
        <f t="shared" ref="CV48" si="403">(CV38/CR38-1)*100</f>
        <v>1.4132725193880535</v>
      </c>
      <c r="CW48" s="1469">
        <f t="shared" ref="CW48" si="404">(CW38/CS38-1)*100</f>
        <v>1.7451028505611976</v>
      </c>
      <c r="CX48" s="1469">
        <f t="shared" ref="CX48" si="405">(CX38/CT38-1)*100</f>
        <v>2.1369136297048508</v>
      </c>
      <c r="CY48" s="1469">
        <f t="shared" ref="CY48" si="406">(CY38/CU38-1)*100</f>
        <v>1.9895958889676546</v>
      </c>
      <c r="CZ48" s="1469">
        <f t="shared" ref="CZ48" si="407">(CZ38/CV38-1)*100</f>
        <v>1.8374180377456861</v>
      </c>
      <c r="DA48" s="1469">
        <f t="shared" ref="DA48" si="408">(DA38/CW38-1)*100</f>
        <v>1.6854672498648249</v>
      </c>
      <c r="DB48" s="1469">
        <f t="shared" ref="DB48" si="409">(DB38/CX38-1)*100</f>
        <v>1.5337431865257267</v>
      </c>
    </row>
    <row r="49" spans="1:106" s="749" customFormat="1" ht="12.75" customHeight="1">
      <c r="A49" s="714"/>
      <c r="B49" s="714"/>
      <c r="C49" s="986"/>
      <c r="D49" s="724"/>
      <c r="E49" s="830" t="s">
        <v>569</v>
      </c>
      <c r="F49" s="754"/>
      <c r="G49" s="755"/>
      <c r="H49" s="755"/>
      <c r="I49" s="755"/>
      <c r="J49" s="755"/>
      <c r="K49" s="1469">
        <f>(4*K38/J39-1)*100</f>
        <v>1.4251781472683911</v>
      </c>
      <c r="L49" s="1469">
        <f>((K38+3*L38)/J39-1)*100</f>
        <v>1.9239904988123335</v>
      </c>
      <c r="M49" s="1469">
        <f>((K38+L38+2*M38)/J39-1)*100</f>
        <v>2.160270033754208</v>
      </c>
      <c r="N49" s="1532"/>
      <c r="O49" s="1469">
        <f>(4*O38/N39-1)*100</f>
        <v>0.80375821191323027</v>
      </c>
      <c r="P49" s="1469">
        <f>((O38+3*P38)/N39-1)*100</f>
        <v>1.3946489521782235</v>
      </c>
      <c r="Q49" s="1469">
        <f>((O38+P38+2*Q38)/N39-1)*100</f>
        <v>1.7053865257337097</v>
      </c>
      <c r="R49" s="1532"/>
      <c r="S49" s="1469">
        <f>(4*S38/R39-1)*100</f>
        <v>1.5137402424147739</v>
      </c>
      <c r="T49" s="1469">
        <f>((S38+3*T38)/R39-1)*100</f>
        <v>2.303360996099979</v>
      </c>
      <c r="U49" s="1469">
        <f>((S38+T38+2*U38)/R39-1)*100</f>
        <v>2.6795425728175726</v>
      </c>
      <c r="V49" s="1532"/>
      <c r="W49" s="1469">
        <f>(4*W38/V39-1)*100</f>
        <v>0.79502974780183422</v>
      </c>
      <c r="X49" s="1469">
        <f>((W38+3*X38)/V39-1)*100</f>
        <v>1.1793818775338138</v>
      </c>
      <c r="Y49" s="1469">
        <f>((W38+X38+2*Y38)/V39-1)*100</f>
        <v>1.5514487793748755</v>
      </c>
      <c r="Z49" s="1532"/>
      <c r="AA49" s="1469">
        <f>(4*AA38/Z39-1)*100</f>
        <v>1.7399309551208386</v>
      </c>
      <c r="AB49" s="1469">
        <f>((AA38+3*AB38)/Z39-1)*100</f>
        <v>2.2560414269275242</v>
      </c>
      <c r="AC49" s="1469">
        <f>((AA38+AB38+2*AC38)/Z39-1)*100</f>
        <v>2.696777905638692</v>
      </c>
      <c r="AD49" s="1532"/>
      <c r="AE49" s="1469">
        <f>(4*AE38/AD39-1)*100</f>
        <v>1.4550597284410216</v>
      </c>
      <c r="AF49" s="1469">
        <f>((AE38+3*AF38)/AD39-1)*100</f>
        <v>1.3410250820322656</v>
      </c>
      <c r="AG49" s="1469">
        <f>((AE38+AF38+2*AG38)/AD39-1)*100</f>
        <v>1.0939500148133163</v>
      </c>
      <c r="AH49" s="1532"/>
      <c r="AI49" s="1469">
        <f>(4*AI38/AH39-1)*100</f>
        <v>-0.19760767404143342</v>
      </c>
      <c r="AJ49" s="1469">
        <f>((AI38+3*AJ38)/AH39-1)*100</f>
        <v>7.1404453645218524E-2</v>
      </c>
      <c r="AK49" s="1469">
        <f>((AI38+AJ38+2*AK38)/AH39-1)*100</f>
        <v>0.30609816175046767</v>
      </c>
      <c r="AL49" s="1532"/>
      <c r="AM49" s="1469">
        <f>(4*AM38/AL39-1)*100</f>
        <v>0.31426082545842338</v>
      </c>
      <c r="AN49" s="1469">
        <f>((AM38+3*AN38)/AL39-1)*100</f>
        <v>0.1819404778969691</v>
      </c>
      <c r="AO49" s="1469">
        <f>((AM38+AN38+2*AO38)/AL39-1)*100</f>
        <v>0.2922074341981995</v>
      </c>
      <c r="AP49" s="1532"/>
      <c r="AQ49" s="1469">
        <f>(4*AQ38/AP39-1)*100</f>
        <v>1.285679808683815</v>
      </c>
      <c r="AR49" s="1469">
        <f>((AQ38+3*AR38)/AP39-1)*100</f>
        <v>1.3909914653678301</v>
      </c>
      <c r="AS49" s="1469">
        <f>((AQ38+AR38+2*AS38)/AP39-1)*100</f>
        <v>1.4337743258957092</v>
      </c>
      <c r="AT49" s="1532"/>
      <c r="AU49" s="1469">
        <f>(4*AU38/AT39-1)*100</f>
        <v>0.52604858658198417</v>
      </c>
      <c r="AV49" s="1469">
        <f>((AU38+3*AV38)/AT39-1)*100</f>
        <v>0.72372187476372751</v>
      </c>
      <c r="AW49" s="1469">
        <f>((AU38+AV38+2*AW38)/AT39-1)*100</f>
        <v>1.0628989921902976</v>
      </c>
      <c r="AX49" s="1532"/>
      <c r="AY49" s="1469">
        <f>(4*AY38/AX39-1)*100</f>
        <v>1.1991635727393035</v>
      </c>
      <c r="AZ49" s="1469">
        <f>((AY38+3*AZ38)/AX39-1)*100</f>
        <v>1.2951820082789167</v>
      </c>
      <c r="BA49" s="1469">
        <f>((AY38+AZ38+2*BA38)/AX39-1)*100</f>
        <v>1.3506593265906863</v>
      </c>
      <c r="BB49" s="1532"/>
      <c r="BC49" s="1469">
        <f>(4*BC38/BB39-1)*100</f>
        <v>1.0918763766737172</v>
      </c>
      <c r="BD49" s="1469">
        <f>((BC38+3*BD38)/BB39-1)*100</f>
        <v>1.4561856347550028</v>
      </c>
      <c r="BE49" s="1469">
        <f>((BC38+BD38+2*BE38)/BB39-1)*100</f>
        <v>1.7106238467482937</v>
      </c>
      <c r="BF49" s="1532"/>
      <c r="BG49" s="1469">
        <f>(4*BG38/BF39-1)*100</f>
        <v>1.7633334021597724</v>
      </c>
      <c r="BH49" s="1469">
        <f>((BG38+3*BH38)/BF39-1)*100</f>
        <v>2.0126571823831929</v>
      </c>
      <c r="BI49" s="1469">
        <f>((BG38+BH38+2*BI38)/BF39-1)*100</f>
        <v>1.93213024715575</v>
      </c>
      <c r="BJ49" s="1532"/>
      <c r="BK49" s="1469">
        <f>(4*BK38/BJ39-1)*100</f>
        <v>-0.96701980233200313</v>
      </c>
      <c r="BL49" s="1469">
        <f>((BK38+3*BL38)/BJ39-1)*100</f>
        <v>-0.38223932344146894</v>
      </c>
      <c r="BM49" s="1469">
        <f>((BK38+BL38+2*BM38)/BJ39-1)*100</f>
        <v>0.2492423742493699</v>
      </c>
      <c r="BN49" s="1532"/>
      <c r="BO49" s="1469">
        <f>(4*BO38/BN39-1)*100</f>
        <v>2.3517051882980367</v>
      </c>
      <c r="BP49" s="1469">
        <f>((BO38+3*BP38)/BN39-1)*100</f>
        <v>2.5789962825278678</v>
      </c>
      <c r="BQ49" s="1469">
        <f>((BO38+BP38+2*BQ38)/BN39-1)*100</f>
        <v>2.5587926297074626</v>
      </c>
      <c r="BR49" s="1532"/>
      <c r="BS49" s="1469">
        <f>(4*BS38/BR39-1)*100</f>
        <v>0.1160617684666132</v>
      </c>
      <c r="BT49" s="1469">
        <f>((BS38+3*BT38)/BR39-1)*100</f>
        <v>0.10868496114884163</v>
      </c>
      <c r="BU49" s="1469">
        <f>((BS38+BT38+2*BU38)/BR39-1)*100</f>
        <v>0.26900757352219529</v>
      </c>
      <c r="BV49" s="1532"/>
      <c r="BW49" s="1469">
        <f>(4*BW38/BV39-1)*100</f>
        <v>0.47722512960610697</v>
      </c>
      <c r="BX49" s="1469">
        <f>((BW38+3*BX38)/BV39-1)*100</f>
        <v>0.45073987061461374</v>
      </c>
      <c r="BY49" s="1469">
        <f>((BW38+BX38+2*BY38)/BV39-1)*100</f>
        <v>0.58218523005391098</v>
      </c>
      <c r="BZ49" s="1532"/>
      <c r="CA49" s="1469">
        <f>(4*CA38/BZ39-1)*100</f>
        <v>0.41708895298977477</v>
      </c>
      <c r="CB49" s="1469">
        <f>((CA38+3*CB38)/BZ39-1)*100</f>
        <v>0.59688547594916042</v>
      </c>
      <c r="CC49" s="1469">
        <f>((CA38+CB38+2*CC38)/BZ39-1)*100</f>
        <v>0.77619474545880252</v>
      </c>
      <c r="CD49" s="1532"/>
      <c r="CE49" s="1469">
        <f>(4*CE38/CD39-1)*100</f>
        <v>0.35596138592790538</v>
      </c>
      <c r="CF49" s="1469">
        <f>((CE38+3*CF38)/CD39-1)*100</f>
        <v>0.37772532936102277</v>
      </c>
      <c r="CG49" s="1469">
        <f>((CE38+CF38+2*CG38)/CD39-1)*100</f>
        <v>0.49089783521307773</v>
      </c>
      <c r="CH49" s="1532"/>
      <c r="CI49" s="1469">
        <f>(4*CI38/CH39-1)*100</f>
        <v>0.52925822128857547</v>
      </c>
      <c r="CJ49" s="1469">
        <f>((CI38+3*CJ38)/CH39-1)*100</f>
        <v>0.69654419858962147</v>
      </c>
      <c r="CK49" s="1469">
        <f>((CI38+CJ38+2*CK38)/CH39-1)*100</f>
        <v>0.7926855648545672</v>
      </c>
      <c r="CL49" s="1532"/>
      <c r="CM49" s="1469">
        <f>(4*CM38/CL39-1)*100</f>
        <v>1.0062509528891539</v>
      </c>
      <c r="CN49" s="1469">
        <f>((CM38+3*CN38)/CL39-1)*100</f>
        <v>1.5036590943741324</v>
      </c>
      <c r="CO49" s="1469">
        <f>((CM38+CN38+2*CO38)/CL39-1)*100</f>
        <v>1.6570742491233359</v>
      </c>
      <c r="CP49" s="1532"/>
      <c r="CQ49" s="1469">
        <f>(4*CQ38/CP39-1)*100</f>
        <v>0.66693225224381258</v>
      </c>
      <c r="CR49" s="1469">
        <f>((CQ38+3*CR38)/CP39-1)*100</f>
        <v>0.98750966653387007</v>
      </c>
      <c r="CS49" s="1469">
        <f>((CQ38+CR38+2*CS38)/CP39-1)*100</f>
        <v>1.0896820003280627</v>
      </c>
      <c r="CT49" s="1532"/>
      <c r="CU49" s="1469">
        <f>(4*CU38/CT39-1)*100</f>
        <v>0.84682362537540357</v>
      </c>
      <c r="CV49" s="1469">
        <f>((CU38+3*CV38)/CT39-1)*100</f>
        <v>1.2476897492862848</v>
      </c>
      <c r="CW49" s="1469">
        <f>((CU38+CV38+2*CW38)/CT39-1)*100</f>
        <v>1.5163502255313599</v>
      </c>
      <c r="CX49" s="1532"/>
      <c r="CY49" s="1469">
        <f>(4*CY38/CX39-1)*100</f>
        <v>1.182350226517781</v>
      </c>
      <c r="CZ49" s="1469">
        <f>((CY38+3*CZ38)/CX39-1)*100</f>
        <v>1.4707199246633662</v>
      </c>
      <c r="DA49" s="1469">
        <f>((CY38+CZ38+2*DA38)/CX39-1)*100</f>
        <v>1.6636969266623947</v>
      </c>
      <c r="DB49" s="1532"/>
    </row>
    <row r="50" spans="1:106">
      <c r="C50" s="1460"/>
      <c r="D50" s="872"/>
      <c r="E50" s="1467" t="s">
        <v>568</v>
      </c>
      <c r="F50" s="872"/>
      <c r="G50" s="919"/>
      <c r="H50" s="919"/>
      <c r="I50" s="919"/>
      <c r="J50" s="919"/>
      <c r="K50" s="1531"/>
      <c r="L50" s="926">
        <f>(4*L38/(K38+3*L38)-1)*100</f>
        <v>0.16313213703100793</v>
      </c>
      <c r="M50" s="926">
        <f>(4*M38/(K38+L38+2*M38)-1)*100</f>
        <v>0.39403803323625475</v>
      </c>
      <c r="N50" s="926">
        <f>+(4*N38/N39-1)*100</f>
        <v>0.47834012307166329</v>
      </c>
      <c r="O50" s="1531"/>
      <c r="P50" s="926">
        <f>(4*P38/(O38+3*P38)-1)*100</f>
        <v>0.19425441295350954</v>
      </c>
      <c r="Q50" s="926">
        <f>(4*Q38/(O38+P38+2*Q38)-1)*100</f>
        <v>0.49918806760089751</v>
      </c>
      <c r="R50" s="926">
        <f>+(4*R38/R39-1)*100</f>
        <v>0.74935850825377237</v>
      </c>
      <c r="S50" s="1531"/>
      <c r="T50" s="926">
        <f>(4*T38/(S38+3*T38)-1)*100</f>
        <v>0.25728081202054387</v>
      </c>
      <c r="U50" s="926">
        <f>(4*U38/(S38+T38+2*U38)-1)*100</f>
        <v>0.62270290516655002</v>
      </c>
      <c r="V50" s="926">
        <f>+(4*V38/V39-1)*100</f>
        <v>0.74354879283011766</v>
      </c>
      <c r="W50" s="1531"/>
      <c r="X50" s="926">
        <f>(4*X38/(W38+3*X38)-1)*100</f>
        <v>0.12662399611456099</v>
      </c>
      <c r="Y50" s="926">
        <f>(4*Y38/(W38+X38+2*Y38)-1)*100</f>
        <v>0.49254273024210704</v>
      </c>
      <c r="Z50" s="926">
        <f>+(4*Z38/Z39-1)*100</f>
        <v>0.85615650172614632</v>
      </c>
      <c r="AA50" s="1531"/>
      <c r="AB50" s="926">
        <f>(4*AB38/(AA38+3*AB38)-1)*100</f>
        <v>0.16824123204348673</v>
      </c>
      <c r="AC50" s="926">
        <f>(4*AC38/(AA38+AB38+2*AC38)-1)*100</f>
        <v>0.59668211130221582</v>
      </c>
      <c r="AD50" s="926">
        <f>+(4*AD38/AD39-1)*100</f>
        <v>1.276181851721403</v>
      </c>
      <c r="AE50" s="1531"/>
      <c r="AF50" s="926">
        <f>(4*AF38/(AE38+3*AF38)-1)*100</f>
        <v>-3.7508549742959474E-2</v>
      </c>
      <c r="AG50" s="926">
        <f>(4*AG38/(AE38+AF38+2*AG38)-1)*100</f>
        <v>-0.28200165883329742</v>
      </c>
      <c r="AH50" s="926">
        <f>+(4*AH38/AH39-1)*100</f>
        <v>-0.59614415950315358</v>
      </c>
      <c r="AI50" s="1531"/>
      <c r="AJ50" s="926">
        <f>(4*AJ38/(AI38+3*AJ38)-1)*100</f>
        <v>8.9606726035729167E-2</v>
      </c>
      <c r="AK50" s="926">
        <f>(4*AK38/(AI38+AJ38+2*AK38)-1)*100</f>
        <v>0.32337457370843481</v>
      </c>
      <c r="AL50" s="926">
        <f>+(4*AL38/AL39-1)*100</f>
        <v>0.59433889446347532</v>
      </c>
      <c r="AM50" s="1531"/>
      <c r="AN50" s="926">
        <f>(4*AN38/(AM38+3*AN38)-1)*100</f>
        <v>-4.402668016818545E-2</v>
      </c>
      <c r="AO50" s="926">
        <f>(4*AO38/(AM38+AN38+2*AO38)-1)*100</f>
        <v>6.596741209841106E-2</v>
      </c>
      <c r="AP50" s="926">
        <f>+(4*AP38/AP39-1)*100</f>
        <v>0.73718159678799466</v>
      </c>
      <c r="AQ50" s="1531"/>
      <c r="AR50" s="926">
        <f>(4*AR38/(AQ38+3*AR38)-1)*100</f>
        <v>3.4622292428543311E-2</v>
      </c>
      <c r="AS50" s="926">
        <f>(4*AS38/(AQ38+AR38+2*AS38)-1)*100</f>
        <v>7.6785810847335156E-2</v>
      </c>
      <c r="AT50" s="926">
        <f>+(4*AT38/AT39-1)*100</f>
        <v>0.43963403437139448</v>
      </c>
      <c r="AU50" s="1531"/>
      <c r="AV50" s="926">
        <f>(4*AV38/(AU38+3*AV38)-1)*100</f>
        <v>6.5417654187260865E-2</v>
      </c>
      <c r="AW50" s="926">
        <f>(4*AW38/(AU38+AV38+2*AW38)-1)*100</f>
        <v>0.40080802898643242</v>
      </c>
      <c r="AX50" s="926">
        <f>+(4*AX38/AX39-1)*100</f>
        <v>0.94738189732428424</v>
      </c>
      <c r="AY50" s="1531"/>
      <c r="AZ50" s="926">
        <f>(4*AZ38/(AY38+3*AZ38)-1)*100</f>
        <v>3.1596907715969458E-2</v>
      </c>
      <c r="BA50" s="926">
        <f>(4*BA38/(AY38+AZ38+2*BA38)-1)*100</f>
        <v>8.631760668647015E-2</v>
      </c>
      <c r="BB50" s="926">
        <f>+(4*BB38/BB39-1)*100</f>
        <v>0.44421547341806367</v>
      </c>
      <c r="BC50" s="1531"/>
      <c r="BD50" s="926">
        <f>(4*BD38/(BC38+3*BD38)-1)*100</f>
        <v>0.1196934603845623</v>
      </c>
      <c r="BE50" s="926">
        <f>(4*BE38/(BC38+BD38+2*BE38)-1)*100</f>
        <v>0.36955297012049027</v>
      </c>
      <c r="BF50" s="926">
        <f>+(4*BF38/BF39-1)*100</f>
        <v>0.75158472878942284</v>
      </c>
      <c r="BG50" s="1531"/>
      <c r="BH50" s="926">
        <f>(4*BH38/(BG38+3*BH38)-1)*100</f>
        <v>8.1468250153071686E-2</v>
      </c>
      <c r="BI50" s="926">
        <f>(4*BI38/(BG38+BH38+2*BI38)-1)*100</f>
        <v>2.5320686494634259E-3</v>
      </c>
      <c r="BJ50" s="926">
        <f>+(4*BJ38/BJ39-1)*100</f>
        <v>-0.71320883059131646</v>
      </c>
      <c r="BK50" s="1531"/>
      <c r="BL50" s="926">
        <f>(4*BL38/(BK38+3*BL38)-1)*100</f>
        <v>0.19567477222233176</v>
      </c>
      <c r="BM50" s="926">
        <f>(4*BM38/(BK38+BL38+2*BM38)-1)*100</f>
        <v>0.82435388479300542</v>
      </c>
      <c r="BN50" s="926">
        <f>+(4*BN38/BN39-1)*100</f>
        <v>1.5738645547114904</v>
      </c>
      <c r="BO50" s="1531"/>
      <c r="BP50" s="926">
        <f>(4*BP38/(BO38+3*BP38)-1)*100</f>
        <v>7.3858880299382257E-2</v>
      </c>
      <c r="BQ50" s="926">
        <f>(4*BQ38/(BO38+BP38+2*BQ38)-1)*100</f>
        <v>5.4173848805705305E-2</v>
      </c>
      <c r="BR50" s="926">
        <f>+(4*BR38/BR39-1)*100</f>
        <v>0.48195141142914899</v>
      </c>
      <c r="BS50" s="1531"/>
      <c r="BT50" s="926">
        <f>(4*BT38/(BS38+3*BT38)-1)*100</f>
        <v>-2.4562661806504238E-3</v>
      </c>
      <c r="BU50" s="926">
        <f>(4*BU38/(BS38+BT38+2*BU38)-1)*100</f>
        <v>0.15744015067169492</v>
      </c>
      <c r="BV50" s="926">
        <f>+(4*BV38/BV39-1)*100</f>
        <v>0.15744015067169492</v>
      </c>
      <c r="BW50" s="1531"/>
      <c r="BX50" s="926">
        <f>(4*BX38/(BW38+3*BX38)-1)*100</f>
        <v>-8.7888050154805164E-3</v>
      </c>
      <c r="BY50" s="926">
        <f>(4*BY38/(BW38+BX38+2*BY38)-1)*100</f>
        <v>0.12190721398128712</v>
      </c>
      <c r="BZ50" s="926">
        <f>+(4*BZ38/BZ39-1)*100</f>
        <v>0.35277149762220628</v>
      </c>
      <c r="CA50" s="1531"/>
      <c r="CB50" s="926">
        <f>(4*CB38/(CA38+3*CB38)-1)*100</f>
        <v>5.9576570423880426E-2</v>
      </c>
      <c r="CC50" s="926">
        <f>(4*CC38/(CA38+CB38+2*CC38)-1)*100</f>
        <v>0.23739876707362662</v>
      </c>
      <c r="CD50" s="926">
        <f>+(4*CD38/CD39-1)*100</f>
        <v>0.14896210171984059</v>
      </c>
      <c r="CE50" s="1531"/>
      <c r="CF50" s="926">
        <f>(4*CF38/(CE38+3*CF38)-1)*100</f>
        <v>7.2273482859097626E-3</v>
      </c>
      <c r="CG50" s="926">
        <f>(4*CG38/(CE38+CF38+2*CG38)-1)*100</f>
        <v>0.11983886725799309</v>
      </c>
      <c r="CH50" s="926">
        <f>+(4*CH38/CH39-1)*100</f>
        <v>0.47734188350552209</v>
      </c>
      <c r="CI50" s="1531"/>
      <c r="CJ50" s="926">
        <f>(4*CJ38/(CI38+3*CJ38)-1)*100</f>
        <v>5.5376272222118494E-2</v>
      </c>
      <c r="CK50" s="926">
        <f>(4*CK38/(CI38+CJ38+2*CK38)-1)*100</f>
        <v>0.15070871248974438</v>
      </c>
      <c r="CL50" s="926">
        <f>+(4*CL38/CL39-1)*100</f>
        <v>0.45357524012805683</v>
      </c>
      <c r="CM50" s="1531"/>
      <c r="CN50" s="926">
        <f>(4*CN38/(CM38+3*CN38)-1)*100</f>
        <v>0.16334653874316984</v>
      </c>
      <c r="CO50" s="926">
        <f>(4*CO38/(CM38+CN38+2*CO38)-1)*100</f>
        <v>0.31401441654248519</v>
      </c>
      <c r="CP50" s="926">
        <f>+(4*CP38/CP39-1)*100</f>
        <v>0.31260984697583094</v>
      </c>
      <c r="CQ50" s="1531"/>
      <c r="CR50" s="926">
        <f>(4*CR38/(CQ38+3*CR38)-1)*100</f>
        <v>0.10581421251949497</v>
      </c>
      <c r="CS50" s="926">
        <f>(4*CS38/(CQ38+CR38+2*CS38)-1)*100</f>
        <v>0.20677824655754851</v>
      </c>
      <c r="CT50" s="926">
        <f>+(4*CT38/CT39-1)*100</f>
        <v>0.31515331281748438</v>
      </c>
      <c r="CU50" s="1531"/>
      <c r="CV50" s="926">
        <f>(4*CV38/(CU38+3*CV38)-1)*100</f>
        <v>0.13197539779377099</v>
      </c>
      <c r="CW50" s="926">
        <f>(4*CW38/(CU38+CV38+2*CW38)-1)*100</f>
        <v>0.39627362159393442</v>
      </c>
      <c r="CX50" s="926">
        <f>+(4*CX38/CX39-1)*100</f>
        <v>0.79429220154185742</v>
      </c>
      <c r="CY50" s="1531"/>
      <c r="CZ50" s="926">
        <f>(4*CZ38/(CY38+3*CZ38)-1)*100</f>
        <v>9.4730019444577707E-2</v>
      </c>
      <c r="DA50" s="926">
        <f>(4*DA38/(CY38+CZ38+2*DA38)-1)*100</f>
        <v>0.28436919318677312</v>
      </c>
      <c r="DB50" s="926">
        <f>+(4*DB38/DB39-1)*100</f>
        <v>0.56963695140515025</v>
      </c>
    </row>
    <row r="51" spans="1:106" s="927" customFormat="1" ht="30" customHeight="1">
      <c r="A51" s="714"/>
      <c r="B51" s="714"/>
      <c r="C51" s="716"/>
      <c r="D51" s="1082"/>
      <c r="E51" s="1461"/>
      <c r="F51" s="1082"/>
      <c r="G51" s="1085"/>
      <c r="J51" s="1085"/>
      <c r="K51" s="1085"/>
      <c r="L51" s="1085"/>
      <c r="M51" s="1085"/>
      <c r="N51" s="1085"/>
      <c r="O51" s="1085"/>
      <c r="P51" s="1085"/>
      <c r="Q51" s="1085"/>
      <c r="R51" s="1085"/>
      <c r="S51" s="1085"/>
      <c r="T51" s="1085"/>
      <c r="U51" s="1085"/>
      <c r="V51" s="1085"/>
      <c r="W51" s="1085"/>
      <c r="X51" s="1085"/>
      <c r="Y51" s="1085"/>
      <c r="Z51" s="1085"/>
      <c r="AA51" s="1085"/>
      <c r="AB51" s="1085"/>
      <c r="AC51" s="1085"/>
      <c r="AD51" s="1085"/>
      <c r="AE51" s="1085"/>
      <c r="AF51" s="1085"/>
      <c r="AG51" s="1085"/>
      <c r="AH51" s="1085"/>
      <c r="AI51" s="1085"/>
      <c r="AJ51" s="1085"/>
      <c r="AK51" s="1085"/>
      <c r="AL51" s="1085"/>
      <c r="AM51" s="1085"/>
      <c r="AN51" s="1085"/>
      <c r="AO51" s="1085"/>
      <c r="AP51" s="1085"/>
      <c r="AQ51" s="1085"/>
      <c r="AR51" s="1085"/>
      <c r="AS51" s="1085"/>
      <c r="AT51" s="1085"/>
      <c r="AU51" s="1085"/>
      <c r="AV51" s="1085"/>
      <c r="AW51" s="1085"/>
      <c r="AX51" s="1085"/>
      <c r="AY51" s="1463"/>
      <c r="AZ51" s="1085"/>
      <c r="BA51" s="1463"/>
      <c r="BB51" s="1463"/>
      <c r="BC51" s="1463"/>
      <c r="BD51" s="1463"/>
      <c r="BE51" s="1463"/>
      <c r="BF51" s="1463"/>
      <c r="BG51" s="1463"/>
      <c r="BH51" s="1463"/>
      <c r="BI51" s="1463"/>
      <c r="BJ51" s="1463"/>
      <c r="BK51" s="1463"/>
      <c r="BL51" s="1463"/>
      <c r="BM51" s="1463"/>
      <c r="BN51" s="1463"/>
    </row>
    <row r="52" spans="1:106" s="927" customFormat="1" ht="30" customHeight="1">
      <c r="A52" s="714"/>
      <c r="B52" s="714"/>
      <c r="C52" s="716"/>
      <c r="D52" s="1082"/>
      <c r="E52" s="1461"/>
      <c r="F52" s="1082"/>
      <c r="G52" s="1085"/>
      <c r="M52" s="1462"/>
      <c r="N52" s="1462"/>
      <c r="Q52" s="1462"/>
      <c r="R52" s="1462"/>
      <c r="U52" s="1462"/>
      <c r="V52" s="1462"/>
      <c r="Y52" s="1462"/>
      <c r="Z52" s="1462"/>
      <c r="AC52" s="1462"/>
      <c r="AD52" s="1462"/>
      <c r="AG52" s="1462"/>
      <c r="AH52" s="1462"/>
      <c r="AK52" s="1462"/>
      <c r="AL52" s="1462"/>
      <c r="AO52" s="1462"/>
      <c r="AP52" s="1462"/>
      <c r="AS52" s="1462"/>
      <c r="AT52" s="1462"/>
      <c r="AW52" s="1462"/>
      <c r="AX52" s="1462"/>
      <c r="AY52" s="1463"/>
      <c r="BA52" s="1463"/>
      <c r="BB52" s="1463"/>
      <c r="BC52" s="1463"/>
      <c r="BD52" s="1463"/>
      <c r="BE52" s="1463"/>
      <c r="BF52" s="1463"/>
      <c r="BG52" s="1463"/>
      <c r="BH52" s="1463"/>
      <c r="BI52" s="1463"/>
      <c r="BJ52" s="1463"/>
      <c r="BK52" s="1463"/>
      <c r="BL52" s="1463"/>
      <c r="BM52" s="1463"/>
      <c r="BN52" s="1463"/>
      <c r="CD52" s="3802"/>
      <c r="CE52" s="3802"/>
      <c r="CF52" s="3802"/>
      <c r="CG52" s="3802"/>
      <c r="CH52" s="3802"/>
      <c r="CI52" s="3802"/>
      <c r="CJ52" s="3802"/>
      <c r="CK52" s="3802"/>
      <c r="CL52" s="3802"/>
      <c r="CM52" s="3802"/>
      <c r="CN52" s="3802"/>
      <c r="CO52" s="3802"/>
      <c r="CP52" s="3802"/>
      <c r="CQ52" s="3802"/>
      <c r="CR52" s="3802"/>
      <c r="CS52" s="3802"/>
    </row>
    <row r="53" spans="1:106" ht="30" customHeight="1">
      <c r="C53" s="4124" t="s">
        <v>674</v>
      </c>
      <c r="D53" s="4124"/>
      <c r="E53" s="4124"/>
      <c r="F53" s="4124"/>
    </row>
    <row r="54" spans="1:106">
      <c r="C54" s="715"/>
      <c r="D54" s="715"/>
      <c r="E54" s="715"/>
      <c r="F54" s="715"/>
      <c r="CD54" s="2930"/>
      <c r="CE54" s="2930"/>
      <c r="CF54" s="2930"/>
      <c r="CG54" s="2930"/>
      <c r="CH54" s="2930"/>
      <c r="CI54" s="2930"/>
      <c r="CJ54" s="2930"/>
      <c r="CK54" s="2930"/>
      <c r="CL54" s="2930"/>
      <c r="CM54" s="2930"/>
      <c r="CN54" s="2930"/>
      <c r="CO54" s="2930"/>
      <c r="CP54" s="2930"/>
      <c r="CQ54" s="2930"/>
      <c r="CR54" s="2930"/>
      <c r="CS54" s="2930"/>
    </row>
    <row r="55" spans="1:106">
      <c r="G55" s="4122">
        <f ca="1">OFFSET(InputY!$G$3,0,(COLUMN()-7)/4)</f>
        <v>1995</v>
      </c>
      <c r="H55" s="4123"/>
      <c r="I55" s="4123"/>
      <c r="J55" s="4123"/>
      <c r="K55" s="4117">
        <f ca="1">OFFSET(InputY!$G$3,0,(COLUMN()-7)/4)</f>
        <v>1996</v>
      </c>
      <c r="L55" s="4118"/>
      <c r="M55" s="4118"/>
      <c r="N55" s="4119"/>
      <c r="O55" s="4117">
        <f ca="1">OFFSET(InputY!$G$3,0,(COLUMN()-7)/4)</f>
        <v>1997</v>
      </c>
      <c r="P55" s="4118"/>
      <c r="Q55" s="4118"/>
      <c r="R55" s="4119"/>
      <c r="S55" s="4117">
        <f ca="1">OFFSET(InputY!$G$3,0,(COLUMN()-7)/4)</f>
        <v>1998</v>
      </c>
      <c r="T55" s="4118"/>
      <c r="U55" s="4118"/>
      <c r="V55" s="4119"/>
      <c r="W55" s="4117">
        <f ca="1">OFFSET(InputY!$G$3,0,(COLUMN()-7)/4)</f>
        <v>1999</v>
      </c>
      <c r="X55" s="4118"/>
      <c r="Y55" s="4118"/>
      <c r="Z55" s="4119"/>
      <c r="AA55" s="4117">
        <f ca="1">OFFSET(InputY!$G$3,0,(COLUMN()-7)/4)</f>
        <v>2000</v>
      </c>
      <c r="AB55" s="4118"/>
      <c r="AC55" s="4118"/>
      <c r="AD55" s="4119"/>
      <c r="AE55" s="4117">
        <f ca="1">OFFSET(InputY!$G$3,0,(COLUMN()-7)/4)</f>
        <v>2001</v>
      </c>
      <c r="AF55" s="4118"/>
      <c r="AG55" s="4118"/>
      <c r="AH55" s="4119"/>
      <c r="AI55" s="4117">
        <f ca="1">OFFSET(InputY!$G$3,0,(COLUMN()-7)/4)</f>
        <v>2002</v>
      </c>
      <c r="AJ55" s="4118"/>
      <c r="AK55" s="4118"/>
      <c r="AL55" s="4119"/>
      <c r="AM55" s="4117">
        <f ca="1">OFFSET(InputY!$G$3,0,(COLUMN()-7)/4)</f>
        <v>2003</v>
      </c>
      <c r="AN55" s="4118"/>
      <c r="AO55" s="4118"/>
      <c r="AP55" s="4119"/>
      <c r="AQ55" s="4117">
        <f ca="1">OFFSET(InputY!$G$3,0,(COLUMN()-7)/4)</f>
        <v>2004</v>
      </c>
      <c r="AR55" s="4118"/>
      <c r="AS55" s="4118"/>
      <c r="AT55" s="4119"/>
      <c r="AU55" s="4117">
        <f ca="1">OFFSET(InputY!$G$3,0,(COLUMN()-7)/4)</f>
        <v>2005</v>
      </c>
      <c r="AV55" s="4118"/>
      <c r="AW55" s="4118"/>
      <c r="AX55" s="4119"/>
      <c r="AY55" s="4117">
        <f ca="1">OFFSET(InputY!$G$3,0,(COLUMN()-7)/4)</f>
        <v>2006</v>
      </c>
      <c r="AZ55" s="4118"/>
      <c r="BA55" s="4118"/>
      <c r="BB55" s="4119"/>
      <c r="BC55" s="4117">
        <f ca="1">OFFSET(InputY!$G$3,0,(COLUMN()-7)/4)</f>
        <v>2007</v>
      </c>
      <c r="BD55" s="4118"/>
      <c r="BE55" s="4118"/>
      <c r="BF55" s="4119"/>
      <c r="BG55" s="4117">
        <f ca="1">OFFSET(InputY!$G$3,0,(COLUMN()-7)/4)</f>
        <v>2008</v>
      </c>
      <c r="BH55" s="4118"/>
      <c r="BI55" s="4118"/>
      <c r="BJ55" s="4119"/>
      <c r="BK55" s="4117">
        <f ca="1">OFFSET(InputY!$G$3,0,(COLUMN()-7)/4)</f>
        <v>2009</v>
      </c>
      <c r="BL55" s="4118"/>
      <c r="BM55" s="4118"/>
      <c r="BN55" s="4119"/>
      <c r="BO55" s="4117">
        <f ca="1">OFFSET(InputY!$G$3,0,(COLUMN()-7)/4)</f>
        <v>2010</v>
      </c>
      <c r="BP55" s="4118"/>
      <c r="BQ55" s="4118"/>
      <c r="BR55" s="4119"/>
      <c r="BS55" s="4117">
        <f ca="1">OFFSET(InputY!$G$3,0,(COLUMN()-7)/4)</f>
        <v>2011</v>
      </c>
      <c r="BT55" s="4118"/>
      <c r="BU55" s="4118"/>
      <c r="BV55" s="4119"/>
      <c r="BW55" s="4117">
        <f ca="1">OFFSET(InputY!$G$3,0,(COLUMN()-7)/4)</f>
        <v>2012</v>
      </c>
      <c r="BX55" s="4118"/>
      <c r="BY55" s="4118"/>
      <c r="BZ55" s="4119"/>
      <c r="CA55" s="4117">
        <f ca="1">OFFSET(InputY!$G$3,0,(COLUMN()-7)/4)</f>
        <v>2013</v>
      </c>
      <c r="CB55" s="4118"/>
      <c r="CC55" s="4118"/>
      <c r="CD55" s="4119"/>
      <c r="CE55" s="4117">
        <f ca="1">OFFSET(InputY!$G$3,0,(COLUMN()-7)/4)</f>
        <v>2014</v>
      </c>
      <c r="CF55" s="4118"/>
      <c r="CG55" s="4118"/>
      <c r="CH55" s="4119"/>
      <c r="CI55" s="4117">
        <f ca="1">OFFSET(InputY!$G$3,0,(COLUMN()-7)/4)</f>
        <v>2015</v>
      </c>
      <c r="CJ55" s="4118"/>
      <c r="CK55" s="4118"/>
      <c r="CL55" s="4119"/>
      <c r="CM55" s="4117">
        <f ca="1">OFFSET(InputY!$G$3,0,(COLUMN()-7)/4)</f>
        <v>2016</v>
      </c>
      <c r="CN55" s="4118"/>
      <c r="CO55" s="4118"/>
      <c r="CP55" s="4119"/>
      <c r="CQ55" s="4117">
        <f ca="1">OFFSET(InputY!$G$3,0,(COLUMN()-7)/4)</f>
        <v>2017</v>
      </c>
      <c r="CR55" s="4118"/>
      <c r="CS55" s="4118"/>
      <c r="CT55" s="4119"/>
      <c r="CU55" s="4117">
        <f ca="1">OFFSET(InputY!$G$3,0,(COLUMN()-7)/4)</f>
        <v>2018</v>
      </c>
      <c r="CV55" s="4118"/>
      <c r="CW55" s="4118"/>
      <c r="CX55" s="4119"/>
      <c r="CY55" s="4117">
        <f ca="1">OFFSET(InputY!$G$3,0,(COLUMN()-7)/4)</f>
        <v>2019</v>
      </c>
      <c r="CZ55" s="4118"/>
      <c r="DA55" s="4118"/>
      <c r="DB55" s="4119"/>
    </row>
    <row r="56" spans="1:106" s="749" customFormat="1" ht="12.75" customHeight="1">
      <c r="A56" s="714"/>
      <c r="B56" s="714"/>
      <c r="C56" s="716"/>
      <c r="D56" s="745"/>
      <c r="E56" s="746" t="s">
        <v>719</v>
      </c>
      <c r="F56" s="747"/>
      <c r="G56" s="1472" t="s">
        <v>364</v>
      </c>
      <c r="H56" s="1473" t="s">
        <v>671</v>
      </c>
      <c r="I56" s="1473" t="s">
        <v>672</v>
      </c>
      <c r="J56" s="1474" t="s">
        <v>673</v>
      </c>
      <c r="K56" s="1472" t="s">
        <v>364</v>
      </c>
      <c r="L56" s="1473" t="s">
        <v>671</v>
      </c>
      <c r="M56" s="1473" t="s">
        <v>672</v>
      </c>
      <c r="N56" s="1474" t="s">
        <v>673</v>
      </c>
      <c r="O56" s="1472" t="s">
        <v>364</v>
      </c>
      <c r="P56" s="1473" t="s">
        <v>671</v>
      </c>
      <c r="Q56" s="1473" t="s">
        <v>672</v>
      </c>
      <c r="R56" s="1474" t="s">
        <v>673</v>
      </c>
      <c r="S56" s="1472" t="s">
        <v>364</v>
      </c>
      <c r="T56" s="1473" t="s">
        <v>671</v>
      </c>
      <c r="U56" s="1473" t="s">
        <v>672</v>
      </c>
      <c r="V56" s="1474" t="s">
        <v>673</v>
      </c>
      <c r="W56" s="1472" t="s">
        <v>364</v>
      </c>
      <c r="X56" s="1473" t="s">
        <v>671</v>
      </c>
      <c r="Y56" s="1473" t="s">
        <v>672</v>
      </c>
      <c r="Z56" s="1474" t="s">
        <v>673</v>
      </c>
      <c r="AA56" s="1472" t="s">
        <v>364</v>
      </c>
      <c r="AB56" s="1473" t="s">
        <v>671</v>
      </c>
      <c r="AC56" s="1473" t="s">
        <v>672</v>
      </c>
      <c r="AD56" s="1474" t="s">
        <v>673</v>
      </c>
      <c r="AE56" s="1472" t="s">
        <v>364</v>
      </c>
      <c r="AF56" s="1473" t="s">
        <v>671</v>
      </c>
      <c r="AG56" s="1473" t="s">
        <v>672</v>
      </c>
      <c r="AH56" s="1474" t="s">
        <v>673</v>
      </c>
      <c r="AI56" s="1472" t="s">
        <v>364</v>
      </c>
      <c r="AJ56" s="1473" t="s">
        <v>671</v>
      </c>
      <c r="AK56" s="1473" t="s">
        <v>672</v>
      </c>
      <c r="AL56" s="1474" t="s">
        <v>673</v>
      </c>
      <c r="AM56" s="1472" t="s">
        <v>364</v>
      </c>
      <c r="AN56" s="1473" t="s">
        <v>671</v>
      </c>
      <c r="AO56" s="1473" t="s">
        <v>672</v>
      </c>
      <c r="AP56" s="1474" t="s">
        <v>673</v>
      </c>
      <c r="AQ56" s="1472" t="s">
        <v>364</v>
      </c>
      <c r="AR56" s="1473" t="s">
        <v>671</v>
      </c>
      <c r="AS56" s="1473" t="s">
        <v>672</v>
      </c>
      <c r="AT56" s="1474" t="s">
        <v>673</v>
      </c>
      <c r="AU56" s="1472" t="s">
        <v>364</v>
      </c>
      <c r="AV56" s="1473" t="s">
        <v>671</v>
      </c>
      <c r="AW56" s="1473" t="s">
        <v>672</v>
      </c>
      <c r="AX56" s="1474" t="s">
        <v>673</v>
      </c>
      <c r="AY56" s="1472" t="s">
        <v>364</v>
      </c>
      <c r="AZ56" s="1473" t="s">
        <v>671</v>
      </c>
      <c r="BA56" s="1473" t="s">
        <v>672</v>
      </c>
      <c r="BB56" s="1474" t="s">
        <v>673</v>
      </c>
      <c r="BC56" s="1472" t="s">
        <v>364</v>
      </c>
      <c r="BD56" s="1473" t="s">
        <v>671</v>
      </c>
      <c r="BE56" s="1473" t="s">
        <v>672</v>
      </c>
      <c r="BF56" s="1474" t="s">
        <v>673</v>
      </c>
      <c r="BG56" s="1472" t="s">
        <v>364</v>
      </c>
      <c r="BH56" s="1473" t="s">
        <v>671</v>
      </c>
      <c r="BI56" s="1473" t="s">
        <v>672</v>
      </c>
      <c r="BJ56" s="1474" t="s">
        <v>673</v>
      </c>
      <c r="BK56" s="1472" t="s">
        <v>364</v>
      </c>
      <c r="BL56" s="1473" t="s">
        <v>671</v>
      </c>
      <c r="BM56" s="1473" t="s">
        <v>672</v>
      </c>
      <c r="BN56" s="1474" t="s">
        <v>673</v>
      </c>
      <c r="BO56" s="1472" t="s">
        <v>364</v>
      </c>
      <c r="BP56" s="1473" t="s">
        <v>671</v>
      </c>
      <c r="BQ56" s="1473" t="s">
        <v>672</v>
      </c>
      <c r="BR56" s="1474" t="s">
        <v>673</v>
      </c>
      <c r="BS56" s="1472" t="s">
        <v>364</v>
      </c>
      <c r="BT56" s="1473" t="s">
        <v>671</v>
      </c>
      <c r="BU56" s="1473" t="s">
        <v>672</v>
      </c>
      <c r="BV56" s="1474" t="s">
        <v>673</v>
      </c>
      <c r="BW56" s="1472" t="s">
        <v>364</v>
      </c>
      <c r="BX56" s="1473" t="s">
        <v>671</v>
      </c>
      <c r="BY56" s="1473" t="s">
        <v>672</v>
      </c>
      <c r="BZ56" s="1474" t="s">
        <v>673</v>
      </c>
      <c r="CA56" s="1472" t="s">
        <v>364</v>
      </c>
      <c r="CB56" s="1473" t="s">
        <v>671</v>
      </c>
      <c r="CC56" s="1473" t="s">
        <v>672</v>
      </c>
      <c r="CD56" s="1474" t="s">
        <v>673</v>
      </c>
      <c r="CE56" s="1472" t="s">
        <v>364</v>
      </c>
      <c r="CF56" s="1473" t="s">
        <v>671</v>
      </c>
      <c r="CG56" s="1473" t="s">
        <v>672</v>
      </c>
      <c r="CH56" s="1474" t="s">
        <v>673</v>
      </c>
      <c r="CI56" s="1472" t="s">
        <v>364</v>
      </c>
      <c r="CJ56" s="1473" t="s">
        <v>671</v>
      </c>
      <c r="CK56" s="1473" t="s">
        <v>672</v>
      </c>
      <c r="CL56" s="1474" t="s">
        <v>673</v>
      </c>
      <c r="CM56" s="1472" t="s">
        <v>364</v>
      </c>
      <c r="CN56" s="1473" t="s">
        <v>671</v>
      </c>
      <c r="CO56" s="1473" t="s">
        <v>672</v>
      </c>
      <c r="CP56" s="1474" t="s">
        <v>673</v>
      </c>
      <c r="CQ56" s="1472" t="s">
        <v>364</v>
      </c>
      <c r="CR56" s="1473" t="s">
        <v>671</v>
      </c>
      <c r="CS56" s="1473" t="s">
        <v>672</v>
      </c>
      <c r="CT56" s="1474" t="s">
        <v>673</v>
      </c>
      <c r="CU56" s="1472" t="s">
        <v>364</v>
      </c>
      <c r="CV56" s="1473" t="s">
        <v>671</v>
      </c>
      <c r="CW56" s="1473" t="s">
        <v>672</v>
      </c>
      <c r="CX56" s="1474" t="s">
        <v>673</v>
      </c>
      <c r="CY56" s="1472" t="s">
        <v>364</v>
      </c>
      <c r="CZ56" s="1473" t="s">
        <v>671</v>
      </c>
      <c r="DA56" s="1473" t="s">
        <v>672</v>
      </c>
      <c r="DB56" s="1474" t="s">
        <v>673</v>
      </c>
    </row>
    <row r="57" spans="1:106" s="749" customFormat="1" ht="12.75" customHeight="1">
      <c r="A57" s="714" t="str">
        <f>"Q" &amp; ROW(InputQ!A6)</f>
        <v>Q6</v>
      </c>
      <c r="C57" s="717"/>
      <c r="D57" s="718"/>
      <c r="E57" s="750" t="s">
        <v>75</v>
      </c>
      <c r="F57" s="751"/>
      <c r="G57" s="828">
        <f>InputQ!G6/1000</f>
        <v>18.349</v>
      </c>
      <c r="H57" s="828">
        <f>InputQ!H6/1000</f>
        <v>18.431000000000001</v>
      </c>
      <c r="I57" s="828">
        <f>InputQ!I6/1000</f>
        <v>18.507999999999999</v>
      </c>
      <c r="J57" s="828">
        <f>InputQ!J6/1000</f>
        <v>18.591000000000001</v>
      </c>
      <c r="K57" s="828">
        <f>InputQ!K6/1000</f>
        <v>18.643999999999998</v>
      </c>
      <c r="L57" s="828">
        <f>InputQ!L6/1000</f>
        <v>18.709</v>
      </c>
      <c r="M57" s="828">
        <f>InputQ!M6/1000</f>
        <v>18.748000000000001</v>
      </c>
      <c r="N57" s="828">
        <f>InputQ!N6/1000</f>
        <v>18.79</v>
      </c>
      <c r="O57" s="828">
        <f>InputQ!O6/1000</f>
        <v>18.777000000000001</v>
      </c>
      <c r="P57" s="828">
        <f>InputQ!P6/1000</f>
        <v>18.809000000000001</v>
      </c>
      <c r="Q57" s="828">
        <f>InputQ!Q6/1000</f>
        <v>18.859000000000002</v>
      </c>
      <c r="R57" s="828">
        <f>InputQ!R6/1000</f>
        <v>18.928000000000001</v>
      </c>
      <c r="S57" s="828">
        <f>InputQ!S6/1000</f>
        <v>19.033999999999999</v>
      </c>
      <c r="T57" s="828">
        <f>InputQ!T6/1000</f>
        <v>19.138000000000002</v>
      </c>
      <c r="U57" s="828">
        <f>InputQ!U6/1000</f>
        <v>19.239999999999998</v>
      </c>
      <c r="V57" s="828">
        <f>InputQ!V6/1000</f>
        <v>19.353000000000002</v>
      </c>
      <c r="W57" s="828">
        <f>InputQ!W6/1000</f>
        <v>19.481000000000002</v>
      </c>
      <c r="X57" s="828">
        <f>InputQ!X6/1000</f>
        <v>19.617999999999999</v>
      </c>
      <c r="Y57" s="828">
        <f>InputQ!Y6/1000</f>
        <v>19.771999999999998</v>
      </c>
      <c r="Z57" s="828">
        <f>InputQ!Z6/1000</f>
        <v>19.951000000000001</v>
      </c>
      <c r="AA57" s="828">
        <f>InputQ!AA6/1000</f>
        <v>20.135000000000002</v>
      </c>
      <c r="AB57" s="828">
        <f>InputQ!AB6/1000</f>
        <v>20.263000000000002</v>
      </c>
      <c r="AC57" s="828">
        <f>InputQ!AC6/1000</f>
        <v>20.355</v>
      </c>
      <c r="AD57" s="828">
        <f>InputQ!AD6/1000</f>
        <v>20.422000000000001</v>
      </c>
      <c r="AE57" s="828">
        <f>InputQ!AE6/1000</f>
        <v>20.396999999999998</v>
      </c>
      <c r="AF57" s="828">
        <f>InputQ!AF6/1000</f>
        <v>20.433</v>
      </c>
      <c r="AG57" s="828">
        <f>InputQ!AG6/1000</f>
        <v>20.516999999999999</v>
      </c>
      <c r="AH57" s="828">
        <f>InputQ!AH6/1000</f>
        <v>20.640999999999998</v>
      </c>
      <c r="AI57" s="828">
        <f>InputQ!AI6/1000</f>
        <v>20.837</v>
      </c>
      <c r="AJ57" s="828">
        <f>InputQ!AJ6/1000</f>
        <v>21.001999999999999</v>
      </c>
      <c r="AK57" s="828">
        <f>InputQ!AK6/1000</f>
        <v>21.135000000000002</v>
      </c>
      <c r="AL57" s="828">
        <f>InputQ!AL6/1000</f>
        <v>21.201000000000001</v>
      </c>
      <c r="AM57" s="828">
        <f>InputQ!AM6/1000</f>
        <v>21.189</v>
      </c>
      <c r="AN57" s="828">
        <f>InputQ!AN6/1000</f>
        <v>21.268000000000001</v>
      </c>
      <c r="AO57" s="828">
        <f>InputQ!AO6/1000</f>
        <v>21.385999999999999</v>
      </c>
      <c r="AP57" s="828">
        <f>InputQ!AP6/1000</f>
        <v>21.507000000000001</v>
      </c>
      <c r="AQ57" s="828">
        <f>InputQ!AQ6/1000</f>
        <v>21.594999999999999</v>
      </c>
      <c r="AR57" s="828">
        <f>InputQ!AR6/1000</f>
        <v>21.65</v>
      </c>
      <c r="AS57" s="828">
        <f>InputQ!AS6/1000</f>
        <v>21.706</v>
      </c>
      <c r="AT57" s="828">
        <f>InputQ!AT6/1000</f>
        <v>21.76</v>
      </c>
      <c r="AU57" s="828">
        <f>InputQ!AU6/1000</f>
        <v>21.795000000000002</v>
      </c>
      <c r="AV57" s="828">
        <f>InputQ!AV6/1000</f>
        <v>21.812999999999999</v>
      </c>
      <c r="AW57" s="828">
        <f>InputQ!AW6/1000</f>
        <v>21.827000000000002</v>
      </c>
      <c r="AX57" s="828">
        <f>InputQ!AX6/1000</f>
        <v>21.835999999999999</v>
      </c>
      <c r="AY57" s="828">
        <f>InputQ!AY6/1000</f>
        <v>21.891999999999999</v>
      </c>
      <c r="AZ57" s="828">
        <f>InputQ!AZ6/1000</f>
        <v>21.984999999999999</v>
      </c>
      <c r="BA57" s="828">
        <f>InputQ!BA6/1000</f>
        <v>22.064</v>
      </c>
      <c r="BB57" s="828">
        <f>InputQ!BB6/1000</f>
        <v>22.158999999999999</v>
      </c>
      <c r="BC57" s="828">
        <f>InputQ!BC6/1000</f>
        <v>22.244</v>
      </c>
      <c r="BD57" s="828">
        <f>InputQ!BD6/1000</f>
        <v>22.353000000000002</v>
      </c>
      <c r="BE57" s="828">
        <f>InputQ!BE6/1000</f>
        <v>22.512</v>
      </c>
      <c r="BF57" s="828">
        <f>InputQ!BF6/1000</f>
        <v>22.684000000000001</v>
      </c>
      <c r="BG57" s="828">
        <f>InputQ!BG6/1000</f>
        <v>22.849</v>
      </c>
      <c r="BH57" s="828">
        <f>InputQ!BH6/1000</f>
        <v>23.021999999999998</v>
      </c>
      <c r="BI57" s="828">
        <f>InputQ!BI6/1000</f>
        <v>23.173999999999999</v>
      </c>
      <c r="BJ57" s="2956">
        <f>InputQ!BJ6/1000</f>
        <v>23.318000000000001</v>
      </c>
      <c r="BK57" s="2956">
        <f>InputQ!BK6/1000</f>
        <v>23.273</v>
      </c>
      <c r="BL57" s="2956">
        <f>InputQ!BL6/1000</f>
        <v>23.31</v>
      </c>
      <c r="BM57" s="2956">
        <f>InputQ!BM6/1000</f>
        <v>23.367000000000001</v>
      </c>
      <c r="BN57" s="2956">
        <f>InputQ!BN6/1000</f>
        <v>23.446000000000002</v>
      </c>
      <c r="BO57" s="2956">
        <f>InputQ!BO6/1000</f>
        <v>23.533000000000001</v>
      </c>
      <c r="BP57" s="2956">
        <f>InputQ!BP6/1000</f>
        <v>23.553999999999998</v>
      </c>
      <c r="BQ57" s="2956">
        <f>InputQ!BQ6/1000</f>
        <v>23.567</v>
      </c>
      <c r="BR57" s="2956">
        <f>InputQ!BR6/1000</f>
        <v>23.635999999999999</v>
      </c>
      <c r="BS57" s="2956">
        <f>InputQ!BS6/1000</f>
        <v>23.713000000000001</v>
      </c>
      <c r="BT57" s="2956">
        <f>InputQ!BT6/1000</f>
        <v>23.771000000000001</v>
      </c>
      <c r="BU57" s="2956">
        <f>InputQ!BU6/1000</f>
        <v>23.952000000000002</v>
      </c>
      <c r="BV57" s="2956">
        <f>InputQ!BV6/1000</f>
        <v>24.018000000000001</v>
      </c>
      <c r="BW57" s="2956">
        <f>InputQ!BW6/1000</f>
        <v>24.088000000000001</v>
      </c>
      <c r="BX57" s="2956">
        <f>InputQ!BX6/1000</f>
        <v>24.219000000000001</v>
      </c>
      <c r="BY57" s="2956">
        <f>InputQ!BY6/1000</f>
        <v>24.216999999999999</v>
      </c>
      <c r="BZ57" s="2956">
        <f>InputQ!BZ6/1000</f>
        <v>24.276</v>
      </c>
      <c r="CA57" s="2956">
        <f>InputQ!CA6/1000</f>
        <v>24.356000000000002</v>
      </c>
      <c r="CB57" s="2956">
        <f>InputQ!CB6/1000</f>
        <v>24.254999999999999</v>
      </c>
      <c r="CC57" s="2956">
        <f>InputQ!CC6/1000</f>
        <v>24.276</v>
      </c>
      <c r="CD57" s="2956">
        <f>InputQ!CD6/1000</f>
        <v>24.218</v>
      </c>
      <c r="CE57" s="2956">
        <f>InputQ!CE6/1000</f>
        <v>24.283999999999999</v>
      </c>
      <c r="CF57" s="2956">
        <f>InputQ!CF6/1000</f>
        <v>24.353000000000002</v>
      </c>
      <c r="CG57" s="2956">
        <f>InputQ!CG6/1000</f>
        <v>24.521000000000001</v>
      </c>
      <c r="CH57" s="2956">
        <f>InputQ!CH6/1000</f>
        <v>24.588999999999999</v>
      </c>
      <c r="CI57" s="2956">
        <f>InputQ!CI6/1000</f>
        <v>24.55</v>
      </c>
      <c r="CJ57" s="2956">
        <f>InputQ!CJ6/1000</f>
        <v>24.584</v>
      </c>
      <c r="CK57" s="2956">
        <f>InputQ!CK6/1000</f>
        <v>24.497</v>
      </c>
      <c r="CL57" s="2956">
        <f>InputQ!CL6/1000</f>
        <v>24.579000000000001</v>
      </c>
      <c r="CM57" s="2956">
        <f>InputQ!CM6/1000</f>
        <v>24.645</v>
      </c>
      <c r="CN57" s="2956">
        <f>InputQ!CN6/1000</f>
        <v>24.577000000000002</v>
      </c>
      <c r="CO57" s="2956">
        <f>InputQ!CO6/1000</f>
        <v>24.658000000000001</v>
      </c>
      <c r="CP57" s="2956">
        <f>InputQ!CP6/1000</f>
        <v>24.844999999999999</v>
      </c>
      <c r="CQ57" s="2956">
        <f>InputQ!CQ6/1000</f>
        <v>24.783999999999999</v>
      </c>
      <c r="CR57" s="2956">
        <f>InputQ!CR6/1000</f>
        <v>24.864999999999998</v>
      </c>
      <c r="CS57" s="2956">
        <f>InputQ!CS6/1000</f>
        <v>24.968</v>
      </c>
      <c r="CT57" s="2956">
        <f>InputQ!CT6/1000</f>
        <v>25.154</v>
      </c>
      <c r="CU57" s="1496">
        <f t="shared" ref="CU57" si="410">CT57*(1+CU62/100)</f>
        <v>25.088599599999998</v>
      </c>
      <c r="CV57" s="1496">
        <f t="shared" ref="CV57" si="411">CU57*(1+CV62/100)</f>
        <v>25.023369241039997</v>
      </c>
      <c r="CW57" s="1496">
        <f t="shared" ref="CW57" si="412">CV57*(1+CW62/100)</f>
        <v>24.958308481013294</v>
      </c>
      <c r="CX57" s="1496">
        <f t="shared" ref="CX57" si="413">CW57*(1+CX62/100)</f>
        <v>24.893416878962658</v>
      </c>
      <c r="CY57" s="1496">
        <f t="shared" ref="CY57" si="414">CX57*(1+CY62/100)</f>
        <v>25.042777380236434</v>
      </c>
      <c r="CZ57" s="1496">
        <f t="shared" ref="CZ57" si="415">CY57*(1+CZ62/100)</f>
        <v>25.193034044517852</v>
      </c>
      <c r="DA57" s="1496">
        <f t="shared" ref="DA57" si="416">CZ57*(1+DA62/100)</f>
        <v>25.34419224878496</v>
      </c>
      <c r="DB57" s="1496">
        <f t="shared" ref="DB57" si="417">DA57*(1+DB62/100)</f>
        <v>25.496257402277671</v>
      </c>
    </row>
    <row r="58" spans="1:106" s="26" customFormat="1">
      <c r="A58" s="723"/>
      <c r="B58" s="723"/>
      <c r="C58" s="737"/>
      <c r="D58" s="733"/>
      <c r="E58" s="734" t="s">
        <v>357</v>
      </c>
      <c r="F58" s="735"/>
      <c r="G58" s="1476"/>
      <c r="H58" s="1477"/>
      <c r="I58" s="1477"/>
      <c r="J58" s="1481">
        <f>SUM(G57:J57)</f>
        <v>73.878999999999991</v>
      </c>
      <c r="K58" s="1476"/>
      <c r="L58" s="1477"/>
      <c r="M58" s="1477"/>
      <c r="N58" s="1481">
        <f>SUM(K57:N57)</f>
        <v>74.890999999999991</v>
      </c>
      <c r="O58" s="1476"/>
      <c r="P58" s="1477"/>
      <c r="Q58" s="1477"/>
      <c r="R58" s="1481">
        <f>SUM(O57:R57)</f>
        <v>75.373000000000005</v>
      </c>
      <c r="S58" s="1476"/>
      <c r="T58" s="1477"/>
      <c r="U58" s="1477"/>
      <c r="V58" s="1481">
        <f>SUM(S57:V57)</f>
        <v>76.764999999999986</v>
      </c>
      <c r="W58" s="1476"/>
      <c r="X58" s="1477"/>
      <c r="Y58" s="1477"/>
      <c r="Z58" s="1481">
        <f>SUM(W57:Z57)</f>
        <v>78.822000000000003</v>
      </c>
      <c r="AA58" s="1476"/>
      <c r="AB58" s="1477"/>
      <c r="AC58" s="1477"/>
      <c r="AD58" s="1481">
        <f>SUM(AA57:AD57)</f>
        <v>81.174999999999997</v>
      </c>
      <c r="AE58" s="1476"/>
      <c r="AF58" s="1477"/>
      <c r="AG58" s="1477"/>
      <c r="AH58" s="1481">
        <f>SUM(AE57:AH57)</f>
        <v>81.988</v>
      </c>
      <c r="AI58" s="1476"/>
      <c r="AJ58" s="1477"/>
      <c r="AK58" s="1477"/>
      <c r="AL58" s="1481">
        <f>SUM(AI57:AL57)</f>
        <v>84.175000000000011</v>
      </c>
      <c r="AM58" s="1476"/>
      <c r="AN58" s="1477"/>
      <c r="AO58" s="1477"/>
      <c r="AP58" s="1481">
        <f>SUM(AM57:AP57)</f>
        <v>85.350000000000009</v>
      </c>
      <c r="AQ58" s="1476"/>
      <c r="AR58" s="1477"/>
      <c r="AS58" s="1477"/>
      <c r="AT58" s="1481">
        <f>SUM(AQ57:AT57)</f>
        <v>86.710999999999999</v>
      </c>
      <c r="AU58" s="1476"/>
      <c r="AV58" s="1477"/>
      <c r="AW58" s="1477"/>
      <c r="AX58" s="1481">
        <f>SUM(AU57:AX57)</f>
        <v>87.271000000000001</v>
      </c>
      <c r="AY58" s="1476"/>
      <c r="AZ58" s="1477"/>
      <c r="BA58" s="912"/>
      <c r="BB58" s="1497">
        <f>SUM(AY57:BB57)</f>
        <v>88.1</v>
      </c>
      <c r="BC58" s="912"/>
      <c r="BD58" s="912"/>
      <c r="BE58" s="912"/>
      <c r="BF58" s="1497">
        <f>SUM(BC57:BF57)</f>
        <v>89.793000000000006</v>
      </c>
      <c r="BG58" s="912"/>
      <c r="BH58" s="912"/>
      <c r="BI58" s="912"/>
      <c r="BJ58" s="1497">
        <f>SUM(BG57:BJ57)</f>
        <v>92.362999999999985</v>
      </c>
      <c r="BK58" s="912"/>
      <c r="BL58" s="912"/>
      <c r="BM58" s="912"/>
      <c r="BN58" s="1497">
        <f>SUM(BK57:BN57)</f>
        <v>93.396000000000001</v>
      </c>
      <c r="BO58" s="912"/>
      <c r="BP58" s="912"/>
      <c r="BQ58" s="912"/>
      <c r="BR58" s="1497">
        <f>SUM(BO57:BR57)</f>
        <v>94.289999999999992</v>
      </c>
      <c r="BS58" s="912"/>
      <c r="BT58" s="912"/>
      <c r="BU58" s="912"/>
      <c r="BV58" s="1497">
        <f>SUM(BS57:BV57)</f>
        <v>95.454000000000008</v>
      </c>
      <c r="BW58" s="912"/>
      <c r="BX58" s="912"/>
      <c r="BY58" s="912"/>
      <c r="BZ58" s="1497">
        <f>SUM(BW57:BZ57)</f>
        <v>96.8</v>
      </c>
      <c r="CA58" s="912"/>
      <c r="CB58" s="912"/>
      <c r="CC58" s="912"/>
      <c r="CD58" s="1497">
        <f>SUM(CA57:CD57)</f>
        <v>97.105000000000004</v>
      </c>
      <c r="CE58" s="912"/>
      <c r="CF58" s="912"/>
      <c r="CG58" s="912"/>
      <c r="CH58" s="1497">
        <f>SUM(CE57:CH57)</f>
        <v>97.747</v>
      </c>
      <c r="CI58" s="912"/>
      <c r="CJ58" s="912"/>
      <c r="CK58" s="912"/>
      <c r="CL58" s="1497">
        <f>SUM(CI57:CL57)</f>
        <v>98.210000000000008</v>
      </c>
      <c r="CM58" s="912"/>
      <c r="CN58" s="912"/>
      <c r="CO58" s="912"/>
      <c r="CP58" s="1497">
        <f>SUM(CM57:CP57)</f>
        <v>98.724999999999994</v>
      </c>
      <c r="CQ58" s="912"/>
      <c r="CR58" s="912"/>
      <c r="CS58" s="912"/>
      <c r="CT58" s="1497">
        <f>SUM(CQ57:CT57)</f>
        <v>99.771000000000001</v>
      </c>
      <c r="CU58" s="912"/>
      <c r="CV58" s="912"/>
      <c r="CW58" s="912"/>
      <c r="CX58" s="1497">
        <f>SUM(CU57:CX57)</f>
        <v>99.96369420101594</v>
      </c>
      <c r="CY58" s="912"/>
      <c r="CZ58" s="912"/>
      <c r="DA58" s="912"/>
      <c r="DB58" s="1497">
        <f>SUM(CY57:DB57)</f>
        <v>101.07626107581692</v>
      </c>
    </row>
    <row r="59" spans="1:106" s="749" customFormat="1" ht="12.75" customHeight="1">
      <c r="A59" s="714"/>
      <c r="B59" s="714"/>
      <c r="C59" s="719"/>
      <c r="D59" s="729"/>
      <c r="E59" s="1478" t="s">
        <v>675</v>
      </c>
      <c r="F59" s="729"/>
      <c r="G59" s="1479"/>
      <c r="H59" s="2801" t="s">
        <v>543</v>
      </c>
      <c r="I59" s="2802">
        <f ca="1">+J59/J58*100</f>
        <v>96.652093287673111</v>
      </c>
      <c r="J59" s="1480">
        <f ca="1">OFFSET('VVP2'!$G$13,0,(COLUMN()-10)/4)</f>
        <v>71.405600000000007</v>
      </c>
      <c r="K59" s="1479"/>
      <c r="L59" s="2801" t="s">
        <v>543</v>
      </c>
      <c r="M59" s="2802">
        <f ca="1">+N59/N58*100</f>
        <v>91.207421452510971</v>
      </c>
      <c r="N59" s="1480">
        <f ca="1">OFFSET('VVP2'!$G$13,0,(COLUMN()-10)/4)</f>
        <v>68.306149999999988</v>
      </c>
      <c r="O59" s="1479"/>
      <c r="P59" s="2801" t="s">
        <v>543</v>
      </c>
      <c r="Q59" s="2802">
        <f ca="1">+R59/R58*100</f>
        <v>91.205484722646034</v>
      </c>
      <c r="R59" s="1480">
        <f ca="1">OFFSET('VVP2'!$G$13,0,(COLUMN()-10)/4)</f>
        <v>68.744309999999999</v>
      </c>
      <c r="S59" s="1479"/>
      <c r="T59" s="2801" t="s">
        <v>543</v>
      </c>
      <c r="U59" s="2802">
        <f ca="1">+V59/V58*100</f>
        <v>91.20655246531625</v>
      </c>
      <c r="V59" s="1480">
        <f ca="1">OFFSET('VVP2'!$G$13,0,(COLUMN()-10)/4)</f>
        <v>70.014710000000008</v>
      </c>
      <c r="W59" s="1479"/>
      <c r="X59" s="2801" t="s">
        <v>543</v>
      </c>
      <c r="Y59" s="2802">
        <f ca="1">+Z59/Z58*100</f>
        <v>91.205843546218063</v>
      </c>
      <c r="Z59" s="1480">
        <f ca="1">OFFSET('VVP2'!$G$13,0,(COLUMN()-10)/4)</f>
        <v>71.890270000000001</v>
      </c>
      <c r="AA59" s="1479"/>
      <c r="AB59" s="2801" t="s">
        <v>543</v>
      </c>
      <c r="AC59" s="2802">
        <f ca="1">+AD59/AD58*100</f>
        <v>91.204939944564217</v>
      </c>
      <c r="AD59" s="1480">
        <f ca="1">OFFSET('VVP2'!$G$13,0,(COLUMN()-10)/4)</f>
        <v>74.035610000000005</v>
      </c>
      <c r="AE59" s="1479"/>
      <c r="AF59" s="2801" t="s">
        <v>543</v>
      </c>
      <c r="AG59" s="2802">
        <f ca="1">+AH59/AH58*100</f>
        <v>91.207737717714792</v>
      </c>
      <c r="AH59" s="1480">
        <f ca="1">OFFSET('VVP2'!$G$13,0,(COLUMN()-10)/4)</f>
        <v>74.779399999999995</v>
      </c>
      <c r="AI59" s="1479"/>
      <c r="AJ59" s="2801" t="s">
        <v>543</v>
      </c>
      <c r="AK59" s="2802">
        <f ca="1">+AL59/AL58*100</f>
        <v>91.205619245619232</v>
      </c>
      <c r="AL59" s="1480">
        <f ca="1">OFFSET('VVP2'!$G$13,0,(COLUMN()-10)/4)</f>
        <v>76.772329999999997</v>
      </c>
      <c r="AM59" s="1479"/>
      <c r="AN59" s="2801" t="s">
        <v>543</v>
      </c>
      <c r="AO59" s="2802">
        <f ca="1">+AP59/AP58*100</f>
        <v>91.205951962507314</v>
      </c>
      <c r="AP59" s="1480">
        <f ca="1">OFFSET('VVP2'!$G$13,0,(COLUMN()-10)/4)</f>
        <v>77.844279999999998</v>
      </c>
      <c r="AQ59" s="1479"/>
      <c r="AR59" s="2801" t="s">
        <v>543</v>
      </c>
      <c r="AS59" s="2802">
        <f ca="1">+AT59/AT58*100</f>
        <v>91.205417997716566</v>
      </c>
      <c r="AT59" s="1480">
        <f ca="1">OFFSET('VVP2'!$G$13,0,(COLUMN()-10)/4)</f>
        <v>79.085130000000007</v>
      </c>
      <c r="AU59" s="1479"/>
      <c r="AV59" s="2801" t="s">
        <v>543</v>
      </c>
      <c r="AW59" s="2802">
        <f ca="1">+AX59/AX58*100</f>
        <v>91.205738446906764</v>
      </c>
      <c r="AX59" s="1480">
        <f ca="1">OFFSET('VVP2'!$G$13,0,(COLUMN()-10)/4)</f>
        <v>79.596159999999998</v>
      </c>
      <c r="AY59" s="1479"/>
      <c r="AZ59" s="2801" t="s">
        <v>543</v>
      </c>
      <c r="BA59" s="2802">
        <f ca="1">+BB59/BB58*100</f>
        <v>91.206674233825211</v>
      </c>
      <c r="BB59" s="1498">
        <f ca="1">OFFSET('VVP2'!$G$13,0,(COLUMN()-10)/4)</f>
        <v>80.353080000000006</v>
      </c>
      <c r="BC59" s="1479"/>
      <c r="BD59" s="2801" t="s">
        <v>543</v>
      </c>
      <c r="BE59" s="2802">
        <f ca="1">+BF59/BF58*100</f>
        <v>91.206653079861468</v>
      </c>
      <c r="BF59" s="1498">
        <f ca="1">OFFSET('VVP2'!$G$13,0,(COLUMN()-10)/4)</f>
        <v>81.897190000000009</v>
      </c>
      <c r="BG59" s="1479"/>
      <c r="BH59" s="2801" t="s">
        <v>543</v>
      </c>
      <c r="BI59" s="2802">
        <f ca="1">+BJ59/BJ58*100</f>
        <v>91.205742559249927</v>
      </c>
      <c r="BJ59" s="1498">
        <f ca="1">OFFSET('VVP2'!$G$13,0,(COLUMN()-10)/4)</f>
        <v>84.240359999999995</v>
      </c>
      <c r="BK59" s="1479"/>
      <c r="BL59" s="2801" t="s">
        <v>543</v>
      </c>
      <c r="BM59" s="2802">
        <f ca="1">+BN59/BN58*100</f>
        <v>91.205158679172555</v>
      </c>
      <c r="BN59" s="1498">
        <f ca="1">OFFSET('VVP2'!$G$13,0,(COLUMN()-10)/4)</f>
        <v>85.181970000000007</v>
      </c>
      <c r="BO59" s="1479"/>
      <c r="BP59" s="2801" t="s">
        <v>543</v>
      </c>
      <c r="BQ59" s="2802">
        <f ca="1">+BR59/BR58*100</f>
        <v>91.206808781419028</v>
      </c>
      <c r="BR59" s="1498">
        <f ca="1">OFFSET('VVP2'!$G$13,0,(COLUMN()-10)/4)</f>
        <v>85.998899999999992</v>
      </c>
      <c r="BS59" s="1479"/>
      <c r="BT59" s="2801" t="s">
        <v>543</v>
      </c>
      <c r="BU59" s="2802">
        <f ca="1">+BV59/BV58*100</f>
        <v>91.206130701699237</v>
      </c>
      <c r="BV59" s="1498">
        <f ca="1">OFFSET('VVP2'!$G$13,0,(COLUMN()-10)/4)</f>
        <v>87.059899999999999</v>
      </c>
      <c r="BW59" s="1479"/>
      <c r="BX59" s="2801" t="s">
        <v>543</v>
      </c>
      <c r="BY59" s="2802">
        <f ca="1">+BZ59/BZ58*100</f>
        <v>91.206404958677695</v>
      </c>
      <c r="BZ59" s="1498">
        <f ca="1">OFFSET('VVP2'!$G$13,0,(COLUMN()-10)/4)</f>
        <v>88.287800000000004</v>
      </c>
      <c r="CA59" s="1479"/>
      <c r="CB59" s="2801" t="s">
        <v>543</v>
      </c>
      <c r="CC59" s="2802">
        <f ca="1">+CD59/CD58*100</f>
        <v>91.205560990680183</v>
      </c>
      <c r="CD59" s="1498">
        <f ca="1">OFFSET('VVP2'!$G$13,0,(COLUMN()-10)/4)</f>
        <v>88.565160000000006</v>
      </c>
      <c r="CE59" s="1479"/>
      <c r="CF59" s="2801" t="s">
        <v>543</v>
      </c>
      <c r="CG59" s="2802">
        <f ca="1">+CH59/CH58*100</f>
        <v>91.205285072687658</v>
      </c>
      <c r="CH59" s="1498">
        <f ca="1">OFFSET('VVP2'!$G$13,0,(COLUMN()-10)/4)</f>
        <v>89.15043</v>
      </c>
      <c r="CI59" s="1479"/>
      <c r="CJ59" s="2801" t="s">
        <v>543</v>
      </c>
      <c r="CK59" s="2802">
        <f ca="1">+CL59/CL58*100</f>
        <v>91.205376234599328</v>
      </c>
      <c r="CL59" s="1498">
        <f ca="1">OFFSET('VVP2'!$G$13,0,(COLUMN()-10)/4)</f>
        <v>89.572800000000001</v>
      </c>
      <c r="CM59" s="1479"/>
      <c r="CN59" s="2801" t="s">
        <v>543</v>
      </c>
      <c r="CO59" s="2802">
        <f ca="1">+CP59/CP58*100</f>
        <v>91.20546973917449</v>
      </c>
      <c r="CP59" s="1498">
        <f ca="1">OFFSET('VVP2'!$G$13,0,(COLUMN()-10)/4)</f>
        <v>90.042600000000007</v>
      </c>
      <c r="CQ59" s="1479"/>
      <c r="CR59" s="2801" t="s">
        <v>543</v>
      </c>
      <c r="CS59" s="2802">
        <f ca="1">+CT59/CT58*100</f>
        <v>91.20510970121579</v>
      </c>
      <c r="CT59" s="1498">
        <f ca="1">OFFSET('VVP2'!$G$13,0,(COLUMN()-10)/4)</f>
        <v>90.996250000000003</v>
      </c>
      <c r="CU59" s="1479"/>
      <c r="CV59" s="2801" t="s">
        <v>543</v>
      </c>
      <c r="CW59" s="2802">
        <f ca="1">+CX59/CX58*100</f>
        <v>91.202254582217563</v>
      </c>
      <c r="CX59" s="1498">
        <f ca="1">OFFSET('VVP2'!$G$13,0,(COLUMN()-10)/4)</f>
        <v>91.169142875000006</v>
      </c>
      <c r="CY59" s="1479"/>
      <c r="CZ59" s="2801" t="s">
        <v>543</v>
      </c>
      <c r="DA59" s="2802">
        <f ca="1">+DB59/DB58*100</f>
        <v>91.100356625459796</v>
      </c>
      <c r="DB59" s="1498">
        <f ca="1">OFFSET('VVP2'!$G$13,0,(COLUMN()-10)/4)</f>
        <v>92.080834303750009</v>
      </c>
    </row>
    <row r="60" spans="1:106">
      <c r="AY60" s="218"/>
      <c r="BO60" s="577"/>
      <c r="BP60" s="577"/>
      <c r="BQ60" s="577"/>
      <c r="BR60" s="577"/>
      <c r="BS60" s="577"/>
      <c r="BT60" s="577"/>
      <c r="BU60" s="577"/>
      <c r="BV60" s="577"/>
      <c r="BW60" s="577"/>
      <c r="BX60" s="577"/>
      <c r="BY60" s="577"/>
      <c r="BZ60" s="577"/>
      <c r="CA60" s="577"/>
      <c r="CB60" s="577"/>
      <c r="CC60" s="577"/>
      <c r="CD60" s="577"/>
      <c r="CE60" s="577"/>
      <c r="CF60" s="577"/>
      <c r="CG60" s="577"/>
      <c r="CH60" s="577"/>
      <c r="CI60" s="577"/>
      <c r="CJ60" s="577"/>
      <c r="CK60" s="577"/>
      <c r="CL60" s="577"/>
      <c r="CM60" s="577"/>
      <c r="CN60" s="577"/>
      <c r="CO60" s="577"/>
      <c r="CP60" s="577"/>
      <c r="CQ60" s="577"/>
      <c r="CR60" s="577"/>
      <c r="CS60" s="577"/>
      <c r="CT60" s="577"/>
      <c r="CU60" s="577"/>
      <c r="CV60" s="577"/>
      <c r="CW60" s="577"/>
      <c r="CX60" s="577"/>
      <c r="CY60" s="577"/>
      <c r="CZ60" s="577"/>
      <c r="DA60" s="577"/>
      <c r="DB60" s="577"/>
    </row>
    <row r="61" spans="1:106" s="749" customFormat="1" ht="12.75" customHeight="1">
      <c r="A61" s="714"/>
      <c r="B61" s="714"/>
      <c r="C61" s="1456"/>
      <c r="D61" s="790"/>
      <c r="E61" s="791" t="s">
        <v>73</v>
      </c>
      <c r="F61" s="792"/>
      <c r="G61" s="1484" t="str">
        <f t="shared" ref="G61:N61" si="418">G56</f>
        <v>Q1</v>
      </c>
      <c r="H61" s="1485" t="str">
        <f t="shared" si="418"/>
        <v>Q2</v>
      </c>
      <c r="I61" s="1485" t="str">
        <f t="shared" si="418"/>
        <v>Q3</v>
      </c>
      <c r="J61" s="1486" t="str">
        <f t="shared" si="418"/>
        <v>Q4</v>
      </c>
      <c r="K61" s="1484" t="str">
        <f t="shared" si="418"/>
        <v>Q1</v>
      </c>
      <c r="L61" s="1485" t="str">
        <f t="shared" si="418"/>
        <v>Q2</v>
      </c>
      <c r="M61" s="1485" t="str">
        <f t="shared" si="418"/>
        <v>Q3</v>
      </c>
      <c r="N61" s="1486" t="str">
        <f t="shared" si="418"/>
        <v>Q4</v>
      </c>
      <c r="O61" s="1484" t="str">
        <f t="shared" ref="O61:AX61" si="419">O56</f>
        <v>Q1</v>
      </c>
      <c r="P61" s="1485" t="str">
        <f t="shared" si="419"/>
        <v>Q2</v>
      </c>
      <c r="Q61" s="1485" t="str">
        <f t="shared" si="419"/>
        <v>Q3</v>
      </c>
      <c r="R61" s="1486" t="str">
        <f t="shared" si="419"/>
        <v>Q4</v>
      </c>
      <c r="S61" s="1484" t="str">
        <f t="shared" si="419"/>
        <v>Q1</v>
      </c>
      <c r="T61" s="1485" t="str">
        <f t="shared" si="419"/>
        <v>Q2</v>
      </c>
      <c r="U61" s="1485" t="str">
        <f t="shared" si="419"/>
        <v>Q3</v>
      </c>
      <c r="V61" s="1486" t="str">
        <f t="shared" si="419"/>
        <v>Q4</v>
      </c>
      <c r="W61" s="1484" t="str">
        <f t="shared" si="419"/>
        <v>Q1</v>
      </c>
      <c r="X61" s="1485" t="str">
        <f t="shared" si="419"/>
        <v>Q2</v>
      </c>
      <c r="Y61" s="1485" t="str">
        <f t="shared" si="419"/>
        <v>Q3</v>
      </c>
      <c r="Z61" s="1486" t="str">
        <f t="shared" si="419"/>
        <v>Q4</v>
      </c>
      <c r="AA61" s="1484" t="str">
        <f t="shared" si="419"/>
        <v>Q1</v>
      </c>
      <c r="AB61" s="1485" t="str">
        <f t="shared" si="419"/>
        <v>Q2</v>
      </c>
      <c r="AC61" s="1485" t="str">
        <f t="shared" si="419"/>
        <v>Q3</v>
      </c>
      <c r="AD61" s="1486" t="str">
        <f t="shared" si="419"/>
        <v>Q4</v>
      </c>
      <c r="AE61" s="1484" t="str">
        <f t="shared" si="419"/>
        <v>Q1</v>
      </c>
      <c r="AF61" s="1485" t="str">
        <f t="shared" si="419"/>
        <v>Q2</v>
      </c>
      <c r="AG61" s="1485" t="str">
        <f t="shared" si="419"/>
        <v>Q3</v>
      </c>
      <c r="AH61" s="1486" t="str">
        <f t="shared" si="419"/>
        <v>Q4</v>
      </c>
      <c r="AI61" s="1484" t="str">
        <f t="shared" si="419"/>
        <v>Q1</v>
      </c>
      <c r="AJ61" s="1485" t="str">
        <f t="shared" si="419"/>
        <v>Q2</v>
      </c>
      <c r="AK61" s="1485" t="str">
        <f t="shared" si="419"/>
        <v>Q3</v>
      </c>
      <c r="AL61" s="1486" t="str">
        <f t="shared" si="419"/>
        <v>Q4</v>
      </c>
      <c r="AM61" s="1484" t="str">
        <f t="shared" si="419"/>
        <v>Q1</v>
      </c>
      <c r="AN61" s="1485" t="str">
        <f t="shared" si="419"/>
        <v>Q2</v>
      </c>
      <c r="AO61" s="1485" t="str">
        <f t="shared" si="419"/>
        <v>Q3</v>
      </c>
      <c r="AP61" s="1486" t="str">
        <f t="shared" si="419"/>
        <v>Q4</v>
      </c>
      <c r="AQ61" s="1484" t="str">
        <f t="shared" si="419"/>
        <v>Q1</v>
      </c>
      <c r="AR61" s="1485" t="str">
        <f t="shared" si="419"/>
        <v>Q2</v>
      </c>
      <c r="AS61" s="1485" t="str">
        <f t="shared" si="419"/>
        <v>Q3</v>
      </c>
      <c r="AT61" s="1486" t="str">
        <f t="shared" si="419"/>
        <v>Q4</v>
      </c>
      <c r="AU61" s="1484" t="str">
        <f t="shared" si="419"/>
        <v>Q1</v>
      </c>
      <c r="AV61" s="1485" t="str">
        <f t="shared" si="419"/>
        <v>Q2</v>
      </c>
      <c r="AW61" s="1485" t="str">
        <f t="shared" si="419"/>
        <v>Q3</v>
      </c>
      <c r="AX61" s="1486" t="str">
        <f t="shared" si="419"/>
        <v>Q4</v>
      </c>
      <c r="AY61" s="1484" t="str">
        <f>AY56</f>
        <v>Q1</v>
      </c>
      <c r="AZ61" s="1485" t="str">
        <f>AZ56</f>
        <v>Q2</v>
      </c>
      <c r="BA61" s="1485" t="str">
        <f t="shared" ref="BA61:BF61" si="420">BA56</f>
        <v>Q3</v>
      </c>
      <c r="BB61" s="1485" t="str">
        <f t="shared" si="420"/>
        <v>Q4</v>
      </c>
      <c r="BC61" s="1485" t="str">
        <f t="shared" si="420"/>
        <v>Q1</v>
      </c>
      <c r="BD61" s="1485" t="str">
        <f t="shared" si="420"/>
        <v>Q2</v>
      </c>
      <c r="BE61" s="1485" t="str">
        <f>BE56</f>
        <v>Q3</v>
      </c>
      <c r="BF61" s="1485" t="str">
        <f t="shared" si="420"/>
        <v>Q4</v>
      </c>
      <c r="BG61" s="1485" t="str">
        <f t="shared" ref="BG61:BN61" si="421">BG56</f>
        <v>Q1</v>
      </c>
      <c r="BH61" s="1485" t="str">
        <f t="shared" si="421"/>
        <v>Q2</v>
      </c>
      <c r="BI61" s="1485" t="str">
        <f t="shared" si="421"/>
        <v>Q3</v>
      </c>
      <c r="BJ61" s="1485" t="str">
        <f t="shared" si="421"/>
        <v>Q4</v>
      </c>
      <c r="BK61" s="1485" t="str">
        <f>BK56</f>
        <v>Q1</v>
      </c>
      <c r="BL61" s="1485" t="str">
        <f>BL56</f>
        <v>Q2</v>
      </c>
      <c r="BM61" s="1485" t="str">
        <f>BM56</f>
        <v>Q3</v>
      </c>
      <c r="BN61" s="1485" t="str">
        <f t="shared" si="421"/>
        <v>Q4</v>
      </c>
      <c r="BO61" s="1485" t="str">
        <f>BO56</f>
        <v>Q1</v>
      </c>
      <c r="BP61" s="1485" t="str">
        <f>BP56</f>
        <v>Q2</v>
      </c>
      <c r="BQ61" s="1485" t="str">
        <f t="shared" ref="BQ61:BV61" si="422">BQ56</f>
        <v>Q3</v>
      </c>
      <c r="BR61" s="1485" t="str">
        <f t="shared" si="422"/>
        <v>Q4</v>
      </c>
      <c r="BS61" s="1485" t="str">
        <f t="shared" si="422"/>
        <v>Q1</v>
      </c>
      <c r="BT61" s="1485" t="str">
        <f t="shared" si="422"/>
        <v>Q2</v>
      </c>
      <c r="BU61" s="1485" t="str">
        <f t="shared" si="422"/>
        <v>Q3</v>
      </c>
      <c r="BV61" s="1485" t="str">
        <f t="shared" si="422"/>
        <v>Q4</v>
      </c>
      <c r="BW61" s="1485" t="str">
        <f t="shared" ref="BW61:CD61" si="423">BW56</f>
        <v>Q1</v>
      </c>
      <c r="BX61" s="1485" t="str">
        <f t="shared" si="423"/>
        <v>Q2</v>
      </c>
      <c r="BY61" s="1485" t="str">
        <f t="shared" si="423"/>
        <v>Q3</v>
      </c>
      <c r="BZ61" s="1485" t="str">
        <f t="shared" si="423"/>
        <v>Q4</v>
      </c>
      <c r="CA61" s="1485" t="str">
        <f>CA56</f>
        <v>Q1</v>
      </c>
      <c r="CB61" s="1485" t="str">
        <f t="shared" si="423"/>
        <v>Q2</v>
      </c>
      <c r="CC61" s="1485" t="str">
        <f t="shared" ref="CC61" si="424">CC56</f>
        <v>Q3</v>
      </c>
      <c r="CD61" s="1485" t="str">
        <f t="shared" si="423"/>
        <v>Q4</v>
      </c>
      <c r="CE61" s="1485" t="str">
        <f>CE56</f>
        <v>Q1</v>
      </c>
      <c r="CF61" s="1485" t="str">
        <f t="shared" ref="CF61:CH61" si="425">CF56</f>
        <v>Q2</v>
      </c>
      <c r="CG61" s="1485" t="str">
        <f t="shared" si="425"/>
        <v>Q3</v>
      </c>
      <c r="CH61" s="1485" t="str">
        <f t="shared" si="425"/>
        <v>Q4</v>
      </c>
      <c r="CI61" s="1485" t="str">
        <f>CI56</f>
        <v>Q1</v>
      </c>
      <c r="CJ61" s="1485" t="str">
        <f t="shared" ref="CJ61:CL61" si="426">CJ56</f>
        <v>Q2</v>
      </c>
      <c r="CK61" s="1485" t="str">
        <f t="shared" si="426"/>
        <v>Q3</v>
      </c>
      <c r="CL61" s="1485" t="str">
        <f t="shared" si="426"/>
        <v>Q4</v>
      </c>
      <c r="CM61" s="1485" t="str">
        <f>CM56</f>
        <v>Q1</v>
      </c>
      <c r="CN61" s="1485" t="str">
        <f t="shared" ref="CN61:CP61" si="427">CN56</f>
        <v>Q2</v>
      </c>
      <c r="CO61" s="1485" t="str">
        <f t="shared" si="427"/>
        <v>Q3</v>
      </c>
      <c r="CP61" s="1485" t="str">
        <f t="shared" si="427"/>
        <v>Q4</v>
      </c>
      <c r="CQ61" s="1485" t="str">
        <f>CQ56</f>
        <v>Q1</v>
      </c>
      <c r="CR61" s="1485" t="str">
        <f t="shared" ref="CR61:CS61" si="428">CR56</f>
        <v>Q2</v>
      </c>
      <c r="CS61" s="1485" t="str">
        <f t="shared" si="428"/>
        <v>Q3</v>
      </c>
      <c r="CT61" s="1485" t="str">
        <f t="shared" ref="CT61" si="429">CT56</f>
        <v>Q4</v>
      </c>
      <c r="CU61" s="1485" t="str">
        <f t="shared" ref="CU61:CX61" si="430">CU56</f>
        <v>Q1</v>
      </c>
      <c r="CV61" s="1485" t="str">
        <f t="shared" si="430"/>
        <v>Q2</v>
      </c>
      <c r="CW61" s="1485" t="str">
        <f t="shared" si="430"/>
        <v>Q3</v>
      </c>
      <c r="CX61" s="1485" t="str">
        <f t="shared" si="430"/>
        <v>Q4</v>
      </c>
      <c r="CY61" s="1485" t="str">
        <f t="shared" ref="CY61:DB61" si="431">CY56</f>
        <v>Q1</v>
      </c>
      <c r="CZ61" s="1485" t="str">
        <f t="shared" si="431"/>
        <v>Q2</v>
      </c>
      <c r="DA61" s="1485" t="str">
        <f t="shared" si="431"/>
        <v>Q3</v>
      </c>
      <c r="DB61" s="1485" t="str">
        <f t="shared" si="431"/>
        <v>Q4</v>
      </c>
    </row>
    <row r="62" spans="1:106" s="749" customFormat="1" ht="12.75" customHeight="1">
      <c r="B62" s="714"/>
      <c r="C62" s="1482"/>
      <c r="D62" s="739"/>
      <c r="E62" s="787" t="str">
        <f>E57</f>
        <v xml:space="preserve">Government final consumption expenditure                                        </v>
      </c>
      <c r="F62" s="782" t="s">
        <v>2067</v>
      </c>
      <c r="G62" s="1020"/>
      <c r="H62" s="788">
        <f t="shared" ref="H62:N62" si="432">(H57/G57-1)*100</f>
        <v>0.44689083873781232</v>
      </c>
      <c r="I62" s="788">
        <f t="shared" si="432"/>
        <v>0.41777440182300118</v>
      </c>
      <c r="J62" s="788">
        <f t="shared" si="432"/>
        <v>0.44845472228227656</v>
      </c>
      <c r="K62" s="788">
        <f t="shared" si="432"/>
        <v>0.28508418051744755</v>
      </c>
      <c r="L62" s="788">
        <f t="shared" si="432"/>
        <v>0.34863763140957627</v>
      </c>
      <c r="M62" s="788">
        <f t="shared" si="432"/>
        <v>0.20845582340049962</v>
      </c>
      <c r="N62" s="788">
        <f t="shared" si="432"/>
        <v>0.22402389588220828</v>
      </c>
      <c r="O62" s="788">
        <f t="shared" ref="O62:BE62" si="433">(O57/N57-1)*100</f>
        <v>-6.9185737094190625E-2</v>
      </c>
      <c r="P62" s="788">
        <f t="shared" si="433"/>
        <v>0.17042126005220037</v>
      </c>
      <c r="Q62" s="788">
        <f t="shared" si="433"/>
        <v>0.26583018767611932</v>
      </c>
      <c r="R62" s="788">
        <f t="shared" si="433"/>
        <v>0.36587305795641178</v>
      </c>
      <c r="S62" s="788">
        <f t="shared" si="433"/>
        <v>0.56001690617073496</v>
      </c>
      <c r="T62" s="788">
        <f t="shared" si="433"/>
        <v>0.54639066932857805</v>
      </c>
      <c r="U62" s="788">
        <f t="shared" si="433"/>
        <v>0.53297105235654563</v>
      </c>
      <c r="V62" s="788">
        <f t="shared" si="433"/>
        <v>0.58731808731811164</v>
      </c>
      <c r="W62" s="788">
        <f t="shared" si="433"/>
        <v>0.66139616596909701</v>
      </c>
      <c r="X62" s="788">
        <f t="shared" si="433"/>
        <v>0.70324931985008554</v>
      </c>
      <c r="Y62" s="788">
        <f t="shared" si="433"/>
        <v>0.78499337343256315</v>
      </c>
      <c r="Z62" s="788">
        <f t="shared" si="433"/>
        <v>0.90532065547239693</v>
      </c>
      <c r="AA62" s="788">
        <f t="shared" si="433"/>
        <v>0.92225953586286824</v>
      </c>
      <c r="AB62" s="788">
        <f t="shared" si="433"/>
        <v>0.63570896448970071</v>
      </c>
      <c r="AC62" s="788">
        <f t="shared" si="433"/>
        <v>0.45402951191826357</v>
      </c>
      <c r="AD62" s="788">
        <f t="shared" si="433"/>
        <v>0.32915745517072548</v>
      </c>
      <c r="AE62" s="788">
        <f t="shared" si="433"/>
        <v>-0.12241700127314514</v>
      </c>
      <c r="AF62" s="788">
        <f t="shared" si="433"/>
        <v>0.17649654360936129</v>
      </c>
      <c r="AG62" s="788">
        <f t="shared" si="433"/>
        <v>0.41109969167523186</v>
      </c>
      <c r="AH62" s="788">
        <f t="shared" si="433"/>
        <v>0.60437685821512765</v>
      </c>
      <c r="AI62" s="788">
        <f t="shared" si="433"/>
        <v>0.94956639697689749</v>
      </c>
      <c r="AJ62" s="788">
        <f t="shared" si="433"/>
        <v>0.79186063252867367</v>
      </c>
      <c r="AK62" s="788">
        <f t="shared" si="433"/>
        <v>0.63327302161699794</v>
      </c>
      <c r="AL62" s="788">
        <f t="shared" si="433"/>
        <v>0.31227821149750756</v>
      </c>
      <c r="AM62" s="788">
        <f t="shared" si="433"/>
        <v>-5.6601103721520829E-2</v>
      </c>
      <c r="AN62" s="788">
        <f t="shared" si="433"/>
        <v>0.37283496153663886</v>
      </c>
      <c r="AO62" s="788">
        <f t="shared" si="433"/>
        <v>0.55482414895617893</v>
      </c>
      <c r="AP62" s="788">
        <f t="shared" si="433"/>
        <v>0.56579070419902067</v>
      </c>
      <c r="AQ62" s="788">
        <f t="shared" si="433"/>
        <v>0.40916910773234338</v>
      </c>
      <c r="AR62" s="788">
        <f t="shared" si="433"/>
        <v>0.25468858532067262</v>
      </c>
      <c r="AS62" s="788">
        <f t="shared" si="433"/>
        <v>0.25866050808314167</v>
      </c>
      <c r="AT62" s="788">
        <f t="shared" si="433"/>
        <v>0.24877913940846152</v>
      </c>
      <c r="AU62" s="788">
        <f t="shared" si="433"/>
        <v>0.16084558823530326</v>
      </c>
      <c r="AV62" s="788">
        <f t="shared" si="433"/>
        <v>8.2587749483820083E-2</v>
      </c>
      <c r="AW62" s="788">
        <f t="shared" si="433"/>
        <v>6.4181909870275611E-2</v>
      </c>
      <c r="AX62" s="788">
        <f t="shared" si="433"/>
        <v>4.1233334860479864E-2</v>
      </c>
      <c r="AY62" s="788">
        <f t="shared" si="433"/>
        <v>0.25645722659828341</v>
      </c>
      <c r="AZ62" s="788">
        <f t="shared" si="433"/>
        <v>0.42481271697423217</v>
      </c>
      <c r="BA62" s="788">
        <f t="shared" si="433"/>
        <v>0.35933591084831296</v>
      </c>
      <c r="BB62" s="788">
        <f t="shared" si="433"/>
        <v>0.4305656272661329</v>
      </c>
      <c r="BC62" s="788">
        <f t="shared" si="433"/>
        <v>0.38359131729772677</v>
      </c>
      <c r="BD62" s="788">
        <f t="shared" si="433"/>
        <v>0.49001978061500306</v>
      </c>
      <c r="BE62" s="788">
        <f t="shared" si="433"/>
        <v>0.71131391759495788</v>
      </c>
      <c r="BF62" s="788">
        <f t="shared" ref="BF62:BN62" si="434">(BF57/BE57-1)*100</f>
        <v>0.76403695806681604</v>
      </c>
      <c r="BG62" s="788">
        <f t="shared" si="434"/>
        <v>0.72738494092752237</v>
      </c>
      <c r="BH62" s="788">
        <f t="shared" si="434"/>
        <v>0.75714473281105477</v>
      </c>
      <c r="BI62" s="788">
        <f t="shared" si="434"/>
        <v>0.660238033185645</v>
      </c>
      <c r="BJ62" s="788">
        <f t="shared" si="434"/>
        <v>0.62138603607491127</v>
      </c>
      <c r="BK62" s="788">
        <f t="shared" si="434"/>
        <v>-0.19298396088859304</v>
      </c>
      <c r="BL62" s="788">
        <f t="shared" si="434"/>
        <v>0.15898251192367763</v>
      </c>
      <c r="BM62" s="788">
        <f t="shared" si="434"/>
        <v>0.24453024453026106</v>
      </c>
      <c r="BN62" s="788">
        <f t="shared" si="434"/>
        <v>0.33808362220224542</v>
      </c>
      <c r="BO62" s="788">
        <f t="shared" ref="BO62:CH62" si="435">(BO57/BN57-1)*100</f>
        <v>0.37106542693849942</v>
      </c>
      <c r="BP62" s="788">
        <f t="shared" si="435"/>
        <v>8.9236391450286945E-2</v>
      </c>
      <c r="BQ62" s="788">
        <f t="shared" si="435"/>
        <v>5.5192324021402506E-2</v>
      </c>
      <c r="BR62" s="788">
        <f t="shared" si="435"/>
        <v>0.29278228030720221</v>
      </c>
      <c r="BS62" s="788">
        <f t="shared" si="435"/>
        <v>0.32577424268065425</v>
      </c>
      <c r="BT62" s="788">
        <f t="shared" si="435"/>
        <v>0.2445915742419702</v>
      </c>
      <c r="BU62" s="788">
        <f t="shared" si="435"/>
        <v>0.76143199697109587</v>
      </c>
      <c r="BV62" s="788">
        <f t="shared" si="435"/>
        <v>0.27555110220440771</v>
      </c>
      <c r="BW62" s="788">
        <f t="shared" si="435"/>
        <v>0.29144808060621585</v>
      </c>
      <c r="BX62" s="788">
        <f t="shared" si="435"/>
        <v>0.54383925606111827</v>
      </c>
      <c r="BY62" s="788">
        <f t="shared" si="435"/>
        <v>-8.2579792724857271E-3</v>
      </c>
      <c r="BZ62" s="788">
        <f t="shared" si="435"/>
        <v>0.24363050749474091</v>
      </c>
      <c r="CA62" s="788">
        <f t="shared" si="435"/>
        <v>0.32954358213874713</v>
      </c>
      <c r="CB62" s="788">
        <f t="shared" si="435"/>
        <v>-0.41468221382822135</v>
      </c>
      <c r="CC62" s="788">
        <f t="shared" si="435"/>
        <v>8.658008658009031E-2</v>
      </c>
      <c r="CD62" s="788">
        <f t="shared" si="435"/>
        <v>-0.23891909705058278</v>
      </c>
      <c r="CE62" s="788">
        <f t="shared" si="435"/>
        <v>0.2725245685027522</v>
      </c>
      <c r="CF62" s="788">
        <f t="shared" si="435"/>
        <v>0.2841377038379278</v>
      </c>
      <c r="CG62" s="788">
        <f t="shared" si="435"/>
        <v>0.68985340615119739</v>
      </c>
      <c r="CH62" s="788">
        <f t="shared" si="435"/>
        <v>0.27731332327392</v>
      </c>
      <c r="CI62" s="788">
        <f t="shared" ref="CI62" si="436">(CI57/CH57-1)*100</f>
        <v>-0.15860750742201501</v>
      </c>
      <c r="CJ62" s="788">
        <f t="shared" ref="CJ62:CT62" si="437">(CJ57/CI57-1)*100</f>
        <v>0.13849287169043212</v>
      </c>
      <c r="CK62" s="788">
        <f t="shared" si="437"/>
        <v>-0.35388870810283413</v>
      </c>
      <c r="CL62" s="788">
        <f t="shared" si="437"/>
        <v>0.33473486549373543</v>
      </c>
      <c r="CM62" s="788">
        <f t="shared" si="437"/>
        <v>0.26852190894666172</v>
      </c>
      <c r="CN62" s="788">
        <f t="shared" si="437"/>
        <v>-0.27591803611278776</v>
      </c>
      <c r="CO62" s="788">
        <f t="shared" si="437"/>
        <v>0.32957643325060015</v>
      </c>
      <c r="CP62" s="788">
        <f t="shared" si="437"/>
        <v>0.75837456403600179</v>
      </c>
      <c r="CQ62" s="788">
        <f t="shared" si="437"/>
        <v>-0.24552223787482896</v>
      </c>
      <c r="CR62" s="788">
        <f t="shared" si="437"/>
        <v>0.32682375726273971</v>
      </c>
      <c r="CS62" s="788">
        <f t="shared" si="437"/>
        <v>0.41423687914741159</v>
      </c>
      <c r="CT62" s="788">
        <f t="shared" si="437"/>
        <v>0.74495354053187857</v>
      </c>
      <c r="CU62" s="3884">
        <v>-0.26</v>
      </c>
      <c r="CV62" s="3884">
        <v>-0.26</v>
      </c>
      <c r="CW62" s="3884">
        <v>-0.26</v>
      </c>
      <c r="CX62" s="3884">
        <v>-0.26</v>
      </c>
      <c r="CY62" s="3884">
        <v>0.6</v>
      </c>
      <c r="CZ62" s="3884">
        <v>0.6</v>
      </c>
      <c r="DA62" s="3884">
        <v>0.6</v>
      </c>
      <c r="DB62" s="3884">
        <v>0.6</v>
      </c>
    </row>
    <row r="63" spans="1:106">
      <c r="C63" s="1483"/>
      <c r="D63" s="1487"/>
      <c r="E63" s="1488" t="s">
        <v>74</v>
      </c>
      <c r="F63" s="1562"/>
      <c r="G63" s="1511"/>
      <c r="H63" s="1512"/>
      <c r="I63" s="1512"/>
      <c r="J63" s="1512"/>
      <c r="K63" s="1513"/>
      <c r="L63" s="1513"/>
      <c r="M63" s="1513"/>
      <c r="N63" s="1514">
        <f>N58/J58*100-100</f>
        <v>1.3698073877556567</v>
      </c>
      <c r="O63" s="1513"/>
      <c r="P63" s="1513"/>
      <c r="Q63" s="1513"/>
      <c r="R63" s="1514">
        <f>R58/N58*100-100</f>
        <v>0.64360203495748181</v>
      </c>
      <c r="S63" s="1513"/>
      <c r="T63" s="1513"/>
      <c r="U63" s="1513"/>
      <c r="V63" s="1514">
        <f>V58/R58*100-100</f>
        <v>1.8468151725418664</v>
      </c>
      <c r="W63" s="1513"/>
      <c r="X63" s="1513"/>
      <c r="Y63" s="1513"/>
      <c r="Z63" s="1514">
        <f>Z58/V58*100-100</f>
        <v>2.6796065915456495</v>
      </c>
      <c r="AA63" s="1513"/>
      <c r="AB63" s="1513"/>
      <c r="AC63" s="1513"/>
      <c r="AD63" s="1514">
        <f>AD58/Z58*100-100</f>
        <v>2.9852071756616141</v>
      </c>
      <c r="AE63" s="1513"/>
      <c r="AF63" s="1513"/>
      <c r="AG63" s="1513"/>
      <c r="AH63" s="1514">
        <f>AH58/AD58*100-100</f>
        <v>1.0015398829688991</v>
      </c>
      <c r="AI63" s="1513"/>
      <c r="AJ63" s="1513"/>
      <c r="AK63" s="1513"/>
      <c r="AL63" s="1514">
        <f>AL58/AH58*100-100</f>
        <v>2.6674635312484867</v>
      </c>
      <c r="AM63" s="1513"/>
      <c r="AN63" s="1513"/>
      <c r="AO63" s="1513"/>
      <c r="AP63" s="1514">
        <f>AP58/AL58*100-100</f>
        <v>1.3959013959014044</v>
      </c>
      <c r="AQ63" s="1513"/>
      <c r="AR63" s="1513"/>
      <c r="AS63" s="1513"/>
      <c r="AT63" s="1514">
        <f>AT58/AP58*100-100</f>
        <v>1.594610427650835</v>
      </c>
      <c r="AU63" s="1513"/>
      <c r="AV63" s="1513"/>
      <c r="AW63" s="1513"/>
      <c r="AX63" s="1514">
        <f>AX58/AT58*100-100</f>
        <v>0.64582348260313438</v>
      </c>
      <c r="AY63" s="1513"/>
      <c r="AZ63" s="1513"/>
      <c r="BA63" s="1515"/>
      <c r="BB63" s="1516">
        <f>BB58/AX58*100-100</f>
        <v>0.94991463372710427</v>
      </c>
      <c r="BC63" s="1515"/>
      <c r="BD63" s="1515"/>
      <c r="BE63" s="1515"/>
      <c r="BF63" s="1516">
        <f>BF58/BB58*100-100</f>
        <v>1.9216799091941255</v>
      </c>
      <c r="BG63" s="1515"/>
      <c r="BH63" s="1515"/>
      <c r="BI63" s="1515"/>
      <c r="BJ63" s="1516">
        <f>BJ58/BF58*100-100</f>
        <v>2.8621384740458353</v>
      </c>
      <c r="BK63" s="1515"/>
      <c r="BL63" s="1515"/>
      <c r="BM63" s="1515"/>
      <c r="BN63" s="1516">
        <f>BN58/BJ58*100-100</f>
        <v>1.1184132174139307</v>
      </c>
      <c r="BO63" s="1515"/>
      <c r="BP63" s="1515"/>
      <c r="BQ63" s="1515"/>
      <c r="BR63" s="1516">
        <f>BR58/BN58*100-100</f>
        <v>0.95721444173197767</v>
      </c>
      <c r="BS63" s="1515"/>
      <c r="BT63" s="1515"/>
      <c r="BU63" s="1515"/>
      <c r="BV63" s="1516">
        <f>BV58/BR58*100-100</f>
        <v>1.2344893413935836</v>
      </c>
      <c r="BW63" s="1515"/>
      <c r="BX63" s="1515"/>
      <c r="BY63" s="1515"/>
      <c r="BZ63" s="1516">
        <f>BZ58/BV58*100-100</f>
        <v>1.4101032958283355</v>
      </c>
      <c r="CA63" s="1515"/>
      <c r="CB63" s="1515"/>
      <c r="CC63" s="1515"/>
      <c r="CD63" s="1516">
        <f>CD58/BZ58*100-100</f>
        <v>0.31508264462809166</v>
      </c>
      <c r="CE63" s="1515"/>
      <c r="CF63" s="1515"/>
      <c r="CG63" s="1515"/>
      <c r="CH63" s="1516">
        <f>CH58/CD58*100-100</f>
        <v>0.66114000308942877</v>
      </c>
      <c r="CI63" s="1515"/>
      <c r="CJ63" s="1515"/>
      <c r="CK63" s="1515"/>
      <c r="CL63" s="1516">
        <f>CL58/CH58*100-100</f>
        <v>0.47367182624530813</v>
      </c>
      <c r="CM63" s="1515"/>
      <c r="CN63" s="1515"/>
      <c r="CO63" s="1515"/>
      <c r="CP63" s="1516">
        <f>CP58/CL58*100-100</f>
        <v>0.52438651868442321</v>
      </c>
      <c r="CQ63" s="1515"/>
      <c r="CR63" s="1515"/>
      <c r="CS63" s="1515"/>
      <c r="CT63" s="1516">
        <f>CT58/CP58*100-100</f>
        <v>1.0595087363889633</v>
      </c>
      <c r="CU63" s="1515"/>
      <c r="CV63" s="1515"/>
      <c r="CW63" s="1515"/>
      <c r="CX63" s="1516">
        <f>CX58/CT58*100-100</f>
        <v>0.19313648356329338</v>
      </c>
      <c r="CY63" s="1515"/>
      <c r="CZ63" s="1515"/>
      <c r="DA63" s="1515"/>
      <c r="DB63" s="1516">
        <f>DB58/CX58*100-100</f>
        <v>1.112970947796029</v>
      </c>
    </row>
    <row r="64" spans="1:106" s="749" customFormat="1" ht="12.75" customHeight="1">
      <c r="A64" s="714"/>
      <c r="B64" s="714"/>
      <c r="C64" s="716"/>
      <c r="D64" s="766"/>
      <c r="E64" s="1502" t="s">
        <v>675</v>
      </c>
      <c r="F64" s="766"/>
      <c r="G64" s="1503"/>
      <c r="H64" s="1503"/>
      <c r="I64" s="1503"/>
      <c r="J64" s="1504"/>
      <c r="K64" s="1503"/>
      <c r="L64" s="1503"/>
      <c r="M64" s="1503"/>
      <c r="N64" s="1505">
        <f ca="1">N59/J59*100-100</f>
        <v>-4.3406259453040263</v>
      </c>
      <c r="O64" s="1503"/>
      <c r="P64" s="1503"/>
      <c r="Q64" s="1503"/>
      <c r="R64" s="1505">
        <f ca="1">R59/N59*100-100</f>
        <v>0.64146493397740301</v>
      </c>
      <c r="S64" s="1503"/>
      <c r="T64" s="1503"/>
      <c r="U64" s="1503"/>
      <c r="V64" s="1505">
        <f ca="1">V59/R59*100-100</f>
        <v>1.8480074932747357</v>
      </c>
      <c r="W64" s="1503"/>
      <c r="X64" s="1503"/>
      <c r="Y64" s="1503"/>
      <c r="Z64" s="1505">
        <f ca="1">Z59/V59*100-100</f>
        <v>2.6788084961003165</v>
      </c>
      <c r="AA64" s="1503"/>
      <c r="AB64" s="1503"/>
      <c r="AC64" s="1503"/>
      <c r="AD64" s="1505">
        <f ca="1">AD59/Z59*100-100</f>
        <v>2.9841868725767711</v>
      </c>
      <c r="AE64" s="1503"/>
      <c r="AF64" s="1503"/>
      <c r="AG64" s="1503"/>
      <c r="AH64" s="1505">
        <f ca="1">AH59/AD59*100-100</f>
        <v>1.0046381734411227</v>
      </c>
      <c r="AI64" s="1503"/>
      <c r="AJ64" s="1503"/>
      <c r="AK64" s="1503"/>
      <c r="AL64" s="1505">
        <f ca="1">AL59/AH59*100-100</f>
        <v>2.6650788853614671</v>
      </c>
      <c r="AM64" s="1503"/>
      <c r="AN64" s="1503"/>
      <c r="AO64" s="1503"/>
      <c r="AP64" s="1505">
        <f ca="1">AP59/AL59*100-100</f>
        <v>1.3962712868034686</v>
      </c>
      <c r="AQ64" s="1503"/>
      <c r="AR64" s="1503"/>
      <c r="AS64" s="1503"/>
      <c r="AT64" s="1505">
        <f ca="1">AT59/AP59*100-100</f>
        <v>1.5940156425109393</v>
      </c>
      <c r="AU64" s="1503"/>
      <c r="AV64" s="1503"/>
      <c r="AW64" s="1503"/>
      <c r="AX64" s="1505">
        <f ca="1">AX59/AT59*100-100</f>
        <v>0.64617710054972122</v>
      </c>
      <c r="AY64" s="1503"/>
      <c r="AZ64" s="1503"/>
      <c r="BA64" s="1517"/>
      <c r="BB64" s="1518">
        <f ca="1">BB59/AX59*100-100</f>
        <v>0.95095039760713007</v>
      </c>
      <c r="BC64" s="1517"/>
      <c r="BD64" s="1517"/>
      <c r="BE64" s="1517"/>
      <c r="BF64" s="1518">
        <f ca="1">BF59/BB59*100-100</f>
        <v>1.9216562700521251</v>
      </c>
      <c r="BG64" s="1517"/>
      <c r="BH64" s="1517"/>
      <c r="BI64" s="1517"/>
      <c r="BJ64" s="1518">
        <f ca="1">BJ59/BF59*100-100</f>
        <v>2.8611115961365527</v>
      </c>
      <c r="BK64" s="1517"/>
      <c r="BL64" s="1517"/>
      <c r="BM64" s="1517"/>
      <c r="BN64" s="1518">
        <f ca="1">BN59/BJ59*100-100</f>
        <v>1.1177658784934152</v>
      </c>
      <c r="BO64" s="1517"/>
      <c r="BP64" s="1517"/>
      <c r="BQ64" s="1517"/>
      <c r="BR64" s="1518">
        <f ca="1">BR59/BN59*100-100</f>
        <v>0.95904098015107309</v>
      </c>
      <c r="BS64" s="1517"/>
      <c r="BT64" s="1517"/>
      <c r="BU64" s="1517"/>
      <c r="BV64" s="1518">
        <f ca="1">BV59/BR59*100-100</f>
        <v>1.2337367105858448</v>
      </c>
      <c r="BW64" s="1517"/>
      <c r="BX64" s="1517"/>
      <c r="BY64" s="1517"/>
      <c r="BZ64" s="1518">
        <f ca="1">BZ59/BV59*100-100</f>
        <v>1.4104082361684505</v>
      </c>
      <c r="CA64" s="1517"/>
      <c r="CB64" s="1517"/>
      <c r="CC64" s="1517"/>
      <c r="CD64" s="1518">
        <f ca="1">CD59/BZ59*100-100</f>
        <v>0.31415439052734939</v>
      </c>
      <c r="CE64" s="1517"/>
      <c r="CF64" s="1517"/>
      <c r="CG64" s="1517"/>
      <c r="CH64" s="1518">
        <f ca="1">CH59/CD59*100-100</f>
        <v>0.66083547977555668</v>
      </c>
      <c r="CI64" s="1517"/>
      <c r="CJ64" s="1517"/>
      <c r="CK64" s="1517"/>
      <c r="CL64" s="1518">
        <f ca="1">CL59/CH59*100-100</f>
        <v>0.47377225213607232</v>
      </c>
      <c r="CM64" s="1517"/>
      <c r="CN64" s="1517"/>
      <c r="CO64" s="1517"/>
      <c r="CP64" s="1518">
        <f ca="1">CP59/CL59*100-100</f>
        <v>0.52448957719309419</v>
      </c>
      <c r="CQ64" s="1517"/>
      <c r="CR64" s="1517"/>
      <c r="CS64" s="1517"/>
      <c r="CT64" s="1518">
        <f ca="1">CT59/CP59*100-100</f>
        <v>1.0591097991395202</v>
      </c>
      <c r="CU64" s="1517"/>
      <c r="CV64" s="1517"/>
      <c r="CW64" s="1517"/>
      <c r="CX64" s="1518">
        <f ca="1">CX59/CT59*100-100</f>
        <v>0.18999999999999773</v>
      </c>
      <c r="CY64" s="1517"/>
      <c r="CZ64" s="1517"/>
      <c r="DA64" s="1517"/>
      <c r="DB64" s="1518">
        <f ca="1">DB59/CX59*100-100</f>
        <v>1</v>
      </c>
    </row>
    <row r="65" spans="1:112">
      <c r="AY65" s="218"/>
      <c r="BA65" s="1508"/>
      <c r="BB65" s="1508"/>
      <c r="BC65" s="1508"/>
      <c r="BD65" s="1508"/>
      <c r="BE65" s="1508"/>
      <c r="BF65" s="1508"/>
      <c r="BG65" s="1508"/>
      <c r="BH65" s="1508"/>
      <c r="BI65" s="1508"/>
      <c r="BJ65" s="1508"/>
      <c r="BK65" s="1508"/>
      <c r="BL65" s="1508"/>
      <c r="BM65" s="1508"/>
      <c r="BN65" s="1508"/>
      <c r="BO65" s="1508"/>
      <c r="BP65" s="1508"/>
      <c r="BQ65" s="1508"/>
      <c r="BR65" s="1508"/>
      <c r="BS65" s="1508"/>
      <c r="BT65" s="1508"/>
      <c r="BU65" s="1508"/>
      <c r="BV65" s="1508"/>
      <c r="BW65" s="1508"/>
      <c r="BX65" s="1508"/>
      <c r="BY65" s="1508"/>
      <c r="BZ65" s="1508"/>
      <c r="CA65" s="1508"/>
      <c r="CB65" s="1508"/>
      <c r="CC65" s="1508"/>
      <c r="CD65" s="1508"/>
      <c r="CE65" s="1508"/>
      <c r="CF65" s="1508"/>
      <c r="CG65" s="1508"/>
      <c r="CH65" s="1508"/>
      <c r="CI65" s="1508"/>
      <c r="CJ65" s="1508"/>
      <c r="CK65" s="1508"/>
      <c r="CL65" s="1508"/>
      <c r="CM65" s="1508"/>
      <c r="CN65" s="1508"/>
      <c r="CO65" s="1508"/>
      <c r="CP65" s="1508"/>
      <c r="CQ65" s="1508"/>
      <c r="CR65" s="1508"/>
      <c r="CS65" s="1508"/>
      <c r="CT65" s="1508"/>
      <c r="CU65" s="1508"/>
      <c r="CV65" s="1508"/>
      <c r="CW65" s="1508"/>
      <c r="CX65" s="1508"/>
      <c r="CY65" s="1508"/>
      <c r="CZ65" s="1508"/>
      <c r="DA65" s="1508"/>
      <c r="DB65" s="1508"/>
    </row>
    <row r="66" spans="1:112" s="749" customFormat="1" ht="12.75" customHeight="1">
      <c r="A66" s="714"/>
      <c r="B66" s="714"/>
      <c r="C66" s="716"/>
      <c r="D66" s="898"/>
      <c r="E66" s="899"/>
      <c r="F66" s="900"/>
      <c r="G66" s="1494" t="str">
        <f t="shared" ref="G66:N66" si="438">G61</f>
        <v>Q1</v>
      </c>
      <c r="H66" s="1494" t="str">
        <f t="shared" si="438"/>
        <v>Q2</v>
      </c>
      <c r="I66" s="1494" t="str">
        <f t="shared" si="438"/>
        <v>Q3</v>
      </c>
      <c r="J66" s="1494" t="str">
        <f t="shared" si="438"/>
        <v>Q4</v>
      </c>
      <c r="K66" s="1499" t="str">
        <f t="shared" si="438"/>
        <v>Q1</v>
      </c>
      <c r="L66" s="1494" t="str">
        <f t="shared" si="438"/>
        <v>Q2</v>
      </c>
      <c r="M66" s="1494" t="str">
        <f t="shared" si="438"/>
        <v>Q3</v>
      </c>
      <c r="N66" s="1500" t="str">
        <f t="shared" si="438"/>
        <v>Q4</v>
      </c>
      <c r="O66" s="1499" t="str">
        <f t="shared" ref="O66:AX66" si="439">O61</f>
        <v>Q1</v>
      </c>
      <c r="P66" s="1494" t="str">
        <f t="shared" si="439"/>
        <v>Q2</v>
      </c>
      <c r="Q66" s="1494" t="str">
        <f t="shared" si="439"/>
        <v>Q3</v>
      </c>
      <c r="R66" s="1500" t="str">
        <f t="shared" si="439"/>
        <v>Q4</v>
      </c>
      <c r="S66" s="1499" t="str">
        <f t="shared" si="439"/>
        <v>Q1</v>
      </c>
      <c r="T66" s="1494" t="str">
        <f t="shared" si="439"/>
        <v>Q2</v>
      </c>
      <c r="U66" s="1494" t="str">
        <f t="shared" si="439"/>
        <v>Q3</v>
      </c>
      <c r="V66" s="1500" t="str">
        <f t="shared" si="439"/>
        <v>Q4</v>
      </c>
      <c r="W66" s="1499" t="str">
        <f t="shared" si="439"/>
        <v>Q1</v>
      </c>
      <c r="X66" s="1494" t="str">
        <f t="shared" si="439"/>
        <v>Q2</v>
      </c>
      <c r="Y66" s="1494" t="str">
        <f t="shared" si="439"/>
        <v>Q3</v>
      </c>
      <c r="Z66" s="1500" t="str">
        <f t="shared" si="439"/>
        <v>Q4</v>
      </c>
      <c r="AA66" s="1499" t="str">
        <f t="shared" si="439"/>
        <v>Q1</v>
      </c>
      <c r="AB66" s="1494" t="str">
        <f t="shared" si="439"/>
        <v>Q2</v>
      </c>
      <c r="AC66" s="1494" t="str">
        <f t="shared" si="439"/>
        <v>Q3</v>
      </c>
      <c r="AD66" s="1500" t="str">
        <f t="shared" si="439"/>
        <v>Q4</v>
      </c>
      <c r="AE66" s="1499" t="str">
        <f t="shared" si="439"/>
        <v>Q1</v>
      </c>
      <c r="AF66" s="1494" t="str">
        <f t="shared" si="439"/>
        <v>Q2</v>
      </c>
      <c r="AG66" s="1494" t="str">
        <f t="shared" si="439"/>
        <v>Q3</v>
      </c>
      <c r="AH66" s="1500" t="str">
        <f t="shared" si="439"/>
        <v>Q4</v>
      </c>
      <c r="AI66" s="1499" t="str">
        <f t="shared" si="439"/>
        <v>Q1</v>
      </c>
      <c r="AJ66" s="1494" t="str">
        <f t="shared" si="439"/>
        <v>Q2</v>
      </c>
      <c r="AK66" s="1494" t="str">
        <f t="shared" si="439"/>
        <v>Q3</v>
      </c>
      <c r="AL66" s="1500" t="str">
        <f t="shared" si="439"/>
        <v>Q4</v>
      </c>
      <c r="AM66" s="1499" t="str">
        <f t="shared" si="439"/>
        <v>Q1</v>
      </c>
      <c r="AN66" s="1494" t="str">
        <f t="shared" si="439"/>
        <v>Q2</v>
      </c>
      <c r="AO66" s="1494" t="str">
        <f t="shared" si="439"/>
        <v>Q3</v>
      </c>
      <c r="AP66" s="1500" t="str">
        <f t="shared" si="439"/>
        <v>Q4</v>
      </c>
      <c r="AQ66" s="1499" t="str">
        <f t="shared" si="439"/>
        <v>Q1</v>
      </c>
      <c r="AR66" s="1494" t="str">
        <f t="shared" si="439"/>
        <v>Q2</v>
      </c>
      <c r="AS66" s="1494" t="str">
        <f t="shared" si="439"/>
        <v>Q3</v>
      </c>
      <c r="AT66" s="1500" t="str">
        <f t="shared" si="439"/>
        <v>Q4</v>
      </c>
      <c r="AU66" s="1499" t="str">
        <f t="shared" si="439"/>
        <v>Q1</v>
      </c>
      <c r="AV66" s="1494" t="str">
        <f t="shared" si="439"/>
        <v>Q2</v>
      </c>
      <c r="AW66" s="1494" t="str">
        <f t="shared" si="439"/>
        <v>Q3</v>
      </c>
      <c r="AX66" s="1500" t="str">
        <f t="shared" si="439"/>
        <v>Q4</v>
      </c>
      <c r="AY66" s="1499" t="str">
        <f>AY61</f>
        <v>Q1</v>
      </c>
      <c r="AZ66" s="1494" t="str">
        <f>AZ61</f>
        <v>Q2</v>
      </c>
      <c r="BA66" s="1494" t="str">
        <f t="shared" ref="BA66:BF66" si="440">BA61</f>
        <v>Q3</v>
      </c>
      <c r="BB66" s="1500" t="str">
        <f t="shared" si="440"/>
        <v>Q4</v>
      </c>
      <c r="BC66" s="1499" t="str">
        <f t="shared" si="440"/>
        <v>Q1</v>
      </c>
      <c r="BD66" s="1494" t="str">
        <f t="shared" si="440"/>
        <v>Q2</v>
      </c>
      <c r="BE66" s="1494" t="str">
        <f t="shared" si="440"/>
        <v>Q3</v>
      </c>
      <c r="BF66" s="1500" t="str">
        <f t="shared" si="440"/>
        <v>Q4</v>
      </c>
      <c r="BG66" s="1499" t="str">
        <f t="shared" ref="BG66:BN66" si="441">BG61</f>
        <v>Q1</v>
      </c>
      <c r="BH66" s="1494" t="str">
        <f t="shared" si="441"/>
        <v>Q2</v>
      </c>
      <c r="BI66" s="1494" t="str">
        <f t="shared" si="441"/>
        <v>Q3</v>
      </c>
      <c r="BJ66" s="1500" t="str">
        <f t="shared" si="441"/>
        <v>Q4</v>
      </c>
      <c r="BK66" s="1499" t="str">
        <f>BK61</f>
        <v>Q1</v>
      </c>
      <c r="BL66" s="1494" t="str">
        <f>BL61</f>
        <v>Q2</v>
      </c>
      <c r="BM66" s="1494" t="str">
        <f>BM61</f>
        <v>Q3</v>
      </c>
      <c r="BN66" s="1500" t="str">
        <f t="shared" si="441"/>
        <v>Q4</v>
      </c>
      <c r="BO66" s="1499" t="str">
        <f>BO61</f>
        <v>Q1</v>
      </c>
      <c r="BP66" s="1494" t="str">
        <f>BP61</f>
        <v>Q2</v>
      </c>
      <c r="BQ66" s="1494" t="str">
        <f t="shared" ref="BQ66:BV66" si="442">BQ61</f>
        <v>Q3</v>
      </c>
      <c r="BR66" s="1500" t="str">
        <f t="shared" si="442"/>
        <v>Q4</v>
      </c>
      <c r="BS66" s="1499" t="str">
        <f t="shared" si="442"/>
        <v>Q1</v>
      </c>
      <c r="BT66" s="1494" t="str">
        <f t="shared" si="442"/>
        <v>Q2</v>
      </c>
      <c r="BU66" s="1494" t="str">
        <f t="shared" si="442"/>
        <v>Q3</v>
      </c>
      <c r="BV66" s="1500" t="str">
        <f t="shared" si="442"/>
        <v>Q4</v>
      </c>
      <c r="BW66" s="1499" t="str">
        <f t="shared" ref="BW66:CD66" si="443">BW61</f>
        <v>Q1</v>
      </c>
      <c r="BX66" s="1494" t="str">
        <f t="shared" si="443"/>
        <v>Q2</v>
      </c>
      <c r="BY66" s="1494" t="str">
        <f t="shared" si="443"/>
        <v>Q3</v>
      </c>
      <c r="BZ66" s="1500" t="str">
        <f t="shared" si="443"/>
        <v>Q4</v>
      </c>
      <c r="CA66" s="1499" t="str">
        <f>CA61</f>
        <v>Q1</v>
      </c>
      <c r="CB66" s="1494" t="str">
        <f t="shared" si="443"/>
        <v>Q2</v>
      </c>
      <c r="CC66" s="1494" t="str">
        <f t="shared" ref="CC66" si="444">CC61</f>
        <v>Q3</v>
      </c>
      <c r="CD66" s="1500" t="str">
        <f t="shared" si="443"/>
        <v>Q4</v>
      </c>
      <c r="CE66" s="1499" t="str">
        <f>CE61</f>
        <v>Q1</v>
      </c>
      <c r="CF66" s="1494" t="str">
        <f t="shared" ref="CF66:CH66" si="445">CF61</f>
        <v>Q2</v>
      </c>
      <c r="CG66" s="1494" t="str">
        <f t="shared" si="445"/>
        <v>Q3</v>
      </c>
      <c r="CH66" s="1500" t="str">
        <f t="shared" si="445"/>
        <v>Q4</v>
      </c>
      <c r="CI66" s="1499" t="str">
        <f>CI61</f>
        <v>Q1</v>
      </c>
      <c r="CJ66" s="1494" t="str">
        <f t="shared" ref="CJ66:CL66" si="446">CJ61</f>
        <v>Q2</v>
      </c>
      <c r="CK66" s="1494" t="str">
        <f t="shared" si="446"/>
        <v>Q3</v>
      </c>
      <c r="CL66" s="1500" t="str">
        <f t="shared" si="446"/>
        <v>Q4</v>
      </c>
      <c r="CM66" s="1499" t="str">
        <f>CM61</f>
        <v>Q1</v>
      </c>
      <c r="CN66" s="1494" t="str">
        <f t="shared" ref="CN66:CP66" si="447">CN61</f>
        <v>Q2</v>
      </c>
      <c r="CO66" s="1494" t="str">
        <f t="shared" si="447"/>
        <v>Q3</v>
      </c>
      <c r="CP66" s="1500" t="str">
        <f t="shared" si="447"/>
        <v>Q4</v>
      </c>
      <c r="CQ66" s="1499" t="str">
        <f>CQ61</f>
        <v>Q1</v>
      </c>
      <c r="CR66" s="1494" t="str">
        <f t="shared" ref="CR66:CS66" si="448">CR61</f>
        <v>Q2</v>
      </c>
      <c r="CS66" s="1494" t="str">
        <f t="shared" si="448"/>
        <v>Q3</v>
      </c>
      <c r="CT66" s="1500" t="str">
        <f t="shared" ref="CT66" si="449">CT61</f>
        <v>Q4</v>
      </c>
      <c r="CU66" s="1499" t="str">
        <f t="shared" ref="CU66:CX66" si="450">CU61</f>
        <v>Q1</v>
      </c>
      <c r="CV66" s="1494" t="str">
        <f t="shared" si="450"/>
        <v>Q2</v>
      </c>
      <c r="CW66" s="1494" t="str">
        <f t="shared" si="450"/>
        <v>Q3</v>
      </c>
      <c r="CX66" s="1500" t="str">
        <f t="shared" si="450"/>
        <v>Q4</v>
      </c>
      <c r="CY66" s="1499" t="str">
        <f t="shared" ref="CY66:DB66" si="451">CY61</f>
        <v>Q1</v>
      </c>
      <c r="CZ66" s="1494" t="str">
        <f t="shared" si="451"/>
        <v>Q2</v>
      </c>
      <c r="DA66" s="1494" t="str">
        <f t="shared" si="451"/>
        <v>Q3</v>
      </c>
      <c r="DB66" s="1500" t="str">
        <f t="shared" si="451"/>
        <v>Q4</v>
      </c>
    </row>
    <row r="67" spans="1:112" s="749" customFormat="1" ht="12.75" customHeight="1">
      <c r="A67" s="714"/>
      <c r="B67" s="714"/>
      <c r="C67" s="902"/>
      <c r="D67" s="903"/>
      <c r="E67" s="904" t="s">
        <v>676</v>
      </c>
      <c r="F67" s="905"/>
      <c r="G67" s="755"/>
      <c r="H67" s="755"/>
      <c r="I67" s="755"/>
      <c r="J67" s="755"/>
      <c r="K67" s="1469">
        <f t="shared" ref="K67:BF67" si="452">(K57/G57-1)*100</f>
        <v>1.607717041800627</v>
      </c>
      <c r="L67" s="1469">
        <f t="shared" si="452"/>
        <v>1.508328359828548</v>
      </c>
      <c r="M67" s="1469">
        <f t="shared" si="452"/>
        <v>1.2967365463583347</v>
      </c>
      <c r="N67" s="1469">
        <f t="shared" si="452"/>
        <v>1.0704104136409986</v>
      </c>
      <c r="O67" s="1469">
        <f t="shared" si="452"/>
        <v>0.71336623042266289</v>
      </c>
      <c r="P67" s="1469">
        <f t="shared" si="452"/>
        <v>0.53450211128334146</v>
      </c>
      <c r="Q67" s="1469">
        <f t="shared" si="452"/>
        <v>0.59206315340303295</v>
      </c>
      <c r="R67" s="1469">
        <f t="shared" si="452"/>
        <v>0.73443320915380639</v>
      </c>
      <c r="S67" s="1469">
        <f t="shared" si="452"/>
        <v>1.3686957447941461</v>
      </c>
      <c r="T67" s="1469">
        <f t="shared" si="452"/>
        <v>1.7491626349088296</v>
      </c>
      <c r="U67" s="1469">
        <f t="shared" si="452"/>
        <v>2.0202555808897404</v>
      </c>
      <c r="V67" s="1469">
        <f t="shared" si="452"/>
        <v>2.2453508030431113</v>
      </c>
      <c r="W67" s="1469">
        <f t="shared" si="452"/>
        <v>2.3484291268256907</v>
      </c>
      <c r="X67" s="1469">
        <f t="shared" si="452"/>
        <v>2.5080990699132499</v>
      </c>
      <c r="Y67" s="1469">
        <f t="shared" si="452"/>
        <v>2.7650727650727625</v>
      </c>
      <c r="Z67" s="1469">
        <f t="shared" si="452"/>
        <v>3.0899602128868775</v>
      </c>
      <c r="AA67" s="1469">
        <f t="shared" si="452"/>
        <v>3.3571171911092934</v>
      </c>
      <c r="AB67" s="1469">
        <f t="shared" si="452"/>
        <v>3.2877969211948299</v>
      </c>
      <c r="AC67" s="1469">
        <f t="shared" si="452"/>
        <v>2.9486142019016892</v>
      </c>
      <c r="AD67" s="1469">
        <f t="shared" si="452"/>
        <v>2.3607839206054804</v>
      </c>
      <c r="AE67" s="1469">
        <f t="shared" si="452"/>
        <v>1.3012167866898183</v>
      </c>
      <c r="AF67" s="1469">
        <f t="shared" si="452"/>
        <v>0.83896757637071939</v>
      </c>
      <c r="AG67" s="1469">
        <f t="shared" si="452"/>
        <v>0.79587324981575946</v>
      </c>
      <c r="AH67" s="1469">
        <f t="shared" si="452"/>
        <v>1.0723729311526764</v>
      </c>
      <c r="AI67" s="1469">
        <f t="shared" si="452"/>
        <v>2.1571799774476652</v>
      </c>
      <c r="AJ67" s="1469">
        <f t="shared" si="452"/>
        <v>2.784711006704832</v>
      </c>
      <c r="AK67" s="1469">
        <f t="shared" si="452"/>
        <v>3.0121362772335347</v>
      </c>
      <c r="AL67" s="1469">
        <f t="shared" si="452"/>
        <v>2.7130468485054182</v>
      </c>
      <c r="AM67" s="1469">
        <f t="shared" si="452"/>
        <v>1.6893026827278446</v>
      </c>
      <c r="AN67" s="1469">
        <f t="shared" si="452"/>
        <v>1.2665460432339959</v>
      </c>
      <c r="AO67" s="1469">
        <f t="shared" si="452"/>
        <v>1.1876035013011377</v>
      </c>
      <c r="AP67" s="1469">
        <f t="shared" si="452"/>
        <v>1.4433281448988255</v>
      </c>
      <c r="AQ67" s="1469">
        <f t="shared" si="452"/>
        <v>1.9160885365047786</v>
      </c>
      <c r="AR67" s="1469">
        <f t="shared" si="452"/>
        <v>1.7961256347564403</v>
      </c>
      <c r="AS67" s="1469">
        <f t="shared" si="452"/>
        <v>1.4963059945758861</v>
      </c>
      <c r="AT67" s="1469">
        <f t="shared" si="452"/>
        <v>1.1763611847305455</v>
      </c>
      <c r="AU67" s="1469">
        <f t="shared" si="452"/>
        <v>0.9261403102570176</v>
      </c>
      <c r="AV67" s="1469">
        <f t="shared" si="452"/>
        <v>0.75288683602772188</v>
      </c>
      <c r="AW67" s="1469">
        <f t="shared" si="452"/>
        <v>0.55744955311896049</v>
      </c>
      <c r="AX67" s="1469">
        <f t="shared" si="452"/>
        <v>0.34926470588234615</v>
      </c>
      <c r="AY67" s="1469">
        <f t="shared" si="452"/>
        <v>0.44505620555173042</v>
      </c>
      <c r="AZ67" s="1469">
        <f t="shared" si="452"/>
        <v>0.78852060697749415</v>
      </c>
      <c r="BA67" s="1469">
        <f t="shared" si="452"/>
        <v>1.0858111513263324</v>
      </c>
      <c r="BB67" s="1469">
        <f t="shared" si="452"/>
        <v>1.4792086462722231</v>
      </c>
      <c r="BC67" s="1469">
        <f t="shared" si="452"/>
        <v>1.6078932943541124</v>
      </c>
      <c r="BD67" s="1469">
        <f t="shared" si="452"/>
        <v>1.6738685467364123</v>
      </c>
      <c r="BE67" s="1469">
        <f t="shared" si="452"/>
        <v>2.0304568527918843</v>
      </c>
      <c r="BF67" s="1469">
        <f t="shared" si="452"/>
        <v>2.3692404891917596</v>
      </c>
      <c r="BG67" s="1469">
        <f t="shared" ref="BG67:BN67" si="453">(BG57/BC57-1)*100</f>
        <v>2.7198345621291198</v>
      </c>
      <c r="BH67" s="1469">
        <f t="shared" si="453"/>
        <v>2.99288686082404</v>
      </c>
      <c r="BI67" s="1469">
        <f t="shared" si="453"/>
        <v>2.9406538734896959</v>
      </c>
      <c r="BJ67" s="1469">
        <f t="shared" si="453"/>
        <v>2.7949215305942632</v>
      </c>
      <c r="BK67" s="1469">
        <f>(BK57/BG57-1)*100</f>
        <v>1.8556610792594741</v>
      </c>
      <c r="BL67" s="1469">
        <f>(BL57/BH57-1)*100</f>
        <v>1.2509773260359625</v>
      </c>
      <c r="BM67" s="1469">
        <f>(BM57/BI57-1)*100</f>
        <v>0.83282989557262876</v>
      </c>
      <c r="BN67" s="1469">
        <f t="shared" si="453"/>
        <v>0.54893215541642615</v>
      </c>
      <c r="BO67" s="1469">
        <f>(BO57/BK57-1)*100</f>
        <v>1.1171744081124091</v>
      </c>
      <c r="BP67" s="1469">
        <f>(BP57/BL57-1)*100</f>
        <v>1.0467610467610466</v>
      </c>
      <c r="BQ67" s="1469">
        <f t="shared" ref="BQ67:BV67" si="454">(BQ57/BM57-1)*100</f>
        <v>0.85590790430949415</v>
      </c>
      <c r="BR67" s="1469">
        <f t="shared" si="454"/>
        <v>0.81037277147486542</v>
      </c>
      <c r="BS67" s="1469">
        <f t="shared" si="454"/>
        <v>0.76488335528832607</v>
      </c>
      <c r="BT67" s="1469">
        <f t="shared" si="454"/>
        <v>0.92128725481872564</v>
      </c>
      <c r="BU67" s="1469">
        <f t="shared" si="454"/>
        <v>1.633640259685154</v>
      </c>
      <c r="BV67" s="1469">
        <f t="shared" si="454"/>
        <v>1.6161787104417069</v>
      </c>
      <c r="BW67" s="1469">
        <f t="shared" ref="BW67:CH67" si="455">(BW57/BS57-1)*100</f>
        <v>1.5814110403576054</v>
      </c>
      <c r="BX67" s="1469">
        <f t="shared" si="455"/>
        <v>1.8846493626687888</v>
      </c>
      <c r="BY67" s="1469">
        <f t="shared" si="455"/>
        <v>1.1063794255176784</v>
      </c>
      <c r="BZ67" s="1469">
        <f t="shared" si="455"/>
        <v>1.0741943542343257</v>
      </c>
      <c r="CA67" s="1469">
        <f t="shared" si="455"/>
        <v>1.1125871803387533</v>
      </c>
      <c r="CB67" s="1469">
        <f t="shared" si="455"/>
        <v>0.14864362690447663</v>
      </c>
      <c r="CC67" s="1469">
        <f t="shared" si="455"/>
        <v>0.24363050749474091</v>
      </c>
      <c r="CD67" s="1469">
        <f t="shared" si="455"/>
        <v>-0.23891909705058278</v>
      </c>
      <c r="CE67" s="1469">
        <f t="shared" si="455"/>
        <v>-0.29561504352111356</v>
      </c>
      <c r="CF67" s="1469">
        <f t="shared" si="455"/>
        <v>0.40404040404040664</v>
      </c>
      <c r="CG67" s="1469">
        <f t="shared" si="455"/>
        <v>1.0092272202998798</v>
      </c>
      <c r="CH67" s="1469">
        <f t="shared" si="455"/>
        <v>1.5319184077958514</v>
      </c>
      <c r="CI67" s="1469">
        <f t="shared" ref="CI67" si="456">(CI57/CE57-1)*100</f>
        <v>1.0953714379838608</v>
      </c>
      <c r="CJ67" s="1469">
        <f t="shared" ref="CJ67:CS67" si="457">(CJ57/CF57-1)*100</f>
        <v>0.94854843345788531</v>
      </c>
      <c r="CK67" s="1469">
        <f t="shared" si="457"/>
        <v>-9.7875290567273066E-2</v>
      </c>
      <c r="CL67" s="1469">
        <f t="shared" si="457"/>
        <v>-4.0668591646664254E-2</v>
      </c>
      <c r="CM67" s="1469">
        <f t="shared" si="457"/>
        <v>0.38696537678206688</v>
      </c>
      <c r="CN67" s="1469">
        <f t="shared" si="457"/>
        <v>-2.8473804100215272E-2</v>
      </c>
      <c r="CO67" s="1469">
        <f t="shared" si="457"/>
        <v>0.65722333346940331</v>
      </c>
      <c r="CP67" s="1469">
        <f t="shared" si="457"/>
        <v>1.0822246633304777</v>
      </c>
      <c r="CQ67" s="1469">
        <f t="shared" si="457"/>
        <v>0.5640089267599846</v>
      </c>
      <c r="CR67" s="1469">
        <f t="shared" si="457"/>
        <v>1.1718273182243388</v>
      </c>
      <c r="CS67" s="1469">
        <f t="shared" si="457"/>
        <v>1.2571984751398979</v>
      </c>
      <c r="CT67" s="1469">
        <f t="shared" ref="CT67" si="458">(CT57/CP57-1)*100</f>
        <v>1.2437110082511582</v>
      </c>
      <c r="CU67" s="1469">
        <f t="shared" ref="CU67" si="459">(CU57/CQ57-1)*100</f>
        <v>1.229017107811492</v>
      </c>
      <c r="CV67" s="1469">
        <f t="shared" ref="CV67" si="460">(CV57/CR57-1)*100</f>
        <v>0.63691631224611633</v>
      </c>
      <c r="CW67" s="1469">
        <f t="shared" ref="CW67" si="461">(CW57/CS57-1)*100</f>
        <v>-3.8815760119781384E-2</v>
      </c>
      <c r="CX67" s="1469">
        <f t="shared" ref="CX67" si="462">(CX57/CT57-1)*100</f>
        <v>-1.0359510258302507</v>
      </c>
      <c r="CY67" s="1469">
        <f t="shared" ref="CY67" si="463">(CY57/CU57-1)*100</f>
        <v>-0.18264160014560549</v>
      </c>
      <c r="CZ67" s="1469">
        <f t="shared" ref="CZ67" si="464">(CZ57/CV57-1)*100</f>
        <v>0.67802541633599223</v>
      </c>
      <c r="DA67" s="1469">
        <f t="shared" ref="DA67" si="465">(DA57/CW57-1)*100</f>
        <v>1.5461134638399932</v>
      </c>
      <c r="DB67" s="1469">
        <f t="shared" ref="DB67" si="466">(DB57/CX57-1)*100</f>
        <v>2.4216865295999979</v>
      </c>
    </row>
    <row r="68" spans="1:112" s="749" customFormat="1" ht="12.75" customHeight="1">
      <c r="A68" s="714"/>
      <c r="B68" s="714"/>
      <c r="C68" s="986"/>
      <c r="D68" s="724"/>
      <c r="E68" s="830" t="s">
        <v>569</v>
      </c>
      <c r="F68" s="754"/>
      <c r="G68" s="755"/>
      <c r="H68" s="755"/>
      <c r="I68" s="755"/>
      <c r="J68" s="755"/>
      <c r="K68" s="1469">
        <f>(4*K57/J58-1)*100</f>
        <v>0.94343453484753148</v>
      </c>
      <c r="L68" s="1469">
        <f>((K57+3*L57)/J58-1)*100</f>
        <v>1.2073796342668253</v>
      </c>
      <c r="M68" s="1469">
        <f>((K57+L57+2*M57)/J58-1)*100</f>
        <v>1.312957674034565</v>
      </c>
      <c r="N68" s="1532"/>
      <c r="O68" s="1469">
        <f>(4*O57/N58-1)*100</f>
        <v>0.28975444312402399</v>
      </c>
      <c r="P68" s="1469">
        <f>((O57+3*P57)/N58-1)*100</f>
        <v>0.41794074054295471</v>
      </c>
      <c r="Q68" s="1469">
        <f>((O57+P57+2*Q57)/N58-1)*100</f>
        <v>0.55146813368764924</v>
      </c>
      <c r="R68" s="1532"/>
      <c r="S68" s="1469">
        <f>(4*S57/R58-1)*100</f>
        <v>1.0122988337998962</v>
      </c>
      <c r="T68" s="1469">
        <f>((S57+3*T57)/R58-1)*100</f>
        <v>1.4262401655765311</v>
      </c>
      <c r="U68" s="1469">
        <f>((S57+T57+2*U57)/R58-1)*100</f>
        <v>1.6968941132766036</v>
      </c>
      <c r="V68" s="1532"/>
      <c r="W68" s="1469">
        <f>(4*W57/V58-1)*100</f>
        <v>1.5098026444343438</v>
      </c>
      <c r="X68" s="1469">
        <f>((W57+3*X57)/V58-1)*100</f>
        <v>2.0452028919429655</v>
      </c>
      <c r="Y68" s="1469">
        <f>((W57+X57+2*Y57)/V58-1)*100</f>
        <v>2.4464274083241255</v>
      </c>
      <c r="Z68" s="1532"/>
      <c r="AA68" s="1469">
        <f>(4*AA57/Z58-1)*100</f>
        <v>2.1795945294460939</v>
      </c>
      <c r="AB68" s="1469">
        <f>((AA57+3*AB57)/Z58-1)*100</f>
        <v>2.666768161173283</v>
      </c>
      <c r="AC68" s="1469">
        <f>((AA57+AB57+2*AC57)/Z58-1)*100</f>
        <v>2.9002055263758875</v>
      </c>
      <c r="AD68" s="1532"/>
      <c r="AE68" s="1469">
        <f>(4*AE57/AD58-1)*100</f>
        <v>0.50877733292269411</v>
      </c>
      <c r="AF68" s="1469">
        <f>((AE57+3*AF57)/AD58-1)*100</f>
        <v>0.64182322143517823</v>
      </c>
      <c r="AG68" s="1469">
        <f>((AE57+AF57+2*AG57)/AD58-1)*100</f>
        <v>0.84878349245458562</v>
      </c>
      <c r="AH68" s="1532"/>
      <c r="AI68" s="1469">
        <f>(4*AI57/AH58-1)*100</f>
        <v>1.6587793335610002</v>
      </c>
      <c r="AJ68" s="1469">
        <f>((AI57+3*AJ57)/AH58-1)*100</f>
        <v>2.26252622334977</v>
      </c>
      <c r="AK68" s="1469">
        <f>((AI57+AJ57+2*AK57)/AH58-1)*100</f>
        <v>2.5869639459433103</v>
      </c>
      <c r="AL68" s="1532"/>
      <c r="AM68" s="1469">
        <f>(4*AM57/AL58-1)*100</f>
        <v>0.69022869022867805</v>
      </c>
      <c r="AN68" s="1469">
        <f>((AM57+3*AN57)/AL58-1)*100</f>
        <v>0.97178497178496137</v>
      </c>
      <c r="AO68" s="1469">
        <f>((AM57+AN57+2*AO57)/AL58-1)*100</f>
        <v>1.252153252153243</v>
      </c>
      <c r="AP68" s="1532"/>
      <c r="AQ68" s="1469">
        <f>(4*AQ57/AP58-1)*100</f>
        <v>1.2067955477445658</v>
      </c>
      <c r="AR68" s="1469">
        <f>((AQ57+3*AR57)/AP58-1)*100</f>
        <v>1.4001171646162547</v>
      </c>
      <c r="AS68" s="1469">
        <f>((AQ57+AR57+2*AS57)/AP58-1)*100</f>
        <v>1.5313415348564563</v>
      </c>
      <c r="AT68" s="1532"/>
      <c r="AU68" s="1469">
        <f>(4*AU57/AT58-1)*100</f>
        <v>0.54087716668012042</v>
      </c>
      <c r="AV68" s="1469">
        <f>((AU57+3*AV57)/AT58-1)*100</f>
        <v>0.60315300250255444</v>
      </c>
      <c r="AW68" s="1469">
        <f>((AU57+AV57+2*AW57)/AT58-1)*100</f>
        <v>0.63544417663272679</v>
      </c>
      <c r="AX68" s="1532"/>
      <c r="AY68" s="1469">
        <f>(4*AY57/AX58-1)*100</f>
        <v>0.34031923548487608</v>
      </c>
      <c r="AZ68" s="1469">
        <f>((AY57+3*AZ57)/AX58-1)*100</f>
        <v>0.66001306275853544</v>
      </c>
      <c r="BA68" s="1469">
        <f>((AY57+AZ57+2*BA57)/AX58-1)*100</f>
        <v>0.84105831261243047</v>
      </c>
      <c r="BB68" s="1532"/>
      <c r="BC68" s="1469">
        <f>(4*BC57/BB58-1)*100</f>
        <v>0.99432463110102898</v>
      </c>
      <c r="BD68" s="1469">
        <f>((BC57+3*BD57)/BB58-1)*100</f>
        <v>1.365493757094205</v>
      </c>
      <c r="BE68" s="1469">
        <f>((BC57+BD57+2*BE57)/BB58-1)*100</f>
        <v>1.7264472190692493</v>
      </c>
      <c r="BF68" s="1532"/>
      <c r="BG68" s="1469">
        <f>(4*BG57/BF58-1)*100</f>
        <v>1.7852171104651759</v>
      </c>
      <c r="BH68" s="1469">
        <f>((BG57+3*BH57)/BF58-1)*100</f>
        <v>2.3632131680643154</v>
      </c>
      <c r="BI68" s="1469">
        <f>((BG57+BH57+2*BI57)/BF58-1)*100</f>
        <v>2.7017696256946389</v>
      </c>
      <c r="BJ68" s="1532"/>
      <c r="BK68" s="1469">
        <f>(4*BK57/BJ58-1)*100</f>
        <v>0.7892770914760483</v>
      </c>
      <c r="BL68" s="1469">
        <f>((BK57+3*BL57)/BJ58-1)*100</f>
        <v>0.9094550848283367</v>
      </c>
      <c r="BM68" s="1469">
        <f>((BK57+BL57+2*BM57)/BJ58-1)*100</f>
        <v>1.0328811320550635</v>
      </c>
      <c r="BN68" s="1532"/>
      <c r="BO68" s="1469">
        <f>(4*BO57/BN58-1)*100</f>
        <v>0.78804231444602468</v>
      </c>
      <c r="BP68" s="1469">
        <f>((BO57+3*BP57)/BN58-1)*100</f>
        <v>0.85549702342710976</v>
      </c>
      <c r="BQ68" s="1469">
        <f>((BO57+BP57+2*BQ57)/BN58-1)*100</f>
        <v>0.88333547475267782</v>
      </c>
      <c r="BR68" s="1532"/>
      <c r="BS68" s="1469">
        <f>(4*BS57/BR58-1)*100</f>
        <v>0.59603351362818024</v>
      </c>
      <c r="BT68" s="1469">
        <f>((BS57+3*BT57)/BR58-1)*100</f>
        <v>0.78057058012517277</v>
      </c>
      <c r="BU68" s="1469">
        <f>((BS57+BT57+2*BU57)/BR58-1)*100</f>
        <v>1.1644925230671399</v>
      </c>
      <c r="BV68" s="1532"/>
      <c r="BW68" s="1469">
        <f>(4*BW57/BV58-1)*100</f>
        <v>0.94076728057492787</v>
      </c>
      <c r="BX68" s="1469">
        <f>((BW57+3*BX57)/BV58-1)*100</f>
        <v>1.3524839189557269</v>
      </c>
      <c r="BY68" s="1469">
        <f>((BW57+BX57+2*BY57)/BV58-1)*100</f>
        <v>1.3482934188195239</v>
      </c>
      <c r="BZ68" s="1532"/>
      <c r="CA68" s="1469">
        <f>(4*CA57/BZ58-1)*100</f>
        <v>0.6446280991735609</v>
      </c>
      <c r="CB68" s="1469">
        <f>((CA57+3*CB57)/BZ58-1)*100</f>
        <v>0.33161157024794718</v>
      </c>
      <c r="CC68" s="1469">
        <f>((CA57+CB57+2*CC57)/BZ58-1)*100</f>
        <v>0.37500000000001421</v>
      </c>
      <c r="CD68" s="1532"/>
      <c r="CE68" s="1469">
        <f>(4*CE57/CD58-1)*100</f>
        <v>3.1924205756639346E-2</v>
      </c>
      <c r="CF68" s="1469">
        <f>((CE57+3*CF57)/CD58-1)*100</f>
        <v>0.24509551516398442</v>
      </c>
      <c r="CG68" s="1469">
        <f>((CE57+CF57+2*CG57)/CD58-1)*100</f>
        <v>0.59111271304257418</v>
      </c>
      <c r="CH68" s="1532"/>
      <c r="CI68" s="1469">
        <f>(4*CI57/CH58-1)*100</f>
        <v>0.4634413332378573</v>
      </c>
      <c r="CJ68" s="1469">
        <f>((CI57+3*CJ57)/CH58-1)*100</f>
        <v>0.56779236191391025</v>
      </c>
      <c r="CK68" s="1469">
        <f>((CI57+CJ57+2*CK57)/CH58-1)*100</f>
        <v>0.38978178358415327</v>
      </c>
      <c r="CL68" s="1532"/>
      <c r="CM68" s="1469">
        <f>(4*CM57/CL58-1)*100</f>
        <v>0.37674371245288718</v>
      </c>
      <c r="CN68" s="1469">
        <f>((CM57+3*CN57)/CL58-1)*100</f>
        <v>0.1690255574788635</v>
      </c>
      <c r="CO68" s="1469">
        <f>((CM57+CN57+2*CO57)/CL58-1)*100</f>
        <v>0.33397820995826333</v>
      </c>
      <c r="CP68" s="1532"/>
      <c r="CQ68" s="1469">
        <f>(4*CQ57/CP58-1)*100</f>
        <v>0.41630792605722444</v>
      </c>
      <c r="CR68" s="1469">
        <f>((CQ57+3*CR57)/CP58-1)*100</f>
        <v>0.66244618890858309</v>
      </c>
      <c r="CS68" s="1469">
        <f>((CQ57+CR57+2*CS57)/CP58-1)*100</f>
        <v>0.87110660926819072</v>
      </c>
      <c r="CT68" s="1532"/>
      <c r="CU68" s="1469">
        <f>(4*CU57/CT58-1)*100</f>
        <v>0.584737448757644</v>
      </c>
      <c r="CV68" s="1469">
        <f>((CU57+3*CV57)/CT58-1)*100</f>
        <v>0.38859721073256637</v>
      </c>
      <c r="CW68" s="1469">
        <f>((CU57+CV57+2*CW57)/CT58-1)*100</f>
        <v>0.25817702846175905</v>
      </c>
      <c r="CX68" s="1532"/>
      <c r="CY68" s="1469">
        <f>(4*CY57/CX58-1)*100</f>
        <v>0.20749065106848708</v>
      </c>
      <c r="CZ68" s="1469">
        <f>((CY57+3*CZ57)/CX58-1)*100</f>
        <v>0.65842435899829965</v>
      </c>
      <c r="DA68" s="1469">
        <f>((CY57+CZ57+2*DA57)/CX58-1)*100</f>
        <v>0.96085056578321115</v>
      </c>
      <c r="DB68" s="1532"/>
    </row>
    <row r="69" spans="1:112">
      <c r="C69" s="1460"/>
      <c r="D69" s="872"/>
      <c r="E69" s="1467" t="s">
        <v>568</v>
      </c>
      <c r="F69" s="872"/>
      <c r="G69" s="919"/>
      <c r="H69" s="919"/>
      <c r="I69" s="919"/>
      <c r="J69" s="919"/>
      <c r="K69" s="1531"/>
      <c r="L69" s="926">
        <f>(4*L57/(K57+3*L57)-1)*100</f>
        <v>8.6932099343339786E-2</v>
      </c>
      <c r="M69" s="926">
        <f>(4*M57/(K57+L57+2*M57)-1)*100</f>
        <v>0.19105131665086983</v>
      </c>
      <c r="N69" s="926">
        <f>+(4*N57/N58-1)*100</f>
        <v>0.35918868755926425</v>
      </c>
      <c r="O69" s="1531"/>
      <c r="P69" s="926">
        <f>(4*P57/(O57+3*P57)-1)*100</f>
        <v>4.2550928142115474E-2</v>
      </c>
      <c r="Q69" s="926">
        <f>(4*Q57/(O57+P57+2*Q57)-1)*100</f>
        <v>0.17528949325402721</v>
      </c>
      <c r="R69" s="926">
        <f>+(4*R57/R58-1)*100</f>
        <v>0.44976317779577002</v>
      </c>
      <c r="S69" s="1531"/>
      <c r="T69" s="926">
        <f>(4*T57/(S57+3*T57)-1)*100</f>
        <v>0.13604018417747721</v>
      </c>
      <c r="U69" s="926">
        <f>(4*U57/(S57+T57+2*U57)-1)*100</f>
        <v>0.40181599958253322</v>
      </c>
      <c r="V69" s="926">
        <f>+(4*V57/V58-1)*100</f>
        <v>0.84283201980070999</v>
      </c>
      <c r="W69" s="1531"/>
      <c r="X69" s="926">
        <f>(4*X57/(W57+3*X57)-1)*100</f>
        <v>0.17488989595964011</v>
      </c>
      <c r="Y69" s="926">
        <f>(4*Y57/(W57+X57+2*Y57)-1)*100</f>
        <v>0.56584820009408787</v>
      </c>
      <c r="Z69" s="926">
        <f>+(4*Z57/Z58-1)*100</f>
        <v>1.2458450686356537</v>
      </c>
      <c r="AA69" s="1531"/>
      <c r="AB69" s="926">
        <f>(4*AB57/(AA57+3*AB57)-1)*100</f>
        <v>0.15817310068706458</v>
      </c>
      <c r="AC69" s="926">
        <f>(4*AC57/(AA57+AB57+2*AC57)-1)*100</f>
        <v>0.38467228880012527</v>
      </c>
      <c r="AD69" s="926">
        <f>+(4*AD57/AD58-1)*100</f>
        <v>0.63196797043425512</v>
      </c>
      <c r="AE69" s="1531"/>
      <c r="AF69" s="926">
        <f>(4*AF57/(AE57+3*AF57)-1)*100</f>
        <v>4.4065804935367048E-2</v>
      </c>
      <c r="AG69" s="926">
        <f>(4*AG57/(AE57+AF57+2*AG57)-1)*100</f>
        <v>0.24919378481382815</v>
      </c>
      <c r="AH69" s="926">
        <f>+(4*AH57/AH58-1)*100</f>
        <v>0.7025418353905355</v>
      </c>
      <c r="AI69" s="1531"/>
      <c r="AJ69" s="926">
        <f>(4*AJ57/(AI57+3*AJ57)-1)*100</f>
        <v>0.19679639325882459</v>
      </c>
      <c r="AK69" s="926">
        <f>(4*AK57/(AI57+AJ57+2*AK57)-1)*100</f>
        <v>0.51243029877896529</v>
      </c>
      <c r="AL69" s="926">
        <f>+(4*AL57/AL58-1)*100</f>
        <v>0.74725274725273572</v>
      </c>
      <c r="AM69" s="1531"/>
      <c r="AN69" s="926">
        <f>(4*AN57/(AM57+3*AN57)-1)*100</f>
        <v>9.2948831080219563E-2</v>
      </c>
      <c r="AO69" s="926">
        <f>(4*AO57/(AM57+AN57+2*AO57)-1)*100</f>
        <v>0.36959250959180956</v>
      </c>
      <c r="AP69" s="926">
        <f>+(4*AP57/AP58-1)*100</f>
        <v>0.79437609841828127</v>
      </c>
      <c r="AQ69" s="1531"/>
      <c r="AR69" s="926">
        <f>(4*AR57/(AQ57+3*AR57)-1)*100</f>
        <v>6.3550753943042437E-2</v>
      </c>
      <c r="AS69" s="926">
        <f>(4*AS57/(AQ57+AR57+2*AS57)-1)*100</f>
        <v>0.19271380269338945</v>
      </c>
      <c r="AT69" s="926">
        <f>+(4*AT57/AT58-1)*100</f>
        <v>0.37942129602934749</v>
      </c>
      <c r="AU69" s="1531"/>
      <c r="AV69" s="926">
        <f>(4*AV57/(AU57+3*AV57)-1)*100</f>
        <v>2.0634156406895698E-2</v>
      </c>
      <c r="AW69" s="926">
        <f>(4*AW57/(AU57+AV57+2*AW57)-1)*100</f>
        <v>5.2714812862419969E-2</v>
      </c>
      <c r="AX69" s="926">
        <f>+(4*AX57/AX58-1)*100</f>
        <v>8.3647488856541941E-2</v>
      </c>
      <c r="AY69" s="1531"/>
      <c r="AZ69" s="926">
        <f>(4*AZ57/(AY57+3*AZ57)-1)*100</f>
        <v>0.10586588045125023</v>
      </c>
      <c r="BA69" s="926">
        <f>(4*BA57/(AY57+AZ57+2*BA57)-1)*100</f>
        <v>0.28521106755299286</v>
      </c>
      <c r="BB69" s="926">
        <f>+(4*BB57/BB58-1)*100</f>
        <v>0.60839954597049495</v>
      </c>
      <c r="BC69" s="1531"/>
      <c r="BD69" s="926">
        <f>(4*BD57/(BC57+3*BD57)-1)*100</f>
        <v>0.12205636988680268</v>
      </c>
      <c r="BE69" s="926">
        <f>(4*BE57/(BC57+BD57+2*BE57)-1)*100</f>
        <v>0.47645083183627257</v>
      </c>
      <c r="BF69" s="926">
        <f>+(4*BF57/BF58-1)*100</f>
        <v>1.0501932221888</v>
      </c>
      <c r="BG69" s="1531"/>
      <c r="BH69" s="926">
        <f>(4*BH57/(BG57+3*BH57)-1)*100</f>
        <v>0.18821737474838951</v>
      </c>
      <c r="BI69" s="926">
        <f>(4*BI57/(BG57+BH57+2*BI57)-1)*100</f>
        <v>0.51724698814779035</v>
      </c>
      <c r="BJ69" s="926">
        <f>+(4*BJ57/BJ58-1)*100</f>
        <v>0.98416032393926489</v>
      </c>
      <c r="BK69" s="1531"/>
      <c r="BL69" s="926">
        <f>(4*BL57/(BK57+3*BL57)-1)*100</f>
        <v>3.969829297341132E-2</v>
      </c>
      <c r="BM69" s="926">
        <f>(4*BM57/(BK57+BL57+2*BM57)-1)*100</f>
        <v>0.16181403174126974</v>
      </c>
      <c r="BN69" s="926">
        <f>+(4*BN57/BN58-1)*100</f>
        <v>0.41543535055035274</v>
      </c>
      <c r="BO69" s="1531"/>
      <c r="BP69" s="926">
        <f>(4*BP57/(BO57+3*BP57)-1)*100</f>
        <v>2.2294176973303159E-2</v>
      </c>
      <c r="BQ69" s="926">
        <f>(4*BQ57/(BO57+BP57+2*BQ57)-1)*100</f>
        <v>4.9882722535321555E-2</v>
      </c>
      <c r="BR69" s="926">
        <f>+(4*BR57/BR58-1)*100</f>
        <v>0.26938169477146445</v>
      </c>
      <c r="BS69" s="1531"/>
      <c r="BT69" s="926">
        <f>(4*BT57/(BS57+3*BT57)-1)*100</f>
        <v>6.1035927009434054E-2</v>
      </c>
      <c r="BU69" s="926">
        <f>(4*BU57/(BS57+BT57+2*BU57)-1)*100</f>
        <v>0.44030695684991183</v>
      </c>
      <c r="BV69" s="926">
        <f>+(4*BV57/BV58-1)*100</f>
        <v>0.647432271041537</v>
      </c>
      <c r="BW69" s="1531"/>
      <c r="BX69" s="926">
        <f>(4*BX57/(BW57+3*BX57)-1)*100</f>
        <v>0.1354075146002387</v>
      </c>
      <c r="BY69" s="926">
        <f>(4*BY57/(BW57+BX57+2*BY57)-1)*100</f>
        <v>0.1312783618114377</v>
      </c>
      <c r="BZ69" s="926">
        <f>+(4*BZ57/BZ58-1)*100</f>
        <v>0.31404958677685446</v>
      </c>
      <c r="CA69" s="1531"/>
      <c r="CB69" s="926">
        <f>(4*CB57/(CA57+3*CB57)-1)*100</f>
        <v>-0.10399398688235584</v>
      </c>
      <c r="CC69" s="926">
        <f>(4*CC57/(CA57+CB57+2*CC57)-1)*100</f>
        <v>-6.0722703086579788E-2</v>
      </c>
      <c r="CD69" s="926">
        <f>+(4*CD57/CD58-1)*100</f>
        <v>-0.23994644971937484</v>
      </c>
      <c r="CE69" s="1531"/>
      <c r="CF69" s="926">
        <f>(4*CF57/(CE57+3*CF57)-1)*100</f>
        <v>7.0883371172048015E-2</v>
      </c>
      <c r="CG69" s="926">
        <f>(4*CG57/(CE57+CF57+2*CG57)-1)*100</f>
        <v>0.41462340933056119</v>
      </c>
      <c r="CH69" s="926">
        <f>+(4*CH57/CH58-1)*100</f>
        <v>0.62303702415418272</v>
      </c>
      <c r="CI69" s="1531"/>
      <c r="CJ69" s="926">
        <f>(4*CJ57/(CI57+3*CJ57)-1)*100</f>
        <v>3.4587292221943677E-2</v>
      </c>
      <c r="CK69" s="926">
        <f>(4*CK57/(CI57+CJ57+2*CK57)-1)*100</f>
        <v>-0.1426707973259389</v>
      </c>
      <c r="CL69" s="926">
        <f>+(4*CL57/CL58-1)*100</f>
        <v>0.10793198248650882</v>
      </c>
      <c r="CM69" s="1531"/>
      <c r="CN69" s="926">
        <f>(4*CN57/(CM57+3*CN57)-1)*100</f>
        <v>-6.9122550215494627E-2</v>
      </c>
      <c r="CO69" s="926">
        <f>(4*CO57/(CM57+CN57+2*CO57)-1)*100</f>
        <v>9.5394670076509591E-2</v>
      </c>
      <c r="CP69" s="926">
        <f>+(4*CP57/CP58-1)*100</f>
        <v>0.66345910357052951</v>
      </c>
      <c r="CQ69" s="1531"/>
      <c r="CR69" s="926">
        <f>(4*CR57/(CQ57+3*CR57)-1)*100</f>
        <v>8.1506153211452492E-2</v>
      </c>
      <c r="CS69" s="926">
        <f>(4*CS57/(CQ57+CR57+2*CS57)-1)*100</f>
        <v>0.28819601345584367</v>
      </c>
      <c r="CT69" s="926">
        <f>+(4*CT57/CT58-1)*100</f>
        <v>0.84693949143539449</v>
      </c>
      <c r="CU69" s="1531"/>
      <c r="CV69" s="926">
        <f>(4*CV57/(CU57+3*CV57)-1)*100</f>
        <v>-6.5126997645403861E-2</v>
      </c>
      <c r="CW69" s="926">
        <f>(4*CW57/(CU57+CV57+2*CW57)-1)*100</f>
        <v>-0.19529605206857203</v>
      </c>
      <c r="CX69" s="926">
        <f>+(4*CX57/CX58-1)*100</f>
        <v>-0.39016833889813363</v>
      </c>
      <c r="CY69" s="1531"/>
      <c r="CZ69" s="926">
        <f>(4*CZ57/(CY57+3*CZ57)-1)*100</f>
        <v>0.14932802389246991</v>
      </c>
      <c r="DA69" s="926">
        <f>(4*DA57/(CY57+CZ57+2*DA57)-1)*100</f>
        <v>0.44842871293615527</v>
      </c>
      <c r="DB69" s="926">
        <f>+(4*DB57/DB58-1)*100</f>
        <v>0.89909195652984053</v>
      </c>
    </row>
    <row r="70" spans="1:112" s="927" customFormat="1" ht="30" customHeight="1">
      <c r="A70" s="714"/>
      <c r="B70" s="714"/>
      <c r="C70" s="716"/>
      <c r="D70" s="1082"/>
      <c r="E70" s="1461"/>
      <c r="F70" s="1082"/>
      <c r="G70" s="1085"/>
      <c r="H70" s="1462"/>
      <c r="I70" s="1462"/>
      <c r="J70" s="1462"/>
      <c r="K70" s="1085"/>
      <c r="L70" s="1462"/>
      <c r="M70" s="1462"/>
      <c r="N70" s="1462"/>
      <c r="O70" s="1085"/>
      <c r="P70" s="1462"/>
      <c r="Q70" s="1462"/>
      <c r="R70" s="1462"/>
      <c r="S70" s="1085"/>
      <c r="T70" s="1462"/>
      <c r="U70" s="1462"/>
      <c r="V70" s="1462"/>
      <c r="W70" s="1085"/>
      <c r="X70" s="1462"/>
      <c r="Y70" s="1462"/>
      <c r="Z70" s="1462"/>
      <c r="AA70" s="1085"/>
      <c r="AB70" s="1462"/>
      <c r="AC70" s="1462"/>
      <c r="AD70" s="1462"/>
      <c r="AE70" s="1085"/>
      <c r="AF70" s="1462"/>
      <c r="AG70" s="1462"/>
      <c r="AH70" s="1462"/>
      <c r="AI70" s="1085"/>
      <c r="AJ70" s="1462"/>
      <c r="AK70" s="1462"/>
      <c r="AL70" s="1462"/>
      <c r="AM70" s="1085"/>
      <c r="AN70" s="1462"/>
      <c r="AO70" s="1462"/>
      <c r="AP70" s="1462"/>
      <c r="AQ70" s="1085"/>
      <c r="AR70" s="1462"/>
      <c r="AS70" s="1462"/>
      <c r="AT70" s="1462"/>
      <c r="AU70" s="1085"/>
      <c r="AV70" s="1462"/>
      <c r="AW70" s="1462"/>
      <c r="AX70" s="1462"/>
      <c r="AY70" s="1463"/>
      <c r="AZ70" s="1462"/>
      <c r="BA70" s="1463"/>
      <c r="BB70" s="1463"/>
      <c r="BC70" s="1463"/>
      <c r="BD70" s="1463"/>
      <c r="BE70" s="1463"/>
      <c r="BF70" s="1463"/>
      <c r="BG70" s="3904">
        <f t="shared" ref="BG70:BH70" si="467">(BG77/BC77-1)*100</f>
        <v>2.7540198426274198</v>
      </c>
      <c r="BH70" s="3904">
        <f t="shared" si="467"/>
        <v>-0.59081701553005406</v>
      </c>
      <c r="BI70" s="3904">
        <f t="shared" ref="BI70" si="468">(BI77/BE77-1)*100</f>
        <v>-4.0615076048804877</v>
      </c>
      <c r="BJ70" s="3904">
        <f t="shared" ref="BJ70" si="469">(BJ77/BF77-1)*100</f>
        <v>-6.5671641791044788</v>
      </c>
      <c r="BK70" s="3904">
        <f t="shared" ref="BK70:BL70" si="470">(BK77/BG77-1)*100</f>
        <v>-10.188113867154991</v>
      </c>
      <c r="BL70" s="3904">
        <f t="shared" si="470"/>
        <v>-11.563932755985739</v>
      </c>
      <c r="BM70" s="3904">
        <f t="shared" ref="BM70:BN70" si="471">(BM77/BI77-1)*100</f>
        <v>-10.905923344947743</v>
      </c>
      <c r="BN70" s="3904">
        <f t="shared" si="471"/>
        <v>-8.9634362797302192</v>
      </c>
      <c r="BO70" s="3904">
        <f t="shared" ref="BO70" si="472">(BO77/BK77-1)*100</f>
        <v>-4.5968489341983165</v>
      </c>
      <c r="BP70" s="3904">
        <f t="shared" ref="BP70" si="473">(BP77/BL77-1)*100</f>
        <v>0.71044546850997925</v>
      </c>
      <c r="BQ70" s="3904">
        <f t="shared" ref="BQ70:BR70" si="474">(BQ77/BM77-1)*100</f>
        <v>6.4919827923347606</v>
      </c>
      <c r="BR70" s="3904">
        <f t="shared" si="474"/>
        <v>5.1082082277247087</v>
      </c>
      <c r="BS70" s="3904">
        <f t="shared" ref="BS70:BT70" si="475">(BS77/BO77-1)*100</f>
        <v>1.8263065863609818</v>
      </c>
      <c r="BT70" s="3904">
        <f t="shared" si="475"/>
        <v>-0.87702573879886447</v>
      </c>
      <c r="BU70" s="3904">
        <f t="shared" ref="BU70" si="476">(BU77/BQ77-1)*100</f>
        <v>-6.4267352185089948</v>
      </c>
      <c r="BV70" s="3904">
        <f t="shared" ref="BV70" si="477">(BV77/BR77-1)*100</f>
        <v>-4.4147653496568466</v>
      </c>
      <c r="BW70" s="3904">
        <f t="shared" ref="BW70:BX70" si="478">(BW77/BS77-1)*100</f>
        <v>-1.0684983781721002</v>
      </c>
      <c r="BX70" s="3904">
        <f t="shared" si="478"/>
        <v>-3.8468936333901915E-2</v>
      </c>
      <c r="BY70" s="3904">
        <f t="shared" ref="BY70:BZ70" si="479">(BY77/BU77-1)*100</f>
        <v>1.550235478806905</v>
      </c>
      <c r="BZ70" s="3904">
        <f t="shared" si="479"/>
        <v>-0.89268387347175571</v>
      </c>
      <c r="CA70" s="3904">
        <f t="shared" ref="CA70" si="480">(CA77/BW77-1)*100</f>
        <v>-4.1272902603664345</v>
      </c>
      <c r="CB70" s="3904">
        <f t="shared" ref="CB70" si="481">(CB77/BX77-1)*100</f>
        <v>-4.560323263421207</v>
      </c>
      <c r="CC70" s="3904">
        <f t="shared" ref="CC70:CD70" si="482">(CC77/BY77-1)*100</f>
        <v>-4.0772946859903296</v>
      </c>
      <c r="CD70" s="3904">
        <f t="shared" si="482"/>
        <v>-2.8000783238691929</v>
      </c>
      <c r="CE70" s="3904">
        <f t="shared" ref="CE70" si="483">(CE77/CA77-1)*100</f>
        <v>2.6151679742506539</v>
      </c>
      <c r="CF70" s="3904">
        <f>(CF77/CB77-1)*100</f>
        <v>5.4435483870967749</v>
      </c>
      <c r="CG70" s="3904">
        <f t="shared" ref="CG70:CS70" si="484">(CG77/CC77-1)*100</f>
        <v>6.6680096696212665</v>
      </c>
      <c r="CH70" s="3904">
        <f t="shared" si="484"/>
        <v>7.9371474617244031</v>
      </c>
      <c r="CI70" s="3904">
        <f t="shared" si="484"/>
        <v>5.0578317976867293</v>
      </c>
      <c r="CJ70" s="3904">
        <f>(CJ77/CF77-1)*100</f>
        <v>5.7361376673026321E-2</v>
      </c>
      <c r="CK70" s="3904">
        <f t="shared" si="484"/>
        <v>-1.2086874409820592</v>
      </c>
      <c r="CL70" s="3904">
        <f t="shared" si="484"/>
        <v>0.22396416573349232</v>
      </c>
      <c r="CM70" s="3904">
        <f t="shared" si="484"/>
        <v>0</v>
      </c>
      <c r="CN70" s="3904">
        <f>(CN77/CJ77-1)*100</f>
        <v>4.5098413911714319</v>
      </c>
      <c r="CO70" s="3904">
        <f t="shared" si="484"/>
        <v>4.4733320588797643</v>
      </c>
      <c r="CP70" s="3904">
        <f t="shared" si="484"/>
        <v>1.3221601489757928</v>
      </c>
      <c r="CQ70" s="3904">
        <f t="shared" si="484"/>
        <v>2.0153013621944327</v>
      </c>
      <c r="CR70" s="3904">
        <f>(CR77/CN77-1)*100</f>
        <v>-1.3165112452002248</v>
      </c>
      <c r="CS70" s="3904">
        <f t="shared" si="484"/>
        <v>-0.96980786825251464</v>
      </c>
      <c r="CT70" s="3904">
        <f t="shared" ref="CT70" si="485">(CT77/CP77-1)*100</f>
        <v>-0.53299025914353981</v>
      </c>
      <c r="CU70" s="3904">
        <f t="shared" ref="CU70" si="486">(CU77/CQ77-1)*100</f>
        <v>-0.5110663983903474</v>
      </c>
      <c r="CV70" s="3904">
        <f>(CV77/CR77-1)*100</f>
        <v>1.2832184546970327</v>
      </c>
      <c r="CW70" s="3904">
        <f t="shared" ref="CW70" si="487">(CW77/CS77-1)*100</f>
        <v>1.5075124999999634</v>
      </c>
      <c r="CX70" s="3904">
        <f t="shared" ref="CX70" si="488">(CX77/CT77-1)*100</f>
        <v>2.015050062499979</v>
      </c>
      <c r="CY70" s="3904">
        <f t="shared" ref="CY70" si="489">(CY77/CU77-1)*100</f>
        <v>1.710527524999983</v>
      </c>
      <c r="CZ70" s="3904">
        <f>(CZ77/CV77-1)*100</f>
        <v>1.4069140099999933</v>
      </c>
      <c r="DA70" s="3904">
        <f t="shared" ref="DA70" si="490">(DA77/CW77-1)*100</f>
        <v>1.1042068040000075</v>
      </c>
      <c r="DB70" s="3904">
        <f t="shared" ref="DB70" si="491">(DB77/CX77-1)*100</f>
        <v>0.80240320160001044</v>
      </c>
    </row>
    <row r="71" spans="1:112" s="927" customFormat="1" ht="30" customHeight="1">
      <c r="A71" s="714"/>
      <c r="B71" s="714"/>
      <c r="C71" s="716"/>
      <c r="D71" s="1082"/>
      <c r="E71" s="1461"/>
      <c r="F71" s="1082"/>
      <c r="G71" s="1085"/>
      <c r="H71" s="1462"/>
      <c r="I71" s="1462"/>
      <c r="J71" s="1462"/>
      <c r="K71" s="1085"/>
      <c r="L71" s="1462"/>
      <c r="M71" s="1462"/>
      <c r="N71" s="1462"/>
      <c r="O71" s="1085"/>
      <c r="P71" s="1462"/>
      <c r="Q71" s="1462"/>
      <c r="R71" s="1462"/>
      <c r="S71" s="1085"/>
      <c r="T71" s="1462"/>
      <c r="U71" s="1462"/>
      <c r="V71" s="1462"/>
      <c r="W71" s="1085"/>
      <c r="X71" s="1462"/>
      <c r="Y71" s="1462"/>
      <c r="Z71" s="1462"/>
      <c r="AA71" s="1085"/>
      <c r="AB71" s="1462"/>
      <c r="AC71" s="1462"/>
      <c r="AD71" s="1462"/>
      <c r="AE71" s="1085"/>
      <c r="AF71" s="1462"/>
      <c r="AG71" s="1462"/>
      <c r="AH71" s="1462"/>
      <c r="AI71" s="1085"/>
      <c r="AJ71" s="1462"/>
      <c r="AK71" s="1462"/>
      <c r="AL71" s="1462"/>
      <c r="AM71" s="1085"/>
      <c r="AN71" s="1462"/>
      <c r="AO71" s="1462"/>
      <c r="AP71" s="1462"/>
      <c r="AQ71" s="1085"/>
      <c r="AR71" s="1462"/>
      <c r="AS71" s="1462"/>
      <c r="AT71" s="1462"/>
      <c r="AU71" s="1085"/>
      <c r="AV71" s="1462"/>
      <c r="AW71" s="1462"/>
      <c r="AX71" s="1462"/>
      <c r="AY71" s="1463"/>
      <c r="AZ71" s="1462"/>
      <c r="BA71" s="1463"/>
      <c r="BB71" s="1463"/>
      <c r="BC71" s="1463"/>
      <c r="BD71" s="1463"/>
      <c r="BE71" s="1463"/>
      <c r="BF71" s="1463"/>
      <c r="BG71" s="1463"/>
      <c r="BH71" s="1463"/>
      <c r="BI71" s="1463"/>
      <c r="BJ71" s="1463"/>
      <c r="BK71" s="1463"/>
      <c r="BL71" s="1463"/>
      <c r="BM71" s="1463"/>
      <c r="BN71" s="1463"/>
    </row>
    <row r="72" spans="1:112" ht="30" customHeight="1">
      <c r="C72" s="4124" t="s">
        <v>677</v>
      </c>
      <c r="D72" s="4124"/>
      <c r="E72" s="4124"/>
      <c r="F72" s="4124"/>
      <c r="AX72" s="577"/>
      <c r="AY72" s="1380"/>
      <c r="AZ72" s="1380"/>
      <c r="BA72" s="1380"/>
      <c r="BB72" s="1380"/>
      <c r="BC72" s="1380"/>
      <c r="BD72" s="1380"/>
      <c r="BE72" s="1380"/>
      <c r="BF72" s="1380"/>
      <c r="BG72" s="1380"/>
      <c r="BH72" s="1380"/>
      <c r="BI72" s="1380"/>
      <c r="BJ72" s="1380"/>
      <c r="BK72" s="1380"/>
      <c r="BL72" s="1380"/>
      <c r="BM72" s="1380"/>
      <c r="BN72" s="1380"/>
      <c r="BO72" s="1380"/>
      <c r="BP72" s="1380"/>
      <c r="BQ72" s="1380"/>
      <c r="BR72" s="1380"/>
      <c r="BS72" s="1380"/>
      <c r="BT72" s="1380"/>
      <c r="BU72" s="1380"/>
      <c r="BV72" s="1380"/>
      <c r="BW72" s="1380"/>
      <c r="BX72" s="1380"/>
      <c r="BY72" s="1380"/>
      <c r="BZ72" s="1380"/>
      <c r="CA72" s="1380"/>
      <c r="CB72" s="1380"/>
      <c r="CC72" s="1380"/>
      <c r="CD72" s="1380"/>
      <c r="CE72" s="1380"/>
      <c r="CF72" s="1380"/>
      <c r="CG72" s="1380"/>
      <c r="CH72" s="1380"/>
      <c r="CI72" s="1380"/>
      <c r="CJ72" s="1380"/>
      <c r="CK72" s="1380"/>
      <c r="CL72" s="1380"/>
      <c r="CM72" s="1380"/>
      <c r="CN72" s="1380"/>
      <c r="CO72" s="1380"/>
      <c r="CP72" s="1380"/>
      <c r="CQ72" s="1380"/>
      <c r="CR72" s="1380"/>
      <c r="CS72" s="1380"/>
    </row>
    <row r="73" spans="1:112">
      <c r="C73" s="715"/>
      <c r="D73" s="715"/>
      <c r="E73" s="715"/>
      <c r="F73" s="715"/>
      <c r="BL73" s="1604"/>
      <c r="BM73" s="1604"/>
      <c r="BN73" s="1604"/>
      <c r="BO73" s="1604"/>
      <c r="BP73" s="1604"/>
      <c r="BQ73" s="1604"/>
      <c r="BR73" s="1604"/>
      <c r="BS73" s="1604"/>
      <c r="BT73" s="1604"/>
      <c r="BU73" s="1604"/>
      <c r="BV73" s="1604"/>
      <c r="BW73" s="1604"/>
      <c r="BX73" s="1604"/>
      <c r="BY73" s="1604"/>
      <c r="BZ73" s="1604"/>
      <c r="CA73" s="1604"/>
      <c r="CB73" s="1380"/>
      <c r="CC73" s="1604"/>
      <c r="CD73" s="1380"/>
      <c r="CE73" s="2964">
        <f>SUM(CE78:CH78)/SUM(CA78:CD78)-1</f>
        <v>3.5768645357686424E-2</v>
      </c>
      <c r="CF73" s="1380"/>
      <c r="CG73" s="1604"/>
      <c r="CH73" s="1380"/>
      <c r="CI73" s="2964">
        <f>SUM(CI78:CL78)/SUM(CE78:CH78)-1</f>
        <v>1.0601448514747425E-2</v>
      </c>
      <c r="CJ73" s="1380"/>
      <c r="CK73" s="1604"/>
      <c r="CL73" s="1380"/>
      <c r="CM73" s="2964">
        <f>SUM(CM78:CP78)/SUM(CI78:CL78)-1</f>
        <v>-3.0743664312422259E-2</v>
      </c>
      <c r="CN73" s="1380"/>
      <c r="CO73" s="1604"/>
      <c r="CP73" s="1380"/>
      <c r="CQ73" s="2964">
        <f>SUM(CQ78:CT78)/SUM(CM78:CP78)-1</f>
        <v>4.2220317188169654E-2</v>
      </c>
      <c r="CR73" s="1380"/>
      <c r="CS73" s="1604"/>
      <c r="CT73" s="1380"/>
      <c r="CU73" s="2964">
        <f>SUM(CU78:CX78)/SUM(CQ78:CT78)-1</f>
        <v>7.8762878568784611E-2</v>
      </c>
      <c r="CV73" s="1380"/>
      <c r="CW73" s="1380"/>
      <c r="CX73" s="1380"/>
      <c r="CY73" s="2964">
        <f>SUM(CY78:DB78)/SUM(CU78:CX78)-1</f>
        <v>4.9048108292491621E-2</v>
      </c>
      <c r="CZ73" s="1380"/>
      <c r="DA73" s="1380"/>
      <c r="DB73" s="1380"/>
    </row>
    <row r="74" spans="1:112">
      <c r="G74" s="4117">
        <f ca="1">OFFSET(InputY!$G$3,0,(COLUMN()-7)/4)</f>
        <v>1995</v>
      </c>
      <c r="H74" s="4120"/>
      <c r="I74" s="4120"/>
      <c r="J74" s="4121"/>
      <c r="K74" s="4117">
        <f ca="1">OFFSET(InputY!$G$3,0,(COLUMN()-7)/4)</f>
        <v>1996</v>
      </c>
      <c r="L74" s="4120"/>
      <c r="M74" s="4120"/>
      <c r="N74" s="4121"/>
      <c r="O74" s="4117">
        <f ca="1">OFFSET(InputY!$G$3,0,(COLUMN()-7)/4)</f>
        <v>1997</v>
      </c>
      <c r="P74" s="4120"/>
      <c r="Q74" s="4120"/>
      <c r="R74" s="4121"/>
      <c r="S74" s="4117">
        <f ca="1">OFFSET(InputY!$G$3,0,(COLUMN()-7)/4)</f>
        <v>1998</v>
      </c>
      <c r="T74" s="4120"/>
      <c r="U74" s="4120"/>
      <c r="V74" s="4121"/>
      <c r="W74" s="4117">
        <f ca="1">OFFSET(InputY!$G$3,0,(COLUMN()-7)/4)</f>
        <v>1999</v>
      </c>
      <c r="X74" s="4120"/>
      <c r="Y74" s="4120"/>
      <c r="Z74" s="4121"/>
      <c r="AA74" s="4117">
        <f ca="1">OFFSET(InputY!$G$3,0,(COLUMN()-7)/4)</f>
        <v>2000</v>
      </c>
      <c r="AB74" s="4120"/>
      <c r="AC74" s="4120"/>
      <c r="AD74" s="4121"/>
      <c r="AE74" s="4117">
        <f ca="1">OFFSET(InputY!$G$3,0,(COLUMN()-7)/4)</f>
        <v>2001</v>
      </c>
      <c r="AF74" s="4120"/>
      <c r="AG74" s="4120"/>
      <c r="AH74" s="4121"/>
      <c r="AI74" s="4117">
        <f ca="1">OFFSET(InputY!$G$3,0,(COLUMN()-7)/4)</f>
        <v>2002</v>
      </c>
      <c r="AJ74" s="4120"/>
      <c r="AK74" s="4120"/>
      <c r="AL74" s="4121"/>
      <c r="AM74" s="4117">
        <f ca="1">OFFSET(InputY!$G$3,0,(COLUMN()-7)/4)</f>
        <v>2003</v>
      </c>
      <c r="AN74" s="4120"/>
      <c r="AO74" s="4120"/>
      <c r="AP74" s="4121"/>
      <c r="AQ74" s="4117">
        <f ca="1">OFFSET(InputY!$G$3,0,(COLUMN()-7)/4)</f>
        <v>2004</v>
      </c>
      <c r="AR74" s="4120"/>
      <c r="AS74" s="4120"/>
      <c r="AT74" s="4121"/>
      <c r="AU74" s="4117">
        <f ca="1">OFFSET(InputY!$G$3,0,(COLUMN()-7)/4)</f>
        <v>2005</v>
      </c>
      <c r="AV74" s="4120"/>
      <c r="AW74" s="4120"/>
      <c r="AX74" s="4121"/>
      <c r="AY74" s="4117">
        <f ca="1">OFFSET(InputY!$G$3,0,(COLUMN()-7)/4)</f>
        <v>2006</v>
      </c>
      <c r="AZ74" s="4120"/>
      <c r="BA74" s="4120"/>
      <c r="BB74" s="4121"/>
      <c r="BC74" s="4117">
        <f ca="1">OFFSET(InputY!$G$3,0,(COLUMN()-7)/4)</f>
        <v>2007</v>
      </c>
      <c r="BD74" s="4120"/>
      <c r="BE74" s="4120"/>
      <c r="BF74" s="4121"/>
      <c r="BG74" s="4117">
        <f ca="1">OFFSET(InputY!$G$3,0,(COLUMN()-7)/4)</f>
        <v>2008</v>
      </c>
      <c r="BH74" s="4120"/>
      <c r="BI74" s="4120"/>
      <c r="BJ74" s="4121"/>
      <c r="BK74" s="4117">
        <f ca="1">OFFSET(InputY!$G$3,0,(COLUMN()-7)/4)</f>
        <v>2009</v>
      </c>
      <c r="BL74" s="4120"/>
      <c r="BM74" s="4120"/>
      <c r="BN74" s="4121"/>
      <c r="BO74" s="4117">
        <f ca="1">OFFSET(InputY!$G$3,0,(COLUMN()-7)/4)</f>
        <v>2010</v>
      </c>
      <c r="BP74" s="4120"/>
      <c r="BQ74" s="4120"/>
      <c r="BR74" s="4121"/>
      <c r="BS74" s="4117">
        <f ca="1">OFFSET(InputY!$G$3,0,(COLUMN()-7)/4)</f>
        <v>2011</v>
      </c>
      <c r="BT74" s="4120"/>
      <c r="BU74" s="4120"/>
      <c r="BV74" s="4121"/>
      <c r="BW74" s="4117">
        <f ca="1">OFFSET(InputY!$G$3,0,(COLUMN()-7)/4)</f>
        <v>2012</v>
      </c>
      <c r="BX74" s="4120"/>
      <c r="BY74" s="4120"/>
      <c r="BZ74" s="4121"/>
      <c r="CA74" s="4117">
        <f ca="1">OFFSET(InputY!$G$3,0,(COLUMN()-7)/4)</f>
        <v>2013</v>
      </c>
      <c r="CB74" s="4120"/>
      <c r="CC74" s="4120"/>
      <c r="CD74" s="4121"/>
      <c r="CE74" s="4117">
        <f ca="1">OFFSET(InputY!$G$3,0,(COLUMN()-7)/4)</f>
        <v>2014</v>
      </c>
      <c r="CF74" s="4120"/>
      <c r="CG74" s="4120"/>
      <c r="CH74" s="4121"/>
      <c r="CI74" s="4117">
        <f ca="1">OFFSET(InputY!$G$3,0,(COLUMN()-7)/4)</f>
        <v>2015</v>
      </c>
      <c r="CJ74" s="4120"/>
      <c r="CK74" s="4120"/>
      <c r="CL74" s="4121"/>
      <c r="CM74" s="4117">
        <f ca="1">OFFSET(InputY!$G$3,0,(COLUMN()-7)/4)</f>
        <v>2016</v>
      </c>
      <c r="CN74" s="4120"/>
      <c r="CO74" s="4120"/>
      <c r="CP74" s="4121"/>
      <c r="CQ74" s="4117">
        <f ca="1">OFFSET(InputY!$G$3,0,(COLUMN()-7)/4)</f>
        <v>2017</v>
      </c>
      <c r="CR74" s="4120"/>
      <c r="CS74" s="4120"/>
      <c r="CT74" s="4121"/>
      <c r="CU74" s="4117">
        <f ca="1">OFFSET(InputY!$G$3,0,(COLUMN()-7)/4)</f>
        <v>2018</v>
      </c>
      <c r="CV74" s="4120"/>
      <c r="CW74" s="4120"/>
      <c r="CX74" s="4121"/>
      <c r="CY74" s="4117">
        <f ca="1">OFFSET(InputY!$G$3,0,(COLUMN()-7)/4)</f>
        <v>2019</v>
      </c>
      <c r="CZ74" s="4120"/>
      <c r="DA74" s="4120"/>
      <c r="DB74" s="4121"/>
    </row>
    <row r="75" spans="1:112" s="749" customFormat="1" ht="12.75" customHeight="1">
      <c r="A75" s="714"/>
      <c r="B75" s="714"/>
      <c r="C75" s="716"/>
      <c r="D75" s="745"/>
      <c r="E75" s="746" t="s">
        <v>719</v>
      </c>
      <c r="F75" s="747"/>
      <c r="G75" s="1472" t="s">
        <v>364</v>
      </c>
      <c r="H75" s="1473" t="s">
        <v>671</v>
      </c>
      <c r="I75" s="1473" t="s">
        <v>672</v>
      </c>
      <c r="J75" s="1474" t="s">
        <v>673</v>
      </c>
      <c r="K75" s="1472" t="s">
        <v>364</v>
      </c>
      <c r="L75" s="1473" t="s">
        <v>671</v>
      </c>
      <c r="M75" s="1473" t="s">
        <v>672</v>
      </c>
      <c r="N75" s="1474" t="s">
        <v>673</v>
      </c>
      <c r="O75" s="1472" t="s">
        <v>364</v>
      </c>
      <c r="P75" s="1473" t="s">
        <v>671</v>
      </c>
      <c r="Q75" s="1473" t="s">
        <v>672</v>
      </c>
      <c r="R75" s="1474" t="s">
        <v>673</v>
      </c>
      <c r="S75" s="1472" t="s">
        <v>364</v>
      </c>
      <c r="T75" s="1473" t="s">
        <v>671</v>
      </c>
      <c r="U75" s="1473" t="s">
        <v>672</v>
      </c>
      <c r="V75" s="1474" t="s">
        <v>673</v>
      </c>
      <c r="W75" s="1472" t="s">
        <v>364</v>
      </c>
      <c r="X75" s="1473" t="s">
        <v>671</v>
      </c>
      <c r="Y75" s="1473" t="s">
        <v>672</v>
      </c>
      <c r="Z75" s="1474" t="s">
        <v>673</v>
      </c>
      <c r="AA75" s="1472" t="s">
        <v>364</v>
      </c>
      <c r="AB75" s="1473" t="s">
        <v>671</v>
      </c>
      <c r="AC75" s="1473" t="s">
        <v>672</v>
      </c>
      <c r="AD75" s="1474" t="s">
        <v>673</v>
      </c>
      <c r="AE75" s="1472" t="s">
        <v>364</v>
      </c>
      <c r="AF75" s="1473" t="s">
        <v>671</v>
      </c>
      <c r="AG75" s="1473" t="s">
        <v>672</v>
      </c>
      <c r="AH75" s="1474" t="s">
        <v>673</v>
      </c>
      <c r="AI75" s="1472" t="s">
        <v>364</v>
      </c>
      <c r="AJ75" s="1473" t="s">
        <v>671</v>
      </c>
      <c r="AK75" s="1473" t="s">
        <v>672</v>
      </c>
      <c r="AL75" s="1474" t="s">
        <v>673</v>
      </c>
      <c r="AM75" s="1472" t="s">
        <v>364</v>
      </c>
      <c r="AN75" s="1473" t="s">
        <v>671</v>
      </c>
      <c r="AO75" s="1473" t="s">
        <v>672</v>
      </c>
      <c r="AP75" s="1474" t="s">
        <v>673</v>
      </c>
      <c r="AQ75" s="1472" t="s">
        <v>364</v>
      </c>
      <c r="AR75" s="1473" t="s">
        <v>671</v>
      </c>
      <c r="AS75" s="1473" t="s">
        <v>672</v>
      </c>
      <c r="AT75" s="1474" t="s">
        <v>673</v>
      </c>
      <c r="AU75" s="1472" t="s">
        <v>364</v>
      </c>
      <c r="AV75" s="1473" t="s">
        <v>671</v>
      </c>
      <c r="AW75" s="1473" t="s">
        <v>672</v>
      </c>
      <c r="AX75" s="1474" t="s">
        <v>673</v>
      </c>
      <c r="AY75" s="1472" t="s">
        <v>364</v>
      </c>
      <c r="AZ75" s="1473" t="s">
        <v>671</v>
      </c>
      <c r="BA75" s="1473" t="s">
        <v>672</v>
      </c>
      <c r="BB75" s="1474" t="s">
        <v>673</v>
      </c>
      <c r="BC75" s="1472" t="s">
        <v>364</v>
      </c>
      <c r="BD75" s="1473" t="s">
        <v>671</v>
      </c>
      <c r="BE75" s="1473" t="s">
        <v>672</v>
      </c>
      <c r="BF75" s="1474" t="s">
        <v>673</v>
      </c>
      <c r="BG75" s="1472" t="s">
        <v>364</v>
      </c>
      <c r="BH75" s="1473" t="s">
        <v>671</v>
      </c>
      <c r="BI75" s="1473" t="s">
        <v>672</v>
      </c>
      <c r="BJ75" s="1474" t="s">
        <v>673</v>
      </c>
      <c r="BK75" s="1472" t="s">
        <v>364</v>
      </c>
      <c r="BL75" s="1473" t="s">
        <v>671</v>
      </c>
      <c r="BM75" s="1473" t="s">
        <v>672</v>
      </c>
      <c r="BN75" s="1474" t="s">
        <v>673</v>
      </c>
      <c r="BO75" s="1472" t="s">
        <v>364</v>
      </c>
      <c r="BP75" s="1473" t="s">
        <v>671</v>
      </c>
      <c r="BQ75" s="1473" t="s">
        <v>672</v>
      </c>
      <c r="BR75" s="1474" t="s">
        <v>673</v>
      </c>
      <c r="BS75" s="1472" t="s">
        <v>364</v>
      </c>
      <c r="BT75" s="1473" t="s">
        <v>671</v>
      </c>
      <c r="BU75" s="1473" t="s">
        <v>672</v>
      </c>
      <c r="BV75" s="1474" t="s">
        <v>673</v>
      </c>
      <c r="BW75" s="1472" t="s">
        <v>364</v>
      </c>
      <c r="BX75" s="1473" t="s">
        <v>671</v>
      </c>
      <c r="BY75" s="1473" t="s">
        <v>672</v>
      </c>
      <c r="BZ75" s="1474" t="s">
        <v>673</v>
      </c>
      <c r="CA75" s="1472" t="s">
        <v>364</v>
      </c>
      <c r="CB75" s="1473" t="s">
        <v>671</v>
      </c>
      <c r="CC75" s="1473" t="s">
        <v>672</v>
      </c>
      <c r="CD75" s="1474" t="s">
        <v>673</v>
      </c>
      <c r="CE75" s="1472" t="s">
        <v>364</v>
      </c>
      <c r="CF75" s="3903" t="s">
        <v>671</v>
      </c>
      <c r="CG75" s="1473" t="s">
        <v>672</v>
      </c>
      <c r="CH75" s="1474" t="s">
        <v>673</v>
      </c>
      <c r="CI75" s="1472" t="s">
        <v>364</v>
      </c>
      <c r="CJ75" s="1473" t="s">
        <v>671</v>
      </c>
      <c r="CK75" s="1473" t="s">
        <v>672</v>
      </c>
      <c r="CL75" s="1474" t="s">
        <v>673</v>
      </c>
      <c r="CM75" s="1472" t="s">
        <v>364</v>
      </c>
      <c r="CN75" s="1473" t="s">
        <v>671</v>
      </c>
      <c r="CO75" s="1473" t="s">
        <v>672</v>
      </c>
      <c r="CP75" s="1474" t="s">
        <v>673</v>
      </c>
      <c r="CQ75" s="1472" t="s">
        <v>364</v>
      </c>
      <c r="CR75" s="1473" t="s">
        <v>671</v>
      </c>
      <c r="CS75" s="1473" t="s">
        <v>672</v>
      </c>
      <c r="CT75" s="1474" t="s">
        <v>673</v>
      </c>
      <c r="CU75" s="1472" t="s">
        <v>364</v>
      </c>
      <c r="CV75" s="1473" t="s">
        <v>671</v>
      </c>
      <c r="CW75" s="1473" t="s">
        <v>672</v>
      </c>
      <c r="CX75" s="1474" t="s">
        <v>673</v>
      </c>
      <c r="CY75" s="1472" t="s">
        <v>364</v>
      </c>
      <c r="CZ75" s="1473" t="s">
        <v>671</v>
      </c>
      <c r="DA75" s="1473" t="s">
        <v>672</v>
      </c>
      <c r="DB75" s="1474" t="s">
        <v>673</v>
      </c>
      <c r="DC75" s="749">
        <v>2015</v>
      </c>
      <c r="DD75" s="749">
        <v>2016</v>
      </c>
      <c r="DE75" s="749">
        <v>2017</v>
      </c>
      <c r="DF75" s="749">
        <v>2018</v>
      </c>
      <c r="DG75" s="749">
        <v>2019</v>
      </c>
    </row>
    <row r="76" spans="1:112" s="749" customFormat="1" ht="12.75" customHeight="1">
      <c r="A76" s="714"/>
      <c r="B76" s="714">
        <v>80</v>
      </c>
      <c r="C76" s="1464" t="s">
        <v>622</v>
      </c>
      <c r="D76" s="718"/>
      <c r="E76" s="750" t="s">
        <v>2561</v>
      </c>
      <c r="F76" s="751"/>
      <c r="G76" s="828">
        <f>InputQ!G25/1000</f>
        <v>8.7949999999999999</v>
      </c>
      <c r="H76" s="828">
        <f>InputQ!H25/1000</f>
        <v>8.9730000000000008</v>
      </c>
      <c r="I76" s="828">
        <f>InputQ!I25/1000</f>
        <v>9.1760000000000002</v>
      </c>
      <c r="J76" s="828">
        <f>InputQ!J25/1000</f>
        <v>9.266</v>
      </c>
      <c r="K76" s="828">
        <f>InputQ!K25/1000</f>
        <v>9.32</v>
      </c>
      <c r="L76" s="828">
        <f>InputQ!L25/1000</f>
        <v>9.3979999999999997</v>
      </c>
      <c r="M76" s="828">
        <f>InputQ!M25/1000</f>
        <v>9.5739999999999998</v>
      </c>
      <c r="N76" s="828">
        <f>InputQ!N25/1000</f>
        <v>9.8230000000000004</v>
      </c>
      <c r="O76" s="828">
        <f>InputQ!O25/1000</f>
        <v>9.7910000000000004</v>
      </c>
      <c r="P76" s="828">
        <f>InputQ!P25/1000</f>
        <v>10.151</v>
      </c>
      <c r="Q76" s="828">
        <f>InputQ!Q25/1000</f>
        <v>10.135</v>
      </c>
      <c r="R76" s="828">
        <f>InputQ!R25/1000</f>
        <v>10.487</v>
      </c>
      <c r="S76" s="828">
        <f>InputQ!S25/1000</f>
        <v>10.404999999999999</v>
      </c>
      <c r="T76" s="828">
        <f>InputQ!T25/1000</f>
        <v>10.555999999999999</v>
      </c>
      <c r="U76" s="828">
        <f>InputQ!U25/1000</f>
        <v>10.895</v>
      </c>
      <c r="V76" s="828">
        <f>InputQ!V25/1000</f>
        <v>10.942</v>
      </c>
      <c r="W76" s="828">
        <f>InputQ!W25/1000</f>
        <v>10.912000000000001</v>
      </c>
      <c r="X76" s="828">
        <f>InputQ!X25/1000</f>
        <v>11.045999999999999</v>
      </c>
      <c r="Y76" s="828">
        <f>InputQ!Y25/1000</f>
        <v>11.162000000000001</v>
      </c>
      <c r="Z76" s="828">
        <f>InputQ!Z25/1000</f>
        <v>11.048</v>
      </c>
      <c r="AA76" s="828">
        <f>InputQ!AA25/1000</f>
        <v>11.535</v>
      </c>
      <c r="AB76" s="828">
        <f>InputQ!AB25/1000</f>
        <v>11.693</v>
      </c>
      <c r="AC76" s="828">
        <f>InputQ!AC25/1000</f>
        <v>11.968999999999999</v>
      </c>
      <c r="AD76" s="828">
        <f>InputQ!AD25/1000</f>
        <v>12.117000000000001</v>
      </c>
      <c r="AE76" s="828">
        <f>InputQ!AE25/1000</f>
        <v>12.419</v>
      </c>
      <c r="AF76" s="828">
        <f>InputQ!AF25/1000</f>
        <v>12.321999999999999</v>
      </c>
      <c r="AG76" s="828">
        <f>InputQ!AG25/1000</f>
        <v>12.57</v>
      </c>
      <c r="AH76" s="828">
        <f>InputQ!AH25/1000</f>
        <v>12.352</v>
      </c>
      <c r="AI76" s="828">
        <f>InputQ!AI25/1000</f>
        <v>11.986000000000001</v>
      </c>
      <c r="AJ76" s="828">
        <f>InputQ!AJ25/1000</f>
        <v>11.818</v>
      </c>
      <c r="AK76" s="828">
        <f>InputQ!AK25/1000</f>
        <v>11.548999999999999</v>
      </c>
      <c r="AL76" s="828">
        <f>InputQ!AL25/1000</f>
        <v>12.058999999999999</v>
      </c>
      <c r="AM76" s="828">
        <f>InputQ!AM25/1000</f>
        <v>11.618</v>
      </c>
      <c r="AN76" s="828">
        <f>InputQ!AN25/1000</f>
        <v>11.577</v>
      </c>
      <c r="AO76" s="828">
        <f>InputQ!AO25/1000</f>
        <v>11.473000000000001</v>
      </c>
      <c r="AP76" s="828">
        <f>InputQ!AP25/1000</f>
        <v>11.643000000000001</v>
      </c>
      <c r="AQ76" s="828">
        <f>InputQ!AQ25/1000</f>
        <v>12.202999999999999</v>
      </c>
      <c r="AR76" s="828">
        <f>InputQ!AR25/1000</f>
        <v>13.037000000000001</v>
      </c>
      <c r="AS76" s="828">
        <f>InputQ!AS25/1000</f>
        <v>13.244999999999999</v>
      </c>
      <c r="AT76" s="828">
        <f>InputQ!AT25/1000</f>
        <v>13.177</v>
      </c>
      <c r="AU76" s="828">
        <f>InputQ!AU25/1000</f>
        <v>13.228999999999999</v>
      </c>
      <c r="AV76" s="828">
        <f>InputQ!AV25/1000</f>
        <v>13.813000000000001</v>
      </c>
      <c r="AW76" s="828">
        <f>InputQ!AW25/1000</f>
        <v>13.297000000000001</v>
      </c>
      <c r="AX76" s="828">
        <f>InputQ!AX25/1000</f>
        <v>13.025</v>
      </c>
      <c r="AY76" s="828">
        <f>InputQ!AY25/1000</f>
        <v>13.257</v>
      </c>
      <c r="AZ76" s="828">
        <f>InputQ!AZ25/1000</f>
        <v>13.24</v>
      </c>
      <c r="BA76" s="828">
        <f>InputQ!BA25/1000</f>
        <v>13.602</v>
      </c>
      <c r="BB76" s="828">
        <f>InputQ!BB25/1000</f>
        <v>14.491</v>
      </c>
      <c r="BC76" s="828">
        <f>InputQ!BC25/1000</f>
        <v>14.175000000000001</v>
      </c>
      <c r="BD76" s="828">
        <f>InputQ!BD25/1000</f>
        <v>14.467000000000001</v>
      </c>
      <c r="BE76" s="828">
        <f>InputQ!BE25/1000</f>
        <v>14.818</v>
      </c>
      <c r="BF76" s="828">
        <f>InputQ!BF25/1000</f>
        <v>15.254</v>
      </c>
      <c r="BG76" s="828">
        <f>InputQ!BG25/1000</f>
        <v>15.352</v>
      </c>
      <c r="BH76" s="828">
        <f>InputQ!BH25/1000</f>
        <v>15.47</v>
      </c>
      <c r="BI76" s="828">
        <f>InputQ!BI25/1000</f>
        <v>15.124000000000001</v>
      </c>
      <c r="BJ76" s="828">
        <f>InputQ!BJ25/1000</f>
        <v>14.734</v>
      </c>
      <c r="BK76" s="828">
        <f>InputQ!BK25/1000</f>
        <v>14.282</v>
      </c>
      <c r="BL76" s="828">
        <f>InputQ!BL25/1000</f>
        <v>14.108000000000001</v>
      </c>
      <c r="BM76" s="828">
        <f>InputQ!BM25/1000</f>
        <v>13.778</v>
      </c>
      <c r="BN76" s="828">
        <f>InputQ!BN25/1000</f>
        <v>13.941000000000001</v>
      </c>
      <c r="BO76" s="828">
        <f>InputQ!BO25/1000</f>
        <v>13.63</v>
      </c>
      <c r="BP76" s="828">
        <f>InputQ!BP25/1000</f>
        <v>13.569000000000001</v>
      </c>
      <c r="BQ76" s="828">
        <f>InputQ!BQ25/1000</f>
        <v>13.750999999999999</v>
      </c>
      <c r="BR76" s="828">
        <f>InputQ!BR25/1000</f>
        <v>13.996</v>
      </c>
      <c r="BS76" s="828">
        <f>InputQ!BS25/1000</f>
        <v>14.268000000000001</v>
      </c>
      <c r="BT76" s="828">
        <f>InputQ!BT25/1000</f>
        <v>14.692</v>
      </c>
      <c r="BU76" s="828">
        <f>InputQ!BU25/1000</f>
        <v>14.666</v>
      </c>
      <c r="BV76" s="828">
        <f>InputQ!BV25/1000</f>
        <v>14.919</v>
      </c>
      <c r="BW76" s="828">
        <f>InputQ!BW25/1000</f>
        <v>14.69</v>
      </c>
      <c r="BX76" s="828">
        <f>InputQ!BX25/1000</f>
        <v>14.760999999999999</v>
      </c>
      <c r="BY76" s="828">
        <f>InputQ!BY25/1000</f>
        <v>14.715</v>
      </c>
      <c r="BZ76" s="828">
        <f>InputQ!BZ25/1000</f>
        <v>14.369</v>
      </c>
      <c r="CA76" s="828">
        <f>InputQ!CA25/1000</f>
        <v>14.484</v>
      </c>
      <c r="CB76" s="828">
        <f>InputQ!CB25/1000</f>
        <v>14.64</v>
      </c>
      <c r="CC76" s="828">
        <f>InputQ!CC25/1000</f>
        <v>14.644</v>
      </c>
      <c r="CD76" s="828">
        <f>InputQ!CD25/1000</f>
        <v>14.659000000000001</v>
      </c>
      <c r="CE76" s="828">
        <f>InputQ!CE25/1000</f>
        <v>14.901</v>
      </c>
      <c r="CF76" s="828">
        <f>InputQ!CF25/1000</f>
        <v>15.093999999999999</v>
      </c>
      <c r="CG76" s="828">
        <f>InputQ!CG25/1000</f>
        <v>16.739999999999998</v>
      </c>
      <c r="CH76" s="828">
        <f>InputQ!CH25/1000</f>
        <v>15.455</v>
      </c>
      <c r="CI76" s="828">
        <f>InputQ!CI25/1000</f>
        <v>17.654</v>
      </c>
      <c r="CJ76" s="828">
        <f>InputQ!CJ25/1000</f>
        <v>15.137</v>
      </c>
      <c r="CK76" s="828">
        <f>InputQ!CK25/1000</f>
        <v>15.711</v>
      </c>
      <c r="CL76" s="828">
        <f>InputQ!CL25/1000</f>
        <v>15.865</v>
      </c>
      <c r="CM76" s="828">
        <f>InputQ!CM25/1000</f>
        <v>16.241</v>
      </c>
      <c r="CN76" s="828">
        <f>InputQ!CN25/1000</f>
        <v>16.338999999999999</v>
      </c>
      <c r="CO76" s="828">
        <f>InputQ!CO25/1000</f>
        <v>18.231999999999999</v>
      </c>
      <c r="CP76" s="828">
        <f>InputQ!CP25/1000</f>
        <v>16.736999999999998</v>
      </c>
      <c r="CQ76" s="828">
        <f>InputQ!CQ25/1000</f>
        <v>16.759</v>
      </c>
      <c r="CR76" s="828">
        <f>InputQ!CR25/1000</f>
        <v>16.995999999999999</v>
      </c>
      <c r="CS76" s="828">
        <f>InputQ!CS25/1000</f>
        <v>17.245000000000001</v>
      </c>
      <c r="CT76" s="828">
        <f>InputQ!CT25/1000</f>
        <v>17.175000000000001</v>
      </c>
      <c r="CU76" s="1868">
        <f t="shared" ref="CU76:CU78" si="492">CT76*(1+CU85/100)</f>
        <v>17.41545</v>
      </c>
      <c r="CV76" s="1868">
        <f t="shared" ref="CV76:CV78" si="493">CU76*(1+CV85/100)</f>
        <v>17.659266299999999</v>
      </c>
      <c r="CW76" s="1868">
        <f t="shared" ref="CW76:CW78" si="494">CV76*(1+CW85/100)</f>
        <v>17.906496028199999</v>
      </c>
      <c r="CX76" s="1868">
        <f t="shared" ref="CX76:CX78" si="495">CW76*(1+CX85/100)</f>
        <v>18.157186972594801</v>
      </c>
      <c r="CY76" s="1868">
        <f t="shared" ref="CY76:CY78" si="496">CX76*(1+CY85/100)</f>
        <v>18.211658533512583</v>
      </c>
      <c r="CZ76" s="1868">
        <f t="shared" ref="CZ76:CZ78" si="497">CY76*(1+CZ85/100)</f>
        <v>18.266293509113119</v>
      </c>
      <c r="DA76" s="1868">
        <f t="shared" ref="DA76:DA78" si="498">CZ76*(1+DA85/100)</f>
        <v>18.321092389640455</v>
      </c>
      <c r="DB76" s="1868">
        <f t="shared" ref="DB76:DB78" si="499">DA76*(1+DB85/100)</f>
        <v>18.376055666809375</v>
      </c>
      <c r="DC76" s="3934">
        <f>100*SUM(CI76:CL76)/SUM(CE76:CH76)-100</f>
        <v>3.5005627914455602</v>
      </c>
      <c r="DD76" s="4004">
        <f>100*SUM(CM76:CP76)/SUM(CI76:CL76)-100</f>
        <v>4.9435269625739977</v>
      </c>
      <c r="DE76" s="4004">
        <f>100*SUM(CQ76:CT76)/SUM(CM76:CP76)-100</f>
        <v>0.92673466668641424</v>
      </c>
      <c r="DF76" s="4004">
        <f>100*SUM(CU76:CX76)/SUM(CQ76:CT76)-100</f>
        <v>4.3467536498640271</v>
      </c>
      <c r="DG76" s="4004">
        <f>100*SUM(CY76:DB76)/SUM(CU76:CX76)-100</f>
        <v>2.8630118449375601</v>
      </c>
      <c r="DH76" s="749" t="s">
        <v>590</v>
      </c>
    </row>
    <row r="77" spans="1:112" s="749" customFormat="1" ht="12.75" customHeight="1">
      <c r="A77" s="714"/>
      <c r="B77" s="714">
        <v>81</v>
      </c>
      <c r="C77" s="1465" t="s">
        <v>622</v>
      </c>
      <c r="D77" s="724"/>
      <c r="E77" s="830" t="s">
        <v>2562</v>
      </c>
      <c r="F77" s="754"/>
      <c r="G77" s="756">
        <f>InputQ!G26/1000</f>
        <v>5.16</v>
      </c>
      <c r="H77" s="756">
        <f>InputQ!H26/1000</f>
        <v>5.1520000000000001</v>
      </c>
      <c r="I77" s="756">
        <f>InputQ!I26/1000</f>
        <v>5.0919999999999996</v>
      </c>
      <c r="J77" s="756">
        <f>InputQ!J26/1000</f>
        <v>5.0129999999999999</v>
      </c>
      <c r="K77" s="756">
        <f>InputQ!K26/1000</f>
        <v>4.8109999999999999</v>
      </c>
      <c r="L77" s="756">
        <f>InputQ!L26/1000</f>
        <v>4.6779999999999999</v>
      </c>
      <c r="M77" s="756">
        <f>InputQ!M26/1000</f>
        <v>4.6520000000000001</v>
      </c>
      <c r="N77" s="756">
        <f>InputQ!N26/1000</f>
        <v>4.8159999999999998</v>
      </c>
      <c r="O77" s="756">
        <f>InputQ!O26/1000</f>
        <v>5.0389999999999997</v>
      </c>
      <c r="P77" s="756">
        <f>InputQ!P26/1000</f>
        <v>5.149</v>
      </c>
      <c r="Q77" s="756">
        <f>InputQ!Q26/1000</f>
        <v>5.0890000000000004</v>
      </c>
      <c r="R77" s="756">
        <f>InputQ!R26/1000</f>
        <v>5.0970000000000004</v>
      </c>
      <c r="S77" s="756">
        <f>InputQ!S26/1000</f>
        <v>4.9779999999999998</v>
      </c>
      <c r="T77" s="756">
        <f>InputQ!T26/1000</f>
        <v>4.8360000000000003</v>
      </c>
      <c r="U77" s="756">
        <f>InputQ!U26/1000</f>
        <v>4.8120000000000003</v>
      </c>
      <c r="V77" s="756">
        <f>InputQ!V26/1000</f>
        <v>4.8689999999999998</v>
      </c>
      <c r="W77" s="756">
        <f>InputQ!W26/1000</f>
        <v>4.9130000000000003</v>
      </c>
      <c r="X77" s="756">
        <f>InputQ!X26/1000</f>
        <v>4.9139999999999997</v>
      </c>
      <c r="Y77" s="756">
        <f>InputQ!Y26/1000</f>
        <v>4.8540000000000001</v>
      </c>
      <c r="Z77" s="756">
        <f>InputQ!Z26/1000</f>
        <v>4.8330000000000002</v>
      </c>
      <c r="AA77" s="756">
        <f>InputQ!AA26/1000</f>
        <v>4.8140000000000001</v>
      </c>
      <c r="AB77" s="756">
        <f>InputQ!AB26/1000</f>
        <v>4.7619999999999996</v>
      </c>
      <c r="AC77" s="756">
        <f>InputQ!AC26/1000</f>
        <v>4.7270000000000003</v>
      </c>
      <c r="AD77" s="756">
        <f>InputQ!AD26/1000</f>
        <v>4.6920000000000002</v>
      </c>
      <c r="AE77" s="756">
        <f>InputQ!AE26/1000</f>
        <v>4.6500000000000004</v>
      </c>
      <c r="AF77" s="756">
        <f>InputQ!AF26/1000</f>
        <v>4.5750000000000002</v>
      </c>
      <c r="AG77" s="756">
        <f>InputQ!AG26/1000</f>
        <v>4.5389999999999997</v>
      </c>
      <c r="AH77" s="756">
        <f>InputQ!AH26/1000</f>
        <v>4.476</v>
      </c>
      <c r="AI77" s="756">
        <f>InputQ!AI26/1000</f>
        <v>4.3769999999999998</v>
      </c>
      <c r="AJ77" s="756">
        <f>InputQ!AJ26/1000</f>
        <v>4.2869999999999999</v>
      </c>
      <c r="AK77" s="756">
        <f>InputQ!AK26/1000</f>
        <v>4.2549999999999999</v>
      </c>
      <c r="AL77" s="756">
        <f>InputQ!AL26/1000</f>
        <v>4.3239999999999998</v>
      </c>
      <c r="AM77" s="756">
        <f>InputQ!AM26/1000</f>
        <v>4.4589999999999996</v>
      </c>
      <c r="AN77" s="756">
        <f>InputQ!AN26/1000</f>
        <v>4.5199999999999996</v>
      </c>
      <c r="AO77" s="756">
        <f>InputQ!AO26/1000</f>
        <v>4.5330000000000004</v>
      </c>
      <c r="AP77" s="756">
        <f>InputQ!AP26/1000</f>
        <v>4.5330000000000004</v>
      </c>
      <c r="AQ77" s="756">
        <f>InputQ!AQ26/1000</f>
        <v>4.54</v>
      </c>
      <c r="AR77" s="756">
        <f>InputQ!AR26/1000</f>
        <v>4.6079999999999997</v>
      </c>
      <c r="AS77" s="756">
        <f>InputQ!AS26/1000</f>
        <v>4.6920000000000002</v>
      </c>
      <c r="AT77" s="756">
        <f>InputQ!AT26/1000</f>
        <v>4.9180000000000001</v>
      </c>
      <c r="AU77" s="756">
        <f>InputQ!AU26/1000</f>
        <v>5.1769999999999996</v>
      </c>
      <c r="AV77" s="756">
        <f>InputQ!AV26/1000</f>
        <v>5.3840000000000003</v>
      </c>
      <c r="AW77" s="756">
        <f>InputQ!AW26/1000</f>
        <v>5.51</v>
      </c>
      <c r="AX77" s="756">
        <f>InputQ!AX26/1000</f>
        <v>5.6210000000000004</v>
      </c>
      <c r="AY77" s="756">
        <f>InputQ!AY26/1000</f>
        <v>5.6589999999999998</v>
      </c>
      <c r="AZ77" s="756">
        <f>InputQ!AZ26/1000</f>
        <v>5.6470000000000002</v>
      </c>
      <c r="BA77" s="756">
        <f>InputQ!BA26/1000</f>
        <v>5.6769999999999996</v>
      </c>
      <c r="BB77" s="756">
        <f>InputQ!BB26/1000</f>
        <v>5.7430000000000003</v>
      </c>
      <c r="BC77" s="756">
        <f>InputQ!BC26/1000</f>
        <v>5.8460000000000001</v>
      </c>
      <c r="BD77" s="756">
        <f>InputQ!BD26/1000</f>
        <v>5.9240000000000004</v>
      </c>
      <c r="BE77" s="756">
        <f>InputQ!BE26/1000</f>
        <v>5.9829999999999997</v>
      </c>
      <c r="BF77" s="756">
        <f>InputQ!BF26/1000</f>
        <v>6.03</v>
      </c>
      <c r="BG77" s="756">
        <f>InputQ!BG26/1000</f>
        <v>6.0069999999999997</v>
      </c>
      <c r="BH77" s="756">
        <f>InputQ!BH26/1000</f>
        <v>5.8890000000000002</v>
      </c>
      <c r="BI77" s="756">
        <f>InputQ!BI26/1000</f>
        <v>5.74</v>
      </c>
      <c r="BJ77" s="756">
        <f>InputQ!BJ26/1000</f>
        <v>5.6340000000000003</v>
      </c>
      <c r="BK77" s="756">
        <f>InputQ!BK26/1000</f>
        <v>5.3949999999999996</v>
      </c>
      <c r="BL77" s="756">
        <f>InputQ!BL26/1000</f>
        <v>5.2080000000000002</v>
      </c>
      <c r="BM77" s="756">
        <f>InputQ!BM26/1000</f>
        <v>5.1139999999999999</v>
      </c>
      <c r="BN77" s="756">
        <f>InputQ!BN26/1000</f>
        <v>5.1289999999999996</v>
      </c>
      <c r="BO77" s="756">
        <f>InputQ!BO26/1000</f>
        <v>5.1470000000000002</v>
      </c>
      <c r="BP77" s="756">
        <f>InputQ!BP26/1000</f>
        <v>5.2450000000000001</v>
      </c>
      <c r="BQ77" s="756">
        <f>InputQ!BQ26/1000</f>
        <v>5.4459999999999997</v>
      </c>
      <c r="BR77" s="756">
        <f>InputQ!BR26/1000</f>
        <v>5.391</v>
      </c>
      <c r="BS77" s="756">
        <f>InputQ!BS26/1000</f>
        <v>5.2409999999999997</v>
      </c>
      <c r="BT77" s="756">
        <f>InputQ!BT26/1000</f>
        <v>5.1989999999999998</v>
      </c>
      <c r="BU77" s="756">
        <f>InputQ!BU26/1000</f>
        <v>5.0960000000000001</v>
      </c>
      <c r="BV77" s="756">
        <f>InputQ!BV26/1000</f>
        <v>5.1529999999999996</v>
      </c>
      <c r="BW77" s="756">
        <f>InputQ!BW26/1000</f>
        <v>5.1849999999999996</v>
      </c>
      <c r="BX77" s="756">
        <f>InputQ!BX26/1000</f>
        <v>5.1970000000000001</v>
      </c>
      <c r="BY77" s="756">
        <f>InputQ!BY26/1000</f>
        <v>5.1749999999999998</v>
      </c>
      <c r="BZ77" s="756">
        <f>InputQ!BZ26/1000</f>
        <v>5.1070000000000002</v>
      </c>
      <c r="CA77" s="756">
        <f>InputQ!CA26/1000</f>
        <v>4.9710000000000001</v>
      </c>
      <c r="CB77" s="756">
        <f>InputQ!CB26/1000</f>
        <v>4.96</v>
      </c>
      <c r="CC77" s="756">
        <f>InputQ!CC26/1000</f>
        <v>4.9640000000000004</v>
      </c>
      <c r="CD77" s="756">
        <f>InputQ!CD26/1000</f>
        <v>4.9640000000000004</v>
      </c>
      <c r="CE77" s="756">
        <f>InputQ!CE26/1000</f>
        <v>5.101</v>
      </c>
      <c r="CF77" s="756">
        <f>InputQ!CF26/1000</f>
        <v>5.23</v>
      </c>
      <c r="CG77" s="756">
        <f>InputQ!CG26/1000</f>
        <v>5.2949999999999999</v>
      </c>
      <c r="CH77" s="756">
        <f>InputQ!CH26/1000</f>
        <v>5.3579999999999997</v>
      </c>
      <c r="CI77" s="756">
        <f>InputQ!CI26/1000</f>
        <v>5.359</v>
      </c>
      <c r="CJ77" s="756">
        <f>InputQ!CJ26/1000</f>
        <v>5.2329999999999997</v>
      </c>
      <c r="CK77" s="756">
        <f>InputQ!CK26/1000</f>
        <v>5.2309999999999999</v>
      </c>
      <c r="CL77" s="756">
        <f>InputQ!CL26/1000</f>
        <v>5.37</v>
      </c>
      <c r="CM77" s="756">
        <f>InputQ!CM26/1000</f>
        <v>5.359</v>
      </c>
      <c r="CN77" s="756">
        <f>InputQ!CN26/1000</f>
        <v>5.4690000000000003</v>
      </c>
      <c r="CO77" s="756">
        <f>InputQ!CO26/1000</f>
        <v>5.4649999999999999</v>
      </c>
      <c r="CP77" s="756">
        <f>InputQ!CP26/1000</f>
        <v>5.4409999999999998</v>
      </c>
      <c r="CQ77" s="756">
        <f>InputQ!CQ26/1000</f>
        <v>5.4669999999999996</v>
      </c>
      <c r="CR77" s="756">
        <f>InputQ!CR26/1000</f>
        <v>5.3970000000000002</v>
      </c>
      <c r="CS77" s="756">
        <f>InputQ!CS26/1000</f>
        <v>5.4119999999999999</v>
      </c>
      <c r="CT77" s="756">
        <f>InputQ!CT26/1000</f>
        <v>5.4119999999999999</v>
      </c>
      <c r="CU77" s="1528">
        <f t="shared" si="492"/>
        <v>5.4390599999999996</v>
      </c>
      <c r="CV77" s="1528">
        <f t="shared" si="493"/>
        <v>5.4662552999999994</v>
      </c>
      <c r="CW77" s="1528">
        <f t="shared" si="494"/>
        <v>5.4935865764999985</v>
      </c>
      <c r="CX77" s="1528">
        <f t="shared" si="495"/>
        <v>5.5210545093824983</v>
      </c>
      <c r="CY77" s="1528">
        <f t="shared" si="496"/>
        <v>5.5320966184012637</v>
      </c>
      <c r="CZ77" s="1528">
        <f t="shared" si="497"/>
        <v>5.5431608116380664</v>
      </c>
      <c r="DA77" s="1528">
        <f t="shared" si="498"/>
        <v>5.5542471332613426</v>
      </c>
      <c r="DB77" s="1528">
        <f t="shared" si="499"/>
        <v>5.5653556275278655</v>
      </c>
      <c r="DC77" s="3935">
        <f>'VVP2'!AA53</f>
        <v>4.1227740966973681</v>
      </c>
      <c r="DD77" s="4005">
        <f>'VVP2'!AB53</f>
        <v>5.6007656192225141</v>
      </c>
      <c r="DE77" s="4005">
        <f ca="1">'VVP2'!AC53</f>
        <v>0.99829375328794878</v>
      </c>
      <c r="DF77" s="4005">
        <f ca="1">'VVP2'!AD53</f>
        <v>4.2920212950936509</v>
      </c>
      <c r="DG77" s="4005">
        <f ca="1">'VVP2'!AE53</f>
        <v>3.0398664772139927</v>
      </c>
      <c r="DH77" s="749" t="s">
        <v>590</v>
      </c>
    </row>
    <row r="78" spans="1:112" s="749" customFormat="1" ht="12.75" customHeight="1">
      <c r="A78" s="714"/>
      <c r="B78" s="714">
        <v>82</v>
      </c>
      <c r="C78" s="1465" t="s">
        <v>622</v>
      </c>
      <c r="D78" s="724"/>
      <c r="E78" s="830" t="s">
        <v>2563</v>
      </c>
      <c r="F78" s="754"/>
      <c r="G78" s="756">
        <f>InputQ!G27/1000</f>
        <v>1.611</v>
      </c>
      <c r="H78" s="756">
        <f>InputQ!H27/1000</f>
        <v>1.67</v>
      </c>
      <c r="I78" s="756">
        <f>InputQ!I27/1000</f>
        <v>1.6739999999999999</v>
      </c>
      <c r="J78" s="756">
        <f>InputQ!J27/1000</f>
        <v>1.651</v>
      </c>
      <c r="K78" s="756">
        <f>InputQ!K27/1000</f>
        <v>1.548</v>
      </c>
      <c r="L78" s="756">
        <f>InputQ!L27/1000</f>
        <v>1.589</v>
      </c>
      <c r="M78" s="756">
        <f>InputQ!M27/1000</f>
        <v>1.6080000000000001</v>
      </c>
      <c r="N78" s="756">
        <f>InputQ!N27/1000</f>
        <v>1.54</v>
      </c>
      <c r="O78" s="756">
        <f>InputQ!O27/1000</f>
        <v>1.7230000000000001</v>
      </c>
      <c r="P78" s="756">
        <f>InputQ!P27/1000</f>
        <v>1.643</v>
      </c>
      <c r="Q78" s="756">
        <f>InputQ!Q27/1000</f>
        <v>1.6479999999999999</v>
      </c>
      <c r="R78" s="756">
        <f>InputQ!R27/1000</f>
        <v>1.649</v>
      </c>
      <c r="S78" s="756">
        <f>InputQ!S27/1000</f>
        <v>1.619</v>
      </c>
      <c r="T78" s="756">
        <f>InputQ!T27/1000</f>
        <v>1.617</v>
      </c>
      <c r="U78" s="756">
        <f>InputQ!U27/1000</f>
        <v>1.605</v>
      </c>
      <c r="V78" s="756">
        <f>InputQ!V27/1000</f>
        <v>1.7829999999999999</v>
      </c>
      <c r="W78" s="756">
        <f>InputQ!W27/1000</f>
        <v>1.831</v>
      </c>
      <c r="X78" s="756">
        <f>InputQ!X27/1000</f>
        <v>1.9530000000000001</v>
      </c>
      <c r="Y78" s="756">
        <f>InputQ!Y27/1000</f>
        <v>1.9590000000000001</v>
      </c>
      <c r="Z78" s="756">
        <f>InputQ!Z27/1000</f>
        <v>1.9650000000000001</v>
      </c>
      <c r="AA78" s="756">
        <f>InputQ!AA27/1000</f>
        <v>1.9670000000000001</v>
      </c>
      <c r="AB78" s="756">
        <f>InputQ!AB27/1000</f>
        <v>2.004</v>
      </c>
      <c r="AC78" s="756">
        <f>InputQ!AC27/1000</f>
        <v>1.948</v>
      </c>
      <c r="AD78" s="756">
        <f>InputQ!AD27/1000</f>
        <v>1.94</v>
      </c>
      <c r="AE78" s="756">
        <f>InputQ!AE27/1000</f>
        <v>1.9790000000000001</v>
      </c>
      <c r="AF78" s="756">
        <f>InputQ!AF27/1000</f>
        <v>1.927</v>
      </c>
      <c r="AG78" s="756">
        <f>InputQ!AG27/1000</f>
        <v>1.899</v>
      </c>
      <c r="AH78" s="756">
        <f>InputQ!AH27/1000</f>
        <v>1.383</v>
      </c>
      <c r="AI78" s="756">
        <f>InputQ!AI27/1000</f>
        <v>1.843</v>
      </c>
      <c r="AJ78" s="756">
        <f>InputQ!AJ27/1000</f>
        <v>1.8340000000000001</v>
      </c>
      <c r="AK78" s="756">
        <f>InputQ!AK27/1000</f>
        <v>1.8720000000000001</v>
      </c>
      <c r="AL78" s="756">
        <f>InputQ!AL27/1000</f>
        <v>1.6180000000000001</v>
      </c>
      <c r="AM78" s="756">
        <f>InputQ!AM27/1000</f>
        <v>1.875</v>
      </c>
      <c r="AN78" s="756">
        <f>InputQ!AN27/1000</f>
        <v>1.907</v>
      </c>
      <c r="AO78" s="756">
        <f>InputQ!AO27/1000</f>
        <v>1.9930000000000001</v>
      </c>
      <c r="AP78" s="756">
        <f>InputQ!AP27/1000</f>
        <v>1.573</v>
      </c>
      <c r="AQ78" s="756">
        <f>InputQ!AQ27/1000</f>
        <v>2.1139999999999999</v>
      </c>
      <c r="AR78" s="756">
        <f>InputQ!AR27/1000</f>
        <v>1.7669999999999999</v>
      </c>
      <c r="AS78" s="756">
        <f>InputQ!AS27/1000</f>
        <v>2.0590000000000002</v>
      </c>
      <c r="AT78" s="756">
        <f>InputQ!AT27/1000</f>
        <v>1.538</v>
      </c>
      <c r="AU78" s="756">
        <f>InputQ!AU27/1000</f>
        <v>2</v>
      </c>
      <c r="AV78" s="756">
        <f>InputQ!AV27/1000</f>
        <v>2.012</v>
      </c>
      <c r="AW78" s="756">
        <f>InputQ!AW27/1000</f>
        <v>1.98</v>
      </c>
      <c r="AX78" s="756">
        <f>InputQ!AX27/1000</f>
        <v>1.8360000000000001</v>
      </c>
      <c r="AY78" s="756">
        <f>InputQ!AY27/1000</f>
        <v>2.1080000000000001</v>
      </c>
      <c r="AZ78" s="756">
        <f>InputQ!AZ27/1000</f>
        <v>2.052</v>
      </c>
      <c r="BA78" s="756">
        <f>InputQ!BA27/1000</f>
        <v>2.0099999999999998</v>
      </c>
      <c r="BB78" s="756">
        <f>InputQ!BB27/1000</f>
        <v>1.0780000000000001</v>
      </c>
      <c r="BC78" s="756">
        <f>InputQ!BC27/1000</f>
        <v>1.9910000000000001</v>
      </c>
      <c r="BD78" s="756">
        <f>InputQ!BD27/1000</f>
        <v>1.9410000000000001</v>
      </c>
      <c r="BE78" s="756">
        <f>InputQ!BE27/1000</f>
        <v>1.9570000000000001</v>
      </c>
      <c r="BF78" s="756">
        <f>InputQ!BF27/1000</f>
        <v>1.85</v>
      </c>
      <c r="BG78" s="756">
        <f>InputQ!BG27/1000</f>
        <v>1.9370000000000001</v>
      </c>
      <c r="BH78" s="756">
        <f>InputQ!BH27/1000</f>
        <v>1.956</v>
      </c>
      <c r="BI78" s="756">
        <f>InputQ!BI27/1000</f>
        <v>1.958</v>
      </c>
      <c r="BJ78" s="756">
        <f>InputQ!BJ27/1000</f>
        <v>2.0830000000000002</v>
      </c>
      <c r="BK78" s="756">
        <f>InputQ!BK27/1000</f>
        <v>2.085</v>
      </c>
      <c r="BL78" s="756">
        <f>InputQ!BL27/1000</f>
        <v>2.2269999999999999</v>
      </c>
      <c r="BM78" s="756">
        <f>InputQ!BM27/1000</f>
        <v>2.214</v>
      </c>
      <c r="BN78" s="756">
        <f>InputQ!BN27/1000</f>
        <v>2.282</v>
      </c>
      <c r="BO78" s="756">
        <f>InputQ!BO27/1000</f>
        <v>2.2240000000000002</v>
      </c>
      <c r="BP78" s="756">
        <f>InputQ!BP27/1000</f>
        <v>2.2269999999999999</v>
      </c>
      <c r="BQ78" s="756">
        <f>InputQ!BQ27/1000</f>
        <v>2.2200000000000002</v>
      </c>
      <c r="BR78" s="756">
        <f>InputQ!BR27/1000</f>
        <v>2.202</v>
      </c>
      <c r="BS78" s="756">
        <f>InputQ!BS27/1000</f>
        <v>2.2810000000000001</v>
      </c>
      <c r="BT78" s="756">
        <f>InputQ!BT27/1000</f>
        <v>2.319</v>
      </c>
      <c r="BU78" s="756">
        <f>InputQ!BU27/1000</f>
        <v>2.403</v>
      </c>
      <c r="BV78" s="756">
        <f>InputQ!BV27/1000</f>
        <v>2.4009999999999998</v>
      </c>
      <c r="BW78" s="756">
        <f>InputQ!BW27/1000</f>
        <v>2.4119999999999999</v>
      </c>
      <c r="BX78" s="756">
        <f>InputQ!BX27/1000</f>
        <v>2.387</v>
      </c>
      <c r="BY78" s="756">
        <f>InputQ!BY27/1000</f>
        <v>2.3889999999999998</v>
      </c>
      <c r="BZ78" s="756">
        <f>InputQ!BZ27/1000</f>
        <v>2.4209999999999998</v>
      </c>
      <c r="CA78" s="756">
        <f>InputQ!CA27/1000</f>
        <v>2.2799999999999998</v>
      </c>
      <c r="CB78" s="756">
        <f>InputQ!CB27/1000</f>
        <v>2.2749999999999999</v>
      </c>
      <c r="CC78" s="756">
        <f>InputQ!CC27/1000</f>
        <v>2.3210000000000002</v>
      </c>
      <c r="CD78" s="756">
        <f>InputQ!CD27/1000</f>
        <v>2.3220000000000001</v>
      </c>
      <c r="CE78" s="756">
        <f>InputQ!CE27/1000</f>
        <v>2.3380000000000001</v>
      </c>
      <c r="CF78" s="756">
        <f>InputQ!CF27/1000</f>
        <v>2.3959999999999999</v>
      </c>
      <c r="CG78" s="756">
        <f>InputQ!CG27/1000</f>
        <v>2.3860000000000001</v>
      </c>
      <c r="CH78" s="756">
        <f>InputQ!CH27/1000</f>
        <v>2.407</v>
      </c>
      <c r="CI78" s="756">
        <f>InputQ!CI27/1000</f>
        <v>2.4449999999999998</v>
      </c>
      <c r="CJ78" s="756">
        <f>InputQ!CJ27/1000</f>
        <v>2.3959999999999999</v>
      </c>
      <c r="CK78" s="756">
        <f>InputQ!CK27/1000</f>
        <v>2.4329999999999998</v>
      </c>
      <c r="CL78" s="756">
        <f>InputQ!CL27/1000</f>
        <v>2.3540000000000001</v>
      </c>
      <c r="CM78" s="756">
        <f>InputQ!CM27/1000</f>
        <v>2.351</v>
      </c>
      <c r="CN78" s="756">
        <f>InputQ!CN27/1000</f>
        <v>2.3130000000000002</v>
      </c>
      <c r="CO78" s="756">
        <f>InputQ!CO27/1000</f>
        <v>2.302</v>
      </c>
      <c r="CP78" s="756">
        <f>InputQ!CP27/1000</f>
        <v>2.3660000000000001</v>
      </c>
      <c r="CQ78" s="756">
        <f>InputQ!CQ27/1000</f>
        <v>2.3679999999999999</v>
      </c>
      <c r="CR78" s="756">
        <f>InputQ!CR27/1000</f>
        <v>2.4140000000000001</v>
      </c>
      <c r="CS78" s="756">
        <f>InputQ!CS27/1000</f>
        <v>2.4359999999999999</v>
      </c>
      <c r="CT78" s="756">
        <f>InputQ!CT27/1000</f>
        <v>2.508</v>
      </c>
      <c r="CU78" s="1528">
        <f t="shared" si="492"/>
        <v>2.5456199999999995</v>
      </c>
      <c r="CV78" s="1528">
        <f t="shared" si="493"/>
        <v>2.5965323999999996</v>
      </c>
      <c r="CW78" s="1528">
        <f t="shared" si="494"/>
        <v>2.6484630479999995</v>
      </c>
      <c r="CX78" s="1528">
        <f t="shared" si="495"/>
        <v>2.7014323089599994</v>
      </c>
      <c r="CY78" s="1528">
        <f t="shared" si="496"/>
        <v>2.7284466320495993</v>
      </c>
      <c r="CZ78" s="1528">
        <f t="shared" si="497"/>
        <v>2.7557310983700951</v>
      </c>
      <c r="DA78" s="1528">
        <f t="shared" si="498"/>
        <v>2.7612425605668354</v>
      </c>
      <c r="DB78" s="1528">
        <f t="shared" si="499"/>
        <v>2.7612425605668354</v>
      </c>
      <c r="DD78" s="753"/>
      <c r="DF78" s="2976"/>
    </row>
    <row r="79" spans="1:112" s="749" customFormat="1" ht="12.75" customHeight="1">
      <c r="A79" s="714"/>
      <c r="B79" s="714"/>
      <c r="C79" s="1878" t="s">
        <v>622</v>
      </c>
      <c r="D79" s="1875"/>
      <c r="E79" s="1876" t="s">
        <v>1963</v>
      </c>
      <c r="F79" s="1875"/>
      <c r="G79" s="1876">
        <f>SUM(G76:G78)-G80</f>
        <v>0.34500000000000064</v>
      </c>
      <c r="H79" s="1876">
        <f t="shared" ref="H79:BS79" si="500">SUM(H76:H78)-H80</f>
        <v>0.31199999999999939</v>
      </c>
      <c r="I79" s="1876">
        <f t="shared" si="500"/>
        <v>0.2759999999999998</v>
      </c>
      <c r="J79" s="1876">
        <f t="shared" si="500"/>
        <v>0.25499999999999901</v>
      </c>
      <c r="K79" s="1876">
        <f t="shared" si="500"/>
        <v>0.25200000000000067</v>
      </c>
      <c r="L79" s="1876">
        <f t="shared" si="500"/>
        <v>0.19700000000000095</v>
      </c>
      <c r="M79" s="1876">
        <f t="shared" si="500"/>
        <v>0.16499999999999915</v>
      </c>
      <c r="N79" s="1876">
        <f t="shared" si="500"/>
        <v>0.17499999999999716</v>
      </c>
      <c r="O79" s="1876">
        <f t="shared" si="500"/>
        <v>0.22500000000000142</v>
      </c>
      <c r="P79" s="1876">
        <f t="shared" si="500"/>
        <v>0.22900000000000276</v>
      </c>
      <c r="Q79" s="1876">
        <f t="shared" si="500"/>
        <v>0.22299999999999898</v>
      </c>
      <c r="R79" s="1876">
        <f t="shared" si="500"/>
        <v>0.19900000000000162</v>
      </c>
      <c r="S79" s="1876">
        <f t="shared" si="500"/>
        <v>0.17899999999999849</v>
      </c>
      <c r="T79" s="1876">
        <f t="shared" si="500"/>
        <v>0.14199999999999946</v>
      </c>
      <c r="U79" s="1876">
        <f t="shared" si="500"/>
        <v>0.11400000000000077</v>
      </c>
      <c r="V79" s="1876">
        <f t="shared" si="500"/>
        <v>0.11899999999999977</v>
      </c>
      <c r="W79" s="1876">
        <f t="shared" si="500"/>
        <v>0.12600000000000122</v>
      </c>
      <c r="X79" s="1876">
        <f t="shared" si="500"/>
        <v>0.11899999999999977</v>
      </c>
      <c r="Y79" s="1876">
        <f t="shared" si="500"/>
        <v>9.9000000000000199E-2</v>
      </c>
      <c r="Z79" s="1876">
        <f t="shared" si="500"/>
        <v>0.1039999999999992</v>
      </c>
      <c r="AA79" s="1876">
        <f t="shared" si="500"/>
        <v>6.4000000000000057E-2</v>
      </c>
      <c r="AB79" s="1876">
        <f t="shared" si="500"/>
        <v>4.5999999999999375E-2</v>
      </c>
      <c r="AC79" s="1876">
        <f t="shared" si="500"/>
        <v>1.8999999999998352E-2</v>
      </c>
      <c r="AD79" s="1876">
        <f t="shared" si="500"/>
        <v>1.0000000000012221E-3</v>
      </c>
      <c r="AE79" s="1876">
        <f t="shared" si="500"/>
        <v>-2.699999999999747E-2</v>
      </c>
      <c r="AF79" s="1876">
        <f t="shared" si="500"/>
        <v>-3.1000000000002359E-2</v>
      </c>
      <c r="AG79" s="1876">
        <f t="shared" si="500"/>
        <v>-5.3999999999998494E-2</v>
      </c>
      <c r="AH79" s="1876">
        <f t="shared" si="500"/>
        <v>-4.2000000000001592E-2</v>
      </c>
      <c r="AI79" s="1876">
        <f t="shared" si="500"/>
        <v>-4.4000000000000483E-2</v>
      </c>
      <c r="AJ79" s="1876">
        <f t="shared" si="500"/>
        <v>-4.5999999999999375E-2</v>
      </c>
      <c r="AK79" s="1876">
        <f t="shared" si="500"/>
        <v>-3.5000000000000142E-2</v>
      </c>
      <c r="AL79" s="1876">
        <f t="shared" si="500"/>
        <v>-5.2000000000003155E-2</v>
      </c>
      <c r="AM79" s="1876">
        <f t="shared" si="500"/>
        <v>-1.5000000000000568E-2</v>
      </c>
      <c r="AN79" s="1876">
        <f t="shared" si="500"/>
        <v>-9.9999999999766942E-4</v>
      </c>
      <c r="AO79" s="1876">
        <f t="shared" si="500"/>
        <v>3.9999999999977831E-3</v>
      </c>
      <c r="AP79" s="1876">
        <f t="shared" si="500"/>
        <v>7.0000000000014495E-3</v>
      </c>
      <c r="AQ79" s="1876">
        <f t="shared" si="500"/>
        <v>-3.9000000000001478E-2</v>
      </c>
      <c r="AR79" s="1876">
        <f t="shared" si="500"/>
        <v>-5.9000000000001052E-2</v>
      </c>
      <c r="AS79" s="1876">
        <f t="shared" si="500"/>
        <v>-6.6000000000002501E-2</v>
      </c>
      <c r="AT79" s="1876">
        <f t="shared" si="500"/>
        <v>-1.6000000000001791E-2</v>
      </c>
      <c r="AU79" s="1876">
        <f t="shared" si="500"/>
        <v>-8.0000000000026716E-3</v>
      </c>
      <c r="AV79" s="1876">
        <f t="shared" si="500"/>
        <v>-6.9999999999978968E-3</v>
      </c>
      <c r="AW79" s="1876">
        <f t="shared" si="500"/>
        <v>2.8000000000002245E-2</v>
      </c>
      <c r="AX79" s="1876">
        <f t="shared" si="500"/>
        <v>5.3000000000000824E-2</v>
      </c>
      <c r="AY79" s="1876">
        <f t="shared" si="500"/>
        <v>3.5000000000000142E-2</v>
      </c>
      <c r="AZ79" s="1876">
        <f t="shared" si="500"/>
        <v>3.8000000000000256E-2</v>
      </c>
      <c r="BA79" s="1876">
        <f t="shared" si="500"/>
        <v>3.0000000000001137E-2</v>
      </c>
      <c r="BB79" s="1876">
        <f t="shared" si="500"/>
        <v>2.2000000000002018E-2</v>
      </c>
      <c r="BC79" s="1876">
        <f t="shared" si="500"/>
        <v>2.4000000000000909E-2</v>
      </c>
      <c r="BD79" s="1876">
        <f t="shared" si="500"/>
        <v>2.8000000000002245E-2</v>
      </c>
      <c r="BE79" s="1876">
        <f t="shared" si="500"/>
        <v>2.2999999999999687E-2</v>
      </c>
      <c r="BF79" s="1876">
        <f t="shared" si="500"/>
        <v>1.8000000000000682E-2</v>
      </c>
      <c r="BG79" s="1876">
        <f t="shared" si="500"/>
        <v>1.4000000000002899E-2</v>
      </c>
      <c r="BH79" s="1876">
        <f t="shared" si="500"/>
        <v>1.0000000000001563E-2</v>
      </c>
      <c r="BI79" s="1876">
        <f t="shared" si="500"/>
        <v>6.9999999999978968E-3</v>
      </c>
      <c r="BJ79" s="1876">
        <f t="shared" si="500"/>
        <v>4.0000000000013358E-3</v>
      </c>
      <c r="BK79" s="1876">
        <f t="shared" si="500"/>
        <v>1.9999999999988916E-3</v>
      </c>
      <c r="BL79" s="1876">
        <f t="shared" si="500"/>
        <v>1.0000000000012221E-3</v>
      </c>
      <c r="BM79" s="1876">
        <f t="shared" si="500"/>
        <v>9.9999999999766942E-4</v>
      </c>
      <c r="BN79" s="1876">
        <f t="shared" si="500"/>
        <v>-1.0000000000012221E-3</v>
      </c>
      <c r="BO79" s="1876">
        <f t="shared" si="500"/>
        <v>-9.9999999999766942E-4</v>
      </c>
      <c r="BP79" s="1876">
        <f t="shared" si="500"/>
        <v>1.0000000000012221E-3</v>
      </c>
      <c r="BQ79" s="1876">
        <f t="shared" si="500"/>
        <v>9.9999999999766942E-4</v>
      </c>
      <c r="BR79" s="1876">
        <f t="shared" si="500"/>
        <v>0</v>
      </c>
      <c r="BS79" s="1876">
        <f t="shared" si="500"/>
        <v>-1.0000000000012221E-3</v>
      </c>
      <c r="BT79" s="1876">
        <f t="shared" ref="BT79:CG79" si="501">SUM(BT76:BT78)-BT80</f>
        <v>9.9999999999766942E-4</v>
      </c>
      <c r="BU79" s="1876">
        <f t="shared" si="501"/>
        <v>9.9999999999766942E-4</v>
      </c>
      <c r="BV79" s="1876">
        <f t="shared" si="501"/>
        <v>9.9999999999766942E-4</v>
      </c>
      <c r="BW79" s="1876">
        <f t="shared" si="501"/>
        <v>-3.0000000000001137E-3</v>
      </c>
      <c r="BX79" s="1876">
        <f t="shared" si="501"/>
        <v>9.9999999999766942E-4</v>
      </c>
      <c r="BY79" s="1876">
        <f t="shared" si="501"/>
        <v>0</v>
      </c>
      <c r="BZ79" s="1876">
        <f t="shared" si="501"/>
        <v>-1.0000000000012221E-3</v>
      </c>
      <c r="CA79" s="1876">
        <f t="shared" si="501"/>
        <v>-3.0000000000001137E-3</v>
      </c>
      <c r="CB79" s="1876">
        <f t="shared" si="501"/>
        <v>1.0000000000012221E-3</v>
      </c>
      <c r="CC79" s="1876">
        <f t="shared" si="501"/>
        <v>-9.9999999999766942E-4</v>
      </c>
      <c r="CD79" s="1876">
        <f t="shared" si="501"/>
        <v>-1.0000000000012221E-3</v>
      </c>
      <c r="CE79" s="1876">
        <f t="shared" si="501"/>
        <v>-4.0000000000013358E-3</v>
      </c>
      <c r="CF79" s="1876">
        <f t="shared" si="501"/>
        <v>-1.0000000000012221E-3</v>
      </c>
      <c r="CG79" s="1876">
        <f t="shared" si="501"/>
        <v>1.9999999999953388E-3</v>
      </c>
      <c r="CH79" s="1876">
        <f t="shared" ref="CH79" si="502">SUM(CH76:CH78)-CH80</f>
        <v>-1.0000000000012221E-3</v>
      </c>
      <c r="CI79" s="1876">
        <f t="shared" ref="CI79:CJ79" si="503">SUM(CI76:CI78)-CI80</f>
        <v>0</v>
      </c>
      <c r="CJ79" s="1876">
        <f t="shared" si="503"/>
        <v>0</v>
      </c>
      <c r="CK79" s="1876">
        <f t="shared" ref="CK79:CN79" si="504">SUM(CK76:CK78)-CK80</f>
        <v>1.0000000000012221E-3</v>
      </c>
      <c r="CL79" s="1876">
        <f t="shared" si="504"/>
        <v>9.9999999999766942E-4</v>
      </c>
      <c r="CM79" s="1876">
        <f t="shared" si="504"/>
        <v>0</v>
      </c>
      <c r="CN79" s="1876">
        <f t="shared" si="504"/>
        <v>0</v>
      </c>
      <c r="CO79" s="1876">
        <f t="shared" ref="CO79:CR79" si="505">SUM(CO76:CO78)-CO80</f>
        <v>0</v>
      </c>
      <c r="CP79" s="1876">
        <f t="shared" si="505"/>
        <v>0</v>
      </c>
      <c r="CQ79" s="1876">
        <f t="shared" si="505"/>
        <v>9.9999999999766942E-4</v>
      </c>
      <c r="CR79" s="1876">
        <f t="shared" si="505"/>
        <v>-9.9999999999766942E-4</v>
      </c>
      <c r="CS79" s="1876">
        <f t="shared" ref="CS79:CT79" si="506">SUM(CS76:CS78)-CS80</f>
        <v>-1.0000000000012221E-3</v>
      </c>
      <c r="CT79" s="1876">
        <f t="shared" si="506"/>
        <v>-1.0000000000012221E-3</v>
      </c>
      <c r="CU79" s="1879">
        <f t="shared" ref="CU79:CW79" si="507">SUM(CU76:CU78)-CU80</f>
        <v>0</v>
      </c>
      <c r="CV79" s="1879">
        <f t="shared" si="507"/>
        <v>0</v>
      </c>
      <c r="CW79" s="1879">
        <f t="shared" si="507"/>
        <v>0</v>
      </c>
      <c r="CX79" s="1879">
        <f t="shared" ref="CX79:DA79" si="508">SUM(CX76:CX78)-CX80</f>
        <v>0</v>
      </c>
      <c r="CY79" s="1879">
        <f t="shared" si="508"/>
        <v>0</v>
      </c>
      <c r="CZ79" s="1879">
        <f t="shared" si="508"/>
        <v>0</v>
      </c>
      <c r="DA79" s="1879">
        <f t="shared" si="508"/>
        <v>0</v>
      </c>
      <c r="DB79" s="1879">
        <f t="shared" ref="DB79" si="509">SUM(DB76:DB78)-DB80</f>
        <v>0</v>
      </c>
      <c r="DC79" s="749">
        <v>2015</v>
      </c>
      <c r="DD79" s="2976">
        <v>2016</v>
      </c>
      <c r="DE79" s="749">
        <v>2017</v>
      </c>
      <c r="DF79" s="2976">
        <v>2018</v>
      </c>
      <c r="DG79" s="749">
        <v>2019</v>
      </c>
    </row>
    <row r="80" spans="1:112" s="749" customFormat="1" ht="12.75" customHeight="1">
      <c r="A80" s="714" t="str">
        <f>"Q" &amp; ROW(InputQ!A7)</f>
        <v>Q7</v>
      </c>
      <c r="C80" s="1465" t="s">
        <v>624</v>
      </c>
      <c r="D80" s="718"/>
      <c r="E80" s="750" t="s">
        <v>677</v>
      </c>
      <c r="F80" s="751"/>
      <c r="G80" s="828">
        <f>InputQ!G7/1000</f>
        <v>15.221</v>
      </c>
      <c r="H80" s="828">
        <f>InputQ!H7/1000</f>
        <v>15.483000000000001</v>
      </c>
      <c r="I80" s="828">
        <f>InputQ!I7/1000</f>
        <v>15.666</v>
      </c>
      <c r="J80" s="828">
        <f>InputQ!J7/1000</f>
        <v>15.675000000000001</v>
      </c>
      <c r="K80" s="828">
        <f>InputQ!K7/1000</f>
        <v>15.427</v>
      </c>
      <c r="L80" s="828">
        <f>InputQ!L7/1000</f>
        <v>15.468</v>
      </c>
      <c r="M80" s="828">
        <f>InputQ!M7/1000</f>
        <v>15.669</v>
      </c>
      <c r="N80" s="828">
        <f>InputQ!N7/1000</f>
        <v>16.004000000000001</v>
      </c>
      <c r="O80" s="828">
        <f>InputQ!O7/1000</f>
        <v>16.327999999999999</v>
      </c>
      <c r="P80" s="828">
        <f>InputQ!P7/1000</f>
        <v>16.713999999999999</v>
      </c>
      <c r="Q80" s="828">
        <f>InputQ!Q7/1000</f>
        <v>16.649000000000001</v>
      </c>
      <c r="R80" s="828">
        <f>InputQ!R7/1000</f>
        <v>17.033999999999999</v>
      </c>
      <c r="S80" s="828">
        <f>InputQ!S7/1000</f>
        <v>16.823</v>
      </c>
      <c r="T80" s="828">
        <f>InputQ!T7/1000</f>
        <v>16.867000000000001</v>
      </c>
      <c r="U80" s="828">
        <f>InputQ!U7/1000</f>
        <v>17.198</v>
      </c>
      <c r="V80" s="828">
        <f>InputQ!V7/1000</f>
        <v>17.475000000000001</v>
      </c>
      <c r="W80" s="828">
        <f>InputQ!W7/1000</f>
        <v>17.53</v>
      </c>
      <c r="X80" s="828">
        <f>InputQ!X7/1000</f>
        <v>17.794</v>
      </c>
      <c r="Y80" s="828">
        <f>InputQ!Y7/1000</f>
        <v>17.876000000000001</v>
      </c>
      <c r="Z80" s="828">
        <f>InputQ!Z7/1000</f>
        <v>17.742000000000001</v>
      </c>
      <c r="AA80" s="828">
        <f>InputQ!AA7/1000</f>
        <v>18.251999999999999</v>
      </c>
      <c r="AB80" s="828">
        <f>InputQ!AB7/1000</f>
        <v>18.413</v>
      </c>
      <c r="AC80" s="828">
        <f>InputQ!AC7/1000</f>
        <v>18.625</v>
      </c>
      <c r="AD80" s="828">
        <f>InputQ!AD7/1000</f>
        <v>18.748000000000001</v>
      </c>
      <c r="AE80" s="828">
        <f>InputQ!AE7/1000</f>
        <v>19.074999999999999</v>
      </c>
      <c r="AF80" s="828">
        <f>InputQ!AF7/1000</f>
        <v>18.855</v>
      </c>
      <c r="AG80" s="828">
        <f>InputQ!AG7/1000</f>
        <v>19.062000000000001</v>
      </c>
      <c r="AH80" s="828">
        <f>InputQ!AH7/1000</f>
        <v>18.253</v>
      </c>
      <c r="AI80" s="828">
        <f>InputQ!AI7/1000</f>
        <v>18.25</v>
      </c>
      <c r="AJ80" s="828">
        <f>InputQ!AJ7/1000</f>
        <v>17.984999999999999</v>
      </c>
      <c r="AK80" s="828">
        <f>InputQ!AK7/1000</f>
        <v>17.710999999999999</v>
      </c>
      <c r="AL80" s="828">
        <f>InputQ!AL7/1000</f>
        <v>18.053000000000001</v>
      </c>
      <c r="AM80" s="828">
        <f>InputQ!AM7/1000</f>
        <v>17.966999999999999</v>
      </c>
      <c r="AN80" s="828">
        <f>InputQ!AN7/1000</f>
        <v>18.004999999999999</v>
      </c>
      <c r="AO80" s="828">
        <f>InputQ!AO7/1000</f>
        <v>17.995000000000001</v>
      </c>
      <c r="AP80" s="828">
        <f>InputQ!AP7/1000</f>
        <v>17.742000000000001</v>
      </c>
      <c r="AQ80" s="828">
        <f>InputQ!AQ7/1000</f>
        <v>18.896000000000001</v>
      </c>
      <c r="AR80" s="828">
        <f>InputQ!AR7/1000</f>
        <v>19.471</v>
      </c>
      <c r="AS80" s="828">
        <f>InputQ!AS7/1000</f>
        <v>20.062000000000001</v>
      </c>
      <c r="AT80" s="828">
        <f>InputQ!AT7/1000</f>
        <v>19.649000000000001</v>
      </c>
      <c r="AU80" s="828">
        <f>InputQ!AU7/1000</f>
        <v>20.414000000000001</v>
      </c>
      <c r="AV80" s="828">
        <f>InputQ!AV7/1000</f>
        <v>21.216000000000001</v>
      </c>
      <c r="AW80" s="828">
        <f>InputQ!AW7/1000</f>
        <v>20.759</v>
      </c>
      <c r="AX80" s="828">
        <f>InputQ!AX7/1000</f>
        <v>20.428999999999998</v>
      </c>
      <c r="AY80" s="828">
        <f>InputQ!AY7/1000</f>
        <v>20.989000000000001</v>
      </c>
      <c r="AZ80" s="828">
        <f>InputQ!AZ7/1000</f>
        <v>20.901</v>
      </c>
      <c r="BA80" s="828">
        <f>InputQ!BA7/1000</f>
        <v>21.259</v>
      </c>
      <c r="BB80" s="828">
        <f>InputQ!BB7/1000</f>
        <v>21.29</v>
      </c>
      <c r="BC80" s="828">
        <f>InputQ!BC7/1000</f>
        <v>21.988</v>
      </c>
      <c r="BD80" s="828">
        <f>InputQ!BD7/1000</f>
        <v>22.303999999999998</v>
      </c>
      <c r="BE80" s="828">
        <f>InputQ!BE7/1000</f>
        <v>22.734999999999999</v>
      </c>
      <c r="BF80" s="828">
        <f>InputQ!BF7/1000</f>
        <v>23.116</v>
      </c>
      <c r="BG80" s="828">
        <f>InputQ!BG7/1000</f>
        <v>23.282</v>
      </c>
      <c r="BH80" s="828">
        <f>InputQ!BH7/1000</f>
        <v>23.305</v>
      </c>
      <c r="BI80" s="828">
        <f>InputQ!BI7/1000</f>
        <v>22.815000000000001</v>
      </c>
      <c r="BJ80" s="2956">
        <f>InputQ!BJ7/1000</f>
        <v>22.446999999999999</v>
      </c>
      <c r="BK80" s="2956">
        <f>InputQ!BK7/1000</f>
        <v>21.76</v>
      </c>
      <c r="BL80" s="2956">
        <f>InputQ!BL7/1000</f>
        <v>21.542000000000002</v>
      </c>
      <c r="BM80" s="2956">
        <f>InputQ!BM7/1000</f>
        <v>21.105</v>
      </c>
      <c r="BN80" s="2956">
        <f>InputQ!BN7/1000</f>
        <v>21.353000000000002</v>
      </c>
      <c r="BO80" s="2956">
        <f>InputQ!BO7/1000</f>
        <v>21.001999999999999</v>
      </c>
      <c r="BP80" s="2956">
        <f>InputQ!BP7/1000</f>
        <v>21.04</v>
      </c>
      <c r="BQ80" s="2956">
        <f>InputQ!BQ7/1000</f>
        <v>21.416</v>
      </c>
      <c r="BR80" s="2956">
        <f>InputQ!BR7/1000</f>
        <v>21.588999999999999</v>
      </c>
      <c r="BS80" s="2956">
        <f>InputQ!BS7/1000</f>
        <v>21.791</v>
      </c>
      <c r="BT80" s="2956">
        <f>InputQ!BT7/1000</f>
        <v>22.209</v>
      </c>
      <c r="BU80" s="2956">
        <f>InputQ!BU7/1000</f>
        <v>22.164000000000001</v>
      </c>
      <c r="BV80" s="2956">
        <f>InputQ!BV7/1000</f>
        <v>22.472000000000001</v>
      </c>
      <c r="BW80" s="2956">
        <f>InputQ!BW7/1000</f>
        <v>22.29</v>
      </c>
      <c r="BX80" s="2956">
        <f>InputQ!BX7/1000</f>
        <v>22.344000000000001</v>
      </c>
      <c r="BY80" s="2956">
        <f>InputQ!BY7/1000</f>
        <v>22.279</v>
      </c>
      <c r="BZ80" s="2956">
        <f>InputQ!BZ7/1000</f>
        <v>21.898</v>
      </c>
      <c r="CA80" s="2956">
        <f>InputQ!CA7/1000</f>
        <v>21.738</v>
      </c>
      <c r="CB80" s="2956">
        <f>InputQ!CB7/1000</f>
        <v>21.873999999999999</v>
      </c>
      <c r="CC80" s="2956">
        <f>InputQ!CC7/1000</f>
        <v>21.93</v>
      </c>
      <c r="CD80" s="2956">
        <f>InputQ!CD7/1000</f>
        <v>21.946000000000002</v>
      </c>
      <c r="CE80" s="2956">
        <f>InputQ!CE7/1000</f>
        <v>22.344000000000001</v>
      </c>
      <c r="CF80" s="2956">
        <f>InputQ!CF7/1000</f>
        <v>22.721</v>
      </c>
      <c r="CG80" s="2956">
        <f>InputQ!CG7/1000</f>
        <v>24.419</v>
      </c>
      <c r="CH80" s="2956">
        <f>InputQ!CH7/1000</f>
        <v>23.221</v>
      </c>
      <c r="CI80" s="2956">
        <f>InputQ!CI7/1000</f>
        <v>25.457999999999998</v>
      </c>
      <c r="CJ80" s="2956">
        <f>InputQ!CJ7/1000</f>
        <v>22.765999999999998</v>
      </c>
      <c r="CK80" s="2956">
        <f>InputQ!CK7/1000</f>
        <v>23.373999999999999</v>
      </c>
      <c r="CL80" s="2956">
        <f>InputQ!CL7/1000</f>
        <v>23.588000000000001</v>
      </c>
      <c r="CM80" s="2956">
        <f>InputQ!CM7/1000</f>
        <v>23.951000000000001</v>
      </c>
      <c r="CN80" s="2956">
        <f>InputQ!CN7/1000</f>
        <v>24.120999999999999</v>
      </c>
      <c r="CO80" s="2956">
        <f>InputQ!CO7/1000</f>
        <v>25.998999999999999</v>
      </c>
      <c r="CP80" s="2956">
        <f>InputQ!CP7/1000</f>
        <v>24.544</v>
      </c>
      <c r="CQ80" s="2956">
        <f>InputQ!CQ7/1000</f>
        <v>24.593</v>
      </c>
      <c r="CR80" s="2956">
        <f>InputQ!CR7/1000</f>
        <v>24.808</v>
      </c>
      <c r="CS80" s="2956">
        <f>InputQ!CS7/1000</f>
        <v>25.094000000000001</v>
      </c>
      <c r="CT80" s="2956">
        <f>InputQ!CT7/1000</f>
        <v>25.096</v>
      </c>
      <c r="CU80" s="1868">
        <f t="shared" ref="CU80:CX80" si="510">SUM(CU76:CU78)</f>
        <v>25.400129999999997</v>
      </c>
      <c r="CV80" s="1868">
        <f t="shared" si="510"/>
        <v>25.722054</v>
      </c>
      <c r="CW80" s="1868">
        <f t="shared" si="510"/>
        <v>26.048545652699996</v>
      </c>
      <c r="CX80" s="1868">
        <f t="shared" si="510"/>
        <v>26.379673790937296</v>
      </c>
      <c r="CY80" s="1868">
        <f t="shared" ref="CY80:DB80" si="511">SUM(CY76:CY78)</f>
        <v>26.472201783963445</v>
      </c>
      <c r="CZ80" s="1868">
        <f t="shared" si="511"/>
        <v>26.565185419121281</v>
      </c>
      <c r="DA80" s="1868">
        <f t="shared" si="511"/>
        <v>26.636582083468632</v>
      </c>
      <c r="DB80" s="1868">
        <f t="shared" si="511"/>
        <v>26.702653854904074</v>
      </c>
      <c r="DC80" s="3934">
        <f>100*SUM(CI77:CL77)/SUM(CE77:CH77)-100</f>
        <v>0.99599695005717592</v>
      </c>
      <c r="DD80" s="3934">
        <f>100*SUM(CM77:CP77)/SUM(CI77:CL77)-100</f>
        <v>2.552729674892646</v>
      </c>
      <c r="DE80" s="3934">
        <f>100*SUM(CQ77:CT77)/SUM(CM77:CP77)-100</f>
        <v>-0.21164994938806103</v>
      </c>
      <c r="DF80" s="3934">
        <f>100*SUM(CU77:CX77)/SUM(CQ77:CT77)-100</f>
        <v>1.0695148740432359</v>
      </c>
      <c r="DG80" s="3934">
        <f>100*SUM(CY77:DB77)/SUM(CU77:CX77)-100</f>
        <v>1.2541256930743288</v>
      </c>
      <c r="DH80" s="749" t="s">
        <v>589</v>
      </c>
    </row>
    <row r="81" spans="1:112" s="26" customFormat="1">
      <c r="A81" s="723"/>
      <c r="B81" s="723"/>
      <c r="C81" s="737"/>
      <c r="D81" s="733"/>
      <c r="E81" s="734" t="s">
        <v>357</v>
      </c>
      <c r="F81" s="735"/>
      <c r="G81" s="1476"/>
      <c r="H81" s="1477"/>
      <c r="I81" s="1477"/>
      <c r="J81" s="1481">
        <f>SUM(G80:J80)</f>
        <v>62.045000000000002</v>
      </c>
      <c r="K81" s="1476"/>
      <c r="L81" s="1477"/>
      <c r="M81" s="1477"/>
      <c r="N81" s="1481">
        <f>SUM(K80:N80)</f>
        <v>62.567999999999998</v>
      </c>
      <c r="O81" s="1476"/>
      <c r="P81" s="1477"/>
      <c r="Q81" s="1477"/>
      <c r="R81" s="1481">
        <f>SUM(O80:R80)</f>
        <v>66.724999999999994</v>
      </c>
      <c r="S81" s="1476"/>
      <c r="T81" s="1477"/>
      <c r="U81" s="1477"/>
      <c r="V81" s="1481">
        <f>SUM(S80:V80)</f>
        <v>68.363</v>
      </c>
      <c r="W81" s="1476"/>
      <c r="X81" s="1477"/>
      <c r="Y81" s="1477"/>
      <c r="Z81" s="1481">
        <f>SUM(W80:Z80)</f>
        <v>70.942000000000007</v>
      </c>
      <c r="AA81" s="1476"/>
      <c r="AB81" s="1477"/>
      <c r="AC81" s="1477"/>
      <c r="AD81" s="1481">
        <f>SUM(AA80:AD80)</f>
        <v>74.037999999999997</v>
      </c>
      <c r="AE81" s="1476"/>
      <c r="AF81" s="1477"/>
      <c r="AG81" s="1477"/>
      <c r="AH81" s="1481">
        <f>SUM(AE80:AH80)</f>
        <v>75.245000000000005</v>
      </c>
      <c r="AI81" s="1476"/>
      <c r="AJ81" s="1477"/>
      <c r="AK81" s="1477"/>
      <c r="AL81" s="1481">
        <f>SUM(AI80:AL80)</f>
        <v>71.998999999999995</v>
      </c>
      <c r="AM81" s="1476"/>
      <c r="AN81" s="1477"/>
      <c r="AO81" s="1477"/>
      <c r="AP81" s="1481">
        <f>SUM(AM80:AP80)</f>
        <v>71.709000000000003</v>
      </c>
      <c r="AQ81" s="1476"/>
      <c r="AR81" s="1477"/>
      <c r="AS81" s="1477"/>
      <c r="AT81" s="1481">
        <f>SUM(AQ80:AT80)</f>
        <v>78.078000000000003</v>
      </c>
      <c r="AU81" s="1476"/>
      <c r="AV81" s="1477"/>
      <c r="AW81" s="1477"/>
      <c r="AX81" s="1481">
        <f>SUM(AU80:AX80)</f>
        <v>82.817999999999998</v>
      </c>
      <c r="AY81" s="1476"/>
      <c r="AZ81" s="1477"/>
      <c r="BA81" s="912"/>
      <c r="BB81" s="1497">
        <f>SUM(AY80:BB80)</f>
        <v>84.438999999999993</v>
      </c>
      <c r="BC81" s="912"/>
      <c r="BD81" s="912"/>
      <c r="BE81" s="912"/>
      <c r="BF81" s="1497">
        <f>SUM(BC80:BF80)</f>
        <v>90.143000000000001</v>
      </c>
      <c r="BG81" s="912"/>
      <c r="BH81" s="912"/>
      <c r="BI81" s="912"/>
      <c r="BJ81" s="1497">
        <f>SUM(BG80:BJ80)</f>
        <v>91.849000000000004</v>
      </c>
      <c r="BK81" s="912"/>
      <c r="BL81" s="912"/>
      <c r="BM81" s="912"/>
      <c r="BN81" s="1497">
        <f>SUM(BK80:BN80)</f>
        <v>85.760000000000019</v>
      </c>
      <c r="BO81" s="912"/>
      <c r="BP81" s="912"/>
      <c r="BQ81" s="912"/>
      <c r="BR81" s="1497">
        <f>SUM(BO80:BR80)</f>
        <v>85.046999999999997</v>
      </c>
      <c r="BS81" s="912"/>
      <c r="BT81" s="912"/>
      <c r="BU81" s="912"/>
      <c r="BV81" s="1497">
        <f>SUM(BS80:BV80)</f>
        <v>88.635999999999996</v>
      </c>
      <c r="BW81" s="912"/>
      <c r="BX81" s="912"/>
      <c r="BY81" s="912"/>
      <c r="BZ81" s="1497">
        <f>SUM(BW80:BZ80)</f>
        <v>88.810999999999993</v>
      </c>
      <c r="CA81" s="912"/>
      <c r="CB81" s="912"/>
      <c r="CC81" s="912"/>
      <c r="CD81" s="1497">
        <f>SUM(CA80:CD80)</f>
        <v>87.488</v>
      </c>
      <c r="CE81" s="912"/>
      <c r="CF81" s="912"/>
      <c r="CG81" s="912"/>
      <c r="CH81" s="1497">
        <f>SUM(CE80:CH80)</f>
        <v>92.704999999999998</v>
      </c>
      <c r="CI81" s="912"/>
      <c r="CJ81" s="912"/>
      <c r="CK81" s="912"/>
      <c r="CL81" s="1497">
        <f>SUM(CI80:CL80)</f>
        <v>95.186000000000007</v>
      </c>
      <c r="CM81" s="912"/>
      <c r="CN81" s="912"/>
      <c r="CO81" s="912"/>
      <c r="CP81" s="1497">
        <f>SUM(CM80:CP80)</f>
        <v>98.614999999999995</v>
      </c>
      <c r="CQ81" s="912"/>
      <c r="CR81" s="912"/>
      <c r="CS81" s="912"/>
      <c r="CT81" s="1497">
        <f>SUM(CQ80:CT80)</f>
        <v>99.591000000000008</v>
      </c>
      <c r="CU81" s="912"/>
      <c r="CV81" s="912"/>
      <c r="CW81" s="912"/>
      <c r="CX81" s="1497">
        <f>SUM(CU80:CX80)</f>
        <v>103.55040344363729</v>
      </c>
      <c r="CY81" s="912"/>
      <c r="CZ81" s="912"/>
      <c r="DA81" s="912"/>
      <c r="DB81" s="1497">
        <f>SUM(CY80:DB80)</f>
        <v>106.37662314145743</v>
      </c>
      <c r="DC81" s="3935">
        <f>'VVP2'!AA52</f>
        <v>1.2710973488540889</v>
      </c>
      <c r="DD81" s="3935">
        <f>'VVP2'!AB52</f>
        <v>2.8302064852214093</v>
      </c>
      <c r="DE81" s="3935">
        <f ca="1">'VVP2'!AC52</f>
        <v>0.45427667621043</v>
      </c>
      <c r="DF81" s="3935">
        <f ca="1">'VVP2'!AD52</f>
        <v>0.7</v>
      </c>
      <c r="DG81" s="3935">
        <f ca="1">'VVP2'!AE52</f>
        <v>0.7</v>
      </c>
      <c r="DH81" s="26" t="s">
        <v>589</v>
      </c>
    </row>
    <row r="82" spans="1:112" s="749" customFormat="1" ht="12.75" customHeight="1">
      <c r="A82" s="714"/>
      <c r="B82" s="714"/>
      <c r="C82" s="719"/>
      <c r="D82" s="729"/>
      <c r="E82" s="1478" t="s">
        <v>675</v>
      </c>
      <c r="F82" s="729"/>
      <c r="G82" s="1479"/>
      <c r="H82" s="2801" t="s">
        <v>543</v>
      </c>
      <c r="I82" s="2802">
        <f ca="1">+J82/J81*100</f>
        <v>100.44338786364735</v>
      </c>
      <c r="J82" s="1480">
        <f ca="1">OFFSET('VVP2'!$G$29,0,(COLUMN()-10)/4)</f>
        <v>62.320099999999996</v>
      </c>
      <c r="K82" s="1479"/>
      <c r="L82" s="2801" t="s">
        <v>543</v>
      </c>
      <c r="M82" s="2802">
        <f ca="1">+N82/N81*100</f>
        <v>93.66636299705921</v>
      </c>
      <c r="N82" s="1480">
        <f ca="1">OFFSET('VVP2'!$G$29,0,(COLUMN()-10)/4)</f>
        <v>58.605170000000001</v>
      </c>
      <c r="O82" s="1479"/>
      <c r="P82" s="2801" t="s">
        <v>543</v>
      </c>
      <c r="Q82" s="2802">
        <f ca="1">+R82/R81*100</f>
        <v>93.666227051330097</v>
      </c>
      <c r="R82" s="1480">
        <f ca="1">OFFSET('VVP2'!$G$29,0,(COLUMN()-10)/4)</f>
        <v>62.49879</v>
      </c>
      <c r="S82" s="1479"/>
      <c r="T82" s="2801" t="s">
        <v>543</v>
      </c>
      <c r="U82" s="2802">
        <f ca="1">+V82/V81*100</f>
        <v>93.666910463262298</v>
      </c>
      <c r="V82" s="1480">
        <f ca="1">OFFSET('VVP2'!$G$29,0,(COLUMN()-10)/4)</f>
        <v>64.033510000000007</v>
      </c>
      <c r="W82" s="1479"/>
      <c r="X82" s="2801" t="s">
        <v>543</v>
      </c>
      <c r="Y82" s="2802">
        <f ca="1">+Z82/Z81*100</f>
        <v>93.666629077274379</v>
      </c>
      <c r="Z82" s="1480">
        <f ca="1">OFFSET('VVP2'!$G$29,0,(COLUMN()-10)/4)</f>
        <v>66.448979999999992</v>
      </c>
      <c r="AA82" s="1479"/>
      <c r="AB82" s="2801" t="s">
        <v>543</v>
      </c>
      <c r="AC82" s="2802">
        <f ca="1">+AD82/AD81*100</f>
        <v>93.66623895837273</v>
      </c>
      <c r="AD82" s="1480">
        <f ca="1">OFFSET('VVP2'!$G$29,0,(COLUMN()-10)/4)</f>
        <v>69.348609999999994</v>
      </c>
      <c r="AE82" s="1479"/>
      <c r="AF82" s="2801" t="s">
        <v>543</v>
      </c>
      <c r="AG82" s="2802">
        <f ca="1">+AH82/AH81*100</f>
        <v>93.66598445079407</v>
      </c>
      <c r="AH82" s="1480">
        <f ca="1">OFFSET('VVP2'!$G$29,0,(COLUMN()-10)/4)</f>
        <v>70.478970000000004</v>
      </c>
      <c r="AI82" s="1479"/>
      <c r="AJ82" s="2801" t="s">
        <v>543</v>
      </c>
      <c r="AK82" s="2802">
        <f ca="1">+AL82/AL81*100</f>
        <v>93.666620369727369</v>
      </c>
      <c r="AL82" s="1480">
        <f ca="1">OFFSET('VVP2'!$G$29,0,(COLUMN()-10)/4)</f>
        <v>67.439030000000002</v>
      </c>
      <c r="AM82" s="1479"/>
      <c r="AN82" s="2801" t="s">
        <v>543</v>
      </c>
      <c r="AO82" s="2802">
        <f ca="1">+AP82/AP81*100</f>
        <v>93.66609491137794</v>
      </c>
      <c r="AP82" s="1480">
        <f ca="1">OFFSET('VVP2'!$G$29,0,(COLUMN()-10)/4)</f>
        <v>67.167020000000008</v>
      </c>
      <c r="AQ82" s="1479"/>
      <c r="AR82" s="2801" t="s">
        <v>543</v>
      </c>
      <c r="AS82" s="2802">
        <f ca="1">+AT82/AT81*100</f>
        <v>93.666602628141078</v>
      </c>
      <c r="AT82" s="1480">
        <f ca="1">OFFSET('VVP2'!$G$29,0,(COLUMN()-10)/4)</f>
        <v>73.133009999999999</v>
      </c>
      <c r="AU82" s="1479"/>
      <c r="AV82" s="2801" t="s">
        <v>543</v>
      </c>
      <c r="AW82" s="2802">
        <f ca="1">+AX82/AX81*100</f>
        <v>93.666244053225142</v>
      </c>
      <c r="AX82" s="1480">
        <f ca="1">OFFSET('VVP2'!$G$29,0,(COLUMN()-10)/4)</f>
        <v>77.572509999999994</v>
      </c>
      <c r="AY82" s="1479"/>
      <c r="AZ82" s="2801" t="s">
        <v>543</v>
      </c>
      <c r="BA82" s="2802">
        <f ca="1">+BB82/BB81*100</f>
        <v>93.665924513554188</v>
      </c>
      <c r="BB82" s="1498">
        <f ca="1">OFFSET('VVP2'!$G$29,0,(COLUMN()-10)/4)</f>
        <v>79.090570000000014</v>
      </c>
      <c r="BC82" s="1479"/>
      <c r="BD82" s="2801" t="s">
        <v>543</v>
      </c>
      <c r="BE82" s="2802">
        <f ca="1">+BF82/BF81*100</f>
        <v>93.665742209600296</v>
      </c>
      <c r="BF82" s="1498">
        <f ca="1">OFFSET('VVP2'!$G$29,0,(COLUMN()-10)/4)</f>
        <v>84.433109999999999</v>
      </c>
      <c r="BG82" s="1479"/>
      <c r="BH82" s="2801" t="s">
        <v>543</v>
      </c>
      <c r="BI82" s="2802">
        <f ca="1">+BJ82/BJ81*100</f>
        <v>93.66564687693932</v>
      </c>
      <c r="BJ82" s="1498">
        <f ca="1">OFFSET('VVP2'!$G$29,0,(COLUMN()-10)/4)</f>
        <v>86.030960000000007</v>
      </c>
      <c r="BK82" s="1479"/>
      <c r="BL82" s="2801" t="s">
        <v>543</v>
      </c>
      <c r="BM82" s="2802">
        <f ca="1">+BN82/BN81*100</f>
        <v>93.664727145522363</v>
      </c>
      <c r="BN82" s="1498">
        <f ca="1">OFFSET('VVP2'!$G$29,0,(COLUMN()-10)/4)</f>
        <v>80.32687</v>
      </c>
      <c r="BO82" s="1479"/>
      <c r="BP82" s="2801" t="s">
        <v>543</v>
      </c>
      <c r="BQ82" s="2802">
        <f ca="1">+BR82/BR81*100</f>
        <v>93.666913588956689</v>
      </c>
      <c r="BR82" s="1498">
        <f ca="1">OFFSET('VVP2'!$G$29,0,(COLUMN()-10)/4)</f>
        <v>79.660899999999998</v>
      </c>
      <c r="BS82" s="1479"/>
      <c r="BT82" s="2801" t="s">
        <v>543</v>
      </c>
      <c r="BU82" s="2802">
        <f ca="1">+BV82/BV81*100</f>
        <v>93.666252989755861</v>
      </c>
      <c r="BV82" s="1498">
        <f ca="1">OFFSET('VVP2'!$G$29,0,(COLUMN()-10)/4)</f>
        <v>83.022019999999998</v>
      </c>
      <c r="BW82" s="1479"/>
      <c r="BX82" s="2801" t="s">
        <v>543</v>
      </c>
      <c r="BY82" s="2802">
        <f ca="1">+BZ82/BZ81*100</f>
        <v>93.665627005663737</v>
      </c>
      <c r="BZ82" s="1498">
        <f ca="1">OFFSET('VVP2'!$G$29,0,(COLUMN()-10)/4)</f>
        <v>83.185380000000009</v>
      </c>
      <c r="CA82" s="1479"/>
      <c r="CB82" s="2801" t="s">
        <v>543</v>
      </c>
      <c r="CC82" s="2802">
        <f ca="1">+CD82/CD81*100</f>
        <v>93.666365673006595</v>
      </c>
      <c r="CD82" s="1498">
        <f ca="1">OFFSET('VVP2'!$G$29,0,(COLUMN()-10)/4)</f>
        <v>81.946830000000006</v>
      </c>
      <c r="CE82" s="1479"/>
      <c r="CF82" s="2801" t="s">
        <v>543</v>
      </c>
      <c r="CG82" s="2802">
        <f ca="1">+CH82/CH81*100</f>
        <v>93.666263955557952</v>
      </c>
      <c r="CH82" s="1498">
        <f ca="1">OFFSET('VVP2'!$G$29,0,(COLUMN()-10)/4)</f>
        <v>86.833309999999997</v>
      </c>
      <c r="CI82" s="1479"/>
      <c r="CJ82" s="2801" t="s">
        <v>543</v>
      </c>
      <c r="CK82" s="2802">
        <f ca="1">+CL82/CL81*100</f>
        <v>93.666463555564889</v>
      </c>
      <c r="CL82" s="1498">
        <f ca="1">OFFSET('VVP2'!$G$29,0,(COLUMN()-10)/4)</f>
        <v>89.157359999999997</v>
      </c>
      <c r="CM82" s="1479"/>
      <c r="CN82" s="2801" t="s">
        <v>543</v>
      </c>
      <c r="CO82" s="2802">
        <f ca="1">+CP82/CP81*100</f>
        <v>93.666267809156835</v>
      </c>
      <c r="CP82" s="1498">
        <f ca="1">OFFSET('VVP2'!$G$29,0,(COLUMN()-10)/4)</f>
        <v>92.368990000000011</v>
      </c>
      <c r="CQ82" s="1479"/>
      <c r="CR82" s="2801" t="s">
        <v>543</v>
      </c>
      <c r="CS82" s="2802">
        <f ca="1">+CT82/CT81*100</f>
        <v>93.665702724141738</v>
      </c>
      <c r="CT82" s="1498">
        <f ca="1">OFFSET('VVP2'!$G$29,0,(COLUMN()-10)/4)</f>
        <v>93.282610000000005</v>
      </c>
      <c r="CU82" s="1479"/>
      <c r="CV82" s="2801" t="s">
        <v>543</v>
      </c>
      <c r="CW82" s="2802">
        <f ca="1">+CX82/CX81*100</f>
        <v>93.671257912710871</v>
      </c>
      <c r="CX82" s="1498">
        <f ca="1">OFFSET('VVP2'!$G$29,0,(COLUMN()-10)/4)</f>
        <v>96.996965479342123</v>
      </c>
      <c r="CY82" s="1479"/>
      <c r="CZ82" s="2801" t="s">
        <v>543</v>
      </c>
      <c r="DA82" s="2802">
        <f ca="1">+DB82/DB81*100</f>
        <v>93.676948422287055</v>
      </c>
      <c r="DB82" s="1498">
        <f ca="1">OFFSET('VVP2'!$G$29,0,(COLUMN()-10)/4)</f>
        <v>99.650374393593751</v>
      </c>
      <c r="DC82" s="218"/>
      <c r="DD82" s="1602"/>
      <c r="DE82" s="218"/>
      <c r="DF82" s="3362"/>
    </row>
    <row r="83" spans="1:112">
      <c r="AY83" s="218"/>
      <c r="BO83" s="577"/>
      <c r="BP83" s="577"/>
      <c r="BQ83" s="577"/>
      <c r="BR83" s="577"/>
      <c r="BS83" s="577"/>
      <c r="BT83" s="577"/>
      <c r="BU83" s="577"/>
      <c r="BV83" s="577"/>
      <c r="BW83" s="577"/>
      <c r="BX83" s="577"/>
      <c r="BY83" s="577"/>
      <c r="BZ83" s="577"/>
      <c r="CA83" s="577"/>
      <c r="CB83" s="577"/>
      <c r="CC83" s="577"/>
      <c r="CD83" s="577"/>
      <c r="CE83" s="577"/>
      <c r="CF83" s="577"/>
      <c r="CG83" s="577"/>
      <c r="CH83" s="577"/>
      <c r="CI83" s="577"/>
      <c r="CJ83" s="577"/>
      <c r="CK83" s="577"/>
      <c r="CL83" s="577"/>
      <c r="CM83" s="577"/>
      <c r="CN83" s="577"/>
      <c r="CO83" s="577"/>
      <c r="CP83" s="577"/>
      <c r="CQ83" s="577"/>
      <c r="CR83" s="577"/>
      <c r="CS83" s="577"/>
      <c r="CT83" s="577"/>
      <c r="CU83" s="577"/>
      <c r="CV83" s="577"/>
      <c r="CW83" s="577"/>
      <c r="CX83" s="577"/>
      <c r="CY83" s="577"/>
      <c r="CZ83" s="577"/>
      <c r="DA83" s="577"/>
      <c r="DB83" s="577"/>
      <c r="DC83" s="749">
        <v>2015</v>
      </c>
      <c r="DD83" s="2976">
        <v>2016</v>
      </c>
      <c r="DE83" s="749">
        <v>2017</v>
      </c>
      <c r="DF83" s="2976">
        <v>2018</v>
      </c>
      <c r="DG83" s="749">
        <v>2019</v>
      </c>
    </row>
    <row r="84" spans="1:112" s="749" customFormat="1" ht="12.75" customHeight="1">
      <c r="A84" s="714"/>
      <c r="B84" s="714"/>
      <c r="C84" s="1456"/>
      <c r="D84" s="790"/>
      <c r="E84" s="791" t="s">
        <v>73</v>
      </c>
      <c r="F84" s="792"/>
      <c r="G84" s="1484" t="str">
        <f t="shared" ref="G84:N84" si="512">G75</f>
        <v>Q1</v>
      </c>
      <c r="H84" s="1485" t="str">
        <f t="shared" si="512"/>
        <v>Q2</v>
      </c>
      <c r="I84" s="1485" t="str">
        <f t="shared" si="512"/>
        <v>Q3</v>
      </c>
      <c r="J84" s="1486" t="str">
        <f t="shared" si="512"/>
        <v>Q4</v>
      </c>
      <c r="K84" s="1484" t="str">
        <f t="shared" si="512"/>
        <v>Q1</v>
      </c>
      <c r="L84" s="1485" t="str">
        <f t="shared" si="512"/>
        <v>Q2</v>
      </c>
      <c r="M84" s="1485" t="str">
        <f t="shared" si="512"/>
        <v>Q3</v>
      </c>
      <c r="N84" s="1486" t="str">
        <f t="shared" si="512"/>
        <v>Q4</v>
      </c>
      <c r="O84" s="1484" t="str">
        <f t="shared" ref="O84:AX84" si="513">O75</f>
        <v>Q1</v>
      </c>
      <c r="P84" s="1485" t="str">
        <f t="shared" si="513"/>
        <v>Q2</v>
      </c>
      <c r="Q84" s="1485" t="str">
        <f t="shared" si="513"/>
        <v>Q3</v>
      </c>
      <c r="R84" s="1486" t="str">
        <f t="shared" si="513"/>
        <v>Q4</v>
      </c>
      <c r="S84" s="1484" t="str">
        <f t="shared" si="513"/>
        <v>Q1</v>
      </c>
      <c r="T84" s="1485" t="str">
        <f t="shared" si="513"/>
        <v>Q2</v>
      </c>
      <c r="U84" s="1485" t="str">
        <f t="shared" si="513"/>
        <v>Q3</v>
      </c>
      <c r="V84" s="1486" t="str">
        <f t="shared" si="513"/>
        <v>Q4</v>
      </c>
      <c r="W84" s="1484" t="str">
        <f t="shared" si="513"/>
        <v>Q1</v>
      </c>
      <c r="X84" s="1485" t="str">
        <f t="shared" si="513"/>
        <v>Q2</v>
      </c>
      <c r="Y84" s="1485" t="str">
        <f t="shared" si="513"/>
        <v>Q3</v>
      </c>
      <c r="Z84" s="1486" t="str">
        <f t="shared" si="513"/>
        <v>Q4</v>
      </c>
      <c r="AA84" s="1484" t="str">
        <f t="shared" si="513"/>
        <v>Q1</v>
      </c>
      <c r="AB84" s="1485" t="str">
        <f t="shared" si="513"/>
        <v>Q2</v>
      </c>
      <c r="AC84" s="1485" t="str">
        <f t="shared" si="513"/>
        <v>Q3</v>
      </c>
      <c r="AD84" s="1486" t="str">
        <f t="shared" si="513"/>
        <v>Q4</v>
      </c>
      <c r="AE84" s="1484" t="str">
        <f t="shared" si="513"/>
        <v>Q1</v>
      </c>
      <c r="AF84" s="1485" t="str">
        <f t="shared" si="513"/>
        <v>Q2</v>
      </c>
      <c r="AG84" s="1485" t="str">
        <f t="shared" si="513"/>
        <v>Q3</v>
      </c>
      <c r="AH84" s="1486" t="str">
        <f t="shared" si="513"/>
        <v>Q4</v>
      </c>
      <c r="AI84" s="1484" t="str">
        <f t="shared" si="513"/>
        <v>Q1</v>
      </c>
      <c r="AJ84" s="1485" t="str">
        <f t="shared" si="513"/>
        <v>Q2</v>
      </c>
      <c r="AK84" s="1485" t="str">
        <f t="shared" si="513"/>
        <v>Q3</v>
      </c>
      <c r="AL84" s="1486" t="str">
        <f t="shared" si="513"/>
        <v>Q4</v>
      </c>
      <c r="AM84" s="1484" t="str">
        <f t="shared" si="513"/>
        <v>Q1</v>
      </c>
      <c r="AN84" s="1485" t="str">
        <f t="shared" si="513"/>
        <v>Q2</v>
      </c>
      <c r="AO84" s="1485" t="str">
        <f t="shared" si="513"/>
        <v>Q3</v>
      </c>
      <c r="AP84" s="1486" t="str">
        <f t="shared" si="513"/>
        <v>Q4</v>
      </c>
      <c r="AQ84" s="1484" t="str">
        <f t="shared" si="513"/>
        <v>Q1</v>
      </c>
      <c r="AR84" s="1485" t="str">
        <f t="shared" si="513"/>
        <v>Q2</v>
      </c>
      <c r="AS84" s="1485" t="str">
        <f t="shared" si="513"/>
        <v>Q3</v>
      </c>
      <c r="AT84" s="1486" t="str">
        <f t="shared" si="513"/>
        <v>Q4</v>
      </c>
      <c r="AU84" s="1484" t="str">
        <f t="shared" si="513"/>
        <v>Q1</v>
      </c>
      <c r="AV84" s="1485" t="str">
        <f t="shared" si="513"/>
        <v>Q2</v>
      </c>
      <c r="AW84" s="1485" t="str">
        <f t="shared" si="513"/>
        <v>Q3</v>
      </c>
      <c r="AX84" s="1486" t="str">
        <f t="shared" si="513"/>
        <v>Q4</v>
      </c>
      <c r="AY84" s="1484" t="str">
        <f>AY75</f>
        <v>Q1</v>
      </c>
      <c r="AZ84" s="1485" t="str">
        <f>AZ75</f>
        <v>Q2</v>
      </c>
      <c r="BA84" s="1485" t="str">
        <f t="shared" ref="BA84:BF84" si="514">BA75</f>
        <v>Q3</v>
      </c>
      <c r="BB84" s="1485" t="str">
        <f t="shared" si="514"/>
        <v>Q4</v>
      </c>
      <c r="BC84" s="1485" t="str">
        <f t="shared" si="514"/>
        <v>Q1</v>
      </c>
      <c r="BD84" s="1485" t="str">
        <f t="shared" si="514"/>
        <v>Q2</v>
      </c>
      <c r="BE84" s="1485" t="str">
        <f>BE75</f>
        <v>Q3</v>
      </c>
      <c r="BF84" s="1485" t="str">
        <f t="shared" si="514"/>
        <v>Q4</v>
      </c>
      <c r="BG84" s="1485" t="str">
        <f t="shared" ref="BG84:BN84" si="515">BG75</f>
        <v>Q1</v>
      </c>
      <c r="BH84" s="1485" t="str">
        <f t="shared" si="515"/>
        <v>Q2</v>
      </c>
      <c r="BI84" s="1485" t="str">
        <f t="shared" si="515"/>
        <v>Q3</v>
      </c>
      <c r="BJ84" s="1485" t="str">
        <f t="shared" si="515"/>
        <v>Q4</v>
      </c>
      <c r="BK84" s="1485" t="str">
        <f t="shared" si="515"/>
        <v>Q1</v>
      </c>
      <c r="BL84" s="1485" t="str">
        <f t="shared" si="515"/>
        <v>Q2</v>
      </c>
      <c r="BM84" s="1485" t="str">
        <f t="shared" si="515"/>
        <v>Q3</v>
      </c>
      <c r="BN84" s="1485" t="str">
        <f t="shared" si="515"/>
        <v>Q4</v>
      </c>
      <c r="BO84" s="1485" t="str">
        <f>BO75</f>
        <v>Q1</v>
      </c>
      <c r="BP84" s="1485" t="str">
        <f>BP75</f>
        <v>Q2</v>
      </c>
      <c r="BQ84" s="1485" t="str">
        <f t="shared" ref="BQ84:BV84" si="516">BQ75</f>
        <v>Q3</v>
      </c>
      <c r="BR84" s="1485" t="str">
        <f t="shared" si="516"/>
        <v>Q4</v>
      </c>
      <c r="BS84" s="1485" t="str">
        <f t="shared" si="516"/>
        <v>Q1</v>
      </c>
      <c r="BT84" s="1485" t="str">
        <f t="shared" si="516"/>
        <v>Q2</v>
      </c>
      <c r="BU84" s="1485" t="str">
        <f t="shared" si="516"/>
        <v>Q3</v>
      </c>
      <c r="BV84" s="1485" t="str">
        <f t="shared" si="516"/>
        <v>Q4</v>
      </c>
      <c r="BW84" s="1485" t="str">
        <f t="shared" ref="BW84:CD84" si="517">BW75</f>
        <v>Q1</v>
      </c>
      <c r="BX84" s="1485" t="str">
        <f t="shared" si="517"/>
        <v>Q2</v>
      </c>
      <c r="BY84" s="1485" t="str">
        <f t="shared" si="517"/>
        <v>Q3</v>
      </c>
      <c r="BZ84" s="1485" t="str">
        <f t="shared" si="517"/>
        <v>Q4</v>
      </c>
      <c r="CA84" s="1485" t="str">
        <f>CA75</f>
        <v>Q1</v>
      </c>
      <c r="CB84" s="1485" t="str">
        <f t="shared" si="517"/>
        <v>Q2</v>
      </c>
      <c r="CC84" s="1485" t="str">
        <f t="shared" ref="CC84" si="518">CC75</f>
        <v>Q3</v>
      </c>
      <c r="CD84" s="1485" t="str">
        <f t="shared" si="517"/>
        <v>Q4</v>
      </c>
      <c r="CE84" s="1485" t="str">
        <f>CE75</f>
        <v>Q1</v>
      </c>
      <c r="CF84" s="1485" t="str">
        <f t="shared" ref="CF84:CH84" si="519">CF75</f>
        <v>Q2</v>
      </c>
      <c r="CG84" s="1485" t="str">
        <f t="shared" si="519"/>
        <v>Q3</v>
      </c>
      <c r="CH84" s="1485" t="str">
        <f t="shared" si="519"/>
        <v>Q4</v>
      </c>
      <c r="CI84" s="1485" t="str">
        <f>CI75</f>
        <v>Q1</v>
      </c>
      <c r="CJ84" s="1485" t="str">
        <f t="shared" ref="CJ84:CL84" si="520">CJ75</f>
        <v>Q2</v>
      </c>
      <c r="CK84" s="1485" t="str">
        <f t="shared" si="520"/>
        <v>Q3</v>
      </c>
      <c r="CL84" s="1485" t="str">
        <f t="shared" si="520"/>
        <v>Q4</v>
      </c>
      <c r="CM84" s="1485" t="str">
        <f>CM75</f>
        <v>Q1</v>
      </c>
      <c r="CN84" s="1485" t="str">
        <f t="shared" ref="CN84:CP84" si="521">CN75</f>
        <v>Q2</v>
      </c>
      <c r="CO84" s="1485" t="str">
        <f t="shared" si="521"/>
        <v>Q3</v>
      </c>
      <c r="CP84" s="1485" t="str">
        <f t="shared" si="521"/>
        <v>Q4</v>
      </c>
      <c r="CQ84" s="1485" t="str">
        <f>CQ75</f>
        <v>Q1</v>
      </c>
      <c r="CR84" s="1485" t="str">
        <f t="shared" ref="CR84:CS84" si="522">CR75</f>
        <v>Q2</v>
      </c>
      <c r="CS84" s="1485" t="str">
        <f t="shared" si="522"/>
        <v>Q3</v>
      </c>
      <c r="CT84" s="1485" t="str">
        <f t="shared" ref="CT84" si="523">CT75</f>
        <v>Q4</v>
      </c>
      <c r="CU84" s="1485" t="str">
        <f t="shared" ref="CU84:CX84" si="524">CU75</f>
        <v>Q1</v>
      </c>
      <c r="CV84" s="1485" t="str">
        <f t="shared" si="524"/>
        <v>Q2</v>
      </c>
      <c r="CW84" s="1485" t="str">
        <f t="shared" si="524"/>
        <v>Q3</v>
      </c>
      <c r="CX84" s="1485" t="str">
        <f t="shared" si="524"/>
        <v>Q4</v>
      </c>
      <c r="CY84" s="1485" t="str">
        <f t="shared" ref="CY84:DB84" si="525">CY75</f>
        <v>Q1</v>
      </c>
      <c r="CZ84" s="1485" t="str">
        <f t="shared" si="525"/>
        <v>Q2</v>
      </c>
      <c r="DA84" s="1485" t="str">
        <f t="shared" si="525"/>
        <v>Q3</v>
      </c>
      <c r="DB84" s="1485" t="str">
        <f t="shared" si="525"/>
        <v>Q4</v>
      </c>
      <c r="DC84" s="3934">
        <f>100*SUM(CI78:CL78)/SUM(CE78:CH78)-100</f>
        <v>1.060144851474746</v>
      </c>
      <c r="DD84" s="4004">
        <f>100*SUM(CM78:CP78)/SUM(CI78:CL78)-100</f>
        <v>-3.0743664312422254</v>
      </c>
      <c r="DE84" s="4004">
        <f>100*SUM(CQ78:CT78)/SUM(CM78:CP78)-100</f>
        <v>4.2220317188169787</v>
      </c>
      <c r="DF84" s="4004">
        <f>100*SUM(CU78:CX78)/SUM(CQ78:CT78)-100</f>
        <v>7.8762878568784629</v>
      </c>
      <c r="DG84" s="4004">
        <f>100*SUM(CY78:DB78)/SUM(CU78:CX78)-100</f>
        <v>4.9048108292491577</v>
      </c>
      <c r="DH84" s="749" t="s">
        <v>591</v>
      </c>
    </row>
    <row r="85" spans="1:112" s="749" customFormat="1" ht="12.75" customHeight="1">
      <c r="A85" s="714"/>
      <c r="B85" s="714"/>
      <c r="C85" s="1482"/>
      <c r="D85" s="3846"/>
      <c r="E85" s="3851" t="s">
        <v>2561</v>
      </c>
      <c r="F85" s="3847"/>
      <c r="G85" s="3848"/>
      <c r="H85" s="3853">
        <f>(H76/G76-1)*100</f>
        <v>2.0238772029562258</v>
      </c>
      <c r="I85" s="3853">
        <f t="shared" ref="I85:BT86" si="526">(I76/H76-1)*100</f>
        <v>2.2623425833054656</v>
      </c>
      <c r="J85" s="3853">
        <f t="shared" si="526"/>
        <v>0.98081952920663351</v>
      </c>
      <c r="K85" s="3853">
        <f t="shared" si="526"/>
        <v>0.58277573926182047</v>
      </c>
      <c r="L85" s="3853">
        <f t="shared" si="526"/>
        <v>0.83690987124462879</v>
      </c>
      <c r="M85" s="3853">
        <f t="shared" si="526"/>
        <v>1.8727388806129008</v>
      </c>
      <c r="N85" s="3853">
        <f t="shared" si="526"/>
        <v>2.6007938165865996</v>
      </c>
      <c r="O85" s="3853">
        <f t="shared" si="526"/>
        <v>-0.32576605924869995</v>
      </c>
      <c r="P85" s="3853">
        <f t="shared" si="526"/>
        <v>3.6768460831375638</v>
      </c>
      <c r="Q85" s="3853">
        <f t="shared" si="526"/>
        <v>-0.157619938922271</v>
      </c>
      <c r="R85" s="3853">
        <f t="shared" si="526"/>
        <v>3.4731129748396761</v>
      </c>
      <c r="S85" s="3853">
        <f t="shared" si="526"/>
        <v>-0.78192047296653522</v>
      </c>
      <c r="T85" s="3853">
        <f t="shared" si="526"/>
        <v>1.4512253724171087</v>
      </c>
      <c r="U85" s="3853">
        <f t="shared" si="526"/>
        <v>3.211443728685115</v>
      </c>
      <c r="V85" s="3853">
        <f t="shared" si="526"/>
        <v>0.43139054612209016</v>
      </c>
      <c r="W85" s="3853">
        <f t="shared" si="526"/>
        <v>-0.27417291171631941</v>
      </c>
      <c r="X85" s="3853">
        <f t="shared" si="526"/>
        <v>1.2280058651026327</v>
      </c>
      <c r="Y85" s="3853">
        <f t="shared" si="526"/>
        <v>1.0501539018649364</v>
      </c>
      <c r="Z85" s="3853">
        <f t="shared" si="526"/>
        <v>-1.0213223436660201</v>
      </c>
      <c r="AA85" s="3853">
        <f t="shared" si="526"/>
        <v>4.4080376538740085</v>
      </c>
      <c r="AB85" s="3853">
        <f t="shared" si="526"/>
        <v>1.3697442566103168</v>
      </c>
      <c r="AC85" s="3853">
        <f t="shared" si="526"/>
        <v>2.3603865560591686</v>
      </c>
      <c r="AD85" s="3853">
        <f t="shared" si="526"/>
        <v>1.2365276965494276</v>
      </c>
      <c r="AE85" s="3853">
        <f t="shared" si="526"/>
        <v>2.49236609721879</v>
      </c>
      <c r="AF85" s="3853">
        <f t="shared" si="526"/>
        <v>-0.78106127707545658</v>
      </c>
      <c r="AG85" s="3853">
        <f t="shared" si="526"/>
        <v>2.0126602824216855</v>
      </c>
      <c r="AH85" s="3853">
        <f t="shared" si="526"/>
        <v>-1.7342879872712769</v>
      </c>
      <c r="AI85" s="3853">
        <f t="shared" si="526"/>
        <v>-2.9630829015544036</v>
      </c>
      <c r="AJ85" s="3853">
        <f t="shared" si="526"/>
        <v>-1.4016352411146404</v>
      </c>
      <c r="AK85" s="3853">
        <f t="shared" si="526"/>
        <v>-2.2761888644440731</v>
      </c>
      <c r="AL85" s="3853">
        <f t="shared" si="526"/>
        <v>4.4159667503679945</v>
      </c>
      <c r="AM85" s="3853">
        <f t="shared" si="526"/>
        <v>-3.6570196533709187</v>
      </c>
      <c r="AN85" s="3853">
        <f t="shared" si="526"/>
        <v>-0.35290067137201397</v>
      </c>
      <c r="AO85" s="3853">
        <f t="shared" si="526"/>
        <v>-0.89833290144251121</v>
      </c>
      <c r="AP85" s="3853">
        <f t="shared" si="526"/>
        <v>1.4817397367733021</v>
      </c>
      <c r="AQ85" s="3853">
        <f t="shared" si="526"/>
        <v>4.8097569354977221</v>
      </c>
      <c r="AR85" s="3853">
        <f t="shared" si="526"/>
        <v>6.8343849872982254</v>
      </c>
      <c r="AS85" s="3853">
        <f t="shared" si="526"/>
        <v>1.5954590780087319</v>
      </c>
      <c r="AT85" s="3853">
        <f t="shared" si="526"/>
        <v>-0.51340128350320091</v>
      </c>
      <c r="AU85" s="3853">
        <f t="shared" si="526"/>
        <v>0.39462700159367259</v>
      </c>
      <c r="AV85" s="3853">
        <f t="shared" si="526"/>
        <v>4.4145438052763053</v>
      </c>
      <c r="AW85" s="3853">
        <f t="shared" si="526"/>
        <v>-3.7356113805835034</v>
      </c>
      <c r="AX85" s="3853">
        <f t="shared" si="526"/>
        <v>-2.0455741896668433</v>
      </c>
      <c r="AY85" s="3853">
        <f t="shared" si="526"/>
        <v>1.7811900191938568</v>
      </c>
      <c r="AZ85" s="3853">
        <f t="shared" si="526"/>
        <v>-0.12823414045409764</v>
      </c>
      <c r="BA85" s="3853">
        <f t="shared" si="526"/>
        <v>2.7341389728096743</v>
      </c>
      <c r="BB85" s="3853">
        <f t="shared" si="526"/>
        <v>6.535803558300235</v>
      </c>
      <c r="BC85" s="3853">
        <f t="shared" si="526"/>
        <v>-2.1806638603270923</v>
      </c>
      <c r="BD85" s="3853">
        <f t="shared" si="526"/>
        <v>2.0599647266313914</v>
      </c>
      <c r="BE85" s="3853">
        <f t="shared" si="526"/>
        <v>2.4262113776180261</v>
      </c>
      <c r="BF85" s="3853">
        <f t="shared" si="526"/>
        <v>2.9423673910109249</v>
      </c>
      <c r="BG85" s="3853">
        <f t="shared" si="526"/>
        <v>0.64245443818016224</v>
      </c>
      <c r="BH85" s="3853">
        <f t="shared" si="526"/>
        <v>0.76862949452840557</v>
      </c>
      <c r="BI85" s="3853">
        <f t="shared" si="526"/>
        <v>-2.2365869424692986</v>
      </c>
      <c r="BJ85" s="3853">
        <f t="shared" si="526"/>
        <v>-2.5786828881248391</v>
      </c>
      <c r="BK85" s="3853">
        <f t="shared" si="526"/>
        <v>-3.0677344916519633</v>
      </c>
      <c r="BL85" s="3853">
        <f t="shared" si="526"/>
        <v>-1.218316762358207</v>
      </c>
      <c r="BM85" s="3853">
        <f t="shared" si="526"/>
        <v>-2.3390983838956658</v>
      </c>
      <c r="BN85" s="3853">
        <f t="shared" si="526"/>
        <v>1.1830454347510511</v>
      </c>
      <c r="BO85" s="3853">
        <f t="shared" si="526"/>
        <v>-2.230829926117206</v>
      </c>
      <c r="BP85" s="3853">
        <f t="shared" si="526"/>
        <v>-0.4475421863536333</v>
      </c>
      <c r="BQ85" s="3853">
        <f t="shared" si="526"/>
        <v>1.3412926523693525</v>
      </c>
      <c r="BR85" s="3853">
        <f t="shared" si="526"/>
        <v>1.7816886044651481</v>
      </c>
      <c r="BS85" s="3853">
        <f t="shared" si="526"/>
        <v>1.943412403543876</v>
      </c>
      <c r="BT85" s="3853">
        <f t="shared" si="526"/>
        <v>2.9716848892626713</v>
      </c>
      <c r="BU85" s="3853">
        <f t="shared" ref="BU85:CH87" si="527">(BU76/BT76-1)*100</f>
        <v>-0.17696705690171122</v>
      </c>
      <c r="BV85" s="3853">
        <f t="shared" si="527"/>
        <v>1.7250784126551233</v>
      </c>
      <c r="BW85" s="3853">
        <f t="shared" si="527"/>
        <v>-1.5349554259668996</v>
      </c>
      <c r="BX85" s="3853">
        <f t="shared" si="527"/>
        <v>0.48332198774676538</v>
      </c>
      <c r="BY85" s="3853">
        <f t="shared" si="527"/>
        <v>-0.31163200325180496</v>
      </c>
      <c r="BZ85" s="3853">
        <f t="shared" si="527"/>
        <v>-2.3513421678559299</v>
      </c>
      <c r="CA85" s="3853">
        <f t="shared" si="527"/>
        <v>0.80033405247408318</v>
      </c>
      <c r="CB85" s="3853">
        <f t="shared" si="527"/>
        <v>1.0770505385252704</v>
      </c>
      <c r="CC85" s="3853">
        <f t="shared" si="527"/>
        <v>2.7322404371576958E-2</v>
      </c>
      <c r="CD85" s="3853">
        <f t="shared" si="527"/>
        <v>0.10243102977329777</v>
      </c>
      <c r="CE85" s="3853">
        <f t="shared" si="527"/>
        <v>1.6508629510880724</v>
      </c>
      <c r="CF85" s="3853">
        <f t="shared" si="527"/>
        <v>1.2952150862358236</v>
      </c>
      <c r="CG85" s="3853">
        <f t="shared" si="527"/>
        <v>10.904995362395642</v>
      </c>
      <c r="CH85" s="3853">
        <f t="shared" si="527"/>
        <v>-7.6762246117084709</v>
      </c>
      <c r="CI85" s="3853">
        <f t="shared" ref="CI85:CI87" si="528">(CI76/CH76-1)*100</f>
        <v>14.228405046910385</v>
      </c>
      <c r="CJ85" s="3853">
        <f t="shared" ref="CJ85:CT87" si="529">(CJ76/CI76-1)*100</f>
        <v>-14.257392092443633</v>
      </c>
      <c r="CK85" s="3853">
        <f t="shared" si="529"/>
        <v>3.7920327673911514</v>
      </c>
      <c r="CL85" s="3853">
        <f t="shared" si="529"/>
        <v>0.98020495194450774</v>
      </c>
      <c r="CM85" s="3853">
        <f t="shared" si="529"/>
        <v>2.3699968484084399</v>
      </c>
      <c r="CN85" s="3853">
        <f t="shared" si="529"/>
        <v>0.60341112000492636</v>
      </c>
      <c r="CO85" s="3853">
        <f t="shared" si="529"/>
        <v>11.585776363302536</v>
      </c>
      <c r="CP85" s="3853">
        <f t="shared" si="529"/>
        <v>-8.199868363317254</v>
      </c>
      <c r="CQ85" s="3853">
        <f t="shared" si="529"/>
        <v>0.13144530083051276</v>
      </c>
      <c r="CR85" s="3853">
        <f t="shared" si="529"/>
        <v>1.4141655230025529</v>
      </c>
      <c r="CS85" s="3853">
        <f t="shared" si="529"/>
        <v>1.4650506001412156</v>
      </c>
      <c r="CT85" s="3853">
        <f t="shared" si="529"/>
        <v>-0.4059147579008382</v>
      </c>
      <c r="CU85" s="3822">
        <v>1.4</v>
      </c>
      <c r="CV85" s="3822">
        <v>1.4</v>
      </c>
      <c r="CW85" s="3822">
        <v>1.4</v>
      </c>
      <c r="CX85" s="3822">
        <v>1.4</v>
      </c>
      <c r="CY85" s="3822">
        <v>0.3</v>
      </c>
      <c r="CZ85" s="3822">
        <v>0.3</v>
      </c>
      <c r="DA85" s="3822">
        <v>0.3</v>
      </c>
      <c r="DB85" s="3822">
        <v>0.3</v>
      </c>
      <c r="DC85" s="3935">
        <f>'VVP2'!AA54</f>
        <v>0.59665621734588115</v>
      </c>
      <c r="DD85" s="4005">
        <f>'VVP2'!AB54</f>
        <v>-2.4659554798433514</v>
      </c>
      <c r="DE85" s="4005">
        <f ca="1">'VVP2'!AC54</f>
        <v>2.75</v>
      </c>
      <c r="DF85" s="4005">
        <f ca="1">'VVP2'!AD54</f>
        <v>10.26</v>
      </c>
      <c r="DG85" s="4005">
        <f ca="1">'VVP2'!AE54</f>
        <v>5.5</v>
      </c>
      <c r="DH85" s="749" t="s">
        <v>591</v>
      </c>
    </row>
    <row r="86" spans="1:112" s="749" customFormat="1" ht="12.75" customHeight="1">
      <c r="A86" s="714"/>
      <c r="B86" s="714"/>
      <c r="C86" s="742"/>
      <c r="D86" s="2117"/>
      <c r="E86" s="3852" t="s">
        <v>2562</v>
      </c>
      <c r="F86" s="3849"/>
      <c r="G86" s="3850"/>
      <c r="H86" s="3854">
        <f t="shared" ref="H86:W87" si="530">(H77/G77-1)*100</f>
        <v>-0.15503875968991832</v>
      </c>
      <c r="I86" s="3854">
        <f t="shared" si="530"/>
        <v>-1.1645962732919402</v>
      </c>
      <c r="J86" s="3854">
        <f t="shared" si="530"/>
        <v>-1.5514532600157005</v>
      </c>
      <c r="K86" s="3854">
        <f t="shared" si="530"/>
        <v>-4.0295232395771041</v>
      </c>
      <c r="L86" s="3854">
        <f t="shared" si="530"/>
        <v>-2.7644980253585527</v>
      </c>
      <c r="M86" s="3854">
        <f t="shared" si="530"/>
        <v>-0.55579307396322886</v>
      </c>
      <c r="N86" s="3854">
        <f t="shared" si="530"/>
        <v>3.5253654342218388</v>
      </c>
      <c r="O86" s="3854">
        <f t="shared" si="530"/>
        <v>4.6303986710963363</v>
      </c>
      <c r="P86" s="3854">
        <f t="shared" si="530"/>
        <v>2.1829728120658975</v>
      </c>
      <c r="Q86" s="3854">
        <f t="shared" si="530"/>
        <v>-1.1652748106428357</v>
      </c>
      <c r="R86" s="3854">
        <f t="shared" si="530"/>
        <v>0.15720180782079485</v>
      </c>
      <c r="S86" s="3854">
        <f t="shared" si="530"/>
        <v>-2.3347066902099423</v>
      </c>
      <c r="T86" s="3854">
        <f t="shared" si="530"/>
        <v>-2.8525512253917085</v>
      </c>
      <c r="U86" s="3854">
        <f t="shared" si="530"/>
        <v>-0.49627791563275903</v>
      </c>
      <c r="V86" s="3854">
        <f t="shared" si="530"/>
        <v>1.1845386533665625</v>
      </c>
      <c r="W86" s="3854">
        <f t="shared" si="530"/>
        <v>0.90367631957282146</v>
      </c>
      <c r="X86" s="3854">
        <f t="shared" si="526"/>
        <v>2.0354162426206024E-2</v>
      </c>
      <c r="Y86" s="3854">
        <f t="shared" si="526"/>
        <v>-1.2210012210012167</v>
      </c>
      <c r="Z86" s="3854">
        <f t="shared" si="526"/>
        <v>-0.43263288009888212</v>
      </c>
      <c r="AA86" s="3854">
        <f t="shared" si="526"/>
        <v>-0.39313056072832753</v>
      </c>
      <c r="AB86" s="3854">
        <f t="shared" si="526"/>
        <v>-1.0801828001661962</v>
      </c>
      <c r="AC86" s="3854">
        <f t="shared" si="526"/>
        <v>-0.73498530029397768</v>
      </c>
      <c r="AD86" s="3854">
        <f t="shared" si="526"/>
        <v>-0.74042733234610525</v>
      </c>
      <c r="AE86" s="3854">
        <f t="shared" si="526"/>
        <v>-0.89514066496163558</v>
      </c>
      <c r="AF86" s="3854">
        <f t="shared" si="526"/>
        <v>-1.6129032258064502</v>
      </c>
      <c r="AG86" s="3854">
        <f t="shared" si="526"/>
        <v>-0.78688524590164732</v>
      </c>
      <c r="AH86" s="3854">
        <f t="shared" si="526"/>
        <v>-1.3879709187045508</v>
      </c>
      <c r="AI86" s="3854">
        <f t="shared" si="526"/>
        <v>-2.2117962466488006</v>
      </c>
      <c r="AJ86" s="3854">
        <f t="shared" si="526"/>
        <v>-2.0562028786840325</v>
      </c>
      <c r="AK86" s="3854">
        <f t="shared" si="526"/>
        <v>-0.7464427338465085</v>
      </c>
      <c r="AL86" s="3854">
        <f t="shared" si="526"/>
        <v>1.6216216216216273</v>
      </c>
      <c r="AM86" s="3854">
        <f t="shared" si="526"/>
        <v>3.1221091581868698</v>
      </c>
      <c r="AN86" s="3854">
        <f t="shared" si="526"/>
        <v>1.3680197353666657</v>
      </c>
      <c r="AO86" s="3854">
        <f t="shared" si="526"/>
        <v>0.28761061946904753</v>
      </c>
      <c r="AP86" s="3854">
        <f t="shared" si="526"/>
        <v>0</v>
      </c>
      <c r="AQ86" s="3854">
        <f t="shared" si="526"/>
        <v>0.15442311934701358</v>
      </c>
      <c r="AR86" s="3854">
        <f t="shared" si="526"/>
        <v>1.4977973568281788</v>
      </c>
      <c r="AS86" s="3854">
        <f t="shared" si="526"/>
        <v>1.8229166666666741</v>
      </c>
      <c r="AT86" s="3854">
        <f t="shared" si="526"/>
        <v>4.8167092924126242</v>
      </c>
      <c r="AU86" s="3854">
        <f t="shared" si="526"/>
        <v>5.2663684424562707</v>
      </c>
      <c r="AV86" s="3854">
        <f t="shared" si="526"/>
        <v>3.9984547034962459</v>
      </c>
      <c r="AW86" s="3854">
        <f t="shared" si="526"/>
        <v>2.3402674591381789</v>
      </c>
      <c r="AX86" s="3854">
        <f t="shared" si="526"/>
        <v>2.0145190562613546</v>
      </c>
      <c r="AY86" s="3854">
        <f t="shared" si="526"/>
        <v>0.67603629247463548</v>
      </c>
      <c r="AZ86" s="3854">
        <f t="shared" si="526"/>
        <v>-0.21205159922247363</v>
      </c>
      <c r="BA86" s="3854">
        <f t="shared" si="526"/>
        <v>0.5312555339118008</v>
      </c>
      <c r="BB86" s="3854">
        <f t="shared" si="526"/>
        <v>1.1625858728201655</v>
      </c>
      <c r="BC86" s="3854">
        <f t="shared" si="526"/>
        <v>1.7934877241859715</v>
      </c>
      <c r="BD86" s="3854">
        <f t="shared" si="526"/>
        <v>1.3342456380431189</v>
      </c>
      <c r="BE86" s="3854">
        <f t="shared" si="526"/>
        <v>0.99594868332206765</v>
      </c>
      <c r="BF86" s="3854">
        <f t="shared" si="526"/>
        <v>0.78555908407154096</v>
      </c>
      <c r="BG86" s="3854">
        <f t="shared" si="526"/>
        <v>-0.38142620232173297</v>
      </c>
      <c r="BH86" s="3854">
        <f t="shared" si="526"/>
        <v>-1.9643748959547125</v>
      </c>
      <c r="BI86" s="3854">
        <f t="shared" si="526"/>
        <v>-2.530140940736969</v>
      </c>
      <c r="BJ86" s="3854">
        <f t="shared" si="526"/>
        <v>-1.846689895470377</v>
      </c>
      <c r="BK86" s="3854">
        <f t="shared" si="526"/>
        <v>-4.242101526446584</v>
      </c>
      <c r="BL86" s="3854">
        <f t="shared" si="526"/>
        <v>-3.4661723818350199</v>
      </c>
      <c r="BM86" s="3854">
        <f t="shared" si="526"/>
        <v>-1.8049155145929419</v>
      </c>
      <c r="BN86" s="3854">
        <f t="shared" si="526"/>
        <v>0.29331247555728357</v>
      </c>
      <c r="BO86" s="3854">
        <f t="shared" si="526"/>
        <v>0.35094560343147396</v>
      </c>
      <c r="BP86" s="3854">
        <f t="shared" si="526"/>
        <v>1.9040217602486864</v>
      </c>
      <c r="BQ86" s="3854">
        <f t="shared" si="526"/>
        <v>3.8322211630123837</v>
      </c>
      <c r="BR86" s="3854">
        <f t="shared" si="526"/>
        <v>-1.0099155343371247</v>
      </c>
      <c r="BS86" s="3854">
        <f t="shared" si="526"/>
        <v>-2.7824151363383454</v>
      </c>
      <c r="BT86" s="3854">
        <f t="shared" si="526"/>
        <v>-0.80137378362907796</v>
      </c>
      <c r="BU86" s="3854">
        <f t="shared" si="527"/>
        <v>-1.9811502211963816</v>
      </c>
      <c r="BV86" s="3854">
        <f t="shared" si="527"/>
        <v>1.1185243328100336</v>
      </c>
      <c r="BW86" s="3854">
        <f t="shared" si="527"/>
        <v>0.62099747719774889</v>
      </c>
      <c r="BX86" s="3854">
        <f t="shared" si="527"/>
        <v>0.23143683702990803</v>
      </c>
      <c r="BY86" s="3854">
        <f t="shared" si="527"/>
        <v>-0.42332114681546962</v>
      </c>
      <c r="BZ86" s="3854">
        <f t="shared" si="527"/>
        <v>-1.3140096618357466</v>
      </c>
      <c r="CA86" s="3854">
        <f t="shared" si="527"/>
        <v>-2.663011552770711</v>
      </c>
      <c r="CB86" s="3854">
        <f t="shared" si="527"/>
        <v>-0.22128344397506217</v>
      </c>
      <c r="CC86" s="3854">
        <f t="shared" si="527"/>
        <v>8.0645161290338052E-2</v>
      </c>
      <c r="CD86" s="3854">
        <f t="shared" si="527"/>
        <v>0</v>
      </c>
      <c r="CE86" s="3854">
        <f t="shared" si="527"/>
        <v>2.7598710717163577</v>
      </c>
      <c r="CF86" s="3854">
        <f t="shared" si="527"/>
        <v>2.5289158988433647</v>
      </c>
      <c r="CG86" s="3854">
        <f t="shared" si="527"/>
        <v>1.2428298279158589</v>
      </c>
      <c r="CH86" s="3854">
        <f t="shared" si="527"/>
        <v>1.1898016997167193</v>
      </c>
      <c r="CI86" s="3854">
        <f t="shared" si="528"/>
        <v>1.8663680477803979E-2</v>
      </c>
      <c r="CJ86" s="3854">
        <f t="shared" si="529"/>
        <v>-2.35118492256019</v>
      </c>
      <c r="CK86" s="3854">
        <f t="shared" si="529"/>
        <v>-3.8218994840433229E-2</v>
      </c>
      <c r="CL86" s="3854">
        <f t="shared" si="529"/>
        <v>2.6572357101892541</v>
      </c>
      <c r="CM86" s="3854">
        <f t="shared" si="529"/>
        <v>-0.20484171322160405</v>
      </c>
      <c r="CN86" s="3854">
        <f t="shared" si="529"/>
        <v>2.0526217577906403</v>
      </c>
      <c r="CO86" s="3854">
        <f t="shared" si="529"/>
        <v>-7.3139513622244579E-2</v>
      </c>
      <c r="CP86" s="3854">
        <f t="shared" si="529"/>
        <v>-0.43915827996340306</v>
      </c>
      <c r="CQ86" s="3854">
        <f t="shared" si="529"/>
        <v>0.47785333578385103</v>
      </c>
      <c r="CR86" s="3854">
        <f t="shared" si="529"/>
        <v>-1.2804097311139406</v>
      </c>
      <c r="CS86" s="3854">
        <f t="shared" si="529"/>
        <v>0.27793218454696955</v>
      </c>
      <c r="CT86" s="3854">
        <f t="shared" si="529"/>
        <v>0</v>
      </c>
      <c r="CU86" s="3897">
        <v>0.5</v>
      </c>
      <c r="CV86" s="3897">
        <v>0.5</v>
      </c>
      <c r="CW86" s="3897">
        <v>0.5</v>
      </c>
      <c r="CX86" s="3897">
        <v>0.5</v>
      </c>
      <c r="CY86" s="3897">
        <v>0.2</v>
      </c>
      <c r="CZ86" s="3897">
        <v>0.2</v>
      </c>
      <c r="DA86" s="3897">
        <v>0.2</v>
      </c>
      <c r="DB86" s="3897">
        <v>0.2</v>
      </c>
    </row>
    <row r="87" spans="1:112" s="749" customFormat="1" ht="12.75" customHeight="1">
      <c r="A87" s="714"/>
      <c r="B87" s="714"/>
      <c r="C87" s="742"/>
      <c r="D87" s="2117"/>
      <c r="E87" s="3852" t="s">
        <v>2563</v>
      </c>
      <c r="F87" s="3849"/>
      <c r="G87" s="3850"/>
      <c r="H87" s="3854">
        <f t="shared" si="530"/>
        <v>3.6623215394165021</v>
      </c>
      <c r="I87" s="3854">
        <f t="shared" ref="I87:BT87" si="531">(I78/H78-1)*100</f>
        <v>0.23952095808383866</v>
      </c>
      <c r="J87" s="3854">
        <f t="shared" si="531"/>
        <v>-1.3739545997610514</v>
      </c>
      <c r="K87" s="3854">
        <f t="shared" si="531"/>
        <v>-6.2386432465172614</v>
      </c>
      <c r="L87" s="3854">
        <f t="shared" si="531"/>
        <v>2.6485788113695063</v>
      </c>
      <c r="M87" s="3854">
        <f t="shared" si="531"/>
        <v>1.195720578980497</v>
      </c>
      <c r="N87" s="3854">
        <f t="shared" si="531"/>
        <v>-4.2288557213930433</v>
      </c>
      <c r="O87" s="3854">
        <f t="shared" si="531"/>
        <v>11.883116883116895</v>
      </c>
      <c r="P87" s="3854">
        <f t="shared" si="531"/>
        <v>-4.6430644225188615</v>
      </c>
      <c r="Q87" s="3854">
        <f t="shared" si="531"/>
        <v>0.30432136335969417</v>
      </c>
      <c r="R87" s="3854">
        <f t="shared" si="531"/>
        <v>6.0679611650482634E-2</v>
      </c>
      <c r="S87" s="3854">
        <f t="shared" si="531"/>
        <v>-1.8192844147968512</v>
      </c>
      <c r="T87" s="3854">
        <f t="shared" si="531"/>
        <v>-0.12353304508956331</v>
      </c>
      <c r="U87" s="3854">
        <f t="shared" si="531"/>
        <v>-0.74211502782931538</v>
      </c>
      <c r="V87" s="3854">
        <f t="shared" si="531"/>
        <v>11.090342679127719</v>
      </c>
      <c r="W87" s="3854">
        <f t="shared" si="531"/>
        <v>2.6920919798093079</v>
      </c>
      <c r="X87" s="3854">
        <f t="shared" si="531"/>
        <v>6.6630256690333178</v>
      </c>
      <c r="Y87" s="3854">
        <f t="shared" si="531"/>
        <v>0.30721966205837781</v>
      </c>
      <c r="Z87" s="3854">
        <f t="shared" si="531"/>
        <v>0.30627871362940429</v>
      </c>
      <c r="AA87" s="3854">
        <f t="shared" si="531"/>
        <v>0.10178117048345037</v>
      </c>
      <c r="AB87" s="3854">
        <f t="shared" si="531"/>
        <v>1.8810371123538339</v>
      </c>
      <c r="AC87" s="3854">
        <f t="shared" si="531"/>
        <v>-2.7944111776447178</v>
      </c>
      <c r="AD87" s="3854">
        <f t="shared" si="531"/>
        <v>-0.41067761806981018</v>
      </c>
      <c r="AE87" s="3854">
        <f t="shared" si="531"/>
        <v>2.0103092783505305</v>
      </c>
      <c r="AF87" s="3854">
        <f t="shared" si="531"/>
        <v>-2.6275896917635211</v>
      </c>
      <c r="AG87" s="3854">
        <f t="shared" si="531"/>
        <v>-1.4530358069538174</v>
      </c>
      <c r="AH87" s="3854">
        <f t="shared" si="531"/>
        <v>-27.172195892575036</v>
      </c>
      <c r="AI87" s="3854">
        <f t="shared" si="531"/>
        <v>33.261026753434564</v>
      </c>
      <c r="AJ87" s="3854">
        <f t="shared" si="531"/>
        <v>-0.48833423765598516</v>
      </c>
      <c r="AK87" s="3854">
        <f t="shared" si="531"/>
        <v>2.0719738276990141</v>
      </c>
      <c r="AL87" s="3854">
        <f t="shared" si="531"/>
        <v>-13.568376068376065</v>
      </c>
      <c r="AM87" s="3854">
        <f t="shared" si="531"/>
        <v>15.883807169344855</v>
      </c>
      <c r="AN87" s="3854">
        <f t="shared" si="531"/>
        <v>1.7066666666666785</v>
      </c>
      <c r="AO87" s="3854">
        <f t="shared" si="531"/>
        <v>4.5097011012060761</v>
      </c>
      <c r="AP87" s="3854">
        <f t="shared" si="531"/>
        <v>-21.073758153537391</v>
      </c>
      <c r="AQ87" s="3854">
        <f t="shared" si="531"/>
        <v>34.392879847425291</v>
      </c>
      <c r="AR87" s="3854">
        <f t="shared" si="531"/>
        <v>-16.414380321665089</v>
      </c>
      <c r="AS87" s="3854">
        <f t="shared" si="531"/>
        <v>16.52518392756086</v>
      </c>
      <c r="AT87" s="3854">
        <f t="shared" si="531"/>
        <v>-25.303545410393401</v>
      </c>
      <c r="AU87" s="3854">
        <f t="shared" si="531"/>
        <v>30.039011703511044</v>
      </c>
      <c r="AV87" s="3854">
        <f t="shared" si="531"/>
        <v>0.60000000000000053</v>
      </c>
      <c r="AW87" s="3854">
        <f t="shared" si="531"/>
        <v>-1.5904572564612307</v>
      </c>
      <c r="AX87" s="3854">
        <f t="shared" si="531"/>
        <v>-7.2727272727272645</v>
      </c>
      <c r="AY87" s="3854">
        <f t="shared" si="531"/>
        <v>14.814814814814813</v>
      </c>
      <c r="AZ87" s="3854">
        <f t="shared" si="531"/>
        <v>-2.6565464895635715</v>
      </c>
      <c r="BA87" s="3854">
        <f t="shared" si="531"/>
        <v>-2.0467836257310079</v>
      </c>
      <c r="BB87" s="3854">
        <f t="shared" si="531"/>
        <v>-46.368159203980085</v>
      </c>
      <c r="BC87" s="3854">
        <f t="shared" si="531"/>
        <v>84.693877551020407</v>
      </c>
      <c r="BD87" s="3854">
        <f t="shared" si="531"/>
        <v>-2.511300853842291</v>
      </c>
      <c r="BE87" s="3854">
        <f t="shared" si="531"/>
        <v>0.82431736218444573</v>
      </c>
      <c r="BF87" s="3854">
        <f t="shared" si="531"/>
        <v>-5.4675523760858491</v>
      </c>
      <c r="BG87" s="3854">
        <f t="shared" si="531"/>
        <v>4.7027027027026991</v>
      </c>
      <c r="BH87" s="3854">
        <f t="shared" si="531"/>
        <v>0.98089829633454251</v>
      </c>
      <c r="BI87" s="3854">
        <f t="shared" si="531"/>
        <v>0.10224948875254825</v>
      </c>
      <c r="BJ87" s="3854">
        <f t="shared" si="531"/>
        <v>6.3840653728294283</v>
      </c>
      <c r="BK87" s="3854">
        <f t="shared" si="531"/>
        <v>9.6015362457979592E-2</v>
      </c>
      <c r="BL87" s="3854">
        <f t="shared" si="531"/>
        <v>6.8105515587529863</v>
      </c>
      <c r="BM87" s="3854">
        <f t="shared" si="531"/>
        <v>-0.5837449483610202</v>
      </c>
      <c r="BN87" s="3854">
        <f t="shared" si="531"/>
        <v>3.0713640469738124</v>
      </c>
      <c r="BO87" s="3854">
        <f t="shared" si="531"/>
        <v>-2.5416301489921023</v>
      </c>
      <c r="BP87" s="3854">
        <f t="shared" si="531"/>
        <v>0.13489208633092886</v>
      </c>
      <c r="BQ87" s="3854">
        <f t="shared" si="531"/>
        <v>-0.31432420296361174</v>
      </c>
      <c r="BR87" s="3854">
        <f t="shared" si="531"/>
        <v>-0.81081081081082473</v>
      </c>
      <c r="BS87" s="3854">
        <f t="shared" si="531"/>
        <v>3.5876475930971985</v>
      </c>
      <c r="BT87" s="3854">
        <f t="shared" si="531"/>
        <v>1.6659359929855233</v>
      </c>
      <c r="BU87" s="3854">
        <f t="shared" si="527"/>
        <v>3.6222509702457995</v>
      </c>
      <c r="BV87" s="3854">
        <f t="shared" si="527"/>
        <v>-8.3229296712450385E-2</v>
      </c>
      <c r="BW87" s="3854">
        <f t="shared" si="527"/>
        <v>0.45814244064974474</v>
      </c>
      <c r="BX87" s="3854">
        <f t="shared" si="527"/>
        <v>-1.0364842454394618</v>
      </c>
      <c r="BY87" s="3854">
        <f t="shared" si="527"/>
        <v>8.3787180561367691E-2</v>
      </c>
      <c r="BZ87" s="3854">
        <f t="shared" si="527"/>
        <v>1.3394725826705756</v>
      </c>
      <c r="CA87" s="3854">
        <f t="shared" si="527"/>
        <v>-5.8240396530359391</v>
      </c>
      <c r="CB87" s="3854">
        <f t="shared" si="527"/>
        <v>-0.21929824561403022</v>
      </c>
      <c r="CC87" s="3854">
        <f t="shared" si="527"/>
        <v>2.0219780219780326</v>
      </c>
      <c r="CD87" s="3854">
        <f t="shared" si="527"/>
        <v>4.3084877208099392E-2</v>
      </c>
      <c r="CE87" s="3854">
        <f t="shared" si="527"/>
        <v>0.68906115417743941</v>
      </c>
      <c r="CF87" s="3854">
        <f t="shared" si="527"/>
        <v>2.4807527801539608</v>
      </c>
      <c r="CG87" s="3854">
        <f t="shared" si="527"/>
        <v>-0.41736227045073848</v>
      </c>
      <c r="CH87" s="3854">
        <f t="shared" si="527"/>
        <v>0.88013411567475774</v>
      </c>
      <c r="CI87" s="3854">
        <f t="shared" si="528"/>
        <v>1.5787287079351842</v>
      </c>
      <c r="CJ87" s="3854">
        <f t="shared" si="529"/>
        <v>-2.0040899795500944</v>
      </c>
      <c r="CK87" s="3854">
        <f t="shared" si="529"/>
        <v>1.5442404006677846</v>
      </c>
      <c r="CL87" s="3854">
        <f t="shared" si="529"/>
        <v>-3.2470201397451603</v>
      </c>
      <c r="CM87" s="3854">
        <f t="shared" si="529"/>
        <v>-0.12744265080714134</v>
      </c>
      <c r="CN87" s="3854">
        <f t="shared" si="529"/>
        <v>-1.61633347511696</v>
      </c>
      <c r="CO87" s="3854">
        <f t="shared" si="529"/>
        <v>-0.47557284911371456</v>
      </c>
      <c r="CP87" s="3854">
        <f t="shared" si="529"/>
        <v>2.7801911381407418</v>
      </c>
      <c r="CQ87" s="3854">
        <f t="shared" si="529"/>
        <v>8.4530853761610736E-2</v>
      </c>
      <c r="CR87" s="3854">
        <f t="shared" si="529"/>
        <v>1.942567567567588</v>
      </c>
      <c r="CS87" s="3854">
        <f t="shared" si="529"/>
        <v>0.91135045567520834</v>
      </c>
      <c r="CT87" s="3854">
        <f t="shared" si="529"/>
        <v>2.9556650246305383</v>
      </c>
      <c r="CU87" s="3883">
        <v>1.5</v>
      </c>
      <c r="CV87" s="3883">
        <v>2</v>
      </c>
      <c r="CW87" s="3883">
        <v>2</v>
      </c>
      <c r="CX87" s="3883">
        <v>2</v>
      </c>
      <c r="CY87" s="3883">
        <v>1</v>
      </c>
      <c r="CZ87" s="3883">
        <v>1</v>
      </c>
      <c r="DA87" s="3883">
        <v>0.2</v>
      </c>
      <c r="DB87" s="3883">
        <v>0</v>
      </c>
    </row>
    <row r="88" spans="1:112" s="749" customFormat="1" ht="12.75" customHeight="1">
      <c r="B88" s="714"/>
      <c r="C88" s="742"/>
      <c r="D88" s="739"/>
      <c r="E88" s="787" t="str">
        <f>E80</f>
        <v>Gross fixed capital formation</v>
      </c>
      <c r="F88" s="782" t="s">
        <v>2068</v>
      </c>
      <c r="G88" s="788"/>
      <c r="H88" s="788">
        <f t="shared" ref="H88:BE88" si="532">(H80/G80-1)*100</f>
        <v>1.7213060902700139</v>
      </c>
      <c r="I88" s="788">
        <f t="shared" si="532"/>
        <v>1.181941484208493</v>
      </c>
      <c r="J88" s="788">
        <f t="shared" si="532"/>
        <v>5.744925315971372E-2</v>
      </c>
      <c r="K88" s="788">
        <f t="shared" si="532"/>
        <v>-1.5821371610845403</v>
      </c>
      <c r="L88" s="788">
        <f t="shared" si="532"/>
        <v>0.26576780968432523</v>
      </c>
      <c r="M88" s="788">
        <f t="shared" si="532"/>
        <v>1.2994569433669501</v>
      </c>
      <c r="N88" s="788">
        <f t="shared" si="532"/>
        <v>2.1379794498691762</v>
      </c>
      <c r="O88" s="788">
        <f t="shared" si="532"/>
        <v>2.0244938765308529</v>
      </c>
      <c r="P88" s="788">
        <f t="shared" si="532"/>
        <v>2.3640372366486861</v>
      </c>
      <c r="Q88" s="788">
        <f t="shared" si="532"/>
        <v>-0.38889553667582621</v>
      </c>
      <c r="R88" s="788">
        <f t="shared" si="532"/>
        <v>2.312451198270149</v>
      </c>
      <c r="S88" s="788">
        <f t="shared" si="532"/>
        <v>-1.2386990724433389</v>
      </c>
      <c r="T88" s="788">
        <f t="shared" si="532"/>
        <v>0.26154669202878011</v>
      </c>
      <c r="U88" s="788">
        <f t="shared" si="532"/>
        <v>1.9624118100432852</v>
      </c>
      <c r="V88" s="788">
        <f t="shared" si="532"/>
        <v>1.6106524014420254</v>
      </c>
      <c r="W88" s="788">
        <f t="shared" si="532"/>
        <v>0.3147353361945715</v>
      </c>
      <c r="X88" s="788">
        <f t="shared" si="532"/>
        <v>1.5059897318881799</v>
      </c>
      <c r="Y88" s="788">
        <f t="shared" si="532"/>
        <v>0.46082949308756671</v>
      </c>
      <c r="Z88" s="788">
        <f t="shared" si="532"/>
        <v>-0.74960841351533469</v>
      </c>
      <c r="AA88" s="788">
        <f t="shared" si="532"/>
        <v>2.8745350016908811</v>
      </c>
      <c r="AB88" s="788">
        <f t="shared" si="532"/>
        <v>0.88209511286434505</v>
      </c>
      <c r="AC88" s="788">
        <f t="shared" si="532"/>
        <v>1.1513604518546661</v>
      </c>
      <c r="AD88" s="788">
        <f t="shared" si="532"/>
        <v>0.66040268456375451</v>
      </c>
      <c r="AE88" s="788">
        <f t="shared" si="532"/>
        <v>1.7441860465116088</v>
      </c>
      <c r="AF88" s="788">
        <f t="shared" si="532"/>
        <v>-1.1533420707732556</v>
      </c>
      <c r="AG88" s="788">
        <f t="shared" si="532"/>
        <v>1.0978520286396121</v>
      </c>
      <c r="AH88" s="788">
        <f t="shared" si="532"/>
        <v>-4.2440457454621772</v>
      </c>
      <c r="AI88" s="788">
        <f t="shared" si="532"/>
        <v>-1.643565441297179E-2</v>
      </c>
      <c r="AJ88" s="788">
        <f t="shared" si="532"/>
        <v>-1.452054794520552</v>
      </c>
      <c r="AK88" s="788">
        <f t="shared" si="532"/>
        <v>-1.523491798721166</v>
      </c>
      <c r="AL88" s="788">
        <f t="shared" si="532"/>
        <v>1.9310033312630592</v>
      </c>
      <c r="AM88" s="788">
        <f t="shared" si="532"/>
        <v>-0.47637511770898255</v>
      </c>
      <c r="AN88" s="788">
        <f t="shared" si="532"/>
        <v>0.21149885901932119</v>
      </c>
      <c r="AO88" s="788">
        <f t="shared" si="532"/>
        <v>-5.5540127742281786E-2</v>
      </c>
      <c r="AP88" s="788">
        <f t="shared" si="532"/>
        <v>-1.4059460961378112</v>
      </c>
      <c r="AQ88" s="788">
        <f t="shared" si="532"/>
        <v>6.5043399842182437</v>
      </c>
      <c r="AR88" s="788">
        <f t="shared" si="532"/>
        <v>3.0429720575783303</v>
      </c>
      <c r="AS88" s="788">
        <f t="shared" si="532"/>
        <v>3.0352832417441356</v>
      </c>
      <c r="AT88" s="788">
        <f t="shared" si="532"/>
        <v>-2.0586182833217004</v>
      </c>
      <c r="AU88" s="788">
        <f t="shared" si="532"/>
        <v>3.8933279047279834</v>
      </c>
      <c r="AV88" s="788">
        <f t="shared" si="532"/>
        <v>3.9286763985500128</v>
      </c>
      <c r="AW88" s="788">
        <f t="shared" si="532"/>
        <v>-2.1540346907994001</v>
      </c>
      <c r="AX88" s="788">
        <f t="shared" si="532"/>
        <v>-1.5896719495158806</v>
      </c>
      <c r="AY88" s="788">
        <f t="shared" si="532"/>
        <v>2.7412012335405578</v>
      </c>
      <c r="AZ88" s="788">
        <f t="shared" si="532"/>
        <v>-0.41926723521845677</v>
      </c>
      <c r="BA88" s="788">
        <f t="shared" si="532"/>
        <v>1.7128367063776961</v>
      </c>
      <c r="BB88" s="788">
        <f t="shared" si="532"/>
        <v>0.14582059363092981</v>
      </c>
      <c r="BC88" s="788">
        <f t="shared" si="532"/>
        <v>3.2785345232503538</v>
      </c>
      <c r="BD88" s="788">
        <f t="shared" si="532"/>
        <v>1.4371475350190899</v>
      </c>
      <c r="BE88" s="788">
        <f t="shared" si="532"/>
        <v>1.9323888091822061</v>
      </c>
      <c r="BF88" s="788">
        <f t="shared" ref="BF88:BN88" si="533">(BF80/BE80-1)*100</f>
        <v>1.675830217725971</v>
      </c>
      <c r="BG88" s="788">
        <f t="shared" si="533"/>
        <v>0.71811732133586492</v>
      </c>
      <c r="BH88" s="788">
        <f t="shared" si="533"/>
        <v>9.8788763851898054E-2</v>
      </c>
      <c r="BI88" s="788">
        <f t="shared" si="533"/>
        <v>-2.1025531001930831</v>
      </c>
      <c r="BJ88" s="788">
        <f t="shared" si="533"/>
        <v>-1.6129739206662386</v>
      </c>
      <c r="BK88" s="788">
        <f t="shared" si="533"/>
        <v>-3.0605426114848178</v>
      </c>
      <c r="BL88" s="788">
        <f t="shared" si="533"/>
        <v>-1.0018382352941169</v>
      </c>
      <c r="BM88" s="788">
        <f t="shared" si="533"/>
        <v>-2.0285953022003533</v>
      </c>
      <c r="BN88" s="788">
        <f t="shared" si="533"/>
        <v>1.1750769959725238</v>
      </c>
      <c r="BO88" s="788">
        <f t="shared" ref="BO88:CH88" si="534">(BO80/BN80-1)*100</f>
        <v>-1.6437971245258365</v>
      </c>
      <c r="BP88" s="788">
        <f t="shared" si="534"/>
        <v>0.18093514903343433</v>
      </c>
      <c r="BQ88" s="788">
        <f t="shared" si="534"/>
        <v>1.7870722433460218</v>
      </c>
      <c r="BR88" s="788">
        <f t="shared" si="534"/>
        <v>0.80780724691817962</v>
      </c>
      <c r="BS88" s="788">
        <f t="shared" si="534"/>
        <v>0.93566167955905222</v>
      </c>
      <c r="BT88" s="788">
        <f t="shared" si="534"/>
        <v>1.9182231196365418</v>
      </c>
      <c r="BU88" s="788">
        <f t="shared" si="534"/>
        <v>-0.2026205592327357</v>
      </c>
      <c r="BV88" s="788">
        <f t="shared" si="534"/>
        <v>1.3896408590507114</v>
      </c>
      <c r="BW88" s="788">
        <f t="shared" si="534"/>
        <v>-0.80989676041296477</v>
      </c>
      <c r="BX88" s="788">
        <f t="shared" si="534"/>
        <v>0.24226110363392284</v>
      </c>
      <c r="BY88" s="788">
        <f t="shared" si="534"/>
        <v>-0.29090583601862896</v>
      </c>
      <c r="BZ88" s="788">
        <f t="shared" si="534"/>
        <v>-1.7101306162754182</v>
      </c>
      <c r="CA88" s="788">
        <f t="shared" si="534"/>
        <v>-0.73066033427710009</v>
      </c>
      <c r="CB88" s="788">
        <f t="shared" si="534"/>
        <v>0.62563253289171783</v>
      </c>
      <c r="CC88" s="788">
        <f t="shared" si="534"/>
        <v>0.25601170339215606</v>
      </c>
      <c r="CD88" s="788">
        <f t="shared" si="534"/>
        <v>7.2959416324680504E-2</v>
      </c>
      <c r="CE88" s="788">
        <f t="shared" si="534"/>
        <v>1.8135423311765209</v>
      </c>
      <c r="CF88" s="788">
        <f t="shared" si="534"/>
        <v>1.6872538489079769</v>
      </c>
      <c r="CG88" s="788">
        <f t="shared" si="534"/>
        <v>7.4732626204832453</v>
      </c>
      <c r="CH88" s="788">
        <f t="shared" si="534"/>
        <v>-4.9060158073631177</v>
      </c>
      <c r="CI88" s="788">
        <f t="shared" ref="CI88" si="535">(CI80/CH80-1)*100</f>
        <v>9.6335213815081033</v>
      </c>
      <c r="CJ88" s="788">
        <f t="shared" ref="CJ88:CS88" si="536">(CJ80/CI80-1)*100</f>
        <v>-10.574279204965043</v>
      </c>
      <c r="CK88" s="788">
        <f t="shared" si="536"/>
        <v>2.6706492137397841</v>
      </c>
      <c r="CL88" s="788">
        <f t="shared" si="536"/>
        <v>0.91554718918458455</v>
      </c>
      <c r="CM88" s="788">
        <f t="shared" si="536"/>
        <v>1.5389180939460623</v>
      </c>
      <c r="CN88" s="788">
        <f t="shared" si="536"/>
        <v>0.709782472548115</v>
      </c>
      <c r="CO88" s="788">
        <f t="shared" si="536"/>
        <v>7.7857468595829316</v>
      </c>
      <c r="CP88" s="788">
        <f t="shared" si="536"/>
        <v>-5.5963690911188806</v>
      </c>
      <c r="CQ88" s="788">
        <f t="shared" si="536"/>
        <v>0.19964146023467855</v>
      </c>
      <c r="CR88" s="788">
        <f t="shared" si="536"/>
        <v>0.87423250518439133</v>
      </c>
      <c r="CS88" s="788">
        <f t="shared" si="536"/>
        <v>1.1528539180909458</v>
      </c>
      <c r="CT88" s="1701">
        <f t="shared" ref="CT88" si="537">(CT80/CS80-1)*100</f>
        <v>7.9700326771403596E-3</v>
      </c>
      <c r="CU88" s="1701">
        <f t="shared" ref="CU88" si="538">(CU80/CT80-1)*100</f>
        <v>1.2118664328976569</v>
      </c>
      <c r="CV88" s="1701">
        <f t="shared" ref="CV88" si="539">(CV80/CU80-1)*100</f>
        <v>1.2674108360862801</v>
      </c>
      <c r="CW88" s="1701">
        <f t="shared" ref="CW88" si="540">(CW80/CV80-1)*100</f>
        <v>1.2693063030658314</v>
      </c>
      <c r="CX88" s="1701">
        <f t="shared" ref="CX88" si="541">(CX80/CW80-1)*100</f>
        <v>1.271196260444496</v>
      </c>
      <c r="CY88" s="1701">
        <f t="shared" ref="CY88" si="542">(CY80/CX80-1)*100</f>
        <v>0.35075487953128981</v>
      </c>
      <c r="CZ88" s="1701">
        <f t="shared" ref="CZ88" si="543">(CZ80/CY80-1)*100</f>
        <v>0.35125009969576571</v>
      </c>
      <c r="DA88" s="1701">
        <f t="shared" ref="DA88" si="544">(DA80/CZ80-1)*100</f>
        <v>0.26876027108759803</v>
      </c>
      <c r="DB88" s="1701">
        <f t="shared" ref="DB88" si="545">(DB80/DA80-1)*100</f>
        <v>0.24804898476988857</v>
      </c>
    </row>
    <row r="89" spans="1:112">
      <c r="C89" s="1458"/>
      <c r="D89" s="1487"/>
      <c r="E89" s="1488" t="s">
        <v>74</v>
      </c>
      <c r="F89" s="1562"/>
      <c r="G89" s="1511"/>
      <c r="H89" s="1512"/>
      <c r="I89" s="1512"/>
      <c r="J89" s="1512"/>
      <c r="K89" s="1513"/>
      <c r="L89" s="1513"/>
      <c r="M89" s="1513"/>
      <c r="N89" s="1514">
        <f>N81/J81*100-100</f>
        <v>0.84293657828995094</v>
      </c>
      <c r="O89" s="1513"/>
      <c r="P89" s="1513"/>
      <c r="Q89" s="1513"/>
      <c r="R89" s="1514">
        <f>R81/N81*100-100</f>
        <v>6.6439713591612417</v>
      </c>
      <c r="S89" s="1513"/>
      <c r="T89" s="1513"/>
      <c r="U89" s="1513"/>
      <c r="V89" s="1514">
        <f>V81/R81*100-100</f>
        <v>2.4548520044960611</v>
      </c>
      <c r="W89" s="1513"/>
      <c r="X89" s="1513"/>
      <c r="Y89" s="1513"/>
      <c r="Z89" s="1514">
        <f>Z81/V81*100-100</f>
        <v>3.7725085206910194</v>
      </c>
      <c r="AA89" s="1513"/>
      <c r="AB89" s="1513"/>
      <c r="AC89" s="1513"/>
      <c r="AD89" s="1514">
        <f>AD81/Z81*100-100</f>
        <v>4.3641284429533727</v>
      </c>
      <c r="AE89" s="1513"/>
      <c r="AF89" s="1513"/>
      <c r="AG89" s="1513"/>
      <c r="AH89" s="1514">
        <f>AH81/AD81*100-100</f>
        <v>1.6302439287933339</v>
      </c>
      <c r="AI89" s="1513"/>
      <c r="AJ89" s="1513"/>
      <c r="AK89" s="1513"/>
      <c r="AL89" s="1514">
        <f>AL81/AH81*100-100</f>
        <v>-4.3139079008572168</v>
      </c>
      <c r="AM89" s="1513"/>
      <c r="AN89" s="1513"/>
      <c r="AO89" s="1513"/>
      <c r="AP89" s="1514">
        <f>AP81/AL81*100-100</f>
        <v>-0.40278337199126213</v>
      </c>
      <c r="AQ89" s="1513"/>
      <c r="AR89" s="1513"/>
      <c r="AS89" s="1513"/>
      <c r="AT89" s="1514">
        <f>AT81/AP81*100-100</f>
        <v>8.8817303267372267</v>
      </c>
      <c r="AU89" s="1513"/>
      <c r="AV89" s="1513"/>
      <c r="AW89" s="1513"/>
      <c r="AX89" s="1514">
        <f>AX81/AT81*100-100</f>
        <v>6.0708522246983705</v>
      </c>
      <c r="AY89" s="1513"/>
      <c r="AZ89" s="1513"/>
      <c r="BA89" s="1515"/>
      <c r="BB89" s="1516">
        <f>BB81/AX81*100-100</f>
        <v>1.957303967736479</v>
      </c>
      <c r="BC89" s="1515"/>
      <c r="BD89" s="1515"/>
      <c r="BE89" s="1515"/>
      <c r="BF89" s="1516">
        <f>BF81/BB81*100-100</f>
        <v>6.7551723729556414</v>
      </c>
      <c r="BG89" s="1515"/>
      <c r="BH89" s="1515"/>
      <c r="BI89" s="1515"/>
      <c r="BJ89" s="1516">
        <f>BJ81/BF81*100-100</f>
        <v>1.8925485062622869</v>
      </c>
      <c r="BK89" s="1515"/>
      <c r="BL89" s="1515"/>
      <c r="BM89" s="1515"/>
      <c r="BN89" s="1516">
        <f>BN81/BJ81*100-100</f>
        <v>-6.6293590567126301</v>
      </c>
      <c r="BO89" s="1515"/>
      <c r="BP89" s="1515"/>
      <c r="BQ89" s="1515"/>
      <c r="BR89" s="1516">
        <f>BR81/BN81*100-100</f>
        <v>-0.83138992537315914</v>
      </c>
      <c r="BS89" s="1515"/>
      <c r="BT89" s="1515"/>
      <c r="BU89" s="1515"/>
      <c r="BV89" s="1516">
        <f>BV81/BR81*100-100</f>
        <v>4.2200195186191252</v>
      </c>
      <c r="BW89" s="1515"/>
      <c r="BX89" s="1515"/>
      <c r="BY89" s="1515"/>
      <c r="BZ89" s="1516">
        <f>BZ81/BV81*100-100</f>
        <v>0.19743670743264374</v>
      </c>
      <c r="CA89" s="1515"/>
      <c r="CB89" s="1515"/>
      <c r="CC89" s="1515"/>
      <c r="CD89" s="1516">
        <f>CD81/BZ81*100-100</f>
        <v>-1.4896803323912593</v>
      </c>
      <c r="CE89" s="1515"/>
      <c r="CF89" s="1515"/>
      <c r="CG89" s="1515"/>
      <c r="CH89" s="1516">
        <f>CH81/CD81*100-100</f>
        <v>5.9631035113386872</v>
      </c>
      <c r="CI89" s="1515"/>
      <c r="CJ89" s="1515"/>
      <c r="CK89" s="1515"/>
      <c r="CL89" s="1516">
        <f>CL81/CH81*100-100</f>
        <v>2.6762310554986328</v>
      </c>
      <c r="CM89" s="1515"/>
      <c r="CN89" s="1515"/>
      <c r="CO89" s="1515"/>
      <c r="CP89" s="1516">
        <f>CP81/CL81*100-100</f>
        <v>3.6024205240266411</v>
      </c>
      <c r="CQ89" s="1515"/>
      <c r="CR89" s="1515"/>
      <c r="CS89" s="1515"/>
      <c r="CT89" s="1516">
        <f>CT81/CP81*100-100</f>
        <v>0.98970744815699163</v>
      </c>
      <c r="CU89" s="1515"/>
      <c r="CV89" s="1515"/>
      <c r="CW89" s="1515"/>
      <c r="CX89" s="1516">
        <f>CX81/CT81*100-100</f>
        <v>3.9756639090252008</v>
      </c>
      <c r="CY89" s="1515"/>
      <c r="CZ89" s="1515"/>
      <c r="DA89" s="1515"/>
      <c r="DB89" s="1516">
        <f>DB81/CX81*100-100</f>
        <v>2.7293179010726476</v>
      </c>
    </row>
    <row r="90" spans="1:112" s="749" customFormat="1" ht="12.75" customHeight="1">
      <c r="A90" s="714"/>
      <c r="B90" s="714"/>
      <c r="C90" s="716"/>
      <c r="D90" s="766"/>
      <c r="E90" s="1502" t="s">
        <v>675</v>
      </c>
      <c r="F90" s="766"/>
      <c r="G90" s="1503"/>
      <c r="H90" s="1503"/>
      <c r="I90" s="1503"/>
      <c r="J90" s="1504"/>
      <c r="K90" s="1503"/>
      <c r="L90" s="1503"/>
      <c r="M90" s="1503"/>
      <c r="N90" s="1505">
        <f ca="1">N82/J82*100-100</f>
        <v>-5.9610462755996849</v>
      </c>
      <c r="O90" s="1503"/>
      <c r="P90" s="1503"/>
      <c r="Q90" s="1503"/>
      <c r="R90" s="1505">
        <f ca="1">R82/N82*100-100</f>
        <v>6.6438165779572103</v>
      </c>
      <c r="S90" s="1503"/>
      <c r="T90" s="1503"/>
      <c r="U90" s="1503"/>
      <c r="V90" s="1505">
        <f ca="1">V82/R82*100-100</f>
        <v>2.4555995404071069</v>
      </c>
      <c r="W90" s="1503"/>
      <c r="X90" s="1503"/>
      <c r="Y90" s="1503"/>
      <c r="Z90" s="1505">
        <f ca="1">Z82/V82*100-100</f>
        <v>3.7721967763441029</v>
      </c>
      <c r="AA90" s="1503"/>
      <c r="AB90" s="1503"/>
      <c r="AC90" s="1503"/>
      <c r="AD90" s="1505">
        <f ca="1">AD82/Z82*100-100</f>
        <v>4.3636937692647706</v>
      </c>
      <c r="AE90" s="1503"/>
      <c r="AF90" s="1503"/>
      <c r="AG90" s="1503"/>
      <c r="AH90" s="1505">
        <f ca="1">AH82/AD82*100-100</f>
        <v>1.6299677816181202</v>
      </c>
      <c r="AI90" s="1503"/>
      <c r="AJ90" s="1503"/>
      <c r="AK90" s="1503"/>
      <c r="AL90" s="1505">
        <f ca="1">AL82/AH82*100-100</f>
        <v>-4.3132582669695694</v>
      </c>
      <c r="AM90" s="1503"/>
      <c r="AN90" s="1503"/>
      <c r="AO90" s="1503"/>
      <c r="AP90" s="1505">
        <f ca="1">AP82/AL82*100-100</f>
        <v>-0.40334210026448147</v>
      </c>
      <c r="AQ90" s="1503"/>
      <c r="AR90" s="1503"/>
      <c r="AS90" s="1503"/>
      <c r="AT90" s="1505">
        <f ca="1">AT82/AP82*100-100</f>
        <v>8.882320519802704</v>
      </c>
      <c r="AU90" s="1503"/>
      <c r="AV90" s="1503"/>
      <c r="AW90" s="1503"/>
      <c r="AX90" s="1505">
        <f ca="1">AX82/AT82*100-100</f>
        <v>6.0704461637774756</v>
      </c>
      <c r="AY90" s="1503"/>
      <c r="AZ90" s="1503"/>
      <c r="BA90" s="1517"/>
      <c r="BB90" s="1518">
        <f ca="1">BB82/AX82*100-100</f>
        <v>1.9569561433554554</v>
      </c>
      <c r="BC90" s="1517"/>
      <c r="BD90" s="1517"/>
      <c r="BE90" s="1517"/>
      <c r="BF90" s="1518">
        <f ca="1">BF82/BB82*100-100</f>
        <v>6.7549645931240292</v>
      </c>
      <c r="BG90" s="1517"/>
      <c r="BH90" s="1517"/>
      <c r="BI90" s="1517"/>
      <c r="BJ90" s="1518">
        <f ca="1">BJ82/BF82*100-100</f>
        <v>1.8924448003869685</v>
      </c>
      <c r="BK90" s="1517"/>
      <c r="BL90" s="1517"/>
      <c r="BM90" s="1517"/>
      <c r="BN90" s="1518">
        <f ca="1">BN82/BJ82*100-100</f>
        <v>-6.6302758913767974</v>
      </c>
      <c r="BO90" s="1517"/>
      <c r="BP90" s="1517"/>
      <c r="BQ90" s="1517"/>
      <c r="BR90" s="1518">
        <f ca="1">BR82/BN82*100-100</f>
        <v>-0.82907500317142535</v>
      </c>
      <c r="BS90" s="1517"/>
      <c r="BT90" s="1517"/>
      <c r="BU90" s="1517"/>
      <c r="BV90" s="1518">
        <f ca="1">BV82/BR82*100-100</f>
        <v>4.2192844921410568</v>
      </c>
      <c r="BW90" s="1517"/>
      <c r="BX90" s="1517"/>
      <c r="BY90" s="1517"/>
      <c r="BZ90" s="1518">
        <f ca="1">BZ82/BV82*100-100</f>
        <v>0.19676707456650888</v>
      </c>
      <c r="CA90" s="1517"/>
      <c r="CB90" s="1517"/>
      <c r="CC90" s="1517"/>
      <c r="CD90" s="1518">
        <f ca="1">CD82/BZ82*100-100</f>
        <v>-1.4889034587568233</v>
      </c>
      <c r="CE90" s="1517"/>
      <c r="CF90" s="1517"/>
      <c r="CG90" s="1517"/>
      <c r="CH90" s="1518">
        <f ca="1">CH82/CD82*100-100</f>
        <v>5.9629884401873596</v>
      </c>
      <c r="CI90" s="1517"/>
      <c r="CJ90" s="1517"/>
      <c r="CK90" s="1517"/>
      <c r="CL90" s="1518">
        <f ca="1">CL82/CH82*100-100</f>
        <v>2.6764498554759655</v>
      </c>
      <c r="CM90" s="1517"/>
      <c r="CN90" s="1517"/>
      <c r="CO90" s="1517"/>
      <c r="CP90" s="1518">
        <f ca="1">CP82/CL82*100-100</f>
        <v>3.6022040132188948</v>
      </c>
      <c r="CQ90" s="1517"/>
      <c r="CR90" s="1517"/>
      <c r="CS90" s="1517"/>
      <c r="CT90" s="1518">
        <f ca="1">CT82/CP82*100-100</f>
        <v>0.98909818111035008</v>
      </c>
      <c r="CU90" s="1517"/>
      <c r="CV90" s="1517"/>
      <c r="CW90" s="1517"/>
      <c r="CX90" s="1518">
        <f ca="1">CX82/CT82*100-100</f>
        <v>3.9818305677147237</v>
      </c>
      <c r="CY90" s="1517"/>
      <c r="CZ90" s="1517"/>
      <c r="DA90" s="1517"/>
      <c r="DB90" s="1518">
        <f ca="1">DB82/CX82*100-100</f>
        <v>2.7355586859227401</v>
      </c>
    </row>
    <row r="91" spans="1:112">
      <c r="A91" s="720"/>
      <c r="B91" s="720"/>
      <c r="AY91" s="218"/>
      <c r="BA91" s="218"/>
      <c r="BB91" s="218"/>
      <c r="BC91" s="218"/>
      <c r="BD91" s="218"/>
      <c r="BE91" s="218"/>
      <c r="BF91" s="218"/>
      <c r="BG91" s="218"/>
      <c r="BH91" s="218"/>
      <c r="BI91" s="218"/>
      <c r="BJ91" s="218"/>
      <c r="BK91" s="218"/>
      <c r="BL91" s="218"/>
      <c r="BM91" s="218"/>
      <c r="BN91" s="218"/>
    </row>
    <row r="92" spans="1:112" s="749" customFormat="1" ht="12.75" customHeight="1">
      <c r="A92" s="714"/>
      <c r="B92" s="714"/>
      <c r="C92" s="716"/>
      <c r="D92" s="898"/>
      <c r="E92" s="899"/>
      <c r="F92" s="900"/>
      <c r="G92" s="1494" t="str">
        <f t="shared" ref="G92:N92" si="546">G84</f>
        <v>Q1</v>
      </c>
      <c r="H92" s="1494" t="str">
        <f t="shared" si="546"/>
        <v>Q2</v>
      </c>
      <c r="I92" s="1494" t="str">
        <f t="shared" si="546"/>
        <v>Q3</v>
      </c>
      <c r="J92" s="1494" t="str">
        <f t="shared" si="546"/>
        <v>Q4</v>
      </c>
      <c r="K92" s="1499" t="str">
        <f t="shared" si="546"/>
        <v>Q1</v>
      </c>
      <c r="L92" s="1494" t="str">
        <f t="shared" si="546"/>
        <v>Q2</v>
      </c>
      <c r="M92" s="1494" t="str">
        <f t="shared" si="546"/>
        <v>Q3</v>
      </c>
      <c r="N92" s="1500" t="str">
        <f t="shared" si="546"/>
        <v>Q4</v>
      </c>
      <c r="O92" s="1499" t="str">
        <f t="shared" ref="O92:AX92" si="547">O84</f>
        <v>Q1</v>
      </c>
      <c r="P92" s="1494" t="str">
        <f t="shared" si="547"/>
        <v>Q2</v>
      </c>
      <c r="Q92" s="1494" t="str">
        <f t="shared" si="547"/>
        <v>Q3</v>
      </c>
      <c r="R92" s="1500" t="str">
        <f t="shared" si="547"/>
        <v>Q4</v>
      </c>
      <c r="S92" s="1499" t="str">
        <f t="shared" si="547"/>
        <v>Q1</v>
      </c>
      <c r="T92" s="1494" t="str">
        <f t="shared" si="547"/>
        <v>Q2</v>
      </c>
      <c r="U92" s="1494" t="str">
        <f t="shared" si="547"/>
        <v>Q3</v>
      </c>
      <c r="V92" s="1500" t="str">
        <f t="shared" si="547"/>
        <v>Q4</v>
      </c>
      <c r="W92" s="1499" t="str">
        <f t="shared" si="547"/>
        <v>Q1</v>
      </c>
      <c r="X92" s="1494" t="str">
        <f t="shared" si="547"/>
        <v>Q2</v>
      </c>
      <c r="Y92" s="1494" t="str">
        <f t="shared" si="547"/>
        <v>Q3</v>
      </c>
      <c r="Z92" s="1500" t="str">
        <f t="shared" si="547"/>
        <v>Q4</v>
      </c>
      <c r="AA92" s="1499" t="str">
        <f t="shared" si="547"/>
        <v>Q1</v>
      </c>
      <c r="AB92" s="1494" t="str">
        <f t="shared" si="547"/>
        <v>Q2</v>
      </c>
      <c r="AC92" s="1494" t="str">
        <f t="shared" si="547"/>
        <v>Q3</v>
      </c>
      <c r="AD92" s="1500" t="str">
        <f t="shared" si="547"/>
        <v>Q4</v>
      </c>
      <c r="AE92" s="1499" t="str">
        <f t="shared" si="547"/>
        <v>Q1</v>
      </c>
      <c r="AF92" s="1494" t="str">
        <f t="shared" si="547"/>
        <v>Q2</v>
      </c>
      <c r="AG92" s="1494" t="str">
        <f t="shared" si="547"/>
        <v>Q3</v>
      </c>
      <c r="AH92" s="1500" t="str">
        <f t="shared" si="547"/>
        <v>Q4</v>
      </c>
      <c r="AI92" s="1499" t="str">
        <f t="shared" si="547"/>
        <v>Q1</v>
      </c>
      <c r="AJ92" s="1494" t="str">
        <f t="shared" si="547"/>
        <v>Q2</v>
      </c>
      <c r="AK92" s="1494" t="str">
        <f t="shared" si="547"/>
        <v>Q3</v>
      </c>
      <c r="AL92" s="1500" t="str">
        <f t="shared" si="547"/>
        <v>Q4</v>
      </c>
      <c r="AM92" s="1499" t="str">
        <f t="shared" si="547"/>
        <v>Q1</v>
      </c>
      <c r="AN92" s="1494" t="str">
        <f t="shared" si="547"/>
        <v>Q2</v>
      </c>
      <c r="AO92" s="1494" t="str">
        <f t="shared" si="547"/>
        <v>Q3</v>
      </c>
      <c r="AP92" s="1500" t="str">
        <f t="shared" si="547"/>
        <v>Q4</v>
      </c>
      <c r="AQ92" s="1499" t="str">
        <f t="shared" si="547"/>
        <v>Q1</v>
      </c>
      <c r="AR92" s="1494" t="str">
        <f t="shared" si="547"/>
        <v>Q2</v>
      </c>
      <c r="AS92" s="1494" t="str">
        <f t="shared" si="547"/>
        <v>Q3</v>
      </c>
      <c r="AT92" s="1500" t="str">
        <f t="shared" si="547"/>
        <v>Q4</v>
      </c>
      <c r="AU92" s="1499" t="str">
        <f t="shared" si="547"/>
        <v>Q1</v>
      </c>
      <c r="AV92" s="1494" t="str">
        <f t="shared" si="547"/>
        <v>Q2</v>
      </c>
      <c r="AW92" s="1494" t="str">
        <f t="shared" si="547"/>
        <v>Q3</v>
      </c>
      <c r="AX92" s="1500" t="str">
        <f t="shared" si="547"/>
        <v>Q4</v>
      </c>
      <c r="AY92" s="1499" t="str">
        <f>AY84</f>
        <v>Q1</v>
      </c>
      <c r="AZ92" s="1494" t="str">
        <f>AZ84</f>
        <v>Q2</v>
      </c>
      <c r="BA92" s="1494" t="str">
        <f t="shared" ref="BA92:BF92" si="548">BA84</f>
        <v>Q3</v>
      </c>
      <c r="BB92" s="1500" t="str">
        <f t="shared" si="548"/>
        <v>Q4</v>
      </c>
      <c r="BC92" s="1499" t="str">
        <f t="shared" si="548"/>
        <v>Q1</v>
      </c>
      <c r="BD92" s="1494" t="str">
        <f t="shared" si="548"/>
        <v>Q2</v>
      </c>
      <c r="BE92" s="1494" t="str">
        <f t="shared" si="548"/>
        <v>Q3</v>
      </c>
      <c r="BF92" s="1500" t="str">
        <f t="shared" si="548"/>
        <v>Q4</v>
      </c>
      <c r="BG92" s="1499" t="str">
        <f t="shared" ref="BG92:BN92" si="549">BG84</f>
        <v>Q1</v>
      </c>
      <c r="BH92" s="1494" t="str">
        <f t="shared" si="549"/>
        <v>Q2</v>
      </c>
      <c r="BI92" s="1494" t="str">
        <f t="shared" si="549"/>
        <v>Q3</v>
      </c>
      <c r="BJ92" s="1500" t="str">
        <f t="shared" si="549"/>
        <v>Q4</v>
      </c>
      <c r="BK92" s="1499" t="str">
        <f t="shared" si="549"/>
        <v>Q1</v>
      </c>
      <c r="BL92" s="1494" t="str">
        <f t="shared" si="549"/>
        <v>Q2</v>
      </c>
      <c r="BM92" s="1494" t="str">
        <f t="shared" si="549"/>
        <v>Q3</v>
      </c>
      <c r="BN92" s="1500" t="str">
        <f t="shared" si="549"/>
        <v>Q4</v>
      </c>
      <c r="BO92" s="1499" t="str">
        <f>BO84</f>
        <v>Q1</v>
      </c>
      <c r="BP92" s="1494" t="str">
        <f>BP84</f>
        <v>Q2</v>
      </c>
      <c r="BQ92" s="1494" t="str">
        <f t="shared" ref="BQ92:BV92" si="550">BQ84</f>
        <v>Q3</v>
      </c>
      <c r="BR92" s="1500" t="str">
        <f t="shared" si="550"/>
        <v>Q4</v>
      </c>
      <c r="BS92" s="1499" t="str">
        <f t="shared" si="550"/>
        <v>Q1</v>
      </c>
      <c r="BT92" s="1494" t="str">
        <f t="shared" si="550"/>
        <v>Q2</v>
      </c>
      <c r="BU92" s="1494" t="str">
        <f t="shared" si="550"/>
        <v>Q3</v>
      </c>
      <c r="BV92" s="1500" t="str">
        <f t="shared" si="550"/>
        <v>Q4</v>
      </c>
      <c r="BW92" s="1499" t="str">
        <f t="shared" ref="BW92:CD92" si="551">BW84</f>
        <v>Q1</v>
      </c>
      <c r="BX92" s="1494" t="str">
        <f t="shared" si="551"/>
        <v>Q2</v>
      </c>
      <c r="BY92" s="1494" t="str">
        <f t="shared" si="551"/>
        <v>Q3</v>
      </c>
      <c r="BZ92" s="1500" t="str">
        <f t="shared" si="551"/>
        <v>Q4</v>
      </c>
      <c r="CA92" s="1499" t="str">
        <f>CA84</f>
        <v>Q1</v>
      </c>
      <c r="CB92" s="1494" t="str">
        <f t="shared" si="551"/>
        <v>Q2</v>
      </c>
      <c r="CC92" s="1494" t="str">
        <f t="shared" ref="CC92" si="552">CC84</f>
        <v>Q3</v>
      </c>
      <c r="CD92" s="1500" t="str">
        <f t="shared" si="551"/>
        <v>Q4</v>
      </c>
      <c r="CE92" s="1499" t="str">
        <f>CE84</f>
        <v>Q1</v>
      </c>
      <c r="CF92" s="1494" t="str">
        <f t="shared" ref="CF92:CH92" si="553">CF84</f>
        <v>Q2</v>
      </c>
      <c r="CG92" s="1494" t="str">
        <f t="shared" si="553"/>
        <v>Q3</v>
      </c>
      <c r="CH92" s="1500" t="str">
        <f t="shared" si="553"/>
        <v>Q4</v>
      </c>
      <c r="CI92" s="1499" t="str">
        <f>CI84</f>
        <v>Q1</v>
      </c>
      <c r="CJ92" s="1494" t="str">
        <f t="shared" ref="CJ92:CL92" si="554">CJ84</f>
        <v>Q2</v>
      </c>
      <c r="CK92" s="1494" t="str">
        <f t="shared" si="554"/>
        <v>Q3</v>
      </c>
      <c r="CL92" s="1500" t="str">
        <f t="shared" si="554"/>
        <v>Q4</v>
      </c>
      <c r="CM92" s="1499" t="str">
        <f>CM84</f>
        <v>Q1</v>
      </c>
      <c r="CN92" s="1494" t="str">
        <f t="shared" ref="CN92:CP92" si="555">CN84</f>
        <v>Q2</v>
      </c>
      <c r="CO92" s="1494" t="str">
        <f t="shared" si="555"/>
        <v>Q3</v>
      </c>
      <c r="CP92" s="1500" t="str">
        <f t="shared" si="555"/>
        <v>Q4</v>
      </c>
      <c r="CQ92" s="1499" t="str">
        <f>CQ84</f>
        <v>Q1</v>
      </c>
      <c r="CR92" s="1494" t="str">
        <f t="shared" ref="CR92:CS92" si="556">CR84</f>
        <v>Q2</v>
      </c>
      <c r="CS92" s="1494" t="str">
        <f t="shared" si="556"/>
        <v>Q3</v>
      </c>
      <c r="CT92" s="1500" t="str">
        <f t="shared" ref="CT92" si="557">CT84</f>
        <v>Q4</v>
      </c>
      <c r="CU92" s="1499" t="str">
        <f t="shared" ref="CU92:CX92" si="558">CU84</f>
        <v>Q1</v>
      </c>
      <c r="CV92" s="1494" t="str">
        <f t="shared" si="558"/>
        <v>Q2</v>
      </c>
      <c r="CW92" s="1494" t="str">
        <f t="shared" si="558"/>
        <v>Q3</v>
      </c>
      <c r="CX92" s="1500" t="str">
        <f t="shared" si="558"/>
        <v>Q4</v>
      </c>
      <c r="CY92" s="1499" t="str">
        <f t="shared" ref="CY92:DB92" si="559">CY84</f>
        <v>Q1</v>
      </c>
      <c r="CZ92" s="1494" t="str">
        <f t="shared" si="559"/>
        <v>Q2</v>
      </c>
      <c r="DA92" s="1494" t="str">
        <f t="shared" si="559"/>
        <v>Q3</v>
      </c>
      <c r="DB92" s="1500" t="str">
        <f t="shared" si="559"/>
        <v>Q4</v>
      </c>
    </row>
    <row r="93" spans="1:112" s="749" customFormat="1" ht="12.75" customHeight="1">
      <c r="A93" s="714"/>
      <c r="B93" s="714"/>
      <c r="C93" s="902"/>
      <c r="D93" s="903"/>
      <c r="E93" s="904" t="s">
        <v>676</v>
      </c>
      <c r="F93" s="905"/>
      <c r="G93" s="755"/>
      <c r="H93" s="755"/>
      <c r="I93" s="755"/>
      <c r="J93" s="755"/>
      <c r="K93" s="1469">
        <f t="shared" ref="K93:BF93" si="560">(K80/G80-1)*100</f>
        <v>1.353393338151232</v>
      </c>
      <c r="L93" s="1469">
        <f t="shared" si="560"/>
        <v>-9.6880449525293955E-2</v>
      </c>
      <c r="M93" s="1469">
        <f t="shared" si="560"/>
        <v>1.9149751053237907E-2</v>
      </c>
      <c r="N93" s="1469">
        <f t="shared" si="560"/>
        <v>2.0988835725677779</v>
      </c>
      <c r="O93" s="1469">
        <f t="shared" si="560"/>
        <v>5.8404096713554177</v>
      </c>
      <c r="P93" s="1469">
        <f t="shared" si="560"/>
        <v>8.0553400568916356</v>
      </c>
      <c r="Q93" s="1469">
        <f t="shared" si="560"/>
        <v>6.2543876443933888</v>
      </c>
      <c r="R93" s="1469">
        <f t="shared" si="560"/>
        <v>6.4358910272431791</v>
      </c>
      <c r="S93" s="1469">
        <f t="shared" si="560"/>
        <v>3.0316021558059791</v>
      </c>
      <c r="T93" s="1469">
        <f t="shared" si="560"/>
        <v>0.9154002632523861</v>
      </c>
      <c r="U93" s="1469">
        <f t="shared" si="560"/>
        <v>3.2974953450657596</v>
      </c>
      <c r="V93" s="1469">
        <f t="shared" si="560"/>
        <v>2.5889397675237902</v>
      </c>
      <c r="W93" s="1469">
        <f t="shared" si="560"/>
        <v>4.2025798014622806</v>
      </c>
      <c r="X93" s="1469">
        <f t="shared" si="560"/>
        <v>5.495938815438417</v>
      </c>
      <c r="Y93" s="1469">
        <f t="shared" si="560"/>
        <v>3.9423188742877091</v>
      </c>
      <c r="Z93" s="1469">
        <f t="shared" si="560"/>
        <v>1.5278969957081445</v>
      </c>
      <c r="AA93" s="1469">
        <f t="shared" si="560"/>
        <v>4.1186537364517939</v>
      </c>
      <c r="AB93" s="1469">
        <f t="shared" si="560"/>
        <v>3.4787006856243696</v>
      </c>
      <c r="AC93" s="1469">
        <f t="shared" si="560"/>
        <v>4.1899753859923949</v>
      </c>
      <c r="AD93" s="1469">
        <f t="shared" si="560"/>
        <v>5.6701611994138146</v>
      </c>
      <c r="AE93" s="1469">
        <f t="shared" si="560"/>
        <v>4.5090948937102748</v>
      </c>
      <c r="AF93" s="1469">
        <f t="shared" si="560"/>
        <v>2.4004779232064344</v>
      </c>
      <c r="AG93" s="1469">
        <f t="shared" si="560"/>
        <v>2.3463087248322134</v>
      </c>
      <c r="AH93" s="1469">
        <f t="shared" si="560"/>
        <v>-2.6402816300405418</v>
      </c>
      <c r="AI93" s="1469">
        <f t="shared" si="560"/>
        <v>-4.3250327653997385</v>
      </c>
      <c r="AJ93" s="1469">
        <f t="shared" si="560"/>
        <v>-4.6141607000795615</v>
      </c>
      <c r="AK93" s="1469">
        <f t="shared" si="560"/>
        <v>-7.0873990137446334</v>
      </c>
      <c r="AL93" s="1469">
        <f t="shared" si="560"/>
        <v>-1.0957102941982155</v>
      </c>
      <c r="AM93" s="1469">
        <f t="shared" si="560"/>
        <v>-1.5506849315068516</v>
      </c>
      <c r="AN93" s="1469">
        <f t="shared" si="560"/>
        <v>0.11120378092854821</v>
      </c>
      <c r="AO93" s="1469">
        <f t="shared" si="560"/>
        <v>1.6035232341482741</v>
      </c>
      <c r="AP93" s="1469">
        <f t="shared" si="560"/>
        <v>-1.7227053675289428</v>
      </c>
      <c r="AQ93" s="1469">
        <f t="shared" si="560"/>
        <v>5.1705905270774233</v>
      </c>
      <c r="AR93" s="1469">
        <f t="shared" si="560"/>
        <v>8.1421827270202751</v>
      </c>
      <c r="AS93" s="1469">
        <f t="shared" si="560"/>
        <v>11.486524034454003</v>
      </c>
      <c r="AT93" s="1469">
        <f t="shared" si="560"/>
        <v>10.748506369067744</v>
      </c>
      <c r="AU93" s="1469">
        <f t="shared" si="560"/>
        <v>8.033446232006769</v>
      </c>
      <c r="AV93" s="1469">
        <f t="shared" si="560"/>
        <v>8.9620461198705925</v>
      </c>
      <c r="AW93" s="1469">
        <f t="shared" si="560"/>
        <v>3.4742298873492228</v>
      </c>
      <c r="AX93" s="1469">
        <f t="shared" si="560"/>
        <v>3.9696676675657683</v>
      </c>
      <c r="AY93" s="1469">
        <f t="shared" si="560"/>
        <v>2.8166944253943393</v>
      </c>
      <c r="AZ93" s="1469">
        <f t="shared" si="560"/>
        <v>-1.4847285067873361</v>
      </c>
      <c r="BA93" s="1469">
        <f t="shared" si="560"/>
        <v>2.4085938629028414</v>
      </c>
      <c r="BB93" s="1469">
        <f t="shared" si="560"/>
        <v>4.2145968965686009</v>
      </c>
      <c r="BC93" s="1469">
        <f t="shared" si="560"/>
        <v>4.7596359998094195</v>
      </c>
      <c r="BD93" s="1469">
        <f t="shared" si="560"/>
        <v>6.7125974833740054</v>
      </c>
      <c r="BE93" s="1469">
        <f t="shared" si="560"/>
        <v>6.9429418128792442</v>
      </c>
      <c r="BF93" s="1469">
        <f t="shared" si="560"/>
        <v>8.5767966181305777</v>
      </c>
      <c r="BG93" s="1469">
        <f t="shared" ref="BG93:BN93" si="561">(BG80/BC80-1)*100</f>
        <v>5.8850281971984719</v>
      </c>
      <c r="BH93" s="1469">
        <f t="shared" si="561"/>
        <v>4.4879842180774787</v>
      </c>
      <c r="BI93" s="1469">
        <f t="shared" si="561"/>
        <v>0.35188036067737016</v>
      </c>
      <c r="BJ93" s="1469">
        <f t="shared" si="561"/>
        <v>-2.8940993251427627</v>
      </c>
      <c r="BK93" s="1469">
        <f t="shared" si="561"/>
        <v>-6.5372390688085202</v>
      </c>
      <c r="BL93" s="1469">
        <f t="shared" si="561"/>
        <v>-7.5649002360008488</v>
      </c>
      <c r="BM93" s="1469">
        <f t="shared" si="561"/>
        <v>-7.4950690335305765</v>
      </c>
      <c r="BN93" s="1469">
        <f t="shared" si="561"/>
        <v>-4.8737024992203786</v>
      </c>
      <c r="BO93" s="1469">
        <f>(BO80/BK80-1)*100</f>
        <v>-3.4834558823529482</v>
      </c>
      <c r="BP93" s="1469">
        <f>(BP80/BL80-1)*100</f>
        <v>-2.3303314455482393</v>
      </c>
      <c r="BQ93" s="1469">
        <f t="shared" ref="BQ93:BV93" si="562">(BQ80/BM80-1)*100</f>
        <v>1.4735844586590829</v>
      </c>
      <c r="BR93" s="1469">
        <f t="shared" si="562"/>
        <v>1.1052311150657745</v>
      </c>
      <c r="BS93" s="1469">
        <f t="shared" si="562"/>
        <v>3.7567850680887638</v>
      </c>
      <c r="BT93" s="1469">
        <f t="shared" si="562"/>
        <v>5.5560836501901134</v>
      </c>
      <c r="BU93" s="1469">
        <f t="shared" si="562"/>
        <v>3.492715726559581</v>
      </c>
      <c r="BV93" s="1469">
        <f t="shared" si="562"/>
        <v>4.0900458566862863</v>
      </c>
      <c r="BW93" s="1469">
        <f t="shared" ref="BW93:CH93" si="563">(BW80/BS80-1)*100</f>
        <v>2.2899362121976852</v>
      </c>
      <c r="BX93" s="1469">
        <f t="shared" si="563"/>
        <v>0.6078616776982404</v>
      </c>
      <c r="BY93" s="1469">
        <f t="shared" si="563"/>
        <v>0.51885941165854543</v>
      </c>
      <c r="BZ93" s="1469">
        <f t="shared" si="563"/>
        <v>-2.5542897828408795</v>
      </c>
      <c r="CA93" s="1469">
        <f t="shared" si="563"/>
        <v>-2.4764468371467063</v>
      </c>
      <c r="CB93" s="1469">
        <f t="shared" si="563"/>
        <v>-2.1034729681346342</v>
      </c>
      <c r="CC93" s="1469">
        <f t="shared" si="563"/>
        <v>-1.5664975986354857</v>
      </c>
      <c r="CD93" s="1469">
        <f t="shared" si="563"/>
        <v>0.21919810028314668</v>
      </c>
      <c r="CE93" s="1469">
        <f t="shared" si="563"/>
        <v>2.7877449627380591</v>
      </c>
      <c r="CF93" s="1469">
        <f t="shared" si="563"/>
        <v>3.8721770138063549</v>
      </c>
      <c r="CG93" s="1469">
        <f t="shared" si="563"/>
        <v>11.349749202006398</v>
      </c>
      <c r="CH93" s="1469">
        <f t="shared" si="563"/>
        <v>5.809714754397155</v>
      </c>
      <c r="CI93" s="1469">
        <f t="shared" ref="CI93" si="564">(CI80/CE80-1)*100</f>
        <v>13.936627282491919</v>
      </c>
      <c r="CJ93" s="1469">
        <f t="shared" ref="CJ93:CL93" si="565">(CJ80/CF80-1)*100</f>
        <v>0.19805466308699948</v>
      </c>
      <c r="CK93" s="1469">
        <f t="shared" si="565"/>
        <v>-4.2794545231172538</v>
      </c>
      <c r="CL93" s="1469">
        <f t="shared" si="565"/>
        <v>1.5804659575384461</v>
      </c>
      <c r="CM93" s="1469">
        <f t="shared" ref="CM93" si="566">(CM80/CI80-1)*100</f>
        <v>-5.9195537748448324</v>
      </c>
      <c r="CN93" s="1469">
        <f t="shared" ref="CN93" si="567">(CN80/CJ80-1)*100</f>
        <v>5.9518580339102289</v>
      </c>
      <c r="CO93" s="1469">
        <f t="shared" ref="CO93" si="568">(CO80/CK80-1)*100</f>
        <v>11.230426970137763</v>
      </c>
      <c r="CP93" s="1469">
        <f t="shared" ref="CP93" si="569">(CP80/CL80-1)*100</f>
        <v>4.0529082584364939</v>
      </c>
      <c r="CQ93" s="1469">
        <f t="shared" ref="CQ93" si="570">(CQ80/CM80-1)*100</f>
        <v>2.6804726316228988</v>
      </c>
      <c r="CR93" s="1469">
        <f t="shared" ref="CR93:CS93" si="571">(CR80/CN80-1)*100</f>
        <v>2.8481406243522356</v>
      </c>
      <c r="CS93" s="1469">
        <f t="shared" si="571"/>
        <v>-3.480903111658129</v>
      </c>
      <c r="CT93" s="1469">
        <f t="shared" ref="CT93" si="572">(CT80/CP80-1)*100</f>
        <v>2.2490221642764041</v>
      </c>
      <c r="CU93" s="1469">
        <f t="shared" ref="CU93" si="573">(CU80/CQ80-1)*100</f>
        <v>3.2819501484162128</v>
      </c>
      <c r="CV93" s="1469">
        <f t="shared" ref="CV93" si="574">(CV80/CR80-1)*100</f>
        <v>3.6845130603031295</v>
      </c>
      <c r="CW93" s="1469">
        <f t="shared" ref="CW93" si="575">(CW80/CS80-1)*100</f>
        <v>3.8038800219175606</v>
      </c>
      <c r="CX93" s="1469">
        <f t="shared" ref="CX93" si="576">(CX80/CT80-1)*100</f>
        <v>5.115053358851207</v>
      </c>
      <c r="CY93" s="1469">
        <f t="shared" ref="CY93" si="577">(CY80/CU80-1)*100</f>
        <v>4.2207334527951224</v>
      </c>
      <c r="CZ93" s="1469">
        <f t="shared" ref="CZ93" si="578">(CZ80/CV80-1)*100</f>
        <v>3.2778541679497231</v>
      </c>
      <c r="DA93" s="1469">
        <f t="shared" ref="DA93" si="579">(DA80/CW80-1)*100</f>
        <v>2.2574635782312225</v>
      </c>
      <c r="DB93" s="1469">
        <f t="shared" ref="DB93" si="580">(DB80/CX80-1)*100</f>
        <v>1.2243520011901543</v>
      </c>
    </row>
    <row r="94" spans="1:112" s="749" customFormat="1" ht="12.75" customHeight="1">
      <c r="A94" s="714"/>
      <c r="B94" s="714"/>
      <c r="C94" s="986"/>
      <c r="D94" s="724"/>
      <c r="E94" s="830" t="s">
        <v>569</v>
      </c>
      <c r="F94" s="754"/>
      <c r="G94" s="755"/>
      <c r="H94" s="755"/>
      <c r="I94" s="755"/>
      <c r="J94" s="755"/>
      <c r="K94" s="1469">
        <f>(4*K80/J81-1)*100</f>
        <v>-0.54315416230156233</v>
      </c>
      <c r="L94" s="1469">
        <f>((K80+3*L80)/J81-1)*100</f>
        <v>-0.34491095172859421</v>
      </c>
      <c r="M94" s="1469">
        <f>((K80+L80+2*M80)/J81-1)*100</f>
        <v>0.30300588282698993</v>
      </c>
      <c r="N94" s="1532"/>
      <c r="O94" s="1469">
        <f>(4*O80/N81-1)*100</f>
        <v>4.3856284362613573</v>
      </c>
      <c r="P94" s="1469">
        <f>((O80+3*P80)/N81-1)*100</f>
        <v>6.236414780718591</v>
      </c>
      <c r="Q94" s="1469">
        <f>((O80+P80+2*Q80)/N81-1)*100</f>
        <v>6.0286408387674406</v>
      </c>
      <c r="R94" s="1532"/>
      <c r="S94" s="1469">
        <f>(4*S80/R81-1)*100</f>
        <v>0.84975646309479735</v>
      </c>
      <c r="T94" s="1469">
        <f>((S80+3*T80)/R81-1)*100</f>
        <v>1.0475833645560373</v>
      </c>
      <c r="U94" s="1469">
        <f>((S80+T80+2*U80)/R81-1)*100</f>
        <v>2.0397152491570036</v>
      </c>
      <c r="V94" s="1532"/>
      <c r="W94" s="1469">
        <f>(4*W80/V81-1)*100</f>
        <v>2.5701037110717806</v>
      </c>
      <c r="X94" s="1469">
        <f>((W80+3*X80)/V81-1)*100</f>
        <v>3.7286251334786469</v>
      </c>
      <c r="Y94" s="1469">
        <f>((W80+X80+2*Y80)/V81-1)*100</f>
        <v>3.9685209835729873</v>
      </c>
      <c r="Z94" s="1532"/>
      <c r="AA94" s="1469">
        <f>(4*AA80/Z81-1)*100</f>
        <v>2.9122381663894359</v>
      </c>
      <c r="AB94" s="1469">
        <f>((AA80+3*AB80)/Z81-1)*100</f>
        <v>3.59307603394321</v>
      </c>
      <c r="AC94" s="1469">
        <f>((AA80+AB80+2*AC80)/Z81-1)*100</f>
        <v>4.190747371091863</v>
      </c>
      <c r="AD94" s="1532"/>
      <c r="AE94" s="1469">
        <f>(4*AE80/AD81-1)*100</f>
        <v>3.0551878764958573</v>
      </c>
      <c r="AF94" s="1469">
        <f>((AE80+3*AF80)/AD81-1)*100</f>
        <v>2.1637537480753144</v>
      </c>
      <c r="AG94" s="1469">
        <f>((AE80+AF80+2*AG80)/AD81-1)*100</f>
        <v>2.7229260649936693</v>
      </c>
      <c r="AH94" s="1532"/>
      <c r="AI94" s="1469">
        <f>(4*AI80/AH81-1)*100</f>
        <v>-2.9835869492989664</v>
      </c>
      <c r="AJ94" s="1469">
        <f>((AI80+3*AJ80)/AH81-1)*100</f>
        <v>-4.0401355571798909</v>
      </c>
      <c r="AK94" s="1469">
        <f>((AI80+AJ80+2*AK80)/AH81-1)*100</f>
        <v>-4.7684231510399471</v>
      </c>
      <c r="AL94" s="1532"/>
      <c r="AM94" s="1469">
        <f>(4*AM80/AL81-1)*100</f>
        <v>-0.18194697148571359</v>
      </c>
      <c r="AN94" s="1469">
        <f>((AM80+3*AN80)/AL81-1)*100</f>
        <v>-2.3611439047754867E-2</v>
      </c>
      <c r="AO94" s="1469">
        <f>((AM80+AN80+2*AO80)/AL81-1)*100</f>
        <v>-5.1389602633378217E-2</v>
      </c>
      <c r="AP94" s="1532"/>
      <c r="AQ94" s="1469">
        <f>(4*AQ80/AP81-1)*100</f>
        <v>5.4037847411064099</v>
      </c>
      <c r="AR94" s="1469">
        <f>((AQ80+3*AR80)/AP81-1)*100</f>
        <v>7.8093405290828199</v>
      </c>
      <c r="AS94" s="1469">
        <f>((AQ80+AR80+2*AS80)/AP81-1)*100</f>
        <v>9.4576691907571018</v>
      </c>
      <c r="AT94" s="1532"/>
      <c r="AU94" s="1469">
        <f>(4*AU80/AT81-1)*100</f>
        <v>4.5825968902891923</v>
      </c>
      <c r="AV94" s="1469">
        <f>((AU80+3*AV80)/AT81-1)*100</f>
        <v>7.6641307410538317</v>
      </c>
      <c r="AW94" s="1469">
        <f>((AU80+AV80+2*AW80)/AT81-1)*100</f>
        <v>6.4935064935064846</v>
      </c>
      <c r="AX94" s="1532"/>
      <c r="AY94" s="1469">
        <f>(4*AY80/AX81-1)*100</f>
        <v>1.3740974184356158</v>
      </c>
      <c r="AZ94" s="1469">
        <f>((AY80+3*AZ80)/AX81-1)*100</f>
        <v>1.0553261368301703</v>
      </c>
      <c r="BA94" s="1469">
        <f>((AY80+AZ80+2*BA80)/AX81-1)*100</f>
        <v>1.9198724914873511</v>
      </c>
      <c r="BB94" s="1532"/>
      <c r="BC94" s="1469">
        <f>(4*BC80/BB81-1)*100</f>
        <v>4.1603998152512478</v>
      </c>
      <c r="BD94" s="1469">
        <f>((BC80+3*BD80)/BB81-1)*100</f>
        <v>5.2831037790594282</v>
      </c>
      <c r="BE94" s="1469">
        <f>((BC80+BD80+2*BE80)/BB81-1)*100</f>
        <v>6.303959071045373</v>
      </c>
      <c r="BF94" s="1532"/>
      <c r="BG94" s="1469">
        <f>(4*BG80/BF81-1)*100</f>
        <v>3.3114052117191539</v>
      </c>
      <c r="BH94" s="1469">
        <f>((BG80+3*BH80)/BF81-1)*100</f>
        <v>3.387950256814154</v>
      </c>
      <c r="BI94" s="1469">
        <f>((BG80+BH80+2*BI80)/BF81-1)*100</f>
        <v>2.3007887467690447</v>
      </c>
      <c r="BJ94" s="1532"/>
      <c r="BK94" s="1469">
        <f>(4*BK80/BJ81-1)*100</f>
        <v>-5.2357674008426835</v>
      </c>
      <c r="BL94" s="1469">
        <f>((BK80+3*BL80)/BJ81-1)*100</f>
        <v>-5.9478056375137367</v>
      </c>
      <c r="BM94" s="1469">
        <f>((BK80+BL80+2*BM80)/BJ81-1)*100</f>
        <v>-6.8993674400374516</v>
      </c>
      <c r="BN94" s="1532"/>
      <c r="BO94" s="1469">
        <f>(4*BO80/BN81-1)*100</f>
        <v>-2.0429104477612259</v>
      </c>
      <c r="BP94" s="1469">
        <f>((BO80+3*BP80)/BN81-1)*100</f>
        <v>-1.9099813432836066</v>
      </c>
      <c r="BQ94" s="1469">
        <f>((BO80+BP80+2*BQ80)/BN81-1)*100</f>
        <v>-1.0331156716418155</v>
      </c>
      <c r="BR94" s="1532"/>
      <c r="BS94" s="1469">
        <f>(4*BS80/BR81-1)*100</f>
        <v>2.4892118475666525</v>
      </c>
      <c r="BT94" s="1469">
        <f>((BS80+3*BT80)/BR81-1)*100</f>
        <v>3.9636906651616011</v>
      </c>
      <c r="BU94" s="1469">
        <f>((BS80+BT80+2*BU80)/BR81-1)*100</f>
        <v>3.857866826578249</v>
      </c>
      <c r="BV94" s="1532"/>
      <c r="BW94" s="1469">
        <f>(4*BW80/BV81-1)*100</f>
        <v>0.59118191254117214</v>
      </c>
      <c r="BX94" s="1469">
        <f>((BW80+3*BX80)/BV81-1)*100</f>
        <v>0.77395189313598234</v>
      </c>
      <c r="BY94" s="1469">
        <f>((BW80+BX80+2*BY80)/BV81-1)*100</f>
        <v>0.6272846247574515</v>
      </c>
      <c r="BZ94" s="1532"/>
      <c r="CA94" s="1469">
        <f>(4*CA80/BZ81-1)*100</f>
        <v>-2.093209174539179</v>
      </c>
      <c r="CB94" s="1469">
        <f>((CA80+3*CB80)/BZ81-1)*100</f>
        <v>-1.6338066230534465</v>
      </c>
      <c r="CC94" s="1469">
        <f>((CA80+CB80+2*CC80)/BZ81-1)*100</f>
        <v>-1.5076961187240334</v>
      </c>
      <c r="CD94" s="1532"/>
      <c r="CE94" s="1469">
        <f>(4*CE80/CD81-1)*100</f>
        <v>2.1580102414045399</v>
      </c>
      <c r="CF94" s="1469">
        <f>((CE80+3*CF80)/CD81-1)*100</f>
        <v>3.4507589612289724</v>
      </c>
      <c r="CG94" s="1469">
        <f>((CE80+CF80+2*CG80)/CD81-1)*100</f>
        <v>7.3324341623994149</v>
      </c>
      <c r="CH94" s="1532"/>
      <c r="CI94" s="1469">
        <f>(4*CI80/CH81-1)*100</f>
        <v>9.8452079175880503</v>
      </c>
      <c r="CJ94" s="1469">
        <f>((CI80+3*CJ80)/CH81-1)*100</f>
        <v>1.1337036837279602</v>
      </c>
      <c r="CK94" s="1469">
        <f>((CI80+CJ80+2*CK80)/CH81-1)*100</f>
        <v>2.4453912949679024</v>
      </c>
      <c r="CL94" s="1532"/>
      <c r="CM94" s="1469">
        <f>(4*CM80/CL81-1)*100</f>
        <v>0.64925514256297667</v>
      </c>
      <c r="CN94" s="1469">
        <f>((CM80+3*CN80)/CL81-1)*100</f>
        <v>1.185048221377083</v>
      </c>
      <c r="CO94" s="1469">
        <f>((CM80+CN80+2*CO80)/CL81-1)*100</f>
        <v>5.1310066606433669</v>
      </c>
      <c r="CP94" s="1532"/>
      <c r="CQ94" s="1469">
        <f>(4*CQ80/CP81-1)*100</f>
        <v>-0.24641281752267874</v>
      </c>
      <c r="CR94" s="1469">
        <f>((CQ80+3*CR80)/CP81-1)*100</f>
        <v>0.407645895654829</v>
      </c>
      <c r="CS94" s="1469">
        <f>((CQ80+CR80+2*CS80)/CP81-1)*100</f>
        <v>0.98767935912387195</v>
      </c>
      <c r="CT94" s="1532"/>
      <c r="CU94" s="1469">
        <f>(4*CU80/CT81-1)*100</f>
        <v>2.0177726903033211</v>
      </c>
      <c r="CV94" s="1469">
        <f>((CU80+3*CV80)/CT81-1)*100</f>
        <v>2.9875109196614069</v>
      </c>
      <c r="CW94" s="1469">
        <f>((CU80+CV80+2*CW80)/CT81-1)*100</f>
        <v>3.6431758948097581</v>
      </c>
      <c r="CX94" s="1532"/>
      <c r="CY94" s="1469">
        <f>(4*CY80/CX81-1)*100</f>
        <v>2.258227505109911</v>
      </c>
      <c r="CZ94" s="1469">
        <f>((CY80+3*CZ80)/CX81-1)*100</f>
        <v>2.5276140996540075</v>
      </c>
      <c r="DA94" s="1469">
        <f>((CY80+CZ80+2*DA80)/CX81-1)*100</f>
        <v>2.6655115138078944</v>
      </c>
      <c r="DB94" s="1532"/>
    </row>
    <row r="95" spans="1:112">
      <c r="C95" s="1460"/>
      <c r="D95" s="872"/>
      <c r="E95" s="1467" t="s">
        <v>568</v>
      </c>
      <c r="F95" s="872"/>
      <c r="G95" s="919"/>
      <c r="H95" s="919"/>
      <c r="I95" s="919"/>
      <c r="J95" s="919"/>
      <c r="K95" s="1531"/>
      <c r="L95" s="926">
        <f>(4*L80/(K80+3*L80)-1)*100</f>
        <v>6.6309779883888531E-2</v>
      </c>
      <c r="M95" s="926">
        <f>(4*M80/(K80+L80+2*M80)-1)*100</f>
        <v>0.71184098468657364</v>
      </c>
      <c r="N95" s="926">
        <f>+(4*N80/N81-1)*100</f>
        <v>2.314282061117523</v>
      </c>
      <c r="O95" s="1531"/>
      <c r="P95" s="926">
        <f>(4*P80/(O80+3*P80)-1)*100</f>
        <v>0.58071310365577222</v>
      </c>
      <c r="Q95" s="926">
        <f>(4*Q80/(O80+P80+2*Q80)-1)*100</f>
        <v>0.38589086523967975</v>
      </c>
      <c r="R95" s="926">
        <f>+(4*R80/R81-1)*100</f>
        <v>2.1146496815286575</v>
      </c>
      <c r="S95" s="1531"/>
      <c r="T95" s="926">
        <f>(4*T80/(S80+3*T80)-1)*100</f>
        <v>6.5258661604161716E-2</v>
      </c>
      <c r="U95" s="926">
        <f>(4*U80/(S80+T80+2*U80)-1)*100</f>
        <v>1.036923890373953</v>
      </c>
      <c r="V95" s="926">
        <f>+(4*V80/V81-1)*100</f>
        <v>2.2482922048476572</v>
      </c>
      <c r="W95" s="1531"/>
      <c r="X95" s="926">
        <f>(4*X80/(W80+3*X80)-1)*100</f>
        <v>0.37229241877254626</v>
      </c>
      <c r="Y95" s="926">
        <f>(4*Y80/(W80+X80+2*Y80)-1)*100</f>
        <v>0.60217232258428233</v>
      </c>
      <c r="Z95" s="926">
        <f>+(4*Z80/Z81-1)*100</f>
        <v>3.6649657466658603E-2</v>
      </c>
      <c r="AA95" s="1531"/>
      <c r="AB95" s="926">
        <f>(4*AB80/(AA80+3*AB80)-1)*100</f>
        <v>0.21907444448980851</v>
      </c>
      <c r="AC95" s="926">
        <f>(4*AC80/(AA80+AB80+2*AC80)-1)*100</f>
        <v>0.79144963809782976</v>
      </c>
      <c r="AD95" s="926">
        <f>+(4*AD80/AD81-1)*100</f>
        <v>1.288527512898785</v>
      </c>
      <c r="AE95" s="1531"/>
      <c r="AF95" s="926">
        <f>(4*AF80/(AE80+3*AF80)-1)*100</f>
        <v>-0.29085140137493637</v>
      </c>
      <c r="AG95" s="926">
        <f>(4*AG80/(AE80+AF80+2*AG80)-1)*100</f>
        <v>0.25508191548111459</v>
      </c>
      <c r="AH95" s="926">
        <f>+(4*AH80/AH81-1)*100</f>
        <v>-2.9676390457837765</v>
      </c>
      <c r="AI95" s="1531"/>
      <c r="AJ95" s="926">
        <f>(4*AJ80/(AI80+3*AJ80)-1)*100</f>
        <v>-0.36701059483414955</v>
      </c>
      <c r="AK95" s="926">
        <f>(4*AK80/(AI80+AJ80+2*AK80)-1)*100</f>
        <v>-1.1345716398956207</v>
      </c>
      <c r="AL95" s="926">
        <f>+(4*AL80/AL81-1)*100</f>
        <v>0.29583744218670827</v>
      </c>
      <c r="AM95" s="1531"/>
      <c r="AN95" s="926">
        <f>(4*AN80/(AM80+3*AN80)-1)*100</f>
        <v>5.2790975521643801E-2</v>
      </c>
      <c r="AO95" s="926">
        <f>(4*AO80/(AM80+AN80+2*AO80)-1)*100</f>
        <v>2.5013201411883124E-2</v>
      </c>
      <c r="AP95" s="926">
        <f>+(4*AP80/AP81-1)*100</f>
        <v>-1.0333430950089983</v>
      </c>
      <c r="AQ95" s="1531"/>
      <c r="AR95" s="926">
        <f>(4*AR80/(AQ80+3*AR80)-1)*100</f>
        <v>0.74376851336843686</v>
      </c>
      <c r="AS95" s="926">
        <f>(4*AS80/(AQ80+AR80+2*AS80)-1)*100</f>
        <v>2.2384732007491248</v>
      </c>
      <c r="AT95" s="926">
        <f>+(4*AT80/AT81-1)*100</f>
        <v>0.66343912497759394</v>
      </c>
      <c r="AU95" s="1531"/>
      <c r="AV95" s="926">
        <f>(4*AV80/(AU80+3*AV80)-1)*100</f>
        <v>0.95405771930241468</v>
      </c>
      <c r="AW95" s="926">
        <f>(4*AW80/(AU80+AV80+2*AW80)-1)*100</f>
        <v>-0.13469957184778503</v>
      </c>
      <c r="AX95" s="926">
        <f>+(4*AX80/AX81-1)*100</f>
        <v>-1.3306286073075935</v>
      </c>
      <c r="AY95" s="1531"/>
      <c r="AZ95" s="926">
        <f>(4*AZ80/(AY80+3*AZ80)-1)*100</f>
        <v>-0.1051474453950263</v>
      </c>
      <c r="BA95" s="926">
        <f>(4*BA80/(AY80+AZ80+2*BA80)-1)*100</f>
        <v>0.74400530755378558</v>
      </c>
      <c r="BB95" s="926">
        <f>+(4*BB80/BB81-1)*100</f>
        <v>0.85387084167269922</v>
      </c>
      <c r="BC95" s="1531"/>
      <c r="BD95" s="926">
        <f>(4*BD80/(BC80+3*BD80)-1)*100</f>
        <v>0.35545556805398615</v>
      </c>
      <c r="BE95" s="926">
        <f>(4*BE80/(BC80+BD80+2*BE80)-1)*100</f>
        <v>1.3123593502818443</v>
      </c>
      <c r="BF95" s="926">
        <f>+(4*BF80/BF81-1)*100</f>
        <v>2.5747978212395939</v>
      </c>
      <c r="BG95" s="1531"/>
      <c r="BH95" s="926">
        <f>(4*BH80/(BG80+3*BH80)-1)*100</f>
        <v>2.4678905973374299E-2</v>
      </c>
      <c r="BI95" s="926">
        <f>(4*BI80/(BG80+BH80+2*BI80)-1)*100</f>
        <v>-1.0377696086404931</v>
      </c>
      <c r="BJ95" s="926">
        <f>+(4*BJ80/BJ81-1)*100</f>
        <v>-2.2439003146468739</v>
      </c>
      <c r="BK95" s="1531"/>
      <c r="BL95" s="926">
        <f>(4*BL80/(BK80+3*BL80)-1)*100</f>
        <v>-0.25235570578566735</v>
      </c>
      <c r="BM95" s="926">
        <f>(4*BM80/(BK80+BL80+2*BM80)-1)*100</f>
        <v>-1.2770137524557912</v>
      </c>
      <c r="BN95" s="926">
        <f>+(4*BN80/BN81-1)*100</f>
        <v>-0.40578358208956944</v>
      </c>
      <c r="BO95" s="1531"/>
      <c r="BP95" s="926">
        <f>(4*BP80/(BO80+3*BP80)-1)*100</f>
        <v>4.5172487577560538E-2</v>
      </c>
      <c r="BQ95" s="926">
        <f>(4*BQ80/(BO80+BP80+2*BQ80)-1)*100</f>
        <v>0.93079152626247552</v>
      </c>
      <c r="BR95" s="926">
        <f>+(4*BR80/BR81-1)*100</f>
        <v>1.5391489411737069</v>
      </c>
      <c r="BS95" s="1531"/>
      <c r="BT95" s="926">
        <f>(4*BT80/(BS80+3*BT80)-1)*100</f>
        <v>0.47275441652152583</v>
      </c>
      <c r="BU95" s="926">
        <f>(4*BU80/(BS80+BT80+2*BU80)-1)*100</f>
        <v>0.37134317543701112</v>
      </c>
      <c r="BV95" s="926">
        <f>+(4*BV80/BV81-1)*100</f>
        <v>1.4125186154609892</v>
      </c>
      <c r="BW95" s="1531"/>
      <c r="BX95" s="926">
        <f>(4*BX80/(BW80+3*BX80)-1)*100</f>
        <v>6.0455430912886854E-2</v>
      </c>
      <c r="BY95" s="926">
        <f>(4*BY80/(BW80+BX80+2*BY80)-1)*100</f>
        <v>-8.5209435823851987E-2</v>
      </c>
      <c r="BZ95" s="926">
        <f>+(4*BZ80/BZ81-1)*100</f>
        <v>-1.3725777212282186</v>
      </c>
      <c r="CA95" s="1531"/>
      <c r="CB95" s="926">
        <f>(4*CB80/(CA80+3*CB80)-1)*100</f>
        <v>0.15567765567765512</v>
      </c>
      <c r="CC95" s="926">
        <f>(4*CC80/(CA80+CB80+2*CC80)-1)*100</f>
        <v>0.28351929760381811</v>
      </c>
      <c r="CD95" s="926">
        <f>+(4*CD80/CD81-1)*100</f>
        <v>0.33833211411851138</v>
      </c>
      <c r="CE95" s="1531"/>
      <c r="CF95" s="926">
        <f>(4*CF80/(CE80+3*CF80)-1)*100</f>
        <v>0.41654236688875024</v>
      </c>
      <c r="CG95" s="926">
        <f>(4*CG80/(CE80+CF80+2*CG80)-1)*100</f>
        <v>4.0179759965070394</v>
      </c>
      <c r="CH95" s="926">
        <f>+(4*CH80/CH81-1)*100</f>
        <v>0.19308559408877102</v>
      </c>
      <c r="CI95" s="1531"/>
      <c r="CJ95" s="926">
        <f>(4*CJ80/(CI80+3*CJ80)-1)*100</f>
        <v>-2.8712829045607791</v>
      </c>
      <c r="CK95" s="926">
        <f>(4*CK80/(CI80+CJ80+2*CK80)-1)*100</f>
        <v>-1.5541422735121935</v>
      </c>
      <c r="CL95" s="926">
        <f>+(4*CL80/CL81-1)*100</f>
        <v>-0.87617927006072849</v>
      </c>
      <c r="CM95" s="1531"/>
      <c r="CN95" s="926">
        <f>(4*CN80/(CM80+3*CN80)-1)*100</f>
        <v>0.17650601158709645</v>
      </c>
      <c r="CO95" s="926">
        <f>(4*CO80/(CM80+CN80+2*CO80)-1)*100</f>
        <v>3.9232537223943265</v>
      </c>
      <c r="CP95" s="926">
        <f>+(4*CP80/CP81-1)*100</f>
        <v>-0.4451655427673229</v>
      </c>
      <c r="CQ95" s="1531"/>
      <c r="CR95" s="926">
        <f>(4*CR80/(CQ80+3*CR80)-1)*100</f>
        <v>0.21713443146125222</v>
      </c>
      <c r="CS95" s="926">
        <f>(4*CS80/(CQ80+CR80+2*CS80)-1)*100</f>
        <v>0.79024791894688473</v>
      </c>
      <c r="CT95" s="926">
        <f>+(4*CT80/CT81-1)*100</f>
        <v>0.79625668986151865</v>
      </c>
      <c r="CU95" s="1531"/>
      <c r="CV95" s="926">
        <f>(4*CV80/(CU80+3*CV80)-1)*100</f>
        <v>0.31386919983418249</v>
      </c>
      <c r="CW95" s="926">
        <f>(4*CW80/(CU80+CV80+2*CW80)-1)*100</f>
        <v>0.94450121115023933</v>
      </c>
      <c r="CX95" s="926">
        <f>+(4*CX80/CX81-1)*100</f>
        <v>1.9008054576853839</v>
      </c>
      <c r="CY95" s="1531"/>
      <c r="CZ95" s="926">
        <f>(4*CZ80/(CY80+3*CZ80)-1)*100</f>
        <v>8.7581801549996285E-2</v>
      </c>
      <c r="DA95" s="926">
        <f>(4*DA80/(CY80+CZ80+2*DA80)-1)*100</f>
        <v>0.22178133855397242</v>
      </c>
      <c r="DB95" s="926">
        <f>+(4*DB80/DB81-1)*100</f>
        <v>0.40797711503002265</v>
      </c>
    </row>
    <row r="96" spans="1:112" ht="30" customHeight="1">
      <c r="J96" s="1602"/>
      <c r="N96" s="1602"/>
      <c r="R96" s="1602"/>
      <c r="V96" s="1602"/>
      <c r="Z96" s="1602"/>
      <c r="AD96" s="1602"/>
      <c r="AH96" s="1602"/>
      <c r="AL96" s="1602"/>
      <c r="AP96" s="1602"/>
      <c r="AT96" s="1602"/>
      <c r="AX96" s="1602"/>
      <c r="BB96" s="1602"/>
      <c r="BF96" s="1602"/>
      <c r="BJ96" s="1602"/>
      <c r="BN96" s="1602"/>
      <c r="BR96" s="1602"/>
      <c r="BV96" s="1602"/>
      <c r="BZ96" s="1602"/>
      <c r="CD96" s="1602"/>
      <c r="CH96" s="1602"/>
      <c r="CK96" s="2930">
        <f t="shared" ref="CK96:CS96" si="581">CK76/CG76-1</f>
        <v>-6.1469534050179075E-2</v>
      </c>
      <c r="CL96" s="2930">
        <f t="shared" si="581"/>
        <v>2.6528631510837952E-2</v>
      </c>
      <c r="CM96" s="2930">
        <f t="shared" si="581"/>
        <v>-8.0038518182848128E-2</v>
      </c>
      <c r="CN96" s="2930">
        <f>CN76/CJ76-1</f>
        <v>7.9408072933870422E-2</v>
      </c>
      <c r="CO96" s="2930">
        <f t="shared" si="581"/>
        <v>0.16046082362675818</v>
      </c>
      <c r="CP96" s="2930">
        <f t="shared" si="581"/>
        <v>5.4963756697131938E-2</v>
      </c>
      <c r="CQ96" s="2930">
        <f t="shared" si="581"/>
        <v>3.1894587771688965E-2</v>
      </c>
      <c r="CR96" s="2930">
        <f>CR76/CN76-1</f>
        <v>4.0210539200685513E-2</v>
      </c>
      <c r="CS96" s="2930">
        <f t="shared" si="581"/>
        <v>-5.4135585783238183E-2</v>
      </c>
      <c r="CT96" s="2826"/>
      <c r="CU96" s="2826"/>
      <c r="CV96" s="2826"/>
      <c r="CW96" s="2826"/>
      <c r="CX96" s="2826"/>
      <c r="CY96" s="2826"/>
      <c r="CZ96" s="2826"/>
      <c r="DA96" s="2826"/>
      <c r="DB96" s="2826"/>
    </row>
    <row r="97" spans="1:106" ht="30" customHeight="1">
      <c r="J97" s="1602"/>
      <c r="N97" s="1602"/>
      <c r="R97" s="1602"/>
      <c r="V97" s="1602"/>
      <c r="Z97" s="1602"/>
      <c r="AD97" s="1602"/>
      <c r="AH97" s="1602"/>
      <c r="AL97" s="1602"/>
      <c r="AP97" s="1602"/>
      <c r="AT97" s="1602"/>
      <c r="AX97" s="1602"/>
      <c r="BB97" s="1602"/>
      <c r="BF97" s="1602"/>
      <c r="BJ97" s="1602"/>
      <c r="BN97" s="1602"/>
      <c r="BR97" s="1602"/>
      <c r="BV97" s="1602"/>
      <c r="BZ97" s="1602"/>
      <c r="CD97" s="1602"/>
      <c r="CH97" s="1602"/>
      <c r="CL97" s="1602"/>
      <c r="CP97" s="1602"/>
      <c r="CT97" s="2826"/>
      <c r="CU97" s="2826"/>
      <c r="CV97" s="2826"/>
      <c r="CW97" s="2826"/>
      <c r="CX97" s="2826"/>
      <c r="CY97" s="2826"/>
      <c r="CZ97" s="2826"/>
      <c r="DA97" s="2826"/>
      <c r="DB97" s="2826"/>
    </row>
    <row r="98" spans="1:106" ht="30" customHeight="1">
      <c r="C98" s="4125" t="s">
        <v>678</v>
      </c>
      <c r="D98" s="4125"/>
      <c r="E98" s="4125"/>
      <c r="F98" s="4125"/>
      <c r="J98" s="1602"/>
      <c r="N98" s="1602"/>
      <c r="R98" s="1602"/>
      <c r="V98" s="1602"/>
      <c r="Z98" s="1602"/>
      <c r="AD98" s="1602"/>
      <c r="AH98" s="1602"/>
      <c r="AL98" s="1602"/>
      <c r="AP98" s="1602"/>
      <c r="AT98" s="1602"/>
      <c r="AX98" s="1602"/>
      <c r="BB98" s="1602"/>
      <c r="BF98" s="1602"/>
      <c r="BJ98" s="1602"/>
      <c r="BN98" s="1602"/>
      <c r="BR98" s="1602"/>
      <c r="BV98" s="1602"/>
      <c r="BZ98" s="1602"/>
      <c r="CD98" s="1602"/>
      <c r="CH98" s="1602"/>
      <c r="CL98" s="1602"/>
      <c r="CP98" s="1602"/>
      <c r="CT98" s="2826"/>
      <c r="CU98" s="2826"/>
      <c r="CV98" s="2826"/>
      <c r="CW98" s="2826"/>
      <c r="CX98" s="2826"/>
      <c r="CY98" s="2826"/>
      <c r="CZ98" s="2826"/>
      <c r="DA98" s="2826"/>
      <c r="DB98" s="2826"/>
    </row>
    <row r="99" spans="1:106" s="927" customFormat="1" ht="12.75" customHeight="1">
      <c r="A99" s="714"/>
      <c r="B99" s="714"/>
      <c r="C99" s="716"/>
      <c r="D99" s="1082"/>
      <c r="E99" s="1461"/>
      <c r="F99" s="1082"/>
      <c r="G99" s="1085"/>
      <c r="H99" s="1462"/>
      <c r="I99" s="1462"/>
      <c r="J99" s="1462"/>
      <c r="K99" s="1085"/>
      <c r="L99" s="1462"/>
      <c r="M99" s="1462"/>
      <c r="N99" s="1462"/>
      <c r="O99" s="1085"/>
      <c r="P99" s="1462"/>
      <c r="Q99" s="1462"/>
      <c r="R99" s="1462"/>
      <c r="S99" s="1085"/>
      <c r="T99" s="1462"/>
      <c r="U99" s="1462"/>
      <c r="V99" s="1462"/>
      <c r="W99" s="1085"/>
      <c r="X99" s="1462"/>
      <c r="Y99" s="1462"/>
      <c r="Z99" s="1462"/>
      <c r="AA99" s="1085"/>
      <c r="AB99" s="1462"/>
      <c r="AC99" s="1462"/>
      <c r="AD99" s="1462"/>
      <c r="AE99" s="1085"/>
      <c r="AF99" s="1462"/>
      <c r="AG99" s="1462"/>
      <c r="AH99" s="1462"/>
      <c r="AI99" s="1085"/>
      <c r="AJ99" s="1462"/>
      <c r="AK99" s="1462"/>
      <c r="AL99" s="1462"/>
      <c r="AM99" s="1085"/>
      <c r="AN99" s="1462"/>
      <c r="AO99" s="1462"/>
      <c r="AP99" s="1462"/>
      <c r="AQ99" s="1085"/>
      <c r="AR99" s="1462"/>
      <c r="AS99" s="1462"/>
      <c r="AT99" s="1462"/>
      <c r="AU99" s="1085"/>
      <c r="AV99" s="1462"/>
      <c r="AW99" s="1462"/>
      <c r="AX99" s="1462"/>
      <c r="AY99" s="1463"/>
      <c r="AZ99" s="1462"/>
      <c r="BA99" s="1463"/>
      <c r="BB99" s="1463"/>
      <c r="BC99" s="1463"/>
      <c r="BD99" s="1463"/>
      <c r="BE99" s="1463"/>
      <c r="BF99" s="1463"/>
      <c r="BG99" s="1463"/>
      <c r="BH99" s="1463"/>
      <c r="BI99" s="1463"/>
      <c r="BJ99" s="1463"/>
      <c r="BK99" s="1463"/>
      <c r="BL99" s="1463"/>
      <c r="BM99" s="1463"/>
      <c r="BN99" s="1463"/>
    </row>
    <row r="100" spans="1:106">
      <c r="G100" s="4122">
        <f ca="1">OFFSET(InputY!$G$3,0,(COLUMN()-7)/4)</f>
        <v>1995</v>
      </c>
      <c r="H100" s="4123"/>
      <c r="I100" s="4123"/>
      <c r="J100" s="4123"/>
      <c r="K100" s="4117">
        <f ca="1">OFFSET(InputY!$G$3,0,(COLUMN()-7)/4)</f>
        <v>1996</v>
      </c>
      <c r="L100" s="4118"/>
      <c r="M100" s="4118"/>
      <c r="N100" s="4119"/>
      <c r="O100" s="4117">
        <f ca="1">OFFSET(InputY!$G$3,0,(COLUMN()-7)/4)</f>
        <v>1997</v>
      </c>
      <c r="P100" s="4118"/>
      <c r="Q100" s="4118"/>
      <c r="R100" s="4119"/>
      <c r="S100" s="4117">
        <f ca="1">OFFSET(InputY!$G$3,0,(COLUMN()-7)/4)</f>
        <v>1998</v>
      </c>
      <c r="T100" s="4118"/>
      <c r="U100" s="4118"/>
      <c r="V100" s="4119"/>
      <c r="W100" s="4117">
        <f ca="1">OFFSET(InputY!$G$3,0,(COLUMN()-7)/4)</f>
        <v>1999</v>
      </c>
      <c r="X100" s="4118"/>
      <c r="Y100" s="4118"/>
      <c r="Z100" s="4119"/>
      <c r="AA100" s="4117">
        <f ca="1">OFFSET(InputY!$G$3,0,(COLUMN()-7)/4)</f>
        <v>2000</v>
      </c>
      <c r="AB100" s="4118"/>
      <c r="AC100" s="4118"/>
      <c r="AD100" s="4119"/>
      <c r="AE100" s="4117">
        <f ca="1">OFFSET(InputY!$G$3,0,(COLUMN()-7)/4)</f>
        <v>2001</v>
      </c>
      <c r="AF100" s="4118"/>
      <c r="AG100" s="4118"/>
      <c r="AH100" s="4119"/>
      <c r="AI100" s="4117">
        <f ca="1">OFFSET(InputY!$G$3,0,(COLUMN()-7)/4)</f>
        <v>2002</v>
      </c>
      <c r="AJ100" s="4118"/>
      <c r="AK100" s="4118"/>
      <c r="AL100" s="4119"/>
      <c r="AM100" s="4117">
        <f ca="1">OFFSET(InputY!$G$3,0,(COLUMN()-7)/4)</f>
        <v>2003</v>
      </c>
      <c r="AN100" s="4118"/>
      <c r="AO100" s="4118"/>
      <c r="AP100" s="4119"/>
      <c r="AQ100" s="4117">
        <f ca="1">OFFSET(InputY!$G$3,0,(COLUMN()-7)/4)</f>
        <v>2004</v>
      </c>
      <c r="AR100" s="4118"/>
      <c r="AS100" s="4118"/>
      <c r="AT100" s="4119"/>
      <c r="AU100" s="4117">
        <f ca="1">OFFSET(InputY!$G$3,0,(COLUMN()-7)/4)</f>
        <v>2005</v>
      </c>
      <c r="AV100" s="4118"/>
      <c r="AW100" s="4118"/>
      <c r="AX100" s="4119"/>
      <c r="AY100" s="4117">
        <f ca="1">OFFSET(InputY!$G$3,0,(COLUMN()-7)/4)</f>
        <v>2006</v>
      </c>
      <c r="AZ100" s="4118"/>
      <c r="BA100" s="4118"/>
      <c r="BB100" s="4119"/>
      <c r="BC100" s="4117">
        <f ca="1">OFFSET(InputY!$G$3,0,(COLUMN()-7)/4)</f>
        <v>2007</v>
      </c>
      <c r="BD100" s="4118"/>
      <c r="BE100" s="4118"/>
      <c r="BF100" s="4119"/>
      <c r="BG100" s="4117">
        <f ca="1">OFFSET(InputY!$G$3,0,(COLUMN()-7)/4)</f>
        <v>2008</v>
      </c>
      <c r="BH100" s="4118"/>
      <c r="BI100" s="4118"/>
      <c r="BJ100" s="4119"/>
      <c r="BK100" s="4117">
        <f ca="1">OFFSET(InputY!$G$3,0,(COLUMN()-7)/4)</f>
        <v>2009</v>
      </c>
      <c r="BL100" s="4118"/>
      <c r="BM100" s="4118"/>
      <c r="BN100" s="4119"/>
      <c r="BO100" s="4117">
        <f ca="1">OFFSET(InputY!$G$3,0,(COLUMN()-7)/4)</f>
        <v>2010</v>
      </c>
      <c r="BP100" s="4118"/>
      <c r="BQ100" s="4118"/>
      <c r="BR100" s="4119"/>
      <c r="BS100" s="4117">
        <f ca="1">OFFSET(InputY!$G$3,0,(COLUMN()-7)/4)</f>
        <v>2011</v>
      </c>
      <c r="BT100" s="4118"/>
      <c r="BU100" s="4118"/>
      <c r="BV100" s="4119"/>
      <c r="BW100" s="4117">
        <f ca="1">OFFSET(InputY!$G$3,0,(COLUMN()-7)/4)</f>
        <v>2012</v>
      </c>
      <c r="BX100" s="4118"/>
      <c r="BY100" s="4118"/>
      <c r="BZ100" s="4119"/>
      <c r="CA100" s="4117">
        <f ca="1">OFFSET(InputY!$G$3,0,(COLUMN()-7)/4)</f>
        <v>2013</v>
      </c>
      <c r="CB100" s="4118"/>
      <c r="CC100" s="4118"/>
      <c r="CD100" s="4119"/>
      <c r="CE100" s="4117">
        <f ca="1">OFFSET(InputY!$G$3,0,(COLUMN()-7)/4)</f>
        <v>2014</v>
      </c>
      <c r="CF100" s="4118"/>
      <c r="CG100" s="4118"/>
      <c r="CH100" s="4119"/>
      <c r="CI100" s="4117">
        <f ca="1">OFFSET(InputY!$G$3,0,(COLUMN()-7)/4)</f>
        <v>2015</v>
      </c>
      <c r="CJ100" s="4118"/>
      <c r="CK100" s="4118"/>
      <c r="CL100" s="4119"/>
      <c r="CM100" s="4117">
        <f ca="1">OFFSET(InputY!$G$3,0,(COLUMN()-7)/4)</f>
        <v>2016</v>
      </c>
      <c r="CN100" s="4118"/>
      <c r="CO100" s="4118"/>
      <c r="CP100" s="4119"/>
      <c r="CQ100" s="4117">
        <f ca="1">OFFSET(InputY!$G$3,0,(COLUMN()-7)/4)</f>
        <v>2017</v>
      </c>
      <c r="CR100" s="4118"/>
      <c r="CS100" s="4118"/>
      <c r="CT100" s="4119"/>
      <c r="CU100" s="4117">
        <f ca="1">OFFSET(InputY!$G$3,0,(COLUMN()-7)/4)</f>
        <v>2018</v>
      </c>
      <c r="CV100" s="4118"/>
      <c r="CW100" s="4118"/>
      <c r="CX100" s="4119"/>
      <c r="CY100" s="4117">
        <f ca="1">OFFSET(InputY!$G$3,0,(COLUMN()-7)/4)</f>
        <v>2019</v>
      </c>
      <c r="CZ100" s="4118"/>
      <c r="DA100" s="4118"/>
      <c r="DB100" s="4119"/>
    </row>
    <row r="101" spans="1:106" s="749" customFormat="1" ht="12.75" customHeight="1">
      <c r="A101" s="714"/>
      <c r="B101" s="714"/>
      <c r="C101" s="716"/>
      <c r="D101" s="745"/>
      <c r="E101" s="746" t="s">
        <v>719</v>
      </c>
      <c r="F101" s="747"/>
      <c r="G101" s="1472" t="s">
        <v>364</v>
      </c>
      <c r="H101" s="1473" t="s">
        <v>671</v>
      </c>
      <c r="I101" s="1473" t="s">
        <v>672</v>
      </c>
      <c r="J101" s="1474" t="s">
        <v>673</v>
      </c>
      <c r="K101" s="1472" t="s">
        <v>364</v>
      </c>
      <c r="L101" s="1473" t="s">
        <v>671</v>
      </c>
      <c r="M101" s="1473" t="s">
        <v>672</v>
      </c>
      <c r="N101" s="1474" t="s">
        <v>673</v>
      </c>
      <c r="O101" s="1472" t="s">
        <v>364</v>
      </c>
      <c r="P101" s="1473" t="s">
        <v>671</v>
      </c>
      <c r="Q101" s="1473" t="s">
        <v>672</v>
      </c>
      <c r="R101" s="1474" t="s">
        <v>673</v>
      </c>
      <c r="S101" s="1472" t="s">
        <v>364</v>
      </c>
      <c r="T101" s="1473" t="s">
        <v>671</v>
      </c>
      <c r="U101" s="1473" t="s">
        <v>672</v>
      </c>
      <c r="V101" s="1474" t="s">
        <v>673</v>
      </c>
      <c r="W101" s="1472" t="s">
        <v>364</v>
      </c>
      <c r="X101" s="1473" t="s">
        <v>671</v>
      </c>
      <c r="Y101" s="1473" t="s">
        <v>672</v>
      </c>
      <c r="Z101" s="1474" t="s">
        <v>673</v>
      </c>
      <c r="AA101" s="1472" t="s">
        <v>364</v>
      </c>
      <c r="AB101" s="1473" t="s">
        <v>671</v>
      </c>
      <c r="AC101" s="1473" t="s">
        <v>672</v>
      </c>
      <c r="AD101" s="1474" t="s">
        <v>673</v>
      </c>
      <c r="AE101" s="1472" t="s">
        <v>364</v>
      </c>
      <c r="AF101" s="1473" t="s">
        <v>671</v>
      </c>
      <c r="AG101" s="1473" t="s">
        <v>672</v>
      </c>
      <c r="AH101" s="1474" t="s">
        <v>673</v>
      </c>
      <c r="AI101" s="1472" t="s">
        <v>364</v>
      </c>
      <c r="AJ101" s="1473" t="s">
        <v>671</v>
      </c>
      <c r="AK101" s="1473" t="s">
        <v>672</v>
      </c>
      <c r="AL101" s="1474" t="s">
        <v>673</v>
      </c>
      <c r="AM101" s="1472" t="s">
        <v>364</v>
      </c>
      <c r="AN101" s="1473" t="s">
        <v>671</v>
      </c>
      <c r="AO101" s="1473" t="s">
        <v>672</v>
      </c>
      <c r="AP101" s="1474" t="s">
        <v>673</v>
      </c>
      <c r="AQ101" s="1472" t="s">
        <v>364</v>
      </c>
      <c r="AR101" s="1473" t="s">
        <v>671</v>
      </c>
      <c r="AS101" s="1473" t="s">
        <v>672</v>
      </c>
      <c r="AT101" s="1474" t="s">
        <v>673</v>
      </c>
      <c r="AU101" s="1472" t="s">
        <v>364</v>
      </c>
      <c r="AV101" s="1473" t="s">
        <v>671</v>
      </c>
      <c r="AW101" s="1473" t="s">
        <v>672</v>
      </c>
      <c r="AX101" s="1474" t="s">
        <v>673</v>
      </c>
      <c r="AY101" s="1472" t="s">
        <v>364</v>
      </c>
      <c r="AZ101" s="1473" t="s">
        <v>671</v>
      </c>
      <c r="BA101" s="1473" t="s">
        <v>672</v>
      </c>
      <c r="BB101" s="1474" t="s">
        <v>673</v>
      </c>
      <c r="BC101" s="1472" t="s">
        <v>364</v>
      </c>
      <c r="BD101" s="1473" t="s">
        <v>671</v>
      </c>
      <c r="BE101" s="1473" t="s">
        <v>672</v>
      </c>
      <c r="BF101" s="1474" t="s">
        <v>673</v>
      </c>
      <c r="BG101" s="1472" t="s">
        <v>364</v>
      </c>
      <c r="BH101" s="1473" t="s">
        <v>671</v>
      </c>
      <c r="BI101" s="1473" t="s">
        <v>672</v>
      </c>
      <c r="BJ101" s="1474" t="s">
        <v>673</v>
      </c>
      <c r="BK101" s="1472" t="s">
        <v>364</v>
      </c>
      <c r="BL101" s="1473" t="s">
        <v>671</v>
      </c>
      <c r="BM101" s="1473" t="s">
        <v>672</v>
      </c>
      <c r="BN101" s="1474" t="s">
        <v>673</v>
      </c>
      <c r="BO101" s="1472" t="s">
        <v>364</v>
      </c>
      <c r="BP101" s="1473" t="s">
        <v>671</v>
      </c>
      <c r="BQ101" s="1473" t="s">
        <v>672</v>
      </c>
      <c r="BR101" s="1474" t="s">
        <v>673</v>
      </c>
      <c r="BS101" s="1472" t="s">
        <v>364</v>
      </c>
      <c r="BT101" s="1473" t="s">
        <v>671</v>
      </c>
      <c r="BU101" s="1473" t="s">
        <v>672</v>
      </c>
      <c r="BV101" s="1474" t="s">
        <v>673</v>
      </c>
      <c r="BW101" s="1472" t="s">
        <v>364</v>
      </c>
      <c r="BX101" s="1473" t="s">
        <v>671</v>
      </c>
      <c r="BY101" s="1473" t="s">
        <v>672</v>
      </c>
      <c r="BZ101" s="1474" t="s">
        <v>673</v>
      </c>
      <c r="CA101" s="1472" t="s">
        <v>364</v>
      </c>
      <c r="CB101" s="1473" t="s">
        <v>671</v>
      </c>
      <c r="CC101" s="1473" t="s">
        <v>672</v>
      </c>
      <c r="CD101" s="1474" t="s">
        <v>673</v>
      </c>
      <c r="CE101" s="1472" t="s">
        <v>364</v>
      </c>
      <c r="CF101" s="1473" t="s">
        <v>671</v>
      </c>
      <c r="CG101" s="1473" t="s">
        <v>672</v>
      </c>
      <c r="CH101" s="1474" t="s">
        <v>673</v>
      </c>
      <c r="CI101" s="1472" t="s">
        <v>364</v>
      </c>
      <c r="CJ101" s="1473" t="s">
        <v>671</v>
      </c>
      <c r="CK101" s="1473" t="s">
        <v>672</v>
      </c>
      <c r="CL101" s="1474" t="s">
        <v>673</v>
      </c>
      <c r="CM101" s="1472" t="s">
        <v>364</v>
      </c>
      <c r="CN101" s="1473" t="s">
        <v>671</v>
      </c>
      <c r="CO101" s="1473" t="s">
        <v>672</v>
      </c>
      <c r="CP101" s="1474" t="s">
        <v>673</v>
      </c>
      <c r="CQ101" s="1472" t="s">
        <v>364</v>
      </c>
      <c r="CR101" s="1473" t="s">
        <v>671</v>
      </c>
      <c r="CS101" s="1473" t="s">
        <v>672</v>
      </c>
      <c r="CT101" s="1474" t="s">
        <v>673</v>
      </c>
      <c r="CU101" s="1472" t="s">
        <v>364</v>
      </c>
      <c r="CV101" s="1473" t="s">
        <v>671</v>
      </c>
      <c r="CW101" s="1473" t="s">
        <v>672</v>
      </c>
      <c r="CX101" s="1474" t="s">
        <v>673</v>
      </c>
      <c r="CY101" s="1472" t="s">
        <v>364</v>
      </c>
      <c r="CZ101" s="1473" t="s">
        <v>671</v>
      </c>
      <c r="DA101" s="1473" t="s">
        <v>672</v>
      </c>
      <c r="DB101" s="1474" t="s">
        <v>673</v>
      </c>
    </row>
    <row r="102" spans="1:106" s="749" customFormat="1" ht="12.75" customHeight="1">
      <c r="A102" s="714"/>
      <c r="B102" s="714"/>
      <c r="C102" s="1464" t="s">
        <v>622</v>
      </c>
      <c r="D102" s="718"/>
      <c r="E102" s="750" t="str">
        <f>E38</f>
        <v xml:space="preserve">Household final consumption expenditure (domestic)            </v>
      </c>
      <c r="F102" s="751"/>
      <c r="G102" s="828">
        <f>G38</f>
        <v>39.514000000000003</v>
      </c>
      <c r="H102" s="828">
        <f t="shared" ref="H102:N102" si="582">H38</f>
        <v>39.85</v>
      </c>
      <c r="I102" s="828">
        <f t="shared" si="582"/>
        <v>40.173999999999999</v>
      </c>
      <c r="J102" s="828">
        <f t="shared" si="582"/>
        <v>40.442</v>
      </c>
      <c r="K102" s="828">
        <f t="shared" si="582"/>
        <v>40.564999999999998</v>
      </c>
      <c r="L102" s="828">
        <f t="shared" si="582"/>
        <v>40.831000000000003</v>
      </c>
      <c r="M102" s="828">
        <f t="shared" si="582"/>
        <v>41.02</v>
      </c>
      <c r="N102" s="828">
        <f t="shared" si="582"/>
        <v>41.066000000000003</v>
      </c>
      <c r="O102" s="828">
        <f t="shared" ref="O102:AX102" si="583">O38</f>
        <v>41.198999999999998</v>
      </c>
      <c r="P102" s="828">
        <f t="shared" si="583"/>
        <v>41.521000000000001</v>
      </c>
      <c r="Q102" s="828">
        <f t="shared" si="583"/>
        <v>41.774999999999999</v>
      </c>
      <c r="R102" s="828">
        <f t="shared" si="583"/>
        <v>41.914000000000001</v>
      </c>
      <c r="S102" s="828">
        <f t="shared" si="583"/>
        <v>42.231999999999999</v>
      </c>
      <c r="T102" s="828">
        <f t="shared" si="583"/>
        <v>42.67</v>
      </c>
      <c r="U102" s="828">
        <f t="shared" si="583"/>
        <v>42.982999999999997</v>
      </c>
      <c r="V102" s="828">
        <f t="shared" si="583"/>
        <v>43.052</v>
      </c>
      <c r="W102" s="828">
        <f t="shared" si="583"/>
        <v>43.073999999999998</v>
      </c>
      <c r="X102" s="828">
        <f t="shared" si="583"/>
        <v>43.292999999999999</v>
      </c>
      <c r="Y102" s="828">
        <f t="shared" si="583"/>
        <v>43.610999999999997</v>
      </c>
      <c r="Z102" s="828">
        <f t="shared" si="583"/>
        <v>43.822000000000003</v>
      </c>
      <c r="AA102" s="828">
        <f t="shared" si="583"/>
        <v>44.206000000000003</v>
      </c>
      <c r="AB102" s="828">
        <f t="shared" si="583"/>
        <v>44.505000000000003</v>
      </c>
      <c r="AC102" s="828">
        <f t="shared" si="583"/>
        <v>44.887999999999998</v>
      </c>
      <c r="AD102" s="828">
        <f t="shared" si="583"/>
        <v>45.293999999999997</v>
      </c>
      <c r="AE102" s="828">
        <f t="shared" si="583"/>
        <v>45.374000000000002</v>
      </c>
      <c r="AF102" s="828">
        <f t="shared" si="583"/>
        <v>45.305999999999997</v>
      </c>
      <c r="AG102" s="828">
        <f t="shared" si="583"/>
        <v>45.085000000000001</v>
      </c>
      <c r="AH102" s="828">
        <f t="shared" si="583"/>
        <v>44.896000000000001</v>
      </c>
      <c r="AI102" s="828">
        <f t="shared" si="583"/>
        <v>45.076000000000001</v>
      </c>
      <c r="AJ102" s="828">
        <f t="shared" si="583"/>
        <v>45.238</v>
      </c>
      <c r="AK102" s="828">
        <f t="shared" si="583"/>
        <v>45.45</v>
      </c>
      <c r="AL102" s="828">
        <f t="shared" si="583"/>
        <v>45.613999999999997</v>
      </c>
      <c r="AM102" s="828">
        <f t="shared" si="583"/>
        <v>45.487000000000002</v>
      </c>
      <c r="AN102" s="828">
        <f t="shared" si="583"/>
        <v>45.406999999999996</v>
      </c>
      <c r="AO102" s="828">
        <f t="shared" si="583"/>
        <v>45.506999999999998</v>
      </c>
      <c r="AP102" s="828">
        <f t="shared" si="583"/>
        <v>45.914999999999999</v>
      </c>
      <c r="AQ102" s="828">
        <f t="shared" si="583"/>
        <v>46.164999999999999</v>
      </c>
      <c r="AR102" s="828">
        <f t="shared" si="583"/>
        <v>46.228999999999999</v>
      </c>
      <c r="AS102" s="828">
        <f t="shared" si="583"/>
        <v>46.268000000000001</v>
      </c>
      <c r="AT102" s="828">
        <f t="shared" si="583"/>
        <v>46.491999999999997</v>
      </c>
      <c r="AU102" s="828">
        <f t="shared" si="583"/>
        <v>46.531999999999996</v>
      </c>
      <c r="AV102" s="828">
        <f t="shared" si="583"/>
        <v>46.654000000000003</v>
      </c>
      <c r="AW102" s="828">
        <f t="shared" si="583"/>
        <v>46.968000000000004</v>
      </c>
      <c r="AX102" s="828">
        <f t="shared" si="583"/>
        <v>47.31</v>
      </c>
      <c r="AY102" s="828">
        <f t="shared" ref="AY102:BH102" si="584">AY38</f>
        <v>47.427999999999997</v>
      </c>
      <c r="AZ102" s="828">
        <f t="shared" si="584"/>
        <v>47.488</v>
      </c>
      <c r="BA102" s="828">
        <f t="shared" si="584"/>
        <v>47.54</v>
      </c>
      <c r="BB102" s="828">
        <f t="shared" si="584"/>
        <v>47.767000000000003</v>
      </c>
      <c r="BC102" s="828">
        <f t="shared" si="584"/>
        <v>48.075000000000003</v>
      </c>
      <c r="BD102" s="828">
        <f t="shared" si="584"/>
        <v>48.305999999999997</v>
      </c>
      <c r="BE102" s="828">
        <f t="shared" si="584"/>
        <v>48.548000000000002</v>
      </c>
      <c r="BF102" s="828">
        <f t="shared" si="584"/>
        <v>48.795000000000002</v>
      </c>
      <c r="BG102" s="828">
        <f t="shared" si="584"/>
        <v>49.284999999999997</v>
      </c>
      <c r="BH102" s="828">
        <f t="shared" si="584"/>
        <v>49.445999999999998</v>
      </c>
      <c r="BI102" s="828">
        <f t="shared" ref="BI102:BN102" si="585">BI38</f>
        <v>49.368000000000002</v>
      </c>
      <c r="BJ102" s="828">
        <f t="shared" si="585"/>
        <v>48.898000000000003</v>
      </c>
      <c r="BK102" s="828">
        <f t="shared" si="585"/>
        <v>48.773000000000003</v>
      </c>
      <c r="BL102" s="828">
        <f t="shared" si="585"/>
        <v>49.156999999999996</v>
      </c>
      <c r="BM102" s="828">
        <f t="shared" si="585"/>
        <v>49.779000000000003</v>
      </c>
      <c r="BN102" s="828">
        <f t="shared" si="585"/>
        <v>50.274999999999999</v>
      </c>
      <c r="BO102" s="828">
        <f>BO38</f>
        <v>50.66</v>
      </c>
      <c r="BP102" s="828">
        <f>BP38</f>
        <v>50.81</v>
      </c>
      <c r="BQ102" s="828">
        <f>BQ38</f>
        <v>50.79</v>
      </c>
      <c r="BR102" s="828">
        <f>BR38</f>
        <v>51.08</v>
      </c>
      <c r="BS102" s="828">
        <f t="shared" ref="BS102:BX102" si="586">BS38</f>
        <v>50.893999999999998</v>
      </c>
      <c r="BT102" s="828">
        <f t="shared" si="586"/>
        <v>50.889000000000003</v>
      </c>
      <c r="BU102" s="828">
        <f t="shared" si="586"/>
        <v>51.052</v>
      </c>
      <c r="BV102" s="828">
        <f t="shared" si="586"/>
        <v>51.052</v>
      </c>
      <c r="BW102" s="828">
        <f t="shared" si="586"/>
        <v>51.215000000000003</v>
      </c>
      <c r="BX102" s="828">
        <f t="shared" si="586"/>
        <v>51.197000000000003</v>
      </c>
      <c r="BY102" s="828">
        <f t="shared" ref="BY102:CD102" si="587">BY38</f>
        <v>51.331000000000003</v>
      </c>
      <c r="BZ102" s="828">
        <f t="shared" si="587"/>
        <v>51.488999999999997</v>
      </c>
      <c r="CA102" s="828">
        <f t="shared" si="587"/>
        <v>51.521999999999998</v>
      </c>
      <c r="CB102" s="828">
        <f t="shared" si="587"/>
        <v>51.645000000000003</v>
      </c>
      <c r="CC102" s="828">
        <f t="shared" si="587"/>
        <v>51.829000000000001</v>
      </c>
      <c r="CD102" s="828">
        <f t="shared" si="587"/>
        <v>51.768000000000001</v>
      </c>
      <c r="CE102" s="828">
        <f t="shared" ref="CE102:CH102" si="588">CE38</f>
        <v>51.875</v>
      </c>
      <c r="CF102" s="828">
        <f t="shared" si="588"/>
        <v>51.89</v>
      </c>
      <c r="CG102" s="828">
        <f t="shared" si="588"/>
        <v>52.006999999999998</v>
      </c>
      <c r="CH102" s="828">
        <f t="shared" si="588"/>
        <v>52.255000000000003</v>
      </c>
      <c r="CI102" s="828">
        <f t="shared" ref="CI102:CL102" si="589">CI38</f>
        <v>52.281999999999996</v>
      </c>
      <c r="CJ102" s="828">
        <f t="shared" si="589"/>
        <v>52.398000000000003</v>
      </c>
      <c r="CK102" s="828">
        <f t="shared" si="589"/>
        <v>52.497999999999998</v>
      </c>
      <c r="CL102" s="828">
        <f t="shared" si="589"/>
        <v>52.71</v>
      </c>
      <c r="CM102" s="828">
        <f t="shared" ref="CM102:CP102" si="590">CM38</f>
        <v>53</v>
      </c>
      <c r="CN102" s="828">
        <f t="shared" si="590"/>
        <v>53.347999999999999</v>
      </c>
      <c r="CO102" s="828">
        <f t="shared" si="590"/>
        <v>53.509</v>
      </c>
      <c r="CP102" s="828">
        <f t="shared" si="590"/>
        <v>53.508000000000003</v>
      </c>
      <c r="CQ102" s="828">
        <f t="shared" ref="CQ102:CS102" si="591">CQ38</f>
        <v>53.697000000000003</v>
      </c>
      <c r="CR102" s="828">
        <f t="shared" si="591"/>
        <v>53.924999999999997</v>
      </c>
      <c r="CS102" s="828">
        <f t="shared" si="591"/>
        <v>54.033999999999999</v>
      </c>
      <c r="CT102" s="828">
        <f t="shared" ref="CT102" si="592">CT38</f>
        <v>54.112000000000002</v>
      </c>
      <c r="CU102" s="1868">
        <f t="shared" ref="CU102:CX102" si="593">CU38</f>
        <v>54.398793600000005</v>
      </c>
      <c r="CV102" s="1868">
        <f t="shared" si="593"/>
        <v>54.687107206080007</v>
      </c>
      <c r="CW102" s="1868">
        <f t="shared" si="593"/>
        <v>54.976948874272239</v>
      </c>
      <c r="CX102" s="1868">
        <f t="shared" si="593"/>
        <v>55.268326703305888</v>
      </c>
      <c r="CY102" s="1868">
        <f t="shared" ref="CY102:DB102" si="594">CY38</f>
        <v>55.481109761113608</v>
      </c>
      <c r="CZ102" s="1868">
        <f t="shared" si="594"/>
        <v>55.691937978205843</v>
      </c>
      <c r="DA102" s="1868">
        <f t="shared" si="594"/>
        <v>55.903567342523026</v>
      </c>
      <c r="DB102" s="1868">
        <f t="shared" si="594"/>
        <v>56.116000898424616</v>
      </c>
    </row>
    <row r="103" spans="1:106" s="749" customFormat="1" ht="12.75" customHeight="1">
      <c r="A103" s="714"/>
      <c r="B103" s="714"/>
      <c r="C103" s="1465" t="s">
        <v>622</v>
      </c>
      <c r="D103" s="724"/>
      <c r="E103" s="830" t="str">
        <f>E57</f>
        <v xml:space="preserve">Government final consumption expenditure                                        </v>
      </c>
      <c r="F103" s="754"/>
      <c r="G103" s="756">
        <f>G57</f>
        <v>18.349</v>
      </c>
      <c r="H103" s="756">
        <f t="shared" ref="H103:N103" si="595">H57</f>
        <v>18.431000000000001</v>
      </c>
      <c r="I103" s="756">
        <f t="shared" si="595"/>
        <v>18.507999999999999</v>
      </c>
      <c r="J103" s="756">
        <f t="shared" si="595"/>
        <v>18.591000000000001</v>
      </c>
      <c r="K103" s="756">
        <f t="shared" si="595"/>
        <v>18.643999999999998</v>
      </c>
      <c r="L103" s="756">
        <f t="shared" si="595"/>
        <v>18.709</v>
      </c>
      <c r="M103" s="756">
        <f t="shared" si="595"/>
        <v>18.748000000000001</v>
      </c>
      <c r="N103" s="756">
        <f t="shared" si="595"/>
        <v>18.79</v>
      </c>
      <c r="O103" s="756">
        <f t="shared" ref="O103:AX103" si="596">O57</f>
        <v>18.777000000000001</v>
      </c>
      <c r="P103" s="756">
        <f t="shared" si="596"/>
        <v>18.809000000000001</v>
      </c>
      <c r="Q103" s="756">
        <f t="shared" si="596"/>
        <v>18.859000000000002</v>
      </c>
      <c r="R103" s="756">
        <f t="shared" si="596"/>
        <v>18.928000000000001</v>
      </c>
      <c r="S103" s="756">
        <f t="shared" si="596"/>
        <v>19.033999999999999</v>
      </c>
      <c r="T103" s="756">
        <f t="shared" si="596"/>
        <v>19.138000000000002</v>
      </c>
      <c r="U103" s="756">
        <f t="shared" si="596"/>
        <v>19.239999999999998</v>
      </c>
      <c r="V103" s="756">
        <f t="shared" si="596"/>
        <v>19.353000000000002</v>
      </c>
      <c r="W103" s="756">
        <f t="shared" si="596"/>
        <v>19.481000000000002</v>
      </c>
      <c r="X103" s="756">
        <f t="shared" si="596"/>
        <v>19.617999999999999</v>
      </c>
      <c r="Y103" s="756">
        <f t="shared" si="596"/>
        <v>19.771999999999998</v>
      </c>
      <c r="Z103" s="756">
        <f t="shared" si="596"/>
        <v>19.951000000000001</v>
      </c>
      <c r="AA103" s="756">
        <f t="shared" si="596"/>
        <v>20.135000000000002</v>
      </c>
      <c r="AB103" s="756">
        <f t="shared" si="596"/>
        <v>20.263000000000002</v>
      </c>
      <c r="AC103" s="756">
        <f t="shared" si="596"/>
        <v>20.355</v>
      </c>
      <c r="AD103" s="756">
        <f t="shared" si="596"/>
        <v>20.422000000000001</v>
      </c>
      <c r="AE103" s="756">
        <f t="shared" si="596"/>
        <v>20.396999999999998</v>
      </c>
      <c r="AF103" s="756">
        <f t="shared" si="596"/>
        <v>20.433</v>
      </c>
      <c r="AG103" s="756">
        <f t="shared" si="596"/>
        <v>20.516999999999999</v>
      </c>
      <c r="AH103" s="756">
        <f t="shared" si="596"/>
        <v>20.640999999999998</v>
      </c>
      <c r="AI103" s="756">
        <f t="shared" si="596"/>
        <v>20.837</v>
      </c>
      <c r="AJ103" s="756">
        <f t="shared" si="596"/>
        <v>21.001999999999999</v>
      </c>
      <c r="AK103" s="756">
        <f t="shared" si="596"/>
        <v>21.135000000000002</v>
      </c>
      <c r="AL103" s="756">
        <f t="shared" si="596"/>
        <v>21.201000000000001</v>
      </c>
      <c r="AM103" s="756">
        <f t="shared" si="596"/>
        <v>21.189</v>
      </c>
      <c r="AN103" s="756">
        <f t="shared" si="596"/>
        <v>21.268000000000001</v>
      </c>
      <c r="AO103" s="756">
        <f t="shared" si="596"/>
        <v>21.385999999999999</v>
      </c>
      <c r="AP103" s="756">
        <f t="shared" si="596"/>
        <v>21.507000000000001</v>
      </c>
      <c r="AQ103" s="756">
        <f t="shared" si="596"/>
        <v>21.594999999999999</v>
      </c>
      <c r="AR103" s="756">
        <f t="shared" si="596"/>
        <v>21.65</v>
      </c>
      <c r="AS103" s="756">
        <f t="shared" si="596"/>
        <v>21.706</v>
      </c>
      <c r="AT103" s="756">
        <f t="shared" si="596"/>
        <v>21.76</v>
      </c>
      <c r="AU103" s="756">
        <f t="shared" si="596"/>
        <v>21.795000000000002</v>
      </c>
      <c r="AV103" s="756">
        <f t="shared" si="596"/>
        <v>21.812999999999999</v>
      </c>
      <c r="AW103" s="756">
        <f t="shared" si="596"/>
        <v>21.827000000000002</v>
      </c>
      <c r="AX103" s="756">
        <f t="shared" si="596"/>
        <v>21.835999999999999</v>
      </c>
      <c r="AY103" s="756">
        <f t="shared" ref="AY103:BH103" si="597">AY57</f>
        <v>21.891999999999999</v>
      </c>
      <c r="AZ103" s="756">
        <f t="shared" si="597"/>
        <v>21.984999999999999</v>
      </c>
      <c r="BA103" s="756">
        <f t="shared" si="597"/>
        <v>22.064</v>
      </c>
      <c r="BB103" s="756">
        <f t="shared" si="597"/>
        <v>22.158999999999999</v>
      </c>
      <c r="BC103" s="756">
        <f t="shared" si="597"/>
        <v>22.244</v>
      </c>
      <c r="BD103" s="756">
        <f t="shared" si="597"/>
        <v>22.353000000000002</v>
      </c>
      <c r="BE103" s="756">
        <f t="shared" si="597"/>
        <v>22.512</v>
      </c>
      <c r="BF103" s="756">
        <f t="shared" si="597"/>
        <v>22.684000000000001</v>
      </c>
      <c r="BG103" s="756">
        <f t="shared" si="597"/>
        <v>22.849</v>
      </c>
      <c r="BH103" s="756">
        <f t="shared" si="597"/>
        <v>23.021999999999998</v>
      </c>
      <c r="BI103" s="756">
        <f t="shared" ref="BI103:BN103" si="598">BI57</f>
        <v>23.173999999999999</v>
      </c>
      <c r="BJ103" s="756">
        <f t="shared" si="598"/>
        <v>23.318000000000001</v>
      </c>
      <c r="BK103" s="756">
        <f t="shared" si="598"/>
        <v>23.273</v>
      </c>
      <c r="BL103" s="756">
        <f t="shared" si="598"/>
        <v>23.31</v>
      </c>
      <c r="BM103" s="756">
        <f t="shared" si="598"/>
        <v>23.367000000000001</v>
      </c>
      <c r="BN103" s="756">
        <f t="shared" si="598"/>
        <v>23.446000000000002</v>
      </c>
      <c r="BO103" s="756">
        <f>BO57</f>
        <v>23.533000000000001</v>
      </c>
      <c r="BP103" s="756">
        <f>BP57</f>
        <v>23.553999999999998</v>
      </c>
      <c r="BQ103" s="756">
        <f>BQ57</f>
        <v>23.567</v>
      </c>
      <c r="BR103" s="756">
        <f>BR57</f>
        <v>23.635999999999999</v>
      </c>
      <c r="BS103" s="756">
        <f t="shared" ref="BS103:BX103" si="599">BS57</f>
        <v>23.713000000000001</v>
      </c>
      <c r="BT103" s="756">
        <f t="shared" si="599"/>
        <v>23.771000000000001</v>
      </c>
      <c r="BU103" s="756">
        <f t="shared" si="599"/>
        <v>23.952000000000002</v>
      </c>
      <c r="BV103" s="756">
        <f t="shared" si="599"/>
        <v>24.018000000000001</v>
      </c>
      <c r="BW103" s="756">
        <f t="shared" si="599"/>
        <v>24.088000000000001</v>
      </c>
      <c r="BX103" s="756">
        <f t="shared" si="599"/>
        <v>24.219000000000001</v>
      </c>
      <c r="BY103" s="756">
        <f t="shared" ref="BY103:CD103" si="600">BY57</f>
        <v>24.216999999999999</v>
      </c>
      <c r="BZ103" s="756">
        <f t="shared" si="600"/>
        <v>24.276</v>
      </c>
      <c r="CA103" s="756">
        <f t="shared" si="600"/>
        <v>24.356000000000002</v>
      </c>
      <c r="CB103" s="756">
        <f t="shared" si="600"/>
        <v>24.254999999999999</v>
      </c>
      <c r="CC103" s="756">
        <f t="shared" si="600"/>
        <v>24.276</v>
      </c>
      <c r="CD103" s="756">
        <f t="shared" si="600"/>
        <v>24.218</v>
      </c>
      <c r="CE103" s="756">
        <f t="shared" ref="CE103:CH103" si="601">CE57</f>
        <v>24.283999999999999</v>
      </c>
      <c r="CF103" s="756">
        <f t="shared" si="601"/>
        <v>24.353000000000002</v>
      </c>
      <c r="CG103" s="756">
        <f t="shared" si="601"/>
        <v>24.521000000000001</v>
      </c>
      <c r="CH103" s="756">
        <f t="shared" si="601"/>
        <v>24.588999999999999</v>
      </c>
      <c r="CI103" s="756">
        <f t="shared" ref="CI103:CL103" si="602">CI57</f>
        <v>24.55</v>
      </c>
      <c r="CJ103" s="756">
        <f t="shared" si="602"/>
        <v>24.584</v>
      </c>
      <c r="CK103" s="756">
        <f t="shared" si="602"/>
        <v>24.497</v>
      </c>
      <c r="CL103" s="756">
        <f t="shared" si="602"/>
        <v>24.579000000000001</v>
      </c>
      <c r="CM103" s="756">
        <f t="shared" ref="CM103:CP103" si="603">CM57</f>
        <v>24.645</v>
      </c>
      <c r="CN103" s="756">
        <f t="shared" si="603"/>
        <v>24.577000000000002</v>
      </c>
      <c r="CO103" s="756">
        <f t="shared" si="603"/>
        <v>24.658000000000001</v>
      </c>
      <c r="CP103" s="756">
        <f t="shared" si="603"/>
        <v>24.844999999999999</v>
      </c>
      <c r="CQ103" s="756">
        <f t="shared" ref="CQ103:CS103" si="604">CQ57</f>
        <v>24.783999999999999</v>
      </c>
      <c r="CR103" s="756">
        <f t="shared" si="604"/>
        <v>24.864999999999998</v>
      </c>
      <c r="CS103" s="756">
        <f t="shared" si="604"/>
        <v>24.968</v>
      </c>
      <c r="CT103" s="756">
        <f t="shared" ref="CT103" si="605">CT57</f>
        <v>25.154</v>
      </c>
      <c r="CU103" s="1528">
        <f t="shared" ref="CU103:CX103" si="606">CU57</f>
        <v>25.088599599999998</v>
      </c>
      <c r="CV103" s="1528">
        <f t="shared" si="606"/>
        <v>25.023369241039997</v>
      </c>
      <c r="CW103" s="1528">
        <f t="shared" si="606"/>
        <v>24.958308481013294</v>
      </c>
      <c r="CX103" s="1528">
        <f t="shared" si="606"/>
        <v>24.893416878962658</v>
      </c>
      <c r="CY103" s="1528">
        <f t="shared" ref="CY103:DB103" si="607">CY57</f>
        <v>25.042777380236434</v>
      </c>
      <c r="CZ103" s="1528">
        <f t="shared" si="607"/>
        <v>25.193034044517852</v>
      </c>
      <c r="DA103" s="1528">
        <f t="shared" si="607"/>
        <v>25.34419224878496</v>
      </c>
      <c r="DB103" s="1528">
        <f t="shared" si="607"/>
        <v>25.496257402277671</v>
      </c>
    </row>
    <row r="104" spans="1:106" s="749" customFormat="1" ht="12.75" customHeight="1">
      <c r="A104" s="714"/>
      <c r="B104" s="714"/>
      <c r="C104" s="1465" t="s">
        <v>622</v>
      </c>
      <c r="D104" s="724"/>
      <c r="E104" s="830" t="str">
        <f>E80</f>
        <v>Gross fixed capital formation</v>
      </c>
      <c r="F104" s="754"/>
      <c r="G104" s="756">
        <f>G80</f>
        <v>15.221</v>
      </c>
      <c r="H104" s="756">
        <f t="shared" ref="H104:N104" si="608">H80</f>
        <v>15.483000000000001</v>
      </c>
      <c r="I104" s="756">
        <f t="shared" si="608"/>
        <v>15.666</v>
      </c>
      <c r="J104" s="756">
        <f t="shared" si="608"/>
        <v>15.675000000000001</v>
      </c>
      <c r="K104" s="756">
        <f t="shared" si="608"/>
        <v>15.427</v>
      </c>
      <c r="L104" s="756">
        <f t="shared" si="608"/>
        <v>15.468</v>
      </c>
      <c r="M104" s="756">
        <f t="shared" si="608"/>
        <v>15.669</v>
      </c>
      <c r="N104" s="756">
        <f t="shared" si="608"/>
        <v>16.004000000000001</v>
      </c>
      <c r="O104" s="756">
        <f t="shared" ref="O104:AX104" si="609">O80</f>
        <v>16.327999999999999</v>
      </c>
      <c r="P104" s="756">
        <f t="shared" si="609"/>
        <v>16.713999999999999</v>
      </c>
      <c r="Q104" s="756">
        <f t="shared" si="609"/>
        <v>16.649000000000001</v>
      </c>
      <c r="R104" s="756">
        <f t="shared" si="609"/>
        <v>17.033999999999999</v>
      </c>
      <c r="S104" s="756">
        <f t="shared" si="609"/>
        <v>16.823</v>
      </c>
      <c r="T104" s="756">
        <f t="shared" si="609"/>
        <v>16.867000000000001</v>
      </c>
      <c r="U104" s="756">
        <f t="shared" si="609"/>
        <v>17.198</v>
      </c>
      <c r="V104" s="756">
        <f t="shared" si="609"/>
        <v>17.475000000000001</v>
      </c>
      <c r="W104" s="756">
        <f t="shared" si="609"/>
        <v>17.53</v>
      </c>
      <c r="X104" s="756">
        <f t="shared" si="609"/>
        <v>17.794</v>
      </c>
      <c r="Y104" s="756">
        <f t="shared" si="609"/>
        <v>17.876000000000001</v>
      </c>
      <c r="Z104" s="756">
        <f t="shared" si="609"/>
        <v>17.742000000000001</v>
      </c>
      <c r="AA104" s="756">
        <f t="shared" si="609"/>
        <v>18.251999999999999</v>
      </c>
      <c r="AB104" s="756">
        <f t="shared" si="609"/>
        <v>18.413</v>
      </c>
      <c r="AC104" s="756">
        <f t="shared" si="609"/>
        <v>18.625</v>
      </c>
      <c r="AD104" s="756">
        <f t="shared" si="609"/>
        <v>18.748000000000001</v>
      </c>
      <c r="AE104" s="756">
        <f t="shared" si="609"/>
        <v>19.074999999999999</v>
      </c>
      <c r="AF104" s="756">
        <f t="shared" si="609"/>
        <v>18.855</v>
      </c>
      <c r="AG104" s="756">
        <f t="shared" si="609"/>
        <v>19.062000000000001</v>
      </c>
      <c r="AH104" s="756">
        <f t="shared" si="609"/>
        <v>18.253</v>
      </c>
      <c r="AI104" s="756">
        <f t="shared" si="609"/>
        <v>18.25</v>
      </c>
      <c r="AJ104" s="756">
        <f t="shared" si="609"/>
        <v>17.984999999999999</v>
      </c>
      <c r="AK104" s="756">
        <f t="shared" si="609"/>
        <v>17.710999999999999</v>
      </c>
      <c r="AL104" s="756">
        <f t="shared" si="609"/>
        <v>18.053000000000001</v>
      </c>
      <c r="AM104" s="756">
        <f t="shared" si="609"/>
        <v>17.966999999999999</v>
      </c>
      <c r="AN104" s="756">
        <f t="shared" si="609"/>
        <v>18.004999999999999</v>
      </c>
      <c r="AO104" s="756">
        <f t="shared" si="609"/>
        <v>17.995000000000001</v>
      </c>
      <c r="AP104" s="756">
        <f t="shared" si="609"/>
        <v>17.742000000000001</v>
      </c>
      <c r="AQ104" s="756">
        <f t="shared" si="609"/>
        <v>18.896000000000001</v>
      </c>
      <c r="AR104" s="756">
        <f t="shared" si="609"/>
        <v>19.471</v>
      </c>
      <c r="AS104" s="756">
        <f t="shared" si="609"/>
        <v>20.062000000000001</v>
      </c>
      <c r="AT104" s="756">
        <f t="shared" si="609"/>
        <v>19.649000000000001</v>
      </c>
      <c r="AU104" s="756">
        <f t="shared" si="609"/>
        <v>20.414000000000001</v>
      </c>
      <c r="AV104" s="756">
        <f t="shared" si="609"/>
        <v>21.216000000000001</v>
      </c>
      <c r="AW104" s="756">
        <f t="shared" si="609"/>
        <v>20.759</v>
      </c>
      <c r="AX104" s="756">
        <f t="shared" si="609"/>
        <v>20.428999999999998</v>
      </c>
      <c r="AY104" s="756">
        <f t="shared" ref="AY104:BH104" si="610">AY80</f>
        <v>20.989000000000001</v>
      </c>
      <c r="AZ104" s="756">
        <f t="shared" si="610"/>
        <v>20.901</v>
      </c>
      <c r="BA104" s="756">
        <f t="shared" si="610"/>
        <v>21.259</v>
      </c>
      <c r="BB104" s="756">
        <f t="shared" si="610"/>
        <v>21.29</v>
      </c>
      <c r="BC104" s="756">
        <f t="shared" si="610"/>
        <v>21.988</v>
      </c>
      <c r="BD104" s="756">
        <f t="shared" si="610"/>
        <v>22.303999999999998</v>
      </c>
      <c r="BE104" s="756">
        <f t="shared" si="610"/>
        <v>22.734999999999999</v>
      </c>
      <c r="BF104" s="756">
        <f t="shared" si="610"/>
        <v>23.116</v>
      </c>
      <c r="BG104" s="756">
        <f t="shared" si="610"/>
        <v>23.282</v>
      </c>
      <c r="BH104" s="756">
        <f t="shared" si="610"/>
        <v>23.305</v>
      </c>
      <c r="BI104" s="756">
        <f t="shared" ref="BI104:BN104" si="611">BI80</f>
        <v>22.815000000000001</v>
      </c>
      <c r="BJ104" s="756">
        <f t="shared" si="611"/>
        <v>22.446999999999999</v>
      </c>
      <c r="BK104" s="756">
        <f t="shared" si="611"/>
        <v>21.76</v>
      </c>
      <c r="BL104" s="756">
        <f t="shared" si="611"/>
        <v>21.542000000000002</v>
      </c>
      <c r="BM104" s="756">
        <f t="shared" si="611"/>
        <v>21.105</v>
      </c>
      <c r="BN104" s="756">
        <f t="shared" si="611"/>
        <v>21.353000000000002</v>
      </c>
      <c r="BO104" s="756">
        <f>BO80</f>
        <v>21.001999999999999</v>
      </c>
      <c r="BP104" s="756">
        <f>BP80</f>
        <v>21.04</v>
      </c>
      <c r="BQ104" s="756">
        <f>BQ80</f>
        <v>21.416</v>
      </c>
      <c r="BR104" s="756">
        <f>BR80</f>
        <v>21.588999999999999</v>
      </c>
      <c r="BS104" s="756">
        <f t="shared" ref="BS104:BX104" si="612">BS80</f>
        <v>21.791</v>
      </c>
      <c r="BT104" s="756">
        <f t="shared" si="612"/>
        <v>22.209</v>
      </c>
      <c r="BU104" s="756">
        <f t="shared" si="612"/>
        <v>22.164000000000001</v>
      </c>
      <c r="BV104" s="756">
        <f t="shared" si="612"/>
        <v>22.472000000000001</v>
      </c>
      <c r="BW104" s="756">
        <f t="shared" si="612"/>
        <v>22.29</v>
      </c>
      <c r="BX104" s="756">
        <f t="shared" si="612"/>
        <v>22.344000000000001</v>
      </c>
      <c r="BY104" s="756">
        <f t="shared" ref="BY104:CD104" si="613">BY80</f>
        <v>22.279</v>
      </c>
      <c r="BZ104" s="756">
        <f t="shared" si="613"/>
        <v>21.898</v>
      </c>
      <c r="CA104" s="756">
        <f t="shared" si="613"/>
        <v>21.738</v>
      </c>
      <c r="CB104" s="756">
        <f t="shared" si="613"/>
        <v>21.873999999999999</v>
      </c>
      <c r="CC104" s="756">
        <f t="shared" si="613"/>
        <v>21.93</v>
      </c>
      <c r="CD104" s="756">
        <f t="shared" si="613"/>
        <v>21.946000000000002</v>
      </c>
      <c r="CE104" s="756">
        <f t="shared" ref="CE104:CH104" si="614">CE80</f>
        <v>22.344000000000001</v>
      </c>
      <c r="CF104" s="756">
        <f t="shared" si="614"/>
        <v>22.721</v>
      </c>
      <c r="CG104" s="756">
        <f t="shared" si="614"/>
        <v>24.419</v>
      </c>
      <c r="CH104" s="756">
        <f t="shared" si="614"/>
        <v>23.221</v>
      </c>
      <c r="CI104" s="756">
        <f t="shared" ref="CI104:CL104" si="615">CI80</f>
        <v>25.457999999999998</v>
      </c>
      <c r="CJ104" s="756">
        <f t="shared" si="615"/>
        <v>22.765999999999998</v>
      </c>
      <c r="CK104" s="756">
        <f t="shared" si="615"/>
        <v>23.373999999999999</v>
      </c>
      <c r="CL104" s="756">
        <f t="shared" si="615"/>
        <v>23.588000000000001</v>
      </c>
      <c r="CM104" s="756">
        <f t="shared" ref="CM104:CP104" si="616">CM80</f>
        <v>23.951000000000001</v>
      </c>
      <c r="CN104" s="756">
        <f t="shared" si="616"/>
        <v>24.120999999999999</v>
      </c>
      <c r="CO104" s="756">
        <f t="shared" si="616"/>
        <v>25.998999999999999</v>
      </c>
      <c r="CP104" s="756">
        <f t="shared" si="616"/>
        <v>24.544</v>
      </c>
      <c r="CQ104" s="756">
        <f t="shared" ref="CQ104:CS104" si="617">CQ80</f>
        <v>24.593</v>
      </c>
      <c r="CR104" s="756">
        <f t="shared" si="617"/>
        <v>24.808</v>
      </c>
      <c r="CS104" s="756">
        <f t="shared" si="617"/>
        <v>25.094000000000001</v>
      </c>
      <c r="CT104" s="756">
        <f t="shared" ref="CT104" si="618">CT80</f>
        <v>25.096</v>
      </c>
      <c r="CU104" s="1528">
        <f t="shared" ref="CU104:CX104" si="619">CU80</f>
        <v>25.400129999999997</v>
      </c>
      <c r="CV104" s="1528">
        <f t="shared" si="619"/>
        <v>25.722054</v>
      </c>
      <c r="CW104" s="1528">
        <f t="shared" si="619"/>
        <v>26.048545652699996</v>
      </c>
      <c r="CX104" s="1528">
        <f t="shared" si="619"/>
        <v>26.379673790937296</v>
      </c>
      <c r="CY104" s="1528">
        <f t="shared" ref="CY104:DB104" si="620">CY80</f>
        <v>26.472201783963445</v>
      </c>
      <c r="CZ104" s="1528">
        <f t="shared" si="620"/>
        <v>26.565185419121281</v>
      </c>
      <c r="DA104" s="1528">
        <f t="shared" si="620"/>
        <v>26.636582083468632</v>
      </c>
      <c r="DB104" s="1528">
        <f t="shared" si="620"/>
        <v>26.702653854904074</v>
      </c>
    </row>
    <row r="105" spans="1:106" s="1877" customFormat="1" ht="12.75" customHeight="1">
      <c r="A105" s="1873"/>
      <c r="B105" s="1873"/>
      <c r="C105" s="1878" t="s">
        <v>622</v>
      </c>
      <c r="D105" s="1875"/>
      <c r="E105" s="1876" t="s">
        <v>1963</v>
      </c>
      <c r="F105" s="1875"/>
      <c r="G105" s="1876">
        <f>SUM(G102:G104)-G106</f>
        <v>0</v>
      </c>
      <c r="H105" s="1876">
        <f t="shared" ref="H105:BA105" si="621">SUM(H102:H104)-H106</f>
        <v>0</v>
      </c>
      <c r="I105" s="1876">
        <f t="shared" si="621"/>
        <v>0</v>
      </c>
      <c r="J105" s="1876">
        <f t="shared" si="621"/>
        <v>0</v>
      </c>
      <c r="K105" s="1876">
        <f t="shared" si="621"/>
        <v>0</v>
      </c>
      <c r="L105" s="1876">
        <f t="shared" si="621"/>
        <v>0</v>
      </c>
      <c r="M105" s="1876">
        <f t="shared" si="621"/>
        <v>0</v>
      </c>
      <c r="N105" s="1876">
        <f t="shared" si="621"/>
        <v>0</v>
      </c>
      <c r="O105" s="1876">
        <f t="shared" si="621"/>
        <v>0</v>
      </c>
      <c r="P105" s="1876">
        <f t="shared" si="621"/>
        <v>0</v>
      </c>
      <c r="Q105" s="1876">
        <f t="shared" si="621"/>
        <v>0</v>
      </c>
      <c r="R105" s="1876">
        <f t="shared" si="621"/>
        <v>0</v>
      </c>
      <c r="S105" s="1876">
        <f t="shared" si="621"/>
        <v>0</v>
      </c>
      <c r="T105" s="1876">
        <f t="shared" si="621"/>
        <v>0</v>
      </c>
      <c r="U105" s="1876">
        <f t="shared" si="621"/>
        <v>0</v>
      </c>
      <c r="V105" s="1876">
        <f t="shared" si="621"/>
        <v>0</v>
      </c>
      <c r="W105" s="1876">
        <f t="shared" si="621"/>
        <v>0</v>
      </c>
      <c r="X105" s="1876">
        <f t="shared" si="621"/>
        <v>0</v>
      </c>
      <c r="Y105" s="1876">
        <f t="shared" si="621"/>
        <v>0</v>
      </c>
      <c r="Z105" s="1876">
        <f t="shared" si="621"/>
        <v>0</v>
      </c>
      <c r="AA105" s="1876">
        <f t="shared" si="621"/>
        <v>0</v>
      </c>
      <c r="AB105" s="1876">
        <f t="shared" si="621"/>
        <v>0</v>
      </c>
      <c r="AC105" s="1876">
        <f t="shared" si="621"/>
        <v>0</v>
      </c>
      <c r="AD105" s="1876">
        <f t="shared" si="621"/>
        <v>0</v>
      </c>
      <c r="AE105" s="1876">
        <f t="shared" si="621"/>
        <v>0</v>
      </c>
      <c r="AF105" s="1876">
        <f t="shared" si="621"/>
        <v>0</v>
      </c>
      <c r="AG105" s="1876">
        <f t="shared" si="621"/>
        <v>0</v>
      </c>
      <c r="AH105" s="1876">
        <f t="shared" si="621"/>
        <v>0</v>
      </c>
      <c r="AI105" s="1876">
        <f t="shared" si="621"/>
        <v>0</v>
      </c>
      <c r="AJ105" s="1876">
        <f t="shared" si="621"/>
        <v>0</v>
      </c>
      <c r="AK105" s="1876">
        <f t="shared" si="621"/>
        <v>0</v>
      </c>
      <c r="AL105" s="1876">
        <f t="shared" si="621"/>
        <v>0</v>
      </c>
      <c r="AM105" s="1876">
        <f t="shared" si="621"/>
        <v>0</v>
      </c>
      <c r="AN105" s="1876">
        <f t="shared" si="621"/>
        <v>0</v>
      </c>
      <c r="AO105" s="1876">
        <f t="shared" si="621"/>
        <v>0</v>
      </c>
      <c r="AP105" s="1876">
        <f t="shared" si="621"/>
        <v>0</v>
      </c>
      <c r="AQ105" s="1876">
        <f t="shared" si="621"/>
        <v>0</v>
      </c>
      <c r="AR105" s="1876">
        <f t="shared" si="621"/>
        <v>0</v>
      </c>
      <c r="AS105" s="1876">
        <f t="shared" si="621"/>
        <v>0</v>
      </c>
      <c r="AT105" s="1876">
        <f t="shared" si="621"/>
        <v>0</v>
      </c>
      <c r="AU105" s="1876">
        <f t="shared" si="621"/>
        <v>0</v>
      </c>
      <c r="AV105" s="1876">
        <f t="shared" si="621"/>
        <v>0</v>
      </c>
      <c r="AW105" s="1876">
        <f t="shared" si="621"/>
        <v>0</v>
      </c>
      <c r="AX105" s="1876">
        <f t="shared" si="621"/>
        <v>0</v>
      </c>
      <c r="AY105" s="1876">
        <f t="shared" si="621"/>
        <v>0</v>
      </c>
      <c r="AZ105" s="1876">
        <f t="shared" si="621"/>
        <v>0</v>
      </c>
      <c r="BA105" s="1876">
        <f t="shared" si="621"/>
        <v>0</v>
      </c>
      <c r="BB105" s="1876">
        <f>SUM(BB102:BB104)-BB106</f>
        <v>0</v>
      </c>
      <c r="BC105" s="1876">
        <f>SUM(BC102:BC104)-BC106</f>
        <v>0</v>
      </c>
      <c r="BD105" s="1876">
        <f>SUM(BD102:BD104)-BD106</f>
        <v>0</v>
      </c>
      <c r="BE105" s="1876">
        <f>SUM(BE102:BE104)-BE106</f>
        <v>0</v>
      </c>
      <c r="BF105" s="1876">
        <f t="shared" ref="BF105:BN105" si="622">SUM(BF102:BF104)-BF106</f>
        <v>0</v>
      </c>
      <c r="BG105" s="1876">
        <f t="shared" si="622"/>
        <v>0</v>
      </c>
      <c r="BH105" s="1876">
        <f t="shared" si="622"/>
        <v>0</v>
      </c>
      <c r="BI105" s="1876">
        <f t="shared" si="622"/>
        <v>0</v>
      </c>
      <c r="BJ105" s="1876">
        <f t="shared" si="622"/>
        <v>0</v>
      </c>
      <c r="BK105" s="1876">
        <f t="shared" si="622"/>
        <v>0</v>
      </c>
      <c r="BL105" s="1876">
        <f t="shared" si="622"/>
        <v>0</v>
      </c>
      <c r="BM105" s="1876">
        <f t="shared" si="622"/>
        <v>0</v>
      </c>
      <c r="BN105" s="1876">
        <f t="shared" si="622"/>
        <v>0</v>
      </c>
      <c r="BO105" s="1876">
        <f t="shared" ref="BO105:BU105" si="623">SUM(BO102:BO104)-BO106</f>
        <v>0</v>
      </c>
      <c r="BP105" s="1876">
        <f t="shared" si="623"/>
        <v>0</v>
      </c>
      <c r="BQ105" s="1876">
        <f t="shared" si="623"/>
        <v>0</v>
      </c>
      <c r="BR105" s="1876">
        <f t="shared" si="623"/>
        <v>0</v>
      </c>
      <c r="BS105" s="1876">
        <f t="shared" si="623"/>
        <v>0</v>
      </c>
      <c r="BT105" s="1876">
        <f t="shared" si="623"/>
        <v>0</v>
      </c>
      <c r="BU105" s="1876">
        <f t="shared" si="623"/>
        <v>0</v>
      </c>
      <c r="BV105" s="1876">
        <f t="shared" ref="BV105:CA105" si="624">SUM(BV102:BV104)-BV106</f>
        <v>0</v>
      </c>
      <c r="BW105" s="1876">
        <f t="shared" si="624"/>
        <v>0</v>
      </c>
      <c r="BX105" s="1876">
        <f t="shared" si="624"/>
        <v>0</v>
      </c>
      <c r="BY105" s="1876">
        <f t="shared" si="624"/>
        <v>0</v>
      </c>
      <c r="BZ105" s="1876">
        <f t="shared" si="624"/>
        <v>0</v>
      </c>
      <c r="CA105" s="1876">
        <f t="shared" si="624"/>
        <v>0</v>
      </c>
      <c r="CB105" s="1876">
        <f t="shared" ref="CB105:CC105" si="625">SUM(CB102:CB104)-CB106</f>
        <v>0</v>
      </c>
      <c r="CC105" s="1876">
        <f t="shared" si="625"/>
        <v>0</v>
      </c>
      <c r="CD105" s="1876">
        <f t="shared" ref="CD105:CG105" si="626">SUM(CD102:CD104)-CD106</f>
        <v>0</v>
      </c>
      <c r="CE105" s="1876">
        <f t="shared" si="626"/>
        <v>0</v>
      </c>
      <c r="CF105" s="1876">
        <f t="shared" si="626"/>
        <v>0</v>
      </c>
      <c r="CG105" s="1876">
        <f t="shared" si="626"/>
        <v>0</v>
      </c>
      <c r="CH105" s="1876">
        <f t="shared" ref="CH105:CK105" si="627">SUM(CH102:CH104)-CH106</f>
        <v>0</v>
      </c>
      <c r="CI105" s="1876">
        <f t="shared" si="627"/>
        <v>0</v>
      </c>
      <c r="CJ105" s="1876">
        <f t="shared" si="627"/>
        <v>0</v>
      </c>
      <c r="CK105" s="1876">
        <f t="shared" si="627"/>
        <v>0</v>
      </c>
      <c r="CL105" s="1876">
        <f t="shared" ref="CL105:CO105" si="628">SUM(CL102:CL104)-CL106</f>
        <v>0</v>
      </c>
      <c r="CM105" s="1876">
        <f t="shared" si="628"/>
        <v>0</v>
      </c>
      <c r="CN105" s="1876">
        <f t="shared" si="628"/>
        <v>0</v>
      </c>
      <c r="CO105" s="1876">
        <f t="shared" si="628"/>
        <v>0</v>
      </c>
      <c r="CP105" s="1876">
        <f t="shared" ref="CP105:CS105" si="629">SUM(CP102:CP104)-CP106</f>
        <v>0</v>
      </c>
      <c r="CQ105" s="1876">
        <f t="shared" si="629"/>
        <v>0</v>
      </c>
      <c r="CR105" s="1876">
        <f t="shared" si="629"/>
        <v>0</v>
      </c>
      <c r="CS105" s="1876">
        <f t="shared" si="629"/>
        <v>0</v>
      </c>
      <c r="CT105" s="1876">
        <f t="shared" ref="CT105" si="630">SUM(CT102:CT104)-CT106</f>
        <v>0</v>
      </c>
      <c r="CU105" s="1879">
        <f t="shared" ref="CU105:CX105" si="631">SUM(CU102:CU104)-CU106</f>
        <v>0</v>
      </c>
      <c r="CV105" s="1879">
        <f t="shared" si="631"/>
        <v>0</v>
      </c>
      <c r="CW105" s="1879">
        <f t="shared" si="631"/>
        <v>0</v>
      </c>
      <c r="CX105" s="1879">
        <f t="shared" si="631"/>
        <v>0</v>
      </c>
      <c r="CY105" s="1879">
        <f t="shared" ref="CY105:DB105" si="632">SUM(CY102:CY104)-CY106</f>
        <v>0</v>
      </c>
      <c r="CZ105" s="1879">
        <f t="shared" si="632"/>
        <v>0</v>
      </c>
      <c r="DA105" s="1879">
        <f t="shared" si="632"/>
        <v>0</v>
      </c>
      <c r="DB105" s="1879">
        <f t="shared" si="632"/>
        <v>0</v>
      </c>
    </row>
    <row r="106" spans="1:106" s="749" customFormat="1" ht="12.75" customHeight="1">
      <c r="A106" s="715" t="str">
        <f>"Q" &amp; ROW(InputQ!A11)</f>
        <v>Q11</v>
      </c>
      <c r="B106" s="1869" t="s">
        <v>571</v>
      </c>
      <c r="C106" s="1465" t="s">
        <v>624</v>
      </c>
      <c r="D106" s="794"/>
      <c r="E106" s="1523" t="str">
        <f>+C98</f>
        <v>Domestic demand (excl. Inventories)</v>
      </c>
      <c r="F106" s="796"/>
      <c r="G106" s="843">
        <f>+InputQ!G11/1000</f>
        <v>73.084000000000003</v>
      </c>
      <c r="H106" s="843">
        <f>+InputQ!H11/1000</f>
        <v>73.763999999999996</v>
      </c>
      <c r="I106" s="843">
        <f>+InputQ!I11/1000</f>
        <v>74.347999999999999</v>
      </c>
      <c r="J106" s="843">
        <f>+InputQ!J11/1000</f>
        <v>74.707999999999998</v>
      </c>
      <c r="K106" s="843">
        <f>+InputQ!K11/1000</f>
        <v>74.635999999999996</v>
      </c>
      <c r="L106" s="843">
        <f>+InputQ!L11/1000</f>
        <v>75.007999999999996</v>
      </c>
      <c r="M106" s="843">
        <f>+InputQ!M11/1000</f>
        <v>75.436999999999998</v>
      </c>
      <c r="N106" s="843">
        <f>+InputQ!N11/1000</f>
        <v>75.86</v>
      </c>
      <c r="O106" s="843">
        <f>+InputQ!O11/1000</f>
        <v>76.304000000000002</v>
      </c>
      <c r="P106" s="843">
        <f>+InputQ!P11/1000</f>
        <v>77.043999999999997</v>
      </c>
      <c r="Q106" s="843">
        <f>+InputQ!Q11/1000</f>
        <v>77.283000000000001</v>
      </c>
      <c r="R106" s="843">
        <f>+InputQ!R11/1000</f>
        <v>77.876000000000005</v>
      </c>
      <c r="S106" s="843">
        <f>+InputQ!S11/1000</f>
        <v>78.088999999999999</v>
      </c>
      <c r="T106" s="843">
        <f>+InputQ!T11/1000</f>
        <v>78.674999999999997</v>
      </c>
      <c r="U106" s="843">
        <f>+InputQ!U11/1000</f>
        <v>79.421000000000006</v>
      </c>
      <c r="V106" s="843">
        <f>+InputQ!V11/1000</f>
        <v>79.88</v>
      </c>
      <c r="W106" s="843">
        <f>+InputQ!W11/1000</f>
        <v>80.084999999999994</v>
      </c>
      <c r="X106" s="843">
        <f>+InputQ!X11/1000</f>
        <v>80.704999999999998</v>
      </c>
      <c r="Y106" s="843">
        <f>+InputQ!Y11/1000</f>
        <v>81.259</v>
      </c>
      <c r="Z106" s="843">
        <f>+InputQ!Z11/1000</f>
        <v>81.515000000000001</v>
      </c>
      <c r="AA106" s="843">
        <f>+InputQ!AA11/1000</f>
        <v>82.593000000000004</v>
      </c>
      <c r="AB106" s="843">
        <f>+InputQ!AB11/1000</f>
        <v>83.180999999999997</v>
      </c>
      <c r="AC106" s="843">
        <f>+InputQ!AC11/1000</f>
        <v>83.867999999999995</v>
      </c>
      <c r="AD106" s="843">
        <f>+InputQ!AD11/1000</f>
        <v>84.463999999999999</v>
      </c>
      <c r="AE106" s="843">
        <f>+InputQ!AE11/1000</f>
        <v>84.846000000000004</v>
      </c>
      <c r="AF106" s="843">
        <f>+InputQ!AF11/1000</f>
        <v>84.593999999999994</v>
      </c>
      <c r="AG106" s="843">
        <f>+InputQ!AG11/1000</f>
        <v>84.664000000000001</v>
      </c>
      <c r="AH106" s="843">
        <f>+InputQ!AH11/1000</f>
        <v>83.79</v>
      </c>
      <c r="AI106" s="843">
        <f>+InputQ!AI11/1000</f>
        <v>84.162999999999997</v>
      </c>
      <c r="AJ106" s="843">
        <f>+InputQ!AJ11/1000</f>
        <v>84.224999999999994</v>
      </c>
      <c r="AK106" s="843">
        <f>+InputQ!AK11/1000</f>
        <v>84.296000000000006</v>
      </c>
      <c r="AL106" s="843">
        <f>+InputQ!AL11/1000</f>
        <v>84.867999999999995</v>
      </c>
      <c r="AM106" s="843">
        <f>+InputQ!AM11/1000</f>
        <v>84.643000000000001</v>
      </c>
      <c r="AN106" s="843">
        <f>+InputQ!AN11/1000</f>
        <v>84.68</v>
      </c>
      <c r="AO106" s="843">
        <f>+InputQ!AO11/1000</f>
        <v>84.888000000000005</v>
      </c>
      <c r="AP106" s="843">
        <f>+InputQ!AP11/1000</f>
        <v>85.164000000000001</v>
      </c>
      <c r="AQ106" s="843">
        <f>+InputQ!AQ11/1000</f>
        <v>86.656000000000006</v>
      </c>
      <c r="AR106" s="843">
        <f>+InputQ!AR11/1000</f>
        <v>87.35</v>
      </c>
      <c r="AS106" s="843">
        <f>+InputQ!AS11/1000</f>
        <v>88.036000000000001</v>
      </c>
      <c r="AT106" s="843">
        <f>+InputQ!AT11/1000</f>
        <v>87.900999999999996</v>
      </c>
      <c r="AU106" s="843">
        <f>+InputQ!AU11/1000</f>
        <v>88.741</v>
      </c>
      <c r="AV106" s="843">
        <f>+InputQ!AV11/1000</f>
        <v>89.683000000000007</v>
      </c>
      <c r="AW106" s="843">
        <f>+InputQ!AW11/1000</f>
        <v>89.554000000000002</v>
      </c>
      <c r="AX106" s="843">
        <f>+InputQ!AX11/1000</f>
        <v>89.575000000000003</v>
      </c>
      <c r="AY106" s="843">
        <f>+InputQ!AY11/1000</f>
        <v>90.308999999999997</v>
      </c>
      <c r="AZ106" s="843">
        <f>+InputQ!AZ11/1000</f>
        <v>90.373999999999995</v>
      </c>
      <c r="BA106" s="843">
        <f>+InputQ!BA11/1000</f>
        <v>90.863</v>
      </c>
      <c r="BB106" s="843">
        <f>+InputQ!BB11/1000</f>
        <v>91.215999999999994</v>
      </c>
      <c r="BC106" s="843">
        <f>+InputQ!BC11/1000</f>
        <v>92.307000000000002</v>
      </c>
      <c r="BD106" s="843">
        <f>+InputQ!BD11/1000</f>
        <v>92.962999999999994</v>
      </c>
      <c r="BE106" s="843">
        <f>+InputQ!BE11/1000</f>
        <v>93.795000000000002</v>
      </c>
      <c r="BF106" s="843">
        <f>+InputQ!BF11/1000</f>
        <v>94.594999999999999</v>
      </c>
      <c r="BG106" s="843">
        <f>+InputQ!BG11/1000</f>
        <v>95.415999999999997</v>
      </c>
      <c r="BH106" s="843">
        <f>+InputQ!BH11/1000</f>
        <v>95.772999999999996</v>
      </c>
      <c r="BI106" s="843">
        <f>+InputQ!BI11/1000</f>
        <v>95.356999999999999</v>
      </c>
      <c r="BJ106" s="843">
        <f>+InputQ!BJ11/1000</f>
        <v>94.662999999999997</v>
      </c>
      <c r="BK106" s="843">
        <f t="shared" ref="BK106:BS106" si="633">SUM(BK102:BK104)</f>
        <v>93.806000000000012</v>
      </c>
      <c r="BL106" s="843">
        <f t="shared" si="633"/>
        <v>94.009</v>
      </c>
      <c r="BM106" s="843">
        <f t="shared" si="633"/>
        <v>94.251000000000005</v>
      </c>
      <c r="BN106" s="843">
        <f t="shared" si="633"/>
        <v>95.074000000000012</v>
      </c>
      <c r="BO106" s="843">
        <f t="shared" si="633"/>
        <v>95.194999999999993</v>
      </c>
      <c r="BP106" s="843">
        <f t="shared" si="633"/>
        <v>95.403999999999996</v>
      </c>
      <c r="BQ106" s="843">
        <f t="shared" si="633"/>
        <v>95.772999999999996</v>
      </c>
      <c r="BR106" s="843">
        <f t="shared" si="633"/>
        <v>96.304999999999993</v>
      </c>
      <c r="BS106" s="843">
        <f t="shared" si="633"/>
        <v>96.397999999999996</v>
      </c>
      <c r="BT106" s="843">
        <f t="shared" ref="BT106:CE106" si="634">SUM(BT102:BT104)</f>
        <v>96.869</v>
      </c>
      <c r="BU106" s="843">
        <f t="shared" si="634"/>
        <v>97.168000000000006</v>
      </c>
      <c r="BV106" s="843">
        <f t="shared" ref="BV106:CA106" si="635">SUM(BV102:BV104)</f>
        <v>97.542000000000002</v>
      </c>
      <c r="BW106" s="843">
        <f t="shared" si="635"/>
        <v>97.592999999999989</v>
      </c>
      <c r="BX106" s="843">
        <f t="shared" si="635"/>
        <v>97.759999999999991</v>
      </c>
      <c r="BY106" s="843">
        <f t="shared" si="635"/>
        <v>97.826999999999998</v>
      </c>
      <c r="BZ106" s="843">
        <f t="shared" si="635"/>
        <v>97.662999999999997</v>
      </c>
      <c r="CA106" s="843">
        <f t="shared" si="635"/>
        <v>97.616</v>
      </c>
      <c r="CB106" s="1528">
        <f t="shared" si="634"/>
        <v>97.774000000000001</v>
      </c>
      <c r="CC106" s="843">
        <f t="shared" si="634"/>
        <v>98.034999999999997</v>
      </c>
      <c r="CD106" s="1528">
        <f t="shared" si="634"/>
        <v>97.932000000000002</v>
      </c>
      <c r="CE106" s="843">
        <f t="shared" si="634"/>
        <v>98.502999999999986</v>
      </c>
      <c r="CF106" s="1528">
        <f t="shared" ref="CF106:CI106" si="636">SUM(CF102:CF104)</f>
        <v>98.963999999999999</v>
      </c>
      <c r="CG106" s="843">
        <f t="shared" si="636"/>
        <v>100.94699999999999</v>
      </c>
      <c r="CH106" s="1528">
        <f t="shared" si="636"/>
        <v>100.065</v>
      </c>
      <c r="CI106" s="843">
        <f t="shared" si="636"/>
        <v>102.28999999999999</v>
      </c>
      <c r="CJ106" s="1528">
        <f t="shared" ref="CJ106:CM106" si="637">SUM(CJ102:CJ104)</f>
        <v>99.74799999999999</v>
      </c>
      <c r="CK106" s="843">
        <f t="shared" si="637"/>
        <v>100.369</v>
      </c>
      <c r="CL106" s="1528">
        <f t="shared" si="637"/>
        <v>100.87700000000001</v>
      </c>
      <c r="CM106" s="843">
        <f t="shared" si="637"/>
        <v>101.596</v>
      </c>
      <c r="CN106" s="1528">
        <f t="shared" ref="CN106:CQ106" si="638">SUM(CN102:CN104)</f>
        <v>102.04599999999999</v>
      </c>
      <c r="CO106" s="843">
        <f t="shared" si="638"/>
        <v>104.166</v>
      </c>
      <c r="CP106" s="1528">
        <f t="shared" si="638"/>
        <v>102.89700000000001</v>
      </c>
      <c r="CQ106" s="843">
        <f t="shared" si="638"/>
        <v>103.074</v>
      </c>
      <c r="CR106" s="1528">
        <f t="shared" ref="CR106:CS106" si="639">SUM(CR102:CR104)</f>
        <v>103.59799999999998</v>
      </c>
      <c r="CS106" s="843">
        <f t="shared" si="639"/>
        <v>104.096</v>
      </c>
      <c r="CT106" s="1528">
        <f t="shared" ref="CT106" si="640">SUM(CT102:CT104)</f>
        <v>104.36200000000001</v>
      </c>
      <c r="CU106" s="1528">
        <f t="shared" ref="CU106:CX106" si="641">SUM(CU102:CU104)</f>
        <v>104.8875232</v>
      </c>
      <c r="CV106" s="1528">
        <f t="shared" si="641"/>
        <v>105.43253044712</v>
      </c>
      <c r="CW106" s="1528">
        <f t="shared" si="641"/>
        <v>105.98380300798553</v>
      </c>
      <c r="CX106" s="1528">
        <f t="shared" si="641"/>
        <v>106.54141737320583</v>
      </c>
      <c r="CY106" s="1528">
        <f t="shared" ref="CY106:DB106" si="642">SUM(CY102:CY104)</f>
        <v>106.99608892531349</v>
      </c>
      <c r="CZ106" s="1528">
        <f t="shared" si="642"/>
        <v>107.45015744184498</v>
      </c>
      <c r="DA106" s="1528">
        <f t="shared" si="642"/>
        <v>107.88434167477661</v>
      </c>
      <c r="DB106" s="1528">
        <f t="shared" si="642"/>
        <v>108.31491215560635</v>
      </c>
    </row>
    <row r="107" spans="1:106" s="26" customFormat="1">
      <c r="A107" s="723"/>
      <c r="B107" s="723"/>
      <c r="C107" s="1520"/>
      <c r="D107" s="733"/>
      <c r="E107" s="734" t="s">
        <v>357</v>
      </c>
      <c r="F107" s="735"/>
      <c r="G107" s="1477"/>
      <c r="H107" s="1477"/>
      <c r="I107" s="1477"/>
      <c r="J107" s="1481">
        <f>SUM(G102:J104)</f>
        <v>295.90400000000005</v>
      </c>
      <c r="K107" s="1477"/>
      <c r="L107" s="1477"/>
      <c r="M107" s="1477"/>
      <c r="N107" s="1481">
        <f>SUM(K102:N104)</f>
        <v>300.94099999999997</v>
      </c>
      <c r="O107" s="1477"/>
      <c r="P107" s="1477"/>
      <c r="Q107" s="1477"/>
      <c r="R107" s="1481">
        <f>SUM(O102:R104)</f>
        <v>308.50699999999995</v>
      </c>
      <c r="S107" s="1477"/>
      <c r="T107" s="1477"/>
      <c r="U107" s="1477"/>
      <c r="V107" s="1481">
        <f>SUM(S102:V104)</f>
        <v>316.065</v>
      </c>
      <c r="W107" s="1477"/>
      <c r="X107" s="1477"/>
      <c r="Y107" s="1477"/>
      <c r="Z107" s="1481">
        <f>SUM(W102:Z104)</f>
        <v>323.56399999999991</v>
      </c>
      <c r="AA107" s="1477"/>
      <c r="AB107" s="1477"/>
      <c r="AC107" s="1477"/>
      <c r="AD107" s="1481">
        <f>SUM(AA102:AD104)</f>
        <v>334.10600000000005</v>
      </c>
      <c r="AE107" s="1477"/>
      <c r="AF107" s="1477"/>
      <c r="AG107" s="1477"/>
      <c r="AH107" s="1481">
        <f>SUM(AE102:AH104)</f>
        <v>337.89400000000001</v>
      </c>
      <c r="AI107" s="1477"/>
      <c r="AJ107" s="1477"/>
      <c r="AK107" s="1477"/>
      <c r="AL107" s="1481">
        <f>SUM(AI102:AL104)</f>
        <v>337.55200000000002</v>
      </c>
      <c r="AM107" s="1477"/>
      <c r="AN107" s="1477"/>
      <c r="AO107" s="1477"/>
      <c r="AP107" s="1481">
        <f>SUM(AM102:AP104)</f>
        <v>339.375</v>
      </c>
      <c r="AQ107" s="1477"/>
      <c r="AR107" s="1477"/>
      <c r="AS107" s="1477"/>
      <c r="AT107" s="1481">
        <f>SUM(AQ102:AT104)</f>
        <v>349.94300000000004</v>
      </c>
      <c r="AU107" s="1477"/>
      <c r="AV107" s="1477"/>
      <c r="AW107" s="1477"/>
      <c r="AX107" s="1481">
        <f>SUM(AU102:AX104)</f>
        <v>357.553</v>
      </c>
      <c r="AY107" s="1477"/>
      <c r="AZ107" s="1477"/>
      <c r="BA107" s="1529"/>
      <c r="BB107" s="1497">
        <f>SUM(AY106:BB106)</f>
        <v>362.762</v>
      </c>
      <c r="BC107" s="1529"/>
      <c r="BD107" s="1529"/>
      <c r="BE107" s="1529"/>
      <c r="BF107" s="1497">
        <f>SUM(BC102:BF104)</f>
        <v>373.65999999999997</v>
      </c>
      <c r="BG107" s="1529"/>
      <c r="BH107" s="1529"/>
      <c r="BI107" s="1529"/>
      <c r="BJ107" s="1497">
        <f>SUM(BG102:BJ104)</f>
        <v>381.20899999999995</v>
      </c>
      <c r="BK107" s="1529"/>
      <c r="BL107" s="1529"/>
      <c r="BM107" s="1529"/>
      <c r="BN107" s="1497">
        <f>SUM(BK102:BN104)</f>
        <v>377.14000000000004</v>
      </c>
      <c r="BO107" s="1529"/>
      <c r="BP107" s="1529"/>
      <c r="BQ107" s="1529"/>
      <c r="BR107" s="1497">
        <f>SUM(BO102:BR104)</f>
        <v>382.67700000000002</v>
      </c>
      <c r="BS107" s="1529"/>
      <c r="BT107" s="1529"/>
      <c r="BU107" s="1529"/>
      <c r="BV107" s="1497">
        <f>SUM(BS102:BV104)</f>
        <v>387.97699999999998</v>
      </c>
      <c r="BW107" s="1529"/>
      <c r="BX107" s="1529"/>
      <c r="BY107" s="1529"/>
      <c r="BZ107" s="1497">
        <f>SUM(BW102:BZ104)</f>
        <v>390.84300000000002</v>
      </c>
      <c r="CA107" s="1529"/>
      <c r="CB107" s="1529"/>
      <c r="CC107" s="1529"/>
      <c r="CD107" s="1497">
        <f>SUM(CA102:CD104)</f>
        <v>391.35700000000008</v>
      </c>
      <c r="CE107" s="1529"/>
      <c r="CF107" s="1529"/>
      <c r="CG107" s="1529"/>
      <c r="CH107" s="1497">
        <f>SUM(CE102:CH104)</f>
        <v>398.47899999999998</v>
      </c>
      <c r="CI107" s="1529"/>
      <c r="CJ107" s="1529"/>
      <c r="CK107" s="1529"/>
      <c r="CL107" s="1497">
        <f>SUM(CI102:CL104)</f>
        <v>403.28400000000011</v>
      </c>
      <c r="CM107" s="1529"/>
      <c r="CN107" s="1529"/>
      <c r="CO107" s="1529"/>
      <c r="CP107" s="1497">
        <f>SUM(CM102:CP104)</f>
        <v>410.70500000000004</v>
      </c>
      <c r="CQ107" s="1529"/>
      <c r="CR107" s="1529"/>
      <c r="CS107" s="1529"/>
      <c r="CT107" s="1497">
        <f>SUM(CQ102:CT104)</f>
        <v>415.13</v>
      </c>
      <c r="CU107" s="1529"/>
      <c r="CV107" s="1529"/>
      <c r="CW107" s="1529"/>
      <c r="CX107" s="1497">
        <f>SUM(CU102:CX104)</f>
        <v>422.84527402831145</v>
      </c>
      <c r="CY107" s="1529"/>
      <c r="CZ107" s="1529"/>
      <c r="DA107" s="1529"/>
      <c r="DB107" s="1497">
        <f>SUM(CY102:DB104)</f>
        <v>430.64550019754142</v>
      </c>
    </row>
    <row r="108" spans="1:106" s="1506" customFormat="1" ht="12.75" customHeight="1">
      <c r="A108" s="1039"/>
      <c r="B108" s="1039"/>
      <c r="C108" s="1521"/>
      <c r="D108" s="729"/>
      <c r="E108" s="1478" t="s">
        <v>675</v>
      </c>
      <c r="F108" s="729"/>
      <c r="G108" s="1479"/>
      <c r="H108" s="2801" t="s">
        <v>543</v>
      </c>
      <c r="I108" s="2802">
        <f ca="1">+J108/J107*100</f>
        <v>92.804087062020102</v>
      </c>
      <c r="J108" s="1522">
        <f ca="1">OFFSET('VVP2'!$G$61,0,(COLUMN()-10)/4)</f>
        <v>274.61100578000003</v>
      </c>
      <c r="K108" s="1479"/>
      <c r="L108" s="2801" t="s">
        <v>543</v>
      </c>
      <c r="M108" s="2802">
        <f ca="1">+N108/N107*100</f>
        <v>92.820659959925706</v>
      </c>
      <c r="N108" s="1522">
        <f ca="1">OFFSET('VVP2'!$G$61,0,(COLUMN()-10)/4)</f>
        <v>279.33542229</v>
      </c>
      <c r="O108" s="1479"/>
      <c r="P108" s="2801" t="s">
        <v>543</v>
      </c>
      <c r="Q108" s="2802">
        <f ca="1">+R108/R107*100</f>
        <v>92.899400814244089</v>
      </c>
      <c r="R108" s="1522">
        <f ca="1">OFFSET('VVP2'!$G$61,0,(COLUMN()-10)/4)</f>
        <v>286.60115446999998</v>
      </c>
      <c r="S108" s="1479"/>
      <c r="T108" s="2801" t="s">
        <v>543</v>
      </c>
      <c r="U108" s="2802">
        <f ca="1">+V108/V107*100</f>
        <v>92.917710616487113</v>
      </c>
      <c r="V108" s="1522">
        <f ca="1">OFFSET('VVP2'!$G$61,0,(COLUMN()-10)/4)</f>
        <v>293.68036205999999</v>
      </c>
      <c r="W108" s="1479"/>
      <c r="X108" s="2801" t="s">
        <v>543</v>
      </c>
      <c r="Y108" s="2802">
        <f ca="1">+Z108/Z107*100</f>
        <v>92.916548200665105</v>
      </c>
      <c r="Z108" s="1522">
        <f ca="1">OFFSET('VVP2'!$G$61,0,(COLUMN()-10)/4)</f>
        <v>300.64450001999995</v>
      </c>
      <c r="AA108" s="1479"/>
      <c r="AB108" s="2801" t="s">
        <v>543</v>
      </c>
      <c r="AC108" s="2802">
        <f ca="1">+AD108/AD107*100</f>
        <v>92.918837339048068</v>
      </c>
      <c r="AD108" s="1522">
        <f ca="1">OFFSET('VVP2'!$G$61,0,(COLUMN()-10)/4)</f>
        <v>310.44741067999996</v>
      </c>
      <c r="AE108" s="1479"/>
      <c r="AF108" s="2801" t="s">
        <v>543</v>
      </c>
      <c r="AG108" s="2802">
        <f ca="1">+AH108/AH107*100</f>
        <v>92.939413440309679</v>
      </c>
      <c r="AH108" s="1522">
        <f ca="1">OFFSET('VVP2'!$G$61,0,(COLUMN()-10)/4)</f>
        <v>314.03670165</v>
      </c>
      <c r="AI108" s="1479"/>
      <c r="AJ108" s="2801" t="s">
        <v>543</v>
      </c>
      <c r="AK108" s="2802">
        <f ca="1">+AL108/AL107*100</f>
        <v>92.850501389415541</v>
      </c>
      <c r="AL108" s="1522">
        <f ca="1">OFFSET('VVP2'!$G$61,0,(COLUMN()-10)/4)</f>
        <v>313.41872444999996</v>
      </c>
      <c r="AM108" s="1479"/>
      <c r="AN108" s="2801" t="s">
        <v>543</v>
      </c>
      <c r="AO108" s="2802">
        <f ca="1">+AP108/AP107*100</f>
        <v>92.83167238011049</v>
      </c>
      <c r="AP108" s="1522">
        <f ca="1">OFFSET('VVP2'!$G$61,0,(COLUMN()-10)/4)</f>
        <v>315.04748813999998</v>
      </c>
      <c r="AQ108" s="1479"/>
      <c r="AR108" s="2801" t="s">
        <v>543</v>
      </c>
      <c r="AS108" s="2802">
        <f ca="1">+AT108/AT107*100</f>
        <v>92.867644293499211</v>
      </c>
      <c r="AT108" s="1522">
        <f ca="1">OFFSET('VVP2'!$G$61,0,(COLUMN()-10)/4)</f>
        <v>324.98382046999996</v>
      </c>
      <c r="AU108" s="1479"/>
      <c r="AV108" s="2801" t="s">
        <v>543</v>
      </c>
      <c r="AW108" s="2802">
        <f ca="1">+AX108/AX107*100</f>
        <v>92.882544601779315</v>
      </c>
      <c r="AX108" s="1522">
        <f ca="1">OFFSET('VVP2'!$G$61,0,(COLUMN()-10)/4)</f>
        <v>332.10432470000001</v>
      </c>
      <c r="AY108" s="1479"/>
      <c r="AZ108" s="2801" t="s">
        <v>543</v>
      </c>
      <c r="BA108" s="2802">
        <f ca="1">+BB108/BB107*100</f>
        <v>92.888269827049129</v>
      </c>
      <c r="BB108" s="1530">
        <f ca="1">OFFSET('VVP2'!$G$61,0,(COLUMN()-10)/4)</f>
        <v>336.96334538999997</v>
      </c>
      <c r="BC108" s="1479"/>
      <c r="BD108" s="2801" t="s">
        <v>543</v>
      </c>
      <c r="BE108" s="2802">
        <f ca="1">+BF108/BF107*100</f>
        <v>92.907347053471085</v>
      </c>
      <c r="BF108" s="1530">
        <f ca="1">OFFSET('VVP2'!$G$61,0,(COLUMN()-10)/4)</f>
        <v>347.15759300000002</v>
      </c>
      <c r="BG108" s="1479"/>
      <c r="BH108" s="2801" t="s">
        <v>543</v>
      </c>
      <c r="BI108" s="2802">
        <f ca="1">+BJ108/BJ107*100</f>
        <v>92.896568394240447</v>
      </c>
      <c r="BJ108" s="1530">
        <f ca="1">OFFSET('VVP2'!$G$61,0,(COLUMN()-10)/4)</f>
        <v>354.13007941000001</v>
      </c>
      <c r="BK108" s="1479"/>
      <c r="BL108" s="2801" t="s">
        <v>543</v>
      </c>
      <c r="BM108" s="2802">
        <f ca="1">+BN108/BN107*100</f>
        <v>92.856742193880237</v>
      </c>
      <c r="BN108" s="1530">
        <f ca="1">OFFSET('VVP2'!$G$61,0,(COLUMN()-10)/4)</f>
        <v>350.19991750999998</v>
      </c>
      <c r="BO108" s="1479"/>
      <c r="BP108" s="2801" t="s">
        <v>543</v>
      </c>
      <c r="BQ108" s="2802">
        <f ca="1">+BR108/BR107*100</f>
        <v>92.859696297399637</v>
      </c>
      <c r="BR108" s="1530">
        <f ca="1">OFFSET('VVP2'!$G$61,0,(COLUMN()-10)/4)</f>
        <v>355.35270000000003</v>
      </c>
      <c r="BS108" s="1479"/>
      <c r="BT108" s="2801" t="s">
        <v>543</v>
      </c>
      <c r="BU108" s="2802">
        <f ca="1">+BV108/BV107*100</f>
        <v>92.899207942738869</v>
      </c>
      <c r="BV108" s="1530">
        <f ca="1">OFFSET('VVP2'!$G$61,0,(COLUMN()-10)/4)</f>
        <v>360.42755999999997</v>
      </c>
      <c r="BW108" s="1479"/>
      <c r="BX108" s="2801" t="s">
        <v>543</v>
      </c>
      <c r="BY108" s="2802">
        <f ca="1">+BZ108/BZ107*100</f>
        <v>92.859248296630597</v>
      </c>
      <c r="BZ108" s="1530">
        <f ca="1">OFFSET('VVP2'!$G$61,0,(COLUMN()-10)/4)</f>
        <v>362.93387181999998</v>
      </c>
      <c r="CA108" s="1479"/>
      <c r="CB108" s="2801" t="s">
        <v>543</v>
      </c>
      <c r="CC108" s="2802">
        <f ca="1">+CD108/CD107*100</f>
        <v>92.856305677424942</v>
      </c>
      <c r="CD108" s="1530">
        <f ca="1">OFFSET('VVP2'!$G$61,0,(COLUMN()-10)/4)</f>
        <v>363.39965221</v>
      </c>
      <c r="CE108" s="1479"/>
      <c r="CF108" s="2801" t="s">
        <v>543</v>
      </c>
      <c r="CG108" s="2802">
        <f ca="1">+CH108/CH107*100</f>
        <v>92.860403923418801</v>
      </c>
      <c r="CH108" s="1530">
        <f ca="1">OFFSET('VVP2'!$G$61,0,(COLUMN()-10)/4)</f>
        <v>370.02920895</v>
      </c>
      <c r="CI108" s="1479"/>
      <c r="CJ108" s="2801" t="s">
        <v>543</v>
      </c>
      <c r="CK108" s="2802">
        <f ca="1">+CL108/CL107*100</f>
        <v>92.860545801469911</v>
      </c>
      <c r="CL108" s="1530">
        <f ca="1">OFFSET('VVP2'!$G$61,0,(COLUMN()-10)/4)</f>
        <v>374.49172353</v>
      </c>
      <c r="CM108" s="1479"/>
      <c r="CN108" s="2801" t="s">
        <v>543</v>
      </c>
      <c r="CO108" s="2802">
        <f ca="1">+CP108/CP107*100</f>
        <v>92.860590769530432</v>
      </c>
      <c r="CP108" s="1530">
        <f ca="1">OFFSET('VVP2'!$G$61,0,(COLUMN()-10)/4)</f>
        <v>381.38308932000001</v>
      </c>
      <c r="CQ108" s="1479"/>
      <c r="CR108" s="2801" t="s">
        <v>543</v>
      </c>
      <c r="CS108" s="2802">
        <f ca="1">+CT108/CT107*100</f>
        <v>92.860547801893375</v>
      </c>
      <c r="CT108" s="1530">
        <f ca="1">OFFSET('VVP2'!$G$61,0,(COLUMN()-10)/4)</f>
        <v>385.49199209</v>
      </c>
      <c r="CU108" s="1479"/>
      <c r="CV108" s="2801" t="s">
        <v>543</v>
      </c>
      <c r="CW108" s="2802">
        <f ca="1">+CX108/CX107*100</f>
        <v>92.857982546020651</v>
      </c>
      <c r="CX108" s="1530">
        <f ca="1">OFFSET('VVP2'!$G$61,0,(COLUMN()-10)/4)</f>
        <v>392.64559075388263</v>
      </c>
      <c r="CY108" s="1479"/>
      <c r="CZ108" s="2801" t="s">
        <v>543</v>
      </c>
      <c r="DA108" s="2802">
        <f ca="1">+DB108/DB107*100</f>
        <v>92.831893457873619</v>
      </c>
      <c r="DB108" s="1530">
        <f ca="1">OFFSET('VVP2'!$G$61,0,(COLUMN()-10)/4)</f>
        <v>399.77637192450857</v>
      </c>
    </row>
    <row r="109" spans="1:106">
      <c r="AY109" s="218"/>
      <c r="BL109" s="1604"/>
      <c r="BM109" s="1604"/>
      <c r="BN109" s="1604"/>
      <c r="BO109" s="577"/>
      <c r="BP109" s="1604"/>
      <c r="BQ109" s="1604"/>
      <c r="BR109" s="1604"/>
      <c r="BS109" s="1604"/>
      <c r="BT109" s="1604"/>
      <c r="BU109" s="1604"/>
      <c r="BV109" s="1604"/>
      <c r="BW109" s="1604"/>
      <c r="BX109" s="1604"/>
      <c r="BY109" s="1604"/>
      <c r="BZ109" s="1604"/>
      <c r="CA109" s="1604"/>
      <c r="CB109" s="1604"/>
      <c r="CC109" s="1604"/>
      <c r="CD109" s="1604"/>
      <c r="CE109" s="1604"/>
      <c r="CF109" s="1604"/>
      <c r="CG109" s="1604"/>
      <c r="CH109" s="1604"/>
      <c r="CI109" s="1604"/>
      <c r="CJ109" s="1604"/>
      <c r="CK109" s="1604"/>
      <c r="CL109" s="1604"/>
      <c r="CM109" s="1604"/>
      <c r="CN109" s="1604"/>
      <c r="CO109" s="1604"/>
      <c r="CP109" s="1604"/>
      <c r="CQ109" s="1604"/>
      <c r="CR109" s="1604"/>
      <c r="CS109" s="1604"/>
      <c r="CT109" s="1604"/>
      <c r="CU109" s="1604"/>
      <c r="CV109" s="1604"/>
      <c r="CW109" s="1604"/>
      <c r="CX109" s="1604"/>
      <c r="CY109" s="1604"/>
      <c r="CZ109" s="1604"/>
      <c r="DA109" s="1604"/>
      <c r="DB109" s="1604"/>
    </row>
    <row r="110" spans="1:106" s="749" customFormat="1" ht="12.75" customHeight="1">
      <c r="A110" s="714"/>
      <c r="B110" s="714"/>
      <c r="C110" s="1456"/>
      <c r="D110" s="790"/>
      <c r="E110" s="791" t="s">
        <v>73</v>
      </c>
      <c r="F110" s="792"/>
      <c r="G110" s="1484" t="s">
        <v>364</v>
      </c>
      <c r="H110" s="1485" t="s">
        <v>671</v>
      </c>
      <c r="I110" s="1485" t="s">
        <v>672</v>
      </c>
      <c r="J110" s="1486" t="s">
        <v>673</v>
      </c>
      <c r="K110" s="1484" t="s">
        <v>364</v>
      </c>
      <c r="L110" s="1485" t="s">
        <v>671</v>
      </c>
      <c r="M110" s="1485" t="s">
        <v>672</v>
      </c>
      <c r="N110" s="1486" t="s">
        <v>673</v>
      </c>
      <c r="O110" s="1484" t="s">
        <v>364</v>
      </c>
      <c r="P110" s="1485" t="s">
        <v>671</v>
      </c>
      <c r="Q110" s="1485" t="s">
        <v>672</v>
      </c>
      <c r="R110" s="1486" t="s">
        <v>673</v>
      </c>
      <c r="S110" s="1484" t="s">
        <v>364</v>
      </c>
      <c r="T110" s="1485" t="s">
        <v>671</v>
      </c>
      <c r="U110" s="1485" t="s">
        <v>672</v>
      </c>
      <c r="V110" s="1486" t="s">
        <v>673</v>
      </c>
      <c r="W110" s="1484" t="s">
        <v>364</v>
      </c>
      <c r="X110" s="1485" t="s">
        <v>671</v>
      </c>
      <c r="Y110" s="1485" t="s">
        <v>672</v>
      </c>
      <c r="Z110" s="1486" t="s">
        <v>673</v>
      </c>
      <c r="AA110" s="1484" t="s">
        <v>364</v>
      </c>
      <c r="AB110" s="1485" t="s">
        <v>671</v>
      </c>
      <c r="AC110" s="1485" t="s">
        <v>672</v>
      </c>
      <c r="AD110" s="1486" t="s">
        <v>673</v>
      </c>
      <c r="AE110" s="1484" t="s">
        <v>364</v>
      </c>
      <c r="AF110" s="1485" t="s">
        <v>671</v>
      </c>
      <c r="AG110" s="1485" t="s">
        <v>672</v>
      </c>
      <c r="AH110" s="1486" t="s">
        <v>673</v>
      </c>
      <c r="AI110" s="1484" t="s">
        <v>364</v>
      </c>
      <c r="AJ110" s="1485" t="s">
        <v>671</v>
      </c>
      <c r="AK110" s="1485" t="s">
        <v>672</v>
      </c>
      <c r="AL110" s="1486" t="s">
        <v>673</v>
      </c>
      <c r="AM110" s="1484" t="s">
        <v>364</v>
      </c>
      <c r="AN110" s="1485" t="s">
        <v>671</v>
      </c>
      <c r="AO110" s="1485" t="s">
        <v>672</v>
      </c>
      <c r="AP110" s="1486" t="s">
        <v>673</v>
      </c>
      <c r="AQ110" s="1484" t="s">
        <v>364</v>
      </c>
      <c r="AR110" s="1485" t="s">
        <v>671</v>
      </c>
      <c r="AS110" s="1485" t="s">
        <v>672</v>
      </c>
      <c r="AT110" s="1486" t="s">
        <v>673</v>
      </c>
      <c r="AU110" s="1484" t="s">
        <v>364</v>
      </c>
      <c r="AV110" s="1485" t="s">
        <v>671</v>
      </c>
      <c r="AW110" s="1485" t="s">
        <v>672</v>
      </c>
      <c r="AX110" s="1486" t="s">
        <v>673</v>
      </c>
      <c r="AY110" s="1484" t="s">
        <v>364</v>
      </c>
      <c r="AZ110" s="1485" t="s">
        <v>671</v>
      </c>
      <c r="BA110" s="1485" t="s">
        <v>672</v>
      </c>
      <c r="BB110" s="1486" t="s">
        <v>673</v>
      </c>
      <c r="BC110" s="1484" t="s">
        <v>364</v>
      </c>
      <c r="BD110" s="1485" t="s">
        <v>671</v>
      </c>
      <c r="BE110" s="1485" t="s">
        <v>672</v>
      </c>
      <c r="BF110" s="1486" t="s">
        <v>673</v>
      </c>
      <c r="BG110" s="1484" t="s">
        <v>364</v>
      </c>
      <c r="BH110" s="1485" t="s">
        <v>671</v>
      </c>
      <c r="BI110" s="1485" t="s">
        <v>672</v>
      </c>
      <c r="BJ110" s="1486" t="s">
        <v>673</v>
      </c>
      <c r="BK110" s="1484" t="s">
        <v>364</v>
      </c>
      <c r="BL110" s="1485" t="s">
        <v>671</v>
      </c>
      <c r="BM110" s="1485" t="s">
        <v>672</v>
      </c>
      <c r="BN110" s="1486" t="s">
        <v>673</v>
      </c>
      <c r="BO110" s="1484" t="s">
        <v>364</v>
      </c>
      <c r="BP110" s="1485" t="s">
        <v>671</v>
      </c>
      <c r="BQ110" s="1485" t="s">
        <v>672</v>
      </c>
      <c r="BR110" s="1486" t="s">
        <v>673</v>
      </c>
      <c r="BS110" s="1484" t="s">
        <v>364</v>
      </c>
      <c r="BT110" s="1485" t="s">
        <v>671</v>
      </c>
      <c r="BU110" s="1485" t="s">
        <v>672</v>
      </c>
      <c r="BV110" s="1486" t="s">
        <v>673</v>
      </c>
      <c r="BW110" s="1484" t="s">
        <v>364</v>
      </c>
      <c r="BX110" s="1485" t="s">
        <v>671</v>
      </c>
      <c r="BY110" s="1485" t="s">
        <v>672</v>
      </c>
      <c r="BZ110" s="1486" t="s">
        <v>673</v>
      </c>
      <c r="CA110" s="1484" t="s">
        <v>364</v>
      </c>
      <c r="CB110" s="1485" t="s">
        <v>671</v>
      </c>
      <c r="CC110" s="1485" t="s">
        <v>672</v>
      </c>
      <c r="CD110" s="1486" t="s">
        <v>673</v>
      </c>
      <c r="CE110" s="1484" t="s">
        <v>364</v>
      </c>
      <c r="CF110" s="1485" t="s">
        <v>671</v>
      </c>
      <c r="CG110" s="1485" t="s">
        <v>672</v>
      </c>
      <c r="CH110" s="1486" t="s">
        <v>673</v>
      </c>
      <c r="CI110" s="1484" t="s">
        <v>364</v>
      </c>
      <c r="CJ110" s="1485" t="s">
        <v>671</v>
      </c>
      <c r="CK110" s="1485" t="s">
        <v>672</v>
      </c>
      <c r="CL110" s="1486" t="s">
        <v>673</v>
      </c>
      <c r="CM110" s="1484" t="s">
        <v>364</v>
      </c>
      <c r="CN110" s="1485" t="s">
        <v>671</v>
      </c>
      <c r="CO110" s="1485" t="s">
        <v>672</v>
      </c>
      <c r="CP110" s="1486" t="s">
        <v>673</v>
      </c>
      <c r="CQ110" s="1484" t="s">
        <v>364</v>
      </c>
      <c r="CR110" s="1485" t="s">
        <v>671</v>
      </c>
      <c r="CS110" s="1485" t="s">
        <v>672</v>
      </c>
      <c r="CT110" s="1486" t="s">
        <v>673</v>
      </c>
      <c r="CU110" s="1484" t="s">
        <v>364</v>
      </c>
      <c r="CV110" s="1485" t="s">
        <v>671</v>
      </c>
      <c r="CW110" s="1485" t="s">
        <v>672</v>
      </c>
      <c r="CX110" s="1486" t="s">
        <v>673</v>
      </c>
      <c r="CY110" s="1484" t="s">
        <v>364</v>
      </c>
      <c r="CZ110" s="1485" t="s">
        <v>671</v>
      </c>
      <c r="DA110" s="1485" t="s">
        <v>672</v>
      </c>
      <c r="DB110" s="1486" t="s">
        <v>673</v>
      </c>
    </row>
    <row r="111" spans="1:106" s="749" customFormat="1" ht="12.75" customHeight="1">
      <c r="B111" s="714"/>
      <c r="C111" s="742"/>
      <c r="D111" s="739"/>
      <c r="E111" s="787" t="str">
        <f>E106</f>
        <v>Domestic demand (excl. Inventories)</v>
      </c>
      <c r="F111" s="782" t="s">
        <v>1570</v>
      </c>
      <c r="G111" s="1020"/>
      <c r="H111" s="1020">
        <f>(H106/G106-1)*100</f>
        <v>0.93043621038804147</v>
      </c>
      <c r="I111" s="1020">
        <f t="shared" ref="I111:N111" si="643">(I106/H106-1)*100</f>
        <v>0.79171411528660141</v>
      </c>
      <c r="J111" s="1020">
        <f t="shared" si="643"/>
        <v>0.48420939366222715</v>
      </c>
      <c r="K111" s="1020">
        <f t="shared" si="643"/>
        <v>-9.6375220859890032E-2</v>
      </c>
      <c r="L111" s="1020">
        <f t="shared" si="643"/>
        <v>0.49841899351519281</v>
      </c>
      <c r="M111" s="1020">
        <f t="shared" si="643"/>
        <v>0.57193899317407038</v>
      </c>
      <c r="N111" s="1020">
        <f t="shared" si="643"/>
        <v>0.56073279690338484</v>
      </c>
      <c r="O111" s="1020">
        <f t="shared" ref="O111:BE111" si="644">(O106/N106-1)*100</f>
        <v>0.58528868969154324</v>
      </c>
      <c r="P111" s="1020">
        <f t="shared" si="644"/>
        <v>0.96980499056404934</v>
      </c>
      <c r="Q111" s="1020">
        <f t="shared" si="644"/>
        <v>0.31021234619179605</v>
      </c>
      <c r="R111" s="1020">
        <f t="shared" si="644"/>
        <v>0.76730975764398579</v>
      </c>
      <c r="S111" s="1020">
        <f t="shared" si="644"/>
        <v>0.27351173660690176</v>
      </c>
      <c r="T111" s="1020">
        <f t="shared" si="644"/>
        <v>0.75042579620689942</v>
      </c>
      <c r="U111" s="1020">
        <f t="shared" si="644"/>
        <v>0.94820463933906751</v>
      </c>
      <c r="V111" s="1020">
        <f t="shared" si="644"/>
        <v>0.57793278855717833</v>
      </c>
      <c r="W111" s="1020">
        <f t="shared" si="644"/>
        <v>0.25663495242864709</v>
      </c>
      <c r="X111" s="1020">
        <f t="shared" si="644"/>
        <v>0.77417743647374415</v>
      </c>
      <c r="Y111" s="1020">
        <f t="shared" si="644"/>
        <v>0.68645065361501167</v>
      </c>
      <c r="Z111" s="1020">
        <f t="shared" si="644"/>
        <v>0.31504202611403187</v>
      </c>
      <c r="AA111" s="1020">
        <f t="shared" si="644"/>
        <v>1.3224559896951593</v>
      </c>
      <c r="AB111" s="1020">
        <f t="shared" si="644"/>
        <v>0.71192473938468392</v>
      </c>
      <c r="AC111" s="1020">
        <f t="shared" si="644"/>
        <v>0.82590976304683927</v>
      </c>
      <c r="AD111" s="1020">
        <f t="shared" si="644"/>
        <v>0.71064053035723163</v>
      </c>
      <c r="AE111" s="1020">
        <f t="shared" si="644"/>
        <v>0.45226368630422176</v>
      </c>
      <c r="AF111" s="1020">
        <f t="shared" si="644"/>
        <v>-0.29700869811188912</v>
      </c>
      <c r="AG111" s="1020">
        <f t="shared" si="644"/>
        <v>8.2748185450509659E-2</v>
      </c>
      <c r="AH111" s="1020">
        <f t="shared" si="644"/>
        <v>-1.032315978456011</v>
      </c>
      <c r="AI111" s="1020">
        <f t="shared" si="644"/>
        <v>0.44516052034848652</v>
      </c>
      <c r="AJ111" s="1020">
        <f t="shared" si="644"/>
        <v>7.3666575573594351E-2</v>
      </c>
      <c r="AK111" s="1020">
        <f t="shared" si="644"/>
        <v>8.4298011279315688E-2</v>
      </c>
      <c r="AL111" s="1020">
        <f t="shared" si="644"/>
        <v>0.67856126032075359</v>
      </c>
      <c r="AM111" s="1020">
        <f t="shared" si="644"/>
        <v>-0.26511759438185845</v>
      </c>
      <c r="AN111" s="1020">
        <f t="shared" si="644"/>
        <v>4.3713006391565834E-2</v>
      </c>
      <c r="AO111" s="1020">
        <f t="shared" si="644"/>
        <v>0.24563060935285375</v>
      </c>
      <c r="AP111" s="1020">
        <f t="shared" si="644"/>
        <v>0.32513429459994914</v>
      </c>
      <c r="AQ111" s="1020">
        <f t="shared" si="644"/>
        <v>1.7519139542529816</v>
      </c>
      <c r="AR111" s="1020">
        <f t="shared" si="644"/>
        <v>0.80086779911372474</v>
      </c>
      <c r="AS111" s="1020">
        <f t="shared" si="644"/>
        <v>0.78534630795650262</v>
      </c>
      <c r="AT111" s="1020">
        <f t="shared" si="644"/>
        <v>-0.15334635830797083</v>
      </c>
      <c r="AU111" s="1020">
        <f t="shared" si="644"/>
        <v>0.95562052763904504</v>
      </c>
      <c r="AV111" s="1020">
        <f t="shared" si="644"/>
        <v>1.0615160974070781</v>
      </c>
      <c r="AW111" s="1020">
        <f t="shared" si="644"/>
        <v>-0.1438399696709558</v>
      </c>
      <c r="AX111" s="1020">
        <f t="shared" si="644"/>
        <v>2.3449538825737193E-2</v>
      </c>
      <c r="AY111" s="1020">
        <f t="shared" si="644"/>
        <v>0.81942506279653049</v>
      </c>
      <c r="AZ111" s="1020">
        <f t="shared" si="644"/>
        <v>7.1975107685839923E-2</v>
      </c>
      <c r="BA111" s="1020">
        <f t="shared" si="644"/>
        <v>0.5410848252816125</v>
      </c>
      <c r="BB111" s="1020">
        <f>(BB106/BA106-1)*100</f>
        <v>0.38849696796274813</v>
      </c>
      <c r="BC111" s="1020">
        <f>(BC106/BB106-1)*100</f>
        <v>1.1960620943694211</v>
      </c>
      <c r="BD111" s="1020">
        <f>(BD106/BC106-1)*100</f>
        <v>0.7106719967066244</v>
      </c>
      <c r="BE111" s="1020">
        <f t="shared" si="644"/>
        <v>0.89497972311565199</v>
      </c>
      <c r="BF111" s="1020">
        <f t="shared" ref="BF111:BM111" si="645">(BF106/BE106-1)*100</f>
        <v>0.85292392984699372</v>
      </c>
      <c r="BG111" s="1020">
        <f t="shared" si="645"/>
        <v>0.86791056609756279</v>
      </c>
      <c r="BH111" s="1020">
        <f t="shared" si="645"/>
        <v>0.37415108577176781</v>
      </c>
      <c r="BI111" s="788">
        <f t="shared" si="645"/>
        <v>-0.43436041473066123</v>
      </c>
      <c r="BJ111" s="788">
        <f t="shared" si="645"/>
        <v>-0.72779135249640969</v>
      </c>
      <c r="BK111" s="788">
        <f t="shared" si="645"/>
        <v>-0.90531675522641519</v>
      </c>
      <c r="BL111" s="788">
        <f t="shared" si="645"/>
        <v>0.21640406797005518</v>
      </c>
      <c r="BM111" s="788">
        <f t="shared" si="645"/>
        <v>0.25742216170792087</v>
      </c>
      <c r="BN111" s="788">
        <f t="shared" ref="BN111:BS111" si="646">(BN106/BM106-1)*100</f>
        <v>0.87320028434711983</v>
      </c>
      <c r="BO111" s="788">
        <f t="shared" si="646"/>
        <v>0.12726928497799328</v>
      </c>
      <c r="BP111" s="788">
        <f t="shared" si="646"/>
        <v>0.21954934607910648</v>
      </c>
      <c r="BQ111" s="788">
        <f t="shared" si="646"/>
        <v>0.38677623579723708</v>
      </c>
      <c r="BR111" s="788">
        <f t="shared" si="646"/>
        <v>0.55548014576132232</v>
      </c>
      <c r="BS111" s="788">
        <f t="shared" si="646"/>
        <v>9.6568194797774787E-2</v>
      </c>
      <c r="BT111" s="788">
        <f t="shared" ref="BT111:CH111" si="647">(BT106/BS106-1)*100</f>
        <v>0.48859934853420217</v>
      </c>
      <c r="BU111" s="788">
        <f t="shared" si="647"/>
        <v>0.30866427856177658</v>
      </c>
      <c r="BV111" s="788">
        <f t="shared" si="647"/>
        <v>0.38490037872549454</v>
      </c>
      <c r="BW111" s="788">
        <f t="shared" si="647"/>
        <v>5.2285169465449144E-2</v>
      </c>
      <c r="BX111" s="788">
        <f>(BX106/BW106-1)*100</f>
        <v>0.1711188302439659</v>
      </c>
      <c r="BY111" s="788">
        <f>(BY106/BX106-1)*100</f>
        <v>6.8535188216056753E-2</v>
      </c>
      <c r="BZ111" s="788">
        <f>(BZ106/BY106-1)*100</f>
        <v>-0.16764287977756309</v>
      </c>
      <c r="CA111" s="788">
        <f t="shared" si="647"/>
        <v>-4.8124673622551573E-2</v>
      </c>
      <c r="CB111" s="788">
        <f t="shared" si="647"/>
        <v>0.16185871168661325</v>
      </c>
      <c r="CC111" s="788">
        <f>(CC106/CB106-1)*100</f>
        <v>0.26694213185509685</v>
      </c>
      <c r="CD111" s="1701">
        <f t="shared" si="647"/>
        <v>-0.10506451777425596</v>
      </c>
      <c r="CE111" s="788">
        <f t="shared" si="647"/>
        <v>0.583057631826156</v>
      </c>
      <c r="CF111" s="788">
        <f t="shared" si="647"/>
        <v>0.46800605057715217</v>
      </c>
      <c r="CG111" s="788">
        <f>(CG106/CF106-1)*100</f>
        <v>2.0037589426457947</v>
      </c>
      <c r="CH111" s="1701">
        <f t="shared" si="647"/>
        <v>-0.87372581651756764</v>
      </c>
      <c r="CI111" s="788">
        <f t="shared" ref="CI111" si="648">(CI106/CH106-1)*100</f>
        <v>2.2235546894518565</v>
      </c>
      <c r="CJ111" s="788">
        <f t="shared" ref="CJ111" si="649">(CJ106/CI106-1)*100</f>
        <v>-2.4850914067846341</v>
      </c>
      <c r="CK111" s="788">
        <f>(CK106/CJ106-1)*100</f>
        <v>0.62256887356137991</v>
      </c>
      <c r="CL111" s="1701">
        <f t="shared" ref="CL111:CR111" si="650">(CL106/CK106-1)*100</f>
        <v>0.50613237154899515</v>
      </c>
      <c r="CM111" s="788">
        <f t="shared" si="650"/>
        <v>0.71274918960713141</v>
      </c>
      <c r="CN111" s="788">
        <f t="shared" si="650"/>
        <v>0.44293082404818218</v>
      </c>
      <c r="CO111" s="788">
        <f>(CO106/CN106-1)*100</f>
        <v>2.0774944632812709</v>
      </c>
      <c r="CP111" s="1701">
        <f t="shared" si="650"/>
        <v>-1.2182477967858873</v>
      </c>
      <c r="CQ111" s="788">
        <f t="shared" si="650"/>
        <v>0.17201667687103406</v>
      </c>
      <c r="CR111" s="788">
        <f t="shared" si="650"/>
        <v>0.50837262549234818</v>
      </c>
      <c r="CS111" s="788">
        <f>(CS106/CR106-1)*100</f>
        <v>0.4807042607000378</v>
      </c>
      <c r="CT111" s="788">
        <f>(CT106/CS106-1)*100</f>
        <v>0.25553335382724196</v>
      </c>
      <c r="CU111" s="1701">
        <f t="shared" ref="CU111" si="651">(CU106/CT106-1)*100</f>
        <v>0.50355800003831774</v>
      </c>
      <c r="CV111" s="1701">
        <f t="shared" ref="CV111" si="652">(CV106/CU106-1)*100</f>
        <v>0.51961113247069868</v>
      </c>
      <c r="CW111" s="1701">
        <f t="shared" ref="CW111" si="653">(CW106/CV106-1)*100</f>
        <v>0.52286761830309114</v>
      </c>
      <c r="CX111" s="1701">
        <f t="shared" ref="CX111" si="654">(CX106/CW106-1)*100</f>
        <v>0.52613168181772085</v>
      </c>
      <c r="CY111" s="1701">
        <f t="shared" ref="CY111" si="655">(CY106/CX106-1)*100</f>
        <v>0.42675568179741941</v>
      </c>
      <c r="CZ111" s="1701">
        <f t="shared" ref="CZ111" si="656">(CZ106/CY106-1)*100</f>
        <v>0.42437861149153822</v>
      </c>
      <c r="DA111" s="1701">
        <f t="shared" ref="DA111" si="657">(DA106/CZ106-1)*100</f>
        <v>0.40407966192754774</v>
      </c>
      <c r="DB111" s="1701">
        <f t="shared" ref="DB111" si="658">(DB106/DA106-1)*100</f>
        <v>0.39910377553002974</v>
      </c>
    </row>
    <row r="112" spans="1:106">
      <c r="C112" s="1458"/>
      <c r="D112" s="1487"/>
      <c r="E112" s="1488" t="s">
        <v>74</v>
      </c>
      <c r="F112" s="1562"/>
      <c r="G112" s="1489"/>
      <c r="H112" s="1489"/>
      <c r="I112" s="1489"/>
      <c r="J112" s="1489"/>
      <c r="K112" s="1489"/>
      <c r="L112" s="1489"/>
      <c r="M112" s="1489"/>
      <c r="N112" s="1492">
        <f>N107/J107*100-100</f>
        <v>1.7022412674380547</v>
      </c>
      <c r="O112" s="1489"/>
      <c r="P112" s="1489"/>
      <c r="Q112" s="1489"/>
      <c r="R112" s="1492">
        <f>R107/N107*100-100</f>
        <v>2.5141140622248201</v>
      </c>
      <c r="S112" s="1489"/>
      <c r="T112" s="1489"/>
      <c r="U112" s="1489"/>
      <c r="V112" s="1492">
        <f>V107/R107*100-100</f>
        <v>2.4498633742508389</v>
      </c>
      <c r="W112" s="1489"/>
      <c r="X112" s="1489"/>
      <c r="Y112" s="1489"/>
      <c r="Z112" s="1492">
        <f>Z107/V107*100-100</f>
        <v>2.3726132282916268</v>
      </c>
      <c r="AA112" s="1489"/>
      <c r="AB112" s="1489"/>
      <c r="AC112" s="1489"/>
      <c r="AD112" s="1492">
        <f>AD107/Z107*100-100</f>
        <v>3.2580880444054827</v>
      </c>
      <c r="AE112" s="1489"/>
      <c r="AF112" s="1489"/>
      <c r="AG112" s="1489"/>
      <c r="AH112" s="1492">
        <f>AH107/AD107*100-100</f>
        <v>1.1337719166970857</v>
      </c>
      <c r="AI112" s="1489"/>
      <c r="AJ112" s="1489"/>
      <c r="AK112" s="1489"/>
      <c r="AL112" s="1492">
        <f>AL107/AH107*100-100</f>
        <v>-0.10121517398945912</v>
      </c>
      <c r="AM112" s="1489"/>
      <c r="AN112" s="1489"/>
      <c r="AO112" s="1489"/>
      <c r="AP112" s="1492">
        <f>AP107/AL107*100-100</f>
        <v>0.54006493814284795</v>
      </c>
      <c r="AQ112" s="1489"/>
      <c r="AR112" s="1489"/>
      <c r="AS112" s="1489"/>
      <c r="AT112" s="1492">
        <f>AT107/AP107*100-100</f>
        <v>3.1139594843462248</v>
      </c>
      <c r="AU112" s="1489"/>
      <c r="AV112" s="1489"/>
      <c r="AW112" s="1489"/>
      <c r="AX112" s="1492">
        <f>AX107/AT107*100-100</f>
        <v>2.1746398699216627</v>
      </c>
      <c r="AY112" s="1489"/>
      <c r="AZ112" s="1489"/>
      <c r="BA112" s="914"/>
      <c r="BB112" s="1526">
        <f>BB107/AX107*100-100</f>
        <v>1.456846956954621</v>
      </c>
      <c r="BC112" s="914"/>
      <c r="BD112" s="914"/>
      <c r="BE112" s="914"/>
      <c r="BF112" s="1526">
        <f>BF107/BB107*100-100</f>
        <v>3.0041735352655365</v>
      </c>
      <c r="BG112" s="914"/>
      <c r="BH112" s="914"/>
      <c r="BI112" s="914"/>
      <c r="BJ112" s="1526">
        <f>BJ107/BF107*100-100</f>
        <v>2.0202858213348946</v>
      </c>
      <c r="BK112" s="914"/>
      <c r="BL112" s="914"/>
      <c r="BM112" s="914"/>
      <c r="BN112" s="3025">
        <f>BN107/BJ107*100-100</f>
        <v>-1.0673934770689897</v>
      </c>
      <c r="BO112" s="914"/>
      <c r="BP112" s="914"/>
      <c r="BQ112" s="914"/>
      <c r="BR112" s="3025">
        <f>BR107/BN107*100-100</f>
        <v>1.4681550617807773</v>
      </c>
      <c r="BS112" s="914"/>
      <c r="BT112" s="914"/>
      <c r="BU112" s="914"/>
      <c r="BV112" s="3025">
        <f>BV107/BR107*100-100</f>
        <v>1.384980022316455</v>
      </c>
      <c r="BW112" s="914"/>
      <c r="BX112" s="914"/>
      <c r="BY112" s="914"/>
      <c r="BZ112" s="3025">
        <f>BZ107/BV107*100-100</f>
        <v>0.73870358294436755</v>
      </c>
      <c r="CA112" s="914"/>
      <c r="CB112" s="914"/>
      <c r="CC112" s="914"/>
      <c r="CD112" s="3025">
        <f>CD107/BZ107*100-100</f>
        <v>0.13151060656070968</v>
      </c>
      <c r="CE112" s="914"/>
      <c r="CF112" s="914"/>
      <c r="CG112" s="914"/>
      <c r="CH112" s="3025">
        <f>CH107/CD107*100-100</f>
        <v>1.8198217995334005</v>
      </c>
      <c r="CI112" s="914"/>
      <c r="CJ112" s="914"/>
      <c r="CK112" s="914"/>
      <c r="CL112" s="3025">
        <f>CL107/CH107*100-100</f>
        <v>1.2058351883035527</v>
      </c>
      <c r="CM112" s="914"/>
      <c r="CN112" s="914"/>
      <c r="CO112" s="914"/>
      <c r="CP112" s="3025">
        <f>CP107/CL107*100-100</f>
        <v>1.8401424306443914</v>
      </c>
      <c r="CQ112" s="914"/>
      <c r="CR112" s="914"/>
      <c r="CS112" s="914"/>
      <c r="CT112" s="3025">
        <f>CT107/CP107*100-100</f>
        <v>1.0774156633106315</v>
      </c>
      <c r="CU112" s="914"/>
      <c r="CV112" s="914"/>
      <c r="CW112" s="914"/>
      <c r="CX112" s="3025">
        <f>CX107/CT107*100-100</f>
        <v>1.8585199885123842</v>
      </c>
      <c r="CY112" s="914"/>
      <c r="CZ112" s="914"/>
      <c r="DA112" s="914"/>
      <c r="DB112" s="3025">
        <f>DB107/CX107*100-100</f>
        <v>1.8446998579219525</v>
      </c>
    </row>
    <row r="113" spans="1:106" s="749" customFormat="1" ht="12.75" customHeight="1">
      <c r="A113" s="714"/>
      <c r="B113" s="714"/>
      <c r="C113" s="716"/>
      <c r="D113" s="766"/>
      <c r="E113" s="1502" t="s">
        <v>675</v>
      </c>
      <c r="F113" s="766"/>
      <c r="G113" s="1490"/>
      <c r="H113" s="1490"/>
      <c r="I113" s="1490"/>
      <c r="J113" s="1491"/>
      <c r="K113" s="1490"/>
      <c r="L113" s="1490"/>
      <c r="M113" s="1490"/>
      <c r="N113" s="1493">
        <f ca="1">N108/J108*100-100</f>
        <v>1.7204031923559739</v>
      </c>
      <c r="O113" s="1490"/>
      <c r="P113" s="1490"/>
      <c r="Q113" s="1490"/>
      <c r="R113" s="1493">
        <f ca="1">R108/N108*100-100</f>
        <v>2.6010779873298304</v>
      </c>
      <c r="S113" s="1490"/>
      <c r="T113" s="1490"/>
      <c r="U113" s="1490"/>
      <c r="V113" s="1493">
        <f ca="1">V108/R108*100-100</f>
        <v>2.4700555038207312</v>
      </c>
      <c r="W113" s="1490"/>
      <c r="X113" s="1490"/>
      <c r="Y113" s="1490"/>
      <c r="Z113" s="1493">
        <f ca="1">Z108/V108*100-100</f>
        <v>2.3713325300849277</v>
      </c>
      <c r="AA113" s="1490"/>
      <c r="AB113" s="1490"/>
      <c r="AC113" s="1490"/>
      <c r="AD113" s="1493">
        <f ca="1">AD108/Z108*100-100</f>
        <v>3.2606319621173441</v>
      </c>
      <c r="AE113" s="1490"/>
      <c r="AF113" s="1490"/>
      <c r="AG113" s="1490"/>
      <c r="AH113" s="1493">
        <f ca="1">AH108/AD108*100-100</f>
        <v>1.1561671466797208</v>
      </c>
      <c r="AI113" s="1490"/>
      <c r="AJ113" s="1490"/>
      <c r="AK113" s="1490"/>
      <c r="AL113" s="1493">
        <f ca="1">AL108/AH108*100-100</f>
        <v>-0.19678502441054491</v>
      </c>
      <c r="AM113" s="1490"/>
      <c r="AN113" s="1490"/>
      <c r="AO113" s="1490"/>
      <c r="AP113" s="1493">
        <f ca="1">AP108/AL108*100-100</f>
        <v>0.51967657416074076</v>
      </c>
      <c r="AQ113" s="1490"/>
      <c r="AR113" s="1490"/>
      <c r="AS113" s="1490"/>
      <c r="AT113" s="1493">
        <f ca="1">AT108/AP108*100-100</f>
        <v>3.1539157441510923</v>
      </c>
      <c r="AU113" s="1490"/>
      <c r="AV113" s="1490"/>
      <c r="AW113" s="1490"/>
      <c r="AX113" s="1493">
        <f ca="1">AX108/AT108*100-100</f>
        <v>2.1910334550508281</v>
      </c>
      <c r="AY113" s="1490"/>
      <c r="AZ113" s="1490"/>
      <c r="BA113" s="838"/>
      <c r="BB113" s="1527">
        <f ca="1">BB108/AX108*100-100</f>
        <v>1.463100697164748</v>
      </c>
      <c r="BC113" s="838"/>
      <c r="BD113" s="838"/>
      <c r="BE113" s="838"/>
      <c r="BF113" s="1527">
        <f ca="1">BF108/BB108*100-100</f>
        <v>3.0253283478656385</v>
      </c>
      <c r="BG113" s="838"/>
      <c r="BH113" s="838"/>
      <c r="BI113" s="838"/>
      <c r="BJ113" s="1527">
        <f ca="1">'VVP1'!BT10</f>
        <v>2.0084499237601028</v>
      </c>
      <c r="BK113" s="838"/>
      <c r="BL113" s="838"/>
      <c r="BM113" s="838"/>
      <c r="BN113" s="3026">
        <f ca="1">'VVP1'!BY10</f>
        <v>-1.1098074209447972</v>
      </c>
      <c r="BO113" s="838"/>
      <c r="BP113" s="838"/>
      <c r="BQ113" s="838"/>
      <c r="BR113" s="3026">
        <f ca="1">'VVP1'!CD10</f>
        <v>1.471383126055481</v>
      </c>
      <c r="BS113" s="838"/>
      <c r="BT113" s="838"/>
      <c r="BU113" s="838"/>
      <c r="BV113" s="3026">
        <f ca="1">'VVP1'!CI10</f>
        <v>1.4281191616104305</v>
      </c>
      <c r="BW113" s="838"/>
      <c r="BX113" s="838"/>
      <c r="BY113" s="838"/>
      <c r="BZ113" s="3026">
        <f ca="1">'VVP1'!CN10</f>
        <v>0.69537185681849412</v>
      </c>
      <c r="CA113" s="838"/>
      <c r="CB113" s="838"/>
      <c r="CC113" s="838"/>
      <c r="CD113" s="3026">
        <f ca="1">'VVP1'!CS10</f>
        <v>0.12833753709367013</v>
      </c>
      <c r="CE113" s="838"/>
      <c r="CF113" s="838"/>
      <c r="CG113" s="838"/>
      <c r="CH113" s="3026">
        <f ca="1">'VVP1'!CX10</f>
        <v>1.8243156541640104</v>
      </c>
      <c r="CI113" s="838"/>
      <c r="CJ113" s="838"/>
      <c r="CK113" s="838"/>
      <c r="CL113" s="3026">
        <f ca="1">'VVP1'!DB10</f>
        <v>2.3726458098228376</v>
      </c>
      <c r="CM113" s="838"/>
      <c r="CN113" s="838"/>
      <c r="CO113" s="838"/>
      <c r="CP113" s="3026">
        <f ca="1">'VVP1'!DH10</f>
        <v>1.8401917466891682</v>
      </c>
      <c r="CQ113" s="838"/>
      <c r="CR113" s="838"/>
      <c r="CS113" s="838"/>
      <c r="CT113" s="3026">
        <f ca="1">'VVP1'!DM10</f>
        <v>1.0773688930868941</v>
      </c>
      <c r="CU113" s="838"/>
      <c r="CV113" s="838"/>
      <c r="CW113" s="838"/>
      <c r="CX113" s="3026">
        <f ca="1">'VVP1'!DR10</f>
        <v>1.8557061652820339</v>
      </c>
      <c r="CY113" s="838"/>
      <c r="CZ113" s="838"/>
      <c r="DA113" s="838"/>
      <c r="DB113" s="3026">
        <f ca="1">'VVP1'!DW10</f>
        <v>1.8160858898058185</v>
      </c>
    </row>
    <row r="114" spans="1:106">
      <c r="AY114" s="218"/>
      <c r="BO114" s="577"/>
      <c r="BP114" s="577"/>
      <c r="BQ114" s="577"/>
      <c r="BR114" s="577"/>
      <c r="BS114" s="577"/>
      <c r="BT114" s="577"/>
      <c r="BU114" s="577"/>
      <c r="BV114" s="577"/>
      <c r="BW114" s="577"/>
      <c r="BX114" s="577"/>
      <c r="BY114" s="577"/>
      <c r="BZ114" s="577"/>
      <c r="CA114" s="577"/>
      <c r="CB114" s="577"/>
      <c r="CC114" s="577"/>
      <c r="CD114" s="577"/>
      <c r="CE114" s="577"/>
      <c r="CF114" s="577"/>
      <c r="CG114" s="577"/>
      <c r="CH114" s="577"/>
      <c r="CI114" s="577"/>
      <c r="CJ114" s="577"/>
      <c r="CK114" s="577"/>
      <c r="CL114" s="577"/>
      <c r="CM114" s="577"/>
      <c r="CN114" s="577"/>
      <c r="CO114" s="577"/>
      <c r="CP114" s="577"/>
      <c r="CQ114" s="577"/>
      <c r="CR114" s="577"/>
      <c r="CS114" s="577"/>
      <c r="CT114" s="577"/>
      <c r="CU114" s="577"/>
      <c r="CV114" s="577"/>
      <c r="CW114" s="577"/>
      <c r="CX114" s="577"/>
      <c r="CY114" s="577"/>
      <c r="CZ114" s="577"/>
      <c r="DA114" s="577"/>
      <c r="DB114" s="577"/>
    </row>
    <row r="115" spans="1:106" s="749" customFormat="1" ht="12.75" customHeight="1">
      <c r="A115" s="714"/>
      <c r="B115" s="714"/>
      <c r="C115" s="716"/>
      <c r="D115" s="898"/>
      <c r="E115" s="899"/>
      <c r="F115" s="900"/>
      <c r="G115" s="1494" t="str">
        <f t="shared" ref="G115:N115" si="659">G110</f>
        <v>Q1</v>
      </c>
      <c r="H115" s="1494" t="str">
        <f t="shared" si="659"/>
        <v>Q2</v>
      </c>
      <c r="I115" s="1494" t="str">
        <f t="shared" si="659"/>
        <v>Q3</v>
      </c>
      <c r="J115" s="1494" t="str">
        <f t="shared" si="659"/>
        <v>Q4</v>
      </c>
      <c r="K115" s="1499" t="str">
        <f t="shared" si="659"/>
        <v>Q1</v>
      </c>
      <c r="L115" s="1494" t="str">
        <f t="shared" si="659"/>
        <v>Q2</v>
      </c>
      <c r="M115" s="1494" t="str">
        <f t="shared" si="659"/>
        <v>Q3</v>
      </c>
      <c r="N115" s="1500" t="str">
        <f t="shared" si="659"/>
        <v>Q4</v>
      </c>
      <c r="O115" s="1499" t="str">
        <f t="shared" ref="O115:AX115" si="660">O110</f>
        <v>Q1</v>
      </c>
      <c r="P115" s="1494" t="str">
        <f t="shared" si="660"/>
        <v>Q2</v>
      </c>
      <c r="Q115" s="1494" t="str">
        <f t="shared" si="660"/>
        <v>Q3</v>
      </c>
      <c r="R115" s="1500" t="str">
        <f t="shared" si="660"/>
        <v>Q4</v>
      </c>
      <c r="S115" s="1499" t="str">
        <f t="shared" si="660"/>
        <v>Q1</v>
      </c>
      <c r="T115" s="1494" t="str">
        <f t="shared" si="660"/>
        <v>Q2</v>
      </c>
      <c r="U115" s="1494" t="str">
        <f t="shared" si="660"/>
        <v>Q3</v>
      </c>
      <c r="V115" s="1500" t="str">
        <f t="shared" si="660"/>
        <v>Q4</v>
      </c>
      <c r="W115" s="1499" t="str">
        <f t="shared" si="660"/>
        <v>Q1</v>
      </c>
      <c r="X115" s="1494" t="str">
        <f t="shared" si="660"/>
        <v>Q2</v>
      </c>
      <c r="Y115" s="1494" t="str">
        <f t="shared" si="660"/>
        <v>Q3</v>
      </c>
      <c r="Z115" s="1500" t="str">
        <f t="shared" si="660"/>
        <v>Q4</v>
      </c>
      <c r="AA115" s="1499" t="str">
        <f t="shared" si="660"/>
        <v>Q1</v>
      </c>
      <c r="AB115" s="1494" t="str">
        <f t="shared" si="660"/>
        <v>Q2</v>
      </c>
      <c r="AC115" s="1494" t="str">
        <f t="shared" si="660"/>
        <v>Q3</v>
      </c>
      <c r="AD115" s="1500" t="str">
        <f t="shared" si="660"/>
        <v>Q4</v>
      </c>
      <c r="AE115" s="1499" t="str">
        <f t="shared" si="660"/>
        <v>Q1</v>
      </c>
      <c r="AF115" s="1494" t="str">
        <f t="shared" si="660"/>
        <v>Q2</v>
      </c>
      <c r="AG115" s="1494" t="str">
        <f t="shared" si="660"/>
        <v>Q3</v>
      </c>
      <c r="AH115" s="1500" t="str">
        <f t="shared" si="660"/>
        <v>Q4</v>
      </c>
      <c r="AI115" s="1499" t="str">
        <f t="shared" si="660"/>
        <v>Q1</v>
      </c>
      <c r="AJ115" s="1494" t="str">
        <f t="shared" si="660"/>
        <v>Q2</v>
      </c>
      <c r="AK115" s="1494" t="str">
        <f t="shared" si="660"/>
        <v>Q3</v>
      </c>
      <c r="AL115" s="1500" t="str">
        <f t="shared" si="660"/>
        <v>Q4</v>
      </c>
      <c r="AM115" s="1499" t="str">
        <f t="shared" si="660"/>
        <v>Q1</v>
      </c>
      <c r="AN115" s="1494" t="str">
        <f t="shared" si="660"/>
        <v>Q2</v>
      </c>
      <c r="AO115" s="1494" t="str">
        <f t="shared" si="660"/>
        <v>Q3</v>
      </c>
      <c r="AP115" s="1500" t="str">
        <f t="shared" si="660"/>
        <v>Q4</v>
      </c>
      <c r="AQ115" s="1499" t="str">
        <f t="shared" si="660"/>
        <v>Q1</v>
      </c>
      <c r="AR115" s="1494" t="str">
        <f t="shared" si="660"/>
        <v>Q2</v>
      </c>
      <c r="AS115" s="1494" t="str">
        <f t="shared" si="660"/>
        <v>Q3</v>
      </c>
      <c r="AT115" s="1500" t="str">
        <f t="shared" si="660"/>
        <v>Q4</v>
      </c>
      <c r="AU115" s="1499" t="str">
        <f t="shared" si="660"/>
        <v>Q1</v>
      </c>
      <c r="AV115" s="1494" t="str">
        <f t="shared" si="660"/>
        <v>Q2</v>
      </c>
      <c r="AW115" s="1494" t="str">
        <f t="shared" si="660"/>
        <v>Q3</v>
      </c>
      <c r="AX115" s="1500" t="str">
        <f t="shared" si="660"/>
        <v>Q4</v>
      </c>
      <c r="AY115" s="1499" t="str">
        <f t="shared" ref="AY115:BF115" si="661">AY110</f>
        <v>Q1</v>
      </c>
      <c r="AZ115" s="1494" t="str">
        <f t="shared" si="661"/>
        <v>Q2</v>
      </c>
      <c r="BA115" s="1494" t="str">
        <f t="shared" si="661"/>
        <v>Q3</v>
      </c>
      <c r="BB115" s="1500" t="str">
        <f t="shared" si="661"/>
        <v>Q4</v>
      </c>
      <c r="BC115" s="1499" t="str">
        <f t="shared" si="661"/>
        <v>Q1</v>
      </c>
      <c r="BD115" s="1494" t="str">
        <f t="shared" si="661"/>
        <v>Q2</v>
      </c>
      <c r="BE115" s="1494" t="str">
        <f t="shared" si="661"/>
        <v>Q3</v>
      </c>
      <c r="BF115" s="1500" t="str">
        <f t="shared" si="661"/>
        <v>Q4</v>
      </c>
      <c r="BG115" s="1499" t="str">
        <f t="shared" ref="BG115:BN115" si="662">BG110</f>
        <v>Q1</v>
      </c>
      <c r="BH115" s="1494" t="str">
        <f t="shared" si="662"/>
        <v>Q2</v>
      </c>
      <c r="BI115" s="1494" t="str">
        <f t="shared" si="662"/>
        <v>Q3</v>
      </c>
      <c r="BJ115" s="1500" t="str">
        <f t="shared" si="662"/>
        <v>Q4</v>
      </c>
      <c r="BK115" s="1499" t="str">
        <f t="shared" si="662"/>
        <v>Q1</v>
      </c>
      <c r="BL115" s="1494" t="str">
        <f t="shared" si="662"/>
        <v>Q2</v>
      </c>
      <c r="BM115" s="1494" t="str">
        <f t="shared" si="662"/>
        <v>Q3</v>
      </c>
      <c r="BN115" s="1500" t="str">
        <f t="shared" si="662"/>
        <v>Q4</v>
      </c>
      <c r="BO115" s="1499" t="str">
        <f>BO110</f>
        <v>Q1</v>
      </c>
      <c r="BP115" s="1494" t="str">
        <f>BP110</f>
        <v>Q2</v>
      </c>
      <c r="BQ115" s="1494" t="str">
        <f t="shared" ref="BQ115:BV115" si="663">BQ110</f>
        <v>Q3</v>
      </c>
      <c r="BR115" s="1500" t="str">
        <f t="shared" si="663"/>
        <v>Q4</v>
      </c>
      <c r="BS115" s="1499" t="str">
        <f t="shared" si="663"/>
        <v>Q1</v>
      </c>
      <c r="BT115" s="1494" t="str">
        <f t="shared" si="663"/>
        <v>Q2</v>
      </c>
      <c r="BU115" s="1494" t="str">
        <f t="shared" si="663"/>
        <v>Q3</v>
      </c>
      <c r="BV115" s="1500" t="str">
        <f t="shared" si="663"/>
        <v>Q4</v>
      </c>
      <c r="BW115" s="1499" t="str">
        <f t="shared" ref="BW115:CD115" si="664">BW110</f>
        <v>Q1</v>
      </c>
      <c r="BX115" s="1494" t="str">
        <f t="shared" si="664"/>
        <v>Q2</v>
      </c>
      <c r="BY115" s="1494" t="str">
        <f t="shared" si="664"/>
        <v>Q3</v>
      </c>
      <c r="BZ115" s="1500" t="str">
        <f t="shared" si="664"/>
        <v>Q4</v>
      </c>
      <c r="CA115" s="1499" t="str">
        <f>CA110</f>
        <v>Q1</v>
      </c>
      <c r="CB115" s="1494" t="str">
        <f t="shared" si="664"/>
        <v>Q2</v>
      </c>
      <c r="CC115" s="1494" t="str">
        <f t="shared" ref="CC115" si="665">CC110</f>
        <v>Q3</v>
      </c>
      <c r="CD115" s="1500" t="str">
        <f t="shared" si="664"/>
        <v>Q4</v>
      </c>
      <c r="CE115" s="1499" t="str">
        <f>CE110</f>
        <v>Q1</v>
      </c>
      <c r="CF115" s="1494" t="str">
        <f t="shared" ref="CF115:CH115" si="666">CF110</f>
        <v>Q2</v>
      </c>
      <c r="CG115" s="1494" t="str">
        <f t="shared" si="666"/>
        <v>Q3</v>
      </c>
      <c r="CH115" s="1500" t="str">
        <f t="shared" si="666"/>
        <v>Q4</v>
      </c>
      <c r="CI115" s="1499" t="str">
        <f>CI110</f>
        <v>Q1</v>
      </c>
      <c r="CJ115" s="1494" t="str">
        <f t="shared" ref="CJ115:CL115" si="667">CJ110</f>
        <v>Q2</v>
      </c>
      <c r="CK115" s="1494" t="str">
        <f t="shared" si="667"/>
        <v>Q3</v>
      </c>
      <c r="CL115" s="1500" t="str">
        <f t="shared" si="667"/>
        <v>Q4</v>
      </c>
      <c r="CM115" s="1499" t="str">
        <f>CM110</f>
        <v>Q1</v>
      </c>
      <c r="CN115" s="1494" t="str">
        <f t="shared" ref="CN115:CP115" si="668">CN110</f>
        <v>Q2</v>
      </c>
      <c r="CO115" s="1494" t="str">
        <f t="shared" si="668"/>
        <v>Q3</v>
      </c>
      <c r="CP115" s="1500" t="str">
        <f t="shared" si="668"/>
        <v>Q4</v>
      </c>
      <c r="CQ115" s="1499" t="str">
        <f>CQ110</f>
        <v>Q1</v>
      </c>
      <c r="CR115" s="1494" t="str">
        <f t="shared" ref="CR115:CS115" si="669">CR110</f>
        <v>Q2</v>
      </c>
      <c r="CS115" s="1494" t="str">
        <f t="shared" si="669"/>
        <v>Q3</v>
      </c>
      <c r="CT115" s="1500" t="str">
        <f t="shared" ref="CT115" si="670">CT110</f>
        <v>Q4</v>
      </c>
      <c r="CU115" s="1499" t="str">
        <f t="shared" ref="CU115:CX115" si="671">CU110</f>
        <v>Q1</v>
      </c>
      <c r="CV115" s="1494" t="str">
        <f t="shared" si="671"/>
        <v>Q2</v>
      </c>
      <c r="CW115" s="1494" t="str">
        <f t="shared" si="671"/>
        <v>Q3</v>
      </c>
      <c r="CX115" s="1500" t="str">
        <f t="shared" si="671"/>
        <v>Q4</v>
      </c>
      <c r="CY115" s="1499" t="str">
        <f t="shared" ref="CY115:DB115" si="672">CY110</f>
        <v>Q1</v>
      </c>
      <c r="CZ115" s="1494" t="str">
        <f t="shared" si="672"/>
        <v>Q2</v>
      </c>
      <c r="DA115" s="1494" t="str">
        <f t="shared" si="672"/>
        <v>Q3</v>
      </c>
      <c r="DB115" s="1500" t="str">
        <f t="shared" si="672"/>
        <v>Q4</v>
      </c>
    </row>
    <row r="116" spans="1:106" s="749" customFormat="1" ht="12.75" customHeight="1">
      <c r="A116" s="714"/>
      <c r="B116" s="714"/>
      <c r="C116" s="902"/>
      <c r="D116" s="903"/>
      <c r="E116" s="904" t="s">
        <v>676</v>
      </c>
      <c r="F116" s="905"/>
      <c r="G116" s="755"/>
      <c r="H116" s="755"/>
      <c r="I116" s="755"/>
      <c r="J116" s="755"/>
      <c r="K116" s="1469">
        <f t="shared" ref="K116:AX116" si="673">(K106/G106-1)*100</f>
        <v>2.1235838213562452</v>
      </c>
      <c r="L116" s="1469">
        <f t="shared" si="673"/>
        <v>1.6864595195488219</v>
      </c>
      <c r="M116" s="1469">
        <f t="shared" si="673"/>
        <v>1.4647334158282677</v>
      </c>
      <c r="N116" s="1469">
        <f t="shared" si="673"/>
        <v>1.5420035337581073</v>
      </c>
      <c r="O116" s="1469">
        <f t="shared" si="673"/>
        <v>2.2348464547939484</v>
      </c>
      <c r="P116" s="1469">
        <f t="shared" si="673"/>
        <v>2.7143771331058053</v>
      </c>
      <c r="Q116" s="1469">
        <f t="shared" si="673"/>
        <v>2.4470750427509014</v>
      </c>
      <c r="R116" s="1469">
        <f t="shared" si="673"/>
        <v>2.65752702346429</v>
      </c>
      <c r="S116" s="1469">
        <f t="shared" si="673"/>
        <v>2.3393269029146513</v>
      </c>
      <c r="T116" s="1469">
        <f t="shared" si="673"/>
        <v>2.1169721198276203</v>
      </c>
      <c r="U116" s="1469">
        <f t="shared" si="673"/>
        <v>2.7664557535292511</v>
      </c>
      <c r="V116" s="1469">
        <f t="shared" si="673"/>
        <v>2.5733216908931933</v>
      </c>
      <c r="W116" s="1469">
        <f t="shared" si="673"/>
        <v>2.5560578314487215</v>
      </c>
      <c r="X116" s="1469">
        <f t="shared" si="673"/>
        <v>2.5802351445821436</v>
      </c>
      <c r="Y116" s="1469">
        <f t="shared" si="673"/>
        <v>2.3142493798869346</v>
      </c>
      <c r="Z116" s="1469">
        <f t="shared" si="673"/>
        <v>2.0468202303455252</v>
      </c>
      <c r="AA116" s="1469">
        <f t="shared" si="673"/>
        <v>3.1316725978647764</v>
      </c>
      <c r="AB116" s="1469">
        <f t="shared" si="673"/>
        <v>3.0679635710302966</v>
      </c>
      <c r="AC116" s="1469">
        <f t="shared" si="673"/>
        <v>3.2107212739511892</v>
      </c>
      <c r="AD116" s="1469">
        <f t="shared" si="673"/>
        <v>3.6177390664294817</v>
      </c>
      <c r="AE116" s="1469">
        <f t="shared" si="673"/>
        <v>2.7278340779484989</v>
      </c>
      <c r="AF116" s="1469">
        <f t="shared" si="673"/>
        <v>1.69870523316622</v>
      </c>
      <c r="AG116" s="1469">
        <f t="shared" si="673"/>
        <v>0.94911050698718302</v>
      </c>
      <c r="AH116" s="1469">
        <f t="shared" si="673"/>
        <v>-0.79797310096608731</v>
      </c>
      <c r="AI116" s="1469">
        <f t="shared" si="673"/>
        <v>-0.80498786035877457</v>
      </c>
      <c r="AJ116" s="1469">
        <f t="shared" si="673"/>
        <v>-0.4362011490176565</v>
      </c>
      <c r="AK116" s="1469">
        <f t="shared" si="673"/>
        <v>-0.43465935934989819</v>
      </c>
      <c r="AL116" s="1469">
        <f t="shared" si="673"/>
        <v>1.2865497076023358</v>
      </c>
      <c r="AM116" s="1469">
        <f t="shared" si="673"/>
        <v>0.57032187540844159</v>
      </c>
      <c r="AN116" s="1469">
        <f t="shared" si="673"/>
        <v>0.54021964974770853</v>
      </c>
      <c r="AO116" s="1469">
        <f t="shared" si="673"/>
        <v>0.70228717851381628</v>
      </c>
      <c r="AP116" s="1469">
        <f t="shared" si="673"/>
        <v>0.34877692416459549</v>
      </c>
      <c r="AQ116" s="1469">
        <f t="shared" si="673"/>
        <v>2.3782238342213935</v>
      </c>
      <c r="AR116" s="1469">
        <f t="shared" si="673"/>
        <v>3.1530467642890692</v>
      </c>
      <c r="AS116" s="1469">
        <f t="shared" si="673"/>
        <v>3.7084157949297758</v>
      </c>
      <c r="AT116" s="1469">
        <f t="shared" si="673"/>
        <v>3.2137992579023944</v>
      </c>
      <c r="AU116" s="1469">
        <f t="shared" si="673"/>
        <v>2.4060653618906969</v>
      </c>
      <c r="AV116" s="1469">
        <f t="shared" si="673"/>
        <v>2.670864338866652</v>
      </c>
      <c r="AW116" s="1469">
        <f t="shared" si="673"/>
        <v>1.7242946067517861</v>
      </c>
      <c r="AX116" s="1469">
        <f t="shared" si="673"/>
        <v>1.9044151943663934</v>
      </c>
      <c r="AY116" s="1469">
        <f t="shared" ref="AY116:BF116" si="674">(AY106/AU106-1)*100</f>
        <v>1.7669397460024161</v>
      </c>
      <c r="AZ116" s="1469">
        <f t="shared" si="674"/>
        <v>0.77049162048548059</v>
      </c>
      <c r="BA116" s="1469">
        <f t="shared" si="674"/>
        <v>1.4616879201375665</v>
      </c>
      <c r="BB116" s="1469">
        <f t="shared" si="674"/>
        <v>1.831984370639117</v>
      </c>
      <c r="BC116" s="1469">
        <f t="shared" si="674"/>
        <v>2.2124040793276567</v>
      </c>
      <c r="BD116" s="1469">
        <f t="shared" si="674"/>
        <v>2.8647619890676435</v>
      </c>
      <c r="BE116" s="1469">
        <f t="shared" si="674"/>
        <v>3.2268360058549606</v>
      </c>
      <c r="BF116" s="1469">
        <f t="shared" si="674"/>
        <v>3.7043939659708869</v>
      </c>
      <c r="BG116" s="1470">
        <f t="shared" ref="BG116:BN116" si="675">(BG106/BC106-1)*100</f>
        <v>3.3681085941477784</v>
      </c>
      <c r="BH116" s="1470">
        <f t="shared" si="675"/>
        <v>3.0227079590805062</v>
      </c>
      <c r="BI116" s="1470">
        <f t="shared" si="675"/>
        <v>1.6653339730262839</v>
      </c>
      <c r="BJ116" s="1470">
        <f t="shared" si="675"/>
        <v>7.1885406205396407E-2</v>
      </c>
      <c r="BK116" s="1470">
        <f t="shared" si="675"/>
        <v>-1.6873480338727154</v>
      </c>
      <c r="BL116" s="1470">
        <f t="shared" si="675"/>
        <v>-1.8418552201559857</v>
      </c>
      <c r="BM116" s="1470">
        <f t="shared" si="675"/>
        <v>-1.1598519248717909</v>
      </c>
      <c r="BN116" s="1470">
        <f t="shared" si="675"/>
        <v>0.43417174608877396</v>
      </c>
      <c r="BO116" s="1470">
        <f>(BO106/BK106-1)*100</f>
        <v>1.4807155192631427</v>
      </c>
      <c r="BP116" s="1470">
        <f>(BP106/BL106-1)*100</f>
        <v>1.483900477613842</v>
      </c>
      <c r="BQ116" s="1470">
        <f t="shared" ref="BQ116:BV116" si="676">(BQ106/BM106-1)*100</f>
        <v>1.6148369778569815</v>
      </c>
      <c r="BR116" s="1470">
        <f t="shared" si="676"/>
        <v>1.2947809075036121</v>
      </c>
      <c r="BS116" s="1470">
        <f t="shared" si="676"/>
        <v>1.2637218341299494</v>
      </c>
      <c r="BT116" s="1470">
        <f t="shared" si="676"/>
        <v>1.5355750283007064</v>
      </c>
      <c r="BU116" s="1470">
        <f t="shared" si="676"/>
        <v>1.4565691792050028</v>
      </c>
      <c r="BV116" s="1470">
        <f t="shared" si="676"/>
        <v>1.2844608275790481</v>
      </c>
      <c r="BW116" s="1470">
        <f t="shared" ref="BW116:CH116" si="677">(BW106/BS106-1)*100</f>
        <v>1.239652274943448</v>
      </c>
      <c r="BX116" s="1470">
        <f t="shared" si="677"/>
        <v>0.9197989036740184</v>
      </c>
      <c r="BY116" s="1470">
        <f t="shared" si="677"/>
        <v>0.67820681705910157</v>
      </c>
      <c r="BZ116" s="1470">
        <f t="shared" si="677"/>
        <v>0.12404912755530351</v>
      </c>
      <c r="CA116" s="1470">
        <f t="shared" si="677"/>
        <v>2.3567264045598613E-2</v>
      </c>
      <c r="CB116" s="1470">
        <f t="shared" si="677"/>
        <v>1.4320785597399244E-2</v>
      </c>
      <c r="CC116" s="1470">
        <f t="shared" si="677"/>
        <v>0.21262023776666972</v>
      </c>
      <c r="CD116" s="1470">
        <f t="shared" si="677"/>
        <v>0.27543696179721522</v>
      </c>
      <c r="CE116" s="1470">
        <f t="shared" si="677"/>
        <v>0.90866251434189582</v>
      </c>
      <c r="CF116" s="1470">
        <f t="shared" si="677"/>
        <v>1.2170924785730231</v>
      </c>
      <c r="CG116" s="1470">
        <f t="shared" si="677"/>
        <v>2.9703677258122063</v>
      </c>
      <c r="CH116" s="1470">
        <f t="shared" si="677"/>
        <v>2.1780419066290913</v>
      </c>
      <c r="CI116" s="1470">
        <f t="shared" ref="CI116" si="678">(CI106/CE106-1)*100</f>
        <v>3.8445529577779469</v>
      </c>
      <c r="CJ116" s="1470">
        <f t="shared" ref="CJ116:CS116" si="679">(CJ106/CF106-1)*100</f>
        <v>0.79220726728910229</v>
      </c>
      <c r="CK116" s="1470">
        <f t="shared" si="679"/>
        <v>-0.57257768928248298</v>
      </c>
      <c r="CL116" s="1470">
        <f t="shared" si="679"/>
        <v>0.81147254284716919</v>
      </c>
      <c r="CM116" s="1470">
        <f t="shared" si="679"/>
        <v>-0.67846319288297208</v>
      </c>
      <c r="CN116" s="1470">
        <f t="shared" si="679"/>
        <v>2.3038055900870269</v>
      </c>
      <c r="CO116" s="1470">
        <f t="shared" si="679"/>
        <v>3.7830405802588452</v>
      </c>
      <c r="CP116" s="1470">
        <f t="shared" si="679"/>
        <v>2.0024386133608241</v>
      </c>
      <c r="CQ116" s="1470">
        <f t="shared" si="679"/>
        <v>1.4547816843182737</v>
      </c>
      <c r="CR116" s="1470">
        <f t="shared" si="679"/>
        <v>1.520882739156848</v>
      </c>
      <c r="CS116" s="1470">
        <f t="shared" si="679"/>
        <v>-6.7200430082747786E-2</v>
      </c>
      <c r="CT116" s="1470">
        <f t="shared" ref="CT116" si="680">(CT106/CP106-1)*100</f>
        <v>1.4237538509383141</v>
      </c>
      <c r="CU116" s="1470">
        <f t="shared" ref="CU116" si="681">(CU106/CQ106-1)*100</f>
        <v>1.7594380736170256</v>
      </c>
      <c r="CV116" s="1470">
        <f t="shared" ref="CV116" si="682">(CV106/CR106-1)*100</f>
        <v>1.7708164705110274</v>
      </c>
      <c r="CW116" s="1470">
        <f t="shared" ref="CW116" si="683">(CW106/CS106-1)*100</f>
        <v>1.8135211804349183</v>
      </c>
      <c r="CX116" s="1470">
        <f t="shared" ref="CX116" si="684">(CX106/CT106-1)*100</f>
        <v>2.088324651890372</v>
      </c>
      <c r="CY116" s="1470">
        <f t="shared" ref="CY116" si="685">(CY106/CU106-1)*100</f>
        <v>2.0103112944071189</v>
      </c>
      <c r="CZ116" s="1470">
        <f t="shared" ref="CZ116" si="686">(CZ106/CV106-1)*100</f>
        <v>1.9136664805146975</v>
      </c>
      <c r="DA116" s="1470">
        <f t="shared" ref="DA116" si="687">(DA106/CW106-1)*100</f>
        <v>1.7932350159654886</v>
      </c>
      <c r="DB116" s="1470">
        <f t="shared" ref="DB116" si="688">(DB106/CX106-1)*100</f>
        <v>1.664605959002885</v>
      </c>
    </row>
    <row r="117" spans="1:106" s="749" customFormat="1" ht="12.75" customHeight="1">
      <c r="A117" s="714"/>
      <c r="B117" s="714"/>
      <c r="C117" s="986"/>
      <c r="D117" s="724"/>
      <c r="E117" s="830" t="s">
        <v>569</v>
      </c>
      <c r="F117" s="754"/>
      <c r="G117" s="755"/>
      <c r="H117" s="755"/>
      <c r="I117" s="755"/>
      <c r="J117" s="755"/>
      <c r="K117" s="1469">
        <f>(4*K106/J107-1)*100</f>
        <v>0.89218124797230125</v>
      </c>
      <c r="L117" s="1469">
        <f>((K106+3*L106)/J107-1)*100</f>
        <v>1.2693305937060417</v>
      </c>
      <c r="M117" s="1469">
        <f>((K106+L106+2*M106)/J107-1)*100</f>
        <v>1.5592894992970674</v>
      </c>
      <c r="N117" s="1532"/>
      <c r="O117" s="1469">
        <f>(4*O106/N107-1)*100</f>
        <v>1.4205442262769319</v>
      </c>
      <c r="P117" s="1469">
        <f>((O106+3*P106)/N107-1)*100</f>
        <v>2.1582303507996725</v>
      </c>
      <c r="Q117" s="1469">
        <f>((O106+P106+2*Q106)/N107-1)*100</f>
        <v>2.3170654713050132</v>
      </c>
      <c r="R117" s="1532"/>
      <c r="S117" s="1469">
        <f>(4*S106/R107-1)*100</f>
        <v>1.2476216098824544</v>
      </c>
      <c r="T117" s="1469">
        <f>((S106+3*T106)/R107-1)*100</f>
        <v>1.8174628128373227</v>
      </c>
      <c r="U117" s="1469">
        <f>((S106+T106+2*U106)/R107-1)*100</f>
        <v>2.3010823093155164</v>
      </c>
      <c r="V117" s="1532"/>
      <c r="W117" s="1469">
        <f>(4*W106/V107-1)*100</f>
        <v>1.352569882777277</v>
      </c>
      <c r="X117" s="1469">
        <f>((W106+3*X106)/V107-1)*100</f>
        <v>1.9410564282663412</v>
      </c>
      <c r="Y117" s="1469">
        <f>((W106+X106+2*Y106)/V107-1)*100</f>
        <v>2.2916172306329363</v>
      </c>
      <c r="Z117" s="1532"/>
      <c r="AA117" s="1469">
        <f>(4*AA106/Z107-1)*100</f>
        <v>2.1040659653113858</v>
      </c>
      <c r="AB117" s="1469">
        <f>((AA106+3*AB106)/Z107-1)*100</f>
        <v>2.6492440444549237</v>
      </c>
      <c r="AC117" s="1469">
        <f>((AA106+AB106+2*AC106)/Z107-1)*100</f>
        <v>3.0738895550803225</v>
      </c>
      <c r="AD117" s="1532"/>
      <c r="AE117" s="1469">
        <f>(4*AE106/AD107-1)*100</f>
        <v>1.5797381669290456</v>
      </c>
      <c r="AF117" s="1469">
        <f>((AE106+3*AF106)/AD107-1)*100</f>
        <v>1.3534626735227651</v>
      </c>
      <c r="AG117" s="1469">
        <f>((AE106+AF106+2*AG106)/AD107-1)*100</f>
        <v>1.3953655426720779</v>
      </c>
      <c r="AH117" s="1532"/>
      <c r="AI117" s="1469">
        <f>(4*AI106/AH107-1)*100</f>
        <v>-0.36757089501441298</v>
      </c>
      <c r="AJ117" s="1469">
        <f>((AI106+3*AJ106)/AH107-1)*100</f>
        <v>-0.31252404600260464</v>
      </c>
      <c r="AK117" s="1469">
        <f>((AI106+AJ106+2*AK106)/AH107-1)*100</f>
        <v>-0.27049903224087846</v>
      </c>
      <c r="AL117" s="1532"/>
      <c r="AM117" s="1469">
        <f>(4*AM106/AL107-1)*100</f>
        <v>0.30217566478645264</v>
      </c>
      <c r="AN117" s="1469">
        <f>((AM106+3*AN106)/AL107-1)*100</f>
        <v>0.33505948713086209</v>
      </c>
      <c r="AO117" s="1469">
        <f>((AM106+AN106+2*AO106)/AL107-1)*100</f>
        <v>0.45829975825948388</v>
      </c>
      <c r="AP117" s="1532"/>
      <c r="AQ117" s="1469">
        <f>(4*AQ106/AP107-1)*100</f>
        <v>2.135985267035001</v>
      </c>
      <c r="AR117" s="1469">
        <f>((AQ106+3*AR106)/AP107-1)*100</f>
        <v>2.7494659300184132</v>
      </c>
      <c r="AS117" s="1469">
        <f>((AQ106+AR106+2*AS106)/AP107-1)*100</f>
        <v>3.153738489871083</v>
      </c>
      <c r="AT117" s="1532"/>
      <c r="AU117" s="1469">
        <f>(4*AU106/AT107-1)*100</f>
        <v>1.4348050968300496</v>
      </c>
      <c r="AV117" s="1469">
        <f>((AU106+3*AV106)/AT107-1)*100</f>
        <v>2.2423651851873005</v>
      </c>
      <c r="AW117" s="1469">
        <f>((AU106+AV106+2*AW106)/AT107-1)*100</f>
        <v>2.1686388926196454</v>
      </c>
      <c r="AX117" s="1532"/>
      <c r="AY117" s="1469">
        <f>(4*AY106/AX107-1)*100</f>
        <v>1.0300570824465227</v>
      </c>
      <c r="AZ117" s="1469">
        <f>((AY106+3*AZ106)/AX107-1)*100</f>
        <v>1.0845944517316131</v>
      </c>
      <c r="BA117" s="1469">
        <f>((AY106+AZ106+2*BA106)/AX107-1)*100</f>
        <v>1.3581203346077375</v>
      </c>
      <c r="BB117" s="1532"/>
      <c r="BC117" s="1469">
        <f>(4*BC106/BB107-1)*100</f>
        <v>1.782435867042298</v>
      </c>
      <c r="BD117" s="1469">
        <f>((BC106+3*BD106)/BB107-1)*100</f>
        <v>2.3249403189970375</v>
      </c>
      <c r="BE117" s="1469">
        <f>((BC106+BD106+2*BE106)/BB107-1)*100</f>
        <v>2.7836432702432967</v>
      </c>
      <c r="BF117" s="1532"/>
      <c r="BG117" s="1470"/>
      <c r="BH117" s="1470"/>
      <c r="BI117" s="1470"/>
      <c r="BJ117" s="1470"/>
      <c r="BK117" s="1470"/>
      <c r="BL117" s="1470"/>
      <c r="BM117" s="1470"/>
      <c r="BN117" s="1470"/>
      <c r="BO117" s="1470"/>
      <c r="BP117" s="1470"/>
      <c r="BQ117" s="1470"/>
      <c r="BR117" s="1470"/>
      <c r="BS117" s="1470"/>
      <c r="BT117" s="1470"/>
      <c r="BU117" s="1470"/>
      <c r="BV117" s="1470"/>
      <c r="BW117" s="1470"/>
      <c r="BX117" s="1470"/>
      <c r="BY117" s="1470"/>
      <c r="BZ117" s="1470"/>
      <c r="CA117" s="1470"/>
      <c r="CB117" s="1470"/>
      <c r="CC117" s="1470"/>
      <c r="CD117" s="1470"/>
      <c r="CE117" s="1470"/>
      <c r="CF117" s="1470"/>
      <c r="CG117" s="1470"/>
      <c r="CH117" s="1470"/>
      <c r="CI117" s="1470"/>
      <c r="CJ117" s="1470"/>
      <c r="CK117" s="1470"/>
      <c r="CL117" s="1470"/>
      <c r="CM117" s="1470"/>
      <c r="CN117" s="1470"/>
      <c r="CO117" s="1470"/>
      <c r="CP117" s="1470"/>
      <c r="CQ117" s="1470"/>
      <c r="CR117" s="1470"/>
      <c r="CS117" s="1470"/>
      <c r="CT117" s="1470"/>
      <c r="CU117" s="1470"/>
      <c r="CV117" s="1470"/>
      <c r="CW117" s="1470"/>
      <c r="CX117" s="1470"/>
      <c r="CY117" s="1470"/>
      <c r="CZ117" s="1470"/>
      <c r="DA117" s="1470"/>
      <c r="DB117" s="1470"/>
    </row>
    <row r="118" spans="1:106">
      <c r="C118" s="1460"/>
      <c r="D118" s="872"/>
      <c r="E118" s="1467" t="s">
        <v>568</v>
      </c>
      <c r="F118" s="872"/>
      <c r="G118" s="919"/>
      <c r="H118" s="919"/>
      <c r="I118" s="919"/>
      <c r="J118" s="919"/>
      <c r="K118" s="1531"/>
      <c r="L118" s="926">
        <f>(4*L106/(K106+3*L106)-1)*100</f>
        <v>0.12414069278516848</v>
      </c>
      <c r="M118" s="926">
        <f>(4*M106/(K106+L106+2*M106)-1)*100</f>
        <v>0.40929328692456135</v>
      </c>
      <c r="N118" s="926">
        <f>+(4*N106/N107-1)*100</f>
        <v>0.83039532665871718</v>
      </c>
      <c r="O118" s="1531"/>
      <c r="P118" s="926">
        <f>(4*P106/(O106+3*P106)-1)*100</f>
        <v>0.24070050351940875</v>
      </c>
      <c r="Q118" s="926">
        <f>(4*Q106/(O106+P106+2*Q106)-1)*100</f>
        <v>0.39556499542079404</v>
      </c>
      <c r="R118" s="926">
        <f>+(4*R106/R107-1)*100</f>
        <v>0.97145283575414965</v>
      </c>
      <c r="S118" s="1531"/>
      <c r="T118" s="926">
        <f>(4*T106/(S106+3*T106)-1)*100</f>
        <v>0.18655647312759704</v>
      </c>
      <c r="U118" s="926">
        <f>(4*U106/(S106+T106+2*U106)-1)*100</f>
        <v>0.65841587295552007</v>
      </c>
      <c r="V118" s="926">
        <f>+(4*V106/V107-1)*100</f>
        <v>1.0931295777767192</v>
      </c>
      <c r="W118" s="1531"/>
      <c r="X118" s="926">
        <f>(4*X106/(W106+3*X106)-1)*100</f>
        <v>0.19242706393545195</v>
      </c>
      <c r="Y118" s="926">
        <f>(4*Y106/(W106+X106+2*Y106)-1)*100</f>
        <v>0.5344748660719878</v>
      </c>
      <c r="Z118" s="926">
        <f>+(4*Z106/Z107-1)*100</f>
        <v>0.77140843851606355</v>
      </c>
      <c r="AA118" s="1531"/>
      <c r="AB118" s="926">
        <f>(4*AB106/(AA106+3*AB106)-1)*100</f>
        <v>0.17703591299949029</v>
      </c>
      <c r="AC118" s="926">
        <f>(4*AC106/(AA106+AB106+2*AC106)-1)*100</f>
        <v>0.58828820725016495</v>
      </c>
      <c r="AD118" s="926">
        <f>+(4*AD106/AD107-1)*100</f>
        <v>1.1223982807851307</v>
      </c>
      <c r="AE118" s="1531"/>
      <c r="AF118" s="926">
        <f>(4*AF106/(AE106+3*AF106)-1)*100</f>
        <v>-7.4417945355964576E-2</v>
      </c>
      <c r="AG118" s="926">
        <f>(4*AG106/(AE106+AF106+2*AG106)-1)*100</f>
        <v>-3.3060973881837707E-2</v>
      </c>
      <c r="AH118" s="926">
        <f>+(4*AH106/AH107-1)*100</f>
        <v>-0.80912949031352044</v>
      </c>
      <c r="AI118" s="1531"/>
      <c r="AJ118" s="926">
        <f>(4*AJ106/(AI106+3*AJ106)-1)*100</f>
        <v>1.8406474328913625E-2</v>
      </c>
      <c r="AK118" s="926">
        <f>(4*AK106/(AI106+AJ106+2*AK106)-1)*100</f>
        <v>6.0537717371955679E-2</v>
      </c>
      <c r="AL118" s="926">
        <f>+(4*AL106/AL107-1)*100</f>
        <v>0.56880125136273829</v>
      </c>
      <c r="AM118" s="1531"/>
      <c r="AN118" s="926">
        <f>(4*AN106/(AM106+3*AN106)-1)*100</f>
        <v>1.0924669971634771E-2</v>
      </c>
      <c r="AO118" s="926">
        <f>(4*AO106/(AM106+AN106+2*AO106)-1)*100</f>
        <v>0.13358930577795913</v>
      </c>
      <c r="AP118" s="926">
        <f>+(4*AP106/AP107-1)*100</f>
        <v>0.37745856353590401</v>
      </c>
      <c r="AQ118" s="1531"/>
      <c r="AR118" s="926">
        <f>(4*AR106/(AQ106+3*AR106)-1)*100</f>
        <v>0.19902152529638339</v>
      </c>
      <c r="AS118" s="926">
        <f>(4*AS106/(AQ106+AR106+2*AS106)-1)*100</f>
        <v>0.59015419420815896</v>
      </c>
      <c r="AT118" s="926">
        <f>+(4*AT106/AT107-1)*100</f>
        <v>0.47464872850719875</v>
      </c>
      <c r="AU118" s="1531"/>
      <c r="AV118" s="926">
        <f>(4*AV106/(AU106+3*AV106)-1)*100</f>
        <v>0.26328293132844571</v>
      </c>
      <c r="AW118" s="926">
        <f>(4*AW106/(AU106+AV106+2*AW106)-1)*100</f>
        <v>0.1913115469384552</v>
      </c>
      <c r="AX118" s="926">
        <f>+(4*AX106/AX107-1)*100</f>
        <v>0.20892007618451558</v>
      </c>
      <c r="AY118" s="1531"/>
      <c r="AZ118" s="926">
        <f>(4*AZ106/(AY106+3*AZ106)-1)*100</f>
        <v>1.7984068881760074E-2</v>
      </c>
      <c r="BA118" s="926">
        <f>(4*BA106/(AY106+AZ106+2*BA106)-1)*100</f>
        <v>0.28779638474762947</v>
      </c>
      <c r="BB118" s="926">
        <f>+(4*BB106/BB107-1)*100</f>
        <v>0.57944327134593632</v>
      </c>
      <c r="BC118" s="1531"/>
      <c r="BD118" s="926">
        <f>(4*BD106/(BC106+3*BD106)-1)*100</f>
        <v>0.17672604230647426</v>
      </c>
      <c r="BE118" s="926">
        <f>(4*BE106/(BC106+BD106+2*BE106)-1)*100</f>
        <v>0.62221745427237796</v>
      </c>
      <c r="BF118" s="926">
        <f>+(4*BF106/BF107-1)*100</f>
        <v>1.2631804314082284</v>
      </c>
      <c r="BG118" s="1519">
        <f>(4*BG106/BF107-1)*100</f>
        <v>2.1420542739388759</v>
      </c>
      <c r="BH118" s="1519">
        <f>((BG106+3*BH106)/BF107-1)*100</f>
        <v>2.4286784777605375</v>
      </c>
      <c r="BI118" s="1519">
        <f>((BG106+BH106+2*BI106)/BF107-1)*100</f>
        <v>2.2060161644275711</v>
      </c>
      <c r="BJ118" s="1519">
        <f>+(4*BJ106/BJ107-1)*100</f>
        <v>-0.67076065885116609</v>
      </c>
      <c r="BK118" s="1519">
        <f>(4*BK106/BJ107-1)*100</f>
        <v>-1.5700049054455434</v>
      </c>
      <c r="BL118" s="1519">
        <f>((BK106+3*BL106)/BJ107-1)*100</f>
        <v>-1.4102500203300505</v>
      </c>
      <c r="BM118" s="1519">
        <f>((BK106+BL106+2*BM106)/BJ107-1)*100</f>
        <v>-1.2832855467735382</v>
      </c>
      <c r="BN118" s="1519">
        <f>+(4*BN106/BN107-1)*100</f>
        <v>0.8368245213978831</v>
      </c>
      <c r="BO118" s="1519">
        <f>(4*BO106/BN107-1)*100</f>
        <v>0.96515882696079913</v>
      </c>
      <c r="BP118" s="1519">
        <f>((BO106+3*BP106)/BN107-1)*100</f>
        <v>1.1314100864400434</v>
      </c>
      <c r="BQ118" s="1519">
        <f>((BO106+BP106+2*BQ106)/BN107-1)*100</f>
        <v>1.3270933870710877</v>
      </c>
      <c r="BR118" s="1519">
        <f>+(4*BR106/BR107-1)*100</f>
        <v>0.66452909372654023</v>
      </c>
      <c r="BS118" s="1519">
        <f>(4*BS106/BR107-1)*100</f>
        <v>0.76173901227405416</v>
      </c>
      <c r="BT118" s="1519">
        <f>((BS106+3*BT106)/BR107-1)*100</f>
        <v>1.1309799125633235</v>
      </c>
      <c r="BU118" s="1519">
        <f>((BS106+BT106+2*BU106)/BR107-1)*100</f>
        <v>1.2872474697982916</v>
      </c>
      <c r="BV118" s="1519">
        <f>+(4*BV106/BV107-1)*100</f>
        <v>0.56472419756841141</v>
      </c>
      <c r="BW118" s="1519">
        <f>(4*BW106/BV107-1)*100</f>
        <v>0.6173046340375743</v>
      </c>
      <c r="BX118" s="1519">
        <f>((BW106+3*BX106)/BV107-1)*100</f>
        <v>0.74643600007215927</v>
      </c>
      <c r="BY118" s="1519">
        <f>((BW106+BX106+2*BY106)/BV107-1)*100</f>
        <v>0.78097412990976167</v>
      </c>
      <c r="BZ118" s="1519">
        <f>+(4*BZ106/BZ107-1)*100</f>
        <v>-4.8868727340656282E-2</v>
      </c>
      <c r="CA118" s="1519">
        <f>(4*CA106/BZ107-1)*100</f>
        <v>-9.6969883047670624E-2</v>
      </c>
      <c r="CB118" s="1519">
        <f>((CA106+3*CB106)/BZ107-1)*100</f>
        <v>2.4306435064702647E-2</v>
      </c>
      <c r="CC118" s="1519">
        <f>((CA106+CB106+2*CC106)/BZ107-1)*100</f>
        <v>0.15786389931506939</v>
      </c>
      <c r="CD118" s="1519">
        <f>+(4*CD106/CD107-1)*100</f>
        <v>9.4798355465708362E-2</v>
      </c>
      <c r="CE118" s="1519">
        <f>(4*CE106/CD107-1)*100</f>
        <v>0.67840871633824129</v>
      </c>
      <c r="CF118" s="1519">
        <f>((CE106+3*CF106)/CD107-1)*100</f>
        <v>1.0317944996511841</v>
      </c>
      <c r="CG118" s="1519">
        <f>((CE106+CF106+2*CG106)/CD107-1)*100</f>
        <v>2.0451914747915412</v>
      </c>
      <c r="CH118" s="1519">
        <f>+(4*CH106/CH107-1)*100</f>
        <v>0.44694952557098322</v>
      </c>
      <c r="CI118" s="1519">
        <f>(4*CI106/CH107-1)*100</f>
        <v>2.6804423821581436</v>
      </c>
      <c r="CJ118" s="1519">
        <f>((CI106+3*CJ106)/CH107-1)*100</f>
        <v>0.76666524459256813</v>
      </c>
      <c r="CK118" s="1519">
        <f>((CI106+CJ106+2*CK106)/CH107-1)*100</f>
        <v>1.078350427500574</v>
      </c>
      <c r="CL118" s="1519">
        <f>+(4*CL106/CL107-1)*100</f>
        <v>5.554398389222559E-2</v>
      </c>
      <c r="CM118" s="1519">
        <f>(4*CM106/CL107-1)*100</f>
        <v>0.7686890627944365</v>
      </c>
      <c r="CN118" s="1519">
        <f>((CM106+3*CN106)/CL107-1)*100</f>
        <v>1.1034407514307176</v>
      </c>
      <c r="CO118" s="1519">
        <f>((CM106+CN106+2*CO106)/CL107-1)*100</f>
        <v>2.1548090179625001</v>
      </c>
      <c r="CP118" s="1519">
        <f>+(4*CP106/CP107-1)*100</f>
        <v>0.21499616513067643</v>
      </c>
      <c r="CQ118" s="1519">
        <f>(4*CQ106/CP107-1)*100</f>
        <v>0.38738267126037229</v>
      </c>
      <c r="CR118" s="1519">
        <f>((CQ106+3*CR106)/CP107-1)*100</f>
        <v>0.7701391509721045</v>
      </c>
      <c r="CS118" s="1519">
        <f>((CQ106+CR106+2*CS106)/CP107-1)*100</f>
        <v>1.0126489816291384</v>
      </c>
      <c r="CT118" s="1519">
        <f>+(4*CT106/CT107-1)*100</f>
        <v>0.55837930286899429</v>
      </c>
      <c r="CU118" s="1519">
        <f>(4*CU106/CT107-1)*100</f>
        <v>1.0647490665574688</v>
      </c>
      <c r="CV118" s="1519">
        <f>((CU106+3*CV106)/CT107-1)*100</f>
        <v>1.4586068319225376</v>
      </c>
      <c r="CW118" s="1519">
        <f>((CU106+CV106+2*CW106)/CT107-1)*100</f>
        <v>1.7241971582615312</v>
      </c>
      <c r="CX118" s="1519">
        <f>+(4*CX106/CX107-1)*100</f>
        <v>0.7852506977030993</v>
      </c>
      <c r="CY118" s="1519">
        <f>(4*CY106/CX107-1)*100</f>
        <v>1.2153574814693036</v>
      </c>
      <c r="CZ118" s="1519">
        <f>((CY106+3*CZ106)/CX107-1)*100</f>
        <v>1.5375097279913597</v>
      </c>
      <c r="DA118" s="1519">
        <f>((CY106+CZ106+2*DA106)/CX107-1)*100</f>
        <v>1.7428728996287335</v>
      </c>
      <c r="DB118" s="1519">
        <f>+(4*DB106/DB107-1)*100</f>
        <v>0.60703024266708372</v>
      </c>
    </row>
    <row r="119" spans="1:106" s="927" customFormat="1" ht="30" customHeight="1">
      <c r="A119" s="714"/>
      <c r="B119" s="714"/>
      <c r="C119" s="716"/>
      <c r="D119" s="1082"/>
      <c r="E119" s="1461"/>
      <c r="F119" s="1082"/>
      <c r="G119" s="1085"/>
      <c r="H119" s="1462"/>
      <c r="I119" s="1462"/>
      <c r="J119" s="1462"/>
      <c r="K119" s="1085"/>
      <c r="L119" s="1462"/>
      <c r="M119" s="1462"/>
      <c r="N119" s="1462"/>
      <c r="O119" s="1085"/>
      <c r="P119" s="1462"/>
      <c r="Q119" s="1462"/>
      <c r="R119" s="1462"/>
      <c r="S119" s="1085"/>
      <c r="T119" s="1462"/>
      <c r="U119" s="1462"/>
      <c r="V119" s="1462"/>
      <c r="W119" s="1085"/>
      <c r="X119" s="1462"/>
      <c r="Y119" s="1462"/>
      <c r="Z119" s="1462"/>
      <c r="AA119" s="1085"/>
      <c r="AB119" s="1462"/>
      <c r="AC119" s="1462"/>
      <c r="AD119" s="1462"/>
      <c r="AE119" s="1085"/>
      <c r="AF119" s="1462"/>
      <c r="AG119" s="1462"/>
      <c r="AH119" s="1462"/>
      <c r="AI119" s="1085"/>
      <c r="AJ119" s="1462"/>
      <c r="AK119" s="1462"/>
      <c r="AL119" s="1462"/>
      <c r="AM119" s="1085"/>
      <c r="AN119" s="1462"/>
      <c r="AO119" s="1462"/>
      <c r="AP119" s="1462"/>
      <c r="AQ119" s="1085"/>
      <c r="AR119" s="1462"/>
      <c r="AS119" s="1462"/>
      <c r="AT119" s="1462"/>
      <c r="AU119" s="1085"/>
      <c r="AV119" s="1462"/>
      <c r="AW119" s="1462"/>
      <c r="AX119" s="1462"/>
      <c r="AY119" s="1463"/>
      <c r="AZ119" s="1462"/>
      <c r="BA119" s="1463"/>
      <c r="BB119" s="1463"/>
      <c r="BC119" s="1463"/>
      <c r="BD119" s="1463"/>
      <c r="BE119" s="1463"/>
      <c r="BF119" s="1463"/>
      <c r="BG119" s="1463"/>
      <c r="BH119" s="1463"/>
      <c r="BI119" s="1463"/>
      <c r="BJ119" s="1463"/>
      <c r="BK119" s="1463"/>
      <c r="BL119" s="1463"/>
      <c r="BM119" s="1463"/>
      <c r="BN119" s="1463"/>
      <c r="CA119" s="2935"/>
      <c r="CB119" s="2935"/>
      <c r="CD119" s="2935"/>
      <c r="CE119" s="2935"/>
      <c r="CF119" s="2935"/>
      <c r="CH119" s="2935"/>
      <c r="CI119" s="2935"/>
      <c r="CJ119" s="2935"/>
      <c r="CL119" s="2935"/>
      <c r="CM119" s="2935"/>
      <c r="CN119" s="2935"/>
      <c r="CP119" s="2935"/>
      <c r="CQ119" s="2935"/>
      <c r="CR119" s="2935"/>
      <c r="CT119" s="2935"/>
      <c r="CU119" s="2935"/>
      <c r="CV119" s="2935"/>
      <c r="CW119" s="2935"/>
      <c r="CX119" s="2935"/>
      <c r="CY119" s="2935"/>
      <c r="CZ119" s="2935"/>
      <c r="DA119" s="2935"/>
      <c r="DB119" s="2935"/>
    </row>
    <row r="120" spans="1:106" s="927" customFormat="1" ht="30" customHeight="1">
      <c r="A120" s="714"/>
      <c r="B120" s="714"/>
      <c r="C120" s="716"/>
      <c r="D120" s="1082"/>
      <c r="E120" s="1461"/>
      <c r="F120" s="1082"/>
      <c r="G120" s="1085"/>
      <c r="H120" s="1462"/>
      <c r="I120" s="1462"/>
      <c r="J120" s="1462"/>
      <c r="K120" s="1085"/>
      <c r="L120" s="1462"/>
      <c r="M120" s="1462"/>
      <c r="N120" s="1462"/>
      <c r="O120" s="1085"/>
      <c r="P120" s="1462"/>
      <c r="Q120" s="1462"/>
      <c r="R120" s="1462"/>
      <c r="S120" s="1085"/>
      <c r="T120" s="1462"/>
      <c r="U120" s="1462"/>
      <c r="V120" s="1462"/>
      <c r="W120" s="1085"/>
      <c r="X120" s="1462"/>
      <c r="Y120" s="1462"/>
      <c r="Z120" s="1462"/>
      <c r="AA120" s="1085"/>
      <c r="AB120" s="1462"/>
      <c r="AC120" s="1462"/>
      <c r="AD120" s="1462"/>
      <c r="AE120" s="1085"/>
      <c r="AF120" s="1462"/>
      <c r="AG120" s="1462"/>
      <c r="AH120" s="1462"/>
      <c r="AI120" s="1085"/>
      <c r="AJ120" s="1462"/>
      <c r="AK120" s="1462"/>
      <c r="AL120" s="1462"/>
      <c r="AM120" s="1085"/>
      <c r="AN120" s="1462"/>
      <c r="AO120" s="1462"/>
      <c r="AP120" s="1462"/>
      <c r="AQ120" s="1085"/>
      <c r="AR120" s="1462"/>
      <c r="AS120" s="1462"/>
      <c r="AT120" s="1462"/>
      <c r="AU120" s="1085"/>
      <c r="AV120" s="1462"/>
      <c r="AW120" s="1462"/>
      <c r="AX120" s="1462"/>
      <c r="AY120" s="1463"/>
      <c r="AZ120" s="1462"/>
      <c r="BA120" s="1463"/>
      <c r="BB120" s="1463"/>
      <c r="BC120" s="1463"/>
      <c r="BD120" s="1463"/>
      <c r="BE120" s="1463"/>
      <c r="BF120" s="1463"/>
      <c r="BG120" s="1463"/>
      <c r="BH120" s="1463"/>
      <c r="BI120" s="1463"/>
      <c r="BJ120" s="2902"/>
      <c r="BK120" s="1463"/>
      <c r="BL120" s="1463"/>
      <c r="BM120" s="1463"/>
      <c r="BN120" s="1463"/>
    </row>
    <row r="121" spans="1:106" ht="30" customHeight="1">
      <c r="C121" s="4124" t="s">
        <v>1689</v>
      </c>
      <c r="D121" s="4124"/>
      <c r="E121" s="4124"/>
      <c r="F121" s="4124"/>
      <c r="BF121" s="2902"/>
      <c r="BG121" s="2902"/>
      <c r="BH121" s="2902"/>
      <c r="BI121" s="1257"/>
      <c r="BJ121" s="2902"/>
      <c r="BK121" s="1257"/>
      <c r="BL121" s="1257"/>
      <c r="BM121" s="1257"/>
      <c r="BN121" s="2902"/>
      <c r="BO121" s="1257"/>
      <c r="BP121" s="1257"/>
      <c r="BQ121" s="1257"/>
      <c r="BR121" s="2902"/>
      <c r="BS121" s="2902"/>
      <c r="BT121" s="2902"/>
      <c r="BU121" s="2902"/>
      <c r="BV121" s="2902"/>
      <c r="BW121" s="2902"/>
      <c r="BX121" s="2902"/>
      <c r="BY121" s="2902"/>
      <c r="BZ121" s="2902"/>
      <c r="CA121" s="2902"/>
      <c r="CB121" s="2902"/>
      <c r="CC121" s="2902"/>
      <c r="CD121" s="2902"/>
      <c r="CE121" s="2902"/>
      <c r="CF121" s="2902"/>
      <c r="CG121" s="2902"/>
      <c r="CH121" s="2902"/>
      <c r="CI121" s="2902"/>
      <c r="CJ121" s="2902"/>
      <c r="CK121" s="2902"/>
      <c r="CL121" s="2902"/>
      <c r="CM121" s="2902"/>
      <c r="CN121" s="2902"/>
      <c r="CO121" s="2902"/>
      <c r="CP121" s="2902"/>
      <c r="CQ121" s="2902"/>
      <c r="CR121" s="2902"/>
      <c r="CS121" s="2902"/>
      <c r="CT121" s="2902"/>
      <c r="CU121" s="2902"/>
      <c r="CV121" s="2902"/>
      <c r="CW121" s="2902"/>
      <c r="CX121" s="2902"/>
      <c r="CY121" s="2902"/>
      <c r="CZ121" s="2902"/>
      <c r="DA121" s="2902"/>
      <c r="DB121" s="2902"/>
    </row>
    <row r="122" spans="1:106" s="927" customFormat="1" ht="12.75" customHeight="1">
      <c r="A122" s="714"/>
      <c r="B122" s="714"/>
      <c r="C122" s="716"/>
      <c r="D122" s="1082"/>
      <c r="E122" s="1461"/>
      <c r="F122" s="1082"/>
      <c r="G122" s="1085"/>
      <c r="H122" s="1462"/>
      <c r="I122" s="1462"/>
      <c r="J122" s="1462"/>
      <c r="K122" s="1085"/>
      <c r="L122" s="1462"/>
      <c r="M122" s="1462"/>
      <c r="N122" s="1462"/>
      <c r="O122" s="1085"/>
      <c r="P122" s="1462"/>
      <c r="Q122" s="1462"/>
      <c r="R122" s="1462"/>
      <c r="S122" s="1085"/>
      <c r="T122" s="1462"/>
      <c r="U122" s="1462"/>
      <c r="V122" s="1462"/>
      <c r="W122" s="1085"/>
      <c r="X122" s="1462"/>
      <c r="Y122" s="1462"/>
      <c r="Z122" s="1462"/>
      <c r="AA122" s="1085"/>
      <c r="AB122" s="1462"/>
      <c r="AC122" s="1462"/>
      <c r="AD122" s="1462"/>
      <c r="AE122" s="1085"/>
      <c r="AF122" s="1462"/>
      <c r="AG122" s="1462"/>
      <c r="AH122" s="1462"/>
      <c r="AI122" s="1085"/>
      <c r="AJ122" s="1462"/>
      <c r="AK122" s="1462"/>
      <c r="AL122" s="1462"/>
      <c r="AM122" s="1085"/>
      <c r="AN122" s="1462"/>
      <c r="AO122" s="1462"/>
      <c r="AP122" s="1462"/>
      <c r="AQ122" s="1085"/>
      <c r="AR122" s="1462"/>
      <c r="AS122" s="1462"/>
      <c r="AT122" s="1462"/>
      <c r="AU122" s="1085"/>
      <c r="AV122" s="1462"/>
      <c r="AW122" s="1462"/>
      <c r="AX122" s="1462"/>
      <c r="AY122" s="1463"/>
      <c r="AZ122" s="1462"/>
      <c r="BA122" s="1463"/>
      <c r="BB122" s="1463"/>
      <c r="BC122" s="1463"/>
      <c r="BD122" s="1463"/>
      <c r="BE122" s="1463"/>
      <c r="BF122" s="2902"/>
      <c r="BG122" s="2902"/>
      <c r="BH122" s="2902"/>
      <c r="BI122" s="1257"/>
      <c r="BJ122" s="2902"/>
      <c r="BK122" s="1257"/>
      <c r="BL122" s="1257"/>
      <c r="BM122" s="2902"/>
      <c r="BN122" s="2902"/>
      <c r="BO122" s="1257"/>
      <c r="BP122" s="1257"/>
      <c r="BQ122" s="1257"/>
      <c r="BR122" s="1257"/>
      <c r="BS122" s="1257"/>
      <c r="BT122" s="1257"/>
      <c r="BU122" s="1257"/>
      <c r="BV122" s="1257"/>
      <c r="BW122" s="1257"/>
      <c r="BX122" s="1257"/>
      <c r="BY122" s="1257"/>
      <c r="BZ122" s="1257"/>
      <c r="CA122" s="1257"/>
      <c r="CB122" s="1257"/>
      <c r="CC122" s="1257"/>
      <c r="CD122" s="1257"/>
      <c r="CE122" s="1257"/>
      <c r="CF122" s="1257"/>
      <c r="CG122" s="1257"/>
      <c r="CH122" s="1257"/>
      <c r="CI122" s="1257"/>
      <c r="CJ122" s="1257"/>
      <c r="CK122" s="1257"/>
      <c r="CL122" s="1257"/>
      <c r="CM122" s="1257"/>
      <c r="CN122" s="1257"/>
      <c r="CO122" s="1257"/>
      <c r="CP122" s="1257"/>
      <c r="CQ122" s="1257"/>
      <c r="CR122" s="1257"/>
      <c r="CS122" s="1257"/>
      <c r="CT122" s="1257"/>
      <c r="CU122" s="1257"/>
      <c r="CV122" s="1257"/>
      <c r="CW122" s="1257"/>
      <c r="CX122" s="1257"/>
      <c r="CY122" s="1257"/>
      <c r="CZ122" s="1257"/>
      <c r="DA122" s="1257"/>
      <c r="DB122" s="1257"/>
    </row>
    <row r="123" spans="1:106">
      <c r="G123" s="4122">
        <f ca="1">OFFSET(InputY!$G$3,0,(COLUMN()-7)/4)</f>
        <v>1995</v>
      </c>
      <c r="H123" s="4123"/>
      <c r="I123" s="4123"/>
      <c r="J123" s="4123"/>
      <c r="K123" s="4117">
        <f ca="1">OFFSET(InputY!$G$3,0,(COLUMN()-7)/4)</f>
        <v>1996</v>
      </c>
      <c r="L123" s="4118"/>
      <c r="M123" s="4118"/>
      <c r="N123" s="4119"/>
      <c r="O123" s="4117">
        <f ca="1">OFFSET(InputY!$G$3,0,(COLUMN()-7)/4)</f>
        <v>1997</v>
      </c>
      <c r="P123" s="4118"/>
      <c r="Q123" s="4118"/>
      <c r="R123" s="4119"/>
      <c r="S123" s="4117">
        <f ca="1">OFFSET(InputY!$G$3,0,(COLUMN()-7)/4)</f>
        <v>1998</v>
      </c>
      <c r="T123" s="4118"/>
      <c r="U123" s="4118"/>
      <c r="V123" s="4119"/>
      <c r="W123" s="4117">
        <f ca="1">OFFSET(InputY!$G$3,0,(COLUMN()-7)/4)</f>
        <v>1999</v>
      </c>
      <c r="X123" s="4118"/>
      <c r="Y123" s="4118"/>
      <c r="Z123" s="4119"/>
      <c r="AA123" s="4117">
        <f ca="1">OFFSET(InputY!$G$3,0,(COLUMN()-7)/4)</f>
        <v>2000</v>
      </c>
      <c r="AB123" s="4118"/>
      <c r="AC123" s="4118"/>
      <c r="AD123" s="4119"/>
      <c r="AE123" s="4117">
        <f ca="1">OFFSET(InputY!$G$3,0,(COLUMN()-7)/4)</f>
        <v>2001</v>
      </c>
      <c r="AF123" s="4118"/>
      <c r="AG123" s="4118"/>
      <c r="AH123" s="4119"/>
      <c r="AI123" s="4117">
        <f ca="1">OFFSET(InputY!$G$3,0,(COLUMN()-7)/4)</f>
        <v>2002</v>
      </c>
      <c r="AJ123" s="4118"/>
      <c r="AK123" s="4118"/>
      <c r="AL123" s="4119"/>
      <c r="AM123" s="4117">
        <f ca="1">OFFSET(InputY!$G$3,0,(COLUMN()-7)/4)</f>
        <v>2003</v>
      </c>
      <c r="AN123" s="4118"/>
      <c r="AO123" s="4118"/>
      <c r="AP123" s="4119"/>
      <c r="AQ123" s="4117">
        <f ca="1">OFFSET(InputY!$G$3,0,(COLUMN()-7)/4)</f>
        <v>2004</v>
      </c>
      <c r="AR123" s="4118"/>
      <c r="AS123" s="4118"/>
      <c r="AT123" s="4119"/>
      <c r="AU123" s="4117">
        <f ca="1">OFFSET(InputY!$G$3,0,(COLUMN()-7)/4)</f>
        <v>2005</v>
      </c>
      <c r="AV123" s="4118"/>
      <c r="AW123" s="4118"/>
      <c r="AX123" s="4119"/>
      <c r="AY123" s="4117">
        <f ca="1">OFFSET(InputY!$G$3,0,(COLUMN()-7)/4)</f>
        <v>2006</v>
      </c>
      <c r="AZ123" s="4118"/>
      <c r="BA123" s="4118"/>
      <c r="BB123" s="4119"/>
      <c r="BC123" s="4117">
        <f ca="1">OFFSET(InputY!$G$3,0,(COLUMN()-7)/4)</f>
        <v>2007</v>
      </c>
      <c r="BD123" s="4118"/>
      <c r="BE123" s="4118"/>
      <c r="BF123" s="4119"/>
      <c r="BG123" s="4117">
        <f ca="1">OFFSET(InputY!$G$3,0,(COLUMN()-7)/4)</f>
        <v>2008</v>
      </c>
      <c r="BH123" s="4118"/>
      <c r="BI123" s="4118"/>
      <c r="BJ123" s="4119"/>
      <c r="BK123" s="4117">
        <f ca="1">OFFSET(InputY!$G$3,0,(COLUMN()-7)/4)</f>
        <v>2009</v>
      </c>
      <c r="BL123" s="4118"/>
      <c r="BM123" s="4118"/>
      <c r="BN123" s="4119"/>
      <c r="BO123" s="4117">
        <f ca="1">OFFSET(InputY!$G$3,0,(COLUMN()-7)/4)</f>
        <v>2010</v>
      </c>
      <c r="BP123" s="4118"/>
      <c r="BQ123" s="4118"/>
      <c r="BR123" s="4119"/>
      <c r="BS123" s="4117">
        <f ca="1">OFFSET(InputY!$G$3,0,(COLUMN()-7)/4)</f>
        <v>2011</v>
      </c>
      <c r="BT123" s="4118"/>
      <c r="BU123" s="4118"/>
      <c r="BV123" s="4119"/>
      <c r="BW123" s="4117">
        <f ca="1">OFFSET(InputY!$G$3,0,(COLUMN()-7)/4)</f>
        <v>2012</v>
      </c>
      <c r="BX123" s="4118"/>
      <c r="BY123" s="4118"/>
      <c r="BZ123" s="4119"/>
      <c r="CA123" s="4117">
        <f ca="1">OFFSET(InputY!$G$3,0,(COLUMN()-7)/4)</f>
        <v>2013</v>
      </c>
      <c r="CB123" s="4118"/>
      <c r="CC123" s="4118"/>
      <c r="CD123" s="4119"/>
      <c r="CE123" s="4117">
        <f ca="1">OFFSET(InputY!$G$3,0,(COLUMN()-7)/4)</f>
        <v>2014</v>
      </c>
      <c r="CF123" s="4118"/>
      <c r="CG123" s="4118"/>
      <c r="CH123" s="4119"/>
      <c r="CI123" s="4117">
        <f ca="1">OFFSET(InputY!$G$3,0,(COLUMN()-7)/4)</f>
        <v>2015</v>
      </c>
      <c r="CJ123" s="4118"/>
      <c r="CK123" s="4118"/>
      <c r="CL123" s="4119"/>
      <c r="CM123" s="4117">
        <f ca="1">OFFSET(InputY!$G$3,0,(COLUMN()-7)/4)</f>
        <v>2016</v>
      </c>
      <c r="CN123" s="4118"/>
      <c r="CO123" s="4118"/>
      <c r="CP123" s="4119"/>
      <c r="CQ123" s="4117">
        <f ca="1">OFFSET(InputY!$G$3,0,(COLUMN()-7)/4)</f>
        <v>2017</v>
      </c>
      <c r="CR123" s="4118"/>
      <c r="CS123" s="4118"/>
      <c r="CT123" s="4119"/>
      <c r="CU123" s="4117">
        <f ca="1">OFFSET(InputY!$G$3,0,(COLUMN()-7)/4)</f>
        <v>2018</v>
      </c>
      <c r="CV123" s="4118"/>
      <c r="CW123" s="4118"/>
      <c r="CX123" s="4119"/>
      <c r="CY123" s="4117">
        <f ca="1">OFFSET(InputY!$G$3,0,(COLUMN()-7)/4)</f>
        <v>2019</v>
      </c>
      <c r="CZ123" s="4118"/>
      <c r="DA123" s="4118"/>
      <c r="DB123" s="4119"/>
    </row>
    <row r="124" spans="1:106" s="749" customFormat="1" ht="12.75" customHeight="1">
      <c r="A124" s="714"/>
      <c r="B124" s="714"/>
      <c r="C124" s="716"/>
      <c r="D124" s="745"/>
      <c r="E124" s="746" t="s">
        <v>719</v>
      </c>
      <c r="F124" s="747"/>
      <c r="G124" s="1472" t="s">
        <v>364</v>
      </c>
      <c r="H124" s="1473" t="s">
        <v>671</v>
      </c>
      <c r="I124" s="1473" t="s">
        <v>672</v>
      </c>
      <c r="J124" s="1474" t="s">
        <v>673</v>
      </c>
      <c r="K124" s="1472" t="s">
        <v>364</v>
      </c>
      <c r="L124" s="1473" t="s">
        <v>671</v>
      </c>
      <c r="M124" s="1473" t="s">
        <v>672</v>
      </c>
      <c r="N124" s="1474" t="s">
        <v>673</v>
      </c>
      <c r="O124" s="1472" t="s">
        <v>364</v>
      </c>
      <c r="P124" s="1473" t="s">
        <v>671</v>
      </c>
      <c r="Q124" s="1473" t="s">
        <v>672</v>
      </c>
      <c r="R124" s="1474" t="s">
        <v>673</v>
      </c>
      <c r="S124" s="1472" t="s">
        <v>364</v>
      </c>
      <c r="T124" s="1473" t="s">
        <v>671</v>
      </c>
      <c r="U124" s="1473" t="s">
        <v>672</v>
      </c>
      <c r="V124" s="1474" t="s">
        <v>673</v>
      </c>
      <c r="W124" s="1472" t="s">
        <v>364</v>
      </c>
      <c r="X124" s="1473" t="s">
        <v>671</v>
      </c>
      <c r="Y124" s="1473" t="s">
        <v>672</v>
      </c>
      <c r="Z124" s="1474" t="s">
        <v>673</v>
      </c>
      <c r="AA124" s="1472" t="s">
        <v>364</v>
      </c>
      <c r="AB124" s="1473" t="s">
        <v>671</v>
      </c>
      <c r="AC124" s="1473" t="s">
        <v>672</v>
      </c>
      <c r="AD124" s="1474" t="s">
        <v>673</v>
      </c>
      <c r="AE124" s="1472" t="s">
        <v>364</v>
      </c>
      <c r="AF124" s="1473" t="s">
        <v>671</v>
      </c>
      <c r="AG124" s="1473" t="s">
        <v>672</v>
      </c>
      <c r="AH124" s="1474" t="s">
        <v>673</v>
      </c>
      <c r="AI124" s="1472" t="s">
        <v>364</v>
      </c>
      <c r="AJ124" s="1473" t="s">
        <v>671</v>
      </c>
      <c r="AK124" s="1473" t="s">
        <v>672</v>
      </c>
      <c r="AL124" s="1474" t="s">
        <v>673</v>
      </c>
      <c r="AM124" s="1472" t="s">
        <v>364</v>
      </c>
      <c r="AN124" s="1473" t="s">
        <v>671</v>
      </c>
      <c r="AO124" s="1473" t="s">
        <v>672</v>
      </c>
      <c r="AP124" s="1474" t="s">
        <v>673</v>
      </c>
      <c r="AQ124" s="1472" t="s">
        <v>364</v>
      </c>
      <c r="AR124" s="1473" t="s">
        <v>671</v>
      </c>
      <c r="AS124" s="1473" t="s">
        <v>672</v>
      </c>
      <c r="AT124" s="1474" t="s">
        <v>673</v>
      </c>
      <c r="AU124" s="1472" t="s">
        <v>364</v>
      </c>
      <c r="AV124" s="1473" t="s">
        <v>671</v>
      </c>
      <c r="AW124" s="1473" t="s">
        <v>672</v>
      </c>
      <c r="AX124" s="1474" t="s">
        <v>673</v>
      </c>
      <c r="AY124" s="1472" t="s">
        <v>364</v>
      </c>
      <c r="AZ124" s="1473" t="s">
        <v>671</v>
      </c>
      <c r="BA124" s="1473" t="s">
        <v>672</v>
      </c>
      <c r="BB124" s="1474" t="s">
        <v>673</v>
      </c>
      <c r="BC124" s="1472" t="s">
        <v>364</v>
      </c>
      <c r="BD124" s="1473" t="s">
        <v>671</v>
      </c>
      <c r="BE124" s="1473" t="s">
        <v>672</v>
      </c>
      <c r="BF124" s="1474" t="s">
        <v>673</v>
      </c>
      <c r="BG124" s="1472" t="s">
        <v>364</v>
      </c>
      <c r="BH124" s="1473" t="s">
        <v>671</v>
      </c>
      <c r="BI124" s="1473" t="s">
        <v>672</v>
      </c>
      <c r="BJ124" s="1474" t="s">
        <v>673</v>
      </c>
      <c r="BK124" s="1472" t="s">
        <v>364</v>
      </c>
      <c r="BL124" s="1473" t="s">
        <v>671</v>
      </c>
      <c r="BM124" s="1473" t="s">
        <v>672</v>
      </c>
      <c r="BN124" s="1474" t="s">
        <v>673</v>
      </c>
      <c r="BO124" s="1472" t="s">
        <v>364</v>
      </c>
      <c r="BP124" s="1473" t="s">
        <v>671</v>
      </c>
      <c r="BQ124" s="1473" t="s">
        <v>672</v>
      </c>
      <c r="BR124" s="1474" t="s">
        <v>673</v>
      </c>
      <c r="BS124" s="1472" t="s">
        <v>364</v>
      </c>
      <c r="BT124" s="1473" t="s">
        <v>671</v>
      </c>
      <c r="BU124" s="1473" t="s">
        <v>672</v>
      </c>
      <c r="BV124" s="1474" t="s">
        <v>673</v>
      </c>
      <c r="BW124" s="1472" t="s">
        <v>364</v>
      </c>
      <c r="BX124" s="1473" t="s">
        <v>671</v>
      </c>
      <c r="BY124" s="1473" t="s">
        <v>672</v>
      </c>
      <c r="BZ124" s="1474" t="s">
        <v>673</v>
      </c>
      <c r="CA124" s="1472" t="s">
        <v>364</v>
      </c>
      <c r="CB124" s="1473" t="s">
        <v>671</v>
      </c>
      <c r="CC124" s="1473" t="s">
        <v>672</v>
      </c>
      <c r="CD124" s="1474" t="s">
        <v>673</v>
      </c>
      <c r="CE124" s="1472" t="s">
        <v>364</v>
      </c>
      <c r="CF124" s="1473" t="s">
        <v>671</v>
      </c>
      <c r="CG124" s="1473" t="s">
        <v>672</v>
      </c>
      <c r="CH124" s="1474" t="s">
        <v>673</v>
      </c>
      <c r="CI124" s="1472" t="s">
        <v>364</v>
      </c>
      <c r="CJ124" s="1473" t="s">
        <v>671</v>
      </c>
      <c r="CK124" s="1473" t="s">
        <v>672</v>
      </c>
      <c r="CL124" s="1474" t="s">
        <v>673</v>
      </c>
      <c r="CM124" s="1472" t="s">
        <v>364</v>
      </c>
      <c r="CN124" s="1473" t="s">
        <v>671</v>
      </c>
      <c r="CO124" s="1473" t="s">
        <v>672</v>
      </c>
      <c r="CP124" s="1474" t="s">
        <v>673</v>
      </c>
      <c r="CQ124" s="1472" t="s">
        <v>364</v>
      </c>
      <c r="CR124" s="1473" t="s">
        <v>671</v>
      </c>
      <c r="CS124" s="1473" t="s">
        <v>672</v>
      </c>
      <c r="CT124" s="1474" t="s">
        <v>673</v>
      </c>
      <c r="CU124" s="1472" t="s">
        <v>364</v>
      </c>
      <c r="CV124" s="1473" t="s">
        <v>671</v>
      </c>
      <c r="CW124" s="1473" t="s">
        <v>672</v>
      </c>
      <c r="CX124" s="1474" t="s">
        <v>673</v>
      </c>
      <c r="CY124" s="1472" t="s">
        <v>364</v>
      </c>
      <c r="CZ124" s="1473" t="s">
        <v>671</v>
      </c>
      <c r="DA124" s="1473" t="s">
        <v>672</v>
      </c>
      <c r="DB124" s="1474" t="s">
        <v>673</v>
      </c>
    </row>
    <row r="125" spans="1:106" s="749" customFormat="1" ht="12.75" customHeight="1">
      <c r="A125" s="714" t="str">
        <f>"Q" &amp; ROW(InputQ!A8)</f>
        <v>Q8</v>
      </c>
      <c r="C125" s="717"/>
      <c r="D125" s="718"/>
      <c r="E125" s="750" t="s">
        <v>76</v>
      </c>
      <c r="F125" s="751"/>
      <c r="G125" s="828">
        <f>InputQ!G8/1000</f>
        <v>0</v>
      </c>
      <c r="H125" s="828">
        <f>InputQ!H8/1000</f>
        <v>0</v>
      </c>
      <c r="I125" s="828">
        <f>InputQ!I8/1000</f>
        <v>0</v>
      </c>
      <c r="J125" s="828">
        <f>InputQ!J8/1000</f>
        <v>0</v>
      </c>
      <c r="K125" s="828">
        <f>InputQ!K8/1000</f>
        <v>0</v>
      </c>
      <c r="L125" s="828">
        <f>InputQ!L8/1000</f>
        <v>0</v>
      </c>
      <c r="M125" s="828">
        <f>InputQ!M8/1000</f>
        <v>0</v>
      </c>
      <c r="N125" s="828">
        <f>InputQ!N8/1000</f>
        <v>0</v>
      </c>
      <c r="O125" s="828">
        <f>InputQ!O8/1000</f>
        <v>0</v>
      </c>
      <c r="P125" s="828">
        <f>InputQ!P8/1000</f>
        <v>0</v>
      </c>
      <c r="Q125" s="828">
        <f>InputQ!Q8/1000</f>
        <v>0</v>
      </c>
      <c r="R125" s="828">
        <f>InputQ!R8/1000</f>
        <v>0</v>
      </c>
      <c r="S125" s="828">
        <f>InputQ!S8/1000</f>
        <v>0</v>
      </c>
      <c r="T125" s="828">
        <f>InputQ!T8/1000</f>
        <v>0</v>
      </c>
      <c r="U125" s="828">
        <f>InputQ!U8/1000</f>
        <v>0</v>
      </c>
      <c r="V125" s="828">
        <f>InputQ!V8/1000</f>
        <v>0</v>
      </c>
      <c r="W125" s="828">
        <f>InputQ!W8/1000</f>
        <v>0</v>
      </c>
      <c r="X125" s="828">
        <f>InputQ!X8/1000</f>
        <v>0</v>
      </c>
      <c r="Y125" s="828">
        <f>InputQ!Y8/1000</f>
        <v>0</v>
      </c>
      <c r="Z125" s="828">
        <f>InputQ!Z8/1000</f>
        <v>0</v>
      </c>
      <c r="AA125" s="828">
        <f>InputQ!AA8/1000</f>
        <v>0</v>
      </c>
      <c r="AB125" s="828">
        <f>InputQ!AB8/1000</f>
        <v>0</v>
      </c>
      <c r="AC125" s="828">
        <f>InputQ!AC8/1000</f>
        <v>0</v>
      </c>
      <c r="AD125" s="828">
        <f>InputQ!AD8/1000</f>
        <v>0</v>
      </c>
      <c r="AE125" s="828">
        <f>InputQ!AE8/1000</f>
        <v>0</v>
      </c>
      <c r="AF125" s="828">
        <f>InputQ!AF8/1000</f>
        <v>0</v>
      </c>
      <c r="AG125" s="828">
        <f>InputQ!AG8/1000</f>
        <v>0</v>
      </c>
      <c r="AH125" s="828">
        <f>InputQ!AH8/1000</f>
        <v>0</v>
      </c>
      <c r="AI125" s="828">
        <f>InputQ!AI8/1000</f>
        <v>0</v>
      </c>
      <c r="AJ125" s="828">
        <f>InputQ!AJ8/1000</f>
        <v>0</v>
      </c>
      <c r="AK125" s="828">
        <f>InputQ!AK8/1000</f>
        <v>0</v>
      </c>
      <c r="AL125" s="828">
        <f>InputQ!AL8/1000</f>
        <v>0</v>
      </c>
      <c r="AM125" s="828">
        <f>InputQ!AM8/1000</f>
        <v>0</v>
      </c>
      <c r="AN125" s="828">
        <f>InputQ!AN8/1000</f>
        <v>0</v>
      </c>
      <c r="AO125" s="828">
        <f>InputQ!AO8/1000</f>
        <v>0</v>
      </c>
      <c r="AP125" s="828">
        <f>InputQ!AP8/1000</f>
        <v>0</v>
      </c>
      <c r="AQ125" s="828">
        <f>InputQ!AQ8/1000</f>
        <v>0</v>
      </c>
      <c r="AR125" s="828">
        <f>InputQ!AR8/1000</f>
        <v>0</v>
      </c>
      <c r="AS125" s="828">
        <f>InputQ!AS8/1000</f>
        <v>0</v>
      </c>
      <c r="AT125" s="828">
        <f>InputQ!AT8/1000</f>
        <v>0</v>
      </c>
      <c r="AU125" s="828">
        <f>InputQ!AU8/1000</f>
        <v>0</v>
      </c>
      <c r="AV125" s="828">
        <f>InputQ!AV8/1000</f>
        <v>0</v>
      </c>
      <c r="AW125" s="828">
        <f>InputQ!AW8/1000</f>
        <v>0</v>
      </c>
      <c r="AX125" s="828">
        <f>InputQ!AX8/1000</f>
        <v>0</v>
      </c>
      <c r="AY125" s="828">
        <f>InputQ!AY8/1000</f>
        <v>0</v>
      </c>
      <c r="AZ125" s="828">
        <f>InputQ!AZ8/1000</f>
        <v>0</v>
      </c>
      <c r="BA125" s="828">
        <f>InputQ!BA8/1000</f>
        <v>0</v>
      </c>
      <c r="BB125" s="828">
        <f>InputQ!BB8/1000</f>
        <v>0</v>
      </c>
      <c r="BC125" s="828">
        <f>InputQ!BC8/1000</f>
        <v>0</v>
      </c>
      <c r="BD125" s="828">
        <f>InputQ!BD8/1000</f>
        <v>0</v>
      </c>
      <c r="BE125" s="828">
        <f>InputQ!BE8/1000</f>
        <v>0</v>
      </c>
      <c r="BF125" s="828">
        <f>InputQ!BF8/1000</f>
        <v>0</v>
      </c>
      <c r="BG125" s="2847">
        <f>InputQ!BG8/1000</f>
        <v>0</v>
      </c>
      <c r="BH125" s="2847">
        <f>InputQ!BH8/1000</f>
        <v>0</v>
      </c>
      <c r="BI125" s="2847">
        <f>InputQ!BI8/1000</f>
        <v>0</v>
      </c>
      <c r="BJ125" s="2847">
        <f>InputQ!BJ8/1000</f>
        <v>0</v>
      </c>
      <c r="BK125" s="2847">
        <f>InputQ!BK8/1000</f>
        <v>0</v>
      </c>
      <c r="BL125" s="2847">
        <f>InputQ!BL8/1000</f>
        <v>0</v>
      </c>
      <c r="BM125" s="2847">
        <f>InputQ!BM8/1000</f>
        <v>0</v>
      </c>
      <c r="BN125" s="2847">
        <f>InputQ!BN8/1000</f>
        <v>0</v>
      </c>
      <c r="BO125" s="2847">
        <f>InputQ!BO8/1000</f>
        <v>0</v>
      </c>
      <c r="BP125" s="2847">
        <f>InputQ!BP8/1000</f>
        <v>0</v>
      </c>
      <c r="BQ125" s="2847">
        <f>InputQ!BQ8/1000</f>
        <v>0</v>
      </c>
      <c r="BR125" s="2847">
        <f>InputQ!BR8/1000</f>
        <v>0</v>
      </c>
      <c r="BS125" s="2847">
        <f>InputQ!BS8/1000</f>
        <v>0</v>
      </c>
      <c r="BT125" s="2847">
        <f>InputQ!BT8/1000</f>
        <v>0</v>
      </c>
      <c r="BU125" s="2847">
        <f>InputQ!BU8/1000</f>
        <v>0</v>
      </c>
      <c r="BV125" s="2847">
        <f>InputQ!BV8/1000</f>
        <v>0</v>
      </c>
      <c r="BW125" s="2847">
        <f>InputQ!BW8/1000</f>
        <v>0</v>
      </c>
      <c r="BX125" s="2847">
        <f>InputQ!BX8/1000</f>
        <v>0</v>
      </c>
      <c r="BY125" s="2847">
        <f>InputQ!BY8/1000</f>
        <v>0</v>
      </c>
      <c r="BZ125" s="2847">
        <f>InputQ!BZ8/1000</f>
        <v>0</v>
      </c>
      <c r="CA125" s="2847">
        <f>InputQ!CA8/1000</f>
        <v>0</v>
      </c>
      <c r="CB125" s="2847">
        <f>InputQ!CB8/1000</f>
        <v>0</v>
      </c>
      <c r="CC125" s="2847">
        <f>InputQ!CC8/1000</f>
        <v>0</v>
      </c>
      <c r="CD125" s="2847">
        <f>InputQ!CD8/1000</f>
        <v>0</v>
      </c>
      <c r="CE125" s="2847">
        <f>InputQ!CE8/1000</f>
        <v>0</v>
      </c>
      <c r="CF125" s="2847">
        <f>InputQ!CF8/1000</f>
        <v>0</v>
      </c>
      <c r="CG125" s="2847">
        <f>InputQ!CG8/1000</f>
        <v>0</v>
      </c>
      <c r="CH125" s="2847">
        <f>InputQ!CH8/1000</f>
        <v>0</v>
      </c>
      <c r="CI125" s="2847">
        <f>InputQ!CI8/1000</f>
        <v>0</v>
      </c>
      <c r="CJ125" s="2847">
        <f>InputQ!CJ8/1000</f>
        <v>0</v>
      </c>
      <c r="CK125" s="2847">
        <f>InputQ!CK8/1000</f>
        <v>0</v>
      </c>
      <c r="CL125" s="2847">
        <f>InputQ!CL8/1000</f>
        <v>0</v>
      </c>
      <c r="CM125" s="2847">
        <f>InputQ!CM8/1000</f>
        <v>0</v>
      </c>
      <c r="CN125" s="2847">
        <f>InputQ!CN8/1000</f>
        <v>0</v>
      </c>
      <c r="CO125" s="2847">
        <f>InputQ!CO8/1000</f>
        <v>0</v>
      </c>
      <c r="CP125" s="2847">
        <f>InputQ!CP8/1000</f>
        <v>0</v>
      </c>
      <c r="CQ125" s="2847">
        <f>InputQ!CQ8/1000</f>
        <v>0</v>
      </c>
      <c r="CR125" s="2847">
        <f>InputQ!CR8/1000</f>
        <v>0</v>
      </c>
      <c r="CS125" s="2847">
        <f>InputQ!CS8/1000</f>
        <v>0</v>
      </c>
      <c r="CT125" s="2847">
        <f>InputQ!CT8/1000</f>
        <v>0</v>
      </c>
      <c r="CU125" s="3718">
        <v>0</v>
      </c>
      <c r="CV125" s="3718">
        <v>0</v>
      </c>
      <c r="CW125" s="3718">
        <v>0</v>
      </c>
      <c r="CX125" s="3718">
        <v>0</v>
      </c>
      <c r="CY125" s="3718">
        <v>0</v>
      </c>
      <c r="CZ125" s="3718">
        <v>0</v>
      </c>
      <c r="DA125" s="3718">
        <v>0</v>
      </c>
      <c r="DB125" s="3718">
        <v>0</v>
      </c>
    </row>
    <row r="126" spans="1:106" s="26" customFormat="1">
      <c r="A126" s="723"/>
      <c r="B126" s="723"/>
      <c r="C126" s="737"/>
      <c r="D126" s="733"/>
      <c r="E126" s="734" t="s">
        <v>357</v>
      </c>
      <c r="F126" s="735"/>
      <c r="G126" s="1476"/>
      <c r="H126" s="1477"/>
      <c r="I126" s="1477"/>
      <c r="J126" s="1481">
        <f>SUM(G125:J125)</f>
        <v>0</v>
      </c>
      <c r="K126" s="1476"/>
      <c r="L126" s="1477"/>
      <c r="M126" s="1477"/>
      <c r="N126" s="1481">
        <f>SUM(K125:N125)</f>
        <v>0</v>
      </c>
      <c r="O126" s="1476"/>
      <c r="P126" s="1477"/>
      <c r="Q126" s="1477"/>
      <c r="R126" s="1481">
        <f>SUM(O125:R125)</f>
        <v>0</v>
      </c>
      <c r="S126" s="1476"/>
      <c r="T126" s="1477"/>
      <c r="U126" s="1477"/>
      <c r="V126" s="1481">
        <f>SUM(S125:V125)</f>
        <v>0</v>
      </c>
      <c r="W126" s="1476"/>
      <c r="X126" s="1477"/>
      <c r="Y126" s="1477"/>
      <c r="Z126" s="1481">
        <f>SUM(W125:Z125)</f>
        <v>0</v>
      </c>
      <c r="AA126" s="1476"/>
      <c r="AB126" s="1477"/>
      <c r="AC126" s="1477"/>
      <c r="AD126" s="1481">
        <f>SUM(AA125:AD125)</f>
        <v>0</v>
      </c>
      <c r="AE126" s="1476"/>
      <c r="AF126" s="1477"/>
      <c r="AG126" s="1477"/>
      <c r="AH126" s="1481">
        <f>SUM(AE125:AH125)</f>
        <v>0</v>
      </c>
      <c r="AI126" s="1476"/>
      <c r="AJ126" s="1477"/>
      <c r="AK126" s="1477"/>
      <c r="AL126" s="1481">
        <f>SUM(AI125:AL125)</f>
        <v>0</v>
      </c>
      <c r="AM126" s="1476"/>
      <c r="AN126" s="1477"/>
      <c r="AO126" s="1477"/>
      <c r="AP126" s="1481">
        <f>SUM(AM125:AP125)</f>
        <v>0</v>
      </c>
      <c r="AQ126" s="1476"/>
      <c r="AR126" s="1477"/>
      <c r="AS126" s="1477"/>
      <c r="AT126" s="1481">
        <f>SUM(AQ125:AT125)</f>
        <v>0</v>
      </c>
      <c r="AU126" s="1476"/>
      <c r="AV126" s="1477"/>
      <c r="AW126" s="1477"/>
      <c r="AX126" s="1524">
        <f>SUM(AU125:AX125)</f>
        <v>0</v>
      </c>
      <c r="AY126" s="1476"/>
      <c r="AZ126" s="1477"/>
      <c r="BA126" s="1477"/>
      <c r="BB126" s="1524">
        <f>SUM(AY125:BB125)</f>
        <v>0</v>
      </c>
      <c r="BC126" s="1476"/>
      <c r="BD126" s="1477"/>
      <c r="BE126" s="1477"/>
      <c r="BF126" s="1524">
        <f>SUM(BC125:BF125)</f>
        <v>0</v>
      </c>
      <c r="BG126" s="1476"/>
      <c r="BH126" s="1477"/>
      <c r="BI126" s="1477"/>
      <c r="BJ126" s="1524">
        <f>SUM(BG125:BJ125)</f>
        <v>0</v>
      </c>
      <c r="BK126" s="1476"/>
      <c r="BL126" s="1477"/>
      <c r="BM126" s="1477"/>
      <c r="BN126" s="1524">
        <v>-0.55000000000000004</v>
      </c>
      <c r="BO126" s="1476"/>
      <c r="BP126" s="1477"/>
      <c r="BQ126" s="1477"/>
      <c r="BR126" s="1524">
        <f>SUM(BO125:BR125)</f>
        <v>0</v>
      </c>
      <c r="BS126" s="1476"/>
      <c r="BT126" s="1477"/>
      <c r="BU126" s="1477"/>
      <c r="BV126" s="1524">
        <f>SUM(BS125:BV125)</f>
        <v>0</v>
      </c>
      <c r="BW126" s="1476"/>
      <c r="BX126" s="1477"/>
      <c r="BY126" s="1477"/>
      <c r="BZ126" s="1524">
        <f>SUM(BW125:BZ125)</f>
        <v>0</v>
      </c>
      <c r="CA126" s="1476"/>
      <c r="CB126" s="1477"/>
      <c r="CC126" s="1477"/>
      <c r="CD126" s="1524">
        <f>SUM(CA125:CD125)</f>
        <v>0</v>
      </c>
      <c r="CE126" s="1476"/>
      <c r="CF126" s="1477"/>
      <c r="CG126" s="1477"/>
      <c r="CH126" s="1524">
        <f>SUM(CE125:CH125)</f>
        <v>0</v>
      </c>
      <c r="CI126" s="1476"/>
      <c r="CJ126" s="1477"/>
      <c r="CK126" s="1477"/>
      <c r="CL126" s="1524">
        <f>SUM(CI125:CL125)</f>
        <v>0</v>
      </c>
      <c r="CM126" s="1476"/>
      <c r="CN126" s="1477"/>
      <c r="CO126" s="1477"/>
      <c r="CP126" s="1524">
        <f>SUM(CM125:CP125)</f>
        <v>0</v>
      </c>
      <c r="CQ126" s="1476"/>
      <c r="CR126" s="1477"/>
      <c r="CS126" s="1477"/>
      <c r="CT126" s="1524">
        <f>SUM(CQ125:CT125)</f>
        <v>0</v>
      </c>
      <c r="CU126" s="1476"/>
      <c r="CV126" s="1477"/>
      <c r="CW126" s="1477"/>
      <c r="CX126" s="1524">
        <f>SUM(CU125:CX125)</f>
        <v>0</v>
      </c>
      <c r="CY126" s="1476"/>
      <c r="CZ126" s="1477"/>
      <c r="DA126" s="1477"/>
      <c r="DB126" s="1524">
        <f>SUM(CY125:DB125)</f>
        <v>0</v>
      </c>
    </row>
    <row r="127" spans="1:106" s="749" customFormat="1" ht="12.75" customHeight="1">
      <c r="A127" s="714"/>
      <c r="B127" s="714"/>
      <c r="C127" s="719"/>
      <c r="D127" s="729"/>
      <c r="E127" s="1478" t="s">
        <v>675</v>
      </c>
      <c r="F127" s="729"/>
      <c r="G127" s="1479"/>
      <c r="H127" s="2801" t="s">
        <v>543</v>
      </c>
      <c r="I127" s="2802" t="e">
        <f ca="1">+J127/J126*100</f>
        <v>#DIV/0!</v>
      </c>
      <c r="J127" s="1480">
        <f ca="1">OFFSET('VVP2'!$G$71,0,(COLUMN()-10)/4)</f>
        <v>2.1059999999999999</v>
      </c>
      <c r="K127" s="1479"/>
      <c r="L127" s="2801" t="s">
        <v>543</v>
      </c>
      <c r="M127" s="2802" t="e">
        <f ca="1">+N127/N126*100</f>
        <v>#DIV/0!</v>
      </c>
      <c r="N127" s="1480">
        <f ca="1">OFFSET('VVP2'!$G$71,0,(COLUMN()-10)/4)</f>
        <v>-20.293560000000003</v>
      </c>
      <c r="O127" s="1479"/>
      <c r="P127" s="2801" t="s">
        <v>543</v>
      </c>
      <c r="Q127" s="2802" t="e">
        <f ca="1">+R127/R126*100</f>
        <v>#DIV/0!</v>
      </c>
      <c r="R127" s="1480">
        <f ca="1">OFFSET('VVP2'!$G$71,0,(COLUMN()-10)/4)</f>
        <v>-17.282029999999999</v>
      </c>
      <c r="S127" s="1479"/>
      <c r="T127" s="2801" t="s">
        <v>543</v>
      </c>
      <c r="U127" s="2802" t="e">
        <f ca="1">+V127/V126*100</f>
        <v>#DIV/0!</v>
      </c>
      <c r="V127" s="1480">
        <f ca="1">OFFSET('VVP2'!$G$71,0,(COLUMN()-10)/4)</f>
        <v>-18.921099999999999</v>
      </c>
      <c r="W127" s="1479"/>
      <c r="X127" s="2801" t="s">
        <v>543</v>
      </c>
      <c r="Y127" s="2802" t="e">
        <f ca="1">+Z127/Z126*100</f>
        <v>#DIV/0!</v>
      </c>
      <c r="Z127" s="1480">
        <f ca="1">OFFSET('VVP2'!$G$71,0,(COLUMN()-10)/4)</f>
        <v>-17.760259999999999</v>
      </c>
      <c r="AA127" s="1479"/>
      <c r="AB127" s="2801" t="s">
        <v>543</v>
      </c>
      <c r="AC127" s="2802" t="e">
        <f ca="1">+AD127/AD126*100</f>
        <v>#DIV/0!</v>
      </c>
      <c r="AD127" s="1480">
        <f ca="1">OFFSET('VVP2'!$G$71,0,(COLUMN()-10)/4)</f>
        <v>-11.127690000000001</v>
      </c>
      <c r="AE127" s="1479"/>
      <c r="AF127" s="2801" t="s">
        <v>543</v>
      </c>
      <c r="AG127" s="2802" t="e">
        <f ca="1">+AH127/AH126*100</f>
        <v>#DIV/0!</v>
      </c>
      <c r="AH127" s="1480">
        <f ca="1">OFFSET('VVP2'!$G$71,0,(COLUMN()-10)/4)</f>
        <v>-25.930130000000002</v>
      </c>
      <c r="AI127" s="1479"/>
      <c r="AJ127" s="2801" t="s">
        <v>543</v>
      </c>
      <c r="AK127" s="2802" t="e">
        <f ca="1">+AL127/AL126*100</f>
        <v>#DIV/0!</v>
      </c>
      <c r="AL127" s="1480">
        <f ca="1">OFFSET('VVP2'!$G$71,0,(COLUMN()-10)/4)</f>
        <v>-25.98432</v>
      </c>
      <c r="AM127" s="1479"/>
      <c r="AN127" s="2801" t="s">
        <v>543</v>
      </c>
      <c r="AO127" s="2802" t="e">
        <f ca="1">+AP127/AP126*100</f>
        <v>#DIV/0!</v>
      </c>
      <c r="AP127" s="1480">
        <f ca="1">OFFSET('VVP2'!$G$71,0,(COLUMN()-10)/4)</f>
        <v>-23.80133</v>
      </c>
      <c r="AQ127" s="1479"/>
      <c r="AR127" s="2801" t="s">
        <v>543</v>
      </c>
      <c r="AS127" s="2802" t="e">
        <f ca="1">+AT127/AT126*100</f>
        <v>#DIV/0!</v>
      </c>
      <c r="AT127" s="1480">
        <f ca="1">OFFSET('VVP2'!$G$71,0,(COLUMN()-10)/4)</f>
        <v>-17.97335</v>
      </c>
      <c r="AU127" s="1479"/>
      <c r="AV127" s="2801" t="s">
        <v>543</v>
      </c>
      <c r="AW127" s="2802" t="e">
        <f ca="1">+AX127/AX126*100</f>
        <v>#DIV/0!</v>
      </c>
      <c r="AX127" s="1525">
        <f ca="1">OFFSET('VVP2'!$G$71,0,(COLUMN()-10)/4)</f>
        <v>-9.3116800000000008</v>
      </c>
      <c r="AY127" s="1479"/>
      <c r="AZ127" s="2801" t="s">
        <v>543</v>
      </c>
      <c r="BA127" s="2802" t="e">
        <f ca="1">+BB127/BB126*100</f>
        <v>#DIV/0!</v>
      </c>
      <c r="BB127" s="1525">
        <f ca="1">OFFSET('VVP2'!$G$71,0,(COLUMN()-10)/4)</f>
        <v>-2.3866300000000003</v>
      </c>
      <c r="BC127" s="1479"/>
      <c r="BD127" s="2801" t="s">
        <v>543</v>
      </c>
      <c r="BE127" s="2802" t="e">
        <f ca="1">+BF127/BF126*100</f>
        <v>#DIV/0!</v>
      </c>
      <c r="BF127" s="1525">
        <f ca="1">OFFSET('VVP2'!$G$71,0,(COLUMN()-10)/4)</f>
        <v>5.5603999999999996</v>
      </c>
      <c r="BG127" s="1479"/>
      <c r="BH127" s="2801" t="s">
        <v>543</v>
      </c>
      <c r="BI127" s="2802" t="e">
        <f ca="1">+BJ127/BJ126*100</f>
        <v>#DIV/0!</v>
      </c>
      <c r="BJ127" s="1525">
        <f ca="1">OFFSET('VVP2'!$G$71,0,(COLUMN()-10)/4)</f>
        <v>8.3521000000000001</v>
      </c>
      <c r="BK127" s="1479"/>
      <c r="BL127" s="2801" t="s">
        <v>543</v>
      </c>
      <c r="BM127" s="2802">
        <f ca="1">+BN127/BN126*100</f>
        <v>1178.7363636363636</v>
      </c>
      <c r="BN127" s="1525">
        <f ca="1">OFFSET('VVP2'!$G$71,0,(COLUMN()-10)/4)</f>
        <v>-6.4830500000000004</v>
      </c>
      <c r="BO127" s="1479"/>
      <c r="BP127" s="2801" t="s">
        <v>543</v>
      </c>
      <c r="BQ127" s="2802" t="e">
        <f ca="1">+BR127/BR126*100</f>
        <v>#DIV/0!</v>
      </c>
      <c r="BR127" s="1525">
        <f ca="1">OFFSET('VVP2'!$G$71,0,(COLUMN()-10)/4)</f>
        <v>3.1879</v>
      </c>
      <c r="BS127" s="1479"/>
      <c r="BT127" s="2801" t="s">
        <v>543</v>
      </c>
      <c r="BU127" s="2802" t="e">
        <f ca="1">+BV127/BV126*100</f>
        <v>#DIV/0!</v>
      </c>
      <c r="BV127" s="1525">
        <f ca="1">OFFSET('VVP2'!$G$71,0,(COLUMN()-10)/4)</f>
        <v>15.63918</v>
      </c>
      <c r="BW127" s="1479"/>
      <c r="BX127" s="2801" t="s">
        <v>543</v>
      </c>
      <c r="BY127" s="2802" t="e">
        <f ca="1">+BZ127/BZ126*100</f>
        <v>#DIV/0!</v>
      </c>
      <c r="BZ127" s="1525">
        <f ca="1">OFFSET('VVP2'!$G$71,0,(COLUMN()-10)/4)</f>
        <v>4.5806800000000001</v>
      </c>
      <c r="CA127" s="1479"/>
      <c r="CB127" s="2801" t="s">
        <v>543</v>
      </c>
      <c r="CC127" s="2802" t="e">
        <f ca="1">+CD127/CD126*100</f>
        <v>#DIV/0!</v>
      </c>
      <c r="CD127" s="1525">
        <f ca="1">OFFSET('VVP2'!$G$71,0,(COLUMN()-10)/4)</f>
        <v>-2.1232399999999996</v>
      </c>
      <c r="CE127" s="1479"/>
      <c r="CF127" s="2801" t="s">
        <v>543</v>
      </c>
      <c r="CG127" s="2802" t="e">
        <f ca="1">+CH127/CH126*100</f>
        <v>#DIV/0!</v>
      </c>
      <c r="CH127" s="1525">
        <f ca="1">OFFSET('VVP2'!$G$71,0,(COLUMN()-10)/4)</f>
        <v>3.4557800000000003</v>
      </c>
      <c r="CI127" s="1479"/>
      <c r="CJ127" s="2801" t="s">
        <v>543</v>
      </c>
      <c r="CK127" s="2802" t="e">
        <f ca="1">+CL127/CL126*100</f>
        <v>#DIV/0!</v>
      </c>
      <c r="CL127" s="1525">
        <f ca="1">OFFSET('VVP2'!$G$71,0,(COLUMN()-10)/4)</f>
        <v>6.7948500000000003</v>
      </c>
      <c r="CM127" s="1479"/>
      <c r="CN127" s="2801" t="s">
        <v>543</v>
      </c>
      <c r="CO127" s="2802" t="e">
        <f ca="1">+CP127/CP126*100</f>
        <v>#DIV/0!</v>
      </c>
      <c r="CP127" s="1525">
        <f ca="1">OFFSET('VVP2'!$G$71,0,(COLUMN()-10)/4)</f>
        <v>11.017520000000001</v>
      </c>
      <c r="CQ127" s="1479"/>
      <c r="CR127" s="2801" t="s">
        <v>543</v>
      </c>
      <c r="CS127" s="2802" t="e">
        <f ca="1">+CT127/CT126*100</f>
        <v>#DIV/0!</v>
      </c>
      <c r="CT127" s="1525">
        <f ca="1">OFFSET('VVP2'!$G$71,0,(COLUMN()-10)/4)</f>
        <v>16.341916721203631</v>
      </c>
      <c r="CU127" s="1479"/>
      <c r="CV127" s="2801" t="s">
        <v>543</v>
      </c>
      <c r="CW127" s="2802" t="e">
        <f ca="1">+CX127/CX126*100</f>
        <v>#DIV/0!</v>
      </c>
      <c r="CX127" s="1525">
        <f ca="1">OFFSET('VVP2'!$G$71,0,(COLUMN()-10)/4)</f>
        <v>16.341916721203631</v>
      </c>
      <c r="CY127" s="1479"/>
      <c r="CZ127" s="2801" t="s">
        <v>543</v>
      </c>
      <c r="DA127" s="2802" t="e">
        <f ca="1">+DB127/DB126*100</f>
        <v>#DIV/0!</v>
      </c>
      <c r="DB127" s="1525">
        <f ca="1">OFFSET('VVP2'!$G$71,0,(COLUMN()-10)/4)</f>
        <v>16.341916721203631</v>
      </c>
    </row>
    <row r="128" spans="1:106">
      <c r="AY128" s="218"/>
      <c r="BM128" s="1380"/>
      <c r="BO128" s="577"/>
      <c r="BP128" s="577"/>
      <c r="BQ128" s="577"/>
      <c r="BR128" s="577"/>
      <c r="BS128" s="577"/>
      <c r="BT128" s="577"/>
      <c r="BU128" s="577"/>
      <c r="BV128" s="577"/>
      <c r="BW128" s="577"/>
      <c r="BX128" s="577"/>
      <c r="BY128" s="577"/>
      <c r="BZ128" s="577"/>
      <c r="CA128" s="577"/>
      <c r="CB128" s="577"/>
      <c r="CC128" s="577"/>
      <c r="CD128" s="577"/>
      <c r="CE128" s="577"/>
      <c r="CF128" s="577"/>
      <c r="CG128" s="577"/>
      <c r="CH128" s="577"/>
      <c r="CI128" s="577"/>
      <c r="CJ128" s="577"/>
      <c r="CK128" s="577"/>
      <c r="CL128" s="577"/>
      <c r="CM128" s="577"/>
      <c r="CN128" s="577"/>
      <c r="CO128" s="577"/>
      <c r="CP128" s="577"/>
      <c r="CQ128" s="577"/>
      <c r="CR128" s="577"/>
      <c r="CS128" s="577"/>
      <c r="CT128" s="577"/>
      <c r="CU128" s="577"/>
      <c r="CV128" s="577"/>
      <c r="CW128" s="577"/>
      <c r="CX128" s="577"/>
      <c r="CY128" s="577"/>
      <c r="CZ128" s="577"/>
      <c r="DA128" s="577"/>
      <c r="DB128" s="577"/>
    </row>
    <row r="129" spans="1:106" s="749" customFormat="1" ht="12.75" customHeight="1">
      <c r="A129" s="714"/>
      <c r="B129" s="714"/>
      <c r="C129" s="1456"/>
      <c r="D129" s="790"/>
      <c r="E129" s="791" t="s">
        <v>73</v>
      </c>
      <c r="F129" s="792"/>
      <c r="G129" s="1484" t="str">
        <f t="shared" ref="G129:N129" si="689">G124</f>
        <v>Q1</v>
      </c>
      <c r="H129" s="1485" t="str">
        <f t="shared" si="689"/>
        <v>Q2</v>
      </c>
      <c r="I129" s="1485" t="str">
        <f t="shared" si="689"/>
        <v>Q3</v>
      </c>
      <c r="J129" s="1486" t="str">
        <f t="shared" si="689"/>
        <v>Q4</v>
      </c>
      <c r="K129" s="1484" t="str">
        <f t="shared" si="689"/>
        <v>Q1</v>
      </c>
      <c r="L129" s="1485" t="str">
        <f t="shared" si="689"/>
        <v>Q2</v>
      </c>
      <c r="M129" s="1485" t="str">
        <f t="shared" si="689"/>
        <v>Q3</v>
      </c>
      <c r="N129" s="1486" t="str">
        <f t="shared" si="689"/>
        <v>Q4</v>
      </c>
      <c r="O129" s="1484" t="str">
        <f t="shared" ref="O129:AX129" si="690">O124</f>
        <v>Q1</v>
      </c>
      <c r="P129" s="1485" t="str">
        <f t="shared" si="690"/>
        <v>Q2</v>
      </c>
      <c r="Q129" s="1485" t="str">
        <f t="shared" si="690"/>
        <v>Q3</v>
      </c>
      <c r="R129" s="1486" t="str">
        <f t="shared" si="690"/>
        <v>Q4</v>
      </c>
      <c r="S129" s="1484" t="str">
        <f t="shared" si="690"/>
        <v>Q1</v>
      </c>
      <c r="T129" s="1485" t="str">
        <f t="shared" si="690"/>
        <v>Q2</v>
      </c>
      <c r="U129" s="1485" t="str">
        <f t="shared" si="690"/>
        <v>Q3</v>
      </c>
      <c r="V129" s="1486" t="str">
        <f t="shared" si="690"/>
        <v>Q4</v>
      </c>
      <c r="W129" s="1484" t="str">
        <f t="shared" si="690"/>
        <v>Q1</v>
      </c>
      <c r="X129" s="1485" t="str">
        <f t="shared" si="690"/>
        <v>Q2</v>
      </c>
      <c r="Y129" s="1485" t="str">
        <f t="shared" si="690"/>
        <v>Q3</v>
      </c>
      <c r="Z129" s="1486" t="str">
        <f t="shared" si="690"/>
        <v>Q4</v>
      </c>
      <c r="AA129" s="1484" t="str">
        <f t="shared" si="690"/>
        <v>Q1</v>
      </c>
      <c r="AB129" s="1485" t="str">
        <f t="shared" si="690"/>
        <v>Q2</v>
      </c>
      <c r="AC129" s="1485" t="str">
        <f t="shared" si="690"/>
        <v>Q3</v>
      </c>
      <c r="AD129" s="1486" t="str">
        <f t="shared" si="690"/>
        <v>Q4</v>
      </c>
      <c r="AE129" s="1484" t="str">
        <f t="shared" si="690"/>
        <v>Q1</v>
      </c>
      <c r="AF129" s="1485" t="str">
        <f t="shared" si="690"/>
        <v>Q2</v>
      </c>
      <c r="AG129" s="1485" t="str">
        <f t="shared" si="690"/>
        <v>Q3</v>
      </c>
      <c r="AH129" s="1486" t="str">
        <f t="shared" si="690"/>
        <v>Q4</v>
      </c>
      <c r="AI129" s="1484" t="str">
        <f t="shared" si="690"/>
        <v>Q1</v>
      </c>
      <c r="AJ129" s="1485" t="str">
        <f t="shared" si="690"/>
        <v>Q2</v>
      </c>
      <c r="AK129" s="1485" t="str">
        <f t="shared" si="690"/>
        <v>Q3</v>
      </c>
      <c r="AL129" s="1486" t="str">
        <f t="shared" si="690"/>
        <v>Q4</v>
      </c>
      <c r="AM129" s="1484" t="str">
        <f t="shared" si="690"/>
        <v>Q1</v>
      </c>
      <c r="AN129" s="1485" t="str">
        <f t="shared" si="690"/>
        <v>Q2</v>
      </c>
      <c r="AO129" s="1485" t="str">
        <f t="shared" si="690"/>
        <v>Q3</v>
      </c>
      <c r="AP129" s="1486" t="str">
        <f t="shared" si="690"/>
        <v>Q4</v>
      </c>
      <c r="AQ129" s="1484" t="str">
        <f t="shared" si="690"/>
        <v>Q1</v>
      </c>
      <c r="AR129" s="1485" t="str">
        <f t="shared" si="690"/>
        <v>Q2</v>
      </c>
      <c r="AS129" s="1485" t="str">
        <f t="shared" si="690"/>
        <v>Q3</v>
      </c>
      <c r="AT129" s="1486" t="str">
        <f t="shared" si="690"/>
        <v>Q4</v>
      </c>
      <c r="AU129" s="1484" t="str">
        <f t="shared" si="690"/>
        <v>Q1</v>
      </c>
      <c r="AV129" s="1485" t="str">
        <f t="shared" si="690"/>
        <v>Q2</v>
      </c>
      <c r="AW129" s="1485" t="str">
        <f t="shared" si="690"/>
        <v>Q3</v>
      </c>
      <c r="AX129" s="1486" t="str">
        <f t="shared" si="690"/>
        <v>Q4</v>
      </c>
      <c r="AY129" s="1484" t="str">
        <f>AY124</f>
        <v>Q1</v>
      </c>
      <c r="AZ129" s="1485" t="str">
        <f>AZ124</f>
        <v>Q2</v>
      </c>
      <c r="BA129" s="1457" t="str">
        <f t="shared" ref="BA129:BF129" si="691">BA124</f>
        <v>Q3</v>
      </c>
      <c r="BB129" s="1457" t="str">
        <f t="shared" si="691"/>
        <v>Q4</v>
      </c>
      <c r="BC129" s="1457" t="str">
        <f t="shared" si="691"/>
        <v>Q1</v>
      </c>
      <c r="BD129" s="1457" t="str">
        <f t="shared" si="691"/>
        <v>Q2</v>
      </c>
      <c r="BE129" s="1457" t="str">
        <f>BE124</f>
        <v>Q3</v>
      </c>
      <c r="BF129" s="1457" t="str">
        <f t="shared" si="691"/>
        <v>Q4</v>
      </c>
      <c r="BG129" s="1457" t="str">
        <f t="shared" ref="BG129:BN129" si="692">BG124</f>
        <v>Q1</v>
      </c>
      <c r="BH129" s="1457" t="str">
        <f t="shared" si="692"/>
        <v>Q2</v>
      </c>
      <c r="BI129" s="1457" t="str">
        <f t="shared" si="692"/>
        <v>Q3</v>
      </c>
      <c r="BJ129" s="1457" t="str">
        <f t="shared" si="692"/>
        <v>Q4</v>
      </c>
      <c r="BK129" s="1457" t="str">
        <f t="shared" si="692"/>
        <v>Q1</v>
      </c>
      <c r="BL129" s="1457" t="str">
        <f t="shared" si="692"/>
        <v>Q2</v>
      </c>
      <c r="BM129" s="1457" t="str">
        <f t="shared" si="692"/>
        <v>Q3</v>
      </c>
      <c r="BN129" s="1457" t="str">
        <f t="shared" si="692"/>
        <v>Q4</v>
      </c>
      <c r="BO129" s="1457" t="str">
        <f>BO124</f>
        <v>Q1</v>
      </c>
      <c r="BP129" s="1457" t="str">
        <f>BP124</f>
        <v>Q2</v>
      </c>
      <c r="BQ129" s="1457" t="str">
        <f t="shared" ref="BQ129:BV129" si="693">BQ124</f>
        <v>Q3</v>
      </c>
      <c r="BR129" s="1457" t="str">
        <f t="shared" si="693"/>
        <v>Q4</v>
      </c>
      <c r="BS129" s="1457" t="str">
        <f t="shared" si="693"/>
        <v>Q1</v>
      </c>
      <c r="BT129" s="1457" t="str">
        <f t="shared" si="693"/>
        <v>Q2</v>
      </c>
      <c r="BU129" s="1457" t="str">
        <f t="shared" si="693"/>
        <v>Q3</v>
      </c>
      <c r="BV129" s="1457" t="str">
        <f t="shared" si="693"/>
        <v>Q4</v>
      </c>
      <c r="BW129" s="1457" t="str">
        <f t="shared" ref="BW129:CD129" si="694">BW124</f>
        <v>Q1</v>
      </c>
      <c r="BX129" s="1457" t="str">
        <f t="shared" si="694"/>
        <v>Q2</v>
      </c>
      <c r="BY129" s="1457" t="str">
        <f t="shared" si="694"/>
        <v>Q3</v>
      </c>
      <c r="BZ129" s="1457" t="str">
        <f t="shared" si="694"/>
        <v>Q4</v>
      </c>
      <c r="CA129" s="1457" t="str">
        <f>CA124</f>
        <v>Q1</v>
      </c>
      <c r="CB129" s="1457" t="str">
        <f t="shared" si="694"/>
        <v>Q2</v>
      </c>
      <c r="CC129" s="1457" t="str">
        <f t="shared" ref="CC129" si="695">CC124</f>
        <v>Q3</v>
      </c>
      <c r="CD129" s="1457" t="str">
        <f t="shared" si="694"/>
        <v>Q4</v>
      </c>
      <c r="CE129" s="1457" t="str">
        <f>CE124</f>
        <v>Q1</v>
      </c>
      <c r="CF129" s="1457" t="str">
        <f t="shared" ref="CF129:CH129" si="696">CF124</f>
        <v>Q2</v>
      </c>
      <c r="CG129" s="1457" t="str">
        <f t="shared" si="696"/>
        <v>Q3</v>
      </c>
      <c r="CH129" s="1457" t="str">
        <f t="shared" si="696"/>
        <v>Q4</v>
      </c>
      <c r="CI129" s="1457" t="str">
        <f>CI124</f>
        <v>Q1</v>
      </c>
      <c r="CJ129" s="1457" t="str">
        <f t="shared" ref="CJ129:CL129" si="697">CJ124</f>
        <v>Q2</v>
      </c>
      <c r="CK129" s="1457" t="str">
        <f t="shared" si="697"/>
        <v>Q3</v>
      </c>
      <c r="CL129" s="1457" t="str">
        <f t="shared" si="697"/>
        <v>Q4</v>
      </c>
      <c r="CM129" s="1457" t="str">
        <f>CM124</f>
        <v>Q1</v>
      </c>
      <c r="CN129" s="1457" t="str">
        <f t="shared" ref="CN129:CP129" si="698">CN124</f>
        <v>Q2</v>
      </c>
      <c r="CO129" s="1457" t="str">
        <f t="shared" si="698"/>
        <v>Q3</v>
      </c>
      <c r="CP129" s="1457" t="str">
        <f t="shared" si="698"/>
        <v>Q4</v>
      </c>
      <c r="CQ129" s="1457" t="str">
        <f>CQ124</f>
        <v>Q1</v>
      </c>
      <c r="CR129" s="1457" t="str">
        <f t="shared" ref="CR129:CS129" si="699">CR124</f>
        <v>Q2</v>
      </c>
      <c r="CS129" s="1457" t="str">
        <f t="shared" si="699"/>
        <v>Q3</v>
      </c>
      <c r="CT129" s="1457" t="str">
        <f t="shared" ref="CT129" si="700">CT124</f>
        <v>Q4</v>
      </c>
      <c r="CU129" s="1457" t="str">
        <f t="shared" ref="CU129:CX129" si="701">CU124</f>
        <v>Q1</v>
      </c>
      <c r="CV129" s="1457" t="str">
        <f t="shared" si="701"/>
        <v>Q2</v>
      </c>
      <c r="CW129" s="1457" t="str">
        <f t="shared" si="701"/>
        <v>Q3</v>
      </c>
      <c r="CX129" s="1457" t="str">
        <f t="shared" si="701"/>
        <v>Q4</v>
      </c>
      <c r="CY129" s="1457" t="str">
        <f t="shared" ref="CY129:DB129" si="702">CY124</f>
        <v>Q1</v>
      </c>
      <c r="CZ129" s="1457" t="str">
        <f t="shared" si="702"/>
        <v>Q2</v>
      </c>
      <c r="DA129" s="1457" t="str">
        <f t="shared" si="702"/>
        <v>Q3</v>
      </c>
      <c r="DB129" s="1457" t="str">
        <f t="shared" si="702"/>
        <v>Q4</v>
      </c>
    </row>
    <row r="130" spans="1:106" s="749" customFormat="1" ht="12.75" customHeight="1">
      <c r="A130" s="714"/>
      <c r="B130" s="1468"/>
      <c r="C130" s="742"/>
      <c r="D130" s="739"/>
      <c r="E130" s="787" t="str">
        <f>E125</f>
        <v xml:space="preserve">Changes in inventories and net acquisition of valuables                         </v>
      </c>
      <c r="F130" s="782" t="s">
        <v>1572</v>
      </c>
      <c r="G130" s="1020"/>
      <c r="H130" s="1020" t="e">
        <f t="shared" ref="H130:AM130" si="703">(H125/G125-1)*100</f>
        <v>#DIV/0!</v>
      </c>
      <c r="I130" s="1020" t="e">
        <f t="shared" si="703"/>
        <v>#DIV/0!</v>
      </c>
      <c r="J130" s="1020" t="e">
        <f t="shared" si="703"/>
        <v>#DIV/0!</v>
      </c>
      <c r="K130" s="1020" t="e">
        <f t="shared" si="703"/>
        <v>#DIV/0!</v>
      </c>
      <c r="L130" s="1020" t="e">
        <f t="shared" si="703"/>
        <v>#DIV/0!</v>
      </c>
      <c r="M130" s="1020" t="e">
        <f t="shared" si="703"/>
        <v>#DIV/0!</v>
      </c>
      <c r="N130" s="1020" t="e">
        <f t="shared" si="703"/>
        <v>#DIV/0!</v>
      </c>
      <c r="O130" s="1020" t="e">
        <f t="shared" si="703"/>
        <v>#DIV/0!</v>
      </c>
      <c r="P130" s="1020" t="e">
        <f t="shared" si="703"/>
        <v>#DIV/0!</v>
      </c>
      <c r="Q130" s="1020" t="e">
        <f t="shared" si="703"/>
        <v>#DIV/0!</v>
      </c>
      <c r="R130" s="1020" t="e">
        <f t="shared" si="703"/>
        <v>#DIV/0!</v>
      </c>
      <c r="S130" s="1020" t="e">
        <f t="shared" si="703"/>
        <v>#DIV/0!</v>
      </c>
      <c r="T130" s="1020" t="e">
        <f t="shared" si="703"/>
        <v>#DIV/0!</v>
      </c>
      <c r="U130" s="1020" t="e">
        <f t="shared" si="703"/>
        <v>#DIV/0!</v>
      </c>
      <c r="V130" s="1020" t="e">
        <f t="shared" si="703"/>
        <v>#DIV/0!</v>
      </c>
      <c r="W130" s="1020" t="e">
        <f t="shared" si="703"/>
        <v>#DIV/0!</v>
      </c>
      <c r="X130" s="1020" t="e">
        <f t="shared" si="703"/>
        <v>#DIV/0!</v>
      </c>
      <c r="Y130" s="1020" t="e">
        <f t="shared" si="703"/>
        <v>#DIV/0!</v>
      </c>
      <c r="Z130" s="1020" t="e">
        <f t="shared" si="703"/>
        <v>#DIV/0!</v>
      </c>
      <c r="AA130" s="1020" t="e">
        <f t="shared" si="703"/>
        <v>#DIV/0!</v>
      </c>
      <c r="AB130" s="1020" t="e">
        <f t="shared" si="703"/>
        <v>#DIV/0!</v>
      </c>
      <c r="AC130" s="1020" t="e">
        <f t="shared" si="703"/>
        <v>#DIV/0!</v>
      </c>
      <c r="AD130" s="1020" t="e">
        <f t="shared" si="703"/>
        <v>#DIV/0!</v>
      </c>
      <c r="AE130" s="1020" t="e">
        <f t="shared" si="703"/>
        <v>#DIV/0!</v>
      </c>
      <c r="AF130" s="1020" t="e">
        <f t="shared" si="703"/>
        <v>#DIV/0!</v>
      </c>
      <c r="AG130" s="1020" t="e">
        <f t="shared" si="703"/>
        <v>#DIV/0!</v>
      </c>
      <c r="AH130" s="1020" t="e">
        <f t="shared" si="703"/>
        <v>#DIV/0!</v>
      </c>
      <c r="AI130" s="1020" t="e">
        <f t="shared" si="703"/>
        <v>#DIV/0!</v>
      </c>
      <c r="AJ130" s="1020" t="e">
        <f t="shared" si="703"/>
        <v>#DIV/0!</v>
      </c>
      <c r="AK130" s="1020" t="e">
        <f t="shared" si="703"/>
        <v>#DIV/0!</v>
      </c>
      <c r="AL130" s="1020" t="e">
        <f t="shared" si="703"/>
        <v>#DIV/0!</v>
      </c>
      <c r="AM130" s="1020" t="e">
        <f t="shared" si="703"/>
        <v>#DIV/0!</v>
      </c>
      <c r="AN130" s="1020" t="e">
        <f t="shared" ref="AN130:BE130" si="704">(AN125/AM125-1)*100</f>
        <v>#DIV/0!</v>
      </c>
      <c r="AO130" s="1020" t="e">
        <f t="shared" si="704"/>
        <v>#DIV/0!</v>
      </c>
      <c r="AP130" s="1020" t="e">
        <f t="shared" si="704"/>
        <v>#DIV/0!</v>
      </c>
      <c r="AQ130" s="1020" t="e">
        <f t="shared" si="704"/>
        <v>#DIV/0!</v>
      </c>
      <c r="AR130" s="1020" t="e">
        <f t="shared" si="704"/>
        <v>#DIV/0!</v>
      </c>
      <c r="AS130" s="1020" t="e">
        <f t="shared" si="704"/>
        <v>#DIV/0!</v>
      </c>
      <c r="AT130" s="1020" t="e">
        <f t="shared" si="704"/>
        <v>#DIV/0!</v>
      </c>
      <c r="AU130" s="1020" t="e">
        <f t="shared" si="704"/>
        <v>#DIV/0!</v>
      </c>
      <c r="AV130" s="1020" t="e">
        <f t="shared" si="704"/>
        <v>#DIV/0!</v>
      </c>
      <c r="AW130" s="1020" t="e">
        <f t="shared" si="704"/>
        <v>#DIV/0!</v>
      </c>
      <c r="AX130" s="1020" t="e">
        <f t="shared" si="704"/>
        <v>#DIV/0!</v>
      </c>
      <c r="AY130" s="1020" t="e">
        <f t="shared" si="704"/>
        <v>#DIV/0!</v>
      </c>
      <c r="AZ130" s="1020" t="e">
        <f t="shared" si="704"/>
        <v>#DIV/0!</v>
      </c>
      <c r="BA130" s="1020" t="e">
        <f t="shared" si="704"/>
        <v>#DIV/0!</v>
      </c>
      <c r="BB130" s="1020" t="e">
        <f>(BB125/BA125-1)*100</f>
        <v>#DIV/0!</v>
      </c>
      <c r="BC130" s="1020" t="e">
        <f>(BC125/BB125-1)*100</f>
        <v>#DIV/0!</v>
      </c>
      <c r="BD130" s="1020" t="e">
        <f>(BD125/BC125-1)*100</f>
        <v>#DIV/0!</v>
      </c>
      <c r="BE130" s="1020" t="e">
        <f t="shared" si="704"/>
        <v>#DIV/0!</v>
      </c>
      <c r="BF130" s="1020" t="e">
        <f>(BF125/BE125-1)*100</f>
        <v>#DIV/0!</v>
      </c>
      <c r="BG130" s="1020" t="e">
        <f>(BG125/BF125-1)*100</f>
        <v>#DIV/0!</v>
      </c>
      <c r="BH130" s="1020" t="e">
        <f>(BH125/BG125-1)*100</f>
        <v>#DIV/0!</v>
      </c>
      <c r="BI130" s="1020" t="e">
        <f t="shared" ref="BI130:BN130" si="705">(BI125/BH125-1)*100</f>
        <v>#DIV/0!</v>
      </c>
      <c r="BJ130" s="1020" t="e">
        <f t="shared" si="705"/>
        <v>#DIV/0!</v>
      </c>
      <c r="BK130" s="1020" t="e">
        <f t="shared" si="705"/>
        <v>#DIV/0!</v>
      </c>
      <c r="BL130" s="1020" t="e">
        <f t="shared" si="705"/>
        <v>#DIV/0!</v>
      </c>
      <c r="BM130" s="1020" t="e">
        <f t="shared" si="705"/>
        <v>#DIV/0!</v>
      </c>
      <c r="BN130" s="1020" t="e">
        <f t="shared" si="705"/>
        <v>#DIV/0!</v>
      </c>
      <c r="BO130" s="1020" t="e">
        <f t="shared" ref="BO130:CG130" si="706">(BO125/BN125-1)*100</f>
        <v>#DIV/0!</v>
      </c>
      <c r="BP130" s="1020" t="e">
        <f t="shared" si="706"/>
        <v>#DIV/0!</v>
      </c>
      <c r="BQ130" s="1020" t="e">
        <f t="shared" si="706"/>
        <v>#DIV/0!</v>
      </c>
      <c r="BR130" s="1020" t="e">
        <f t="shared" si="706"/>
        <v>#DIV/0!</v>
      </c>
      <c r="BS130" s="1020" t="e">
        <f t="shared" si="706"/>
        <v>#DIV/0!</v>
      </c>
      <c r="BT130" s="1020" t="e">
        <f t="shared" si="706"/>
        <v>#DIV/0!</v>
      </c>
      <c r="BU130" s="1020" t="e">
        <f t="shared" si="706"/>
        <v>#DIV/0!</v>
      </c>
      <c r="BV130" s="1020" t="e">
        <f t="shared" si="706"/>
        <v>#DIV/0!</v>
      </c>
      <c r="BW130" s="1020" t="e">
        <f t="shared" si="706"/>
        <v>#DIV/0!</v>
      </c>
      <c r="BX130" s="978" t="e">
        <f t="shared" si="706"/>
        <v>#DIV/0!</v>
      </c>
      <c r="BY130" s="978" t="e">
        <f t="shared" si="706"/>
        <v>#DIV/0!</v>
      </c>
      <c r="BZ130" s="978" t="e">
        <f t="shared" si="706"/>
        <v>#DIV/0!</v>
      </c>
      <c r="CA130" s="1020" t="e">
        <f t="shared" si="706"/>
        <v>#DIV/0!</v>
      </c>
      <c r="CB130" s="978" t="e">
        <f t="shared" ref="CB130:CH130" si="707">(CB125/CA125-1)*100</f>
        <v>#DIV/0!</v>
      </c>
      <c r="CC130" s="978" t="e">
        <f t="shared" si="706"/>
        <v>#DIV/0!</v>
      </c>
      <c r="CD130" s="978" t="e">
        <f t="shared" si="707"/>
        <v>#DIV/0!</v>
      </c>
      <c r="CE130" s="1020" t="e">
        <f t="shared" si="706"/>
        <v>#DIV/0!</v>
      </c>
      <c r="CF130" s="978" t="e">
        <f t="shared" si="707"/>
        <v>#DIV/0!</v>
      </c>
      <c r="CG130" s="978" t="e">
        <f t="shared" si="706"/>
        <v>#DIV/0!</v>
      </c>
      <c r="CH130" s="978" t="e">
        <f t="shared" si="707"/>
        <v>#DIV/0!</v>
      </c>
      <c r="CI130" s="1020" t="e">
        <f t="shared" ref="CI130" si="708">(CI125/CH125-1)*100</f>
        <v>#DIV/0!</v>
      </c>
      <c r="CJ130" s="978" t="e">
        <f t="shared" ref="CJ130:CS130" si="709">(CJ125/CI125-1)*100</f>
        <v>#DIV/0!</v>
      </c>
      <c r="CK130" s="978" t="e">
        <f t="shared" si="709"/>
        <v>#DIV/0!</v>
      </c>
      <c r="CL130" s="978" t="e">
        <f t="shared" si="709"/>
        <v>#DIV/0!</v>
      </c>
      <c r="CM130" s="1020" t="e">
        <f t="shared" si="709"/>
        <v>#DIV/0!</v>
      </c>
      <c r="CN130" s="978" t="e">
        <f t="shared" si="709"/>
        <v>#DIV/0!</v>
      </c>
      <c r="CO130" s="978" t="e">
        <f t="shared" si="709"/>
        <v>#DIV/0!</v>
      </c>
      <c r="CP130" s="978" t="e">
        <f t="shared" si="709"/>
        <v>#DIV/0!</v>
      </c>
      <c r="CQ130" s="1020" t="e">
        <f t="shared" si="709"/>
        <v>#DIV/0!</v>
      </c>
      <c r="CR130" s="978" t="e">
        <f t="shared" si="709"/>
        <v>#DIV/0!</v>
      </c>
      <c r="CS130" s="978" t="e">
        <f t="shared" si="709"/>
        <v>#DIV/0!</v>
      </c>
      <c r="CT130" s="978" t="e">
        <f t="shared" ref="CT130" si="710">(CT125/CS125-1)*100</f>
        <v>#DIV/0!</v>
      </c>
      <c r="CU130" s="978" t="e">
        <f t="shared" ref="CU130" si="711">(CU125/CT125-1)*100</f>
        <v>#DIV/0!</v>
      </c>
      <c r="CV130" s="978" t="e">
        <f t="shared" ref="CV130" si="712">(CV125/CU125-1)*100</f>
        <v>#DIV/0!</v>
      </c>
      <c r="CW130" s="978" t="e">
        <f t="shared" ref="CW130" si="713">(CW125/CV125-1)*100</f>
        <v>#DIV/0!</v>
      </c>
      <c r="CX130" s="978" t="e">
        <f t="shared" ref="CX130" si="714">(CX125/CW125-1)*100</f>
        <v>#DIV/0!</v>
      </c>
      <c r="CY130" s="978" t="e">
        <f t="shared" ref="CY130" si="715">(CY125/CX125-1)*100</f>
        <v>#DIV/0!</v>
      </c>
      <c r="CZ130" s="978" t="e">
        <f t="shared" ref="CZ130" si="716">(CZ125/CY125-1)*100</f>
        <v>#DIV/0!</v>
      </c>
      <c r="DA130" s="978" t="e">
        <f t="shared" ref="DA130" si="717">(DA125/CZ125-1)*100</f>
        <v>#DIV/0!</v>
      </c>
      <c r="DB130" s="978" t="e">
        <f t="shared" ref="DB130" si="718">(DB125/DA125-1)*100</f>
        <v>#DIV/0!</v>
      </c>
    </row>
    <row r="131" spans="1:106">
      <c r="C131" s="1458"/>
      <c r="D131" s="1487"/>
      <c r="E131" s="1488" t="s">
        <v>74</v>
      </c>
      <c r="F131" s="1562"/>
      <c r="G131" s="1511"/>
      <c r="H131" s="1512"/>
      <c r="I131" s="1512"/>
      <c r="J131" s="1512"/>
      <c r="K131" s="1513"/>
      <c r="L131" s="1513"/>
      <c r="M131" s="1513"/>
      <c r="N131" s="1514" t="e">
        <f>N126/J126*100-100</f>
        <v>#DIV/0!</v>
      </c>
      <c r="O131" s="1513"/>
      <c r="P131" s="1513"/>
      <c r="Q131" s="1513"/>
      <c r="R131" s="1514" t="e">
        <f>R126/N126*100-100</f>
        <v>#DIV/0!</v>
      </c>
      <c r="S131" s="1513"/>
      <c r="T131" s="1513"/>
      <c r="U131" s="1513"/>
      <c r="V131" s="1514" t="e">
        <f>V126/R126*100-100</f>
        <v>#DIV/0!</v>
      </c>
      <c r="W131" s="1513"/>
      <c r="X131" s="1513"/>
      <c r="Y131" s="1513"/>
      <c r="Z131" s="1514" t="e">
        <f>Z126/V126*100-100</f>
        <v>#DIV/0!</v>
      </c>
      <c r="AA131" s="1513"/>
      <c r="AB131" s="1513"/>
      <c r="AC131" s="1513"/>
      <c r="AD131" s="1514" t="e">
        <f>AD126/Z126*100-100</f>
        <v>#DIV/0!</v>
      </c>
      <c r="AE131" s="1513"/>
      <c r="AF131" s="1513"/>
      <c r="AG131" s="1513"/>
      <c r="AH131" s="1514" t="e">
        <f>AH126/AD126*100-100</f>
        <v>#DIV/0!</v>
      </c>
      <c r="AI131" s="1513"/>
      <c r="AJ131" s="1513"/>
      <c r="AK131" s="1513"/>
      <c r="AL131" s="1514" t="e">
        <f>AL126/AH126*100-100</f>
        <v>#DIV/0!</v>
      </c>
      <c r="AM131" s="1513"/>
      <c r="AN131" s="1513"/>
      <c r="AO131" s="1513"/>
      <c r="AP131" s="1514" t="e">
        <f>AP126/AL126*100-100</f>
        <v>#DIV/0!</v>
      </c>
      <c r="AQ131" s="1513"/>
      <c r="AR131" s="1513"/>
      <c r="AS131" s="1513"/>
      <c r="AT131" s="1514" t="e">
        <f>AT126/AP126*100-100</f>
        <v>#DIV/0!</v>
      </c>
      <c r="AU131" s="1513"/>
      <c r="AV131" s="1513"/>
      <c r="AW131" s="1513"/>
      <c r="AX131" s="1514" t="e">
        <f>AX126/AT126*100-100</f>
        <v>#DIV/0!</v>
      </c>
      <c r="AY131" s="1513"/>
      <c r="AZ131" s="1513"/>
      <c r="BA131" s="1513"/>
      <c r="BB131" s="1514" t="e">
        <f>BB126/AX126*100-100</f>
        <v>#DIV/0!</v>
      </c>
      <c r="BC131" s="1513"/>
      <c r="BD131" s="1513"/>
      <c r="BE131" s="1513"/>
      <c r="BF131" s="1514" t="e">
        <f>BF126/BB126*100-100</f>
        <v>#DIV/0!</v>
      </c>
      <c r="BG131" s="1513"/>
      <c r="BH131" s="1513"/>
      <c r="BI131" s="1513"/>
      <c r="BJ131" s="1514" t="e">
        <f>BJ126/BF126*100-100</f>
        <v>#DIV/0!</v>
      </c>
      <c r="BK131" s="1513"/>
      <c r="BL131" s="1513"/>
      <c r="BM131" s="1513"/>
      <c r="BN131" s="1514" t="e">
        <f>BN126/BJ126*100-100</f>
        <v>#DIV/0!</v>
      </c>
      <c r="BO131" s="1513"/>
      <c r="BP131" s="1513"/>
      <c r="BQ131" s="1513"/>
      <c r="BR131" s="1514">
        <f>BR126/BN126*100-100</f>
        <v>-100</v>
      </c>
      <c r="BS131" s="1513"/>
      <c r="BT131" s="1513"/>
      <c r="BU131" s="1513"/>
      <c r="BV131" s="1514" t="e">
        <f>BV126/BR126*100-100</f>
        <v>#DIV/0!</v>
      </c>
      <c r="BW131" s="1513"/>
      <c r="BX131" s="1513"/>
      <c r="BY131" s="1513"/>
      <c r="BZ131" s="1514" t="e">
        <f>BZ126/BV126*100-100</f>
        <v>#DIV/0!</v>
      </c>
      <c r="CA131" s="1513"/>
      <c r="CB131" s="1513"/>
      <c r="CC131" s="1513"/>
      <c r="CD131" s="1514" t="e">
        <f>CD126/BZ126*100-100</f>
        <v>#DIV/0!</v>
      </c>
      <c r="CE131" s="1513"/>
      <c r="CF131" s="1513"/>
      <c r="CG131" s="1513"/>
      <c r="CH131" s="1514" t="e">
        <f>CH126/CD126*100-100</f>
        <v>#DIV/0!</v>
      </c>
      <c r="CI131" s="1513"/>
      <c r="CJ131" s="1513"/>
      <c r="CK131" s="1513"/>
      <c r="CL131" s="1514" t="e">
        <f>CL126/CH126*100-100</f>
        <v>#DIV/0!</v>
      </c>
      <c r="CM131" s="1513"/>
      <c r="CN131" s="1513"/>
      <c r="CO131" s="1513"/>
      <c r="CP131" s="1514" t="e">
        <f>CP126/CL126*100-100</f>
        <v>#DIV/0!</v>
      </c>
      <c r="CQ131" s="1513"/>
      <c r="CR131" s="1513"/>
      <c r="CS131" s="1513"/>
      <c r="CT131" s="1514" t="e">
        <f>CT126/CP126*100-100</f>
        <v>#DIV/0!</v>
      </c>
      <c r="CU131" s="1513"/>
      <c r="CV131" s="1513"/>
      <c r="CW131" s="1513"/>
      <c r="CX131" s="1514" t="e">
        <f>CX126/CT126*100-100</f>
        <v>#DIV/0!</v>
      </c>
      <c r="CY131" s="1513"/>
      <c r="CZ131" s="1513"/>
      <c r="DA131" s="1513"/>
      <c r="DB131" s="1514" t="e">
        <f>DB126/CX126*100-100</f>
        <v>#DIV/0!</v>
      </c>
    </row>
    <row r="132" spans="1:106" s="749" customFormat="1" ht="12.75" customHeight="1">
      <c r="A132" s="714"/>
      <c r="B132" s="714"/>
      <c r="C132" s="716"/>
      <c r="D132" s="766"/>
      <c r="E132" s="1502" t="s">
        <v>675</v>
      </c>
      <c r="F132" s="766"/>
      <c r="G132" s="1503"/>
      <c r="H132" s="1503"/>
      <c r="I132" s="1503"/>
      <c r="J132" s="1504"/>
      <c r="K132" s="1503"/>
      <c r="L132" s="1503"/>
      <c r="M132" s="1503"/>
      <c r="N132" s="1505">
        <f ca="1">N127/J127*100-100</f>
        <v>-1063.6068376068379</v>
      </c>
      <c r="O132" s="1503"/>
      <c r="P132" s="1503"/>
      <c r="Q132" s="1503"/>
      <c r="R132" s="1505">
        <f ca="1">R127/N127*100-100</f>
        <v>-14.839830961152217</v>
      </c>
      <c r="S132" s="1503"/>
      <c r="T132" s="1503"/>
      <c r="U132" s="1503"/>
      <c r="V132" s="1505">
        <f ca="1">V127/R127*100-100</f>
        <v>9.4842446170964934</v>
      </c>
      <c r="W132" s="1503"/>
      <c r="X132" s="1503"/>
      <c r="Y132" s="1503"/>
      <c r="Z132" s="1505">
        <f ca="1">Z127/V127*100-100</f>
        <v>-6.1351612749787279</v>
      </c>
      <c r="AA132" s="1503"/>
      <c r="AB132" s="1503"/>
      <c r="AC132" s="1503"/>
      <c r="AD132" s="1505">
        <f ca="1">AD127/Z127*100-100</f>
        <v>-37.345005084385022</v>
      </c>
      <c r="AE132" s="1503"/>
      <c r="AF132" s="1503"/>
      <c r="AG132" s="1503"/>
      <c r="AH132" s="1505">
        <f ca="1">AH127/AD127*100-100</f>
        <v>133.02347567194991</v>
      </c>
      <c r="AI132" s="1503"/>
      <c r="AJ132" s="1503"/>
      <c r="AK132" s="1503"/>
      <c r="AL132" s="1505">
        <f ca="1">AL127/AH127*100-100</f>
        <v>0.20898468306947393</v>
      </c>
      <c r="AM132" s="1503"/>
      <c r="AN132" s="1503"/>
      <c r="AO132" s="1503"/>
      <c r="AP132" s="1505">
        <f ca="1">AP127/AL127*100-100</f>
        <v>-8.4011819435721264</v>
      </c>
      <c r="AQ132" s="1503"/>
      <c r="AR132" s="1503"/>
      <c r="AS132" s="1503"/>
      <c r="AT132" s="1505">
        <f ca="1">AT127/AP127*100-100</f>
        <v>-24.485942592283706</v>
      </c>
      <c r="AU132" s="1503"/>
      <c r="AV132" s="1503"/>
      <c r="AW132" s="1503"/>
      <c r="AX132" s="1505">
        <f ca="1">AX127/AT127*100-100</f>
        <v>-48.191739436443392</v>
      </c>
      <c r="AY132" s="1503"/>
      <c r="AZ132" s="1503"/>
      <c r="BA132" s="1503"/>
      <c r="BB132" s="1505">
        <f ca="1">BB127/AX127*100-100</f>
        <v>-74.36950152926218</v>
      </c>
      <c r="BC132" s="1503"/>
      <c r="BD132" s="1503"/>
      <c r="BE132" s="1503"/>
      <c r="BF132" s="1505">
        <f ca="1">BF127/BB127*100-100</f>
        <v>-332.98123295190283</v>
      </c>
      <c r="BG132" s="1503"/>
      <c r="BH132" s="1503"/>
      <c r="BI132" s="1503"/>
      <c r="BJ132" s="1505">
        <f ca="1">BJ127/BF127*100-100</f>
        <v>50.206819653262357</v>
      </c>
      <c r="BK132" s="1503"/>
      <c r="BL132" s="1503"/>
      <c r="BM132" s="1503"/>
      <c r="BN132" s="1505">
        <f ca="1">BN127/BJ127*100-100</f>
        <v>-177.62179571604747</v>
      </c>
      <c r="BO132" s="1503"/>
      <c r="BP132" s="1503"/>
      <c r="BQ132" s="1503"/>
      <c r="BR132" s="1505">
        <f ca="1">BR127/BN127*100-100</f>
        <v>-149.17284302912981</v>
      </c>
      <c r="BS132" s="1503"/>
      <c r="BT132" s="1503"/>
      <c r="BU132" s="1503"/>
      <c r="BV132" s="1505">
        <f ca="1">BV127/BR127*100-100</f>
        <v>390.57937827409893</v>
      </c>
      <c r="BW132" s="1503"/>
      <c r="BX132" s="1503"/>
      <c r="BY132" s="1503"/>
      <c r="BZ132" s="3887">
        <f ca="1">BZ127/BV127*100-100</f>
        <v>-70.71022905292989</v>
      </c>
      <c r="CA132" s="3888"/>
      <c r="CB132" s="3888"/>
      <c r="CC132" s="3888"/>
      <c r="CD132" s="3887">
        <f ca="1">CD127/BZ127*100-100</f>
        <v>-146.35206999834085</v>
      </c>
      <c r="CE132" s="3888"/>
      <c r="CF132" s="3888"/>
      <c r="CG132" s="3888"/>
      <c r="CH132" s="3887">
        <f ca="1">CH127/CD127*100-100</f>
        <v>-262.75974454136139</v>
      </c>
      <c r="CI132" s="3888"/>
      <c r="CJ132" s="3888"/>
      <c r="CK132" s="3888"/>
      <c r="CL132" s="3887">
        <f ca="1">CL127/CH127*100-100</f>
        <v>96.622759550665847</v>
      </c>
      <c r="CM132" s="3888"/>
      <c r="CN132" s="3888"/>
      <c r="CO132" s="3888"/>
      <c r="CP132" s="3887">
        <f ca="1">CP127/CL127*100-100</f>
        <v>62.145154050494142</v>
      </c>
      <c r="CQ132" s="3888"/>
      <c r="CR132" s="3888"/>
      <c r="CS132" s="3888"/>
      <c r="CT132" s="3887">
        <f ca="1">CT127/CP127*100-100</f>
        <v>48.326635406186057</v>
      </c>
      <c r="CU132" s="3888"/>
      <c r="CV132" s="3888"/>
      <c r="CW132" s="3888"/>
      <c r="CX132" s="3887">
        <f ca="1">CX127/CT127*100-100</f>
        <v>0</v>
      </c>
      <c r="CY132" s="3888"/>
      <c r="CZ132" s="3888"/>
      <c r="DA132" s="3888"/>
      <c r="DB132" s="3887">
        <f ca="1">DB127/CX127*100-100</f>
        <v>0</v>
      </c>
    </row>
    <row r="133" spans="1:106">
      <c r="AY133" s="218"/>
      <c r="BO133" s="577"/>
      <c r="BP133" s="577"/>
      <c r="BQ133" s="577"/>
      <c r="BR133" s="577"/>
      <c r="BS133" s="577"/>
      <c r="BT133" s="577"/>
      <c r="BU133" s="577"/>
      <c r="BV133" s="577"/>
      <c r="BW133" s="577"/>
      <c r="BX133" s="577"/>
      <c r="BY133" s="577"/>
      <c r="BZ133" s="577"/>
      <c r="CA133" s="577"/>
      <c r="CB133" s="577"/>
      <c r="CC133" s="577"/>
      <c r="CD133" s="577"/>
      <c r="CE133" s="577"/>
      <c r="CF133" s="577"/>
      <c r="CG133" s="577"/>
      <c r="CH133" s="577"/>
      <c r="CI133" s="577"/>
      <c r="CJ133" s="577"/>
      <c r="CK133" s="577"/>
      <c r="CL133" s="577"/>
      <c r="CM133" s="577"/>
      <c r="CN133" s="577"/>
      <c r="CO133" s="577"/>
      <c r="CP133" s="577"/>
      <c r="CQ133" s="577"/>
      <c r="CR133" s="577"/>
      <c r="CS133" s="577"/>
      <c r="CT133" s="577"/>
      <c r="CU133" s="577"/>
      <c r="CV133" s="577"/>
      <c r="CW133" s="577"/>
      <c r="CX133" s="577"/>
      <c r="CY133" s="577"/>
      <c r="CZ133" s="577"/>
      <c r="DA133" s="577"/>
      <c r="DB133" s="577"/>
    </row>
    <row r="134" spans="1:106" s="749" customFormat="1" ht="12.75" customHeight="1">
      <c r="A134" s="714"/>
      <c r="B134" s="714"/>
      <c r="C134" s="716"/>
      <c r="D134" s="898"/>
      <c r="E134" s="899" t="s">
        <v>77</v>
      </c>
      <c r="F134" s="900"/>
      <c r="G134" s="1533" t="str">
        <f t="shared" ref="G134:N134" si="719">G129</f>
        <v>Q1</v>
      </c>
      <c r="H134" s="1533" t="str">
        <f t="shared" si="719"/>
        <v>Q2</v>
      </c>
      <c r="I134" s="1533" t="str">
        <f t="shared" si="719"/>
        <v>Q3</v>
      </c>
      <c r="J134" s="1533" t="str">
        <f t="shared" si="719"/>
        <v>Q4</v>
      </c>
      <c r="K134" s="1534" t="str">
        <f t="shared" si="719"/>
        <v>Q1</v>
      </c>
      <c r="L134" s="1533" t="str">
        <f t="shared" si="719"/>
        <v>Q2</v>
      </c>
      <c r="M134" s="1533" t="str">
        <f t="shared" si="719"/>
        <v>Q3</v>
      </c>
      <c r="N134" s="1535" t="str">
        <f t="shared" si="719"/>
        <v>Q4</v>
      </c>
      <c r="O134" s="1534" t="str">
        <f t="shared" ref="O134:AX134" si="720">O129</f>
        <v>Q1</v>
      </c>
      <c r="P134" s="1533" t="str">
        <f t="shared" si="720"/>
        <v>Q2</v>
      </c>
      <c r="Q134" s="1533" t="str">
        <f t="shared" si="720"/>
        <v>Q3</v>
      </c>
      <c r="R134" s="1535" t="str">
        <f t="shared" si="720"/>
        <v>Q4</v>
      </c>
      <c r="S134" s="1534" t="str">
        <f t="shared" si="720"/>
        <v>Q1</v>
      </c>
      <c r="T134" s="1533" t="str">
        <f t="shared" si="720"/>
        <v>Q2</v>
      </c>
      <c r="U134" s="1533" t="str">
        <f t="shared" si="720"/>
        <v>Q3</v>
      </c>
      <c r="V134" s="1535" t="str">
        <f t="shared" si="720"/>
        <v>Q4</v>
      </c>
      <c r="W134" s="1534" t="str">
        <f t="shared" si="720"/>
        <v>Q1</v>
      </c>
      <c r="X134" s="1533" t="str">
        <f t="shared" si="720"/>
        <v>Q2</v>
      </c>
      <c r="Y134" s="1533" t="str">
        <f t="shared" si="720"/>
        <v>Q3</v>
      </c>
      <c r="Z134" s="1535" t="str">
        <f t="shared" si="720"/>
        <v>Q4</v>
      </c>
      <c r="AA134" s="1534" t="str">
        <f t="shared" si="720"/>
        <v>Q1</v>
      </c>
      <c r="AB134" s="1533" t="str">
        <f t="shared" si="720"/>
        <v>Q2</v>
      </c>
      <c r="AC134" s="1533" t="str">
        <f t="shared" si="720"/>
        <v>Q3</v>
      </c>
      <c r="AD134" s="1535" t="str">
        <f t="shared" si="720"/>
        <v>Q4</v>
      </c>
      <c r="AE134" s="1534" t="str">
        <f t="shared" si="720"/>
        <v>Q1</v>
      </c>
      <c r="AF134" s="1533" t="str">
        <f t="shared" si="720"/>
        <v>Q2</v>
      </c>
      <c r="AG134" s="1533" t="str">
        <f t="shared" si="720"/>
        <v>Q3</v>
      </c>
      <c r="AH134" s="1535" t="str">
        <f t="shared" si="720"/>
        <v>Q4</v>
      </c>
      <c r="AI134" s="1534" t="str">
        <f t="shared" si="720"/>
        <v>Q1</v>
      </c>
      <c r="AJ134" s="1533" t="str">
        <f t="shared" si="720"/>
        <v>Q2</v>
      </c>
      <c r="AK134" s="1533" t="str">
        <f t="shared" si="720"/>
        <v>Q3</v>
      </c>
      <c r="AL134" s="1535" t="str">
        <f t="shared" si="720"/>
        <v>Q4</v>
      </c>
      <c r="AM134" s="1534" t="str">
        <f t="shared" si="720"/>
        <v>Q1</v>
      </c>
      <c r="AN134" s="1533" t="str">
        <f t="shared" si="720"/>
        <v>Q2</v>
      </c>
      <c r="AO134" s="1533" t="str">
        <f t="shared" si="720"/>
        <v>Q3</v>
      </c>
      <c r="AP134" s="1535" t="str">
        <f t="shared" si="720"/>
        <v>Q4</v>
      </c>
      <c r="AQ134" s="1534" t="str">
        <f t="shared" si="720"/>
        <v>Q1</v>
      </c>
      <c r="AR134" s="1533" t="str">
        <f t="shared" si="720"/>
        <v>Q2</v>
      </c>
      <c r="AS134" s="1533" t="str">
        <f t="shared" si="720"/>
        <v>Q3</v>
      </c>
      <c r="AT134" s="1535" t="str">
        <f t="shared" si="720"/>
        <v>Q4</v>
      </c>
      <c r="AU134" s="1534" t="str">
        <f t="shared" si="720"/>
        <v>Q1</v>
      </c>
      <c r="AV134" s="1533" t="str">
        <f t="shared" si="720"/>
        <v>Q2</v>
      </c>
      <c r="AW134" s="1533" t="str">
        <f t="shared" si="720"/>
        <v>Q3</v>
      </c>
      <c r="AX134" s="1535" t="str">
        <f t="shared" si="720"/>
        <v>Q4</v>
      </c>
      <c r="AY134" s="1534" t="str">
        <f>AY129</f>
        <v>Q1</v>
      </c>
      <c r="AZ134" s="1533" t="str">
        <f>AZ129</f>
        <v>Q2</v>
      </c>
      <c r="BA134" s="1459" t="str">
        <f t="shared" ref="BA134:BF134" si="721">BA129</f>
        <v>Q3</v>
      </c>
      <c r="BB134" s="1459" t="str">
        <f t="shared" si="721"/>
        <v>Q4</v>
      </c>
      <c r="BC134" s="1459" t="str">
        <f t="shared" si="721"/>
        <v>Q1</v>
      </c>
      <c r="BD134" s="1459" t="str">
        <f t="shared" si="721"/>
        <v>Q2</v>
      </c>
      <c r="BE134" s="1459" t="str">
        <f>BE129</f>
        <v>Q3</v>
      </c>
      <c r="BF134" s="1459" t="str">
        <f t="shared" si="721"/>
        <v>Q4</v>
      </c>
      <c r="BG134" s="1459" t="str">
        <f t="shared" ref="BG134:BN134" si="722">BG129</f>
        <v>Q1</v>
      </c>
      <c r="BH134" s="1459" t="str">
        <f t="shared" si="722"/>
        <v>Q2</v>
      </c>
      <c r="BI134" s="1459" t="str">
        <f t="shared" si="722"/>
        <v>Q3</v>
      </c>
      <c r="BJ134" s="1459" t="str">
        <f t="shared" si="722"/>
        <v>Q4</v>
      </c>
      <c r="BK134" s="1459" t="str">
        <f t="shared" si="722"/>
        <v>Q1</v>
      </c>
      <c r="BL134" s="1459" t="str">
        <f t="shared" si="722"/>
        <v>Q2</v>
      </c>
      <c r="BM134" s="1459" t="str">
        <f t="shared" si="722"/>
        <v>Q3</v>
      </c>
      <c r="BN134" s="1459" t="str">
        <f t="shared" si="722"/>
        <v>Q4</v>
      </c>
      <c r="BO134" s="1459" t="str">
        <f>BO129</f>
        <v>Q1</v>
      </c>
      <c r="BP134" s="1459" t="str">
        <f>BP129</f>
        <v>Q2</v>
      </c>
      <c r="BQ134" s="1459" t="str">
        <f t="shared" ref="BQ134:BV134" si="723">BQ129</f>
        <v>Q3</v>
      </c>
      <c r="BR134" s="1459" t="str">
        <f t="shared" si="723"/>
        <v>Q4</v>
      </c>
      <c r="BS134" s="1459" t="str">
        <f t="shared" si="723"/>
        <v>Q1</v>
      </c>
      <c r="BT134" s="1459" t="str">
        <f t="shared" si="723"/>
        <v>Q2</v>
      </c>
      <c r="BU134" s="1459" t="str">
        <f t="shared" si="723"/>
        <v>Q3</v>
      </c>
      <c r="BV134" s="1459" t="str">
        <f t="shared" si="723"/>
        <v>Q4</v>
      </c>
      <c r="BW134" s="1459" t="str">
        <f t="shared" ref="BW134:CD134" si="724">BW129</f>
        <v>Q1</v>
      </c>
      <c r="BX134" s="1459" t="str">
        <f t="shared" si="724"/>
        <v>Q2</v>
      </c>
      <c r="BY134" s="1459" t="str">
        <f t="shared" si="724"/>
        <v>Q3</v>
      </c>
      <c r="BZ134" s="1459" t="str">
        <f t="shared" si="724"/>
        <v>Q4</v>
      </c>
      <c r="CA134" s="1459" t="str">
        <f>CA129</f>
        <v>Q1</v>
      </c>
      <c r="CB134" s="1459" t="str">
        <f t="shared" si="724"/>
        <v>Q2</v>
      </c>
      <c r="CC134" s="1459" t="str">
        <f t="shared" ref="CC134" si="725">CC129</f>
        <v>Q3</v>
      </c>
      <c r="CD134" s="1459" t="str">
        <f t="shared" si="724"/>
        <v>Q4</v>
      </c>
      <c r="CE134" s="1459" t="str">
        <f>CE129</f>
        <v>Q1</v>
      </c>
      <c r="CF134" s="1459" t="str">
        <f t="shared" ref="CF134:CH134" si="726">CF129</f>
        <v>Q2</v>
      </c>
      <c r="CG134" s="1459" t="str">
        <f t="shared" si="726"/>
        <v>Q3</v>
      </c>
      <c r="CH134" s="1459" t="str">
        <f t="shared" si="726"/>
        <v>Q4</v>
      </c>
      <c r="CI134" s="1459" t="str">
        <f>CI129</f>
        <v>Q1</v>
      </c>
      <c r="CJ134" s="1459" t="str">
        <f t="shared" ref="CJ134:CL134" si="727">CJ129</f>
        <v>Q2</v>
      </c>
      <c r="CK134" s="1459" t="str">
        <f t="shared" si="727"/>
        <v>Q3</v>
      </c>
      <c r="CL134" s="1459" t="str">
        <f t="shared" si="727"/>
        <v>Q4</v>
      </c>
      <c r="CM134" s="1459" t="str">
        <f>CM129</f>
        <v>Q1</v>
      </c>
      <c r="CN134" s="1459" t="str">
        <f t="shared" ref="CN134:CP134" si="728">CN129</f>
        <v>Q2</v>
      </c>
      <c r="CO134" s="1459" t="str">
        <f t="shared" si="728"/>
        <v>Q3</v>
      </c>
      <c r="CP134" s="1459" t="str">
        <f t="shared" si="728"/>
        <v>Q4</v>
      </c>
      <c r="CQ134" s="1459" t="str">
        <f>CQ129</f>
        <v>Q1</v>
      </c>
      <c r="CR134" s="1459" t="str">
        <f t="shared" ref="CR134:CS134" si="729">CR129</f>
        <v>Q2</v>
      </c>
      <c r="CS134" s="1459" t="str">
        <f t="shared" si="729"/>
        <v>Q3</v>
      </c>
      <c r="CT134" s="1459" t="str">
        <f t="shared" ref="CT134" si="730">CT129</f>
        <v>Q4</v>
      </c>
      <c r="CU134" s="1459" t="str">
        <f t="shared" ref="CU134:CX134" si="731">CU129</f>
        <v>Q1</v>
      </c>
      <c r="CV134" s="1459" t="str">
        <f t="shared" si="731"/>
        <v>Q2</v>
      </c>
      <c r="CW134" s="1459" t="str">
        <f t="shared" si="731"/>
        <v>Q3</v>
      </c>
      <c r="CX134" s="1459" t="str">
        <f t="shared" si="731"/>
        <v>Q4</v>
      </c>
      <c r="CY134" s="1459" t="str">
        <f t="shared" ref="CY134:DB134" si="732">CY129</f>
        <v>Q1</v>
      </c>
      <c r="CZ134" s="1459" t="str">
        <f t="shared" si="732"/>
        <v>Q2</v>
      </c>
      <c r="DA134" s="1459" t="str">
        <f t="shared" si="732"/>
        <v>Q3</v>
      </c>
      <c r="DB134" s="1459" t="str">
        <f t="shared" si="732"/>
        <v>Q4</v>
      </c>
    </row>
    <row r="135" spans="1:106" s="749" customFormat="1" ht="12.75" customHeight="1">
      <c r="B135" s="714"/>
      <c r="C135" s="1536"/>
      <c r="D135" s="1537"/>
      <c r="E135" s="1538" t="s">
        <v>53</v>
      </c>
      <c r="F135" s="1539"/>
      <c r="G135" s="1540">
        <f t="shared" ref="G135:AL135" si="733">G125/G227*100</f>
        <v>0</v>
      </c>
      <c r="H135" s="1540">
        <f t="shared" si="733"/>
        <v>0</v>
      </c>
      <c r="I135" s="1540">
        <f t="shared" si="733"/>
        <v>0</v>
      </c>
      <c r="J135" s="1540">
        <f t="shared" si="733"/>
        <v>0</v>
      </c>
      <c r="K135" s="1540">
        <f t="shared" si="733"/>
        <v>0</v>
      </c>
      <c r="L135" s="1540">
        <f t="shared" si="733"/>
        <v>0</v>
      </c>
      <c r="M135" s="1540">
        <f t="shared" si="733"/>
        <v>0</v>
      </c>
      <c r="N135" s="1540">
        <f t="shared" si="733"/>
        <v>0</v>
      </c>
      <c r="O135" s="1540">
        <f t="shared" si="733"/>
        <v>0</v>
      </c>
      <c r="P135" s="1540">
        <f t="shared" si="733"/>
        <v>0</v>
      </c>
      <c r="Q135" s="1540">
        <f t="shared" si="733"/>
        <v>0</v>
      </c>
      <c r="R135" s="1540">
        <f t="shared" si="733"/>
        <v>0</v>
      </c>
      <c r="S135" s="1540">
        <f t="shared" si="733"/>
        <v>0</v>
      </c>
      <c r="T135" s="1540">
        <f t="shared" si="733"/>
        <v>0</v>
      </c>
      <c r="U135" s="1540">
        <f t="shared" si="733"/>
        <v>0</v>
      </c>
      <c r="V135" s="1540">
        <f t="shared" si="733"/>
        <v>0</v>
      </c>
      <c r="W135" s="1540">
        <f t="shared" si="733"/>
        <v>0</v>
      </c>
      <c r="X135" s="1540">
        <f t="shared" si="733"/>
        <v>0</v>
      </c>
      <c r="Y135" s="1540">
        <f t="shared" si="733"/>
        <v>0</v>
      </c>
      <c r="Z135" s="1540">
        <f t="shared" si="733"/>
        <v>0</v>
      </c>
      <c r="AA135" s="1540">
        <f t="shared" si="733"/>
        <v>0</v>
      </c>
      <c r="AB135" s="1540">
        <f t="shared" si="733"/>
        <v>0</v>
      </c>
      <c r="AC135" s="1540">
        <f t="shared" si="733"/>
        <v>0</v>
      </c>
      <c r="AD135" s="1540">
        <f t="shared" si="733"/>
        <v>0</v>
      </c>
      <c r="AE135" s="1540">
        <f t="shared" si="733"/>
        <v>0</v>
      </c>
      <c r="AF135" s="1540">
        <f t="shared" si="733"/>
        <v>0</v>
      </c>
      <c r="AG135" s="1540">
        <f t="shared" si="733"/>
        <v>0</v>
      </c>
      <c r="AH135" s="1540">
        <f t="shared" si="733"/>
        <v>0</v>
      </c>
      <c r="AI135" s="1540">
        <f t="shared" si="733"/>
        <v>0</v>
      </c>
      <c r="AJ135" s="1540">
        <f t="shared" si="733"/>
        <v>0</v>
      </c>
      <c r="AK135" s="1540">
        <f t="shared" si="733"/>
        <v>0</v>
      </c>
      <c r="AL135" s="1540">
        <f t="shared" si="733"/>
        <v>0</v>
      </c>
      <c r="AM135" s="1540">
        <f t="shared" ref="AM135:BJ135" si="734">AM125/AM227*100</f>
        <v>0</v>
      </c>
      <c r="AN135" s="1540">
        <f t="shared" si="734"/>
        <v>0</v>
      </c>
      <c r="AO135" s="1540">
        <f t="shared" si="734"/>
        <v>0</v>
      </c>
      <c r="AP135" s="1540">
        <f t="shared" si="734"/>
        <v>0</v>
      </c>
      <c r="AQ135" s="1540">
        <f t="shared" si="734"/>
        <v>0</v>
      </c>
      <c r="AR135" s="1540">
        <f t="shared" si="734"/>
        <v>0</v>
      </c>
      <c r="AS135" s="1540">
        <f t="shared" si="734"/>
        <v>0</v>
      </c>
      <c r="AT135" s="1540">
        <f t="shared" si="734"/>
        <v>0</v>
      </c>
      <c r="AU135" s="1540">
        <f t="shared" si="734"/>
        <v>0</v>
      </c>
      <c r="AV135" s="1540">
        <f t="shared" si="734"/>
        <v>0</v>
      </c>
      <c r="AW135" s="1540">
        <f t="shared" si="734"/>
        <v>0</v>
      </c>
      <c r="AX135" s="1540">
        <f t="shared" si="734"/>
        <v>0</v>
      </c>
      <c r="AY135" s="1540">
        <f t="shared" si="734"/>
        <v>0</v>
      </c>
      <c r="AZ135" s="1540">
        <f t="shared" si="734"/>
        <v>0</v>
      </c>
      <c r="BA135" s="1540">
        <f t="shared" si="734"/>
        <v>0</v>
      </c>
      <c r="BB135" s="1540">
        <f t="shared" si="734"/>
        <v>0</v>
      </c>
      <c r="BC135" s="1540">
        <f t="shared" si="734"/>
        <v>0</v>
      </c>
      <c r="BD135" s="1540">
        <f t="shared" si="734"/>
        <v>0</v>
      </c>
      <c r="BE135" s="1540">
        <f t="shared" si="734"/>
        <v>0</v>
      </c>
      <c r="BF135" s="1540">
        <f t="shared" si="734"/>
        <v>0</v>
      </c>
      <c r="BG135" s="1540">
        <f t="shared" si="734"/>
        <v>0</v>
      </c>
      <c r="BH135" s="1540">
        <f t="shared" si="734"/>
        <v>0</v>
      </c>
      <c r="BI135" s="1540">
        <f t="shared" si="734"/>
        <v>0</v>
      </c>
      <c r="BJ135" s="1540">
        <f t="shared" si="734"/>
        <v>0</v>
      </c>
      <c r="BK135" s="1540">
        <f t="shared" ref="BK135:BW135" si="735">BK125/BK227*100</f>
        <v>0</v>
      </c>
      <c r="BL135" s="1540">
        <f t="shared" si="735"/>
        <v>0</v>
      </c>
      <c r="BM135" s="1540">
        <f t="shared" si="735"/>
        <v>0</v>
      </c>
      <c r="BN135" s="1540">
        <f t="shared" si="735"/>
        <v>0</v>
      </c>
      <c r="BO135" s="1540">
        <f t="shared" si="735"/>
        <v>0</v>
      </c>
      <c r="BP135" s="1540">
        <f t="shared" si="735"/>
        <v>0</v>
      </c>
      <c r="BQ135" s="1540">
        <f t="shared" si="735"/>
        <v>0</v>
      </c>
      <c r="BR135" s="1540">
        <f t="shared" si="735"/>
        <v>0</v>
      </c>
      <c r="BS135" s="1540">
        <f t="shared" si="735"/>
        <v>0</v>
      </c>
      <c r="BT135" s="1540">
        <f t="shared" si="735"/>
        <v>0</v>
      </c>
      <c r="BU135" s="1540">
        <f t="shared" si="735"/>
        <v>0</v>
      </c>
      <c r="BV135" s="1540">
        <f t="shared" si="735"/>
        <v>0</v>
      </c>
      <c r="BW135" s="1540">
        <f t="shared" si="735"/>
        <v>0</v>
      </c>
      <c r="BX135" s="1541">
        <f t="shared" ref="BX135:CD135" si="736">BX125/BX227*100</f>
        <v>0</v>
      </c>
      <c r="BY135" s="1541">
        <f t="shared" si="736"/>
        <v>0</v>
      </c>
      <c r="BZ135" s="1541">
        <f t="shared" si="736"/>
        <v>0</v>
      </c>
      <c r="CA135" s="1540">
        <f t="shared" si="736"/>
        <v>0</v>
      </c>
      <c r="CB135" s="1541">
        <f t="shared" si="736"/>
        <v>0</v>
      </c>
      <c r="CC135" s="1541">
        <f t="shared" ref="CC135" si="737">CC125/CC227*100</f>
        <v>0</v>
      </c>
      <c r="CD135" s="1541">
        <f t="shared" si="736"/>
        <v>0</v>
      </c>
      <c r="CE135" s="1540">
        <f t="shared" ref="CE135:CH135" si="738">CE125/CE227*100</f>
        <v>0</v>
      </c>
      <c r="CF135" s="1541">
        <f t="shared" si="738"/>
        <v>0</v>
      </c>
      <c r="CG135" s="1541">
        <f t="shared" si="738"/>
        <v>0</v>
      </c>
      <c r="CH135" s="1541">
        <f t="shared" si="738"/>
        <v>0</v>
      </c>
      <c r="CI135" s="1540">
        <f t="shared" ref="CI135:CL135" si="739">CI125/CI227*100</f>
        <v>0</v>
      </c>
      <c r="CJ135" s="1541">
        <f t="shared" si="739"/>
        <v>0</v>
      </c>
      <c r="CK135" s="1541">
        <f t="shared" si="739"/>
        <v>0</v>
      </c>
      <c r="CL135" s="1541">
        <f t="shared" si="739"/>
        <v>0</v>
      </c>
      <c r="CM135" s="1540">
        <f t="shared" ref="CM135:CP135" si="740">CM125/CM227*100</f>
        <v>0</v>
      </c>
      <c r="CN135" s="1541">
        <f t="shared" si="740"/>
        <v>0</v>
      </c>
      <c r="CO135" s="1541">
        <f t="shared" si="740"/>
        <v>0</v>
      </c>
      <c r="CP135" s="1541">
        <f t="shared" si="740"/>
        <v>0</v>
      </c>
      <c r="CQ135" s="1540">
        <f t="shared" ref="CQ135:CS135" si="741">CQ125/CQ227*100</f>
        <v>0</v>
      </c>
      <c r="CR135" s="1541">
        <f t="shared" si="741"/>
        <v>0</v>
      </c>
      <c r="CS135" s="1541">
        <f t="shared" si="741"/>
        <v>0</v>
      </c>
      <c r="CT135" s="1541">
        <f t="shared" ref="CT135" si="742">CT125/CT227*100</f>
        <v>0</v>
      </c>
      <c r="CU135" s="1541">
        <f t="shared" ref="CU135:CX135" si="743">CU125/CU227*100</f>
        <v>0</v>
      </c>
      <c r="CV135" s="1541">
        <f t="shared" si="743"/>
        <v>0</v>
      </c>
      <c r="CW135" s="1541">
        <f t="shared" si="743"/>
        <v>0</v>
      </c>
      <c r="CX135" s="1541">
        <f t="shared" si="743"/>
        <v>0</v>
      </c>
      <c r="CY135" s="1541">
        <f t="shared" ref="CY135:DB135" si="744">CY125/CY227*100</f>
        <v>0</v>
      </c>
      <c r="CZ135" s="1541">
        <f t="shared" si="744"/>
        <v>0</v>
      </c>
      <c r="DA135" s="1541">
        <f t="shared" si="744"/>
        <v>0</v>
      </c>
      <c r="DB135" s="1541">
        <f t="shared" si="744"/>
        <v>0</v>
      </c>
    </row>
    <row r="136" spans="1:106" ht="30" customHeight="1">
      <c r="BB136" s="1604"/>
      <c r="BF136" s="2901"/>
      <c r="BG136" s="2901"/>
      <c r="BH136" s="2901"/>
      <c r="BI136" s="2901"/>
      <c r="BJ136" s="2901"/>
      <c r="BK136" s="2901"/>
      <c r="BL136" s="2901"/>
      <c r="BM136" s="2901"/>
      <c r="BN136" s="2901"/>
      <c r="BO136" s="2901"/>
      <c r="BP136" s="2901"/>
      <c r="BQ136" s="2901"/>
      <c r="BR136" s="2901"/>
      <c r="BS136" s="2901"/>
      <c r="BT136" s="2901"/>
      <c r="BU136" s="2901"/>
      <c r="BV136" s="2901"/>
      <c r="BW136" s="2901"/>
      <c r="BX136" s="2901"/>
      <c r="BY136" s="2901"/>
      <c r="BZ136" s="2901"/>
      <c r="CA136" s="2901"/>
      <c r="CB136" s="2901"/>
      <c r="CC136" s="2901"/>
      <c r="CD136" s="2901"/>
      <c r="CE136" s="2901"/>
      <c r="CF136" s="2901"/>
      <c r="CG136" s="2901"/>
      <c r="CH136" s="2901"/>
      <c r="CI136" s="2901"/>
      <c r="CJ136" s="2901"/>
      <c r="CK136" s="2901"/>
      <c r="CL136" s="2901"/>
      <c r="CM136" s="2901"/>
      <c r="CN136" s="2901"/>
      <c r="CO136" s="2901"/>
      <c r="CP136" s="2901"/>
      <c r="CQ136" s="2901"/>
      <c r="CR136" s="2901"/>
      <c r="CS136" s="2901"/>
      <c r="CT136" s="2901"/>
      <c r="CU136" s="2901"/>
      <c r="CV136" s="2901"/>
      <c r="CW136" s="2901"/>
      <c r="CX136" s="2901"/>
      <c r="CY136" s="2901"/>
      <c r="CZ136" s="2901"/>
      <c r="DA136" s="2901"/>
      <c r="DB136" s="2901"/>
    </row>
    <row r="137" spans="1:106" ht="30" customHeight="1"/>
    <row r="138" spans="1:106" ht="30" customHeight="1">
      <c r="C138" s="4125" t="s">
        <v>1368</v>
      </c>
      <c r="D138" s="4125"/>
      <c r="E138" s="4125"/>
      <c r="F138" s="4125"/>
    </row>
    <row r="139" spans="1:106" s="927" customFormat="1" ht="12.75" customHeight="1">
      <c r="A139" s="714"/>
      <c r="B139" s="714"/>
      <c r="C139" s="716"/>
      <c r="D139" s="1082"/>
      <c r="E139" s="1461"/>
      <c r="F139" s="1082"/>
      <c r="G139" s="1085"/>
      <c r="H139" s="1462"/>
      <c r="I139" s="1462"/>
      <c r="J139" s="1462"/>
      <c r="K139" s="1085"/>
      <c r="L139" s="1462"/>
      <c r="M139" s="1462"/>
      <c r="N139" s="1462"/>
      <c r="O139" s="1085"/>
      <c r="P139" s="1462"/>
      <c r="Q139" s="1462"/>
      <c r="R139" s="1462"/>
      <c r="S139" s="1085"/>
      <c r="T139" s="1462"/>
      <c r="U139" s="1462"/>
      <c r="V139" s="1462"/>
      <c r="W139" s="1085"/>
      <c r="X139" s="1462"/>
      <c r="Y139" s="1462"/>
      <c r="Z139" s="1462"/>
      <c r="AA139" s="1085"/>
      <c r="AB139" s="1462"/>
      <c r="AC139" s="1462"/>
      <c r="AD139" s="1462"/>
      <c r="AE139" s="1085"/>
      <c r="AF139" s="1462"/>
      <c r="AG139" s="1462"/>
      <c r="AH139" s="1462"/>
      <c r="AI139" s="1085"/>
      <c r="AJ139" s="1462"/>
      <c r="AK139" s="1462"/>
      <c r="AL139" s="1462"/>
      <c r="AM139" s="1085"/>
      <c r="AN139" s="1462"/>
      <c r="AO139" s="1462"/>
      <c r="AP139" s="1462"/>
      <c r="AQ139" s="1085"/>
      <c r="AR139" s="1462"/>
      <c r="AS139" s="1462"/>
      <c r="AT139" s="1462"/>
      <c r="AU139" s="1085"/>
      <c r="AV139" s="1462"/>
      <c r="AW139" s="1462"/>
      <c r="AX139" s="1462"/>
      <c r="AY139" s="1463"/>
      <c r="AZ139" s="1462"/>
      <c r="BA139" s="1463"/>
      <c r="BB139" s="1463"/>
      <c r="BC139" s="1463"/>
      <c r="BD139" s="1463"/>
      <c r="BE139" s="1463"/>
      <c r="BF139" s="1463"/>
      <c r="BG139" s="1463"/>
      <c r="BH139" s="1463"/>
      <c r="BI139" s="1463"/>
      <c r="BJ139" s="1463"/>
      <c r="BK139" s="1463"/>
      <c r="BL139" s="1463"/>
      <c r="BM139" s="1463"/>
      <c r="BN139" s="1463"/>
    </row>
    <row r="140" spans="1:106">
      <c r="G140" s="4122">
        <f ca="1">OFFSET(InputY!$G$3,0,(COLUMN()-7)/4)</f>
        <v>1995</v>
      </c>
      <c r="H140" s="4123"/>
      <c r="I140" s="4123"/>
      <c r="J140" s="4123"/>
      <c r="K140" s="4117">
        <f ca="1">OFFSET(InputY!$G$3,0,(COLUMN()-7)/4)</f>
        <v>1996</v>
      </c>
      <c r="L140" s="4118"/>
      <c r="M140" s="4118"/>
      <c r="N140" s="4119"/>
      <c r="O140" s="4117">
        <f ca="1">OFFSET(InputY!$G$3,0,(COLUMN()-7)/4)</f>
        <v>1997</v>
      </c>
      <c r="P140" s="4118"/>
      <c r="Q140" s="4118"/>
      <c r="R140" s="4119"/>
      <c r="S140" s="4117">
        <f ca="1">OFFSET(InputY!$G$3,0,(COLUMN()-7)/4)</f>
        <v>1998</v>
      </c>
      <c r="T140" s="4118"/>
      <c r="U140" s="4118"/>
      <c r="V140" s="4119"/>
      <c r="W140" s="4117">
        <f ca="1">OFFSET(InputY!$G$3,0,(COLUMN()-7)/4)</f>
        <v>1999</v>
      </c>
      <c r="X140" s="4118"/>
      <c r="Y140" s="4118"/>
      <c r="Z140" s="4119"/>
      <c r="AA140" s="4117">
        <f ca="1">OFFSET(InputY!$G$3,0,(COLUMN()-7)/4)</f>
        <v>2000</v>
      </c>
      <c r="AB140" s="4118"/>
      <c r="AC140" s="4118"/>
      <c r="AD140" s="4119"/>
      <c r="AE140" s="4117">
        <f ca="1">OFFSET(InputY!$G$3,0,(COLUMN()-7)/4)</f>
        <v>2001</v>
      </c>
      <c r="AF140" s="4118"/>
      <c r="AG140" s="4118"/>
      <c r="AH140" s="4119"/>
      <c r="AI140" s="4117">
        <f ca="1">OFFSET(InputY!$G$3,0,(COLUMN()-7)/4)</f>
        <v>2002</v>
      </c>
      <c r="AJ140" s="4118"/>
      <c r="AK140" s="4118"/>
      <c r="AL140" s="4119"/>
      <c r="AM140" s="4117">
        <f ca="1">OFFSET(InputY!$G$3,0,(COLUMN()-7)/4)</f>
        <v>2003</v>
      </c>
      <c r="AN140" s="4118"/>
      <c r="AO140" s="4118"/>
      <c r="AP140" s="4119"/>
      <c r="AQ140" s="4117">
        <f ca="1">OFFSET(InputY!$G$3,0,(COLUMN()-7)/4)</f>
        <v>2004</v>
      </c>
      <c r="AR140" s="4118"/>
      <c r="AS140" s="4118"/>
      <c r="AT140" s="4119"/>
      <c r="AU140" s="4117">
        <f ca="1">OFFSET(InputY!$G$3,0,(COLUMN()-7)/4)</f>
        <v>2005</v>
      </c>
      <c r="AV140" s="4118"/>
      <c r="AW140" s="4118"/>
      <c r="AX140" s="4119"/>
      <c r="AY140" s="4117">
        <f ca="1">OFFSET(InputY!$G$3,0,(COLUMN()-7)/4)</f>
        <v>2006</v>
      </c>
      <c r="AZ140" s="4118"/>
      <c r="BA140" s="4118"/>
      <c r="BB140" s="4119"/>
      <c r="BC140" s="4117">
        <f ca="1">OFFSET(InputY!$G$3,0,(COLUMN()-7)/4)</f>
        <v>2007</v>
      </c>
      <c r="BD140" s="4118"/>
      <c r="BE140" s="4118"/>
      <c r="BF140" s="4119"/>
      <c r="BG140" s="4117">
        <f ca="1">OFFSET(InputY!$G$3,0,(COLUMN()-7)/4)</f>
        <v>2008</v>
      </c>
      <c r="BH140" s="4118"/>
      <c r="BI140" s="4118"/>
      <c r="BJ140" s="4119"/>
      <c r="BK140" s="4117">
        <f ca="1">OFFSET(InputY!$G$3,0,(COLUMN()-7)/4)</f>
        <v>2009</v>
      </c>
      <c r="BL140" s="4118"/>
      <c r="BM140" s="4118"/>
      <c r="BN140" s="4119"/>
      <c r="BO140" s="4117">
        <f ca="1">OFFSET(InputY!$G$3,0,(COLUMN()-7)/4)</f>
        <v>2010</v>
      </c>
      <c r="BP140" s="4118"/>
      <c r="BQ140" s="4118"/>
      <c r="BR140" s="4119"/>
      <c r="BS140" s="4117">
        <f ca="1">OFFSET(InputY!$G$3,0,(COLUMN()-7)/4)</f>
        <v>2011</v>
      </c>
      <c r="BT140" s="4118"/>
      <c r="BU140" s="4118"/>
      <c r="BV140" s="4119"/>
      <c r="BW140" s="4117">
        <f ca="1">OFFSET(InputY!$G$3,0,(COLUMN()-7)/4)</f>
        <v>2012</v>
      </c>
      <c r="BX140" s="4118"/>
      <c r="BY140" s="4118"/>
      <c r="BZ140" s="4119"/>
      <c r="CA140" s="4117">
        <f ca="1">OFFSET(InputY!$G$3,0,(COLUMN()-7)/4)</f>
        <v>2013</v>
      </c>
      <c r="CB140" s="4118"/>
      <c r="CC140" s="4118"/>
      <c r="CD140" s="4119"/>
      <c r="CE140" s="4117">
        <f ca="1">OFFSET(InputY!$G$3,0,(COLUMN()-7)/4)</f>
        <v>2014</v>
      </c>
      <c r="CF140" s="4118"/>
      <c r="CG140" s="4118"/>
      <c r="CH140" s="4119"/>
      <c r="CI140" s="4117">
        <f ca="1">OFFSET(InputY!$G$3,0,(COLUMN()-7)/4)</f>
        <v>2015</v>
      </c>
      <c r="CJ140" s="4118"/>
      <c r="CK140" s="4118"/>
      <c r="CL140" s="4119"/>
      <c r="CM140" s="4117">
        <f ca="1">OFFSET(InputY!$G$3,0,(COLUMN()-7)/4)</f>
        <v>2016</v>
      </c>
      <c r="CN140" s="4118"/>
      <c r="CO140" s="4118"/>
      <c r="CP140" s="4119"/>
      <c r="CQ140" s="4117">
        <f ca="1">OFFSET(InputY!$G$3,0,(COLUMN()-7)/4)</f>
        <v>2017</v>
      </c>
      <c r="CR140" s="4118"/>
      <c r="CS140" s="4118"/>
      <c r="CT140" s="4119"/>
      <c r="CU140" s="4117">
        <f ca="1">OFFSET(InputY!$G$3,0,(COLUMN()-7)/4)</f>
        <v>2018</v>
      </c>
      <c r="CV140" s="4118"/>
      <c r="CW140" s="4118"/>
      <c r="CX140" s="4119"/>
      <c r="CY140" s="4117">
        <f ca="1">OFFSET(InputY!$G$3,0,(COLUMN()-7)/4)</f>
        <v>2019</v>
      </c>
      <c r="CZ140" s="4118"/>
      <c r="DA140" s="4118"/>
      <c r="DB140" s="4119"/>
    </row>
    <row r="141" spans="1:106" s="749" customFormat="1" ht="12.75" customHeight="1">
      <c r="A141" s="714"/>
      <c r="B141" s="714"/>
      <c r="C141" s="716"/>
      <c r="D141" s="745"/>
      <c r="E141" s="746" t="s">
        <v>719</v>
      </c>
      <c r="F141" s="747"/>
      <c r="G141" s="1472" t="s">
        <v>364</v>
      </c>
      <c r="H141" s="1473" t="s">
        <v>671</v>
      </c>
      <c r="I141" s="1473" t="s">
        <v>672</v>
      </c>
      <c r="J141" s="1474" t="s">
        <v>673</v>
      </c>
      <c r="K141" s="1472" t="s">
        <v>364</v>
      </c>
      <c r="L141" s="1473" t="s">
        <v>671</v>
      </c>
      <c r="M141" s="1473" t="s">
        <v>672</v>
      </c>
      <c r="N141" s="1474" t="s">
        <v>673</v>
      </c>
      <c r="O141" s="1472" t="s">
        <v>364</v>
      </c>
      <c r="P141" s="1473" t="s">
        <v>671</v>
      </c>
      <c r="Q141" s="1473" t="s">
        <v>672</v>
      </c>
      <c r="R141" s="1474" t="s">
        <v>673</v>
      </c>
      <c r="S141" s="1472" t="s">
        <v>364</v>
      </c>
      <c r="T141" s="1473" t="s">
        <v>671</v>
      </c>
      <c r="U141" s="1473" t="s">
        <v>672</v>
      </c>
      <c r="V141" s="1474" t="s">
        <v>673</v>
      </c>
      <c r="W141" s="1472" t="s">
        <v>364</v>
      </c>
      <c r="X141" s="1473" t="s">
        <v>671</v>
      </c>
      <c r="Y141" s="1473" t="s">
        <v>672</v>
      </c>
      <c r="Z141" s="1474" t="s">
        <v>673</v>
      </c>
      <c r="AA141" s="1472" t="s">
        <v>364</v>
      </c>
      <c r="AB141" s="1473" t="s">
        <v>671</v>
      </c>
      <c r="AC141" s="1473" t="s">
        <v>672</v>
      </c>
      <c r="AD141" s="1474" t="s">
        <v>673</v>
      </c>
      <c r="AE141" s="1472" t="s">
        <v>364</v>
      </c>
      <c r="AF141" s="1473" t="s">
        <v>671</v>
      </c>
      <c r="AG141" s="1473" t="s">
        <v>672</v>
      </c>
      <c r="AH141" s="1474" t="s">
        <v>673</v>
      </c>
      <c r="AI141" s="1472" t="s">
        <v>364</v>
      </c>
      <c r="AJ141" s="1473" t="s">
        <v>671</v>
      </c>
      <c r="AK141" s="1473" t="s">
        <v>672</v>
      </c>
      <c r="AL141" s="1474" t="s">
        <v>673</v>
      </c>
      <c r="AM141" s="1472" t="s">
        <v>364</v>
      </c>
      <c r="AN141" s="1473" t="s">
        <v>671</v>
      </c>
      <c r="AO141" s="1473" t="s">
        <v>672</v>
      </c>
      <c r="AP141" s="1474" t="s">
        <v>673</v>
      </c>
      <c r="AQ141" s="1472" t="s">
        <v>364</v>
      </c>
      <c r="AR141" s="1473" t="s">
        <v>671</v>
      </c>
      <c r="AS141" s="1473" t="s">
        <v>672</v>
      </c>
      <c r="AT141" s="1474" t="s">
        <v>673</v>
      </c>
      <c r="AU141" s="1472" t="s">
        <v>364</v>
      </c>
      <c r="AV141" s="1473" t="s">
        <v>671</v>
      </c>
      <c r="AW141" s="1473" t="s">
        <v>672</v>
      </c>
      <c r="AX141" s="1474" t="s">
        <v>673</v>
      </c>
      <c r="AY141" s="1472" t="s">
        <v>364</v>
      </c>
      <c r="AZ141" s="1473" t="s">
        <v>671</v>
      </c>
      <c r="BA141" s="1473" t="s">
        <v>672</v>
      </c>
      <c r="BB141" s="1474" t="s">
        <v>673</v>
      </c>
      <c r="BC141" s="1472" t="s">
        <v>364</v>
      </c>
      <c r="BD141" s="1473" t="s">
        <v>671</v>
      </c>
      <c r="BE141" s="1473" t="s">
        <v>672</v>
      </c>
      <c r="BF141" s="1474" t="s">
        <v>673</v>
      </c>
      <c r="BG141" s="1472" t="s">
        <v>364</v>
      </c>
      <c r="BH141" s="1473" t="s">
        <v>671</v>
      </c>
      <c r="BI141" s="1473" t="s">
        <v>672</v>
      </c>
      <c r="BJ141" s="1474" t="s">
        <v>673</v>
      </c>
      <c r="BK141" s="1472" t="s">
        <v>364</v>
      </c>
      <c r="BL141" s="1473" t="s">
        <v>671</v>
      </c>
      <c r="BM141" s="1473" t="s">
        <v>672</v>
      </c>
      <c r="BN141" s="1474" t="s">
        <v>673</v>
      </c>
      <c r="BO141" s="1472" t="s">
        <v>364</v>
      </c>
      <c r="BP141" s="1473" t="s">
        <v>671</v>
      </c>
      <c r="BQ141" s="1473" t="s">
        <v>672</v>
      </c>
      <c r="BR141" s="1474" t="s">
        <v>673</v>
      </c>
      <c r="BS141" s="1472" t="s">
        <v>364</v>
      </c>
      <c r="BT141" s="1473" t="s">
        <v>671</v>
      </c>
      <c r="BU141" s="1473" t="s">
        <v>672</v>
      </c>
      <c r="BV141" s="1474" t="s">
        <v>673</v>
      </c>
      <c r="BW141" s="1472" t="s">
        <v>364</v>
      </c>
      <c r="BX141" s="1473" t="s">
        <v>671</v>
      </c>
      <c r="BY141" s="1473" t="s">
        <v>672</v>
      </c>
      <c r="BZ141" s="1474" t="s">
        <v>673</v>
      </c>
      <c r="CA141" s="1472" t="s">
        <v>364</v>
      </c>
      <c r="CB141" s="1473" t="s">
        <v>671</v>
      </c>
      <c r="CC141" s="1473" t="s">
        <v>672</v>
      </c>
      <c r="CD141" s="1474" t="s">
        <v>673</v>
      </c>
      <c r="CE141" s="1472" t="s">
        <v>364</v>
      </c>
      <c r="CF141" s="1473" t="s">
        <v>671</v>
      </c>
      <c r="CG141" s="1473" t="s">
        <v>672</v>
      </c>
      <c r="CH141" s="1474" t="s">
        <v>673</v>
      </c>
      <c r="CI141" s="1472" t="s">
        <v>364</v>
      </c>
      <c r="CJ141" s="1473" t="s">
        <v>671</v>
      </c>
      <c r="CK141" s="1473" t="s">
        <v>672</v>
      </c>
      <c r="CL141" s="1474" t="s">
        <v>673</v>
      </c>
      <c r="CM141" s="1472" t="s">
        <v>364</v>
      </c>
      <c r="CN141" s="1473" t="s">
        <v>671</v>
      </c>
      <c r="CO141" s="1473" t="s">
        <v>672</v>
      </c>
      <c r="CP141" s="1474" t="s">
        <v>673</v>
      </c>
      <c r="CQ141" s="1472" t="s">
        <v>364</v>
      </c>
      <c r="CR141" s="1473" t="s">
        <v>671</v>
      </c>
      <c r="CS141" s="1473" t="s">
        <v>672</v>
      </c>
      <c r="CT141" s="1474" t="s">
        <v>673</v>
      </c>
      <c r="CU141" s="1472" t="s">
        <v>364</v>
      </c>
      <c r="CV141" s="1473" t="s">
        <v>671</v>
      </c>
      <c r="CW141" s="1473" t="s">
        <v>672</v>
      </c>
      <c r="CX141" s="1474" t="s">
        <v>673</v>
      </c>
      <c r="CY141" s="1472" t="s">
        <v>364</v>
      </c>
      <c r="CZ141" s="1473" t="s">
        <v>671</v>
      </c>
      <c r="DA141" s="1473" t="s">
        <v>672</v>
      </c>
      <c r="DB141" s="1474" t="s">
        <v>673</v>
      </c>
    </row>
    <row r="142" spans="1:106" s="749" customFormat="1" ht="12.75" customHeight="1">
      <c r="A142" s="714"/>
      <c r="B142" s="714"/>
      <c r="C142" s="1464" t="s">
        <v>622</v>
      </c>
      <c r="D142" s="718"/>
      <c r="E142" s="750" t="str">
        <f>E106</f>
        <v>Domestic demand (excl. Inventories)</v>
      </c>
      <c r="F142" s="751"/>
      <c r="G142" s="828">
        <f t="shared" ref="G142:N142" si="745">G106</f>
        <v>73.084000000000003</v>
      </c>
      <c r="H142" s="828">
        <f t="shared" si="745"/>
        <v>73.763999999999996</v>
      </c>
      <c r="I142" s="828">
        <f t="shared" si="745"/>
        <v>74.347999999999999</v>
      </c>
      <c r="J142" s="828">
        <f t="shared" si="745"/>
        <v>74.707999999999998</v>
      </c>
      <c r="K142" s="828">
        <f t="shared" si="745"/>
        <v>74.635999999999996</v>
      </c>
      <c r="L142" s="828">
        <f t="shared" si="745"/>
        <v>75.007999999999996</v>
      </c>
      <c r="M142" s="828">
        <f t="shared" si="745"/>
        <v>75.436999999999998</v>
      </c>
      <c r="N142" s="828">
        <f t="shared" si="745"/>
        <v>75.86</v>
      </c>
      <c r="O142" s="828">
        <f t="shared" ref="O142:AX142" si="746">O106</f>
        <v>76.304000000000002</v>
      </c>
      <c r="P142" s="828">
        <f t="shared" si="746"/>
        <v>77.043999999999997</v>
      </c>
      <c r="Q142" s="828">
        <f t="shared" si="746"/>
        <v>77.283000000000001</v>
      </c>
      <c r="R142" s="828">
        <f t="shared" si="746"/>
        <v>77.876000000000005</v>
      </c>
      <c r="S142" s="828">
        <f t="shared" si="746"/>
        <v>78.088999999999999</v>
      </c>
      <c r="T142" s="828">
        <f t="shared" si="746"/>
        <v>78.674999999999997</v>
      </c>
      <c r="U142" s="828">
        <f t="shared" si="746"/>
        <v>79.421000000000006</v>
      </c>
      <c r="V142" s="828">
        <f t="shared" si="746"/>
        <v>79.88</v>
      </c>
      <c r="W142" s="828">
        <f t="shared" si="746"/>
        <v>80.084999999999994</v>
      </c>
      <c r="X142" s="828">
        <f t="shared" si="746"/>
        <v>80.704999999999998</v>
      </c>
      <c r="Y142" s="828">
        <f t="shared" si="746"/>
        <v>81.259</v>
      </c>
      <c r="Z142" s="828">
        <f t="shared" si="746"/>
        <v>81.515000000000001</v>
      </c>
      <c r="AA142" s="828">
        <f t="shared" si="746"/>
        <v>82.593000000000004</v>
      </c>
      <c r="AB142" s="828">
        <f t="shared" si="746"/>
        <v>83.180999999999997</v>
      </c>
      <c r="AC142" s="828">
        <f t="shared" si="746"/>
        <v>83.867999999999995</v>
      </c>
      <c r="AD142" s="828">
        <f t="shared" si="746"/>
        <v>84.463999999999999</v>
      </c>
      <c r="AE142" s="828">
        <f t="shared" si="746"/>
        <v>84.846000000000004</v>
      </c>
      <c r="AF142" s="828">
        <f t="shared" si="746"/>
        <v>84.593999999999994</v>
      </c>
      <c r="AG142" s="828">
        <f t="shared" si="746"/>
        <v>84.664000000000001</v>
      </c>
      <c r="AH142" s="828">
        <f t="shared" si="746"/>
        <v>83.79</v>
      </c>
      <c r="AI142" s="828">
        <f t="shared" si="746"/>
        <v>84.162999999999997</v>
      </c>
      <c r="AJ142" s="828">
        <f t="shared" si="746"/>
        <v>84.224999999999994</v>
      </c>
      <c r="AK142" s="828">
        <f t="shared" si="746"/>
        <v>84.296000000000006</v>
      </c>
      <c r="AL142" s="828">
        <f t="shared" si="746"/>
        <v>84.867999999999995</v>
      </c>
      <c r="AM142" s="828">
        <f t="shared" si="746"/>
        <v>84.643000000000001</v>
      </c>
      <c r="AN142" s="828">
        <f t="shared" si="746"/>
        <v>84.68</v>
      </c>
      <c r="AO142" s="828">
        <f t="shared" si="746"/>
        <v>84.888000000000005</v>
      </c>
      <c r="AP142" s="828">
        <f t="shared" si="746"/>
        <v>85.164000000000001</v>
      </c>
      <c r="AQ142" s="828">
        <f t="shared" si="746"/>
        <v>86.656000000000006</v>
      </c>
      <c r="AR142" s="828">
        <f t="shared" si="746"/>
        <v>87.35</v>
      </c>
      <c r="AS142" s="828">
        <f t="shared" si="746"/>
        <v>88.036000000000001</v>
      </c>
      <c r="AT142" s="828">
        <f t="shared" si="746"/>
        <v>87.900999999999996</v>
      </c>
      <c r="AU142" s="828">
        <f t="shared" si="746"/>
        <v>88.741</v>
      </c>
      <c r="AV142" s="828">
        <f t="shared" si="746"/>
        <v>89.683000000000007</v>
      </c>
      <c r="AW142" s="828">
        <f t="shared" si="746"/>
        <v>89.554000000000002</v>
      </c>
      <c r="AX142" s="828">
        <f t="shared" si="746"/>
        <v>89.575000000000003</v>
      </c>
      <c r="AY142" s="828">
        <f t="shared" ref="AY142:BH142" si="747">AY106</f>
        <v>90.308999999999997</v>
      </c>
      <c r="AZ142" s="828">
        <f t="shared" si="747"/>
        <v>90.373999999999995</v>
      </c>
      <c r="BA142" s="828">
        <f t="shared" si="747"/>
        <v>90.863</v>
      </c>
      <c r="BB142" s="828">
        <f t="shared" si="747"/>
        <v>91.215999999999994</v>
      </c>
      <c r="BC142" s="828">
        <f t="shared" si="747"/>
        <v>92.307000000000002</v>
      </c>
      <c r="BD142" s="828">
        <f t="shared" si="747"/>
        <v>92.962999999999994</v>
      </c>
      <c r="BE142" s="828">
        <f t="shared" si="747"/>
        <v>93.795000000000002</v>
      </c>
      <c r="BF142" s="828">
        <f t="shared" si="747"/>
        <v>94.594999999999999</v>
      </c>
      <c r="BG142" s="828">
        <f t="shared" si="747"/>
        <v>95.415999999999997</v>
      </c>
      <c r="BH142" s="828">
        <f t="shared" si="747"/>
        <v>95.772999999999996</v>
      </c>
      <c r="BI142" s="828">
        <f t="shared" ref="BI142:BN142" si="748">BI106</f>
        <v>95.356999999999999</v>
      </c>
      <c r="BJ142" s="828">
        <f t="shared" si="748"/>
        <v>94.662999999999997</v>
      </c>
      <c r="BK142" s="828">
        <f t="shared" si="748"/>
        <v>93.806000000000012</v>
      </c>
      <c r="BL142" s="828">
        <f t="shared" si="748"/>
        <v>94.009</v>
      </c>
      <c r="BM142" s="828">
        <f t="shared" si="748"/>
        <v>94.251000000000005</v>
      </c>
      <c r="BN142" s="828">
        <f t="shared" si="748"/>
        <v>95.074000000000012</v>
      </c>
      <c r="BO142" s="828">
        <f>BO106</f>
        <v>95.194999999999993</v>
      </c>
      <c r="BP142" s="828">
        <f>BP106</f>
        <v>95.403999999999996</v>
      </c>
      <c r="BQ142" s="828">
        <f>BQ106</f>
        <v>95.772999999999996</v>
      </c>
      <c r="BR142" s="828">
        <f>BR106</f>
        <v>96.304999999999993</v>
      </c>
      <c r="BS142" s="828">
        <f t="shared" ref="BS142:BX142" si="749">BS106</f>
        <v>96.397999999999996</v>
      </c>
      <c r="BT142" s="828">
        <f t="shared" si="749"/>
        <v>96.869</v>
      </c>
      <c r="BU142" s="828">
        <f t="shared" si="749"/>
        <v>97.168000000000006</v>
      </c>
      <c r="BV142" s="828">
        <f t="shared" si="749"/>
        <v>97.542000000000002</v>
      </c>
      <c r="BW142" s="828">
        <f t="shared" si="749"/>
        <v>97.592999999999989</v>
      </c>
      <c r="BX142" s="828">
        <f t="shared" si="749"/>
        <v>97.759999999999991</v>
      </c>
      <c r="BY142" s="828">
        <f t="shared" ref="BY142:CD142" si="750">BY106</f>
        <v>97.826999999999998</v>
      </c>
      <c r="BZ142" s="828">
        <f t="shared" si="750"/>
        <v>97.662999999999997</v>
      </c>
      <c r="CA142" s="828">
        <f t="shared" si="750"/>
        <v>97.616</v>
      </c>
      <c r="CB142" s="828">
        <f t="shared" si="750"/>
        <v>97.774000000000001</v>
      </c>
      <c r="CC142" s="828">
        <f t="shared" si="750"/>
        <v>98.034999999999997</v>
      </c>
      <c r="CD142" s="828">
        <f t="shared" si="750"/>
        <v>97.932000000000002</v>
      </c>
      <c r="CE142" s="828">
        <f t="shared" ref="CE142:CH142" si="751">CE106</f>
        <v>98.502999999999986</v>
      </c>
      <c r="CF142" s="828">
        <f t="shared" si="751"/>
        <v>98.963999999999999</v>
      </c>
      <c r="CG142" s="828">
        <f t="shared" si="751"/>
        <v>100.94699999999999</v>
      </c>
      <c r="CH142" s="828">
        <f t="shared" si="751"/>
        <v>100.065</v>
      </c>
      <c r="CI142" s="828">
        <f t="shared" ref="CI142:CL142" si="752">CI106</f>
        <v>102.28999999999999</v>
      </c>
      <c r="CJ142" s="828">
        <f t="shared" si="752"/>
        <v>99.74799999999999</v>
      </c>
      <c r="CK142" s="828">
        <f t="shared" si="752"/>
        <v>100.369</v>
      </c>
      <c r="CL142" s="828">
        <f t="shared" si="752"/>
        <v>100.87700000000001</v>
      </c>
      <c r="CM142" s="828">
        <f t="shared" ref="CM142:CP142" si="753">CM106</f>
        <v>101.596</v>
      </c>
      <c r="CN142" s="828">
        <f t="shared" si="753"/>
        <v>102.04599999999999</v>
      </c>
      <c r="CO142" s="828">
        <f t="shared" si="753"/>
        <v>104.166</v>
      </c>
      <c r="CP142" s="828">
        <f t="shared" si="753"/>
        <v>102.89700000000001</v>
      </c>
      <c r="CQ142" s="828">
        <f t="shared" ref="CQ142:CS142" si="754">CQ106</f>
        <v>103.074</v>
      </c>
      <c r="CR142" s="828">
        <f t="shared" si="754"/>
        <v>103.59799999999998</v>
      </c>
      <c r="CS142" s="828">
        <f t="shared" si="754"/>
        <v>104.096</v>
      </c>
      <c r="CT142" s="828">
        <f t="shared" ref="CT142" si="755">CT106</f>
        <v>104.36200000000001</v>
      </c>
      <c r="CU142" s="1868">
        <f t="shared" ref="CU142:CX142" si="756">CU106</f>
        <v>104.8875232</v>
      </c>
      <c r="CV142" s="1868">
        <f t="shared" si="756"/>
        <v>105.43253044712</v>
      </c>
      <c r="CW142" s="1868">
        <f t="shared" si="756"/>
        <v>105.98380300798553</v>
      </c>
      <c r="CX142" s="1868">
        <f t="shared" si="756"/>
        <v>106.54141737320583</v>
      </c>
      <c r="CY142" s="1868">
        <f t="shared" ref="CY142:DB142" si="757">CY106</f>
        <v>106.99608892531349</v>
      </c>
      <c r="CZ142" s="1868">
        <f t="shared" si="757"/>
        <v>107.45015744184498</v>
      </c>
      <c r="DA142" s="1868">
        <f t="shared" si="757"/>
        <v>107.88434167477661</v>
      </c>
      <c r="DB142" s="1868">
        <f t="shared" si="757"/>
        <v>108.31491215560635</v>
      </c>
    </row>
    <row r="143" spans="1:106" s="749" customFormat="1" ht="12.75" customHeight="1">
      <c r="A143" s="714"/>
      <c r="B143" s="714"/>
      <c r="C143" s="1465" t="s">
        <v>622</v>
      </c>
      <c r="D143" s="724"/>
      <c r="E143" s="830" t="str">
        <f>E125</f>
        <v xml:space="preserve">Changes in inventories and net acquisition of valuables                         </v>
      </c>
      <c r="F143" s="754"/>
      <c r="G143" s="756">
        <f t="shared" ref="G143:N143" si="758">G125</f>
        <v>0</v>
      </c>
      <c r="H143" s="756">
        <f t="shared" si="758"/>
        <v>0</v>
      </c>
      <c r="I143" s="756">
        <f t="shared" si="758"/>
        <v>0</v>
      </c>
      <c r="J143" s="756">
        <f t="shared" si="758"/>
        <v>0</v>
      </c>
      <c r="K143" s="756">
        <f t="shared" si="758"/>
        <v>0</v>
      </c>
      <c r="L143" s="756">
        <f t="shared" si="758"/>
        <v>0</v>
      </c>
      <c r="M143" s="756">
        <f t="shared" si="758"/>
        <v>0</v>
      </c>
      <c r="N143" s="756">
        <f t="shared" si="758"/>
        <v>0</v>
      </c>
      <c r="O143" s="756">
        <f t="shared" ref="O143:AX143" si="759">O125</f>
        <v>0</v>
      </c>
      <c r="P143" s="756">
        <f t="shared" si="759"/>
        <v>0</v>
      </c>
      <c r="Q143" s="756">
        <f t="shared" si="759"/>
        <v>0</v>
      </c>
      <c r="R143" s="756">
        <f t="shared" si="759"/>
        <v>0</v>
      </c>
      <c r="S143" s="756">
        <f t="shared" si="759"/>
        <v>0</v>
      </c>
      <c r="T143" s="756">
        <f t="shared" si="759"/>
        <v>0</v>
      </c>
      <c r="U143" s="756">
        <f t="shared" si="759"/>
        <v>0</v>
      </c>
      <c r="V143" s="756">
        <f t="shared" si="759"/>
        <v>0</v>
      </c>
      <c r="W143" s="756">
        <f t="shared" si="759"/>
        <v>0</v>
      </c>
      <c r="X143" s="756">
        <f t="shared" si="759"/>
        <v>0</v>
      </c>
      <c r="Y143" s="756">
        <f t="shared" si="759"/>
        <v>0</v>
      </c>
      <c r="Z143" s="756">
        <f t="shared" si="759"/>
        <v>0</v>
      </c>
      <c r="AA143" s="756">
        <f t="shared" si="759"/>
        <v>0</v>
      </c>
      <c r="AB143" s="756">
        <f t="shared" si="759"/>
        <v>0</v>
      </c>
      <c r="AC143" s="756">
        <f t="shared" si="759"/>
        <v>0</v>
      </c>
      <c r="AD143" s="756">
        <f t="shared" si="759"/>
        <v>0</v>
      </c>
      <c r="AE143" s="756">
        <f t="shared" si="759"/>
        <v>0</v>
      </c>
      <c r="AF143" s="756">
        <f t="shared" si="759"/>
        <v>0</v>
      </c>
      <c r="AG143" s="756">
        <f t="shared" si="759"/>
        <v>0</v>
      </c>
      <c r="AH143" s="756">
        <f t="shared" si="759"/>
        <v>0</v>
      </c>
      <c r="AI143" s="756">
        <f t="shared" si="759"/>
        <v>0</v>
      </c>
      <c r="AJ143" s="756">
        <f t="shared" si="759"/>
        <v>0</v>
      </c>
      <c r="AK143" s="756">
        <f t="shared" si="759"/>
        <v>0</v>
      </c>
      <c r="AL143" s="756">
        <f t="shared" si="759"/>
        <v>0</v>
      </c>
      <c r="AM143" s="756">
        <f t="shared" si="759"/>
        <v>0</v>
      </c>
      <c r="AN143" s="756">
        <f t="shared" si="759"/>
        <v>0</v>
      </c>
      <c r="AO143" s="756">
        <f t="shared" si="759"/>
        <v>0</v>
      </c>
      <c r="AP143" s="756">
        <f t="shared" si="759"/>
        <v>0</v>
      </c>
      <c r="AQ143" s="756">
        <f t="shared" si="759"/>
        <v>0</v>
      </c>
      <c r="AR143" s="756">
        <f t="shared" si="759"/>
        <v>0</v>
      </c>
      <c r="AS143" s="756">
        <f t="shared" si="759"/>
        <v>0</v>
      </c>
      <c r="AT143" s="756">
        <f t="shared" si="759"/>
        <v>0</v>
      </c>
      <c r="AU143" s="756">
        <f t="shared" si="759"/>
        <v>0</v>
      </c>
      <c r="AV143" s="756">
        <f t="shared" si="759"/>
        <v>0</v>
      </c>
      <c r="AW143" s="756">
        <f t="shared" si="759"/>
        <v>0</v>
      </c>
      <c r="AX143" s="756">
        <f t="shared" si="759"/>
        <v>0</v>
      </c>
      <c r="AY143" s="756">
        <f t="shared" ref="AY143:BH143" si="760">AY125</f>
        <v>0</v>
      </c>
      <c r="AZ143" s="756">
        <f t="shared" si="760"/>
        <v>0</v>
      </c>
      <c r="BA143" s="756">
        <f t="shared" si="760"/>
        <v>0</v>
      </c>
      <c r="BB143" s="756">
        <f t="shared" si="760"/>
        <v>0</v>
      </c>
      <c r="BC143" s="756">
        <f t="shared" si="760"/>
        <v>0</v>
      </c>
      <c r="BD143" s="756">
        <f t="shared" si="760"/>
        <v>0</v>
      </c>
      <c r="BE143" s="756">
        <f t="shared" si="760"/>
        <v>0</v>
      </c>
      <c r="BF143" s="756">
        <f t="shared" si="760"/>
        <v>0</v>
      </c>
      <c r="BG143" s="756">
        <f t="shared" si="760"/>
        <v>0</v>
      </c>
      <c r="BH143" s="756">
        <f t="shared" si="760"/>
        <v>0</v>
      </c>
      <c r="BI143" s="756">
        <f t="shared" ref="BI143:BN143" si="761">BI125</f>
        <v>0</v>
      </c>
      <c r="BJ143" s="756">
        <f t="shared" si="761"/>
        <v>0</v>
      </c>
      <c r="BK143" s="756">
        <f t="shared" si="761"/>
        <v>0</v>
      </c>
      <c r="BL143" s="756">
        <f t="shared" si="761"/>
        <v>0</v>
      </c>
      <c r="BM143" s="756">
        <f t="shared" si="761"/>
        <v>0</v>
      </c>
      <c r="BN143" s="756">
        <f t="shared" si="761"/>
        <v>0</v>
      </c>
      <c r="BO143" s="756">
        <f>BO125</f>
        <v>0</v>
      </c>
      <c r="BP143" s="756">
        <f>BP125</f>
        <v>0</v>
      </c>
      <c r="BQ143" s="756">
        <f>BQ125</f>
        <v>0</v>
      </c>
      <c r="BR143" s="756">
        <f>BR125</f>
        <v>0</v>
      </c>
      <c r="BS143" s="756">
        <f t="shared" ref="BS143:BX143" si="762">BS125</f>
        <v>0</v>
      </c>
      <c r="BT143" s="756">
        <f t="shared" si="762"/>
        <v>0</v>
      </c>
      <c r="BU143" s="756">
        <f t="shared" si="762"/>
        <v>0</v>
      </c>
      <c r="BV143" s="756">
        <f t="shared" si="762"/>
        <v>0</v>
      </c>
      <c r="BW143" s="756">
        <f t="shared" si="762"/>
        <v>0</v>
      </c>
      <c r="BX143" s="756">
        <f t="shared" si="762"/>
        <v>0</v>
      </c>
      <c r="BY143" s="756">
        <f t="shared" ref="BY143:CD143" si="763">BY125</f>
        <v>0</v>
      </c>
      <c r="BZ143" s="756">
        <f t="shared" si="763"/>
        <v>0</v>
      </c>
      <c r="CA143" s="756">
        <f t="shared" si="763"/>
        <v>0</v>
      </c>
      <c r="CB143" s="756">
        <f t="shared" si="763"/>
        <v>0</v>
      </c>
      <c r="CC143" s="756">
        <f t="shared" si="763"/>
        <v>0</v>
      </c>
      <c r="CD143" s="756">
        <f t="shared" si="763"/>
        <v>0</v>
      </c>
      <c r="CE143" s="756">
        <f t="shared" ref="CE143:CH143" si="764">CE125</f>
        <v>0</v>
      </c>
      <c r="CF143" s="756">
        <f t="shared" si="764"/>
        <v>0</v>
      </c>
      <c r="CG143" s="756">
        <f t="shared" si="764"/>
        <v>0</v>
      </c>
      <c r="CH143" s="756">
        <f t="shared" si="764"/>
        <v>0</v>
      </c>
      <c r="CI143" s="756">
        <f t="shared" ref="CI143:CL143" si="765">CI125</f>
        <v>0</v>
      </c>
      <c r="CJ143" s="756">
        <f t="shared" si="765"/>
        <v>0</v>
      </c>
      <c r="CK143" s="756">
        <f t="shared" si="765"/>
        <v>0</v>
      </c>
      <c r="CL143" s="756">
        <f t="shared" si="765"/>
        <v>0</v>
      </c>
      <c r="CM143" s="756">
        <f t="shared" ref="CM143:CP143" si="766">CM125</f>
        <v>0</v>
      </c>
      <c r="CN143" s="756">
        <f t="shared" si="766"/>
        <v>0</v>
      </c>
      <c r="CO143" s="756">
        <f t="shared" si="766"/>
        <v>0</v>
      </c>
      <c r="CP143" s="756">
        <f t="shared" si="766"/>
        <v>0</v>
      </c>
      <c r="CQ143" s="756">
        <f t="shared" ref="CQ143:CS143" si="767">CQ125</f>
        <v>0</v>
      </c>
      <c r="CR143" s="756">
        <f t="shared" si="767"/>
        <v>0</v>
      </c>
      <c r="CS143" s="756">
        <f t="shared" si="767"/>
        <v>0</v>
      </c>
      <c r="CT143" s="756">
        <f t="shared" ref="CT143" si="768">CT125</f>
        <v>0</v>
      </c>
      <c r="CU143" s="1528">
        <f t="shared" ref="CU143:CX143" si="769">CU125</f>
        <v>0</v>
      </c>
      <c r="CV143" s="1528">
        <f t="shared" si="769"/>
        <v>0</v>
      </c>
      <c r="CW143" s="1528">
        <f t="shared" si="769"/>
        <v>0</v>
      </c>
      <c r="CX143" s="1528">
        <f t="shared" si="769"/>
        <v>0</v>
      </c>
      <c r="CY143" s="1528">
        <f t="shared" ref="CY143:DB143" si="770">CY125</f>
        <v>0</v>
      </c>
      <c r="CZ143" s="1528">
        <f t="shared" si="770"/>
        <v>0</v>
      </c>
      <c r="DA143" s="1528">
        <f t="shared" si="770"/>
        <v>0</v>
      </c>
      <c r="DB143" s="1528">
        <f t="shared" si="770"/>
        <v>0</v>
      </c>
    </row>
    <row r="144" spans="1:106" s="1877" customFormat="1" ht="12.75" customHeight="1">
      <c r="A144" s="1873"/>
      <c r="B144" s="1873"/>
      <c r="C144" s="1878" t="s">
        <v>622</v>
      </c>
      <c r="D144" s="1875"/>
      <c r="E144" s="1876" t="s">
        <v>1963</v>
      </c>
      <c r="F144" s="1875"/>
      <c r="G144" s="1876">
        <f t="shared" ref="G144:AL144" si="771">SUM(G142:G143)-G145</f>
        <v>0</v>
      </c>
      <c r="H144" s="1876">
        <f t="shared" si="771"/>
        <v>0</v>
      </c>
      <c r="I144" s="1876">
        <f t="shared" si="771"/>
        <v>0</v>
      </c>
      <c r="J144" s="1876">
        <f t="shared" si="771"/>
        <v>0</v>
      </c>
      <c r="K144" s="1876">
        <f t="shared" si="771"/>
        <v>0</v>
      </c>
      <c r="L144" s="1876">
        <f t="shared" si="771"/>
        <v>0</v>
      </c>
      <c r="M144" s="1876">
        <f t="shared" si="771"/>
        <v>0</v>
      </c>
      <c r="N144" s="1876">
        <f t="shared" si="771"/>
        <v>0</v>
      </c>
      <c r="O144" s="1876">
        <f t="shared" si="771"/>
        <v>0</v>
      </c>
      <c r="P144" s="1876">
        <f t="shared" si="771"/>
        <v>0</v>
      </c>
      <c r="Q144" s="1876">
        <f t="shared" si="771"/>
        <v>0</v>
      </c>
      <c r="R144" s="1876">
        <f t="shared" si="771"/>
        <v>0</v>
      </c>
      <c r="S144" s="1876">
        <f t="shared" si="771"/>
        <v>0</v>
      </c>
      <c r="T144" s="1876">
        <f t="shared" si="771"/>
        <v>0</v>
      </c>
      <c r="U144" s="1876">
        <f t="shared" si="771"/>
        <v>0</v>
      </c>
      <c r="V144" s="1876">
        <f t="shared" si="771"/>
        <v>0</v>
      </c>
      <c r="W144" s="1876">
        <f t="shared" si="771"/>
        <v>0</v>
      </c>
      <c r="X144" s="1876">
        <f t="shared" si="771"/>
        <v>0</v>
      </c>
      <c r="Y144" s="1876">
        <f t="shared" si="771"/>
        <v>0</v>
      </c>
      <c r="Z144" s="1876">
        <f t="shared" si="771"/>
        <v>0</v>
      </c>
      <c r="AA144" s="1876">
        <f t="shared" si="771"/>
        <v>0</v>
      </c>
      <c r="AB144" s="1876">
        <f t="shared" si="771"/>
        <v>0</v>
      </c>
      <c r="AC144" s="1876">
        <f t="shared" si="771"/>
        <v>0</v>
      </c>
      <c r="AD144" s="1876">
        <f t="shared" si="771"/>
        <v>0</v>
      </c>
      <c r="AE144" s="1876">
        <f t="shared" si="771"/>
        <v>0</v>
      </c>
      <c r="AF144" s="1876">
        <f t="shared" si="771"/>
        <v>0</v>
      </c>
      <c r="AG144" s="1876">
        <f t="shared" si="771"/>
        <v>0</v>
      </c>
      <c r="AH144" s="1876">
        <f t="shared" si="771"/>
        <v>0</v>
      </c>
      <c r="AI144" s="1876">
        <f t="shared" si="771"/>
        <v>0</v>
      </c>
      <c r="AJ144" s="1876">
        <f t="shared" si="771"/>
        <v>0</v>
      </c>
      <c r="AK144" s="1876">
        <f t="shared" si="771"/>
        <v>0</v>
      </c>
      <c r="AL144" s="1876">
        <f t="shared" si="771"/>
        <v>0</v>
      </c>
      <c r="AM144" s="1876">
        <f t="shared" ref="AM144:BE144" si="772">SUM(AM142:AM143)-AM145</f>
        <v>0</v>
      </c>
      <c r="AN144" s="1876">
        <f t="shared" si="772"/>
        <v>0</v>
      </c>
      <c r="AO144" s="1876">
        <f t="shared" si="772"/>
        <v>0</v>
      </c>
      <c r="AP144" s="1876">
        <f t="shared" si="772"/>
        <v>0</v>
      </c>
      <c r="AQ144" s="1876">
        <f t="shared" si="772"/>
        <v>0</v>
      </c>
      <c r="AR144" s="1876">
        <f t="shared" si="772"/>
        <v>0</v>
      </c>
      <c r="AS144" s="1876">
        <f t="shared" si="772"/>
        <v>0</v>
      </c>
      <c r="AT144" s="1876">
        <f t="shared" si="772"/>
        <v>0</v>
      </c>
      <c r="AU144" s="1876">
        <f t="shared" si="772"/>
        <v>0</v>
      </c>
      <c r="AV144" s="1876">
        <f t="shared" si="772"/>
        <v>0</v>
      </c>
      <c r="AW144" s="1876">
        <f t="shared" si="772"/>
        <v>0</v>
      </c>
      <c r="AX144" s="1876">
        <f t="shared" si="772"/>
        <v>0</v>
      </c>
      <c r="AY144" s="1876">
        <f t="shared" si="772"/>
        <v>0</v>
      </c>
      <c r="AZ144" s="1876">
        <f t="shared" si="772"/>
        <v>0</v>
      </c>
      <c r="BA144" s="1876">
        <f t="shared" si="772"/>
        <v>0</v>
      </c>
      <c r="BB144" s="1876">
        <f>SUM(BB142:BB143)-BB145</f>
        <v>0</v>
      </c>
      <c r="BC144" s="1876">
        <f>SUM(BC142:BC143)-BC145</f>
        <v>0</v>
      </c>
      <c r="BD144" s="1876">
        <f>SUM(BD142:BD143)-BD145</f>
        <v>0</v>
      </c>
      <c r="BE144" s="1876">
        <f t="shared" si="772"/>
        <v>0</v>
      </c>
      <c r="BF144" s="1876">
        <f t="shared" ref="BF144:BN144" si="773">SUM(BF142:BF143)-BF145</f>
        <v>0</v>
      </c>
      <c r="BG144" s="1876">
        <f t="shared" si="773"/>
        <v>0</v>
      </c>
      <c r="BH144" s="1876">
        <f t="shared" si="773"/>
        <v>0</v>
      </c>
      <c r="BI144" s="1876">
        <f t="shared" si="773"/>
        <v>0</v>
      </c>
      <c r="BJ144" s="1876">
        <f t="shared" si="773"/>
        <v>0</v>
      </c>
      <c r="BK144" s="1876">
        <f t="shared" si="773"/>
        <v>0</v>
      </c>
      <c r="BL144" s="1876">
        <f t="shared" si="773"/>
        <v>0</v>
      </c>
      <c r="BM144" s="1876">
        <f t="shared" si="773"/>
        <v>0</v>
      </c>
      <c r="BN144" s="1876">
        <f t="shared" si="773"/>
        <v>0</v>
      </c>
      <c r="BO144" s="1876">
        <f t="shared" ref="BO144:BU144" si="774">SUM(BO142:BO143)-BO145</f>
        <v>0</v>
      </c>
      <c r="BP144" s="1876">
        <f t="shared" si="774"/>
        <v>0</v>
      </c>
      <c r="BQ144" s="1876">
        <f t="shared" si="774"/>
        <v>0</v>
      </c>
      <c r="BR144" s="1876">
        <f t="shared" si="774"/>
        <v>0</v>
      </c>
      <c r="BS144" s="1876">
        <f t="shared" si="774"/>
        <v>0</v>
      </c>
      <c r="BT144" s="1876">
        <f t="shared" si="774"/>
        <v>0</v>
      </c>
      <c r="BU144" s="1876">
        <f t="shared" si="774"/>
        <v>0</v>
      </c>
      <c r="BV144" s="1876">
        <f t="shared" ref="BV144:CA144" si="775">SUM(BV142:BV143)-BV145</f>
        <v>0</v>
      </c>
      <c r="BW144" s="1876">
        <f t="shared" si="775"/>
        <v>0</v>
      </c>
      <c r="BX144" s="1876">
        <f t="shared" si="775"/>
        <v>0</v>
      </c>
      <c r="BY144" s="1876">
        <f t="shared" si="775"/>
        <v>0</v>
      </c>
      <c r="BZ144" s="1876">
        <f t="shared" si="775"/>
        <v>0</v>
      </c>
      <c r="CA144" s="1876">
        <f t="shared" si="775"/>
        <v>0</v>
      </c>
      <c r="CB144" s="1876">
        <f t="shared" ref="CB144:CC144" si="776">SUM(CB142:CB143)-CB145</f>
        <v>0</v>
      </c>
      <c r="CC144" s="1876">
        <f t="shared" si="776"/>
        <v>0</v>
      </c>
      <c r="CD144" s="1876">
        <f t="shared" ref="CD144:CG144" si="777">SUM(CD142:CD143)-CD145</f>
        <v>0</v>
      </c>
      <c r="CE144" s="1876">
        <f t="shared" si="777"/>
        <v>0</v>
      </c>
      <c r="CF144" s="1876">
        <f t="shared" si="777"/>
        <v>0</v>
      </c>
      <c r="CG144" s="1876">
        <f t="shared" si="777"/>
        <v>0</v>
      </c>
      <c r="CH144" s="1876">
        <f t="shared" ref="CH144:CK144" si="778">SUM(CH142:CH143)-CH145</f>
        <v>0</v>
      </c>
      <c r="CI144" s="1876">
        <f t="shared" si="778"/>
        <v>0</v>
      </c>
      <c r="CJ144" s="1876">
        <f t="shared" si="778"/>
        <v>0</v>
      </c>
      <c r="CK144" s="1876">
        <f t="shared" si="778"/>
        <v>0</v>
      </c>
      <c r="CL144" s="1876">
        <f t="shared" ref="CL144:CO144" si="779">SUM(CL142:CL143)-CL145</f>
        <v>0</v>
      </c>
      <c r="CM144" s="1876">
        <f t="shared" si="779"/>
        <v>0</v>
      </c>
      <c r="CN144" s="1876">
        <f t="shared" si="779"/>
        <v>0</v>
      </c>
      <c r="CO144" s="1876">
        <f t="shared" si="779"/>
        <v>0</v>
      </c>
      <c r="CP144" s="1876">
        <f t="shared" ref="CP144:CS144" si="780">SUM(CP142:CP143)-CP145</f>
        <v>0</v>
      </c>
      <c r="CQ144" s="1876">
        <f t="shared" si="780"/>
        <v>0</v>
      </c>
      <c r="CR144" s="1876">
        <f t="shared" si="780"/>
        <v>0</v>
      </c>
      <c r="CS144" s="1876">
        <f t="shared" si="780"/>
        <v>0</v>
      </c>
      <c r="CT144" s="1876">
        <f t="shared" ref="CT144" si="781">SUM(CT142:CT143)-CT145</f>
        <v>0</v>
      </c>
      <c r="CU144" s="1879">
        <f t="shared" ref="CU144:CX144" si="782">SUM(CU142:CU143)-CU145</f>
        <v>0</v>
      </c>
      <c r="CV144" s="1879">
        <f t="shared" si="782"/>
        <v>0</v>
      </c>
      <c r="CW144" s="1879">
        <f t="shared" si="782"/>
        <v>0</v>
      </c>
      <c r="CX144" s="1879">
        <f t="shared" si="782"/>
        <v>0</v>
      </c>
      <c r="CY144" s="1879">
        <f t="shared" ref="CY144:DB144" si="783">SUM(CY142:CY143)-CY145</f>
        <v>0</v>
      </c>
      <c r="CZ144" s="1879">
        <f t="shared" si="783"/>
        <v>0</v>
      </c>
      <c r="DA144" s="1879">
        <f t="shared" si="783"/>
        <v>0</v>
      </c>
      <c r="DB144" s="1879">
        <f t="shared" si="783"/>
        <v>0</v>
      </c>
    </row>
    <row r="145" spans="1:106" s="749" customFormat="1" ht="12.75" customHeight="1">
      <c r="A145" s="715" t="str">
        <f>"Q" &amp; ROW(InputQ!A12)</f>
        <v>Q12</v>
      </c>
      <c r="B145" s="1869" t="s">
        <v>571</v>
      </c>
      <c r="C145" s="1465" t="s">
        <v>624</v>
      </c>
      <c r="D145" s="794"/>
      <c r="E145" s="1466" t="s">
        <v>1444</v>
      </c>
      <c r="F145" s="796"/>
      <c r="G145" s="843">
        <f>+InputQ!G12/1000</f>
        <v>73.084000000000003</v>
      </c>
      <c r="H145" s="843">
        <f>+InputQ!H12/1000</f>
        <v>73.763999999999996</v>
      </c>
      <c r="I145" s="843">
        <f>+InputQ!I12/1000</f>
        <v>74.347999999999999</v>
      </c>
      <c r="J145" s="843">
        <f>+InputQ!J12/1000</f>
        <v>74.707999999999998</v>
      </c>
      <c r="K145" s="843">
        <f>+InputQ!K12/1000</f>
        <v>74.635999999999996</v>
      </c>
      <c r="L145" s="843">
        <f>+InputQ!L12/1000</f>
        <v>75.007999999999996</v>
      </c>
      <c r="M145" s="843">
        <f>+InputQ!M12/1000</f>
        <v>75.436999999999998</v>
      </c>
      <c r="N145" s="843">
        <f>+InputQ!N12/1000</f>
        <v>75.86</v>
      </c>
      <c r="O145" s="843">
        <f>+InputQ!O12/1000</f>
        <v>76.304000000000002</v>
      </c>
      <c r="P145" s="843">
        <f>+InputQ!P12/1000</f>
        <v>77.043999999999997</v>
      </c>
      <c r="Q145" s="843">
        <f>+InputQ!Q12/1000</f>
        <v>77.283000000000001</v>
      </c>
      <c r="R145" s="843">
        <f>+InputQ!R12/1000</f>
        <v>77.876000000000005</v>
      </c>
      <c r="S145" s="843">
        <f>+InputQ!S12/1000</f>
        <v>78.088999999999999</v>
      </c>
      <c r="T145" s="843">
        <f>+InputQ!T12/1000</f>
        <v>78.674999999999997</v>
      </c>
      <c r="U145" s="843">
        <f>+InputQ!U12/1000</f>
        <v>79.421000000000006</v>
      </c>
      <c r="V145" s="843">
        <f>+InputQ!V12/1000</f>
        <v>79.88</v>
      </c>
      <c r="W145" s="843">
        <f>+InputQ!W12/1000</f>
        <v>80.084999999999994</v>
      </c>
      <c r="X145" s="843">
        <f>+InputQ!X12/1000</f>
        <v>80.704999999999998</v>
      </c>
      <c r="Y145" s="843">
        <f>+InputQ!Y12/1000</f>
        <v>81.259</v>
      </c>
      <c r="Z145" s="843">
        <f>+InputQ!Z12/1000</f>
        <v>81.515000000000001</v>
      </c>
      <c r="AA145" s="843">
        <f>+InputQ!AA12/1000</f>
        <v>82.593000000000004</v>
      </c>
      <c r="AB145" s="843">
        <f>+InputQ!AB12/1000</f>
        <v>83.180999999999997</v>
      </c>
      <c r="AC145" s="843">
        <f>+InputQ!AC12/1000</f>
        <v>83.867999999999995</v>
      </c>
      <c r="AD145" s="843">
        <f>+InputQ!AD12/1000</f>
        <v>84.463999999999999</v>
      </c>
      <c r="AE145" s="843">
        <f>+InputQ!AE12/1000</f>
        <v>84.846000000000004</v>
      </c>
      <c r="AF145" s="843">
        <f>+InputQ!AF12/1000</f>
        <v>84.593999999999994</v>
      </c>
      <c r="AG145" s="843">
        <f>+InputQ!AG12/1000</f>
        <v>84.664000000000001</v>
      </c>
      <c r="AH145" s="843">
        <f>+InputQ!AH12/1000</f>
        <v>83.79</v>
      </c>
      <c r="AI145" s="843">
        <f>+InputQ!AI12/1000</f>
        <v>84.162999999999997</v>
      </c>
      <c r="AJ145" s="843">
        <f>+InputQ!AJ12/1000</f>
        <v>84.224999999999994</v>
      </c>
      <c r="AK145" s="843">
        <f>+InputQ!AK12/1000</f>
        <v>84.296000000000006</v>
      </c>
      <c r="AL145" s="843">
        <f>+InputQ!AL12/1000</f>
        <v>84.867999999999995</v>
      </c>
      <c r="AM145" s="843">
        <f>+InputQ!AM12/1000</f>
        <v>84.643000000000001</v>
      </c>
      <c r="AN145" s="843">
        <f>+InputQ!AN12/1000</f>
        <v>84.68</v>
      </c>
      <c r="AO145" s="843">
        <f>+InputQ!AO12/1000</f>
        <v>84.888000000000005</v>
      </c>
      <c r="AP145" s="843">
        <f>+InputQ!AP12/1000</f>
        <v>85.164000000000001</v>
      </c>
      <c r="AQ145" s="843">
        <f>+InputQ!AQ12/1000</f>
        <v>86.656000000000006</v>
      </c>
      <c r="AR145" s="843">
        <f>+InputQ!AR12/1000</f>
        <v>87.35</v>
      </c>
      <c r="AS145" s="843">
        <f>+InputQ!AS12/1000</f>
        <v>88.036000000000001</v>
      </c>
      <c r="AT145" s="843">
        <f>+InputQ!AT12/1000</f>
        <v>87.900999999999996</v>
      </c>
      <c r="AU145" s="843">
        <f>+InputQ!AU12/1000</f>
        <v>88.741</v>
      </c>
      <c r="AV145" s="843">
        <f>+InputQ!AV12/1000</f>
        <v>89.683000000000007</v>
      </c>
      <c r="AW145" s="843">
        <f>+InputQ!AW12/1000</f>
        <v>89.554000000000002</v>
      </c>
      <c r="AX145" s="843">
        <f>+InputQ!AX12/1000</f>
        <v>89.575000000000003</v>
      </c>
      <c r="AY145" s="843">
        <f>+InputQ!AY12/1000</f>
        <v>90.308999999999997</v>
      </c>
      <c r="AZ145" s="843">
        <f>+InputQ!AZ12/1000</f>
        <v>90.373999999999995</v>
      </c>
      <c r="BA145" s="843">
        <f>+InputQ!BA12/1000</f>
        <v>90.863</v>
      </c>
      <c r="BB145" s="843">
        <f>+InputQ!BB12/1000</f>
        <v>91.215999999999994</v>
      </c>
      <c r="BC145" s="843">
        <f>+InputQ!BC12/1000</f>
        <v>92.307000000000002</v>
      </c>
      <c r="BD145" s="843">
        <f>+InputQ!BD12/1000</f>
        <v>92.962999999999994</v>
      </c>
      <c r="BE145" s="843">
        <f>+InputQ!BE12/1000</f>
        <v>93.795000000000002</v>
      </c>
      <c r="BF145" s="843">
        <f>+InputQ!BF12/1000</f>
        <v>94.594999999999999</v>
      </c>
      <c r="BG145" s="843">
        <f>+InputQ!BG12/1000</f>
        <v>95.415999999999997</v>
      </c>
      <c r="BH145" s="843">
        <f>+InputQ!BH12/1000</f>
        <v>95.772999999999996</v>
      </c>
      <c r="BI145" s="843">
        <f>+InputQ!BI12/1000</f>
        <v>95.356999999999999</v>
      </c>
      <c r="BJ145" s="843">
        <f>+InputQ!BJ12/1000</f>
        <v>94.662999999999997</v>
      </c>
      <c r="BK145" s="843">
        <f t="shared" ref="BK145:BR145" si="784">SUM(BK142:BK143)</f>
        <v>93.806000000000012</v>
      </c>
      <c r="BL145" s="843">
        <f t="shared" si="784"/>
        <v>94.009</v>
      </c>
      <c r="BM145" s="843">
        <f t="shared" si="784"/>
        <v>94.251000000000005</v>
      </c>
      <c r="BN145" s="843">
        <f t="shared" si="784"/>
        <v>95.074000000000012</v>
      </c>
      <c r="BO145" s="843">
        <f t="shared" si="784"/>
        <v>95.194999999999993</v>
      </c>
      <c r="BP145" s="843">
        <f t="shared" si="784"/>
        <v>95.403999999999996</v>
      </c>
      <c r="BQ145" s="843">
        <f t="shared" si="784"/>
        <v>95.772999999999996</v>
      </c>
      <c r="BR145" s="843">
        <f t="shared" si="784"/>
        <v>96.304999999999993</v>
      </c>
      <c r="BS145" s="843">
        <f t="shared" ref="BS145:CE145" si="785">SUM(BS142:BS143)</f>
        <v>96.397999999999996</v>
      </c>
      <c r="BT145" s="843">
        <f t="shared" si="785"/>
        <v>96.869</v>
      </c>
      <c r="BU145" s="843">
        <f t="shared" si="785"/>
        <v>97.168000000000006</v>
      </c>
      <c r="BV145" s="843">
        <f t="shared" ref="BV145:CA145" si="786">SUM(BV142:BV143)</f>
        <v>97.542000000000002</v>
      </c>
      <c r="BW145" s="843">
        <f t="shared" si="786"/>
        <v>97.592999999999989</v>
      </c>
      <c r="BX145" s="843">
        <f t="shared" si="786"/>
        <v>97.759999999999991</v>
      </c>
      <c r="BY145" s="843">
        <f t="shared" si="786"/>
        <v>97.826999999999998</v>
      </c>
      <c r="BZ145" s="843">
        <f t="shared" si="786"/>
        <v>97.662999999999997</v>
      </c>
      <c r="CA145" s="843">
        <f t="shared" si="786"/>
        <v>97.616</v>
      </c>
      <c r="CB145" s="1528">
        <f t="shared" si="785"/>
        <v>97.774000000000001</v>
      </c>
      <c r="CC145" s="843">
        <f t="shared" si="785"/>
        <v>98.034999999999997</v>
      </c>
      <c r="CD145" s="1528">
        <f t="shared" si="785"/>
        <v>97.932000000000002</v>
      </c>
      <c r="CE145" s="843">
        <f t="shared" si="785"/>
        <v>98.502999999999986</v>
      </c>
      <c r="CF145" s="1528">
        <f t="shared" ref="CF145:CI145" si="787">SUM(CF142:CF143)</f>
        <v>98.963999999999999</v>
      </c>
      <c r="CG145" s="843">
        <f t="shared" si="787"/>
        <v>100.94699999999999</v>
      </c>
      <c r="CH145" s="1528">
        <f t="shared" si="787"/>
        <v>100.065</v>
      </c>
      <c r="CI145" s="843">
        <f t="shared" si="787"/>
        <v>102.28999999999999</v>
      </c>
      <c r="CJ145" s="1528">
        <f t="shared" ref="CJ145:CM145" si="788">SUM(CJ142:CJ143)</f>
        <v>99.74799999999999</v>
      </c>
      <c r="CK145" s="843">
        <f t="shared" si="788"/>
        <v>100.369</v>
      </c>
      <c r="CL145" s="1528">
        <f t="shared" si="788"/>
        <v>100.87700000000001</v>
      </c>
      <c r="CM145" s="843">
        <f t="shared" si="788"/>
        <v>101.596</v>
      </c>
      <c r="CN145" s="1528">
        <f t="shared" ref="CN145:CQ145" si="789">SUM(CN142:CN143)</f>
        <v>102.04599999999999</v>
      </c>
      <c r="CO145" s="843">
        <f t="shared" si="789"/>
        <v>104.166</v>
      </c>
      <c r="CP145" s="1528">
        <f t="shared" si="789"/>
        <v>102.89700000000001</v>
      </c>
      <c r="CQ145" s="843">
        <f t="shared" si="789"/>
        <v>103.074</v>
      </c>
      <c r="CR145" s="1528">
        <f t="shared" ref="CR145:CS145" si="790">SUM(CR142:CR143)</f>
        <v>103.59799999999998</v>
      </c>
      <c r="CS145" s="843">
        <f t="shared" si="790"/>
        <v>104.096</v>
      </c>
      <c r="CT145" s="1528">
        <f t="shared" ref="CT145" si="791">SUM(CT142:CT143)</f>
        <v>104.36200000000001</v>
      </c>
      <c r="CU145" s="1528">
        <f t="shared" ref="CU145:CX145" si="792">SUM(CU142:CU143)</f>
        <v>104.8875232</v>
      </c>
      <c r="CV145" s="1528">
        <f t="shared" si="792"/>
        <v>105.43253044712</v>
      </c>
      <c r="CW145" s="1528">
        <f t="shared" si="792"/>
        <v>105.98380300798553</v>
      </c>
      <c r="CX145" s="1528">
        <f t="shared" si="792"/>
        <v>106.54141737320583</v>
      </c>
      <c r="CY145" s="1528">
        <f t="shared" ref="CY145:DB145" si="793">SUM(CY142:CY143)</f>
        <v>106.99608892531349</v>
      </c>
      <c r="CZ145" s="1528">
        <f t="shared" si="793"/>
        <v>107.45015744184498</v>
      </c>
      <c r="DA145" s="1528">
        <f t="shared" si="793"/>
        <v>107.88434167477661</v>
      </c>
      <c r="DB145" s="1528">
        <f t="shared" si="793"/>
        <v>108.31491215560635</v>
      </c>
    </row>
    <row r="146" spans="1:106" s="26" customFormat="1">
      <c r="A146" s="723"/>
      <c r="B146" s="723"/>
      <c r="C146" s="1520"/>
      <c r="D146" s="733"/>
      <c r="E146" s="734" t="s">
        <v>357</v>
      </c>
      <c r="F146" s="735"/>
      <c r="G146" s="1477"/>
      <c r="H146" s="1477"/>
      <c r="I146" s="1477"/>
      <c r="J146" s="1481">
        <f>SUM(G142:J143)</f>
        <v>295.904</v>
      </c>
      <c r="K146" s="1477"/>
      <c r="L146" s="1477"/>
      <c r="M146" s="1477"/>
      <c r="N146" s="1481">
        <f>SUM(K142:N143)</f>
        <v>300.94100000000003</v>
      </c>
      <c r="O146" s="1477"/>
      <c r="P146" s="1477"/>
      <c r="Q146" s="1477"/>
      <c r="R146" s="1481">
        <f>SUM(O142:R143)</f>
        <v>308.50700000000006</v>
      </c>
      <c r="S146" s="1477"/>
      <c r="T146" s="1477"/>
      <c r="U146" s="1477"/>
      <c r="V146" s="1481">
        <f>SUM(S142:V143)</f>
        <v>316.065</v>
      </c>
      <c r="W146" s="1477"/>
      <c r="X146" s="1477"/>
      <c r="Y146" s="1477"/>
      <c r="Z146" s="1481">
        <f>SUM(W142:Z143)</f>
        <v>323.56399999999996</v>
      </c>
      <c r="AA146" s="1477"/>
      <c r="AB146" s="1477"/>
      <c r="AC146" s="1477"/>
      <c r="AD146" s="1481">
        <f>SUM(AA142:AD143)</f>
        <v>334.10599999999999</v>
      </c>
      <c r="AE146" s="1477"/>
      <c r="AF146" s="1477"/>
      <c r="AG146" s="1477"/>
      <c r="AH146" s="1481">
        <f>SUM(AE142:AH143)</f>
        <v>337.89400000000001</v>
      </c>
      <c r="AI146" s="1477"/>
      <c r="AJ146" s="1477"/>
      <c r="AK146" s="1477"/>
      <c r="AL146" s="1481">
        <f>SUM(AI142:AL143)</f>
        <v>337.55199999999996</v>
      </c>
      <c r="AM146" s="1477"/>
      <c r="AN146" s="1477"/>
      <c r="AO146" s="1477"/>
      <c r="AP146" s="1481">
        <f>SUM(AM142:AP143)</f>
        <v>339.375</v>
      </c>
      <c r="AQ146" s="1477"/>
      <c r="AR146" s="1477"/>
      <c r="AS146" s="1477"/>
      <c r="AT146" s="1481">
        <f>SUM(AQ142:AT143)</f>
        <v>349.94300000000004</v>
      </c>
      <c r="AU146" s="1477"/>
      <c r="AV146" s="1477"/>
      <c r="AW146" s="1477"/>
      <c r="AX146" s="1481">
        <f>SUM(AU142:AX143)</f>
        <v>357.553</v>
      </c>
      <c r="AY146" s="1477"/>
      <c r="AZ146" s="1477"/>
      <c r="BA146" s="1477"/>
      <c r="BB146" s="1497">
        <f>SUM(AY142:BB143)</f>
        <v>362.762</v>
      </c>
      <c r="BC146" s="1529"/>
      <c r="BD146" s="1529"/>
      <c r="BE146" s="1477"/>
      <c r="BF146" s="1497">
        <f>SUM(BC142:BF143)</f>
        <v>373.65999999999997</v>
      </c>
      <c r="BG146" s="1529"/>
      <c r="BH146" s="1529"/>
      <c r="BI146" s="1529"/>
      <c r="BJ146" s="1497">
        <f>SUM(BG142:BJ143)</f>
        <v>381.209</v>
      </c>
      <c r="BK146" s="1529"/>
      <c r="BL146" s="1529"/>
      <c r="BM146" s="1529"/>
      <c r="BN146" s="1497">
        <f>SUM(BK142:BN143)</f>
        <v>377.14000000000004</v>
      </c>
      <c r="BO146" s="1529"/>
      <c r="BP146" s="1529"/>
      <c r="BQ146" s="1529"/>
      <c r="BR146" s="1497">
        <f>SUM(BO142:BR143)</f>
        <v>382.67699999999996</v>
      </c>
      <c r="BS146" s="1529"/>
      <c r="BT146" s="1529"/>
      <c r="BU146" s="1529"/>
      <c r="BV146" s="1497">
        <f>SUM(BS142:BV143)</f>
        <v>387.97699999999998</v>
      </c>
      <c r="BW146" s="1529"/>
      <c r="BX146" s="1529"/>
      <c r="BY146" s="1529"/>
      <c r="BZ146" s="1497">
        <f>SUM(BW142:BZ143)</f>
        <v>390.84299999999996</v>
      </c>
      <c r="CA146" s="1529"/>
      <c r="CB146" s="1529"/>
      <c r="CC146" s="1529"/>
      <c r="CD146" s="1497">
        <f>SUM(CA142:CD143)</f>
        <v>391.35699999999997</v>
      </c>
      <c r="CE146" s="1529"/>
      <c r="CF146" s="1529"/>
      <c r="CG146" s="1529"/>
      <c r="CH146" s="1497">
        <f>SUM(CE142:CH143)</f>
        <v>398.47899999999998</v>
      </c>
      <c r="CI146" s="1529"/>
      <c r="CJ146" s="1529"/>
      <c r="CK146" s="1529"/>
      <c r="CL146" s="1497">
        <f>SUM(CI142:CL143)</f>
        <v>403.28399999999999</v>
      </c>
      <c r="CM146" s="1529"/>
      <c r="CN146" s="1529"/>
      <c r="CO146" s="1529"/>
      <c r="CP146" s="1497">
        <f>SUM(CM142:CP143)</f>
        <v>410.70499999999998</v>
      </c>
      <c r="CQ146" s="1529"/>
      <c r="CR146" s="1529"/>
      <c r="CS146" s="1529"/>
      <c r="CT146" s="1497">
        <f>SUM(CQ142:CT143)</f>
        <v>415.13</v>
      </c>
      <c r="CU146" s="1529"/>
      <c r="CV146" s="1529"/>
      <c r="CW146" s="1529"/>
      <c r="CX146" s="1497">
        <f>SUM(CU142:CX143)</f>
        <v>422.84527402831134</v>
      </c>
      <c r="CY146" s="1529"/>
      <c r="CZ146" s="1529"/>
      <c r="DA146" s="1529"/>
      <c r="DB146" s="1497">
        <f>SUM(CY142:DB143)</f>
        <v>430.64550019754142</v>
      </c>
    </row>
    <row r="147" spans="1:106" s="1506" customFormat="1" ht="12.75" customHeight="1">
      <c r="A147" s="1039"/>
      <c r="B147" s="1039"/>
      <c r="C147" s="1521"/>
      <c r="D147" s="729"/>
      <c r="E147" s="1478" t="s">
        <v>675</v>
      </c>
      <c r="F147" s="729"/>
      <c r="G147" s="1479"/>
      <c r="H147" s="2801" t="s">
        <v>543</v>
      </c>
      <c r="I147" s="2802">
        <f ca="1">+J147/J146*100</f>
        <v>97.744234616632411</v>
      </c>
      <c r="J147" s="1522">
        <f ca="1">OFFSET('VVP2'!$G$79,0,(COLUMN()-10)/4)</f>
        <v>289.22909999999996</v>
      </c>
      <c r="K147" s="1479"/>
      <c r="L147" s="2801" t="s">
        <v>543</v>
      </c>
      <c r="M147" s="2802">
        <f ca="1">+N147/N146*100</f>
        <v>92.350820044460534</v>
      </c>
      <c r="N147" s="1522">
        <f ca="1">OFFSET('VVP2'!$G$79,0,(COLUMN()-10)/4)</f>
        <v>277.92148135000002</v>
      </c>
      <c r="O147" s="1479"/>
      <c r="P147" s="2801" t="s">
        <v>543</v>
      </c>
      <c r="Q147" s="2802">
        <f ca="1">+R147/R146*100</f>
        <v>92.636535229346478</v>
      </c>
      <c r="R147" s="1522">
        <f ca="1">OFFSET('VVP2'!$G$79,0,(COLUMN()-10)/4)</f>
        <v>285.79019574</v>
      </c>
      <c r="S147" s="1479"/>
      <c r="T147" s="2801" t="s">
        <v>543</v>
      </c>
      <c r="U147" s="2802">
        <f ca="1">+V147/V146*100</f>
        <v>92.538516143831188</v>
      </c>
      <c r="V147" s="1522">
        <f ca="1">OFFSET('VVP2'!$G$79,0,(COLUMN()-10)/4)</f>
        <v>292.48186105000002</v>
      </c>
      <c r="W147" s="1479"/>
      <c r="X147" s="2801" t="s">
        <v>543</v>
      </c>
      <c r="Y147" s="2802">
        <f ca="1">+Z147/Z146*100</f>
        <v>92.593384823404335</v>
      </c>
      <c r="Z147" s="1522">
        <f ca="1">OFFSET('VVP2'!$G$79,0,(COLUMN()-10)/4)</f>
        <v>299.59885966999997</v>
      </c>
      <c r="AA147" s="1479"/>
      <c r="AB147" s="2801" t="s">
        <v>543</v>
      </c>
      <c r="AC147" s="2802">
        <f ca="1">+AD147/AD146*100</f>
        <v>93.028022085805105</v>
      </c>
      <c r="AD147" s="1522">
        <f ca="1">OFFSET('VVP2'!$G$79,0,(COLUMN()-10)/4)</f>
        <v>310.81220346999999</v>
      </c>
      <c r="AE147" s="1479"/>
      <c r="AF147" s="2801" t="s">
        <v>543</v>
      </c>
      <c r="AG147" s="2802">
        <f ca="1">+AH147/AH146*100</f>
        <v>92.072108033880426</v>
      </c>
      <c r="AH147" s="1522">
        <f ca="1">OFFSET('VVP2'!$G$79,0,(COLUMN()-10)/4)</f>
        <v>311.10612871999996</v>
      </c>
      <c r="AI147" s="1479"/>
      <c r="AJ147" s="2801" t="s">
        <v>543</v>
      </c>
      <c r="AK147" s="2802">
        <f ca="1">+AL147/AL146*100</f>
        <v>91.979912392757285</v>
      </c>
      <c r="AL147" s="1522">
        <f ca="1">OFFSET('VVP2'!$G$79,0,(COLUMN()-10)/4)</f>
        <v>310.48003388000001</v>
      </c>
      <c r="AM147" s="1479"/>
      <c r="AN147" s="2801" t="s">
        <v>543</v>
      </c>
      <c r="AO147" s="2802">
        <f ca="1">+AP147/AP146*100</f>
        <v>92.102080114917143</v>
      </c>
      <c r="AP147" s="1522">
        <f ca="1">OFFSET('VVP2'!$G$79,0,(COLUMN()-10)/4)</f>
        <v>312.57143439000004</v>
      </c>
      <c r="AQ147" s="1479"/>
      <c r="AR147" s="2801" t="s">
        <v>543</v>
      </c>
      <c r="AS147" s="2802">
        <f ca="1">+AT147/AT146*100</f>
        <v>92.486645010758892</v>
      </c>
      <c r="AT147" s="1522">
        <f ca="1">OFFSET('VVP2'!$G$79,0,(COLUMN()-10)/4)</f>
        <v>323.65054015000004</v>
      </c>
      <c r="AU147" s="1479"/>
      <c r="AV147" s="2801" t="s">
        <v>543</v>
      </c>
      <c r="AW147" s="2802">
        <f ca="1">+AX147/AX146*100</f>
        <v>93.008841136838456</v>
      </c>
      <c r="AX147" s="1522">
        <f ca="1">OFFSET('VVP2'!$G$79,0,(COLUMN()-10)/4)</f>
        <v>332.55590175000003</v>
      </c>
      <c r="AY147" s="1479"/>
      <c r="AZ147" s="2801" t="s">
        <v>543</v>
      </c>
      <c r="BA147" s="2802">
        <f ca="1">+BB147/BB146*100</f>
        <v>93.425362612401514</v>
      </c>
      <c r="BB147" s="1530">
        <f ca="1">OFFSET('VVP2'!$G$79,0,(COLUMN()-10)/4)</f>
        <v>338.91171392000001</v>
      </c>
      <c r="BC147" s="1479"/>
      <c r="BD147" s="2801" t="s">
        <v>543</v>
      </c>
      <c r="BE147" s="2802">
        <f ca="1">+BF147/BF146*100</f>
        <v>93.856595683241466</v>
      </c>
      <c r="BF147" s="1530">
        <f ca="1">OFFSET('VVP2'!$G$79,0,(COLUMN()-10)/4)</f>
        <v>350.70455543000003</v>
      </c>
      <c r="BG147" s="1479"/>
      <c r="BH147" s="2801" t="s">
        <v>543</v>
      </c>
      <c r="BI147" s="2802">
        <f ca="1">+BJ147/BJ146*100</f>
        <v>93.984852157215599</v>
      </c>
      <c r="BJ147" s="1530">
        <f ca="1">OFFSET('VVP2'!$G$79,0,(COLUMN()-10)/4)</f>
        <v>358.27871506000002</v>
      </c>
      <c r="BK147" s="1479"/>
      <c r="BL147" s="2801" t="s">
        <v>543</v>
      </c>
      <c r="BM147" s="2802">
        <f ca="1">+BN147/BN146*100</f>
        <v>93.128765028901711</v>
      </c>
      <c r="BN147" s="1530">
        <f ca="1">OFFSET('VVP2'!$G$79,0,(COLUMN()-10)/4)</f>
        <v>351.22582442999999</v>
      </c>
      <c r="BO147" s="1479"/>
      <c r="BP147" s="2801" t="s">
        <v>543</v>
      </c>
      <c r="BQ147" s="2802">
        <f ca="1">+BR147/BR146*100</f>
        <v>93.692748714973732</v>
      </c>
      <c r="BR147" s="1530">
        <f ca="1">OFFSET('VVP2'!$G$79,0,(COLUMN()-10)/4)</f>
        <v>358.54059999999998</v>
      </c>
      <c r="BS147" s="1479"/>
      <c r="BT147" s="2801" t="s">
        <v>543</v>
      </c>
      <c r="BU147" s="2802">
        <f ca="1">+BV147/BV146*100</f>
        <v>94.408008722166528</v>
      </c>
      <c r="BV147" s="1530">
        <f ca="1">OFFSET('VVP2'!$G$79,0,(COLUMN()-10)/4)</f>
        <v>366.28136000000001</v>
      </c>
      <c r="BW147" s="1479"/>
      <c r="BX147" s="2801" t="s">
        <v>543</v>
      </c>
      <c r="BY147" s="2802">
        <f ca="1">+BZ147/BZ146*100</f>
        <v>93.749992869259543</v>
      </c>
      <c r="BZ147" s="1530">
        <f ca="1">OFFSET('VVP2'!$G$79,0,(COLUMN()-10)/4)</f>
        <v>366.41528463000003</v>
      </c>
      <c r="CA147" s="1479"/>
      <c r="CB147" s="2801" t="s">
        <v>543</v>
      </c>
      <c r="CC147" s="2802">
        <f ca="1">+CD147/CD146*100</f>
        <v>93.626863613018301</v>
      </c>
      <c r="CD147" s="1530">
        <f ca="1">OFFSET('VVP2'!$G$79,0,(COLUMN()-10)/4)</f>
        <v>366.41528463000003</v>
      </c>
      <c r="CE147" s="1479"/>
      <c r="CF147" s="2801" t="s">
        <v>543</v>
      </c>
      <c r="CG147" s="2802">
        <f ca="1">+CH147/CH146*100</f>
        <v>93.679476075276241</v>
      </c>
      <c r="CH147" s="1530">
        <f ca="1">OFFSET('VVP2'!$G$79,0,(COLUMN()-10)/4)</f>
        <v>373.29303947</v>
      </c>
      <c r="CI147" s="1479"/>
      <c r="CJ147" s="2801" t="s">
        <v>543</v>
      </c>
      <c r="CK147" s="2802">
        <f ca="1">+CL147/CL146*100</f>
        <v>93.849875083068014</v>
      </c>
      <c r="CL147" s="1530">
        <f ca="1">OFFSET('VVP2'!$G$79,0,(COLUMN()-10)/4)</f>
        <v>378.48153022999998</v>
      </c>
      <c r="CM147" s="1479"/>
      <c r="CN147" s="2801" t="s">
        <v>543</v>
      </c>
      <c r="CO147" s="2802">
        <f ca="1">+CP147/CP146*100</f>
        <v>94.112557779915022</v>
      </c>
      <c r="CP147" s="1530">
        <f ca="1">OFFSET('VVP2'!$G$79,0,(COLUMN()-10)/4)</f>
        <v>386.52498042999997</v>
      </c>
      <c r="CQ147" s="1479"/>
      <c r="CR147" s="2801" t="s">
        <v>543</v>
      </c>
      <c r="CS147" s="2802">
        <f ca="1">+CT147/CT146*100</f>
        <v>94.265638079637696</v>
      </c>
      <c r="CT147" s="1530">
        <f ca="1">OFFSET('VVP2'!$G$79,0,(COLUMN()-10)/4)</f>
        <v>391.32494335999996</v>
      </c>
      <c r="CU147" s="1479"/>
      <c r="CV147" s="2801" t="s">
        <v>543</v>
      </c>
      <c r="CW147" s="2802">
        <f ca="1">+CX147/CX146*100</f>
        <v>94.240871838831993</v>
      </c>
      <c r="CX147" s="1530">
        <f ca="1">OFFSET('VVP2'!$G$79,0,(COLUMN()-10)/4)</f>
        <v>398.49307277357883</v>
      </c>
      <c r="CY147" s="1479"/>
      <c r="CZ147" s="2801" t="s">
        <v>543</v>
      </c>
      <c r="DA147" s="2802">
        <f ca="1">+DB147/DB146*100</f>
        <v>94.193426450810918</v>
      </c>
      <c r="DB147" s="1530">
        <f ca="1">OFFSET('VVP2'!$G$79,0,(COLUMN()-10)/4)</f>
        <v>405.63975249229793</v>
      </c>
    </row>
    <row r="148" spans="1:106">
      <c r="AY148" s="218"/>
      <c r="BL148" s="1604"/>
      <c r="BM148" s="1604"/>
      <c r="BN148" s="1604"/>
      <c r="BO148" s="577"/>
      <c r="BP148" s="1604"/>
      <c r="BQ148" s="1604"/>
      <c r="BR148" s="1604"/>
      <c r="BS148" s="1604"/>
      <c r="BT148" s="1604"/>
      <c r="BU148" s="1604"/>
      <c r="BV148" s="1604"/>
      <c r="BW148" s="1604"/>
      <c r="BX148" s="1604"/>
      <c r="BY148" s="1604"/>
      <c r="BZ148" s="1604"/>
      <c r="CA148" s="1604"/>
      <c r="CB148" s="1604"/>
      <c r="CC148" s="1604"/>
      <c r="CD148" s="1604"/>
      <c r="CE148" s="1604"/>
      <c r="CF148" s="1604"/>
      <c r="CG148" s="1604"/>
      <c r="CH148" s="1604"/>
      <c r="CI148" s="1604"/>
      <c r="CJ148" s="1604"/>
      <c r="CK148" s="1604"/>
      <c r="CL148" s="1604"/>
      <c r="CM148" s="1604"/>
      <c r="CN148" s="1604"/>
      <c r="CO148" s="1604"/>
      <c r="CP148" s="1604"/>
      <c r="CQ148" s="1604"/>
      <c r="CR148" s="1604"/>
      <c r="CS148" s="1604"/>
      <c r="CT148" s="1604"/>
      <c r="CU148" s="1604"/>
      <c r="CV148" s="1604"/>
      <c r="CW148" s="1604"/>
      <c r="CX148" s="1604"/>
      <c r="CY148" s="1604"/>
      <c r="CZ148" s="1604"/>
      <c r="DA148" s="1604"/>
      <c r="DB148" s="1604"/>
    </row>
    <row r="149" spans="1:106" s="749" customFormat="1" ht="12.75" customHeight="1">
      <c r="A149" s="714"/>
      <c r="B149" s="714"/>
      <c r="C149" s="1456"/>
      <c r="D149" s="790"/>
      <c r="E149" s="791" t="s">
        <v>73</v>
      </c>
      <c r="F149" s="792"/>
      <c r="G149" s="1484" t="str">
        <f t="shared" ref="G149:N149" si="794">G141</f>
        <v>Q1</v>
      </c>
      <c r="H149" s="1485" t="str">
        <f t="shared" si="794"/>
        <v>Q2</v>
      </c>
      <c r="I149" s="1485" t="str">
        <f t="shared" si="794"/>
        <v>Q3</v>
      </c>
      <c r="J149" s="1486" t="str">
        <f t="shared" si="794"/>
        <v>Q4</v>
      </c>
      <c r="K149" s="1484" t="str">
        <f t="shared" si="794"/>
        <v>Q1</v>
      </c>
      <c r="L149" s="1485" t="str">
        <f t="shared" si="794"/>
        <v>Q2</v>
      </c>
      <c r="M149" s="1485" t="str">
        <f t="shared" si="794"/>
        <v>Q3</v>
      </c>
      <c r="N149" s="1486" t="str">
        <f t="shared" si="794"/>
        <v>Q4</v>
      </c>
      <c r="O149" s="1484" t="str">
        <f t="shared" ref="O149:AX149" si="795">O141</f>
        <v>Q1</v>
      </c>
      <c r="P149" s="1485" t="str">
        <f t="shared" si="795"/>
        <v>Q2</v>
      </c>
      <c r="Q149" s="1485" t="str">
        <f t="shared" si="795"/>
        <v>Q3</v>
      </c>
      <c r="R149" s="1486" t="str">
        <f t="shared" si="795"/>
        <v>Q4</v>
      </c>
      <c r="S149" s="1484" t="str">
        <f t="shared" si="795"/>
        <v>Q1</v>
      </c>
      <c r="T149" s="1485" t="str">
        <f t="shared" si="795"/>
        <v>Q2</v>
      </c>
      <c r="U149" s="1485" t="str">
        <f t="shared" si="795"/>
        <v>Q3</v>
      </c>
      <c r="V149" s="1486" t="str">
        <f t="shared" si="795"/>
        <v>Q4</v>
      </c>
      <c r="W149" s="1484" t="str">
        <f t="shared" si="795"/>
        <v>Q1</v>
      </c>
      <c r="X149" s="1485" t="str">
        <f t="shared" si="795"/>
        <v>Q2</v>
      </c>
      <c r="Y149" s="1485" t="str">
        <f t="shared" si="795"/>
        <v>Q3</v>
      </c>
      <c r="Z149" s="1486" t="str">
        <f t="shared" si="795"/>
        <v>Q4</v>
      </c>
      <c r="AA149" s="1484" t="str">
        <f t="shared" si="795"/>
        <v>Q1</v>
      </c>
      <c r="AB149" s="1485" t="str">
        <f t="shared" si="795"/>
        <v>Q2</v>
      </c>
      <c r="AC149" s="1485" t="str">
        <f t="shared" si="795"/>
        <v>Q3</v>
      </c>
      <c r="AD149" s="1486" t="str">
        <f t="shared" si="795"/>
        <v>Q4</v>
      </c>
      <c r="AE149" s="1484" t="str">
        <f t="shared" si="795"/>
        <v>Q1</v>
      </c>
      <c r="AF149" s="1485" t="str">
        <f t="shared" si="795"/>
        <v>Q2</v>
      </c>
      <c r="AG149" s="1485" t="str">
        <f t="shared" si="795"/>
        <v>Q3</v>
      </c>
      <c r="AH149" s="1486" t="str">
        <f t="shared" si="795"/>
        <v>Q4</v>
      </c>
      <c r="AI149" s="1484" t="str">
        <f t="shared" si="795"/>
        <v>Q1</v>
      </c>
      <c r="AJ149" s="1485" t="str">
        <f t="shared" si="795"/>
        <v>Q2</v>
      </c>
      <c r="AK149" s="1485" t="str">
        <f t="shared" si="795"/>
        <v>Q3</v>
      </c>
      <c r="AL149" s="1486" t="str">
        <f t="shared" si="795"/>
        <v>Q4</v>
      </c>
      <c r="AM149" s="1484" t="str">
        <f t="shared" si="795"/>
        <v>Q1</v>
      </c>
      <c r="AN149" s="1485" t="str">
        <f t="shared" si="795"/>
        <v>Q2</v>
      </c>
      <c r="AO149" s="1485" t="str">
        <f t="shared" si="795"/>
        <v>Q3</v>
      </c>
      <c r="AP149" s="1486" t="str">
        <f t="shared" si="795"/>
        <v>Q4</v>
      </c>
      <c r="AQ149" s="1484" t="str">
        <f t="shared" si="795"/>
        <v>Q1</v>
      </c>
      <c r="AR149" s="1485" t="str">
        <f t="shared" si="795"/>
        <v>Q2</v>
      </c>
      <c r="AS149" s="1485" t="str">
        <f t="shared" si="795"/>
        <v>Q3</v>
      </c>
      <c r="AT149" s="1486" t="str">
        <f t="shared" si="795"/>
        <v>Q4</v>
      </c>
      <c r="AU149" s="1484" t="str">
        <f t="shared" si="795"/>
        <v>Q1</v>
      </c>
      <c r="AV149" s="1485" t="str">
        <f t="shared" si="795"/>
        <v>Q2</v>
      </c>
      <c r="AW149" s="1485" t="str">
        <f t="shared" si="795"/>
        <v>Q3</v>
      </c>
      <c r="AX149" s="1486" t="str">
        <f t="shared" si="795"/>
        <v>Q4</v>
      </c>
      <c r="AY149" s="1484" t="str">
        <f>AY141</f>
        <v>Q1</v>
      </c>
      <c r="AZ149" s="1485" t="str">
        <f>AZ141</f>
        <v>Q2</v>
      </c>
      <c r="BA149" s="1485" t="str">
        <f t="shared" ref="BA149:BF149" si="796">BA141</f>
        <v>Q3</v>
      </c>
      <c r="BB149" s="1485" t="str">
        <f t="shared" si="796"/>
        <v>Q4</v>
      </c>
      <c r="BC149" s="1485" t="str">
        <f t="shared" si="796"/>
        <v>Q1</v>
      </c>
      <c r="BD149" s="1485" t="str">
        <f t="shared" si="796"/>
        <v>Q2</v>
      </c>
      <c r="BE149" s="1485" t="str">
        <f>BE141</f>
        <v>Q3</v>
      </c>
      <c r="BF149" s="1485" t="str">
        <f t="shared" si="796"/>
        <v>Q4</v>
      </c>
      <c r="BG149" s="1485" t="str">
        <f t="shared" ref="BG149:BN149" si="797">BG141</f>
        <v>Q1</v>
      </c>
      <c r="BH149" s="1485" t="str">
        <f t="shared" si="797"/>
        <v>Q2</v>
      </c>
      <c r="BI149" s="1485" t="str">
        <f t="shared" si="797"/>
        <v>Q3</v>
      </c>
      <c r="BJ149" s="1485" t="str">
        <f t="shared" si="797"/>
        <v>Q4</v>
      </c>
      <c r="BK149" s="1485" t="str">
        <f t="shared" si="797"/>
        <v>Q1</v>
      </c>
      <c r="BL149" s="1485" t="str">
        <f t="shared" si="797"/>
        <v>Q2</v>
      </c>
      <c r="BM149" s="1485" t="str">
        <f t="shared" si="797"/>
        <v>Q3</v>
      </c>
      <c r="BN149" s="1485" t="str">
        <f t="shared" si="797"/>
        <v>Q4</v>
      </c>
      <c r="BO149" s="1485" t="str">
        <f>BO141</f>
        <v>Q1</v>
      </c>
      <c r="BP149" s="1485" t="str">
        <f>BP141</f>
        <v>Q2</v>
      </c>
      <c r="BQ149" s="1485" t="str">
        <f t="shared" ref="BQ149:BV149" si="798">BQ141</f>
        <v>Q3</v>
      </c>
      <c r="BR149" s="1485" t="str">
        <f t="shared" si="798"/>
        <v>Q4</v>
      </c>
      <c r="BS149" s="1485" t="str">
        <f t="shared" si="798"/>
        <v>Q1</v>
      </c>
      <c r="BT149" s="1485" t="str">
        <f t="shared" si="798"/>
        <v>Q2</v>
      </c>
      <c r="BU149" s="1485" t="str">
        <f t="shared" si="798"/>
        <v>Q3</v>
      </c>
      <c r="BV149" s="1485" t="str">
        <f t="shared" si="798"/>
        <v>Q4</v>
      </c>
      <c r="BW149" s="1485" t="str">
        <f t="shared" ref="BW149:CD149" si="799">BW141</f>
        <v>Q1</v>
      </c>
      <c r="BX149" s="1485" t="str">
        <f t="shared" si="799"/>
        <v>Q2</v>
      </c>
      <c r="BY149" s="1485" t="str">
        <f t="shared" si="799"/>
        <v>Q3</v>
      </c>
      <c r="BZ149" s="1485" t="str">
        <f t="shared" si="799"/>
        <v>Q4</v>
      </c>
      <c r="CA149" s="1485" t="str">
        <f>CA141</f>
        <v>Q1</v>
      </c>
      <c r="CB149" s="1485" t="str">
        <f t="shared" si="799"/>
        <v>Q2</v>
      </c>
      <c r="CC149" s="1485" t="str">
        <f t="shared" ref="CC149" si="800">CC141</f>
        <v>Q3</v>
      </c>
      <c r="CD149" s="1485" t="str">
        <f t="shared" si="799"/>
        <v>Q4</v>
      </c>
      <c r="CE149" s="1485" t="str">
        <f>CE141</f>
        <v>Q1</v>
      </c>
      <c r="CF149" s="1485" t="str">
        <f t="shared" ref="CF149:CH149" si="801">CF141</f>
        <v>Q2</v>
      </c>
      <c r="CG149" s="1485" t="str">
        <f t="shared" si="801"/>
        <v>Q3</v>
      </c>
      <c r="CH149" s="1485" t="str">
        <f t="shared" si="801"/>
        <v>Q4</v>
      </c>
      <c r="CI149" s="1485" t="str">
        <f>CI141</f>
        <v>Q1</v>
      </c>
      <c r="CJ149" s="1485" t="str">
        <f t="shared" ref="CJ149:CL149" si="802">CJ141</f>
        <v>Q2</v>
      </c>
      <c r="CK149" s="1485" t="str">
        <f t="shared" si="802"/>
        <v>Q3</v>
      </c>
      <c r="CL149" s="1485" t="str">
        <f t="shared" si="802"/>
        <v>Q4</v>
      </c>
      <c r="CM149" s="1485" t="str">
        <f>CM141</f>
        <v>Q1</v>
      </c>
      <c r="CN149" s="1485" t="str">
        <f t="shared" ref="CN149:CP149" si="803">CN141</f>
        <v>Q2</v>
      </c>
      <c r="CO149" s="1485" t="str">
        <f t="shared" si="803"/>
        <v>Q3</v>
      </c>
      <c r="CP149" s="1485" t="str">
        <f t="shared" si="803"/>
        <v>Q4</v>
      </c>
      <c r="CQ149" s="1485" t="str">
        <f>CQ141</f>
        <v>Q1</v>
      </c>
      <c r="CR149" s="1485" t="str">
        <f t="shared" ref="CR149:CS149" si="804">CR141</f>
        <v>Q2</v>
      </c>
      <c r="CS149" s="1485" t="str">
        <f t="shared" si="804"/>
        <v>Q3</v>
      </c>
      <c r="CT149" s="1485" t="str">
        <f t="shared" ref="CT149" si="805">CT141</f>
        <v>Q4</v>
      </c>
      <c r="CU149" s="1485" t="str">
        <f t="shared" ref="CU149:CX149" si="806">CU141</f>
        <v>Q1</v>
      </c>
      <c r="CV149" s="1485" t="str">
        <f t="shared" si="806"/>
        <v>Q2</v>
      </c>
      <c r="CW149" s="1485" t="str">
        <f t="shared" si="806"/>
        <v>Q3</v>
      </c>
      <c r="CX149" s="1485" t="str">
        <f t="shared" si="806"/>
        <v>Q4</v>
      </c>
      <c r="CY149" s="1485" t="str">
        <f t="shared" ref="CY149:DB149" si="807">CY141</f>
        <v>Q1</v>
      </c>
      <c r="CZ149" s="1485" t="str">
        <f t="shared" si="807"/>
        <v>Q2</v>
      </c>
      <c r="DA149" s="1485" t="str">
        <f t="shared" si="807"/>
        <v>Q3</v>
      </c>
      <c r="DB149" s="1485" t="str">
        <f t="shared" si="807"/>
        <v>Q4</v>
      </c>
    </row>
    <row r="150" spans="1:106" s="749" customFormat="1" ht="12.75" customHeight="1">
      <c r="B150" s="714"/>
      <c r="C150" s="742"/>
      <c r="D150" s="739"/>
      <c r="E150" s="787" t="s">
        <v>1368</v>
      </c>
      <c r="F150" s="782" t="s">
        <v>1571</v>
      </c>
      <c r="G150" s="1020"/>
      <c r="H150" s="1020">
        <f t="shared" ref="H150:AL150" si="808">(H145/G145-1)*100</f>
        <v>0.93043621038804147</v>
      </c>
      <c r="I150" s="1020">
        <f t="shared" si="808"/>
        <v>0.79171411528660141</v>
      </c>
      <c r="J150" s="1020">
        <f t="shared" si="808"/>
        <v>0.48420939366222715</v>
      </c>
      <c r="K150" s="1020">
        <f t="shared" si="808"/>
        <v>-9.6375220859890032E-2</v>
      </c>
      <c r="L150" s="1020">
        <f t="shared" si="808"/>
        <v>0.49841899351519281</v>
      </c>
      <c r="M150" s="1020">
        <f t="shared" si="808"/>
        <v>0.57193899317407038</v>
      </c>
      <c r="N150" s="1020">
        <f t="shared" si="808"/>
        <v>0.56073279690338484</v>
      </c>
      <c r="O150" s="1020">
        <f t="shared" si="808"/>
        <v>0.58528868969154324</v>
      </c>
      <c r="P150" s="1020">
        <f t="shared" si="808"/>
        <v>0.96980499056404934</v>
      </c>
      <c r="Q150" s="1020">
        <f t="shared" si="808"/>
        <v>0.31021234619179605</v>
      </c>
      <c r="R150" s="1020">
        <f t="shared" si="808"/>
        <v>0.76730975764398579</v>
      </c>
      <c r="S150" s="1020">
        <f t="shared" si="808"/>
        <v>0.27351173660690176</v>
      </c>
      <c r="T150" s="1020">
        <f t="shared" si="808"/>
        <v>0.75042579620689942</v>
      </c>
      <c r="U150" s="1020">
        <f t="shared" si="808"/>
        <v>0.94820463933906751</v>
      </c>
      <c r="V150" s="1020">
        <f t="shared" si="808"/>
        <v>0.57793278855717833</v>
      </c>
      <c r="W150" s="1020">
        <f t="shared" si="808"/>
        <v>0.25663495242864709</v>
      </c>
      <c r="X150" s="1020">
        <f t="shared" si="808"/>
        <v>0.77417743647374415</v>
      </c>
      <c r="Y150" s="1020">
        <f t="shared" si="808"/>
        <v>0.68645065361501167</v>
      </c>
      <c r="Z150" s="1020">
        <f t="shared" si="808"/>
        <v>0.31504202611403187</v>
      </c>
      <c r="AA150" s="1020">
        <f t="shared" si="808"/>
        <v>1.3224559896951593</v>
      </c>
      <c r="AB150" s="1020">
        <f t="shared" si="808"/>
        <v>0.71192473938468392</v>
      </c>
      <c r="AC150" s="1020">
        <f t="shared" si="808"/>
        <v>0.82590976304683927</v>
      </c>
      <c r="AD150" s="1020">
        <f t="shared" si="808"/>
        <v>0.71064053035723163</v>
      </c>
      <c r="AE150" s="1020">
        <f t="shared" si="808"/>
        <v>0.45226368630422176</v>
      </c>
      <c r="AF150" s="1020">
        <f t="shared" si="808"/>
        <v>-0.29700869811188912</v>
      </c>
      <c r="AG150" s="1020">
        <f t="shared" si="808"/>
        <v>8.2748185450509659E-2</v>
      </c>
      <c r="AH150" s="1020">
        <f t="shared" si="808"/>
        <v>-1.032315978456011</v>
      </c>
      <c r="AI150" s="1020">
        <f t="shared" si="808"/>
        <v>0.44516052034848652</v>
      </c>
      <c r="AJ150" s="1020">
        <f t="shared" si="808"/>
        <v>7.3666575573594351E-2</v>
      </c>
      <c r="AK150" s="1020">
        <f t="shared" si="808"/>
        <v>8.4298011279315688E-2</v>
      </c>
      <c r="AL150" s="1020">
        <f t="shared" si="808"/>
        <v>0.67856126032075359</v>
      </c>
      <c r="AM150" s="1020">
        <f>(AM145/AL145-1)*100</f>
        <v>-0.26511759438185845</v>
      </c>
      <c r="AN150" s="1020">
        <f t="shared" ref="AN150:BE150" si="809">(AN145/AM145-1)*100</f>
        <v>4.3713006391565834E-2</v>
      </c>
      <c r="AO150" s="1020">
        <f t="shared" si="809"/>
        <v>0.24563060935285375</v>
      </c>
      <c r="AP150" s="1020">
        <f t="shared" si="809"/>
        <v>0.32513429459994914</v>
      </c>
      <c r="AQ150" s="1020">
        <f t="shared" si="809"/>
        <v>1.7519139542529816</v>
      </c>
      <c r="AR150" s="1020">
        <f t="shared" si="809"/>
        <v>0.80086779911372474</v>
      </c>
      <c r="AS150" s="1020">
        <f t="shared" si="809"/>
        <v>0.78534630795650262</v>
      </c>
      <c r="AT150" s="1020">
        <f t="shared" si="809"/>
        <v>-0.15334635830797083</v>
      </c>
      <c r="AU150" s="1020">
        <f t="shared" si="809"/>
        <v>0.95562052763904504</v>
      </c>
      <c r="AV150" s="1020">
        <f t="shared" si="809"/>
        <v>1.0615160974070781</v>
      </c>
      <c r="AW150" s="1020">
        <f t="shared" si="809"/>
        <v>-0.1438399696709558</v>
      </c>
      <c r="AX150" s="1020">
        <f t="shared" si="809"/>
        <v>2.3449538825737193E-2</v>
      </c>
      <c r="AY150" s="1020">
        <f t="shared" si="809"/>
        <v>0.81942506279653049</v>
      </c>
      <c r="AZ150" s="1020">
        <f t="shared" si="809"/>
        <v>7.1975107685839923E-2</v>
      </c>
      <c r="BA150" s="1020">
        <f t="shared" si="809"/>
        <v>0.5410848252816125</v>
      </c>
      <c r="BB150" s="1020">
        <f>(BB145/BA145-1)*100</f>
        <v>0.38849696796274813</v>
      </c>
      <c r="BC150" s="1020">
        <f>(BC145/BB145-1)*100</f>
        <v>1.1960620943694211</v>
      </c>
      <c r="BD150" s="1020">
        <f>(BD145/BC145-1)*100</f>
        <v>0.7106719967066244</v>
      </c>
      <c r="BE150" s="1020">
        <f t="shared" si="809"/>
        <v>0.89497972311565199</v>
      </c>
      <c r="BF150" s="1020">
        <f t="shared" ref="BF150:BM150" si="810">(BF145/BE145-1)*100</f>
        <v>0.85292392984699372</v>
      </c>
      <c r="BG150" s="788">
        <f t="shared" si="810"/>
        <v>0.86791056609756279</v>
      </c>
      <c r="BH150" s="788">
        <f t="shared" si="810"/>
        <v>0.37415108577176781</v>
      </c>
      <c r="BI150" s="788">
        <f t="shared" si="810"/>
        <v>-0.43436041473066123</v>
      </c>
      <c r="BJ150" s="788">
        <f t="shared" si="810"/>
        <v>-0.72779135249640969</v>
      </c>
      <c r="BK150" s="788">
        <f t="shared" si="810"/>
        <v>-0.90531675522641519</v>
      </c>
      <c r="BL150" s="788">
        <f t="shared" si="810"/>
        <v>0.21640406797005518</v>
      </c>
      <c r="BM150" s="788">
        <f t="shared" si="810"/>
        <v>0.25742216170792087</v>
      </c>
      <c r="BN150" s="788">
        <f t="shared" ref="BN150:BS150" si="811">(BN145/BM145-1)*100</f>
        <v>0.87320028434711983</v>
      </c>
      <c r="BO150" s="788">
        <f t="shared" si="811"/>
        <v>0.12726928497799328</v>
      </c>
      <c r="BP150" s="788">
        <f t="shared" si="811"/>
        <v>0.21954934607910648</v>
      </c>
      <c r="BQ150" s="788">
        <f t="shared" si="811"/>
        <v>0.38677623579723708</v>
      </c>
      <c r="BR150" s="788">
        <f t="shared" si="811"/>
        <v>0.55548014576132232</v>
      </c>
      <c r="BS150" s="788">
        <f t="shared" si="811"/>
        <v>9.6568194797774787E-2</v>
      </c>
      <c r="BT150" s="788">
        <f t="shared" ref="BT150:CH150" si="812">(BT145/BS145-1)*100</f>
        <v>0.48859934853420217</v>
      </c>
      <c r="BU150" s="788">
        <f t="shared" si="812"/>
        <v>0.30866427856177658</v>
      </c>
      <c r="BV150" s="788">
        <f t="shared" si="812"/>
        <v>0.38490037872549454</v>
      </c>
      <c r="BW150" s="788">
        <f t="shared" si="812"/>
        <v>5.2285169465449144E-2</v>
      </c>
      <c r="BX150" s="788">
        <f t="shared" si="812"/>
        <v>0.1711188302439659</v>
      </c>
      <c r="BY150" s="788">
        <f t="shared" ref="BY150" si="813">(BY145/BX145-1)*100</f>
        <v>6.8535188216056753E-2</v>
      </c>
      <c r="BZ150" s="788">
        <f t="shared" ref="BZ150" si="814">(BZ145/BY145-1)*100</f>
        <v>-0.16764287977756309</v>
      </c>
      <c r="CA150" s="788">
        <f t="shared" ref="CA150" si="815">(CA145/BZ145-1)*100</f>
        <v>-4.8124673622551573E-2</v>
      </c>
      <c r="CB150" s="788">
        <f t="shared" ref="CB150:CC150" si="816">(CB145/CA145-1)*100</f>
        <v>0.16185871168661325</v>
      </c>
      <c r="CC150" s="788">
        <f t="shared" si="816"/>
        <v>0.26694213185509685</v>
      </c>
      <c r="CD150" s="1701">
        <f t="shared" si="812"/>
        <v>-0.10506451777425596</v>
      </c>
      <c r="CE150" s="788">
        <f t="shared" si="812"/>
        <v>0.583057631826156</v>
      </c>
      <c r="CF150" s="788">
        <f t="shared" si="812"/>
        <v>0.46800605057715217</v>
      </c>
      <c r="CG150" s="788">
        <f t="shared" si="812"/>
        <v>2.0037589426457947</v>
      </c>
      <c r="CH150" s="788">
        <f t="shared" si="812"/>
        <v>-0.87372581651756764</v>
      </c>
      <c r="CI150" s="788">
        <f t="shared" ref="CI150" si="817">(CI145/CH145-1)*100</f>
        <v>2.2235546894518565</v>
      </c>
      <c r="CJ150" s="788">
        <f t="shared" ref="CJ150:CT150" si="818">(CJ145/CI145-1)*100</f>
        <v>-2.4850914067846341</v>
      </c>
      <c r="CK150" s="788">
        <f t="shared" si="818"/>
        <v>0.62256887356137991</v>
      </c>
      <c r="CL150" s="788">
        <f t="shared" si="818"/>
        <v>0.50613237154899515</v>
      </c>
      <c r="CM150" s="788">
        <f t="shared" si="818"/>
        <v>0.71274918960713141</v>
      </c>
      <c r="CN150" s="788">
        <f t="shared" si="818"/>
        <v>0.44293082404818218</v>
      </c>
      <c r="CO150" s="788">
        <f t="shared" si="818"/>
        <v>2.0774944632812709</v>
      </c>
      <c r="CP150" s="788">
        <f t="shared" si="818"/>
        <v>-1.2182477967858873</v>
      </c>
      <c r="CQ150" s="788">
        <f t="shared" si="818"/>
        <v>0.17201667687103406</v>
      </c>
      <c r="CR150" s="788">
        <f t="shared" si="818"/>
        <v>0.50837262549234818</v>
      </c>
      <c r="CS150" s="788">
        <f t="shared" si="818"/>
        <v>0.4807042607000378</v>
      </c>
      <c r="CT150" s="788">
        <f t="shared" si="818"/>
        <v>0.25553335382724196</v>
      </c>
      <c r="CU150" s="1701">
        <f t="shared" ref="CU150" si="819">(CU145/CT145-1)*100</f>
        <v>0.50355800003831774</v>
      </c>
      <c r="CV150" s="1701">
        <f t="shared" ref="CV150" si="820">(CV145/CU145-1)*100</f>
        <v>0.51961113247069868</v>
      </c>
      <c r="CW150" s="1701">
        <f t="shared" ref="CW150" si="821">(CW145/CV145-1)*100</f>
        <v>0.52286761830309114</v>
      </c>
      <c r="CX150" s="1701">
        <f t="shared" ref="CX150" si="822">(CX145/CW145-1)*100</f>
        <v>0.52613168181772085</v>
      </c>
      <c r="CY150" s="1701">
        <f t="shared" ref="CY150" si="823">(CY145/CX145-1)*100</f>
        <v>0.42675568179741941</v>
      </c>
      <c r="CZ150" s="1701">
        <f t="shared" ref="CZ150" si="824">(CZ145/CY145-1)*100</f>
        <v>0.42437861149153822</v>
      </c>
      <c r="DA150" s="1701">
        <f t="shared" ref="DA150" si="825">(DA145/CZ145-1)*100</f>
        <v>0.40407966192754774</v>
      </c>
      <c r="DB150" s="1701">
        <f t="shared" ref="DB150" si="826">(DB145/DA145-1)*100</f>
        <v>0.39910377553002974</v>
      </c>
    </row>
    <row r="151" spans="1:106">
      <c r="C151" s="1458"/>
      <c r="D151" s="1487"/>
      <c r="E151" s="1488" t="s">
        <v>74</v>
      </c>
      <c r="F151" s="1562"/>
      <c r="G151" s="1511"/>
      <c r="H151" s="1512"/>
      <c r="I151" s="1512"/>
      <c r="J151" s="1512"/>
      <c r="K151" s="1513"/>
      <c r="L151" s="1513"/>
      <c r="M151" s="1513"/>
      <c r="N151" s="1514">
        <f>N146/J146*100-100</f>
        <v>1.7022412674380973</v>
      </c>
      <c r="O151" s="1513"/>
      <c r="P151" s="1513"/>
      <c r="Q151" s="1513"/>
      <c r="R151" s="1514">
        <f>R146/N146*100-100</f>
        <v>2.5141140622248344</v>
      </c>
      <c r="S151" s="1513"/>
      <c r="T151" s="1513"/>
      <c r="U151" s="1513"/>
      <c r="V151" s="1514">
        <f>V146/R146*100-100</f>
        <v>2.4498633742508105</v>
      </c>
      <c r="W151" s="1513"/>
      <c r="X151" s="1513"/>
      <c r="Y151" s="1513"/>
      <c r="Z151" s="1514">
        <f>Z146/V146*100-100</f>
        <v>2.3726132282916268</v>
      </c>
      <c r="AA151" s="1513"/>
      <c r="AB151" s="1513"/>
      <c r="AC151" s="1513"/>
      <c r="AD151" s="1514">
        <f>AD146/Z146*100-100</f>
        <v>3.2580880444054401</v>
      </c>
      <c r="AE151" s="1513"/>
      <c r="AF151" s="1513"/>
      <c r="AG151" s="1513"/>
      <c r="AH151" s="1514">
        <f>AH146/AD146*100-100</f>
        <v>1.1337719166970999</v>
      </c>
      <c r="AI151" s="1513"/>
      <c r="AJ151" s="1513"/>
      <c r="AK151" s="1513"/>
      <c r="AL151" s="1514">
        <f>AL146/AH146*100-100</f>
        <v>-0.10121517398948754</v>
      </c>
      <c r="AM151" s="1513"/>
      <c r="AN151" s="1513"/>
      <c r="AO151" s="1513"/>
      <c r="AP151" s="1514">
        <f>AP146/AL146*100-100</f>
        <v>0.54006493814287637</v>
      </c>
      <c r="AQ151" s="1513"/>
      <c r="AR151" s="1513"/>
      <c r="AS151" s="1513"/>
      <c r="AT151" s="1514">
        <f>AT146/AP146*100-100</f>
        <v>3.1139594843462248</v>
      </c>
      <c r="AU151" s="1513"/>
      <c r="AV151" s="1513"/>
      <c r="AW151" s="1513"/>
      <c r="AX151" s="1514">
        <f>AX146/AT146*100-100</f>
        <v>2.1746398699216627</v>
      </c>
      <c r="AY151" s="1513"/>
      <c r="AZ151" s="1513"/>
      <c r="BA151" s="1515"/>
      <c r="BB151" s="2937">
        <f>BB146/AX146*100-100</f>
        <v>1.456846956954621</v>
      </c>
      <c r="BC151" s="1515"/>
      <c r="BD151" s="1515"/>
      <c r="BE151" s="1515"/>
      <c r="BF151" s="2937">
        <f>BF146/BB146*100-100</f>
        <v>3.0041735352655365</v>
      </c>
      <c r="BG151" s="1515"/>
      <c r="BH151" s="1515"/>
      <c r="BI151" s="1515"/>
      <c r="BJ151" s="2937">
        <f>BJ146/BF146*100-100</f>
        <v>2.0202858213349089</v>
      </c>
      <c r="BK151" s="1515"/>
      <c r="BL151" s="1515"/>
      <c r="BM151" s="1515"/>
      <c r="BN151" s="2937">
        <f>BN146/BJ146*100-100</f>
        <v>-1.0673934770690039</v>
      </c>
      <c r="BO151" s="1515"/>
      <c r="BP151" s="1515"/>
      <c r="BQ151" s="1515"/>
      <c r="BR151" s="2937">
        <f>BR146/BN146*100-100</f>
        <v>1.4681550617807488</v>
      </c>
      <c r="BS151" s="1515"/>
      <c r="BT151" s="1515"/>
      <c r="BU151" s="1515"/>
      <c r="BV151" s="2937">
        <f>BV146/BR146*100-100</f>
        <v>1.3849800223164834</v>
      </c>
      <c r="BW151" s="3885"/>
      <c r="BX151" s="3885"/>
      <c r="BY151" s="3885"/>
      <c r="BZ151" s="2937">
        <f>BZ146/BV146*100-100</f>
        <v>0.73870358294433913</v>
      </c>
      <c r="CA151" s="3885"/>
      <c r="CB151" s="3885"/>
      <c r="CC151" s="3885"/>
      <c r="CD151" s="2937">
        <f>CD146/BZ146*100-100</f>
        <v>0.13151060656069546</v>
      </c>
      <c r="CE151" s="3885"/>
      <c r="CF151" s="3885"/>
      <c r="CG151" s="3885"/>
      <c r="CH151" s="2937">
        <f>CH146/CD146*100-100</f>
        <v>1.8198217995334147</v>
      </c>
      <c r="CI151" s="3885"/>
      <c r="CJ151" s="3885"/>
      <c r="CK151" s="3885"/>
      <c r="CL151" s="2937">
        <f>CL146/CH146*100-100</f>
        <v>1.2058351883035243</v>
      </c>
      <c r="CM151" s="3885"/>
      <c r="CN151" s="3885"/>
      <c r="CO151" s="3885"/>
      <c r="CP151" s="2937">
        <f>CP146/CL146*100-100</f>
        <v>1.8401424306444056</v>
      </c>
      <c r="CQ151" s="3885"/>
      <c r="CR151" s="3885"/>
      <c r="CS151" s="3885"/>
      <c r="CT151" s="2937">
        <f>CT146/CP146*100-100</f>
        <v>1.07741566331066</v>
      </c>
      <c r="CU151" s="1515"/>
      <c r="CV151" s="1515"/>
      <c r="CW151" s="1515"/>
      <c r="CX151" s="2937">
        <f>CX146/CT146*100-100</f>
        <v>1.85851998851237</v>
      </c>
      <c r="CY151" s="1515"/>
      <c r="CZ151" s="1515"/>
      <c r="DA151" s="1515"/>
      <c r="DB151" s="2937">
        <f>DB146/CX146*100-100</f>
        <v>1.8446998579219951</v>
      </c>
    </row>
    <row r="152" spans="1:106" s="749" customFormat="1" ht="12.75" customHeight="1">
      <c r="A152" s="714"/>
      <c r="B152" s="714"/>
      <c r="C152" s="716"/>
      <c r="D152" s="766"/>
      <c r="E152" s="1502" t="s">
        <v>675</v>
      </c>
      <c r="F152" s="766"/>
      <c r="G152" s="1503"/>
      <c r="H152" s="1503"/>
      <c r="I152" s="1503"/>
      <c r="J152" s="1504"/>
      <c r="K152" s="1503"/>
      <c r="L152" s="1503"/>
      <c r="M152" s="1503"/>
      <c r="N152" s="1505">
        <f ca="1">N147/J147*100-100</f>
        <v>-3.9095715645486422</v>
      </c>
      <c r="O152" s="1503"/>
      <c r="P152" s="1503"/>
      <c r="Q152" s="1503"/>
      <c r="R152" s="1505">
        <f ca="1">R147/N147*100-100</f>
        <v>2.8312724701155929</v>
      </c>
      <c r="S152" s="1503"/>
      <c r="T152" s="1503"/>
      <c r="U152" s="1503"/>
      <c r="V152" s="1505">
        <f ca="1">V147/R147*100-100</f>
        <v>2.3414607672853265</v>
      </c>
      <c r="W152" s="1503"/>
      <c r="X152" s="1503"/>
      <c r="Y152" s="1503"/>
      <c r="Z152" s="1505">
        <f ca="1">Z147/V147*100-100</f>
        <v>2.4333128196224436</v>
      </c>
      <c r="AA152" s="1503"/>
      <c r="AB152" s="1503"/>
      <c r="AC152" s="1503"/>
      <c r="AD152" s="1505">
        <f ca="1">AD147/Z147*100-100</f>
        <v>3.7427858745361107</v>
      </c>
      <c r="AE152" s="1503"/>
      <c r="AF152" s="1503"/>
      <c r="AG152" s="1503"/>
      <c r="AH152" s="1505">
        <f ca="1">AH147/AD147*100-100</f>
        <v>9.4566830619413622E-2</v>
      </c>
      <c r="AI152" s="1503"/>
      <c r="AJ152" s="1503"/>
      <c r="AK152" s="1503"/>
      <c r="AL152" s="1505">
        <f ca="1">AL147/AH147*100-100</f>
        <v>-0.20124799295209073</v>
      </c>
      <c r="AM152" s="1503"/>
      <c r="AN152" s="1503"/>
      <c r="AO152" s="1503"/>
      <c r="AP152" s="1505">
        <f ca="1">AP147/AL147*100-100</f>
        <v>0.67360225514802607</v>
      </c>
      <c r="AQ152" s="1503"/>
      <c r="AR152" s="1503"/>
      <c r="AS152" s="1503"/>
      <c r="AT152" s="1505">
        <f ca="1">AT147/AP147*100-100</f>
        <v>3.5445036049508047</v>
      </c>
      <c r="AU152" s="1503"/>
      <c r="AV152" s="1503"/>
      <c r="AW152" s="1503"/>
      <c r="AX152" s="1505">
        <f ca="1">AX147/AT147*100-100</f>
        <v>2.7515361463239572</v>
      </c>
      <c r="AY152" s="1503"/>
      <c r="AZ152" s="1503"/>
      <c r="BA152" s="1517"/>
      <c r="BB152" s="2936">
        <f ca="1">BB147/AX147*100-100</f>
        <v>1.9112011353742133</v>
      </c>
      <c r="BC152" s="1517"/>
      <c r="BD152" s="1517"/>
      <c r="BE152" s="1517"/>
      <c r="BF152" s="2936">
        <f ca="1">BF147/BB147*100-100</f>
        <v>3.4796205104860292</v>
      </c>
      <c r="BG152" s="1517"/>
      <c r="BH152" s="1517"/>
      <c r="BI152" s="1517"/>
      <c r="BJ152" s="2936">
        <f ca="1">BJ147/BF147*100-100</f>
        <v>2.1596981027843611</v>
      </c>
      <c r="BK152" s="1517"/>
      <c r="BL152" s="1517"/>
      <c r="BM152" s="1517"/>
      <c r="BN152" s="2936">
        <f ca="1">BN147/BJ147*100-100</f>
        <v>-1.9685486001642261</v>
      </c>
      <c r="BO152" s="1517"/>
      <c r="BP152" s="1517"/>
      <c r="BQ152" s="1517"/>
      <c r="BR152" s="2936">
        <f ca="1">BR147/BN147*100-100</f>
        <v>2.0826417254115768</v>
      </c>
      <c r="BS152" s="1517"/>
      <c r="BT152" s="1517"/>
      <c r="BU152" s="1517"/>
      <c r="BV152" s="2936">
        <f ca="1">BV147/BR147*100-100</f>
        <v>2.1589633084788886</v>
      </c>
      <c r="BW152" s="3886"/>
      <c r="BX152" s="3886"/>
      <c r="BY152" s="3886"/>
      <c r="BZ152" s="2936">
        <f ca="1">BZ147/BV147*100-100</f>
        <v>3.6563321158354256E-2</v>
      </c>
      <c r="CA152" s="3886"/>
      <c r="CB152" s="3886"/>
      <c r="CC152" s="3886"/>
      <c r="CD152" s="2936">
        <f ca="1">CD147/BZ147*100-100</f>
        <v>0</v>
      </c>
      <c r="CE152" s="3886"/>
      <c r="CF152" s="3886"/>
      <c r="CG152" s="3886"/>
      <c r="CH152" s="2936">
        <f ca="1">CH147/CD147*100-100</f>
        <v>1.8770381936837026</v>
      </c>
      <c r="CI152" s="3886"/>
      <c r="CJ152" s="3886"/>
      <c r="CK152" s="3886"/>
      <c r="CL152" s="2936">
        <f ca="1">CL147/CH147*100-100</f>
        <v>1.3899243252342757</v>
      </c>
      <c r="CM152" s="3886"/>
      <c r="CN152" s="3886"/>
      <c r="CO152" s="3886"/>
      <c r="CP152" s="2936">
        <f ca="1">CP147/CL147*100-100</f>
        <v>2.1251896215680688</v>
      </c>
      <c r="CQ152" s="3886"/>
      <c r="CR152" s="3886"/>
      <c r="CS152" s="3886"/>
      <c r="CT152" s="2936">
        <f ca="1">CT147/CP147*100-100</f>
        <v>1.24182476502817</v>
      </c>
      <c r="CU152" s="1517"/>
      <c r="CV152" s="1517"/>
      <c r="CW152" s="1517"/>
      <c r="CX152" s="2936">
        <f ca="1">CX147/CT147*100-100</f>
        <v>1.8317588835589476</v>
      </c>
      <c r="CY152" s="1517"/>
      <c r="CZ152" s="1517"/>
      <c r="DA152" s="1517"/>
      <c r="DB152" s="2936">
        <f ca="1">DB147/CX147*100-100</f>
        <v>1.7934263371197403</v>
      </c>
    </row>
    <row r="153" spans="1:106">
      <c r="AY153" s="218"/>
      <c r="BO153" s="577"/>
      <c r="BP153" s="577"/>
      <c r="BQ153" s="577"/>
      <c r="BR153" s="577"/>
      <c r="BS153" s="577"/>
      <c r="BT153" s="577"/>
      <c r="BU153" s="577"/>
      <c r="BV153" s="577"/>
      <c r="BW153" s="577"/>
      <c r="BX153" s="577"/>
      <c r="BY153" s="577"/>
      <c r="BZ153" s="577"/>
      <c r="CA153" s="577"/>
      <c r="CB153" s="577"/>
      <c r="CC153" s="577"/>
      <c r="CD153" s="577"/>
      <c r="CE153" s="577"/>
      <c r="CF153" s="577"/>
      <c r="CG153" s="577"/>
      <c r="CH153" s="577"/>
      <c r="CI153" s="577"/>
      <c r="CJ153" s="577"/>
      <c r="CK153" s="577"/>
      <c r="CL153" s="577"/>
      <c r="CM153" s="577"/>
      <c r="CN153" s="577"/>
      <c r="CO153" s="577"/>
      <c r="CP153" s="577"/>
      <c r="CQ153" s="577"/>
      <c r="CR153" s="577"/>
      <c r="CS153" s="577"/>
      <c r="CT153" s="577"/>
      <c r="CU153" s="577"/>
      <c r="CV153" s="577"/>
      <c r="CW153" s="577"/>
      <c r="CX153" s="577"/>
      <c r="CY153" s="577"/>
      <c r="CZ153" s="577"/>
      <c r="DA153" s="577"/>
      <c r="DB153" s="577"/>
    </row>
    <row r="154" spans="1:106" s="749" customFormat="1" ht="12.75" customHeight="1">
      <c r="A154" s="714"/>
      <c r="B154" s="714"/>
      <c r="C154" s="716"/>
      <c r="D154" s="898"/>
      <c r="E154" s="899"/>
      <c r="F154" s="900"/>
      <c r="G154" s="1494" t="str">
        <f t="shared" ref="G154:AX154" si="827">G149</f>
        <v>Q1</v>
      </c>
      <c r="H154" s="1494" t="str">
        <f t="shared" si="827"/>
        <v>Q2</v>
      </c>
      <c r="I154" s="1494" t="str">
        <f t="shared" si="827"/>
        <v>Q3</v>
      </c>
      <c r="J154" s="1494" t="str">
        <f t="shared" si="827"/>
        <v>Q4</v>
      </c>
      <c r="K154" s="1499" t="str">
        <f t="shared" si="827"/>
        <v>Q1</v>
      </c>
      <c r="L154" s="1494" t="str">
        <f t="shared" si="827"/>
        <v>Q2</v>
      </c>
      <c r="M154" s="1494" t="str">
        <f t="shared" si="827"/>
        <v>Q3</v>
      </c>
      <c r="N154" s="1500" t="str">
        <f t="shared" si="827"/>
        <v>Q4</v>
      </c>
      <c r="O154" s="1499" t="str">
        <f t="shared" si="827"/>
        <v>Q1</v>
      </c>
      <c r="P154" s="1494" t="str">
        <f t="shared" si="827"/>
        <v>Q2</v>
      </c>
      <c r="Q154" s="1494" t="str">
        <f t="shared" si="827"/>
        <v>Q3</v>
      </c>
      <c r="R154" s="1500" t="str">
        <f t="shared" si="827"/>
        <v>Q4</v>
      </c>
      <c r="S154" s="1499" t="str">
        <f t="shared" si="827"/>
        <v>Q1</v>
      </c>
      <c r="T154" s="1494" t="str">
        <f t="shared" si="827"/>
        <v>Q2</v>
      </c>
      <c r="U154" s="1494" t="str">
        <f t="shared" si="827"/>
        <v>Q3</v>
      </c>
      <c r="V154" s="1500" t="str">
        <f t="shared" si="827"/>
        <v>Q4</v>
      </c>
      <c r="W154" s="1499" t="str">
        <f t="shared" si="827"/>
        <v>Q1</v>
      </c>
      <c r="X154" s="1494" t="str">
        <f t="shared" si="827"/>
        <v>Q2</v>
      </c>
      <c r="Y154" s="1494" t="str">
        <f t="shared" si="827"/>
        <v>Q3</v>
      </c>
      <c r="Z154" s="1500" t="str">
        <f t="shared" si="827"/>
        <v>Q4</v>
      </c>
      <c r="AA154" s="1499" t="str">
        <f t="shared" si="827"/>
        <v>Q1</v>
      </c>
      <c r="AB154" s="1494" t="str">
        <f t="shared" si="827"/>
        <v>Q2</v>
      </c>
      <c r="AC154" s="1494" t="str">
        <f t="shared" si="827"/>
        <v>Q3</v>
      </c>
      <c r="AD154" s="1500" t="str">
        <f t="shared" si="827"/>
        <v>Q4</v>
      </c>
      <c r="AE154" s="1499" t="str">
        <f t="shared" si="827"/>
        <v>Q1</v>
      </c>
      <c r="AF154" s="1494" t="str">
        <f t="shared" si="827"/>
        <v>Q2</v>
      </c>
      <c r="AG154" s="1494" t="str">
        <f t="shared" si="827"/>
        <v>Q3</v>
      </c>
      <c r="AH154" s="1500" t="str">
        <f t="shared" si="827"/>
        <v>Q4</v>
      </c>
      <c r="AI154" s="1499" t="str">
        <f t="shared" si="827"/>
        <v>Q1</v>
      </c>
      <c r="AJ154" s="1494" t="str">
        <f t="shared" si="827"/>
        <v>Q2</v>
      </c>
      <c r="AK154" s="1494" t="str">
        <f t="shared" si="827"/>
        <v>Q3</v>
      </c>
      <c r="AL154" s="1500" t="str">
        <f t="shared" si="827"/>
        <v>Q4</v>
      </c>
      <c r="AM154" s="1499" t="str">
        <f t="shared" si="827"/>
        <v>Q1</v>
      </c>
      <c r="AN154" s="1494" t="str">
        <f t="shared" si="827"/>
        <v>Q2</v>
      </c>
      <c r="AO154" s="1494" t="str">
        <f t="shared" si="827"/>
        <v>Q3</v>
      </c>
      <c r="AP154" s="1500" t="str">
        <f t="shared" si="827"/>
        <v>Q4</v>
      </c>
      <c r="AQ154" s="1499" t="str">
        <f t="shared" si="827"/>
        <v>Q1</v>
      </c>
      <c r="AR154" s="1494" t="str">
        <f t="shared" si="827"/>
        <v>Q2</v>
      </c>
      <c r="AS154" s="1494" t="str">
        <f t="shared" si="827"/>
        <v>Q3</v>
      </c>
      <c r="AT154" s="1500" t="str">
        <f t="shared" si="827"/>
        <v>Q4</v>
      </c>
      <c r="AU154" s="1499" t="str">
        <f t="shared" si="827"/>
        <v>Q1</v>
      </c>
      <c r="AV154" s="1494" t="str">
        <f t="shared" si="827"/>
        <v>Q2</v>
      </c>
      <c r="AW154" s="1494" t="str">
        <f t="shared" si="827"/>
        <v>Q3</v>
      </c>
      <c r="AX154" s="1500" t="str">
        <f t="shared" si="827"/>
        <v>Q4</v>
      </c>
      <c r="AY154" s="1499" t="str">
        <f t="shared" ref="AY154:BF154" si="828">AY149</f>
        <v>Q1</v>
      </c>
      <c r="AZ154" s="1494" t="str">
        <f t="shared" si="828"/>
        <v>Q2</v>
      </c>
      <c r="BA154" s="1494" t="str">
        <f t="shared" si="828"/>
        <v>Q3</v>
      </c>
      <c r="BB154" s="1500" t="str">
        <f t="shared" si="828"/>
        <v>Q4</v>
      </c>
      <c r="BC154" s="1499" t="str">
        <f t="shared" si="828"/>
        <v>Q1</v>
      </c>
      <c r="BD154" s="1494" t="str">
        <f t="shared" si="828"/>
        <v>Q2</v>
      </c>
      <c r="BE154" s="1494" t="str">
        <f>BE149</f>
        <v>Q3</v>
      </c>
      <c r="BF154" s="1500" t="str">
        <f t="shared" si="828"/>
        <v>Q4</v>
      </c>
      <c r="BG154" s="1499" t="str">
        <f t="shared" ref="BG154:BN154" si="829">BG149</f>
        <v>Q1</v>
      </c>
      <c r="BH154" s="1494" t="str">
        <f t="shared" si="829"/>
        <v>Q2</v>
      </c>
      <c r="BI154" s="1494" t="str">
        <f t="shared" si="829"/>
        <v>Q3</v>
      </c>
      <c r="BJ154" s="1500" t="str">
        <f t="shared" si="829"/>
        <v>Q4</v>
      </c>
      <c r="BK154" s="1499" t="str">
        <f t="shared" si="829"/>
        <v>Q1</v>
      </c>
      <c r="BL154" s="1494" t="str">
        <f t="shared" si="829"/>
        <v>Q2</v>
      </c>
      <c r="BM154" s="1494" t="str">
        <f t="shared" si="829"/>
        <v>Q3</v>
      </c>
      <c r="BN154" s="1500" t="str">
        <f t="shared" si="829"/>
        <v>Q4</v>
      </c>
      <c r="BO154" s="1499" t="str">
        <f>BO149</f>
        <v>Q1</v>
      </c>
      <c r="BP154" s="1494" t="str">
        <f>BP149</f>
        <v>Q2</v>
      </c>
      <c r="BQ154" s="1494" t="str">
        <f t="shared" ref="BQ154:BV154" si="830">BQ149</f>
        <v>Q3</v>
      </c>
      <c r="BR154" s="1500" t="str">
        <f t="shared" si="830"/>
        <v>Q4</v>
      </c>
      <c r="BS154" s="1499" t="str">
        <f t="shared" si="830"/>
        <v>Q1</v>
      </c>
      <c r="BT154" s="1494" t="str">
        <f t="shared" si="830"/>
        <v>Q2</v>
      </c>
      <c r="BU154" s="1494" t="str">
        <f t="shared" si="830"/>
        <v>Q3</v>
      </c>
      <c r="BV154" s="1500" t="str">
        <f t="shared" si="830"/>
        <v>Q4</v>
      </c>
      <c r="BW154" s="1499" t="str">
        <f t="shared" ref="BW154:CD154" si="831">BW149</f>
        <v>Q1</v>
      </c>
      <c r="BX154" s="1494" t="str">
        <f t="shared" si="831"/>
        <v>Q2</v>
      </c>
      <c r="BY154" s="1494" t="str">
        <f t="shared" si="831"/>
        <v>Q3</v>
      </c>
      <c r="BZ154" s="1500" t="str">
        <f t="shared" si="831"/>
        <v>Q4</v>
      </c>
      <c r="CA154" s="1499" t="str">
        <f>CA149</f>
        <v>Q1</v>
      </c>
      <c r="CB154" s="1494" t="str">
        <f t="shared" si="831"/>
        <v>Q2</v>
      </c>
      <c r="CC154" s="1494" t="str">
        <f t="shared" ref="CC154" si="832">CC149</f>
        <v>Q3</v>
      </c>
      <c r="CD154" s="1500" t="str">
        <f t="shared" si="831"/>
        <v>Q4</v>
      </c>
      <c r="CE154" s="1499" t="str">
        <f>CE149</f>
        <v>Q1</v>
      </c>
      <c r="CF154" s="1494" t="str">
        <f t="shared" ref="CF154:CH154" si="833">CF149</f>
        <v>Q2</v>
      </c>
      <c r="CG154" s="1494" t="str">
        <f t="shared" si="833"/>
        <v>Q3</v>
      </c>
      <c r="CH154" s="1500" t="str">
        <f t="shared" si="833"/>
        <v>Q4</v>
      </c>
      <c r="CI154" s="1499" t="str">
        <f>CI149</f>
        <v>Q1</v>
      </c>
      <c r="CJ154" s="1494" t="str">
        <f t="shared" ref="CJ154:CL154" si="834">CJ149</f>
        <v>Q2</v>
      </c>
      <c r="CK154" s="1494" t="str">
        <f t="shared" si="834"/>
        <v>Q3</v>
      </c>
      <c r="CL154" s="1500" t="str">
        <f t="shared" si="834"/>
        <v>Q4</v>
      </c>
      <c r="CM154" s="1499" t="str">
        <f>CM149</f>
        <v>Q1</v>
      </c>
      <c r="CN154" s="1494" t="str">
        <f t="shared" ref="CN154:CP154" si="835">CN149</f>
        <v>Q2</v>
      </c>
      <c r="CO154" s="1494" t="str">
        <f t="shared" si="835"/>
        <v>Q3</v>
      </c>
      <c r="CP154" s="1500" t="str">
        <f t="shared" si="835"/>
        <v>Q4</v>
      </c>
      <c r="CQ154" s="1499" t="str">
        <f>CQ149</f>
        <v>Q1</v>
      </c>
      <c r="CR154" s="1494" t="str">
        <f t="shared" ref="CR154:CS154" si="836">CR149</f>
        <v>Q2</v>
      </c>
      <c r="CS154" s="1494" t="str">
        <f t="shared" si="836"/>
        <v>Q3</v>
      </c>
      <c r="CT154" s="1500" t="str">
        <f t="shared" ref="CT154" si="837">CT149</f>
        <v>Q4</v>
      </c>
      <c r="CU154" s="1499" t="str">
        <f t="shared" ref="CU154:CX154" si="838">CU149</f>
        <v>Q1</v>
      </c>
      <c r="CV154" s="1494" t="str">
        <f t="shared" si="838"/>
        <v>Q2</v>
      </c>
      <c r="CW154" s="1494" t="str">
        <f t="shared" si="838"/>
        <v>Q3</v>
      </c>
      <c r="CX154" s="1500" t="str">
        <f t="shared" si="838"/>
        <v>Q4</v>
      </c>
      <c r="CY154" s="1499" t="str">
        <f t="shared" ref="CY154:DB154" si="839">CY149</f>
        <v>Q1</v>
      </c>
      <c r="CZ154" s="1494" t="str">
        <f t="shared" si="839"/>
        <v>Q2</v>
      </c>
      <c r="DA154" s="1494" t="str">
        <f t="shared" si="839"/>
        <v>Q3</v>
      </c>
      <c r="DB154" s="1500" t="str">
        <f t="shared" si="839"/>
        <v>Q4</v>
      </c>
    </row>
    <row r="155" spans="1:106" s="749" customFormat="1" ht="12.75" customHeight="1">
      <c r="A155" s="714"/>
      <c r="B155" s="714"/>
      <c r="C155" s="902"/>
      <c r="D155" s="903"/>
      <c r="E155" s="904" t="s">
        <v>676</v>
      </c>
      <c r="F155" s="905"/>
      <c r="G155" s="755"/>
      <c r="H155" s="755"/>
      <c r="I155" s="755"/>
      <c r="J155" s="755"/>
      <c r="K155" s="1469">
        <f t="shared" ref="K155:AX155" si="840">(K145/G145-1)*100</f>
        <v>2.1235838213562452</v>
      </c>
      <c r="L155" s="1469">
        <f t="shared" si="840"/>
        <v>1.6864595195488219</v>
      </c>
      <c r="M155" s="1469">
        <f t="shared" si="840"/>
        <v>1.4647334158282677</v>
      </c>
      <c r="N155" s="1469">
        <f t="shared" si="840"/>
        <v>1.5420035337581073</v>
      </c>
      <c r="O155" s="1469">
        <f t="shared" si="840"/>
        <v>2.2348464547939484</v>
      </c>
      <c r="P155" s="1469">
        <f t="shared" si="840"/>
        <v>2.7143771331058053</v>
      </c>
      <c r="Q155" s="1469">
        <f t="shared" si="840"/>
        <v>2.4470750427509014</v>
      </c>
      <c r="R155" s="1469">
        <f t="shared" si="840"/>
        <v>2.65752702346429</v>
      </c>
      <c r="S155" s="1469">
        <f t="shared" si="840"/>
        <v>2.3393269029146513</v>
      </c>
      <c r="T155" s="1469">
        <f t="shared" si="840"/>
        <v>2.1169721198276203</v>
      </c>
      <c r="U155" s="1469">
        <f t="shared" si="840"/>
        <v>2.7664557535292511</v>
      </c>
      <c r="V155" s="1469">
        <f t="shared" si="840"/>
        <v>2.5733216908931933</v>
      </c>
      <c r="W155" s="1469">
        <f t="shared" si="840"/>
        <v>2.5560578314487215</v>
      </c>
      <c r="X155" s="1469">
        <f t="shared" si="840"/>
        <v>2.5802351445821436</v>
      </c>
      <c r="Y155" s="1469">
        <f t="shared" si="840"/>
        <v>2.3142493798869346</v>
      </c>
      <c r="Z155" s="1469">
        <f t="shared" si="840"/>
        <v>2.0468202303455252</v>
      </c>
      <c r="AA155" s="1469">
        <f t="shared" si="840"/>
        <v>3.1316725978647764</v>
      </c>
      <c r="AB155" s="1469">
        <f t="shared" si="840"/>
        <v>3.0679635710302966</v>
      </c>
      <c r="AC155" s="1469">
        <f t="shared" si="840"/>
        <v>3.2107212739511892</v>
      </c>
      <c r="AD155" s="1469">
        <f t="shared" si="840"/>
        <v>3.6177390664294817</v>
      </c>
      <c r="AE155" s="1469">
        <f t="shared" si="840"/>
        <v>2.7278340779484989</v>
      </c>
      <c r="AF155" s="1469">
        <f t="shared" si="840"/>
        <v>1.69870523316622</v>
      </c>
      <c r="AG155" s="1469">
        <f t="shared" si="840"/>
        <v>0.94911050698718302</v>
      </c>
      <c r="AH155" s="1469">
        <f t="shared" si="840"/>
        <v>-0.79797310096608731</v>
      </c>
      <c r="AI155" s="1469">
        <f t="shared" si="840"/>
        <v>-0.80498786035877457</v>
      </c>
      <c r="AJ155" s="1469">
        <f t="shared" si="840"/>
        <v>-0.4362011490176565</v>
      </c>
      <c r="AK155" s="1469">
        <f t="shared" si="840"/>
        <v>-0.43465935934989819</v>
      </c>
      <c r="AL155" s="1469">
        <f t="shared" si="840"/>
        <v>1.2865497076023358</v>
      </c>
      <c r="AM155" s="1469">
        <f t="shared" si="840"/>
        <v>0.57032187540844159</v>
      </c>
      <c r="AN155" s="1469">
        <f t="shared" si="840"/>
        <v>0.54021964974770853</v>
      </c>
      <c r="AO155" s="1469">
        <f t="shared" si="840"/>
        <v>0.70228717851381628</v>
      </c>
      <c r="AP155" s="1469">
        <f t="shared" si="840"/>
        <v>0.34877692416459549</v>
      </c>
      <c r="AQ155" s="1469">
        <f t="shared" si="840"/>
        <v>2.3782238342213935</v>
      </c>
      <c r="AR155" s="1469">
        <f t="shared" si="840"/>
        <v>3.1530467642890692</v>
      </c>
      <c r="AS155" s="1469">
        <f t="shared" si="840"/>
        <v>3.7084157949297758</v>
      </c>
      <c r="AT155" s="1469">
        <f t="shared" si="840"/>
        <v>3.2137992579023944</v>
      </c>
      <c r="AU155" s="1469">
        <f t="shared" si="840"/>
        <v>2.4060653618906969</v>
      </c>
      <c r="AV155" s="1469">
        <f t="shared" si="840"/>
        <v>2.670864338866652</v>
      </c>
      <c r="AW155" s="1469">
        <f t="shared" si="840"/>
        <v>1.7242946067517861</v>
      </c>
      <c r="AX155" s="1469">
        <f t="shared" si="840"/>
        <v>1.9044151943663934</v>
      </c>
      <c r="AY155" s="1469">
        <f t="shared" ref="AY155:BF155" si="841">(AY145/AU145-1)*100</f>
        <v>1.7669397460024161</v>
      </c>
      <c r="AZ155" s="1469">
        <f t="shared" si="841"/>
        <v>0.77049162048548059</v>
      </c>
      <c r="BA155" s="1469">
        <f t="shared" si="841"/>
        <v>1.4616879201375665</v>
      </c>
      <c r="BB155" s="1469">
        <f t="shared" si="841"/>
        <v>1.831984370639117</v>
      </c>
      <c r="BC155" s="1469">
        <f t="shared" si="841"/>
        <v>2.2124040793276567</v>
      </c>
      <c r="BD155" s="1469">
        <f t="shared" si="841"/>
        <v>2.8647619890676435</v>
      </c>
      <c r="BE155" s="1469">
        <f t="shared" si="841"/>
        <v>3.2268360058549606</v>
      </c>
      <c r="BF155" s="1469">
        <f t="shared" si="841"/>
        <v>3.7043939659708869</v>
      </c>
      <c r="BG155" s="1469">
        <f t="shared" ref="BG155:BN155" si="842">(BG145/BC145-1)*100</f>
        <v>3.3681085941477784</v>
      </c>
      <c r="BH155" s="1469">
        <f t="shared" si="842"/>
        <v>3.0227079590805062</v>
      </c>
      <c r="BI155" s="1469">
        <f t="shared" si="842"/>
        <v>1.6653339730262839</v>
      </c>
      <c r="BJ155" s="1469">
        <f t="shared" si="842"/>
        <v>7.1885406205396407E-2</v>
      </c>
      <c r="BK155" s="1469">
        <f t="shared" si="842"/>
        <v>-1.6873480338727154</v>
      </c>
      <c r="BL155" s="1469">
        <f t="shared" si="842"/>
        <v>-1.8418552201559857</v>
      </c>
      <c r="BM155" s="1469">
        <f t="shared" si="842"/>
        <v>-1.1598519248717909</v>
      </c>
      <c r="BN155" s="1469">
        <f t="shared" si="842"/>
        <v>0.43417174608877396</v>
      </c>
      <c r="BO155" s="1469">
        <f>(BO145/BK145-1)*100</f>
        <v>1.4807155192631427</v>
      </c>
      <c r="BP155" s="1469">
        <f>(BP145/BL145-1)*100</f>
        <v>1.483900477613842</v>
      </c>
      <c r="BQ155" s="1469">
        <f t="shared" ref="BQ155:BV155" si="843">(BQ145/BM145-1)*100</f>
        <v>1.6148369778569815</v>
      </c>
      <c r="BR155" s="1469">
        <f t="shared" si="843"/>
        <v>1.2947809075036121</v>
      </c>
      <c r="BS155" s="1469">
        <f t="shared" si="843"/>
        <v>1.2637218341299494</v>
      </c>
      <c r="BT155" s="1469">
        <f t="shared" si="843"/>
        <v>1.5355750283007064</v>
      </c>
      <c r="BU155" s="1469">
        <f t="shared" si="843"/>
        <v>1.4565691792050028</v>
      </c>
      <c r="BV155" s="1470">
        <f t="shared" si="843"/>
        <v>1.2844608275790481</v>
      </c>
      <c r="BW155" s="1470">
        <f t="shared" ref="BW155:CH155" si="844">(BW145/BS145-1)*100</f>
        <v>1.239652274943448</v>
      </c>
      <c r="BX155" s="1470">
        <f t="shared" si="844"/>
        <v>0.9197989036740184</v>
      </c>
      <c r="BY155" s="1470">
        <f t="shared" si="844"/>
        <v>0.67820681705910157</v>
      </c>
      <c r="BZ155" s="1470">
        <f t="shared" si="844"/>
        <v>0.12404912755530351</v>
      </c>
      <c r="CA155" s="1470">
        <f t="shared" si="844"/>
        <v>2.3567264045598613E-2</v>
      </c>
      <c r="CB155" s="1470">
        <f t="shared" si="844"/>
        <v>1.4320785597399244E-2</v>
      </c>
      <c r="CC155" s="1470">
        <f t="shared" si="844"/>
        <v>0.21262023776666972</v>
      </c>
      <c r="CD155" s="1470">
        <f t="shared" si="844"/>
        <v>0.27543696179721522</v>
      </c>
      <c r="CE155" s="1470">
        <f t="shared" si="844"/>
        <v>0.90866251434189582</v>
      </c>
      <c r="CF155" s="1470">
        <f t="shared" si="844"/>
        <v>1.2170924785730231</v>
      </c>
      <c r="CG155" s="1470">
        <f t="shared" si="844"/>
        <v>2.9703677258122063</v>
      </c>
      <c r="CH155" s="1470">
        <f t="shared" si="844"/>
        <v>2.1780419066290913</v>
      </c>
      <c r="CI155" s="1470">
        <f t="shared" ref="CI155" si="845">(CI145/CE145-1)*100</f>
        <v>3.8445529577779469</v>
      </c>
      <c r="CJ155" s="1470">
        <f t="shared" ref="CJ155:CS155" si="846">(CJ145/CF145-1)*100</f>
        <v>0.79220726728910229</v>
      </c>
      <c r="CK155" s="1470">
        <f t="shared" si="846"/>
        <v>-0.57257768928248298</v>
      </c>
      <c r="CL155" s="1470">
        <f t="shared" si="846"/>
        <v>0.81147254284716919</v>
      </c>
      <c r="CM155" s="1470">
        <f t="shared" si="846"/>
        <v>-0.67846319288297208</v>
      </c>
      <c r="CN155" s="1470">
        <f t="shared" si="846"/>
        <v>2.3038055900870269</v>
      </c>
      <c r="CO155" s="1470">
        <f t="shared" si="846"/>
        <v>3.7830405802588452</v>
      </c>
      <c r="CP155" s="1470">
        <f t="shared" si="846"/>
        <v>2.0024386133608241</v>
      </c>
      <c r="CQ155" s="1470">
        <f t="shared" si="846"/>
        <v>1.4547816843182737</v>
      </c>
      <c r="CR155" s="1470">
        <f t="shared" si="846"/>
        <v>1.520882739156848</v>
      </c>
      <c r="CS155" s="1470">
        <f t="shared" si="846"/>
        <v>-6.7200430082747786E-2</v>
      </c>
      <c r="CT155" s="1470">
        <f t="shared" ref="CT155" si="847">(CT145/CP145-1)*100</f>
        <v>1.4237538509383141</v>
      </c>
      <c r="CU155" s="1470">
        <f t="shared" ref="CU155" si="848">(CU145/CQ145-1)*100</f>
        <v>1.7594380736170256</v>
      </c>
      <c r="CV155" s="1470">
        <f t="shared" ref="CV155" si="849">(CV145/CR145-1)*100</f>
        <v>1.7708164705110274</v>
      </c>
      <c r="CW155" s="1470">
        <f t="shared" ref="CW155" si="850">(CW145/CS145-1)*100</f>
        <v>1.8135211804349183</v>
      </c>
      <c r="CX155" s="1470">
        <f t="shared" ref="CX155" si="851">(CX145/CT145-1)*100</f>
        <v>2.088324651890372</v>
      </c>
      <c r="CY155" s="1470">
        <f t="shared" ref="CY155" si="852">(CY145/CU145-1)*100</f>
        <v>2.0103112944071189</v>
      </c>
      <c r="CZ155" s="1470">
        <f t="shared" ref="CZ155" si="853">(CZ145/CV145-1)*100</f>
        <v>1.9136664805146975</v>
      </c>
      <c r="DA155" s="1470">
        <f t="shared" ref="DA155" si="854">(DA145/CW145-1)*100</f>
        <v>1.7932350159654886</v>
      </c>
      <c r="DB155" s="1470">
        <f t="shared" ref="DB155" si="855">(DB145/CX145-1)*100</f>
        <v>1.664605959002885</v>
      </c>
    </row>
    <row r="156" spans="1:106" s="749" customFormat="1" ht="12.75" customHeight="1">
      <c r="A156" s="714"/>
      <c r="B156" s="714"/>
      <c r="C156" s="986"/>
      <c r="D156" s="724"/>
      <c r="E156" s="830" t="s">
        <v>569</v>
      </c>
      <c r="F156" s="754"/>
      <c r="G156" s="755"/>
      <c r="H156" s="755"/>
      <c r="I156" s="755"/>
      <c r="J156" s="755"/>
      <c r="K156" s="1469">
        <f>(4*K145/J146-1)*100</f>
        <v>0.89218124797230125</v>
      </c>
      <c r="L156" s="1469">
        <f>((K145+3*L145)/J146-1)*100</f>
        <v>1.2693305937060639</v>
      </c>
      <c r="M156" s="1469">
        <f>((K145+L145+2*M145)/J146-1)*100</f>
        <v>1.5592894992970896</v>
      </c>
      <c r="N156" s="1532"/>
      <c r="O156" s="1469">
        <f>(4*O145/N146-1)*100</f>
        <v>1.4205442262769097</v>
      </c>
      <c r="P156" s="1469">
        <f>((O145+3*P145)/N146-1)*100</f>
        <v>2.1582303507996503</v>
      </c>
      <c r="Q156" s="1469">
        <f>((O145+P145+2*Q145)/N146-1)*100</f>
        <v>2.317065471304991</v>
      </c>
      <c r="R156" s="1532"/>
      <c r="S156" s="1469">
        <f>(4*S145/R146-1)*100</f>
        <v>1.24762160988241</v>
      </c>
      <c r="T156" s="1469">
        <f>((S145+3*T145)/R146-1)*100</f>
        <v>1.8174628128372783</v>
      </c>
      <c r="U156" s="1469">
        <f>((S145+T145+2*U145)/R146-1)*100</f>
        <v>2.3010823093154942</v>
      </c>
      <c r="V156" s="1532"/>
      <c r="W156" s="1469">
        <f>(4*W145/V146-1)*100</f>
        <v>1.352569882777277</v>
      </c>
      <c r="X156" s="1469">
        <f>((W145+3*X145)/V146-1)*100</f>
        <v>1.9410564282663412</v>
      </c>
      <c r="Y156" s="1469">
        <f>((W145+X145+2*Y145)/V146-1)*100</f>
        <v>2.2916172306329363</v>
      </c>
      <c r="Z156" s="1532"/>
      <c r="AA156" s="1469">
        <f>(4*AA145/Z146-1)*100</f>
        <v>2.1040659653113636</v>
      </c>
      <c r="AB156" s="1469">
        <f>((AA145+3*AB145)/Z146-1)*100</f>
        <v>2.6492440444549015</v>
      </c>
      <c r="AC156" s="1469">
        <f>((AA145+AB145+2*AC145)/Z146-1)*100</f>
        <v>3.0738895550803003</v>
      </c>
      <c r="AD156" s="1532"/>
      <c r="AE156" s="1469">
        <f>(4*AE145/AD146-1)*100</f>
        <v>1.5797381669290678</v>
      </c>
      <c r="AF156" s="1469">
        <f>((AE145+3*AF145)/AD146-1)*100</f>
        <v>1.3534626735227651</v>
      </c>
      <c r="AG156" s="1469">
        <f>((AE145+AF145+2*AG145)/AD146-1)*100</f>
        <v>1.3953655426721001</v>
      </c>
      <c r="AH156" s="1532"/>
      <c r="AI156" s="1469">
        <f>(4*AI145/AH146-1)*100</f>
        <v>-0.36757089501441298</v>
      </c>
      <c r="AJ156" s="1469">
        <f>((AI145+3*AJ145)/AH146-1)*100</f>
        <v>-0.31252404600260464</v>
      </c>
      <c r="AK156" s="1469">
        <f>((AI145+AJ145+2*AK145)/AH146-1)*100</f>
        <v>-0.27049903224087846</v>
      </c>
      <c r="AL156" s="1532"/>
      <c r="AM156" s="1469">
        <f>(4*AM145/AL146-1)*100</f>
        <v>0.30217566478647484</v>
      </c>
      <c r="AN156" s="1469">
        <f>((AM145+3*AN145)/AL146-1)*100</f>
        <v>0.33505948713088429</v>
      </c>
      <c r="AO156" s="1469">
        <f>((AM145+AN145+2*AO145)/AL146-1)*100</f>
        <v>0.45829975825948388</v>
      </c>
      <c r="AP156" s="1532"/>
      <c r="AQ156" s="1469">
        <f>(4*AQ145/AP146-1)*100</f>
        <v>2.135985267035001</v>
      </c>
      <c r="AR156" s="1469">
        <f>((AQ145+3*AR145)/AP146-1)*100</f>
        <v>2.7494659300184132</v>
      </c>
      <c r="AS156" s="1469">
        <f>((AQ145+AR145+2*AS145)/AP146-1)*100</f>
        <v>3.153738489871083</v>
      </c>
      <c r="AT156" s="1532"/>
      <c r="AU156" s="1469">
        <f>(4*AU145/AT146-1)*100</f>
        <v>1.4348050968300496</v>
      </c>
      <c r="AV156" s="1469">
        <f>((AU145+3*AV145)/AT146-1)*100</f>
        <v>2.2423651851873005</v>
      </c>
      <c r="AW156" s="1469">
        <f>((AU145+AV145+2*AW145)/AT146-1)*100</f>
        <v>2.1686388926196454</v>
      </c>
      <c r="AX156" s="1532"/>
      <c r="AY156" s="1469">
        <f>(4*AY145/AX146-1)*100</f>
        <v>1.0300570824465227</v>
      </c>
      <c r="AZ156" s="1469">
        <f>((AY145+3*AZ145)/AX146-1)*100</f>
        <v>1.0845944517316131</v>
      </c>
      <c r="BA156" s="1469">
        <f>((AY145+AZ145+2*BA145)/AX146-1)*100</f>
        <v>1.3581203346077375</v>
      </c>
      <c r="BB156" s="1532"/>
      <c r="BC156" s="1469">
        <f>(4*BC145/BB146-1)*100</f>
        <v>1.782435867042298</v>
      </c>
      <c r="BD156" s="1469">
        <f>((BC145+3*BD145)/BB146-1)*100</f>
        <v>2.3249403189970375</v>
      </c>
      <c r="BE156" s="1469">
        <f>((BC145+BD145+2*BE145)/BB146-1)*100</f>
        <v>2.7836432702432967</v>
      </c>
      <c r="BF156" s="1532"/>
      <c r="BG156" s="1469">
        <f>(4*BG145/BF146-1)*100</f>
        <v>2.1420542739388759</v>
      </c>
      <c r="BH156" s="1469">
        <f>((BG145+3*BH145)/BF146-1)*100</f>
        <v>2.4286784777605375</v>
      </c>
      <c r="BI156" s="1469">
        <f>((BG145+BH145+2*BI145)/BF146-1)*100</f>
        <v>2.2060161644275711</v>
      </c>
      <c r="BJ156" s="1532"/>
      <c r="BK156" s="1469">
        <f>(4*BK145/BJ146-1)*100</f>
        <v>-1.5700049054455545</v>
      </c>
      <c r="BL156" s="1469">
        <f>((BK145+3*BL145)/BJ146-1)*100</f>
        <v>-1.4102500203300616</v>
      </c>
      <c r="BM156" s="1469">
        <f>((BK145+BL145+2*BM145)/BJ146-1)*100</f>
        <v>-1.2832855467735493</v>
      </c>
      <c r="BN156" s="1532"/>
      <c r="BO156" s="1469">
        <f>(4*BO145/BN146-1)*100</f>
        <v>0.96515882696079913</v>
      </c>
      <c r="BP156" s="1469">
        <f>((BO145+3*BP145)/BN146-1)*100</f>
        <v>1.1314100864400434</v>
      </c>
      <c r="BQ156" s="1469">
        <f>((BO145+BP145+2*BQ145)/BN146-1)*100</f>
        <v>1.3270933870710877</v>
      </c>
      <c r="BR156" s="1532"/>
      <c r="BS156" s="1469">
        <f>(4*BS145/BR146-1)*100</f>
        <v>0.76173901227405416</v>
      </c>
      <c r="BT156" s="1469">
        <f>((BS145+3*BT145)/BR146-1)*100</f>
        <v>1.1309799125633457</v>
      </c>
      <c r="BU156" s="1469">
        <f>((BS145+BT145+2*BU145)/BR146-1)*100</f>
        <v>1.2872474697982916</v>
      </c>
      <c r="BV156" s="1532"/>
      <c r="BW156" s="1469">
        <f>(4*BW145/BV146-1)*100</f>
        <v>0.6173046340375743</v>
      </c>
      <c r="BX156" s="1469">
        <f>((BW145+3*BX145)/BV146-1)*100</f>
        <v>0.74643600007215927</v>
      </c>
      <c r="BY156" s="1469">
        <f>((BW145+BX145+2*BY145)/BV146-1)*100</f>
        <v>0.78097412990976167</v>
      </c>
      <c r="BZ156" s="1532"/>
      <c r="CA156" s="1469">
        <f>(4*CA145/BZ146-1)*100</f>
        <v>-9.6969883047659522E-2</v>
      </c>
      <c r="CB156" s="1469">
        <f>((CA145+3*CB145)/BZ146-1)*100</f>
        <v>2.4306435064724852E-2</v>
      </c>
      <c r="CC156" s="1469">
        <f>((CA145+CB145+2*CC145)/BZ146-1)*100</f>
        <v>0.15786389931506939</v>
      </c>
      <c r="CD156" s="1532"/>
      <c r="CE156" s="1469">
        <f>(4*CE145/CD146-1)*100</f>
        <v>0.6784087163382635</v>
      </c>
      <c r="CF156" s="1469">
        <f>((CE145+3*CF145)/CD146-1)*100</f>
        <v>1.0317944996512063</v>
      </c>
      <c r="CG156" s="1469">
        <f>((CE145+CF145+2*CG145)/CD146-1)*100</f>
        <v>2.0451914747915634</v>
      </c>
      <c r="CH156" s="1532"/>
      <c r="CI156" s="1469">
        <f>(4*CI145/CH146-1)*100</f>
        <v>2.6804423821581436</v>
      </c>
      <c r="CJ156" s="1469">
        <f>((CI145+3*CJ145)/CH146-1)*100</f>
        <v>0.76666524459256813</v>
      </c>
      <c r="CK156" s="1469">
        <f>((CI145+CJ145+2*CK145)/CH146-1)*100</f>
        <v>1.078350427500574</v>
      </c>
      <c r="CL156" s="1532"/>
      <c r="CM156" s="1469">
        <f>(4*CM145/CL146-1)*100</f>
        <v>0.7686890627944587</v>
      </c>
      <c r="CN156" s="1469">
        <f>((CM145+3*CN145)/CL146-1)*100</f>
        <v>1.1034407514307398</v>
      </c>
      <c r="CO156" s="1469">
        <f>((CM145+CN145+2*CO145)/CL146-1)*100</f>
        <v>2.1548090179625223</v>
      </c>
      <c r="CP156" s="1532"/>
      <c r="CQ156" s="1469">
        <f>(4*CQ145/CP146-1)*100</f>
        <v>0.3873826712603945</v>
      </c>
      <c r="CR156" s="1469">
        <f>((CQ145+3*CR145)/CP146-1)*100</f>
        <v>0.7701391509721045</v>
      </c>
      <c r="CS156" s="1469">
        <f>((CQ145+CR145+2*CS145)/CP146-1)*100</f>
        <v>1.0126489816291384</v>
      </c>
      <c r="CT156" s="1532"/>
      <c r="CU156" s="1469">
        <f>(4*CU145/CT146-1)*100</f>
        <v>1.0647490665574688</v>
      </c>
      <c r="CV156" s="1469">
        <f>((CU145+3*CV145)/CT146-1)*100</f>
        <v>1.4586068319225376</v>
      </c>
      <c r="CW156" s="1469">
        <f>((CU145+CV145+2*CW145)/CT146-1)*100</f>
        <v>1.7241971582615312</v>
      </c>
      <c r="CX156" s="1532"/>
      <c r="CY156" s="1469">
        <f>(4*CY145/CX146-1)*100</f>
        <v>1.215357481469348</v>
      </c>
      <c r="CZ156" s="1469">
        <f>((CY145+3*CZ145)/CX146-1)*100</f>
        <v>1.5375097279913819</v>
      </c>
      <c r="DA156" s="1469">
        <f>((CY145+CZ145+2*DA145)/CX146-1)*100</f>
        <v>1.7428728996287557</v>
      </c>
      <c r="DB156" s="1532"/>
    </row>
    <row r="157" spans="1:106">
      <c r="C157" s="1460"/>
      <c r="D157" s="872"/>
      <c r="E157" s="1467" t="s">
        <v>568</v>
      </c>
      <c r="F157" s="872"/>
      <c r="G157" s="919"/>
      <c r="H157" s="919"/>
      <c r="I157" s="919"/>
      <c r="J157" s="919"/>
      <c r="K157" s="1531"/>
      <c r="L157" s="926">
        <f>(4*L145/(K145+3*L145)-1)*100</f>
        <v>0.12414069278516848</v>
      </c>
      <c r="M157" s="926">
        <f>(4*M145/(K145+L145+2*M145)-1)*100</f>
        <v>0.40929328692456135</v>
      </c>
      <c r="N157" s="926">
        <f>+(4*N145/N146-1)*100</f>
        <v>0.83039532665869498</v>
      </c>
      <c r="O157" s="1531"/>
      <c r="P157" s="926">
        <f>(4*P145/(O145+3*P145)-1)*100</f>
        <v>0.24070050351940875</v>
      </c>
      <c r="Q157" s="926">
        <f>(4*Q145/(O145+P145+2*Q145)-1)*100</f>
        <v>0.39556499542079404</v>
      </c>
      <c r="R157" s="926">
        <f>+(4*R145/R146-1)*100</f>
        <v>0.97145283575412744</v>
      </c>
      <c r="S157" s="1531"/>
      <c r="T157" s="926">
        <f>(4*T145/(S145+3*T145)-1)*100</f>
        <v>0.18655647312759704</v>
      </c>
      <c r="U157" s="926">
        <f>(4*U145/(S145+T145+2*U145)-1)*100</f>
        <v>0.65841587295552007</v>
      </c>
      <c r="V157" s="926">
        <f>+(4*V145/V146-1)*100</f>
        <v>1.0931295777767192</v>
      </c>
      <c r="W157" s="1531"/>
      <c r="X157" s="926">
        <f>(4*X145/(W145+3*X145)-1)*100</f>
        <v>0.19242706393545195</v>
      </c>
      <c r="Y157" s="926">
        <f>(4*Y145/(W145+X145+2*Y145)-1)*100</f>
        <v>0.5344748660719878</v>
      </c>
      <c r="Z157" s="926">
        <f>+(4*Z145/Z146-1)*100</f>
        <v>0.77140843851604135</v>
      </c>
      <c r="AA157" s="1531"/>
      <c r="AB157" s="926">
        <f>(4*AB145/(AA145+3*AB145)-1)*100</f>
        <v>0.17703591299949029</v>
      </c>
      <c r="AC157" s="926">
        <f>(4*AC145/(AA145+AB145+2*AC145)-1)*100</f>
        <v>0.58828820725016495</v>
      </c>
      <c r="AD157" s="926">
        <f>+(4*AD145/AD146-1)*100</f>
        <v>1.1223982807851307</v>
      </c>
      <c r="AE157" s="1531"/>
      <c r="AF157" s="926">
        <f>(4*AF145/(AE145+3*AF145)-1)*100</f>
        <v>-7.4417945355964576E-2</v>
      </c>
      <c r="AG157" s="926">
        <f>(4*AG145/(AE145+AF145+2*AG145)-1)*100</f>
        <v>-3.3060973881837707E-2</v>
      </c>
      <c r="AH157" s="926">
        <f>+(4*AH145/AH146-1)*100</f>
        <v>-0.80912949031352044</v>
      </c>
      <c r="AI157" s="1531"/>
      <c r="AJ157" s="926">
        <f>(4*AJ145/(AI145+3*AJ145)-1)*100</f>
        <v>1.8406474328913625E-2</v>
      </c>
      <c r="AK157" s="926">
        <f>(4*AK145/(AI145+AJ145+2*AK145)-1)*100</f>
        <v>6.0537717371955679E-2</v>
      </c>
      <c r="AL157" s="926">
        <f>+(4*AL145/AL146-1)*100</f>
        <v>0.5688012513627605</v>
      </c>
      <c r="AM157" s="1531"/>
      <c r="AN157" s="926">
        <f>(4*AN145/(AM145+3*AN145)-1)*100</f>
        <v>1.0924669971634771E-2</v>
      </c>
      <c r="AO157" s="926">
        <f>(4*AO145/(AM145+AN145+2*AO145)-1)*100</f>
        <v>0.13358930577795913</v>
      </c>
      <c r="AP157" s="926">
        <f>+(4*AP145/AP146-1)*100</f>
        <v>0.37745856353590401</v>
      </c>
      <c r="AQ157" s="1531"/>
      <c r="AR157" s="926">
        <f>(4*AR145/(AQ145+3*AR145)-1)*100</f>
        <v>0.19902152529638339</v>
      </c>
      <c r="AS157" s="926">
        <f>(4*AS145/(AQ145+AR145+2*AS145)-1)*100</f>
        <v>0.59015419420815896</v>
      </c>
      <c r="AT157" s="926">
        <f>+(4*AT145/AT146-1)*100</f>
        <v>0.47464872850719875</v>
      </c>
      <c r="AU157" s="1531"/>
      <c r="AV157" s="926">
        <f>(4*AV145/(AU145+3*AV145)-1)*100</f>
        <v>0.26328293132844571</v>
      </c>
      <c r="AW157" s="926">
        <f>(4*AW145/(AU145+AV145+2*AW145)-1)*100</f>
        <v>0.1913115469384552</v>
      </c>
      <c r="AX157" s="926">
        <f>+(4*AX145/AX146-1)*100</f>
        <v>0.20892007618451558</v>
      </c>
      <c r="AY157" s="1531"/>
      <c r="AZ157" s="926">
        <f>(4*AZ145/(AY145+3*AZ145)-1)*100</f>
        <v>1.7984068881760074E-2</v>
      </c>
      <c r="BA157" s="926">
        <f>(4*BA145/(AY145+AZ145+2*BA145)-1)*100</f>
        <v>0.28779638474762947</v>
      </c>
      <c r="BB157" s="926">
        <f>+(4*BB145/BB146-1)*100</f>
        <v>0.57944327134593632</v>
      </c>
      <c r="BC157" s="1531"/>
      <c r="BD157" s="926">
        <f>(4*BD145/(BC145+3*BD145)-1)*100</f>
        <v>0.17672604230647426</v>
      </c>
      <c r="BE157" s="926">
        <f>(4*BE145/(BC145+BD145+2*BE145)-1)*100</f>
        <v>0.62221745427237796</v>
      </c>
      <c r="BF157" s="926">
        <f>+(4*BF145/BF146-1)*100</f>
        <v>1.2631804314082284</v>
      </c>
      <c r="BG157" s="926"/>
      <c r="BH157" s="926">
        <f>(4*BH145/(BG145+3*BH145)-1)*100</f>
        <v>9.3276026493538389E-2</v>
      </c>
      <c r="BI157" s="926">
        <f>((BG145+BH145+2*BI145)/BF146-1)*100</f>
        <v>2.2060161644275711</v>
      </c>
      <c r="BJ157" s="926">
        <f>+(4*BJ145/BJ146-1)*100</f>
        <v>-0.6707606588511883</v>
      </c>
      <c r="BK157" s="926">
        <f>(4*BK145/BJ146-1)*100</f>
        <v>-1.5700049054455545</v>
      </c>
      <c r="BL157" s="926">
        <f>((BK145+3*BL145)/BJ146-1)*100</f>
        <v>-1.4102500203300616</v>
      </c>
      <c r="BM157" s="926">
        <f>(4*BM145/(BK145+BL145+2*BM145)-1)*100</f>
        <v>0.1825588533071798</v>
      </c>
      <c r="BN157" s="926">
        <f>(4*BN145/(BL145+BM145+2*BN145)-1)*100</f>
        <v>0.49893236929452467</v>
      </c>
      <c r="BO157" s="926">
        <f>(4*BO145/BN146-1)*100</f>
        <v>0.96515882696079913</v>
      </c>
      <c r="BP157" s="926">
        <f>((BO145+3*BP145)/BN146-1)*100</f>
        <v>1.1314100864400434</v>
      </c>
      <c r="BQ157" s="926">
        <f>((BO145+BP145+2*BQ145)/BN146-1)*100</f>
        <v>1.3270933870710877</v>
      </c>
      <c r="BR157" s="926">
        <f>+(4*BR145/BR146-1)*100</f>
        <v>0.66452909372656244</v>
      </c>
      <c r="BS157" s="926">
        <f>(4*BS145/BR146-1)*100</f>
        <v>0.76173901227405416</v>
      </c>
      <c r="BT157" s="926">
        <f>((BS145+3*BT145)/BR146-1)*100</f>
        <v>1.1309799125633457</v>
      </c>
      <c r="BU157" s="926">
        <f>((BS145+BT145+2*BU145)/BR146-1)*100</f>
        <v>1.2872474697982916</v>
      </c>
      <c r="BV157" s="1519">
        <f>+(4*BV145/BV146-1)*100</f>
        <v>0.56472419756841141</v>
      </c>
      <c r="BW157" s="1519">
        <f>(4*BW145/BV146-1)*100</f>
        <v>0.6173046340375743</v>
      </c>
      <c r="BX157" s="1519">
        <f>((BW145+3*BX145)/BV146-1)*100</f>
        <v>0.74643600007215927</v>
      </c>
      <c r="BY157" s="1519">
        <f>((BW145+BX145+2*BY145)/BV146-1)*100</f>
        <v>0.78097412990976167</v>
      </c>
      <c r="BZ157" s="1519">
        <f>+(4*BZ145/BZ146-1)*100</f>
        <v>-4.8868727340634077E-2</v>
      </c>
      <c r="CA157" s="1519">
        <f>(4*CA145/BZ146-1)*100</f>
        <v>-9.6969883047659522E-2</v>
      </c>
      <c r="CB157" s="1519">
        <f>((CA145+3*CB145)/BZ146-1)*100</f>
        <v>2.4306435064724852E-2</v>
      </c>
      <c r="CC157" s="1519">
        <f>((CA145+CB145+2*CC145)/BZ146-1)*100</f>
        <v>0.15786389931506939</v>
      </c>
      <c r="CD157" s="1519">
        <f>+(4*CD145/CD146-1)*100</f>
        <v>9.4798355465730566E-2</v>
      </c>
      <c r="CE157" s="1519">
        <f>(4*CE145/CD146-1)*100</f>
        <v>0.6784087163382635</v>
      </c>
      <c r="CF157" s="1519">
        <f>((CE145+3*CF145)/CD146-1)*100</f>
        <v>1.0317944996512063</v>
      </c>
      <c r="CG157" s="1519">
        <f>((CE145+CF145+2*CG145)/CD146-1)*100</f>
        <v>2.0451914747915634</v>
      </c>
      <c r="CH157" s="1519">
        <f>+(4*CH145/CH146-1)*100</f>
        <v>0.44694952557098322</v>
      </c>
      <c r="CI157" s="1519">
        <f>(4*CI145/CH146-1)*100</f>
        <v>2.6804423821581436</v>
      </c>
      <c r="CJ157" s="1519">
        <f>((CI145+3*CJ145)/CH146-1)*100</f>
        <v>0.76666524459256813</v>
      </c>
      <c r="CK157" s="1519">
        <f>((CI145+CJ145+2*CK145)/CH146-1)*100</f>
        <v>1.078350427500574</v>
      </c>
      <c r="CL157" s="1519">
        <f>+(4*CL145/CL146-1)*100</f>
        <v>5.5543983892247795E-2</v>
      </c>
      <c r="CM157" s="1519">
        <f>(4*CM145/CL146-1)*100</f>
        <v>0.7686890627944587</v>
      </c>
      <c r="CN157" s="1519">
        <f>((CM145+3*CN145)/CL146-1)*100</f>
        <v>1.1034407514307398</v>
      </c>
      <c r="CO157" s="1519">
        <f>((CM145+CN145+2*CO145)/CL146-1)*100</f>
        <v>2.1548090179625223</v>
      </c>
      <c r="CP157" s="1519">
        <f>+(4*CP145/CP146-1)*100</f>
        <v>0.21499616513069864</v>
      </c>
      <c r="CQ157" s="1519">
        <f>(4*CQ145/CP146-1)*100</f>
        <v>0.3873826712603945</v>
      </c>
      <c r="CR157" s="1519">
        <f>((CQ145+3*CR145)/CP146-1)*100</f>
        <v>0.7701391509721045</v>
      </c>
      <c r="CS157" s="1519">
        <f>((CQ145+CR145+2*CS145)/CP146-1)*100</f>
        <v>1.0126489816291384</v>
      </c>
      <c r="CT157" s="1519">
        <f>+(4*CT145/CT146-1)*100</f>
        <v>0.55837930286899429</v>
      </c>
      <c r="CU157" s="1519">
        <f>(4*CU145/CT146-1)*100</f>
        <v>1.0647490665574688</v>
      </c>
      <c r="CV157" s="1519">
        <f>((CU145+3*CV145)/CT146-1)*100</f>
        <v>1.4586068319225376</v>
      </c>
      <c r="CW157" s="1519">
        <f>((CU145+CV145+2*CW145)/CT146-1)*100</f>
        <v>1.7241971582615312</v>
      </c>
      <c r="CX157" s="1519">
        <f>+(4*CX145/CX146-1)*100</f>
        <v>0.7852506977031215</v>
      </c>
      <c r="CY157" s="1519">
        <f>(4*CY145/CX146-1)*100</f>
        <v>1.215357481469348</v>
      </c>
      <c r="CZ157" s="1519">
        <f>((CY145+3*CZ145)/CX146-1)*100</f>
        <v>1.5375097279913819</v>
      </c>
      <c r="DA157" s="1519">
        <f>((CY145+CZ145+2*DA145)/CX146-1)*100</f>
        <v>1.7428728996287557</v>
      </c>
      <c r="DB157" s="1519">
        <f>+(4*DB145/DB146-1)*100</f>
        <v>0.60703024266708372</v>
      </c>
    </row>
    <row r="158" spans="1:106" s="927" customFormat="1" ht="30" customHeight="1">
      <c r="A158" s="714"/>
      <c r="B158" s="714"/>
      <c r="C158" s="716"/>
      <c r="D158" s="1082"/>
      <c r="E158" s="1461"/>
      <c r="F158" s="1082"/>
      <c r="G158" s="1085"/>
      <c r="H158" s="1462"/>
      <c r="I158" s="1462"/>
      <c r="J158" s="1462"/>
      <c r="K158" s="1085"/>
      <c r="L158" s="1462"/>
      <c r="M158" s="1462"/>
      <c r="N158" s="1462"/>
      <c r="O158" s="1085"/>
      <c r="P158" s="1462"/>
      <c r="Q158" s="1462"/>
      <c r="R158" s="1462"/>
      <c r="S158" s="1085"/>
      <c r="T158" s="1462"/>
      <c r="U158" s="1462"/>
      <c r="V158" s="1462"/>
      <c r="W158" s="1085"/>
      <c r="X158" s="1462"/>
      <c r="Y158" s="1462"/>
      <c r="Z158" s="1462"/>
      <c r="AA158" s="1085"/>
      <c r="AB158" s="1462"/>
      <c r="AC158" s="1462"/>
      <c r="AD158" s="1462"/>
      <c r="AE158" s="1085"/>
      <c r="AF158" s="1462"/>
      <c r="AG158" s="1462"/>
      <c r="AH158" s="1462"/>
      <c r="AI158" s="1085"/>
      <c r="AJ158" s="1462"/>
      <c r="AK158" s="1462"/>
      <c r="AL158" s="1462"/>
      <c r="AM158" s="1085"/>
      <c r="AN158" s="2902"/>
      <c r="AO158" s="2902"/>
      <c r="AP158" s="2902"/>
      <c r="AQ158" s="2902"/>
      <c r="AR158" s="2902"/>
      <c r="AS158" s="2902"/>
      <c r="AT158" s="2902"/>
      <c r="AU158" s="2902"/>
      <c r="AV158" s="2902"/>
      <c r="AW158" s="2902"/>
      <c r="AX158" s="2902"/>
      <c r="AY158" s="2902"/>
      <c r="AZ158" s="2902"/>
      <c r="BA158" s="2902"/>
      <c r="BB158" s="2902"/>
      <c r="BC158" s="2902"/>
      <c r="BD158" s="2902"/>
      <c r="BE158" s="2902"/>
      <c r="BF158" s="2902"/>
      <c r="BG158" s="2902"/>
      <c r="BH158" s="2902"/>
      <c r="BI158" s="2902"/>
      <c r="BJ158" s="2902"/>
      <c r="BK158" s="2902"/>
      <c r="BL158" s="2902"/>
      <c r="BM158" s="2902"/>
      <c r="BN158" s="2902"/>
    </row>
    <row r="159" spans="1:106" s="927" customFormat="1" ht="30" customHeight="1">
      <c r="A159" s="714"/>
      <c r="B159" s="714"/>
      <c r="C159" s="716"/>
      <c r="D159" s="1082"/>
      <c r="E159" s="1461"/>
      <c r="F159" s="1082"/>
      <c r="G159" s="1085"/>
      <c r="H159" s="1462"/>
      <c r="I159" s="1462"/>
      <c r="J159" s="1462"/>
      <c r="K159" s="1085"/>
      <c r="L159" s="1462"/>
      <c r="M159" s="1462"/>
      <c r="N159" s="1462"/>
      <c r="O159" s="1085"/>
      <c r="P159" s="1462"/>
      <c r="Q159" s="1462"/>
      <c r="R159" s="1462"/>
      <c r="S159" s="1085"/>
      <c r="T159" s="1462"/>
      <c r="U159" s="1462"/>
      <c r="V159" s="1462"/>
      <c r="W159" s="1085"/>
      <c r="X159" s="1462"/>
      <c r="Y159" s="1462"/>
      <c r="Z159" s="1462"/>
      <c r="AA159" s="1085"/>
      <c r="AB159" s="1462"/>
      <c r="AC159" s="1462"/>
      <c r="AD159" s="1462"/>
      <c r="AE159" s="1085"/>
      <c r="AF159" s="1462"/>
      <c r="AG159" s="1462"/>
      <c r="AH159" s="1462"/>
      <c r="AI159" s="1085"/>
      <c r="AJ159" s="1462"/>
      <c r="AK159" s="1462"/>
      <c r="AL159" s="1462"/>
      <c r="AM159" s="1085"/>
      <c r="AN159" s="2902"/>
      <c r="AO159" s="2902"/>
      <c r="AP159" s="2902"/>
      <c r="AQ159" s="2902"/>
      <c r="AR159" s="2902"/>
      <c r="AS159" s="2902"/>
      <c r="AT159" s="2902"/>
      <c r="AU159" s="2902"/>
      <c r="AV159" s="2902"/>
      <c r="AW159" s="2902"/>
      <c r="AX159" s="2902"/>
      <c r="AY159" s="2902"/>
      <c r="AZ159" s="2902"/>
      <c r="BA159" s="2902"/>
      <c r="BB159" s="2902"/>
      <c r="BC159" s="2902"/>
      <c r="BD159" s="2902"/>
      <c r="BE159" s="2902"/>
      <c r="BF159" s="2902"/>
      <c r="BG159" s="2902"/>
      <c r="BH159" s="2902"/>
      <c r="BI159" s="2902"/>
      <c r="BJ159" s="2902"/>
      <c r="BK159" s="2902"/>
      <c r="BL159" s="2902"/>
      <c r="BM159" s="2902"/>
      <c r="BN159" s="2902"/>
    </row>
    <row r="160" spans="1:106" ht="30" customHeight="1">
      <c r="C160" s="4124" t="s">
        <v>1445</v>
      </c>
      <c r="D160" s="4124"/>
      <c r="E160" s="4124"/>
      <c r="F160" s="4124"/>
      <c r="AN160" s="1604"/>
      <c r="AO160" s="1604"/>
      <c r="AP160" s="1604"/>
      <c r="AQ160" s="1604"/>
      <c r="AR160" s="1604"/>
      <c r="AS160" s="1604"/>
      <c r="AT160" s="1604"/>
      <c r="AU160" s="1604"/>
      <c r="AV160" s="1604"/>
      <c r="AW160" s="1604"/>
      <c r="AX160" s="1604"/>
      <c r="AY160" s="1604"/>
      <c r="AZ160" s="1604"/>
      <c r="BA160" s="1604"/>
      <c r="BB160" s="1604"/>
      <c r="BC160" s="1604"/>
      <c r="BD160" s="1604"/>
      <c r="BE160" s="1604"/>
      <c r="BF160" s="1604"/>
      <c r="BG160" s="1604"/>
      <c r="BH160" s="1604"/>
      <c r="BI160" s="1380"/>
      <c r="BJ160" s="1380"/>
      <c r="BK160" s="1380"/>
      <c r="BL160" s="1380"/>
      <c r="BM160" s="1380"/>
      <c r="BN160" s="1380"/>
      <c r="BO160" s="1380"/>
      <c r="BP160" s="1380"/>
      <c r="BQ160" s="1380"/>
      <c r="BR160" s="1380"/>
      <c r="BS160" s="1380"/>
      <c r="BT160" s="1380"/>
      <c r="BU160" s="1380"/>
      <c r="BV160" s="1380"/>
      <c r="BW160" s="1380"/>
      <c r="BX160" s="1380"/>
      <c r="BY160" s="1380"/>
      <c r="BZ160" s="1380"/>
      <c r="CA160" s="1380"/>
      <c r="CB160" s="1380"/>
      <c r="CC160" s="1380"/>
      <c r="CD160" s="1380"/>
      <c r="CE160" s="1380"/>
      <c r="CF160" s="1380"/>
      <c r="CG160" s="1380"/>
      <c r="CH160" s="1380"/>
      <c r="CI160" s="1380"/>
      <c r="CJ160" s="1380"/>
      <c r="CK160" s="1380"/>
      <c r="CL160" s="1380"/>
      <c r="CM160" s="1380"/>
      <c r="CN160" s="1380"/>
      <c r="CO160" s="1380"/>
      <c r="CP160" s="1380"/>
      <c r="CQ160" s="1380"/>
      <c r="CR160" s="1380"/>
      <c r="CS160" s="1380"/>
      <c r="CT160" s="1380"/>
      <c r="CU160" s="1380"/>
      <c r="CV160" s="1380"/>
      <c r="CW160" s="1380"/>
      <c r="CX160" s="1380"/>
      <c r="CY160" s="1380"/>
      <c r="CZ160" s="1380"/>
      <c r="DA160" s="1380"/>
      <c r="DB160" s="1380"/>
    </row>
    <row r="161" spans="1:106">
      <c r="BD161" s="1871"/>
      <c r="BJ161" s="1380"/>
      <c r="BK161" s="1604"/>
      <c r="BL161" s="1604"/>
      <c r="BM161" s="1604"/>
      <c r="BN161" s="1604"/>
      <c r="BO161" s="1604"/>
      <c r="BS161" s="1604"/>
      <c r="BW161" s="1604"/>
      <c r="CA161" s="1604"/>
      <c r="CB161" s="1604"/>
      <c r="CC161" s="1604"/>
      <c r="CD161" s="1604"/>
      <c r="CE161" s="1604"/>
      <c r="CF161" s="1604"/>
      <c r="CG161" s="1604"/>
      <c r="CH161" s="1604"/>
      <c r="CI161" s="1604"/>
      <c r="CJ161" s="1604"/>
      <c r="CK161" s="1604"/>
      <c r="CL161" s="1604"/>
      <c r="CM161" s="1604"/>
      <c r="CN161" s="1604"/>
      <c r="CO161" s="1604"/>
      <c r="CP161" s="1604"/>
      <c r="CQ161" s="1604"/>
      <c r="CR161" s="1604"/>
      <c r="CS161" s="1604"/>
      <c r="CT161" s="1604"/>
      <c r="CU161" s="1604"/>
      <c r="CV161" s="1604"/>
      <c r="CW161" s="1604"/>
      <c r="CX161" s="1604"/>
      <c r="CY161" s="1604"/>
      <c r="CZ161" s="1604"/>
      <c r="DA161" s="1604"/>
      <c r="DB161" s="1604"/>
    </row>
    <row r="162" spans="1:106">
      <c r="G162" s="4122">
        <f ca="1">OFFSET(InputY!$G$3,0,(COLUMN()-7)/4)</f>
        <v>1995</v>
      </c>
      <c r="H162" s="4123"/>
      <c r="I162" s="4123"/>
      <c r="J162" s="4123"/>
      <c r="K162" s="4117">
        <f ca="1">OFFSET(InputY!$G$3,0,(COLUMN()-7)/4)</f>
        <v>1996</v>
      </c>
      <c r="L162" s="4118"/>
      <c r="M162" s="4118"/>
      <c r="N162" s="4119"/>
      <c r="O162" s="4117">
        <f ca="1">OFFSET(InputY!$G$3,0,(COLUMN()-7)/4)</f>
        <v>1997</v>
      </c>
      <c r="P162" s="4118"/>
      <c r="Q162" s="4118"/>
      <c r="R162" s="4119"/>
      <c r="S162" s="4117">
        <f ca="1">OFFSET(InputY!$G$3,0,(COLUMN()-7)/4)</f>
        <v>1998</v>
      </c>
      <c r="T162" s="4118"/>
      <c r="U162" s="4118"/>
      <c r="V162" s="4119"/>
      <c r="W162" s="4117">
        <f ca="1">OFFSET(InputY!$G$3,0,(COLUMN()-7)/4)</f>
        <v>1999</v>
      </c>
      <c r="X162" s="4118"/>
      <c r="Y162" s="4118"/>
      <c r="Z162" s="4119"/>
      <c r="AA162" s="4117">
        <f ca="1">OFFSET(InputY!$G$3,0,(COLUMN()-7)/4)</f>
        <v>2000</v>
      </c>
      <c r="AB162" s="4118"/>
      <c r="AC162" s="4118"/>
      <c r="AD162" s="4119"/>
      <c r="AE162" s="4117">
        <f ca="1">OFFSET(InputY!$G$3,0,(COLUMN()-7)/4)</f>
        <v>2001</v>
      </c>
      <c r="AF162" s="4118"/>
      <c r="AG162" s="4118"/>
      <c r="AH162" s="4119"/>
      <c r="AI162" s="4117">
        <f ca="1">OFFSET(InputY!$G$3,0,(COLUMN()-7)/4)</f>
        <v>2002</v>
      </c>
      <c r="AJ162" s="4118"/>
      <c r="AK162" s="4118"/>
      <c r="AL162" s="4119"/>
      <c r="AM162" s="4117">
        <f ca="1">OFFSET(InputY!$G$3,0,(COLUMN()-7)/4)</f>
        <v>2003</v>
      </c>
      <c r="AN162" s="4118"/>
      <c r="AO162" s="4118"/>
      <c r="AP162" s="4119"/>
      <c r="AQ162" s="4117">
        <f ca="1">OFFSET(InputY!$G$3,0,(COLUMN()-7)/4)</f>
        <v>2004</v>
      </c>
      <c r="AR162" s="4118"/>
      <c r="AS162" s="4118"/>
      <c r="AT162" s="4119"/>
      <c r="AU162" s="4117">
        <f ca="1">OFFSET(InputY!$G$3,0,(COLUMN()-7)/4)</f>
        <v>2005</v>
      </c>
      <c r="AV162" s="4118"/>
      <c r="AW162" s="4118"/>
      <c r="AX162" s="4119"/>
      <c r="AY162" s="4117">
        <f ca="1">OFFSET(InputY!$G$3,0,(COLUMN()-7)/4)</f>
        <v>2006</v>
      </c>
      <c r="AZ162" s="4118"/>
      <c r="BA162" s="4118"/>
      <c r="BB162" s="4119"/>
      <c r="BC162" s="4117">
        <f ca="1">OFFSET(InputY!$G$3,0,(COLUMN()-7)/4)</f>
        <v>2007</v>
      </c>
      <c r="BD162" s="4118"/>
      <c r="BE162" s="4118"/>
      <c r="BF162" s="4119"/>
      <c r="BG162" s="4117">
        <f ca="1">OFFSET(InputY!$G$3,0,(COLUMN()-7)/4)</f>
        <v>2008</v>
      </c>
      <c r="BH162" s="4118"/>
      <c r="BI162" s="4118"/>
      <c r="BJ162" s="4119"/>
      <c r="BK162" s="4117">
        <f ca="1">OFFSET(InputY!$G$3,0,(COLUMN()-7)/4)</f>
        <v>2009</v>
      </c>
      <c r="BL162" s="4118"/>
      <c r="BM162" s="4118"/>
      <c r="BN162" s="4119"/>
      <c r="BO162" s="4117">
        <f ca="1">OFFSET(InputY!$G$3,0,(COLUMN()-7)/4)</f>
        <v>2010</v>
      </c>
      <c r="BP162" s="4118"/>
      <c r="BQ162" s="4118"/>
      <c r="BR162" s="4119"/>
      <c r="BS162" s="4117">
        <f ca="1">OFFSET(InputY!$G$3,0,(COLUMN()-7)/4)</f>
        <v>2011</v>
      </c>
      <c r="BT162" s="4118"/>
      <c r="BU162" s="4118"/>
      <c r="BV162" s="4119"/>
      <c r="BW162" s="4117">
        <f ca="1">OFFSET(InputY!$G$3,0,(COLUMN()-7)/4)</f>
        <v>2012</v>
      </c>
      <c r="BX162" s="4118"/>
      <c r="BY162" s="4118"/>
      <c r="BZ162" s="4119"/>
      <c r="CA162" s="4117">
        <f ca="1">OFFSET(InputY!$G$3,0,(COLUMN()-7)/4)</f>
        <v>2013</v>
      </c>
      <c r="CB162" s="4118"/>
      <c r="CC162" s="4118"/>
      <c r="CD162" s="4119"/>
      <c r="CE162" s="4117">
        <f ca="1">OFFSET(InputY!$G$3,0,(COLUMN()-7)/4)</f>
        <v>2014</v>
      </c>
      <c r="CF162" s="4118"/>
      <c r="CG162" s="4118"/>
      <c r="CH162" s="4119"/>
      <c r="CI162" s="4117">
        <f ca="1">OFFSET(InputY!$G$3,0,(COLUMN()-7)/4)</f>
        <v>2015</v>
      </c>
      <c r="CJ162" s="4118"/>
      <c r="CK162" s="4118"/>
      <c r="CL162" s="4119"/>
      <c r="CM162" s="4117">
        <f ca="1">OFFSET(InputY!$G$3,0,(COLUMN()-7)/4)</f>
        <v>2016</v>
      </c>
      <c r="CN162" s="4118"/>
      <c r="CO162" s="4118"/>
      <c r="CP162" s="4119"/>
      <c r="CQ162" s="4117">
        <f ca="1">OFFSET(InputY!$G$3,0,(COLUMN()-7)/4)</f>
        <v>2017</v>
      </c>
      <c r="CR162" s="4118"/>
      <c r="CS162" s="4118"/>
      <c r="CT162" s="4119"/>
      <c r="CU162" s="4117">
        <f ca="1">OFFSET(InputY!$G$3,0,(COLUMN()-7)/4)</f>
        <v>2018</v>
      </c>
      <c r="CV162" s="4118"/>
      <c r="CW162" s="4118"/>
      <c r="CX162" s="4119"/>
      <c r="CY162" s="4117">
        <f ca="1">OFFSET(InputY!$G$3,0,(COLUMN()-7)/4)</f>
        <v>2019</v>
      </c>
      <c r="CZ162" s="4118"/>
      <c r="DA162" s="4118"/>
      <c r="DB162" s="4119"/>
    </row>
    <row r="163" spans="1:106" s="749" customFormat="1" ht="12.75" customHeight="1">
      <c r="A163" s="714"/>
      <c r="B163" s="714"/>
      <c r="C163" s="716"/>
      <c r="D163" s="745"/>
      <c r="E163" s="746" t="s">
        <v>719</v>
      </c>
      <c r="F163" s="747"/>
      <c r="G163" s="1472" t="s">
        <v>364</v>
      </c>
      <c r="H163" s="1473" t="s">
        <v>671</v>
      </c>
      <c r="I163" s="1473" t="s">
        <v>672</v>
      </c>
      <c r="J163" s="1474" t="s">
        <v>673</v>
      </c>
      <c r="K163" s="1472" t="s">
        <v>364</v>
      </c>
      <c r="L163" s="1473" t="s">
        <v>671</v>
      </c>
      <c r="M163" s="1473" t="s">
        <v>672</v>
      </c>
      <c r="N163" s="1474" t="s">
        <v>673</v>
      </c>
      <c r="O163" s="1472" t="s">
        <v>364</v>
      </c>
      <c r="P163" s="1473" t="s">
        <v>671</v>
      </c>
      <c r="Q163" s="1473" t="s">
        <v>672</v>
      </c>
      <c r="R163" s="1474" t="s">
        <v>673</v>
      </c>
      <c r="S163" s="1472" t="s">
        <v>364</v>
      </c>
      <c r="T163" s="1473" t="s">
        <v>671</v>
      </c>
      <c r="U163" s="1473" t="s">
        <v>672</v>
      </c>
      <c r="V163" s="1474" t="s">
        <v>673</v>
      </c>
      <c r="W163" s="1472" t="s">
        <v>364</v>
      </c>
      <c r="X163" s="1473" t="s">
        <v>671</v>
      </c>
      <c r="Y163" s="1473" t="s">
        <v>672</v>
      </c>
      <c r="Z163" s="1474" t="s">
        <v>673</v>
      </c>
      <c r="AA163" s="1472" t="s">
        <v>364</v>
      </c>
      <c r="AB163" s="1473" t="s">
        <v>671</v>
      </c>
      <c r="AC163" s="1473" t="s">
        <v>672</v>
      </c>
      <c r="AD163" s="1474" t="s">
        <v>673</v>
      </c>
      <c r="AE163" s="1472" t="s">
        <v>364</v>
      </c>
      <c r="AF163" s="1473" t="s">
        <v>671</v>
      </c>
      <c r="AG163" s="1473" t="s">
        <v>672</v>
      </c>
      <c r="AH163" s="1474" t="s">
        <v>673</v>
      </c>
      <c r="AI163" s="1472" t="s">
        <v>364</v>
      </c>
      <c r="AJ163" s="1473" t="s">
        <v>671</v>
      </c>
      <c r="AK163" s="1473" t="s">
        <v>672</v>
      </c>
      <c r="AL163" s="1474" t="s">
        <v>673</v>
      </c>
      <c r="AM163" s="1472" t="s">
        <v>364</v>
      </c>
      <c r="AN163" s="1473" t="s">
        <v>671</v>
      </c>
      <c r="AO163" s="1473" t="s">
        <v>672</v>
      </c>
      <c r="AP163" s="1474" t="s">
        <v>673</v>
      </c>
      <c r="AQ163" s="1472" t="s">
        <v>364</v>
      </c>
      <c r="AR163" s="1473" t="s">
        <v>671</v>
      </c>
      <c r="AS163" s="1473" t="s">
        <v>672</v>
      </c>
      <c r="AT163" s="1474" t="s">
        <v>673</v>
      </c>
      <c r="AU163" s="1472" t="s">
        <v>364</v>
      </c>
      <c r="AV163" s="1473" t="s">
        <v>671</v>
      </c>
      <c r="AW163" s="1473" t="s">
        <v>672</v>
      </c>
      <c r="AX163" s="1474" t="s">
        <v>673</v>
      </c>
      <c r="AY163" s="1472" t="s">
        <v>364</v>
      </c>
      <c r="AZ163" s="1473" t="s">
        <v>671</v>
      </c>
      <c r="BA163" s="1473" t="s">
        <v>672</v>
      </c>
      <c r="BB163" s="1474" t="s">
        <v>673</v>
      </c>
      <c r="BC163" s="1472" t="s">
        <v>364</v>
      </c>
      <c r="BD163" s="1473" t="s">
        <v>671</v>
      </c>
      <c r="BE163" s="1473" t="s">
        <v>672</v>
      </c>
      <c r="BF163" s="1474" t="s">
        <v>673</v>
      </c>
      <c r="BG163" s="1472" t="s">
        <v>364</v>
      </c>
      <c r="BH163" s="1473" t="s">
        <v>671</v>
      </c>
      <c r="BI163" s="1473" t="s">
        <v>672</v>
      </c>
      <c r="BJ163" s="1474" t="s">
        <v>673</v>
      </c>
      <c r="BK163" s="1472" t="s">
        <v>364</v>
      </c>
      <c r="BL163" s="1473" t="s">
        <v>671</v>
      </c>
      <c r="BM163" s="1473" t="s">
        <v>672</v>
      </c>
      <c r="BN163" s="1474" t="s">
        <v>673</v>
      </c>
      <c r="BO163" s="1472" t="s">
        <v>364</v>
      </c>
      <c r="BP163" s="1473" t="s">
        <v>671</v>
      </c>
      <c r="BQ163" s="1473" t="s">
        <v>672</v>
      </c>
      <c r="BR163" s="1474" t="s">
        <v>673</v>
      </c>
      <c r="BS163" s="1472" t="s">
        <v>364</v>
      </c>
      <c r="BT163" s="1473" t="s">
        <v>671</v>
      </c>
      <c r="BU163" s="1473" t="s">
        <v>672</v>
      </c>
      <c r="BV163" s="1474" t="s">
        <v>673</v>
      </c>
      <c r="BW163" s="1472" t="s">
        <v>364</v>
      </c>
      <c r="BX163" s="1473" t="s">
        <v>671</v>
      </c>
      <c r="BY163" s="1473" t="s">
        <v>672</v>
      </c>
      <c r="BZ163" s="1474" t="s">
        <v>673</v>
      </c>
      <c r="CA163" s="1472" t="s">
        <v>364</v>
      </c>
      <c r="CB163" s="1473" t="s">
        <v>671</v>
      </c>
      <c r="CC163" s="1473" t="s">
        <v>672</v>
      </c>
      <c r="CD163" s="1474" t="s">
        <v>673</v>
      </c>
      <c r="CE163" s="1472" t="s">
        <v>364</v>
      </c>
      <c r="CF163" s="1473" t="s">
        <v>671</v>
      </c>
      <c r="CG163" s="1473" t="s">
        <v>672</v>
      </c>
      <c r="CH163" s="1474" t="s">
        <v>673</v>
      </c>
      <c r="CI163" s="1472" t="s">
        <v>364</v>
      </c>
      <c r="CJ163" s="1473" t="s">
        <v>671</v>
      </c>
      <c r="CK163" s="1473" t="s">
        <v>672</v>
      </c>
      <c r="CL163" s="1474" t="s">
        <v>673</v>
      </c>
      <c r="CM163" s="1472" t="s">
        <v>364</v>
      </c>
      <c r="CN163" s="1473" t="s">
        <v>671</v>
      </c>
      <c r="CO163" s="1473" t="s">
        <v>672</v>
      </c>
      <c r="CP163" s="1474" t="s">
        <v>673</v>
      </c>
      <c r="CQ163" s="1472" t="s">
        <v>364</v>
      </c>
      <c r="CR163" s="1473" t="s">
        <v>671</v>
      </c>
      <c r="CS163" s="1473" t="s">
        <v>672</v>
      </c>
      <c r="CT163" s="1474" t="s">
        <v>673</v>
      </c>
      <c r="CU163" s="1472" t="s">
        <v>364</v>
      </c>
      <c r="CV163" s="1473" t="s">
        <v>671</v>
      </c>
      <c r="CW163" s="1473" t="s">
        <v>672</v>
      </c>
      <c r="CX163" s="1474" t="s">
        <v>673</v>
      </c>
      <c r="CY163" s="1472" t="s">
        <v>364</v>
      </c>
      <c r="CZ163" s="1473" t="s">
        <v>671</v>
      </c>
      <c r="DA163" s="1473" t="s">
        <v>672</v>
      </c>
      <c r="DB163" s="1474" t="s">
        <v>673</v>
      </c>
    </row>
    <row r="164" spans="1:106" s="749" customFormat="1" ht="12.75" customHeight="1">
      <c r="A164" s="714" t="str">
        <f>"Q" &amp; ROW(InputQ!A9)</f>
        <v>Q9</v>
      </c>
      <c r="C164" s="717"/>
      <c r="D164" s="718"/>
      <c r="E164" s="750" t="s">
        <v>1445</v>
      </c>
      <c r="F164" s="751"/>
      <c r="G164" s="828">
        <f>InputQ!G9/1000</f>
        <v>38.207000000000001</v>
      </c>
      <c r="H164" s="828">
        <f>InputQ!H9/1000</f>
        <v>37.360999999999997</v>
      </c>
      <c r="I164" s="828">
        <f>InputQ!I9/1000</f>
        <v>36.78</v>
      </c>
      <c r="J164" s="828">
        <f>InputQ!J9/1000</f>
        <v>37.485999999999997</v>
      </c>
      <c r="K164" s="828">
        <f>InputQ!K9/1000</f>
        <v>38.347999999999999</v>
      </c>
      <c r="L164" s="828">
        <f>InputQ!L9/1000</f>
        <v>39.168999999999997</v>
      </c>
      <c r="M164" s="828">
        <f>InputQ!M9/1000</f>
        <v>39.497</v>
      </c>
      <c r="N164" s="828">
        <f>InputQ!N9/1000</f>
        <v>40.381</v>
      </c>
      <c r="O164" s="828">
        <f>InputQ!O9/1000</f>
        <v>41.783999999999999</v>
      </c>
      <c r="P164" s="828">
        <f>InputQ!P9/1000</f>
        <v>42.801000000000002</v>
      </c>
      <c r="Q164" s="828">
        <f>InputQ!Q9/1000</f>
        <v>43.524000000000001</v>
      </c>
      <c r="R164" s="828">
        <f>InputQ!R9/1000</f>
        <v>44.107999999999997</v>
      </c>
      <c r="S164" s="828">
        <f>InputQ!S9/1000</f>
        <v>44.485999999999997</v>
      </c>
      <c r="T164" s="828">
        <f>InputQ!T9/1000</f>
        <v>44.929000000000002</v>
      </c>
      <c r="U164" s="828">
        <f>InputQ!U9/1000</f>
        <v>45.402000000000001</v>
      </c>
      <c r="V164" s="828">
        <f>InputQ!V9/1000</f>
        <v>44.765999999999998</v>
      </c>
      <c r="W164" s="828">
        <f>InputQ!W9/1000</f>
        <v>44.753999999999998</v>
      </c>
      <c r="X164" s="828">
        <f>InputQ!X9/1000</f>
        <v>46.232999999999997</v>
      </c>
      <c r="Y164" s="828">
        <f>InputQ!Y9/1000</f>
        <v>48.034999999999997</v>
      </c>
      <c r="Z164" s="828">
        <f>InputQ!Z9/1000</f>
        <v>49.54</v>
      </c>
      <c r="AA164" s="828">
        <f>InputQ!AA9/1000</f>
        <v>51.621000000000002</v>
      </c>
      <c r="AB164" s="828">
        <f>InputQ!AB9/1000</f>
        <v>52.68</v>
      </c>
      <c r="AC164" s="828">
        <f>InputQ!AC9/1000</f>
        <v>53.515000000000001</v>
      </c>
      <c r="AD164" s="828">
        <f>InputQ!AD9/1000</f>
        <v>54.101999999999997</v>
      </c>
      <c r="AE164" s="828">
        <f>InputQ!AE9/1000</f>
        <v>54.02</v>
      </c>
      <c r="AF164" s="828">
        <f>InputQ!AF9/1000</f>
        <v>53.055</v>
      </c>
      <c r="AG164" s="828">
        <f>InputQ!AG9/1000</f>
        <v>52.829000000000001</v>
      </c>
      <c r="AH164" s="828">
        <f>InputQ!AH9/1000</f>
        <v>52.768999999999998</v>
      </c>
      <c r="AI164" s="828">
        <f>InputQ!AI9/1000</f>
        <v>54.228999999999999</v>
      </c>
      <c r="AJ164" s="828">
        <f>InputQ!AJ9/1000</f>
        <v>55.128</v>
      </c>
      <c r="AK164" s="828">
        <f>InputQ!AK9/1000</f>
        <v>55.534999999999997</v>
      </c>
      <c r="AL164" s="828">
        <f>InputQ!AL9/1000</f>
        <v>55.545999999999999</v>
      </c>
      <c r="AM164" s="828">
        <f>InputQ!AM9/1000</f>
        <v>55.146000000000001</v>
      </c>
      <c r="AN164" s="828">
        <f>InputQ!AN9/1000</f>
        <v>55.58</v>
      </c>
      <c r="AO164" s="828">
        <f>InputQ!AO9/1000</f>
        <v>56.000999999999998</v>
      </c>
      <c r="AP164" s="828">
        <f>InputQ!AP9/1000</f>
        <v>57.148000000000003</v>
      </c>
      <c r="AQ164" s="828">
        <f>InputQ!AQ9/1000</f>
        <v>58.058</v>
      </c>
      <c r="AR164" s="828">
        <f>InputQ!AR9/1000</f>
        <v>59.046999999999997</v>
      </c>
      <c r="AS164" s="828">
        <f>InputQ!AS9/1000</f>
        <v>59.878999999999998</v>
      </c>
      <c r="AT164" s="828">
        <f>InputQ!AT9/1000</f>
        <v>60.784999999999997</v>
      </c>
      <c r="AU164" s="828">
        <f>InputQ!AU9/1000</f>
        <v>61.393999999999998</v>
      </c>
      <c r="AV164" s="828">
        <f>InputQ!AV9/1000</f>
        <v>62.247</v>
      </c>
      <c r="AW164" s="828">
        <f>InputQ!AW9/1000</f>
        <v>62.725999999999999</v>
      </c>
      <c r="AX164" s="828">
        <f>InputQ!AX9/1000</f>
        <v>63.365000000000002</v>
      </c>
      <c r="AY164" s="828">
        <f>InputQ!AY9/1000</f>
        <v>64.653999999999996</v>
      </c>
      <c r="AZ164" s="828">
        <f>InputQ!AZ9/1000</f>
        <v>65.402000000000001</v>
      </c>
      <c r="BA164" s="828">
        <f>InputQ!BA9/1000</f>
        <v>66.049000000000007</v>
      </c>
      <c r="BB164" s="828">
        <f>InputQ!BB9/1000</f>
        <v>66.799000000000007</v>
      </c>
      <c r="BC164" s="828">
        <f>InputQ!BC9/1000</f>
        <v>68.686999999999998</v>
      </c>
      <c r="BD164" s="828">
        <f>InputQ!BD9/1000</f>
        <v>69.441999999999993</v>
      </c>
      <c r="BE164" s="828">
        <f>InputQ!BE9/1000</f>
        <v>69.835999999999999</v>
      </c>
      <c r="BF164" s="828">
        <f>InputQ!BF9/1000</f>
        <v>69.938999999999993</v>
      </c>
      <c r="BG164" s="828">
        <f>InputQ!BG9/1000</f>
        <v>71.191000000000003</v>
      </c>
      <c r="BH164" s="828">
        <f>InputQ!BH9/1000</f>
        <v>73.248000000000005</v>
      </c>
      <c r="BI164" s="828">
        <f>InputQ!BI9/1000</f>
        <v>72.781000000000006</v>
      </c>
      <c r="BJ164" s="2956">
        <f>InputQ!BJ9/1000</f>
        <v>65.448999999999998</v>
      </c>
      <c r="BK164" s="2956">
        <f>InputQ!BK9/1000</f>
        <v>61.835999999999999</v>
      </c>
      <c r="BL164" s="2956">
        <f>InputQ!BL9/1000</f>
        <v>62.468000000000004</v>
      </c>
      <c r="BM164" s="2956">
        <f>InputQ!BM9/1000</f>
        <v>65.114999999999995</v>
      </c>
      <c r="BN164" s="2956">
        <f>InputQ!BN9/1000</f>
        <v>66.585999999999999</v>
      </c>
      <c r="BO164" s="2956">
        <f>InputQ!BO9/1000</f>
        <v>67.346000000000004</v>
      </c>
      <c r="BP164" s="2956">
        <f>InputQ!BP9/1000</f>
        <v>70.872</v>
      </c>
      <c r="BQ164" s="2956">
        <f>InputQ!BQ9/1000</f>
        <v>71.933000000000007</v>
      </c>
      <c r="BR164" s="2956">
        <f>InputQ!BR9/1000</f>
        <v>72.305999999999997</v>
      </c>
      <c r="BS164" s="2956">
        <f>InputQ!BS9/1000</f>
        <v>74.930999999999997</v>
      </c>
      <c r="BT164" s="2956">
        <f>InputQ!BT9/1000</f>
        <v>75.728999999999999</v>
      </c>
      <c r="BU164" s="2956">
        <f>InputQ!BU9/1000</f>
        <v>76.635000000000005</v>
      </c>
      <c r="BV164" s="2956">
        <f>InputQ!BV9/1000</f>
        <v>74.138000000000005</v>
      </c>
      <c r="BW164" s="2956">
        <f>InputQ!BW9/1000</f>
        <v>76.277000000000001</v>
      </c>
      <c r="BX164" s="2956">
        <f>InputQ!BX9/1000</f>
        <v>75.748999999999995</v>
      </c>
      <c r="BY164" s="2956">
        <f>InputQ!BY9/1000</f>
        <v>75.212999999999994</v>
      </c>
      <c r="BZ164" s="2956">
        <f>InputQ!BZ9/1000</f>
        <v>75.212999999999994</v>
      </c>
      <c r="CA164" s="2956">
        <f>InputQ!CA9/1000</f>
        <v>74.980999999999995</v>
      </c>
      <c r="CB164" s="2956">
        <f>InputQ!CB9/1000</f>
        <v>75.438000000000002</v>
      </c>
      <c r="CC164" s="2956">
        <f>InputQ!CC9/1000</f>
        <v>76.778000000000006</v>
      </c>
      <c r="CD164" s="2956">
        <f>InputQ!CD9/1000</f>
        <v>77.944000000000003</v>
      </c>
      <c r="CE164" s="2956">
        <f>InputQ!CE9/1000</f>
        <v>78.727999999999994</v>
      </c>
      <c r="CF164" s="2956">
        <f>InputQ!CF9/1000</f>
        <v>79.762</v>
      </c>
      <c r="CG164" s="2956">
        <f>InputQ!CG9/1000</f>
        <v>80.959999999999994</v>
      </c>
      <c r="CH164" s="2956">
        <f>InputQ!CH9/1000</f>
        <v>81.510000000000005</v>
      </c>
      <c r="CI164" s="2956">
        <f>InputQ!CI9/1000</f>
        <v>81.263999999999996</v>
      </c>
      <c r="CJ164" s="2956">
        <f>InputQ!CJ9/1000</f>
        <v>82.941999999999993</v>
      </c>
      <c r="CK164" s="2956">
        <f>InputQ!CK9/1000</f>
        <v>82.183000000000007</v>
      </c>
      <c r="CL164" s="2956">
        <f>InputQ!CL9/1000</f>
        <v>85.102000000000004</v>
      </c>
      <c r="CM164" s="2956">
        <f>InputQ!CM9/1000</f>
        <v>84.394999999999996</v>
      </c>
      <c r="CN164" s="2956">
        <f>InputQ!CN9/1000</f>
        <v>89.275999999999996</v>
      </c>
      <c r="CO164" s="2956">
        <f>InputQ!CO9/1000</f>
        <v>90.084999999999994</v>
      </c>
      <c r="CP164" s="2956">
        <f>InputQ!CP9/1000</f>
        <v>92.653999999999996</v>
      </c>
      <c r="CQ164" s="2956">
        <f>InputQ!CQ9/1000</f>
        <v>92.453000000000003</v>
      </c>
      <c r="CR164" s="2956">
        <f>InputQ!CR9/1000</f>
        <v>93.097999999999999</v>
      </c>
      <c r="CS164" s="2956">
        <f>InputQ!CS9/1000</f>
        <v>92.563999999999993</v>
      </c>
      <c r="CT164" s="2956">
        <f>InputQ!CT9/1000</f>
        <v>94.37</v>
      </c>
      <c r="CU164" s="1496">
        <f t="shared" ref="CU164" si="856">CT164*(1+CU169/100)</f>
        <v>95.766676000000004</v>
      </c>
      <c r="CV164" s="1496">
        <f t="shared" ref="CV164" si="857">CU164*(1+CV169/100)</f>
        <v>97.251059478000016</v>
      </c>
      <c r="CW164" s="1496">
        <f t="shared" ref="CW164" si="858">CV164*(1+CW169/100)</f>
        <v>98.563948780953027</v>
      </c>
      <c r="CX164" s="1496">
        <f t="shared" ref="CX164" si="859">CW164*(1+CX169/100)</f>
        <v>99.795998140714929</v>
      </c>
      <c r="CY164" s="1496">
        <f t="shared" ref="CY164" si="860">CX164*(1+CY169/100)</f>
        <v>100.90373372007687</v>
      </c>
      <c r="CZ164" s="1496">
        <f t="shared" ref="CZ164" si="861">CY164*(1+CZ169/100)</f>
        <v>101.83204807030158</v>
      </c>
      <c r="DA164" s="1496">
        <f t="shared" ref="DA164" si="862">CZ164*(1+DA169/100)</f>
        <v>102.6161548404429</v>
      </c>
      <c r="DB164" s="1496">
        <f t="shared" ref="DB164" si="863">DA164*(1+DB169/100)</f>
        <v>103.33446792432599</v>
      </c>
    </row>
    <row r="165" spans="1:106" s="26" customFormat="1">
      <c r="A165" s="723"/>
      <c r="B165" s="723"/>
      <c r="C165" s="737"/>
      <c r="D165" s="733"/>
      <c r="E165" s="734" t="s">
        <v>357</v>
      </c>
      <c r="F165" s="735"/>
      <c r="G165" s="1476"/>
      <c r="H165" s="1477"/>
      <c r="I165" s="1477"/>
      <c r="J165" s="1481">
        <f>SUM(G164:J164)</f>
        <v>149.834</v>
      </c>
      <c r="K165" s="1476"/>
      <c r="L165" s="1477"/>
      <c r="M165" s="1477"/>
      <c r="N165" s="1481">
        <f>SUM(K164:N164)</f>
        <v>157.39499999999998</v>
      </c>
      <c r="O165" s="1476"/>
      <c r="P165" s="1477"/>
      <c r="Q165" s="1477"/>
      <c r="R165" s="1481">
        <f>SUM(O164:R164)</f>
        <v>172.21700000000001</v>
      </c>
      <c r="S165" s="1476"/>
      <c r="T165" s="1477"/>
      <c r="U165" s="1477"/>
      <c r="V165" s="1481">
        <f>SUM(S164:V164)</f>
        <v>179.583</v>
      </c>
      <c r="W165" s="1476"/>
      <c r="X165" s="1477"/>
      <c r="Y165" s="1477"/>
      <c r="Z165" s="1481">
        <f>SUM(W164:Z164)</f>
        <v>188.56199999999998</v>
      </c>
      <c r="AA165" s="1476"/>
      <c r="AB165" s="1477"/>
      <c r="AC165" s="1477"/>
      <c r="AD165" s="1481">
        <f>SUM(AA164:AD164)</f>
        <v>211.91800000000001</v>
      </c>
      <c r="AE165" s="1476"/>
      <c r="AF165" s="1477"/>
      <c r="AG165" s="1477"/>
      <c r="AH165" s="1481">
        <f>SUM(AE164:AH164)</f>
        <v>212.673</v>
      </c>
      <c r="AI165" s="1476"/>
      <c r="AJ165" s="1477"/>
      <c r="AK165" s="1477"/>
      <c r="AL165" s="1481">
        <f>SUM(AI164:AL164)</f>
        <v>220.43799999999999</v>
      </c>
      <c r="AM165" s="1476"/>
      <c r="AN165" s="1477"/>
      <c r="AO165" s="1477"/>
      <c r="AP165" s="1481">
        <f>SUM(AM164:AP164)</f>
        <v>223.875</v>
      </c>
      <c r="AQ165" s="1476"/>
      <c r="AR165" s="1477"/>
      <c r="AS165" s="1477"/>
      <c r="AT165" s="1481">
        <f>SUM(AQ164:AT164)</f>
        <v>237.76899999999998</v>
      </c>
      <c r="AU165" s="1476"/>
      <c r="AV165" s="1477"/>
      <c r="AW165" s="1477"/>
      <c r="AX165" s="1481">
        <f>SUM(AU164:AX164)</f>
        <v>249.732</v>
      </c>
      <c r="AY165" s="1476"/>
      <c r="AZ165" s="1477"/>
      <c r="BA165" s="912"/>
      <c r="BB165" s="1497">
        <f>SUM(AY164:BB164)</f>
        <v>262.904</v>
      </c>
      <c r="BC165" s="912"/>
      <c r="BD165" s="912"/>
      <c r="BE165" s="912"/>
      <c r="BF165" s="1497">
        <f>SUM(BC164:BF164)</f>
        <v>277.904</v>
      </c>
      <c r="BG165" s="912"/>
      <c r="BH165" s="912"/>
      <c r="BI165" s="912"/>
      <c r="BJ165" s="1497">
        <f>SUM(BG164:BJ164)</f>
        <v>282.66900000000004</v>
      </c>
      <c r="BK165" s="912"/>
      <c r="BL165" s="912"/>
      <c r="BM165" s="912"/>
      <c r="BN165" s="1497">
        <f>SUM(BK164:BN164)</f>
        <v>256.005</v>
      </c>
      <c r="BO165" s="912"/>
      <c r="BP165" s="912"/>
      <c r="BQ165" s="912"/>
      <c r="BR165" s="1497">
        <f>SUM(BO164:BR164)</f>
        <v>282.45699999999999</v>
      </c>
      <c r="BS165" s="912"/>
      <c r="BT165" s="912"/>
      <c r="BU165" s="912"/>
      <c r="BV165" s="1497">
        <f>SUM(BS164:BV164)</f>
        <v>301.43299999999999</v>
      </c>
      <c r="BW165" s="912"/>
      <c r="BX165" s="912"/>
      <c r="BY165" s="912"/>
      <c r="BZ165" s="1497">
        <f>SUM(BW164:BZ164)</f>
        <v>302.452</v>
      </c>
      <c r="CA165" s="912"/>
      <c r="CB165" s="912"/>
      <c r="CC165" s="912"/>
      <c r="CD165" s="1497">
        <f>SUM(CA164:CD164)</f>
        <v>305.14100000000002</v>
      </c>
      <c r="CE165" s="912"/>
      <c r="CF165" s="912"/>
      <c r="CG165" s="912"/>
      <c r="CH165" s="1497">
        <f>SUM(CE164:CH164)</f>
        <v>320.95999999999998</v>
      </c>
      <c r="CI165" s="912"/>
      <c r="CJ165" s="912"/>
      <c r="CK165" s="912"/>
      <c r="CL165" s="1497">
        <f>SUM(CI164:CL164)</f>
        <v>331.49099999999999</v>
      </c>
      <c r="CM165" s="912"/>
      <c r="CN165" s="912"/>
      <c r="CO165" s="912"/>
      <c r="CP165" s="1497">
        <f>SUM(CM164:CP164)</f>
        <v>356.40999999999997</v>
      </c>
      <c r="CQ165" s="912"/>
      <c r="CR165" s="912"/>
      <c r="CS165" s="912"/>
      <c r="CT165" s="1497">
        <f>SUM(CQ164:CT164)</f>
        <v>372.48500000000001</v>
      </c>
      <c r="CU165" s="912"/>
      <c r="CV165" s="912"/>
      <c r="CW165" s="912"/>
      <c r="CX165" s="1497">
        <f>SUM(CU164:CX164)</f>
        <v>391.37768239966795</v>
      </c>
      <c r="CY165" s="912"/>
      <c r="CZ165" s="912"/>
      <c r="DA165" s="912"/>
      <c r="DB165" s="1497">
        <f>SUM(CY164:DB164)</f>
        <v>408.68640455514731</v>
      </c>
    </row>
    <row r="166" spans="1:106" s="749" customFormat="1" ht="12.75" customHeight="1">
      <c r="A166" s="714"/>
      <c r="B166" s="714"/>
      <c r="C166" s="719"/>
      <c r="D166" s="729"/>
      <c r="E166" s="1478" t="s">
        <v>675</v>
      </c>
      <c r="F166" s="729"/>
      <c r="G166" s="1479"/>
      <c r="H166" s="2801" t="s">
        <v>543</v>
      </c>
      <c r="I166" s="2802">
        <f ca="1">+J166/J165*100</f>
        <v>105.2331246579548</v>
      </c>
      <c r="J166" s="1480">
        <f ca="1">OFFSET('VVP2'!$G$90,0,(COLUMN()-10)/4)</f>
        <v>157.67500000000001</v>
      </c>
      <c r="K166" s="1479"/>
      <c r="L166" s="2801" t="s">
        <v>543</v>
      </c>
      <c r="M166" s="2802">
        <f ca="1">+N166/N165*100</f>
        <v>98.809771593760942</v>
      </c>
      <c r="N166" s="1480">
        <f ca="1">OFFSET('VVP2'!$G$90,0,(COLUMN()-10)/4)</f>
        <v>155.52164000000002</v>
      </c>
      <c r="O166" s="1479"/>
      <c r="P166" s="2801" t="s">
        <v>543</v>
      </c>
      <c r="Q166" s="2802">
        <f ca="1">+R166/R165*100</f>
        <v>98.81273045053625</v>
      </c>
      <c r="R166" s="1480">
        <f ca="1">OFFSET('VVP2'!$G$90,0,(COLUMN()-10)/4)</f>
        <v>170.17232000000001</v>
      </c>
      <c r="S166" s="1479"/>
      <c r="T166" s="2801" t="s">
        <v>543</v>
      </c>
      <c r="U166" s="2802">
        <f ca="1">+V166/V165*100</f>
        <v>98.813261834360716</v>
      </c>
      <c r="V166" s="1480">
        <f ca="1">OFFSET('VVP2'!$G$90,0,(COLUMN()-10)/4)</f>
        <v>177.45182</v>
      </c>
      <c r="W166" s="1479"/>
      <c r="X166" s="2801" t="s">
        <v>543</v>
      </c>
      <c r="Y166" s="2802">
        <f ca="1">+Z166/Z165*100</f>
        <v>98.812979285327913</v>
      </c>
      <c r="Z166" s="1480">
        <f ca="1">OFFSET('VVP2'!$G$90,0,(COLUMN()-10)/4)</f>
        <v>186.32373000000001</v>
      </c>
      <c r="AA166" s="1479"/>
      <c r="AB166" s="2801" t="s">
        <v>543</v>
      </c>
      <c r="AC166" s="2802">
        <f ca="1">+AD166/AD165*100</f>
        <v>98.832029369850588</v>
      </c>
      <c r="AD166" s="1480">
        <f ca="1">OFFSET('VVP2'!$G$90,0,(COLUMN()-10)/4)</f>
        <v>209.44286</v>
      </c>
      <c r="AE166" s="1479"/>
      <c r="AF166" s="2801" t="s">
        <v>543</v>
      </c>
      <c r="AG166" s="2802">
        <f ca="1">+AH166/AH165*100</f>
        <v>98.813525929478587</v>
      </c>
      <c r="AH166" s="1480">
        <f ca="1">OFFSET('VVP2'!$G$90,0,(COLUMN()-10)/4)</f>
        <v>210.14968999999999</v>
      </c>
      <c r="AI166" s="1479"/>
      <c r="AJ166" s="2801" t="s">
        <v>543</v>
      </c>
      <c r="AK166" s="2802">
        <f ca="1">+AL166/AL165*100</f>
        <v>98.812636659741074</v>
      </c>
      <c r="AL166" s="1480">
        <f ca="1">OFFSET('VVP2'!$G$90,0,(COLUMN()-10)/4)</f>
        <v>217.82060000000001</v>
      </c>
      <c r="AM166" s="1479"/>
      <c r="AN166" s="2801" t="s">
        <v>543</v>
      </c>
      <c r="AO166" s="2802">
        <f ca="1">+AP166/AP165*100</f>
        <v>98.812556113902843</v>
      </c>
      <c r="AP166" s="1480">
        <f ca="1">OFFSET('VVP2'!$G$90,0,(COLUMN()-10)/4)</f>
        <v>221.21660999999997</v>
      </c>
      <c r="AQ166" s="1479"/>
      <c r="AR166" s="2801" t="s">
        <v>543</v>
      </c>
      <c r="AS166" s="2802">
        <f ca="1">+AT166/AT165*100</f>
        <v>98.810273837211753</v>
      </c>
      <c r="AT166" s="1480">
        <f ca="1">OFFSET('VVP2'!$G$90,0,(COLUMN()-10)/4)</f>
        <v>234.9402</v>
      </c>
      <c r="AU166" s="1479"/>
      <c r="AV166" s="2801" t="s">
        <v>543</v>
      </c>
      <c r="AW166" s="2802">
        <f ca="1">+AX166/AX165*100</f>
        <v>98.822505726138431</v>
      </c>
      <c r="AX166" s="1480">
        <f ca="1">OFFSET('VVP2'!$G$90,0,(COLUMN()-10)/4)</f>
        <v>246.79142000000002</v>
      </c>
      <c r="AY166" s="1479"/>
      <c r="AZ166" s="2801" t="s">
        <v>543</v>
      </c>
      <c r="BA166" s="2802">
        <f ca="1">+BB166/BB165*100</f>
        <v>98.823353771718942</v>
      </c>
      <c r="BB166" s="1498">
        <f ca="1">OFFSET('VVP2'!$G$90,0,(COLUMN()-10)/4)</f>
        <v>259.81054999999998</v>
      </c>
      <c r="BC166" s="1479"/>
      <c r="BD166" s="2801" t="s">
        <v>543</v>
      </c>
      <c r="BE166" s="2802">
        <f ca="1">+BF166/BF165*100</f>
        <v>98.815252749150787</v>
      </c>
      <c r="BF166" s="1498">
        <f ca="1">OFFSET('VVP2'!$G$90,0,(COLUMN()-10)/4)</f>
        <v>274.61153999999999</v>
      </c>
      <c r="BG166" s="1479"/>
      <c r="BH166" s="2801" t="s">
        <v>543</v>
      </c>
      <c r="BI166" s="2802">
        <f ca="1">+BJ166/BJ165*100</f>
        <v>98.81148976364581</v>
      </c>
      <c r="BJ166" s="1498">
        <f ca="1">OFFSET('VVP2'!$G$90,0,(COLUMN()-10)/4)</f>
        <v>279.30945000000003</v>
      </c>
      <c r="BK166" s="1479"/>
      <c r="BL166" s="2801" t="s">
        <v>543</v>
      </c>
      <c r="BM166" s="2802">
        <f ca="1">+BN166/BN165*100</f>
        <v>98.815984062811268</v>
      </c>
      <c r="BN166" s="1498">
        <f ca="1">OFFSET('VVP2'!$G$90,0,(COLUMN()-10)/4)</f>
        <v>252.97385999999997</v>
      </c>
      <c r="BO166" s="1479"/>
      <c r="BP166" s="2801" t="s">
        <v>543</v>
      </c>
      <c r="BQ166" s="2802">
        <f ca="1">+BR166/BR165*100</f>
        <v>98.816350807379521</v>
      </c>
      <c r="BR166" s="1498">
        <f ca="1">OFFSET('VVP2'!$G$90,0,(COLUMN()-10)/4)</f>
        <v>279.11369999999999</v>
      </c>
      <c r="BS166" s="1479"/>
      <c r="BT166" s="2801" t="s">
        <v>543</v>
      </c>
      <c r="BU166" s="2802">
        <f ca="1">+BV166/BV165*100</f>
        <v>98.816141563796933</v>
      </c>
      <c r="BV166" s="1498">
        <f ca="1">OFFSET('VVP2'!$G$90,0,(COLUMN()-10)/4)</f>
        <v>297.86446000000001</v>
      </c>
      <c r="BW166" s="1479"/>
      <c r="BX166" s="2801" t="s">
        <v>543</v>
      </c>
      <c r="BY166" s="2802">
        <f ca="1">+BZ166/BZ165*100</f>
        <v>98.81601378069908</v>
      </c>
      <c r="BZ166" s="1498">
        <f ca="1">OFFSET('VVP2'!$G$90,0,(COLUMN()-10)/4)</f>
        <v>298.87101000000001</v>
      </c>
      <c r="CA166" s="1479"/>
      <c r="CB166" s="2801" t="s">
        <v>543</v>
      </c>
      <c r="CC166" s="2802">
        <f ca="1">+CD166/CD165*100</f>
        <v>98.815819571935592</v>
      </c>
      <c r="CD166" s="1498">
        <f ca="1">OFFSET('VVP2'!$G$90,0,(COLUMN()-10)/4)</f>
        <v>301.52758</v>
      </c>
      <c r="CE166" s="1479"/>
      <c r="CF166" s="2801" t="s">
        <v>543</v>
      </c>
      <c r="CG166" s="2802">
        <f ca="1">+CH166/CH165*100</f>
        <v>98.816083000997011</v>
      </c>
      <c r="CH166" s="1498">
        <f ca="1">OFFSET('VVP2'!$G$90,0,(COLUMN()-10)/4)</f>
        <v>317.1601</v>
      </c>
      <c r="CI166" s="1479"/>
      <c r="CJ166" s="2801" t="s">
        <v>543</v>
      </c>
      <c r="CK166" s="2802">
        <f ca="1">+CL166/CL165*100</f>
        <v>98.816353988494413</v>
      </c>
      <c r="CL166" s="1498">
        <f ca="1">OFFSET('VVP2'!$G$90,0,(COLUMN()-10)/4)</f>
        <v>327.56732</v>
      </c>
      <c r="CM166" s="1479"/>
      <c r="CN166" s="2801" t="s">
        <v>543</v>
      </c>
      <c r="CO166" s="2802">
        <f ca="1">+CP166/CP165*100</f>
        <v>98.816315479363652</v>
      </c>
      <c r="CP166" s="1498">
        <f ca="1">OFFSET('VVP2'!$G$90,0,(COLUMN()-10)/4)</f>
        <v>352.19122999999996</v>
      </c>
      <c r="CQ166" s="1479"/>
      <c r="CR166" s="2801" t="s">
        <v>543</v>
      </c>
      <c r="CS166" s="2802">
        <f ca="1">+CT166/CT165*100</f>
        <v>98.816070445789762</v>
      </c>
      <c r="CT166" s="1498">
        <f ca="1">OFFSET('VVP2'!$G$90,0,(COLUMN()-10)/4)</f>
        <v>368.07504</v>
      </c>
      <c r="CU166" s="1479"/>
      <c r="CV166" s="2801" t="s">
        <v>543</v>
      </c>
      <c r="CW166" s="2802">
        <f ca="1">+CX166/CX165*100</f>
        <v>98.720944160983819</v>
      </c>
      <c r="CX166" s="1498">
        <f ca="1">OFFSET('VVP2'!$G$90,0,(COLUMN()-10)/4)</f>
        <v>386.37174330032877</v>
      </c>
      <c r="CY166" s="1479"/>
      <c r="CZ166" s="2801" t="s">
        <v>543</v>
      </c>
      <c r="DA166" s="2802">
        <f ca="1">+DB166/DB165*100</f>
        <v>98.695445788076057</v>
      </c>
      <c r="DB166" s="1498">
        <f ca="1">OFFSET('VVP2'!$G$90,0,(COLUMN()-10)/4)</f>
        <v>403.35486885096265</v>
      </c>
    </row>
    <row r="167" spans="1:106">
      <c r="AY167" s="218"/>
      <c r="BD167" s="1380"/>
      <c r="BG167" s="1604"/>
      <c r="BH167" s="1604"/>
      <c r="BI167" s="1604"/>
      <c r="BJ167" s="1604"/>
      <c r="BK167" s="1604"/>
      <c r="BM167" s="1380"/>
      <c r="BN167" s="1380"/>
      <c r="BO167" s="1604"/>
      <c r="BP167" s="577"/>
      <c r="BQ167" s="577"/>
      <c r="BR167" s="577"/>
      <c r="BS167" s="577"/>
      <c r="BT167" s="577"/>
      <c r="BU167" s="577"/>
      <c r="BV167" s="577"/>
      <c r="BW167" s="577"/>
      <c r="BX167" s="577"/>
      <c r="BY167" s="577"/>
      <c r="BZ167" s="577"/>
      <c r="CA167" s="577"/>
      <c r="CB167" s="577"/>
      <c r="CC167" s="577"/>
      <c r="CD167" s="577"/>
      <c r="CE167" s="577"/>
      <c r="CF167" s="577"/>
      <c r="CG167" s="577"/>
      <c r="CH167" s="577"/>
      <c r="CI167" s="577"/>
      <c r="CJ167" s="577"/>
      <c r="CK167" s="577"/>
      <c r="CL167" s="577"/>
      <c r="CM167" s="577"/>
      <c r="CN167" s="577"/>
      <c r="CO167" s="577"/>
      <c r="CP167" s="577"/>
      <c r="CQ167" s="577"/>
      <c r="CR167" s="577"/>
      <c r="CS167" s="577"/>
      <c r="CT167" s="577"/>
      <c r="CU167" s="577"/>
      <c r="CV167" s="577"/>
      <c r="CW167" s="577"/>
      <c r="CX167" s="577"/>
      <c r="CY167" s="577"/>
      <c r="CZ167" s="577"/>
      <c r="DA167" s="577"/>
      <c r="DB167" s="577"/>
    </row>
    <row r="168" spans="1:106" s="749" customFormat="1" ht="12.75" customHeight="1">
      <c r="A168" s="714"/>
      <c r="B168" s="714"/>
      <c r="C168" s="1456"/>
      <c r="D168" s="790"/>
      <c r="E168" s="791" t="s">
        <v>73</v>
      </c>
      <c r="F168" s="792"/>
      <c r="G168" s="1484" t="str">
        <f t="shared" ref="G168:BF168" si="864">G163</f>
        <v>Q1</v>
      </c>
      <c r="H168" s="1485" t="str">
        <f t="shared" si="864"/>
        <v>Q2</v>
      </c>
      <c r="I168" s="1485" t="str">
        <f t="shared" si="864"/>
        <v>Q3</v>
      </c>
      <c r="J168" s="1486" t="str">
        <f t="shared" si="864"/>
        <v>Q4</v>
      </c>
      <c r="K168" s="1484" t="str">
        <f t="shared" si="864"/>
        <v>Q1</v>
      </c>
      <c r="L168" s="1485" t="str">
        <f t="shared" si="864"/>
        <v>Q2</v>
      </c>
      <c r="M168" s="1485" t="str">
        <f t="shared" si="864"/>
        <v>Q3</v>
      </c>
      <c r="N168" s="1486" t="str">
        <f t="shared" si="864"/>
        <v>Q4</v>
      </c>
      <c r="O168" s="1484" t="str">
        <f>O163</f>
        <v>Q1</v>
      </c>
      <c r="P168" s="1485" t="str">
        <f>P163</f>
        <v>Q2</v>
      </c>
      <c r="Q168" s="1485" t="str">
        <f>Q163</f>
        <v>Q3</v>
      </c>
      <c r="R168" s="1486" t="str">
        <f>R163</f>
        <v>Q4</v>
      </c>
      <c r="S168" s="1484" t="str">
        <f t="shared" si="864"/>
        <v>Q1</v>
      </c>
      <c r="T168" s="1485" t="str">
        <f t="shared" si="864"/>
        <v>Q2</v>
      </c>
      <c r="U168" s="1485" t="str">
        <f t="shared" si="864"/>
        <v>Q3</v>
      </c>
      <c r="V168" s="1486" t="str">
        <f t="shared" si="864"/>
        <v>Q4</v>
      </c>
      <c r="W168" s="1484" t="str">
        <f t="shared" si="864"/>
        <v>Q1</v>
      </c>
      <c r="X168" s="1485" t="str">
        <f t="shared" si="864"/>
        <v>Q2</v>
      </c>
      <c r="Y168" s="1485" t="str">
        <f t="shared" si="864"/>
        <v>Q3</v>
      </c>
      <c r="Z168" s="1486" t="str">
        <f t="shared" si="864"/>
        <v>Q4</v>
      </c>
      <c r="AA168" s="1484" t="str">
        <f t="shared" si="864"/>
        <v>Q1</v>
      </c>
      <c r="AB168" s="1485" t="str">
        <f t="shared" si="864"/>
        <v>Q2</v>
      </c>
      <c r="AC168" s="1485" t="str">
        <f t="shared" si="864"/>
        <v>Q3</v>
      </c>
      <c r="AD168" s="1486" t="str">
        <f t="shared" si="864"/>
        <v>Q4</v>
      </c>
      <c r="AE168" s="1484" t="str">
        <f t="shared" si="864"/>
        <v>Q1</v>
      </c>
      <c r="AF168" s="1485" t="str">
        <f t="shared" si="864"/>
        <v>Q2</v>
      </c>
      <c r="AG168" s="1485" t="str">
        <f t="shared" si="864"/>
        <v>Q3</v>
      </c>
      <c r="AH168" s="1486" t="str">
        <f t="shared" si="864"/>
        <v>Q4</v>
      </c>
      <c r="AI168" s="1484" t="str">
        <f t="shared" si="864"/>
        <v>Q1</v>
      </c>
      <c r="AJ168" s="1485" t="str">
        <f t="shared" si="864"/>
        <v>Q2</v>
      </c>
      <c r="AK168" s="1485" t="str">
        <f t="shared" si="864"/>
        <v>Q3</v>
      </c>
      <c r="AL168" s="1486" t="str">
        <f t="shared" si="864"/>
        <v>Q4</v>
      </c>
      <c r="AM168" s="1484" t="str">
        <f t="shared" si="864"/>
        <v>Q1</v>
      </c>
      <c r="AN168" s="1485" t="str">
        <f t="shared" si="864"/>
        <v>Q2</v>
      </c>
      <c r="AO168" s="1485" t="str">
        <f t="shared" si="864"/>
        <v>Q3</v>
      </c>
      <c r="AP168" s="1486" t="str">
        <f t="shared" si="864"/>
        <v>Q4</v>
      </c>
      <c r="AQ168" s="1484" t="str">
        <f>AQ163</f>
        <v>Q1</v>
      </c>
      <c r="AR168" s="1485" t="str">
        <f>AR163</f>
        <v>Q2</v>
      </c>
      <c r="AS168" s="1485" t="str">
        <f>AS163</f>
        <v>Q3</v>
      </c>
      <c r="AT168" s="1486" t="str">
        <f>AT163</f>
        <v>Q4</v>
      </c>
      <c r="AU168" s="1484" t="str">
        <f t="shared" si="864"/>
        <v>Q1</v>
      </c>
      <c r="AV168" s="1485" t="str">
        <f t="shared" si="864"/>
        <v>Q2</v>
      </c>
      <c r="AW168" s="1485" t="str">
        <f t="shared" si="864"/>
        <v>Q3</v>
      </c>
      <c r="AX168" s="1486" t="str">
        <f t="shared" si="864"/>
        <v>Q4</v>
      </c>
      <c r="AY168" s="1484" t="str">
        <f>AY163</f>
        <v>Q1</v>
      </c>
      <c r="AZ168" s="1485" t="str">
        <f>AZ163</f>
        <v>Q2</v>
      </c>
      <c r="BA168" s="1485" t="str">
        <f t="shared" si="864"/>
        <v>Q3</v>
      </c>
      <c r="BB168" s="1485" t="str">
        <f t="shared" si="864"/>
        <v>Q4</v>
      </c>
      <c r="BC168" s="1485" t="str">
        <f t="shared" si="864"/>
        <v>Q1</v>
      </c>
      <c r="BD168" s="1485" t="str">
        <f t="shared" si="864"/>
        <v>Q2</v>
      </c>
      <c r="BE168" s="1485" t="str">
        <f>BE163</f>
        <v>Q3</v>
      </c>
      <c r="BF168" s="1485" t="str">
        <f t="shared" si="864"/>
        <v>Q4</v>
      </c>
      <c r="BG168" s="1485" t="str">
        <f t="shared" ref="BG168:BN168" si="865">BG163</f>
        <v>Q1</v>
      </c>
      <c r="BH168" s="1485" t="str">
        <f t="shared" si="865"/>
        <v>Q2</v>
      </c>
      <c r="BI168" s="1485" t="str">
        <f t="shared" si="865"/>
        <v>Q3</v>
      </c>
      <c r="BJ168" s="1485" t="str">
        <f t="shared" si="865"/>
        <v>Q4</v>
      </c>
      <c r="BK168" s="1485" t="str">
        <f t="shared" si="865"/>
        <v>Q1</v>
      </c>
      <c r="BL168" s="1485" t="str">
        <f t="shared" si="865"/>
        <v>Q2</v>
      </c>
      <c r="BM168" s="1485" t="str">
        <f t="shared" si="865"/>
        <v>Q3</v>
      </c>
      <c r="BN168" s="1485" t="str">
        <f t="shared" si="865"/>
        <v>Q4</v>
      </c>
      <c r="BO168" s="1485" t="str">
        <f>BO163</f>
        <v>Q1</v>
      </c>
      <c r="BP168" s="1485" t="str">
        <f>BP163</f>
        <v>Q2</v>
      </c>
      <c r="BQ168" s="1485" t="str">
        <f t="shared" ref="BQ168:BV168" si="866">BQ163</f>
        <v>Q3</v>
      </c>
      <c r="BR168" s="1485" t="str">
        <f t="shared" si="866"/>
        <v>Q4</v>
      </c>
      <c r="BS168" s="1485" t="str">
        <f t="shared" si="866"/>
        <v>Q1</v>
      </c>
      <c r="BT168" s="1485" t="str">
        <f t="shared" si="866"/>
        <v>Q2</v>
      </c>
      <c r="BU168" s="1485" t="str">
        <f t="shared" si="866"/>
        <v>Q3</v>
      </c>
      <c r="BV168" s="1485" t="str">
        <f t="shared" si="866"/>
        <v>Q4</v>
      </c>
      <c r="BW168" s="1485" t="str">
        <f t="shared" ref="BW168:CD168" si="867">BW163</f>
        <v>Q1</v>
      </c>
      <c r="BX168" s="1485" t="str">
        <f t="shared" si="867"/>
        <v>Q2</v>
      </c>
      <c r="BY168" s="1485" t="str">
        <f t="shared" si="867"/>
        <v>Q3</v>
      </c>
      <c r="BZ168" s="1485" t="str">
        <f t="shared" si="867"/>
        <v>Q4</v>
      </c>
      <c r="CA168" s="1485" t="str">
        <f>CA163</f>
        <v>Q1</v>
      </c>
      <c r="CB168" s="1485" t="str">
        <f t="shared" si="867"/>
        <v>Q2</v>
      </c>
      <c r="CC168" s="1485" t="str">
        <f t="shared" ref="CC168" si="868">CC163</f>
        <v>Q3</v>
      </c>
      <c r="CD168" s="1485" t="str">
        <f t="shared" si="867"/>
        <v>Q4</v>
      </c>
      <c r="CE168" s="1485" t="str">
        <f>CE163</f>
        <v>Q1</v>
      </c>
      <c r="CF168" s="1485" t="str">
        <f t="shared" ref="CF168:CH168" si="869">CF163</f>
        <v>Q2</v>
      </c>
      <c r="CG168" s="1485" t="str">
        <f t="shared" si="869"/>
        <v>Q3</v>
      </c>
      <c r="CH168" s="1485" t="str">
        <f t="shared" si="869"/>
        <v>Q4</v>
      </c>
      <c r="CI168" s="1485" t="str">
        <f>CI163</f>
        <v>Q1</v>
      </c>
      <c r="CJ168" s="1485" t="str">
        <f t="shared" ref="CJ168:CL168" si="870">CJ163</f>
        <v>Q2</v>
      </c>
      <c r="CK168" s="1485" t="str">
        <f t="shared" si="870"/>
        <v>Q3</v>
      </c>
      <c r="CL168" s="1485" t="str">
        <f t="shared" si="870"/>
        <v>Q4</v>
      </c>
      <c r="CM168" s="1485" t="str">
        <f>CM163</f>
        <v>Q1</v>
      </c>
      <c r="CN168" s="1485" t="str">
        <f t="shared" ref="CN168:CP168" si="871">CN163</f>
        <v>Q2</v>
      </c>
      <c r="CO168" s="1485" t="str">
        <f t="shared" si="871"/>
        <v>Q3</v>
      </c>
      <c r="CP168" s="1485" t="str">
        <f t="shared" si="871"/>
        <v>Q4</v>
      </c>
      <c r="CQ168" s="1485" t="str">
        <f>CQ163</f>
        <v>Q1</v>
      </c>
      <c r="CR168" s="1485" t="str">
        <f t="shared" ref="CR168:CS168" si="872">CR163</f>
        <v>Q2</v>
      </c>
      <c r="CS168" s="1485" t="str">
        <f t="shared" si="872"/>
        <v>Q3</v>
      </c>
      <c r="CT168" s="1485" t="str">
        <f t="shared" ref="CT168" si="873">CT163</f>
        <v>Q4</v>
      </c>
      <c r="CU168" s="1485" t="str">
        <f t="shared" ref="CU168:CX168" si="874">CU163</f>
        <v>Q1</v>
      </c>
      <c r="CV168" s="1485" t="str">
        <f t="shared" si="874"/>
        <v>Q2</v>
      </c>
      <c r="CW168" s="1485" t="str">
        <f t="shared" si="874"/>
        <v>Q3</v>
      </c>
      <c r="CX168" s="1485" t="str">
        <f t="shared" si="874"/>
        <v>Q4</v>
      </c>
      <c r="CY168" s="1485" t="str">
        <f t="shared" ref="CY168:DB168" si="875">CY163</f>
        <v>Q1</v>
      </c>
      <c r="CZ168" s="1485" t="str">
        <f t="shared" si="875"/>
        <v>Q2</v>
      </c>
      <c r="DA168" s="1485" t="str">
        <f t="shared" si="875"/>
        <v>Q3</v>
      </c>
      <c r="DB168" s="1485" t="str">
        <f t="shared" si="875"/>
        <v>Q4</v>
      </c>
    </row>
    <row r="169" spans="1:106" s="749" customFormat="1" ht="12.75" customHeight="1">
      <c r="B169" s="714"/>
      <c r="C169" s="742"/>
      <c r="D169" s="739"/>
      <c r="E169" s="787" t="str">
        <f>E164</f>
        <v>Exports of goods and services</v>
      </c>
      <c r="F169" s="782" t="s">
        <v>1573</v>
      </c>
      <c r="G169" s="1020"/>
      <c r="H169" s="788">
        <f t="shared" ref="H169:BA169" si="876">(H164/G164-1)*100</f>
        <v>-2.2142539325254673</v>
      </c>
      <c r="I169" s="788">
        <f t="shared" si="876"/>
        <v>-1.5550975616284268</v>
      </c>
      <c r="J169" s="788">
        <f t="shared" si="876"/>
        <v>1.9195214790646897</v>
      </c>
      <c r="K169" s="788">
        <f t="shared" si="876"/>
        <v>2.2995251560582686</v>
      </c>
      <c r="L169" s="788">
        <f t="shared" si="876"/>
        <v>2.1409199958276837</v>
      </c>
      <c r="M169" s="788">
        <f t="shared" si="876"/>
        <v>0.83739692103450558</v>
      </c>
      <c r="N169" s="788">
        <f t="shared" si="876"/>
        <v>2.2381446692153917</v>
      </c>
      <c r="O169" s="788">
        <f>(O164/N164-1)*100</f>
        <v>3.4744062801812747</v>
      </c>
      <c r="P169" s="788">
        <f>(P164/O164-1)*100</f>
        <v>2.4339460080413655</v>
      </c>
      <c r="Q169" s="788">
        <f>(Q164/P164-1)*100</f>
        <v>1.689212868858192</v>
      </c>
      <c r="R169" s="788">
        <f>(R164/Q164-1)*100</f>
        <v>1.34178843856263</v>
      </c>
      <c r="S169" s="788">
        <f t="shared" si="876"/>
        <v>0.85698739457695794</v>
      </c>
      <c r="T169" s="788">
        <f t="shared" si="876"/>
        <v>0.99581890931979</v>
      </c>
      <c r="U169" s="788">
        <f t="shared" si="876"/>
        <v>1.0527721516169875</v>
      </c>
      <c r="V169" s="788">
        <f t="shared" si="876"/>
        <v>-1.4008193471653274</v>
      </c>
      <c r="W169" s="788">
        <f t="shared" si="876"/>
        <v>-2.6806058169148717E-2</v>
      </c>
      <c r="X169" s="788">
        <f t="shared" si="876"/>
        <v>3.3047325378737114</v>
      </c>
      <c r="Y169" s="788">
        <f t="shared" si="876"/>
        <v>3.8976488655289465</v>
      </c>
      <c r="Z169" s="788">
        <f t="shared" si="876"/>
        <v>3.1331320911835103</v>
      </c>
      <c r="AA169" s="788">
        <f t="shared" si="876"/>
        <v>4.2006459426725984</v>
      </c>
      <c r="AB169" s="788">
        <f t="shared" si="876"/>
        <v>2.0514906724007576</v>
      </c>
      <c r="AC169" s="788">
        <f t="shared" si="876"/>
        <v>1.5850417615793422</v>
      </c>
      <c r="AD169" s="788">
        <f t="shared" si="876"/>
        <v>1.096888722787992</v>
      </c>
      <c r="AE169" s="788">
        <f t="shared" si="876"/>
        <v>-0.15156556134707788</v>
      </c>
      <c r="AF169" s="788">
        <f t="shared" si="876"/>
        <v>-1.7863754165124091</v>
      </c>
      <c r="AG169" s="788">
        <f t="shared" si="876"/>
        <v>-0.42597304683819059</v>
      </c>
      <c r="AH169" s="788">
        <f t="shared" si="876"/>
        <v>-0.11357398398607055</v>
      </c>
      <c r="AI169" s="788">
        <f t="shared" si="876"/>
        <v>2.7667759479997667</v>
      </c>
      <c r="AJ169" s="788">
        <f t="shared" si="876"/>
        <v>1.6577845802061564</v>
      </c>
      <c r="AK169" s="788">
        <f t="shared" si="876"/>
        <v>0.73828181686257377</v>
      </c>
      <c r="AL169" s="788">
        <f t="shared" si="876"/>
        <v>1.9807328711629602E-2</v>
      </c>
      <c r="AM169" s="788">
        <f t="shared" si="876"/>
        <v>-0.72012386130414496</v>
      </c>
      <c r="AN169" s="788">
        <f t="shared" si="876"/>
        <v>0.78700177710078201</v>
      </c>
      <c r="AO169" s="788">
        <f t="shared" si="876"/>
        <v>0.75746671464556048</v>
      </c>
      <c r="AP169" s="788">
        <f t="shared" si="876"/>
        <v>2.0481777111123201</v>
      </c>
      <c r="AQ169" s="788">
        <f>(AQ164/AP164-1)*100</f>
        <v>1.5923566878980777</v>
      </c>
      <c r="AR169" s="788">
        <f>(AR164/AQ164-1)*100</f>
        <v>1.7034689448482521</v>
      </c>
      <c r="AS169" s="788">
        <f>(AS164/AR164-1)*100</f>
        <v>1.4090470303317781</v>
      </c>
      <c r="AT169" s="788">
        <f>(AT164/AS164-1)*100</f>
        <v>1.5130513201623286</v>
      </c>
      <c r="AU169" s="788">
        <f t="shared" si="876"/>
        <v>1.0018919141235427</v>
      </c>
      <c r="AV169" s="788">
        <f t="shared" si="876"/>
        <v>1.389386585008312</v>
      </c>
      <c r="AW169" s="788">
        <f t="shared" si="876"/>
        <v>0.76951499670667722</v>
      </c>
      <c r="AX169" s="788">
        <f t="shared" si="876"/>
        <v>1.0187163217804551</v>
      </c>
      <c r="AY169" s="788">
        <f t="shared" si="876"/>
        <v>2.0342460348772962</v>
      </c>
      <c r="AZ169" s="788">
        <f t="shared" si="876"/>
        <v>1.1569276456213196</v>
      </c>
      <c r="BA169" s="788">
        <f t="shared" si="876"/>
        <v>0.98926638329104311</v>
      </c>
      <c r="BB169" s="788">
        <f t="shared" ref="BB169:BN169" si="877">(BB164/BA164-1)*100</f>
        <v>1.1355205983436534</v>
      </c>
      <c r="BC169" s="788">
        <f t="shared" si="877"/>
        <v>2.8263896166110136</v>
      </c>
      <c r="BD169" s="788">
        <f t="shared" si="877"/>
        <v>1.0991890750797095</v>
      </c>
      <c r="BE169" s="788">
        <f t="shared" si="877"/>
        <v>0.5673799717750061</v>
      </c>
      <c r="BF169" s="788">
        <f t="shared" si="877"/>
        <v>0.14748840139755526</v>
      </c>
      <c r="BG169" s="788">
        <f t="shared" si="877"/>
        <v>1.7901314002201962</v>
      </c>
      <c r="BH169" s="788">
        <f t="shared" si="877"/>
        <v>2.8894101782528825</v>
      </c>
      <c r="BI169" s="788">
        <f t="shared" si="877"/>
        <v>-0.63756006989952319</v>
      </c>
      <c r="BJ169" s="788">
        <f t="shared" si="877"/>
        <v>-10.074057789807789</v>
      </c>
      <c r="BK169" s="788">
        <f t="shared" si="877"/>
        <v>-5.5203288056349216</v>
      </c>
      <c r="BL169" s="788">
        <f t="shared" si="877"/>
        <v>1.0220583478879774</v>
      </c>
      <c r="BM169" s="788">
        <f t="shared" si="877"/>
        <v>4.2373695332009742</v>
      </c>
      <c r="BN169" s="788">
        <f t="shared" si="877"/>
        <v>2.2590800890731844</v>
      </c>
      <c r="BO169" s="788">
        <f t="shared" ref="BO169:BZ169" si="878">(BO164/BN164-1)*100</f>
        <v>1.1413810710960259</v>
      </c>
      <c r="BP169" s="788">
        <f t="shared" si="878"/>
        <v>5.2356487393460549</v>
      </c>
      <c r="BQ169" s="788">
        <f t="shared" si="878"/>
        <v>1.4970651315046934</v>
      </c>
      <c r="BR169" s="788">
        <f t="shared" si="878"/>
        <v>0.5185380840504239</v>
      </c>
      <c r="BS169" s="788">
        <f t="shared" si="878"/>
        <v>3.6304041158410127</v>
      </c>
      <c r="BT169" s="788">
        <f t="shared" si="878"/>
        <v>1.0649797813989004</v>
      </c>
      <c r="BU169" s="788">
        <f t="shared" si="878"/>
        <v>1.1963712712435237</v>
      </c>
      <c r="BV169" s="788">
        <f t="shared" si="878"/>
        <v>-3.2583023422718127</v>
      </c>
      <c r="BW169" s="788">
        <f t="shared" si="878"/>
        <v>2.8851601068277999</v>
      </c>
      <c r="BX169" s="788">
        <f t="shared" si="878"/>
        <v>-0.6922139045846154</v>
      </c>
      <c r="BY169" s="788">
        <f t="shared" si="878"/>
        <v>-0.70760010033136256</v>
      </c>
      <c r="BZ169" s="788">
        <f t="shared" si="878"/>
        <v>0</v>
      </c>
      <c r="CA169" s="788">
        <f t="shared" ref="CA169" si="879">(CA164/BZ164-1)*100</f>
        <v>-0.30845731455998449</v>
      </c>
      <c r="CB169" s="788">
        <f t="shared" ref="CB169" si="880">(CB164/CA164-1)*100</f>
        <v>0.60948773689335489</v>
      </c>
      <c r="CC169" s="788">
        <f t="shared" ref="CC169" si="881">(CC164/CB164-1)*100</f>
        <v>1.7762931148757932</v>
      </c>
      <c r="CD169" s="788">
        <f t="shared" ref="CD169:CH169" si="882">(CD164/CC164-1)*100</f>
        <v>1.5186642006824735</v>
      </c>
      <c r="CE169" s="788">
        <f t="shared" si="882"/>
        <v>1.0058503541003683</v>
      </c>
      <c r="CF169" s="788">
        <f t="shared" si="882"/>
        <v>1.3133827863022196</v>
      </c>
      <c r="CG169" s="788">
        <f t="shared" si="882"/>
        <v>1.5019683558586738</v>
      </c>
      <c r="CH169" s="788">
        <f t="shared" si="882"/>
        <v>0.67934782608696231</v>
      </c>
      <c r="CI169" s="788">
        <f t="shared" ref="CI169" si="883">(CI164/CH164-1)*100</f>
        <v>-0.30180345969821332</v>
      </c>
      <c r="CJ169" s="788">
        <f t="shared" ref="CJ169:CT169" si="884">(CJ164/CI164-1)*100</f>
        <v>2.0648749753888529</v>
      </c>
      <c r="CK169" s="788">
        <f t="shared" si="884"/>
        <v>-0.91509729690625319</v>
      </c>
      <c r="CL169" s="788">
        <f t="shared" si="884"/>
        <v>3.5518294537799644</v>
      </c>
      <c r="CM169" s="788">
        <f t="shared" si="884"/>
        <v>-0.83076778454090894</v>
      </c>
      <c r="CN169" s="788">
        <f t="shared" si="884"/>
        <v>5.7835179809230475</v>
      </c>
      <c r="CO169" s="788">
        <f t="shared" si="884"/>
        <v>0.90617859223083297</v>
      </c>
      <c r="CP169" s="788">
        <f t="shared" si="884"/>
        <v>2.8517511239384952</v>
      </c>
      <c r="CQ169" s="788">
        <f t="shared" si="884"/>
        <v>-0.21693612795993245</v>
      </c>
      <c r="CR169" s="788">
        <f t="shared" si="884"/>
        <v>0.69765177982326065</v>
      </c>
      <c r="CS169" s="788">
        <f t="shared" si="884"/>
        <v>-0.57358912114117144</v>
      </c>
      <c r="CT169" s="788">
        <f t="shared" si="884"/>
        <v>1.9510824942742477</v>
      </c>
      <c r="CU169" s="3718">
        <v>1.48</v>
      </c>
      <c r="CV169" s="3718">
        <v>1.55</v>
      </c>
      <c r="CW169" s="3718">
        <v>1.35</v>
      </c>
      <c r="CX169" s="3718">
        <v>1.25</v>
      </c>
      <c r="CY169" s="3718">
        <v>1.1100000000000001</v>
      </c>
      <c r="CZ169" s="3718">
        <v>0.92</v>
      </c>
      <c r="DA169" s="3718">
        <v>0.77</v>
      </c>
      <c r="DB169" s="3718">
        <v>0.7</v>
      </c>
    </row>
    <row r="170" spans="1:106">
      <c r="C170" s="1458"/>
      <c r="D170" s="1487"/>
      <c r="E170" s="1488" t="s">
        <v>74</v>
      </c>
      <c r="F170" s="1562"/>
      <c r="G170" s="1511"/>
      <c r="H170" s="1512"/>
      <c r="I170" s="1512"/>
      <c r="J170" s="1512"/>
      <c r="K170" s="1513"/>
      <c r="L170" s="1513"/>
      <c r="M170" s="1513"/>
      <c r="N170" s="1514">
        <f>N165/J165*100-100</f>
        <v>5.0462511846443192</v>
      </c>
      <c r="O170" s="1513"/>
      <c r="P170" s="1513"/>
      <c r="Q170" s="1513"/>
      <c r="R170" s="1514">
        <f>R165/N165*100-100</f>
        <v>9.4170716985927356</v>
      </c>
      <c r="S170" s="1513"/>
      <c r="T170" s="1513"/>
      <c r="U170" s="1513"/>
      <c r="V170" s="1514">
        <f>V165/R165*100-100</f>
        <v>4.2771619526527473</v>
      </c>
      <c r="W170" s="1513"/>
      <c r="X170" s="1513"/>
      <c r="Y170" s="1513"/>
      <c r="Z170" s="1514">
        <f>Z165/V165*100-100</f>
        <v>4.9999164731628269</v>
      </c>
      <c r="AA170" s="1513"/>
      <c r="AB170" s="1513"/>
      <c r="AC170" s="1513"/>
      <c r="AD170" s="1514">
        <f>AD165/Z165*100-100</f>
        <v>12.386376894602307</v>
      </c>
      <c r="AE170" s="1513"/>
      <c r="AF170" s="1513"/>
      <c r="AG170" s="1513"/>
      <c r="AH170" s="1514">
        <f>AH165/AD165*100-100</f>
        <v>0.35626987797165555</v>
      </c>
      <c r="AI170" s="1513"/>
      <c r="AJ170" s="1513"/>
      <c r="AK170" s="1513"/>
      <c r="AL170" s="1514">
        <f>AL165/AH165*100-100</f>
        <v>3.6511451853314725</v>
      </c>
      <c r="AM170" s="1513"/>
      <c r="AN170" s="1513"/>
      <c r="AO170" s="1513"/>
      <c r="AP170" s="1514">
        <f>AP165/AL165*100-100</f>
        <v>1.5591685644036062</v>
      </c>
      <c r="AQ170" s="1513"/>
      <c r="AR170" s="1513"/>
      <c r="AS170" s="1513"/>
      <c r="AT170" s="1514">
        <f>AT165/AP165*100-100</f>
        <v>6.206141820212153</v>
      </c>
      <c r="AU170" s="1513"/>
      <c r="AV170" s="1513"/>
      <c r="AW170" s="1513"/>
      <c r="AX170" s="1514">
        <f>AX165/AT165*100-100</f>
        <v>5.0313539611976523</v>
      </c>
      <c r="AY170" s="1513"/>
      <c r="AZ170" s="1513"/>
      <c r="BA170" s="1515"/>
      <c r="BB170" s="1516">
        <f>BB165/AX165*100-100</f>
        <v>5.2744542149183928</v>
      </c>
      <c r="BC170" s="1515"/>
      <c r="BD170" s="1515"/>
      <c r="BE170" s="1515"/>
      <c r="BF170" s="1516">
        <f>BF165/BB165*100-100</f>
        <v>5.7055046709064925</v>
      </c>
      <c r="BG170" s="1515"/>
      <c r="BH170" s="1515"/>
      <c r="BI170" s="1515"/>
      <c r="BJ170" s="1516">
        <f>BJ165/BF165*100-100</f>
        <v>1.7146208762738269</v>
      </c>
      <c r="BK170" s="1515"/>
      <c r="BL170" s="1515"/>
      <c r="BM170" s="1515"/>
      <c r="BN170" s="2937">
        <f>BN165/BJ165*100-100</f>
        <v>-9.4329410016662791</v>
      </c>
      <c r="BO170" s="1515"/>
      <c r="BP170" s="1515"/>
      <c r="BQ170" s="1515"/>
      <c r="BR170" s="2937">
        <f>BR165/BN165*100-100</f>
        <v>10.332610691197445</v>
      </c>
      <c r="BS170" s="1515"/>
      <c r="BT170" s="1515"/>
      <c r="BU170" s="1515"/>
      <c r="BV170" s="1516">
        <f>BV165/BR165*100-100</f>
        <v>6.7181907334567654</v>
      </c>
      <c r="BW170" s="1515"/>
      <c r="BX170" s="1515"/>
      <c r="BY170" s="1515"/>
      <c r="BZ170" s="1516">
        <f>BZ165/BV165*100-100</f>
        <v>0.33805190539854379</v>
      </c>
      <c r="CA170" s="1515"/>
      <c r="CB170" s="1515"/>
      <c r="CC170" s="1515"/>
      <c r="CD170" s="1516">
        <f>CD165/BZ165*100-100</f>
        <v>0.88906669488051193</v>
      </c>
      <c r="CE170" s="1515"/>
      <c r="CF170" s="1515"/>
      <c r="CG170" s="1515"/>
      <c r="CH170" s="1516">
        <f>CH165/CD165*100-100</f>
        <v>5.1841607650233641</v>
      </c>
      <c r="CI170" s="1515"/>
      <c r="CJ170" s="1515"/>
      <c r="CK170" s="1515"/>
      <c r="CL170" s="1516">
        <f>CL165/CH165*100-100</f>
        <v>3.2810942173479702</v>
      </c>
      <c r="CM170" s="1515"/>
      <c r="CN170" s="1515"/>
      <c r="CO170" s="1515"/>
      <c r="CP170" s="1516">
        <f>CP165/CL165*100-100</f>
        <v>7.5172478287494897</v>
      </c>
      <c r="CQ170" s="1515"/>
      <c r="CR170" s="1515"/>
      <c r="CS170" s="1515"/>
      <c r="CT170" s="1516">
        <f>CT165/CP165*100-100</f>
        <v>4.5102550433489625</v>
      </c>
      <c r="CU170" s="1515"/>
      <c r="CV170" s="1515"/>
      <c r="CW170" s="1515"/>
      <c r="CX170" s="1516">
        <f>CX165/CT165*100-100</f>
        <v>5.0720652911306274</v>
      </c>
      <c r="CY170" s="1515"/>
      <c r="CZ170" s="1515"/>
      <c r="DA170" s="1515"/>
      <c r="DB170" s="1516">
        <f>DB165/CX165*100-100</f>
        <v>4.4225112810096334</v>
      </c>
    </row>
    <row r="171" spans="1:106" s="749" customFormat="1" ht="12.75" customHeight="1">
      <c r="A171" s="714"/>
      <c r="B171" s="714"/>
      <c r="C171" s="716"/>
      <c r="D171" s="766"/>
      <c r="E171" s="1502" t="s">
        <v>675</v>
      </c>
      <c r="F171" s="766"/>
      <c r="G171" s="1503"/>
      <c r="H171" s="1503"/>
      <c r="I171" s="1503"/>
      <c r="J171" s="1504"/>
      <c r="K171" s="1503"/>
      <c r="L171" s="1503"/>
      <c r="M171" s="1503"/>
      <c r="N171" s="1505">
        <f ca="1">N166/J166*100-100</f>
        <v>-1.3656952592357641</v>
      </c>
      <c r="O171" s="1503"/>
      <c r="P171" s="1503"/>
      <c r="Q171" s="1503"/>
      <c r="R171" s="1505">
        <f ca="1">R166/N166*100-100</f>
        <v>9.4203481907726712</v>
      </c>
      <c r="S171" s="1503"/>
      <c r="T171" s="1503"/>
      <c r="U171" s="1503"/>
      <c r="V171" s="1505">
        <f ca="1">V166/R166*100-100</f>
        <v>4.2777227224733139</v>
      </c>
      <c r="W171" s="1503"/>
      <c r="X171" s="1503"/>
      <c r="Y171" s="1503"/>
      <c r="Z171" s="1505">
        <f ca="1">Z166/V166*100-100</f>
        <v>4.9996162338599817</v>
      </c>
      <c r="AA171" s="1503"/>
      <c r="AB171" s="1503"/>
      <c r="AC171" s="1503"/>
      <c r="AD171" s="1505">
        <f ca="1">AD166/Z166*100-100</f>
        <v>12.408043784868397</v>
      </c>
      <c r="AE171" s="1503"/>
      <c r="AF171" s="1503"/>
      <c r="AG171" s="1503"/>
      <c r="AH171" s="1505">
        <f ca="1">AH166/AD166*100-100</f>
        <v>0.33748106762865859</v>
      </c>
      <c r="AI171" s="1503"/>
      <c r="AJ171" s="1503"/>
      <c r="AK171" s="1503"/>
      <c r="AL171" s="1505">
        <f ca="1">AL166/AH166*100-100</f>
        <v>3.6502123795662271</v>
      </c>
      <c r="AM171" s="1503"/>
      <c r="AN171" s="1503"/>
      <c r="AO171" s="1503"/>
      <c r="AP171" s="1505">
        <f ca="1">AP166/AL166*100-100</f>
        <v>1.5590857797655389</v>
      </c>
      <c r="AQ171" s="1503"/>
      <c r="AR171" s="1503"/>
      <c r="AS171" s="1503"/>
      <c r="AT171" s="1505">
        <f ca="1">AT166/AP166*100-100</f>
        <v>6.2036887736413746</v>
      </c>
      <c r="AU171" s="1503"/>
      <c r="AV171" s="1503"/>
      <c r="AW171" s="1503"/>
      <c r="AX171" s="1505">
        <f ca="1">AX166/AT166*100-100</f>
        <v>5.044355968029322</v>
      </c>
      <c r="AY171" s="1503"/>
      <c r="AZ171" s="1503"/>
      <c r="BA171" s="1517"/>
      <c r="BB171" s="1518">
        <f ca="1">BB166/AX166*100-100</f>
        <v>5.2753576279110206</v>
      </c>
      <c r="BC171" s="1517"/>
      <c r="BD171" s="1517"/>
      <c r="BE171" s="1517"/>
      <c r="BF171" s="1518">
        <f ca="1">BF166/BB166*100-100</f>
        <v>5.6968394855405222</v>
      </c>
      <c r="BG171" s="1517"/>
      <c r="BH171" s="1517"/>
      <c r="BI171" s="1517"/>
      <c r="BJ171" s="1518">
        <f ca="1">BJ166/BF166*100-100</f>
        <v>1.7107474798764883</v>
      </c>
      <c r="BK171" s="1517"/>
      <c r="BL171" s="1517"/>
      <c r="BM171" s="1517"/>
      <c r="BN171" s="2936">
        <f ca="1">BN166/BJ166*100-100</f>
        <v>-9.4288216886324676</v>
      </c>
      <c r="BO171" s="1517"/>
      <c r="BP171" s="1517"/>
      <c r="BQ171" s="1517"/>
      <c r="BR171" s="2936">
        <f ca="1">BR166/BN166*100-100</f>
        <v>10.333020178448479</v>
      </c>
      <c r="BS171" s="1517"/>
      <c r="BT171" s="1517"/>
      <c r="BU171" s="1517"/>
      <c r="BV171" s="1518">
        <f ca="1">BV166/BR166*100-100</f>
        <v>6.7179647577313375</v>
      </c>
      <c r="BW171" s="1517"/>
      <c r="BX171" s="1517"/>
      <c r="BY171" s="1517"/>
      <c r="BZ171" s="1518">
        <f ca="1">BZ166/BV166*100-100</f>
        <v>0.33792215425766869</v>
      </c>
      <c r="CA171" s="1517"/>
      <c r="CB171" s="1517"/>
      <c r="CC171" s="1517"/>
      <c r="CD171" s="1518">
        <f ca="1">CD166/BZ166*100-100</f>
        <v>0.88886841182755916</v>
      </c>
      <c r="CE171" s="1517"/>
      <c r="CF171" s="1517"/>
      <c r="CG171" s="1517"/>
      <c r="CH171" s="1518">
        <f ca="1">CH166/CD166*100-100</f>
        <v>5.1844411711857248</v>
      </c>
      <c r="CI171" s="1517"/>
      <c r="CJ171" s="1517"/>
      <c r="CK171" s="1517"/>
      <c r="CL171" s="1518">
        <f ca="1">CL166/CH166*100-100</f>
        <v>3.2813774494332648</v>
      </c>
      <c r="CM171" s="1517"/>
      <c r="CN171" s="1517"/>
      <c r="CO171" s="1517"/>
      <c r="CP171" s="1518">
        <f ca="1">CP166/CL166*100-100</f>
        <v>7.5172059288453994</v>
      </c>
      <c r="CQ171" s="1517"/>
      <c r="CR171" s="1517"/>
      <c r="CS171" s="1517"/>
      <c r="CT171" s="1518">
        <f ca="1">CT166/CP166*100-100</f>
        <v>4.5099958905847899</v>
      </c>
      <c r="CU171" s="1517"/>
      <c r="CV171" s="1517"/>
      <c r="CW171" s="1517"/>
      <c r="CX171" s="1518">
        <f ca="1">CX166/CT166*100-100</f>
        <v>4.9709166099197546</v>
      </c>
      <c r="CY171" s="1517"/>
      <c r="CZ171" s="1517"/>
      <c r="DA171" s="1517"/>
      <c r="DB171" s="1518">
        <f ca="1">DB166/CX166*100-100</f>
        <v>4.3955402653327127</v>
      </c>
    </row>
    <row r="172" spans="1:106">
      <c r="AY172" s="218"/>
      <c r="BK172" s="1604"/>
      <c r="BN172" s="1604"/>
      <c r="BO172" s="1604"/>
      <c r="BP172" s="577"/>
      <c r="BQ172" s="577"/>
      <c r="BR172" s="577"/>
      <c r="BS172" s="577"/>
      <c r="BT172" s="577"/>
      <c r="BU172" s="577"/>
      <c r="BV172" s="577"/>
      <c r="BW172" s="577"/>
      <c r="BX172" s="577"/>
      <c r="BY172" s="577"/>
      <c r="BZ172" s="577"/>
      <c r="CA172" s="577"/>
      <c r="CB172" s="577"/>
      <c r="CC172" s="577"/>
      <c r="CD172" s="577"/>
      <c r="CE172" s="577"/>
      <c r="CF172" s="577"/>
      <c r="CG172" s="577"/>
      <c r="CH172" s="577"/>
      <c r="CI172" s="577"/>
      <c r="CJ172" s="577"/>
      <c r="CK172" s="577"/>
      <c r="CL172" s="577"/>
      <c r="CM172" s="577"/>
      <c r="CN172" s="577"/>
      <c r="CO172" s="577"/>
      <c r="CP172" s="577"/>
      <c r="CQ172" s="577"/>
      <c r="CR172" s="577"/>
      <c r="CS172" s="577"/>
      <c r="CT172" s="577"/>
      <c r="CU172" s="577"/>
      <c r="CV172" s="577"/>
      <c r="CW172" s="577"/>
      <c r="CX172" s="577"/>
      <c r="CY172" s="577"/>
      <c r="CZ172" s="577"/>
      <c r="DA172" s="577"/>
      <c r="DB172" s="577"/>
    </row>
    <row r="173" spans="1:106" s="749" customFormat="1" ht="12.75" customHeight="1">
      <c r="A173" s="714"/>
      <c r="B173" s="714"/>
      <c r="C173" s="716"/>
      <c r="D173" s="898"/>
      <c r="E173" s="899"/>
      <c r="F173" s="900"/>
      <c r="G173" s="1494" t="str">
        <f t="shared" ref="G173:BF173" si="885">G168</f>
        <v>Q1</v>
      </c>
      <c r="H173" s="1494" t="str">
        <f t="shared" si="885"/>
        <v>Q2</v>
      </c>
      <c r="I173" s="1494" t="str">
        <f t="shared" si="885"/>
        <v>Q3</v>
      </c>
      <c r="J173" s="1494" t="str">
        <f t="shared" si="885"/>
        <v>Q4</v>
      </c>
      <c r="K173" s="1499" t="str">
        <f t="shared" si="885"/>
        <v>Q1</v>
      </c>
      <c r="L173" s="1494" t="str">
        <f t="shared" si="885"/>
        <v>Q2</v>
      </c>
      <c r="M173" s="1494" t="str">
        <f t="shared" si="885"/>
        <v>Q3</v>
      </c>
      <c r="N173" s="1500" t="str">
        <f t="shared" si="885"/>
        <v>Q4</v>
      </c>
      <c r="O173" s="1499" t="str">
        <f t="shared" si="885"/>
        <v>Q1</v>
      </c>
      <c r="P173" s="1494" t="str">
        <f t="shared" si="885"/>
        <v>Q2</v>
      </c>
      <c r="Q173" s="1494" t="str">
        <f t="shared" si="885"/>
        <v>Q3</v>
      </c>
      <c r="R173" s="1500" t="str">
        <f t="shared" si="885"/>
        <v>Q4</v>
      </c>
      <c r="S173" s="1499" t="str">
        <f t="shared" si="885"/>
        <v>Q1</v>
      </c>
      <c r="T173" s="1494" t="str">
        <f t="shared" si="885"/>
        <v>Q2</v>
      </c>
      <c r="U173" s="1494" t="str">
        <f t="shared" si="885"/>
        <v>Q3</v>
      </c>
      <c r="V173" s="1500" t="str">
        <f t="shared" si="885"/>
        <v>Q4</v>
      </c>
      <c r="W173" s="1499" t="str">
        <f t="shared" si="885"/>
        <v>Q1</v>
      </c>
      <c r="X173" s="1494" t="str">
        <f t="shared" si="885"/>
        <v>Q2</v>
      </c>
      <c r="Y173" s="1494" t="str">
        <f t="shared" si="885"/>
        <v>Q3</v>
      </c>
      <c r="Z173" s="1500" t="str">
        <f t="shared" si="885"/>
        <v>Q4</v>
      </c>
      <c r="AA173" s="1499" t="str">
        <f t="shared" si="885"/>
        <v>Q1</v>
      </c>
      <c r="AB173" s="1494" t="str">
        <f t="shared" si="885"/>
        <v>Q2</v>
      </c>
      <c r="AC173" s="1494" t="str">
        <f t="shared" si="885"/>
        <v>Q3</v>
      </c>
      <c r="AD173" s="1500" t="str">
        <f t="shared" si="885"/>
        <v>Q4</v>
      </c>
      <c r="AE173" s="1499" t="str">
        <f t="shared" si="885"/>
        <v>Q1</v>
      </c>
      <c r="AF173" s="1494" t="str">
        <f t="shared" si="885"/>
        <v>Q2</v>
      </c>
      <c r="AG173" s="1494" t="str">
        <f t="shared" si="885"/>
        <v>Q3</v>
      </c>
      <c r="AH173" s="1500" t="str">
        <f t="shared" si="885"/>
        <v>Q4</v>
      </c>
      <c r="AI173" s="1499" t="str">
        <f t="shared" si="885"/>
        <v>Q1</v>
      </c>
      <c r="AJ173" s="1494" t="str">
        <f t="shared" si="885"/>
        <v>Q2</v>
      </c>
      <c r="AK173" s="1494" t="str">
        <f t="shared" si="885"/>
        <v>Q3</v>
      </c>
      <c r="AL173" s="1500" t="str">
        <f t="shared" si="885"/>
        <v>Q4</v>
      </c>
      <c r="AM173" s="1499" t="str">
        <f t="shared" si="885"/>
        <v>Q1</v>
      </c>
      <c r="AN173" s="1494" t="str">
        <f t="shared" si="885"/>
        <v>Q2</v>
      </c>
      <c r="AO173" s="1494" t="str">
        <f t="shared" si="885"/>
        <v>Q3</v>
      </c>
      <c r="AP173" s="1500" t="str">
        <f t="shared" si="885"/>
        <v>Q4</v>
      </c>
      <c r="AQ173" s="1499" t="str">
        <f t="shared" si="885"/>
        <v>Q1</v>
      </c>
      <c r="AR173" s="1494" t="str">
        <f t="shared" si="885"/>
        <v>Q2</v>
      </c>
      <c r="AS173" s="1494" t="str">
        <f t="shared" si="885"/>
        <v>Q3</v>
      </c>
      <c r="AT173" s="1500" t="str">
        <f t="shared" si="885"/>
        <v>Q4</v>
      </c>
      <c r="AU173" s="1499" t="str">
        <f t="shared" si="885"/>
        <v>Q1</v>
      </c>
      <c r="AV173" s="1494" t="str">
        <f t="shared" si="885"/>
        <v>Q2</v>
      </c>
      <c r="AW173" s="1494" t="str">
        <f t="shared" si="885"/>
        <v>Q3</v>
      </c>
      <c r="AX173" s="1500" t="str">
        <f t="shared" si="885"/>
        <v>Q4</v>
      </c>
      <c r="AY173" s="1499" t="str">
        <f>AY168</f>
        <v>Q1</v>
      </c>
      <c r="AZ173" s="1494" t="str">
        <f>AZ168</f>
        <v>Q2</v>
      </c>
      <c r="BA173" s="1494" t="str">
        <f t="shared" si="885"/>
        <v>Q3</v>
      </c>
      <c r="BB173" s="1500" t="str">
        <f t="shared" si="885"/>
        <v>Q4</v>
      </c>
      <c r="BC173" s="1499" t="str">
        <f t="shared" si="885"/>
        <v>Q1</v>
      </c>
      <c r="BD173" s="1494" t="str">
        <f t="shared" si="885"/>
        <v>Q2</v>
      </c>
      <c r="BE173" s="1494" t="str">
        <f>BE168</f>
        <v>Q3</v>
      </c>
      <c r="BF173" s="1500" t="str">
        <f t="shared" si="885"/>
        <v>Q4</v>
      </c>
      <c r="BG173" s="1499" t="str">
        <f t="shared" ref="BG173:BN173" si="886">BG168</f>
        <v>Q1</v>
      </c>
      <c r="BH173" s="1494" t="str">
        <f t="shared" si="886"/>
        <v>Q2</v>
      </c>
      <c r="BI173" s="1494" t="str">
        <f t="shared" si="886"/>
        <v>Q3</v>
      </c>
      <c r="BJ173" s="1500" t="str">
        <f t="shared" si="886"/>
        <v>Q4</v>
      </c>
      <c r="BK173" s="1499" t="str">
        <f t="shared" si="886"/>
        <v>Q1</v>
      </c>
      <c r="BL173" s="1494" t="str">
        <f t="shared" si="886"/>
        <v>Q2</v>
      </c>
      <c r="BM173" s="1494" t="str">
        <f t="shared" si="886"/>
        <v>Q3</v>
      </c>
      <c r="BN173" s="1500" t="str">
        <f t="shared" si="886"/>
        <v>Q4</v>
      </c>
      <c r="BO173" s="1499" t="str">
        <f>BO168</f>
        <v>Q1</v>
      </c>
      <c r="BP173" s="1494" t="str">
        <f>BP168</f>
        <v>Q2</v>
      </c>
      <c r="BQ173" s="1494" t="str">
        <f t="shared" ref="BQ173:BV173" si="887">BQ168</f>
        <v>Q3</v>
      </c>
      <c r="BR173" s="1500" t="str">
        <f t="shared" si="887"/>
        <v>Q4</v>
      </c>
      <c r="BS173" s="1499" t="str">
        <f t="shared" si="887"/>
        <v>Q1</v>
      </c>
      <c r="BT173" s="1494" t="str">
        <f t="shared" si="887"/>
        <v>Q2</v>
      </c>
      <c r="BU173" s="1494" t="str">
        <f t="shared" si="887"/>
        <v>Q3</v>
      </c>
      <c r="BV173" s="1500" t="str">
        <f t="shared" si="887"/>
        <v>Q4</v>
      </c>
      <c r="BW173" s="1499" t="str">
        <f t="shared" ref="BW173:CD173" si="888">BW168</f>
        <v>Q1</v>
      </c>
      <c r="BX173" s="1494" t="str">
        <f t="shared" si="888"/>
        <v>Q2</v>
      </c>
      <c r="BY173" s="1494" t="str">
        <f t="shared" si="888"/>
        <v>Q3</v>
      </c>
      <c r="BZ173" s="1500" t="str">
        <f t="shared" si="888"/>
        <v>Q4</v>
      </c>
      <c r="CA173" s="1499" t="str">
        <f>CA168</f>
        <v>Q1</v>
      </c>
      <c r="CB173" s="1494" t="str">
        <f t="shared" si="888"/>
        <v>Q2</v>
      </c>
      <c r="CC173" s="1494" t="str">
        <f t="shared" ref="CC173" si="889">CC168</f>
        <v>Q3</v>
      </c>
      <c r="CD173" s="1500" t="str">
        <f t="shared" si="888"/>
        <v>Q4</v>
      </c>
      <c r="CE173" s="1499" t="str">
        <f>CE168</f>
        <v>Q1</v>
      </c>
      <c r="CF173" s="1494" t="str">
        <f t="shared" ref="CF173:CH173" si="890">CF168</f>
        <v>Q2</v>
      </c>
      <c r="CG173" s="1494" t="str">
        <f t="shared" si="890"/>
        <v>Q3</v>
      </c>
      <c r="CH173" s="1500" t="str">
        <f t="shared" si="890"/>
        <v>Q4</v>
      </c>
      <c r="CI173" s="1499" t="str">
        <f>CI168</f>
        <v>Q1</v>
      </c>
      <c r="CJ173" s="1494" t="str">
        <f t="shared" ref="CJ173:CL173" si="891">CJ168</f>
        <v>Q2</v>
      </c>
      <c r="CK173" s="1494" t="str">
        <f t="shared" si="891"/>
        <v>Q3</v>
      </c>
      <c r="CL173" s="1500" t="str">
        <f t="shared" si="891"/>
        <v>Q4</v>
      </c>
      <c r="CM173" s="1499" t="str">
        <f>CM168</f>
        <v>Q1</v>
      </c>
      <c r="CN173" s="1494" t="str">
        <f t="shared" ref="CN173:CP173" si="892">CN168</f>
        <v>Q2</v>
      </c>
      <c r="CO173" s="1494" t="str">
        <f t="shared" si="892"/>
        <v>Q3</v>
      </c>
      <c r="CP173" s="1500" t="str">
        <f t="shared" si="892"/>
        <v>Q4</v>
      </c>
      <c r="CQ173" s="1499" t="str">
        <f>CQ168</f>
        <v>Q1</v>
      </c>
      <c r="CR173" s="1494" t="str">
        <f t="shared" ref="CR173:CS173" si="893">CR168</f>
        <v>Q2</v>
      </c>
      <c r="CS173" s="1494" t="str">
        <f t="shared" si="893"/>
        <v>Q3</v>
      </c>
      <c r="CT173" s="1500" t="str">
        <f t="shared" ref="CT173" si="894">CT168</f>
        <v>Q4</v>
      </c>
      <c r="CU173" s="1499" t="str">
        <f t="shared" ref="CU173:CX173" si="895">CU168</f>
        <v>Q1</v>
      </c>
      <c r="CV173" s="1494" t="str">
        <f t="shared" si="895"/>
        <v>Q2</v>
      </c>
      <c r="CW173" s="1494" t="str">
        <f t="shared" si="895"/>
        <v>Q3</v>
      </c>
      <c r="CX173" s="1500" t="str">
        <f t="shared" si="895"/>
        <v>Q4</v>
      </c>
      <c r="CY173" s="1499" t="str">
        <f t="shared" ref="CY173:DB173" si="896">CY168</f>
        <v>Q1</v>
      </c>
      <c r="CZ173" s="1494" t="str">
        <f t="shared" si="896"/>
        <v>Q2</v>
      </c>
      <c r="DA173" s="1494" t="str">
        <f t="shared" si="896"/>
        <v>Q3</v>
      </c>
      <c r="DB173" s="1500" t="str">
        <f t="shared" si="896"/>
        <v>Q4</v>
      </c>
    </row>
    <row r="174" spans="1:106" s="749" customFormat="1" ht="12.75" customHeight="1">
      <c r="A174" s="714"/>
      <c r="B174" s="714"/>
      <c r="C174" s="902"/>
      <c r="D174" s="903"/>
      <c r="E174" s="904" t="s">
        <v>676</v>
      </c>
      <c r="F174" s="905"/>
      <c r="G174" s="755"/>
      <c r="H174" s="755"/>
      <c r="I174" s="755"/>
      <c r="J174" s="755"/>
      <c r="K174" s="1469">
        <f t="shared" ref="K174:BF174" si="897">(K164/G164-1)*100</f>
        <v>0.36904232208756493</v>
      </c>
      <c r="L174" s="1469">
        <f t="shared" si="897"/>
        <v>4.8392708974599241</v>
      </c>
      <c r="M174" s="1469">
        <f t="shared" si="897"/>
        <v>7.3871669385535688</v>
      </c>
      <c r="N174" s="1469">
        <f t="shared" si="897"/>
        <v>7.7228832097316458</v>
      </c>
      <c r="O174" s="1469">
        <f t="shared" si="897"/>
        <v>8.9600500678001396</v>
      </c>
      <c r="P174" s="1469">
        <f t="shared" si="897"/>
        <v>9.2726390768209654</v>
      </c>
      <c r="Q174" s="1469">
        <f t="shared" si="897"/>
        <v>10.195711066663304</v>
      </c>
      <c r="R174" s="1469">
        <f t="shared" si="897"/>
        <v>9.2295881726554452</v>
      </c>
      <c r="S174" s="1469">
        <f t="shared" si="897"/>
        <v>6.4665900823281497</v>
      </c>
      <c r="T174" s="1469">
        <f t="shared" si="897"/>
        <v>4.9718464521856909</v>
      </c>
      <c r="U174" s="1469">
        <f t="shared" si="897"/>
        <v>4.3148607664736716</v>
      </c>
      <c r="V174" s="1469">
        <f t="shared" si="897"/>
        <v>1.4917928720413531</v>
      </c>
      <c r="W174" s="1469">
        <f t="shared" si="897"/>
        <v>0.60243672166524487</v>
      </c>
      <c r="X174" s="1469">
        <f t="shared" si="897"/>
        <v>2.9023570522379583</v>
      </c>
      <c r="Y174" s="1469">
        <f t="shared" si="897"/>
        <v>5.7993039954187031</v>
      </c>
      <c r="Z174" s="1469">
        <f t="shared" si="897"/>
        <v>10.664343474958681</v>
      </c>
      <c r="AA174" s="1469">
        <f t="shared" si="897"/>
        <v>15.343879876659084</v>
      </c>
      <c r="AB174" s="1469">
        <f t="shared" si="897"/>
        <v>13.944585036662138</v>
      </c>
      <c r="AC174" s="1469">
        <f t="shared" si="897"/>
        <v>11.408348079525354</v>
      </c>
      <c r="AD174" s="1469">
        <f t="shared" si="897"/>
        <v>9.2087202260799259</v>
      </c>
      <c r="AE174" s="1469">
        <f t="shared" si="897"/>
        <v>4.6473334495650942</v>
      </c>
      <c r="AF174" s="1469">
        <f t="shared" si="897"/>
        <v>0.71184510250570376</v>
      </c>
      <c r="AG174" s="1469">
        <f t="shared" si="897"/>
        <v>-1.2818835840418541</v>
      </c>
      <c r="AH174" s="1469">
        <f t="shared" si="897"/>
        <v>-2.4638645521422475</v>
      </c>
      <c r="AI174" s="1469">
        <f t="shared" si="897"/>
        <v>0.3868937430581143</v>
      </c>
      <c r="AJ174" s="1469">
        <f t="shared" si="897"/>
        <v>3.9072660446706209</v>
      </c>
      <c r="AK174" s="1469">
        <f t="shared" si="897"/>
        <v>5.1221866777716674</v>
      </c>
      <c r="AL174" s="1469">
        <f t="shared" si="897"/>
        <v>5.2625594572571099</v>
      </c>
      <c r="AM174" s="1469">
        <f t="shared" si="897"/>
        <v>1.6909771524461048</v>
      </c>
      <c r="AN174" s="1469">
        <f t="shared" si="897"/>
        <v>0.81991002757220155</v>
      </c>
      <c r="AO174" s="1469">
        <f t="shared" si="897"/>
        <v>0.83911047087421586</v>
      </c>
      <c r="AP174" s="1469">
        <f t="shared" si="897"/>
        <v>2.8840960645231117</v>
      </c>
      <c r="AQ174" s="1469">
        <f t="shared" si="897"/>
        <v>5.2805280528052778</v>
      </c>
      <c r="AR174" s="1469">
        <f t="shared" si="897"/>
        <v>6.2378553436488016</v>
      </c>
      <c r="AS174" s="1469">
        <f t="shared" si="897"/>
        <v>6.9248763414939019</v>
      </c>
      <c r="AT174" s="1469">
        <f t="shared" si="897"/>
        <v>6.3641772240498273</v>
      </c>
      <c r="AU174" s="1469">
        <f t="shared" si="897"/>
        <v>5.74597815977127</v>
      </c>
      <c r="AV174" s="1469">
        <f t="shared" si="897"/>
        <v>5.419411655122186</v>
      </c>
      <c r="AW174" s="1469">
        <f t="shared" si="897"/>
        <v>4.7545884199802879</v>
      </c>
      <c r="AX174" s="1469">
        <f t="shared" si="897"/>
        <v>4.2444682076170137</v>
      </c>
      <c r="AY174" s="1469">
        <f t="shared" si="897"/>
        <v>5.3099651431735895</v>
      </c>
      <c r="AZ174" s="1469">
        <f t="shared" si="897"/>
        <v>5.0685173582662557</v>
      </c>
      <c r="BA174" s="1469">
        <f t="shared" si="897"/>
        <v>5.2976437203073878</v>
      </c>
      <c r="BB174" s="1469">
        <f t="shared" si="897"/>
        <v>5.4193955653752068</v>
      </c>
      <c r="BC174" s="1469">
        <f t="shared" si="897"/>
        <v>6.2378197791320034</v>
      </c>
      <c r="BD174" s="1469">
        <f t="shared" si="897"/>
        <v>6.1771811259594411</v>
      </c>
      <c r="BE174" s="1469">
        <f t="shared" si="897"/>
        <v>5.7336220079032163</v>
      </c>
      <c r="BF174" s="1469">
        <f t="shared" si="897"/>
        <v>4.7006691716941607</v>
      </c>
      <c r="BG174" s="1469">
        <f t="shared" ref="BG174:BN174" si="898">(BG164/BC164-1)*100</f>
        <v>3.6455224423835642</v>
      </c>
      <c r="BH174" s="1469">
        <f t="shared" si="898"/>
        <v>5.4808329253189791</v>
      </c>
      <c r="BI174" s="1469">
        <f t="shared" si="898"/>
        <v>4.2170227389884962</v>
      </c>
      <c r="BJ174" s="1469">
        <f t="shared" si="898"/>
        <v>-6.419880181300841</v>
      </c>
      <c r="BK174" s="1469">
        <f t="shared" si="898"/>
        <v>-13.140705988116485</v>
      </c>
      <c r="BL174" s="1469">
        <f t="shared" si="898"/>
        <v>-14.717125382262996</v>
      </c>
      <c r="BM174" s="1469">
        <f t="shared" si="898"/>
        <v>-10.532968769321682</v>
      </c>
      <c r="BN174" s="1469">
        <f t="shared" si="898"/>
        <v>1.7372305153630974</v>
      </c>
      <c r="BO174" s="1469">
        <f>(BO164/BK164-1)*100</f>
        <v>8.9106669254156223</v>
      </c>
      <c r="BP174" s="1469">
        <f>(BP164/BL164-1)*100</f>
        <v>13.453288083498748</v>
      </c>
      <c r="BQ174" s="1469">
        <f t="shared" ref="BQ174:BV174" si="899">(BQ164/BM164-1)*100</f>
        <v>10.470705674575775</v>
      </c>
      <c r="BR174" s="1469">
        <f t="shared" si="899"/>
        <v>8.5903943771963966</v>
      </c>
      <c r="BS174" s="1469">
        <f t="shared" si="899"/>
        <v>11.262732753244432</v>
      </c>
      <c r="BT174" s="1469">
        <f t="shared" si="899"/>
        <v>6.8532001354554728</v>
      </c>
      <c r="BU174" s="1469">
        <f t="shared" si="899"/>
        <v>6.5366382606036222</v>
      </c>
      <c r="BV174" s="1469">
        <f t="shared" si="899"/>
        <v>2.5336763200840995</v>
      </c>
      <c r="BW174" s="1469">
        <f t="shared" ref="BW174:CH174" si="900">(BW164/BS164-1)*100</f>
        <v>1.7963192804046457</v>
      </c>
      <c r="BX174" s="1469">
        <f t="shared" si="900"/>
        <v>2.6409961837603468E-2</v>
      </c>
      <c r="BY174" s="1469">
        <f t="shared" si="900"/>
        <v>-1.8555490311215617</v>
      </c>
      <c r="BZ174" s="1469">
        <f t="shared" si="900"/>
        <v>1.4499986511640195</v>
      </c>
      <c r="CA174" s="1469">
        <f t="shared" si="900"/>
        <v>-1.6990704930713196</v>
      </c>
      <c r="CB174" s="1469">
        <f t="shared" si="900"/>
        <v>-0.4105664761250849</v>
      </c>
      <c r="CC174" s="1469">
        <f t="shared" si="900"/>
        <v>2.0807573158895476</v>
      </c>
      <c r="CD174" s="1469">
        <f t="shared" si="900"/>
        <v>3.6310212330315395</v>
      </c>
      <c r="CE174" s="1469">
        <f t="shared" si="900"/>
        <v>4.9972659740467495</v>
      </c>
      <c r="CF174" s="1469">
        <f t="shared" si="900"/>
        <v>5.7318592751663511</v>
      </c>
      <c r="CG174" s="1469">
        <f t="shared" si="900"/>
        <v>5.446872802104763</v>
      </c>
      <c r="CH174" s="1469">
        <f t="shared" si="900"/>
        <v>4.5750795442882186</v>
      </c>
      <c r="CI174" s="1469">
        <f t="shared" ref="CI174" si="901">(CI164/CE164-1)*100</f>
        <v>3.2212173559597712</v>
      </c>
      <c r="CJ174" s="1469">
        <f t="shared" ref="CJ174:CS174" si="902">(CJ164/CF164-1)*100</f>
        <v>3.9868609112108322</v>
      </c>
      <c r="CK174" s="1469">
        <f t="shared" si="902"/>
        <v>1.5106225296442899</v>
      </c>
      <c r="CL174" s="1469">
        <f t="shared" si="902"/>
        <v>4.4068212489265068</v>
      </c>
      <c r="CM174" s="1469">
        <f t="shared" si="902"/>
        <v>3.8528745816105436</v>
      </c>
      <c r="CN174" s="1469">
        <f t="shared" si="902"/>
        <v>7.6366617636420608</v>
      </c>
      <c r="CO174" s="1469">
        <f t="shared" si="902"/>
        <v>9.6151272160909009</v>
      </c>
      <c r="CP174" s="1469">
        <f t="shared" si="902"/>
        <v>8.8740570139361985</v>
      </c>
      <c r="CQ174" s="1469">
        <f t="shared" si="902"/>
        <v>9.5479590023105807</v>
      </c>
      <c r="CR174" s="1469">
        <f t="shared" si="902"/>
        <v>4.2811057843093359</v>
      </c>
      <c r="CS174" s="1469">
        <f t="shared" si="902"/>
        <v>2.7518454792695879</v>
      </c>
      <c r="CT174" s="1469">
        <f t="shared" ref="CT174" si="903">(CT164/CP164-1)*100</f>
        <v>1.8520517192997632</v>
      </c>
      <c r="CU174" s="1469">
        <f t="shared" ref="CU174" si="904">(CU164/CQ164-1)*100</f>
        <v>3.5841735800893337</v>
      </c>
      <c r="CV174" s="1469">
        <f t="shared" ref="CV174" si="905">(CV164/CR164-1)*100</f>
        <v>4.4609545618595536</v>
      </c>
      <c r="CW174" s="1469">
        <f t="shared" ref="CW174" si="906">(CW164/CS164-1)*100</f>
        <v>6.4819463084493156</v>
      </c>
      <c r="CX174" s="1469">
        <f t="shared" ref="CX174" si="907">(CX164/CT164-1)*100</f>
        <v>5.7497066236250172</v>
      </c>
      <c r="CY174" s="1469">
        <f t="shared" ref="CY174" si="908">(CY164/CU164-1)*100</f>
        <v>5.3641391083437684</v>
      </c>
      <c r="CZ174" s="1469">
        <f t="shared" ref="CZ174" si="909">(CZ164/CV164-1)*100</f>
        <v>4.7104767977750095</v>
      </c>
      <c r="DA174" s="1469">
        <f t="shared" ref="DA174" si="910">(DA164/CW164-1)*100</f>
        <v>4.1112456528050068</v>
      </c>
      <c r="DB174" s="1469">
        <f t="shared" ref="DB174" si="911">(DB164/CX164-1)*100</f>
        <v>3.5457030838268011</v>
      </c>
    </row>
    <row r="175" spans="1:106" s="749" customFormat="1" ht="12.75" customHeight="1">
      <c r="A175" s="714"/>
      <c r="B175" s="714"/>
      <c r="C175" s="986"/>
      <c r="D175" s="724"/>
      <c r="E175" s="830" t="s">
        <v>569</v>
      </c>
      <c r="F175" s="754"/>
      <c r="G175" s="755"/>
      <c r="H175" s="755"/>
      <c r="I175" s="755"/>
      <c r="J175" s="755"/>
      <c r="K175" s="1469">
        <f>(4*K164/J165-1)*100</f>
        <v>2.37462792156653</v>
      </c>
      <c r="L175" s="1469">
        <f>((K164+3*L164)/J165-1)*100</f>
        <v>4.0184470814367712</v>
      </c>
      <c r="M175" s="1469">
        <f>((K164+L164+2*M164)/J165-1)*100</f>
        <v>4.4562649331927329</v>
      </c>
      <c r="N175" s="1532"/>
      <c r="O175" s="1469">
        <f>(4*O164/N165-1)*100</f>
        <v>6.1888878299819039</v>
      </c>
      <c r="P175" s="1469">
        <f>((O164+3*P164)/N165-1)*100</f>
        <v>8.1273229772229385</v>
      </c>
      <c r="Q175" s="1469">
        <f>((O164+P164+2*Q164)/N165-1)*100</f>
        <v>9.0460306871247731</v>
      </c>
      <c r="R175" s="1532"/>
      <c r="S175" s="1469">
        <f>(4*S164/R165-1)*100</f>
        <v>3.3254556751075581</v>
      </c>
      <c r="T175" s="1469">
        <f>((S164+3*T164)/R165-1)*100</f>
        <v>4.0971564944227268</v>
      </c>
      <c r="U175" s="1469">
        <f>((S164+T164+2*U164)/R165-1)*100</f>
        <v>4.6464634734085353</v>
      </c>
      <c r="V175" s="1532"/>
      <c r="W175" s="1469">
        <f>(4*W164/V165-1)*100</f>
        <v>-0.31573144451312318</v>
      </c>
      <c r="X175" s="1469">
        <f>((W164+3*X164)/V165-1)*100</f>
        <v>2.154992399057809</v>
      </c>
      <c r="Y175" s="1469">
        <f>((W164+X164+2*Y164)/V165-1)*100</f>
        <v>4.1618638735292368</v>
      </c>
      <c r="Z175" s="1532"/>
      <c r="AA175" s="1469">
        <f>(4*AA164/Z165-1)*100</f>
        <v>9.5045661373977843</v>
      </c>
      <c r="AB175" s="1469">
        <f>((AA164+3*AB164)/Z165-1)*100</f>
        <v>11.189423107519026</v>
      </c>
      <c r="AC175" s="1469">
        <f>((AA164+AB164+2*AC164)/Z165-1)*100</f>
        <v>12.075073450642249</v>
      </c>
      <c r="AD175" s="1532"/>
      <c r="AE175" s="1469">
        <f>(4*AE164/AD165-1)*100</f>
        <v>1.9639671948583848</v>
      </c>
      <c r="AF175" s="1469">
        <f>((AE164+3*AF164)/AD165-1)*100</f>
        <v>0.59787276210609974</v>
      </c>
      <c r="AG175" s="1469">
        <f>((AE164+AF164+2*AG164)/AD165-1)*100</f>
        <v>0.384582715956161</v>
      </c>
      <c r="AH175" s="1532"/>
      <c r="AI175" s="1469">
        <f>(4*AI164/AH165-1)*100</f>
        <v>1.9950816511733915</v>
      </c>
      <c r="AJ175" s="1469">
        <f>((AI164+3*AJ164)/AH165-1)*100</f>
        <v>3.2632257033097689</v>
      </c>
      <c r="AK175" s="1469">
        <f>((AI164+AJ164+2*AK164)/AH165-1)*100</f>
        <v>3.6459729255711837</v>
      </c>
      <c r="AL175" s="1532"/>
      <c r="AM175" s="1469">
        <f>(4*AM164/AL165-1)*100</f>
        <v>6.6231774920844089E-2</v>
      </c>
      <c r="AN175" s="1469">
        <f>((AM164+3*AN164)/AL165-1)*100</f>
        <v>0.65687404168066621</v>
      </c>
      <c r="AO175" s="1469">
        <f>((AM164+AN164+2*AO164)/AL165-1)*100</f>
        <v>1.0388408532104432</v>
      </c>
      <c r="AP175" s="1532"/>
      <c r="AQ175" s="1469">
        <f>(4*AQ164/AP165-1)*100</f>
        <v>3.732886655499712</v>
      </c>
      <c r="AR175" s="1469">
        <f>((AQ164+3*AR164)/AP165-1)*100</f>
        <v>5.0581797878280321</v>
      </c>
      <c r="AS175" s="1469">
        <f>((AQ164+AR164+2*AS164)/AP165-1)*100</f>
        <v>5.8014517029592483</v>
      </c>
      <c r="AT175" s="1532"/>
      <c r="AU175" s="1469">
        <f>(4*AU164/AT165-1)*100</f>
        <v>3.2834389680740594</v>
      </c>
      <c r="AV175" s="1469">
        <f>((AU164+3*AV164)/AT165-1)*100</f>
        <v>4.3596936522423135</v>
      </c>
      <c r="AW175" s="1469">
        <f>((AU164+AV164+2*AW164)/AT165-1)*100</f>
        <v>4.7626057223607798</v>
      </c>
      <c r="AX175" s="1532"/>
      <c r="AY175" s="1469">
        <f>(4*AY164/AX165-1)*100</f>
        <v>3.5574135473227297</v>
      </c>
      <c r="AZ175" s="1469">
        <f>((AY164+3*AZ164)/AX165-1)*100</f>
        <v>4.4559768071372519</v>
      </c>
      <c r="BA175" s="1469">
        <f>((AY164+AZ164+2*BA164)/AX165-1)*100</f>
        <v>4.9741322697932189</v>
      </c>
      <c r="BB175" s="1532"/>
      <c r="BC175" s="1469">
        <f>(4*BC164/BB165-1)*100</f>
        <v>4.5050664881477687</v>
      </c>
      <c r="BD175" s="1469">
        <f>((BC164+3*BD164)/BB165-1)*100</f>
        <v>5.3665976934546444</v>
      </c>
      <c r="BE175" s="1469">
        <f>((BC164+BD164+2*BE164)/BB165-1)*100</f>
        <v>5.6663268721662607</v>
      </c>
      <c r="BF175" s="1532"/>
      <c r="BG175" s="1469">
        <f>(4*BG164/BF165-1)*100</f>
        <v>2.4684783234498298</v>
      </c>
      <c r="BH175" s="1469">
        <f>((BG164+3*BH164)/BF165-1)*100</f>
        <v>4.6890293050837917</v>
      </c>
      <c r="BI175" s="1469">
        <f>((BG164+BH164+2*BI164)/BF165-1)*100</f>
        <v>4.3529420231446903</v>
      </c>
      <c r="BJ175" s="1532"/>
      <c r="BK175" s="1469">
        <f>(4*BK164/BJ165-1)*100</f>
        <v>-12.496948728017587</v>
      </c>
      <c r="BL175" s="1469">
        <f>((BK164+3*BL164)/BJ165-1)*100</f>
        <v>-11.8261995478811</v>
      </c>
      <c r="BM175" s="1469">
        <f>((BK164+BL164+2*BM164)/BJ165-1)*100</f>
        <v>-9.9533376493354595</v>
      </c>
      <c r="BN175" s="1532"/>
      <c r="BO175" s="1469">
        <f>(4*BO164/BN165-1)*100</f>
        <v>5.2260698033241626</v>
      </c>
      <c r="BP175" s="1469">
        <f>((BO164+3*BP164)/BN165-1)*100</f>
        <v>9.3580203511650204</v>
      </c>
      <c r="BQ175" s="1469">
        <f>((BO164+BP164+2*BQ164)/BN165-1)*100</f>
        <v>10.186910411906048</v>
      </c>
      <c r="BR175" s="1532"/>
      <c r="BS175" s="1469">
        <f>(4*BS164/BR165-1)*100</f>
        <v>6.113142885465761</v>
      </c>
      <c r="BT175" s="1469">
        <f>((BS164+3*BT164)/BR165-1)*100</f>
        <v>6.9607055233185999</v>
      </c>
      <c r="BU175" s="1469">
        <f>((BS164+BT164+2*BU164)/BR165-1)*100</f>
        <v>7.6022190988362937</v>
      </c>
      <c r="BV175" s="1532"/>
      <c r="BW175" s="1469">
        <f>(4*BW164/BV165-1)*100</f>
        <v>1.2191764007258632</v>
      </c>
      <c r="BX175" s="1469">
        <f>((BW164+3*BX164)/BV165-1)*100</f>
        <v>0.69368649086198886</v>
      </c>
      <c r="BY175" s="1469">
        <f>((BW164+BX164+2*BY164)/BV165-1)*100</f>
        <v>0.3380519053985509</v>
      </c>
      <c r="BZ175" s="1532"/>
      <c r="CA175" s="1469">
        <f>(4*CA164/BZ165-1)*100</f>
        <v>-0.83583510771957359</v>
      </c>
      <c r="CB175" s="1469">
        <f>((CA164+3*CB164)/BZ165-1)*100</f>
        <v>-0.38254003941120551</v>
      </c>
      <c r="CC175" s="1469">
        <f>((CA164+CB164+2*CC164)/BZ165-1)*100</f>
        <v>0.50355097668390858</v>
      </c>
      <c r="CD175" s="1532"/>
      <c r="CE175" s="1469">
        <f>(4*CE164/CD165-1)*100</f>
        <v>3.2021262301690001</v>
      </c>
      <c r="CF175" s="1469">
        <f>((CE164+3*CF164)/CD165-1)*100</f>
        <v>4.2187054509226884</v>
      </c>
      <c r="CG175" s="1469">
        <f>((CE164+CF164+2*CG164)/CD165-1)*100</f>
        <v>5.0039162223365352</v>
      </c>
      <c r="CH175" s="1532"/>
      <c r="CI175" s="1469">
        <f>(4*CI164/CH165-1)*100</f>
        <v>1.2761714855433759</v>
      </c>
      <c r="CJ175" s="1469">
        <f>((CI164+3*CJ164)/CH165-1)*100</f>
        <v>2.844591226321036</v>
      </c>
      <c r="CK175" s="1469">
        <f>((CI164+CJ164+2*CK164)/CH165-1)*100</f>
        <v>2.3716350947158515</v>
      </c>
      <c r="CL175" s="1532"/>
      <c r="CM175" s="1469">
        <f>(4*CM164/CL165-1)*100</f>
        <v>1.8368522825657374</v>
      </c>
      <c r="CN175" s="1469">
        <f>((CM164+3*CN164)/CL165-1)*100</f>
        <v>6.2541667797918921</v>
      </c>
      <c r="CO175" s="1469">
        <f>((CM164+CN164+2*CO164)/CL165-1)*100</f>
        <v>6.7422644958686773</v>
      </c>
      <c r="CP175" s="1532"/>
      <c r="CQ175" s="1469">
        <f>(4*CQ164/CP165-1)*100</f>
        <v>3.7602760865295792</v>
      </c>
      <c r="CR175" s="1469">
        <f>((CQ164+3*CR164)/CP165-1)*100</f>
        <v>4.3031901461799693</v>
      </c>
      <c r="CS175" s="1469">
        <f>((CQ164+CR164+2*CS164)/CP165-1)*100</f>
        <v>4.0035352543419167</v>
      </c>
      <c r="CT175" s="1532"/>
      <c r="CU175" s="1469">
        <f>(4*CU164/CT165-1)*100</f>
        <v>2.8408403022940565</v>
      </c>
      <c r="CV175" s="1469">
        <f>((CU164+3*CV164)/CT165-1)*100</f>
        <v>4.0363650708082455</v>
      </c>
      <c r="CW175" s="1469">
        <f>((CU164+CV164+2*CW164)/CT165-1)*100</f>
        <v>4.7413004657653524</v>
      </c>
      <c r="CX175" s="1532"/>
      <c r="CY175" s="1469">
        <f>(4*CY164/CX165-1)*100</f>
        <v>3.1267118772866143</v>
      </c>
      <c r="CZ175" s="1469">
        <f>((CY164+3*CZ164)/CX165-1)*100</f>
        <v>3.8382861892398923</v>
      </c>
      <c r="DA175" s="1469">
        <f>((CY164+CZ164+2*DA164)/CX165-1)*100</f>
        <v>4.2389767781021437</v>
      </c>
      <c r="DB175" s="1532"/>
    </row>
    <row r="176" spans="1:106">
      <c r="C176" s="1460"/>
      <c r="D176" s="872"/>
      <c r="E176" s="1467" t="s">
        <v>568</v>
      </c>
      <c r="F176" s="872"/>
      <c r="G176" s="919"/>
      <c r="H176" s="919"/>
      <c r="I176" s="919"/>
      <c r="J176" s="919"/>
      <c r="K176" s="1531"/>
      <c r="L176" s="926">
        <f>(4*L164/(K164+3*L164)-1)*100</f>
        <v>0.52677167880401665</v>
      </c>
      <c r="M176" s="926">
        <f>(4*M164/(K164+L164+2*M164)-1)*100</f>
        <v>0.94370363744402663</v>
      </c>
      <c r="N176" s="926">
        <f>+(4*N164/N165-1)*100</f>
        <v>2.6233361923822418</v>
      </c>
      <c r="O176" s="1531"/>
      <c r="P176" s="926">
        <f>(4*P164/(O164+3*P164)-1)*100</f>
        <v>0.59757795836343774</v>
      </c>
      <c r="Q176" s="926">
        <f>(4*Q164/(O164+P164+2*Q164)-1)*100</f>
        <v>1.4350387163307721</v>
      </c>
      <c r="R176" s="926">
        <f>+(4*R164/R165-1)*100</f>
        <v>2.447493569159831</v>
      </c>
      <c r="S176" s="1531"/>
      <c r="T176" s="926">
        <f>(4*T164/(S164+3*T164)-1)*100</f>
        <v>0.24710915754184715</v>
      </c>
      <c r="U176" s="926">
        <f>(4*U164/(S164+T164+2*U164)-1)*100</f>
        <v>0.77072894644849566</v>
      </c>
      <c r="V176" s="926">
        <f>+(4*V164/V165-1)*100</f>
        <v>-0.28900285661783709</v>
      </c>
      <c r="W176" s="1531"/>
      <c r="X176" s="926">
        <f>(4*X164/(W164+3*X164)-1)*100</f>
        <v>0.80620104331901032</v>
      </c>
      <c r="Y176" s="926">
        <f>(4*Y164/(W164+X164+2*Y164)-1)*100</f>
        <v>2.7173535339495514</v>
      </c>
      <c r="Z176" s="926">
        <f>+(4*Z164/Z165-1)*100</f>
        <v>5.090102989997991</v>
      </c>
      <c r="AA176" s="1531"/>
      <c r="AB176" s="926">
        <f>(4*AB164/(AA164+3*AB164)-1)*100</f>
        <v>0.50510109176240547</v>
      </c>
      <c r="AC176" s="926">
        <f>(4*AC164/(AA164+AB164+2*AC164)-1)*100</f>
        <v>1.2913391788237361</v>
      </c>
      <c r="AD176" s="926">
        <f>+(4*AD164/AD165-1)*100</f>
        <v>2.1187440425070037</v>
      </c>
      <c r="AE176" s="1531"/>
      <c r="AF176" s="926">
        <f>(4*AF164/(AE164+3*AF164)-1)*100</f>
        <v>-0.45265848910570616</v>
      </c>
      <c r="AG176" s="926">
        <f>(4*AG164/(AE164+AF164+2*AG164)-1)*100</f>
        <v>-0.66609317783324906</v>
      </c>
      <c r="AH176" s="926">
        <f>+(4*AH164/AH165-1)*100</f>
        <v>-0.75091807610745409</v>
      </c>
      <c r="AI176" s="1531"/>
      <c r="AJ176" s="926">
        <f>(4*AJ164/(AI164+3*AJ164)-1)*100</f>
        <v>0.40935645886173155</v>
      </c>
      <c r="AK176" s="926">
        <f>(4*AK164/(AI164+AJ164+2*AK164)-1)*100</f>
        <v>0.77712802878049381</v>
      </c>
      <c r="AL176" s="926">
        <f>+(4*AL164/AL165-1)*100</f>
        <v>0.79205944528619732</v>
      </c>
      <c r="AM176" s="1531"/>
      <c r="AN176" s="926">
        <f>(4*AN164/(AM164+3*AN164)-1)*100</f>
        <v>0.19559593665214869</v>
      </c>
      <c r="AO176" s="926">
        <f>(4*AO164/(AM164+AN164+2*AO164)-1)*100</f>
        <v>0.57289608850255025</v>
      </c>
      <c r="AP176" s="926">
        <f>+(4*AP164/AP165-1)*100</f>
        <v>2.1069793411502058</v>
      </c>
      <c r="AQ176" s="1531"/>
      <c r="AR176" s="926">
        <f>(4*AR164/(AQ164+3*AR164)-1)*100</f>
        <v>0.4204949850977302</v>
      </c>
      <c r="AS176" s="926">
        <f>(4*AS164/(AQ164+AR164+2*AS164)-1)*100</f>
        <v>1.1200567416607798</v>
      </c>
      <c r="AT176" s="926">
        <f>+(4*AT164/AT165-1)*100</f>
        <v>2.2589151655598494</v>
      </c>
      <c r="AU176" s="1531"/>
      <c r="AV176" s="926">
        <f>(4*AV164/(AU164+3*AV164)-1)*100</f>
        <v>0.34376448304351825</v>
      </c>
      <c r="AW176" s="926">
        <f>(4*AW164/(AU164+AV164+2*AW164)-1)*100</f>
        <v>0.72703769274928831</v>
      </c>
      <c r="AX176" s="926">
        <f>+(4*AX164/AX165-1)*100</f>
        <v>1.4928002819021957</v>
      </c>
      <c r="AY176" s="1531"/>
      <c r="AZ176" s="926">
        <f>(4*AZ164/(AY164+3*AZ164)-1)*100</f>
        <v>0.2867438472744066</v>
      </c>
      <c r="BA176" s="926">
        <f>(4*BA164/(AY164+AZ164+2*BA164)-1)*100</f>
        <v>0.77893146776324418</v>
      </c>
      <c r="BB176" s="926">
        <f>+(4*BB164/BB165-1)*100</f>
        <v>1.6325350698353835</v>
      </c>
      <c r="BC176" s="1531"/>
      <c r="BD176" s="926">
        <f>(4*BD164/(BC164+3*BD164)-1)*100</f>
        <v>0.27255038572195911</v>
      </c>
      <c r="BE176" s="926">
        <f>(4*BE164/(BC164+BD164+2*BE164)-1)*100</f>
        <v>0.55543356575391556</v>
      </c>
      <c r="BF176" s="926">
        <f>+(4*BF164/BF165-1)*100</f>
        <v>0.66641718003337402</v>
      </c>
      <c r="BG176" s="1531"/>
      <c r="BH176" s="926">
        <f>(4*BH164/(BG164+3*BH164)-1)*100</f>
        <v>0.7070307800711273</v>
      </c>
      <c r="BI176" s="926">
        <f>(4*BI164/(BG164+BH164+2*BI164)-1)*100</f>
        <v>0.38724004399983691</v>
      </c>
      <c r="BJ176" s="926">
        <f>+(4*BJ164/BJ165-1)*100</f>
        <v>-7.3842550828000402</v>
      </c>
      <c r="BK176" s="1531"/>
      <c r="BL176" s="926">
        <f>(4*BL164/(BK164+3*BL164)-1)*100</f>
        <v>0.25357085540040902</v>
      </c>
      <c r="BM176" s="926">
        <f>(4*BM164/(BK164+BL164+2*BM164)-1)*100</f>
        <v>2.3281761965002756</v>
      </c>
      <c r="BN176" s="926">
        <f>+(4*BN164/BN165-1)*100</f>
        <v>4.03859299623055</v>
      </c>
      <c r="BO176" s="1531"/>
      <c r="BP176" s="926">
        <f>(4*BP164/(BO164+3*BP164)-1)*100</f>
        <v>1.2594566405440766</v>
      </c>
      <c r="BQ176" s="926">
        <f>(4*BQ164/(BO164+BP164+2*BQ164)-1)*100</f>
        <v>2.002240467378491</v>
      </c>
      <c r="BR176" s="926">
        <f>+(4*BR164/BR165-1)*100</f>
        <v>2.3957628948831244</v>
      </c>
      <c r="BS176" s="1531"/>
      <c r="BT176" s="926">
        <f>(4*BT164/(BS164+3*BT164)-1)*100</f>
        <v>0.26413520544952274</v>
      </c>
      <c r="BU176" s="926">
        <f>(4*BU164/(BS164+BT164+2*BU164)-1)*100</f>
        <v>0.85875037015101796</v>
      </c>
      <c r="BV176" s="926">
        <f>+(4*BV164/BV165-1)*100</f>
        <v>-1.6192653093722198</v>
      </c>
      <c r="BW176" s="1531"/>
      <c r="BX176" s="926">
        <f>(4*BX164/(BW164+3*BX164)-1)*100</f>
        <v>-0.17395658992370722</v>
      </c>
      <c r="BY176" s="926">
        <f>(4*BY164/(BW164+BX164+2*BY164)-1)*100</f>
        <v>-0.52900956184783743</v>
      </c>
      <c r="BZ176" s="926">
        <f>+(4*BZ164/BZ165-1)*100</f>
        <v>-0.52900956184783743</v>
      </c>
      <c r="CA176" s="1531"/>
      <c r="CB176" s="926">
        <f>(4*CB164/(CA164+3*CB164)-1)*100</f>
        <v>0.15167858743092566</v>
      </c>
      <c r="CC176" s="926">
        <f>(4*CC164/(CA164+CB164+2*CC164)-1)*100</f>
        <v>1.0319927625627168</v>
      </c>
      <c r="CD176" s="926">
        <f>+(4*CD164/CD165-1)*100</f>
        <v>2.1744046195037781</v>
      </c>
      <c r="CE176" s="1531"/>
      <c r="CF176" s="926">
        <f>(4*CF164/(CE164+3*CF164)-1)*100</f>
        <v>0.3251429182363097</v>
      </c>
      <c r="CG176" s="926">
        <f>(4*CG164/(CE164+CF164+2*CG164)-1)*100</f>
        <v>1.0705034174963268</v>
      </c>
      <c r="CH176" s="926">
        <f>+(4*CH164/CH165-1)*100</f>
        <v>1.5827517447657202</v>
      </c>
      <c r="CI176" s="1531"/>
      <c r="CJ176" s="926">
        <f>(4*CJ164/(CI164+3*CJ164)-1)*100</f>
        <v>0.50834620860977786</v>
      </c>
      <c r="CK176" s="926">
        <f>(4*CK164/(CI164+CJ164+2*CK164)-1)*100</f>
        <v>4.8695567485967928E-2</v>
      </c>
      <c r="CL176" s="926">
        <f>+(4*CL164/CL165-1)*100</f>
        <v>2.6899674500966864</v>
      </c>
      <c r="CM176" s="1531"/>
      <c r="CN176" s="926">
        <f>(4*CN164/(CM164+3*CN164)-1)*100</f>
        <v>1.3857698106029437</v>
      </c>
      <c r="CO176" s="926">
        <f>(4*CO164/(CM164+CN164+2*CO164)-1)*100</f>
        <v>1.8367006649879336</v>
      </c>
      <c r="CP176" s="926">
        <f>+(4*CP164/CP165-1)*100</f>
        <v>3.9858589826323731</v>
      </c>
      <c r="CQ176" s="1531"/>
      <c r="CR176" s="926">
        <f>(4*CR164/(CQ164+3*CR164)-1)*100</f>
        <v>0.17350509889790811</v>
      </c>
      <c r="CS176" s="926">
        <f>(4*CS164/(CQ164+CR164+2*CS164)-1)*100</f>
        <v>-0.11411490804712487</v>
      </c>
      <c r="CT176" s="926">
        <f>+(4*CT164/CT165-1)*100</f>
        <v>1.3409935970575937</v>
      </c>
      <c r="CU176" s="1531"/>
      <c r="CV176" s="926">
        <f>(4*CV164/(CU164+3*CV164)-1)*100</f>
        <v>0.38304707772147673</v>
      </c>
      <c r="CW176" s="926">
        <f>(4*CW164/(CU164+CV164+2*CW164)-1)*100</f>
        <v>1.0534943200262825</v>
      </c>
      <c r="CX176" s="926">
        <f>+(4*CX164/CX165-1)*100</f>
        <v>1.9945721266804606</v>
      </c>
      <c r="CY176" s="1531"/>
      <c r="CZ176" s="926">
        <f>(4*CZ164/(CY164+3*CZ164)-1)*100</f>
        <v>0.22842387526071928</v>
      </c>
      <c r="DA176" s="926">
        <f>(4*DA164/(CY164+CZ164+2*DA164)-1)*100</f>
        <v>0.61194194906373234</v>
      </c>
      <c r="DB176" s="926">
        <f>+(4*DB164/DB165-1)*100</f>
        <v>1.1381506921473772</v>
      </c>
    </row>
    <row r="177" spans="1:106" ht="30" customHeight="1">
      <c r="CT177" s="1602"/>
      <c r="CU177" s="1602"/>
      <c r="CV177" s="1602"/>
      <c r="CW177" s="1602"/>
      <c r="CX177" s="1602"/>
      <c r="CY177" s="1602"/>
      <c r="CZ177" s="1602"/>
      <c r="DA177" s="1602"/>
      <c r="DB177" s="1602"/>
    </row>
    <row r="178" spans="1:106" ht="30" customHeight="1">
      <c r="CT178" s="1602"/>
      <c r="CU178" s="1602"/>
      <c r="CV178" s="1602"/>
      <c r="CW178" s="1602"/>
      <c r="CX178" s="2826"/>
      <c r="CY178" s="1602"/>
      <c r="CZ178" s="1602"/>
      <c r="DA178" s="1602"/>
      <c r="DB178" s="1602"/>
    </row>
    <row r="179" spans="1:106" ht="30" customHeight="1">
      <c r="C179" s="4125" t="s">
        <v>825</v>
      </c>
      <c r="D179" s="4125"/>
      <c r="E179" s="4125"/>
      <c r="F179" s="4125"/>
      <c r="CD179" s="2935"/>
      <c r="CH179" s="2935"/>
      <c r="CL179" s="2935"/>
      <c r="CP179" s="2935"/>
      <c r="CT179" s="3352"/>
      <c r="CU179" s="3352"/>
      <c r="CV179" s="3352"/>
      <c r="CW179" s="3352"/>
      <c r="CX179" s="3352"/>
      <c r="CY179" s="3352"/>
      <c r="CZ179" s="3352"/>
      <c r="DA179" s="3352"/>
      <c r="DB179" s="3352"/>
    </row>
    <row r="180" spans="1:106" s="927" customFormat="1" ht="12.75" customHeight="1">
      <c r="A180" s="714"/>
      <c r="B180" s="714"/>
      <c r="C180" s="716"/>
      <c r="D180" s="1082"/>
      <c r="E180" s="1461"/>
      <c r="F180" s="1082"/>
      <c r="G180" s="1085"/>
      <c r="H180" s="1462"/>
      <c r="I180" s="1462"/>
      <c r="J180" s="1462"/>
      <c r="K180" s="1085"/>
      <c r="L180" s="1462"/>
      <c r="M180" s="1462"/>
      <c r="N180" s="1462"/>
      <c r="O180" s="1085"/>
      <c r="P180" s="1462"/>
      <c r="Q180" s="1462"/>
      <c r="R180" s="1462"/>
      <c r="S180" s="1085"/>
      <c r="T180" s="1462"/>
      <c r="U180" s="1462"/>
      <c r="V180" s="1462"/>
      <c r="W180" s="1085"/>
      <c r="X180" s="1462"/>
      <c r="Y180" s="1462"/>
      <c r="Z180" s="1462"/>
      <c r="AA180" s="1085"/>
      <c r="AB180" s="1462"/>
      <c r="AC180" s="1462"/>
      <c r="AD180" s="1462"/>
      <c r="AE180" s="1085"/>
      <c r="AF180" s="1462"/>
      <c r="AG180" s="1462"/>
      <c r="AH180" s="1462"/>
      <c r="AI180" s="1085"/>
      <c r="AJ180" s="1462"/>
      <c r="AK180" s="1462"/>
      <c r="AL180" s="1462"/>
      <c r="AM180" s="1085"/>
      <c r="AN180" s="1462"/>
      <c r="AO180" s="1462"/>
      <c r="AP180" s="1462"/>
      <c r="AQ180" s="1085"/>
      <c r="AR180" s="1462"/>
      <c r="AS180" s="1462"/>
      <c r="AT180" s="1462"/>
      <c r="AU180" s="1085"/>
      <c r="AV180" s="1462"/>
      <c r="AW180" s="1462"/>
      <c r="AX180" s="1462"/>
      <c r="AY180" s="1463"/>
      <c r="AZ180" s="1462"/>
      <c r="BA180" s="1463"/>
      <c r="BB180" s="1463"/>
      <c r="BC180" s="1463"/>
      <c r="BD180" s="1463"/>
      <c r="BE180" s="1463"/>
      <c r="BF180" s="1463"/>
      <c r="BG180" s="1463"/>
      <c r="BH180" s="1463"/>
      <c r="BI180" s="1463"/>
      <c r="BJ180" s="1463"/>
      <c r="BK180" s="1463"/>
      <c r="BL180" s="1463"/>
      <c r="BM180" s="1463"/>
      <c r="BN180" s="1463"/>
      <c r="CT180" s="1602"/>
      <c r="CU180" s="1602"/>
      <c r="CV180" s="1602"/>
      <c r="CW180" s="1602"/>
      <c r="CX180" s="1602"/>
      <c r="CY180" s="1602"/>
      <c r="CZ180" s="1602"/>
      <c r="DA180" s="1602"/>
      <c r="DB180" s="1602"/>
    </row>
    <row r="181" spans="1:106">
      <c r="G181" s="4122">
        <f ca="1">OFFSET(InputY!$G$3,0,(COLUMN()-7)/4)</f>
        <v>1995</v>
      </c>
      <c r="H181" s="4123"/>
      <c r="I181" s="4123"/>
      <c r="J181" s="4123"/>
      <c r="K181" s="4117">
        <f ca="1">OFFSET(InputY!$G$3,0,(COLUMN()-7)/4)</f>
        <v>1996</v>
      </c>
      <c r="L181" s="4118"/>
      <c r="M181" s="4118"/>
      <c r="N181" s="4119"/>
      <c r="O181" s="4117">
        <f ca="1">OFFSET(InputY!$G$3,0,(COLUMN()-7)/4)</f>
        <v>1997</v>
      </c>
      <c r="P181" s="4118"/>
      <c r="Q181" s="4118"/>
      <c r="R181" s="4119"/>
      <c r="S181" s="4117">
        <f ca="1">OFFSET(InputY!$G$3,0,(COLUMN()-7)/4)</f>
        <v>1998</v>
      </c>
      <c r="T181" s="4118"/>
      <c r="U181" s="4118"/>
      <c r="V181" s="4119"/>
      <c r="W181" s="4117">
        <f ca="1">OFFSET(InputY!$G$3,0,(COLUMN()-7)/4)</f>
        <v>1999</v>
      </c>
      <c r="X181" s="4118"/>
      <c r="Y181" s="4118"/>
      <c r="Z181" s="4119"/>
      <c r="AA181" s="4117">
        <f ca="1">OFFSET(InputY!$G$3,0,(COLUMN()-7)/4)</f>
        <v>2000</v>
      </c>
      <c r="AB181" s="4118"/>
      <c r="AC181" s="4118"/>
      <c r="AD181" s="4119"/>
      <c r="AE181" s="4117">
        <f ca="1">OFFSET(InputY!$G$3,0,(COLUMN()-7)/4)</f>
        <v>2001</v>
      </c>
      <c r="AF181" s="4118"/>
      <c r="AG181" s="4118"/>
      <c r="AH181" s="4119"/>
      <c r="AI181" s="4117">
        <f ca="1">OFFSET(InputY!$G$3,0,(COLUMN()-7)/4)</f>
        <v>2002</v>
      </c>
      <c r="AJ181" s="4118"/>
      <c r="AK181" s="4118"/>
      <c r="AL181" s="4119"/>
      <c r="AM181" s="4117">
        <f ca="1">OFFSET(InputY!$G$3,0,(COLUMN()-7)/4)</f>
        <v>2003</v>
      </c>
      <c r="AN181" s="4118"/>
      <c r="AO181" s="4118"/>
      <c r="AP181" s="4119"/>
      <c r="AQ181" s="4117">
        <f ca="1">OFFSET(InputY!$G$3,0,(COLUMN()-7)/4)</f>
        <v>2004</v>
      </c>
      <c r="AR181" s="4118"/>
      <c r="AS181" s="4118"/>
      <c r="AT181" s="4119"/>
      <c r="AU181" s="4117">
        <f ca="1">OFFSET(InputY!$G$3,0,(COLUMN()-7)/4)</f>
        <v>2005</v>
      </c>
      <c r="AV181" s="4118"/>
      <c r="AW181" s="4118"/>
      <c r="AX181" s="4119"/>
      <c r="AY181" s="4117">
        <f ca="1">OFFSET(InputY!$G$3,0,(COLUMN()-7)/4)</f>
        <v>2006</v>
      </c>
      <c r="AZ181" s="4118"/>
      <c r="BA181" s="4118"/>
      <c r="BB181" s="4119"/>
      <c r="BC181" s="4117">
        <f ca="1">OFFSET(InputY!$G$3,0,(COLUMN()-7)/4)</f>
        <v>2007</v>
      </c>
      <c r="BD181" s="4118"/>
      <c r="BE181" s="4118"/>
      <c r="BF181" s="4119"/>
      <c r="BG181" s="4117">
        <f ca="1">OFFSET(InputY!$G$3,0,(COLUMN()-7)/4)</f>
        <v>2008</v>
      </c>
      <c r="BH181" s="4118"/>
      <c r="BI181" s="4118"/>
      <c r="BJ181" s="4119"/>
      <c r="BK181" s="4117">
        <f ca="1">OFFSET(InputY!$G$3,0,(COLUMN()-7)/4)</f>
        <v>2009</v>
      </c>
      <c r="BL181" s="4118"/>
      <c r="BM181" s="4118"/>
      <c r="BN181" s="4119"/>
      <c r="BO181" s="4117">
        <f ca="1">OFFSET(InputY!$G$3,0,(COLUMN()-7)/4)</f>
        <v>2010</v>
      </c>
      <c r="BP181" s="4118"/>
      <c r="BQ181" s="4118"/>
      <c r="BR181" s="4119"/>
      <c r="BS181" s="4117">
        <f ca="1">OFFSET(InputY!$G$3,0,(COLUMN()-7)/4)</f>
        <v>2011</v>
      </c>
      <c r="BT181" s="4118"/>
      <c r="BU181" s="4118"/>
      <c r="BV181" s="4119"/>
      <c r="BW181" s="4117">
        <f ca="1">OFFSET(InputY!$G$3,0,(COLUMN()-7)/4)</f>
        <v>2012</v>
      </c>
      <c r="BX181" s="4118"/>
      <c r="BY181" s="4118"/>
      <c r="BZ181" s="4119"/>
      <c r="CA181" s="4117">
        <f ca="1">OFFSET(InputY!$G$3,0,(COLUMN()-7)/4)</f>
        <v>2013</v>
      </c>
      <c r="CB181" s="4118"/>
      <c r="CC181" s="4118"/>
      <c r="CD181" s="4119"/>
      <c r="CE181" s="4117">
        <f ca="1">OFFSET(InputY!$G$3,0,(COLUMN()-7)/4)</f>
        <v>2014</v>
      </c>
      <c r="CF181" s="4118"/>
      <c r="CG181" s="4118"/>
      <c r="CH181" s="4119"/>
      <c r="CI181" s="4117">
        <f ca="1">OFFSET(InputY!$G$3,0,(COLUMN()-7)/4)</f>
        <v>2015</v>
      </c>
      <c r="CJ181" s="4118"/>
      <c r="CK181" s="4118"/>
      <c r="CL181" s="4119"/>
      <c r="CM181" s="4117">
        <f ca="1">OFFSET(InputY!$G$3,0,(COLUMN()-7)/4)</f>
        <v>2016</v>
      </c>
      <c r="CN181" s="4118"/>
      <c r="CO181" s="4118"/>
      <c r="CP181" s="4119"/>
      <c r="CQ181" s="4117">
        <f ca="1">OFFSET(InputY!$G$3,0,(COLUMN()-7)/4)</f>
        <v>2017</v>
      </c>
      <c r="CR181" s="4118"/>
      <c r="CS181" s="4118"/>
      <c r="CT181" s="4119"/>
      <c r="CU181" s="4117">
        <f ca="1">OFFSET(InputY!$G$3,0,(COLUMN()-7)/4)</f>
        <v>2018</v>
      </c>
      <c r="CV181" s="4118"/>
      <c r="CW181" s="4118"/>
      <c r="CX181" s="4119"/>
      <c r="CY181" s="4117">
        <f ca="1">OFFSET(InputY!$G$3,0,(COLUMN()-7)/4)</f>
        <v>2019</v>
      </c>
      <c r="CZ181" s="4118"/>
      <c r="DA181" s="4118"/>
      <c r="DB181" s="4119"/>
    </row>
    <row r="182" spans="1:106" s="749" customFormat="1" ht="12.75" customHeight="1">
      <c r="A182" s="714"/>
      <c r="B182" s="714"/>
      <c r="C182" s="716"/>
      <c r="D182" s="745"/>
      <c r="E182" s="746" t="s">
        <v>719</v>
      </c>
      <c r="F182" s="747"/>
      <c r="G182" s="1472" t="s">
        <v>364</v>
      </c>
      <c r="H182" s="1473" t="s">
        <v>671</v>
      </c>
      <c r="I182" s="1473" t="s">
        <v>672</v>
      </c>
      <c r="J182" s="1474" t="s">
        <v>673</v>
      </c>
      <c r="K182" s="1472" t="s">
        <v>364</v>
      </c>
      <c r="L182" s="1473" t="s">
        <v>671</v>
      </c>
      <c r="M182" s="1473" t="s">
        <v>672</v>
      </c>
      <c r="N182" s="1474" t="s">
        <v>673</v>
      </c>
      <c r="O182" s="1472" t="s">
        <v>364</v>
      </c>
      <c r="P182" s="1473" t="s">
        <v>671</v>
      </c>
      <c r="Q182" s="1473" t="s">
        <v>672</v>
      </c>
      <c r="R182" s="1474" t="s">
        <v>673</v>
      </c>
      <c r="S182" s="1472" t="s">
        <v>364</v>
      </c>
      <c r="T182" s="1473" t="s">
        <v>671</v>
      </c>
      <c r="U182" s="1473" t="s">
        <v>672</v>
      </c>
      <c r="V182" s="1474" t="s">
        <v>673</v>
      </c>
      <c r="W182" s="1472" t="s">
        <v>364</v>
      </c>
      <c r="X182" s="1473" t="s">
        <v>671</v>
      </c>
      <c r="Y182" s="1473" t="s">
        <v>672</v>
      </c>
      <c r="Z182" s="1474" t="s">
        <v>673</v>
      </c>
      <c r="AA182" s="1472" t="s">
        <v>364</v>
      </c>
      <c r="AB182" s="1473" t="s">
        <v>671</v>
      </c>
      <c r="AC182" s="1473" t="s">
        <v>672</v>
      </c>
      <c r="AD182" s="1474" t="s">
        <v>673</v>
      </c>
      <c r="AE182" s="1472" t="s">
        <v>364</v>
      </c>
      <c r="AF182" s="1473" t="s">
        <v>671</v>
      </c>
      <c r="AG182" s="1473" t="s">
        <v>672</v>
      </c>
      <c r="AH182" s="1474" t="s">
        <v>673</v>
      </c>
      <c r="AI182" s="1472" t="s">
        <v>364</v>
      </c>
      <c r="AJ182" s="1473" t="s">
        <v>671</v>
      </c>
      <c r="AK182" s="1473" t="s">
        <v>672</v>
      </c>
      <c r="AL182" s="1474" t="s">
        <v>673</v>
      </c>
      <c r="AM182" s="1472" t="s">
        <v>364</v>
      </c>
      <c r="AN182" s="1473" t="s">
        <v>671</v>
      </c>
      <c r="AO182" s="1473" t="s">
        <v>672</v>
      </c>
      <c r="AP182" s="1474" t="s">
        <v>673</v>
      </c>
      <c r="AQ182" s="1472" t="s">
        <v>364</v>
      </c>
      <c r="AR182" s="1473" t="s">
        <v>671</v>
      </c>
      <c r="AS182" s="1473" t="s">
        <v>672</v>
      </c>
      <c r="AT182" s="1474" t="s">
        <v>673</v>
      </c>
      <c r="AU182" s="1472" t="s">
        <v>364</v>
      </c>
      <c r="AV182" s="1473" t="s">
        <v>671</v>
      </c>
      <c r="AW182" s="1473" t="s">
        <v>672</v>
      </c>
      <c r="AX182" s="1474" t="s">
        <v>673</v>
      </c>
      <c r="AY182" s="1472" t="s">
        <v>364</v>
      </c>
      <c r="AZ182" s="1473" t="s">
        <v>671</v>
      </c>
      <c r="BA182" s="1473" t="s">
        <v>672</v>
      </c>
      <c r="BB182" s="1474" t="s">
        <v>673</v>
      </c>
      <c r="BC182" s="1472" t="s">
        <v>364</v>
      </c>
      <c r="BD182" s="1473" t="s">
        <v>671</v>
      </c>
      <c r="BE182" s="1473" t="s">
        <v>672</v>
      </c>
      <c r="BF182" s="1474" t="s">
        <v>673</v>
      </c>
      <c r="BG182" s="1472" t="s">
        <v>364</v>
      </c>
      <c r="BH182" s="1473" t="s">
        <v>671</v>
      </c>
      <c r="BI182" s="1473" t="s">
        <v>672</v>
      </c>
      <c r="BJ182" s="1474" t="s">
        <v>673</v>
      </c>
      <c r="BK182" s="1472" t="s">
        <v>364</v>
      </c>
      <c r="BL182" s="1473" t="s">
        <v>671</v>
      </c>
      <c r="BM182" s="1473" t="s">
        <v>672</v>
      </c>
      <c r="BN182" s="1474" t="s">
        <v>673</v>
      </c>
      <c r="BO182" s="1472" t="s">
        <v>364</v>
      </c>
      <c r="BP182" s="1473" t="s">
        <v>671</v>
      </c>
      <c r="BQ182" s="1473" t="s">
        <v>672</v>
      </c>
      <c r="BR182" s="1474" t="s">
        <v>673</v>
      </c>
      <c r="BS182" s="1472" t="s">
        <v>364</v>
      </c>
      <c r="BT182" s="1473" t="s">
        <v>671</v>
      </c>
      <c r="BU182" s="1473" t="s">
        <v>672</v>
      </c>
      <c r="BV182" s="1474" t="s">
        <v>673</v>
      </c>
      <c r="BW182" s="1472" t="s">
        <v>364</v>
      </c>
      <c r="BX182" s="1472" t="s">
        <v>671</v>
      </c>
      <c r="BY182" s="1473" t="s">
        <v>672</v>
      </c>
      <c r="BZ182" s="1474" t="s">
        <v>673</v>
      </c>
      <c r="CA182" s="1472" t="s">
        <v>364</v>
      </c>
      <c r="CB182" s="1473" t="s">
        <v>671</v>
      </c>
      <c r="CC182" s="1473" t="s">
        <v>672</v>
      </c>
      <c r="CD182" s="1474" t="s">
        <v>673</v>
      </c>
      <c r="CE182" s="1472" t="s">
        <v>364</v>
      </c>
      <c r="CF182" s="1473" t="s">
        <v>671</v>
      </c>
      <c r="CG182" s="1473" t="s">
        <v>672</v>
      </c>
      <c r="CH182" s="1474" t="s">
        <v>673</v>
      </c>
      <c r="CI182" s="1472" t="s">
        <v>364</v>
      </c>
      <c r="CJ182" s="1473" t="s">
        <v>671</v>
      </c>
      <c r="CK182" s="1473" t="s">
        <v>672</v>
      </c>
      <c r="CL182" s="1474" t="s">
        <v>673</v>
      </c>
      <c r="CM182" s="1472" t="s">
        <v>364</v>
      </c>
      <c r="CN182" s="1473" t="s">
        <v>671</v>
      </c>
      <c r="CO182" s="1473" t="s">
        <v>672</v>
      </c>
      <c r="CP182" s="1474" t="s">
        <v>673</v>
      </c>
      <c r="CQ182" s="1472" t="s">
        <v>364</v>
      </c>
      <c r="CR182" s="1473" t="s">
        <v>671</v>
      </c>
      <c r="CS182" s="1473" t="s">
        <v>672</v>
      </c>
      <c r="CT182" s="1474" t="s">
        <v>673</v>
      </c>
      <c r="CU182" s="1472" t="s">
        <v>364</v>
      </c>
      <c r="CV182" s="1473" t="s">
        <v>671</v>
      </c>
      <c r="CW182" s="1473" t="s">
        <v>672</v>
      </c>
      <c r="CX182" s="1474" t="s">
        <v>673</v>
      </c>
      <c r="CY182" s="1472" t="s">
        <v>364</v>
      </c>
      <c r="CZ182" s="1473" t="s">
        <v>671</v>
      </c>
      <c r="DA182" s="1473" t="s">
        <v>672</v>
      </c>
      <c r="DB182" s="1474" t="s">
        <v>673</v>
      </c>
    </row>
    <row r="183" spans="1:106" s="749" customFormat="1" ht="12.75" customHeight="1">
      <c r="A183" s="714"/>
      <c r="B183" s="714"/>
      <c r="C183" s="1464" t="s">
        <v>622</v>
      </c>
      <c r="D183" s="718"/>
      <c r="E183" s="750" t="str">
        <f>E145</f>
        <v>Dom. demand incl. ch. in invent. &amp; incl. net acq. of val.</v>
      </c>
      <c r="F183" s="751"/>
      <c r="G183" s="828">
        <f>G145</f>
        <v>73.084000000000003</v>
      </c>
      <c r="H183" s="828">
        <f t="shared" ref="H183:AX183" si="912">H145</f>
        <v>73.763999999999996</v>
      </c>
      <c r="I183" s="828">
        <f t="shared" si="912"/>
        <v>74.347999999999999</v>
      </c>
      <c r="J183" s="828">
        <f t="shared" si="912"/>
        <v>74.707999999999998</v>
      </c>
      <c r="K183" s="828">
        <f t="shared" si="912"/>
        <v>74.635999999999996</v>
      </c>
      <c r="L183" s="828">
        <f t="shared" si="912"/>
        <v>75.007999999999996</v>
      </c>
      <c r="M183" s="828">
        <f t="shared" si="912"/>
        <v>75.436999999999998</v>
      </c>
      <c r="N183" s="828">
        <f t="shared" si="912"/>
        <v>75.86</v>
      </c>
      <c r="O183" s="828">
        <f>O145</f>
        <v>76.304000000000002</v>
      </c>
      <c r="P183" s="828">
        <f>P145</f>
        <v>77.043999999999997</v>
      </c>
      <c r="Q183" s="828">
        <f>Q145</f>
        <v>77.283000000000001</v>
      </c>
      <c r="R183" s="828">
        <f>R145</f>
        <v>77.876000000000005</v>
      </c>
      <c r="S183" s="828">
        <f t="shared" si="912"/>
        <v>78.088999999999999</v>
      </c>
      <c r="T183" s="828">
        <f t="shared" si="912"/>
        <v>78.674999999999997</v>
      </c>
      <c r="U183" s="828">
        <f t="shared" si="912"/>
        <v>79.421000000000006</v>
      </c>
      <c r="V183" s="828">
        <f t="shared" si="912"/>
        <v>79.88</v>
      </c>
      <c r="W183" s="828">
        <f t="shared" si="912"/>
        <v>80.084999999999994</v>
      </c>
      <c r="X183" s="828">
        <f t="shared" si="912"/>
        <v>80.704999999999998</v>
      </c>
      <c r="Y183" s="828">
        <f t="shared" si="912"/>
        <v>81.259</v>
      </c>
      <c r="Z183" s="828">
        <f t="shared" si="912"/>
        <v>81.515000000000001</v>
      </c>
      <c r="AA183" s="828">
        <f t="shared" si="912"/>
        <v>82.593000000000004</v>
      </c>
      <c r="AB183" s="828">
        <f t="shared" si="912"/>
        <v>83.180999999999997</v>
      </c>
      <c r="AC183" s="828">
        <f t="shared" si="912"/>
        <v>83.867999999999995</v>
      </c>
      <c r="AD183" s="828">
        <f t="shared" si="912"/>
        <v>84.463999999999999</v>
      </c>
      <c r="AE183" s="828">
        <f t="shared" si="912"/>
        <v>84.846000000000004</v>
      </c>
      <c r="AF183" s="828">
        <f t="shared" si="912"/>
        <v>84.593999999999994</v>
      </c>
      <c r="AG183" s="828">
        <f t="shared" si="912"/>
        <v>84.664000000000001</v>
      </c>
      <c r="AH183" s="828">
        <f t="shared" si="912"/>
        <v>83.79</v>
      </c>
      <c r="AI183" s="828">
        <f t="shared" si="912"/>
        <v>84.162999999999997</v>
      </c>
      <c r="AJ183" s="828">
        <f t="shared" si="912"/>
        <v>84.224999999999994</v>
      </c>
      <c r="AK183" s="828">
        <f t="shared" si="912"/>
        <v>84.296000000000006</v>
      </c>
      <c r="AL183" s="828">
        <f t="shared" si="912"/>
        <v>84.867999999999995</v>
      </c>
      <c r="AM183" s="828">
        <f t="shared" si="912"/>
        <v>84.643000000000001</v>
      </c>
      <c r="AN183" s="828">
        <f t="shared" si="912"/>
        <v>84.68</v>
      </c>
      <c r="AO183" s="828">
        <f t="shared" si="912"/>
        <v>84.888000000000005</v>
      </c>
      <c r="AP183" s="828">
        <f t="shared" si="912"/>
        <v>85.164000000000001</v>
      </c>
      <c r="AQ183" s="828">
        <f>AQ145</f>
        <v>86.656000000000006</v>
      </c>
      <c r="AR183" s="828">
        <f>AR145</f>
        <v>87.35</v>
      </c>
      <c r="AS183" s="828">
        <f>AS145</f>
        <v>88.036000000000001</v>
      </c>
      <c r="AT183" s="828">
        <f>AT145</f>
        <v>87.900999999999996</v>
      </c>
      <c r="AU183" s="828">
        <f t="shared" si="912"/>
        <v>88.741</v>
      </c>
      <c r="AV183" s="828">
        <f t="shared" si="912"/>
        <v>89.683000000000007</v>
      </c>
      <c r="AW183" s="828">
        <f t="shared" si="912"/>
        <v>89.554000000000002</v>
      </c>
      <c r="AX183" s="828">
        <f t="shared" si="912"/>
        <v>89.575000000000003</v>
      </c>
      <c r="AY183" s="828">
        <f t="shared" ref="AY183:BD183" si="913">AY145</f>
        <v>90.308999999999997</v>
      </c>
      <c r="AZ183" s="828">
        <f t="shared" si="913"/>
        <v>90.373999999999995</v>
      </c>
      <c r="BA183" s="828">
        <f t="shared" si="913"/>
        <v>90.863</v>
      </c>
      <c r="BB183" s="828">
        <f t="shared" si="913"/>
        <v>91.215999999999994</v>
      </c>
      <c r="BC183" s="828">
        <f t="shared" si="913"/>
        <v>92.307000000000002</v>
      </c>
      <c r="BD183" s="828">
        <f t="shared" si="913"/>
        <v>92.962999999999994</v>
      </c>
      <c r="BE183" s="828">
        <f t="shared" ref="BE183:BN183" si="914">BE145</f>
        <v>93.795000000000002</v>
      </c>
      <c r="BF183" s="828">
        <f t="shared" si="914"/>
        <v>94.594999999999999</v>
      </c>
      <c r="BG183" s="828">
        <f t="shared" si="914"/>
        <v>95.415999999999997</v>
      </c>
      <c r="BH183" s="828">
        <f t="shared" si="914"/>
        <v>95.772999999999996</v>
      </c>
      <c r="BI183" s="828">
        <f t="shared" si="914"/>
        <v>95.356999999999999</v>
      </c>
      <c r="BJ183" s="828">
        <f t="shared" si="914"/>
        <v>94.662999999999997</v>
      </c>
      <c r="BK183" s="828">
        <f t="shared" si="914"/>
        <v>93.806000000000012</v>
      </c>
      <c r="BL183" s="828">
        <f t="shared" si="914"/>
        <v>94.009</v>
      </c>
      <c r="BM183" s="828">
        <f t="shared" si="914"/>
        <v>94.251000000000005</v>
      </c>
      <c r="BN183" s="828">
        <f t="shared" si="914"/>
        <v>95.074000000000012</v>
      </c>
      <c r="BO183" s="828">
        <f>BO145</f>
        <v>95.194999999999993</v>
      </c>
      <c r="BP183" s="828">
        <f>BP145</f>
        <v>95.403999999999996</v>
      </c>
      <c r="BQ183" s="828">
        <f>BQ145</f>
        <v>95.772999999999996</v>
      </c>
      <c r="BR183" s="828">
        <f>BR145</f>
        <v>96.304999999999993</v>
      </c>
      <c r="BS183" s="828">
        <f t="shared" ref="BS183:BX183" si="915">BS145</f>
        <v>96.397999999999996</v>
      </c>
      <c r="BT183" s="828">
        <f t="shared" si="915"/>
        <v>96.869</v>
      </c>
      <c r="BU183" s="828">
        <f t="shared" si="915"/>
        <v>97.168000000000006</v>
      </c>
      <c r="BV183" s="828">
        <f t="shared" si="915"/>
        <v>97.542000000000002</v>
      </c>
      <c r="BW183" s="828">
        <f t="shared" si="915"/>
        <v>97.592999999999989</v>
      </c>
      <c r="BX183" s="828">
        <f t="shared" si="915"/>
        <v>97.759999999999991</v>
      </c>
      <c r="BY183" s="828">
        <f t="shared" ref="BY183:CD183" si="916">BY145</f>
        <v>97.826999999999998</v>
      </c>
      <c r="BZ183" s="828">
        <f t="shared" si="916"/>
        <v>97.662999999999997</v>
      </c>
      <c r="CA183" s="828">
        <f t="shared" si="916"/>
        <v>97.616</v>
      </c>
      <c r="CB183" s="828">
        <f t="shared" si="916"/>
        <v>97.774000000000001</v>
      </c>
      <c r="CC183" s="828">
        <f t="shared" si="916"/>
        <v>98.034999999999997</v>
      </c>
      <c r="CD183" s="828">
        <f t="shared" si="916"/>
        <v>97.932000000000002</v>
      </c>
      <c r="CE183" s="828">
        <f t="shared" ref="CE183:CH183" si="917">CE145</f>
        <v>98.502999999999986</v>
      </c>
      <c r="CF183" s="828">
        <f t="shared" si="917"/>
        <v>98.963999999999999</v>
      </c>
      <c r="CG183" s="828">
        <f t="shared" si="917"/>
        <v>100.94699999999999</v>
      </c>
      <c r="CH183" s="828">
        <f t="shared" si="917"/>
        <v>100.065</v>
      </c>
      <c r="CI183" s="828">
        <f t="shared" ref="CI183:CL183" si="918">CI145</f>
        <v>102.28999999999999</v>
      </c>
      <c r="CJ183" s="828">
        <f t="shared" si="918"/>
        <v>99.74799999999999</v>
      </c>
      <c r="CK183" s="828">
        <f t="shared" si="918"/>
        <v>100.369</v>
      </c>
      <c r="CL183" s="828">
        <f t="shared" si="918"/>
        <v>100.87700000000001</v>
      </c>
      <c r="CM183" s="828">
        <f t="shared" ref="CM183:CP183" si="919">CM145</f>
        <v>101.596</v>
      </c>
      <c r="CN183" s="828">
        <f t="shared" si="919"/>
        <v>102.04599999999999</v>
      </c>
      <c r="CO183" s="828">
        <f t="shared" si="919"/>
        <v>104.166</v>
      </c>
      <c r="CP183" s="828">
        <f t="shared" si="919"/>
        <v>102.89700000000001</v>
      </c>
      <c r="CQ183" s="828">
        <f t="shared" ref="CQ183:CT183" si="920">CQ145</f>
        <v>103.074</v>
      </c>
      <c r="CR183" s="828">
        <f t="shared" si="920"/>
        <v>103.59799999999998</v>
      </c>
      <c r="CS183" s="828">
        <f t="shared" si="920"/>
        <v>104.096</v>
      </c>
      <c r="CT183" s="828">
        <f t="shared" si="920"/>
        <v>104.36200000000001</v>
      </c>
      <c r="CU183" s="1868">
        <f t="shared" ref="CU183:CX183" si="921">CU145</f>
        <v>104.8875232</v>
      </c>
      <c r="CV183" s="1868">
        <f t="shared" si="921"/>
        <v>105.43253044712</v>
      </c>
      <c r="CW183" s="1868">
        <f t="shared" si="921"/>
        <v>105.98380300798553</v>
      </c>
      <c r="CX183" s="1868">
        <f t="shared" si="921"/>
        <v>106.54141737320583</v>
      </c>
      <c r="CY183" s="1868">
        <f t="shared" ref="CY183:DB183" si="922">CY145</f>
        <v>106.99608892531349</v>
      </c>
      <c r="CZ183" s="1868">
        <f t="shared" si="922"/>
        <v>107.45015744184498</v>
      </c>
      <c r="DA183" s="1868">
        <f t="shared" si="922"/>
        <v>107.88434167477661</v>
      </c>
      <c r="DB183" s="1868">
        <f t="shared" si="922"/>
        <v>108.31491215560635</v>
      </c>
    </row>
    <row r="184" spans="1:106" s="749" customFormat="1" ht="12.75" customHeight="1">
      <c r="A184" s="714"/>
      <c r="B184" s="714"/>
      <c r="C184" s="1465" t="s">
        <v>622</v>
      </c>
      <c r="D184" s="724"/>
      <c r="E184" s="830" t="str">
        <f>E164</f>
        <v>Exports of goods and services</v>
      </c>
      <c r="F184" s="754"/>
      <c r="G184" s="756">
        <f>G164</f>
        <v>38.207000000000001</v>
      </c>
      <c r="H184" s="756">
        <f t="shared" ref="H184:AX184" si="923">H164</f>
        <v>37.360999999999997</v>
      </c>
      <c r="I184" s="756">
        <f t="shared" si="923"/>
        <v>36.78</v>
      </c>
      <c r="J184" s="756">
        <f t="shared" si="923"/>
        <v>37.485999999999997</v>
      </c>
      <c r="K184" s="756">
        <f t="shared" si="923"/>
        <v>38.347999999999999</v>
      </c>
      <c r="L184" s="756">
        <f t="shared" si="923"/>
        <v>39.168999999999997</v>
      </c>
      <c r="M184" s="756">
        <f t="shared" si="923"/>
        <v>39.497</v>
      </c>
      <c r="N184" s="756">
        <f t="shared" si="923"/>
        <v>40.381</v>
      </c>
      <c r="O184" s="756">
        <f>O164</f>
        <v>41.783999999999999</v>
      </c>
      <c r="P184" s="756">
        <f>P164</f>
        <v>42.801000000000002</v>
      </c>
      <c r="Q184" s="756">
        <f>Q164</f>
        <v>43.524000000000001</v>
      </c>
      <c r="R184" s="756">
        <f>R164</f>
        <v>44.107999999999997</v>
      </c>
      <c r="S184" s="756">
        <f t="shared" si="923"/>
        <v>44.485999999999997</v>
      </c>
      <c r="T184" s="756">
        <f t="shared" si="923"/>
        <v>44.929000000000002</v>
      </c>
      <c r="U184" s="756">
        <f t="shared" si="923"/>
        <v>45.402000000000001</v>
      </c>
      <c r="V184" s="756">
        <f t="shared" si="923"/>
        <v>44.765999999999998</v>
      </c>
      <c r="W184" s="756">
        <f t="shared" si="923"/>
        <v>44.753999999999998</v>
      </c>
      <c r="X184" s="756">
        <f t="shared" si="923"/>
        <v>46.232999999999997</v>
      </c>
      <c r="Y184" s="756">
        <f t="shared" si="923"/>
        <v>48.034999999999997</v>
      </c>
      <c r="Z184" s="756">
        <f t="shared" si="923"/>
        <v>49.54</v>
      </c>
      <c r="AA184" s="756">
        <f t="shared" si="923"/>
        <v>51.621000000000002</v>
      </c>
      <c r="AB184" s="756">
        <f t="shared" si="923"/>
        <v>52.68</v>
      </c>
      <c r="AC184" s="756">
        <f t="shared" si="923"/>
        <v>53.515000000000001</v>
      </c>
      <c r="AD184" s="756">
        <f t="shared" si="923"/>
        <v>54.101999999999997</v>
      </c>
      <c r="AE184" s="756">
        <f t="shared" si="923"/>
        <v>54.02</v>
      </c>
      <c r="AF184" s="756">
        <f t="shared" si="923"/>
        <v>53.055</v>
      </c>
      <c r="AG184" s="756">
        <f t="shared" si="923"/>
        <v>52.829000000000001</v>
      </c>
      <c r="AH184" s="756">
        <f t="shared" si="923"/>
        <v>52.768999999999998</v>
      </c>
      <c r="AI184" s="756">
        <f t="shared" si="923"/>
        <v>54.228999999999999</v>
      </c>
      <c r="AJ184" s="756">
        <f t="shared" si="923"/>
        <v>55.128</v>
      </c>
      <c r="AK184" s="756">
        <f t="shared" si="923"/>
        <v>55.534999999999997</v>
      </c>
      <c r="AL184" s="756">
        <f t="shared" si="923"/>
        <v>55.545999999999999</v>
      </c>
      <c r="AM184" s="756">
        <f t="shared" si="923"/>
        <v>55.146000000000001</v>
      </c>
      <c r="AN184" s="756">
        <f t="shared" si="923"/>
        <v>55.58</v>
      </c>
      <c r="AO184" s="756">
        <f t="shared" si="923"/>
        <v>56.000999999999998</v>
      </c>
      <c r="AP184" s="756">
        <f t="shared" si="923"/>
        <v>57.148000000000003</v>
      </c>
      <c r="AQ184" s="756">
        <f>AQ164</f>
        <v>58.058</v>
      </c>
      <c r="AR184" s="756">
        <f>AR164</f>
        <v>59.046999999999997</v>
      </c>
      <c r="AS184" s="756">
        <f>AS164</f>
        <v>59.878999999999998</v>
      </c>
      <c r="AT184" s="756">
        <f>AT164</f>
        <v>60.784999999999997</v>
      </c>
      <c r="AU184" s="756">
        <f t="shared" si="923"/>
        <v>61.393999999999998</v>
      </c>
      <c r="AV184" s="756">
        <f t="shared" si="923"/>
        <v>62.247</v>
      </c>
      <c r="AW184" s="756">
        <f t="shared" si="923"/>
        <v>62.725999999999999</v>
      </c>
      <c r="AX184" s="756">
        <f t="shared" si="923"/>
        <v>63.365000000000002</v>
      </c>
      <c r="AY184" s="756">
        <f t="shared" ref="AY184:BD184" si="924">AY164</f>
        <v>64.653999999999996</v>
      </c>
      <c r="AZ184" s="756">
        <f t="shared" si="924"/>
        <v>65.402000000000001</v>
      </c>
      <c r="BA184" s="756">
        <f t="shared" si="924"/>
        <v>66.049000000000007</v>
      </c>
      <c r="BB184" s="756">
        <f t="shared" si="924"/>
        <v>66.799000000000007</v>
      </c>
      <c r="BC184" s="756">
        <f t="shared" si="924"/>
        <v>68.686999999999998</v>
      </c>
      <c r="BD184" s="756">
        <f t="shared" si="924"/>
        <v>69.441999999999993</v>
      </c>
      <c r="BE184" s="756">
        <f>BE164</f>
        <v>69.835999999999999</v>
      </c>
      <c r="BF184" s="756">
        <f>BF164</f>
        <v>69.938999999999993</v>
      </c>
      <c r="BG184" s="756">
        <f>BG164</f>
        <v>71.191000000000003</v>
      </c>
      <c r="BH184" s="756">
        <f>BH164</f>
        <v>73.248000000000005</v>
      </c>
      <c r="BI184" s="756">
        <f>BI164</f>
        <v>72.781000000000006</v>
      </c>
      <c r="BJ184" s="756">
        <f t="shared" ref="BJ184:BP184" si="925">BJ164</f>
        <v>65.448999999999998</v>
      </c>
      <c r="BK184" s="756">
        <f t="shared" si="925"/>
        <v>61.835999999999999</v>
      </c>
      <c r="BL184" s="756">
        <f t="shared" si="925"/>
        <v>62.468000000000004</v>
      </c>
      <c r="BM184" s="756">
        <f t="shared" si="925"/>
        <v>65.114999999999995</v>
      </c>
      <c r="BN184" s="756">
        <f t="shared" si="925"/>
        <v>66.585999999999999</v>
      </c>
      <c r="BO184" s="756">
        <f t="shared" si="925"/>
        <v>67.346000000000004</v>
      </c>
      <c r="BP184" s="756">
        <f t="shared" si="925"/>
        <v>70.872</v>
      </c>
      <c r="BQ184" s="756">
        <f t="shared" ref="BQ184:BU184" si="926">BQ164</f>
        <v>71.933000000000007</v>
      </c>
      <c r="BR184" s="756">
        <f t="shared" si="926"/>
        <v>72.305999999999997</v>
      </c>
      <c r="BS184" s="756">
        <f t="shared" si="926"/>
        <v>74.930999999999997</v>
      </c>
      <c r="BT184" s="756">
        <f t="shared" si="926"/>
        <v>75.728999999999999</v>
      </c>
      <c r="BU184" s="756">
        <f t="shared" si="926"/>
        <v>76.635000000000005</v>
      </c>
      <c r="BV184" s="756">
        <f t="shared" ref="BV184:CA184" si="927">BV164</f>
        <v>74.138000000000005</v>
      </c>
      <c r="BW184" s="756">
        <f t="shared" si="927"/>
        <v>76.277000000000001</v>
      </c>
      <c r="BX184" s="756">
        <f t="shared" si="927"/>
        <v>75.748999999999995</v>
      </c>
      <c r="BY184" s="756">
        <f t="shared" si="927"/>
        <v>75.212999999999994</v>
      </c>
      <c r="BZ184" s="756">
        <f t="shared" si="927"/>
        <v>75.212999999999994</v>
      </c>
      <c r="CA184" s="756">
        <f t="shared" si="927"/>
        <v>74.980999999999995</v>
      </c>
      <c r="CB184" s="756">
        <f t="shared" ref="CB184:CC184" si="928">CB164</f>
        <v>75.438000000000002</v>
      </c>
      <c r="CC184" s="756">
        <f t="shared" si="928"/>
        <v>76.778000000000006</v>
      </c>
      <c r="CD184" s="756">
        <f t="shared" ref="CD184:CG184" si="929">CD164</f>
        <v>77.944000000000003</v>
      </c>
      <c r="CE184" s="756">
        <f t="shared" si="929"/>
        <v>78.727999999999994</v>
      </c>
      <c r="CF184" s="756">
        <f t="shared" si="929"/>
        <v>79.762</v>
      </c>
      <c r="CG184" s="756">
        <f t="shared" si="929"/>
        <v>80.959999999999994</v>
      </c>
      <c r="CH184" s="756">
        <f t="shared" ref="CH184:CK184" si="930">CH164</f>
        <v>81.510000000000005</v>
      </c>
      <c r="CI184" s="756">
        <f t="shared" si="930"/>
        <v>81.263999999999996</v>
      </c>
      <c r="CJ184" s="756">
        <f t="shared" si="930"/>
        <v>82.941999999999993</v>
      </c>
      <c r="CK184" s="756">
        <f t="shared" si="930"/>
        <v>82.183000000000007</v>
      </c>
      <c r="CL184" s="756">
        <f t="shared" ref="CL184:CO184" si="931">CL164</f>
        <v>85.102000000000004</v>
      </c>
      <c r="CM184" s="756">
        <f t="shared" si="931"/>
        <v>84.394999999999996</v>
      </c>
      <c r="CN184" s="756">
        <f t="shared" si="931"/>
        <v>89.275999999999996</v>
      </c>
      <c r="CO184" s="756">
        <f t="shared" si="931"/>
        <v>90.084999999999994</v>
      </c>
      <c r="CP184" s="756">
        <f t="shared" ref="CP184:CS184" si="932">CP164</f>
        <v>92.653999999999996</v>
      </c>
      <c r="CQ184" s="756">
        <f t="shared" si="932"/>
        <v>92.453000000000003</v>
      </c>
      <c r="CR184" s="756">
        <f t="shared" si="932"/>
        <v>93.097999999999999</v>
      </c>
      <c r="CS184" s="756">
        <f t="shared" si="932"/>
        <v>92.563999999999993</v>
      </c>
      <c r="CT184" s="756">
        <f t="shared" ref="CT184" si="933">CT164</f>
        <v>94.37</v>
      </c>
      <c r="CU184" s="1528">
        <f t="shared" ref="CU184:CX184" si="934">CU164</f>
        <v>95.766676000000004</v>
      </c>
      <c r="CV184" s="1528">
        <f t="shared" si="934"/>
        <v>97.251059478000016</v>
      </c>
      <c r="CW184" s="1528">
        <f t="shared" si="934"/>
        <v>98.563948780953027</v>
      </c>
      <c r="CX184" s="1528">
        <f t="shared" si="934"/>
        <v>99.795998140714929</v>
      </c>
      <c r="CY184" s="1528">
        <f t="shared" ref="CY184:DB184" si="935">CY164</f>
        <v>100.90373372007687</v>
      </c>
      <c r="CZ184" s="1528">
        <f t="shared" si="935"/>
        <v>101.83204807030158</v>
      </c>
      <c r="DA184" s="1528">
        <f t="shared" si="935"/>
        <v>102.6161548404429</v>
      </c>
      <c r="DB184" s="1528">
        <f t="shared" si="935"/>
        <v>103.33446792432599</v>
      </c>
    </row>
    <row r="185" spans="1:106" s="1877" customFormat="1" ht="12.75" customHeight="1">
      <c r="A185" s="1873"/>
      <c r="B185" s="1873"/>
      <c r="C185" s="1878" t="s">
        <v>622</v>
      </c>
      <c r="D185" s="1875"/>
      <c r="E185" s="1876" t="s">
        <v>1963</v>
      </c>
      <c r="F185" s="1875"/>
      <c r="G185" s="1876">
        <f>SUM(G183:G184)-G186</f>
        <v>0</v>
      </c>
      <c r="H185" s="1876">
        <f t="shared" ref="H185:BE185" si="936">SUM(H183:H184)-H186</f>
        <v>0</v>
      </c>
      <c r="I185" s="1876">
        <f t="shared" si="936"/>
        <v>0</v>
      </c>
      <c r="J185" s="1876">
        <f t="shared" si="936"/>
        <v>0</v>
      </c>
      <c r="K185" s="1876">
        <f t="shared" si="936"/>
        <v>0</v>
      </c>
      <c r="L185" s="1876">
        <f t="shared" si="936"/>
        <v>0</v>
      </c>
      <c r="M185" s="1876">
        <f t="shared" si="936"/>
        <v>0</v>
      </c>
      <c r="N185" s="1876">
        <f t="shared" si="936"/>
        <v>0</v>
      </c>
      <c r="O185" s="1876">
        <f t="shared" si="936"/>
        <v>0</v>
      </c>
      <c r="P185" s="1876">
        <f t="shared" si="936"/>
        <v>0</v>
      </c>
      <c r="Q185" s="1876">
        <f t="shared" si="936"/>
        <v>0</v>
      </c>
      <c r="R185" s="1876">
        <f t="shared" si="936"/>
        <v>0</v>
      </c>
      <c r="S185" s="1876">
        <f t="shared" si="936"/>
        <v>0</v>
      </c>
      <c r="T185" s="1876">
        <f t="shared" si="936"/>
        <v>0</v>
      </c>
      <c r="U185" s="1876">
        <f t="shared" si="936"/>
        <v>0</v>
      </c>
      <c r="V185" s="1876">
        <f t="shared" si="936"/>
        <v>0</v>
      </c>
      <c r="W185" s="1876">
        <f t="shared" si="936"/>
        <v>0</v>
      </c>
      <c r="X185" s="1876">
        <f t="shared" si="936"/>
        <v>0</v>
      </c>
      <c r="Y185" s="1876">
        <f t="shared" si="936"/>
        <v>0</v>
      </c>
      <c r="Z185" s="1876">
        <f t="shared" si="936"/>
        <v>0</v>
      </c>
      <c r="AA185" s="1876">
        <f t="shared" si="936"/>
        <v>0</v>
      </c>
      <c r="AB185" s="1876">
        <f t="shared" si="936"/>
        <v>0</v>
      </c>
      <c r="AC185" s="1876">
        <f t="shared" si="936"/>
        <v>0</v>
      </c>
      <c r="AD185" s="1876">
        <f t="shared" si="936"/>
        <v>0</v>
      </c>
      <c r="AE185" s="1876">
        <f t="shared" si="936"/>
        <v>0</v>
      </c>
      <c r="AF185" s="1876">
        <f t="shared" si="936"/>
        <v>0</v>
      </c>
      <c r="AG185" s="1876">
        <f t="shared" si="936"/>
        <v>0</v>
      </c>
      <c r="AH185" s="1876">
        <f t="shared" si="936"/>
        <v>0</v>
      </c>
      <c r="AI185" s="1876">
        <f t="shared" si="936"/>
        <v>0</v>
      </c>
      <c r="AJ185" s="1876">
        <f t="shared" si="936"/>
        <v>0</v>
      </c>
      <c r="AK185" s="1876">
        <f t="shared" si="936"/>
        <v>0</v>
      </c>
      <c r="AL185" s="1876">
        <f t="shared" si="936"/>
        <v>0</v>
      </c>
      <c r="AM185" s="1876">
        <f t="shared" si="936"/>
        <v>0</v>
      </c>
      <c r="AN185" s="1876">
        <f t="shared" si="936"/>
        <v>0</v>
      </c>
      <c r="AO185" s="1876">
        <f t="shared" si="936"/>
        <v>0</v>
      </c>
      <c r="AP185" s="1876">
        <f t="shared" si="936"/>
        <v>0</v>
      </c>
      <c r="AQ185" s="1876">
        <f t="shared" si="936"/>
        <v>0</v>
      </c>
      <c r="AR185" s="1876">
        <f t="shared" si="936"/>
        <v>0</v>
      </c>
      <c r="AS185" s="1876">
        <f t="shared" si="936"/>
        <v>0</v>
      </c>
      <c r="AT185" s="1876">
        <f t="shared" si="936"/>
        <v>0</v>
      </c>
      <c r="AU185" s="1876">
        <f t="shared" si="936"/>
        <v>0</v>
      </c>
      <c r="AV185" s="1876">
        <f t="shared" si="936"/>
        <v>0</v>
      </c>
      <c r="AW185" s="1876">
        <f t="shared" si="936"/>
        <v>0</v>
      </c>
      <c r="AX185" s="1876">
        <f t="shared" si="936"/>
        <v>0</v>
      </c>
      <c r="AY185" s="1876">
        <f t="shared" si="936"/>
        <v>0</v>
      </c>
      <c r="AZ185" s="1876">
        <f t="shared" si="936"/>
        <v>0</v>
      </c>
      <c r="BA185" s="1876">
        <f t="shared" si="936"/>
        <v>0</v>
      </c>
      <c r="BB185" s="1876">
        <f>SUM(BB183:BB184)-BB186</f>
        <v>0</v>
      </c>
      <c r="BC185" s="1876">
        <f>SUM(BC183:BC184)-BC186</f>
        <v>0</v>
      </c>
      <c r="BD185" s="1876">
        <f>SUM(BD183:BD184)-BD186</f>
        <v>0</v>
      </c>
      <c r="BE185" s="1876">
        <f t="shared" si="936"/>
        <v>0</v>
      </c>
      <c r="BF185" s="1876">
        <f t="shared" ref="BF185:BM185" si="937">SUM(BF183:BF184)-BF186</f>
        <v>0</v>
      </c>
      <c r="BG185" s="1876">
        <f t="shared" si="937"/>
        <v>0</v>
      </c>
      <c r="BH185" s="1876">
        <f t="shared" si="937"/>
        <v>0</v>
      </c>
      <c r="BI185" s="1876">
        <f t="shared" si="937"/>
        <v>0</v>
      </c>
      <c r="BJ185" s="1876">
        <f t="shared" si="937"/>
        <v>0</v>
      </c>
      <c r="BK185" s="1876">
        <f t="shared" si="937"/>
        <v>0</v>
      </c>
      <c r="BL185" s="1876">
        <f t="shared" si="937"/>
        <v>0</v>
      </c>
      <c r="BM185" s="1876">
        <f t="shared" si="937"/>
        <v>0</v>
      </c>
      <c r="BN185" s="1876">
        <f>BN186-BN183-BN184</f>
        <v>0</v>
      </c>
      <c r="BO185" s="1876">
        <f t="shared" ref="BO185:BU185" si="938">SUM(BO183:BO184)-BO186</f>
        <v>0</v>
      </c>
      <c r="BP185" s="1876">
        <f t="shared" si="938"/>
        <v>0</v>
      </c>
      <c r="BQ185" s="1876">
        <f t="shared" si="938"/>
        <v>0</v>
      </c>
      <c r="BR185" s="1876">
        <f t="shared" si="938"/>
        <v>0</v>
      </c>
      <c r="BS185" s="1876">
        <f t="shared" si="938"/>
        <v>0</v>
      </c>
      <c r="BT185" s="1876">
        <f t="shared" si="938"/>
        <v>0</v>
      </c>
      <c r="BU185" s="1876">
        <f t="shared" si="938"/>
        <v>0</v>
      </c>
      <c r="BV185" s="1876">
        <f t="shared" ref="BV185:CA185" si="939">SUM(BV183:BV184)-BV186</f>
        <v>0</v>
      </c>
      <c r="BW185" s="1876">
        <f t="shared" si="939"/>
        <v>0</v>
      </c>
      <c r="BX185" s="1876">
        <f t="shared" si="939"/>
        <v>0</v>
      </c>
      <c r="BY185" s="1876">
        <f t="shared" si="939"/>
        <v>0</v>
      </c>
      <c r="BZ185" s="1876">
        <f t="shared" si="939"/>
        <v>0</v>
      </c>
      <c r="CA185" s="1876">
        <f t="shared" si="939"/>
        <v>0</v>
      </c>
      <c r="CB185" s="1876">
        <f t="shared" ref="CB185" si="940">SUM(CB183:CB184)-CB186</f>
        <v>0</v>
      </c>
      <c r="CC185" s="1876">
        <f t="shared" ref="CC185:CD185" si="941">SUM(CC183:CC184)-CC186</f>
        <v>0</v>
      </c>
      <c r="CD185" s="1876">
        <f t="shared" si="941"/>
        <v>0</v>
      </c>
      <c r="CE185" s="1876">
        <f t="shared" ref="CE185:CH185" si="942">SUM(CE183:CE184)-CE186</f>
        <v>0</v>
      </c>
      <c r="CF185" s="1876">
        <f t="shared" si="942"/>
        <v>0</v>
      </c>
      <c r="CG185" s="1876">
        <f t="shared" si="942"/>
        <v>0</v>
      </c>
      <c r="CH185" s="1876">
        <f t="shared" si="942"/>
        <v>0</v>
      </c>
      <c r="CI185" s="1876">
        <f t="shared" ref="CI185:CL185" si="943">SUM(CI183:CI184)-CI186</f>
        <v>0</v>
      </c>
      <c r="CJ185" s="1876">
        <f t="shared" si="943"/>
        <v>0</v>
      </c>
      <c r="CK185" s="1876">
        <f t="shared" si="943"/>
        <v>0</v>
      </c>
      <c r="CL185" s="1876">
        <f t="shared" si="943"/>
        <v>0</v>
      </c>
      <c r="CM185" s="1876">
        <f t="shared" ref="CM185:CP185" si="944">SUM(CM183:CM184)-CM186</f>
        <v>0</v>
      </c>
      <c r="CN185" s="1876">
        <f t="shared" si="944"/>
        <v>0</v>
      </c>
      <c r="CO185" s="1876">
        <f t="shared" si="944"/>
        <v>0</v>
      </c>
      <c r="CP185" s="1876">
        <f t="shared" si="944"/>
        <v>0</v>
      </c>
      <c r="CQ185" s="1876">
        <f t="shared" ref="CQ185:CS185" si="945">SUM(CQ183:CQ184)-CQ186</f>
        <v>0</v>
      </c>
      <c r="CR185" s="1876">
        <f t="shared" si="945"/>
        <v>0</v>
      </c>
      <c r="CS185" s="1876">
        <f t="shared" si="945"/>
        <v>0</v>
      </c>
      <c r="CT185" s="1876">
        <f t="shared" ref="CT185" si="946">SUM(CT183:CT184)-CT186</f>
        <v>0</v>
      </c>
      <c r="CU185" s="1879">
        <f t="shared" ref="CU185:CX185" si="947">SUM(CU183:CU184)-CU186</f>
        <v>0</v>
      </c>
      <c r="CV185" s="1879">
        <f t="shared" si="947"/>
        <v>0</v>
      </c>
      <c r="CW185" s="1879">
        <f t="shared" si="947"/>
        <v>0</v>
      </c>
      <c r="CX185" s="1879">
        <f t="shared" si="947"/>
        <v>0</v>
      </c>
      <c r="CY185" s="1879">
        <f t="shared" ref="CY185:DB185" si="948">SUM(CY183:CY184)-CY186</f>
        <v>0</v>
      </c>
      <c r="CZ185" s="1879">
        <f t="shared" si="948"/>
        <v>0</v>
      </c>
      <c r="DA185" s="1879">
        <f t="shared" si="948"/>
        <v>0</v>
      </c>
      <c r="DB185" s="1879">
        <f t="shared" si="948"/>
        <v>0</v>
      </c>
    </row>
    <row r="186" spans="1:106" s="749" customFormat="1" ht="12.75" customHeight="1">
      <c r="A186" s="715" t="str">
        <f>"Q" &amp; ROW(InputQ!A13)</f>
        <v>Q13</v>
      </c>
      <c r="B186" s="1869" t="s">
        <v>571</v>
      </c>
      <c r="C186" s="1465" t="s">
        <v>624</v>
      </c>
      <c r="D186" s="794"/>
      <c r="E186" s="1466" t="s">
        <v>995</v>
      </c>
      <c r="F186" s="796"/>
      <c r="G186" s="843">
        <f>InputQ!G13/1000</f>
        <v>111.291</v>
      </c>
      <c r="H186" s="843">
        <f>InputQ!H13/1000</f>
        <v>111.125</v>
      </c>
      <c r="I186" s="843">
        <f>InputQ!I13/1000</f>
        <v>111.128</v>
      </c>
      <c r="J186" s="843">
        <f>InputQ!J13/1000</f>
        <v>112.194</v>
      </c>
      <c r="K186" s="843">
        <f>InputQ!K13/1000</f>
        <v>112.98399999999999</v>
      </c>
      <c r="L186" s="843">
        <f>InputQ!L13/1000</f>
        <v>114.17700000000001</v>
      </c>
      <c r="M186" s="843">
        <f>InputQ!M13/1000</f>
        <v>114.934</v>
      </c>
      <c r="N186" s="843">
        <f>InputQ!N13/1000</f>
        <v>116.241</v>
      </c>
      <c r="O186" s="843">
        <f>InputQ!O13/1000</f>
        <v>118.08799999999999</v>
      </c>
      <c r="P186" s="843">
        <f>InputQ!P13/1000</f>
        <v>119.845</v>
      </c>
      <c r="Q186" s="843">
        <f>InputQ!Q13/1000</f>
        <v>120.807</v>
      </c>
      <c r="R186" s="843">
        <f>InputQ!R13/1000</f>
        <v>121.98399999999999</v>
      </c>
      <c r="S186" s="843">
        <f>InputQ!S13/1000</f>
        <v>122.575</v>
      </c>
      <c r="T186" s="843">
        <f>InputQ!T13/1000</f>
        <v>123.604</v>
      </c>
      <c r="U186" s="843">
        <f>InputQ!U13/1000</f>
        <v>124.82299999999999</v>
      </c>
      <c r="V186" s="843">
        <f>InputQ!V13/1000</f>
        <v>124.646</v>
      </c>
      <c r="W186" s="843">
        <f>InputQ!W13/1000</f>
        <v>124.839</v>
      </c>
      <c r="X186" s="843">
        <f>InputQ!X13/1000</f>
        <v>126.938</v>
      </c>
      <c r="Y186" s="843">
        <f>InputQ!Y13/1000</f>
        <v>129.29400000000001</v>
      </c>
      <c r="Z186" s="843">
        <f>InputQ!Z13/1000</f>
        <v>131.05500000000001</v>
      </c>
      <c r="AA186" s="843">
        <f>InputQ!AA13/1000</f>
        <v>134.214</v>
      </c>
      <c r="AB186" s="843">
        <f>InputQ!AB13/1000</f>
        <v>135.86099999999999</v>
      </c>
      <c r="AC186" s="843">
        <f>InputQ!AC13/1000</f>
        <v>137.38300000000001</v>
      </c>
      <c r="AD186" s="843">
        <f>InputQ!AD13/1000</f>
        <v>138.566</v>
      </c>
      <c r="AE186" s="843">
        <f>InputQ!AE13/1000</f>
        <v>138.86600000000001</v>
      </c>
      <c r="AF186" s="843">
        <f>InputQ!AF13/1000</f>
        <v>137.649</v>
      </c>
      <c r="AG186" s="843">
        <f>InputQ!AG13/1000</f>
        <v>137.49299999999999</v>
      </c>
      <c r="AH186" s="843">
        <f>InputQ!AH13/1000</f>
        <v>136.559</v>
      </c>
      <c r="AI186" s="843">
        <f>InputQ!AI13/1000</f>
        <v>138.392</v>
      </c>
      <c r="AJ186" s="843">
        <f>InputQ!AJ13/1000</f>
        <v>139.35300000000001</v>
      </c>
      <c r="AK186" s="843">
        <f>InputQ!AK13/1000</f>
        <v>139.83099999999999</v>
      </c>
      <c r="AL186" s="843">
        <f>InputQ!AL13/1000</f>
        <v>140.41399999999999</v>
      </c>
      <c r="AM186" s="843">
        <f>InputQ!AM13/1000</f>
        <v>139.78899999999999</v>
      </c>
      <c r="AN186" s="843">
        <f>InputQ!AN13/1000</f>
        <v>140.26</v>
      </c>
      <c r="AO186" s="843">
        <f>InputQ!AO13/1000</f>
        <v>140.88900000000001</v>
      </c>
      <c r="AP186" s="843">
        <f>InputQ!AP13/1000</f>
        <v>142.31200000000001</v>
      </c>
      <c r="AQ186" s="843">
        <f>InputQ!AQ13/1000</f>
        <v>144.714</v>
      </c>
      <c r="AR186" s="843">
        <f>InputQ!AR13/1000</f>
        <v>146.39699999999999</v>
      </c>
      <c r="AS186" s="843">
        <f>InputQ!AS13/1000</f>
        <v>147.91499999999999</v>
      </c>
      <c r="AT186" s="843">
        <f>InputQ!AT13/1000</f>
        <v>148.68600000000001</v>
      </c>
      <c r="AU186" s="843">
        <f>InputQ!AU13/1000</f>
        <v>150.13499999999999</v>
      </c>
      <c r="AV186" s="843">
        <f>InputQ!AV13/1000</f>
        <v>151.93</v>
      </c>
      <c r="AW186" s="843">
        <f>InputQ!AW13/1000</f>
        <v>152.28</v>
      </c>
      <c r="AX186" s="843">
        <f>InputQ!AX13/1000</f>
        <v>152.94</v>
      </c>
      <c r="AY186" s="843">
        <f>InputQ!AY13/1000</f>
        <v>154.96299999999999</v>
      </c>
      <c r="AZ186" s="843">
        <f>InputQ!AZ13/1000</f>
        <v>155.77600000000001</v>
      </c>
      <c r="BA186" s="843">
        <f>InputQ!BA13/1000</f>
        <v>156.91200000000001</v>
      </c>
      <c r="BB186" s="843">
        <f>InputQ!BB13/1000</f>
        <v>158.01499999999999</v>
      </c>
      <c r="BC186" s="843">
        <f>InputQ!BC13/1000</f>
        <v>160.994</v>
      </c>
      <c r="BD186" s="843">
        <f>InputQ!BD13/1000</f>
        <v>162.405</v>
      </c>
      <c r="BE186" s="843">
        <f>InputQ!BE13/1000</f>
        <v>163.631</v>
      </c>
      <c r="BF186" s="843">
        <f>InputQ!BF13/1000</f>
        <v>164.53399999999999</v>
      </c>
      <c r="BG186" s="843">
        <f>InputQ!BG13/1000</f>
        <v>166.607</v>
      </c>
      <c r="BH186" s="843">
        <f>InputQ!BH13/1000</f>
        <v>169.02099999999999</v>
      </c>
      <c r="BI186" s="843">
        <f>InputQ!BI13/1000</f>
        <v>168.13800000000001</v>
      </c>
      <c r="BJ186" s="843">
        <f>InputQ!BJ13/1000</f>
        <v>160.11199999999999</v>
      </c>
      <c r="BK186" s="843">
        <f>InputQ!BK13/1000</f>
        <v>155.642</v>
      </c>
      <c r="BL186" s="843">
        <f>InputQ!BL13/1000</f>
        <v>156.477</v>
      </c>
      <c r="BM186" s="843">
        <f>InputQ!BM13/1000</f>
        <v>159.36600000000001</v>
      </c>
      <c r="BN186" s="843">
        <f>InputQ!BN13/1000</f>
        <v>161.66</v>
      </c>
      <c r="BO186" s="843">
        <f>InputQ!BO13/1000</f>
        <v>162.541</v>
      </c>
      <c r="BP186" s="843">
        <f>InputQ!BP13/1000</f>
        <v>166.27600000000001</v>
      </c>
      <c r="BQ186" s="843">
        <f>InputQ!BQ13/1000</f>
        <v>167.70599999999999</v>
      </c>
      <c r="BR186" s="843">
        <f>InputQ!BR13/1000</f>
        <v>168.61099999999999</v>
      </c>
      <c r="BS186" s="1528">
        <f t="shared" ref="BS186:CD186" si="949">SUM(BS183:BS184)</f>
        <v>171.32900000000001</v>
      </c>
      <c r="BT186" s="1528">
        <f t="shared" si="949"/>
        <v>172.59800000000001</v>
      </c>
      <c r="BU186" s="1528">
        <f t="shared" si="949"/>
        <v>173.803</v>
      </c>
      <c r="BV186" s="1528">
        <f t="shared" si="949"/>
        <v>171.68</v>
      </c>
      <c r="BW186" s="1528">
        <f t="shared" si="949"/>
        <v>173.87</v>
      </c>
      <c r="BX186" s="1528">
        <f t="shared" si="949"/>
        <v>173.50899999999999</v>
      </c>
      <c r="BY186" s="1528">
        <f>SUM(BY183:BY184)</f>
        <v>173.04</v>
      </c>
      <c r="BZ186" s="1528">
        <f>SUM(BZ183:BZ184)</f>
        <v>172.87599999999998</v>
      </c>
      <c r="CA186" s="1528">
        <f>SUM(CA183:CA184)</f>
        <v>172.59699999999998</v>
      </c>
      <c r="CB186" s="1528">
        <f t="shared" si="949"/>
        <v>173.21199999999999</v>
      </c>
      <c r="CC186" s="1528">
        <f>SUM(CC183:CC184)</f>
        <v>174.81299999999999</v>
      </c>
      <c r="CD186" s="1528">
        <f t="shared" si="949"/>
        <v>175.876</v>
      </c>
      <c r="CE186" s="1528">
        <f>SUM(CE183:CE184)</f>
        <v>177.23099999999999</v>
      </c>
      <c r="CF186" s="1528">
        <f t="shared" ref="CF186" si="950">SUM(CF183:CF184)</f>
        <v>178.726</v>
      </c>
      <c r="CG186" s="1528">
        <f>SUM(CG183:CG184)</f>
        <v>181.90699999999998</v>
      </c>
      <c r="CH186" s="1528">
        <f t="shared" ref="CH186" si="951">SUM(CH183:CH184)</f>
        <v>181.57499999999999</v>
      </c>
      <c r="CI186" s="1528">
        <f>SUM(CI183:CI184)</f>
        <v>183.55399999999997</v>
      </c>
      <c r="CJ186" s="1528">
        <f t="shared" ref="CJ186" si="952">SUM(CJ183:CJ184)</f>
        <v>182.69</v>
      </c>
      <c r="CK186" s="1528">
        <f>SUM(CK183:CK184)</f>
        <v>182.55200000000002</v>
      </c>
      <c r="CL186" s="1528">
        <f t="shared" ref="CL186" si="953">SUM(CL183:CL184)</f>
        <v>185.97900000000001</v>
      </c>
      <c r="CM186" s="1528">
        <f>SUM(CM183:CM184)</f>
        <v>185.99099999999999</v>
      </c>
      <c r="CN186" s="1528">
        <f t="shared" ref="CN186" si="954">SUM(CN183:CN184)</f>
        <v>191.322</v>
      </c>
      <c r="CO186" s="1528">
        <f>SUM(CO183:CO184)</f>
        <v>194.25099999999998</v>
      </c>
      <c r="CP186" s="1528">
        <f t="shared" ref="CP186" si="955">SUM(CP183:CP184)</f>
        <v>195.55099999999999</v>
      </c>
      <c r="CQ186" s="1528">
        <f>SUM(CQ183:CQ184)</f>
        <v>195.52699999999999</v>
      </c>
      <c r="CR186" s="1528">
        <f t="shared" ref="CR186" si="956">SUM(CR183:CR184)</f>
        <v>196.69599999999997</v>
      </c>
      <c r="CS186" s="1528">
        <f>SUM(CS183:CS184)</f>
        <v>196.66</v>
      </c>
      <c r="CT186" s="1528">
        <f t="shared" ref="CT186" si="957">SUM(CT183:CT184)</f>
        <v>198.73200000000003</v>
      </c>
      <c r="CU186" s="1528">
        <f t="shared" ref="CU186:CX186" si="958">SUM(CU183:CU184)</f>
        <v>200.65419919999999</v>
      </c>
      <c r="CV186" s="1528">
        <f t="shared" si="958"/>
        <v>202.68358992512003</v>
      </c>
      <c r="CW186" s="1528">
        <f t="shared" si="958"/>
        <v>204.54775178893857</v>
      </c>
      <c r="CX186" s="1528">
        <f t="shared" si="958"/>
        <v>206.33741551392075</v>
      </c>
      <c r="CY186" s="1528">
        <f t="shared" ref="CY186:DB186" si="959">SUM(CY183:CY184)</f>
        <v>207.89982264539037</v>
      </c>
      <c r="CZ186" s="1528">
        <f t="shared" si="959"/>
        <v>209.28220551214656</v>
      </c>
      <c r="DA186" s="1528">
        <f t="shared" si="959"/>
        <v>210.50049651521951</v>
      </c>
      <c r="DB186" s="1528">
        <f t="shared" si="959"/>
        <v>211.64938007993234</v>
      </c>
    </row>
    <row r="187" spans="1:106" s="26" customFormat="1">
      <c r="A187" s="723"/>
      <c r="B187" s="723"/>
      <c r="C187" s="1520"/>
      <c r="D187" s="733"/>
      <c r="E187" s="734" t="s">
        <v>357</v>
      </c>
      <c r="F187" s="735"/>
      <c r="G187" s="1477"/>
      <c r="H187" s="1477"/>
      <c r="I187" s="1477"/>
      <c r="J187" s="1481">
        <f>SUM(G183:J184)</f>
        <v>445.73799999999994</v>
      </c>
      <c r="K187" s="1477"/>
      <c r="L187" s="1477"/>
      <c r="M187" s="1477"/>
      <c r="N187" s="1481">
        <f>SUM(K183:N184)</f>
        <v>458.33600000000001</v>
      </c>
      <c r="O187" s="1477"/>
      <c r="P187" s="1477"/>
      <c r="Q187" s="1477"/>
      <c r="R187" s="1481">
        <f>SUM(O183:R184)</f>
        <v>480.72400000000005</v>
      </c>
      <c r="S187" s="1477"/>
      <c r="T187" s="1477"/>
      <c r="U187" s="1477"/>
      <c r="V187" s="1481">
        <f>SUM(S183:V184)</f>
        <v>495.64800000000002</v>
      </c>
      <c r="W187" s="1477"/>
      <c r="X187" s="1477"/>
      <c r="Y187" s="1477"/>
      <c r="Z187" s="1481">
        <f>SUM(W183:Z184)</f>
        <v>512.12599999999998</v>
      </c>
      <c r="AA187" s="1477"/>
      <c r="AB187" s="1477"/>
      <c r="AC187" s="1477"/>
      <c r="AD187" s="1481">
        <f>SUM(AA183:AD184)</f>
        <v>546.024</v>
      </c>
      <c r="AE187" s="1477"/>
      <c r="AF187" s="1477"/>
      <c r="AG187" s="1477"/>
      <c r="AH187" s="1481">
        <f>SUM(AE183:AH184)</f>
        <v>550.56700000000001</v>
      </c>
      <c r="AI187" s="1477"/>
      <c r="AJ187" s="1477"/>
      <c r="AK187" s="1477"/>
      <c r="AL187" s="1481">
        <f>SUM(AI183:AL184)</f>
        <v>557.99</v>
      </c>
      <c r="AM187" s="1477"/>
      <c r="AN187" s="1477"/>
      <c r="AO187" s="1477"/>
      <c r="AP187" s="1481">
        <f>SUM(AM183:AP184)</f>
        <v>563.25</v>
      </c>
      <c r="AQ187" s="1477"/>
      <c r="AR187" s="1477"/>
      <c r="AS187" s="1477"/>
      <c r="AT187" s="1481">
        <f>SUM(AQ183:AT184)</f>
        <v>587.71199999999999</v>
      </c>
      <c r="AU187" s="1477"/>
      <c r="AV187" s="1477"/>
      <c r="AW187" s="1477"/>
      <c r="AX187" s="1481">
        <f>SUM(AU183:AX184)</f>
        <v>607.28500000000008</v>
      </c>
      <c r="AY187" s="1477"/>
      <c r="AZ187" s="1477"/>
      <c r="BA187" s="1477"/>
      <c r="BB187" s="1497">
        <f>SUM(AY183:BB184)</f>
        <v>625.66599999999994</v>
      </c>
      <c r="BC187" s="1529"/>
      <c r="BD187" s="1529"/>
      <c r="BE187" s="1477"/>
      <c r="BF187" s="1497">
        <f>SUM(BC183:BF184)</f>
        <v>651.56399999999996</v>
      </c>
      <c r="BG187" s="1529"/>
      <c r="BH187" s="1529"/>
      <c r="BI187" s="1529"/>
      <c r="BJ187" s="1497">
        <f>SUM(BG183:BJ184)</f>
        <v>663.87800000000004</v>
      </c>
      <c r="BK187" s="1529"/>
      <c r="BL187" s="1529"/>
      <c r="BM187" s="1529"/>
      <c r="BN187" s="1497">
        <f>SUM(BK183:BN184)</f>
        <v>633.1450000000001</v>
      </c>
      <c r="BO187" s="1529"/>
      <c r="BP187" s="1529"/>
      <c r="BQ187" s="1529"/>
      <c r="BR187" s="1497">
        <f>SUM(BO183:BR184)</f>
        <v>665.13400000000001</v>
      </c>
      <c r="BS187" s="1529"/>
      <c r="BT187" s="1529"/>
      <c r="BU187" s="1529"/>
      <c r="BV187" s="1497">
        <f>SUM(BS183:BV184)</f>
        <v>689.41</v>
      </c>
      <c r="BW187" s="1529"/>
      <c r="BX187" s="1529"/>
      <c r="BY187" s="1529"/>
      <c r="BZ187" s="1497">
        <f>SUM(BW183:BZ184)</f>
        <v>693.29499999999985</v>
      </c>
      <c r="CA187" s="1529"/>
      <c r="CB187" s="1529"/>
      <c r="CC187" s="1529"/>
      <c r="CD187" s="1497">
        <f>SUM(CA183:CD184)</f>
        <v>696.49799999999993</v>
      </c>
      <c r="CE187" s="1529"/>
      <c r="CF187" s="1529"/>
      <c r="CG187" s="1529"/>
      <c r="CH187" s="1497">
        <f>SUM(CE183:CH184)</f>
        <v>719.43900000000008</v>
      </c>
      <c r="CI187" s="1529"/>
      <c r="CJ187" s="1529"/>
      <c r="CK187" s="1529"/>
      <c r="CL187" s="1497">
        <f>SUM(CI183:CL184)</f>
        <v>734.77499999999998</v>
      </c>
      <c r="CM187" s="1529"/>
      <c r="CN187" s="1529"/>
      <c r="CO187" s="1529"/>
      <c r="CP187" s="1497">
        <f>SUM(CM183:CP184)</f>
        <v>767.11500000000001</v>
      </c>
      <c r="CQ187" s="1529"/>
      <c r="CR187" s="1529"/>
      <c r="CS187" s="1529"/>
      <c r="CT187" s="1497">
        <f>SUM(CQ183:CT184)</f>
        <v>787.6149999999999</v>
      </c>
      <c r="CU187" s="1529"/>
      <c r="CV187" s="1529"/>
      <c r="CW187" s="1529"/>
      <c r="CX187" s="1497">
        <f>SUM(CU183:CX184)</f>
        <v>814.22295642797928</v>
      </c>
      <c r="CY187" s="1529"/>
      <c r="CZ187" s="1529"/>
      <c r="DA187" s="1529"/>
      <c r="DB187" s="1497">
        <f>SUM(CY183:DB184)</f>
        <v>839.33190475268862</v>
      </c>
    </row>
    <row r="188" spans="1:106" s="1506" customFormat="1" ht="12.75" customHeight="1">
      <c r="A188" s="1039"/>
      <c r="B188" s="1039"/>
      <c r="C188" s="1521"/>
      <c r="D188" s="729"/>
      <c r="E188" s="1478" t="s">
        <v>675</v>
      </c>
      <c r="F188" s="729"/>
      <c r="G188" s="1479"/>
      <c r="H188" s="2801" t="s">
        <v>543</v>
      </c>
      <c r="I188" s="2802">
        <f ca="1">+J188/J187*100</f>
        <v>99.741395169359578</v>
      </c>
      <c r="J188" s="1522">
        <f ca="1">OFFSET('VVP2'!$G$101,0,(COLUMN()-10)/4)</f>
        <v>444.58529999999996</v>
      </c>
      <c r="K188" s="1479"/>
      <c r="L188" s="2801" t="s">
        <v>543</v>
      </c>
      <c r="M188" s="2802">
        <f ca="1">+N188/N187*100</f>
        <v>94.150889978094682</v>
      </c>
      <c r="N188" s="1522">
        <f ca="1">OFFSET('VVP2'!$G$101,0,(COLUMN()-10)/4)</f>
        <v>431.52742309000001</v>
      </c>
      <c r="O188" s="1479"/>
      <c r="P188" s="2801" t="s">
        <v>543</v>
      </c>
      <c r="Q188" s="2802">
        <f ca="1">+R188/R187*100</f>
        <v>94.575854167880109</v>
      </c>
      <c r="R188" s="1522">
        <f ca="1">OFFSET('VVP2'!$G$101,0,(COLUMN()-10)/4)</f>
        <v>454.64882919000001</v>
      </c>
      <c r="S188" s="1479"/>
      <c r="T188" s="2801" t="s">
        <v>543</v>
      </c>
      <c r="U188" s="2802">
        <f ca="1">+V188/V187*100</f>
        <v>94.583162891810318</v>
      </c>
      <c r="V188" s="1522">
        <f ca="1">OFFSET('VVP2'!$G$101,0,(COLUMN()-10)/4)</f>
        <v>468.79955520999999</v>
      </c>
      <c r="W188" s="1479"/>
      <c r="X188" s="2801" t="s">
        <v>543</v>
      </c>
      <c r="Y188" s="2802">
        <f ca="1">+Z188/Z187*100</f>
        <v>94.697657226932435</v>
      </c>
      <c r="Z188" s="1522">
        <f ca="1">OFFSET('VVP2'!$G$101,0,(COLUMN()-10)/4)</f>
        <v>484.97132405000002</v>
      </c>
      <c r="AA188" s="1479"/>
      <c r="AB188" s="2801" t="s">
        <v>543</v>
      </c>
      <c r="AC188" s="2802">
        <f ca="1">+AD188/AD187*100</f>
        <v>95.214760063660222</v>
      </c>
      <c r="AD188" s="1522">
        <f ca="1">OFFSET('VVP2'!$G$101,0,(COLUMN()-10)/4)</f>
        <v>519.89544149000005</v>
      </c>
      <c r="AE188" s="1479"/>
      <c r="AF188" s="2801" t="s">
        <v>543</v>
      </c>
      <c r="AG188" s="2802">
        <f ca="1">+AH188/AH187*100</f>
        <v>94.615798504087607</v>
      </c>
      <c r="AH188" s="1522">
        <f ca="1">OFFSET('VVP2'!$G$101,0,(COLUMN()-10)/4)</f>
        <v>520.92336335000005</v>
      </c>
      <c r="AI188" s="1479"/>
      <c r="AJ188" s="2801" t="s">
        <v>543</v>
      </c>
      <c r="AK188" s="2802">
        <f ca="1">+AL188/AL187*100</f>
        <v>94.692199763436619</v>
      </c>
      <c r="AL188" s="1522">
        <f ca="1">OFFSET('VVP2'!$G$101,0,(COLUMN()-10)/4)</f>
        <v>528.37300546000006</v>
      </c>
      <c r="AM188" s="1479"/>
      <c r="AN188" s="2801" t="s">
        <v>543</v>
      </c>
      <c r="AO188" s="2802">
        <f ca="1">+AP188/AP187*100</f>
        <v>94.794184642698625</v>
      </c>
      <c r="AP188" s="1522">
        <f ca="1">OFFSET('VVP2'!$G$101,0,(COLUMN()-10)/4)</f>
        <v>533.92824499999995</v>
      </c>
      <c r="AQ188" s="1479"/>
      <c r="AR188" s="2801" t="s">
        <v>543</v>
      </c>
      <c r="AS188" s="2802">
        <f ca="1">+AT188/AT187*100</f>
        <v>95.082967259474017</v>
      </c>
      <c r="AT188" s="1522">
        <f ca="1">OFFSET('VVP2'!$G$101,0,(COLUMN()-10)/4)</f>
        <v>558.81400853999992</v>
      </c>
      <c r="AU188" s="1479"/>
      <c r="AV188" s="2801" t="s">
        <v>543</v>
      </c>
      <c r="AW188" s="2802">
        <f ca="1">+AX188/AX187*100</f>
        <v>95.446507974015475</v>
      </c>
      <c r="AX188" s="1522">
        <f ca="1">OFFSET('VVP2'!$G$101,0,(COLUMN()-10)/4)</f>
        <v>579.63232594999999</v>
      </c>
      <c r="AY188" s="1479"/>
      <c r="AZ188" s="2801" t="s">
        <v>543</v>
      </c>
      <c r="BA188" s="2802">
        <f ca="1">+BB188/BB187*100</f>
        <v>95.762062958511422</v>
      </c>
      <c r="BB188" s="1530">
        <f ca="1">OFFSET('VVP2'!$G$101,0,(COLUMN()-10)/4)</f>
        <v>599.15066882999997</v>
      </c>
      <c r="BC188" s="1479"/>
      <c r="BD188" s="2801" t="s">
        <v>543</v>
      </c>
      <c r="BE188" s="2802">
        <f ca="1">+BF188/BF187*100</f>
        <v>96.053035749366146</v>
      </c>
      <c r="BF188" s="1530">
        <f ca="1">OFFSET('VVP2'!$G$101,0,(COLUMN()-10)/4)</f>
        <v>625.84700184999997</v>
      </c>
      <c r="BG188" s="1479"/>
      <c r="BH188" s="2801" t="s">
        <v>543</v>
      </c>
      <c r="BI188" s="2802">
        <f ca="1">+BJ188/BJ187*100</f>
        <v>96.118523525406772</v>
      </c>
      <c r="BJ188" s="1530">
        <f ca="1">OFFSET('VVP2'!$G$101,0,(COLUMN()-10)/4)</f>
        <v>638.10973161000004</v>
      </c>
      <c r="BK188" s="1479"/>
      <c r="BL188" s="2801" t="s">
        <v>543</v>
      </c>
      <c r="BM188" s="2802">
        <f ca="1">+BN188/BN187*100</f>
        <v>95.456539639419063</v>
      </c>
      <c r="BN188" s="1530">
        <f ca="1">OFFSET('VVP2'!$G$101,0,(COLUMN()-10)/4)</f>
        <v>604.37830789999998</v>
      </c>
      <c r="BO188" s="1479"/>
      <c r="BP188" s="2801" t="s">
        <v>543</v>
      </c>
      <c r="BQ188" s="2802">
        <f ca="1">+BR188/BR187*100</f>
        <v>95.868546789068063</v>
      </c>
      <c r="BR188" s="1530">
        <f ca="1">OFFSET('VVP2'!$G$101,0,(COLUMN()-10)/4)</f>
        <v>637.65430000000003</v>
      </c>
      <c r="BS188" s="1479"/>
      <c r="BT188" s="2801" t="s">
        <v>543</v>
      </c>
      <c r="BU188" s="2802">
        <f ca="1">+BV188/BV187*100</f>
        <v>96.335391131547269</v>
      </c>
      <c r="BV188" s="1530">
        <f ca="1">OFFSET('VVP2'!$G$101,0,(COLUMN()-10)/4)</f>
        <v>664.14581999999996</v>
      </c>
      <c r="BW188" s="1479"/>
      <c r="BX188" s="2801" t="s">
        <v>543</v>
      </c>
      <c r="BY188" s="2802">
        <f ca="1">+BZ188/BZ187*100</f>
        <v>95.960705721229786</v>
      </c>
      <c r="BZ188" s="1530">
        <f ca="1">OFFSET('VVP2'!$G$101,0,(COLUMN()-10)/4)</f>
        <v>665.29077472999995</v>
      </c>
      <c r="CA188" s="1479"/>
      <c r="CB188" s="2801" t="s">
        <v>543</v>
      </c>
      <c r="CC188" s="2802">
        <f ca="1">+CD188/CD187*100</f>
        <v>95.77190869751243</v>
      </c>
      <c r="CD188" s="1530">
        <f ca="1">OFFSET('VVP2'!$G$101,0,(COLUMN()-10)/4)</f>
        <v>667.04942864000009</v>
      </c>
      <c r="CE188" s="1479"/>
      <c r="CF188" s="2801" t="s">
        <v>543</v>
      </c>
      <c r="CG188" s="2802">
        <f ca="1">+CH188/CH187*100</f>
        <v>95.977999341153293</v>
      </c>
      <c r="CH188" s="1530">
        <f ca="1">OFFSET('VVP2'!$G$101,0,(COLUMN()-10)/4)</f>
        <v>690.50315867999996</v>
      </c>
      <c r="CI188" s="1479"/>
      <c r="CJ188" s="2801" t="s">
        <v>543</v>
      </c>
      <c r="CK188" s="2802">
        <f ca="1">+CL188/CL187*100</f>
        <v>96.087941273178885</v>
      </c>
      <c r="CL188" s="1530">
        <f ca="1">OFFSET('VVP2'!$G$101,0,(COLUMN()-10)/4)</f>
        <v>706.03017049000005</v>
      </c>
      <c r="CM188" s="1479"/>
      <c r="CN188" s="2801" t="s">
        <v>543</v>
      </c>
      <c r="CO188" s="2802">
        <f ca="1">+CP188/CP187*100</f>
        <v>96.227132506860116</v>
      </c>
      <c r="CP188" s="1530">
        <f ca="1">OFFSET('VVP2'!$G$101,0,(COLUMN()-10)/4)</f>
        <v>738.17276752999999</v>
      </c>
      <c r="CQ188" s="1479"/>
      <c r="CR188" s="2801" t="s">
        <v>543</v>
      </c>
      <c r="CS188" s="2802">
        <f ca="1">+CT188/CT187*100</f>
        <v>96.284574727500129</v>
      </c>
      <c r="CT188" s="1530">
        <f ca="1">OFFSET('VVP2'!$G$101,0,(COLUMN()-10)/4)</f>
        <v>758.35175323999999</v>
      </c>
      <c r="CU188" s="1479"/>
      <c r="CV188" s="2801" t="s">
        <v>543</v>
      </c>
      <c r="CW188" s="2802">
        <f ca="1">+CX188/CX187*100</f>
        <v>96.194401456800819</v>
      </c>
      <c r="CX188" s="1530">
        <f ca="1">OFFSET('VVP2'!$G$101,0,(COLUMN()-10)/4)</f>
        <v>783.23689945976275</v>
      </c>
      <c r="CY188" s="1479"/>
      <c r="CZ188" s="2801" t="s">
        <v>543</v>
      </c>
      <c r="DA188" s="2802">
        <f ca="1">+DB188/DB187*100</f>
        <v>96.126626963312518</v>
      </c>
      <c r="DB188" s="1530">
        <f ca="1">OFFSET('VVP2'!$G$101,0,(COLUMN()-10)/4)</f>
        <v>806.82144906568249</v>
      </c>
    </row>
    <row r="189" spans="1:106">
      <c r="AY189" s="218"/>
      <c r="BO189" s="577"/>
      <c r="BP189" s="577"/>
      <c r="BQ189" s="577"/>
      <c r="BR189" s="577"/>
      <c r="BS189" s="577"/>
      <c r="BT189" s="577"/>
      <c r="BU189" s="577"/>
      <c r="BV189" s="577"/>
      <c r="BW189" s="577"/>
      <c r="BX189" s="577"/>
      <c r="BY189" s="577"/>
      <c r="BZ189" s="577"/>
      <c r="CA189" s="577"/>
      <c r="CB189" s="577"/>
      <c r="CC189" s="577"/>
      <c r="CD189" s="577"/>
      <c r="CE189" s="577"/>
      <c r="CF189" s="577"/>
      <c r="CG189" s="577"/>
      <c r="CH189" s="577"/>
      <c r="CI189" s="577"/>
      <c r="CJ189" s="577"/>
      <c r="CK189" s="577"/>
      <c r="CL189" s="577"/>
      <c r="CM189" s="577"/>
      <c r="CN189" s="577"/>
      <c r="CO189" s="577"/>
      <c r="CP189" s="577"/>
      <c r="CQ189" s="577"/>
      <c r="CR189" s="577"/>
      <c r="CS189" s="577"/>
      <c r="CT189" s="577"/>
      <c r="CU189" s="577"/>
      <c r="CV189" s="577"/>
      <c r="CW189" s="577"/>
      <c r="CX189" s="577"/>
      <c r="CY189" s="577"/>
      <c r="CZ189" s="577"/>
      <c r="DA189" s="577"/>
      <c r="DB189" s="577"/>
    </row>
    <row r="190" spans="1:106" s="749" customFormat="1" ht="12.75" customHeight="1">
      <c r="A190" s="714"/>
      <c r="B190" s="714"/>
      <c r="C190" s="1456"/>
      <c r="D190" s="790"/>
      <c r="E190" s="791" t="s">
        <v>73</v>
      </c>
      <c r="F190" s="792"/>
      <c r="G190" s="1484" t="str">
        <f t="shared" ref="G190:BF190" si="960">G182</f>
        <v>Q1</v>
      </c>
      <c r="H190" s="1485" t="str">
        <f t="shared" si="960"/>
        <v>Q2</v>
      </c>
      <c r="I190" s="1485" t="str">
        <f t="shared" si="960"/>
        <v>Q3</v>
      </c>
      <c r="J190" s="1486" t="str">
        <f t="shared" si="960"/>
        <v>Q4</v>
      </c>
      <c r="K190" s="1484" t="str">
        <f t="shared" si="960"/>
        <v>Q1</v>
      </c>
      <c r="L190" s="1485" t="str">
        <f t="shared" si="960"/>
        <v>Q2</v>
      </c>
      <c r="M190" s="1485" t="str">
        <f t="shared" si="960"/>
        <v>Q3</v>
      </c>
      <c r="N190" s="1486" t="str">
        <f t="shared" si="960"/>
        <v>Q4</v>
      </c>
      <c r="O190" s="1484" t="str">
        <f>O182</f>
        <v>Q1</v>
      </c>
      <c r="P190" s="1485" t="str">
        <f>P182</f>
        <v>Q2</v>
      </c>
      <c r="Q190" s="1485" t="str">
        <f>Q182</f>
        <v>Q3</v>
      </c>
      <c r="R190" s="1486" t="str">
        <f>R182</f>
        <v>Q4</v>
      </c>
      <c r="S190" s="1484" t="str">
        <f t="shared" si="960"/>
        <v>Q1</v>
      </c>
      <c r="T190" s="1485" t="str">
        <f t="shared" si="960"/>
        <v>Q2</v>
      </c>
      <c r="U190" s="1485" t="str">
        <f t="shared" si="960"/>
        <v>Q3</v>
      </c>
      <c r="V190" s="1486" t="str">
        <f t="shared" si="960"/>
        <v>Q4</v>
      </c>
      <c r="W190" s="1484" t="str">
        <f t="shared" si="960"/>
        <v>Q1</v>
      </c>
      <c r="X190" s="1485" t="str">
        <f t="shared" si="960"/>
        <v>Q2</v>
      </c>
      <c r="Y190" s="1485" t="str">
        <f t="shared" si="960"/>
        <v>Q3</v>
      </c>
      <c r="Z190" s="1486" t="str">
        <f t="shared" si="960"/>
        <v>Q4</v>
      </c>
      <c r="AA190" s="1484" t="str">
        <f t="shared" si="960"/>
        <v>Q1</v>
      </c>
      <c r="AB190" s="1485" t="str">
        <f t="shared" si="960"/>
        <v>Q2</v>
      </c>
      <c r="AC190" s="1485" t="str">
        <f t="shared" si="960"/>
        <v>Q3</v>
      </c>
      <c r="AD190" s="1486" t="str">
        <f t="shared" si="960"/>
        <v>Q4</v>
      </c>
      <c r="AE190" s="1484" t="str">
        <f t="shared" si="960"/>
        <v>Q1</v>
      </c>
      <c r="AF190" s="1485" t="str">
        <f t="shared" si="960"/>
        <v>Q2</v>
      </c>
      <c r="AG190" s="1485" t="str">
        <f t="shared" si="960"/>
        <v>Q3</v>
      </c>
      <c r="AH190" s="1486" t="str">
        <f t="shared" si="960"/>
        <v>Q4</v>
      </c>
      <c r="AI190" s="1484" t="str">
        <f t="shared" si="960"/>
        <v>Q1</v>
      </c>
      <c r="AJ190" s="1485" t="str">
        <f t="shared" si="960"/>
        <v>Q2</v>
      </c>
      <c r="AK190" s="1485" t="str">
        <f t="shared" si="960"/>
        <v>Q3</v>
      </c>
      <c r="AL190" s="1486" t="str">
        <f t="shared" si="960"/>
        <v>Q4</v>
      </c>
      <c r="AM190" s="1484" t="str">
        <f t="shared" si="960"/>
        <v>Q1</v>
      </c>
      <c r="AN190" s="1485" t="str">
        <f t="shared" si="960"/>
        <v>Q2</v>
      </c>
      <c r="AO190" s="1485" t="str">
        <f t="shared" si="960"/>
        <v>Q3</v>
      </c>
      <c r="AP190" s="1486" t="str">
        <f t="shared" si="960"/>
        <v>Q4</v>
      </c>
      <c r="AQ190" s="1484" t="str">
        <f>AQ182</f>
        <v>Q1</v>
      </c>
      <c r="AR190" s="1485" t="str">
        <f>AR182</f>
        <v>Q2</v>
      </c>
      <c r="AS190" s="1485" t="str">
        <f>AS182</f>
        <v>Q3</v>
      </c>
      <c r="AT190" s="1486" t="str">
        <f>AT182</f>
        <v>Q4</v>
      </c>
      <c r="AU190" s="1484" t="str">
        <f t="shared" si="960"/>
        <v>Q1</v>
      </c>
      <c r="AV190" s="1485" t="str">
        <f t="shared" si="960"/>
        <v>Q2</v>
      </c>
      <c r="AW190" s="1485" t="str">
        <f t="shared" si="960"/>
        <v>Q3</v>
      </c>
      <c r="AX190" s="1486" t="str">
        <f t="shared" si="960"/>
        <v>Q4</v>
      </c>
      <c r="AY190" s="1484" t="str">
        <f>AY182</f>
        <v>Q1</v>
      </c>
      <c r="AZ190" s="1485" t="str">
        <f>AZ182</f>
        <v>Q2</v>
      </c>
      <c r="BA190" s="1485" t="str">
        <f t="shared" si="960"/>
        <v>Q3</v>
      </c>
      <c r="BB190" s="1485" t="str">
        <f t="shared" si="960"/>
        <v>Q4</v>
      </c>
      <c r="BC190" s="1485" t="str">
        <f t="shared" si="960"/>
        <v>Q1</v>
      </c>
      <c r="BD190" s="1485" t="str">
        <f t="shared" si="960"/>
        <v>Q2</v>
      </c>
      <c r="BE190" s="1485" t="str">
        <f>BE182</f>
        <v>Q3</v>
      </c>
      <c r="BF190" s="1485" t="str">
        <f t="shared" si="960"/>
        <v>Q4</v>
      </c>
      <c r="BG190" s="1485" t="str">
        <f t="shared" ref="BG190:BN190" si="961">BG182</f>
        <v>Q1</v>
      </c>
      <c r="BH190" s="1485" t="str">
        <f t="shared" si="961"/>
        <v>Q2</v>
      </c>
      <c r="BI190" s="1485" t="str">
        <f t="shared" si="961"/>
        <v>Q3</v>
      </c>
      <c r="BJ190" s="1485" t="str">
        <f t="shared" si="961"/>
        <v>Q4</v>
      </c>
      <c r="BK190" s="1485" t="str">
        <f t="shared" si="961"/>
        <v>Q1</v>
      </c>
      <c r="BL190" s="1485" t="str">
        <f t="shared" si="961"/>
        <v>Q2</v>
      </c>
      <c r="BM190" s="1485" t="str">
        <f t="shared" si="961"/>
        <v>Q3</v>
      </c>
      <c r="BN190" s="1485" t="str">
        <f t="shared" si="961"/>
        <v>Q4</v>
      </c>
      <c r="BO190" s="1485" t="str">
        <f>BO182</f>
        <v>Q1</v>
      </c>
      <c r="BP190" s="1485" t="str">
        <f>BP182</f>
        <v>Q2</v>
      </c>
      <c r="BQ190" s="1485" t="str">
        <f t="shared" ref="BQ190:BV190" si="962">BQ182</f>
        <v>Q3</v>
      </c>
      <c r="BR190" s="1485" t="str">
        <f t="shared" si="962"/>
        <v>Q4</v>
      </c>
      <c r="BS190" s="1485" t="str">
        <f t="shared" si="962"/>
        <v>Q1</v>
      </c>
      <c r="BT190" s="1485" t="str">
        <f t="shared" si="962"/>
        <v>Q2</v>
      </c>
      <c r="BU190" s="1485" t="str">
        <f t="shared" si="962"/>
        <v>Q3</v>
      </c>
      <c r="BV190" s="1485" t="str">
        <f t="shared" si="962"/>
        <v>Q4</v>
      </c>
      <c r="BW190" s="1485" t="str">
        <f t="shared" ref="BW190:CD190" si="963">BW182</f>
        <v>Q1</v>
      </c>
      <c r="BX190" s="1485" t="str">
        <f t="shared" si="963"/>
        <v>Q2</v>
      </c>
      <c r="BY190" s="1485" t="str">
        <f t="shared" si="963"/>
        <v>Q3</v>
      </c>
      <c r="BZ190" s="1485" t="str">
        <f t="shared" si="963"/>
        <v>Q4</v>
      </c>
      <c r="CA190" s="1485" t="str">
        <f>CA182</f>
        <v>Q1</v>
      </c>
      <c r="CB190" s="1485" t="str">
        <f t="shared" si="963"/>
        <v>Q2</v>
      </c>
      <c r="CC190" s="1485" t="str">
        <f t="shared" ref="CC190" si="964">CC182</f>
        <v>Q3</v>
      </c>
      <c r="CD190" s="1485" t="str">
        <f t="shared" si="963"/>
        <v>Q4</v>
      </c>
      <c r="CE190" s="1485" t="str">
        <f>CE182</f>
        <v>Q1</v>
      </c>
      <c r="CF190" s="1485" t="str">
        <f t="shared" ref="CF190:CH190" si="965">CF182</f>
        <v>Q2</v>
      </c>
      <c r="CG190" s="1485" t="str">
        <f t="shared" si="965"/>
        <v>Q3</v>
      </c>
      <c r="CH190" s="1485" t="str">
        <f t="shared" si="965"/>
        <v>Q4</v>
      </c>
      <c r="CI190" s="1485" t="str">
        <f>CI182</f>
        <v>Q1</v>
      </c>
      <c r="CJ190" s="1485" t="str">
        <f t="shared" ref="CJ190:CL190" si="966">CJ182</f>
        <v>Q2</v>
      </c>
      <c r="CK190" s="1485" t="str">
        <f t="shared" si="966"/>
        <v>Q3</v>
      </c>
      <c r="CL190" s="1485" t="str">
        <f t="shared" si="966"/>
        <v>Q4</v>
      </c>
      <c r="CM190" s="1485" t="str">
        <f>CM182</f>
        <v>Q1</v>
      </c>
      <c r="CN190" s="1485" t="str">
        <f t="shared" ref="CN190:CP190" si="967">CN182</f>
        <v>Q2</v>
      </c>
      <c r="CO190" s="1485" t="str">
        <f t="shared" si="967"/>
        <v>Q3</v>
      </c>
      <c r="CP190" s="1485" t="str">
        <f t="shared" si="967"/>
        <v>Q4</v>
      </c>
      <c r="CQ190" s="1485" t="str">
        <f>CQ182</f>
        <v>Q1</v>
      </c>
      <c r="CR190" s="1485" t="str">
        <f t="shared" ref="CR190:CS190" si="968">CR182</f>
        <v>Q2</v>
      </c>
      <c r="CS190" s="1485" t="str">
        <f t="shared" si="968"/>
        <v>Q3</v>
      </c>
      <c r="CT190" s="1485" t="str">
        <f t="shared" ref="CT190" si="969">CT182</f>
        <v>Q4</v>
      </c>
      <c r="CU190" s="1485" t="str">
        <f t="shared" ref="CU190:CX190" si="970">CU182</f>
        <v>Q1</v>
      </c>
      <c r="CV190" s="1485" t="str">
        <f t="shared" si="970"/>
        <v>Q2</v>
      </c>
      <c r="CW190" s="1485" t="str">
        <f t="shared" si="970"/>
        <v>Q3</v>
      </c>
      <c r="CX190" s="1485" t="str">
        <f t="shared" si="970"/>
        <v>Q4</v>
      </c>
      <c r="CY190" s="1485" t="str">
        <f t="shared" ref="CY190:DB190" si="971">CY182</f>
        <v>Q1</v>
      </c>
      <c r="CZ190" s="1485" t="str">
        <f t="shared" si="971"/>
        <v>Q2</v>
      </c>
      <c r="DA190" s="1485" t="str">
        <f t="shared" si="971"/>
        <v>Q3</v>
      </c>
      <c r="DB190" s="1485" t="str">
        <f t="shared" si="971"/>
        <v>Q4</v>
      </c>
    </row>
    <row r="191" spans="1:106" s="749" customFormat="1" ht="12.75" customHeight="1">
      <c r="B191" s="714"/>
      <c r="C191" s="742"/>
      <c r="D191" s="739"/>
      <c r="E191" s="787" t="str">
        <f>E186</f>
        <v xml:space="preserve">Final demand                                                                    </v>
      </c>
      <c r="F191" s="782" t="s">
        <v>1575</v>
      </c>
      <c r="G191" s="1020"/>
      <c r="H191" s="1020">
        <f>(H186/G186-1)*100</f>
        <v>-0.14915851236847466</v>
      </c>
      <c r="I191" s="1020">
        <f t="shared" ref="I191:BE191" si="972">(I186/H186-1)*100</f>
        <v>2.6996625421826792E-3</v>
      </c>
      <c r="J191" s="1020">
        <f t="shared" si="972"/>
        <v>0.95925419336260198</v>
      </c>
      <c r="K191" s="1020">
        <f t="shared" si="972"/>
        <v>0.70413747615736266</v>
      </c>
      <c r="L191" s="1020">
        <f t="shared" si="972"/>
        <v>1.0559017205976184</v>
      </c>
      <c r="M191" s="1020">
        <f t="shared" si="972"/>
        <v>0.66300568415704753</v>
      </c>
      <c r="N191" s="1020">
        <f t="shared" si="972"/>
        <v>1.1371743783388677</v>
      </c>
      <c r="O191" s="1020">
        <f>(O186/N186-1)*100</f>
        <v>1.5889402190277124</v>
      </c>
      <c r="P191" s="1020">
        <f>(P186/O186-1)*100</f>
        <v>1.4878734503082525</v>
      </c>
      <c r="Q191" s="1020">
        <f>(Q186/P186-1)*100</f>
        <v>0.80270349201052582</v>
      </c>
      <c r="R191" s="1020">
        <f>(R186/Q186-1)*100</f>
        <v>0.97428129164700561</v>
      </c>
      <c r="S191" s="1020">
        <f t="shared" si="972"/>
        <v>0.48448976915005382</v>
      </c>
      <c r="T191" s="1020">
        <f t="shared" si="972"/>
        <v>0.83948602896186664</v>
      </c>
      <c r="U191" s="1020">
        <f t="shared" si="972"/>
        <v>0.98621403838063948</v>
      </c>
      <c r="V191" s="1020">
        <f t="shared" si="972"/>
        <v>-0.14180078991852252</v>
      </c>
      <c r="W191" s="1020">
        <f t="shared" si="972"/>
        <v>0.15483850263946497</v>
      </c>
      <c r="X191" s="1020">
        <f t="shared" si="972"/>
        <v>1.6813655988913823</v>
      </c>
      <c r="Y191" s="1020">
        <f t="shared" si="972"/>
        <v>1.85602420079094</v>
      </c>
      <c r="Z191" s="1020">
        <f t="shared" si="972"/>
        <v>1.3620121583368006</v>
      </c>
      <c r="AA191" s="1020">
        <f t="shared" si="972"/>
        <v>2.4104383655717099</v>
      </c>
      <c r="AB191" s="1020">
        <f t="shared" si="972"/>
        <v>1.2271447091957599</v>
      </c>
      <c r="AC191" s="1020">
        <f t="shared" si="972"/>
        <v>1.1202626213556721</v>
      </c>
      <c r="AD191" s="1020">
        <f t="shared" si="972"/>
        <v>0.86109635107691762</v>
      </c>
      <c r="AE191" s="1020">
        <f t="shared" si="972"/>
        <v>0.21650332693445851</v>
      </c>
      <c r="AF191" s="1020">
        <f t="shared" si="972"/>
        <v>-0.87638442815376472</v>
      </c>
      <c r="AG191" s="1020">
        <f t="shared" si="972"/>
        <v>-0.11333173506528071</v>
      </c>
      <c r="AH191" s="1020">
        <f t="shared" si="972"/>
        <v>-0.67930731019033574</v>
      </c>
      <c r="AI191" s="1020">
        <f t="shared" si="972"/>
        <v>1.3422769645354826</v>
      </c>
      <c r="AJ191" s="1020">
        <f t="shared" si="972"/>
        <v>0.6944043008266565</v>
      </c>
      <c r="AK191" s="1020">
        <f t="shared" si="972"/>
        <v>0.34301378513557079</v>
      </c>
      <c r="AL191" s="1020">
        <f t="shared" si="972"/>
        <v>0.41693186775464408</v>
      </c>
      <c r="AM191" s="1020">
        <f t="shared" si="972"/>
        <v>-0.44511231073824931</v>
      </c>
      <c r="AN191" s="1020">
        <f t="shared" si="972"/>
        <v>0.33693638269105541</v>
      </c>
      <c r="AO191" s="1020">
        <f t="shared" si="972"/>
        <v>0.4484528732354276</v>
      </c>
      <c r="AP191" s="1020">
        <f t="shared" si="972"/>
        <v>1.0100149763288879</v>
      </c>
      <c r="AQ191" s="1020">
        <f>(AQ186/AP186-1)*100</f>
        <v>1.6878408004946888</v>
      </c>
      <c r="AR191" s="1020">
        <f>(AR186/AQ186-1)*100</f>
        <v>1.1629835399477484</v>
      </c>
      <c r="AS191" s="1020">
        <f>(AS186/AR186-1)*100</f>
        <v>1.0369064939855344</v>
      </c>
      <c r="AT191" s="1020">
        <f>(AT186/AS186-1)*100</f>
        <v>0.52124530980632855</v>
      </c>
      <c r="AU191" s="1020">
        <f t="shared" si="972"/>
        <v>0.97453694362614751</v>
      </c>
      <c r="AV191" s="1020">
        <f t="shared" si="972"/>
        <v>1.1955906350950896</v>
      </c>
      <c r="AW191" s="1020">
        <f t="shared" si="972"/>
        <v>0.23036924899624278</v>
      </c>
      <c r="AX191" s="1020">
        <f t="shared" si="972"/>
        <v>0.43341213553980129</v>
      </c>
      <c r="AY191" s="1020">
        <f t="shared" si="972"/>
        <v>1.322740944161116</v>
      </c>
      <c r="AZ191" s="1020">
        <f t="shared" si="972"/>
        <v>0.52464136600349764</v>
      </c>
      <c r="BA191" s="1020">
        <f t="shared" si="972"/>
        <v>0.72925225965487783</v>
      </c>
      <c r="BB191" s="1020">
        <f>(BB186/BA186-1)*100</f>
        <v>0.70294177628222876</v>
      </c>
      <c r="BC191" s="1020">
        <f>(BC186/BB186-1)*100</f>
        <v>1.8852640572097679</v>
      </c>
      <c r="BD191" s="1020">
        <f>(BD186/BC186-1)*100</f>
        <v>0.87643017752214725</v>
      </c>
      <c r="BE191" s="1020">
        <f t="shared" si="972"/>
        <v>0.75490286629105174</v>
      </c>
      <c r="BF191" s="1020">
        <f t="shared" ref="BF191:BM191" si="973">(BF186/BE186-1)*100</f>
        <v>0.55185142179658975</v>
      </c>
      <c r="BG191" s="1020">
        <f t="shared" si="973"/>
        <v>1.2599219614183088</v>
      </c>
      <c r="BH191" s="1020">
        <f t="shared" si="973"/>
        <v>1.4489187128992054</v>
      </c>
      <c r="BI191" s="788">
        <f t="shared" si="973"/>
        <v>-0.52242029096974951</v>
      </c>
      <c r="BJ191" s="788">
        <f t="shared" si="973"/>
        <v>-4.7734598960377799</v>
      </c>
      <c r="BK191" s="788">
        <f t="shared" si="973"/>
        <v>-2.7917957429799189</v>
      </c>
      <c r="BL191" s="788">
        <f t="shared" si="973"/>
        <v>0.53648758047313283</v>
      </c>
      <c r="BM191" s="788">
        <f t="shared" si="973"/>
        <v>1.8462777277171716</v>
      </c>
      <c r="BN191" s="788">
        <f t="shared" ref="BN191:BS191" si="974">(BN186/BM186-1)*100</f>
        <v>1.4394538358244446</v>
      </c>
      <c r="BO191" s="788">
        <f t="shared" si="974"/>
        <v>0.54497092663614577</v>
      </c>
      <c r="BP191" s="788">
        <f t="shared" si="974"/>
        <v>2.2978817652161698</v>
      </c>
      <c r="BQ191" s="788">
        <f t="shared" si="974"/>
        <v>0.86001587721618034</v>
      </c>
      <c r="BR191" s="788">
        <f t="shared" si="974"/>
        <v>0.53963483715548932</v>
      </c>
      <c r="BS191" s="788">
        <f t="shared" si="974"/>
        <v>1.611994472484013</v>
      </c>
      <c r="BT191" s="788">
        <f t="shared" ref="BT191:CH191" si="975">(BT186/BS186-1)*100</f>
        <v>0.74068021175632826</v>
      </c>
      <c r="BU191" s="788">
        <f t="shared" si="975"/>
        <v>0.69815409216791302</v>
      </c>
      <c r="BV191" s="788">
        <f t="shared" si="975"/>
        <v>-1.2214979027979855</v>
      </c>
      <c r="BW191" s="788">
        <f t="shared" si="975"/>
        <v>1.2756290773532131</v>
      </c>
      <c r="BX191" s="788">
        <f t="shared" si="975"/>
        <v>-0.20762638753092366</v>
      </c>
      <c r="BY191" s="788">
        <f>(BY186/BX186-1)*100</f>
        <v>-0.27030298140153786</v>
      </c>
      <c r="BZ191" s="788">
        <f>(BZ186/BY186-1)*100</f>
        <v>-9.4775774387434453E-2</v>
      </c>
      <c r="CA191" s="788">
        <f t="shared" si="975"/>
        <v>-0.16138735278464766</v>
      </c>
      <c r="CB191" s="788">
        <f t="shared" si="975"/>
        <v>0.35632137290915189</v>
      </c>
      <c r="CC191" s="788">
        <f>(CC186/CB186-1)*100</f>
        <v>0.92430085675356821</v>
      </c>
      <c r="CD191" s="1701">
        <f t="shared" si="975"/>
        <v>0.60807834657605753</v>
      </c>
      <c r="CE191" s="788">
        <f t="shared" si="975"/>
        <v>0.7704291660033169</v>
      </c>
      <c r="CF191" s="788">
        <f t="shared" si="975"/>
        <v>0.84353188776229437</v>
      </c>
      <c r="CG191" s="788">
        <f>(CG186/CF186-1)*100</f>
        <v>1.7798193883374447</v>
      </c>
      <c r="CH191" s="1701">
        <f t="shared" si="975"/>
        <v>-0.18251084345296542</v>
      </c>
      <c r="CI191" s="788">
        <f t="shared" ref="CI191" si="976">(CI186/CH186-1)*100</f>
        <v>1.0899077516177913</v>
      </c>
      <c r="CJ191" s="788">
        <f t="shared" ref="CJ191" si="977">(CJ186/CI186-1)*100</f>
        <v>-0.47070616821206501</v>
      </c>
      <c r="CK191" s="788">
        <f>(CK186/CJ186-1)*100</f>
        <v>-7.5537796266889057E-2</v>
      </c>
      <c r="CL191" s="788">
        <f>(CL186/CK186-1)*100</f>
        <v>1.8772733248608509</v>
      </c>
      <c r="CM191" s="788">
        <f t="shared" ref="CM191:CN191" si="978">(CM186/CL186-1)*100</f>
        <v>6.4523413933592622E-3</v>
      </c>
      <c r="CN191" s="788">
        <f t="shared" si="978"/>
        <v>2.8662677226317435</v>
      </c>
      <c r="CO191" s="788">
        <f>(CO186/CN186-1)*100</f>
        <v>1.5309269190160846</v>
      </c>
      <c r="CP191" s="788">
        <f>(CP186/CO186-1)*100</f>
        <v>0.66923722400400454</v>
      </c>
      <c r="CQ191" s="788">
        <f t="shared" ref="CQ191:CR191" si="979">(CQ186/CP186-1)*100</f>
        <v>-1.2273013178143444E-2</v>
      </c>
      <c r="CR191" s="788">
        <f t="shared" si="979"/>
        <v>0.59787139372056153</v>
      </c>
      <c r="CS191" s="788">
        <f>(CS186/CR186-1)*100</f>
        <v>-1.8302354902988149E-2</v>
      </c>
      <c r="CT191" s="1701">
        <f t="shared" ref="CT191" si="980">(CT186/CS186-1)*100</f>
        <v>1.0535950371199254</v>
      </c>
      <c r="CU191" s="1701">
        <f t="shared" ref="CU191" si="981">(CU186/CT186-1)*100</f>
        <v>0.96723184992852929</v>
      </c>
      <c r="CV191" s="1701">
        <f t="shared" ref="CV191" si="982">(CV186/CU186-1)*100</f>
        <v>1.011387119338214</v>
      </c>
      <c r="CW191" s="1701">
        <f t="shared" ref="CW191" si="983">(CW186/CV186-1)*100</f>
        <v>0.91973990815301665</v>
      </c>
      <c r="CX191" s="1701">
        <f t="shared" ref="CX191" si="984">(CX186/CW186-1)*100</f>
        <v>0.87493688360302801</v>
      </c>
      <c r="CY191" s="1701">
        <f t="shared" ref="CY191" si="985">(CY186/CX186-1)*100</f>
        <v>0.75720980006372951</v>
      </c>
      <c r="CZ191" s="1701">
        <f t="shared" ref="CZ191" si="986">(CZ186/CY186-1)*100</f>
        <v>0.66492739107049115</v>
      </c>
      <c r="DA191" s="1701">
        <f t="shared" ref="DA191" si="987">(DA186/CZ186-1)*100</f>
        <v>0.58212832767678968</v>
      </c>
      <c r="DB191" s="1701">
        <f t="shared" ref="DB191" si="988">(DB186/DA186-1)*100</f>
        <v>0.54578662935826916</v>
      </c>
    </row>
    <row r="192" spans="1:106">
      <c r="C192" s="1458"/>
      <c r="D192" s="1487"/>
      <c r="E192" s="1488" t="s">
        <v>74</v>
      </c>
      <c r="F192" s="1562"/>
      <c r="G192" s="1511"/>
      <c r="H192" s="1512"/>
      <c r="I192" s="1512"/>
      <c r="J192" s="1512"/>
      <c r="K192" s="1513"/>
      <c r="L192" s="1513"/>
      <c r="M192" s="1513"/>
      <c r="N192" s="1514">
        <f>N187/J187*100-100</f>
        <v>2.8263239840444498</v>
      </c>
      <c r="O192" s="1513"/>
      <c r="P192" s="1513"/>
      <c r="Q192" s="1513"/>
      <c r="R192" s="1514">
        <f>R187/N187*100-100</f>
        <v>4.8846261258116357</v>
      </c>
      <c r="S192" s="1513"/>
      <c r="T192" s="1513"/>
      <c r="U192" s="1513"/>
      <c r="V192" s="1514">
        <f>V187/R187*100-100</f>
        <v>3.1044840698612859</v>
      </c>
      <c r="W192" s="1513"/>
      <c r="X192" s="1513"/>
      <c r="Y192" s="1513"/>
      <c r="Z192" s="1514">
        <f>Z187/V187*100-100</f>
        <v>3.3245367680289064</v>
      </c>
      <c r="AA192" s="1513"/>
      <c r="AB192" s="1513"/>
      <c r="AC192" s="1513"/>
      <c r="AD192" s="1514">
        <f>AD187/Z187*100-100</f>
        <v>6.6190742122056037</v>
      </c>
      <c r="AE192" s="1513"/>
      <c r="AF192" s="1513"/>
      <c r="AG192" s="1513"/>
      <c r="AH192" s="1514">
        <f>AH187/AD187*100-100</f>
        <v>0.83201470997610727</v>
      </c>
      <c r="AI192" s="1513"/>
      <c r="AJ192" s="1513"/>
      <c r="AK192" s="1513"/>
      <c r="AL192" s="1514">
        <f>AL187/AH187*100-100</f>
        <v>1.3482464441203206</v>
      </c>
      <c r="AM192" s="1513"/>
      <c r="AN192" s="1513"/>
      <c r="AO192" s="1513"/>
      <c r="AP192" s="1514">
        <f>AP187/AL187*100-100</f>
        <v>0.94266922346277227</v>
      </c>
      <c r="AQ192" s="1513"/>
      <c r="AR192" s="1513"/>
      <c r="AS192" s="1513"/>
      <c r="AT192" s="1514">
        <f>AT187/AP187*100-100</f>
        <v>4.3430093209054519</v>
      </c>
      <c r="AU192" s="1513"/>
      <c r="AV192" s="1513"/>
      <c r="AW192" s="1513"/>
      <c r="AX192" s="1514">
        <f>AX187/AT187*100-100</f>
        <v>3.3303726995535357</v>
      </c>
      <c r="AY192" s="1513"/>
      <c r="AZ192" s="1513"/>
      <c r="BA192" s="1515"/>
      <c r="BB192" s="1516">
        <f>BB187/AX187*100-100</f>
        <v>3.0267502078924906</v>
      </c>
      <c r="BC192" s="1515"/>
      <c r="BD192" s="1515"/>
      <c r="BE192" s="1515"/>
      <c r="BF192" s="1516">
        <f>BF187/BB187*100-100</f>
        <v>4.1392691947460776</v>
      </c>
      <c r="BG192" s="1515"/>
      <c r="BH192" s="1515"/>
      <c r="BI192" s="1515"/>
      <c r="BJ192" s="1516">
        <f>BJ187/BF187*100-100</f>
        <v>1.8899141143464249</v>
      </c>
      <c r="BK192" s="1515"/>
      <c r="BL192" s="1515"/>
      <c r="BM192" s="1515"/>
      <c r="BN192" s="2937">
        <f>BN187/BJ187*100-100</f>
        <v>-4.6293144222281768</v>
      </c>
      <c r="BO192" s="1515"/>
      <c r="BP192" s="1515"/>
      <c r="BQ192" s="1515"/>
      <c r="BR192" s="2937">
        <f>BR187/BN187*100-100</f>
        <v>5.0523971602081588</v>
      </c>
      <c r="BS192" s="1515"/>
      <c r="BT192" s="1515"/>
      <c r="BU192" s="1515"/>
      <c r="BV192" s="2937">
        <f>BV187/BR187*100-100</f>
        <v>3.6497908692083172</v>
      </c>
      <c r="BW192" s="1515"/>
      <c r="BX192" s="1515"/>
      <c r="BY192" s="1515"/>
      <c r="BZ192" s="2937">
        <f>BZ187/BV187*100-100</f>
        <v>0.5635253332559671</v>
      </c>
      <c r="CA192" s="1515"/>
      <c r="CB192" s="1515"/>
      <c r="CC192" s="1515"/>
      <c r="CD192" s="2937">
        <f>CD187/BZ187*100-100</f>
        <v>0.46199669693277201</v>
      </c>
      <c r="CE192" s="1515"/>
      <c r="CF192" s="1515"/>
      <c r="CG192" s="1515"/>
      <c r="CH192" s="2937">
        <f>CH187/CD187*100-100</f>
        <v>3.2937639447636826</v>
      </c>
      <c r="CI192" s="1515"/>
      <c r="CJ192" s="1515"/>
      <c r="CK192" s="1515"/>
      <c r="CL192" s="2937">
        <f>CL187/CH187*100-100</f>
        <v>2.1316609191328126</v>
      </c>
      <c r="CM192" s="1515"/>
      <c r="CN192" s="1515"/>
      <c r="CO192" s="1515"/>
      <c r="CP192" s="2937">
        <f>CP187/CL187*100-100</f>
        <v>4.4013473512299726</v>
      </c>
      <c r="CQ192" s="1515"/>
      <c r="CR192" s="1515"/>
      <c r="CS192" s="1515"/>
      <c r="CT192" s="2937">
        <f>CT187/CP187*100-100</f>
        <v>2.6723502994987456</v>
      </c>
      <c r="CU192" s="1515"/>
      <c r="CV192" s="1515"/>
      <c r="CW192" s="1515"/>
      <c r="CX192" s="2937">
        <f>CX187/CT187*100-100</f>
        <v>3.3782947795533858</v>
      </c>
      <c r="CY192" s="1515"/>
      <c r="CZ192" s="1515"/>
      <c r="DA192" s="1515"/>
      <c r="DB192" s="2937">
        <f>DB187/CX187*100-100</f>
        <v>3.0837927285743802</v>
      </c>
    </row>
    <row r="193" spans="1:106" s="749" customFormat="1" ht="12.75" customHeight="1">
      <c r="A193" s="714"/>
      <c r="B193" s="714"/>
      <c r="C193" s="716"/>
      <c r="D193" s="766"/>
      <c r="E193" s="1502" t="s">
        <v>675</v>
      </c>
      <c r="F193" s="766"/>
      <c r="G193" s="1503"/>
      <c r="H193" s="1503"/>
      <c r="I193" s="1503"/>
      <c r="J193" s="1504"/>
      <c r="K193" s="1503"/>
      <c r="L193" s="1503"/>
      <c r="M193" s="1503"/>
      <c r="N193" s="1505">
        <f ca="1">N188/J188*100-100</f>
        <v>-2.9370914670367938</v>
      </c>
      <c r="O193" s="1503"/>
      <c r="P193" s="1503"/>
      <c r="Q193" s="1503"/>
      <c r="R193" s="1505">
        <f ca="1">R188/N188*100-100</f>
        <v>5.3580386466372403</v>
      </c>
      <c r="S193" s="1503"/>
      <c r="T193" s="1503"/>
      <c r="U193" s="1503"/>
      <c r="V193" s="1505">
        <f ca="1">V188/R188*100-100</f>
        <v>3.1124518774656877</v>
      </c>
      <c r="W193" s="1503"/>
      <c r="X193" s="1503"/>
      <c r="Y193" s="1503"/>
      <c r="Z193" s="1505">
        <f ca="1">Z188/V188*100-100</f>
        <v>3.4496126671357104</v>
      </c>
      <c r="AA193" s="1503"/>
      <c r="AB193" s="1503"/>
      <c r="AC193" s="1503"/>
      <c r="AD193" s="1505">
        <f ca="1">AD188/Z188*100-100</f>
        <v>7.2012747368954422</v>
      </c>
      <c r="AE193" s="1503"/>
      <c r="AF193" s="1503"/>
      <c r="AG193" s="1503"/>
      <c r="AH193" s="1505">
        <f ca="1">AH188/AD188*100-100</f>
        <v>0.19771703653603367</v>
      </c>
      <c r="AI193" s="1503"/>
      <c r="AJ193" s="1503"/>
      <c r="AK193" s="1503"/>
      <c r="AL193" s="1505">
        <f ca="1">AL188/AH188*100-100</f>
        <v>1.4300840841716393</v>
      </c>
      <c r="AM193" s="1503"/>
      <c r="AN193" s="1503"/>
      <c r="AO193" s="1503"/>
      <c r="AP193" s="1505">
        <f ca="1">AP188/AL188*100-100</f>
        <v>1.0513859494323441</v>
      </c>
      <c r="AQ193" s="1503"/>
      <c r="AR193" s="1503"/>
      <c r="AS193" s="1503"/>
      <c r="AT193" s="1505">
        <f ca="1">AT188/AP188*100-100</f>
        <v>4.6608816396292951</v>
      </c>
      <c r="AU193" s="1503"/>
      <c r="AV193" s="1503"/>
      <c r="AW193" s="1503"/>
      <c r="AX193" s="1505">
        <f ca="1">AX188/AT188*100-100</f>
        <v>3.7254465872091487</v>
      </c>
      <c r="AY193" s="1503"/>
      <c r="AZ193" s="1503"/>
      <c r="BA193" s="1517"/>
      <c r="BB193" s="1518">
        <f ca="1">BB188/AX188*100-100</f>
        <v>3.367366174412382</v>
      </c>
      <c r="BC193" s="1517"/>
      <c r="BD193" s="1517"/>
      <c r="BE193" s="1517"/>
      <c r="BF193" s="1518">
        <f ca="1">BF188/BB188*100-100</f>
        <v>4.4556961059780917</v>
      </c>
      <c r="BG193" s="1517"/>
      <c r="BH193" s="1517"/>
      <c r="BI193" s="1517"/>
      <c r="BJ193" s="1518">
        <f ca="1">BJ188/BF188*100-100</f>
        <v>1.9593814021240803</v>
      </c>
      <c r="BK193" s="1517"/>
      <c r="BL193" s="1517"/>
      <c r="BM193" s="1517"/>
      <c r="BN193" s="2936">
        <f ca="1">BN188/BJ188*100-100</f>
        <v>-5.2861478267841306</v>
      </c>
      <c r="BO193" s="1517"/>
      <c r="BP193" s="1517"/>
      <c r="BQ193" s="1517"/>
      <c r="BR193" s="2936">
        <f ca="1">BR188/BN188*100-100</f>
        <v>5.5058217121693787</v>
      </c>
      <c r="BS193" s="1517"/>
      <c r="BT193" s="1517"/>
      <c r="BU193" s="1517"/>
      <c r="BV193" s="2936">
        <f ca="1">BV188/BR188*100-100</f>
        <v>4.1545269905652447</v>
      </c>
      <c r="BW193" s="1517"/>
      <c r="BX193" s="1517"/>
      <c r="BY193" s="1517"/>
      <c r="BZ193" s="2936">
        <f ca="1">BZ188/BV188*100-100</f>
        <v>0.1723950818511355</v>
      </c>
      <c r="CA193" s="1517"/>
      <c r="CB193" s="1517"/>
      <c r="CC193" s="1517"/>
      <c r="CD193" s="2936">
        <f ca="1">CD188/BZ188*100-100</f>
        <v>0.26434364894265627</v>
      </c>
      <c r="CE193" s="1517"/>
      <c r="CF193" s="1517"/>
      <c r="CG193" s="1517"/>
      <c r="CH193" s="2936">
        <f ca="1">CH188/CD188*100-100</f>
        <v>3.5160407959299249</v>
      </c>
      <c r="CI193" s="1517"/>
      <c r="CJ193" s="1517"/>
      <c r="CK193" s="1517"/>
      <c r="CL193" s="2936">
        <f ca="1">CL188/CH188*100-100</f>
        <v>2.248651814957995</v>
      </c>
      <c r="CM193" s="1517"/>
      <c r="CN193" s="1517"/>
      <c r="CO193" s="1517"/>
      <c r="CP193" s="2936">
        <f ca="1">CP188/CL188*100-100</f>
        <v>4.5525812328518924</v>
      </c>
      <c r="CQ193" s="1517"/>
      <c r="CR193" s="1517"/>
      <c r="CS193" s="1517"/>
      <c r="CT193" s="2936">
        <f ca="1">CT188/CP188*100-100</f>
        <v>2.733639954982479</v>
      </c>
      <c r="CU193" s="1517"/>
      <c r="CV193" s="1517"/>
      <c r="CW193" s="1517"/>
      <c r="CX193" s="2936">
        <f ca="1">CX188/CT188*100-100</f>
        <v>3.2814780362072042</v>
      </c>
      <c r="CY193" s="1517"/>
      <c r="CZ193" s="1517"/>
      <c r="DA193" s="1517"/>
      <c r="DB193" s="2936">
        <f ca="1">DB188/CX188*100-100</f>
        <v>3.0111642623307517</v>
      </c>
    </row>
    <row r="194" spans="1:106">
      <c r="AY194" s="218"/>
      <c r="BO194" s="577"/>
      <c r="BP194" s="577"/>
      <c r="BQ194" s="577"/>
      <c r="BR194" s="577"/>
      <c r="BS194" s="577"/>
      <c r="BT194" s="577"/>
      <c r="BU194" s="577"/>
      <c r="BV194" s="577"/>
      <c r="BW194" s="577"/>
      <c r="BX194" s="577"/>
      <c r="BY194" s="577"/>
      <c r="BZ194" s="577"/>
      <c r="CA194" s="577"/>
      <c r="CB194" s="577"/>
      <c r="CC194" s="577"/>
      <c r="CD194" s="577"/>
      <c r="CE194" s="577"/>
      <c r="CF194" s="577"/>
      <c r="CG194" s="577"/>
      <c r="CH194" s="577"/>
      <c r="CI194" s="577"/>
      <c r="CJ194" s="577"/>
      <c r="CK194" s="577"/>
      <c r="CL194" s="577"/>
      <c r="CM194" s="577"/>
      <c r="CN194" s="577"/>
      <c r="CO194" s="577"/>
      <c r="CP194" s="577"/>
      <c r="CQ194" s="577"/>
      <c r="CR194" s="577"/>
      <c r="CS194" s="577"/>
      <c r="CT194" s="577"/>
      <c r="CU194" s="577"/>
      <c r="CV194" s="577"/>
      <c r="CW194" s="577"/>
      <c r="CX194" s="577"/>
      <c r="CY194" s="577"/>
      <c r="CZ194" s="577"/>
      <c r="DA194" s="577"/>
      <c r="DB194" s="577"/>
    </row>
    <row r="195" spans="1:106" s="749" customFormat="1" ht="12.75" customHeight="1">
      <c r="A195" s="714"/>
      <c r="B195" s="714"/>
      <c r="C195" s="716"/>
      <c r="D195" s="898"/>
      <c r="E195" s="899"/>
      <c r="F195" s="900"/>
      <c r="G195" s="1494" t="str">
        <f t="shared" ref="G195:AX195" si="989">G190</f>
        <v>Q1</v>
      </c>
      <c r="H195" s="1494" t="str">
        <f t="shared" si="989"/>
        <v>Q2</v>
      </c>
      <c r="I195" s="1494" t="str">
        <f t="shared" si="989"/>
        <v>Q3</v>
      </c>
      <c r="J195" s="1494" t="str">
        <f t="shared" si="989"/>
        <v>Q4</v>
      </c>
      <c r="K195" s="1499" t="str">
        <f t="shared" si="989"/>
        <v>Q1</v>
      </c>
      <c r="L195" s="1494" t="str">
        <f t="shared" si="989"/>
        <v>Q2</v>
      </c>
      <c r="M195" s="1494" t="str">
        <f t="shared" si="989"/>
        <v>Q3</v>
      </c>
      <c r="N195" s="1500" t="str">
        <f t="shared" si="989"/>
        <v>Q4</v>
      </c>
      <c r="O195" s="1499" t="str">
        <f t="shared" si="989"/>
        <v>Q1</v>
      </c>
      <c r="P195" s="1494" t="str">
        <f t="shared" si="989"/>
        <v>Q2</v>
      </c>
      <c r="Q195" s="1494" t="str">
        <f t="shared" si="989"/>
        <v>Q3</v>
      </c>
      <c r="R195" s="1500" t="str">
        <f t="shared" si="989"/>
        <v>Q4</v>
      </c>
      <c r="S195" s="1499" t="str">
        <f t="shared" si="989"/>
        <v>Q1</v>
      </c>
      <c r="T195" s="1494" t="str">
        <f t="shared" si="989"/>
        <v>Q2</v>
      </c>
      <c r="U195" s="1494" t="str">
        <f t="shared" si="989"/>
        <v>Q3</v>
      </c>
      <c r="V195" s="1500" t="str">
        <f t="shared" si="989"/>
        <v>Q4</v>
      </c>
      <c r="W195" s="1499" t="str">
        <f t="shared" si="989"/>
        <v>Q1</v>
      </c>
      <c r="X195" s="1494" t="str">
        <f t="shared" si="989"/>
        <v>Q2</v>
      </c>
      <c r="Y195" s="1494" t="str">
        <f t="shared" si="989"/>
        <v>Q3</v>
      </c>
      <c r="Z195" s="1500" t="str">
        <f t="shared" si="989"/>
        <v>Q4</v>
      </c>
      <c r="AA195" s="1499" t="str">
        <f t="shared" si="989"/>
        <v>Q1</v>
      </c>
      <c r="AB195" s="1494" t="str">
        <f t="shared" si="989"/>
        <v>Q2</v>
      </c>
      <c r="AC195" s="1494" t="str">
        <f t="shared" si="989"/>
        <v>Q3</v>
      </c>
      <c r="AD195" s="1500" t="str">
        <f t="shared" si="989"/>
        <v>Q4</v>
      </c>
      <c r="AE195" s="1499" t="str">
        <f t="shared" si="989"/>
        <v>Q1</v>
      </c>
      <c r="AF195" s="1494" t="str">
        <f t="shared" si="989"/>
        <v>Q2</v>
      </c>
      <c r="AG195" s="1494" t="str">
        <f t="shared" si="989"/>
        <v>Q3</v>
      </c>
      <c r="AH195" s="1500" t="str">
        <f t="shared" si="989"/>
        <v>Q4</v>
      </c>
      <c r="AI195" s="1499" t="str">
        <f t="shared" si="989"/>
        <v>Q1</v>
      </c>
      <c r="AJ195" s="1494" t="str">
        <f t="shared" si="989"/>
        <v>Q2</v>
      </c>
      <c r="AK195" s="1494" t="str">
        <f t="shared" si="989"/>
        <v>Q3</v>
      </c>
      <c r="AL195" s="1500" t="str">
        <f t="shared" si="989"/>
        <v>Q4</v>
      </c>
      <c r="AM195" s="1499" t="str">
        <f t="shared" si="989"/>
        <v>Q1</v>
      </c>
      <c r="AN195" s="1494" t="str">
        <f t="shared" si="989"/>
        <v>Q2</v>
      </c>
      <c r="AO195" s="1494" t="str">
        <f t="shared" si="989"/>
        <v>Q3</v>
      </c>
      <c r="AP195" s="1500" t="str">
        <f t="shared" si="989"/>
        <v>Q4</v>
      </c>
      <c r="AQ195" s="1499" t="str">
        <f t="shared" si="989"/>
        <v>Q1</v>
      </c>
      <c r="AR195" s="1494" t="str">
        <f t="shared" si="989"/>
        <v>Q2</v>
      </c>
      <c r="AS195" s="1494" t="str">
        <f t="shared" si="989"/>
        <v>Q3</v>
      </c>
      <c r="AT195" s="1500" t="str">
        <f t="shared" si="989"/>
        <v>Q4</v>
      </c>
      <c r="AU195" s="1499" t="str">
        <f t="shared" si="989"/>
        <v>Q1</v>
      </c>
      <c r="AV195" s="1494" t="str">
        <f t="shared" si="989"/>
        <v>Q2</v>
      </c>
      <c r="AW195" s="1494" t="str">
        <f t="shared" si="989"/>
        <v>Q3</v>
      </c>
      <c r="AX195" s="1500" t="str">
        <f t="shared" si="989"/>
        <v>Q4</v>
      </c>
      <c r="AY195" s="1499" t="str">
        <f t="shared" ref="AY195:BF195" si="990">AY190</f>
        <v>Q1</v>
      </c>
      <c r="AZ195" s="1494" t="str">
        <f t="shared" si="990"/>
        <v>Q2</v>
      </c>
      <c r="BA195" s="1494" t="str">
        <f t="shared" si="990"/>
        <v>Q3</v>
      </c>
      <c r="BB195" s="1500" t="str">
        <f t="shared" si="990"/>
        <v>Q4</v>
      </c>
      <c r="BC195" s="1499" t="str">
        <f t="shared" si="990"/>
        <v>Q1</v>
      </c>
      <c r="BD195" s="1494" t="str">
        <f t="shared" si="990"/>
        <v>Q2</v>
      </c>
      <c r="BE195" s="1494" t="str">
        <f>BE190</f>
        <v>Q3</v>
      </c>
      <c r="BF195" s="1500" t="str">
        <f t="shared" si="990"/>
        <v>Q4</v>
      </c>
      <c r="BG195" s="1499" t="str">
        <f t="shared" ref="BG195:BN195" si="991">BG190</f>
        <v>Q1</v>
      </c>
      <c r="BH195" s="1494" t="str">
        <f t="shared" si="991"/>
        <v>Q2</v>
      </c>
      <c r="BI195" s="1494" t="str">
        <f t="shared" si="991"/>
        <v>Q3</v>
      </c>
      <c r="BJ195" s="1500" t="str">
        <f t="shared" si="991"/>
        <v>Q4</v>
      </c>
      <c r="BK195" s="1499" t="str">
        <f t="shared" si="991"/>
        <v>Q1</v>
      </c>
      <c r="BL195" s="1494" t="str">
        <f t="shared" si="991"/>
        <v>Q2</v>
      </c>
      <c r="BM195" s="1494" t="str">
        <f t="shared" si="991"/>
        <v>Q3</v>
      </c>
      <c r="BN195" s="1500" t="str">
        <f t="shared" si="991"/>
        <v>Q4</v>
      </c>
      <c r="BO195" s="1499" t="str">
        <f>BO190</f>
        <v>Q1</v>
      </c>
      <c r="BP195" s="1494" t="str">
        <f>BP190</f>
        <v>Q2</v>
      </c>
      <c r="BQ195" s="1494" t="str">
        <f t="shared" ref="BQ195:BV195" si="992">BQ190</f>
        <v>Q3</v>
      </c>
      <c r="BR195" s="1500" t="str">
        <f t="shared" si="992"/>
        <v>Q4</v>
      </c>
      <c r="BS195" s="1499" t="str">
        <f t="shared" si="992"/>
        <v>Q1</v>
      </c>
      <c r="BT195" s="1494" t="str">
        <f t="shared" si="992"/>
        <v>Q2</v>
      </c>
      <c r="BU195" s="1494" t="str">
        <f t="shared" si="992"/>
        <v>Q3</v>
      </c>
      <c r="BV195" s="1500" t="str">
        <f t="shared" si="992"/>
        <v>Q4</v>
      </c>
      <c r="BW195" s="1499" t="str">
        <f t="shared" ref="BW195:CD195" si="993">BW190</f>
        <v>Q1</v>
      </c>
      <c r="BX195" s="1494" t="str">
        <f t="shared" si="993"/>
        <v>Q2</v>
      </c>
      <c r="BY195" s="1494" t="str">
        <f t="shared" si="993"/>
        <v>Q3</v>
      </c>
      <c r="BZ195" s="1500" t="str">
        <f t="shared" si="993"/>
        <v>Q4</v>
      </c>
      <c r="CA195" s="1499" t="str">
        <f>CA190</f>
        <v>Q1</v>
      </c>
      <c r="CB195" s="1494" t="str">
        <f t="shared" si="993"/>
        <v>Q2</v>
      </c>
      <c r="CC195" s="1494" t="str">
        <f t="shared" ref="CC195" si="994">CC190</f>
        <v>Q3</v>
      </c>
      <c r="CD195" s="1500" t="str">
        <f t="shared" si="993"/>
        <v>Q4</v>
      </c>
      <c r="CE195" s="1499" t="str">
        <f>CE190</f>
        <v>Q1</v>
      </c>
      <c r="CF195" s="1494" t="str">
        <f t="shared" ref="CF195:CH195" si="995">CF190</f>
        <v>Q2</v>
      </c>
      <c r="CG195" s="1494" t="str">
        <f t="shared" si="995"/>
        <v>Q3</v>
      </c>
      <c r="CH195" s="1500" t="str">
        <f t="shared" si="995"/>
        <v>Q4</v>
      </c>
      <c r="CI195" s="1499" t="str">
        <f>CI190</f>
        <v>Q1</v>
      </c>
      <c r="CJ195" s="1494" t="str">
        <f t="shared" ref="CJ195:CL195" si="996">CJ190</f>
        <v>Q2</v>
      </c>
      <c r="CK195" s="1494" t="str">
        <f t="shared" si="996"/>
        <v>Q3</v>
      </c>
      <c r="CL195" s="1500" t="str">
        <f t="shared" si="996"/>
        <v>Q4</v>
      </c>
      <c r="CM195" s="1499" t="str">
        <f>CM190</f>
        <v>Q1</v>
      </c>
      <c r="CN195" s="1494" t="str">
        <f t="shared" ref="CN195:CP195" si="997">CN190</f>
        <v>Q2</v>
      </c>
      <c r="CO195" s="1494" t="str">
        <f t="shared" si="997"/>
        <v>Q3</v>
      </c>
      <c r="CP195" s="1500" t="str">
        <f t="shared" si="997"/>
        <v>Q4</v>
      </c>
      <c r="CQ195" s="1499" t="str">
        <f>CQ190</f>
        <v>Q1</v>
      </c>
      <c r="CR195" s="1494" t="str">
        <f t="shared" ref="CR195:CS195" si="998">CR190</f>
        <v>Q2</v>
      </c>
      <c r="CS195" s="1494" t="str">
        <f t="shared" si="998"/>
        <v>Q3</v>
      </c>
      <c r="CT195" s="1500" t="str">
        <f t="shared" ref="CT195" si="999">CT190</f>
        <v>Q4</v>
      </c>
      <c r="CU195" s="1499" t="str">
        <f t="shared" ref="CU195:CX195" si="1000">CU190</f>
        <v>Q1</v>
      </c>
      <c r="CV195" s="1494" t="str">
        <f t="shared" si="1000"/>
        <v>Q2</v>
      </c>
      <c r="CW195" s="1494" t="str">
        <f t="shared" si="1000"/>
        <v>Q3</v>
      </c>
      <c r="CX195" s="1500" t="str">
        <f t="shared" si="1000"/>
        <v>Q4</v>
      </c>
      <c r="CY195" s="1499" t="str">
        <f t="shared" ref="CY195:DB195" si="1001">CY190</f>
        <v>Q1</v>
      </c>
      <c r="CZ195" s="1494" t="str">
        <f t="shared" si="1001"/>
        <v>Q2</v>
      </c>
      <c r="DA195" s="1494" t="str">
        <f t="shared" si="1001"/>
        <v>Q3</v>
      </c>
      <c r="DB195" s="1500" t="str">
        <f t="shared" si="1001"/>
        <v>Q4</v>
      </c>
    </row>
    <row r="196" spans="1:106" s="749" customFormat="1" ht="12.75" customHeight="1">
      <c r="A196" s="714"/>
      <c r="B196" s="714"/>
      <c r="C196" s="902"/>
      <c r="D196" s="903"/>
      <c r="E196" s="904" t="s">
        <v>676</v>
      </c>
      <c r="F196" s="905"/>
      <c r="G196" s="755"/>
      <c r="H196" s="755"/>
      <c r="I196" s="755"/>
      <c r="J196" s="755"/>
      <c r="K196" s="1469">
        <f t="shared" ref="K196:AX196" si="1002">(K186/G186-1)*100</f>
        <v>1.5212371171074102</v>
      </c>
      <c r="L196" s="1469">
        <f t="shared" si="1002"/>
        <v>2.7464566929134016</v>
      </c>
      <c r="M196" s="1469">
        <f t="shared" si="1002"/>
        <v>3.4248794183284081</v>
      </c>
      <c r="N196" s="1469">
        <f t="shared" si="1002"/>
        <v>3.6071447670998458</v>
      </c>
      <c r="O196" s="1469">
        <f t="shared" si="1002"/>
        <v>4.5174537987679564</v>
      </c>
      <c r="P196" s="1469">
        <f t="shared" si="1002"/>
        <v>4.9642222163833294</v>
      </c>
      <c r="Q196" s="1469">
        <f t="shared" si="1002"/>
        <v>5.1098891537752156</v>
      </c>
      <c r="R196" s="1469">
        <f t="shared" si="1002"/>
        <v>4.9405975516384038</v>
      </c>
      <c r="S196" s="1469">
        <f t="shared" si="1002"/>
        <v>3.7997086918230449</v>
      </c>
      <c r="T196" s="1469">
        <f t="shared" si="1002"/>
        <v>3.1365513788643717</v>
      </c>
      <c r="U196" s="1469">
        <f t="shared" si="1002"/>
        <v>3.3243106773614084</v>
      </c>
      <c r="V196" s="1469">
        <f t="shared" si="1002"/>
        <v>2.1822534102833302</v>
      </c>
      <c r="W196" s="1469">
        <f t="shared" si="1002"/>
        <v>1.8470324291250284</v>
      </c>
      <c r="X196" s="1469">
        <f t="shared" si="1002"/>
        <v>2.6973237112067672</v>
      </c>
      <c r="Y196" s="1469">
        <f t="shared" si="1002"/>
        <v>3.5818719306538238</v>
      </c>
      <c r="Z196" s="1469">
        <f t="shared" si="1002"/>
        <v>5.1417614684787338</v>
      </c>
      <c r="AA196" s="1469">
        <f t="shared" si="1002"/>
        <v>7.5096724581260599</v>
      </c>
      <c r="AB196" s="1469">
        <f t="shared" si="1002"/>
        <v>7.0294159353385011</v>
      </c>
      <c r="AC196" s="1469">
        <f t="shared" si="1002"/>
        <v>6.2562841276470715</v>
      </c>
      <c r="AD196" s="1469">
        <f t="shared" si="1002"/>
        <v>5.7311815649917941</v>
      </c>
      <c r="AE196" s="1469">
        <f t="shared" si="1002"/>
        <v>3.4661063674430448</v>
      </c>
      <c r="AF196" s="1469">
        <f t="shared" si="1002"/>
        <v>1.3160509638527662</v>
      </c>
      <c r="AG196" s="1469">
        <f t="shared" si="1002"/>
        <v>8.0068130700294837E-2</v>
      </c>
      <c r="AH196" s="1469">
        <f t="shared" si="1002"/>
        <v>-1.4484072571915196</v>
      </c>
      <c r="AI196" s="1469">
        <f t="shared" si="1002"/>
        <v>-0.3413362522143748</v>
      </c>
      <c r="AJ196" s="1469">
        <f t="shared" si="1002"/>
        <v>1.2379312599437808</v>
      </c>
      <c r="AK196" s="1469">
        <f t="shared" si="1002"/>
        <v>1.7004502047377024</v>
      </c>
      <c r="AL196" s="1469">
        <f t="shared" si="1002"/>
        <v>2.8229556455451332</v>
      </c>
      <c r="AM196" s="1469">
        <f t="shared" si="1002"/>
        <v>1.0094514133764942</v>
      </c>
      <c r="AN196" s="1469">
        <f t="shared" si="1002"/>
        <v>0.65086506928446752</v>
      </c>
      <c r="AO196" s="1469">
        <f t="shared" si="1002"/>
        <v>0.75662764336950072</v>
      </c>
      <c r="AP196" s="1469">
        <f t="shared" si="1002"/>
        <v>1.3517170652499244</v>
      </c>
      <c r="AQ196" s="1469">
        <f t="shared" si="1002"/>
        <v>3.5231670589245256</v>
      </c>
      <c r="AR196" s="1469">
        <f t="shared" si="1002"/>
        <v>4.3754456010266729</v>
      </c>
      <c r="AS196" s="1469">
        <f t="shared" si="1002"/>
        <v>4.9869045844600945</v>
      </c>
      <c r="AT196" s="1469">
        <f t="shared" si="1002"/>
        <v>4.4788914497723376</v>
      </c>
      <c r="AU196" s="1469">
        <f t="shared" si="1002"/>
        <v>3.7460093702060604</v>
      </c>
      <c r="AV196" s="1469">
        <f t="shared" si="1002"/>
        <v>3.7794490324255303</v>
      </c>
      <c r="AW196" s="1469">
        <f t="shared" si="1002"/>
        <v>2.951019166413138</v>
      </c>
      <c r="AX196" s="1469">
        <f t="shared" si="1002"/>
        <v>2.861062911101242</v>
      </c>
      <c r="AY196" s="1469">
        <f t="shared" ref="AY196:BF196" si="1003">(AY186/AU186-1)*100</f>
        <v>3.2157724714423797</v>
      </c>
      <c r="AZ196" s="1469">
        <f t="shared" si="1003"/>
        <v>2.5314289475416363</v>
      </c>
      <c r="BA196" s="1469">
        <f t="shared" si="1003"/>
        <v>3.0417651694247372</v>
      </c>
      <c r="BB196" s="1469">
        <f t="shared" si="1003"/>
        <v>3.3182947561134934</v>
      </c>
      <c r="BC196" s="1469">
        <f t="shared" si="1003"/>
        <v>3.8918967753592826</v>
      </c>
      <c r="BD196" s="1469">
        <f t="shared" si="1003"/>
        <v>4.2554693919474085</v>
      </c>
      <c r="BE196" s="1469">
        <f t="shared" si="1003"/>
        <v>4.2820179463648467</v>
      </c>
      <c r="BF196" s="1469">
        <f t="shared" si="1003"/>
        <v>4.1255577002183408</v>
      </c>
      <c r="BG196" s="1470">
        <f t="shared" ref="BG196:BN196" si="1004">(BG186/BC186-1)*100</f>
        <v>3.4864653341118323</v>
      </c>
      <c r="BH196" s="1470">
        <f t="shared" si="1004"/>
        <v>4.0737662017794829</v>
      </c>
      <c r="BI196" s="1470">
        <f t="shared" si="1004"/>
        <v>2.7543680598419717</v>
      </c>
      <c r="BJ196" s="1470">
        <f t="shared" si="1004"/>
        <v>-2.6875904068459966</v>
      </c>
      <c r="BK196" s="1470">
        <f t="shared" si="1004"/>
        <v>-6.581356125492932</v>
      </c>
      <c r="BL196" s="1470">
        <f t="shared" si="1004"/>
        <v>-7.4215630010471934</v>
      </c>
      <c r="BM196" s="1470">
        <f t="shared" si="1004"/>
        <v>-5.2171430610569836</v>
      </c>
      <c r="BN196" s="1470">
        <f t="shared" si="1004"/>
        <v>0.96682322374337382</v>
      </c>
      <c r="BO196" s="1470">
        <f>(BO186/BK186-1)*100</f>
        <v>4.4326081648912163</v>
      </c>
      <c r="BP196" s="1470">
        <f>(BP186/BL186-1)*100</f>
        <v>6.2622621854969251</v>
      </c>
      <c r="BQ196" s="1470">
        <f t="shared" ref="BQ196:BV196" si="1005">(BQ186/BM186-1)*100</f>
        <v>5.2332367004254143</v>
      </c>
      <c r="BR196" s="1470">
        <f t="shared" si="1005"/>
        <v>4.2997649387603643</v>
      </c>
      <c r="BS196" s="1470">
        <f t="shared" si="1005"/>
        <v>5.4066358641819745</v>
      </c>
      <c r="BT196" s="1470">
        <f t="shared" si="1005"/>
        <v>3.8021121508816647</v>
      </c>
      <c r="BU196" s="1470">
        <f t="shared" si="1005"/>
        <v>3.635528842140423</v>
      </c>
      <c r="BV196" s="1470">
        <f t="shared" si="1005"/>
        <v>1.8201659440961748</v>
      </c>
      <c r="BW196" s="1470">
        <f t="shared" ref="BW196:CH196" si="1006">(BW186/BS186-1)*100</f>
        <v>1.4831114405617241</v>
      </c>
      <c r="BX196" s="1470">
        <f t="shared" si="1006"/>
        <v>0.52781608129872648</v>
      </c>
      <c r="BY196" s="1470">
        <f t="shared" si="1006"/>
        <v>-0.43900277900842388</v>
      </c>
      <c r="BZ196" s="1470">
        <f t="shared" si="1006"/>
        <v>0.69664492078282958</v>
      </c>
      <c r="CA196" s="1470">
        <f t="shared" si="1006"/>
        <v>-0.73215620866166065</v>
      </c>
      <c r="CB196" s="1470">
        <f t="shared" si="1006"/>
        <v>-0.17117267692166038</v>
      </c>
      <c r="CC196" s="1470">
        <f t="shared" si="1006"/>
        <v>1.0246185852981871</v>
      </c>
      <c r="CD196" s="1470">
        <f t="shared" si="1006"/>
        <v>1.7353478794049026</v>
      </c>
      <c r="CE196" s="1470">
        <f t="shared" si="1006"/>
        <v>2.6848670602617641</v>
      </c>
      <c r="CF196" s="1470">
        <f t="shared" si="1006"/>
        <v>3.1833822137034451</v>
      </c>
      <c r="CG196" s="1470">
        <f t="shared" si="1006"/>
        <v>4.05805060264397</v>
      </c>
      <c r="CH196" s="1470">
        <f t="shared" si="1006"/>
        <v>3.2403511564966125</v>
      </c>
      <c r="CI196" s="1470">
        <f t="shared" ref="CI196" si="1007">(CI186/CE186-1)*100</f>
        <v>3.5676602851645534</v>
      </c>
      <c r="CJ196" s="1470">
        <f t="shared" ref="CJ196:CS196" si="1008">(CJ186/CF186-1)*100</f>
        <v>2.217920168302312</v>
      </c>
      <c r="CK196" s="1470">
        <f t="shared" si="1008"/>
        <v>0.35457678923846991</v>
      </c>
      <c r="CL196" s="1470">
        <f t="shared" si="1008"/>
        <v>2.4254440313919989</v>
      </c>
      <c r="CM196" s="1470">
        <f t="shared" si="1008"/>
        <v>1.3276746897370906</v>
      </c>
      <c r="CN196" s="1470">
        <f t="shared" si="1008"/>
        <v>4.724943894028133</v>
      </c>
      <c r="CO196" s="1470">
        <f t="shared" si="1008"/>
        <v>6.4085849511371862</v>
      </c>
      <c r="CP196" s="1470">
        <f t="shared" si="1008"/>
        <v>5.1468176514552599</v>
      </c>
      <c r="CQ196" s="1470">
        <f t="shared" si="1008"/>
        <v>5.1271298073562788</v>
      </c>
      <c r="CR196" s="1470">
        <f t="shared" si="1008"/>
        <v>2.8088771808782997</v>
      </c>
      <c r="CS196" s="1470">
        <f t="shared" si="1008"/>
        <v>1.2401480558658751</v>
      </c>
      <c r="CT196" s="1470">
        <f t="shared" ref="CT196" si="1009">(CT186/CP186-1)*100</f>
        <v>1.6266856216537118</v>
      </c>
      <c r="CU196" s="1470">
        <f t="shared" ref="CU196" si="1010">(CU186/CQ186-1)*100</f>
        <v>2.6222461348049064</v>
      </c>
      <c r="CV196" s="1470">
        <f t="shared" ref="CV196" si="1011">(CV186/CR186-1)*100</f>
        <v>3.0440832173100008</v>
      </c>
      <c r="CW196" s="1470">
        <f t="shared" ref="CW196" si="1012">(CW186/CS186-1)*100</f>
        <v>4.0108572098741746</v>
      </c>
      <c r="CX196" s="1470">
        <f t="shared" ref="CX196" si="1013">(CX186/CT186-1)*100</f>
        <v>3.8269707515250273</v>
      </c>
      <c r="CY196" s="1470">
        <f t="shared" ref="CY196" si="1014">(CY186/CU186-1)*100</f>
        <v>3.6110001556301174</v>
      </c>
      <c r="CZ196" s="1470">
        <f t="shared" ref="CZ196" si="1015">(CZ186/CV186-1)*100</f>
        <v>3.2556239947517884</v>
      </c>
      <c r="DA196" s="1470">
        <f t="shared" ref="DA196" si="1016">(DA186/CW186-1)*100</f>
        <v>2.9101980707288533</v>
      </c>
      <c r="DB196" s="1470">
        <f t="shared" ref="DB196" si="1017">(DB186/CX186-1)*100</f>
        <v>2.5744068533480435</v>
      </c>
    </row>
    <row r="197" spans="1:106" s="749" customFormat="1" ht="12.75" customHeight="1">
      <c r="A197" s="714"/>
      <c r="B197" s="714"/>
      <c r="C197" s="986"/>
      <c r="D197" s="724"/>
      <c r="E197" s="830" t="s">
        <v>569</v>
      </c>
      <c r="F197" s="754"/>
      <c r="G197" s="755"/>
      <c r="H197" s="755"/>
      <c r="I197" s="755"/>
      <c r="J197" s="755"/>
      <c r="K197" s="1469">
        <f>(4*K186/J187-1)*100</f>
        <v>1.3905029411896752</v>
      </c>
      <c r="L197" s="1469">
        <f>((K186+3*L186)/J187-1)*100</f>
        <v>2.1934409899986296</v>
      </c>
      <c r="M197" s="1469">
        <f>((K186+L186+2*M186)/J187-1)*100</f>
        <v>2.5331024054489504</v>
      </c>
      <c r="N197" s="1532"/>
      <c r="O197" s="1469">
        <f>(4*O186/N187-1)*100</f>
        <v>3.0580185715282981</v>
      </c>
      <c r="P197" s="1469">
        <f>((O186+3*P186)/N187-1)*100</f>
        <v>4.2080482440829181</v>
      </c>
      <c r="Q197" s="1469">
        <f>((O186+P186+2*Q186)/N187-1)*100</f>
        <v>4.6278276199120283</v>
      </c>
      <c r="R197" s="1532"/>
      <c r="S197" s="1469">
        <f>(4*S186/R187-1)*100</f>
        <v>1.9919954069278711</v>
      </c>
      <c r="T197" s="1469">
        <f>((S186+3*T186)/R187-1)*100</f>
        <v>2.6341518210033055</v>
      </c>
      <c r="U197" s="1469">
        <f>((S186+T186+2*U186)/R187-1)*100</f>
        <v>3.1413035338364592</v>
      </c>
      <c r="V197" s="1532"/>
      <c r="W197" s="1469">
        <f>(4*W186/V187-1)*100</f>
        <v>0.74811156304472881</v>
      </c>
      <c r="X197" s="1469">
        <f>((W186+3*X186)/V187-1)*100</f>
        <v>2.0185696300600409</v>
      </c>
      <c r="Y197" s="1469">
        <f>((W186+X186+2*Y186)/V187-1)*100</f>
        <v>2.9692443024081472</v>
      </c>
      <c r="Z197" s="1532"/>
      <c r="AA197" s="1469">
        <f>(4*AA186/Z187-1)*100</f>
        <v>4.8288897654092944</v>
      </c>
      <c r="AB197" s="1469">
        <f>((AA186+3*AB186)/Z187-1)*100</f>
        <v>5.7936913962579606</v>
      </c>
      <c r="AC197" s="1469">
        <f>((AA186+AB186+2*AC186)/Z187-1)*100</f>
        <v>6.3880763718303868</v>
      </c>
      <c r="AD197" s="1532"/>
      <c r="AE197" s="1469">
        <f>(4*AE186/AD187-1)*100</f>
        <v>1.728861735015319</v>
      </c>
      <c r="AF197" s="1469">
        <f>((AE186+3*AF186)/AD187-1)*100</f>
        <v>1.0602098076275102</v>
      </c>
      <c r="AG197" s="1469">
        <f>((AE186+AF186+2*AG186)/AD187-1)*100</f>
        <v>1.0030694621481873</v>
      </c>
      <c r="AH197" s="1532"/>
      <c r="AI197" s="1469">
        <f>(4*AI186/AH187-1)*100</f>
        <v>0.54507444143945261</v>
      </c>
      <c r="AJ197" s="1469">
        <f>((AI186+3*AJ186)/AH187-1)*100</f>
        <v>1.0687164323324838</v>
      </c>
      <c r="AK197" s="1469">
        <f>((AI186+AJ186+2*AK186)/AH187-1)*100</f>
        <v>1.2423556079459663</v>
      </c>
      <c r="AL197" s="1532"/>
      <c r="AM197" s="1469">
        <f>(4*AM186/AL187-1)*100</f>
        <v>0.20896431835695228</v>
      </c>
      <c r="AN197" s="1469">
        <f>((AM186+3*AN186)/AL187-1)*100</f>
        <v>0.46219466298678125</v>
      </c>
      <c r="AO197" s="1469">
        <f>((AM186+AN186+2*AO186)/AL187-1)*100</f>
        <v>0.68764673202028614</v>
      </c>
      <c r="AP197" s="1532"/>
      <c r="AQ197" s="1469">
        <f>(4*AQ186/AP187-1)*100</f>
        <v>2.770705725699063</v>
      </c>
      <c r="AR197" s="1469">
        <f>((AQ186+3*AR186)/AP187-1)*100</f>
        <v>3.6671105193075926</v>
      </c>
      <c r="AS197" s="1469">
        <f>((AQ186+AR186+2*AS186)/AP187-1)*100</f>
        <v>4.2061251664447408</v>
      </c>
      <c r="AT197" s="1532"/>
      <c r="AU197" s="1469">
        <f>(4*AU186/AT187-1)*100</f>
        <v>2.1827017314603125</v>
      </c>
      <c r="AV197" s="1469">
        <f>((AU186+3*AV186)/AT187-1)*100</f>
        <v>3.0989668409016513</v>
      </c>
      <c r="AW197" s="1469">
        <f>((AU186+AV186+2*AW186)/AT187-1)*100</f>
        <v>3.2180727975607226</v>
      </c>
      <c r="AX197" s="1532"/>
      <c r="AY197" s="1469">
        <f>(4*AY186/AX187-1)*100</f>
        <v>2.0693743464765157</v>
      </c>
      <c r="AZ197" s="1469">
        <f>((AY186+3*AZ186)/AX187-1)*100</f>
        <v>2.4709979663584569</v>
      </c>
      <c r="BA197" s="1469">
        <f>((AY186+AZ186+2*BA186)/AX187-1)*100</f>
        <v>2.8451221419926398</v>
      </c>
      <c r="BB197" s="1532"/>
      <c r="BC197" s="1469">
        <f>(4*BC186/BB187-1)*100</f>
        <v>2.9264815412696432</v>
      </c>
      <c r="BD197" s="1469">
        <f>((BC186+3*BD186)/BB187-1)*100</f>
        <v>3.6030405999367243</v>
      </c>
      <c r="BE197" s="1469">
        <f>((BC186+BD186+2*BE186)/BB187-1)*100</f>
        <v>3.9949429887512045</v>
      </c>
      <c r="BF197" s="1532"/>
      <c r="BG197" s="1469">
        <f>(4*BG186/BF187-1)*100</f>
        <v>2.2812801198347499</v>
      </c>
      <c r="BH197" s="1469">
        <f>((BG186+3*BH186)/BF187-1)*100</f>
        <v>3.3927595754216</v>
      </c>
      <c r="BI197" s="1469">
        <f>((BG186+BH186+2*BI186)/BF187-1)*100</f>
        <v>3.1217194320128261</v>
      </c>
      <c r="BJ197" s="1532"/>
      <c r="BK197" s="1469">
        <f>(4*BK186/BJ187-1)*100</f>
        <v>-6.2225288381299038</v>
      </c>
      <c r="BL197" s="1469">
        <f>((BK186+3*BL186)/BJ187-1)*100</f>
        <v>-5.8452004735809808</v>
      </c>
      <c r="BM197" s="1469">
        <f>((BK186+BL186+2*BM186)/BJ187-1)*100</f>
        <v>-4.9748598387052922</v>
      </c>
      <c r="BN197" s="1532"/>
      <c r="BO197" s="1469">
        <f>(4*BO186/BN187-1)*100</f>
        <v>2.6880098555623011</v>
      </c>
      <c r="BP197" s="1469">
        <f>((BO186+3*BP186)/BN187-1)*100</f>
        <v>4.4577466457130566</v>
      </c>
      <c r="BQ197" s="1469">
        <f>((BO186+BP186+2*BQ186)/BN187-1)*100</f>
        <v>4.9094599183441279</v>
      </c>
      <c r="BR197" s="1532"/>
      <c r="BS197" s="1469">
        <f>(4*BS186/BR187-1)*100</f>
        <v>3.0342758000643455</v>
      </c>
      <c r="BT197" s="1469">
        <f>((BS186+3*BT186)/BR187-1)*100</f>
        <v>3.6066416691974856</v>
      </c>
      <c r="BU197" s="1469">
        <f>((BS186+BT186+2*BU186)/BR187-1)*100</f>
        <v>3.9689746727727071</v>
      </c>
      <c r="BV197" s="1532"/>
      <c r="BW197" s="1469">
        <f>(4*BW186/BV187-1)*100</f>
        <v>0.88046300459814208</v>
      </c>
      <c r="BX197" s="1469">
        <f>((BW186+3*BX186)/BV187-1)*100</f>
        <v>0.72337215880244887</v>
      </c>
      <c r="BY197" s="1469">
        <f>((BW186+BX186+2*BY186)/BV187-1)*100</f>
        <v>0.58731379005236839</v>
      </c>
      <c r="BZ197" s="1532"/>
      <c r="CA197" s="1469">
        <f>(4*CA186/BZ187-1)*100</f>
        <v>-0.41930202871792721</v>
      </c>
      <c r="CB197" s="1469">
        <f>((CA186+3*CB186)/BZ187-1)*100</f>
        <v>-0.1531815460950825</v>
      </c>
      <c r="CC197" s="1469">
        <f>((CA186+CB186+2*CC186)/BZ187-1)*100</f>
        <v>0.30867091209372255</v>
      </c>
      <c r="CD197" s="1532"/>
      <c r="CE197" s="1469">
        <f>(4*CE186/CD187-1)*100</f>
        <v>1.7840682959606502</v>
      </c>
      <c r="CF197" s="1469">
        <f>((CE186+3*CF186)/CD187-1)*100</f>
        <v>2.4280041005142916</v>
      </c>
      <c r="CG197" s="1469">
        <f>((CE186+CF186+2*CG186)/CD187-1)*100</f>
        <v>3.3414309875979598</v>
      </c>
      <c r="CH197" s="1532"/>
      <c r="CI197" s="1469">
        <f>(4*CI186/CH187-1)*100</f>
        <v>2.0539614894382829</v>
      </c>
      <c r="CJ197" s="1469">
        <f>((CI186+3*CJ186)/CH187-1)*100</f>
        <v>1.693680770711592</v>
      </c>
      <c r="CK197" s="1469">
        <f>((CI186+CJ186+2*CK186)/CH187-1)*100</f>
        <v>1.6553175460323866</v>
      </c>
      <c r="CL197" s="1532"/>
      <c r="CM197" s="1469">
        <f>(4*CM186/CL187-1)*100</f>
        <v>1.2505869143615289</v>
      </c>
      <c r="CN197" s="1469">
        <f>((CM186+3*CN186)/CL187-1)*100</f>
        <v>3.4271715831377003</v>
      </c>
      <c r="CO197" s="1469">
        <f>((CM186+CN186+2*CO186)/CL187-1)*100</f>
        <v>4.2244224422442134</v>
      </c>
      <c r="CP197" s="1532"/>
      <c r="CQ197" s="1469">
        <f>(4*CQ186/CP187-1)*100</f>
        <v>1.9544657580675473</v>
      </c>
      <c r="CR197" s="1469">
        <f>((CQ186+3*CR186)/CP187-1)*100</f>
        <v>2.4116331971086424</v>
      </c>
      <c r="CS197" s="1469">
        <f>((CQ186+CR186+2*CS186)/CP187-1)*100</f>
        <v>2.4022473814225842</v>
      </c>
      <c r="CT197" s="1532"/>
      <c r="CU197" s="1469">
        <f>(4*CU186/CT187-1)*100</f>
        <v>1.9047119214337105</v>
      </c>
      <c r="CV197" s="1469">
        <f>((CU186+3*CV186)/CT187-1)*100</f>
        <v>2.6777002692127683</v>
      </c>
      <c r="CW197" s="1469">
        <f>((CU186+CV186+2*CW186)/CT187-1)*100</f>
        <v>3.1510690760075954</v>
      </c>
      <c r="CX197" s="1532"/>
      <c r="CY197" s="1469">
        <f>(4*CY186/CX187-1)*100</f>
        <v>2.1341002506012341</v>
      </c>
      <c r="CZ197" s="1469">
        <f>((CY186+3*CZ186)/CX187-1)*100</f>
        <v>2.6434384567434632</v>
      </c>
      <c r="DA197" s="1469">
        <f>((CY186+CZ186+2*DA186)/CX187-1)*100</f>
        <v>2.9426908896194925</v>
      </c>
      <c r="DB197" s="1532"/>
    </row>
    <row r="198" spans="1:106">
      <c r="C198" s="1460"/>
      <c r="D198" s="872"/>
      <c r="E198" s="1467" t="s">
        <v>568</v>
      </c>
      <c r="F198" s="872"/>
      <c r="G198" s="919"/>
      <c r="H198" s="919"/>
      <c r="I198" s="919"/>
      <c r="J198" s="919"/>
      <c r="K198" s="1531"/>
      <c r="L198" s="926">
        <f>(4*L186/(K186+3*L186)-1)*100</f>
        <v>0.26190136438977163</v>
      </c>
      <c r="M198" s="926">
        <f>(4*M186/(K186+L186+2*M186)-1)*100</f>
        <v>0.59230377065788709</v>
      </c>
      <c r="N198" s="926">
        <f>+(4*N186/N187-1)*100</f>
        <v>1.4461006772324092</v>
      </c>
      <c r="O198" s="1531"/>
      <c r="P198" s="926">
        <f>(4*P186/(O186+3*P186)-1)*100</f>
        <v>0.36786335666416647</v>
      </c>
      <c r="Q198" s="926">
        <f>(4*Q186/(O186+P186+2*Q186)-1)*100</f>
        <v>0.76759942195445685</v>
      </c>
      <c r="R198" s="926">
        <f>+(4*R186/R187-1)*100</f>
        <v>1.5002371423103344</v>
      </c>
      <c r="S198" s="1531"/>
      <c r="T198" s="926">
        <f>(4*T186/(S186+3*T186)-1)*100</f>
        <v>0.20855839330991</v>
      </c>
      <c r="U198" s="926">
        <f>(4*U186/(S186+T186+2*U186)-1)*100</f>
        <v>0.69923864266625557</v>
      </c>
      <c r="V198" s="926">
        <f>+(4*V186/V187-1)*100</f>
        <v>0.5923558654528982</v>
      </c>
      <c r="W198" s="1531"/>
      <c r="X198" s="926">
        <f>(4*X186/(W186+3*X186)-1)*100</f>
        <v>0.41510680249103871</v>
      </c>
      <c r="Y198" s="926">
        <f>(4*Y186/(W186+X186+2*Y186)-1)*100</f>
        <v>1.3345350876333706</v>
      </c>
      <c r="Z198" s="926">
        <f>+(4*Z186/Z187-1)*100</f>
        <v>2.3615282176651986</v>
      </c>
      <c r="AA198" s="1531"/>
      <c r="AB198" s="926">
        <f>(4*AB186/(AA186+3*AB186)-1)*100</f>
        <v>0.30398839417713486</v>
      </c>
      <c r="AC198" s="926">
        <f>(4*AC186/(AA186+AB186+2*AC186)-1)*100</f>
        <v>0.86098513144201583</v>
      </c>
      <c r="AD198" s="926">
        <f>+(4*AD186/AD187-1)*100</f>
        <v>1.50909117547946</v>
      </c>
      <c r="AE198" s="1531"/>
      <c r="AF198" s="926">
        <f>(4*AF186/(AE186+3*AF186)-1)*100</f>
        <v>-0.22054572835362718</v>
      </c>
      <c r="AG198" s="926">
        <f>(4*AG186/(AE186+AF186+2*AG186)-1)*100</f>
        <v>-0.27724337761853013</v>
      </c>
      <c r="AH198" s="926">
        <f>+(4*AH186/AH187-1)*100</f>
        <v>-0.78664358742895901</v>
      </c>
      <c r="AI198" s="1531"/>
      <c r="AJ198" s="926">
        <f>(4*AJ186/(AI186+3*AJ186)-1)*100</f>
        <v>0.17270163949745232</v>
      </c>
      <c r="AK198" s="926">
        <f>(4*AK186/(AI186+AJ186+2*AK186)-1)*100</f>
        <v>0.3439138726280877</v>
      </c>
      <c r="AL198" s="926">
        <f>+(4*AL186/AL187-1)*100</f>
        <v>0.65700102152366213</v>
      </c>
      <c r="AM198" s="1531"/>
      <c r="AN198" s="926">
        <f>(4*AN186/(AM186+3*AN186)-1)*100</f>
        <v>8.4021770736519841E-2</v>
      </c>
      <c r="AO198" s="926">
        <f>(4*AO186/(AM186+AN186+2*AO186)-1)*100</f>
        <v>0.30774597874434484</v>
      </c>
      <c r="AP198" s="926">
        <f>+(4*AP186/AP187-1)*100</f>
        <v>1.0648912561029844</v>
      </c>
      <c r="AQ198" s="1531"/>
      <c r="AR198" s="926">
        <f>(4*AR186/(AQ186+3*AR186)-1)*100</f>
        <v>0.28823181853212532</v>
      </c>
      <c r="AS198" s="926">
        <f>(4*AS186/(AQ186+AR186+2*AS186)-1)*100</f>
        <v>0.80399903908567882</v>
      </c>
      <c r="AT198" s="926">
        <f>+(4*AT186/AT187-1)*100</f>
        <v>1.1965044103234401</v>
      </c>
      <c r="AU198" s="1531"/>
      <c r="AV198" s="926">
        <f>(4*AV186/(AU186+3*AV186)-1)*100</f>
        <v>0.29624128398730853</v>
      </c>
      <c r="AW198" s="926">
        <f>(4*AW186/(AU186+AV186+2*AW186)-1)*100</f>
        <v>0.41129198433957903</v>
      </c>
      <c r="AX198" s="926">
        <f>+(4*AX186/AX187-1)*100</f>
        <v>0.73688630544141986</v>
      </c>
      <c r="AY198" s="1531"/>
      <c r="AZ198" s="926">
        <f>(4*AZ186/(AY186+3*AZ186)-1)*100</f>
        <v>0.13064627320658051</v>
      </c>
      <c r="BA198" s="926">
        <f>(4*BA186/(AY186+AZ186+2*BA186)-1)*100</f>
        <v>0.49394536660032351</v>
      </c>
      <c r="BB198" s="926">
        <f>+(4*BB186/BB187-1)*100</f>
        <v>1.0219510090047956</v>
      </c>
      <c r="BC198" s="1531"/>
      <c r="BD198" s="926">
        <f>(4*BD186/(BC186+3*BD186)-1)*100</f>
        <v>0.21767670612409251</v>
      </c>
      <c r="BE198" s="926">
        <f>(4*BE186/(BC186+BD186+2*BE186)-1)*100</f>
        <v>0.59370394106914581</v>
      </c>
      <c r="BF198" s="926">
        <f>+(4*BF186/BF187-1)*100</f>
        <v>1.0086499561056117</v>
      </c>
      <c r="BG198" s="1519">
        <f>(4*BG186/BF187-1)*100</f>
        <v>2.2812801198347499</v>
      </c>
      <c r="BH198" s="1519">
        <f>((BG186+3*BH186)/BF187-1)*100</f>
        <v>3.3927595754216</v>
      </c>
      <c r="BI198" s="1519">
        <f>((BG186+BH186+2*BI186)/BF187-1)*100</f>
        <v>3.1217194320128261</v>
      </c>
      <c r="BJ198" s="1519">
        <f>+(4*BJ186/BJ187-1)*100</f>
        <v>-3.5292629067388948</v>
      </c>
      <c r="BK198" s="1519">
        <f>(4*BK186/BJ187-1)*100</f>
        <v>-6.2225288381299038</v>
      </c>
      <c r="BL198" s="1519">
        <f>((BK186+3*BL186)/BJ187-1)*100</f>
        <v>-5.8452004735809808</v>
      </c>
      <c r="BM198" s="1519">
        <f>((BK186+BL186+2*BM186)/BJ187-1)*100</f>
        <v>-4.9748598387052922</v>
      </c>
      <c r="BN198" s="1519">
        <f>+(4*BN186/BN187-1)*100</f>
        <v>2.131423291663026</v>
      </c>
      <c r="BO198" s="1519">
        <f>(4*BO186/BN187-1)*100</f>
        <v>2.6880098555623011</v>
      </c>
      <c r="BP198" s="1519">
        <f>((BO186+3*BP186)/BN187-1)*100</f>
        <v>4.4577466457130566</v>
      </c>
      <c r="BQ198" s="1519">
        <f>((BO186+BP186+2*BQ186)/BN187-1)*100</f>
        <v>4.9094599183441279</v>
      </c>
      <c r="BR198" s="1519">
        <f>+(4*BR186/BR187-1)*100</f>
        <v>1.3997179515706559</v>
      </c>
      <c r="BS198" s="1519">
        <f>(4*BS186/BR187-1)*100</f>
        <v>3.0342758000643455</v>
      </c>
      <c r="BT198" s="1519">
        <f>((BS186+3*BT186)/BR187-1)*100</f>
        <v>3.6066416691974856</v>
      </c>
      <c r="BU198" s="1519">
        <f>((BS186+BT186+2*BU186)/BR187-1)*100</f>
        <v>3.9689746727727071</v>
      </c>
      <c r="BV198" s="1519">
        <f>+(4*BV186/BV187-1)*100</f>
        <v>-0.39018871208713612</v>
      </c>
      <c r="BW198" s="1519">
        <f>(4*BW186/BV187-1)*100</f>
        <v>0.88046300459814208</v>
      </c>
      <c r="BX198" s="1519">
        <f>((BW186+3*BX186)/BV187-1)*100</f>
        <v>0.72337215880244887</v>
      </c>
      <c r="BY198" s="1519">
        <f>((BW186+BX186+2*BY186)/BV187-1)*100</f>
        <v>0.58731379005236839</v>
      </c>
      <c r="BZ198" s="1519">
        <f>+(4*BZ186/BZ187-1)*100</f>
        <v>-0.25833159044850174</v>
      </c>
      <c r="CA198" s="1519">
        <f>(4*CA186/BZ187-1)*100</f>
        <v>-0.41930202871792721</v>
      </c>
      <c r="CB198" s="1519">
        <f>((CA186+3*CB186)/BZ187-1)*100</f>
        <v>-0.1531815460950825</v>
      </c>
      <c r="CC198" s="1519">
        <f>((CA186+CB186+2*CC186)/BZ187-1)*100</f>
        <v>0.30867091209372255</v>
      </c>
      <c r="CD198" s="1519">
        <f>+(4*CD186/CD187-1)*100</f>
        <v>1.0058894641477911</v>
      </c>
      <c r="CE198" s="1519">
        <f>(4*CE186/CD187-1)*100</f>
        <v>1.7840682959606502</v>
      </c>
      <c r="CF198" s="1519">
        <f>((CE186+3*CF186)/CD187-1)*100</f>
        <v>2.4280041005142916</v>
      </c>
      <c r="CG198" s="1519">
        <f>((CE186+CF186+2*CG186)/CD187-1)*100</f>
        <v>3.3414309875979598</v>
      </c>
      <c r="CH198" s="1519">
        <f>+(4*CH186/CH187-1)*100</f>
        <v>0.95365972653691511</v>
      </c>
      <c r="CI198" s="1519">
        <f>(4*CI186/CH187-1)*100</f>
        <v>2.0539614894382829</v>
      </c>
      <c r="CJ198" s="1519">
        <f>((CI186+3*CJ186)/CH187-1)*100</f>
        <v>1.693680770711592</v>
      </c>
      <c r="CK198" s="1519">
        <f>((CI186+CJ186+2*CK186)/CH187-1)*100</f>
        <v>1.6553175460323866</v>
      </c>
      <c r="CL198" s="1519">
        <f>+(4*CL186/CL187-1)*100</f>
        <v>1.2440543023374717</v>
      </c>
      <c r="CM198" s="1519">
        <f>(4*CM186/CL187-1)*100</f>
        <v>1.2505869143615289</v>
      </c>
      <c r="CN198" s="1519">
        <f>((CM186+3*CN186)/CL187-1)*100</f>
        <v>3.4271715831377003</v>
      </c>
      <c r="CO198" s="1519">
        <f>((CM186+CN186+2*CO186)/CL187-1)*100</f>
        <v>4.2244224422442134</v>
      </c>
      <c r="CP198" s="1519">
        <f>+(4*CP186/CP187-1)*100</f>
        <v>1.9669801789822916</v>
      </c>
      <c r="CQ198" s="1519">
        <f>(4*CQ186/CP187-1)*100</f>
        <v>1.9544657580675473</v>
      </c>
      <c r="CR198" s="1519">
        <f>((CQ186+3*CR186)/CP187-1)*100</f>
        <v>2.4116331971086424</v>
      </c>
      <c r="CS198" s="1519">
        <f>((CQ186+CR186+2*CS186)/CP187-1)*100</f>
        <v>2.4022473814225842</v>
      </c>
      <c r="CT198" s="1519">
        <f>+(4*CT186/CT187-1)*100</f>
        <v>0.92849933025656028</v>
      </c>
      <c r="CU198" s="1519">
        <f>(4*CU186/CT187-1)*100</f>
        <v>1.9047119214337105</v>
      </c>
      <c r="CV198" s="1519">
        <f>((CU186+3*CV186)/CT187-1)*100</f>
        <v>2.6777002692127683</v>
      </c>
      <c r="CW198" s="1519">
        <f>((CU186+CV186+2*CW186)/CT187-1)*100</f>
        <v>3.1510690760075954</v>
      </c>
      <c r="CX198" s="1519">
        <f>+(4*CX186/CX187-1)*100</f>
        <v>1.3665428541239866</v>
      </c>
      <c r="CY198" s="1519">
        <f>(4*CY186/CX187-1)*100</f>
        <v>2.1341002506012341</v>
      </c>
      <c r="CZ198" s="1519">
        <f>((CY186+3*CZ186)/CX187-1)*100</f>
        <v>2.6434384567434632</v>
      </c>
      <c r="DA198" s="1519">
        <f>((CY186+CZ186+2*DA186)/CX187-1)*100</f>
        <v>2.9426908896194925</v>
      </c>
      <c r="DB198" s="1519">
        <f>+(4*DB186/DB187-1)*100</f>
        <v>0.86564272439775269</v>
      </c>
    </row>
    <row r="199" spans="1:106" s="927" customFormat="1" ht="30" customHeight="1">
      <c r="A199" s="714"/>
      <c r="B199" s="714"/>
      <c r="C199" s="716"/>
      <c r="D199" s="1082"/>
      <c r="E199" s="1461"/>
      <c r="F199" s="1082"/>
      <c r="G199" s="1085"/>
      <c r="H199" s="1462"/>
      <c r="I199" s="1462"/>
      <c r="J199" s="1462"/>
      <c r="K199" s="1085"/>
      <c r="L199" s="1462"/>
      <c r="M199" s="1462"/>
      <c r="N199" s="1462"/>
      <c r="O199" s="1085"/>
      <c r="P199" s="1462"/>
      <c r="Q199" s="1462"/>
      <c r="R199" s="1462"/>
      <c r="S199" s="1085"/>
      <c r="T199" s="1462"/>
      <c r="U199" s="1462"/>
      <c r="V199" s="1462"/>
      <c r="W199" s="1085"/>
      <c r="X199" s="1462"/>
      <c r="Y199" s="1462"/>
      <c r="Z199" s="1462"/>
      <c r="AA199" s="1085"/>
      <c r="AB199" s="1462"/>
      <c r="AC199" s="1462"/>
      <c r="AD199" s="1462"/>
      <c r="AE199" s="1085"/>
      <c r="AF199" s="1462"/>
      <c r="AG199" s="1462"/>
      <c r="AH199" s="1462"/>
      <c r="AI199" s="1085"/>
      <c r="AJ199" s="1462"/>
      <c r="AK199" s="1462"/>
      <c r="AL199" s="1462"/>
      <c r="AM199" s="1085"/>
      <c r="AN199" s="1462"/>
      <c r="AO199" s="1462"/>
      <c r="AP199" s="1462"/>
      <c r="AQ199" s="1085"/>
      <c r="AR199" s="1462"/>
      <c r="AS199" s="1462"/>
      <c r="AT199" s="1462"/>
      <c r="AU199" s="1085"/>
      <c r="AV199" s="1462"/>
      <c r="AW199" s="1462"/>
      <c r="AX199" s="1462"/>
      <c r="AY199" s="1463"/>
      <c r="AZ199" s="1462"/>
      <c r="BA199" s="1463"/>
      <c r="BB199" s="1463"/>
      <c r="BC199" s="1463"/>
      <c r="BD199" s="1463"/>
      <c r="BE199" s="1463"/>
      <c r="BF199" s="1463"/>
      <c r="BG199" s="1463"/>
      <c r="BH199" s="1463"/>
      <c r="BI199" s="1463"/>
      <c r="BJ199" s="1463"/>
      <c r="BK199" s="1463"/>
      <c r="BL199" s="1463"/>
      <c r="BM199" s="1463"/>
      <c r="BN199" s="1463"/>
      <c r="BW199" s="3352"/>
      <c r="BX199" s="3352"/>
      <c r="BY199" s="3352"/>
      <c r="BZ199" s="3352"/>
      <c r="CA199" s="3352"/>
      <c r="CB199" s="3352"/>
      <c r="CC199" s="3352"/>
      <c r="CD199" s="3352"/>
      <c r="CE199" s="3352"/>
      <c r="CF199" s="3352"/>
      <c r="CG199" s="3352"/>
      <c r="CH199" s="3352"/>
      <c r="CI199" s="3352"/>
      <c r="CJ199" s="3352"/>
      <c r="CK199" s="3352"/>
      <c r="CL199" s="3352"/>
      <c r="CM199" s="3352"/>
      <c r="CN199" s="3352"/>
      <c r="CO199" s="3352"/>
      <c r="CP199" s="3352"/>
      <c r="CQ199" s="3352"/>
      <c r="CR199" s="3352"/>
      <c r="CS199" s="3352"/>
      <c r="CT199" s="3352"/>
      <c r="CU199" s="3352"/>
      <c r="CV199" s="3352"/>
      <c r="CW199" s="3352"/>
      <c r="CX199" s="3352"/>
      <c r="CY199" s="3352"/>
      <c r="CZ199" s="3352"/>
      <c r="DA199" s="3352"/>
      <c r="DB199" s="3352"/>
    </row>
    <row r="200" spans="1:106" s="927" customFormat="1" ht="30" customHeight="1">
      <c r="A200" s="714"/>
      <c r="B200" s="714"/>
      <c r="C200" s="716"/>
      <c r="D200" s="1082"/>
      <c r="E200" s="1461"/>
      <c r="F200" s="1082"/>
      <c r="G200" s="1085"/>
      <c r="H200" s="1462"/>
      <c r="I200" s="1462"/>
      <c r="J200" s="1462"/>
      <c r="K200" s="1085"/>
      <c r="L200" s="1462"/>
      <c r="M200" s="1462"/>
      <c r="N200" s="1462"/>
      <c r="O200" s="1085"/>
      <c r="P200" s="1462"/>
      <c r="Q200" s="1462"/>
      <c r="R200" s="1462"/>
      <c r="S200" s="1085"/>
      <c r="T200" s="1462"/>
      <c r="U200" s="1462"/>
      <c r="V200" s="1462"/>
      <c r="W200" s="1085"/>
      <c r="X200" s="1462"/>
      <c r="Y200" s="1462"/>
      <c r="Z200" s="1462"/>
      <c r="AA200" s="1085"/>
      <c r="AB200" s="1462"/>
      <c r="AC200" s="1462"/>
      <c r="AD200" s="1462"/>
      <c r="AE200" s="1085"/>
      <c r="AF200" s="1462"/>
      <c r="AG200" s="1462"/>
      <c r="AH200" s="1462"/>
      <c r="AI200" s="1085"/>
      <c r="AJ200" s="1462"/>
      <c r="AK200" s="1462"/>
      <c r="AL200" s="1462"/>
      <c r="AM200" s="1085"/>
      <c r="AN200" s="1462"/>
      <c r="AO200" s="1462"/>
      <c r="AP200" s="1462"/>
      <c r="AQ200" s="1085"/>
      <c r="AR200" s="1462"/>
      <c r="AS200" s="1462"/>
      <c r="AT200" s="1462"/>
      <c r="AU200" s="1085"/>
      <c r="AV200" s="1462"/>
      <c r="AW200" s="1462"/>
      <c r="AX200" s="1462"/>
      <c r="AY200" s="1463"/>
      <c r="AZ200" s="1462"/>
      <c r="BA200" s="1463"/>
      <c r="BB200" s="1463"/>
      <c r="BC200" s="1463"/>
      <c r="BD200" s="1463"/>
      <c r="BE200" s="1463"/>
      <c r="BF200" s="1463"/>
      <c r="BG200" s="1463"/>
      <c r="BH200" s="1463"/>
      <c r="BI200" s="1463"/>
      <c r="BJ200" s="1463"/>
      <c r="BK200" s="1463"/>
      <c r="BL200" s="1463"/>
      <c r="BM200" s="1463"/>
      <c r="BN200" s="1463"/>
      <c r="BT200" s="2935"/>
      <c r="BU200" s="2935"/>
      <c r="BV200" s="2935"/>
      <c r="BW200" s="1424">
        <f t="shared" ref="BW200:CX200" si="1018">BW169</f>
        <v>2.8851601068277999</v>
      </c>
      <c r="BX200" s="1424">
        <f t="shared" si="1018"/>
        <v>-0.6922139045846154</v>
      </c>
      <c r="BY200" s="1424">
        <f t="shared" si="1018"/>
        <v>-0.70760010033136256</v>
      </c>
      <c r="BZ200" s="1424">
        <f t="shared" si="1018"/>
        <v>0</v>
      </c>
      <c r="CA200" s="1424">
        <f t="shared" si="1018"/>
        <v>-0.30845731455998449</v>
      </c>
      <c r="CB200" s="1424">
        <f t="shared" si="1018"/>
        <v>0.60948773689335489</v>
      </c>
      <c r="CC200" s="1424">
        <f t="shared" si="1018"/>
        <v>1.7762931148757932</v>
      </c>
      <c r="CD200" s="1424">
        <f t="shared" si="1018"/>
        <v>1.5186642006824735</v>
      </c>
      <c r="CE200" s="1424">
        <f t="shared" si="1018"/>
        <v>1.0058503541003683</v>
      </c>
      <c r="CF200" s="1424">
        <f t="shared" si="1018"/>
        <v>1.3133827863022196</v>
      </c>
      <c r="CG200" s="1424">
        <f t="shared" si="1018"/>
        <v>1.5019683558586738</v>
      </c>
      <c r="CH200" s="1424">
        <f t="shared" si="1018"/>
        <v>0.67934782608696231</v>
      </c>
      <c r="CI200" s="1424">
        <f t="shared" si="1018"/>
        <v>-0.30180345969821332</v>
      </c>
      <c r="CJ200" s="1424">
        <f t="shared" si="1018"/>
        <v>2.0648749753888529</v>
      </c>
      <c r="CK200" s="1424">
        <f t="shared" si="1018"/>
        <v>-0.91509729690625319</v>
      </c>
      <c r="CL200" s="1424">
        <f t="shared" si="1018"/>
        <v>3.5518294537799644</v>
      </c>
      <c r="CM200" s="1424">
        <f t="shared" si="1018"/>
        <v>-0.83076778454090894</v>
      </c>
      <c r="CN200" s="1424">
        <f t="shared" si="1018"/>
        <v>5.7835179809230475</v>
      </c>
      <c r="CO200" s="1424">
        <f t="shared" ref="CO200:CR200" si="1019">CO169</f>
        <v>0.90617859223083297</v>
      </c>
      <c r="CP200" s="1424">
        <f t="shared" si="1019"/>
        <v>2.8517511239384952</v>
      </c>
      <c r="CQ200" s="1424">
        <f t="shared" si="1019"/>
        <v>-0.21693612795993245</v>
      </c>
      <c r="CR200" s="1424">
        <f t="shared" si="1019"/>
        <v>0.69765177982326065</v>
      </c>
      <c r="CS200" s="1424">
        <f t="shared" ref="CS200" si="1020">CS169</f>
        <v>-0.57358912114117144</v>
      </c>
      <c r="CT200" s="1284">
        <f t="shared" si="1018"/>
        <v>1.9510824942742477</v>
      </c>
      <c r="CU200" s="1284">
        <f t="shared" si="1018"/>
        <v>1.48</v>
      </c>
      <c r="CV200" s="1284">
        <f t="shared" si="1018"/>
        <v>1.55</v>
      </c>
      <c r="CW200" s="1284">
        <f t="shared" si="1018"/>
        <v>1.35</v>
      </c>
      <c r="CX200" s="1284">
        <f t="shared" si="1018"/>
        <v>1.25</v>
      </c>
      <c r="CY200" s="1284">
        <f t="shared" ref="CY200:DB200" si="1021">CY169</f>
        <v>1.1100000000000001</v>
      </c>
      <c r="CZ200" s="1284">
        <f t="shared" si="1021"/>
        <v>0.92</v>
      </c>
      <c r="DA200" s="1284">
        <f t="shared" si="1021"/>
        <v>0.77</v>
      </c>
      <c r="DB200" s="1284">
        <f t="shared" si="1021"/>
        <v>0.7</v>
      </c>
    </row>
    <row r="201" spans="1:106" ht="30" customHeight="1">
      <c r="C201" s="4124" t="s">
        <v>996</v>
      </c>
      <c r="D201" s="4124"/>
      <c r="E201" s="4124"/>
      <c r="F201" s="4124"/>
      <c r="BI201" s="1604"/>
      <c r="BJ201" s="1604"/>
      <c r="BK201" s="1284"/>
      <c r="BL201" s="1284"/>
      <c r="BM201" s="1284"/>
      <c r="BN201" s="1284"/>
      <c r="BO201" s="1284"/>
      <c r="BP201" s="1284"/>
      <c r="BQ201" s="1284"/>
      <c r="BR201" s="1284"/>
      <c r="BS201" s="1284"/>
      <c r="BT201" s="1284"/>
      <c r="BU201" s="1284"/>
      <c r="BV201" s="1284"/>
      <c r="CM201" s="2826"/>
      <c r="CN201" s="2826"/>
      <c r="CO201" s="2826"/>
      <c r="CP201" s="2826"/>
      <c r="CQ201" s="2826"/>
      <c r="CR201" s="2826"/>
      <c r="CS201" s="2826"/>
      <c r="CT201" s="2826"/>
      <c r="CU201" s="2826"/>
      <c r="CV201" s="2826"/>
      <c r="CW201" s="2826" t="e">
        <f t="shared" ref="CW201:CX201" si="1022">(CW202/CV202-1)*100</f>
        <v>#DIV/0!</v>
      </c>
      <c r="CX201" s="2826">
        <f t="shared" si="1022"/>
        <v>0.97787782948295376</v>
      </c>
      <c r="CY201" s="2826"/>
      <c r="CZ201" s="2826"/>
      <c r="DA201" s="2826" t="e">
        <f t="shared" ref="DA201" si="1023">(DA202/CZ202-1)*100</f>
        <v>#DIV/0!</v>
      </c>
      <c r="DB201" s="2826">
        <f t="shared" ref="DB201" si="1024">(DB202/DA202-1)*100</f>
        <v>0.68777331358218508</v>
      </c>
    </row>
    <row r="202" spans="1:106">
      <c r="G202" s="2929"/>
      <c r="H202" s="2929"/>
      <c r="I202" s="2929"/>
      <c r="J202" s="2929"/>
      <c r="K202" s="2929"/>
      <c r="L202" s="2929"/>
      <c r="M202" s="2929"/>
      <c r="N202" s="2929"/>
      <c r="O202" s="2929"/>
      <c r="P202" s="2929"/>
      <c r="Q202" s="2929"/>
      <c r="R202" s="2929"/>
      <c r="S202" s="2929"/>
      <c r="T202" s="2929"/>
      <c r="U202" s="2929"/>
      <c r="V202" s="2929"/>
      <c r="W202" s="2929"/>
      <c r="X202" s="2929"/>
      <c r="Y202" s="2929"/>
      <c r="Z202" s="2929"/>
      <c r="AA202" s="2929"/>
      <c r="AB202" s="2929"/>
      <c r="AC202" s="2929"/>
      <c r="AD202" s="2929"/>
      <c r="AE202" s="2929"/>
      <c r="AF202" s="2929"/>
      <c r="AG202" s="2929"/>
      <c r="AH202" s="2929"/>
      <c r="AI202" s="2929"/>
      <c r="AJ202" s="2929"/>
      <c r="AK202" s="2929"/>
      <c r="AL202" s="2929"/>
      <c r="AM202" s="2929"/>
      <c r="AN202" s="2929"/>
      <c r="AO202" s="2929"/>
      <c r="AP202" s="2929"/>
      <c r="AQ202" s="2929"/>
      <c r="AR202" s="2929"/>
      <c r="AS202" s="2929"/>
      <c r="AT202" s="2929"/>
      <c r="AU202" s="2929"/>
      <c r="AV202" s="2929"/>
      <c r="AW202" s="2929"/>
      <c r="AX202" s="2929"/>
      <c r="AY202" s="2929"/>
      <c r="AZ202" s="2929"/>
      <c r="BA202" s="2929"/>
      <c r="BB202" s="2929"/>
      <c r="BC202" s="2929"/>
      <c r="BD202" s="2929"/>
      <c r="BE202" s="2929"/>
      <c r="BF202" s="2929"/>
      <c r="BG202" s="2930"/>
      <c r="BH202" s="2938"/>
      <c r="BI202" s="2938"/>
      <c r="BJ202" s="2938"/>
      <c r="BK202" s="2938"/>
      <c r="BL202" s="2938"/>
      <c r="BM202" s="2938"/>
      <c r="BN202" s="2938"/>
      <c r="BO202" s="2938"/>
      <c r="BP202" s="2938"/>
      <c r="BQ202" s="2938"/>
      <c r="BR202" s="2938"/>
      <c r="BS202" s="3429"/>
      <c r="BT202" s="3429"/>
      <c r="BU202" s="3429"/>
      <c r="BV202" s="3429"/>
      <c r="BW202" s="3429"/>
      <c r="BX202" s="3429"/>
      <c r="BY202" s="3429"/>
      <c r="BZ202" s="3429"/>
      <c r="CA202" s="3429"/>
      <c r="CB202" s="3429"/>
      <c r="CC202" s="3429"/>
      <c r="CD202" s="3429"/>
      <c r="CE202" s="3429"/>
      <c r="CF202" s="3429"/>
      <c r="CG202" s="3429"/>
      <c r="CH202" s="3429"/>
      <c r="CI202" s="3429"/>
      <c r="CJ202" s="3429"/>
      <c r="CK202" s="3429"/>
      <c r="CL202" s="3429"/>
      <c r="CM202" s="828"/>
      <c r="CN202" s="828"/>
      <c r="CO202" s="828"/>
      <c r="CP202" s="828"/>
      <c r="CQ202" s="828"/>
      <c r="CR202" s="828"/>
      <c r="CS202" s="828"/>
      <c r="CT202" s="828"/>
      <c r="CU202" s="828"/>
      <c r="CV202" s="828"/>
      <c r="CW202" s="828">
        <f>AVERAGE($CN219:CQ$219)*CW186/100</f>
        <v>95.253010490043707</v>
      </c>
      <c r="CX202" s="828">
        <f>AVERAGE($CN219:CR$219)*CX186/100</f>
        <v>96.184468561540911</v>
      </c>
      <c r="CY202" s="828"/>
      <c r="CZ202" s="828"/>
      <c r="DA202" s="828">
        <f>AVERAGE($CN219:CU$219)*DA186/100</f>
        <v>98.211015417959914</v>
      </c>
      <c r="DB202" s="828">
        <f>AVERAGE($CN219:CV$219)*DB186/100</f>
        <v>98.886484573002733</v>
      </c>
    </row>
    <row r="203" spans="1:106">
      <c r="G203" s="4122">
        <f ca="1">OFFSET(InputY!$G$3,0,(COLUMN()-7)/4)</f>
        <v>1995</v>
      </c>
      <c r="H203" s="4123"/>
      <c r="I203" s="4123"/>
      <c r="J203" s="4123"/>
      <c r="K203" s="4117">
        <f ca="1">OFFSET(InputY!$G$3,0,(COLUMN()-7)/4)</f>
        <v>1996</v>
      </c>
      <c r="L203" s="4118"/>
      <c r="M203" s="4118"/>
      <c r="N203" s="4119"/>
      <c r="O203" s="4117">
        <f ca="1">OFFSET(InputY!$G$3,0,(COLUMN()-7)/4)</f>
        <v>1997</v>
      </c>
      <c r="P203" s="4118"/>
      <c r="Q203" s="4118"/>
      <c r="R203" s="4119"/>
      <c r="S203" s="4117">
        <f ca="1">OFFSET(InputY!$G$3,0,(COLUMN()-7)/4)</f>
        <v>1998</v>
      </c>
      <c r="T203" s="4118"/>
      <c r="U203" s="4118"/>
      <c r="V203" s="4119"/>
      <c r="W203" s="4117">
        <f ca="1">OFFSET(InputY!$G$3,0,(COLUMN()-7)/4)</f>
        <v>1999</v>
      </c>
      <c r="X203" s="4118"/>
      <c r="Y203" s="4118"/>
      <c r="Z203" s="4119"/>
      <c r="AA203" s="4117">
        <f ca="1">OFFSET(InputY!$G$3,0,(COLUMN()-7)/4)</f>
        <v>2000</v>
      </c>
      <c r="AB203" s="4118"/>
      <c r="AC203" s="4118"/>
      <c r="AD203" s="4119"/>
      <c r="AE203" s="4117">
        <f ca="1">OFFSET(InputY!$G$3,0,(COLUMN()-7)/4)</f>
        <v>2001</v>
      </c>
      <c r="AF203" s="4118"/>
      <c r="AG203" s="4118"/>
      <c r="AH203" s="4119"/>
      <c r="AI203" s="4117">
        <f ca="1">OFFSET(InputY!$G$3,0,(COLUMN()-7)/4)</f>
        <v>2002</v>
      </c>
      <c r="AJ203" s="4118"/>
      <c r="AK203" s="4118"/>
      <c r="AL203" s="4119"/>
      <c r="AM203" s="4117">
        <f ca="1">OFFSET(InputY!$G$3,0,(COLUMN()-7)/4)</f>
        <v>2003</v>
      </c>
      <c r="AN203" s="4118"/>
      <c r="AO203" s="4118"/>
      <c r="AP203" s="4119"/>
      <c r="AQ203" s="4117">
        <f ca="1">OFFSET(InputY!$G$3,0,(COLUMN()-7)/4)</f>
        <v>2004</v>
      </c>
      <c r="AR203" s="4118"/>
      <c r="AS203" s="4118"/>
      <c r="AT203" s="4119"/>
      <c r="AU203" s="4117">
        <f ca="1">OFFSET(InputY!$G$3,0,(COLUMN()-7)/4)</f>
        <v>2005</v>
      </c>
      <c r="AV203" s="4118"/>
      <c r="AW203" s="4118"/>
      <c r="AX203" s="4119"/>
      <c r="AY203" s="4117">
        <f ca="1">OFFSET(InputY!$G$3,0,(COLUMN()-7)/4)</f>
        <v>2006</v>
      </c>
      <c r="AZ203" s="4118"/>
      <c r="BA203" s="4118"/>
      <c r="BB203" s="4119"/>
      <c r="BC203" s="4117">
        <f ca="1">OFFSET(InputY!$G$3,0,(COLUMN()-7)/4)</f>
        <v>2007</v>
      </c>
      <c r="BD203" s="4118"/>
      <c r="BE203" s="4118"/>
      <c r="BF203" s="4119"/>
      <c r="BG203" s="4117">
        <f ca="1">OFFSET(InputY!$G$3,0,(COLUMN()-7)/4)</f>
        <v>2008</v>
      </c>
      <c r="BH203" s="4118"/>
      <c r="BI203" s="4118"/>
      <c r="BJ203" s="4119"/>
      <c r="BK203" s="4117">
        <f ca="1">OFFSET(InputY!$G$3,0,(COLUMN()-7)/4)</f>
        <v>2009</v>
      </c>
      <c r="BL203" s="4118"/>
      <c r="BM203" s="4118"/>
      <c r="BN203" s="4119"/>
      <c r="BO203" s="4117">
        <f ca="1">OFFSET(InputY!$G$3,0,(COLUMN()-7)/4)</f>
        <v>2010</v>
      </c>
      <c r="BP203" s="4118"/>
      <c r="BQ203" s="4118"/>
      <c r="BR203" s="4119"/>
      <c r="BS203" s="4117">
        <f ca="1">OFFSET(InputY!$G$3,0,(COLUMN()-7)/4)</f>
        <v>2011</v>
      </c>
      <c r="BT203" s="4118"/>
      <c r="BU203" s="4118"/>
      <c r="BV203" s="4119"/>
      <c r="BW203" s="4117">
        <f ca="1">OFFSET(InputY!$G$3,0,(COLUMN()-7)/4)</f>
        <v>2012</v>
      </c>
      <c r="BX203" s="4118"/>
      <c r="BY203" s="4118"/>
      <c r="BZ203" s="4119"/>
      <c r="CA203" s="4117">
        <f ca="1">OFFSET(InputY!$G$3,0,(COLUMN()-7)/4)</f>
        <v>2013</v>
      </c>
      <c r="CB203" s="4118"/>
      <c r="CC203" s="4118"/>
      <c r="CD203" s="4119"/>
      <c r="CE203" s="4117">
        <f ca="1">OFFSET(InputY!$G$3,0,(COLUMN()-7)/4)</f>
        <v>2014</v>
      </c>
      <c r="CF203" s="4118"/>
      <c r="CG203" s="4118"/>
      <c r="CH203" s="4119"/>
      <c r="CI203" s="4117">
        <f ca="1">OFFSET(InputY!$G$3,0,(COLUMN()-7)/4)</f>
        <v>2015</v>
      </c>
      <c r="CJ203" s="4120"/>
      <c r="CK203" s="4120"/>
      <c r="CL203" s="4121"/>
      <c r="CM203" s="4117">
        <f ca="1">OFFSET(InputY!$G$3,0,(COLUMN()-7)/4)</f>
        <v>2016</v>
      </c>
      <c r="CN203" s="4118"/>
      <c r="CO203" s="4118"/>
      <c r="CP203" s="4119"/>
      <c r="CQ203" s="4117">
        <f ca="1">OFFSET(InputY!$G$3,0,(COLUMN()-7)/4)</f>
        <v>2017</v>
      </c>
      <c r="CR203" s="4118"/>
      <c r="CS203" s="4118"/>
      <c r="CT203" s="4119"/>
      <c r="CU203" s="4117">
        <f ca="1">OFFSET(InputY!$G$3,0,(COLUMN()-7)/4)</f>
        <v>2018</v>
      </c>
      <c r="CV203" s="4118"/>
      <c r="CW203" s="4118"/>
      <c r="CX203" s="4119"/>
      <c r="CY203" s="4117">
        <f ca="1">OFFSET(InputY!$G$3,0,(COLUMN()-7)/4)</f>
        <v>2019</v>
      </c>
      <c r="CZ203" s="4118"/>
      <c r="DA203" s="4118"/>
      <c r="DB203" s="4119"/>
    </row>
    <row r="204" spans="1:106" s="749" customFormat="1" ht="12.75" customHeight="1">
      <c r="A204" s="714"/>
      <c r="B204" s="714"/>
      <c r="C204" s="716"/>
      <c r="D204" s="745"/>
      <c r="E204" s="746" t="s">
        <v>719</v>
      </c>
      <c r="F204" s="747"/>
      <c r="G204" s="1472" t="s">
        <v>364</v>
      </c>
      <c r="H204" s="1473" t="s">
        <v>671</v>
      </c>
      <c r="I204" s="1473" t="s">
        <v>672</v>
      </c>
      <c r="J204" s="1474" t="s">
        <v>673</v>
      </c>
      <c r="K204" s="1472" t="s">
        <v>364</v>
      </c>
      <c r="L204" s="1473" t="s">
        <v>671</v>
      </c>
      <c r="M204" s="1473" t="s">
        <v>672</v>
      </c>
      <c r="N204" s="1474" t="s">
        <v>673</v>
      </c>
      <c r="O204" s="1472" t="s">
        <v>364</v>
      </c>
      <c r="P204" s="1473" t="s">
        <v>671</v>
      </c>
      <c r="Q204" s="1473" t="s">
        <v>672</v>
      </c>
      <c r="R204" s="1474" t="s">
        <v>673</v>
      </c>
      <c r="S204" s="1472" t="s">
        <v>364</v>
      </c>
      <c r="T204" s="1473" t="s">
        <v>671</v>
      </c>
      <c r="U204" s="1473" t="s">
        <v>672</v>
      </c>
      <c r="V204" s="1474" t="s">
        <v>673</v>
      </c>
      <c r="W204" s="1472" t="s">
        <v>364</v>
      </c>
      <c r="X204" s="1473" t="s">
        <v>671</v>
      </c>
      <c r="Y204" s="1473" t="s">
        <v>672</v>
      </c>
      <c r="Z204" s="1474" t="s">
        <v>673</v>
      </c>
      <c r="AA204" s="1472" t="s">
        <v>364</v>
      </c>
      <c r="AB204" s="1473" t="s">
        <v>671</v>
      </c>
      <c r="AC204" s="1473" t="s">
        <v>672</v>
      </c>
      <c r="AD204" s="1474" t="s">
        <v>673</v>
      </c>
      <c r="AE204" s="1472" t="s">
        <v>364</v>
      </c>
      <c r="AF204" s="1473" t="s">
        <v>671</v>
      </c>
      <c r="AG204" s="1473" t="s">
        <v>672</v>
      </c>
      <c r="AH204" s="1474" t="s">
        <v>673</v>
      </c>
      <c r="AI204" s="1472" t="s">
        <v>364</v>
      </c>
      <c r="AJ204" s="1473" t="s">
        <v>671</v>
      </c>
      <c r="AK204" s="1473" t="s">
        <v>672</v>
      </c>
      <c r="AL204" s="1474" t="s">
        <v>673</v>
      </c>
      <c r="AM204" s="1472" t="s">
        <v>364</v>
      </c>
      <c r="AN204" s="1473" t="s">
        <v>671</v>
      </c>
      <c r="AO204" s="1473" t="s">
        <v>672</v>
      </c>
      <c r="AP204" s="1474" t="s">
        <v>673</v>
      </c>
      <c r="AQ204" s="1472" t="s">
        <v>364</v>
      </c>
      <c r="AR204" s="1473" t="s">
        <v>671</v>
      </c>
      <c r="AS204" s="1473" t="s">
        <v>672</v>
      </c>
      <c r="AT204" s="1474" t="s">
        <v>673</v>
      </c>
      <c r="AU204" s="1472" t="s">
        <v>364</v>
      </c>
      <c r="AV204" s="1473" t="s">
        <v>671</v>
      </c>
      <c r="AW204" s="1473" t="s">
        <v>672</v>
      </c>
      <c r="AX204" s="1474" t="s">
        <v>673</v>
      </c>
      <c r="AY204" s="1472" t="s">
        <v>364</v>
      </c>
      <c r="AZ204" s="1473" t="s">
        <v>671</v>
      </c>
      <c r="BA204" s="1473" t="s">
        <v>672</v>
      </c>
      <c r="BB204" s="1474" t="s">
        <v>673</v>
      </c>
      <c r="BC204" s="1472" t="s">
        <v>364</v>
      </c>
      <c r="BD204" s="1473" t="s">
        <v>671</v>
      </c>
      <c r="BE204" s="1473" t="s">
        <v>672</v>
      </c>
      <c r="BF204" s="1474" t="s">
        <v>673</v>
      </c>
      <c r="BG204" s="1472" t="s">
        <v>364</v>
      </c>
      <c r="BH204" s="1473" t="s">
        <v>671</v>
      </c>
      <c r="BI204" s="1473" t="s">
        <v>672</v>
      </c>
      <c r="BJ204" s="1474" t="s">
        <v>673</v>
      </c>
      <c r="BK204" s="1472" t="s">
        <v>364</v>
      </c>
      <c r="BL204" s="1473" t="s">
        <v>671</v>
      </c>
      <c r="BM204" s="1473" t="s">
        <v>672</v>
      </c>
      <c r="BN204" s="1474" t="s">
        <v>673</v>
      </c>
      <c r="BO204" s="1472" t="s">
        <v>364</v>
      </c>
      <c r="BP204" s="1473" t="s">
        <v>671</v>
      </c>
      <c r="BQ204" s="1473" t="s">
        <v>672</v>
      </c>
      <c r="BR204" s="1474" t="s">
        <v>673</v>
      </c>
      <c r="BS204" s="1472" t="s">
        <v>364</v>
      </c>
      <c r="BT204" s="1473" t="s">
        <v>671</v>
      </c>
      <c r="BU204" s="1473" t="s">
        <v>672</v>
      </c>
      <c r="BV204" s="1474" t="s">
        <v>673</v>
      </c>
      <c r="BW204" s="1472" t="s">
        <v>364</v>
      </c>
      <c r="BX204" s="1473" t="s">
        <v>671</v>
      </c>
      <c r="BY204" s="1473" t="s">
        <v>672</v>
      </c>
      <c r="BZ204" s="1474" t="s">
        <v>673</v>
      </c>
      <c r="CA204" s="1472" t="s">
        <v>364</v>
      </c>
      <c r="CB204" s="1473" t="s">
        <v>671</v>
      </c>
      <c r="CC204" s="1473" t="s">
        <v>672</v>
      </c>
      <c r="CD204" s="1474" t="s">
        <v>673</v>
      </c>
      <c r="CE204" s="1472" t="s">
        <v>364</v>
      </c>
      <c r="CF204" s="1473" t="s">
        <v>671</v>
      </c>
      <c r="CG204" s="1473" t="s">
        <v>672</v>
      </c>
      <c r="CH204" s="1474" t="s">
        <v>673</v>
      </c>
      <c r="CI204" s="1472" t="s">
        <v>364</v>
      </c>
      <c r="CJ204" s="1473" t="s">
        <v>671</v>
      </c>
      <c r="CK204" s="1473" t="s">
        <v>672</v>
      </c>
      <c r="CL204" s="1474" t="s">
        <v>673</v>
      </c>
      <c r="CM204" s="1472" t="s">
        <v>364</v>
      </c>
      <c r="CN204" s="1473" t="s">
        <v>671</v>
      </c>
      <c r="CO204" s="1473" t="s">
        <v>672</v>
      </c>
      <c r="CP204" s="1474" t="s">
        <v>673</v>
      </c>
      <c r="CQ204" s="1472" t="s">
        <v>364</v>
      </c>
      <c r="CR204" s="1473" t="s">
        <v>671</v>
      </c>
      <c r="CS204" s="1473" t="s">
        <v>672</v>
      </c>
      <c r="CT204" s="1474" t="s">
        <v>673</v>
      </c>
      <c r="CU204" s="1472" t="s">
        <v>364</v>
      </c>
      <c r="CV204" s="1473" t="s">
        <v>671</v>
      </c>
      <c r="CW204" s="1473" t="s">
        <v>672</v>
      </c>
      <c r="CX204" s="1474" t="s">
        <v>673</v>
      </c>
      <c r="CY204" s="1472" t="s">
        <v>364</v>
      </c>
      <c r="CZ204" s="1473" t="s">
        <v>671</v>
      </c>
      <c r="DA204" s="1473" t="s">
        <v>672</v>
      </c>
      <c r="DB204" s="1474" t="s">
        <v>673</v>
      </c>
    </row>
    <row r="205" spans="1:106" s="749" customFormat="1" ht="12.75" customHeight="1">
      <c r="A205" s="714" t="str">
        <f>"Q" &amp; ROW(InputQ!A10)</f>
        <v>Q10</v>
      </c>
      <c r="C205" s="717"/>
      <c r="D205" s="718"/>
      <c r="E205" s="750" t="s">
        <v>996</v>
      </c>
      <c r="F205" s="751"/>
      <c r="G205" s="828">
        <f>InputQ!G10/1000</f>
        <v>37.624000000000002</v>
      </c>
      <c r="H205" s="828">
        <f>InputQ!H10/1000</f>
        <v>37.326999999999998</v>
      </c>
      <c r="I205" s="828">
        <f>InputQ!I10/1000</f>
        <v>37.228999999999999</v>
      </c>
      <c r="J205" s="828">
        <f>InputQ!J10/1000</f>
        <v>38.134</v>
      </c>
      <c r="K205" s="828">
        <f>InputQ!K10/1000</f>
        <v>38.94</v>
      </c>
      <c r="L205" s="828">
        <f>InputQ!L10/1000</f>
        <v>39.411000000000001</v>
      </c>
      <c r="M205" s="828">
        <f>InputQ!M10/1000</f>
        <v>39.579000000000001</v>
      </c>
      <c r="N205" s="828">
        <f>InputQ!N10/1000</f>
        <v>40.289000000000001</v>
      </c>
      <c r="O205" s="828">
        <f>InputQ!O10/1000</f>
        <v>41.570999999999998</v>
      </c>
      <c r="P205" s="828">
        <f>InputQ!P10/1000</f>
        <v>42.762</v>
      </c>
      <c r="Q205" s="828">
        <f>InputQ!Q10/1000</f>
        <v>43.293999999999997</v>
      </c>
      <c r="R205" s="828">
        <f>InputQ!R10/1000</f>
        <v>43.656999999999996</v>
      </c>
      <c r="S205" s="828">
        <f>InputQ!S10/1000</f>
        <v>43.981000000000002</v>
      </c>
      <c r="T205" s="828">
        <f>InputQ!T10/1000</f>
        <v>44.787999999999997</v>
      </c>
      <c r="U205" s="828">
        <f>InputQ!U10/1000</f>
        <v>45.67</v>
      </c>
      <c r="V205" s="828">
        <f>InputQ!V10/1000</f>
        <v>45.39</v>
      </c>
      <c r="W205" s="828">
        <f>InputQ!W10/1000</f>
        <v>44.78</v>
      </c>
      <c r="X205" s="828">
        <f>InputQ!X10/1000</f>
        <v>45.597000000000001</v>
      </c>
      <c r="Y205" s="828">
        <f>InputQ!Y10/1000</f>
        <v>46.966999999999999</v>
      </c>
      <c r="Z205" s="828">
        <f>InputQ!Z10/1000</f>
        <v>48.34</v>
      </c>
      <c r="AA205" s="828">
        <f>InputQ!AA10/1000</f>
        <v>50.853000000000002</v>
      </c>
      <c r="AB205" s="828">
        <f>InputQ!AB10/1000</f>
        <v>52.19</v>
      </c>
      <c r="AC205" s="828">
        <f>InputQ!AC10/1000</f>
        <v>53.643000000000001</v>
      </c>
      <c r="AD205" s="828">
        <f>InputQ!AD10/1000</f>
        <v>54.094999999999999</v>
      </c>
      <c r="AE205" s="828">
        <f>InputQ!AE10/1000</f>
        <v>53.627000000000002</v>
      </c>
      <c r="AF205" s="828">
        <f>InputQ!AF10/1000</f>
        <v>52.304000000000002</v>
      </c>
      <c r="AG205" s="828">
        <f>InputQ!AG10/1000</f>
        <v>51.552</v>
      </c>
      <c r="AH205" s="828">
        <f>InputQ!AH10/1000</f>
        <v>51.139000000000003</v>
      </c>
      <c r="AI205" s="828">
        <f>InputQ!AI10/1000</f>
        <v>51.768999999999998</v>
      </c>
      <c r="AJ205" s="828">
        <f>InputQ!AJ10/1000</f>
        <v>52.383000000000003</v>
      </c>
      <c r="AK205" s="828">
        <f>InputQ!AK10/1000</f>
        <v>52.962000000000003</v>
      </c>
      <c r="AL205" s="828">
        <f>InputQ!AL10/1000</f>
        <v>53.426000000000002</v>
      </c>
      <c r="AM205" s="828">
        <f>InputQ!AM10/1000</f>
        <v>53.198</v>
      </c>
      <c r="AN205" s="828">
        <f>InputQ!AN10/1000</f>
        <v>52.902999999999999</v>
      </c>
      <c r="AO205" s="828">
        <f>InputQ!AO10/1000</f>
        <v>53.173000000000002</v>
      </c>
      <c r="AP205" s="828">
        <f>InputQ!AP10/1000</f>
        <v>54.390999999999998</v>
      </c>
      <c r="AQ205" s="828">
        <f>InputQ!AQ10/1000</f>
        <v>55.204000000000001</v>
      </c>
      <c r="AR205" s="828">
        <f>InputQ!AR10/1000</f>
        <v>56.17</v>
      </c>
      <c r="AS205" s="828">
        <f>InputQ!AS10/1000</f>
        <v>57.152000000000001</v>
      </c>
      <c r="AT205" s="828">
        <f>InputQ!AT10/1000</f>
        <v>58.448</v>
      </c>
      <c r="AU205" s="828">
        <f>InputQ!AU10/1000</f>
        <v>59.152999999999999</v>
      </c>
      <c r="AV205" s="828">
        <f>InputQ!AV10/1000</f>
        <v>60.378</v>
      </c>
      <c r="AW205" s="828">
        <f>InputQ!AW10/1000</f>
        <v>60.828000000000003</v>
      </c>
      <c r="AX205" s="828">
        <f>InputQ!AX10/1000</f>
        <v>61.261000000000003</v>
      </c>
      <c r="AY205" s="828">
        <f>InputQ!AY10/1000</f>
        <v>62.621000000000002</v>
      </c>
      <c r="AZ205" s="828">
        <f>InputQ!AZ10/1000</f>
        <v>63.142000000000003</v>
      </c>
      <c r="BA205" s="828">
        <f>InputQ!BA10/1000</f>
        <v>63.231999999999999</v>
      </c>
      <c r="BB205" s="828">
        <f>InputQ!BB10/1000</f>
        <v>63.738999999999997</v>
      </c>
      <c r="BC205" s="828">
        <f>InputQ!BC10/1000</f>
        <v>65.594999999999999</v>
      </c>
      <c r="BD205" s="828">
        <f>InputQ!BD10/1000</f>
        <v>66.388999999999996</v>
      </c>
      <c r="BE205" s="828">
        <f>InputQ!BE10/1000</f>
        <v>67.201999999999998</v>
      </c>
      <c r="BF205" s="828">
        <f>InputQ!BF10/1000</f>
        <v>67.891999999999996</v>
      </c>
      <c r="BG205" s="828">
        <f>InputQ!BG10/1000</f>
        <v>69.301000000000002</v>
      </c>
      <c r="BH205" s="828">
        <f>InputQ!BH10/1000</f>
        <v>71.221999999999994</v>
      </c>
      <c r="BI205" s="828">
        <f>InputQ!BI10/1000</f>
        <v>71.010000000000005</v>
      </c>
      <c r="BJ205" s="2956">
        <f>InputQ!BJ10/1000</f>
        <v>64.846000000000004</v>
      </c>
      <c r="BK205" s="2956">
        <f>InputQ!BK10/1000</f>
        <v>61.274999999999999</v>
      </c>
      <c r="BL205" s="2956">
        <f>InputQ!BL10/1000</f>
        <v>61.588000000000001</v>
      </c>
      <c r="BM205" s="2956">
        <f>InputQ!BM10/1000</f>
        <v>63.774000000000001</v>
      </c>
      <c r="BN205" s="2956">
        <f>InputQ!BN10/1000</f>
        <v>64.838999999999999</v>
      </c>
      <c r="BO205" s="2956">
        <f>InputQ!BO10/1000</f>
        <v>66.111000000000004</v>
      </c>
      <c r="BP205" s="2956">
        <f>InputQ!BP10/1000</f>
        <v>69.225999999999999</v>
      </c>
      <c r="BQ205" s="2956">
        <f>InputQ!BQ10/1000</f>
        <v>69.619</v>
      </c>
      <c r="BR205" s="2956">
        <f>InputQ!BR10/1000</f>
        <v>70.724999999999994</v>
      </c>
      <c r="BS205" s="2956">
        <f>InputQ!BS10/1000</f>
        <v>73.054000000000002</v>
      </c>
      <c r="BT205" s="2956">
        <f>InputQ!BT10/1000</f>
        <v>74.055000000000007</v>
      </c>
      <c r="BU205" s="2956">
        <f>InputQ!BU10/1000</f>
        <v>75.578999999999994</v>
      </c>
      <c r="BV205" s="2956">
        <f>InputQ!BV10/1000</f>
        <v>73.146000000000001</v>
      </c>
      <c r="BW205" s="2956">
        <f>InputQ!BW10/1000</f>
        <v>74.844999999999999</v>
      </c>
      <c r="BX205" s="2956">
        <f>InputQ!BX10/1000</f>
        <v>74.117999999999995</v>
      </c>
      <c r="BY205" s="2956">
        <f>InputQ!BY10/1000</f>
        <v>73.557000000000002</v>
      </c>
      <c r="BZ205" s="2956">
        <f>InputQ!BZ10/1000</f>
        <v>73.597999999999999</v>
      </c>
      <c r="CA205" s="2956">
        <f>InputQ!CA10/1000</f>
        <v>73.33</v>
      </c>
      <c r="CB205" s="2956">
        <f>InputQ!CB10/1000</f>
        <v>73.552999999999997</v>
      </c>
      <c r="CC205" s="2956">
        <f>InputQ!CC10/1000</f>
        <v>74.367999999999995</v>
      </c>
      <c r="CD205" s="2956">
        <f>InputQ!CD10/1000</f>
        <v>75.88</v>
      </c>
      <c r="CE205" s="2956">
        <f>InputQ!CE10/1000</f>
        <v>76.727999999999994</v>
      </c>
      <c r="CF205" s="2956">
        <f>InputQ!CF10/1000</f>
        <v>77.942999999999998</v>
      </c>
      <c r="CG205" s="2956">
        <f>InputQ!CG10/1000</f>
        <v>80.900999999999996</v>
      </c>
      <c r="CH205" s="2956">
        <f>InputQ!CH10/1000</f>
        <v>79.997</v>
      </c>
      <c r="CI205" s="2956">
        <f>InputQ!CI10/1000</f>
        <v>81.635000000000005</v>
      </c>
      <c r="CJ205" s="2956">
        <f>InputQ!CJ10/1000</f>
        <v>80.605000000000004</v>
      </c>
      <c r="CK205" s="2956">
        <f>InputQ!CK10/1000</f>
        <v>80.338999999999999</v>
      </c>
      <c r="CL205" s="2956">
        <f>InputQ!CL10/1000</f>
        <v>83.334999999999994</v>
      </c>
      <c r="CM205" s="2956">
        <f>InputQ!CM10/1000</f>
        <v>82.835999999999999</v>
      </c>
      <c r="CN205" s="2956">
        <f>InputQ!CN10/1000</f>
        <v>87.912000000000006</v>
      </c>
      <c r="CO205" s="2956">
        <f>InputQ!CO10/1000</f>
        <v>90.599000000000004</v>
      </c>
      <c r="CP205" s="2956">
        <f>InputQ!CP10/1000</f>
        <v>91.828000000000003</v>
      </c>
      <c r="CQ205" s="2956">
        <f>InputQ!CQ10/1000</f>
        <v>91.353999999999999</v>
      </c>
      <c r="CR205" s="2956">
        <f>InputQ!CR10/1000</f>
        <v>92.063999999999993</v>
      </c>
      <c r="CS205" s="2956">
        <f>InputQ!CS10/1000</f>
        <v>91.384</v>
      </c>
      <c r="CT205" s="2956">
        <f>InputQ!CT10/1000</f>
        <v>92.819000000000003</v>
      </c>
      <c r="CU205" s="1496">
        <f t="shared" ref="CU205" si="1025">CT205*(1+CU210/100)</f>
        <v>94.304104000000009</v>
      </c>
      <c r="CV205" s="1496">
        <f t="shared" ref="CV205" si="1026">CU205*(1+CV210/100)</f>
        <v>95.765817612000021</v>
      </c>
      <c r="CW205" s="1496">
        <f t="shared" ref="CW205" si="1027">CV205*(1+CW210/100)</f>
        <v>97.106539058568018</v>
      </c>
      <c r="CX205" s="1496">
        <f t="shared" ref="CX205" si="1028">CW205*(1+CX210/100)</f>
        <v>98.368924066329399</v>
      </c>
      <c r="CY205" s="1496">
        <f t="shared" ref="CY205" si="1029">CX205*(1+CY210/100)</f>
        <v>99.450982231059015</v>
      </c>
      <c r="CZ205" s="1496">
        <f t="shared" ref="CZ205" si="1030">CY205*(1+CZ210/100)</f>
        <v>100.37587636580787</v>
      </c>
      <c r="DA205" s="1496">
        <f t="shared" ref="DA205" si="1031">CZ205*(1+DA210/100)</f>
        <v>101.24914649019038</v>
      </c>
      <c r="DB205" s="1496">
        <f t="shared" ref="DB205" si="1032">DA205*(1+DB210/100)</f>
        <v>102.09963932070798</v>
      </c>
    </row>
    <row r="206" spans="1:106" s="26" customFormat="1">
      <c r="A206" s="723"/>
      <c r="B206" s="723"/>
      <c r="C206" s="737"/>
      <c r="D206" s="733"/>
      <c r="E206" s="734" t="s">
        <v>357</v>
      </c>
      <c r="F206" s="735"/>
      <c r="G206" s="1476"/>
      <c r="H206" s="1477"/>
      <c r="I206" s="1477"/>
      <c r="J206" s="1481">
        <f>SUM(G205:J205)</f>
        <v>150.31399999999999</v>
      </c>
      <c r="K206" s="1476"/>
      <c r="L206" s="1477"/>
      <c r="M206" s="1477"/>
      <c r="N206" s="1481">
        <f>SUM(K205:N205)</f>
        <v>158.21899999999999</v>
      </c>
      <c r="O206" s="1476"/>
      <c r="P206" s="1477"/>
      <c r="Q206" s="1477"/>
      <c r="R206" s="1481">
        <f>SUM(O205:R205)</f>
        <v>171.28399999999999</v>
      </c>
      <c r="S206" s="1476"/>
      <c r="T206" s="1477"/>
      <c r="U206" s="1477"/>
      <c r="V206" s="1481">
        <f>SUM(S205:V205)</f>
        <v>179.82900000000001</v>
      </c>
      <c r="W206" s="1476"/>
      <c r="X206" s="1477"/>
      <c r="Y206" s="1477"/>
      <c r="Z206" s="1481">
        <f>SUM(W205:Z205)</f>
        <v>185.684</v>
      </c>
      <c r="AA206" s="1476"/>
      <c r="AB206" s="1477"/>
      <c r="AC206" s="1477"/>
      <c r="AD206" s="1481">
        <f>SUM(AA205:AD205)</f>
        <v>210.78100000000001</v>
      </c>
      <c r="AE206" s="1476"/>
      <c r="AF206" s="1477"/>
      <c r="AG206" s="1477"/>
      <c r="AH206" s="1481">
        <f>SUM(AE205:AH205)</f>
        <v>208.62200000000001</v>
      </c>
      <c r="AI206" s="1476"/>
      <c r="AJ206" s="1477"/>
      <c r="AK206" s="1477"/>
      <c r="AL206" s="1481">
        <f>SUM(AI205:AL205)</f>
        <v>210.54000000000002</v>
      </c>
      <c r="AM206" s="1476"/>
      <c r="AN206" s="1477"/>
      <c r="AO206" s="1477"/>
      <c r="AP206" s="1481">
        <f>SUM(AM205:AP205)</f>
        <v>213.66499999999999</v>
      </c>
      <c r="AQ206" s="1476"/>
      <c r="AR206" s="1477"/>
      <c r="AS206" s="1477"/>
      <c r="AT206" s="1481">
        <f>SUM(AQ205:AT205)</f>
        <v>226.97400000000002</v>
      </c>
      <c r="AU206" s="1476"/>
      <c r="AV206" s="1477"/>
      <c r="AW206" s="1477"/>
      <c r="AX206" s="1481">
        <f>SUM(AU205:AX205)</f>
        <v>241.62</v>
      </c>
      <c r="AY206" s="1476"/>
      <c r="AZ206" s="1477"/>
      <c r="BA206" s="912"/>
      <c r="BB206" s="1497">
        <f>SUM(AY205:BB205)</f>
        <v>252.73400000000001</v>
      </c>
      <c r="BC206" s="912"/>
      <c r="BD206" s="912"/>
      <c r="BE206" s="912"/>
      <c r="BF206" s="1497">
        <f>SUM(BC205:BF205)</f>
        <v>267.07799999999997</v>
      </c>
      <c r="BG206" s="912"/>
      <c r="BH206" s="912"/>
      <c r="BI206" s="912"/>
      <c r="BJ206" s="1497">
        <f>SUM(BG205:BJ205)</f>
        <v>276.37900000000002</v>
      </c>
      <c r="BK206" s="912"/>
      <c r="BL206" s="912"/>
      <c r="BM206" s="912"/>
      <c r="BN206" s="1497">
        <f>SUM(BK205:BN205)</f>
        <v>251.476</v>
      </c>
      <c r="BO206" s="912"/>
      <c r="BP206" s="912"/>
      <c r="BQ206" s="912"/>
      <c r="BR206" s="1497">
        <f>SUM(BO205:BR205)</f>
        <v>275.68099999999998</v>
      </c>
      <c r="BS206" s="912"/>
      <c r="BT206" s="912"/>
      <c r="BU206" s="912"/>
      <c r="BV206" s="1497">
        <f>SUM(BS205:BV205)</f>
        <v>295.834</v>
      </c>
      <c r="BW206" s="912"/>
      <c r="BX206" s="912"/>
      <c r="BY206" s="912"/>
      <c r="BZ206" s="1497">
        <f>SUM(BW205:BZ205)</f>
        <v>296.11799999999999</v>
      </c>
      <c r="CA206" s="912"/>
      <c r="CB206" s="912"/>
      <c r="CC206" s="912"/>
      <c r="CD206" s="1497">
        <f>SUM(CA205:CD205)</f>
        <v>297.13099999999997</v>
      </c>
      <c r="CE206" s="912"/>
      <c r="CF206" s="912"/>
      <c r="CG206" s="912"/>
      <c r="CH206" s="1497">
        <f>SUM(CE205:CH205)</f>
        <v>315.56900000000002</v>
      </c>
      <c r="CI206" s="912"/>
      <c r="CJ206" s="912"/>
      <c r="CK206" s="912"/>
      <c r="CL206" s="1497">
        <f>SUM(CI205:CL205)</f>
        <v>325.91399999999999</v>
      </c>
      <c r="CM206" s="912"/>
      <c r="CN206" s="912"/>
      <c r="CO206" s="912"/>
      <c r="CP206" s="1497">
        <f>SUM(CM205:CP205)</f>
        <v>353.17499999999995</v>
      </c>
      <c r="CQ206" s="912"/>
      <c r="CR206" s="912"/>
      <c r="CS206" s="912"/>
      <c r="CT206" s="1497">
        <f>SUM(CQ205:CT205)</f>
        <v>367.62100000000004</v>
      </c>
      <c r="CU206" s="912"/>
      <c r="CV206" s="912"/>
      <c r="CW206" s="912"/>
      <c r="CX206" s="1497">
        <f>SUM(CU205:CX205)</f>
        <v>385.54538473689746</v>
      </c>
      <c r="CY206" s="912"/>
      <c r="CZ206" s="912"/>
      <c r="DA206" s="912"/>
      <c r="DB206" s="1497">
        <f>SUM(CY205:DB205)</f>
        <v>403.17564440776528</v>
      </c>
    </row>
    <row r="207" spans="1:106" s="749" customFormat="1" ht="12.75" customHeight="1">
      <c r="A207" s="714"/>
      <c r="B207" s="714"/>
      <c r="C207" s="719"/>
      <c r="D207" s="729"/>
      <c r="E207" s="1478" t="s">
        <v>675</v>
      </c>
      <c r="F207" s="729"/>
      <c r="G207" s="1479"/>
      <c r="H207" s="2801" t="s">
        <v>543</v>
      </c>
      <c r="I207" s="2802">
        <f ca="1">+J207/J206*100</f>
        <v>105.31241268278404</v>
      </c>
      <c r="J207" s="1480">
        <f ca="1">OFFSET('VVP2'!$G$112,0,(COLUMN()-10)/4)</f>
        <v>158.29929999999999</v>
      </c>
      <c r="K207" s="1479"/>
      <c r="L207" s="2801" t="s">
        <v>543</v>
      </c>
      <c r="M207" s="2802">
        <f ca="1">+N207/N206*100</f>
        <v>98.957754757646057</v>
      </c>
      <c r="N207" s="1480">
        <f ca="1">OFFSET('VVP2'!$G$112,0,(COLUMN()-10)/4)</f>
        <v>156.56997000000001</v>
      </c>
      <c r="O207" s="1479"/>
      <c r="P207" s="2801" t="s">
        <v>543</v>
      </c>
      <c r="Q207" s="2802">
        <f ca="1">+R207/R206*100</f>
        <v>98.921306134840378</v>
      </c>
      <c r="R207" s="1480">
        <f ca="1">OFFSET('VVP2'!$G$112,0,(COLUMN()-10)/4)</f>
        <v>169.43636999999998</v>
      </c>
      <c r="S207" s="1479"/>
      <c r="T207" s="2801" t="s">
        <v>543</v>
      </c>
      <c r="U207" s="2802">
        <f ca="1">+V207/V206*100</f>
        <v>98.92527345422593</v>
      </c>
      <c r="V207" s="1480">
        <f ca="1">OFFSET('VVP2'!$G$112,0,(COLUMN()-10)/4)</f>
        <v>177.89632999999998</v>
      </c>
      <c r="W207" s="1479"/>
      <c r="X207" s="2801" t="s">
        <v>543</v>
      </c>
      <c r="Y207" s="2802">
        <f ca="1">+Z207/Z206*100</f>
        <v>98.929573899743659</v>
      </c>
      <c r="Z207" s="1480">
        <f ca="1">OFFSET('VVP2'!$G$112,0,(COLUMN()-10)/4)</f>
        <v>183.69639000000001</v>
      </c>
      <c r="AA207" s="1479"/>
      <c r="AB207" s="2801" t="s">
        <v>543</v>
      </c>
      <c r="AC207" s="2802">
        <f ca="1">+AD207/AD206*100</f>
        <v>98.599854825624718</v>
      </c>
      <c r="AD207" s="1480">
        <f ca="1">OFFSET('VVP2'!$G$112,0,(COLUMN()-10)/4)</f>
        <v>207.82976000000002</v>
      </c>
      <c r="AE207" s="1479"/>
      <c r="AF207" s="2801" t="s">
        <v>543</v>
      </c>
      <c r="AG207" s="2802">
        <f ca="1">+AH207/AH206*100</f>
        <v>98.93376058133849</v>
      </c>
      <c r="AH207" s="1480">
        <f ca="1">OFFSET('VVP2'!$G$112,0,(COLUMN()-10)/4)</f>
        <v>206.39759000000001</v>
      </c>
      <c r="AI207" s="1479"/>
      <c r="AJ207" s="2801" t="s">
        <v>543</v>
      </c>
      <c r="AK207" s="2802">
        <f ca="1">+AL207/AL206*100</f>
        <v>98.926802507836982</v>
      </c>
      <c r="AL207" s="1480">
        <f ca="1">OFFSET('VVP2'!$G$112,0,(COLUMN()-10)/4)</f>
        <v>208.28048999999999</v>
      </c>
      <c r="AM207" s="1479"/>
      <c r="AN207" s="2801" t="s">
        <v>543</v>
      </c>
      <c r="AO207" s="2802">
        <f ca="1">+AP207/AP206*100</f>
        <v>98.921470526291159</v>
      </c>
      <c r="AP207" s="1480">
        <f ca="1">OFFSET('VVP2'!$G$112,0,(COLUMN()-10)/4)</f>
        <v>211.36055999999999</v>
      </c>
      <c r="AQ207" s="1479"/>
      <c r="AR207" s="2801" t="s">
        <v>543</v>
      </c>
      <c r="AS207" s="2802">
        <f ca="1">+AT207/AT206*100</f>
        <v>98.968520623507544</v>
      </c>
      <c r="AT207" s="1480">
        <f ca="1">OFFSET('VVP2'!$G$112,0,(COLUMN()-10)/4)</f>
        <v>224.63281000000001</v>
      </c>
      <c r="AU207" s="1479"/>
      <c r="AV207" s="2801" t="s">
        <v>543</v>
      </c>
      <c r="AW207" s="2802">
        <f ca="1">+AX207/AX206*100</f>
        <v>98.742202632232434</v>
      </c>
      <c r="AX207" s="1480">
        <f ca="1">OFFSET('VVP2'!$G$112,0,(COLUMN()-10)/4)</f>
        <v>238.58091000000002</v>
      </c>
      <c r="AY207" s="1479"/>
      <c r="AZ207" s="2801" t="s">
        <v>543</v>
      </c>
      <c r="BA207" s="2802">
        <f ca="1">+BB207/BB206*100</f>
        <v>98.742713683160943</v>
      </c>
      <c r="BB207" s="1498">
        <f ca="1">OFFSET('VVP2'!$G$112,0,(COLUMN()-10)/4)</f>
        <v>249.55641</v>
      </c>
      <c r="BC207" s="1479"/>
      <c r="BD207" s="2801" t="s">
        <v>543</v>
      </c>
      <c r="BE207" s="2802">
        <f ca="1">+BF207/BF206*100</f>
        <v>98.90965186200286</v>
      </c>
      <c r="BF207" s="1498">
        <f ca="1">OFFSET('VVP2'!$G$112,0,(COLUMN()-10)/4)</f>
        <v>264.16591999999997</v>
      </c>
      <c r="BG207" s="1479"/>
      <c r="BH207" s="2801" t="s">
        <v>543</v>
      </c>
      <c r="BI207" s="2802">
        <f ca="1">+BJ207/BJ206*100</f>
        <v>98.979864606211024</v>
      </c>
      <c r="BJ207" s="1498">
        <f ca="1">OFFSET('VVP2'!$G$112,0,(COLUMN()-10)/4)</f>
        <v>273.55955999999998</v>
      </c>
      <c r="BK207" s="1479"/>
      <c r="BL207" s="2801" t="s">
        <v>543</v>
      </c>
      <c r="BM207" s="2802">
        <f ca="1">+BN207/BN206*100</f>
        <v>98.866015047161554</v>
      </c>
      <c r="BN207" s="1498">
        <f ca="1">OFFSET('VVP2'!$G$112,0,(COLUMN()-10)/4)</f>
        <v>248.62429999999998</v>
      </c>
      <c r="BO207" s="1479"/>
      <c r="BP207" s="2801" t="s">
        <v>543</v>
      </c>
      <c r="BQ207" s="2802">
        <f ca="1">+BR207/BR206*100</f>
        <v>98.865645438024373</v>
      </c>
      <c r="BR207" s="1498">
        <f ca="1">OFFSET('VVP2'!$G$112,0,(COLUMN()-10)/4)</f>
        <v>272.55379999999997</v>
      </c>
      <c r="BS207" s="1479"/>
      <c r="BT207" s="2801" t="s">
        <v>543</v>
      </c>
      <c r="BU207" s="2802">
        <f ca="1">+BV207/BV206*100</f>
        <v>98.866131005901963</v>
      </c>
      <c r="BV207" s="1498">
        <f ca="1">OFFSET('VVP2'!$G$112,0,(COLUMN()-10)/4)</f>
        <v>292.47962999999999</v>
      </c>
      <c r="BW207" s="1479"/>
      <c r="BX207" s="2801" t="s">
        <v>543</v>
      </c>
      <c r="BY207" s="2802">
        <f ca="1">+BZ207/BZ206*100</f>
        <v>98.865627891583756</v>
      </c>
      <c r="BZ207" s="1498">
        <f ca="1">OFFSET('VVP2'!$G$112,0,(COLUMN()-10)/4)</f>
        <v>292.75891999999999</v>
      </c>
      <c r="CA207" s="1479"/>
      <c r="CB207" s="2801" t="s">
        <v>543</v>
      </c>
      <c r="CC207" s="2802">
        <f ca="1">+CD207/CD206*100</f>
        <v>98.865863878222072</v>
      </c>
      <c r="CD207" s="1498">
        <f ca="1">OFFSET('VVP2'!$G$112,0,(COLUMN()-10)/4)</f>
        <v>293.76112999999998</v>
      </c>
      <c r="CE207" s="1479"/>
      <c r="CF207" s="2801" t="s">
        <v>543</v>
      </c>
      <c r="CG207" s="2802">
        <f ca="1">+CH207/CH206*100</f>
        <v>98.865927895325569</v>
      </c>
      <c r="CH207" s="1498">
        <f ca="1">OFFSET('VVP2'!$G$112,0,(COLUMN()-10)/4)</f>
        <v>311.99021999999997</v>
      </c>
      <c r="CI207" s="1479"/>
      <c r="CJ207" s="2801" t="s">
        <v>543</v>
      </c>
      <c r="CK207" s="2802">
        <f ca="1">+CL207/CL206*100</f>
        <v>98.865927821449844</v>
      </c>
      <c r="CL207" s="1498">
        <f ca="1">OFFSET('VVP2'!$G$112,0,(COLUMN()-10)/4)</f>
        <v>322.21790000000004</v>
      </c>
      <c r="CM207" s="1479"/>
      <c r="CN207" s="2801" t="s">
        <v>543</v>
      </c>
      <c r="CO207" s="2802">
        <f ca="1">+CP207/CP206*100</f>
        <v>98.865701139661653</v>
      </c>
      <c r="CP207" s="1498">
        <f ca="1">OFFSET('VVP2'!$G$112,0,(COLUMN()-10)/4)</f>
        <v>349.16894000000002</v>
      </c>
      <c r="CQ207" s="1479"/>
      <c r="CR207" s="2801" t="s">
        <v>543</v>
      </c>
      <c r="CS207" s="2802">
        <f ca="1">+CT207/CT206*100</f>
        <v>98.865734003226152</v>
      </c>
      <c r="CT207" s="1498">
        <f ca="1">OFFSET('VVP2'!$G$112,0,(COLUMN()-10)/4)</f>
        <v>363.45120000000003</v>
      </c>
      <c r="CU207" s="1479"/>
      <c r="CV207" s="2801" t="s">
        <v>543</v>
      </c>
      <c r="CW207" s="2802">
        <f ca="1">+CX207/CX206*100</f>
        <v>99.027929741526378</v>
      </c>
      <c r="CX207" s="1498">
        <f ca="1">OFFSET('VVP2'!$G$112,0,(COLUMN()-10)/4)</f>
        <v>381.79761271895239</v>
      </c>
      <c r="CY207" s="1479"/>
      <c r="CZ207" s="2801" t="s">
        <v>543</v>
      </c>
      <c r="DA207" s="2802">
        <f ca="1">+DB207/DB206*100</f>
        <v>98.963497857128019</v>
      </c>
      <c r="DB207" s="1498">
        <f ca="1">OFFSET('VVP2'!$G$112,0,(COLUMN()-10)/4)</f>
        <v>398.99672021394088</v>
      </c>
    </row>
    <row r="208" spans="1:106">
      <c r="H208" s="2964"/>
      <c r="I208" s="2964"/>
      <c r="J208" s="2964"/>
      <c r="K208" s="2964"/>
      <c r="L208" s="2964"/>
      <c r="M208" s="2964"/>
      <c r="N208" s="2964"/>
      <c r="O208" s="2964"/>
      <c r="P208" s="2964"/>
      <c r="Q208" s="2964"/>
      <c r="R208" s="2964"/>
      <c r="S208" s="2964"/>
      <c r="T208" s="2964"/>
      <c r="U208" s="2964"/>
      <c r="V208" s="2964"/>
      <c r="W208" s="2964"/>
      <c r="X208" s="2964"/>
      <c r="Y208" s="2964"/>
      <c r="Z208" s="2964"/>
      <c r="AA208" s="2964"/>
      <c r="AB208" s="2964"/>
      <c r="AC208" s="2964"/>
      <c r="AD208" s="2964"/>
      <c r="AE208" s="2964"/>
      <c r="AF208" s="2964"/>
      <c r="AG208" s="2964"/>
      <c r="AH208" s="2964"/>
      <c r="AI208" s="2964"/>
      <c r="AJ208" s="2964"/>
      <c r="AK208" s="2964"/>
      <c r="AL208" s="2964"/>
      <c r="AM208" s="2964"/>
      <c r="AN208" s="2964"/>
      <c r="AO208" s="2964"/>
      <c r="AP208" s="2964"/>
      <c r="AQ208" s="2964"/>
      <c r="AR208" s="2964"/>
      <c r="AS208" s="2964"/>
      <c r="AT208" s="2964"/>
      <c r="AU208" s="2964"/>
      <c r="AV208" s="2964"/>
      <c r="AW208" s="2964"/>
      <c r="AX208" s="2964"/>
      <c r="AY208" s="2964"/>
      <c r="AZ208" s="2964"/>
      <c r="BA208" s="2964"/>
      <c r="BB208" s="2964"/>
      <c r="BC208" s="2964"/>
      <c r="BD208" s="2964"/>
      <c r="BE208" s="2964"/>
      <c r="BF208" s="2964"/>
      <c r="BG208" s="2964"/>
      <c r="BH208" s="2964"/>
      <c r="BI208" s="2964"/>
      <c r="BJ208" s="2964"/>
      <c r="BK208" s="2964"/>
      <c r="BL208" s="2964"/>
      <c r="BM208" s="2964"/>
      <c r="BN208" s="2964"/>
      <c r="BO208" s="2964"/>
      <c r="BP208" s="2964"/>
      <c r="BQ208" s="2964"/>
      <c r="BR208" s="2964"/>
      <c r="BS208" s="2964"/>
      <c r="BT208" s="2964"/>
      <c r="BU208" s="2964"/>
      <c r="BV208" s="2964"/>
      <c r="BW208" s="2964"/>
      <c r="BX208" s="2964"/>
      <c r="BY208" s="2964"/>
      <c r="BZ208" s="2964"/>
      <c r="CA208" s="2964"/>
      <c r="CB208" s="2964"/>
      <c r="CC208" s="2964"/>
      <c r="CD208" s="2964"/>
      <c r="CE208" s="2964"/>
      <c r="CF208" s="2964"/>
      <c r="CG208" s="2964"/>
      <c r="CH208" s="2964"/>
      <c r="CI208" s="2964"/>
      <c r="CJ208" s="2964"/>
      <c r="CK208" s="2964"/>
      <c r="CL208" s="2964"/>
      <c r="CM208" s="2964"/>
      <c r="CN208" s="2964"/>
      <c r="CO208" s="2964"/>
      <c r="CP208" s="2964"/>
      <c r="CQ208" s="2964"/>
      <c r="CR208" s="2964"/>
      <c r="CS208" s="2964"/>
      <c r="CT208" s="2964"/>
      <c r="CU208" s="2964"/>
      <c r="CV208" s="2964"/>
      <c r="CW208" s="2964"/>
      <c r="CX208" s="2964"/>
      <c r="CY208" s="2964"/>
      <c r="CZ208" s="2964"/>
      <c r="DA208" s="2964"/>
      <c r="DB208" s="2964"/>
    </row>
    <row r="209" spans="1:106" s="749" customFormat="1" ht="12.75" customHeight="1">
      <c r="A209" s="714"/>
      <c r="B209" s="714"/>
      <c r="C209" s="1456"/>
      <c r="D209" s="790"/>
      <c r="E209" s="791" t="s">
        <v>73</v>
      </c>
      <c r="F209" s="792"/>
      <c r="G209" s="1484" t="str">
        <f t="shared" ref="G209:BF209" si="1033">G204</f>
        <v>Q1</v>
      </c>
      <c r="H209" s="1485" t="str">
        <f t="shared" si="1033"/>
        <v>Q2</v>
      </c>
      <c r="I209" s="1485" t="str">
        <f t="shared" si="1033"/>
        <v>Q3</v>
      </c>
      <c r="J209" s="1486" t="str">
        <f t="shared" si="1033"/>
        <v>Q4</v>
      </c>
      <c r="K209" s="1484" t="str">
        <f t="shared" si="1033"/>
        <v>Q1</v>
      </c>
      <c r="L209" s="1485" t="str">
        <f t="shared" si="1033"/>
        <v>Q2</v>
      </c>
      <c r="M209" s="1485" t="str">
        <f t="shared" si="1033"/>
        <v>Q3</v>
      </c>
      <c r="N209" s="1486" t="str">
        <f t="shared" si="1033"/>
        <v>Q4</v>
      </c>
      <c r="O209" s="1484" t="str">
        <f>O204</f>
        <v>Q1</v>
      </c>
      <c r="P209" s="1485" t="str">
        <f>P204</f>
        <v>Q2</v>
      </c>
      <c r="Q209" s="1485" t="str">
        <f>Q204</f>
        <v>Q3</v>
      </c>
      <c r="R209" s="1486" t="str">
        <f>R204</f>
        <v>Q4</v>
      </c>
      <c r="S209" s="1484" t="str">
        <f t="shared" si="1033"/>
        <v>Q1</v>
      </c>
      <c r="T209" s="1485" t="str">
        <f t="shared" si="1033"/>
        <v>Q2</v>
      </c>
      <c r="U209" s="1485" t="str">
        <f t="shared" si="1033"/>
        <v>Q3</v>
      </c>
      <c r="V209" s="1486" t="str">
        <f t="shared" si="1033"/>
        <v>Q4</v>
      </c>
      <c r="W209" s="1484" t="str">
        <f t="shared" si="1033"/>
        <v>Q1</v>
      </c>
      <c r="X209" s="1485" t="str">
        <f t="shared" si="1033"/>
        <v>Q2</v>
      </c>
      <c r="Y209" s="1485" t="str">
        <f t="shared" si="1033"/>
        <v>Q3</v>
      </c>
      <c r="Z209" s="1486" t="str">
        <f t="shared" si="1033"/>
        <v>Q4</v>
      </c>
      <c r="AA209" s="1484" t="str">
        <f t="shared" si="1033"/>
        <v>Q1</v>
      </c>
      <c r="AB209" s="1485" t="str">
        <f t="shared" si="1033"/>
        <v>Q2</v>
      </c>
      <c r="AC209" s="1485" t="str">
        <f t="shared" si="1033"/>
        <v>Q3</v>
      </c>
      <c r="AD209" s="1486" t="str">
        <f t="shared" si="1033"/>
        <v>Q4</v>
      </c>
      <c r="AE209" s="1484" t="str">
        <f t="shared" si="1033"/>
        <v>Q1</v>
      </c>
      <c r="AF209" s="1485" t="str">
        <f t="shared" si="1033"/>
        <v>Q2</v>
      </c>
      <c r="AG209" s="1485" t="str">
        <f t="shared" si="1033"/>
        <v>Q3</v>
      </c>
      <c r="AH209" s="1486" t="str">
        <f t="shared" si="1033"/>
        <v>Q4</v>
      </c>
      <c r="AI209" s="1484" t="str">
        <f t="shared" si="1033"/>
        <v>Q1</v>
      </c>
      <c r="AJ209" s="1485" t="str">
        <f t="shared" si="1033"/>
        <v>Q2</v>
      </c>
      <c r="AK209" s="1485" t="str">
        <f t="shared" si="1033"/>
        <v>Q3</v>
      </c>
      <c r="AL209" s="1486" t="str">
        <f t="shared" si="1033"/>
        <v>Q4</v>
      </c>
      <c r="AM209" s="1484" t="str">
        <f t="shared" si="1033"/>
        <v>Q1</v>
      </c>
      <c r="AN209" s="1485" t="str">
        <f t="shared" si="1033"/>
        <v>Q2</v>
      </c>
      <c r="AO209" s="1485" t="str">
        <f t="shared" si="1033"/>
        <v>Q3</v>
      </c>
      <c r="AP209" s="1486" t="str">
        <f t="shared" si="1033"/>
        <v>Q4</v>
      </c>
      <c r="AQ209" s="1484" t="str">
        <f>AQ204</f>
        <v>Q1</v>
      </c>
      <c r="AR209" s="1485" t="str">
        <f>AR204</f>
        <v>Q2</v>
      </c>
      <c r="AS209" s="1485" t="str">
        <f>AS204</f>
        <v>Q3</v>
      </c>
      <c r="AT209" s="1486" t="str">
        <f>AT204</f>
        <v>Q4</v>
      </c>
      <c r="AU209" s="1484" t="str">
        <f t="shared" si="1033"/>
        <v>Q1</v>
      </c>
      <c r="AV209" s="1485" t="str">
        <f t="shared" si="1033"/>
        <v>Q2</v>
      </c>
      <c r="AW209" s="1485" t="str">
        <f t="shared" si="1033"/>
        <v>Q3</v>
      </c>
      <c r="AX209" s="1486" t="str">
        <f t="shared" si="1033"/>
        <v>Q4</v>
      </c>
      <c r="AY209" s="1484" t="str">
        <f>AY204</f>
        <v>Q1</v>
      </c>
      <c r="AZ209" s="1485" t="str">
        <f>AZ204</f>
        <v>Q2</v>
      </c>
      <c r="BA209" s="1485" t="str">
        <f t="shared" si="1033"/>
        <v>Q3</v>
      </c>
      <c r="BB209" s="1485" t="str">
        <f t="shared" si="1033"/>
        <v>Q4</v>
      </c>
      <c r="BC209" s="1485" t="str">
        <f t="shared" si="1033"/>
        <v>Q1</v>
      </c>
      <c r="BD209" s="1485" t="str">
        <f t="shared" si="1033"/>
        <v>Q2</v>
      </c>
      <c r="BE209" s="1485" t="str">
        <f>BE204</f>
        <v>Q3</v>
      </c>
      <c r="BF209" s="1485" t="str">
        <f t="shared" si="1033"/>
        <v>Q4</v>
      </c>
      <c r="BG209" s="1485" t="str">
        <f t="shared" ref="BG209:BN209" si="1034">BG204</f>
        <v>Q1</v>
      </c>
      <c r="BH209" s="1485" t="str">
        <f t="shared" si="1034"/>
        <v>Q2</v>
      </c>
      <c r="BI209" s="1485" t="str">
        <f t="shared" si="1034"/>
        <v>Q3</v>
      </c>
      <c r="BJ209" s="1485" t="str">
        <f t="shared" si="1034"/>
        <v>Q4</v>
      </c>
      <c r="BK209" s="1485" t="str">
        <f t="shared" si="1034"/>
        <v>Q1</v>
      </c>
      <c r="BL209" s="1485" t="str">
        <f t="shared" si="1034"/>
        <v>Q2</v>
      </c>
      <c r="BM209" s="1485" t="str">
        <f t="shared" si="1034"/>
        <v>Q3</v>
      </c>
      <c r="BN209" s="1485" t="str">
        <f t="shared" si="1034"/>
        <v>Q4</v>
      </c>
      <c r="BO209" s="1485" t="str">
        <f>BO204</f>
        <v>Q1</v>
      </c>
      <c r="BP209" s="1485" t="str">
        <f>BP204</f>
        <v>Q2</v>
      </c>
      <c r="BQ209" s="1485" t="str">
        <f t="shared" ref="BQ209:BV209" si="1035">BQ204</f>
        <v>Q3</v>
      </c>
      <c r="BR209" s="1485" t="str">
        <f t="shared" si="1035"/>
        <v>Q4</v>
      </c>
      <c r="BS209" s="1485" t="str">
        <f t="shared" si="1035"/>
        <v>Q1</v>
      </c>
      <c r="BT209" s="1485" t="str">
        <f t="shared" si="1035"/>
        <v>Q2</v>
      </c>
      <c r="BU209" s="1485" t="str">
        <f t="shared" si="1035"/>
        <v>Q3</v>
      </c>
      <c r="BV209" s="1485" t="str">
        <f t="shared" si="1035"/>
        <v>Q4</v>
      </c>
      <c r="BW209" s="1485" t="str">
        <f t="shared" ref="BW209:CD209" si="1036">BW204</f>
        <v>Q1</v>
      </c>
      <c r="BX209" s="1485" t="str">
        <f t="shared" si="1036"/>
        <v>Q2</v>
      </c>
      <c r="BY209" s="1485" t="str">
        <f t="shared" si="1036"/>
        <v>Q3</v>
      </c>
      <c r="BZ209" s="1485" t="str">
        <f t="shared" si="1036"/>
        <v>Q4</v>
      </c>
      <c r="CA209" s="1485" t="str">
        <f>CA204</f>
        <v>Q1</v>
      </c>
      <c r="CB209" s="1485" t="str">
        <f t="shared" si="1036"/>
        <v>Q2</v>
      </c>
      <c r="CC209" s="1485" t="str">
        <f t="shared" ref="CC209" si="1037">CC204</f>
        <v>Q3</v>
      </c>
      <c r="CD209" s="1485" t="str">
        <f t="shared" si="1036"/>
        <v>Q4</v>
      </c>
      <c r="CE209" s="1485" t="str">
        <f>CE204</f>
        <v>Q1</v>
      </c>
      <c r="CF209" s="1485" t="str">
        <f t="shared" ref="CF209:CH209" si="1038">CF204</f>
        <v>Q2</v>
      </c>
      <c r="CG209" s="1485" t="str">
        <f t="shared" si="1038"/>
        <v>Q3</v>
      </c>
      <c r="CH209" s="1485" t="str">
        <f t="shared" si="1038"/>
        <v>Q4</v>
      </c>
      <c r="CI209" s="1485" t="str">
        <f>CI204</f>
        <v>Q1</v>
      </c>
      <c r="CJ209" s="1485" t="str">
        <f t="shared" ref="CJ209:CL209" si="1039">CJ204</f>
        <v>Q2</v>
      </c>
      <c r="CK209" s="1485" t="str">
        <f t="shared" si="1039"/>
        <v>Q3</v>
      </c>
      <c r="CL209" s="1485" t="str">
        <f t="shared" si="1039"/>
        <v>Q4</v>
      </c>
      <c r="CM209" s="1485" t="str">
        <f>CM204</f>
        <v>Q1</v>
      </c>
      <c r="CN209" s="1485" t="str">
        <f t="shared" ref="CN209:CP209" si="1040">CN204</f>
        <v>Q2</v>
      </c>
      <c r="CO209" s="1485" t="str">
        <f t="shared" si="1040"/>
        <v>Q3</v>
      </c>
      <c r="CP209" s="1485" t="str">
        <f t="shared" si="1040"/>
        <v>Q4</v>
      </c>
      <c r="CQ209" s="1485" t="str">
        <f>CQ204</f>
        <v>Q1</v>
      </c>
      <c r="CR209" s="1485" t="str">
        <f t="shared" ref="CR209:CS209" si="1041">CR204</f>
        <v>Q2</v>
      </c>
      <c r="CS209" s="1485" t="str">
        <f t="shared" si="1041"/>
        <v>Q3</v>
      </c>
      <c r="CT209" s="1485" t="str">
        <f t="shared" ref="CT209" si="1042">CT204</f>
        <v>Q4</v>
      </c>
      <c r="CU209" s="1485" t="str">
        <f t="shared" ref="CU209:CX209" si="1043">CU204</f>
        <v>Q1</v>
      </c>
      <c r="CV209" s="1485" t="str">
        <f t="shared" si="1043"/>
        <v>Q2</v>
      </c>
      <c r="CW209" s="1485" t="str">
        <f t="shared" si="1043"/>
        <v>Q3</v>
      </c>
      <c r="CX209" s="1485" t="str">
        <f t="shared" si="1043"/>
        <v>Q4</v>
      </c>
      <c r="CY209" s="1485" t="str">
        <f t="shared" ref="CY209:DB209" si="1044">CY204</f>
        <v>Q1</v>
      </c>
      <c r="CZ209" s="1485" t="str">
        <f t="shared" si="1044"/>
        <v>Q2</v>
      </c>
      <c r="DA209" s="1485" t="str">
        <f t="shared" si="1044"/>
        <v>Q3</v>
      </c>
      <c r="DB209" s="1485" t="str">
        <f t="shared" si="1044"/>
        <v>Q4</v>
      </c>
    </row>
    <row r="210" spans="1:106" s="749" customFormat="1" ht="12.75" customHeight="1">
      <c r="B210" s="714"/>
      <c r="C210" s="742"/>
      <c r="D210" s="739"/>
      <c r="E210" s="787" t="str">
        <f>E205</f>
        <v>Imports of goods and services</v>
      </c>
      <c r="F210" s="782" t="s">
        <v>1574</v>
      </c>
      <c r="G210" s="1020"/>
      <c r="H210" s="788">
        <f t="shared" ref="H210:BA210" si="1045">(H205/G205-1)*100</f>
        <v>-0.78938975122263555</v>
      </c>
      <c r="I210" s="788">
        <f t="shared" si="1045"/>
        <v>-0.26254453880568684</v>
      </c>
      <c r="J210" s="788">
        <f t="shared" si="1045"/>
        <v>2.4309006419726664</v>
      </c>
      <c r="K210" s="788">
        <f t="shared" si="1045"/>
        <v>2.1135994125976776</v>
      </c>
      <c r="L210" s="788">
        <f t="shared" si="1045"/>
        <v>1.2095531587057007</v>
      </c>
      <c r="M210" s="788">
        <f t="shared" si="1045"/>
        <v>0.42627692776129322</v>
      </c>
      <c r="N210" s="788">
        <f t="shared" si="1045"/>
        <v>1.7938805932439017</v>
      </c>
      <c r="O210" s="788">
        <f>(O205/N205-1)*100</f>
        <v>3.1820099779095834</v>
      </c>
      <c r="P210" s="788">
        <f>(P205/O205-1)*100</f>
        <v>2.8649779894638128</v>
      </c>
      <c r="Q210" s="788">
        <f>(Q205/P205-1)*100</f>
        <v>1.2440952247322334</v>
      </c>
      <c r="R210" s="788">
        <f>(R205/Q205-1)*100</f>
        <v>0.83845336536241266</v>
      </c>
      <c r="S210" s="788">
        <f t="shared" si="1045"/>
        <v>0.74214902535676419</v>
      </c>
      <c r="T210" s="788">
        <f t="shared" si="1045"/>
        <v>1.8348832450376218</v>
      </c>
      <c r="U210" s="788">
        <f t="shared" si="1045"/>
        <v>1.9692774850406547</v>
      </c>
      <c r="V210" s="788">
        <f t="shared" si="1045"/>
        <v>-0.61309393474928697</v>
      </c>
      <c r="W210" s="788">
        <f t="shared" si="1045"/>
        <v>-1.3439083498567927</v>
      </c>
      <c r="X210" s="788">
        <f t="shared" si="1045"/>
        <v>1.8244752121482799</v>
      </c>
      <c r="Y210" s="788">
        <f t="shared" si="1045"/>
        <v>3.0045836348882471</v>
      </c>
      <c r="Z210" s="788">
        <f t="shared" si="1045"/>
        <v>2.9233291459961341</v>
      </c>
      <c r="AA210" s="788">
        <f t="shared" si="1045"/>
        <v>5.1985932974762061</v>
      </c>
      <c r="AB210" s="788">
        <f t="shared" si="1045"/>
        <v>2.6291467563368753</v>
      </c>
      <c r="AC210" s="788">
        <f t="shared" si="1045"/>
        <v>2.7840582487066445</v>
      </c>
      <c r="AD210" s="788">
        <f t="shared" si="1045"/>
        <v>0.84260760956695879</v>
      </c>
      <c r="AE210" s="788">
        <f t="shared" si="1045"/>
        <v>-0.86514465292539811</v>
      </c>
      <c r="AF210" s="788">
        <f t="shared" si="1045"/>
        <v>-2.4670408562850854</v>
      </c>
      <c r="AG210" s="788">
        <f t="shared" si="1045"/>
        <v>-1.4377485469562634</v>
      </c>
      <c r="AH210" s="788">
        <f t="shared" si="1045"/>
        <v>-0.80113283674735358</v>
      </c>
      <c r="AI210" s="788">
        <f t="shared" si="1045"/>
        <v>1.2319364868299987</v>
      </c>
      <c r="AJ210" s="788">
        <f t="shared" si="1045"/>
        <v>1.1860379763951379</v>
      </c>
      <c r="AK210" s="788">
        <f t="shared" si="1045"/>
        <v>1.1053204283832496</v>
      </c>
      <c r="AL210" s="788">
        <f t="shared" si="1045"/>
        <v>0.87609984517200701</v>
      </c>
      <c r="AM210" s="788">
        <f t="shared" si="1045"/>
        <v>-0.42675850709392726</v>
      </c>
      <c r="AN210" s="788">
        <f t="shared" si="1045"/>
        <v>-0.55453212526787032</v>
      </c>
      <c r="AO210" s="788">
        <f t="shared" si="1045"/>
        <v>0.51036803205868342</v>
      </c>
      <c r="AP210" s="788">
        <f t="shared" si="1045"/>
        <v>2.2906362251518653</v>
      </c>
      <c r="AQ210" s="788">
        <f>(AQ205/AP205-1)*100</f>
        <v>1.4947325844349324</v>
      </c>
      <c r="AR210" s="788">
        <f>(AR205/AQ205-1)*100</f>
        <v>1.7498731975943871</v>
      </c>
      <c r="AS210" s="788">
        <f>(AS205/AR205-1)*100</f>
        <v>1.7482641979704505</v>
      </c>
      <c r="AT210" s="788">
        <f>(AT205/AS205-1)*100</f>
        <v>2.2676371780515181</v>
      </c>
      <c r="AU210" s="788">
        <f t="shared" si="1045"/>
        <v>1.2062003832466361</v>
      </c>
      <c r="AV210" s="788">
        <f t="shared" si="1045"/>
        <v>2.0709008841478971</v>
      </c>
      <c r="AW210" s="788">
        <f t="shared" si="1045"/>
        <v>0.74530458113883924</v>
      </c>
      <c r="AX210" s="788">
        <f t="shared" si="1045"/>
        <v>0.71184323009141348</v>
      </c>
      <c r="AY210" s="788">
        <f t="shared" si="1045"/>
        <v>2.2200094676874338</v>
      </c>
      <c r="AZ210" s="788">
        <f t="shared" si="1045"/>
        <v>0.83198926877565693</v>
      </c>
      <c r="BA210" s="788">
        <f t="shared" si="1045"/>
        <v>0.14253587152766034</v>
      </c>
      <c r="BB210" s="788">
        <f t="shared" ref="BB210:BN210" si="1046">(BB205/BA205-1)*100</f>
        <v>0.80180921052630527</v>
      </c>
      <c r="BC210" s="788">
        <f t="shared" si="1046"/>
        <v>2.9118749901943852</v>
      </c>
      <c r="BD210" s="788">
        <f t="shared" si="1046"/>
        <v>1.2104581141855197</v>
      </c>
      <c r="BE210" s="788">
        <f t="shared" si="1046"/>
        <v>1.2246004609197447</v>
      </c>
      <c r="BF210" s="788">
        <f t="shared" si="1046"/>
        <v>1.0267551560965371</v>
      </c>
      <c r="BG210" s="788">
        <f t="shared" si="1046"/>
        <v>2.0753549755494038</v>
      </c>
      <c r="BH210" s="788">
        <f t="shared" si="1046"/>
        <v>2.7719657724996738</v>
      </c>
      <c r="BI210" s="788">
        <f t="shared" si="1046"/>
        <v>-0.29766083513519392</v>
      </c>
      <c r="BJ210" s="788">
        <f t="shared" si="1046"/>
        <v>-8.6804675397831321</v>
      </c>
      <c r="BK210" s="788">
        <f t="shared" si="1046"/>
        <v>-5.5068932547882703</v>
      </c>
      <c r="BL210" s="788">
        <f t="shared" si="1046"/>
        <v>0.51081191350470512</v>
      </c>
      <c r="BM210" s="788">
        <f t="shared" si="1046"/>
        <v>3.5493927388452251</v>
      </c>
      <c r="BN210" s="788">
        <f t="shared" si="1046"/>
        <v>1.669959544642019</v>
      </c>
      <c r="BO210" s="788">
        <f t="shared" ref="BO210:CH210" si="1047">(BO205/BN205-1)*100</f>
        <v>1.9617822606764479</v>
      </c>
      <c r="BP210" s="788">
        <f t="shared" si="1047"/>
        <v>4.7117726248279368</v>
      </c>
      <c r="BQ210" s="788">
        <f t="shared" si="1047"/>
        <v>0.56770577528675314</v>
      </c>
      <c r="BR210" s="788">
        <f t="shared" si="1047"/>
        <v>1.5886467774601787</v>
      </c>
      <c r="BS210" s="788">
        <f t="shared" si="1047"/>
        <v>3.2930364086249719</v>
      </c>
      <c r="BT210" s="788">
        <f t="shared" si="1047"/>
        <v>1.370219289840402</v>
      </c>
      <c r="BU210" s="788">
        <f t="shared" si="1047"/>
        <v>2.0579299169535936</v>
      </c>
      <c r="BV210" s="788">
        <f t="shared" si="1047"/>
        <v>-3.219148176080644</v>
      </c>
      <c r="BW210" s="788">
        <f t="shared" si="1047"/>
        <v>2.3227517567604439</v>
      </c>
      <c r="BX210" s="788">
        <f t="shared" si="1047"/>
        <v>-0.97134077092658755</v>
      </c>
      <c r="BY210" s="788">
        <f t="shared" si="1047"/>
        <v>-0.75690115761352095</v>
      </c>
      <c r="BZ210" s="788">
        <f t="shared" si="1047"/>
        <v>5.5739086694672757E-2</v>
      </c>
      <c r="CA210" s="788">
        <f t="shared" si="1047"/>
        <v>-0.36414032990027545</v>
      </c>
      <c r="CB210" s="788">
        <f t="shared" si="1047"/>
        <v>0.30410473203328348</v>
      </c>
      <c r="CC210" s="788">
        <f t="shared" si="1047"/>
        <v>1.1080445393117921</v>
      </c>
      <c r="CD210" s="788">
        <f t="shared" si="1047"/>
        <v>2.0331325301204739</v>
      </c>
      <c r="CE210" s="788">
        <f t="shared" si="1047"/>
        <v>1.1175540326831879</v>
      </c>
      <c r="CF210" s="788">
        <f t="shared" si="1047"/>
        <v>1.5835157960587987</v>
      </c>
      <c r="CG210" s="788">
        <f t="shared" si="1047"/>
        <v>3.7950810207459273</v>
      </c>
      <c r="CH210" s="788">
        <f t="shared" si="1047"/>
        <v>-1.1174151122977372</v>
      </c>
      <c r="CI210" s="788">
        <f t="shared" ref="CI210" si="1048">(CI205/CH205-1)*100</f>
        <v>2.0475767841294124</v>
      </c>
      <c r="CJ210" s="788">
        <f t="shared" ref="CJ210:CT210" si="1049">(CJ205/CI205-1)*100</f>
        <v>-1.2617137257303845</v>
      </c>
      <c r="CK210" s="788">
        <f t="shared" si="1049"/>
        <v>-0.33000434216240437</v>
      </c>
      <c r="CL210" s="788">
        <f t="shared" si="1049"/>
        <v>3.7291975254857501</v>
      </c>
      <c r="CM210" s="788">
        <f t="shared" si="1049"/>
        <v>-0.59878802423950495</v>
      </c>
      <c r="CN210" s="788">
        <f t="shared" si="1049"/>
        <v>6.1277705345502032</v>
      </c>
      <c r="CO210" s="788">
        <f t="shared" si="1049"/>
        <v>3.0564655564655485</v>
      </c>
      <c r="CP210" s="788">
        <f t="shared" si="1049"/>
        <v>1.3565271139857948</v>
      </c>
      <c r="CQ210" s="788">
        <f t="shared" si="1049"/>
        <v>-0.51618242801759751</v>
      </c>
      <c r="CR210" s="788">
        <f t="shared" si="1049"/>
        <v>0.77719640081441721</v>
      </c>
      <c r="CS210" s="788">
        <f t="shared" si="1049"/>
        <v>-0.73861661452901961</v>
      </c>
      <c r="CT210" s="788">
        <f t="shared" si="1049"/>
        <v>1.5702967696752168</v>
      </c>
      <c r="CU210" s="3718">
        <v>1.6</v>
      </c>
      <c r="CV210" s="3718">
        <v>1.55</v>
      </c>
      <c r="CW210" s="3718">
        <v>1.4</v>
      </c>
      <c r="CX210" s="3718">
        <v>1.3</v>
      </c>
      <c r="CY210" s="3718">
        <v>1.1000000000000001</v>
      </c>
      <c r="CZ210" s="3718">
        <v>0.93</v>
      </c>
      <c r="DA210" s="3718">
        <v>0.87</v>
      </c>
      <c r="DB210" s="3718">
        <v>0.84</v>
      </c>
    </row>
    <row r="211" spans="1:106">
      <c r="C211" s="1458"/>
      <c r="D211" s="1487"/>
      <c r="E211" s="1488" t="s">
        <v>74</v>
      </c>
      <c r="F211" s="1562"/>
      <c r="G211" s="1511"/>
      <c r="H211" s="1512"/>
      <c r="I211" s="1512"/>
      <c r="J211" s="1512"/>
      <c r="K211" s="1513"/>
      <c r="L211" s="1513"/>
      <c r="M211" s="1513"/>
      <c r="N211" s="1514">
        <f>N206/J206*100-100</f>
        <v>5.2589911784664167</v>
      </c>
      <c r="O211" s="1513"/>
      <c r="P211" s="1513"/>
      <c r="Q211" s="1513"/>
      <c r="R211" s="1514">
        <f>R206/N206*100-100</f>
        <v>8.2575417617353253</v>
      </c>
      <c r="S211" s="1513"/>
      <c r="T211" s="1513"/>
      <c r="U211" s="1513"/>
      <c r="V211" s="1514">
        <f>V206/R206*100-100</f>
        <v>4.9887905466943891</v>
      </c>
      <c r="W211" s="1513"/>
      <c r="X211" s="1513"/>
      <c r="Y211" s="1513"/>
      <c r="Z211" s="1514">
        <f>Z206/V206*100-100</f>
        <v>3.2558708550901088</v>
      </c>
      <c r="AA211" s="1513"/>
      <c r="AB211" s="1513"/>
      <c r="AC211" s="1513"/>
      <c r="AD211" s="1514">
        <f>AD206/Z206*100-100</f>
        <v>13.515973374119469</v>
      </c>
      <c r="AE211" s="1513"/>
      <c r="AF211" s="1513"/>
      <c r="AG211" s="1513"/>
      <c r="AH211" s="1514">
        <f>AH206/AD206*100-100</f>
        <v>-1.0242858701685691</v>
      </c>
      <c r="AI211" s="1513"/>
      <c r="AJ211" s="1513"/>
      <c r="AK211" s="1513"/>
      <c r="AL211" s="1514">
        <f>AL206/AH206*100-100</f>
        <v>0.91936612629541514</v>
      </c>
      <c r="AM211" s="1513"/>
      <c r="AN211" s="1513"/>
      <c r="AO211" s="1513"/>
      <c r="AP211" s="1514">
        <f>AP206/AL206*100-100</f>
        <v>1.4842785218960586</v>
      </c>
      <c r="AQ211" s="1513"/>
      <c r="AR211" s="1513"/>
      <c r="AS211" s="1513"/>
      <c r="AT211" s="1514">
        <f>AT206/AP206*100-100</f>
        <v>6.2289097418856727</v>
      </c>
      <c r="AU211" s="1513"/>
      <c r="AV211" s="1513"/>
      <c r="AW211" s="1513"/>
      <c r="AX211" s="1514">
        <f>AX206/AT206*100-100</f>
        <v>6.4527214570831717</v>
      </c>
      <c r="AY211" s="1513"/>
      <c r="AZ211" s="1513"/>
      <c r="BA211" s="1515"/>
      <c r="BB211" s="1516">
        <f>BB206/AX206*100-100</f>
        <v>4.5997847860276551</v>
      </c>
      <c r="BC211" s="1515"/>
      <c r="BD211" s="1515"/>
      <c r="BE211" s="1515"/>
      <c r="BF211" s="1516">
        <f>BF206/BB206*100-100</f>
        <v>5.6755323779151183</v>
      </c>
      <c r="BG211" s="1515"/>
      <c r="BH211" s="1515"/>
      <c r="BI211" s="1515"/>
      <c r="BJ211" s="1516">
        <f>BJ206/BF206*100-100</f>
        <v>3.4825032387542336</v>
      </c>
      <c r="BK211" s="1515"/>
      <c r="BL211" s="1515"/>
      <c r="BM211" s="1515"/>
      <c r="BN211" s="2937">
        <f>BN206/BJ206*100-100</f>
        <v>-9.0104530373147185</v>
      </c>
      <c r="BO211" s="1515"/>
      <c r="BP211" s="1515"/>
      <c r="BQ211" s="1515"/>
      <c r="BR211" s="2937">
        <f>BR206/BN206*100-100</f>
        <v>9.6251729787335591</v>
      </c>
      <c r="BS211" s="1515"/>
      <c r="BT211" s="1515"/>
      <c r="BU211" s="1515"/>
      <c r="BV211" s="2937">
        <f>BV206/BR206*100-100</f>
        <v>7.3102607724144946</v>
      </c>
      <c r="BW211" s="1515"/>
      <c r="BX211" s="1515"/>
      <c r="BY211" s="1515"/>
      <c r="BZ211" s="1516">
        <f>BZ206/BV206*100-100</f>
        <v>9.5999783662463756E-2</v>
      </c>
      <c r="CA211" s="1515"/>
      <c r="CB211" s="1515"/>
      <c r="CC211" s="1515"/>
      <c r="CD211" s="1516">
        <f>CD206/BZ206*100-100</f>
        <v>0.34209335467616597</v>
      </c>
      <c r="CE211" s="1515"/>
      <c r="CF211" s="1515"/>
      <c r="CG211" s="1515"/>
      <c r="CH211" s="1516">
        <f>CH206/CD206*100-100</f>
        <v>6.2053437709293462</v>
      </c>
      <c r="CI211" s="1515"/>
      <c r="CJ211" s="1515"/>
      <c r="CK211" s="1515"/>
      <c r="CL211" s="1516">
        <f>CL206/CH206*100-100</f>
        <v>3.2782054004037064</v>
      </c>
      <c r="CM211" s="1515"/>
      <c r="CN211" s="1515"/>
      <c r="CO211" s="1515"/>
      <c r="CP211" s="1516">
        <f>CP206/CL206*100-100</f>
        <v>8.3644765183453131</v>
      </c>
      <c r="CQ211" s="1515"/>
      <c r="CR211" s="1515"/>
      <c r="CS211" s="1515"/>
      <c r="CT211" s="1516">
        <f>CT206/CP206*100-100</f>
        <v>4.0903234940185627</v>
      </c>
      <c r="CU211" s="1515"/>
      <c r="CV211" s="1515"/>
      <c r="CW211" s="1515"/>
      <c r="CX211" s="1516">
        <f>CX206/CT206*100-100</f>
        <v>4.8757782435979919</v>
      </c>
      <c r="CY211" s="1515"/>
      <c r="CZ211" s="1515"/>
      <c r="DA211" s="1515"/>
      <c r="DB211" s="1516">
        <f>DB206/CX206*100-100</f>
        <v>4.5728104572951906</v>
      </c>
    </row>
    <row r="212" spans="1:106" s="749" customFormat="1" ht="12.75" customHeight="1">
      <c r="A212" s="714"/>
      <c r="B212" s="714"/>
      <c r="C212" s="716"/>
      <c r="D212" s="766"/>
      <c r="E212" s="1502" t="s">
        <v>675</v>
      </c>
      <c r="F212" s="766"/>
      <c r="G212" s="1503"/>
      <c r="H212" s="1503"/>
      <c r="I212" s="1503"/>
      <c r="J212" s="1504"/>
      <c r="K212" s="1503"/>
      <c r="L212" s="1503"/>
      <c r="M212" s="1503"/>
      <c r="N212" s="1505">
        <f ca="1">N207/J207*100-100</f>
        <v>-1.0924432388519563</v>
      </c>
      <c r="O212" s="1503"/>
      <c r="P212" s="1503"/>
      <c r="Q212" s="1503"/>
      <c r="R212" s="1505">
        <f ca="1">R207/N207*100-100</f>
        <v>8.21766779414979</v>
      </c>
      <c r="S212" s="1503"/>
      <c r="T212" s="1503"/>
      <c r="U212" s="1503"/>
      <c r="V212" s="1505">
        <f ca="1">V207/R207*100-100</f>
        <v>4.9930012074739238</v>
      </c>
      <c r="W212" s="1503"/>
      <c r="X212" s="1503"/>
      <c r="Y212" s="1503"/>
      <c r="Z212" s="1505">
        <f ca="1">Z207/V207*100-100</f>
        <v>3.2603595588509506</v>
      </c>
      <c r="AA212" s="1503"/>
      <c r="AB212" s="1503"/>
      <c r="AC212" s="1503"/>
      <c r="AD212" s="1505">
        <f ca="1">AD207/Z207*100-100</f>
        <v>13.137639776154558</v>
      </c>
      <c r="AE212" s="1503"/>
      <c r="AF212" s="1503"/>
      <c r="AG212" s="1503"/>
      <c r="AH212" s="1505">
        <f ca="1">AH207/AD207*100-100</f>
        <v>-0.6891072770329032</v>
      </c>
      <c r="AI212" s="1503"/>
      <c r="AJ212" s="1503"/>
      <c r="AK212" s="1503"/>
      <c r="AL212" s="1505">
        <f ca="1">AL207/AH207*100-100</f>
        <v>0.91226840390916664</v>
      </c>
      <c r="AM212" s="1503"/>
      <c r="AN212" s="1503"/>
      <c r="AO212" s="1503"/>
      <c r="AP212" s="1505">
        <f ca="1">AP207/AL207*100-100</f>
        <v>1.4788086968683416</v>
      </c>
      <c r="AQ212" s="1503"/>
      <c r="AR212" s="1503"/>
      <c r="AS212" s="1503"/>
      <c r="AT212" s="1505">
        <f ca="1">AT207/AP207*100-100</f>
        <v>6.2794354821921416</v>
      </c>
      <c r="AU212" s="1503"/>
      <c r="AV212" s="1503"/>
      <c r="AW212" s="1503"/>
      <c r="AX212" s="1505">
        <f ca="1">AX207/AT207*100-100</f>
        <v>6.2092888389723555</v>
      </c>
      <c r="AY212" s="1503"/>
      <c r="AZ212" s="1503"/>
      <c r="BA212" s="1517"/>
      <c r="BB212" s="1518">
        <f ca="1">BB207/AX207*100-100</f>
        <v>4.6003261535048949</v>
      </c>
      <c r="BC212" s="1517"/>
      <c r="BD212" s="1517"/>
      <c r="BE212" s="1517"/>
      <c r="BF212" s="1518">
        <f ca="1">BF207/BB207*100-100</f>
        <v>5.8541914431290252</v>
      </c>
      <c r="BG212" s="1517"/>
      <c r="BH212" s="1517"/>
      <c r="BI212" s="1517"/>
      <c r="BJ212" s="1518">
        <f ca="1">BJ207/BF207*100-100</f>
        <v>3.5559621013944565</v>
      </c>
      <c r="BK212" s="1517"/>
      <c r="BL212" s="1517"/>
      <c r="BM212" s="1517"/>
      <c r="BN212" s="2936">
        <f ca="1">BN207/BJ207*100-100</f>
        <v>-9.1151118973871803</v>
      </c>
      <c r="BO212" s="1517"/>
      <c r="BP212" s="1517"/>
      <c r="BQ212" s="1517"/>
      <c r="BR212" s="2936">
        <f ca="1">BR207/BN207*100-100</f>
        <v>9.6247631466433603</v>
      </c>
      <c r="BS212" s="1517"/>
      <c r="BT212" s="1517"/>
      <c r="BU212" s="1517"/>
      <c r="BV212" s="2936">
        <f ca="1">BV207/BR207*100-100</f>
        <v>7.3107878151029269</v>
      </c>
      <c r="BW212" s="1517"/>
      <c r="BX212" s="1517"/>
      <c r="BY212" s="1517"/>
      <c r="BZ212" s="1518">
        <f ca="1">BZ207/BV207*100-100</f>
        <v>9.5490410733916065E-2</v>
      </c>
      <c r="CA212" s="1517"/>
      <c r="CB212" s="1517"/>
      <c r="CC212" s="1517"/>
      <c r="CD212" s="1518">
        <f ca="1">CD207/BZ207*100-100</f>
        <v>0.34233286555367215</v>
      </c>
      <c r="CE212" s="1517"/>
      <c r="CF212" s="1517"/>
      <c r="CG212" s="1517"/>
      <c r="CH212" s="1518">
        <f ca="1">CH207/CD207*100-100</f>
        <v>6.2054125404542191</v>
      </c>
      <c r="CI212" s="1517"/>
      <c r="CJ212" s="1517"/>
      <c r="CK212" s="1517"/>
      <c r="CL212" s="1518">
        <f ca="1">CL207/CH207*100-100</f>
        <v>3.278205323230992</v>
      </c>
      <c r="CM212" s="1517"/>
      <c r="CN212" s="1517"/>
      <c r="CO212" s="1517"/>
      <c r="CP212" s="1518">
        <f ca="1">CP207/CL207*100-100</f>
        <v>8.3642280580936017</v>
      </c>
      <c r="CQ212" s="1517"/>
      <c r="CR212" s="1517"/>
      <c r="CS212" s="1517"/>
      <c r="CT212" s="1518">
        <f ca="1">CT207/CP207*100-100</f>
        <v>4.0903580942795088</v>
      </c>
      <c r="CU212" s="1517"/>
      <c r="CV212" s="1517"/>
      <c r="CW212" s="1517"/>
      <c r="CX212" s="1518">
        <f ca="1">CX207/CT207*100-100</f>
        <v>5.0478338547107313</v>
      </c>
      <c r="CY212" s="1517"/>
      <c r="CZ212" s="1517"/>
      <c r="DA212" s="1517"/>
      <c r="DB212" s="1518">
        <f ca="1">DB207/CX207*100-100</f>
        <v>4.5047708319876421</v>
      </c>
    </row>
    <row r="213" spans="1:106">
      <c r="A213" s="720"/>
      <c r="B213" s="720"/>
      <c r="AY213" s="218"/>
      <c r="BA213" s="218"/>
      <c r="BB213" s="218"/>
      <c r="BC213" s="218"/>
      <c r="BD213" s="218"/>
      <c r="BE213" s="218"/>
      <c r="BF213" s="218"/>
      <c r="BG213" s="218"/>
      <c r="BH213" s="218"/>
      <c r="BI213" s="1602"/>
      <c r="BJ213" s="1602"/>
      <c r="BK213" s="1602"/>
      <c r="BL213" s="1602"/>
      <c r="BM213" s="1602"/>
      <c r="BN213" s="1602"/>
      <c r="BO213" s="1602"/>
      <c r="BP213" s="1602"/>
      <c r="BQ213" s="1602"/>
      <c r="BR213" s="1602"/>
      <c r="BS213" s="1602"/>
      <c r="BT213" s="1602"/>
      <c r="BU213" s="1602"/>
      <c r="BV213" s="1602"/>
      <c r="BW213" s="1602"/>
      <c r="BX213" s="1602"/>
      <c r="BY213" s="1602"/>
      <c r="BZ213" s="1602"/>
      <c r="CA213" s="1602"/>
      <c r="CB213" s="1602"/>
      <c r="CC213" s="1602"/>
      <c r="CD213" s="1602"/>
      <c r="CE213" s="1602"/>
      <c r="CF213" s="1602"/>
      <c r="CG213" s="1602"/>
      <c r="CH213" s="1602"/>
      <c r="CI213" s="1602"/>
      <c r="CJ213" s="1602"/>
      <c r="CK213" s="1602"/>
      <c r="CL213" s="1602"/>
      <c r="CM213" s="1602"/>
      <c r="CN213" s="1602"/>
      <c r="CO213" s="1602"/>
      <c r="CP213" s="1602"/>
      <c r="CQ213" s="1602"/>
      <c r="CR213" s="1602"/>
      <c r="CS213" s="1602"/>
      <c r="CT213" s="1602"/>
      <c r="CU213" s="1602"/>
      <c r="CV213" s="1602"/>
      <c r="CW213" s="1602"/>
      <c r="CX213" s="1602"/>
      <c r="CY213" s="1602"/>
      <c r="CZ213" s="1602"/>
      <c r="DA213" s="1602"/>
      <c r="DB213" s="1602"/>
    </row>
    <row r="214" spans="1:106" s="749" customFormat="1" ht="12.75" customHeight="1">
      <c r="A214" s="714"/>
      <c r="B214" s="714"/>
      <c r="C214" s="716"/>
      <c r="D214" s="898"/>
      <c r="E214" s="899"/>
      <c r="F214" s="900"/>
      <c r="G214" s="1533" t="str">
        <f t="shared" ref="G214:BF214" si="1050">G209</f>
        <v>Q1</v>
      </c>
      <c r="H214" s="1533" t="str">
        <f t="shared" si="1050"/>
        <v>Q2</v>
      </c>
      <c r="I214" s="1533" t="str">
        <f t="shared" si="1050"/>
        <v>Q3</v>
      </c>
      <c r="J214" s="1533" t="str">
        <f t="shared" si="1050"/>
        <v>Q4</v>
      </c>
      <c r="K214" s="1534" t="str">
        <f t="shared" si="1050"/>
        <v>Q1</v>
      </c>
      <c r="L214" s="1533" t="str">
        <f t="shared" si="1050"/>
        <v>Q2</v>
      </c>
      <c r="M214" s="1533" t="str">
        <f t="shared" si="1050"/>
        <v>Q3</v>
      </c>
      <c r="N214" s="1535" t="str">
        <f t="shared" si="1050"/>
        <v>Q4</v>
      </c>
      <c r="O214" s="1534" t="str">
        <f t="shared" si="1050"/>
        <v>Q1</v>
      </c>
      <c r="P214" s="1533" t="str">
        <f t="shared" si="1050"/>
        <v>Q2</v>
      </c>
      <c r="Q214" s="1533" t="str">
        <f t="shared" si="1050"/>
        <v>Q3</v>
      </c>
      <c r="R214" s="1535" t="str">
        <f t="shared" si="1050"/>
        <v>Q4</v>
      </c>
      <c r="S214" s="1534" t="str">
        <f t="shared" si="1050"/>
        <v>Q1</v>
      </c>
      <c r="T214" s="1533" t="str">
        <f t="shared" si="1050"/>
        <v>Q2</v>
      </c>
      <c r="U214" s="1533" t="str">
        <f t="shared" si="1050"/>
        <v>Q3</v>
      </c>
      <c r="V214" s="1535" t="str">
        <f t="shared" si="1050"/>
        <v>Q4</v>
      </c>
      <c r="W214" s="1534" t="str">
        <f t="shared" si="1050"/>
        <v>Q1</v>
      </c>
      <c r="X214" s="1533" t="str">
        <f t="shared" si="1050"/>
        <v>Q2</v>
      </c>
      <c r="Y214" s="1533" t="str">
        <f t="shared" si="1050"/>
        <v>Q3</v>
      </c>
      <c r="Z214" s="1535" t="str">
        <f t="shared" si="1050"/>
        <v>Q4</v>
      </c>
      <c r="AA214" s="1534" t="str">
        <f t="shared" si="1050"/>
        <v>Q1</v>
      </c>
      <c r="AB214" s="1533" t="str">
        <f t="shared" si="1050"/>
        <v>Q2</v>
      </c>
      <c r="AC214" s="1533" t="str">
        <f t="shared" si="1050"/>
        <v>Q3</v>
      </c>
      <c r="AD214" s="1535" t="str">
        <f t="shared" si="1050"/>
        <v>Q4</v>
      </c>
      <c r="AE214" s="1534" t="str">
        <f t="shared" si="1050"/>
        <v>Q1</v>
      </c>
      <c r="AF214" s="1533" t="str">
        <f t="shared" si="1050"/>
        <v>Q2</v>
      </c>
      <c r="AG214" s="1533" t="str">
        <f t="shared" si="1050"/>
        <v>Q3</v>
      </c>
      <c r="AH214" s="1535" t="str">
        <f t="shared" si="1050"/>
        <v>Q4</v>
      </c>
      <c r="AI214" s="1534" t="str">
        <f t="shared" si="1050"/>
        <v>Q1</v>
      </c>
      <c r="AJ214" s="1533" t="str">
        <f t="shared" si="1050"/>
        <v>Q2</v>
      </c>
      <c r="AK214" s="1533" t="str">
        <f t="shared" si="1050"/>
        <v>Q3</v>
      </c>
      <c r="AL214" s="1535" t="str">
        <f t="shared" si="1050"/>
        <v>Q4</v>
      </c>
      <c r="AM214" s="1534" t="str">
        <f t="shared" si="1050"/>
        <v>Q1</v>
      </c>
      <c r="AN214" s="1533" t="str">
        <f t="shared" si="1050"/>
        <v>Q2</v>
      </c>
      <c r="AO214" s="1533" t="str">
        <f t="shared" si="1050"/>
        <v>Q3</v>
      </c>
      <c r="AP214" s="1535" t="str">
        <f t="shared" si="1050"/>
        <v>Q4</v>
      </c>
      <c r="AQ214" s="1534" t="str">
        <f t="shared" si="1050"/>
        <v>Q1</v>
      </c>
      <c r="AR214" s="1533" t="str">
        <f t="shared" si="1050"/>
        <v>Q2</v>
      </c>
      <c r="AS214" s="1533" t="str">
        <f t="shared" si="1050"/>
        <v>Q3</v>
      </c>
      <c r="AT214" s="1535" t="str">
        <f t="shared" si="1050"/>
        <v>Q4</v>
      </c>
      <c r="AU214" s="1534" t="str">
        <f t="shared" si="1050"/>
        <v>Q1</v>
      </c>
      <c r="AV214" s="1533" t="str">
        <f t="shared" si="1050"/>
        <v>Q2</v>
      </c>
      <c r="AW214" s="1533" t="str">
        <f t="shared" si="1050"/>
        <v>Q3</v>
      </c>
      <c r="AX214" s="1535" t="str">
        <f t="shared" si="1050"/>
        <v>Q4</v>
      </c>
      <c r="AY214" s="1534" t="str">
        <f>AY209</f>
        <v>Q1</v>
      </c>
      <c r="AZ214" s="1533" t="str">
        <f>AZ209</f>
        <v>Q2</v>
      </c>
      <c r="BA214" s="1533" t="str">
        <f t="shared" si="1050"/>
        <v>Q3</v>
      </c>
      <c r="BB214" s="1535" t="str">
        <f t="shared" si="1050"/>
        <v>Q4</v>
      </c>
      <c r="BC214" s="1534" t="str">
        <f t="shared" si="1050"/>
        <v>Q1</v>
      </c>
      <c r="BD214" s="1533" t="str">
        <f t="shared" si="1050"/>
        <v>Q2</v>
      </c>
      <c r="BE214" s="1533" t="str">
        <f>BE209</f>
        <v>Q3</v>
      </c>
      <c r="BF214" s="1535" t="str">
        <f t="shared" si="1050"/>
        <v>Q4</v>
      </c>
      <c r="BG214" s="1534" t="str">
        <f t="shared" ref="BG214:BN214" si="1051">BG209</f>
        <v>Q1</v>
      </c>
      <c r="BH214" s="1533" t="str">
        <f t="shared" si="1051"/>
        <v>Q2</v>
      </c>
      <c r="BI214" s="1533" t="str">
        <f t="shared" si="1051"/>
        <v>Q3</v>
      </c>
      <c r="BJ214" s="1535" t="str">
        <f t="shared" si="1051"/>
        <v>Q4</v>
      </c>
      <c r="BK214" s="1534" t="str">
        <f t="shared" si="1051"/>
        <v>Q1</v>
      </c>
      <c r="BL214" s="1533" t="str">
        <f t="shared" si="1051"/>
        <v>Q2</v>
      </c>
      <c r="BM214" s="1533" t="str">
        <f t="shared" si="1051"/>
        <v>Q3</v>
      </c>
      <c r="BN214" s="1535" t="str">
        <f t="shared" si="1051"/>
        <v>Q4</v>
      </c>
      <c r="BO214" s="1534" t="str">
        <f>BO209</f>
        <v>Q1</v>
      </c>
      <c r="BP214" s="1533" t="str">
        <f>BP209</f>
        <v>Q2</v>
      </c>
      <c r="BQ214" s="1533" t="str">
        <f t="shared" ref="BQ214:BV214" si="1052">BQ209</f>
        <v>Q3</v>
      </c>
      <c r="BR214" s="1535" t="str">
        <f t="shared" si="1052"/>
        <v>Q4</v>
      </c>
      <c r="BS214" s="1534" t="str">
        <f t="shared" si="1052"/>
        <v>Q1</v>
      </c>
      <c r="BT214" s="1533" t="str">
        <f t="shared" si="1052"/>
        <v>Q2</v>
      </c>
      <c r="BU214" s="1533" t="str">
        <f t="shared" si="1052"/>
        <v>Q3</v>
      </c>
      <c r="BV214" s="1535" t="str">
        <f t="shared" si="1052"/>
        <v>Q4</v>
      </c>
      <c r="BW214" s="1534" t="str">
        <f t="shared" ref="BW214:CD214" si="1053">BW209</f>
        <v>Q1</v>
      </c>
      <c r="BX214" s="1533" t="str">
        <f t="shared" si="1053"/>
        <v>Q2</v>
      </c>
      <c r="BY214" s="1533" t="str">
        <f t="shared" si="1053"/>
        <v>Q3</v>
      </c>
      <c r="BZ214" s="1535" t="str">
        <f t="shared" si="1053"/>
        <v>Q4</v>
      </c>
      <c r="CA214" s="1534" t="str">
        <f>CA209</f>
        <v>Q1</v>
      </c>
      <c r="CB214" s="1533" t="str">
        <f t="shared" si="1053"/>
        <v>Q2</v>
      </c>
      <c r="CC214" s="1533" t="str">
        <f t="shared" ref="CC214" si="1054">CC209</f>
        <v>Q3</v>
      </c>
      <c r="CD214" s="1535" t="str">
        <f t="shared" si="1053"/>
        <v>Q4</v>
      </c>
      <c r="CE214" s="1534" t="str">
        <f>CE209</f>
        <v>Q1</v>
      </c>
      <c r="CF214" s="1533" t="str">
        <f t="shared" ref="CF214:CH214" si="1055">CF209</f>
        <v>Q2</v>
      </c>
      <c r="CG214" s="1533" t="str">
        <f t="shared" si="1055"/>
        <v>Q3</v>
      </c>
      <c r="CH214" s="1535" t="str">
        <f t="shared" si="1055"/>
        <v>Q4</v>
      </c>
      <c r="CI214" s="1534" t="str">
        <f>CI209</f>
        <v>Q1</v>
      </c>
      <c r="CJ214" s="1533" t="str">
        <f t="shared" ref="CJ214:CL214" si="1056">CJ209</f>
        <v>Q2</v>
      </c>
      <c r="CK214" s="1533" t="str">
        <f t="shared" si="1056"/>
        <v>Q3</v>
      </c>
      <c r="CL214" s="1535" t="str">
        <f t="shared" si="1056"/>
        <v>Q4</v>
      </c>
      <c r="CM214" s="1534" t="str">
        <f>CM209</f>
        <v>Q1</v>
      </c>
      <c r="CN214" s="1533" t="str">
        <f t="shared" ref="CN214:CP214" si="1057">CN209</f>
        <v>Q2</v>
      </c>
      <c r="CO214" s="1533" t="str">
        <f t="shared" si="1057"/>
        <v>Q3</v>
      </c>
      <c r="CP214" s="1535" t="str">
        <f t="shared" si="1057"/>
        <v>Q4</v>
      </c>
      <c r="CQ214" s="1534" t="str">
        <f>CQ209</f>
        <v>Q1</v>
      </c>
      <c r="CR214" s="1533" t="str">
        <f t="shared" ref="CR214:CS214" si="1058">CR209</f>
        <v>Q2</v>
      </c>
      <c r="CS214" s="1533" t="str">
        <f t="shared" si="1058"/>
        <v>Q3</v>
      </c>
      <c r="CT214" s="1535" t="str">
        <f t="shared" ref="CT214" si="1059">CT209</f>
        <v>Q4</v>
      </c>
      <c r="CU214" s="1534" t="str">
        <f t="shared" ref="CU214:CX214" si="1060">CU209</f>
        <v>Q1</v>
      </c>
      <c r="CV214" s="1533" t="str">
        <f t="shared" si="1060"/>
        <v>Q2</v>
      </c>
      <c r="CW214" s="1533" t="str">
        <f t="shared" si="1060"/>
        <v>Q3</v>
      </c>
      <c r="CX214" s="1535" t="str">
        <f t="shared" si="1060"/>
        <v>Q4</v>
      </c>
      <c r="CY214" s="1534" t="str">
        <f t="shared" ref="CY214:DB214" si="1061">CY209</f>
        <v>Q1</v>
      </c>
      <c r="CZ214" s="1533" t="str">
        <f t="shared" si="1061"/>
        <v>Q2</v>
      </c>
      <c r="DA214" s="1533" t="str">
        <f t="shared" si="1061"/>
        <v>Q3</v>
      </c>
      <c r="DB214" s="1535" t="str">
        <f t="shared" si="1061"/>
        <v>Q4</v>
      </c>
    </row>
    <row r="215" spans="1:106" s="749" customFormat="1" ht="12.75" customHeight="1">
      <c r="A215" s="714"/>
      <c r="B215" s="714"/>
      <c r="C215" s="1023"/>
      <c r="D215" s="867"/>
      <c r="E215" s="868" t="s">
        <v>676</v>
      </c>
      <c r="F215" s="869"/>
      <c r="G215" s="2903"/>
      <c r="H215" s="2903"/>
      <c r="I215" s="2903"/>
      <c r="J215" s="2903"/>
      <c r="K215" s="2904">
        <f t="shared" ref="K215:BF215" si="1062">(K205/G205-1)*100</f>
        <v>3.4977673825217881</v>
      </c>
      <c r="L215" s="2904">
        <f t="shared" si="1062"/>
        <v>5.5830899884802054</v>
      </c>
      <c r="M215" s="2904">
        <f t="shared" si="1062"/>
        <v>6.3122834349566226</v>
      </c>
      <c r="N215" s="2904">
        <f t="shared" si="1062"/>
        <v>5.6511249803325114</v>
      </c>
      <c r="O215" s="2904">
        <f t="shared" si="1062"/>
        <v>6.7565485362095501</v>
      </c>
      <c r="P215" s="2904">
        <f t="shared" si="1062"/>
        <v>8.5027022912384851</v>
      </c>
      <c r="Q215" s="2904">
        <f t="shared" si="1062"/>
        <v>9.3862907097197912</v>
      </c>
      <c r="R215" s="2904">
        <f t="shared" si="1062"/>
        <v>8.3596018764426905</v>
      </c>
      <c r="S215" s="2904">
        <f t="shared" si="1062"/>
        <v>5.797310625195462</v>
      </c>
      <c r="T215" s="2904">
        <f t="shared" si="1062"/>
        <v>4.7378513633599795</v>
      </c>
      <c r="U215" s="2904">
        <f t="shared" si="1062"/>
        <v>5.4880583914630243</v>
      </c>
      <c r="V215" s="2904">
        <f t="shared" si="1062"/>
        <v>3.9695810522940356</v>
      </c>
      <c r="W215" s="2904">
        <f t="shared" si="1062"/>
        <v>1.8166935722243593</v>
      </c>
      <c r="X215" s="2904">
        <f t="shared" si="1062"/>
        <v>1.806287398410289</v>
      </c>
      <c r="Y215" s="2904">
        <f t="shared" si="1062"/>
        <v>2.8399386906065249</v>
      </c>
      <c r="Z215" s="2904">
        <f t="shared" si="1062"/>
        <v>6.4992289050451735</v>
      </c>
      <c r="AA215" s="2904">
        <f t="shared" si="1062"/>
        <v>13.561857972309067</v>
      </c>
      <c r="AB215" s="2904">
        <f t="shared" si="1062"/>
        <v>14.459284602057142</v>
      </c>
      <c r="AC215" s="2904">
        <f t="shared" si="1062"/>
        <v>14.214235527072194</v>
      </c>
      <c r="AD215" s="2904">
        <f t="shared" si="1062"/>
        <v>11.905254447662372</v>
      </c>
      <c r="AE215" s="2904">
        <f t="shared" si="1062"/>
        <v>5.4549387450101294</v>
      </c>
      <c r="AF215" s="2904">
        <f t="shared" si="1062"/>
        <v>0.21843264993295364</v>
      </c>
      <c r="AG215" s="2904">
        <f t="shared" si="1062"/>
        <v>-3.8979922823108359</v>
      </c>
      <c r="AH215" s="2904">
        <f t="shared" si="1062"/>
        <v>-5.4644606710416816</v>
      </c>
      <c r="AI215" s="2904">
        <f t="shared" si="1062"/>
        <v>-3.46467264624164</v>
      </c>
      <c r="AJ215" s="2904">
        <f t="shared" si="1062"/>
        <v>0.15104007341695258</v>
      </c>
      <c r="AK215" s="2904">
        <f t="shared" si="1062"/>
        <v>2.7351024208566166</v>
      </c>
      <c r="AL215" s="2904">
        <f t="shared" si="1062"/>
        <v>4.4721249926670481</v>
      </c>
      <c r="AM215" s="2904">
        <f t="shared" si="1062"/>
        <v>2.7603391991346315</v>
      </c>
      <c r="AN215" s="2904">
        <f t="shared" si="1062"/>
        <v>0.99268846763262975</v>
      </c>
      <c r="AO215" s="2904">
        <f t="shared" si="1062"/>
        <v>0.39839885200709801</v>
      </c>
      <c r="AP215" s="2904">
        <f t="shared" si="1062"/>
        <v>1.8062366637966454</v>
      </c>
      <c r="AQ215" s="2904">
        <f t="shared" si="1062"/>
        <v>3.7708184518215004</v>
      </c>
      <c r="AR215" s="2904">
        <f t="shared" si="1062"/>
        <v>6.1754531879099517</v>
      </c>
      <c r="AS215" s="2904">
        <f t="shared" si="1062"/>
        <v>7.4831211329057901</v>
      </c>
      <c r="AT215" s="2904">
        <f t="shared" si="1062"/>
        <v>7.4589546064606216</v>
      </c>
      <c r="AU215" s="2904">
        <f t="shared" si="1062"/>
        <v>7.1534671400623084</v>
      </c>
      <c r="AV215" s="2904">
        <f t="shared" si="1062"/>
        <v>7.491543528573974</v>
      </c>
      <c r="AW215" s="2904">
        <f t="shared" si="1062"/>
        <v>6.4319708846584556</v>
      </c>
      <c r="AX215" s="2904">
        <f t="shared" si="1062"/>
        <v>4.8128250752806023</v>
      </c>
      <c r="AY215" s="2904">
        <f t="shared" si="1062"/>
        <v>5.8627626663060317</v>
      </c>
      <c r="AZ215" s="2904">
        <f t="shared" si="1062"/>
        <v>4.5778263605949165</v>
      </c>
      <c r="BA215" s="2904">
        <f t="shared" si="1062"/>
        <v>3.952127309791531</v>
      </c>
      <c r="BB215" s="2904">
        <f t="shared" si="1062"/>
        <v>4.0449878389187122</v>
      </c>
      <c r="BC215" s="2904">
        <f t="shared" si="1062"/>
        <v>4.7492055380782716</v>
      </c>
      <c r="BD215" s="2904">
        <f t="shared" si="1062"/>
        <v>5.1423774983370807</v>
      </c>
      <c r="BE215" s="2904">
        <f t="shared" si="1062"/>
        <v>6.278466599190291</v>
      </c>
      <c r="BF215" s="2904">
        <f t="shared" si="1062"/>
        <v>6.5156340701925108</v>
      </c>
      <c r="BG215" s="2904">
        <f t="shared" ref="BG215:BN215" si="1063">(BG205/BC205-1)*100</f>
        <v>5.6498208704931718</v>
      </c>
      <c r="BH215" s="2904">
        <f t="shared" si="1063"/>
        <v>7.2798204521833387</v>
      </c>
      <c r="BI215" s="2904">
        <f t="shared" si="1063"/>
        <v>5.6664980208922522</v>
      </c>
      <c r="BJ215" s="2904">
        <f t="shared" si="1063"/>
        <v>-4.4865374418193493</v>
      </c>
      <c r="BK215" s="2904">
        <f t="shared" si="1063"/>
        <v>-11.581362462302137</v>
      </c>
      <c r="BL215" s="2904">
        <f t="shared" si="1063"/>
        <v>-13.526719272135001</v>
      </c>
      <c r="BM215" s="2904">
        <f t="shared" si="1063"/>
        <v>-10.190114068441069</v>
      </c>
      <c r="BN215" s="2905">
        <f t="shared" si="1063"/>
        <v>-1.0794806156133596E-2</v>
      </c>
      <c r="BO215" s="2904">
        <f>(BO205/BK205-1)*100</f>
        <v>7.8922888616891118</v>
      </c>
      <c r="BP215" s="2904">
        <f>(BP205/BL205-1)*100</f>
        <v>12.401766577904795</v>
      </c>
      <c r="BQ215" s="2904">
        <f t="shared" ref="BQ215:BV215" si="1064">(BQ205/BM205-1)*100</f>
        <v>9.1651770313921013</v>
      </c>
      <c r="BR215" s="2905">
        <f t="shared" si="1064"/>
        <v>9.0778698005829828</v>
      </c>
      <c r="BS215" s="2904">
        <f t="shared" si="1064"/>
        <v>10.502034457200772</v>
      </c>
      <c r="BT215" s="2904">
        <f t="shared" si="1064"/>
        <v>6.9757027706353281</v>
      </c>
      <c r="BU215" s="2904">
        <f t="shared" si="1064"/>
        <v>8.5608813685919003</v>
      </c>
      <c r="BV215" s="2905">
        <f t="shared" si="1064"/>
        <v>3.4231177094379728</v>
      </c>
      <c r="BW215" s="2904">
        <f t="shared" ref="BW215:CH215" si="1065">(BW205/BS205-1)*100</f>
        <v>2.4516111369671689</v>
      </c>
      <c r="BX215" s="2904">
        <f t="shared" si="1065"/>
        <v>8.5071906015787846E-2</v>
      </c>
      <c r="BY215" s="2904">
        <f t="shared" si="1065"/>
        <v>-2.6753463263604838</v>
      </c>
      <c r="BZ215" s="2905">
        <f t="shared" si="1065"/>
        <v>0.61794219779618409</v>
      </c>
      <c r="CA215" s="2904">
        <f t="shared" si="1065"/>
        <v>-2.0241833121785069</v>
      </c>
      <c r="CB215" s="2904">
        <f t="shared" si="1065"/>
        <v>-0.76229795731130867</v>
      </c>
      <c r="CC215" s="2904">
        <f t="shared" si="1065"/>
        <v>1.1025463246189915</v>
      </c>
      <c r="CD215" s="2905">
        <f t="shared" si="1065"/>
        <v>3.1006277344493016</v>
      </c>
      <c r="CE215" s="2904">
        <f t="shared" si="1065"/>
        <v>4.6338469930451431</v>
      </c>
      <c r="CF215" s="2904">
        <f t="shared" si="1065"/>
        <v>5.9684853099125856</v>
      </c>
      <c r="CG215" s="2904">
        <f t="shared" si="1065"/>
        <v>8.7846923407917323</v>
      </c>
      <c r="CH215" s="2905">
        <f t="shared" si="1065"/>
        <v>5.4256721138639996</v>
      </c>
      <c r="CI215" s="2904">
        <f t="shared" ref="CI215" si="1066">(CI205/CE205-1)*100</f>
        <v>6.3953185277864755</v>
      </c>
      <c r="CJ215" s="2904">
        <f t="shared" ref="CJ215:CS215" si="1067">(CJ205/CF205-1)*100</f>
        <v>3.4153163209011739</v>
      </c>
      <c r="CK215" s="2904">
        <f t="shared" si="1067"/>
        <v>-0.69467620919394513</v>
      </c>
      <c r="CL215" s="2905">
        <f t="shared" si="1067"/>
        <v>4.1726564746177974</v>
      </c>
      <c r="CM215" s="2904">
        <f t="shared" si="1067"/>
        <v>1.4711827034972647</v>
      </c>
      <c r="CN215" s="2904">
        <f t="shared" si="1067"/>
        <v>9.0651944668444848</v>
      </c>
      <c r="CO215" s="2904">
        <f t="shared" si="1067"/>
        <v>12.770883381670185</v>
      </c>
      <c r="CP215" s="2905">
        <f t="shared" si="1067"/>
        <v>10.191396172076562</v>
      </c>
      <c r="CQ215" s="2904">
        <f t="shared" si="1067"/>
        <v>10.282968757545019</v>
      </c>
      <c r="CR215" s="2904">
        <f t="shared" si="1067"/>
        <v>4.7229047229047083</v>
      </c>
      <c r="CS215" s="2904">
        <f t="shared" si="1067"/>
        <v>0.86645547964105951</v>
      </c>
      <c r="CT215" s="2905">
        <f t="shared" ref="CT215" si="1068">(CT205/CP205-1)*100</f>
        <v>1.0791915319946055</v>
      </c>
      <c r="CU215" s="2904">
        <f t="shared" ref="CU215" si="1069">(CU205/CQ205-1)*100</f>
        <v>3.229310156096088</v>
      </c>
      <c r="CV215" s="2904">
        <f t="shared" ref="CV215" si="1070">(CV205/CR205-1)*100</f>
        <v>4.0209176355578968</v>
      </c>
      <c r="CW215" s="2904">
        <f t="shared" ref="CW215" si="1071">(CW205/CS205-1)*100</f>
        <v>6.2620798592401439</v>
      </c>
      <c r="CX215" s="2905">
        <f t="shared" ref="CX215" si="1072">(CX205/CT205-1)*100</f>
        <v>5.9792974136000154</v>
      </c>
      <c r="CY215" s="2904">
        <f t="shared" ref="CY215" si="1073">(CY205/CU205-1)*100</f>
        <v>5.4577457531000073</v>
      </c>
      <c r="CZ215" s="2904">
        <f t="shared" ref="CZ215" si="1074">(CZ205/CV205-1)*100</f>
        <v>4.8138875318599839</v>
      </c>
      <c r="DA215" s="2904">
        <f t="shared" ref="DA215" si="1075">(DA205/CW205-1)*100</f>
        <v>4.2660437410129814</v>
      </c>
      <c r="DB215" s="2905">
        <f t="shared" ref="DB215" si="1076">(DB205/CX205-1)*100</f>
        <v>3.7925750330083829</v>
      </c>
    </row>
    <row r="216" spans="1:106" s="749" customFormat="1" ht="12.75" customHeight="1">
      <c r="A216" s="714"/>
      <c r="B216" s="714"/>
      <c r="C216" s="917"/>
      <c r="D216" s="724"/>
      <c r="E216" s="830" t="s">
        <v>569</v>
      </c>
      <c r="F216" s="754"/>
      <c r="G216" s="755"/>
      <c r="H216" s="755"/>
      <c r="I216" s="755"/>
      <c r="J216" s="755"/>
      <c r="K216" s="1469">
        <f>(4*K205/J206-1)*100</f>
        <v>3.6230823476189888</v>
      </c>
      <c r="L216" s="1469">
        <f>((K205+3*L205)/J206-1)*100</f>
        <v>4.5631145468818746</v>
      </c>
      <c r="M216" s="1469">
        <f>((K205+L205+2*M205)/J206-1)*100</f>
        <v>4.7866466197426849</v>
      </c>
      <c r="N216" s="1532"/>
      <c r="O216" s="1469">
        <f>(4*O205/N206-1)*100</f>
        <v>5.0973650446533014</v>
      </c>
      <c r="P216" s="1469">
        <f>((O205+3*P205)/N206-1)*100</f>
        <v>7.3556273266801142</v>
      </c>
      <c r="Q216" s="1469">
        <f>((O205+P205+2*Q205)/N206-1)*100</f>
        <v>8.028112932075171</v>
      </c>
      <c r="R216" s="1532"/>
      <c r="S216" s="1469">
        <f>(4*S205/R206-1)*100</f>
        <v>2.7089512155251017</v>
      </c>
      <c r="T216" s="1469">
        <f>((S205+3*T205)/R206-1)*100</f>
        <v>4.1223932182807399</v>
      </c>
      <c r="U216" s="1469">
        <f>((S205+T205+2*U205)/R206-1)*100</f>
        <v>5.1522617407346871</v>
      </c>
      <c r="V216" s="1532"/>
      <c r="W216" s="1469">
        <f>(4*W205/V206-1)*100</f>
        <v>-0.39426343915608397</v>
      </c>
      <c r="X216" s="1469">
        <f>((W205+3*X205)/V206-1)*100</f>
        <v>0.96869804091663791</v>
      </c>
      <c r="Y216" s="1469">
        <f>((W205+X205+2*Y205)/V206-1)*100</f>
        <v>2.4923677493619012</v>
      </c>
      <c r="Z216" s="1532"/>
      <c r="AA216" s="1469">
        <f>(4*AA205/Z206-1)*100</f>
        <v>9.5474031149695335</v>
      </c>
      <c r="AB216" s="1469">
        <f>((AA205+3*AB205)/Z206-1)*100</f>
        <v>11.707524611705921</v>
      </c>
      <c r="AC216" s="1469">
        <f>((AA205+AB205+2*AC205)/Z206-1)*100</f>
        <v>13.272549061847005</v>
      </c>
      <c r="AD216" s="1532"/>
      <c r="AE216" s="1469">
        <f>(4*AE205/AD206-1)*100</f>
        <v>1.7681859370626496</v>
      </c>
      <c r="AF216" s="1469">
        <f>((AE205+3*AF205)/AD206-1)*100</f>
        <v>-0.11481110726297983</v>
      </c>
      <c r="AG216" s="1469">
        <f>((AE205+AF205+2*AG205)/AD206-1)*100</f>
        <v>-0.82834790612056342</v>
      </c>
      <c r="AH216" s="1532"/>
      <c r="AI216" s="1469">
        <f>(4*AI205/AH206-1)*100</f>
        <v>-0.74105319669067748</v>
      </c>
      <c r="AJ216" s="1469">
        <f>((AI205+3*AJ205)/AH206-1)*100</f>
        <v>0.14188340635215013</v>
      </c>
      <c r="AK216" s="1469">
        <f>((AI205+AJ205+2*AK205)/AH206-1)*100</f>
        <v>0.69695430012175486</v>
      </c>
      <c r="AL216" s="1532"/>
      <c r="AM216" s="1469">
        <f>(4*AM205/AL206-1)*100</f>
        <v>1.0696304740191787</v>
      </c>
      <c r="AN216" s="1469">
        <f>((AM205+3*AN205)/AL206-1)*100</f>
        <v>0.64928279661822241</v>
      </c>
      <c r="AO216" s="1469">
        <f>((AM205+AN205+2*AO205)/AL206-1)*100</f>
        <v>0.90576612520185673</v>
      </c>
      <c r="AP216" s="1532"/>
      <c r="AQ216" s="1469">
        <f>(4*AQ205/AP206-1)*100</f>
        <v>3.3468279783773758</v>
      </c>
      <c r="AR216" s="1469">
        <f>((AQ205+3*AR205)/AP206-1)*100</f>
        <v>4.7031568108955701</v>
      </c>
      <c r="AS216" s="1469">
        <f>((AQ205+AR205+2*AS205)/AP206-1)*100</f>
        <v>5.62235274846139</v>
      </c>
      <c r="AT216" s="1532"/>
      <c r="AU216" s="1469">
        <f>(4*AU205/AT206-1)*100</f>
        <v>4.2463013384792969</v>
      </c>
      <c r="AV216" s="1469">
        <f>((AU205+3*AV205)/AT206-1)*100</f>
        <v>5.8654295205618157</v>
      </c>
      <c r="AW216" s="1469">
        <f>((AU205+AV205+2*AW205)/AT206-1)*100</f>
        <v>6.2619507080106107</v>
      </c>
      <c r="AX216" s="1532"/>
      <c r="AY216" s="1469">
        <f>(4*AY205/AX206-1)*100</f>
        <v>3.6685704825759391</v>
      </c>
      <c r="AZ216" s="1469">
        <f>((AY205+3*AZ205)/AX206-1)*100</f>
        <v>4.3154540187070767</v>
      </c>
      <c r="BA216" s="1469">
        <f>((AY205+AZ205+2*BA205)/AX206-1)*100</f>
        <v>4.3899511629831967</v>
      </c>
      <c r="BB216" s="1532"/>
      <c r="BC216" s="1469">
        <f>(4*BC205/BB206-1)*100</f>
        <v>3.8166609953548036</v>
      </c>
      <c r="BD216" s="1469">
        <f>((BC205+3*BD205)/BB206-1)*100</f>
        <v>4.7591538930258359</v>
      </c>
      <c r="BE216" s="1469">
        <f>((BC205+BD205+2*BE205)/BB206-1)*100</f>
        <v>5.4025180624688307</v>
      </c>
      <c r="BF216" s="1532"/>
      <c r="BG216" s="1469">
        <f>(4*BG205/BF206-1)*100</f>
        <v>3.7914017627809216</v>
      </c>
      <c r="BH216" s="1469">
        <f>((BG205+3*BH205)/BF206-1)*100</f>
        <v>5.9491983615273414</v>
      </c>
      <c r="BI216" s="1469">
        <f>((BG205+BH205+2*BI205)/BF206-1)*100</f>
        <v>5.7904432413003137</v>
      </c>
      <c r="BJ216" s="1532"/>
      <c r="BK216" s="1469">
        <f>(4*BK205/BJ206-1)*100</f>
        <v>-11.317430050763633</v>
      </c>
      <c r="BL216" s="1469">
        <f>((BK205+3*BL205)/BJ206-1)*100</f>
        <v>-10.977679201386504</v>
      </c>
      <c r="BM216" s="1469">
        <f>((BK205+BL205+2*BM205)/BJ206-1)*100</f>
        <v>-9.3957934575347615</v>
      </c>
      <c r="BN216" s="2906"/>
      <c r="BO216" s="1469">
        <f>(4*BO205/BN206-1)*100</f>
        <v>5.1567545213062171</v>
      </c>
      <c r="BP216" s="1469">
        <f>((BO205+3*BP205)/BN206-1)*100</f>
        <v>8.8728149008255208</v>
      </c>
      <c r="BQ216" s="1469">
        <f>((BO205+BP205+2*BQ205)/BN206-1)*100</f>
        <v>9.1853695780114144</v>
      </c>
      <c r="BR216" s="2906"/>
      <c r="BS216" s="1469">
        <f>(4*BS205/BR206-1)*100</f>
        <v>5.9978743547796309</v>
      </c>
      <c r="BT216" s="1469">
        <f>((BS205+3*BT205)/BR206-1)*100</f>
        <v>7.0871768457021256</v>
      </c>
      <c r="BU216" s="1469">
        <f>((BS205+BT205+2*BU205)/BR206-1)*100</f>
        <v>8.1928025507742586</v>
      </c>
      <c r="BV216" s="2906"/>
      <c r="BW216" s="1469">
        <f>(4*BW205/BV206-1)*100</f>
        <v>1.1986451861516922</v>
      </c>
      <c r="BX216" s="1469">
        <f>((BW205+3*BX205)/BV206-1)*100</f>
        <v>0.46140741091285076</v>
      </c>
      <c r="BY216" s="1469">
        <f>((BW205+BX205+2*BY205)/BV206-1)*100</f>
        <v>8.2140659964702323E-2</v>
      </c>
      <c r="BZ216" s="2906"/>
      <c r="CA216" s="1469">
        <f>(4*CA205/BZ206-1)*100</f>
        <v>-0.94489358971761028</v>
      </c>
      <c r="CB216" s="1469">
        <f>((CA205+3*CB205)/BZ206-1)*100</f>
        <v>-0.71897014028191597</v>
      </c>
      <c r="CC216" s="1469">
        <f>((CA205+CB205+2*CC205)/BZ206-1)*100</f>
        <v>-0.16851390324128523</v>
      </c>
      <c r="CD216" s="2906"/>
      <c r="CE216" s="1469">
        <f>(4*CE205/CD206-1)*100</f>
        <v>3.2918140483490399</v>
      </c>
      <c r="CF216" s="1469">
        <f>((CE205+3*CF205)/CD206-1)*100</f>
        <v>4.5185456919675238</v>
      </c>
      <c r="CG216" s="1469">
        <f>((CE205+CF205+2*CG205)/CD206-1)*100</f>
        <v>6.5095866806223368</v>
      </c>
      <c r="CH216" s="2906"/>
      <c r="CI216" s="1469">
        <f>(4*CI205/CH206-1)*100</f>
        <v>3.4765772303363196</v>
      </c>
      <c r="CJ216" s="1469">
        <f>((CI205+3*CJ205)/CH206-1)*100</f>
        <v>2.4973935969629268</v>
      </c>
      <c r="CK216" s="1469">
        <f>((CI205+CJ205+2*CK205)/CH206-1)*100</f>
        <v>2.3288092303109575</v>
      </c>
      <c r="CL216" s="2906"/>
      <c r="CM216" s="1469">
        <f>(4*CM205/CL206-1)*100</f>
        <v>1.6660836907895993</v>
      </c>
      <c r="CN216" s="1469">
        <f>((CM205+3*CN205)/CL206-1)*100</f>
        <v>6.33848193081612</v>
      </c>
      <c r="CO216" s="1469">
        <f>((CM205+CN205+2*CO205)/CL206-1)*100</f>
        <v>7.9873831747025337</v>
      </c>
      <c r="CP216" s="2906"/>
      <c r="CQ216" s="1469">
        <f>(4*CQ205/CP206-1)*100</f>
        <v>3.4659871168684298</v>
      </c>
      <c r="CR216" s="1469">
        <f>((CQ205+3*CR205)/CP206-1)*100</f>
        <v>4.0690875628229817</v>
      </c>
      <c r="CS216" s="1469">
        <f>((CQ205+CR205+2*CS205)/CP206-1)*100</f>
        <v>3.6840093438097465</v>
      </c>
      <c r="CT216" s="2906"/>
      <c r="CU216" s="1469">
        <f>(4*CU205/CT206-1)*100</f>
        <v>2.6101381585926786</v>
      </c>
      <c r="CV216" s="1469">
        <f>((CU205+3*CV205)/CT206-1)*100</f>
        <v>3.8029810146863241</v>
      </c>
      <c r="CW216" s="1469">
        <f>((CU205+CV205+2*CW205)/CT206-1)*100</f>
        <v>4.5323851817866911</v>
      </c>
      <c r="CX216" s="2906"/>
      <c r="CY216" s="1469">
        <f>(4*CY205/CX206-1)*100</f>
        <v>3.179533376000343</v>
      </c>
      <c r="CZ216" s="1469">
        <f>((CY205+3*CZ205)/CX206-1)*100</f>
        <v>3.8992106212979438</v>
      </c>
      <c r="DA216" s="1469">
        <f>((CY205+CZ205+2*DA205)/CX206-1)*100</f>
        <v>4.3522157195062805</v>
      </c>
      <c r="DB216" s="2906"/>
    </row>
    <row r="217" spans="1:106">
      <c r="C217" s="304"/>
      <c r="D217" s="872"/>
      <c r="E217" s="1467" t="s">
        <v>568</v>
      </c>
      <c r="F217" s="872"/>
      <c r="G217" s="919"/>
      <c r="H217" s="919"/>
      <c r="I217" s="919"/>
      <c r="J217" s="919"/>
      <c r="K217" s="1531"/>
      <c r="L217" s="926">
        <f>(4*L205/(K205+3*L205)-1)*100</f>
        <v>0.29966979061288868</v>
      </c>
      <c r="M217" s="926">
        <f>(4*M205/(K205+L205+2*M205)-1)*100</f>
        <v>0.51235167514236402</v>
      </c>
      <c r="N217" s="926">
        <f>+(4*N205/N206-1)*100</f>
        <v>1.8562878036139763</v>
      </c>
      <c r="O217" s="1531"/>
      <c r="P217" s="926">
        <f>(4*P205/(O205+3*P205)-1)*100</f>
        <v>0.70117804977127829</v>
      </c>
      <c r="Q217" s="926">
        <f>(4*Q205/(O205+P205+2*Q205)-1)*100</f>
        <v>1.3193229620702018</v>
      </c>
      <c r="R217" s="926">
        <f>+(4*R205/R206-1)*100</f>
        <v>1.9523131173956765</v>
      </c>
      <c r="S217" s="1531"/>
      <c r="T217" s="926">
        <f>(4*T205/(S205+3*T205)-1)*100</f>
        <v>0.45249376209033354</v>
      </c>
      <c r="U217" s="926">
        <f>(4*U205/(S205+T205+2*U205)-1)*100</f>
        <v>1.4274689215974856</v>
      </c>
      <c r="V217" s="926">
        <f>+(4*V205/V206-1)*100</f>
        <v>0.96258111872946639</v>
      </c>
      <c r="W217" s="1531"/>
      <c r="X217" s="926">
        <f>(4*X205/(W205+3*X205)-1)*100</f>
        <v>0.44996172296236647</v>
      </c>
      <c r="Y217" s="926">
        <f>(4*Y205/(W205+X205+2*Y205)-1)*100</f>
        <v>1.9298902398663165</v>
      </c>
      <c r="Z217" s="926">
        <f>+(4*Z205/Z206-1)*100</f>
        <v>4.1339049137244066</v>
      </c>
      <c r="AA217" s="1531"/>
      <c r="AB217" s="926">
        <f>(4*AB205/(AA205+3*AB205)-1)*100</f>
        <v>0.64457654165641642</v>
      </c>
      <c r="AC217" s="926">
        <f>(4*AC205/(AA205+AB205+2*AC205)-1)*100</f>
        <v>2.0173157291671684</v>
      </c>
      <c r="AD217" s="926">
        <f>+(4*AD205/AD206-1)*100</f>
        <v>2.6563115271300397</v>
      </c>
      <c r="AE217" s="1531"/>
      <c r="AF217" s="926">
        <f>(4*AF205/(AE205+3*AF205)-1)*100</f>
        <v>-0.62838713967483528</v>
      </c>
      <c r="AG217" s="926">
        <f>(4*AG205/(AE205+AF205+2*AG205)-1)*100</f>
        <v>-1.3524050996244763</v>
      </c>
      <c r="AH217" s="926">
        <f>+(4*AH205/AH206-1)*100</f>
        <v>-1.9489794940130922</v>
      </c>
      <c r="AI217" s="1531"/>
      <c r="AJ217" s="926">
        <f>(4*AJ205/(AI205+3*AJ205)-1)*100</f>
        <v>0.29389521247571437</v>
      </c>
      <c r="AK217" s="926">
        <f>(4*AK205/(AI205+AJ205+2*AK205)-1)*100</f>
        <v>0.8435042556027339</v>
      </c>
      <c r="AL217" s="926">
        <f>+(4*AL205/AL206-1)*100</f>
        <v>1.5028023178493388</v>
      </c>
      <c r="AM217" s="1531"/>
      <c r="AN217" s="926">
        <f>(4*AN205/(AM205+3*AN205)-1)*100</f>
        <v>-0.13921201281694717</v>
      </c>
      <c r="AO217" s="926">
        <f>(4*AO205/(AM205+AN205+2*AO205)-1)*100</f>
        <v>0.11532288053019979</v>
      </c>
      <c r="AP217" s="926">
        <f>+(4*AP205/AP206-1)*100</f>
        <v>1.8248192263590202</v>
      </c>
      <c r="AQ217" s="1531"/>
      <c r="AR217" s="926">
        <f>(4*AR205/(AQ205+3*AR205)-1)*100</f>
        <v>0.4318013177539326</v>
      </c>
      <c r="AS217" s="926">
        <f>(4*AS205/(AQ205+AR205+2*AS205)-1)*100</f>
        <v>1.2983099814780408</v>
      </c>
      <c r="AT217" s="926">
        <f>+(4*AT205/AT206-1)*100</f>
        <v>3.0038682844730991</v>
      </c>
      <c r="AU217" s="1531"/>
      <c r="AV217" s="926">
        <f>(4*AV205/(AU205+3*AV205)-1)*100</f>
        <v>0.5098070224356599</v>
      </c>
      <c r="AW217" s="926">
        <f>(4*AW205/(AU205+AV205+2*AW205)-1)*100</f>
        <v>0.88105909522486758</v>
      </c>
      <c r="AX217" s="926">
        <f>+(4*AX205/AX206-1)*100</f>
        <v>1.4171012333416222</v>
      </c>
      <c r="AY217" s="1531"/>
      <c r="AZ217" s="926">
        <f>(4*AZ205/(AY205+3*AZ205)-1)*100</f>
        <v>0.20670747916062826</v>
      </c>
      <c r="BA217" s="926">
        <f>(4*BA205/(AY205+AZ205+2*BA205)-1)*100</f>
        <v>0.27792425077410865</v>
      </c>
      <c r="BB217" s="926">
        <f>+(4*BB205/BB206-1)*100</f>
        <v>0.8791852303212</v>
      </c>
      <c r="BC217" s="1531"/>
      <c r="BD217" s="926">
        <f>(4*BD205/(BC205+3*BD205)-1)*100</f>
        <v>0.29989197845614601</v>
      </c>
      <c r="BE217" s="926">
        <f>(4*BE205/(BC205+BD205+2*BE205)-1)*100</f>
        <v>0.90844932954938784</v>
      </c>
      <c r="BF217" s="926">
        <f>+(4*BF205/BF206-1)*100</f>
        <v>1.6811568156119172</v>
      </c>
      <c r="BG217" s="1531"/>
      <c r="BH217" s="926">
        <f>(4*BH205/(BG205+3*BH205)-1)*100</f>
        <v>0.6788777489954656</v>
      </c>
      <c r="BI217" s="926">
        <f>(4*BI205/(BG205+BH205+2*BI205)-1)*100</f>
        <v>0.52983085760398563</v>
      </c>
      <c r="BJ217" s="926">
        <f>+(4*BJ205/BJ206-1)*100</f>
        <v>-6.1491647339341977</v>
      </c>
      <c r="BK217" s="1531"/>
      <c r="BL217" s="926">
        <f>(4*BL205/(BK205+3*BL205)-1)*100</f>
        <v>0.12721560403023968</v>
      </c>
      <c r="BM217" s="926">
        <f>(4*BM205/(BK205+BL205+2*BM205)-1)*100</f>
        <v>1.870924200614188</v>
      </c>
      <c r="BN217" s="2907">
        <f>+(4*BN205/BN206-1)*100</f>
        <v>3.1334998170799544</v>
      </c>
      <c r="BO217" s="1531"/>
      <c r="BP217" s="926">
        <f>(4*BP205/(BO205+3*BP205)-1)*100</f>
        <v>1.1377374547553165</v>
      </c>
      <c r="BQ217" s="926">
        <f>(4*BQ205/(BO205+BP205+2*BQ205)-1)*100</f>
        <v>1.4207411454065344</v>
      </c>
      <c r="BR217" s="2907">
        <f>+(4*BR205/BR206-1)*100</f>
        <v>2.6186062877020966</v>
      </c>
      <c r="BS217" s="1531"/>
      <c r="BT217" s="926">
        <f>(4*BT205/(BS205+3*BT205)-1)*100</f>
        <v>0.33907031728985793</v>
      </c>
      <c r="BU217" s="926">
        <f>(4*BU205/(BS205+BT205+2*BU205)-1)*100</f>
        <v>1.3575085410052035</v>
      </c>
      <c r="BV217" s="2907">
        <f>+(4*BV205/BV206-1)*100</f>
        <v>-1.0985890736020854</v>
      </c>
      <c r="BW217" s="1531"/>
      <c r="BX217" s="926">
        <f>(4*BX205/(BW205+3*BX205)-1)*100</f>
        <v>-0.24461724299206233</v>
      </c>
      <c r="BY217" s="926">
        <f>(4*BY205/(BW205+BX205+2*BY205)-1)*100</f>
        <v>-0.62449970784627107</v>
      </c>
      <c r="BZ217" s="2907">
        <f>+(4*BZ205/BZ206-1)*100</f>
        <v>-0.58287574547983834</v>
      </c>
      <c r="CA217" s="1531"/>
      <c r="CB217" s="926">
        <f>(4*CB205/(CA205+3*CB205)-1)*100</f>
        <v>7.585317818012971E-2</v>
      </c>
      <c r="CC217" s="926">
        <f>(4*CC205/(CA205+CB205+2*CC205)-1)*100</f>
        <v>0.6268203329285349</v>
      </c>
      <c r="CD217" s="2907">
        <f>+(4*CD205/CD206-1)*100</f>
        <v>2.1502300332176816</v>
      </c>
      <c r="CE217" s="1531"/>
      <c r="CF217" s="926">
        <f>(4*CF205/(CE205+3*CF205)-1)*100</f>
        <v>0.39123252736212866</v>
      </c>
      <c r="CG217" s="926">
        <f>(4*CG205/(CE205+CF205+2*CG205)-1)*100</f>
        <v>2.2532727910437922</v>
      </c>
      <c r="CH217" s="2907">
        <f>+(4*CH205/CH206-1)*100</f>
        <v>1.4003276620960792</v>
      </c>
      <c r="CI217" s="1531"/>
      <c r="CJ217" s="926">
        <f>(4*CJ205/(CI205+3*CJ205)-1)*100</f>
        <v>-0.31844179935074379</v>
      </c>
      <c r="CK217" s="926">
        <f>(4*CK205/(CI205+CJ205+2*CK205)-1)*100</f>
        <v>-0.48371413176100386</v>
      </c>
      <c r="CL217" s="2907">
        <f>+(4*CL205/CL206-1)*100</f>
        <v>2.2785151911240309</v>
      </c>
      <c r="CM217" s="1531"/>
      <c r="CN217" s="926">
        <f>(4*CN205/(CM205+3*CN205)-1)*100</f>
        <v>1.4646307260828939</v>
      </c>
      <c r="CO217" s="926">
        <f>(4*CO205/(CM205+CN205+2*CO205)-1)*100</f>
        <v>2.9692055031169451</v>
      </c>
      <c r="CP217" s="2907">
        <f>+(4*CP205/CP206-1)*100</f>
        <v>4.0028314574927615</v>
      </c>
      <c r="CQ217" s="1531"/>
      <c r="CR217" s="926">
        <f>(4*CR205/(CQ205+3*CR205)-1)*100</f>
        <v>0.19317309942157301</v>
      </c>
      <c r="CS217" s="926">
        <f>(4*CS205/(CQ205+CR205+2*CS205)-1)*100</f>
        <v>-0.17750542074247422</v>
      </c>
      <c r="CT217" s="2907">
        <f>+(4*CT205/CT206-1)*100</f>
        <v>0.99423047105577922</v>
      </c>
      <c r="CU217" s="1531"/>
      <c r="CV217" s="926">
        <f>(4*CV205/(CU205+3*CV205)-1)*100</f>
        <v>0.38304707772149893</v>
      </c>
      <c r="CW217" s="926">
        <f>(4*CW205/(CU205+CV205+2*CW205)-1)*100</f>
        <v>1.0781524314258828</v>
      </c>
      <c r="CX217" s="2907">
        <f>+(4*CX205/CX206-1)*100</f>
        <v>2.0569073946591132</v>
      </c>
      <c r="CY217" s="1531"/>
      <c r="CZ217" s="926">
        <f>(4*CZ205/(CY205+3*CZ205)-1)*100</f>
        <v>0.23088954542069828</v>
      </c>
      <c r="DA217" s="926">
        <f>(4*DA205/(CY205+CZ205+2*DA205)-1)*100</f>
        <v>0.66399885093959554</v>
      </c>
      <c r="DB217" s="2907">
        <f>+(4*DB205/DB206-1)*100</f>
        <v>1.2954435486148164</v>
      </c>
    </row>
    <row r="218" spans="1:106" ht="21" customHeight="1">
      <c r="BF218" s="2902"/>
      <c r="BG218" s="2902"/>
      <c r="BH218" s="2902"/>
      <c r="BI218" s="2902"/>
      <c r="BJ218" s="3024"/>
      <c r="BK218" s="2902"/>
      <c r="BL218" s="2902"/>
      <c r="BM218" s="2902"/>
      <c r="BN218" s="1257"/>
      <c r="BO218" s="2902"/>
      <c r="BP218" s="2902"/>
      <c r="BQ218" s="2902"/>
      <c r="BR218" s="2902"/>
      <c r="BS218" s="2902"/>
      <c r="BT218" s="2902"/>
      <c r="BU218" s="2902"/>
      <c r="BV218" s="2902"/>
      <c r="BW218" s="2902"/>
      <c r="BX218" s="2902"/>
      <c r="BY218" s="2902"/>
      <c r="BZ218" s="2902"/>
      <c r="CA218" s="2902"/>
      <c r="CB218" s="2902"/>
      <c r="CC218" s="2902"/>
      <c r="CD218" s="2902"/>
      <c r="CE218" s="2902"/>
      <c r="CG218" s="2902"/>
      <c r="CI218" s="2902"/>
      <c r="CM218" s="2902"/>
      <c r="CN218" s="2902"/>
      <c r="CO218" s="3789">
        <f>AVERAGE(BS219:CO219)</f>
        <v>43.612745768796138</v>
      </c>
      <c r="CQ218" s="2902"/>
      <c r="CR218" s="2902"/>
      <c r="CS218" s="3789">
        <f>AVERAGE(BW219:CS219)</f>
        <v>44.278687401966643</v>
      </c>
      <c r="CT218" s="2902"/>
      <c r="CU218" s="2902"/>
      <c r="CV218" s="2902"/>
      <c r="CW218" s="2902"/>
      <c r="CX218" s="2902"/>
      <c r="CY218" s="2902"/>
      <c r="CZ218" s="2902"/>
      <c r="DA218" s="2902"/>
      <c r="DB218" s="2902"/>
    </row>
    <row r="219" spans="1:106" ht="30" customHeight="1">
      <c r="G219" s="1602">
        <f t="shared" ref="G219:H219" si="1077">G205/G186*100</f>
        <v>33.806866682840486</v>
      </c>
      <c r="H219" s="1602">
        <f t="shared" si="1077"/>
        <v>33.59010123734533</v>
      </c>
      <c r="I219" s="1602">
        <f t="shared" ref="I219:BT219" si="1078">I205/I186*100</f>
        <v>33.501007846807283</v>
      </c>
      <c r="J219" s="1602">
        <f t="shared" si="1078"/>
        <v>33.989339893398935</v>
      </c>
      <c r="K219" s="1602">
        <f t="shared" si="1078"/>
        <v>34.465056999221126</v>
      </c>
      <c r="L219" s="1602">
        <f t="shared" si="1078"/>
        <v>34.517459733571556</v>
      </c>
      <c r="M219" s="1602">
        <f t="shared" si="1078"/>
        <v>34.436285172359796</v>
      </c>
      <c r="N219" s="1602">
        <f t="shared" si="1078"/>
        <v>34.659887647215697</v>
      </c>
      <c r="O219" s="1602">
        <f t="shared" si="1078"/>
        <v>35.203407628209469</v>
      </c>
      <c r="P219" s="1602">
        <f t="shared" si="1078"/>
        <v>35.681088072093118</v>
      </c>
      <c r="Q219" s="1602">
        <f t="shared" si="1078"/>
        <v>35.83732730719246</v>
      </c>
      <c r="R219" s="1602">
        <f t="shared" si="1078"/>
        <v>35.78911988457503</v>
      </c>
      <c r="S219" s="1602">
        <f t="shared" si="1078"/>
        <v>35.880889251478685</v>
      </c>
      <c r="T219" s="1602">
        <f t="shared" si="1078"/>
        <v>36.235073298598749</v>
      </c>
      <c r="U219" s="1602">
        <f t="shared" si="1078"/>
        <v>36.587808336604638</v>
      </c>
      <c r="V219" s="1602">
        <f t="shared" si="1078"/>
        <v>36.415127641480673</v>
      </c>
      <c r="W219" s="1602">
        <f t="shared" si="1078"/>
        <v>35.870200818654432</v>
      </c>
      <c r="X219" s="1602">
        <f t="shared" si="1078"/>
        <v>35.920685689076556</v>
      </c>
      <c r="Y219" s="1602">
        <f t="shared" si="1078"/>
        <v>36.325738239980197</v>
      </c>
      <c r="Z219" s="1602">
        <f t="shared" si="1078"/>
        <v>36.885277173705703</v>
      </c>
      <c r="AA219" s="1602">
        <f t="shared" si="1078"/>
        <v>37.889489919084454</v>
      </c>
      <c r="AB219" s="1602">
        <f t="shared" si="1078"/>
        <v>38.414261635053478</v>
      </c>
      <c r="AC219" s="1602">
        <f t="shared" si="1078"/>
        <v>39.04631577414964</v>
      </c>
      <c r="AD219" s="1602">
        <f t="shared" si="1078"/>
        <v>39.039158235064875</v>
      </c>
      <c r="AE219" s="1602">
        <f t="shared" si="1078"/>
        <v>38.617804214134487</v>
      </c>
      <c r="AF219" s="1602">
        <f t="shared" si="1078"/>
        <v>37.99809660803929</v>
      </c>
      <c r="AG219" s="1602">
        <f t="shared" si="1078"/>
        <v>37.494272435687634</v>
      </c>
      <c r="AH219" s="1602">
        <f t="shared" si="1078"/>
        <v>37.448282427375716</v>
      </c>
      <c r="AI219" s="1602">
        <f t="shared" si="1078"/>
        <v>37.407509104572519</v>
      </c>
      <c r="AJ219" s="1602">
        <f t="shared" si="1078"/>
        <v>37.590148758907233</v>
      </c>
      <c r="AK219" s="1602">
        <f t="shared" si="1078"/>
        <v>37.875721406555066</v>
      </c>
      <c r="AL219" s="1602">
        <f t="shared" si="1078"/>
        <v>38.048912501602409</v>
      </c>
      <c r="AM219" s="1602">
        <f t="shared" si="1078"/>
        <v>38.055927147343496</v>
      </c>
      <c r="AN219" s="1602">
        <f t="shared" si="1078"/>
        <v>37.717809781833736</v>
      </c>
      <c r="AO219" s="1602">
        <f t="shared" si="1078"/>
        <v>37.741058563833938</v>
      </c>
      <c r="AP219" s="1602">
        <f t="shared" si="1078"/>
        <v>38.219545786722122</v>
      </c>
      <c r="AQ219" s="1602">
        <f t="shared" si="1078"/>
        <v>38.146965739320315</v>
      </c>
      <c r="AR219" s="1602">
        <f t="shared" si="1078"/>
        <v>38.368272573891545</v>
      </c>
      <c r="AS219" s="1602">
        <f t="shared" si="1078"/>
        <v>38.638407193320489</v>
      </c>
      <c r="AT219" s="1602">
        <f t="shared" si="1078"/>
        <v>39.309686184307871</v>
      </c>
      <c r="AU219" s="1602">
        <f t="shared" si="1078"/>
        <v>39.399873447230824</v>
      </c>
      <c r="AV219" s="1602">
        <f t="shared" si="1078"/>
        <v>39.740670045415648</v>
      </c>
      <c r="AW219" s="1602">
        <f t="shared" si="1078"/>
        <v>39.944838455476756</v>
      </c>
      <c r="AX219" s="1602">
        <f t="shared" si="1078"/>
        <v>40.055577350595009</v>
      </c>
      <c r="AY219" s="1602">
        <f t="shared" si="1078"/>
        <v>40.410291488936075</v>
      </c>
      <c r="AZ219" s="1602">
        <f t="shared" si="1078"/>
        <v>40.533843467543143</v>
      </c>
      <c r="BA219" s="1602">
        <f t="shared" si="1078"/>
        <v>40.297746507596614</v>
      </c>
      <c r="BB219" s="1602">
        <f t="shared" si="1078"/>
        <v>40.337309749074457</v>
      </c>
      <c r="BC219" s="1602">
        <f t="shared" si="1078"/>
        <v>40.743754425630769</v>
      </c>
      <c r="BD219" s="1602">
        <f t="shared" si="1078"/>
        <v>40.878667528709087</v>
      </c>
      <c r="BE219" s="1602">
        <f t="shared" si="1078"/>
        <v>41.069235047148766</v>
      </c>
      <c r="BF219" s="1602">
        <f t="shared" si="1078"/>
        <v>41.263203957844581</v>
      </c>
      <c r="BG219" s="1602">
        <f t="shared" si="1078"/>
        <v>41.595491185844537</v>
      </c>
      <c r="BH219" s="1602">
        <f t="shared" si="1078"/>
        <v>42.137959188503203</v>
      </c>
      <c r="BI219" s="1602">
        <f t="shared" si="1078"/>
        <v>42.233165613959962</v>
      </c>
      <c r="BJ219" s="1602">
        <f t="shared" si="1078"/>
        <v>40.500399720195865</v>
      </c>
      <c r="BK219" s="1602">
        <f t="shared" si="1078"/>
        <v>39.369193405379008</v>
      </c>
      <c r="BL219" s="1602">
        <f t="shared" si="1078"/>
        <v>39.359139042798624</v>
      </c>
      <c r="BM219" s="1602">
        <f t="shared" si="1078"/>
        <v>40.017318625051765</v>
      </c>
      <c r="BN219" s="1602">
        <f t="shared" si="1078"/>
        <v>40.108251886675738</v>
      </c>
      <c r="BO219" s="1602">
        <f t="shared" si="1078"/>
        <v>40.673430088408466</v>
      </c>
      <c r="BP219" s="1602">
        <f t="shared" si="1078"/>
        <v>41.633188193124681</v>
      </c>
      <c r="BQ219" s="1602">
        <f t="shared" si="1078"/>
        <v>41.512527876164242</v>
      </c>
      <c r="BR219" s="1602">
        <f t="shared" si="1078"/>
        <v>41.945661908179183</v>
      </c>
      <c r="BS219" s="1602">
        <f t="shared" si="1078"/>
        <v>42.639599834237053</v>
      </c>
      <c r="BT219" s="1602">
        <f t="shared" si="1078"/>
        <v>42.906059166386633</v>
      </c>
      <c r="BU219" s="1602">
        <f t="shared" ref="BU219:CT219" si="1079">BU205/BU186*100</f>
        <v>43.485440412420957</v>
      </c>
      <c r="BV219" s="1602">
        <f t="shared" si="1079"/>
        <v>42.606011183597388</v>
      </c>
      <c r="BW219" s="1602">
        <f t="shared" si="1079"/>
        <v>43.046529015931441</v>
      </c>
      <c r="BX219" s="1602">
        <f t="shared" si="1079"/>
        <v>42.717092485116048</v>
      </c>
      <c r="BY219" s="1602">
        <f t="shared" si="1079"/>
        <v>42.50866851595007</v>
      </c>
      <c r="BZ219" s="1602">
        <f t="shared" si="1079"/>
        <v>42.572711076147066</v>
      </c>
      <c r="CA219" s="1602">
        <f t="shared" si="1079"/>
        <v>42.486254106386554</v>
      </c>
      <c r="CB219" s="1602">
        <f t="shared" si="1079"/>
        <v>42.464147980509438</v>
      </c>
      <c r="CC219" s="1602">
        <f t="shared" si="1079"/>
        <v>42.54145858717601</v>
      </c>
      <c r="CD219" s="1602">
        <f t="shared" si="1079"/>
        <v>43.144033296185945</v>
      </c>
      <c r="CE219" s="1602">
        <f t="shared" si="1079"/>
        <v>43.292651962692759</v>
      </c>
      <c r="CF219" s="1602">
        <f t="shared" si="1079"/>
        <v>43.610330897575054</v>
      </c>
      <c r="CG219" s="1602">
        <f t="shared" si="1079"/>
        <v>44.473824536713821</v>
      </c>
      <c r="CH219" s="1602">
        <f t="shared" si="1079"/>
        <v>44.057276607462484</v>
      </c>
      <c r="CI219" s="1602">
        <f t="shared" si="1079"/>
        <v>44.47465051156609</v>
      </c>
      <c r="CJ219" s="1602">
        <f t="shared" si="1079"/>
        <v>44.121188899228201</v>
      </c>
      <c r="CK219" s="1602">
        <f t="shared" ref="CK219:CN219" si="1080">CK205/CK186*100</f>
        <v>44.008830360664355</v>
      </c>
      <c r="CL219" s="1602">
        <f t="shared" si="1080"/>
        <v>44.808822501465215</v>
      </c>
      <c r="CM219" s="1602">
        <f t="shared" si="1080"/>
        <v>44.537638918012163</v>
      </c>
      <c r="CN219" s="1602">
        <f t="shared" si="1080"/>
        <v>45.949760090318939</v>
      </c>
      <c r="CO219" s="1602">
        <f t="shared" ref="CO219:CR219" si="1081">CO205/CO186*100</f>
        <v>46.640171736567645</v>
      </c>
      <c r="CP219" s="1602">
        <f t="shared" si="1081"/>
        <v>46.958593921790225</v>
      </c>
      <c r="CQ219" s="1602">
        <f t="shared" si="1081"/>
        <v>46.721936100896556</v>
      </c>
      <c r="CR219" s="1602">
        <f t="shared" si="1081"/>
        <v>46.805222271932323</v>
      </c>
      <c r="CS219" s="1602">
        <f t="shared" ref="CS219" si="1082">CS205/CS186*100</f>
        <v>46.468015864944576</v>
      </c>
      <c r="CT219" s="3895">
        <f t="shared" si="1079"/>
        <v>46.705613590161619</v>
      </c>
      <c r="CU219" s="3895">
        <f t="shared" ref="CU219:CX219" si="1083">CU205/CU186*100</f>
        <v>46.998320681045591</v>
      </c>
      <c r="CV219" s="3895">
        <f t="shared" si="1083"/>
        <v>47.248925109023382</v>
      </c>
      <c r="CW219" s="3895">
        <f t="shared" si="1083"/>
        <v>47.473774807736262</v>
      </c>
      <c r="CX219" s="3895">
        <f t="shared" si="1083"/>
        <v>47.673818062188943</v>
      </c>
      <c r="CY219" s="3895">
        <f t="shared" ref="CY219:DB219" si="1084">CY205/CY186*100</f>
        <v>47.836011096887809</v>
      </c>
      <c r="CZ219" s="3895">
        <f t="shared" si="1084"/>
        <v>47.96197369966179</v>
      </c>
      <c r="DA219" s="3895">
        <f t="shared" si="1084"/>
        <v>48.0992435487533</v>
      </c>
      <c r="DB219" s="3895">
        <f t="shared" si="1084"/>
        <v>48.239989780337943</v>
      </c>
    </row>
    <row r="220" spans="1:106" ht="30" customHeight="1">
      <c r="C220" s="4125" t="s">
        <v>701</v>
      </c>
      <c r="D220" s="4125"/>
      <c r="E220" s="4125"/>
      <c r="F220" s="4125"/>
      <c r="G220" s="1602">
        <f>G205/G145*100</f>
        <v>51.480488205352749</v>
      </c>
      <c r="H220" s="1602">
        <f>H205/H145*100</f>
        <v>50.603275310449547</v>
      </c>
      <c r="I220" s="1602">
        <f t="shared" ref="I220:BT220" si="1085">I205/I145*100</f>
        <v>50.073976435142839</v>
      </c>
      <c r="J220" s="1602">
        <f t="shared" si="1085"/>
        <v>51.044064892648713</v>
      </c>
      <c r="K220" s="1602">
        <f t="shared" si="1085"/>
        <v>52.17321399860657</v>
      </c>
      <c r="L220" s="1602">
        <f t="shared" si="1085"/>
        <v>52.54239547781571</v>
      </c>
      <c r="M220" s="1602">
        <f t="shared" si="1085"/>
        <v>52.4662963797606</v>
      </c>
      <c r="N220" s="1602">
        <f t="shared" si="1085"/>
        <v>53.109675718428683</v>
      </c>
      <c r="O220" s="1602">
        <f t="shared" si="1085"/>
        <v>54.480761165862859</v>
      </c>
      <c r="P220" s="1602">
        <f t="shared" si="1085"/>
        <v>55.503348735787348</v>
      </c>
      <c r="Q220" s="1602">
        <f t="shared" si="1085"/>
        <v>56.020082036152843</v>
      </c>
      <c r="R220" s="1602">
        <f t="shared" si="1085"/>
        <v>56.059633263136256</v>
      </c>
      <c r="S220" s="1602">
        <f t="shared" si="1085"/>
        <v>56.321633008490309</v>
      </c>
      <c r="T220" s="1602">
        <f t="shared" si="1085"/>
        <v>56.927867810613279</v>
      </c>
      <c r="U220" s="1602">
        <f t="shared" si="1085"/>
        <v>57.503682905025123</v>
      </c>
      <c r="V220" s="1602">
        <f t="shared" si="1085"/>
        <v>56.822734101151731</v>
      </c>
      <c r="W220" s="1602">
        <f t="shared" si="1085"/>
        <v>55.915589685958679</v>
      </c>
      <c r="X220" s="1602">
        <f t="shared" si="1085"/>
        <v>56.498358218202092</v>
      </c>
      <c r="Y220" s="1602">
        <f t="shared" si="1085"/>
        <v>57.799136095694017</v>
      </c>
      <c r="Z220" s="1602">
        <f t="shared" si="1085"/>
        <v>59.301968962767596</v>
      </c>
      <c r="AA220" s="1602">
        <f t="shared" si="1085"/>
        <v>61.570593149540521</v>
      </c>
      <c r="AB220" s="1602">
        <f t="shared" si="1085"/>
        <v>62.742693643981198</v>
      </c>
      <c r="AC220" s="1602">
        <f t="shared" si="1085"/>
        <v>63.961224781799977</v>
      </c>
      <c r="AD220" s="1602">
        <f t="shared" si="1085"/>
        <v>64.045036938814164</v>
      </c>
      <c r="AE220" s="1602">
        <f t="shared" si="1085"/>
        <v>63.205101006529475</v>
      </c>
      <c r="AF220" s="1602">
        <f t="shared" si="1085"/>
        <v>61.829444168617165</v>
      </c>
      <c r="AG220" s="1602">
        <f t="shared" si="1085"/>
        <v>60.890106775016541</v>
      </c>
      <c r="AH220" s="1602">
        <f t="shared" si="1085"/>
        <v>61.032342761666072</v>
      </c>
      <c r="AI220" s="1602">
        <f t="shared" si="1085"/>
        <v>61.510402433373336</v>
      </c>
      <c r="AJ220" s="1602">
        <f t="shared" si="1085"/>
        <v>62.194122885129119</v>
      </c>
      <c r="AK220" s="1602">
        <f t="shared" si="1085"/>
        <v>62.828603966973517</v>
      </c>
      <c r="AL220" s="1602">
        <f t="shared" si="1085"/>
        <v>62.951878210868649</v>
      </c>
      <c r="AM220" s="1602">
        <f t="shared" si="1085"/>
        <v>62.849851730208051</v>
      </c>
      <c r="AN220" s="1602">
        <f t="shared" si="1085"/>
        <v>62.474019839395368</v>
      </c>
      <c r="AO220" s="1602">
        <f t="shared" si="1085"/>
        <v>62.639006691169541</v>
      </c>
      <c r="AP220" s="1602">
        <f t="shared" si="1085"/>
        <v>63.866187591000887</v>
      </c>
      <c r="AQ220" s="1602">
        <f t="shared" si="1085"/>
        <v>63.704763663220085</v>
      </c>
      <c r="AR220" s="1602">
        <f t="shared" si="1085"/>
        <v>64.304522037779051</v>
      </c>
      <c r="AS220" s="1602">
        <f t="shared" si="1085"/>
        <v>64.918896814939345</v>
      </c>
      <c r="AT220" s="1602">
        <f t="shared" si="1085"/>
        <v>66.492986427913223</v>
      </c>
      <c r="AU220" s="1602">
        <f t="shared" si="1085"/>
        <v>66.658027292908571</v>
      </c>
      <c r="AV220" s="1602">
        <f t="shared" si="1085"/>
        <v>67.323796037153087</v>
      </c>
      <c r="AW220" s="1602">
        <f t="shared" si="1085"/>
        <v>67.923264175804547</v>
      </c>
      <c r="AX220" s="1602">
        <f t="shared" si="1085"/>
        <v>68.390734021769475</v>
      </c>
      <c r="AY220" s="1602">
        <f t="shared" si="1085"/>
        <v>69.340818744532669</v>
      </c>
      <c r="AZ220" s="1602">
        <f t="shared" si="1085"/>
        <v>69.867439750370693</v>
      </c>
      <c r="BA220" s="1602">
        <f t="shared" si="1085"/>
        <v>69.590482374563905</v>
      </c>
      <c r="BB220" s="1602">
        <f t="shared" si="1085"/>
        <v>69.876995263988775</v>
      </c>
      <c r="BC220" s="1602">
        <f t="shared" si="1085"/>
        <v>71.061782963372224</v>
      </c>
      <c r="BD220" s="1602">
        <f t="shared" si="1085"/>
        <v>71.414433699428798</v>
      </c>
      <c r="BE220" s="1602">
        <f t="shared" si="1085"/>
        <v>71.647742416973188</v>
      </c>
      <c r="BF220" s="1602">
        <f t="shared" si="1085"/>
        <v>71.771235266134568</v>
      </c>
      <c r="BG220" s="1602">
        <f t="shared" si="1085"/>
        <v>72.630376456778748</v>
      </c>
      <c r="BH220" s="1602">
        <f t="shared" si="1085"/>
        <v>74.36542658160441</v>
      </c>
      <c r="BI220" s="1602">
        <f t="shared" si="1085"/>
        <v>74.467527292175731</v>
      </c>
      <c r="BJ220" s="1602">
        <f t="shared" si="1085"/>
        <v>68.50194901915215</v>
      </c>
      <c r="BK220" s="1602">
        <f t="shared" si="1085"/>
        <v>65.320981600324075</v>
      </c>
      <c r="BL220" s="1602">
        <f t="shared" si="1085"/>
        <v>65.5128764267251</v>
      </c>
      <c r="BM220" s="1602">
        <f t="shared" si="1085"/>
        <v>67.664003564948914</v>
      </c>
      <c r="BN220" s="1602">
        <f t="shared" si="1085"/>
        <v>68.198455939583894</v>
      </c>
      <c r="BO220" s="1602">
        <f t="shared" si="1085"/>
        <v>69.447975208781983</v>
      </c>
      <c r="BP220" s="1602">
        <f t="shared" si="1085"/>
        <v>72.560898914091652</v>
      </c>
      <c r="BQ220" s="1602">
        <f t="shared" si="1085"/>
        <v>72.691677195034103</v>
      </c>
      <c r="BR220" s="1602">
        <f t="shared" si="1085"/>
        <v>73.438554592181092</v>
      </c>
      <c r="BS220" s="1602">
        <f t="shared" si="1085"/>
        <v>75.783729952903585</v>
      </c>
      <c r="BT220" s="1602">
        <f t="shared" si="1085"/>
        <v>76.44860584913647</v>
      </c>
      <c r="BU220" s="1602">
        <f t="shared" ref="BU220:CT220" si="1086">BU205/BU145*100</f>
        <v>77.781780009879782</v>
      </c>
      <c r="BV220" s="1602">
        <f t="shared" si="1086"/>
        <v>74.989235406286525</v>
      </c>
      <c r="BW220" s="1602">
        <f t="shared" si="1086"/>
        <v>76.690951195270159</v>
      </c>
      <c r="BX220" s="1602">
        <f t="shared" si="1086"/>
        <v>75.816284779050733</v>
      </c>
      <c r="BY220" s="1602">
        <f t="shared" si="1086"/>
        <v>75.190898218283294</v>
      </c>
      <c r="BZ220" s="1602">
        <f t="shared" si="1086"/>
        <v>75.359143176023679</v>
      </c>
      <c r="CA220" s="1602">
        <f t="shared" si="1086"/>
        <v>75.120881822652024</v>
      </c>
      <c r="CB220" s="1602">
        <f t="shared" si="1086"/>
        <v>75.227565610489492</v>
      </c>
      <c r="CC220" s="1602">
        <f t="shared" si="1086"/>
        <v>75.858621920742593</v>
      </c>
      <c r="CD220" s="1602">
        <f t="shared" si="1086"/>
        <v>77.482334681207362</v>
      </c>
      <c r="CE220" s="1602">
        <f t="shared" si="1086"/>
        <v>77.894074292153547</v>
      </c>
      <c r="CF220" s="1602">
        <f t="shared" si="1086"/>
        <v>78.758942645810592</v>
      </c>
      <c r="CG220" s="1602">
        <f t="shared" si="1086"/>
        <v>80.142054741597079</v>
      </c>
      <c r="CH220" s="1602">
        <f t="shared" si="1086"/>
        <v>79.94503572677759</v>
      </c>
      <c r="CI220" s="1602">
        <f t="shared" si="1086"/>
        <v>79.807410304037546</v>
      </c>
      <c r="CJ220" s="1602">
        <f t="shared" si="1086"/>
        <v>80.808637767173281</v>
      </c>
      <c r="CK220" s="1602">
        <f t="shared" ref="CK220:CN220" si="1087">CK205/CK145*100</f>
        <v>80.04363897219261</v>
      </c>
      <c r="CL220" s="1602">
        <f t="shared" si="1087"/>
        <v>82.610505863576421</v>
      </c>
      <c r="CM220" s="1602">
        <f t="shared" si="1087"/>
        <v>81.534706090790976</v>
      </c>
      <c r="CN220" s="1602">
        <f t="shared" si="1087"/>
        <v>86.149383611312558</v>
      </c>
      <c r="CO220" s="1602">
        <f t="shared" ref="CO220:CR220" si="1088">CO205/CO145*100</f>
        <v>86.975596643818534</v>
      </c>
      <c r="CP220" s="1602">
        <f t="shared" si="1088"/>
        <v>89.242640698951377</v>
      </c>
      <c r="CQ220" s="1602">
        <f t="shared" si="1088"/>
        <v>88.629528300056265</v>
      </c>
      <c r="CR220" s="1602">
        <f t="shared" si="1088"/>
        <v>88.866580435915751</v>
      </c>
      <c r="CS220" s="1602">
        <f t="shared" ref="CS220" si="1089">CS205/CS145*100</f>
        <v>87.788195511835227</v>
      </c>
      <c r="CT220" s="3895">
        <f t="shared" si="1086"/>
        <v>88.939460723251756</v>
      </c>
      <c r="CU220" s="3895">
        <f t="shared" ref="CU220:CX220" si="1090">CU205/CU145*100</f>
        <v>89.909744384163332</v>
      </c>
      <c r="CV220" s="3895">
        <f t="shared" si="1090"/>
        <v>90.831375483330206</v>
      </c>
      <c r="CW220" s="3895">
        <f t="shared" si="1090"/>
        <v>91.62394281251764</v>
      </c>
      <c r="CX220" s="3895">
        <f t="shared" si="1090"/>
        <v>92.329280472918001</v>
      </c>
      <c r="CY220" s="3895">
        <f t="shared" ref="CY220:DB220" si="1091">CY205/CY145*100</f>
        <v>92.948240659972925</v>
      </c>
      <c r="CZ220" s="3895">
        <f t="shared" si="1091"/>
        <v>93.416220837213842</v>
      </c>
      <c r="DA220" s="3895">
        <f t="shared" si="1091"/>
        <v>93.849714350032016</v>
      </c>
      <c r="DB220" s="3895">
        <f t="shared" si="1091"/>
        <v>94.261849350928301</v>
      </c>
    </row>
    <row r="221" spans="1:106">
      <c r="BJ221" s="1380"/>
      <c r="BK221" s="1380"/>
      <c r="BL221" s="1380"/>
      <c r="BM221" s="1380"/>
      <c r="BN221" s="1380"/>
      <c r="BO221" s="1380"/>
      <c r="BP221" s="1380"/>
      <c r="BQ221" s="1380"/>
      <c r="BR221" s="1380"/>
      <c r="BS221" s="1380"/>
      <c r="BT221" s="1380"/>
      <c r="BU221" s="1380"/>
      <c r="BV221" s="1380"/>
      <c r="BW221" s="1380"/>
      <c r="BX221" s="1380"/>
      <c r="BY221" s="1380"/>
      <c r="BZ221" s="1380"/>
      <c r="CA221" s="1380"/>
      <c r="CB221" s="1380"/>
      <c r="CC221" s="1380"/>
      <c r="CD221" s="1380"/>
      <c r="CE221" s="1380"/>
      <c r="CF221" s="1380"/>
      <c r="CG221" s="1380"/>
      <c r="CI221" s="1380"/>
      <c r="CM221" s="1380"/>
      <c r="CN221" s="1380"/>
      <c r="CO221" s="3789">
        <f>AVERAGE(BS220:CO220)</f>
        <v>78.540000838311585</v>
      </c>
      <c r="CQ221" s="1380"/>
      <c r="CR221" s="1380"/>
      <c r="CS221" s="3789">
        <f>AVERAGE(BW220:CS220)</f>
        <v>80.693200565639941</v>
      </c>
      <c r="CT221" s="1380"/>
      <c r="CU221" s="1380"/>
      <c r="CV221" s="1380"/>
      <c r="CW221" s="1380"/>
      <c r="CX221" s="1380"/>
      <c r="CY221" s="1380"/>
      <c r="CZ221" s="1380"/>
      <c r="DA221" s="1380"/>
      <c r="DB221" s="1380"/>
    </row>
    <row r="222" spans="1:106">
      <c r="G222" s="4122">
        <f ca="1">OFFSET(InputY!$G$3,0,(COLUMN()-7)/4)</f>
        <v>1995</v>
      </c>
      <c r="H222" s="4123"/>
      <c r="I222" s="4123"/>
      <c r="J222" s="4123"/>
      <c r="K222" s="4117">
        <f ca="1">OFFSET(InputY!$G$3,0,(COLUMN()-7)/4)</f>
        <v>1996</v>
      </c>
      <c r="L222" s="4118"/>
      <c r="M222" s="4118"/>
      <c r="N222" s="4119"/>
      <c r="O222" s="4117">
        <f ca="1">OFFSET(InputY!$G$3,0,(COLUMN()-7)/4)</f>
        <v>1997</v>
      </c>
      <c r="P222" s="4118"/>
      <c r="Q222" s="4118"/>
      <c r="R222" s="4119"/>
      <c r="S222" s="4117">
        <f ca="1">OFFSET(InputY!$G$3,0,(COLUMN()-7)/4)</f>
        <v>1998</v>
      </c>
      <c r="T222" s="4118"/>
      <c r="U222" s="4118"/>
      <c r="V222" s="4119"/>
      <c r="W222" s="4117">
        <f ca="1">OFFSET(InputY!$G$3,0,(COLUMN()-7)/4)</f>
        <v>1999</v>
      </c>
      <c r="X222" s="4118"/>
      <c r="Y222" s="4118"/>
      <c r="Z222" s="4119"/>
      <c r="AA222" s="4117">
        <f ca="1">OFFSET(InputY!$G$3,0,(COLUMN()-7)/4)</f>
        <v>2000</v>
      </c>
      <c r="AB222" s="4118"/>
      <c r="AC222" s="4118"/>
      <c r="AD222" s="4119"/>
      <c r="AE222" s="4117">
        <f ca="1">OFFSET(InputY!$G$3,0,(COLUMN()-7)/4)</f>
        <v>2001</v>
      </c>
      <c r="AF222" s="4118"/>
      <c r="AG222" s="4118"/>
      <c r="AH222" s="4119"/>
      <c r="AI222" s="4117">
        <f ca="1">OFFSET(InputY!$G$3,0,(COLUMN()-7)/4)</f>
        <v>2002</v>
      </c>
      <c r="AJ222" s="4118"/>
      <c r="AK222" s="4118"/>
      <c r="AL222" s="4119"/>
      <c r="AM222" s="4117">
        <f ca="1">OFFSET(InputY!$G$3,0,(COLUMN()-7)/4)</f>
        <v>2003</v>
      </c>
      <c r="AN222" s="4118"/>
      <c r="AO222" s="4118"/>
      <c r="AP222" s="4119"/>
      <c r="AQ222" s="4117">
        <f ca="1">OFFSET(InputY!$G$3,0,(COLUMN()-7)/4)</f>
        <v>2004</v>
      </c>
      <c r="AR222" s="4118"/>
      <c r="AS222" s="4118"/>
      <c r="AT222" s="4119"/>
      <c r="AU222" s="4117">
        <f ca="1">OFFSET(InputY!$G$3,0,(COLUMN()-7)/4)</f>
        <v>2005</v>
      </c>
      <c r="AV222" s="4118"/>
      <c r="AW222" s="4118"/>
      <c r="AX222" s="4119"/>
      <c r="AY222" s="4117">
        <f ca="1">OFFSET(InputY!$G$3,0,(COLUMN()-7)/4)</f>
        <v>2006</v>
      </c>
      <c r="AZ222" s="4118"/>
      <c r="BA222" s="4118"/>
      <c r="BB222" s="4119"/>
      <c r="BC222" s="4117">
        <f ca="1">OFFSET(InputY!$G$3,0,(COLUMN()-7)/4)</f>
        <v>2007</v>
      </c>
      <c r="BD222" s="4118"/>
      <c r="BE222" s="4118"/>
      <c r="BF222" s="4119"/>
      <c r="BG222" s="4117">
        <f ca="1">OFFSET(InputY!$G$3,0,(COLUMN()-7)/4)</f>
        <v>2008</v>
      </c>
      <c r="BH222" s="4118"/>
      <c r="BI222" s="4118"/>
      <c r="BJ222" s="4119"/>
      <c r="BK222" s="4117">
        <f ca="1">OFFSET(InputY!$G$3,0,(COLUMN()-7)/4)</f>
        <v>2009</v>
      </c>
      <c r="BL222" s="4118"/>
      <c r="BM222" s="4118"/>
      <c r="BN222" s="4119"/>
      <c r="BO222" s="4117">
        <f ca="1">OFFSET(InputY!$G$3,0,(COLUMN()-7)/4)</f>
        <v>2010</v>
      </c>
      <c r="BP222" s="4118"/>
      <c r="BQ222" s="4118"/>
      <c r="BR222" s="4119"/>
      <c r="BS222" s="4117">
        <f ca="1">OFFSET(InputY!$G$3,0,(COLUMN()-7)/4)</f>
        <v>2011</v>
      </c>
      <c r="BT222" s="4118"/>
      <c r="BU222" s="4118"/>
      <c r="BV222" s="4119"/>
      <c r="BW222" s="4117">
        <f ca="1">OFFSET(InputY!$G$3,0,(COLUMN()-7)/4)</f>
        <v>2012</v>
      </c>
      <c r="BX222" s="4118"/>
      <c r="BY222" s="4118"/>
      <c r="BZ222" s="4119"/>
      <c r="CA222" s="4117">
        <f ca="1">OFFSET(InputY!$G$3,0,(COLUMN()-7)/4)</f>
        <v>2013</v>
      </c>
      <c r="CB222" s="4118"/>
      <c r="CC222" s="4118"/>
      <c r="CD222" s="4119"/>
      <c r="CE222" s="4117">
        <f ca="1">OFFSET(InputY!$G$3,0,(COLUMN()-7)/4)</f>
        <v>2014</v>
      </c>
      <c r="CF222" s="4118"/>
      <c r="CG222" s="4118"/>
      <c r="CH222" s="4119"/>
      <c r="CI222" s="4117">
        <f ca="1">OFFSET(InputY!$G$3,0,(COLUMN()-7)/4)</f>
        <v>2015</v>
      </c>
      <c r="CJ222" s="4118"/>
      <c r="CK222" s="4118"/>
      <c r="CL222" s="4119"/>
      <c r="CM222" s="4117">
        <f ca="1">OFFSET(InputY!$G$3,0,(COLUMN()-7)/4)</f>
        <v>2016</v>
      </c>
      <c r="CN222" s="4118"/>
      <c r="CO222" s="4118"/>
      <c r="CP222" s="4119"/>
      <c r="CQ222" s="4117">
        <f ca="1">OFFSET(InputY!$G$3,0,(COLUMN()-7)/4)</f>
        <v>2017</v>
      </c>
      <c r="CR222" s="4118"/>
      <c r="CS222" s="4118"/>
      <c r="CT222" s="4119"/>
      <c r="CU222" s="4117">
        <f ca="1">OFFSET(InputY!$G$3,0,(COLUMN()-7)/4)</f>
        <v>2018</v>
      </c>
      <c r="CV222" s="4118"/>
      <c r="CW222" s="4118"/>
      <c r="CX222" s="4119"/>
      <c r="CY222" s="4117">
        <f ca="1">OFFSET(InputY!$G$3,0,(COLUMN()-7)/4)</f>
        <v>2019</v>
      </c>
      <c r="CZ222" s="4118"/>
      <c r="DA222" s="4118"/>
      <c r="DB222" s="4119"/>
    </row>
    <row r="223" spans="1:106" s="749" customFormat="1" ht="12.75" customHeight="1">
      <c r="A223" s="714"/>
      <c r="B223" s="714"/>
      <c r="C223" s="716"/>
      <c r="D223" s="745"/>
      <c r="E223" s="746" t="s">
        <v>719</v>
      </c>
      <c r="F223" s="747"/>
      <c r="G223" s="1472" t="s">
        <v>364</v>
      </c>
      <c r="H223" s="1473" t="s">
        <v>671</v>
      </c>
      <c r="I223" s="1473" t="s">
        <v>672</v>
      </c>
      <c r="J223" s="1474" t="s">
        <v>673</v>
      </c>
      <c r="K223" s="1472" t="s">
        <v>364</v>
      </c>
      <c r="L223" s="1473" t="s">
        <v>671</v>
      </c>
      <c r="M223" s="1473" t="s">
        <v>672</v>
      </c>
      <c r="N223" s="1474" t="s">
        <v>673</v>
      </c>
      <c r="O223" s="1472" t="s">
        <v>364</v>
      </c>
      <c r="P223" s="1473" t="s">
        <v>671</v>
      </c>
      <c r="Q223" s="1473" t="s">
        <v>672</v>
      </c>
      <c r="R223" s="1474" t="s">
        <v>673</v>
      </c>
      <c r="S223" s="1472" t="s">
        <v>364</v>
      </c>
      <c r="T223" s="1473" t="s">
        <v>671</v>
      </c>
      <c r="U223" s="1473" t="s">
        <v>672</v>
      </c>
      <c r="V223" s="1474" t="s">
        <v>673</v>
      </c>
      <c r="W223" s="1472" t="s">
        <v>364</v>
      </c>
      <c r="X223" s="1473" t="s">
        <v>671</v>
      </c>
      <c r="Y223" s="1473" t="s">
        <v>672</v>
      </c>
      <c r="Z223" s="1474" t="s">
        <v>673</v>
      </c>
      <c r="AA223" s="1472" t="s">
        <v>364</v>
      </c>
      <c r="AB223" s="1473" t="s">
        <v>671</v>
      </c>
      <c r="AC223" s="1473" t="s">
        <v>672</v>
      </c>
      <c r="AD223" s="1474" t="s">
        <v>673</v>
      </c>
      <c r="AE223" s="1472" t="s">
        <v>364</v>
      </c>
      <c r="AF223" s="1473" t="s">
        <v>671</v>
      </c>
      <c r="AG223" s="1473" t="s">
        <v>672</v>
      </c>
      <c r="AH223" s="1474" t="s">
        <v>673</v>
      </c>
      <c r="AI223" s="1472" t="s">
        <v>364</v>
      </c>
      <c r="AJ223" s="1473" t="s">
        <v>671</v>
      </c>
      <c r="AK223" s="1473" t="s">
        <v>672</v>
      </c>
      <c r="AL223" s="1474" t="s">
        <v>673</v>
      </c>
      <c r="AM223" s="1472" t="s">
        <v>364</v>
      </c>
      <c r="AN223" s="1473" t="s">
        <v>671</v>
      </c>
      <c r="AO223" s="1473" t="s">
        <v>672</v>
      </c>
      <c r="AP223" s="1474" t="s">
        <v>673</v>
      </c>
      <c r="AQ223" s="1472" t="s">
        <v>364</v>
      </c>
      <c r="AR223" s="1473" t="s">
        <v>671</v>
      </c>
      <c r="AS223" s="1473" t="s">
        <v>672</v>
      </c>
      <c r="AT223" s="1474" t="s">
        <v>673</v>
      </c>
      <c r="AU223" s="1472" t="s">
        <v>364</v>
      </c>
      <c r="AV223" s="1473" t="s">
        <v>671</v>
      </c>
      <c r="AW223" s="1473" t="s">
        <v>672</v>
      </c>
      <c r="AX223" s="1474" t="s">
        <v>673</v>
      </c>
      <c r="AY223" s="1472" t="s">
        <v>364</v>
      </c>
      <c r="AZ223" s="1473" t="s">
        <v>671</v>
      </c>
      <c r="BA223" s="1473" t="s">
        <v>672</v>
      </c>
      <c r="BB223" s="1474" t="s">
        <v>673</v>
      </c>
      <c r="BC223" s="1472" t="s">
        <v>364</v>
      </c>
      <c r="BD223" s="1473" t="s">
        <v>671</v>
      </c>
      <c r="BE223" s="1473" t="s">
        <v>672</v>
      </c>
      <c r="BF223" s="1474" t="s">
        <v>673</v>
      </c>
      <c r="BG223" s="1472" t="s">
        <v>364</v>
      </c>
      <c r="BH223" s="1473" t="s">
        <v>671</v>
      </c>
      <c r="BI223" s="1473" t="s">
        <v>672</v>
      </c>
      <c r="BJ223" s="1474" t="s">
        <v>673</v>
      </c>
      <c r="BK223" s="1472" t="s">
        <v>364</v>
      </c>
      <c r="BL223" s="1473" t="s">
        <v>671</v>
      </c>
      <c r="BM223" s="1473" t="s">
        <v>672</v>
      </c>
      <c r="BN223" s="1474" t="s">
        <v>673</v>
      </c>
      <c r="BO223" s="1472" t="s">
        <v>364</v>
      </c>
      <c r="BP223" s="1473" t="s">
        <v>671</v>
      </c>
      <c r="BQ223" s="1473" t="s">
        <v>672</v>
      </c>
      <c r="BR223" s="1474" t="s">
        <v>673</v>
      </c>
      <c r="BS223" s="1472" t="s">
        <v>364</v>
      </c>
      <c r="BT223" s="1473" t="s">
        <v>671</v>
      </c>
      <c r="BU223" s="1473" t="s">
        <v>672</v>
      </c>
      <c r="BV223" s="1474" t="s">
        <v>673</v>
      </c>
      <c r="BW223" s="1472" t="s">
        <v>364</v>
      </c>
      <c r="BX223" s="1473" t="s">
        <v>671</v>
      </c>
      <c r="BY223" s="1473" t="s">
        <v>672</v>
      </c>
      <c r="BZ223" s="1474" t="s">
        <v>673</v>
      </c>
      <c r="CA223" s="1472" t="s">
        <v>364</v>
      </c>
      <c r="CB223" s="1473" t="s">
        <v>671</v>
      </c>
      <c r="CC223" s="1473" t="s">
        <v>672</v>
      </c>
      <c r="CD223" s="1474" t="s">
        <v>673</v>
      </c>
      <c r="CE223" s="1472" t="s">
        <v>364</v>
      </c>
      <c r="CF223" s="1473" t="s">
        <v>671</v>
      </c>
      <c r="CG223" s="1473" t="s">
        <v>672</v>
      </c>
      <c r="CH223" s="1474" t="s">
        <v>673</v>
      </c>
      <c r="CI223" s="1472" t="s">
        <v>364</v>
      </c>
      <c r="CJ223" s="1473" t="s">
        <v>671</v>
      </c>
      <c r="CK223" s="1473" t="s">
        <v>672</v>
      </c>
      <c r="CL223" s="1474" t="s">
        <v>673</v>
      </c>
      <c r="CM223" s="1472" t="s">
        <v>364</v>
      </c>
      <c r="CN223" s="1473" t="s">
        <v>671</v>
      </c>
      <c r="CO223" s="1473" t="s">
        <v>672</v>
      </c>
      <c r="CP223" s="1474" t="s">
        <v>673</v>
      </c>
      <c r="CQ223" s="1472" t="s">
        <v>364</v>
      </c>
      <c r="CR223" s="1473" t="s">
        <v>671</v>
      </c>
      <c r="CS223" s="1473" t="s">
        <v>672</v>
      </c>
      <c r="CT223" s="1474" t="s">
        <v>673</v>
      </c>
      <c r="CU223" s="1472" t="s">
        <v>364</v>
      </c>
      <c r="CV223" s="1473" t="s">
        <v>671</v>
      </c>
      <c r="CW223" s="1473" t="s">
        <v>672</v>
      </c>
      <c r="CX223" s="1474" t="s">
        <v>673</v>
      </c>
      <c r="CY223" s="1472" t="s">
        <v>364</v>
      </c>
      <c r="CZ223" s="1473" t="s">
        <v>671</v>
      </c>
      <c r="DA223" s="1473" t="s">
        <v>672</v>
      </c>
      <c r="DB223" s="1474" t="s">
        <v>673</v>
      </c>
    </row>
    <row r="224" spans="1:106" s="749" customFormat="1" ht="12.75" customHeight="1">
      <c r="A224" s="714"/>
      <c r="B224" s="714"/>
      <c r="C224" s="1464" t="s">
        <v>622</v>
      </c>
      <c r="D224" s="718"/>
      <c r="E224" s="750" t="str">
        <f>E186</f>
        <v xml:space="preserve">Final demand                                                                    </v>
      </c>
      <c r="F224" s="751"/>
      <c r="G224" s="828">
        <f>G186</f>
        <v>111.291</v>
      </c>
      <c r="H224" s="828">
        <f t="shared" ref="H224:AX224" si="1092">H186</f>
        <v>111.125</v>
      </c>
      <c r="I224" s="828">
        <f t="shared" si="1092"/>
        <v>111.128</v>
      </c>
      <c r="J224" s="828">
        <f t="shared" si="1092"/>
        <v>112.194</v>
      </c>
      <c r="K224" s="828">
        <f t="shared" si="1092"/>
        <v>112.98399999999999</v>
      </c>
      <c r="L224" s="828">
        <f t="shared" si="1092"/>
        <v>114.17700000000001</v>
      </c>
      <c r="M224" s="828">
        <f t="shared" si="1092"/>
        <v>114.934</v>
      </c>
      <c r="N224" s="828">
        <f t="shared" si="1092"/>
        <v>116.241</v>
      </c>
      <c r="O224" s="828">
        <f>O186</f>
        <v>118.08799999999999</v>
      </c>
      <c r="P224" s="828">
        <f>P186</f>
        <v>119.845</v>
      </c>
      <c r="Q224" s="828">
        <f>Q186</f>
        <v>120.807</v>
      </c>
      <c r="R224" s="828">
        <f>R186</f>
        <v>121.98399999999999</v>
      </c>
      <c r="S224" s="828">
        <f t="shared" si="1092"/>
        <v>122.575</v>
      </c>
      <c r="T224" s="828">
        <f t="shared" si="1092"/>
        <v>123.604</v>
      </c>
      <c r="U224" s="828">
        <f t="shared" si="1092"/>
        <v>124.82299999999999</v>
      </c>
      <c r="V224" s="828">
        <f t="shared" si="1092"/>
        <v>124.646</v>
      </c>
      <c r="W224" s="828">
        <f t="shared" si="1092"/>
        <v>124.839</v>
      </c>
      <c r="X224" s="828">
        <f t="shared" si="1092"/>
        <v>126.938</v>
      </c>
      <c r="Y224" s="828">
        <f t="shared" si="1092"/>
        <v>129.29400000000001</v>
      </c>
      <c r="Z224" s="828">
        <f t="shared" si="1092"/>
        <v>131.05500000000001</v>
      </c>
      <c r="AA224" s="828">
        <f t="shared" si="1092"/>
        <v>134.214</v>
      </c>
      <c r="AB224" s="828">
        <f t="shared" si="1092"/>
        <v>135.86099999999999</v>
      </c>
      <c r="AC224" s="828">
        <f t="shared" si="1092"/>
        <v>137.38300000000001</v>
      </c>
      <c r="AD224" s="828">
        <f t="shared" si="1092"/>
        <v>138.566</v>
      </c>
      <c r="AE224" s="828">
        <f t="shared" si="1092"/>
        <v>138.86600000000001</v>
      </c>
      <c r="AF224" s="828">
        <f t="shared" si="1092"/>
        <v>137.649</v>
      </c>
      <c r="AG224" s="828">
        <f t="shared" si="1092"/>
        <v>137.49299999999999</v>
      </c>
      <c r="AH224" s="828">
        <f t="shared" si="1092"/>
        <v>136.559</v>
      </c>
      <c r="AI224" s="828">
        <f t="shared" si="1092"/>
        <v>138.392</v>
      </c>
      <c r="AJ224" s="828">
        <f t="shared" si="1092"/>
        <v>139.35300000000001</v>
      </c>
      <c r="AK224" s="828">
        <f t="shared" si="1092"/>
        <v>139.83099999999999</v>
      </c>
      <c r="AL224" s="828">
        <f t="shared" si="1092"/>
        <v>140.41399999999999</v>
      </c>
      <c r="AM224" s="828">
        <f t="shared" si="1092"/>
        <v>139.78899999999999</v>
      </c>
      <c r="AN224" s="828">
        <f t="shared" si="1092"/>
        <v>140.26</v>
      </c>
      <c r="AO224" s="828">
        <f t="shared" si="1092"/>
        <v>140.88900000000001</v>
      </c>
      <c r="AP224" s="828">
        <f t="shared" si="1092"/>
        <v>142.31200000000001</v>
      </c>
      <c r="AQ224" s="828">
        <f>AQ186</f>
        <v>144.714</v>
      </c>
      <c r="AR224" s="828">
        <f>AR186</f>
        <v>146.39699999999999</v>
      </c>
      <c r="AS224" s="828">
        <f>AS186</f>
        <v>147.91499999999999</v>
      </c>
      <c r="AT224" s="828">
        <f>AT186</f>
        <v>148.68600000000001</v>
      </c>
      <c r="AU224" s="828">
        <f t="shared" si="1092"/>
        <v>150.13499999999999</v>
      </c>
      <c r="AV224" s="828">
        <f t="shared" si="1092"/>
        <v>151.93</v>
      </c>
      <c r="AW224" s="828">
        <f t="shared" si="1092"/>
        <v>152.28</v>
      </c>
      <c r="AX224" s="828">
        <f t="shared" si="1092"/>
        <v>152.94</v>
      </c>
      <c r="AY224" s="828">
        <f t="shared" ref="AY224:BD224" si="1093">AY186</f>
        <v>154.96299999999999</v>
      </c>
      <c r="AZ224" s="828">
        <f t="shared" si="1093"/>
        <v>155.77600000000001</v>
      </c>
      <c r="BA224" s="828">
        <f t="shared" si="1093"/>
        <v>156.91200000000001</v>
      </c>
      <c r="BB224" s="828">
        <f t="shared" si="1093"/>
        <v>158.01499999999999</v>
      </c>
      <c r="BC224" s="828">
        <f t="shared" si="1093"/>
        <v>160.994</v>
      </c>
      <c r="BD224" s="828">
        <f t="shared" si="1093"/>
        <v>162.405</v>
      </c>
      <c r="BE224" s="828">
        <f>BE186</f>
        <v>163.631</v>
      </c>
      <c r="BF224" s="828">
        <f>BF186</f>
        <v>164.53399999999999</v>
      </c>
      <c r="BG224" s="828">
        <f>BG186</f>
        <v>166.607</v>
      </c>
      <c r="BH224" s="828">
        <f>BH186</f>
        <v>169.02099999999999</v>
      </c>
      <c r="BI224" s="828">
        <f>BI186</f>
        <v>168.13800000000001</v>
      </c>
      <c r="BJ224" s="828">
        <f t="shared" ref="BJ224:BP224" si="1094">BJ186</f>
        <v>160.11199999999999</v>
      </c>
      <c r="BK224" s="828">
        <f t="shared" si="1094"/>
        <v>155.642</v>
      </c>
      <c r="BL224" s="828">
        <f t="shared" si="1094"/>
        <v>156.477</v>
      </c>
      <c r="BM224" s="828">
        <f t="shared" si="1094"/>
        <v>159.36600000000001</v>
      </c>
      <c r="BN224" s="828">
        <f t="shared" si="1094"/>
        <v>161.66</v>
      </c>
      <c r="BO224" s="828">
        <f t="shared" si="1094"/>
        <v>162.541</v>
      </c>
      <c r="BP224" s="828">
        <f t="shared" si="1094"/>
        <v>166.27600000000001</v>
      </c>
      <c r="BQ224" s="828">
        <f t="shared" ref="BQ224:BU224" si="1095">BQ186</f>
        <v>167.70599999999999</v>
      </c>
      <c r="BR224" s="828">
        <f t="shared" si="1095"/>
        <v>168.61099999999999</v>
      </c>
      <c r="BS224" s="828">
        <f t="shared" si="1095"/>
        <v>171.32900000000001</v>
      </c>
      <c r="BT224" s="828">
        <f>BT186</f>
        <v>172.59800000000001</v>
      </c>
      <c r="BU224" s="828">
        <f t="shared" si="1095"/>
        <v>173.803</v>
      </c>
      <c r="BV224" s="828">
        <f t="shared" ref="BV224:CA224" si="1096">BV186</f>
        <v>171.68</v>
      </c>
      <c r="BW224" s="828">
        <f t="shared" si="1096"/>
        <v>173.87</v>
      </c>
      <c r="BX224" s="828">
        <f t="shared" si="1096"/>
        <v>173.50899999999999</v>
      </c>
      <c r="BY224" s="828">
        <f t="shared" si="1096"/>
        <v>173.04</v>
      </c>
      <c r="BZ224" s="828">
        <f t="shared" si="1096"/>
        <v>172.87599999999998</v>
      </c>
      <c r="CA224" s="828">
        <f t="shared" si="1096"/>
        <v>172.59699999999998</v>
      </c>
      <c r="CB224" s="828">
        <f t="shared" ref="CB224:CE224" si="1097">CB186</f>
        <v>173.21199999999999</v>
      </c>
      <c r="CC224" s="828">
        <f t="shared" si="1097"/>
        <v>174.81299999999999</v>
      </c>
      <c r="CD224" s="828">
        <f t="shared" si="1097"/>
        <v>175.876</v>
      </c>
      <c r="CE224" s="828">
        <f t="shared" si="1097"/>
        <v>177.23099999999999</v>
      </c>
      <c r="CF224" s="828">
        <f t="shared" ref="CF224:CI224" si="1098">CF186</f>
        <v>178.726</v>
      </c>
      <c r="CG224" s="828">
        <f t="shared" si="1098"/>
        <v>181.90699999999998</v>
      </c>
      <c r="CH224" s="828">
        <f t="shared" si="1098"/>
        <v>181.57499999999999</v>
      </c>
      <c r="CI224" s="828">
        <f t="shared" si="1098"/>
        <v>183.55399999999997</v>
      </c>
      <c r="CJ224" s="828">
        <f t="shared" ref="CJ224:CM224" si="1099">CJ186</f>
        <v>182.69</v>
      </c>
      <c r="CK224" s="828">
        <f t="shared" si="1099"/>
        <v>182.55200000000002</v>
      </c>
      <c r="CL224" s="828">
        <f t="shared" si="1099"/>
        <v>185.97900000000001</v>
      </c>
      <c r="CM224" s="828">
        <f t="shared" si="1099"/>
        <v>185.99099999999999</v>
      </c>
      <c r="CN224" s="828">
        <f t="shared" ref="CN224:CQ224" si="1100">CN186</f>
        <v>191.322</v>
      </c>
      <c r="CO224" s="828">
        <f t="shared" si="1100"/>
        <v>194.25099999999998</v>
      </c>
      <c r="CP224" s="828">
        <f t="shared" si="1100"/>
        <v>195.55099999999999</v>
      </c>
      <c r="CQ224" s="828">
        <f t="shared" si="1100"/>
        <v>195.52699999999999</v>
      </c>
      <c r="CR224" s="828">
        <f t="shared" ref="CR224:CS224" si="1101">CR186</f>
        <v>196.69599999999997</v>
      </c>
      <c r="CS224" s="828">
        <f t="shared" si="1101"/>
        <v>196.66</v>
      </c>
      <c r="CT224" s="828">
        <f t="shared" ref="CT224" si="1102">CT186</f>
        <v>198.73200000000003</v>
      </c>
      <c r="CU224" s="1868">
        <f t="shared" ref="CU224:CX224" si="1103">CU186</f>
        <v>200.65419919999999</v>
      </c>
      <c r="CV224" s="1868">
        <f t="shared" si="1103"/>
        <v>202.68358992512003</v>
      </c>
      <c r="CW224" s="1868">
        <f t="shared" si="1103"/>
        <v>204.54775178893857</v>
      </c>
      <c r="CX224" s="1868">
        <f t="shared" si="1103"/>
        <v>206.33741551392075</v>
      </c>
      <c r="CY224" s="1868">
        <f t="shared" ref="CY224:DB224" si="1104">CY186</f>
        <v>207.89982264539037</v>
      </c>
      <c r="CZ224" s="1868">
        <f t="shared" si="1104"/>
        <v>209.28220551214656</v>
      </c>
      <c r="DA224" s="1868">
        <f t="shared" si="1104"/>
        <v>210.50049651521951</v>
      </c>
      <c r="DB224" s="1868">
        <f t="shared" si="1104"/>
        <v>211.64938007993234</v>
      </c>
    </row>
    <row r="225" spans="1:106" s="749" customFormat="1" ht="12.75" customHeight="1">
      <c r="A225" s="714"/>
      <c r="B225" s="714"/>
      <c r="C225" s="1465" t="s">
        <v>2133</v>
      </c>
      <c r="D225" s="724"/>
      <c r="E225" s="830" t="str">
        <f>E205</f>
        <v>Imports of goods and services</v>
      </c>
      <c r="F225" s="754"/>
      <c r="G225" s="756">
        <f>G205</f>
        <v>37.624000000000002</v>
      </c>
      <c r="H225" s="756">
        <f t="shared" ref="H225:AX225" si="1105">H205</f>
        <v>37.326999999999998</v>
      </c>
      <c r="I225" s="756">
        <f t="shared" si="1105"/>
        <v>37.228999999999999</v>
      </c>
      <c r="J225" s="756">
        <f t="shared" si="1105"/>
        <v>38.134</v>
      </c>
      <c r="K225" s="756">
        <f t="shared" si="1105"/>
        <v>38.94</v>
      </c>
      <c r="L225" s="756">
        <f t="shared" si="1105"/>
        <v>39.411000000000001</v>
      </c>
      <c r="M225" s="756">
        <f t="shared" si="1105"/>
        <v>39.579000000000001</v>
      </c>
      <c r="N225" s="756">
        <f t="shared" si="1105"/>
        <v>40.289000000000001</v>
      </c>
      <c r="O225" s="756">
        <f>O205</f>
        <v>41.570999999999998</v>
      </c>
      <c r="P225" s="756">
        <f>P205</f>
        <v>42.762</v>
      </c>
      <c r="Q225" s="756">
        <f>Q205</f>
        <v>43.293999999999997</v>
      </c>
      <c r="R225" s="756">
        <f>R205</f>
        <v>43.656999999999996</v>
      </c>
      <c r="S225" s="756">
        <f t="shared" si="1105"/>
        <v>43.981000000000002</v>
      </c>
      <c r="T225" s="756">
        <f t="shared" si="1105"/>
        <v>44.787999999999997</v>
      </c>
      <c r="U225" s="756">
        <f t="shared" si="1105"/>
        <v>45.67</v>
      </c>
      <c r="V225" s="756">
        <f t="shared" si="1105"/>
        <v>45.39</v>
      </c>
      <c r="W225" s="756">
        <f t="shared" si="1105"/>
        <v>44.78</v>
      </c>
      <c r="X225" s="756">
        <f t="shared" si="1105"/>
        <v>45.597000000000001</v>
      </c>
      <c r="Y225" s="756">
        <f t="shared" si="1105"/>
        <v>46.966999999999999</v>
      </c>
      <c r="Z225" s="756">
        <f t="shared" si="1105"/>
        <v>48.34</v>
      </c>
      <c r="AA225" s="756">
        <f t="shared" si="1105"/>
        <v>50.853000000000002</v>
      </c>
      <c r="AB225" s="756">
        <f t="shared" si="1105"/>
        <v>52.19</v>
      </c>
      <c r="AC225" s="756">
        <f t="shared" si="1105"/>
        <v>53.643000000000001</v>
      </c>
      <c r="AD225" s="756">
        <f t="shared" si="1105"/>
        <v>54.094999999999999</v>
      </c>
      <c r="AE225" s="756">
        <f t="shared" si="1105"/>
        <v>53.627000000000002</v>
      </c>
      <c r="AF225" s="756">
        <f t="shared" si="1105"/>
        <v>52.304000000000002</v>
      </c>
      <c r="AG225" s="756">
        <f t="shared" si="1105"/>
        <v>51.552</v>
      </c>
      <c r="AH225" s="756">
        <f t="shared" si="1105"/>
        <v>51.139000000000003</v>
      </c>
      <c r="AI225" s="756">
        <f t="shared" si="1105"/>
        <v>51.768999999999998</v>
      </c>
      <c r="AJ225" s="756">
        <f t="shared" si="1105"/>
        <v>52.383000000000003</v>
      </c>
      <c r="AK225" s="756">
        <f t="shared" si="1105"/>
        <v>52.962000000000003</v>
      </c>
      <c r="AL225" s="756">
        <f t="shared" si="1105"/>
        <v>53.426000000000002</v>
      </c>
      <c r="AM225" s="756">
        <f t="shared" si="1105"/>
        <v>53.198</v>
      </c>
      <c r="AN225" s="756">
        <f t="shared" si="1105"/>
        <v>52.902999999999999</v>
      </c>
      <c r="AO225" s="756">
        <f t="shared" si="1105"/>
        <v>53.173000000000002</v>
      </c>
      <c r="AP225" s="756">
        <f t="shared" si="1105"/>
        <v>54.390999999999998</v>
      </c>
      <c r="AQ225" s="756">
        <f>AQ205</f>
        <v>55.204000000000001</v>
      </c>
      <c r="AR225" s="756">
        <f>AR205</f>
        <v>56.17</v>
      </c>
      <c r="AS225" s="756">
        <f>AS205</f>
        <v>57.152000000000001</v>
      </c>
      <c r="AT225" s="756">
        <f>AT205</f>
        <v>58.448</v>
      </c>
      <c r="AU225" s="756">
        <f t="shared" si="1105"/>
        <v>59.152999999999999</v>
      </c>
      <c r="AV225" s="756">
        <f t="shared" si="1105"/>
        <v>60.378</v>
      </c>
      <c r="AW225" s="756">
        <f t="shared" si="1105"/>
        <v>60.828000000000003</v>
      </c>
      <c r="AX225" s="756">
        <f t="shared" si="1105"/>
        <v>61.261000000000003</v>
      </c>
      <c r="AY225" s="756">
        <f t="shared" ref="AY225:BD225" si="1106">AY205</f>
        <v>62.621000000000002</v>
      </c>
      <c r="AZ225" s="756">
        <f t="shared" si="1106"/>
        <v>63.142000000000003</v>
      </c>
      <c r="BA225" s="756">
        <f t="shared" si="1106"/>
        <v>63.231999999999999</v>
      </c>
      <c r="BB225" s="756">
        <f t="shared" si="1106"/>
        <v>63.738999999999997</v>
      </c>
      <c r="BC225" s="756">
        <f t="shared" si="1106"/>
        <v>65.594999999999999</v>
      </c>
      <c r="BD225" s="756">
        <f t="shared" si="1106"/>
        <v>66.388999999999996</v>
      </c>
      <c r="BE225" s="756">
        <f>BE205</f>
        <v>67.201999999999998</v>
      </c>
      <c r="BF225" s="756">
        <f>BF205</f>
        <v>67.891999999999996</v>
      </c>
      <c r="BG225" s="756">
        <f>BG205</f>
        <v>69.301000000000002</v>
      </c>
      <c r="BH225" s="756">
        <f>BH205</f>
        <v>71.221999999999994</v>
      </c>
      <c r="BI225" s="756">
        <f>BI205</f>
        <v>71.010000000000005</v>
      </c>
      <c r="BJ225" s="756">
        <f t="shared" ref="BJ225:BP225" si="1107">BJ205</f>
        <v>64.846000000000004</v>
      </c>
      <c r="BK225" s="756">
        <f t="shared" si="1107"/>
        <v>61.274999999999999</v>
      </c>
      <c r="BL225" s="756">
        <f t="shared" si="1107"/>
        <v>61.588000000000001</v>
      </c>
      <c r="BM225" s="756">
        <f t="shared" si="1107"/>
        <v>63.774000000000001</v>
      </c>
      <c r="BN225" s="756">
        <f t="shared" si="1107"/>
        <v>64.838999999999999</v>
      </c>
      <c r="BO225" s="756">
        <f t="shared" si="1107"/>
        <v>66.111000000000004</v>
      </c>
      <c r="BP225" s="756">
        <f t="shared" si="1107"/>
        <v>69.225999999999999</v>
      </c>
      <c r="BQ225" s="756">
        <f t="shared" ref="BQ225:BU225" si="1108">BQ205</f>
        <v>69.619</v>
      </c>
      <c r="BR225" s="756">
        <f t="shared" si="1108"/>
        <v>70.724999999999994</v>
      </c>
      <c r="BS225" s="756">
        <f t="shared" si="1108"/>
        <v>73.054000000000002</v>
      </c>
      <c r="BT225" s="756">
        <f t="shared" si="1108"/>
        <v>74.055000000000007</v>
      </c>
      <c r="BU225" s="756">
        <f t="shared" si="1108"/>
        <v>75.578999999999994</v>
      </c>
      <c r="BV225" s="756">
        <f t="shared" ref="BV225:CA225" si="1109">BV205</f>
        <v>73.146000000000001</v>
      </c>
      <c r="BW225" s="756">
        <f t="shared" si="1109"/>
        <v>74.844999999999999</v>
      </c>
      <c r="BX225" s="756">
        <f t="shared" si="1109"/>
        <v>74.117999999999995</v>
      </c>
      <c r="BY225" s="756">
        <f t="shared" si="1109"/>
        <v>73.557000000000002</v>
      </c>
      <c r="BZ225" s="756">
        <f t="shared" si="1109"/>
        <v>73.597999999999999</v>
      </c>
      <c r="CA225" s="756">
        <f t="shared" si="1109"/>
        <v>73.33</v>
      </c>
      <c r="CB225" s="756">
        <f t="shared" ref="CB225:CE225" si="1110">CB205</f>
        <v>73.552999999999997</v>
      </c>
      <c r="CC225" s="756">
        <f t="shared" si="1110"/>
        <v>74.367999999999995</v>
      </c>
      <c r="CD225" s="756">
        <f t="shared" si="1110"/>
        <v>75.88</v>
      </c>
      <c r="CE225" s="756">
        <f t="shared" si="1110"/>
        <v>76.727999999999994</v>
      </c>
      <c r="CF225" s="756">
        <f t="shared" ref="CF225:CI225" si="1111">CF205</f>
        <v>77.942999999999998</v>
      </c>
      <c r="CG225" s="756">
        <f t="shared" si="1111"/>
        <v>80.900999999999996</v>
      </c>
      <c r="CH225" s="756">
        <f t="shared" si="1111"/>
        <v>79.997</v>
      </c>
      <c r="CI225" s="756">
        <f t="shared" si="1111"/>
        <v>81.635000000000005</v>
      </c>
      <c r="CJ225" s="756">
        <f t="shared" ref="CJ225:CM225" si="1112">CJ205</f>
        <v>80.605000000000004</v>
      </c>
      <c r="CK225" s="756">
        <f t="shared" si="1112"/>
        <v>80.338999999999999</v>
      </c>
      <c r="CL225" s="756">
        <f t="shared" si="1112"/>
        <v>83.334999999999994</v>
      </c>
      <c r="CM225" s="756">
        <f t="shared" si="1112"/>
        <v>82.835999999999999</v>
      </c>
      <c r="CN225" s="756">
        <f t="shared" ref="CN225:CQ225" si="1113">CN205</f>
        <v>87.912000000000006</v>
      </c>
      <c r="CO225" s="756">
        <f t="shared" si="1113"/>
        <v>90.599000000000004</v>
      </c>
      <c r="CP225" s="756">
        <f t="shared" si="1113"/>
        <v>91.828000000000003</v>
      </c>
      <c r="CQ225" s="756">
        <f t="shared" si="1113"/>
        <v>91.353999999999999</v>
      </c>
      <c r="CR225" s="756">
        <f t="shared" ref="CR225:CS225" si="1114">CR205</f>
        <v>92.063999999999993</v>
      </c>
      <c r="CS225" s="756">
        <f t="shared" si="1114"/>
        <v>91.384</v>
      </c>
      <c r="CT225" s="756">
        <f t="shared" ref="CT225" si="1115">CT205</f>
        <v>92.819000000000003</v>
      </c>
      <c r="CU225" s="1528">
        <f t="shared" ref="CU225:CX225" si="1116">CU205</f>
        <v>94.304104000000009</v>
      </c>
      <c r="CV225" s="1528">
        <f t="shared" si="1116"/>
        <v>95.765817612000021</v>
      </c>
      <c r="CW225" s="1528">
        <f t="shared" si="1116"/>
        <v>97.106539058568018</v>
      </c>
      <c r="CX225" s="1528">
        <f t="shared" si="1116"/>
        <v>98.368924066329399</v>
      </c>
      <c r="CY225" s="1528">
        <f t="shared" ref="CY225:DB225" si="1117">CY205</f>
        <v>99.450982231059015</v>
      </c>
      <c r="CZ225" s="1528">
        <f t="shared" si="1117"/>
        <v>100.37587636580787</v>
      </c>
      <c r="DA225" s="1528">
        <f t="shared" si="1117"/>
        <v>101.24914649019038</v>
      </c>
      <c r="DB225" s="1528">
        <f t="shared" si="1117"/>
        <v>102.09963932070798</v>
      </c>
    </row>
    <row r="226" spans="1:106" s="1877" customFormat="1" ht="12.75" customHeight="1">
      <c r="A226" s="1873"/>
      <c r="B226" s="1873"/>
      <c r="C226" s="1874"/>
      <c r="D226" s="1875"/>
      <c r="E226" s="1876" t="s">
        <v>1353</v>
      </c>
      <c r="F226" s="1875"/>
      <c r="G226" s="1876">
        <f t="shared" ref="G226:BM226" si="1118">G227-G224+G225</f>
        <v>-2.1399999999999935</v>
      </c>
      <c r="H226" s="1876">
        <f t="shared" si="1118"/>
        <v>-1.9279999999999973</v>
      </c>
      <c r="I226" s="1876">
        <f t="shared" si="1118"/>
        <v>-1.4980000000000047</v>
      </c>
      <c r="J226" s="1876">
        <f t="shared" si="1118"/>
        <v>-1.3940000000000055</v>
      </c>
      <c r="K226" s="1876">
        <f t="shared" si="1118"/>
        <v>-1.5240000000000009</v>
      </c>
      <c r="L226" s="1876">
        <f t="shared" si="1118"/>
        <v>-1.6930000000000121</v>
      </c>
      <c r="M226" s="1876">
        <f t="shared" si="1118"/>
        <v>-1.9160000000000039</v>
      </c>
      <c r="N226" s="1876">
        <f t="shared" si="1118"/>
        <v>-1.9339999999999975</v>
      </c>
      <c r="O226" s="1876">
        <f t="shared" si="1118"/>
        <v>-1.8070000000000022</v>
      </c>
      <c r="P226" s="1876">
        <f t="shared" si="1118"/>
        <v>-1.2639999999999958</v>
      </c>
      <c r="Q226" s="1876">
        <f t="shared" si="1118"/>
        <v>-1.0350000000000108</v>
      </c>
      <c r="R226" s="1876">
        <f t="shared" si="1118"/>
        <v>-1.4110000000000014</v>
      </c>
      <c r="S226" s="1876">
        <f t="shared" si="1118"/>
        <v>-1.4739999999999966</v>
      </c>
      <c r="T226" s="1876">
        <f t="shared" si="1118"/>
        <v>-1.4390000000000072</v>
      </c>
      <c r="U226" s="1876">
        <f t="shared" si="1118"/>
        <v>-1.532999999999987</v>
      </c>
      <c r="V226" s="1876">
        <f t="shared" si="1118"/>
        <v>-1.4440000000000026</v>
      </c>
      <c r="W226" s="1876">
        <f t="shared" si="1118"/>
        <v>-1.4230000000000018</v>
      </c>
      <c r="X226" s="1876">
        <f t="shared" si="1118"/>
        <v>-1.6460000000000079</v>
      </c>
      <c r="Y226" s="1876">
        <f t="shared" si="1118"/>
        <v>-1.4840000000000089</v>
      </c>
      <c r="Z226" s="1876">
        <f t="shared" si="1118"/>
        <v>-0.91800000000000637</v>
      </c>
      <c r="AA226" s="1876">
        <f t="shared" si="1118"/>
        <v>-0.95299999999999585</v>
      </c>
      <c r="AB226" s="1876">
        <f t="shared" si="1118"/>
        <v>-0.72099999999998943</v>
      </c>
      <c r="AC226" s="1876">
        <f t="shared" si="1118"/>
        <v>-0.46000000000000796</v>
      </c>
      <c r="AD226" s="1876">
        <f t="shared" si="1118"/>
        <v>-0.45300000000000296</v>
      </c>
      <c r="AE226" s="1876">
        <f t="shared" si="1118"/>
        <v>-1.2700000000000173</v>
      </c>
      <c r="AF226" s="1876">
        <f t="shared" si="1118"/>
        <v>-1.4249999999999972</v>
      </c>
      <c r="AG226" s="1876">
        <f t="shared" si="1118"/>
        <v>-2.1929999999999907</v>
      </c>
      <c r="AH226" s="1876">
        <f t="shared" si="1118"/>
        <v>-1.7209999999999965</v>
      </c>
      <c r="AI226" s="1876">
        <f t="shared" si="1118"/>
        <v>-2.1450000000000031</v>
      </c>
      <c r="AJ226" s="1876">
        <f t="shared" si="1118"/>
        <v>-1.7500000000000071</v>
      </c>
      <c r="AK226" s="1876">
        <f t="shared" si="1118"/>
        <v>-1.1989999999999839</v>
      </c>
      <c r="AL226" s="1876">
        <f t="shared" si="1118"/>
        <v>-1.0519999999999783</v>
      </c>
      <c r="AM226" s="1876">
        <f t="shared" si="1118"/>
        <v>-0.99399999999999267</v>
      </c>
      <c r="AN226" s="1876">
        <f t="shared" si="1118"/>
        <v>-1.6739999999999853</v>
      </c>
      <c r="AO226" s="1876">
        <f t="shared" si="1118"/>
        <v>-1.703000000000003</v>
      </c>
      <c r="AP226" s="1876">
        <f t="shared" si="1118"/>
        <v>-1.2670000000000172</v>
      </c>
      <c r="AQ226" s="1876">
        <f t="shared" si="1118"/>
        <v>-1.5059999999999931</v>
      </c>
      <c r="AR226" s="1876">
        <f t="shared" si="1118"/>
        <v>-1.3599999999999852</v>
      </c>
      <c r="AS226" s="1876">
        <f t="shared" si="1118"/>
        <v>-1.1189999999999856</v>
      </c>
      <c r="AT226" s="1876">
        <f t="shared" si="1118"/>
        <v>-0.30799999999999983</v>
      </c>
      <c r="AU226" s="1876">
        <f t="shared" si="1118"/>
        <v>-0.69599999999999085</v>
      </c>
      <c r="AV226" s="1876">
        <f t="shared" si="1118"/>
        <v>-0.81500000000001194</v>
      </c>
      <c r="AW226" s="1876">
        <f t="shared" si="1118"/>
        <v>-0.36400000000000432</v>
      </c>
      <c r="AX226" s="1876">
        <f t="shared" si="1118"/>
        <v>0.13799999999999812</v>
      </c>
      <c r="AY226" s="1876">
        <f t="shared" si="1118"/>
        <v>5.2000000000013813E-2</v>
      </c>
      <c r="AZ226" s="1876">
        <f t="shared" si="1118"/>
        <v>6.1999999999990507E-2</v>
      </c>
      <c r="BA226" s="1876">
        <f t="shared" si="1118"/>
        <v>-0.20300000000000296</v>
      </c>
      <c r="BB226" s="1876">
        <f t="shared" si="1118"/>
        <v>0.20800000000000551</v>
      </c>
      <c r="BC226" s="1876">
        <f t="shared" si="1118"/>
        <v>0.30100000000000193</v>
      </c>
      <c r="BD226" s="1876">
        <f t="shared" si="1118"/>
        <v>5.9999999999988063E-2</v>
      </c>
      <c r="BE226" s="1876">
        <f t="shared" si="1118"/>
        <v>0.38899999999999579</v>
      </c>
      <c r="BF226" s="1876">
        <f t="shared" si="1118"/>
        <v>0.66500000000000625</v>
      </c>
      <c r="BG226" s="1876">
        <f t="shared" si="1118"/>
        <v>0.56300000000000239</v>
      </c>
      <c r="BH226" s="1876">
        <f t="shared" si="1118"/>
        <v>0.2260000000000133</v>
      </c>
      <c r="BI226" s="1876">
        <f t="shared" si="1118"/>
        <v>0.40399999999999636</v>
      </c>
      <c r="BJ226" s="1876">
        <f t="shared" si="1118"/>
        <v>0.22400000000000375</v>
      </c>
      <c r="BK226" s="1876">
        <f t="shared" si="1118"/>
        <v>2.4999999999998579E-2</v>
      </c>
      <c r="BL226" s="1876">
        <f t="shared" si="1118"/>
        <v>-0.60000000000000142</v>
      </c>
      <c r="BM226" s="1876">
        <f t="shared" si="1118"/>
        <v>-0.25300000000001432</v>
      </c>
      <c r="BN226" s="1876">
        <f t="shared" ref="BN226:BU226" si="1119">BN227-BN224+BN225</f>
        <v>-0.6769999999999925</v>
      </c>
      <c r="BO226" s="1876">
        <f t="shared" si="1119"/>
        <v>0.17100000000000648</v>
      </c>
      <c r="BP226" s="1876">
        <f t="shared" si="1119"/>
        <v>0.52599999999998204</v>
      </c>
      <c r="BQ226" s="1876">
        <f t="shared" si="1119"/>
        <v>-7.9999999999984084E-2</v>
      </c>
      <c r="BR226" s="1876">
        <f t="shared" si="1119"/>
        <v>0.52600000000001046</v>
      </c>
      <c r="BS226" s="1876">
        <f t="shared" si="1119"/>
        <v>0.7879999999999967</v>
      </c>
      <c r="BT226" s="1876">
        <f t="shared" si="1119"/>
        <v>0.80599999999999739</v>
      </c>
      <c r="BU226" s="1876">
        <f t="shared" si="1119"/>
        <v>1.3469999999999942</v>
      </c>
      <c r="BV226" s="1876">
        <f t="shared" ref="BV226:CA226" si="1120">BV227-BV224+BV225</f>
        <v>1.1039999999999992</v>
      </c>
      <c r="BW226" s="1876">
        <f t="shared" si="1120"/>
        <v>0.80699999999998795</v>
      </c>
      <c r="BX226" s="1876">
        <f t="shared" si="1120"/>
        <v>0.24800000000000466</v>
      </c>
      <c r="BY226" s="1876">
        <f t="shared" si="1120"/>
        <v>0.11800000000000921</v>
      </c>
      <c r="BZ226" s="1876">
        <f t="shared" si="1120"/>
        <v>0.20300000000001717</v>
      </c>
      <c r="CA226" s="1876">
        <f t="shared" si="1120"/>
        <v>-0.10399999999998499</v>
      </c>
      <c r="CB226" s="1876">
        <f t="shared" ref="CB226:CE226" si="1121">CB227-CB224+CB225</f>
        <v>-1.8999999999991246E-2</v>
      </c>
      <c r="CC226" s="1876">
        <f t="shared" si="1121"/>
        <v>-0.31799999999999784</v>
      </c>
      <c r="CD226" s="1876">
        <f t="shared" si="1121"/>
        <v>0.4269999999999925</v>
      </c>
      <c r="CE226" s="1876">
        <f t="shared" si="1121"/>
        <v>0.22400000000000375</v>
      </c>
      <c r="CF226" s="1876">
        <f t="shared" ref="CF226:CI226" si="1122">CF227-CF224+CF225</f>
        <v>0.19400000000000261</v>
      </c>
      <c r="CG226" s="1876">
        <f t="shared" si="1122"/>
        <v>0.36200000000000898</v>
      </c>
      <c r="CH226" s="1876">
        <f t="shared" si="1122"/>
        <v>0.1010000000000133</v>
      </c>
      <c r="CI226" s="1876">
        <f t="shared" si="1122"/>
        <v>0.18000000000003524</v>
      </c>
      <c r="CJ226" s="1876">
        <f t="shared" ref="CJ226:CM226" si="1123">CJ227-CJ224+CJ225</f>
        <v>0.49000000000000909</v>
      </c>
      <c r="CK226" s="1876">
        <f t="shared" si="1123"/>
        <v>0.42199999999998283</v>
      </c>
      <c r="CL226" s="1876">
        <f t="shared" si="1123"/>
        <v>0.48199999999998511</v>
      </c>
      <c r="CM226" s="1876">
        <f t="shared" si="1123"/>
        <v>0.25800000000000978</v>
      </c>
      <c r="CN226" s="1876">
        <f t="shared" ref="CN226:CQ226" si="1124">CN227-CN224+CN225</f>
        <v>0.76900000000000546</v>
      </c>
      <c r="CO226" s="1876">
        <f t="shared" si="1124"/>
        <v>0.64200000000002433</v>
      </c>
      <c r="CP226" s="1876">
        <f t="shared" si="1124"/>
        <v>0.84300000000001774</v>
      </c>
      <c r="CQ226" s="1876">
        <f t="shared" si="1124"/>
        <v>1.0930000000000177</v>
      </c>
      <c r="CR226" s="1876">
        <f t="shared" ref="CR226:CS226" si="1125">CR227-CR224+CR225</f>
        <v>1.1180000000000234</v>
      </c>
      <c r="CS226" s="1876">
        <f t="shared" si="1125"/>
        <v>0.67700000000000671</v>
      </c>
      <c r="CT226" s="1876">
        <f t="shared" ref="CT226" si="1126">CT227-CT224+CT225</f>
        <v>0.59399999999997988</v>
      </c>
      <c r="CU226" s="1879">
        <f t="shared" ref="CU226" si="1127">CT226</f>
        <v>0.59399999999997988</v>
      </c>
      <c r="CV226" s="1879">
        <f t="shared" ref="CV226" si="1128">CU226</f>
        <v>0.59399999999997988</v>
      </c>
      <c r="CW226" s="1879">
        <f t="shared" ref="CW226" si="1129">CV226</f>
        <v>0.59399999999997988</v>
      </c>
      <c r="CX226" s="1879">
        <f t="shared" ref="CX226" si="1130">CW226</f>
        <v>0.59399999999997988</v>
      </c>
      <c r="CY226" s="1879">
        <f t="shared" ref="CY226" si="1131">CX226</f>
        <v>0.59399999999997988</v>
      </c>
      <c r="CZ226" s="1879">
        <f t="shared" ref="CZ226" si="1132">CY226</f>
        <v>0.59399999999997988</v>
      </c>
      <c r="DA226" s="1879">
        <f t="shared" ref="DA226" si="1133">CZ226</f>
        <v>0.59399999999997988</v>
      </c>
      <c r="DB226" s="1879">
        <f t="shared" ref="DB226" si="1134">DA226</f>
        <v>0.59399999999997988</v>
      </c>
    </row>
    <row r="227" spans="1:106" s="749" customFormat="1" ht="12.75" customHeight="1">
      <c r="A227" s="715" t="str">
        <f>"Q" &amp; ROW(InputQ!A15)</f>
        <v>Q15</v>
      </c>
      <c r="B227" s="1869" t="s">
        <v>571</v>
      </c>
      <c r="C227" s="1465" t="s">
        <v>624</v>
      </c>
      <c r="D227" s="794"/>
      <c r="E227" s="1466" t="s">
        <v>362</v>
      </c>
      <c r="F227" s="796"/>
      <c r="G227" s="843">
        <f>+InputQ!G15/1000</f>
        <v>71.527000000000001</v>
      </c>
      <c r="H227" s="843">
        <f>+InputQ!H15/1000</f>
        <v>71.87</v>
      </c>
      <c r="I227" s="843">
        <f>+InputQ!I15/1000</f>
        <v>72.400999999999996</v>
      </c>
      <c r="J227" s="843">
        <f>+InputQ!J15/1000</f>
        <v>72.665999999999997</v>
      </c>
      <c r="K227" s="843">
        <f>+InputQ!K15/1000</f>
        <v>72.52</v>
      </c>
      <c r="L227" s="843">
        <f>+InputQ!L15/1000</f>
        <v>73.072999999999993</v>
      </c>
      <c r="M227" s="843">
        <f>+InputQ!M15/1000</f>
        <v>73.438999999999993</v>
      </c>
      <c r="N227" s="843">
        <f>+InputQ!N15/1000</f>
        <v>74.018000000000001</v>
      </c>
      <c r="O227" s="843">
        <f>+InputQ!O15/1000</f>
        <v>74.709999999999994</v>
      </c>
      <c r="P227" s="843">
        <f>+InputQ!P15/1000</f>
        <v>75.819000000000003</v>
      </c>
      <c r="Q227" s="843">
        <f>+InputQ!Q15/1000</f>
        <v>76.477999999999994</v>
      </c>
      <c r="R227" s="843">
        <f>+InputQ!R15/1000</f>
        <v>76.915999999999997</v>
      </c>
      <c r="S227" s="843">
        <f>+InputQ!S15/1000</f>
        <v>77.12</v>
      </c>
      <c r="T227" s="843">
        <f>+InputQ!T15/1000</f>
        <v>77.376999999999995</v>
      </c>
      <c r="U227" s="843">
        <f>+InputQ!U15/1000</f>
        <v>77.62</v>
      </c>
      <c r="V227" s="843">
        <f>+InputQ!V15/1000</f>
        <v>77.811999999999998</v>
      </c>
      <c r="W227" s="843">
        <f>+InputQ!W15/1000</f>
        <v>78.635999999999996</v>
      </c>
      <c r="X227" s="843">
        <f>+InputQ!X15/1000</f>
        <v>79.694999999999993</v>
      </c>
      <c r="Y227" s="843">
        <f>+InputQ!Y15/1000</f>
        <v>80.843000000000004</v>
      </c>
      <c r="Z227" s="843">
        <f>+InputQ!Z15/1000</f>
        <v>81.796999999999997</v>
      </c>
      <c r="AA227" s="843">
        <f>+InputQ!AA15/1000</f>
        <v>82.408000000000001</v>
      </c>
      <c r="AB227" s="843">
        <f>+InputQ!AB15/1000</f>
        <v>82.95</v>
      </c>
      <c r="AC227" s="843">
        <f>+InputQ!AC15/1000</f>
        <v>83.28</v>
      </c>
      <c r="AD227" s="843">
        <f>+InputQ!AD15/1000</f>
        <v>84.018000000000001</v>
      </c>
      <c r="AE227" s="843">
        <f>+InputQ!AE15/1000</f>
        <v>83.968999999999994</v>
      </c>
      <c r="AF227" s="843">
        <f>+InputQ!AF15/1000</f>
        <v>83.92</v>
      </c>
      <c r="AG227" s="843">
        <f>+InputQ!AG15/1000</f>
        <v>83.748000000000005</v>
      </c>
      <c r="AH227" s="843">
        <f>+InputQ!AH15/1000</f>
        <v>83.698999999999998</v>
      </c>
      <c r="AI227" s="843">
        <f>+InputQ!AI15/1000</f>
        <v>84.477999999999994</v>
      </c>
      <c r="AJ227" s="843">
        <f>+InputQ!AJ15/1000</f>
        <v>85.22</v>
      </c>
      <c r="AK227" s="843">
        <f>+InputQ!AK15/1000</f>
        <v>85.67</v>
      </c>
      <c r="AL227" s="843">
        <f>+InputQ!AL15/1000</f>
        <v>85.936000000000007</v>
      </c>
      <c r="AM227" s="843">
        <f>+InputQ!AM15/1000</f>
        <v>85.596999999999994</v>
      </c>
      <c r="AN227" s="843">
        <f>+InputQ!AN15/1000</f>
        <v>85.683000000000007</v>
      </c>
      <c r="AO227" s="843">
        <f>+InputQ!AO15/1000</f>
        <v>86.013000000000005</v>
      </c>
      <c r="AP227" s="843">
        <f>+InputQ!AP15/1000</f>
        <v>86.653999999999996</v>
      </c>
      <c r="AQ227" s="843">
        <f>+InputQ!AQ15/1000</f>
        <v>88.004000000000005</v>
      </c>
      <c r="AR227" s="843">
        <f>+InputQ!AR15/1000</f>
        <v>88.867000000000004</v>
      </c>
      <c r="AS227" s="843">
        <f>+InputQ!AS15/1000</f>
        <v>89.644000000000005</v>
      </c>
      <c r="AT227" s="843">
        <f>+InputQ!AT15/1000</f>
        <v>89.93</v>
      </c>
      <c r="AU227" s="843">
        <f>+InputQ!AU15/1000</f>
        <v>90.286000000000001</v>
      </c>
      <c r="AV227" s="843">
        <f>+InputQ!AV15/1000</f>
        <v>90.736999999999995</v>
      </c>
      <c r="AW227" s="843">
        <f>+InputQ!AW15/1000</f>
        <v>91.087999999999994</v>
      </c>
      <c r="AX227" s="843">
        <f>+InputQ!AX15/1000</f>
        <v>91.816999999999993</v>
      </c>
      <c r="AY227" s="843">
        <f>+InputQ!AY15/1000</f>
        <v>92.394000000000005</v>
      </c>
      <c r="AZ227" s="843">
        <f>+InputQ!AZ15/1000</f>
        <v>92.695999999999998</v>
      </c>
      <c r="BA227" s="843">
        <f>+InputQ!BA15/1000</f>
        <v>93.477000000000004</v>
      </c>
      <c r="BB227" s="843">
        <f>+InputQ!BB15/1000</f>
        <v>94.483999999999995</v>
      </c>
      <c r="BC227" s="843">
        <f>+InputQ!BC15/1000</f>
        <v>95.7</v>
      </c>
      <c r="BD227" s="843">
        <f>+InputQ!BD15/1000</f>
        <v>96.075999999999993</v>
      </c>
      <c r="BE227" s="843">
        <f>+InputQ!BE15/1000</f>
        <v>96.817999999999998</v>
      </c>
      <c r="BF227" s="843">
        <f>+InputQ!BF15/1000</f>
        <v>97.307000000000002</v>
      </c>
      <c r="BG227" s="843">
        <f>+InputQ!BG15/1000</f>
        <v>97.869</v>
      </c>
      <c r="BH227" s="843">
        <f>+InputQ!BH15/1000</f>
        <v>98.025000000000006</v>
      </c>
      <c r="BI227" s="2984">
        <f>+InputQ!BI15/1000</f>
        <v>97.531999999999996</v>
      </c>
      <c r="BJ227" s="2984">
        <f>+InputQ!BJ15/1000</f>
        <v>95.49</v>
      </c>
      <c r="BK227" s="2984">
        <f>+InputQ!BK15/1000</f>
        <v>94.391999999999996</v>
      </c>
      <c r="BL227" s="2984">
        <f>+InputQ!BL15/1000</f>
        <v>94.289000000000001</v>
      </c>
      <c r="BM227" s="2984">
        <f>+InputQ!BM15/1000</f>
        <v>95.338999999999999</v>
      </c>
      <c r="BN227" s="2984">
        <f>+InputQ!BN15/1000</f>
        <v>96.144000000000005</v>
      </c>
      <c r="BO227" s="2984">
        <f>+InputQ!BO15/1000</f>
        <v>96.600999999999999</v>
      </c>
      <c r="BP227" s="2984">
        <f>+InputQ!BP15/1000</f>
        <v>97.575999999999993</v>
      </c>
      <c r="BQ227" s="2984">
        <f>+InputQ!BQ15/1000</f>
        <v>98.007000000000005</v>
      </c>
      <c r="BR227" s="2984">
        <f>+InputQ!BR15/1000</f>
        <v>98.412000000000006</v>
      </c>
      <c r="BS227" s="2984">
        <f>+InputQ!BS15/1000</f>
        <v>99.063000000000002</v>
      </c>
      <c r="BT227" s="2984">
        <f>+InputQ!BT15/1000</f>
        <v>99.349000000000004</v>
      </c>
      <c r="BU227" s="2984">
        <f>+InputQ!BU15/1000</f>
        <v>99.570999999999998</v>
      </c>
      <c r="BV227" s="2984">
        <f>+InputQ!BV15/1000</f>
        <v>99.638000000000005</v>
      </c>
      <c r="BW227" s="2984">
        <f>+InputQ!BW15/1000</f>
        <v>99.831999999999994</v>
      </c>
      <c r="BX227" s="2984">
        <f>+InputQ!BX15/1000</f>
        <v>99.638999999999996</v>
      </c>
      <c r="BY227" s="2984">
        <f>+InputQ!BY15/1000</f>
        <v>99.600999999999999</v>
      </c>
      <c r="BZ227" s="2984">
        <f>+InputQ!BZ15/1000</f>
        <v>99.480999999999995</v>
      </c>
      <c r="CA227" s="2984">
        <f>+InputQ!CA15/1000</f>
        <v>99.162999999999997</v>
      </c>
      <c r="CB227" s="2984">
        <f>+InputQ!CB15/1000</f>
        <v>99.64</v>
      </c>
      <c r="CC227" s="2984">
        <f>+InputQ!CC15/1000</f>
        <v>100.127</v>
      </c>
      <c r="CD227" s="2984">
        <f>+InputQ!CD15/1000</f>
        <v>100.423</v>
      </c>
      <c r="CE227" s="2984">
        <f>+InputQ!CE15/1000</f>
        <v>100.727</v>
      </c>
      <c r="CF227" s="2984">
        <f>+InputQ!CF15/1000</f>
        <v>100.977</v>
      </c>
      <c r="CG227" s="2984">
        <f>+InputQ!CG15/1000</f>
        <v>101.36799999999999</v>
      </c>
      <c r="CH227" s="2984">
        <f>+InputQ!CH15/1000</f>
        <v>101.679</v>
      </c>
      <c r="CI227" s="2984">
        <f>+InputQ!CI15/1000</f>
        <v>102.099</v>
      </c>
      <c r="CJ227" s="2984">
        <f>+InputQ!CJ15/1000</f>
        <v>102.575</v>
      </c>
      <c r="CK227" s="2984">
        <f>+InputQ!CK15/1000</f>
        <v>102.63500000000001</v>
      </c>
      <c r="CL227" s="2984">
        <f>+InputQ!CL15/1000</f>
        <v>103.126</v>
      </c>
      <c r="CM227" s="2984">
        <f>+InputQ!CM15/1000</f>
        <v>103.413</v>
      </c>
      <c r="CN227" s="2984">
        <f>+InputQ!CN15/1000</f>
        <v>104.179</v>
      </c>
      <c r="CO227" s="2984">
        <f>+InputQ!CO15/1000</f>
        <v>104.294</v>
      </c>
      <c r="CP227" s="2984">
        <f>+InputQ!CP15/1000</f>
        <v>104.566</v>
      </c>
      <c r="CQ227" s="2984">
        <f>+InputQ!CQ15/1000</f>
        <v>105.26600000000001</v>
      </c>
      <c r="CR227" s="2984">
        <f>+InputQ!CR15/1000</f>
        <v>105.75</v>
      </c>
      <c r="CS227" s="2984">
        <f>+InputQ!CS15/1000</f>
        <v>105.953</v>
      </c>
      <c r="CT227" s="2984">
        <f>+InputQ!CT15/1000</f>
        <v>106.50700000000001</v>
      </c>
      <c r="CU227" s="1528">
        <f t="shared" ref="CU227:CX227" si="1135">CU224-CU225+CU226</f>
        <v>106.94409519999996</v>
      </c>
      <c r="CV227" s="1528">
        <f t="shared" si="1135"/>
        <v>107.51177231311999</v>
      </c>
      <c r="CW227" s="1528">
        <f t="shared" si="1135"/>
        <v>108.03521273037053</v>
      </c>
      <c r="CX227" s="1528">
        <f t="shared" si="1135"/>
        <v>108.56249144759133</v>
      </c>
      <c r="CY227" s="1528">
        <f t="shared" ref="CY227:DB227" si="1136">CY224-CY225+CY226</f>
        <v>109.04284041433134</v>
      </c>
      <c r="CZ227" s="1528">
        <f t="shared" si="1136"/>
        <v>109.50032914633867</v>
      </c>
      <c r="DA227" s="1528">
        <f t="shared" si="1136"/>
        <v>109.84535002502911</v>
      </c>
      <c r="DB227" s="1528">
        <f t="shared" si="1136"/>
        <v>110.14374075922434</v>
      </c>
    </row>
    <row r="228" spans="1:106" s="26" customFormat="1">
      <c r="A228" s="723"/>
      <c r="B228" s="723"/>
      <c r="C228" s="1520"/>
      <c r="D228" s="733"/>
      <c r="E228" s="734" t="s">
        <v>357</v>
      </c>
      <c r="F228" s="735"/>
      <c r="G228" s="1477"/>
      <c r="H228" s="1477"/>
      <c r="I228" s="1477"/>
      <c r="J228" s="1481">
        <f>SUM(G227:J227)</f>
        <v>288.464</v>
      </c>
      <c r="K228" s="1477"/>
      <c r="L228" s="1477"/>
      <c r="M228" s="1477"/>
      <c r="N228" s="1481">
        <f>SUM(K227:N227)</f>
        <v>293.04999999999995</v>
      </c>
      <c r="O228" s="1477"/>
      <c r="P228" s="1477"/>
      <c r="Q228" s="1477"/>
      <c r="R228" s="1481">
        <f>SUM(O227:R227)</f>
        <v>303.923</v>
      </c>
      <c r="S228" s="1477"/>
      <c r="T228" s="1477"/>
      <c r="U228" s="1477"/>
      <c r="V228" s="1481">
        <f>SUM(S227:V227)</f>
        <v>309.92900000000003</v>
      </c>
      <c r="W228" s="1477"/>
      <c r="X228" s="1477"/>
      <c r="Y228" s="1477"/>
      <c r="Z228" s="1481">
        <f>SUM(W227:Z227)</f>
        <v>320.971</v>
      </c>
      <c r="AA228" s="1477"/>
      <c r="AB228" s="1477"/>
      <c r="AC228" s="1477"/>
      <c r="AD228" s="1481">
        <f>SUM(AA227:AD227)</f>
        <v>332.65600000000001</v>
      </c>
      <c r="AE228" s="1477"/>
      <c r="AF228" s="1477"/>
      <c r="AG228" s="1477"/>
      <c r="AH228" s="1481">
        <f>SUM(AE227:AH227)</f>
        <v>335.33600000000001</v>
      </c>
      <c r="AI228" s="1477"/>
      <c r="AJ228" s="1477"/>
      <c r="AK228" s="1477"/>
      <c r="AL228" s="1481">
        <f>SUM(AI227:AL227)</f>
        <v>341.30399999999997</v>
      </c>
      <c r="AM228" s="1477"/>
      <c r="AN228" s="1477"/>
      <c r="AO228" s="1477"/>
      <c r="AP228" s="1481">
        <f>SUM(AM227:AP227)</f>
        <v>343.947</v>
      </c>
      <c r="AQ228" s="1477"/>
      <c r="AR228" s="1477"/>
      <c r="AS228" s="1477"/>
      <c r="AT228" s="1481">
        <f>SUM(AQ227:AT227)</f>
        <v>356.44499999999999</v>
      </c>
      <c r="AU228" s="1477"/>
      <c r="AV228" s="1477"/>
      <c r="AW228" s="1477"/>
      <c r="AX228" s="1481">
        <f>SUM(AU227:AX227)</f>
        <v>363.928</v>
      </c>
      <c r="AY228" s="1477"/>
      <c r="AZ228" s="1477"/>
      <c r="BA228" s="1529"/>
      <c r="BB228" s="1497">
        <f>SUM(AY227:BB227)</f>
        <v>373.05099999999999</v>
      </c>
      <c r="BC228" s="1529"/>
      <c r="BD228" s="1529"/>
      <c r="BE228" s="1529"/>
      <c r="BF228" s="1497">
        <f>SUM(BC227:BF227)</f>
        <v>385.90100000000001</v>
      </c>
      <c r="BG228" s="1529"/>
      <c r="BH228" s="1529"/>
      <c r="BI228" s="1529"/>
      <c r="BJ228" s="1497">
        <f>SUM(BG227:BJ227)</f>
        <v>388.916</v>
      </c>
      <c r="BK228" s="1529"/>
      <c r="BL228" s="1529"/>
      <c r="BM228" s="1529"/>
      <c r="BN228" s="1497">
        <f>SUM(BK227:BN227)</f>
        <v>380.16399999999999</v>
      </c>
      <c r="BO228" s="1529"/>
      <c r="BP228" s="1529"/>
      <c r="BQ228" s="1529"/>
      <c r="BR228" s="1497">
        <f>SUM(BO227:BR227)</f>
        <v>390.596</v>
      </c>
      <c r="BS228" s="1529"/>
      <c r="BT228" s="1529"/>
      <c r="BU228" s="1529"/>
      <c r="BV228" s="1497">
        <f>SUM(BS227:BV227)</f>
        <v>397.62099999999998</v>
      </c>
      <c r="BW228" s="1529"/>
      <c r="BX228" s="1529"/>
      <c r="BY228" s="1529"/>
      <c r="BZ228" s="1497">
        <f>SUM(BW227:BZ227)</f>
        <v>398.553</v>
      </c>
      <c r="CA228" s="1529"/>
      <c r="CB228" s="1529"/>
      <c r="CC228" s="1529"/>
      <c r="CD228" s="1497">
        <f>SUM(CA227:CD227)</f>
        <v>399.35300000000001</v>
      </c>
      <c r="CE228" s="1529"/>
      <c r="CF228" s="1529"/>
      <c r="CG228" s="1529"/>
      <c r="CH228" s="1497">
        <f>SUM(CE227:CH227)</f>
        <v>404.75099999999998</v>
      </c>
      <c r="CI228" s="1529"/>
      <c r="CJ228" s="1529"/>
      <c r="CK228" s="1529"/>
      <c r="CL228" s="1497">
        <f>SUM(CI227:CL227)</f>
        <v>410.43500000000006</v>
      </c>
      <c r="CM228" s="1529"/>
      <c r="CN228" s="1529"/>
      <c r="CO228" s="1529"/>
      <c r="CP228" s="1497">
        <f>SUM(CM227:CP227)</f>
        <v>416.452</v>
      </c>
      <c r="CQ228" s="1529"/>
      <c r="CR228" s="1529"/>
      <c r="CS228" s="1529"/>
      <c r="CT228" s="1497">
        <f>SUM(CQ227:CT227)</f>
        <v>423.47600000000006</v>
      </c>
      <c r="CU228" s="1529"/>
      <c r="CV228" s="1529"/>
      <c r="CW228" s="1529"/>
      <c r="CX228" s="1497">
        <f>SUM(CU227:CX227)</f>
        <v>431.05357169108186</v>
      </c>
      <c r="CY228" s="1529"/>
      <c r="CZ228" s="1529"/>
      <c r="DA228" s="1529"/>
      <c r="DB228" s="1497">
        <f>SUM(CY227:DB227)</f>
        <v>438.53226034492343</v>
      </c>
    </row>
    <row r="229" spans="1:106" s="1506" customFormat="1" ht="12.75" customHeight="1">
      <c r="A229" s="1039"/>
      <c r="B229" s="1039"/>
      <c r="C229" s="1521"/>
      <c r="D229" s="729"/>
      <c r="E229" s="1478" t="s">
        <v>675</v>
      </c>
      <c r="F229" s="729"/>
      <c r="G229" s="1479"/>
      <c r="H229" s="2801" t="s">
        <v>543</v>
      </c>
      <c r="I229" s="2802">
        <f ca="1">+J229/J228*100</f>
        <v>98.734746796827338</v>
      </c>
      <c r="J229" s="1522">
        <f ca="1">OFFSET('VVP2'!$G$132,0,(COLUMN()-10)/4)</f>
        <v>284.81420000000003</v>
      </c>
      <c r="K229" s="1479"/>
      <c r="L229" s="2801" t="s">
        <v>543</v>
      </c>
      <c r="M229" s="2802">
        <f ca="1">+N229/N228*100</f>
        <v>93.473854291076634</v>
      </c>
      <c r="N229" s="1522">
        <f ca="1">OFFSET('VVP2'!$G$132,0,(COLUMN()-10)/4)</f>
        <v>273.92513000000002</v>
      </c>
      <c r="O229" s="1479"/>
      <c r="P229" s="2801" t="s">
        <v>543</v>
      </c>
      <c r="Q229" s="2802">
        <f ca="1">+R229/R228*100</f>
        <v>93.473998348265837</v>
      </c>
      <c r="R229" s="1522">
        <f ca="1">OFFSET('VVP2'!$G$132,0,(COLUMN()-10)/4)</f>
        <v>284.08897999999999</v>
      </c>
      <c r="S229" s="1479"/>
      <c r="T229" s="2801" t="s">
        <v>543</v>
      </c>
      <c r="U229" s="2802">
        <f ca="1">+V229/V228*100</f>
        <v>93.473185794165758</v>
      </c>
      <c r="V229" s="1522">
        <f ca="1">OFFSET('VVP2'!$G$132,0,(COLUMN()-10)/4)</f>
        <v>289.70051000000001</v>
      </c>
      <c r="W229" s="1479"/>
      <c r="X229" s="2801" t="s">
        <v>543</v>
      </c>
      <c r="Y229" s="2802">
        <f ca="1">+Z229/Z228*100</f>
        <v>93.473690769571078</v>
      </c>
      <c r="Z229" s="1522">
        <f ca="1">OFFSET('VVP2'!$G$132,0,(COLUMN()-10)/4)</f>
        <v>300.02343999999999</v>
      </c>
      <c r="AA229" s="1479"/>
      <c r="AB229" s="2801" t="s">
        <v>543</v>
      </c>
      <c r="AC229" s="2802">
        <f ca="1">+AD229/AD228*100</f>
        <v>93.467500961954698</v>
      </c>
      <c r="AD229" s="1522">
        <f ca="1">OFFSET('VVP2'!$G$132,0,(COLUMN()-10)/4)</f>
        <v>310.92525000000001</v>
      </c>
      <c r="AE229" s="1479"/>
      <c r="AF229" s="2801" t="s">
        <v>543</v>
      </c>
      <c r="AG229" s="2802">
        <f ca="1">+AH229/AH228*100</f>
        <v>93.472979340124525</v>
      </c>
      <c r="AH229" s="1522">
        <f ca="1">OFFSET('VVP2'!$G$132,0,(COLUMN()-10)/4)</f>
        <v>313.44855000000001</v>
      </c>
      <c r="AI229" s="1479"/>
      <c r="AJ229" s="2801" t="s">
        <v>543</v>
      </c>
      <c r="AK229" s="2802">
        <f ca="1">+AL229/AL228*100</f>
        <v>93.473712584675255</v>
      </c>
      <c r="AL229" s="1522">
        <f ca="1">OFFSET('VVP2'!$G$132,0,(COLUMN()-10)/4)</f>
        <v>319.02951999999999</v>
      </c>
      <c r="AM229" s="1479"/>
      <c r="AN229" s="2801" t="s">
        <v>543</v>
      </c>
      <c r="AO229" s="2802">
        <f ca="1">+AP229/AP228*100</f>
        <v>93.47372996420961</v>
      </c>
      <c r="AP229" s="1522">
        <f ca="1">OFFSET('VVP2'!$G$132,0,(COLUMN()-10)/4)</f>
        <v>321.50009</v>
      </c>
      <c r="AQ229" s="1479"/>
      <c r="AR229" s="2801" t="s">
        <v>543</v>
      </c>
      <c r="AS229" s="2802">
        <f ca="1">+AT229/AT228*100</f>
        <v>93.474768898427541</v>
      </c>
      <c r="AT229" s="1522">
        <f ca="1">OFFSET('VVP2'!$G$132,0,(COLUMN()-10)/4)</f>
        <v>333.18614000000002</v>
      </c>
      <c r="AU229" s="1479"/>
      <c r="AV229" s="2801" t="s">
        <v>543</v>
      </c>
      <c r="AW229" s="2802">
        <f ca="1">+AX229/AX228*100</f>
        <v>93.470125958980915</v>
      </c>
      <c r="AX229" s="1522">
        <f ca="1">OFFSET('VVP2'!$G$132,0,(COLUMN()-10)/4)</f>
        <v>340.16396000000003</v>
      </c>
      <c r="AY229" s="1479"/>
      <c r="AZ229" s="2801" t="s">
        <v>543</v>
      </c>
      <c r="BA229" s="2802">
        <f ca="1">+BB229/BB228*100</f>
        <v>93.469512211467077</v>
      </c>
      <c r="BB229" s="1530">
        <f ca="1">OFFSET('VVP2'!$G$132,0,(COLUMN()-10)/4)</f>
        <v>348.68895000000003</v>
      </c>
      <c r="BC229" s="1479"/>
      <c r="BD229" s="2801" t="s">
        <v>543</v>
      </c>
      <c r="BE229" s="2802">
        <f ca="1">+BF229/BF228*100</f>
        <v>93.473491905955157</v>
      </c>
      <c r="BF229" s="1530">
        <f ca="1">OFFSET('VVP2'!$G$132,0,(COLUMN()-10)/4)</f>
        <v>360.71514000000002</v>
      </c>
      <c r="BG229" s="1479"/>
      <c r="BH229" s="2801" t="s">
        <v>543</v>
      </c>
      <c r="BI229" s="2802">
        <f ca="1">+BJ229/BJ228*100</f>
        <v>93.475238869061698</v>
      </c>
      <c r="BJ229" s="1530">
        <f ca="1">OFFSET('VVP2'!$G$132,0,(COLUMN()-10)/4)</f>
        <v>363.54015999999996</v>
      </c>
      <c r="BK229" s="1479"/>
      <c r="BL229" s="2801" t="s">
        <v>543</v>
      </c>
      <c r="BM229" s="2802">
        <f ca="1">+BN229/BN228*100</f>
        <v>93.472546059069245</v>
      </c>
      <c r="BN229" s="1530">
        <f ca="1">OFFSET('VVP2'!$G$132,0,(COLUMN()-10)/4)</f>
        <v>355.34896999999995</v>
      </c>
      <c r="BO229" s="1479"/>
      <c r="BP229" s="2801" t="s">
        <v>543</v>
      </c>
      <c r="BQ229" s="2802">
        <f ca="1">+BR229/BR228*100</f>
        <v>93.472667410828578</v>
      </c>
      <c r="BR229" s="1530">
        <f ca="1">OFFSET('VVP2'!$G$132,0,(COLUMN()-10)/4)</f>
        <v>365.10050000000001</v>
      </c>
      <c r="BS229" s="1479"/>
      <c r="BT229" s="2801" t="s">
        <v>543</v>
      </c>
      <c r="BU229" s="2802">
        <f ca="1">+BV229/BV228*100</f>
        <v>93.472454925670434</v>
      </c>
      <c r="BV229" s="1530">
        <f ca="1">OFFSET('VVP2'!$G$132,0,(COLUMN()-10)/4)</f>
        <v>371.66611</v>
      </c>
      <c r="BW229" s="1479"/>
      <c r="BX229" s="2801" t="s">
        <v>543</v>
      </c>
      <c r="BY229" s="2802">
        <f ca="1">+BZ229/BZ228*100</f>
        <v>93.472830464204264</v>
      </c>
      <c r="BZ229" s="1530">
        <f ca="1">OFFSET('VVP2'!$G$132,0,(COLUMN()-10)/4)</f>
        <v>372.53877</v>
      </c>
      <c r="CA229" s="1479"/>
      <c r="CB229" s="2801" t="s">
        <v>543</v>
      </c>
      <c r="CC229" s="2802">
        <f ca="1">+CD229/CD228*100</f>
        <v>93.472759688796629</v>
      </c>
      <c r="CD229" s="1530">
        <f ca="1">OFFSET('VVP2'!$G$132,0,(COLUMN()-10)/4)</f>
        <v>373.28627</v>
      </c>
      <c r="CE229" s="1479"/>
      <c r="CF229" s="2801" t="s">
        <v>543</v>
      </c>
      <c r="CG229" s="2802">
        <f ca="1">+CH229/CH228*100</f>
        <v>93.472527553977642</v>
      </c>
      <c r="CH229" s="1530">
        <f ca="1">OFFSET('VVP2'!$G$132,0,(COLUMN()-10)/4)</f>
        <v>378.33098999999999</v>
      </c>
      <c r="CI229" s="1479"/>
      <c r="CJ229" s="2801" t="s">
        <v>543</v>
      </c>
      <c r="CK229" s="2802">
        <f ca="1">+CL229/CL228*100</f>
        <v>93.472688732686038</v>
      </c>
      <c r="CL229" s="1530">
        <f ca="1">OFFSET('VVP2'!$G$132,0,(COLUMN()-10)/4)</f>
        <v>383.64463000000001</v>
      </c>
      <c r="CM229" s="1479"/>
      <c r="CN229" s="2801" t="s">
        <v>543</v>
      </c>
      <c r="CO229" s="2802">
        <f ca="1">+CP229/CP228*100</f>
        <v>93.472688329027122</v>
      </c>
      <c r="CP229" s="1530">
        <f ca="1">OFFSET('VVP2'!$G$132,0,(COLUMN()-10)/4)</f>
        <v>389.26888000000002</v>
      </c>
      <c r="CQ229" s="1479"/>
      <c r="CR229" s="2801" t="s">
        <v>543</v>
      </c>
      <c r="CS229" s="2802">
        <f ca="1">+CT229/CT228*100</f>
        <v>93.472576958316395</v>
      </c>
      <c r="CT229" s="1530">
        <f ca="1">OFFSET('VVP2'!$G$132,0,(COLUMN()-10)/4)</f>
        <v>395.83393000000001</v>
      </c>
      <c r="CU229" s="1479"/>
      <c r="CV229" s="2801" t="s">
        <v>543</v>
      </c>
      <c r="CW229" s="2802">
        <f ca="1">+CX229/CX228*100</f>
        <v>93.489983520888529</v>
      </c>
      <c r="CX229" s="1530">
        <f ca="1">OFFSET('VVP2'!$G$132,0,(COLUMN()-10)/4)</f>
        <v>402.99191314019384</v>
      </c>
      <c r="CY229" s="1479"/>
      <c r="CZ229" s="2801" t="s">
        <v>543</v>
      </c>
      <c r="DA229" s="2802">
        <f ca="1">+DB229/DB228*100</f>
        <v>93.488097409559217</v>
      </c>
      <c r="DB229" s="1530">
        <f ca="1">OFFSET('VVP2'!$G$132,0,(COLUMN()-10)/4)</f>
        <v>409.9754667236038</v>
      </c>
    </row>
    <row r="230" spans="1:106">
      <c r="AY230" s="218"/>
      <c r="BC230" s="1833"/>
      <c r="BD230" s="1833"/>
      <c r="BF230" s="1833"/>
      <c r="BG230" s="1833"/>
      <c r="BH230" s="1833"/>
      <c r="BI230" s="2981"/>
      <c r="BJ230" s="2981"/>
      <c r="BK230" s="2981"/>
      <c r="BL230" s="2981"/>
      <c r="BM230" s="2981"/>
      <c r="BN230" s="2981"/>
      <c r="BO230" s="2981"/>
      <c r="BP230" s="2981"/>
      <c r="BQ230" s="2981"/>
      <c r="BR230" s="2981"/>
      <c r="BS230" s="2981"/>
      <c r="BT230" s="2981"/>
      <c r="BU230" s="2981"/>
      <c r="BV230" s="2981"/>
      <c r="BW230" s="2981"/>
      <c r="BX230" s="2981"/>
      <c r="BY230" s="2981"/>
      <c r="BZ230" s="2981"/>
      <c r="CA230" s="2981"/>
      <c r="CB230" s="2981"/>
      <c r="CC230" s="2981"/>
      <c r="CD230" s="2981"/>
      <c r="CE230" s="2981"/>
      <c r="CF230" s="2981"/>
      <c r="CG230" s="2981"/>
      <c r="CH230" s="2981"/>
      <c r="CI230" s="2981"/>
      <c r="CJ230" s="2981"/>
      <c r="CK230" s="2981"/>
      <c r="CL230" s="2981"/>
      <c r="CM230" s="2981"/>
      <c r="CN230" s="2981"/>
      <c r="CO230" s="2981"/>
      <c r="CP230" s="2981"/>
      <c r="CQ230" s="2981"/>
      <c r="CR230" s="2981"/>
      <c r="CS230" s="2981"/>
      <c r="CT230" s="2981"/>
      <c r="CU230" s="2981"/>
      <c r="CV230" s="2981"/>
      <c r="CW230" s="2981"/>
      <c r="CX230" s="2981"/>
      <c r="CY230" s="2981"/>
      <c r="CZ230" s="2981"/>
      <c r="DA230" s="2981"/>
      <c r="DB230" s="2981"/>
    </row>
    <row r="231" spans="1:106" s="749" customFormat="1" ht="12.75" customHeight="1">
      <c r="A231" s="714"/>
      <c r="B231" s="714"/>
      <c r="C231" s="1456"/>
      <c r="D231" s="790"/>
      <c r="E231" s="791" t="s">
        <v>73</v>
      </c>
      <c r="F231" s="792"/>
      <c r="G231" s="1484" t="str">
        <f t="shared" ref="G231:BF231" si="1137">G223</f>
        <v>Q1</v>
      </c>
      <c r="H231" s="1485" t="str">
        <f t="shared" si="1137"/>
        <v>Q2</v>
      </c>
      <c r="I231" s="1485" t="str">
        <f t="shared" si="1137"/>
        <v>Q3</v>
      </c>
      <c r="J231" s="1486" t="str">
        <f t="shared" si="1137"/>
        <v>Q4</v>
      </c>
      <c r="K231" s="1484" t="str">
        <f t="shared" si="1137"/>
        <v>Q1</v>
      </c>
      <c r="L231" s="1485" t="str">
        <f t="shared" si="1137"/>
        <v>Q2</v>
      </c>
      <c r="M231" s="1485" t="str">
        <f t="shared" si="1137"/>
        <v>Q3</v>
      </c>
      <c r="N231" s="1486" t="str">
        <f t="shared" si="1137"/>
        <v>Q4</v>
      </c>
      <c r="O231" s="1484" t="str">
        <f>O223</f>
        <v>Q1</v>
      </c>
      <c r="P231" s="1485" t="str">
        <f>P223</f>
        <v>Q2</v>
      </c>
      <c r="Q231" s="1485" t="str">
        <f>Q223</f>
        <v>Q3</v>
      </c>
      <c r="R231" s="1486" t="str">
        <f>R223</f>
        <v>Q4</v>
      </c>
      <c r="S231" s="1484" t="str">
        <f t="shared" si="1137"/>
        <v>Q1</v>
      </c>
      <c r="T231" s="1485" t="str">
        <f t="shared" si="1137"/>
        <v>Q2</v>
      </c>
      <c r="U231" s="1485" t="str">
        <f t="shared" si="1137"/>
        <v>Q3</v>
      </c>
      <c r="V231" s="1486" t="str">
        <f t="shared" si="1137"/>
        <v>Q4</v>
      </c>
      <c r="W231" s="1484" t="str">
        <f t="shared" si="1137"/>
        <v>Q1</v>
      </c>
      <c r="X231" s="1485" t="str">
        <f t="shared" si="1137"/>
        <v>Q2</v>
      </c>
      <c r="Y231" s="1485" t="str">
        <f t="shared" si="1137"/>
        <v>Q3</v>
      </c>
      <c r="Z231" s="1486" t="str">
        <f t="shared" si="1137"/>
        <v>Q4</v>
      </c>
      <c r="AA231" s="1484" t="str">
        <f t="shared" si="1137"/>
        <v>Q1</v>
      </c>
      <c r="AB231" s="1485" t="str">
        <f t="shared" si="1137"/>
        <v>Q2</v>
      </c>
      <c r="AC231" s="1485" t="str">
        <f t="shared" si="1137"/>
        <v>Q3</v>
      </c>
      <c r="AD231" s="1486" t="str">
        <f t="shared" si="1137"/>
        <v>Q4</v>
      </c>
      <c r="AE231" s="1484" t="str">
        <f t="shared" si="1137"/>
        <v>Q1</v>
      </c>
      <c r="AF231" s="1485" t="str">
        <f t="shared" si="1137"/>
        <v>Q2</v>
      </c>
      <c r="AG231" s="1485" t="str">
        <f t="shared" si="1137"/>
        <v>Q3</v>
      </c>
      <c r="AH231" s="1486" t="str">
        <f t="shared" si="1137"/>
        <v>Q4</v>
      </c>
      <c r="AI231" s="1484" t="str">
        <f t="shared" si="1137"/>
        <v>Q1</v>
      </c>
      <c r="AJ231" s="1485" t="str">
        <f t="shared" si="1137"/>
        <v>Q2</v>
      </c>
      <c r="AK231" s="1485" t="str">
        <f t="shared" si="1137"/>
        <v>Q3</v>
      </c>
      <c r="AL231" s="1486" t="str">
        <f t="shared" si="1137"/>
        <v>Q4</v>
      </c>
      <c r="AM231" s="1484" t="str">
        <f t="shared" si="1137"/>
        <v>Q1</v>
      </c>
      <c r="AN231" s="1485" t="str">
        <f t="shared" si="1137"/>
        <v>Q2</v>
      </c>
      <c r="AO231" s="1485" t="str">
        <f t="shared" si="1137"/>
        <v>Q3</v>
      </c>
      <c r="AP231" s="1486" t="str">
        <f t="shared" si="1137"/>
        <v>Q4</v>
      </c>
      <c r="AQ231" s="1484" t="str">
        <f>AQ223</f>
        <v>Q1</v>
      </c>
      <c r="AR231" s="1485" t="str">
        <f>AR223</f>
        <v>Q2</v>
      </c>
      <c r="AS231" s="1485" t="str">
        <f>AS223</f>
        <v>Q3</v>
      </c>
      <c r="AT231" s="1486" t="str">
        <f>AT223</f>
        <v>Q4</v>
      </c>
      <c r="AU231" s="1484" t="str">
        <f t="shared" si="1137"/>
        <v>Q1</v>
      </c>
      <c r="AV231" s="1485" t="str">
        <f t="shared" si="1137"/>
        <v>Q2</v>
      </c>
      <c r="AW231" s="1485" t="str">
        <f t="shared" si="1137"/>
        <v>Q3</v>
      </c>
      <c r="AX231" s="1486" t="str">
        <f t="shared" si="1137"/>
        <v>Q4</v>
      </c>
      <c r="AY231" s="1484" t="str">
        <f>AY223</f>
        <v>Q1</v>
      </c>
      <c r="AZ231" s="1485" t="str">
        <f>AZ223</f>
        <v>Q2</v>
      </c>
      <c r="BA231" s="1485" t="str">
        <f t="shared" si="1137"/>
        <v>Q3</v>
      </c>
      <c r="BB231" s="1485" t="str">
        <f t="shared" si="1137"/>
        <v>Q4</v>
      </c>
      <c r="BC231" s="1485" t="str">
        <f t="shared" si="1137"/>
        <v>Q1</v>
      </c>
      <c r="BD231" s="1485" t="str">
        <f t="shared" si="1137"/>
        <v>Q2</v>
      </c>
      <c r="BE231" s="1485" t="str">
        <f>BE223</f>
        <v>Q3</v>
      </c>
      <c r="BF231" s="1485" t="str">
        <f t="shared" si="1137"/>
        <v>Q4</v>
      </c>
      <c r="BG231" s="1485" t="str">
        <f t="shared" ref="BG231:BN231" si="1138">BG223</f>
        <v>Q1</v>
      </c>
      <c r="BH231" s="1485" t="str">
        <f t="shared" si="1138"/>
        <v>Q2</v>
      </c>
      <c r="BI231" s="1485" t="str">
        <f t="shared" si="1138"/>
        <v>Q3</v>
      </c>
      <c r="BJ231" s="1485" t="str">
        <f t="shared" si="1138"/>
        <v>Q4</v>
      </c>
      <c r="BK231" s="1485" t="str">
        <f t="shared" si="1138"/>
        <v>Q1</v>
      </c>
      <c r="BL231" s="1485" t="str">
        <f t="shared" si="1138"/>
        <v>Q2</v>
      </c>
      <c r="BM231" s="1485" t="str">
        <f t="shared" si="1138"/>
        <v>Q3</v>
      </c>
      <c r="BN231" s="1485" t="str">
        <f t="shared" si="1138"/>
        <v>Q4</v>
      </c>
      <c r="BO231" s="1485" t="str">
        <f>BO223</f>
        <v>Q1</v>
      </c>
      <c r="BP231" s="1485" t="str">
        <f>BP223</f>
        <v>Q2</v>
      </c>
      <c r="BQ231" s="2947" t="str">
        <f t="shared" ref="BQ231:BV231" si="1139">BQ223</f>
        <v>Q3</v>
      </c>
      <c r="BR231" s="2947" t="str">
        <f t="shared" si="1139"/>
        <v>Q4</v>
      </c>
      <c r="BS231" s="2947" t="str">
        <f t="shared" si="1139"/>
        <v>Q1</v>
      </c>
      <c r="BT231" s="2947" t="str">
        <f t="shared" si="1139"/>
        <v>Q2</v>
      </c>
      <c r="BU231" s="2947" t="str">
        <f t="shared" si="1139"/>
        <v>Q3</v>
      </c>
      <c r="BV231" s="2947" t="str">
        <f t="shared" si="1139"/>
        <v>Q4</v>
      </c>
      <c r="BW231" s="2947" t="str">
        <f t="shared" ref="BW231:CD231" si="1140">BW223</f>
        <v>Q1</v>
      </c>
      <c r="BX231" s="2947" t="str">
        <f t="shared" si="1140"/>
        <v>Q2</v>
      </c>
      <c r="BY231" s="2947" t="str">
        <f t="shared" si="1140"/>
        <v>Q3</v>
      </c>
      <c r="BZ231" s="2947" t="str">
        <f t="shared" si="1140"/>
        <v>Q4</v>
      </c>
      <c r="CA231" s="2947" t="str">
        <f>CA223</f>
        <v>Q1</v>
      </c>
      <c r="CB231" s="2947" t="str">
        <f t="shared" si="1140"/>
        <v>Q2</v>
      </c>
      <c r="CC231" s="2947" t="str">
        <f t="shared" ref="CC231" si="1141">CC223</f>
        <v>Q3</v>
      </c>
      <c r="CD231" s="2947" t="str">
        <f t="shared" si="1140"/>
        <v>Q4</v>
      </c>
      <c r="CE231" s="2947" t="str">
        <f>CE223</f>
        <v>Q1</v>
      </c>
      <c r="CF231" s="2947" t="str">
        <f t="shared" ref="CF231:CH231" si="1142">CF223</f>
        <v>Q2</v>
      </c>
      <c r="CG231" s="2947" t="str">
        <f t="shared" si="1142"/>
        <v>Q3</v>
      </c>
      <c r="CH231" s="2947" t="str">
        <f t="shared" si="1142"/>
        <v>Q4</v>
      </c>
      <c r="CI231" s="2947" t="str">
        <f>CI223</f>
        <v>Q1</v>
      </c>
      <c r="CJ231" s="2947" t="str">
        <f t="shared" ref="CJ231:CL231" si="1143">CJ223</f>
        <v>Q2</v>
      </c>
      <c r="CK231" s="2947" t="str">
        <f t="shared" si="1143"/>
        <v>Q3</v>
      </c>
      <c r="CL231" s="2947" t="str">
        <f t="shared" si="1143"/>
        <v>Q4</v>
      </c>
      <c r="CM231" s="2947" t="str">
        <f>CM223</f>
        <v>Q1</v>
      </c>
      <c r="CN231" s="2947" t="str">
        <f t="shared" ref="CN231:CP231" si="1144">CN223</f>
        <v>Q2</v>
      </c>
      <c r="CO231" s="2947" t="str">
        <f t="shared" si="1144"/>
        <v>Q3</v>
      </c>
      <c r="CP231" s="2947" t="str">
        <f t="shared" si="1144"/>
        <v>Q4</v>
      </c>
      <c r="CQ231" s="2947" t="str">
        <f>CQ223</f>
        <v>Q1</v>
      </c>
      <c r="CR231" s="2947" t="str">
        <f t="shared" ref="CR231:CS231" si="1145">CR223</f>
        <v>Q2</v>
      </c>
      <c r="CS231" s="2947" t="str">
        <f t="shared" si="1145"/>
        <v>Q3</v>
      </c>
      <c r="CT231" s="2947" t="str">
        <f t="shared" ref="CT231" si="1146">CT223</f>
        <v>Q4</v>
      </c>
      <c r="CU231" s="2947" t="str">
        <f t="shared" ref="CU231:CX231" si="1147">CU223</f>
        <v>Q1</v>
      </c>
      <c r="CV231" s="2947" t="str">
        <f t="shared" si="1147"/>
        <v>Q2</v>
      </c>
      <c r="CW231" s="2947" t="str">
        <f t="shared" si="1147"/>
        <v>Q3</v>
      </c>
      <c r="CX231" s="2947" t="str">
        <f t="shared" si="1147"/>
        <v>Q4</v>
      </c>
      <c r="CY231" s="2947" t="str">
        <f t="shared" ref="CY231:DB231" si="1148">CY223</f>
        <v>Q1</v>
      </c>
      <c r="CZ231" s="2947" t="str">
        <f t="shared" si="1148"/>
        <v>Q2</v>
      </c>
      <c r="DA231" s="2947" t="str">
        <f t="shared" si="1148"/>
        <v>Q3</v>
      </c>
      <c r="DB231" s="2947" t="str">
        <f t="shared" si="1148"/>
        <v>Q4</v>
      </c>
    </row>
    <row r="232" spans="1:106" s="749" customFormat="1" ht="12.75" customHeight="1">
      <c r="B232" s="714"/>
      <c r="C232" s="742"/>
      <c r="D232" s="739"/>
      <c r="E232" s="787" t="str">
        <f>E227</f>
        <v xml:space="preserve">Gross domestic product at market prices                                         </v>
      </c>
      <c r="F232" s="782" t="s">
        <v>1563</v>
      </c>
      <c r="G232" s="1020"/>
      <c r="H232" s="1020">
        <f>(H227/G227-1)*100</f>
        <v>0.47953919498930908</v>
      </c>
      <c r="I232" s="1020">
        <f t="shared" ref="I232:BE232" si="1149">(I227/H227-1)*100</f>
        <v>0.73883400584386916</v>
      </c>
      <c r="J232" s="1020">
        <f t="shared" si="1149"/>
        <v>0.36601704396348467</v>
      </c>
      <c r="K232" s="1020">
        <f t="shared" si="1149"/>
        <v>-0.20091927448875335</v>
      </c>
      <c r="L232" s="1020">
        <f t="shared" si="1149"/>
        <v>0.76254826254826824</v>
      </c>
      <c r="M232" s="1020">
        <f t="shared" si="1149"/>
        <v>0.50086899401968754</v>
      </c>
      <c r="N232" s="1020">
        <f t="shared" si="1149"/>
        <v>0.78840942823297233</v>
      </c>
      <c r="O232" s="1020">
        <f>(O227/N227-1)*100</f>
        <v>0.93490772514792653</v>
      </c>
      <c r="P232" s="1020">
        <f>(P227/O227-1)*100</f>
        <v>1.4844063713023825</v>
      </c>
      <c r="Q232" s="1020">
        <f>(Q227/P227-1)*100</f>
        <v>0.86917527268888239</v>
      </c>
      <c r="R232" s="1020">
        <f>(R227/Q227-1)*100</f>
        <v>0.57271372159313216</v>
      </c>
      <c r="S232" s="1020">
        <f t="shared" si="1149"/>
        <v>0.26522440064487007</v>
      </c>
      <c r="T232" s="1020">
        <f t="shared" si="1149"/>
        <v>0.33324688796678714</v>
      </c>
      <c r="U232" s="1020">
        <f t="shared" si="1149"/>
        <v>0.31404680977553667</v>
      </c>
      <c r="V232" s="1020">
        <f t="shared" si="1149"/>
        <v>0.24735892811129645</v>
      </c>
      <c r="W232" s="1020">
        <f t="shared" si="1149"/>
        <v>1.0589626278723063</v>
      </c>
      <c r="X232" s="1020">
        <f t="shared" si="1149"/>
        <v>1.3467114298794325</v>
      </c>
      <c r="Y232" s="1020">
        <f t="shared" si="1149"/>
        <v>1.4404918752745077</v>
      </c>
      <c r="Z232" s="1020">
        <f t="shared" si="1149"/>
        <v>1.1800650643840394</v>
      </c>
      <c r="AA232" s="1020">
        <f t="shared" si="1149"/>
        <v>0.74697116031150479</v>
      </c>
      <c r="AB232" s="1020">
        <f t="shared" si="1149"/>
        <v>0.65770313561790417</v>
      </c>
      <c r="AC232" s="1020">
        <f t="shared" si="1149"/>
        <v>0.39783001808317842</v>
      </c>
      <c r="AD232" s="1020">
        <f t="shared" si="1149"/>
        <v>0.88616714697407062</v>
      </c>
      <c r="AE232" s="1020">
        <f t="shared" si="1149"/>
        <v>-5.8320836011338528E-2</v>
      </c>
      <c r="AF232" s="1020">
        <f t="shared" si="1149"/>
        <v>-5.8354869058807601E-2</v>
      </c>
      <c r="AG232" s="1020">
        <f t="shared" si="1149"/>
        <v>-0.20495710200190143</v>
      </c>
      <c r="AH232" s="1020">
        <f t="shared" si="1149"/>
        <v>-5.8508859913075639E-2</v>
      </c>
      <c r="AI232" s="1020">
        <f t="shared" si="1149"/>
        <v>0.93071601811252069</v>
      </c>
      <c r="AJ232" s="1020">
        <f t="shared" si="1149"/>
        <v>0.878335187859558</v>
      </c>
      <c r="AK232" s="1020">
        <f t="shared" si="1149"/>
        <v>0.52804505984511696</v>
      </c>
      <c r="AL232" s="1020">
        <f t="shared" si="1149"/>
        <v>0.31049375510681099</v>
      </c>
      <c r="AM232" s="1020">
        <f t="shared" si="1149"/>
        <v>-0.39447961273507692</v>
      </c>
      <c r="AN232" s="1020">
        <f t="shared" si="1149"/>
        <v>0.10047081089292753</v>
      </c>
      <c r="AO232" s="1020">
        <f t="shared" si="1149"/>
        <v>0.38514057631036103</v>
      </c>
      <c r="AP232" s="1020">
        <f t="shared" si="1149"/>
        <v>0.74523618522779334</v>
      </c>
      <c r="AQ232" s="1020">
        <f>(AQ227/AP227-1)*100</f>
        <v>1.5579200036928587</v>
      </c>
      <c r="AR232" s="1020">
        <f>(AR227/AQ227-1)*100</f>
        <v>0.98063724376165062</v>
      </c>
      <c r="AS232" s="1020">
        <f>(AS227/AR227-1)*100</f>
        <v>0.87434030630042514</v>
      </c>
      <c r="AT232" s="1020">
        <f>(AT227/AS227-1)*100</f>
        <v>0.31903975726206291</v>
      </c>
      <c r="AU232" s="1020">
        <f t="shared" si="1149"/>
        <v>0.39586344934949835</v>
      </c>
      <c r="AV232" s="1020">
        <f t="shared" si="1149"/>
        <v>0.4995237356843818</v>
      </c>
      <c r="AW232" s="1020">
        <f t="shared" si="1149"/>
        <v>0.38683227349372018</v>
      </c>
      <c r="AX232" s="1020">
        <f t="shared" si="1149"/>
        <v>0.8003249604777718</v>
      </c>
      <c r="AY232" s="1020">
        <f t="shared" si="1149"/>
        <v>0.62842393020901</v>
      </c>
      <c r="AZ232" s="1020">
        <f t="shared" si="1149"/>
        <v>0.32686105158343803</v>
      </c>
      <c r="BA232" s="1020">
        <f t="shared" si="1149"/>
        <v>0.84253905238629301</v>
      </c>
      <c r="BB232" s="1020">
        <f>(BB227/BA227-1)*100</f>
        <v>1.0772703445767418</v>
      </c>
      <c r="BC232" s="1020">
        <f>(BC227/BB227-1)*100</f>
        <v>1.2869903899072943</v>
      </c>
      <c r="BD232" s="1020">
        <f>(BD227/BC227-1)*100</f>
        <v>0.39289446185997168</v>
      </c>
      <c r="BE232" s="1020">
        <f t="shared" si="1149"/>
        <v>0.77230525833715813</v>
      </c>
      <c r="BF232" s="1020">
        <f t="shared" ref="BF232:BN232" si="1150">(BF227/BE227-1)*100</f>
        <v>0.5050713710260446</v>
      </c>
      <c r="BG232" s="788">
        <f t="shared" si="1150"/>
        <v>0.57755351619102058</v>
      </c>
      <c r="BH232" s="788">
        <f t="shared" si="1150"/>
        <v>0.15939674462803755</v>
      </c>
      <c r="BI232" s="788">
        <f t="shared" si="1150"/>
        <v>-0.50293292527416877</v>
      </c>
      <c r="BJ232" s="788">
        <f t="shared" si="1150"/>
        <v>-2.0936718205306959</v>
      </c>
      <c r="BK232" s="788">
        <f t="shared" si="1150"/>
        <v>-1.1498586239396813</v>
      </c>
      <c r="BL232" s="788">
        <f t="shared" si="1150"/>
        <v>-0.10911941689972782</v>
      </c>
      <c r="BM232" s="788">
        <f t="shared" si="1150"/>
        <v>1.1135975564487977</v>
      </c>
      <c r="BN232" s="788">
        <f t="shared" si="1150"/>
        <v>0.84435540544793852</v>
      </c>
      <c r="BO232" s="788">
        <f t="shared" ref="BO232:CH232" si="1151">(BO227/BN227-1)*100</f>
        <v>0.47532867365618348</v>
      </c>
      <c r="BP232" s="788">
        <f t="shared" si="1151"/>
        <v>1.0093063218807208</v>
      </c>
      <c r="BQ232" s="788">
        <f t="shared" si="1151"/>
        <v>0.44170697712553331</v>
      </c>
      <c r="BR232" s="788">
        <f t="shared" si="1151"/>
        <v>0.41323578928036397</v>
      </c>
      <c r="BS232" s="1020">
        <f t="shared" si="1151"/>
        <v>0.66150469454944183</v>
      </c>
      <c r="BT232" s="1020">
        <f t="shared" si="1151"/>
        <v>0.28870516741872354</v>
      </c>
      <c r="BU232" s="1020">
        <f t="shared" si="1151"/>
        <v>0.22345469003210994</v>
      </c>
      <c r="BV232" s="1020">
        <f t="shared" si="1151"/>
        <v>6.7288668387388562E-2</v>
      </c>
      <c r="BW232" s="1020">
        <f t="shared" si="1151"/>
        <v>0.19470483148997797</v>
      </c>
      <c r="BX232" s="1020">
        <f t="shared" si="1151"/>
        <v>-0.1933247856398701</v>
      </c>
      <c r="BY232" s="1020">
        <f t="shared" si="1151"/>
        <v>-3.8137677014016269E-2</v>
      </c>
      <c r="BZ232" s="1020">
        <f t="shared" si="1151"/>
        <v>-0.12048071806508576</v>
      </c>
      <c r="CA232" s="1020">
        <f t="shared" si="1151"/>
        <v>-0.31965903036760279</v>
      </c>
      <c r="CB232" s="1020">
        <f t="shared" si="1151"/>
        <v>0.48102618920364826</v>
      </c>
      <c r="CC232" s="1020">
        <f t="shared" si="1151"/>
        <v>0.48875953432356845</v>
      </c>
      <c r="CD232" s="1020">
        <f t="shared" si="1151"/>
        <v>0.29562455681284572</v>
      </c>
      <c r="CE232" s="1020">
        <f t="shared" si="1151"/>
        <v>0.30271949652969088</v>
      </c>
      <c r="CF232" s="1020">
        <f t="shared" si="1151"/>
        <v>0.24819561785816013</v>
      </c>
      <c r="CG232" s="1020">
        <f t="shared" si="1151"/>
        <v>0.38721689097516165</v>
      </c>
      <c r="CH232" s="1020">
        <f t="shared" si="1151"/>
        <v>0.30680293583775775</v>
      </c>
      <c r="CI232" s="1020">
        <f t="shared" ref="CI232" si="1152">(CI227/CH227-1)*100</f>
        <v>0.41306464461687842</v>
      </c>
      <c r="CJ232" s="1020">
        <f t="shared" ref="CJ232:CT232" si="1153">(CJ227/CI227-1)*100</f>
        <v>0.46621416468328736</v>
      </c>
      <c r="CK232" s="1020">
        <f t="shared" si="1153"/>
        <v>5.8493785035351742E-2</v>
      </c>
      <c r="CL232" s="1020">
        <f t="shared" si="1153"/>
        <v>0.47839430993326104</v>
      </c>
      <c r="CM232" s="1020">
        <f t="shared" si="1153"/>
        <v>0.27830033163314116</v>
      </c>
      <c r="CN232" s="1020">
        <f t="shared" si="1153"/>
        <v>0.74071925193157639</v>
      </c>
      <c r="CO232" s="1020">
        <f t="shared" si="1153"/>
        <v>0.11038693018745604</v>
      </c>
      <c r="CP232" s="1020">
        <f t="shared" si="1153"/>
        <v>0.26080119661726631</v>
      </c>
      <c r="CQ232" s="1020">
        <f t="shared" si="1153"/>
        <v>0.66943365912437436</v>
      </c>
      <c r="CR232" s="1020">
        <f t="shared" si="1153"/>
        <v>0.45978758573517187</v>
      </c>
      <c r="CS232" s="1020">
        <f t="shared" si="1153"/>
        <v>0.19196217494090728</v>
      </c>
      <c r="CT232" s="1020">
        <f t="shared" si="1153"/>
        <v>0.5228733495040272</v>
      </c>
      <c r="CU232" s="1701">
        <f t="shared" ref="CU232" si="1154">(CU227/CT227-1)*100</f>
        <v>0.41039105410907162</v>
      </c>
      <c r="CV232" s="3031">
        <f t="shared" ref="CV232" si="1155">(CV227/CU227-1)*100</f>
        <v>0.53081669638552764</v>
      </c>
      <c r="CW232" s="3031">
        <f t="shared" ref="CW232" si="1156">(CW227/CV227-1)*100</f>
        <v>0.48686800151156451</v>
      </c>
      <c r="CX232" s="1701">
        <f t="shared" ref="CX232" si="1157">(CX227/CW227-1)*100</f>
        <v>0.48806190490571222</v>
      </c>
      <c r="CY232" s="1701">
        <f t="shared" ref="CY232" si="1158">(CY227/CX227-1)*100</f>
        <v>0.44246310151412338</v>
      </c>
      <c r="CZ232" s="3031">
        <f t="shared" ref="CZ232" si="1159">(CZ227/CY227-1)*100</f>
        <v>0.41954953692420194</v>
      </c>
      <c r="DA232" s="3031">
        <f t="shared" ref="DA232" si="1160">(DA227/CZ227-1)*100</f>
        <v>0.3150866133281971</v>
      </c>
      <c r="DB232" s="1701">
        <f t="shared" ref="DB232" si="1161">(DB227/DA227-1)*100</f>
        <v>0.271646213633292</v>
      </c>
    </row>
    <row r="233" spans="1:106">
      <c r="C233" s="1458"/>
      <c r="D233" s="1487"/>
      <c r="E233" s="1488" t="s">
        <v>74</v>
      </c>
      <c r="F233" s="1562"/>
      <c r="G233" s="1511"/>
      <c r="H233" s="1512"/>
      <c r="I233" s="1512"/>
      <c r="J233" s="1512"/>
      <c r="K233" s="1513"/>
      <c r="L233" s="1513"/>
      <c r="M233" s="1513"/>
      <c r="N233" s="1514">
        <f>N228/J228*100-100</f>
        <v>1.589799767041967</v>
      </c>
      <c r="O233" s="1513"/>
      <c r="P233" s="1513"/>
      <c r="Q233" s="1513"/>
      <c r="R233" s="1514">
        <f>R228/N228*100-100</f>
        <v>3.7102883466985332</v>
      </c>
      <c r="S233" s="1513"/>
      <c r="T233" s="1513"/>
      <c r="U233" s="1513"/>
      <c r="V233" s="1514">
        <f>V228/R228*100-100</f>
        <v>1.9761584348667327</v>
      </c>
      <c r="W233" s="1513"/>
      <c r="X233" s="1513"/>
      <c r="Y233" s="1513"/>
      <c r="Z233" s="1514">
        <f>Z228/V228*100-100</f>
        <v>3.5627514688848123</v>
      </c>
      <c r="AA233" s="1513"/>
      <c r="AB233" s="1513"/>
      <c r="AC233" s="1513"/>
      <c r="AD233" s="1514">
        <f>AD228/Z228*100-100</f>
        <v>3.6405158098395276</v>
      </c>
      <c r="AE233" s="1513"/>
      <c r="AF233" s="1513"/>
      <c r="AG233" s="1513"/>
      <c r="AH233" s="1514">
        <f>AH228/AD228*100-100</f>
        <v>0.80563705449475265</v>
      </c>
      <c r="AI233" s="1513"/>
      <c r="AJ233" s="1513"/>
      <c r="AK233" s="1513"/>
      <c r="AL233" s="1514">
        <f>AL228/AH228*100-100</f>
        <v>1.7797075172364458</v>
      </c>
      <c r="AM233" s="1513"/>
      <c r="AN233" s="1513"/>
      <c r="AO233" s="1513"/>
      <c r="AP233" s="1514">
        <f>AP228/AL228*100-100</f>
        <v>0.77438295478518171</v>
      </c>
      <c r="AQ233" s="1513"/>
      <c r="AR233" s="1513"/>
      <c r="AS233" s="1513"/>
      <c r="AT233" s="1514">
        <f>AT228/AP228*100-100</f>
        <v>3.6336993781018521</v>
      </c>
      <c r="AU233" s="1513"/>
      <c r="AV233" s="1513"/>
      <c r="AW233" s="1513"/>
      <c r="AX233" s="1514">
        <f>AX228/AT228*100-100</f>
        <v>2.0993421144917193</v>
      </c>
      <c r="AY233" s="1513"/>
      <c r="AZ233" s="1513"/>
      <c r="BA233" s="1515"/>
      <c r="BB233" s="1514">
        <f>BB228/AX228*100-100</f>
        <v>2.5068145347431283</v>
      </c>
      <c r="BC233" s="1515"/>
      <c r="BD233" s="1515"/>
      <c r="BE233" s="1515"/>
      <c r="BF233" s="2937">
        <f>BF228/BB228*100-100</f>
        <v>3.4445692412029558</v>
      </c>
      <c r="BG233" s="1515"/>
      <c r="BH233" s="1515"/>
      <c r="BI233" s="1515"/>
      <c r="BJ233" s="2937">
        <f>BJ228/BF228*100-100</f>
        <v>0.78128846517628858</v>
      </c>
      <c r="BK233" s="1515"/>
      <c r="BL233" s="1515"/>
      <c r="BM233" s="1515"/>
      <c r="BN233" s="2937">
        <f>BN228/BJ228*100-100</f>
        <v>-2.2503574036552862</v>
      </c>
      <c r="BO233" s="1515"/>
      <c r="BP233" s="1515"/>
      <c r="BQ233" s="2941"/>
      <c r="BR233" s="1516">
        <f>BR228/BN228*100-100</f>
        <v>2.744078871224005</v>
      </c>
      <c r="BS233" s="1515"/>
      <c r="BT233" s="1515"/>
      <c r="BU233" s="2941"/>
      <c r="BV233" s="1516">
        <f>BV228/BR228*100-100</f>
        <v>1.7985335231287536</v>
      </c>
      <c r="BW233" s="1515"/>
      <c r="BX233" s="1515"/>
      <c r="BY233" s="2941"/>
      <c r="BZ233" s="1516">
        <f>BZ228/BV228*100-100</f>
        <v>0.23439405866389507</v>
      </c>
      <c r="CA233" s="1515"/>
      <c r="CB233" s="1515"/>
      <c r="CC233" s="2941"/>
      <c r="CD233" s="1516">
        <f>CD228/BZ228*100-100</f>
        <v>0.20072612676355561</v>
      </c>
      <c r="CE233" s="1515"/>
      <c r="CF233" s="1515"/>
      <c r="CG233" s="2941"/>
      <c r="CH233" s="1516">
        <f>CH228/CD228*100-100</f>
        <v>1.3516863526754435</v>
      </c>
      <c r="CI233" s="1515"/>
      <c r="CJ233" s="1515"/>
      <c r="CK233" s="2941"/>
      <c r="CL233" s="1516">
        <f>CL228/CH228*100-100</f>
        <v>1.4043201869791773</v>
      </c>
      <c r="CM233" s="1515"/>
      <c r="CN233" s="1515"/>
      <c r="CO233" s="2941"/>
      <c r="CP233" s="1516">
        <f>CP228/CL228*100-100</f>
        <v>1.4660055794461897</v>
      </c>
      <c r="CQ233" s="1515"/>
      <c r="CR233" s="1515"/>
      <c r="CS233" s="2941"/>
      <c r="CT233" s="1516">
        <f>CT228/CP228*100-100</f>
        <v>1.6866289512356758</v>
      </c>
      <c r="CU233" s="1515"/>
      <c r="CV233" s="1515"/>
      <c r="CW233" s="2941"/>
      <c r="CX233" s="1516">
        <f>CX228/CT228*100-100</f>
        <v>1.7893745315157901</v>
      </c>
      <c r="CY233" s="1515"/>
      <c r="CZ233" s="1515"/>
      <c r="DA233" s="2941"/>
      <c r="DB233" s="1516">
        <f>DB228/CX228*100-100</f>
        <v>1.7349789318533198</v>
      </c>
    </row>
    <row r="234" spans="1:106" s="749" customFormat="1" ht="12.75" customHeight="1">
      <c r="A234" s="714"/>
      <c r="B234" s="714"/>
      <c r="C234" s="716"/>
      <c r="D234" s="766"/>
      <c r="E234" s="1502" t="s">
        <v>675</v>
      </c>
      <c r="F234" s="766"/>
      <c r="G234" s="1503"/>
      <c r="H234" s="1503"/>
      <c r="I234" s="1503"/>
      <c r="J234" s="1504"/>
      <c r="K234" s="1503"/>
      <c r="L234" s="1503"/>
      <c r="M234" s="1503"/>
      <c r="N234" s="1505">
        <f ca="1">N229/J229*100-100</f>
        <v>-3.8232187861419789</v>
      </c>
      <c r="O234" s="1503"/>
      <c r="P234" s="1503"/>
      <c r="Q234" s="1503"/>
      <c r="R234" s="1505">
        <f ca="1">R229/N229*100-100</f>
        <v>3.71044817976356</v>
      </c>
      <c r="S234" s="1503"/>
      <c r="T234" s="1503"/>
      <c r="U234" s="1503"/>
      <c r="V234" s="1505">
        <f ca="1">V229/R229*100-100</f>
        <v>1.9752719728868016</v>
      </c>
      <c r="W234" s="1503"/>
      <c r="X234" s="1503"/>
      <c r="Y234" s="1503"/>
      <c r="Z234" s="1505">
        <f ca="1">Z229/V229*100-100</f>
        <v>3.5633109517135324</v>
      </c>
      <c r="AA234" s="1503"/>
      <c r="AB234" s="1503"/>
      <c r="AC234" s="1503"/>
      <c r="AD234" s="1505">
        <f ca="1">AD229/Z229*100-100</f>
        <v>3.6336527572645707</v>
      </c>
      <c r="AE234" s="1503"/>
      <c r="AF234" s="1503"/>
      <c r="AG234" s="1503"/>
      <c r="AH234" s="1505">
        <f ca="1">AH229/AD229*100-100</f>
        <v>0.81154554028661607</v>
      </c>
      <c r="AI234" s="1503"/>
      <c r="AJ234" s="1503"/>
      <c r="AK234" s="1503"/>
      <c r="AL234" s="1505">
        <f ca="1">AL229/AH229*100-100</f>
        <v>1.7805059235399057</v>
      </c>
      <c r="AM234" s="1503"/>
      <c r="AN234" s="1503"/>
      <c r="AO234" s="1503"/>
      <c r="AP234" s="1505">
        <f ca="1">AP229/AL229*100-100</f>
        <v>0.77440169173060269</v>
      </c>
      <c r="AQ234" s="1503"/>
      <c r="AR234" s="1503"/>
      <c r="AS234" s="1503"/>
      <c r="AT234" s="1505">
        <f ca="1">AT229/AP229*100-100</f>
        <v>3.6348512375222128</v>
      </c>
      <c r="AU234" s="1503"/>
      <c r="AV234" s="1503"/>
      <c r="AW234" s="1503"/>
      <c r="AX234" s="1505">
        <f ca="1">AX229/AT229*100-100</f>
        <v>2.0942707880946045</v>
      </c>
      <c r="AY234" s="1503"/>
      <c r="AZ234" s="1503"/>
      <c r="BA234" s="1517"/>
      <c r="BB234" s="1505">
        <f ca="1">BB229/AX229*100-100</f>
        <v>2.5061414501407029</v>
      </c>
      <c r="BC234" s="1517"/>
      <c r="BD234" s="1517"/>
      <c r="BE234" s="1517"/>
      <c r="BF234" s="2936">
        <f ca="1">BF229/BB229*100-100</f>
        <v>3.4489736482902629</v>
      </c>
      <c r="BG234" s="1517"/>
      <c r="BH234" s="1517"/>
      <c r="BI234" s="1517"/>
      <c r="BJ234" s="2936">
        <f ca="1">BJ229/BF229*100-100</f>
        <v>0.78317200658668185</v>
      </c>
      <c r="BK234" s="1517"/>
      <c r="BL234" s="1517"/>
      <c r="BM234" s="1517"/>
      <c r="BN234" s="2936">
        <f ca="1">BN229/BJ229*100-100</f>
        <v>-2.2531733495413562</v>
      </c>
      <c r="BO234" s="1517"/>
      <c r="BP234" s="1517"/>
      <c r="BQ234" s="1517"/>
      <c r="BR234" s="1518">
        <f ca="1">BR229/BN229*100-100</f>
        <v>2.7442122598526453</v>
      </c>
      <c r="BS234" s="1517"/>
      <c r="BT234" s="1517"/>
      <c r="BU234" s="1517"/>
      <c r="BV234" s="1518">
        <f ca="1">BV229/BR229*100-100</f>
        <v>1.7983021113364686</v>
      </c>
      <c r="BW234" s="1517"/>
      <c r="BX234" s="1517"/>
      <c r="BY234" s="1517"/>
      <c r="BZ234" s="1518">
        <f ca="1">BZ229/BV229*100-100</f>
        <v>0.23479676422475393</v>
      </c>
      <c r="CA234" s="1517"/>
      <c r="CB234" s="1517"/>
      <c r="CC234" s="1517"/>
      <c r="CD234" s="1518">
        <f ca="1">CD229/BZ229*100-100</f>
        <v>0.20065025715310014</v>
      </c>
      <c r="CE234" s="1517"/>
      <c r="CF234" s="1517"/>
      <c r="CG234" s="1517"/>
      <c r="CH234" s="1518">
        <f ca="1">CH229/CD229*100-100</f>
        <v>1.3514346509449666</v>
      </c>
      <c r="CI234" s="1517"/>
      <c r="CJ234" s="1517"/>
      <c r="CK234" s="1517"/>
      <c r="CL234" s="1518">
        <f ca="1">CL229/CH229*100-100</f>
        <v>1.4044950428195193</v>
      </c>
      <c r="CM234" s="1517"/>
      <c r="CN234" s="1517"/>
      <c r="CO234" s="1517"/>
      <c r="CP234" s="1518">
        <f ca="1">CP229/CL229*100-100</f>
        <v>1.4660051412683828</v>
      </c>
      <c r="CQ234" s="1517"/>
      <c r="CR234" s="1517"/>
      <c r="CS234" s="1517"/>
      <c r="CT234" s="1518">
        <f ca="1">CT229/CP229*100-100</f>
        <v>1.6865077937902413</v>
      </c>
      <c r="CU234" s="1517"/>
      <c r="CV234" s="1517"/>
      <c r="CW234" s="1517"/>
      <c r="CX234" s="1518">
        <f ca="1">CX229/CT229*100-100</f>
        <v>1.8083298569664805</v>
      </c>
      <c r="CY234" s="1517"/>
      <c r="CZ234" s="1517"/>
      <c r="DA234" s="1517"/>
      <c r="DB234" s="1518">
        <f ca="1">DB229/CX229*100-100</f>
        <v>1.7329264820707522</v>
      </c>
    </row>
    <row r="235" spans="1:106">
      <c r="AY235" s="218"/>
      <c r="BB235" s="1871"/>
      <c r="BN235" s="2940"/>
      <c r="BO235" s="577"/>
      <c r="BP235" s="577"/>
      <c r="BQ235" s="577"/>
      <c r="BR235" s="577"/>
      <c r="BS235" s="577"/>
      <c r="BT235" s="577"/>
      <c r="BU235" s="577"/>
      <c r="BV235" s="577"/>
      <c r="BW235" s="577"/>
      <c r="BX235" s="577"/>
      <c r="BY235" s="577"/>
      <c r="BZ235" s="577"/>
      <c r="CA235" s="577"/>
      <c r="CB235" s="577"/>
      <c r="CC235" s="577"/>
      <c r="CD235" s="577"/>
      <c r="CE235" s="577"/>
      <c r="CF235" s="577"/>
      <c r="CG235" s="577"/>
      <c r="CH235" s="577"/>
      <c r="CI235" s="577"/>
      <c r="CJ235" s="577"/>
      <c r="CK235" s="577"/>
      <c r="CL235" s="577"/>
      <c r="CM235" s="577"/>
      <c r="CN235" s="577"/>
      <c r="CO235" s="577"/>
      <c r="CP235" s="577"/>
      <c r="CQ235" s="577"/>
      <c r="CR235" s="577"/>
      <c r="CS235" s="577"/>
      <c r="CT235" s="577"/>
      <c r="CU235" s="577"/>
      <c r="CV235" s="577"/>
      <c r="CW235" s="577"/>
      <c r="CX235" s="577"/>
      <c r="CY235" s="577"/>
      <c r="CZ235" s="577"/>
      <c r="DA235" s="577"/>
      <c r="DB235" s="577"/>
    </row>
    <row r="236" spans="1:106" s="749" customFormat="1" ht="12.75" customHeight="1">
      <c r="A236" s="714"/>
      <c r="B236" s="714"/>
      <c r="C236" s="716"/>
      <c r="D236" s="898"/>
      <c r="E236" s="899"/>
      <c r="F236" s="900"/>
      <c r="G236" s="1499" t="str">
        <f>+G231</f>
        <v>Q1</v>
      </c>
      <c r="H236" s="1494" t="str">
        <f t="shared" ref="H236:BJ236" si="1162">+H231</f>
        <v>Q2</v>
      </c>
      <c r="I236" s="1494" t="str">
        <f t="shared" si="1162"/>
        <v>Q3</v>
      </c>
      <c r="J236" s="1500" t="str">
        <f t="shared" si="1162"/>
        <v>Q4</v>
      </c>
      <c r="K236" s="1499" t="str">
        <f>+K231</f>
        <v>Q1</v>
      </c>
      <c r="L236" s="1494" t="str">
        <f t="shared" si="1162"/>
        <v>Q2</v>
      </c>
      <c r="M236" s="1494" t="str">
        <f t="shared" si="1162"/>
        <v>Q3</v>
      </c>
      <c r="N236" s="1500" t="str">
        <f t="shared" si="1162"/>
        <v>Q4</v>
      </c>
      <c r="O236" s="1499" t="str">
        <f>+O231</f>
        <v>Q1</v>
      </c>
      <c r="P236" s="1494" t="str">
        <f t="shared" si="1162"/>
        <v>Q2</v>
      </c>
      <c r="Q236" s="1494" t="str">
        <f t="shared" si="1162"/>
        <v>Q3</v>
      </c>
      <c r="R236" s="1500" t="str">
        <f t="shared" si="1162"/>
        <v>Q4</v>
      </c>
      <c r="S236" s="1499" t="str">
        <f>+S231</f>
        <v>Q1</v>
      </c>
      <c r="T236" s="1494" t="str">
        <f t="shared" si="1162"/>
        <v>Q2</v>
      </c>
      <c r="U236" s="1494" t="str">
        <f t="shared" si="1162"/>
        <v>Q3</v>
      </c>
      <c r="V236" s="1500" t="str">
        <f t="shared" si="1162"/>
        <v>Q4</v>
      </c>
      <c r="W236" s="1499" t="str">
        <f>+W231</f>
        <v>Q1</v>
      </c>
      <c r="X236" s="1494" t="str">
        <f t="shared" si="1162"/>
        <v>Q2</v>
      </c>
      <c r="Y236" s="1494" t="str">
        <f t="shared" si="1162"/>
        <v>Q3</v>
      </c>
      <c r="Z236" s="1500" t="str">
        <f t="shared" si="1162"/>
        <v>Q4</v>
      </c>
      <c r="AA236" s="1499" t="str">
        <f>+AA231</f>
        <v>Q1</v>
      </c>
      <c r="AB236" s="1494" t="str">
        <f t="shared" si="1162"/>
        <v>Q2</v>
      </c>
      <c r="AC236" s="1494" t="str">
        <f t="shared" si="1162"/>
        <v>Q3</v>
      </c>
      <c r="AD236" s="1500" t="str">
        <f t="shared" si="1162"/>
        <v>Q4</v>
      </c>
      <c r="AE236" s="1499" t="str">
        <f>+AE231</f>
        <v>Q1</v>
      </c>
      <c r="AF236" s="1494" t="str">
        <f t="shared" si="1162"/>
        <v>Q2</v>
      </c>
      <c r="AG236" s="1494" t="str">
        <f t="shared" si="1162"/>
        <v>Q3</v>
      </c>
      <c r="AH236" s="1500" t="str">
        <f t="shared" si="1162"/>
        <v>Q4</v>
      </c>
      <c r="AI236" s="1499" t="str">
        <f>+AI231</f>
        <v>Q1</v>
      </c>
      <c r="AJ236" s="1494" t="str">
        <f t="shared" si="1162"/>
        <v>Q2</v>
      </c>
      <c r="AK236" s="1494" t="str">
        <f t="shared" si="1162"/>
        <v>Q3</v>
      </c>
      <c r="AL236" s="1500" t="str">
        <f t="shared" si="1162"/>
        <v>Q4</v>
      </c>
      <c r="AM236" s="1499" t="str">
        <f>+AM231</f>
        <v>Q1</v>
      </c>
      <c r="AN236" s="1494" t="str">
        <f t="shared" si="1162"/>
        <v>Q2</v>
      </c>
      <c r="AO236" s="1494" t="str">
        <f t="shared" si="1162"/>
        <v>Q3</v>
      </c>
      <c r="AP236" s="1500" t="str">
        <f t="shared" si="1162"/>
        <v>Q4</v>
      </c>
      <c r="AQ236" s="1499" t="str">
        <f>+AQ231</f>
        <v>Q1</v>
      </c>
      <c r="AR236" s="1494" t="str">
        <f t="shared" si="1162"/>
        <v>Q2</v>
      </c>
      <c r="AS236" s="1494" t="str">
        <f t="shared" si="1162"/>
        <v>Q3</v>
      </c>
      <c r="AT236" s="1500" t="str">
        <f t="shared" si="1162"/>
        <v>Q4</v>
      </c>
      <c r="AU236" s="1499" t="str">
        <f>+AU231</f>
        <v>Q1</v>
      </c>
      <c r="AV236" s="1494" t="str">
        <f t="shared" si="1162"/>
        <v>Q2</v>
      </c>
      <c r="AW236" s="1494" t="str">
        <f t="shared" si="1162"/>
        <v>Q3</v>
      </c>
      <c r="AX236" s="1500" t="str">
        <f t="shared" si="1162"/>
        <v>Q4</v>
      </c>
      <c r="AY236" s="1499" t="str">
        <f>+AY231</f>
        <v>Q1</v>
      </c>
      <c r="AZ236" s="1494" t="str">
        <f t="shared" si="1162"/>
        <v>Q2</v>
      </c>
      <c r="BA236" s="1494" t="str">
        <f t="shared" si="1162"/>
        <v>Q3</v>
      </c>
      <c r="BB236" s="1500" t="str">
        <f t="shared" si="1162"/>
        <v>Q4</v>
      </c>
      <c r="BC236" s="1499" t="str">
        <f>+BC231</f>
        <v>Q1</v>
      </c>
      <c r="BD236" s="1494" t="str">
        <f t="shared" si="1162"/>
        <v>Q2</v>
      </c>
      <c r="BE236" s="1494" t="str">
        <f>+BE231</f>
        <v>Q3</v>
      </c>
      <c r="BF236" s="1500" t="str">
        <f t="shared" si="1162"/>
        <v>Q4</v>
      </c>
      <c r="BG236" s="1499" t="str">
        <f>+BG231</f>
        <v>Q1</v>
      </c>
      <c r="BH236" s="1494" t="str">
        <f t="shared" si="1162"/>
        <v>Q2</v>
      </c>
      <c r="BI236" s="1494" t="str">
        <f t="shared" si="1162"/>
        <v>Q3</v>
      </c>
      <c r="BJ236" s="1500" t="str">
        <f t="shared" si="1162"/>
        <v>Q4</v>
      </c>
      <c r="BK236" s="1499" t="str">
        <f t="shared" ref="BK236:BR236" si="1163">+BK231</f>
        <v>Q1</v>
      </c>
      <c r="BL236" s="1494" t="str">
        <f t="shared" si="1163"/>
        <v>Q2</v>
      </c>
      <c r="BM236" s="1494" t="str">
        <f t="shared" si="1163"/>
        <v>Q3</v>
      </c>
      <c r="BN236" s="1500" t="str">
        <f t="shared" si="1163"/>
        <v>Q4</v>
      </c>
      <c r="BO236" s="1499" t="str">
        <f>+BO231</f>
        <v>Q1</v>
      </c>
      <c r="BP236" s="1494" t="str">
        <f>+BP231</f>
        <v>Q2</v>
      </c>
      <c r="BQ236" s="1494" t="str">
        <f t="shared" si="1163"/>
        <v>Q3</v>
      </c>
      <c r="BR236" s="1500" t="str">
        <f t="shared" si="1163"/>
        <v>Q4</v>
      </c>
      <c r="BS236" s="1499" t="str">
        <f t="shared" ref="BS236:BZ236" si="1164">+BS231</f>
        <v>Q1</v>
      </c>
      <c r="BT236" s="1494" t="str">
        <f t="shared" si="1164"/>
        <v>Q2</v>
      </c>
      <c r="BU236" s="1494" t="str">
        <f t="shared" si="1164"/>
        <v>Q3</v>
      </c>
      <c r="BV236" s="1500" t="str">
        <f t="shared" si="1164"/>
        <v>Q4</v>
      </c>
      <c r="BW236" s="1499" t="str">
        <f t="shared" si="1164"/>
        <v>Q1</v>
      </c>
      <c r="BX236" s="1494" t="str">
        <f t="shared" si="1164"/>
        <v>Q2</v>
      </c>
      <c r="BY236" s="1494" t="str">
        <f t="shared" si="1164"/>
        <v>Q3</v>
      </c>
      <c r="BZ236" s="1500" t="str">
        <f t="shared" si="1164"/>
        <v>Q4</v>
      </c>
      <c r="CA236" s="1499" t="str">
        <f>+CA231</f>
        <v>Q1</v>
      </c>
      <c r="CB236" s="1494" t="str">
        <f t="shared" ref="CB236:CD236" si="1165">+CB231</f>
        <v>Q2</v>
      </c>
      <c r="CC236" s="1494" t="str">
        <f t="shared" si="1165"/>
        <v>Q3</v>
      </c>
      <c r="CD236" s="1500" t="str">
        <f t="shared" si="1165"/>
        <v>Q4</v>
      </c>
      <c r="CE236" s="1499" t="str">
        <f>+CE231</f>
        <v>Q1</v>
      </c>
      <c r="CF236" s="1494" t="str">
        <f t="shared" ref="CF236:CH236" si="1166">+CF231</f>
        <v>Q2</v>
      </c>
      <c r="CG236" s="1494" t="str">
        <f t="shared" si="1166"/>
        <v>Q3</v>
      </c>
      <c r="CH236" s="1500" t="str">
        <f t="shared" si="1166"/>
        <v>Q4</v>
      </c>
      <c r="CI236" s="3909" t="str">
        <f>+CI231</f>
        <v>Q1</v>
      </c>
      <c r="CJ236" s="3910" t="str">
        <f t="shared" ref="CJ236:CL236" si="1167">+CJ231</f>
        <v>Q2</v>
      </c>
      <c r="CK236" s="1494" t="str">
        <f t="shared" si="1167"/>
        <v>Q3</v>
      </c>
      <c r="CL236" s="1500" t="str">
        <f t="shared" si="1167"/>
        <v>Q4</v>
      </c>
      <c r="CM236" s="3909" t="str">
        <f>+CM231</f>
        <v>Q1</v>
      </c>
      <c r="CN236" s="3910" t="str">
        <f t="shared" ref="CN236:CP236" si="1168">+CN231</f>
        <v>Q2</v>
      </c>
      <c r="CO236" s="1494" t="str">
        <f t="shared" si="1168"/>
        <v>Q3</v>
      </c>
      <c r="CP236" s="1500" t="str">
        <f t="shared" si="1168"/>
        <v>Q4</v>
      </c>
      <c r="CQ236" s="3909" t="str">
        <f>+CQ231</f>
        <v>Q1</v>
      </c>
      <c r="CR236" s="3910" t="str">
        <f t="shared" ref="CR236:CS236" si="1169">+CR231</f>
        <v>Q2</v>
      </c>
      <c r="CS236" s="1494" t="str">
        <f t="shared" si="1169"/>
        <v>Q3</v>
      </c>
      <c r="CT236" s="3911" t="str">
        <f t="shared" ref="CT236" si="1170">+CT231</f>
        <v>Q4</v>
      </c>
      <c r="CU236" s="3909" t="str">
        <f t="shared" ref="CU236:CX236" si="1171">+CU231</f>
        <v>Q1</v>
      </c>
      <c r="CV236" s="3910" t="str">
        <f t="shared" si="1171"/>
        <v>Q2</v>
      </c>
      <c r="CW236" s="3910" t="str">
        <f t="shared" si="1171"/>
        <v>Q3</v>
      </c>
      <c r="CX236" s="3911" t="str">
        <f t="shared" si="1171"/>
        <v>Q4</v>
      </c>
      <c r="CY236" s="3909" t="str">
        <f t="shared" ref="CY236:DB236" si="1172">+CY231</f>
        <v>Q1</v>
      </c>
      <c r="CZ236" s="3910" t="str">
        <f t="shared" si="1172"/>
        <v>Q2</v>
      </c>
      <c r="DA236" s="3910" t="str">
        <f t="shared" si="1172"/>
        <v>Q3</v>
      </c>
      <c r="DB236" s="3911" t="str">
        <f t="shared" si="1172"/>
        <v>Q4</v>
      </c>
    </row>
    <row r="237" spans="1:106" s="749" customFormat="1" ht="12.75" customHeight="1">
      <c r="A237" s="714"/>
      <c r="B237" s="714"/>
      <c r="C237" s="902"/>
      <c r="D237" s="903"/>
      <c r="E237" s="904" t="s">
        <v>676</v>
      </c>
      <c r="F237" s="905"/>
      <c r="G237" s="755"/>
      <c r="H237" s="755"/>
      <c r="I237" s="755"/>
      <c r="J237" s="755"/>
      <c r="K237" s="756">
        <f t="shared" ref="K237:BF237" si="1173">(K227/G227-1)*100</f>
        <v>1.3882869405958509</v>
      </c>
      <c r="L237" s="756">
        <f t="shared" si="1173"/>
        <v>1.6738555725615445</v>
      </c>
      <c r="M237" s="756">
        <f t="shared" si="1173"/>
        <v>1.4336818552229902</v>
      </c>
      <c r="N237" s="756">
        <f t="shared" si="1173"/>
        <v>1.8605675281424761</v>
      </c>
      <c r="O237" s="756">
        <f t="shared" si="1173"/>
        <v>3.0198565912851638</v>
      </c>
      <c r="P237" s="756">
        <f t="shared" si="1173"/>
        <v>3.7578859496667949</v>
      </c>
      <c r="Q237" s="756">
        <f t="shared" si="1173"/>
        <v>4.1381282424869603</v>
      </c>
      <c r="R237" s="756">
        <f t="shared" si="1173"/>
        <v>3.9152638547380381</v>
      </c>
      <c r="S237" s="756">
        <f t="shared" si="1173"/>
        <v>3.2258064516129226</v>
      </c>
      <c r="T237" s="756">
        <f t="shared" si="1173"/>
        <v>2.0548938920323279</v>
      </c>
      <c r="U237" s="756">
        <f t="shared" si="1173"/>
        <v>1.4932398859802909</v>
      </c>
      <c r="V237" s="756">
        <f t="shared" si="1173"/>
        <v>1.1649071714597836</v>
      </c>
      <c r="W237" s="756">
        <f t="shared" si="1173"/>
        <v>1.9657676348547648</v>
      </c>
      <c r="X237" s="756">
        <f t="shared" si="1173"/>
        <v>2.9957222430437858</v>
      </c>
      <c r="Y237" s="756">
        <f t="shared" si="1173"/>
        <v>4.1522803401185193</v>
      </c>
      <c r="Z237" s="756">
        <f t="shared" si="1173"/>
        <v>5.1213180486300303</v>
      </c>
      <c r="AA237" s="756">
        <f t="shared" si="1173"/>
        <v>4.7967851874459511</v>
      </c>
      <c r="AB237" s="756">
        <f t="shared" si="1173"/>
        <v>4.0843214756258295</v>
      </c>
      <c r="AC237" s="756">
        <f t="shared" si="1173"/>
        <v>3.0144848657273959</v>
      </c>
      <c r="AD237" s="756">
        <f t="shared" si="1173"/>
        <v>2.7152585058131784</v>
      </c>
      <c r="AE237" s="756">
        <f t="shared" si="1173"/>
        <v>1.8942335695563361</v>
      </c>
      <c r="AF237" s="756">
        <f t="shared" si="1173"/>
        <v>1.1693791440626766</v>
      </c>
      <c r="AG237" s="756">
        <f t="shared" si="1173"/>
        <v>0.56195965417866756</v>
      </c>
      <c r="AH237" s="756">
        <f t="shared" si="1173"/>
        <v>-0.37968054464520007</v>
      </c>
      <c r="AI237" s="756">
        <f t="shared" si="1173"/>
        <v>0.60617608879467433</v>
      </c>
      <c r="AJ237" s="756">
        <f t="shared" si="1173"/>
        <v>1.5490943755958053</v>
      </c>
      <c r="AK237" s="756">
        <f t="shared" si="1173"/>
        <v>2.294980178631123</v>
      </c>
      <c r="AL237" s="756">
        <f t="shared" si="1173"/>
        <v>2.6726723138866815</v>
      </c>
      <c r="AM237" s="756">
        <f t="shared" si="1173"/>
        <v>1.3246052226615124</v>
      </c>
      <c r="AN237" s="756">
        <f t="shared" si="1173"/>
        <v>0.54329969490731767</v>
      </c>
      <c r="AO237" s="756">
        <f t="shared" si="1173"/>
        <v>0.4003735263219399</v>
      </c>
      <c r="AP237" s="756">
        <f t="shared" si="1173"/>
        <v>0.83550549245949846</v>
      </c>
      <c r="AQ237" s="756">
        <f t="shared" si="1173"/>
        <v>2.8120144397584257</v>
      </c>
      <c r="AR237" s="756">
        <f t="shared" si="1173"/>
        <v>3.7160230150671714</v>
      </c>
      <c r="AS237" s="756">
        <f t="shared" si="1173"/>
        <v>4.2214548963528831</v>
      </c>
      <c r="AT237" s="756">
        <f t="shared" si="1173"/>
        <v>3.7805525422946573</v>
      </c>
      <c r="AU237" s="756">
        <f t="shared" si="1173"/>
        <v>2.5930639516385634</v>
      </c>
      <c r="AV237" s="756">
        <f t="shared" si="1173"/>
        <v>2.1042681760383486</v>
      </c>
      <c r="AW237" s="756">
        <f t="shared" si="1173"/>
        <v>1.6108161170853563</v>
      </c>
      <c r="AX237" s="756">
        <f t="shared" si="1173"/>
        <v>2.0982986767485778</v>
      </c>
      <c r="AY237" s="756">
        <f t="shared" si="1173"/>
        <v>2.3348027379660241</v>
      </c>
      <c r="AZ237" s="756">
        <f t="shared" si="1173"/>
        <v>2.1589869623196645</v>
      </c>
      <c r="BA237" s="756">
        <f t="shared" si="1173"/>
        <v>2.6227384507289786</v>
      </c>
      <c r="BB237" s="756">
        <f t="shared" si="1173"/>
        <v>2.9046908524565263</v>
      </c>
      <c r="BC237" s="756">
        <f t="shared" si="1173"/>
        <v>3.5781544256120457</v>
      </c>
      <c r="BD237" s="756">
        <f t="shared" si="1173"/>
        <v>3.6463277811340289</v>
      </c>
      <c r="BE237" s="756">
        <f t="shared" si="1173"/>
        <v>3.5741412326026678</v>
      </c>
      <c r="BF237" s="756">
        <f t="shared" si="1173"/>
        <v>2.9878074594640536</v>
      </c>
      <c r="BG237" s="756">
        <f t="shared" ref="BG237:BN237" si="1174">(BG227/BC227-1)*100</f>
        <v>2.2664576802507774</v>
      </c>
      <c r="BH237" s="756">
        <f t="shared" si="1174"/>
        <v>2.0286023564678013</v>
      </c>
      <c r="BI237" s="756">
        <f t="shared" si="1174"/>
        <v>0.73746617364538469</v>
      </c>
      <c r="BJ237" s="756">
        <f t="shared" si="1174"/>
        <v>-1.8672860123115531</v>
      </c>
      <c r="BK237" s="756">
        <f t="shared" si="1174"/>
        <v>-3.5527082119976794</v>
      </c>
      <c r="BL237" s="756">
        <f t="shared" si="1174"/>
        <v>-3.8112726345320147</v>
      </c>
      <c r="BM237" s="756">
        <f t="shared" si="1174"/>
        <v>-2.2484928023623008</v>
      </c>
      <c r="BN237" s="756">
        <f t="shared" si="1174"/>
        <v>0.68488846999688047</v>
      </c>
      <c r="BO237" s="756">
        <f>(BO227/BK227-1)*100</f>
        <v>2.340240698364271</v>
      </c>
      <c r="BP237" s="756">
        <f>(BP227/BL227-1)*100</f>
        <v>3.4860906362353949</v>
      </c>
      <c r="BQ237" s="756">
        <f t="shared" ref="BQ237:BV237" si="1175">(BQ227/BM227-1)*100</f>
        <v>2.7984350580559925</v>
      </c>
      <c r="BR237" s="756">
        <f t="shared" si="1175"/>
        <v>2.3589615576635081</v>
      </c>
      <c r="BS237" s="756">
        <f t="shared" si="1175"/>
        <v>2.548627860995234</v>
      </c>
      <c r="BT237" s="756">
        <f t="shared" si="1175"/>
        <v>1.8170451750430638</v>
      </c>
      <c r="BU237" s="756">
        <f t="shared" si="1175"/>
        <v>1.5958043813196987</v>
      </c>
      <c r="BV237" s="756">
        <f t="shared" si="1175"/>
        <v>1.2457830345892873</v>
      </c>
      <c r="BW237" s="756">
        <f t="shared" ref="BW237:CG237" si="1176">(BW227/BS227-1)*100</f>
        <v>0.77627368442303446</v>
      </c>
      <c r="BX237" s="756">
        <f t="shared" si="1176"/>
        <v>0.29190027076264613</v>
      </c>
      <c r="BY237" s="756">
        <f t="shared" si="1176"/>
        <v>3.0129254501809477E-2</v>
      </c>
      <c r="BZ237" s="756">
        <f t="shared" si="1176"/>
        <v>-0.15757040486562568</v>
      </c>
      <c r="CA237" s="756">
        <f t="shared" si="1176"/>
        <v>-0.67012581136308702</v>
      </c>
      <c r="CB237" s="756">
        <f t="shared" si="1176"/>
        <v>1.0036230793319945E-3</v>
      </c>
      <c r="CC237" s="756">
        <f t="shared" si="1176"/>
        <v>0.52810714751858612</v>
      </c>
      <c r="CD237" s="756">
        <f t="shared" si="1176"/>
        <v>0.94691448618329233</v>
      </c>
      <c r="CE237" s="756">
        <f t="shared" si="1176"/>
        <v>1.5772011738249159</v>
      </c>
      <c r="CF237" s="756">
        <f t="shared" si="1176"/>
        <v>1.3418305901244487</v>
      </c>
      <c r="CG237" s="756">
        <f t="shared" si="1176"/>
        <v>1.2394259290700704</v>
      </c>
      <c r="CH237" s="756">
        <f>(CH227/CD227-1)*100</f>
        <v>1.2507094988200018</v>
      </c>
      <c r="CI237" s="756">
        <f t="shared" ref="CI237" si="1177">(CI227/CE227-1)*100</f>
        <v>1.3620975508056521</v>
      </c>
      <c r="CJ237" s="756">
        <f t="shared" ref="CJ237:CK237" si="1178">(CJ227/CF227-1)*100</f>
        <v>1.5825385978985196</v>
      </c>
      <c r="CK237" s="756">
        <f t="shared" si="1178"/>
        <v>1.2499013495383293</v>
      </c>
      <c r="CL237" s="756">
        <f>(CL227/CH227-1)*100</f>
        <v>1.4231060494300785</v>
      </c>
      <c r="CM237" s="756">
        <f t="shared" ref="CM237:CS237" si="1179">(CM227/CI227-1)*100</f>
        <v>1.2869861604912769</v>
      </c>
      <c r="CN237" s="756">
        <f t="shared" si="1179"/>
        <v>1.563733853278082</v>
      </c>
      <c r="CO237" s="756">
        <f t="shared" si="1179"/>
        <v>1.6164076582062537</v>
      </c>
      <c r="CP237" s="756">
        <f>(CP227/CL227-1)*100</f>
        <v>1.3963500959990771</v>
      </c>
      <c r="CQ237" s="756">
        <f t="shared" si="1179"/>
        <v>1.7918443522574545</v>
      </c>
      <c r="CR237" s="756">
        <f t="shared" si="1179"/>
        <v>1.5079814549957327</v>
      </c>
      <c r="CS237" s="756">
        <f t="shared" si="1179"/>
        <v>1.590695533779507</v>
      </c>
      <c r="CT237" s="756">
        <f t="shared" ref="CT237" si="1180">(CT227/CP227-1)*100</f>
        <v>1.8562439033720457</v>
      </c>
      <c r="CU237" s="756">
        <f t="shared" ref="CU237" si="1181">(CU227/CQ227-1)*100</f>
        <v>1.5941473980202181</v>
      </c>
      <c r="CV237" s="756">
        <f t="shared" ref="CV237" si="1182">(CV227/CR227-1)*100</f>
        <v>1.6659785466855759</v>
      </c>
      <c r="CW237" s="756">
        <f t="shared" ref="CW237" si="1183">(CW227/CS227-1)*100</f>
        <v>1.9652230048894603</v>
      </c>
      <c r="CX237" s="756">
        <f t="shared" ref="CX237" si="1184">(CX227/CT227-1)*100</f>
        <v>1.9299120692455096</v>
      </c>
      <c r="CY237" s="756">
        <f t="shared" ref="CY237" si="1185">(CY227/CU227-1)*100</f>
        <v>1.9624694663192388</v>
      </c>
      <c r="CZ237" s="756">
        <f t="shared" ref="CZ237" si="1186">(CZ227/CV227-1)*100</f>
        <v>1.8496177585345386</v>
      </c>
      <c r="DA237" s="756">
        <f t="shared" ref="DA237" si="1187">(DA227/CW227-1)*100</f>
        <v>1.6755067620186415</v>
      </c>
      <c r="DB237" s="756">
        <f t="shared" ref="DB237" si="1188">(DB227/CX227-1)*100</f>
        <v>1.4565337351311269</v>
      </c>
    </row>
    <row r="238" spans="1:106" s="749" customFormat="1" ht="12.75" customHeight="1">
      <c r="A238" s="714"/>
      <c r="B238" s="714"/>
      <c r="C238" s="986"/>
      <c r="D238" s="724"/>
      <c r="E238" s="830" t="s">
        <v>569</v>
      </c>
      <c r="F238" s="754"/>
      <c r="G238" s="755"/>
      <c r="H238" s="755"/>
      <c r="I238" s="755"/>
      <c r="J238" s="755"/>
      <c r="K238" s="1469">
        <f>(4*K227/J228-1)*100</f>
        <v>0.56020855288700933</v>
      </c>
      <c r="L238" s="1469">
        <f>((K227+3*L227)/J228-1)*100</f>
        <v>1.1353236452382287</v>
      </c>
      <c r="M238" s="1469">
        <f>((K227+L227+2*M227)/J228-1)*100</f>
        <v>1.3890814798380502</v>
      </c>
      <c r="N238" s="1532"/>
      <c r="O238" s="1469">
        <f>(4*O227/N228-1)*100</f>
        <v>1.9757720525507727</v>
      </c>
      <c r="P238" s="1469">
        <f>((O227+3*P227)/N228-1)*100</f>
        <v>3.111073195700409</v>
      </c>
      <c r="Q238" s="1469">
        <f>((O227+P227+2*Q227)/N228-1)*100</f>
        <v>3.5608257976454727</v>
      </c>
      <c r="R238" s="1532"/>
      <c r="S238" s="1469">
        <f>(4*S227/R228-1)*100</f>
        <v>1.4993929383429361</v>
      </c>
      <c r="T238" s="1469">
        <f>((S227+3*T227)/R228-1)*100</f>
        <v>1.7530756145470949</v>
      </c>
      <c r="U238" s="1469">
        <f>((S227+T227+2*U227)/R228-1)*100</f>
        <v>1.9129845388470068</v>
      </c>
      <c r="V238" s="1532"/>
      <c r="W238" s="1469">
        <f>(4*W227/V228-1)*100</f>
        <v>1.4890507180676638</v>
      </c>
      <c r="X238" s="1469">
        <f>((W227+3*X227)/V228-1)*100</f>
        <v>2.5141242026399446</v>
      </c>
      <c r="Y238" s="1469">
        <f>((W227+X227+2*Y227)/V228-1)*100</f>
        <v>3.2549390344239981</v>
      </c>
      <c r="Z238" s="1532"/>
      <c r="AA238" s="1469">
        <f>(4*AA227/Z228-1)*100</f>
        <v>2.6983746195139213</v>
      </c>
      <c r="AB238" s="1469">
        <f>((AA227+3*AB227)/Z228-1)*100</f>
        <v>3.2049624420897871</v>
      </c>
      <c r="AC238" s="1469">
        <f>((AA227+AB227+2*AC227)/Z228-1)*100</f>
        <v>3.4105884955338617</v>
      </c>
      <c r="AD238" s="1532"/>
      <c r="AE238" s="1469">
        <f>(4*AE227/AD228-1)*100</f>
        <v>0.96796690875859959</v>
      </c>
      <c r="AF238" s="1469">
        <f>((AE227+3*AF227)/AD228-1)*100</f>
        <v>0.92377711509787908</v>
      </c>
      <c r="AG238" s="1469">
        <f>((AE227+AF227+2*AG227)/AD228-1)*100</f>
        <v>0.82036698571497091</v>
      </c>
      <c r="AH238" s="1532"/>
      <c r="AI238" s="1469">
        <f>(4*AI227/AH228-1)*100</f>
        <v>0.76818474604574138</v>
      </c>
      <c r="AJ238" s="1469">
        <f>((AI227+3*AJ227)/AH228-1)*100</f>
        <v>1.4319965646396371</v>
      </c>
      <c r="AK238" s="1469">
        <f>((AI227+AJ227+2*AK227)/AH228-1)*100</f>
        <v>1.7003840923730307</v>
      </c>
      <c r="AL238" s="1532"/>
      <c r="AM238" s="1469">
        <f>(4*AM227/AL228-1)*100</f>
        <v>0.31760541921570518</v>
      </c>
      <c r="AN238" s="1469">
        <f>((AM227+3*AN227)/AL228-1)*100</f>
        <v>0.39319785294049669</v>
      </c>
      <c r="AO238" s="1469">
        <f>((AM227+AN227+2*AO227)/AL228-1)*100</f>
        <v>0.58657384618991948</v>
      </c>
      <c r="AP238" s="1532"/>
      <c r="AQ238" s="1469">
        <f>(4*AQ227/AP228-1)*100</f>
        <v>2.3460009827095396</v>
      </c>
      <c r="AR238" s="1469">
        <f>((AQ227+3*AR227)/AP228-1)*100</f>
        <v>3.0987332350623786</v>
      </c>
      <c r="AS238" s="1469">
        <f>((AQ227+AR227+2*AS227)/AP228-1)*100</f>
        <v>3.5505470319554977</v>
      </c>
      <c r="AT238" s="1532"/>
      <c r="AU238" s="1469">
        <f>(4*AU227/AT228-1)*100</f>
        <v>1.3182959502868741</v>
      </c>
      <c r="AV238" s="1469">
        <f>((AU227+3*AV227)/AT228-1)*100</f>
        <v>1.6978776529338324</v>
      </c>
      <c r="AW238" s="1469">
        <f>((AU227+AV227+2*AW227)/AT228-1)*100</f>
        <v>1.8948224831320193</v>
      </c>
      <c r="AX238" s="1532"/>
      <c r="AY238" s="1469">
        <f>(4*AY227/AX228-1)*100</f>
        <v>1.5519553318238843</v>
      </c>
      <c r="AZ238" s="1469">
        <f>((AY227+3*AZ227)/AX228-1)*100</f>
        <v>1.800905673649722</v>
      </c>
      <c r="BA238" s="1469">
        <f>((AY227+AZ227+2*BA227)/AX228-1)*100</f>
        <v>2.2301114506166009</v>
      </c>
      <c r="BB238" s="1532"/>
      <c r="BC238" s="1469">
        <f>(4*BC227/BB228-1)*100</f>
        <v>2.6133156056410645</v>
      </c>
      <c r="BD238" s="1469">
        <f>((BC227+3*BD227)/BB228-1)*100</f>
        <v>2.9156871312501442</v>
      </c>
      <c r="BE238" s="1469">
        <f>((BC227+BD227+2*BE227)/BB228-1)*100</f>
        <v>3.3134879681330665</v>
      </c>
      <c r="BF238" s="1532"/>
      <c r="BG238" s="1469">
        <f>(4*BG227/BF228-1)*100</f>
        <v>1.4446710425730869</v>
      </c>
      <c r="BH238" s="1469">
        <f>((BG227+3*BH227)/BF228-1)*100</f>
        <v>1.5659456700034546</v>
      </c>
      <c r="BI238" s="1469">
        <f>((BG227+BH227+2*BI227)/BF228-1)*100</f>
        <v>1.3104397241779475</v>
      </c>
      <c r="BJ238" s="1532"/>
      <c r="BK238" s="1469">
        <f>(4*BK227/BJ228-1)*100</f>
        <v>-2.917853726768771</v>
      </c>
      <c r="BL238" s="1469">
        <f>((BK227+3*BL227)/BJ228-1)*100</f>
        <v>-2.997305330714084</v>
      </c>
      <c r="BM238" s="1469">
        <f>((BK227+BL227+2*BM227)/BJ228-1)*100</f>
        <v>-2.4573429738041108</v>
      </c>
      <c r="BN238" s="1532"/>
      <c r="BO238" s="1469">
        <f>(4*BO227/BN228-1)*100</f>
        <v>1.6413968708241633</v>
      </c>
      <c r="BP238" s="1469">
        <f>((BO227+3*BP227)/BN228-1)*100</f>
        <v>2.4108016540229871</v>
      </c>
      <c r="BQ238" s="1469">
        <f>((BO227+BP227+2*BQ227)/BN228-1)*100</f>
        <v>2.6375459012426328</v>
      </c>
      <c r="BR238" s="1532"/>
      <c r="BS238" s="1469">
        <f>(4*BS227/BR228-1)*100</f>
        <v>1.4480435027496519</v>
      </c>
      <c r="BT238" s="1469">
        <f>((BS227+3*BT227)/BR228-1)*100</f>
        <v>1.6677078106278609</v>
      </c>
      <c r="BU238" s="1469">
        <f>((BS227+BT227+2*BU227)/BR228-1)*100</f>
        <v>1.7813802496697173</v>
      </c>
      <c r="BV238" s="1532"/>
      <c r="BW238" s="1469">
        <f>(4*BW227/BV228-1)*100</f>
        <v>0.42930328126531414</v>
      </c>
      <c r="BX238" s="1469">
        <f>((BW227+3*BX227)/BV228-1)*100</f>
        <v>0.28368722979923433</v>
      </c>
      <c r="BY238" s="1469">
        <f>((BW227+BX227+2*BY227)/BV228-1)*100</f>
        <v>0.26457355119573478</v>
      </c>
      <c r="BZ238" s="1532"/>
      <c r="CA238" s="1469">
        <f>(4*CA227/BZ228-1)*100</f>
        <v>-0.47697545872192881</v>
      </c>
      <c r="CB238" s="1469">
        <f>((CA227+3*CB227)/BZ228-1)*100</f>
        <v>-0.11792659947358342</v>
      </c>
      <c r="CC238" s="1469">
        <f>((CA227+CB227+2*CC227)/BZ228-1)*100</f>
        <v>0.12645745986106238</v>
      </c>
      <c r="CD238" s="1532"/>
      <c r="CE238" s="1469">
        <f>(4*CE227/CD228-1)*100</f>
        <v>0.89018988213436234</v>
      </c>
      <c r="CF238" s="1469">
        <f>((CE227+3*CF227)/CD228-1)*100</f>
        <v>1.077993654736531</v>
      </c>
      <c r="CG238" s="1469">
        <f>((CE227+CF227+2*CG227)/CD228-1)*100</f>
        <v>1.273810388303076</v>
      </c>
      <c r="CH238" s="1532"/>
      <c r="CI238" s="1469">
        <f>(4*CI227/CH228-1)*100</f>
        <v>0.90055367374015649</v>
      </c>
      <c r="CJ238" s="1469">
        <f>((CI227+3*CJ227)/CH228-1)*100</f>
        <v>1.2533631788433031</v>
      </c>
      <c r="CK238" s="1469">
        <f>((CI227+CJ227+2*CK227)/CH228-1)*100</f>
        <v>1.2830110364149938</v>
      </c>
      <c r="CL238" s="1532"/>
      <c r="CM238" s="1469">
        <f>(4*CM227/CL228-1)*100</f>
        <v>0.78380255095202855</v>
      </c>
      <c r="CN238" s="1469">
        <f>((CM227+3*CN227)/CL228-1)*100</f>
        <v>1.3436963221947318</v>
      </c>
      <c r="CO238" s="1469">
        <f>((CM227+CN227+2*CO227)/CL228-1)*100</f>
        <v>1.399734428106747</v>
      </c>
      <c r="CP238" s="1532"/>
      <c r="CQ238" s="1469">
        <f>(4*CQ227/CP228-1)*100</f>
        <v>1.1074505585277672</v>
      </c>
      <c r="CR238" s="1469">
        <f>((CQ227+3*CR227)/CP228-1)*100</f>
        <v>1.4561101879688509</v>
      </c>
      <c r="CS238" s="1469">
        <f>((CQ227+CR227+2*CS227)/CP228-1)*100</f>
        <v>1.5536004149337757</v>
      </c>
      <c r="CT238" s="1532"/>
      <c r="CU238" s="1469">
        <f>(4*CU227/CT228-1)*100</f>
        <v>1.0154957541867349</v>
      </c>
      <c r="CV238" s="1469">
        <f>((CU227+3*CV227)/CT228-1)*100</f>
        <v>1.4176510922366159</v>
      </c>
      <c r="CW238" s="1469">
        <f>((CU227+CV227+2*CW227)/CT228-1)*100</f>
        <v>1.6648624653725186</v>
      </c>
      <c r="CX238" s="1532"/>
      <c r="CY238" s="1469">
        <f>(4*CY227/CX228-1)*100</f>
        <v>1.1872746921376187</v>
      </c>
      <c r="CZ238" s="1469">
        <f>((CY227+3*CZ227)/CX228-1)*100</f>
        <v>1.5056727489354271</v>
      </c>
      <c r="DA238" s="1469">
        <f>((CY227+CZ227+2*DA227)/CX228-1)*100</f>
        <v>1.6657553471780995</v>
      </c>
      <c r="DB238" s="1532"/>
    </row>
    <row r="239" spans="1:106">
      <c r="C239" s="1460"/>
      <c r="D239" s="872"/>
      <c r="E239" s="1467" t="s">
        <v>568</v>
      </c>
      <c r="F239" s="872"/>
      <c r="G239" s="919"/>
      <c r="H239" s="919"/>
      <c r="I239" s="919"/>
      <c r="J239" s="919"/>
      <c r="K239" s="1531"/>
      <c r="L239" s="926">
        <f>(4*L227/(K227+3*L227)-1)*100</f>
        <v>0.18955299085827715</v>
      </c>
      <c r="M239" s="926">
        <f>(4*M227/(K227+L227+2*M227)-1)*100</f>
        <v>0.43935979977500761</v>
      </c>
      <c r="N239" s="926">
        <f>+(4*N227/N228-1)*100</f>
        <v>1.0312233407268501</v>
      </c>
      <c r="O239" s="1531"/>
      <c r="P239" s="926">
        <f>(4*P227/(O227+3*P227)-1)*100</f>
        <v>0.36701559071641299</v>
      </c>
      <c r="Q239" s="926">
        <f>(4*Q227/(O227+P227+2*Q227)-1)*100</f>
        <v>0.79971003509233807</v>
      </c>
      <c r="R239" s="926">
        <f>+(4*R227/R228-1)*100</f>
        <v>1.2309038802591488</v>
      </c>
      <c r="S239" s="1531"/>
      <c r="T239" s="926">
        <f>(4*T227/(S227+3*T227)-1)*100</f>
        <v>8.3104015831803046E-2</v>
      </c>
      <c r="U239" s="926">
        <f>(4*U227/(S227+T227+2*U227)-1)*100</f>
        <v>0.23988093124165388</v>
      </c>
      <c r="V239" s="926">
        <f>+(4*V227/V228-1)*100</f>
        <v>0.42558134282366655</v>
      </c>
      <c r="W239" s="1531"/>
      <c r="X239" s="926">
        <f>(4*X227/(W227+3*X227)-1)*100</f>
        <v>0.33331130142482124</v>
      </c>
      <c r="Y239" s="926">
        <f>(4*Y227/(W227+X227+2*Y227)-1)*100</f>
        <v>1.0483818047166249</v>
      </c>
      <c r="Z239" s="926">
        <f>+(4*Z227/Z228-1)*100</f>
        <v>1.9369351125179568</v>
      </c>
      <c r="AA239" s="1531"/>
      <c r="AB239" s="926">
        <f>(4*AB227/(AA227+3*AB227)-1)*100</f>
        <v>0.1636186899637071</v>
      </c>
      <c r="AC239" s="926">
        <f>(4*AC227/(AA227+AB227+2*AC227)-1)*100</f>
        <v>0.36213763640418062</v>
      </c>
      <c r="AD239" s="926">
        <f>+(4*AD227/AD228-1)*100</f>
        <v>1.0268866336395455</v>
      </c>
      <c r="AE239" s="1531"/>
      <c r="AF239" s="926">
        <f>(4*AF227/(AE227+3*AF227)-1)*100</f>
        <v>-1.4595104980497098E-2</v>
      </c>
      <c r="AG239" s="926">
        <f>(4*AG227/(AE227+AF227+2*AG227)-1)*100</f>
        <v>-0.11717876470324073</v>
      </c>
      <c r="AH239" s="926">
        <f>+(4*AH227/AH228-1)*100</f>
        <v>-0.16103251664003615</v>
      </c>
      <c r="AI239" s="1531"/>
      <c r="AJ239" s="926">
        <f>(4*AJ227/(AI227+3*AJ227)-1)*100</f>
        <v>0.21814675220057644</v>
      </c>
      <c r="AK239" s="926">
        <f>(4*AK227/(AI227+AJ227+2*AK227)-1)*100</f>
        <v>0.48147127299595915</v>
      </c>
      <c r="AL239" s="926">
        <f>+(4*AL227/AL228-1)*100</f>
        <v>0.71490518716452733</v>
      </c>
      <c r="AM239" s="1531"/>
      <c r="AN239" s="926">
        <f>(4*AN227/(AM227+3*AN227)-1)*100</f>
        <v>2.5098790004851601E-2</v>
      </c>
      <c r="AO239" s="926">
        <f>(4*AO227/(AM227+AN227+2*AO227)-1)*100</f>
        <v>0.21729885291839057</v>
      </c>
      <c r="AP239" s="926">
        <f>+(4*AP227/AP228-1)*100</f>
        <v>0.77599164987627312</v>
      </c>
      <c r="AQ239" s="1531"/>
      <c r="AR239" s="926">
        <f>(4*AR227/(AQ227+3*AR227)-1)*100</f>
        <v>0.24336938283442411</v>
      </c>
      <c r="AS239" s="926">
        <f>(4*AS227/(AQ227+AR227+2*AS227)-1)*100</f>
        <v>0.67862948851495908</v>
      </c>
      <c r="AT239" s="926">
        <f>+(4*AT227/AT228-1)*100</f>
        <v>0.91879532606713443</v>
      </c>
      <c r="AU239" s="1531"/>
      <c r="AV239" s="926">
        <f>(4*AV227/(AU227+3*AV227)-1)*100</f>
        <v>0.12441482274334614</v>
      </c>
      <c r="AW239" s="926">
        <f>(4*AW227/(AU227+AV227+2*AW227)-1)*100</f>
        <v>0.31745682119168617</v>
      </c>
      <c r="AX239" s="926">
        <f>+(4*AX227/AX228-1)*100</f>
        <v>0.91776395330944727</v>
      </c>
      <c r="AY239" s="1531"/>
      <c r="AZ239" s="926">
        <f>(4*AZ227/(AY227+3*AZ227)-1)*100</f>
        <v>8.1515431249035153E-2</v>
      </c>
      <c r="BA239" s="926">
        <f>(4*BA227/(AY227+AZ227+2*BA227)-1)*100</f>
        <v>0.50101600885916753</v>
      </c>
      <c r="BB239" s="926">
        <f>+(4*BB227/BB228-1)*100</f>
        <v>1.3094724313833739</v>
      </c>
      <c r="BC239" s="1531"/>
      <c r="BD239" s="926">
        <f>(4*BD227/(BC227+3*BD227)-1)*100</f>
        <v>9.7935029484697012E-2</v>
      </c>
      <c r="BE239" s="926">
        <f>(4*BE227/(BC227+BD227+2*BE227)-1)*100</f>
        <v>0.48260043797285768</v>
      </c>
      <c r="BF239" s="926">
        <f>+(4*BF227/BF228-1)*100</f>
        <v>0.86213821679652636</v>
      </c>
      <c r="BG239" s="1531"/>
      <c r="BH239" s="926">
        <f>(4*BH227/(BG227+3*BH227)-1)*100</f>
        <v>3.980160431080737E-2</v>
      </c>
      <c r="BI239" s="926">
        <f>(4*BI227/(BG227+BH227+2*BI227)-1)*100</f>
        <v>-0.21229901933199624</v>
      </c>
      <c r="BJ239" s="2986">
        <f>+(4*BJ227/BJ228-1)*100</f>
        <v>-1.7885610260313323</v>
      </c>
      <c r="BK239" s="1531"/>
      <c r="BL239" s="926">
        <f>(4*BL227/(BK227+3*BL227)-1)*100</f>
        <v>-2.730219822456581E-2</v>
      </c>
      <c r="BM239" s="926">
        <f>(4*BM227/(BK227+BL227+2*BM227)-1)*100</f>
        <v>0.52641429358470937</v>
      </c>
      <c r="BN239" s="2986">
        <f>+(4*BN227/BN228-1)*100</f>
        <v>1.160551761871198</v>
      </c>
      <c r="BO239" s="1531"/>
      <c r="BP239" s="926">
        <f>(4*BP227/(BO227+3*BP227)-1)*100</f>
        <v>0.25043086952167837</v>
      </c>
      <c r="BQ239" s="926">
        <f>(4*BQ227/(BO227+BP227+2*BQ227)-1)*100</f>
        <v>0.47079507215697092</v>
      </c>
      <c r="BR239" s="926">
        <f>+(4*BR227/BR228-1)*100</f>
        <v>0.78137000890947661</v>
      </c>
      <c r="BS239" s="1531"/>
      <c r="BT239" s="926">
        <f>(4*BT227/(BS227+3*BT227)-1)*100</f>
        <v>7.2020347007129004E-2</v>
      </c>
      <c r="BU239" s="926">
        <f>(4*BU227/(BS227+BT227+2*BU227)-1)*100</f>
        <v>0.18362285375068677</v>
      </c>
      <c r="BV239" s="926">
        <f>+(4*BV227/BV228-1)*100</f>
        <v>0.23414256289282509</v>
      </c>
      <c r="BW239" s="1531"/>
      <c r="BX239" s="926">
        <f>(4*BX227/(BW227+3*BX227)-1)*100</f>
        <v>-4.8401375301254657E-2</v>
      </c>
      <c r="BY239" s="926">
        <f>(4*BY227/(BW227+BX227+2*BY227)-1)*100</f>
        <v>-6.747384447906013E-2</v>
      </c>
      <c r="BZ239" s="926">
        <f>+(4*BZ227/BZ228-1)*100</f>
        <v>-0.15782091716786129</v>
      </c>
      <c r="CA239" s="1531"/>
      <c r="CB239" s="926">
        <f>(4*CB227/(CA227+3*CB227)-1)*100</f>
        <v>0.11982425775529659</v>
      </c>
      <c r="CC239" s="926">
        <f>(4*CC227/(CA227+CB227+2*CC227)-1)*100</f>
        <v>0.36360720398338486</v>
      </c>
      <c r="CD239" s="926">
        <f>+(4*CD227/CD228-1)*100</f>
        <v>0.5856973654886799</v>
      </c>
      <c r="CE239" s="1531"/>
      <c r="CF239" s="926">
        <f>(4*CF227/(CE227+3*CF227)-1)*100</f>
        <v>6.1933617071874281E-2</v>
      </c>
      <c r="CG239" s="926">
        <f>(4*CG227/(CE227+CF227+2*CG227)-1)*100</f>
        <v>0.25516763920481189</v>
      </c>
      <c r="CH239" s="926">
        <f>+(4*CH227/CH228-1)*100</f>
        <v>0.48548366773646379</v>
      </c>
      <c r="CI239" s="1531"/>
      <c r="CJ239" s="926">
        <f>(4*CJ227/(CI227+3*CJ227)-1)*100</f>
        <v>0.11614741938001938</v>
      </c>
      <c r="CK239" s="926">
        <f>(4*CK227/(CI227+CJ227+2*CK227)-1)*100</f>
        <v>0.14538571121909261</v>
      </c>
      <c r="CL239" s="926">
        <f>+(4*CL227/CL228-1)*100</f>
        <v>0.50409930926942348</v>
      </c>
      <c r="CM239" s="1531"/>
      <c r="CN239" s="926">
        <f>(4*CN227/(CM227+3*CN227)-1)*100</f>
        <v>0.18415674960932105</v>
      </c>
      <c r="CO239" s="926">
        <f>(4*CO227/(CM227+CN227+2*CO227)-1)*100</f>
        <v>0.2393195252054392</v>
      </c>
      <c r="CP239" s="926">
        <f>+(4*CP227/CP228-1)*100</f>
        <v>0.43510416566614474</v>
      </c>
      <c r="CQ239" s="1531"/>
      <c r="CR239" s="926">
        <f>(4*CR227/(CQ227+3*CR227)-1)*100</f>
        <v>0.11455187495856833</v>
      </c>
      <c r="CS239" s="926">
        <f>(4*CS227/(CQ227+CR227+2*CS227)-1)*100</f>
        <v>0.21044069592028869</v>
      </c>
      <c r="CT239" s="926">
        <f>+(4*CT227/CT228-1)*100</f>
        <v>0.60263155409041591</v>
      </c>
      <c r="CU239" s="1531"/>
      <c r="CV239" s="926">
        <f>(4*CV227/(CU227+3*CV227)-1)*100</f>
        <v>0.13217795709745683</v>
      </c>
      <c r="CW239" s="926">
        <f>(4*CW227/(CU227+CV227+2*CW227)-1)*100</f>
        <v>0.37501959205987756</v>
      </c>
      <c r="CX239" s="926">
        <f>+(4*CX227/CX228-1)*100</f>
        <v>0.74153059137025412</v>
      </c>
      <c r="CY239" s="1531"/>
      <c r="CZ239" s="926">
        <f>(4*CZ227/(CY227+3*CZ227)-1)*100</f>
        <v>0.10455837858618366</v>
      </c>
      <c r="DA239" s="926">
        <f>(4*DA227/(CY227+CZ227+2*DA227)-1)*100</f>
        <v>0.2618534460623767</v>
      </c>
      <c r="DB239" s="926">
        <f>+(4*DB227/DB228-1)*100</f>
        <v>0.46580442915813425</v>
      </c>
    </row>
    <row r="240" spans="1:106" s="927" customFormat="1" ht="12.75" customHeight="1">
      <c r="A240" s="714"/>
      <c r="B240" s="714"/>
      <c r="C240" s="716"/>
      <c r="D240" s="1082"/>
      <c r="E240" s="1461"/>
      <c r="F240" s="1082"/>
      <c r="G240" s="1085"/>
      <c r="H240" s="1462"/>
      <c r="I240" s="1462"/>
      <c r="J240" s="1462"/>
      <c r="K240" s="1085"/>
      <c r="L240" s="1462"/>
      <c r="M240" s="1462"/>
      <c r="N240" s="1462"/>
      <c r="O240" s="1085"/>
      <c r="P240" s="1462"/>
      <c r="Q240" s="1462"/>
      <c r="R240" s="1462"/>
      <c r="S240" s="1085"/>
      <c r="T240" s="1462"/>
      <c r="U240" s="1462"/>
      <c r="V240" s="1462"/>
      <c r="W240" s="1085"/>
      <c r="X240" s="1462"/>
      <c r="Y240" s="1462"/>
      <c r="Z240" s="1462"/>
      <c r="AA240" s="1085"/>
      <c r="AB240" s="1462"/>
      <c r="AC240" s="1462"/>
      <c r="AD240" s="1462"/>
      <c r="AE240" s="1085"/>
      <c r="AF240" s="1462"/>
      <c r="AG240" s="1462"/>
      <c r="AH240" s="1462"/>
      <c r="AI240" s="1085"/>
      <c r="AJ240" s="1462"/>
      <c r="AK240" s="1462"/>
      <c r="AL240" s="1462"/>
      <c r="AM240" s="1085"/>
      <c r="AN240" s="1462"/>
      <c r="AO240" s="1462"/>
      <c r="AP240" s="1462"/>
      <c r="AQ240" s="1085"/>
      <c r="AR240" s="1462"/>
      <c r="AS240" s="1462"/>
      <c r="AT240" s="1462"/>
      <c r="AU240" s="1085"/>
      <c r="AV240" s="1462"/>
      <c r="AW240" s="1462"/>
      <c r="AX240" s="1462"/>
      <c r="AY240" s="1463"/>
      <c r="AZ240" s="1462"/>
      <c r="BA240" s="1463"/>
      <c r="BB240" s="1463"/>
      <c r="BC240" s="1463"/>
      <c r="BD240" s="1463"/>
      <c r="BE240" s="1463"/>
      <c r="BF240" s="1463"/>
      <c r="BG240" s="2902"/>
      <c r="BH240" s="2902"/>
      <c r="BI240" s="2902"/>
      <c r="BJ240" s="2902"/>
      <c r="BK240" s="2902"/>
      <c r="BL240" s="2902"/>
      <c r="BM240" s="2902"/>
      <c r="BN240" s="2902"/>
    </row>
    <row r="241" spans="1:106" s="927" customFormat="1" ht="12.75" customHeight="1">
      <c r="A241" s="714"/>
      <c r="B241" s="714"/>
      <c r="C241" s="716"/>
      <c r="D241" s="1082"/>
      <c r="E241" s="1461"/>
      <c r="F241" s="1082"/>
      <c r="G241" s="1085"/>
      <c r="H241" s="1462"/>
      <c r="I241" s="1462"/>
      <c r="J241" s="1462"/>
      <c r="K241" s="1085"/>
      <c r="L241" s="1462"/>
      <c r="M241" s="1462"/>
      <c r="N241" s="1462"/>
      <c r="O241" s="1085"/>
      <c r="P241" s="1462"/>
      <c r="Q241" s="1462"/>
      <c r="R241" s="1462"/>
      <c r="S241" s="1085"/>
      <c r="T241" s="1462"/>
      <c r="U241" s="1462"/>
      <c r="V241" s="1462"/>
      <c r="W241" s="1085"/>
      <c r="X241" s="1462"/>
      <c r="Y241" s="1462"/>
      <c r="Z241" s="1462"/>
      <c r="AA241" s="1085"/>
      <c r="AB241" s="1462"/>
      <c r="AC241" s="1462"/>
      <c r="AD241" s="1462"/>
      <c r="AE241" s="1085"/>
      <c r="AF241" s="1462"/>
      <c r="AG241" s="1462"/>
      <c r="AH241" s="1462"/>
      <c r="AI241" s="1085"/>
      <c r="AJ241" s="1462"/>
      <c r="AK241" s="1462"/>
      <c r="AL241" s="1462"/>
      <c r="AM241" s="1085"/>
      <c r="AN241" s="1462"/>
      <c r="AO241" s="1462"/>
      <c r="AP241" s="1462"/>
      <c r="AQ241" s="1085"/>
      <c r="AR241" s="1462"/>
      <c r="AS241" s="1462"/>
      <c r="AT241" s="1462"/>
      <c r="AU241" s="1085"/>
      <c r="AV241" s="1462"/>
      <c r="AW241" s="1462"/>
      <c r="AX241" s="1462"/>
      <c r="AY241" s="1463"/>
      <c r="AZ241" s="1462"/>
      <c r="BA241" s="1463"/>
      <c r="BB241" s="1463"/>
      <c r="BC241" s="1463"/>
      <c r="BD241" s="1463"/>
      <c r="BE241" s="1463"/>
      <c r="BF241" s="1463"/>
      <c r="BG241" s="2902"/>
      <c r="BH241" s="2902"/>
      <c r="BI241" s="2902"/>
      <c r="BJ241" s="2902"/>
      <c r="BK241" s="2902"/>
      <c r="BL241" s="2902"/>
      <c r="BM241" s="2902"/>
      <c r="BN241" s="2902"/>
      <c r="BO241" s="2935"/>
      <c r="BS241" s="2935"/>
      <c r="BW241" s="2935"/>
      <c r="CA241" s="2935"/>
      <c r="CE241" s="2935"/>
      <c r="CI241" s="2935"/>
      <c r="CJ241" s="2935"/>
      <c r="CM241" s="2935"/>
      <c r="CN241" s="2935"/>
      <c r="CQ241" s="2935"/>
      <c r="CR241" s="2935"/>
      <c r="CU241" s="2935"/>
      <c r="CY241" s="2935"/>
    </row>
    <row r="242" spans="1:106" ht="30" customHeight="1">
      <c r="C242" s="4124" t="s">
        <v>1139</v>
      </c>
      <c r="D242" s="4124"/>
      <c r="E242" s="4124"/>
      <c r="F242" s="4124"/>
      <c r="K242" s="753"/>
      <c r="L242" s="753"/>
      <c r="M242" s="753"/>
      <c r="N242" s="753"/>
      <c r="O242" s="753"/>
      <c r="P242" s="753"/>
      <c r="Q242" s="753"/>
      <c r="R242" s="753"/>
      <c r="S242" s="753"/>
      <c r="T242" s="753"/>
      <c r="U242" s="753"/>
      <c r="V242" s="753"/>
      <c r="W242" s="753"/>
      <c r="X242" s="753"/>
      <c r="Y242" s="753"/>
      <c r="Z242" s="753"/>
      <c r="AA242" s="753"/>
      <c r="AB242" s="753"/>
      <c r="AC242" s="753"/>
      <c r="AD242" s="753"/>
      <c r="AE242" s="753"/>
      <c r="AF242" s="753"/>
      <c r="AG242" s="753"/>
      <c r="AH242" s="753"/>
      <c r="AI242" s="753"/>
      <c r="AJ242" s="753"/>
      <c r="AK242" s="753"/>
      <c r="AL242" s="753"/>
      <c r="AM242" s="753"/>
      <c r="AN242" s="753"/>
      <c r="AO242" s="753"/>
      <c r="AP242" s="753"/>
      <c r="AQ242" s="753"/>
      <c r="AR242" s="753"/>
      <c r="AS242" s="753"/>
      <c r="AT242" s="753"/>
      <c r="AU242" s="753"/>
      <c r="AV242" s="753"/>
      <c r="AW242" s="753"/>
      <c r="AX242" s="753"/>
      <c r="AY242" s="753"/>
      <c r="AZ242" s="753"/>
      <c r="BA242" s="753"/>
      <c r="BB242" s="753"/>
      <c r="BC242" s="753"/>
      <c r="BD242" s="753"/>
      <c r="BE242" s="753"/>
      <c r="BF242" s="753"/>
      <c r="BG242" s="753"/>
      <c r="BH242" s="753"/>
      <c r="BI242" s="753"/>
      <c r="BJ242" s="753"/>
      <c r="BO242" s="753">
        <v>109.65852300858899</v>
      </c>
      <c r="BP242" s="753">
        <v>111.03697622120067</v>
      </c>
      <c r="BQ242" s="753">
        <v>110.91756822894656</v>
      </c>
      <c r="BR242" s="753">
        <v>111.65155309673334</v>
      </c>
      <c r="BS242" s="753"/>
      <c r="BT242" s="753"/>
      <c r="BU242" s="753"/>
      <c r="BV242" s="753"/>
      <c r="BW242" s="753"/>
      <c r="BX242" s="753"/>
      <c r="BY242" s="753"/>
      <c r="BZ242" s="753"/>
      <c r="CA242" s="753"/>
      <c r="CB242" s="753"/>
      <c r="CC242" s="753"/>
      <c r="CD242" s="753"/>
      <c r="CE242" s="753"/>
      <c r="CF242" s="753"/>
      <c r="CG242" s="753"/>
      <c r="CH242" s="753"/>
      <c r="CI242" s="753"/>
      <c r="CJ242" s="753"/>
      <c r="CK242" s="753"/>
      <c r="CL242" s="753"/>
      <c r="CM242" s="753"/>
      <c r="CN242" s="753"/>
      <c r="CO242" s="753"/>
      <c r="CP242" s="753"/>
      <c r="CQ242" s="753"/>
      <c r="CR242" s="753"/>
      <c r="CS242" s="753"/>
      <c r="CT242" s="753"/>
      <c r="CU242" s="753"/>
      <c r="CV242" s="753"/>
      <c r="CW242" s="753"/>
      <c r="CX242" s="753"/>
      <c r="CY242" s="753"/>
      <c r="CZ242" s="753"/>
      <c r="DA242" s="753"/>
      <c r="DB242" s="753"/>
    </row>
    <row r="243" spans="1:106">
      <c r="C243" s="218"/>
      <c r="D243" s="218"/>
      <c r="O243" s="2938"/>
      <c r="P243" s="2938"/>
      <c r="Q243" s="2938"/>
      <c r="R243" s="2938"/>
      <c r="S243" s="2938"/>
      <c r="T243" s="2938"/>
      <c r="U243" s="2938"/>
      <c r="V243" s="2938"/>
      <c r="W243" s="2938"/>
      <c r="X243" s="2938"/>
      <c r="Y243" s="2938"/>
      <c r="Z243" s="2938"/>
      <c r="AA243" s="2938"/>
      <c r="AB243" s="2938"/>
      <c r="AC243" s="2938"/>
      <c r="AD243" s="2938"/>
      <c r="AE243" s="2938"/>
      <c r="AF243" s="2938"/>
      <c r="AG243" s="2938"/>
      <c r="AH243" s="2938"/>
      <c r="AI243" s="2938"/>
      <c r="AJ243" s="2938"/>
      <c r="AK243" s="2938"/>
      <c r="AL243" s="2938"/>
      <c r="AM243" s="2938"/>
      <c r="AN243" s="2938"/>
      <c r="AO243" s="2938"/>
      <c r="AP243" s="2938"/>
      <c r="AQ243" s="2938"/>
      <c r="AR243" s="2938"/>
      <c r="AS243" s="2938"/>
      <c r="AT243" s="2938"/>
      <c r="AU243" s="2938"/>
      <c r="AV243" s="2938"/>
      <c r="AW243" s="2938"/>
      <c r="AX243" s="2938"/>
      <c r="AY243" s="2938"/>
      <c r="AZ243" s="2938"/>
      <c r="BA243" s="2938"/>
      <c r="BB243" s="2938"/>
      <c r="BC243" s="2938"/>
      <c r="BD243" s="2938"/>
      <c r="BE243" s="2938"/>
      <c r="BF243" s="2938"/>
      <c r="BG243" s="2938"/>
      <c r="BH243" s="2938"/>
      <c r="BI243" s="2938"/>
      <c r="BJ243" s="2938"/>
      <c r="BK243" s="2938"/>
      <c r="BL243" s="2938"/>
      <c r="BM243" s="2978"/>
      <c r="BN243" s="2978"/>
      <c r="BO243" s="2978"/>
      <c r="BP243" s="2978"/>
      <c r="BQ243" s="2938"/>
      <c r="BR243" s="2978"/>
      <c r="BS243" s="2978"/>
      <c r="BT243" s="2978"/>
      <c r="BU243" s="2938"/>
      <c r="BV243" s="2978"/>
      <c r="BW243" s="2978"/>
      <c r="BX243" s="2978"/>
      <c r="BY243" s="2938"/>
      <c r="BZ243" s="2978"/>
      <c r="CA243" s="2978"/>
      <c r="CB243" s="2978"/>
      <c r="CC243" s="2938"/>
      <c r="CD243" s="2978"/>
      <c r="CE243" s="2978"/>
      <c r="CF243" s="2978"/>
      <c r="CG243" s="2938"/>
      <c r="CH243" s="2978"/>
      <c r="CI243" s="2978"/>
      <c r="CJ243" s="2978"/>
      <c r="CK243" s="2938"/>
      <c r="CL243" s="2978"/>
      <c r="CM243" s="2978"/>
      <c r="CN243" s="2978"/>
      <c r="CO243" s="2938"/>
      <c r="CP243" s="2978"/>
      <c r="CQ243" s="2978"/>
      <c r="CR243" s="2978"/>
      <c r="CS243" s="2938"/>
      <c r="CT243" s="2978"/>
      <c r="CU243" s="2978"/>
      <c r="CV243" s="2978"/>
      <c r="CW243" s="2938"/>
      <c r="CX243" s="2978"/>
      <c r="CY243" s="2978"/>
      <c r="CZ243" s="2978"/>
      <c r="DA243" s="2938"/>
      <c r="DB243" s="2978"/>
    </row>
    <row r="244" spans="1:106">
      <c r="G244" s="4122">
        <f ca="1">OFFSET(InputY!$G$3,0,(COLUMN()-7)/4)</f>
        <v>1995</v>
      </c>
      <c r="H244" s="4123"/>
      <c r="I244" s="4123"/>
      <c r="J244" s="4123"/>
      <c r="K244" s="4117">
        <f ca="1">OFFSET(InputY!$G$3,0,(COLUMN()-7)/4)</f>
        <v>1996</v>
      </c>
      <c r="L244" s="4118"/>
      <c r="M244" s="4118"/>
      <c r="N244" s="4119"/>
      <c r="O244" s="4117">
        <f ca="1">OFFSET(InputY!$G$3,0,(COLUMN()-7)/4)</f>
        <v>1997</v>
      </c>
      <c r="P244" s="4118"/>
      <c r="Q244" s="4118"/>
      <c r="R244" s="4119"/>
      <c r="S244" s="4117">
        <f ca="1">OFFSET(InputY!$G$3,0,(COLUMN()-7)/4)</f>
        <v>1998</v>
      </c>
      <c r="T244" s="4118"/>
      <c r="U244" s="4118"/>
      <c r="V244" s="4119"/>
      <c r="W244" s="4117">
        <f ca="1">OFFSET(InputY!$G$3,0,(COLUMN()-7)/4)</f>
        <v>1999</v>
      </c>
      <c r="X244" s="4118"/>
      <c r="Y244" s="4118"/>
      <c r="Z244" s="4119"/>
      <c r="AA244" s="4117">
        <f ca="1">OFFSET(InputY!$G$3,0,(COLUMN()-7)/4)</f>
        <v>2000</v>
      </c>
      <c r="AB244" s="4118"/>
      <c r="AC244" s="4118"/>
      <c r="AD244" s="4119"/>
      <c r="AE244" s="4117">
        <f ca="1">OFFSET(InputY!$G$3,0,(COLUMN()-7)/4)</f>
        <v>2001</v>
      </c>
      <c r="AF244" s="4118"/>
      <c r="AG244" s="4118"/>
      <c r="AH244" s="4119"/>
      <c r="AI244" s="4117">
        <f ca="1">OFFSET(InputY!$G$3,0,(COLUMN()-7)/4)</f>
        <v>2002</v>
      </c>
      <c r="AJ244" s="4118"/>
      <c r="AK244" s="4118"/>
      <c r="AL244" s="4119"/>
      <c r="AM244" s="4117">
        <f ca="1">OFFSET(InputY!$G$3,0,(COLUMN()-7)/4)</f>
        <v>2003</v>
      </c>
      <c r="AN244" s="4118"/>
      <c r="AO244" s="4118"/>
      <c r="AP244" s="4119"/>
      <c r="AQ244" s="4117">
        <f ca="1">OFFSET(InputY!$G$3,0,(COLUMN()-7)/4)</f>
        <v>2004</v>
      </c>
      <c r="AR244" s="4118"/>
      <c r="AS244" s="4118"/>
      <c r="AT244" s="4119"/>
      <c r="AU244" s="4117">
        <f ca="1">OFFSET(InputY!$G$3,0,(COLUMN()-7)/4)</f>
        <v>2005</v>
      </c>
      <c r="AV244" s="4118"/>
      <c r="AW244" s="4118"/>
      <c r="AX244" s="4119"/>
      <c r="AY244" s="4117">
        <f ca="1">OFFSET(InputY!$G$3,0,(COLUMN()-7)/4)</f>
        <v>2006</v>
      </c>
      <c r="AZ244" s="4118"/>
      <c r="BA244" s="4118"/>
      <c r="BB244" s="4119"/>
      <c r="BC244" s="4117">
        <f ca="1">OFFSET(InputY!$G$3,0,(COLUMN()-7)/4)</f>
        <v>2007</v>
      </c>
      <c r="BD244" s="4118"/>
      <c r="BE244" s="4118"/>
      <c r="BF244" s="4119"/>
      <c r="BG244" s="4117">
        <f ca="1">OFFSET(InputY!$G$3,0,(COLUMN()-7)/4)</f>
        <v>2008</v>
      </c>
      <c r="BH244" s="4118"/>
      <c r="BI244" s="4118"/>
      <c r="BJ244" s="4119"/>
      <c r="BK244" s="4117">
        <f ca="1">OFFSET(InputY!$G$3,0,(COLUMN()-7)/4)</f>
        <v>2009</v>
      </c>
      <c r="BL244" s="4118"/>
      <c r="BM244" s="4118"/>
      <c r="BN244" s="4119"/>
      <c r="BO244" s="4117">
        <f ca="1">OFFSET(InputY!$G$3,0,(COLUMN()-7)/4)</f>
        <v>2010</v>
      </c>
      <c r="BP244" s="4118"/>
      <c r="BQ244" s="4118"/>
      <c r="BR244" s="4119"/>
      <c r="BS244" s="4117">
        <f ca="1">OFFSET(InputY!$G$3,0,(COLUMN()-7)/4)</f>
        <v>2011</v>
      </c>
      <c r="BT244" s="4118"/>
      <c r="BU244" s="4118"/>
      <c r="BV244" s="4119"/>
      <c r="BW244" s="4117">
        <f ca="1">OFFSET(InputY!$G$3,0,(COLUMN()-7)/4)</f>
        <v>2012</v>
      </c>
      <c r="BX244" s="4118"/>
      <c r="BY244" s="4118"/>
      <c r="BZ244" s="4119"/>
      <c r="CA244" s="4117">
        <f ca="1">OFFSET(InputY!$G$3,0,(COLUMN()-7)/4)</f>
        <v>2013</v>
      </c>
      <c r="CB244" s="4118"/>
      <c r="CC244" s="4118"/>
      <c r="CD244" s="4119"/>
      <c r="CE244" s="4117">
        <f ca="1">OFFSET(InputY!$G$3,0,(COLUMN()-7)/4)</f>
        <v>2014</v>
      </c>
      <c r="CF244" s="4118"/>
      <c r="CG244" s="4118"/>
      <c r="CH244" s="4119"/>
      <c r="CI244" s="4117">
        <f ca="1">OFFSET(InputY!$G$3,0,(COLUMN()-7)/4)</f>
        <v>2015</v>
      </c>
      <c r="CJ244" s="4118"/>
      <c r="CK244" s="4118"/>
      <c r="CL244" s="4119"/>
      <c r="CM244" s="4117">
        <f ca="1">OFFSET(InputY!$G$3,0,(COLUMN()-7)/4)</f>
        <v>2016</v>
      </c>
      <c r="CN244" s="4118"/>
      <c r="CO244" s="4118"/>
      <c r="CP244" s="4119"/>
      <c r="CQ244" s="4117">
        <f ca="1">OFFSET(InputY!$G$3,0,(COLUMN()-7)/4)</f>
        <v>2017</v>
      </c>
      <c r="CR244" s="4118"/>
      <c r="CS244" s="4118"/>
      <c r="CT244" s="4119"/>
      <c r="CU244" s="4117">
        <f ca="1">OFFSET(InputY!$G$3,0,(COLUMN()-7)/4)</f>
        <v>2018</v>
      </c>
      <c r="CV244" s="4118"/>
      <c r="CW244" s="4118"/>
      <c r="CX244" s="4119"/>
      <c r="CY244" s="4117">
        <f ca="1">OFFSET(InputY!$G$3,0,(COLUMN()-7)/4)</f>
        <v>2019</v>
      </c>
      <c r="CZ244" s="4118"/>
      <c r="DA244" s="4118"/>
      <c r="DB244" s="4119"/>
    </row>
    <row r="245" spans="1:106" s="749" customFormat="1" ht="12.75" customHeight="1">
      <c r="A245" s="714"/>
      <c r="B245" s="714"/>
      <c r="C245" s="716"/>
      <c r="D245" s="745"/>
      <c r="E245" s="746" t="s">
        <v>1745</v>
      </c>
      <c r="F245" s="747"/>
      <c r="G245" s="1472" t="s">
        <v>364</v>
      </c>
      <c r="H245" s="1473" t="s">
        <v>671</v>
      </c>
      <c r="I245" s="1473" t="s">
        <v>672</v>
      </c>
      <c r="J245" s="1473" t="s">
        <v>673</v>
      </c>
      <c r="K245" s="1473" t="s">
        <v>364</v>
      </c>
      <c r="L245" s="1473" t="s">
        <v>671</v>
      </c>
      <c r="M245" s="1473" t="s">
        <v>672</v>
      </c>
      <c r="N245" s="1473" t="s">
        <v>673</v>
      </c>
      <c r="O245" s="1473" t="s">
        <v>364</v>
      </c>
      <c r="P245" s="1473" t="s">
        <v>671</v>
      </c>
      <c r="Q245" s="1473" t="s">
        <v>672</v>
      </c>
      <c r="R245" s="1473" t="s">
        <v>673</v>
      </c>
      <c r="S245" s="1473" t="s">
        <v>364</v>
      </c>
      <c r="T245" s="1473" t="s">
        <v>671</v>
      </c>
      <c r="U245" s="1473" t="s">
        <v>672</v>
      </c>
      <c r="V245" s="1473" t="s">
        <v>673</v>
      </c>
      <c r="W245" s="1473" t="s">
        <v>364</v>
      </c>
      <c r="X245" s="1473" t="s">
        <v>671</v>
      </c>
      <c r="Y245" s="1473" t="s">
        <v>672</v>
      </c>
      <c r="Z245" s="1473" t="s">
        <v>673</v>
      </c>
      <c r="AA245" s="1473" t="s">
        <v>364</v>
      </c>
      <c r="AB245" s="1473" t="s">
        <v>671</v>
      </c>
      <c r="AC245" s="1473" t="s">
        <v>672</v>
      </c>
      <c r="AD245" s="1473" t="s">
        <v>673</v>
      </c>
      <c r="AE245" s="1473" t="s">
        <v>364</v>
      </c>
      <c r="AF245" s="1473" t="s">
        <v>671</v>
      </c>
      <c r="AG245" s="1473" t="s">
        <v>672</v>
      </c>
      <c r="AH245" s="1473" t="s">
        <v>673</v>
      </c>
      <c r="AI245" s="1473" t="s">
        <v>364</v>
      </c>
      <c r="AJ245" s="1473" t="s">
        <v>671</v>
      </c>
      <c r="AK245" s="1473" t="s">
        <v>672</v>
      </c>
      <c r="AL245" s="1473" t="s">
        <v>673</v>
      </c>
      <c r="AM245" s="1473" t="s">
        <v>364</v>
      </c>
      <c r="AN245" s="1473" t="s">
        <v>671</v>
      </c>
      <c r="AO245" s="1473" t="s">
        <v>672</v>
      </c>
      <c r="AP245" s="1473" t="s">
        <v>673</v>
      </c>
      <c r="AQ245" s="1473" t="s">
        <v>364</v>
      </c>
      <c r="AR245" s="1473" t="s">
        <v>671</v>
      </c>
      <c r="AS245" s="1473" t="s">
        <v>672</v>
      </c>
      <c r="AT245" s="1473" t="s">
        <v>673</v>
      </c>
      <c r="AU245" s="1473" t="s">
        <v>364</v>
      </c>
      <c r="AV245" s="1473" t="s">
        <v>671</v>
      </c>
      <c r="AW245" s="1473" t="s">
        <v>672</v>
      </c>
      <c r="AX245" s="1473" t="s">
        <v>673</v>
      </c>
      <c r="AY245" s="1473" t="s">
        <v>364</v>
      </c>
      <c r="AZ245" s="1473" t="s">
        <v>671</v>
      </c>
      <c r="BA245" s="1473" t="s">
        <v>672</v>
      </c>
      <c r="BB245" s="1473" t="s">
        <v>673</v>
      </c>
      <c r="BC245" s="1473" t="s">
        <v>364</v>
      </c>
      <c r="BD245" s="1473" t="s">
        <v>671</v>
      </c>
      <c r="BE245" s="1473" t="s">
        <v>672</v>
      </c>
      <c r="BF245" s="1473" t="s">
        <v>673</v>
      </c>
      <c r="BG245" s="1473" t="s">
        <v>364</v>
      </c>
      <c r="BH245" s="1473" t="s">
        <v>671</v>
      </c>
      <c r="BI245" s="1473" t="s">
        <v>672</v>
      </c>
      <c r="BJ245" s="1473" t="s">
        <v>673</v>
      </c>
      <c r="BK245" s="1473" t="s">
        <v>364</v>
      </c>
      <c r="BL245" s="1473" t="s">
        <v>671</v>
      </c>
      <c r="BM245" s="1473" t="s">
        <v>672</v>
      </c>
      <c r="BN245" s="1473" t="s">
        <v>673</v>
      </c>
      <c r="BO245" s="1473" t="s">
        <v>364</v>
      </c>
      <c r="BP245" s="1473" t="s">
        <v>671</v>
      </c>
      <c r="BQ245" s="1473" t="s">
        <v>672</v>
      </c>
      <c r="BR245" s="1473" t="s">
        <v>673</v>
      </c>
      <c r="BS245" s="1473" t="s">
        <v>364</v>
      </c>
      <c r="BT245" s="1473" t="s">
        <v>671</v>
      </c>
      <c r="BU245" s="1473" t="s">
        <v>672</v>
      </c>
      <c r="BV245" s="1473" t="s">
        <v>673</v>
      </c>
      <c r="BW245" s="1473" t="s">
        <v>364</v>
      </c>
      <c r="BX245" s="1473" t="s">
        <v>671</v>
      </c>
      <c r="BY245" s="1473" t="s">
        <v>672</v>
      </c>
      <c r="BZ245" s="1473" t="s">
        <v>673</v>
      </c>
      <c r="CA245" s="1473" t="s">
        <v>364</v>
      </c>
      <c r="CB245" s="1473" t="s">
        <v>671</v>
      </c>
      <c r="CC245" s="1473" t="s">
        <v>672</v>
      </c>
      <c r="CD245" s="1473" t="s">
        <v>673</v>
      </c>
      <c r="CE245" s="1473" t="s">
        <v>364</v>
      </c>
      <c r="CF245" s="1473" t="s">
        <v>671</v>
      </c>
      <c r="CG245" s="1473" t="s">
        <v>672</v>
      </c>
      <c r="CH245" s="1473" t="s">
        <v>673</v>
      </c>
      <c r="CI245" s="1473" t="s">
        <v>364</v>
      </c>
      <c r="CJ245" s="1473" t="s">
        <v>671</v>
      </c>
      <c r="CK245" s="1473" t="s">
        <v>672</v>
      </c>
      <c r="CL245" s="1473" t="s">
        <v>673</v>
      </c>
      <c r="CM245" s="1473" t="s">
        <v>364</v>
      </c>
      <c r="CN245" s="1473" t="s">
        <v>671</v>
      </c>
      <c r="CO245" s="1473" t="s">
        <v>672</v>
      </c>
      <c r="CP245" s="1473" t="s">
        <v>673</v>
      </c>
      <c r="CQ245" s="1473" t="s">
        <v>364</v>
      </c>
      <c r="CR245" s="1473" t="s">
        <v>671</v>
      </c>
      <c r="CS245" s="1473" t="s">
        <v>672</v>
      </c>
      <c r="CT245" s="1473" t="s">
        <v>673</v>
      </c>
      <c r="CU245" s="1473" t="s">
        <v>364</v>
      </c>
      <c r="CV245" s="1473" t="s">
        <v>671</v>
      </c>
      <c r="CW245" s="1473" t="s">
        <v>672</v>
      </c>
      <c r="CX245" s="1473" t="s">
        <v>673</v>
      </c>
      <c r="CY245" s="1473" t="s">
        <v>364</v>
      </c>
      <c r="CZ245" s="1473" t="s">
        <v>671</v>
      </c>
      <c r="DA245" s="1473" t="s">
        <v>672</v>
      </c>
      <c r="DB245" s="1473" t="s">
        <v>673</v>
      </c>
    </row>
    <row r="246" spans="1:106" s="749" customFormat="1" ht="12.75" customHeight="1">
      <c r="A246" s="714" t="str">
        <f>"Q" &amp; ROW(InputQ!A18)</f>
        <v>Q18</v>
      </c>
      <c r="B246" s="714">
        <v>167</v>
      </c>
      <c r="C246" s="1464"/>
      <c r="D246" s="718"/>
      <c r="E246" s="750" t="s">
        <v>609</v>
      </c>
      <c r="F246" s="751"/>
      <c r="G246" s="828" t="str">
        <f>+InputQ!G18</f>
        <v>:</v>
      </c>
      <c r="H246" s="828" t="str">
        <f>+InputQ!H18</f>
        <v>:</v>
      </c>
      <c r="I246" s="828" t="str">
        <f>+InputQ!I18</f>
        <v>:</v>
      </c>
      <c r="J246" s="828" t="str">
        <f>+InputQ!J18</f>
        <v>:</v>
      </c>
      <c r="K246" s="828">
        <v>85.356666666666669</v>
      </c>
      <c r="L246" s="828">
        <v>85.40666666666668</v>
      </c>
      <c r="M246" s="828">
        <v>85.48</v>
      </c>
      <c r="N246" s="828">
        <v>85.596666666666678</v>
      </c>
      <c r="O246" s="828">
        <v>85.67</v>
      </c>
      <c r="P246" s="828">
        <v>85.57</v>
      </c>
      <c r="Q246" s="828">
        <v>85.410000000000011</v>
      </c>
      <c r="R246" s="828">
        <v>85.603333333333339</v>
      </c>
      <c r="S246" s="828">
        <v>85.74</v>
      </c>
      <c r="T246" s="828">
        <v>86.06</v>
      </c>
      <c r="U246" s="828">
        <v>86.259999999999991</v>
      </c>
      <c r="V246" s="828">
        <v>86.49666666666667</v>
      </c>
      <c r="W246" s="828">
        <f ca="1">+InputQ!W18</f>
        <v>86.720000000000013</v>
      </c>
      <c r="X246" s="828">
        <f ca="1">+InputQ!X18</f>
        <v>86.813333333333333</v>
      </c>
      <c r="Y246" s="828">
        <f ca="1">+InputQ!Y18</f>
        <v>86.8</v>
      </c>
      <c r="Z246" s="828">
        <f ca="1">+InputQ!Z18</f>
        <v>87.043333333333337</v>
      </c>
      <c r="AA246" s="828">
        <f ca="1">+InputQ!AA18</f>
        <v>86.009999999999991</v>
      </c>
      <c r="AB246" s="828">
        <f ca="1">+InputQ!AB18</f>
        <v>87.27</v>
      </c>
      <c r="AC246" s="828">
        <f ca="1">+InputQ!AC18</f>
        <v>86.223333333333343</v>
      </c>
      <c r="AD246" s="828">
        <f ca="1">+InputQ!AD18</f>
        <v>87.966666666666654</v>
      </c>
      <c r="AE246" s="828">
        <f ca="1">+InputQ!AE18</f>
        <v>87.293333333333337</v>
      </c>
      <c r="AF246" s="828">
        <f ca="1">+InputQ!AF18</f>
        <v>88.990000000000009</v>
      </c>
      <c r="AG246" s="828">
        <f ca="1">+InputQ!AG18</f>
        <v>88.076666666666668</v>
      </c>
      <c r="AH246" s="828">
        <f ca="1">+InputQ!AH18</f>
        <v>89.99666666666667</v>
      </c>
      <c r="AI246" s="828">
        <f ca="1">+InputQ!AI18</f>
        <v>89.196666666666673</v>
      </c>
      <c r="AJ246" s="828">
        <f ca="1">+InputQ!AJ18</f>
        <v>90.646666666666661</v>
      </c>
      <c r="AK246" s="828">
        <f ca="1">+InputQ!AK18</f>
        <v>89.33</v>
      </c>
      <c r="AL246" s="828">
        <f ca="1">+InputQ!AL18</f>
        <v>91.066666666666677</v>
      </c>
      <c r="AM246" s="828">
        <f ca="1">+InputQ!AM18</f>
        <v>90.166666666666671</v>
      </c>
      <c r="AN246" s="828">
        <f ca="1">+InputQ!AN18</f>
        <v>91.493333333333325</v>
      </c>
      <c r="AO246" s="828">
        <f ca="1">+InputQ!AO18</f>
        <v>90.24666666666667</v>
      </c>
      <c r="AP246" s="828">
        <f ca="1">+InputQ!AP18</f>
        <v>91.906666666666652</v>
      </c>
      <c r="AQ246" s="828">
        <f ca="1">+InputQ!AQ18</f>
        <v>90.803333333333327</v>
      </c>
      <c r="AR246" s="828">
        <f ca="1">+InputQ!AR18</f>
        <v>91.866666666666674</v>
      </c>
      <c r="AS246" s="828">
        <f ca="1">+InputQ!AS18</f>
        <v>90.356666666666669</v>
      </c>
      <c r="AT246" s="828">
        <f ca="1">+InputQ!AT18</f>
        <v>91.90333333333335</v>
      </c>
      <c r="AU246" s="828">
        <f ca="1">+InputQ!AU18</f>
        <v>90.68</v>
      </c>
      <c r="AV246" s="828">
        <f ca="1">+InputQ!AV18</f>
        <v>92.143333333333331</v>
      </c>
      <c r="AW246" s="828">
        <f ca="1">+InputQ!AW18</f>
        <v>90.5</v>
      </c>
      <c r="AX246" s="828">
        <f ca="1">+InputQ!AX18</f>
        <v>92.586666666666659</v>
      </c>
      <c r="AY246" s="828">
        <f ca="1">+InputQ!AY18</f>
        <v>91.306666666666658</v>
      </c>
      <c r="AZ246" s="828">
        <f ca="1">+InputQ!AZ18</f>
        <v>93.100000000000009</v>
      </c>
      <c r="BA246" s="828">
        <f ca="1">+InputQ!BA18</f>
        <v>91.52</v>
      </c>
      <c r="BB246" s="828">
        <f ca="1">+InputQ!BB18</f>
        <v>93.336666666666659</v>
      </c>
      <c r="BC246" s="828">
        <f ca="1">+InputQ!BC18</f>
        <v>92.076666666666668</v>
      </c>
      <c r="BD246" s="828">
        <f ca="1">+InputQ!BD18</f>
        <v>93.74666666666667</v>
      </c>
      <c r="BE246" s="828">
        <f ca="1">+InputQ!BE18</f>
        <v>92.296666666666667</v>
      </c>
      <c r="BF246" s="828">
        <f ca="1">+InputQ!BF18</f>
        <v>94.34666666666665</v>
      </c>
      <c r="BG246" s="828">
        <f ca="1">+InputQ!BG18</f>
        <v>93.23</v>
      </c>
      <c r="BH246" s="828">
        <f ca="1">+InputQ!BH18</f>
        <v>94.99666666666667</v>
      </c>
      <c r="BI246" s="828">
        <f ca="1">+InputQ!BI18</f>
        <v>93.346666666666678</v>
      </c>
      <c r="BJ246" s="828">
        <f ca="1">+InputQ!BJ18</f>
        <v>95.74666666666667</v>
      </c>
      <c r="BK246" s="828">
        <f ca="1">+InputQ!BK18</f>
        <v>94.333333333333329</v>
      </c>
      <c r="BL246" s="828">
        <f ca="1">+InputQ!BL18</f>
        <v>96.589999999999989</v>
      </c>
      <c r="BM246" s="828">
        <f ca="1">+InputQ!BM18</f>
        <v>94.733333333333334</v>
      </c>
      <c r="BN246" s="828">
        <f ca="1">+InputQ!BN18</f>
        <v>97.09999999999998</v>
      </c>
      <c r="BO246" s="828">
        <f ca="1">+InputQ!BO18</f>
        <v>95.336666666666659</v>
      </c>
      <c r="BP246" s="828">
        <f ca="1">+InputQ!BP18</f>
        <v>97.40333333333335</v>
      </c>
      <c r="BQ246" s="828">
        <f ca="1">+InputQ!BQ18</f>
        <v>95.236666666666665</v>
      </c>
      <c r="BR246" s="828">
        <f ca="1">+InputQ!BR18</f>
        <v>97.823333333333338</v>
      </c>
      <c r="BS246" s="828">
        <f ca="1">+InputQ!BS18</f>
        <v>96.146666666666661</v>
      </c>
      <c r="BT246" s="828">
        <f ca="1">+InputQ!BT18</f>
        <v>98.076666666666668</v>
      </c>
      <c r="BU246" s="828">
        <f ca="1">+InputQ!BU18</f>
        <v>96.42</v>
      </c>
      <c r="BV246" s="828">
        <f ca="1">+InputQ!BV18</f>
        <v>98.853333333333339</v>
      </c>
      <c r="BW246" s="828">
        <f ca="1">+InputQ!BW18</f>
        <v>97.089999999999989</v>
      </c>
      <c r="BX246" s="828">
        <f ca="1">+InputQ!BX18</f>
        <v>99.15666666666668</v>
      </c>
      <c r="BY246" s="828">
        <f ca="1">+InputQ!BY18</f>
        <v>97.076666666666668</v>
      </c>
      <c r="BZ246" s="828">
        <f ca="1">+InputQ!BZ18</f>
        <v>99.649999999999991</v>
      </c>
      <c r="CA246" s="828">
        <f ca="1">+InputQ!CA18</f>
        <v>98.046666666666667</v>
      </c>
      <c r="CB246" s="828">
        <f ca="1">+InputQ!CB18</f>
        <v>100.31666666666666</v>
      </c>
      <c r="CC246" s="828">
        <f ca="1">+InputQ!CC18</f>
        <v>98.04</v>
      </c>
      <c r="CD246" s="828">
        <f ca="1">+InputQ!CD18</f>
        <v>100.42666666666668</v>
      </c>
      <c r="CE246" s="828">
        <f ca="1">+InputQ!CE18</f>
        <v>98.5</v>
      </c>
      <c r="CF246" s="828">
        <f ca="1">+InputQ!CF18</f>
        <v>100.60333333333334</v>
      </c>
      <c r="CG246" s="828">
        <f ca="1">+InputQ!CG18</f>
        <v>98.393333333333331</v>
      </c>
      <c r="CH246" s="828">
        <f ca="1">+InputQ!CH18</f>
        <v>100.66333333333334</v>
      </c>
      <c r="CI246" s="828">
        <f ca="1">+InputQ!CI18</f>
        <v>98.98</v>
      </c>
      <c r="CJ246" s="828">
        <f ca="1">+InputQ!CJ18</f>
        <v>100.84666666666668</v>
      </c>
      <c r="CK246" s="828">
        <f ca="1">+InputQ!CK18</f>
        <v>98.893333333333331</v>
      </c>
      <c r="CL246" s="828">
        <f ca="1">+InputQ!CL18</f>
        <v>101.27666666666666</v>
      </c>
      <c r="CM246" s="828">
        <f ca="1">+InputQ!CM18</f>
        <v>100.04</v>
      </c>
      <c r="CN246" s="828">
        <f ca="1">+InputQ!CN18</f>
        <v>101.83333333333333</v>
      </c>
      <c r="CO246" s="828">
        <f ca="1">+InputQ!CO18</f>
        <v>100.04</v>
      </c>
      <c r="CP246" s="828">
        <f ca="1">+InputQ!CP18</f>
        <v>102.12</v>
      </c>
      <c r="CQ246" s="828">
        <f ca="1">+InputQ!CQ18</f>
        <v>100.79666666666667</v>
      </c>
      <c r="CR246" s="828">
        <f ca="1">+InputQ!CR18</f>
        <v>102.67</v>
      </c>
      <c r="CS246" s="828">
        <f ca="1">+InputQ!CS18</f>
        <v>100.95</v>
      </c>
      <c r="CT246" s="828">
        <f ca="1">+InputQ!CT18</f>
        <v>102.88666666666666</v>
      </c>
      <c r="CU246" s="1355">
        <f t="shared" ref="CU246:CU250" ca="1" si="1189">CQ246*(1+CU280/100)</f>
        <v>101.77</v>
      </c>
      <c r="CV246" s="1355">
        <f t="shared" ref="CV246:CV250" ca="1" si="1190">CR246*(1+CV280/100)</f>
        <v>103.45538550487436</v>
      </c>
      <c r="CW246" s="1355">
        <f t="shared" ref="CW246:CW250" ca="1" si="1191">CS246*(1+CW280/100)</f>
        <v>102.13544032802237</v>
      </c>
      <c r="CX246" s="1355">
        <f t="shared" ref="CX246:CX250" ca="1" si="1192">CT246*(1+CX280/100)</f>
        <v>104.04268602732489</v>
      </c>
      <c r="CY246" s="1355">
        <f t="shared" ref="CY246:CY250" ca="1" si="1193">CU246*(1+CY280/100)</f>
        <v>102.37290779151036</v>
      </c>
      <c r="CZ246" s="1355">
        <f t="shared" ref="CZ246:CZ250" ca="1" si="1194">CV246*(1+CZ280/100)</f>
        <v>105.38557518541033</v>
      </c>
      <c r="DA246" s="1355">
        <f t="shared" ref="DA246:DA250" ca="1" si="1195">CW246*(1+DA280/100)</f>
        <v>103.64645670194206</v>
      </c>
      <c r="DB246" s="1355">
        <f t="shared" ref="DB246:DB250" ca="1" si="1196">CX246*(1+DB280/100)</f>
        <v>104.34588928242353</v>
      </c>
    </row>
    <row r="247" spans="1:106" s="749" customFormat="1" ht="12.75" customHeight="1">
      <c r="A247" s="714" t="str">
        <f>"Q" &amp; ROW(InputQ!A19)</f>
        <v>Q19</v>
      </c>
      <c r="B247" s="714">
        <v>168</v>
      </c>
      <c r="C247" s="1465"/>
      <c r="D247" s="724"/>
      <c r="E247" s="830" t="s">
        <v>610</v>
      </c>
      <c r="F247" s="754"/>
      <c r="G247" s="756" t="str">
        <f>+InputQ!G19</f>
        <v>:</v>
      </c>
      <c r="H247" s="756" t="str">
        <f>+InputQ!H19</f>
        <v>:</v>
      </c>
      <c r="I247" s="756" t="str">
        <f>+InputQ!I19</f>
        <v>:</v>
      </c>
      <c r="J247" s="756" t="str">
        <f>+InputQ!J19</f>
        <v>:</v>
      </c>
      <c r="K247" s="756">
        <v>56.69</v>
      </c>
      <c r="L247" s="756">
        <v>57.316666666666663</v>
      </c>
      <c r="M247" s="756">
        <v>57.54</v>
      </c>
      <c r="N247" s="756">
        <v>59.716666666666669</v>
      </c>
      <c r="O247" s="756">
        <v>60.033333333333331</v>
      </c>
      <c r="P247" s="756">
        <v>59.126666666666665</v>
      </c>
      <c r="Q247" s="756">
        <v>59.636666666666663</v>
      </c>
      <c r="R247" s="756">
        <v>59.766666666666673</v>
      </c>
      <c r="S247" s="756">
        <v>58.343333333333334</v>
      </c>
      <c r="T247" s="756">
        <v>57.910000000000004</v>
      </c>
      <c r="U247" s="756">
        <v>57.196666666666665</v>
      </c>
      <c r="V247" s="756">
        <v>56.606666666666662</v>
      </c>
      <c r="W247" s="756">
        <f ca="1">+InputQ!W19</f>
        <v>55.949999999999996</v>
      </c>
      <c r="X247" s="756">
        <f ca="1">+InputQ!X19</f>
        <v>57.639999999999993</v>
      </c>
      <c r="Y247" s="756">
        <f ca="1">+InputQ!Y19</f>
        <v>59.580000000000005</v>
      </c>
      <c r="Z247" s="756">
        <f ca="1">+InputQ!Z19</f>
        <v>61.46</v>
      </c>
      <c r="AA247" s="756">
        <f ca="1">+InputQ!AA19</f>
        <v>64.306666666666672</v>
      </c>
      <c r="AB247" s="756">
        <f ca="1">+InputQ!AB19</f>
        <v>66.453333333333333</v>
      </c>
      <c r="AC247" s="756">
        <f ca="1">+InputQ!AC19</f>
        <v>70.040000000000006</v>
      </c>
      <c r="AD247" s="756">
        <f ca="1">+InputQ!AD19</f>
        <v>72.123333333333335</v>
      </c>
      <c r="AE247" s="756">
        <f ca="1">+InputQ!AE19</f>
        <v>68.526666666666657</v>
      </c>
      <c r="AF247" s="756">
        <f ca="1">+InputQ!AF19</f>
        <v>71.23</v>
      </c>
      <c r="AG247" s="756">
        <f ca="1">+InputQ!AG19</f>
        <v>70.029999999999987</v>
      </c>
      <c r="AH247" s="756">
        <f ca="1">+InputQ!AH19</f>
        <v>66.893333333333331</v>
      </c>
      <c r="AI247" s="756">
        <f ca="1">+InputQ!AI19</f>
        <v>65.793333333333337</v>
      </c>
      <c r="AJ247" s="756">
        <f ca="1">+InputQ!AJ19</f>
        <v>66.956666666666663</v>
      </c>
      <c r="AK247" s="756">
        <f ca="1">+InputQ!AK19</f>
        <v>66.926666666666662</v>
      </c>
      <c r="AL247" s="756">
        <f ca="1">+InputQ!AL19</f>
        <v>66.949999999999989</v>
      </c>
      <c r="AM247" s="756">
        <f ca="1">+InputQ!AM19</f>
        <v>69.08</v>
      </c>
      <c r="AN247" s="756">
        <f ca="1">+InputQ!AN19</f>
        <v>65.19</v>
      </c>
      <c r="AO247" s="756">
        <f ca="1">+InputQ!AO19</f>
        <v>66.263333333333335</v>
      </c>
      <c r="AP247" s="756">
        <f ca="1">+InputQ!AP19</f>
        <v>66.563333333333333</v>
      </c>
      <c r="AQ247" s="756">
        <f ca="1">+InputQ!AQ19</f>
        <v>66.719999999999985</v>
      </c>
      <c r="AR247" s="756">
        <f ca="1">+InputQ!AR19</f>
        <v>69.966666666666669</v>
      </c>
      <c r="AS247" s="756">
        <f ca="1">+InputQ!AS19</f>
        <v>72.84</v>
      </c>
      <c r="AT247" s="756">
        <f ca="1">+InputQ!AT19</f>
        <v>75.193333333333328</v>
      </c>
      <c r="AU247" s="756">
        <f ca="1">+InputQ!AU19</f>
        <v>74.536666666666676</v>
      </c>
      <c r="AV247" s="756">
        <f ca="1">+InputQ!AV19</f>
        <v>78.793333333333337</v>
      </c>
      <c r="AW247" s="756">
        <f ca="1">+InputQ!AW19</f>
        <v>84.77</v>
      </c>
      <c r="AX247" s="756">
        <f ca="1">+InputQ!AX19</f>
        <v>82.78</v>
      </c>
      <c r="AY247" s="756">
        <f ca="1">+InputQ!AY19</f>
        <v>84.360000000000014</v>
      </c>
      <c r="AZ247" s="756">
        <f ca="1">+InputQ!AZ19</f>
        <v>87.563333333333333</v>
      </c>
      <c r="BA247" s="756">
        <f ca="1">+InputQ!BA19</f>
        <v>87.850000000000009</v>
      </c>
      <c r="BB247" s="756">
        <f ca="1">+InputQ!BB19</f>
        <v>84.443333333333328</v>
      </c>
      <c r="BC247" s="756">
        <f ca="1">+InputQ!BC19</f>
        <v>83.866666666666674</v>
      </c>
      <c r="BD247" s="756">
        <f ca="1">+InputQ!BD19</f>
        <v>84.826666666666668</v>
      </c>
      <c r="BE247" s="756">
        <f ca="1">+InputQ!BE19</f>
        <v>85.306666666666672</v>
      </c>
      <c r="BF247" s="756">
        <f ca="1">+InputQ!BF19</f>
        <v>90.969999999999985</v>
      </c>
      <c r="BG247" s="756">
        <f ca="1">+InputQ!BG19</f>
        <v>97.546666666666667</v>
      </c>
      <c r="BH247" s="756">
        <f ca="1">+InputQ!BH19</f>
        <v>106.94666666666667</v>
      </c>
      <c r="BI247" s="756">
        <f ca="1">+InputQ!BI19</f>
        <v>109.37333333333333</v>
      </c>
      <c r="BJ247" s="756">
        <f ca="1">+InputQ!BJ19</f>
        <v>99.55</v>
      </c>
      <c r="BK247" s="756">
        <f ca="1">+InputQ!BK19</f>
        <v>91.94</v>
      </c>
      <c r="BL247" s="756">
        <f ca="1">+InputQ!BL19</f>
        <v>88.203333333333333</v>
      </c>
      <c r="BM247" s="756">
        <f ca="1">+InputQ!BM19</f>
        <v>87.526666666666657</v>
      </c>
      <c r="BN247" s="756">
        <f ca="1">+InputQ!BN19</f>
        <v>87.953333333333333</v>
      </c>
      <c r="BO247" s="756">
        <f ca="1">+InputQ!BO19</f>
        <v>92.50333333333333</v>
      </c>
      <c r="BP247" s="756">
        <f ca="1">+InputQ!BP19</f>
        <v>98.766666666666666</v>
      </c>
      <c r="BQ247" s="756">
        <f ca="1">+InputQ!BQ19</f>
        <v>98.429999999999993</v>
      </c>
      <c r="BR247" s="756">
        <f ca="1">+InputQ!BR19</f>
        <v>101.39333333333333</v>
      </c>
      <c r="BS247" s="756">
        <f ca="1">+InputQ!BS19</f>
        <v>108.57</v>
      </c>
      <c r="BT247" s="756">
        <f ca="1">+InputQ!BT19</f>
        <v>115.03666666666668</v>
      </c>
      <c r="BU247" s="756">
        <f ca="1">+InputQ!BU19</f>
        <v>116.17</v>
      </c>
      <c r="BV247" s="756">
        <f ca="1">+InputQ!BV19</f>
        <v>117.87333333333333</v>
      </c>
      <c r="BW247" s="756">
        <f ca="1">+InputQ!BW19</f>
        <v>121.78333333333335</v>
      </c>
      <c r="BX247" s="756">
        <f ca="1">+InputQ!BX19</f>
        <v>121.27333333333333</v>
      </c>
      <c r="BY247" s="756">
        <f ca="1">+InputQ!BY19</f>
        <v>121.29333333333334</v>
      </c>
      <c r="BZ247" s="756">
        <f ca="1">+InputQ!BZ19</f>
        <v>120.73333333333335</v>
      </c>
      <c r="CA247" s="756">
        <f ca="1">+InputQ!CA19</f>
        <v>118.37</v>
      </c>
      <c r="CB247" s="756">
        <f ca="1">+InputQ!CB19</f>
        <v>114.77</v>
      </c>
      <c r="CC247" s="756">
        <f ca="1">+InputQ!CC19</f>
        <v>115.57000000000001</v>
      </c>
      <c r="CD247" s="756">
        <f ca="1">+InputQ!CD19</f>
        <v>114.05666666666667</v>
      </c>
      <c r="CE247" s="756">
        <f ca="1">+InputQ!CE19</f>
        <v>114.08999999999999</v>
      </c>
      <c r="CF247" s="756">
        <f ca="1">+InputQ!CF19</f>
        <v>108.45</v>
      </c>
      <c r="CG247" s="756">
        <f ca="1">+InputQ!CG19</f>
        <v>107.58999999999999</v>
      </c>
      <c r="CH247" s="756">
        <f ca="1">+InputQ!CH19</f>
        <v>104.65666666666665</v>
      </c>
      <c r="CI247" s="756">
        <f ca="1">+InputQ!CI19</f>
        <v>98.14</v>
      </c>
      <c r="CJ247" s="756">
        <f ca="1">+InputQ!CJ19</f>
        <v>101.64333333333333</v>
      </c>
      <c r="CK247" s="756">
        <f ca="1">+InputQ!CK19</f>
        <v>100.79666666666667</v>
      </c>
      <c r="CL247" s="756">
        <f ca="1">+InputQ!CL19</f>
        <v>99.416666666666671</v>
      </c>
      <c r="CM247" s="756">
        <f ca="1">+InputQ!CM19</f>
        <v>93.24666666666667</v>
      </c>
      <c r="CN247" s="756">
        <f ca="1">+InputQ!CN19</f>
        <v>98.696666666666658</v>
      </c>
      <c r="CO247" s="756">
        <f ca="1">+InputQ!CO19</f>
        <v>101.10666666666667</v>
      </c>
      <c r="CP247" s="756">
        <f ca="1">+InputQ!CP19</f>
        <v>104.55333333333333</v>
      </c>
      <c r="CQ247" s="756">
        <f ca="1">+InputQ!CQ19</f>
        <v>110.37666666666667</v>
      </c>
      <c r="CR247" s="756">
        <f ca="1">+InputQ!CR19</f>
        <v>107.83999999999999</v>
      </c>
      <c r="CS247" s="756">
        <f ca="1">+InputQ!CS19</f>
        <v>106.93333333333334</v>
      </c>
      <c r="CT247" s="756">
        <f ca="1">+InputQ!CT19</f>
        <v>111.62333333333333</v>
      </c>
      <c r="CU247" s="979">
        <f t="shared" ca="1" si="1189"/>
        <v>112.28666666666668</v>
      </c>
      <c r="CV247" s="979">
        <f t="shared" ca="1" si="1190"/>
        <v>107.98027677671408</v>
      </c>
      <c r="CW247" s="979">
        <f t="shared" ca="1" si="1191"/>
        <v>104.87496365105044</v>
      </c>
      <c r="CX247" s="979">
        <f t="shared" ca="1" si="1192"/>
        <v>105.5409126777313</v>
      </c>
      <c r="CY247" s="979">
        <f t="shared" ca="1" si="1193"/>
        <v>107.56192013312064</v>
      </c>
      <c r="CZ247" s="979">
        <f t="shared" ca="1" si="1194"/>
        <v>107.0124009429623</v>
      </c>
      <c r="DA247" s="979">
        <f t="shared" ca="1" si="1195"/>
        <v>106.05883753238386</v>
      </c>
      <c r="DB247" s="979">
        <f t="shared" ca="1" si="1196"/>
        <v>104.2744357993674</v>
      </c>
    </row>
    <row r="248" spans="1:106" s="749" customFormat="1" ht="12.75" customHeight="1">
      <c r="A248" s="714" t="str">
        <f>"Q" &amp; ROW(InputQ!A20)</f>
        <v>Q20</v>
      </c>
      <c r="B248" s="714">
        <v>169</v>
      </c>
      <c r="C248" s="1465"/>
      <c r="D248" s="724"/>
      <c r="E248" s="830" t="s">
        <v>612</v>
      </c>
      <c r="F248" s="754"/>
      <c r="G248" s="756" t="str">
        <f>+InputQ!G20</f>
        <v>:</v>
      </c>
      <c r="H248" s="756" t="str">
        <f>+InputQ!H20</f>
        <v>:</v>
      </c>
      <c r="I248" s="756" t="str">
        <f>+InputQ!I20</f>
        <v>:</v>
      </c>
      <c r="J248" s="756" t="str">
        <f>+InputQ!J20</f>
        <v>:</v>
      </c>
      <c r="K248" s="756">
        <v>66.286666666666676</v>
      </c>
      <c r="L248" s="756">
        <v>68.286666666666676</v>
      </c>
      <c r="M248" s="756">
        <v>66.209999999999994</v>
      </c>
      <c r="N248" s="756">
        <v>65.953333333333333</v>
      </c>
      <c r="O248" s="756">
        <v>67.066666666666663</v>
      </c>
      <c r="P248" s="756">
        <v>69.24666666666667</v>
      </c>
      <c r="Q248" s="756">
        <v>69.149999999999991</v>
      </c>
      <c r="R248" s="756">
        <v>68.443333333333328</v>
      </c>
      <c r="S248" s="756">
        <v>68.606666666666669</v>
      </c>
      <c r="T248" s="756">
        <v>71.646666666666661</v>
      </c>
      <c r="U248" s="756">
        <v>70.223333333333343</v>
      </c>
      <c r="V248" s="756">
        <v>69.413333333333341</v>
      </c>
      <c r="W248" s="756">
        <f ca="1">+InputQ!W20</f>
        <v>70.793333333333337</v>
      </c>
      <c r="X248" s="756">
        <f ca="1">+InputQ!X20</f>
        <v>71.733333333333334</v>
      </c>
      <c r="Y248" s="756">
        <f ca="1">+InputQ!Y20</f>
        <v>68.709999999999994</v>
      </c>
      <c r="Z248" s="756">
        <f ca="1">+InputQ!Z20</f>
        <v>68.726666666666674</v>
      </c>
      <c r="AA248" s="756">
        <f ca="1">+InputQ!AA20</f>
        <v>68.663333333333341</v>
      </c>
      <c r="AB248" s="756">
        <f ca="1">+InputQ!AB20</f>
        <v>70.756666666666661</v>
      </c>
      <c r="AC248" s="756">
        <f ca="1">+InputQ!AC20</f>
        <v>70.723333333333343</v>
      </c>
      <c r="AD248" s="756">
        <f ca="1">+InputQ!AD20</f>
        <v>70.483333333333334</v>
      </c>
      <c r="AE248" s="756">
        <f ca="1">+InputQ!AE20</f>
        <v>71.64</v>
      </c>
      <c r="AF248" s="756">
        <f ca="1">+InputQ!AF20</f>
        <v>76.733333333333334</v>
      </c>
      <c r="AG248" s="756">
        <f ca="1">+InputQ!AG20</f>
        <v>75.783333333333346</v>
      </c>
      <c r="AH248" s="756">
        <f ca="1">+InputQ!AH20</f>
        <v>75.913333333333341</v>
      </c>
      <c r="AI248" s="756">
        <f ca="1">+InputQ!AI20</f>
        <v>78.089999999999989</v>
      </c>
      <c r="AJ248" s="756">
        <f ca="1">+InputQ!AJ20</f>
        <v>78.206666666666663</v>
      </c>
      <c r="AK248" s="756">
        <f ca="1">+InputQ!AK20</f>
        <v>76.986666666666679</v>
      </c>
      <c r="AL248" s="756">
        <f ca="1">+InputQ!AL20</f>
        <v>76.416666666666671</v>
      </c>
      <c r="AM248" s="756">
        <f ca="1">+InputQ!AM20</f>
        <v>77.5</v>
      </c>
      <c r="AN248" s="756">
        <f ca="1">+InputQ!AN20</f>
        <v>78.903333333333336</v>
      </c>
      <c r="AO248" s="756">
        <f ca="1">+InputQ!AO20</f>
        <v>80.06</v>
      </c>
      <c r="AP248" s="756">
        <f ca="1">+InputQ!AP20</f>
        <v>78.536666666666676</v>
      </c>
      <c r="AQ248" s="756">
        <f ca="1">+InputQ!AQ20</f>
        <v>78.893333333333331</v>
      </c>
      <c r="AR248" s="756">
        <f ca="1">+InputQ!AR20</f>
        <v>80.52</v>
      </c>
      <c r="AS248" s="756">
        <f ca="1">+InputQ!AS20</f>
        <v>79.166666666666671</v>
      </c>
      <c r="AT248" s="756">
        <f ca="1">+InputQ!AT20</f>
        <v>79.303333333333342</v>
      </c>
      <c r="AU248" s="756">
        <f ca="1">+InputQ!AU20</f>
        <v>80.213333333333324</v>
      </c>
      <c r="AV248" s="756">
        <f ca="1">+InputQ!AV20</f>
        <v>82.193333333333328</v>
      </c>
      <c r="AW248" s="756">
        <f ca="1">+InputQ!AW20</f>
        <v>80.393333333333331</v>
      </c>
      <c r="AX248" s="756">
        <f ca="1">+InputQ!AX20</f>
        <v>80.446666666666673</v>
      </c>
      <c r="AY248" s="756">
        <f ca="1">+InputQ!AY20</f>
        <v>81.64</v>
      </c>
      <c r="AZ248" s="756">
        <f ca="1">+InputQ!AZ20</f>
        <v>83.373333333333335</v>
      </c>
      <c r="BA248" s="756">
        <f ca="1">+InputQ!BA20</f>
        <v>83.876666666666665</v>
      </c>
      <c r="BB248" s="756">
        <f ca="1">+InputQ!BB20</f>
        <v>84.836666666666659</v>
      </c>
      <c r="BC248" s="756">
        <f ca="1">+InputQ!BC20</f>
        <v>85.406666666666652</v>
      </c>
      <c r="BD248" s="756">
        <f ca="1">+InputQ!BD20</f>
        <v>86.27</v>
      </c>
      <c r="BE248" s="756">
        <f ca="1">+InputQ!BE20</f>
        <v>85.483333333333348</v>
      </c>
      <c r="BF248" s="756">
        <f ca="1">+InputQ!BF20</f>
        <v>86.61666666666666</v>
      </c>
      <c r="BG248" s="756">
        <f ca="1">+InputQ!BG20</f>
        <v>86.81</v>
      </c>
      <c r="BH248" s="756">
        <f ca="1">+InputQ!BH20</f>
        <v>89.089999999999989</v>
      </c>
      <c r="BI248" s="756">
        <f ca="1">+InputQ!BI20</f>
        <v>88.816666666666663</v>
      </c>
      <c r="BJ248" s="756">
        <f ca="1">+InputQ!BJ20</f>
        <v>88.586666666666659</v>
      </c>
      <c r="BK248" s="756">
        <f ca="1">+InputQ!BK20</f>
        <v>90.256666666666661</v>
      </c>
      <c r="BL248" s="756">
        <f ca="1">+InputQ!BL20</f>
        <v>89.706666666666663</v>
      </c>
      <c r="BM248" s="756">
        <f ca="1">+InputQ!BM20</f>
        <v>87.029999999999987</v>
      </c>
      <c r="BN248" s="756">
        <f ca="1">+InputQ!BN20</f>
        <v>87.573333333333338</v>
      </c>
      <c r="BO248" s="756">
        <f ca="1">+InputQ!BO20</f>
        <v>91.719999999999985</v>
      </c>
      <c r="BP248" s="756">
        <f ca="1">+InputQ!BP20</f>
        <v>92.213333333333324</v>
      </c>
      <c r="BQ248" s="756">
        <f ca="1">+InputQ!BQ20</f>
        <v>91.339999999999989</v>
      </c>
      <c r="BR248" s="756">
        <f ca="1">+InputQ!BR20</f>
        <v>91.796666666666667</v>
      </c>
      <c r="BS248" s="756">
        <f ca="1">+InputQ!BS20</f>
        <v>92.663333333333341</v>
      </c>
      <c r="BT248" s="756">
        <f ca="1">+InputQ!BT20</f>
        <v>92.083333333333329</v>
      </c>
      <c r="BU248" s="756">
        <f ca="1">+InputQ!BU20</f>
        <v>91.00333333333333</v>
      </c>
      <c r="BV248" s="756">
        <f ca="1">+InputQ!BV20</f>
        <v>92.15333333333335</v>
      </c>
      <c r="BW248" s="756">
        <f ca="1">+InputQ!BW20</f>
        <v>94.24666666666667</v>
      </c>
      <c r="BX248" s="756">
        <f ca="1">+InputQ!BX20</f>
        <v>94.846666666666678</v>
      </c>
      <c r="BY248" s="756">
        <f ca="1">+InputQ!BY20</f>
        <v>94.7</v>
      </c>
      <c r="BZ248" s="756">
        <f ca="1">+InputQ!BZ20</f>
        <v>96.603333333333339</v>
      </c>
      <c r="CA248" s="756">
        <f ca="1">+InputQ!CA20</f>
        <v>98.696666666666673</v>
      </c>
      <c r="CB248" s="756">
        <f ca="1">+InputQ!CB20</f>
        <v>101.25</v>
      </c>
      <c r="CC248" s="756">
        <f ca="1">+InputQ!CC20</f>
        <v>98.836666666666659</v>
      </c>
      <c r="CD248" s="756">
        <f ca="1">+InputQ!CD20</f>
        <v>98.203333333333333</v>
      </c>
      <c r="CE248" s="756">
        <f ca="1">+InputQ!CE20</f>
        <v>99.160000000000011</v>
      </c>
      <c r="CF248" s="756">
        <f ca="1">+InputQ!CF20</f>
        <v>99.466666666666683</v>
      </c>
      <c r="CG248" s="756">
        <f ca="1">+InputQ!CG20</f>
        <v>96.96</v>
      </c>
      <c r="CH248" s="756">
        <f ca="1">+InputQ!CH20</f>
        <v>96.143333333333331</v>
      </c>
      <c r="CI248" s="756">
        <f ca="1">+InputQ!CI20</f>
        <v>98.25</v>
      </c>
      <c r="CJ248" s="756">
        <f ca="1">+InputQ!CJ20</f>
        <v>101.77666666666666</v>
      </c>
      <c r="CK248" s="756">
        <f ca="1">+InputQ!CK20</f>
        <v>99.79</v>
      </c>
      <c r="CL248" s="756">
        <f ca="1">+InputQ!CL20</f>
        <v>100.18666666666667</v>
      </c>
      <c r="CM248" s="756">
        <f ca="1">+InputQ!CM20</f>
        <v>101.40333333333332</v>
      </c>
      <c r="CN248" s="756">
        <f ca="1">+InputQ!CN20</f>
        <v>104.41333333333334</v>
      </c>
      <c r="CO248" s="756">
        <f ca="1">+InputQ!CO20</f>
        <v>102.21333333333332</v>
      </c>
      <c r="CP248" s="756">
        <f ca="1">+InputQ!CP20</f>
        <v>102.22333333333331</v>
      </c>
      <c r="CQ248" s="756">
        <f ca="1">+InputQ!CQ20</f>
        <v>103.48666666666668</v>
      </c>
      <c r="CR248" s="756">
        <f ca="1">+InputQ!CR20</f>
        <v>102.97333333333334</v>
      </c>
      <c r="CS248" s="756">
        <f ca="1">+InputQ!CS20</f>
        <v>101.70333333333333</v>
      </c>
      <c r="CT248" s="756">
        <f ca="1">+InputQ!CT20</f>
        <v>102.37333333333333</v>
      </c>
      <c r="CU248" s="979">
        <f t="shared" ca="1" si="1189"/>
        <v>103.75</v>
      </c>
      <c r="CV248" s="979">
        <f t="shared" ca="1" si="1190"/>
        <v>105.40503508461541</v>
      </c>
      <c r="CW248" s="979">
        <f t="shared" ca="1" si="1191"/>
        <v>104.88002234940066</v>
      </c>
      <c r="CX248" s="979">
        <f t="shared" ca="1" si="1192"/>
        <v>105.99795981291277</v>
      </c>
      <c r="CY248" s="979">
        <f t="shared" ca="1" si="1193"/>
        <v>108.08124389129937</v>
      </c>
      <c r="CZ248" s="979">
        <f t="shared" ca="1" si="1194"/>
        <v>107.89742954990083</v>
      </c>
      <c r="DA248" s="979">
        <f t="shared" ca="1" si="1195"/>
        <v>106.67579735640787</v>
      </c>
      <c r="DB248" s="979">
        <f t="shared" ca="1" si="1196"/>
        <v>107.56410963150704</v>
      </c>
    </row>
    <row r="249" spans="1:106" s="749" customFormat="1" ht="12.75" customHeight="1">
      <c r="A249" s="714" t="str">
        <f>"Q" &amp; ROW(InputQ!A21)</f>
        <v>Q21</v>
      </c>
      <c r="B249" s="714">
        <v>170</v>
      </c>
      <c r="C249" s="1465"/>
      <c r="D249" s="724"/>
      <c r="E249" s="830" t="s">
        <v>611</v>
      </c>
      <c r="F249" s="754"/>
      <c r="G249" s="756" t="str">
        <f>+InputQ!G21</f>
        <v>:</v>
      </c>
      <c r="H249" s="756" t="str">
        <f>+InputQ!H21</f>
        <v>:</v>
      </c>
      <c r="I249" s="756" t="str">
        <f>+InputQ!I21</f>
        <v>:</v>
      </c>
      <c r="J249" s="756" t="str">
        <f>+InputQ!J21</f>
        <v>:</v>
      </c>
      <c r="K249" s="756">
        <v>63.083333333333336</v>
      </c>
      <c r="L249" s="756">
        <v>63.196666666666665</v>
      </c>
      <c r="M249" s="756">
        <v>63.226666666666667</v>
      </c>
      <c r="N249" s="756">
        <v>63.616666666666667</v>
      </c>
      <c r="O249" s="756">
        <v>64.02</v>
      </c>
      <c r="P249" s="756">
        <v>64.413333333333341</v>
      </c>
      <c r="Q249" s="756">
        <v>65.02</v>
      </c>
      <c r="R249" s="756">
        <v>65.36666666666666</v>
      </c>
      <c r="S249" s="756">
        <v>65.569999999999993</v>
      </c>
      <c r="T249" s="756">
        <v>65.513333333333335</v>
      </c>
      <c r="U249" s="756">
        <v>65.693333333333342</v>
      </c>
      <c r="V249" s="756">
        <v>65.676666666666677</v>
      </c>
      <c r="W249" s="756">
        <f ca="1">+InputQ!W21</f>
        <v>65.86333333333333</v>
      </c>
      <c r="X249" s="756">
        <f ca="1">+InputQ!X21</f>
        <v>66.040000000000006</v>
      </c>
      <c r="Y249" s="756">
        <f ca="1">+InputQ!Y21</f>
        <v>66.096666666666664</v>
      </c>
      <c r="Z249" s="756">
        <f ca="1">+InputQ!Z21</f>
        <v>66.100000000000009</v>
      </c>
      <c r="AA249" s="756">
        <f ca="1">+InputQ!AA21</f>
        <v>66.510000000000005</v>
      </c>
      <c r="AB249" s="756">
        <f ca="1">+InputQ!AB21</f>
        <v>66.876666666666665</v>
      </c>
      <c r="AC249" s="756">
        <f ca="1">+InputQ!AC21</f>
        <v>66.963333333333324</v>
      </c>
      <c r="AD249" s="756">
        <f ca="1">+InputQ!AD21</f>
        <v>67.173333333333332</v>
      </c>
      <c r="AE249" s="756">
        <f ca="1">+InputQ!AE21</f>
        <v>67.566666666666663</v>
      </c>
      <c r="AF249" s="756">
        <f ca="1">+InputQ!AF21</f>
        <v>68.030000000000015</v>
      </c>
      <c r="AG249" s="756">
        <f ca="1">+InputQ!AG21</f>
        <v>68.720000000000013</v>
      </c>
      <c r="AH249" s="756">
        <f ca="1">+InputQ!AH21</f>
        <v>69.010000000000005</v>
      </c>
      <c r="AI249" s="756">
        <f ca="1">+InputQ!AI21</f>
        <v>68.993333333333325</v>
      </c>
      <c r="AJ249" s="756">
        <f ca="1">+InputQ!AJ21</f>
        <v>69.053333333333327</v>
      </c>
      <c r="AK249" s="756">
        <f ca="1">+InputQ!AK21</f>
        <v>69.456666666666663</v>
      </c>
      <c r="AL249" s="756">
        <f ca="1">+InputQ!AL21</f>
        <v>69.88333333333334</v>
      </c>
      <c r="AM249" s="756">
        <f ca="1">+InputQ!AM21</f>
        <v>70.706666666666663</v>
      </c>
      <c r="AN249" s="756">
        <f ca="1">+InputQ!AN21</f>
        <v>71.286666666666662</v>
      </c>
      <c r="AO249" s="756">
        <f ca="1">+InputQ!AO21</f>
        <v>71.49666666666667</v>
      </c>
      <c r="AP249" s="756">
        <f ca="1">+InputQ!AP21</f>
        <v>71.53</v>
      </c>
      <c r="AQ249" s="756">
        <f ca="1">+InputQ!AQ21</f>
        <v>72.36</v>
      </c>
      <c r="AR249" s="756">
        <f ca="1">+InputQ!AR21</f>
        <v>72.92</v>
      </c>
      <c r="AS249" s="756">
        <f ca="1">+InputQ!AS21</f>
        <v>73.073333333333338</v>
      </c>
      <c r="AT249" s="756">
        <f ca="1">+InputQ!AT21</f>
        <v>72.993333333333339</v>
      </c>
      <c r="AU249" s="756">
        <f ca="1">+InputQ!AU21</f>
        <v>74.036666666666676</v>
      </c>
      <c r="AV249" s="756">
        <f ca="1">+InputQ!AV21</f>
        <v>74.550000000000011</v>
      </c>
      <c r="AW249" s="756">
        <f ca="1">+InputQ!AW21</f>
        <v>74.323333333333338</v>
      </c>
      <c r="AX249" s="756">
        <f ca="1">+InputQ!AX21</f>
        <v>74.350000000000009</v>
      </c>
      <c r="AY249" s="756">
        <f ca="1">+InputQ!AY21</f>
        <v>74.87</v>
      </c>
      <c r="AZ249" s="756">
        <f ca="1">+InputQ!AZ21</f>
        <v>75.61</v>
      </c>
      <c r="BA249" s="756">
        <f ca="1">+InputQ!BA21</f>
        <v>76.216666666666669</v>
      </c>
      <c r="BB249" s="756">
        <f ca="1">+InputQ!BB21</f>
        <v>76.663333333333341</v>
      </c>
      <c r="BC249" s="756">
        <f ca="1">+InputQ!BC21</f>
        <v>77.556666666666672</v>
      </c>
      <c r="BD249" s="756">
        <f ca="1">+InputQ!BD21</f>
        <v>78.75</v>
      </c>
      <c r="BE249" s="756">
        <f ca="1">+InputQ!BE21</f>
        <v>79.476666666666674</v>
      </c>
      <c r="BF249" s="756">
        <f ca="1">+InputQ!BF21</f>
        <v>81.713333333333324</v>
      </c>
      <c r="BG249" s="756">
        <f ca="1">+InputQ!BG21</f>
        <v>84.17</v>
      </c>
      <c r="BH249" s="756">
        <f ca="1">+InputQ!BH21</f>
        <v>85.46</v>
      </c>
      <c r="BI249" s="756">
        <f ca="1">+InputQ!BI21</f>
        <v>86.113333333333344</v>
      </c>
      <c r="BJ249" s="756">
        <f ca="1">+InputQ!BJ21</f>
        <v>86.40666666666668</v>
      </c>
      <c r="BK249" s="756">
        <f ca="1">+InputQ!BK21</f>
        <v>86.843333333333348</v>
      </c>
      <c r="BL249" s="756">
        <f ca="1">+InputQ!BL21</f>
        <v>87.053333333333342</v>
      </c>
      <c r="BM249" s="756">
        <f ca="1">+InputQ!BM21</f>
        <v>86.993333333333339</v>
      </c>
      <c r="BN249" s="756">
        <f ca="1">+InputQ!BN21</f>
        <v>86.963333333333324</v>
      </c>
      <c r="BO249" s="756">
        <f ca="1">+InputQ!BO21</f>
        <v>87.263333333333321</v>
      </c>
      <c r="BP249" s="756">
        <f ca="1">+InputQ!BP21</f>
        <v>87.646666666666661</v>
      </c>
      <c r="BQ249" s="756">
        <f ca="1">+InputQ!BQ21</f>
        <v>88.096666666666678</v>
      </c>
      <c r="BR249" s="756">
        <f ca="1">+InputQ!BR21</f>
        <v>88.476666666666674</v>
      </c>
      <c r="BS249" s="756">
        <f ca="1">+InputQ!BS21</f>
        <v>89.24666666666667</v>
      </c>
      <c r="BT249" s="756">
        <f ca="1">+InputQ!BT21</f>
        <v>90.286666666666676</v>
      </c>
      <c r="BU249" s="756">
        <f ca="1">+InputQ!BU21</f>
        <v>91.15666666666668</v>
      </c>
      <c r="BV249" s="756">
        <f ca="1">+InputQ!BV21</f>
        <v>91.666666666666671</v>
      </c>
      <c r="BW249" s="756">
        <f ca="1">+InputQ!BW21</f>
        <v>92.39</v>
      </c>
      <c r="BX249" s="756">
        <f ca="1">+InputQ!BX21</f>
        <v>92.863333333333344</v>
      </c>
      <c r="BY249" s="756">
        <f ca="1">+InputQ!BY21</f>
        <v>93.606666666666669</v>
      </c>
      <c r="BZ249" s="756">
        <f ca="1">+InputQ!BZ21</f>
        <v>94.606666666666669</v>
      </c>
      <c r="CA249" s="756">
        <f ca="1">+InputQ!CA21</f>
        <v>95.576666666666668</v>
      </c>
      <c r="CB249" s="756">
        <f ca="1">+InputQ!CB21</f>
        <v>96.093333333333348</v>
      </c>
      <c r="CC249" s="756">
        <f ca="1">+InputQ!CC21</f>
        <v>96.52</v>
      </c>
      <c r="CD249" s="756">
        <f ca="1">+InputQ!CD21</f>
        <v>97.280000000000015</v>
      </c>
      <c r="CE249" s="756">
        <f ca="1">+InputQ!CE21</f>
        <v>97.7</v>
      </c>
      <c r="CF249" s="756">
        <f ca="1">+InputQ!CF21</f>
        <v>98.766666666666666</v>
      </c>
      <c r="CG249" s="756">
        <f ca="1">+InputQ!CG21</f>
        <v>98.776666666666657</v>
      </c>
      <c r="CH249" s="756">
        <f ca="1">+InputQ!CH21</f>
        <v>98.483333333333334</v>
      </c>
      <c r="CI249" s="756">
        <f ca="1">+InputQ!CI21</f>
        <v>98.95</v>
      </c>
      <c r="CJ249" s="756">
        <f ca="1">+InputQ!CJ21</f>
        <v>99.963333333333324</v>
      </c>
      <c r="CK249" s="756">
        <f ca="1">+InputQ!CK21</f>
        <v>100.15666666666668</v>
      </c>
      <c r="CL249" s="756">
        <f ca="1">+InputQ!CL21</f>
        <v>100.92666666666666</v>
      </c>
      <c r="CM249" s="756">
        <f ca="1">+InputQ!CM21</f>
        <v>102.71</v>
      </c>
      <c r="CN249" s="756">
        <f ca="1">+InputQ!CN21</f>
        <v>103.81</v>
      </c>
      <c r="CO249" s="756">
        <f ca="1">+InputQ!CO21</f>
        <v>103.66000000000001</v>
      </c>
      <c r="CP249" s="756">
        <f ca="1">+InputQ!CP21</f>
        <v>103.62666666666667</v>
      </c>
      <c r="CQ249" s="756">
        <f ca="1">+InputQ!CQ21</f>
        <v>104.31</v>
      </c>
      <c r="CR249" s="756">
        <f ca="1">+InputQ!CR21</f>
        <v>105.75666666666666</v>
      </c>
      <c r="CS249" s="756">
        <f ca="1">+InputQ!CS21</f>
        <v>106.25333333333333</v>
      </c>
      <c r="CT249" s="756">
        <f ca="1">+InputQ!CT21</f>
        <v>106.35666666666667</v>
      </c>
      <c r="CU249" s="979">
        <f t="shared" ca="1" si="1189"/>
        <v>108.07666666666667</v>
      </c>
      <c r="CV249" s="979">
        <f t="shared" ca="1" si="1190"/>
        <v>109.0707071026706</v>
      </c>
      <c r="CW249" s="979">
        <f t="shared" ca="1" si="1191"/>
        <v>109.44112178630569</v>
      </c>
      <c r="CX249" s="979">
        <f t="shared" ca="1" si="1192"/>
        <v>108.52923158581966</v>
      </c>
      <c r="CY249" s="979">
        <f t="shared" ca="1" si="1193"/>
        <v>109.1536714775845</v>
      </c>
      <c r="CZ249" s="979">
        <f t="shared" ca="1" si="1194"/>
        <v>110.31975409437754</v>
      </c>
      <c r="DA249" s="979">
        <f t="shared" ca="1" si="1195"/>
        <v>112.80619209248793</v>
      </c>
      <c r="DB249" s="979">
        <f t="shared" ca="1" si="1196"/>
        <v>113.66850107609547</v>
      </c>
    </row>
    <row r="250" spans="1:106" customFormat="1">
      <c r="A250" s="714" t="str">
        <f>"Q" &amp; ROW(InputQ!A22)</f>
        <v>Q22</v>
      </c>
      <c r="B250" s="714">
        <v>171</v>
      </c>
      <c r="C250" s="1114"/>
      <c r="D250" s="1110"/>
      <c r="E250" s="1111" t="s">
        <v>92</v>
      </c>
      <c r="F250" s="1110"/>
      <c r="G250" s="1116" t="str">
        <f>+InputQ!G22</f>
        <v>:</v>
      </c>
      <c r="H250" s="1116" t="str">
        <f>+InputQ!H22</f>
        <v>:</v>
      </c>
      <c r="I250" s="1116" t="str">
        <f>+InputQ!I22</f>
        <v>:</v>
      </c>
      <c r="J250" s="1116" t="str">
        <f>+InputQ!J22</f>
        <v>:</v>
      </c>
      <c r="K250" s="1116">
        <v>67.23</v>
      </c>
      <c r="L250" s="1116">
        <v>67.740000000000009</v>
      </c>
      <c r="M250" s="1116">
        <v>68.076666666666668</v>
      </c>
      <c r="N250" s="1116">
        <v>68.446666666666673</v>
      </c>
      <c r="O250" s="1116">
        <v>68.67</v>
      </c>
      <c r="P250" s="1116">
        <v>68.990000000000009</v>
      </c>
      <c r="Q250" s="1116">
        <v>69.193333333333328</v>
      </c>
      <c r="R250" s="1116">
        <v>69.186666666666667</v>
      </c>
      <c r="S250" s="1116">
        <v>69.796666666666667</v>
      </c>
      <c r="T250" s="1116">
        <v>70</v>
      </c>
      <c r="U250" s="1116">
        <v>70.493333333333339</v>
      </c>
      <c r="V250" s="1116">
        <v>70.306666666666672</v>
      </c>
      <c r="W250" s="1116">
        <f ca="1">+InputQ!W22</f>
        <v>70.789999999999992</v>
      </c>
      <c r="X250" s="1116">
        <f ca="1">+InputQ!X22</f>
        <v>71.073333333333338</v>
      </c>
      <c r="Y250" s="1116">
        <f ca="1">+InputQ!Y22</f>
        <v>71.423333333333332</v>
      </c>
      <c r="Z250" s="1116">
        <f ca="1">+InputQ!Z22</f>
        <v>71.58</v>
      </c>
      <c r="AA250" s="1116">
        <f ca="1">+InputQ!AA22</f>
        <v>72.25</v>
      </c>
      <c r="AB250" s="1116">
        <f ca="1">+InputQ!AB22</f>
        <v>72.750000000000014</v>
      </c>
      <c r="AC250" s="1116">
        <f ca="1">+InputQ!AC22</f>
        <v>73.416666666666671</v>
      </c>
      <c r="AD250" s="1116">
        <f ca="1">+InputQ!AD22</f>
        <v>72.906666666666652</v>
      </c>
      <c r="AE250" s="1116">
        <f ca="1">+InputQ!AE22</f>
        <v>73.333333333333329</v>
      </c>
      <c r="AF250" s="1116">
        <f ca="1">+InputQ!AF22</f>
        <v>73.98</v>
      </c>
      <c r="AG250" s="1116">
        <f ca="1">+InputQ!AG22</f>
        <v>74.88666666666667</v>
      </c>
      <c r="AH250" s="1116">
        <f ca="1">+InputQ!AH22</f>
        <v>75.093333333333334</v>
      </c>
      <c r="AI250" s="1116">
        <f ca="1">+InputQ!AI22</f>
        <v>75.893333333333331</v>
      </c>
      <c r="AJ250" s="1116">
        <f ca="1">+InputQ!AJ22</f>
        <v>75.970000000000013</v>
      </c>
      <c r="AK250" s="1116">
        <f ca="1">+InputQ!AK22</f>
        <v>76.826666666666668</v>
      </c>
      <c r="AL250" s="1116">
        <f ca="1">+InputQ!AL22</f>
        <v>76.303333333333327</v>
      </c>
      <c r="AM250" s="1116">
        <f ca="1">+InputQ!AM22</f>
        <v>76.790000000000006</v>
      </c>
      <c r="AN250" s="1116">
        <f ca="1">+InputQ!AN22</f>
        <v>77.64</v>
      </c>
      <c r="AO250" s="1116">
        <f ca="1">+InputQ!AO22</f>
        <v>78.2</v>
      </c>
      <c r="AP250" s="1116">
        <f ca="1">+InputQ!AP22</f>
        <v>78.13666666666667</v>
      </c>
      <c r="AQ250" s="1116">
        <f ca="1">+InputQ!AQ22</f>
        <v>78.540000000000006</v>
      </c>
      <c r="AR250" s="1116">
        <f ca="1">+InputQ!AR22</f>
        <v>79.2</v>
      </c>
      <c r="AS250" s="1116">
        <f ca="1">+InputQ!AS22</f>
        <v>79.92</v>
      </c>
      <c r="AT250" s="1116">
        <f ca="1">+InputQ!AT22</f>
        <v>79.69</v>
      </c>
      <c r="AU250" s="1116">
        <f ca="1">+InputQ!AU22</f>
        <v>80.37</v>
      </c>
      <c r="AV250" s="1116">
        <f ca="1">+InputQ!AV22</f>
        <v>80.660000000000011</v>
      </c>
      <c r="AW250" s="1116">
        <f ca="1">+InputQ!AW22</f>
        <v>81.563333333333333</v>
      </c>
      <c r="AX250" s="1116">
        <f ca="1">+InputQ!AX22</f>
        <v>81.48</v>
      </c>
      <c r="AY250" s="1116">
        <f ca="1">+InputQ!AY22</f>
        <v>81.976666666666674</v>
      </c>
      <c r="AZ250" s="1116">
        <f ca="1">+InputQ!AZ22</f>
        <v>82.463333333333324</v>
      </c>
      <c r="BA250" s="1116">
        <f ca="1">+InputQ!BA22</f>
        <v>83.42</v>
      </c>
      <c r="BB250" s="1116">
        <f ca="1">+InputQ!BB22</f>
        <v>82.923333333333346</v>
      </c>
      <c r="BC250" s="1116">
        <f ca="1">+InputQ!BC22</f>
        <v>83.626666666666665</v>
      </c>
      <c r="BD250" s="1116">
        <f ca="1">+InputQ!BD22</f>
        <v>84.226666666666674</v>
      </c>
      <c r="BE250" s="1116">
        <f ca="1">+InputQ!BE22</f>
        <v>84.916666666666671</v>
      </c>
      <c r="BF250" s="1116">
        <f ca="1">+InputQ!BF22</f>
        <v>84.316666666666663</v>
      </c>
      <c r="BG250" s="1116">
        <f ca="1">+InputQ!BG22</f>
        <v>85.016666666666666</v>
      </c>
      <c r="BH250" s="1116">
        <f ca="1">+InputQ!BH22</f>
        <v>85.56</v>
      </c>
      <c r="BI250" s="1116">
        <f ca="1">+InputQ!BI22</f>
        <v>87.12</v>
      </c>
      <c r="BJ250" s="1116">
        <f ca="1">+InputQ!BJ22</f>
        <v>87.02</v>
      </c>
      <c r="BK250" s="1116">
        <f ca="1">+InputQ!BK22</f>
        <v>87.58</v>
      </c>
      <c r="BL250" s="1116">
        <f ca="1">+InputQ!BL22</f>
        <v>88.25</v>
      </c>
      <c r="BM250" s="1116">
        <f ca="1">+InputQ!BM22</f>
        <v>89.296666666666667</v>
      </c>
      <c r="BN250" s="1116">
        <f ca="1">+InputQ!BN22</f>
        <v>88.673333333333332</v>
      </c>
      <c r="BO250" s="1116">
        <f ca="1">+InputQ!BO22</f>
        <v>88.783333333333346</v>
      </c>
      <c r="BP250" s="1116">
        <f ca="1">+InputQ!BP22</f>
        <v>89.429999999999993</v>
      </c>
      <c r="BQ250" s="1116">
        <f ca="1">+InputQ!BQ22</f>
        <v>90.366666666666674</v>
      </c>
      <c r="BR250" s="1116">
        <f ca="1">+InputQ!BR22</f>
        <v>90.163333333333341</v>
      </c>
      <c r="BS250" s="1116">
        <f ca="1">+InputQ!BS22</f>
        <v>90.740000000000009</v>
      </c>
      <c r="BT250" s="1116">
        <f ca="1">+InputQ!BT22</f>
        <v>91.06</v>
      </c>
      <c r="BU250" s="1116">
        <f ca="1">+InputQ!BU22</f>
        <v>92.08</v>
      </c>
      <c r="BV250" s="1116">
        <f ca="1">+InputQ!BV22</f>
        <v>91.763333333333335</v>
      </c>
      <c r="BW250" s="1116">
        <f ca="1">+InputQ!BW22</f>
        <v>93.016666666666652</v>
      </c>
      <c r="BX250" s="1116">
        <f ca="1">+InputQ!BX22</f>
        <v>93.393333333333331</v>
      </c>
      <c r="BY250" s="1116">
        <f ca="1">+InputQ!BY22</f>
        <v>94.433333333333337</v>
      </c>
      <c r="BZ250" s="1116">
        <f ca="1">+InputQ!BZ22</f>
        <v>94.08</v>
      </c>
      <c r="CA250" s="1116">
        <f ca="1">+InputQ!CA22</f>
        <v>94.693333333333328</v>
      </c>
      <c r="CB250" s="1116">
        <f ca="1">+InputQ!CB22</f>
        <v>94.95</v>
      </c>
      <c r="CC250" s="1116">
        <f ca="1">+InputQ!CC22</f>
        <v>96.25</v>
      </c>
      <c r="CD250" s="1116">
        <f ca="1">+InputQ!CD22</f>
        <v>96.08</v>
      </c>
      <c r="CE250" s="1116">
        <f ca="1">+InputQ!CE22</f>
        <v>96.743333333333339</v>
      </c>
      <c r="CF250" s="1116">
        <f ca="1">+InputQ!CF22</f>
        <v>97.303333333333342</v>
      </c>
      <c r="CG250" s="1116">
        <f ca="1">+InputQ!CG22</f>
        <v>98.410000000000011</v>
      </c>
      <c r="CH250" s="1116">
        <f ca="1">+InputQ!CH22</f>
        <v>98.11</v>
      </c>
      <c r="CI250" s="1116">
        <f ca="1">+InputQ!CI22</f>
        <v>99.056666666666672</v>
      </c>
      <c r="CJ250" s="1116">
        <f ca="1">+InputQ!CJ22</f>
        <v>99.61</v>
      </c>
      <c r="CK250" s="1116">
        <f ca="1">+InputQ!CK22</f>
        <v>100.68333333333332</v>
      </c>
      <c r="CL250" s="1116">
        <f ca="1">+InputQ!CL22</f>
        <v>100.64999999999999</v>
      </c>
      <c r="CM250" s="1116">
        <f ca="1">+InputQ!CM22</f>
        <v>101.38333333333334</v>
      </c>
      <c r="CN250" s="1116">
        <f ca="1">+InputQ!CN22</f>
        <v>102.02333333333333</v>
      </c>
      <c r="CO250" s="1116">
        <f ca="1">+InputQ!CO22</f>
        <v>103.05333333333333</v>
      </c>
      <c r="CP250" s="1116">
        <f ca="1">+InputQ!CP22</f>
        <v>102.46666666666665</v>
      </c>
      <c r="CQ250" s="1116">
        <f ca="1">+InputQ!CQ22</f>
        <v>103.24333333333334</v>
      </c>
      <c r="CR250" s="1116">
        <f ca="1">+InputQ!CR22</f>
        <v>103.99666666666667</v>
      </c>
      <c r="CS250" s="1116">
        <f ca="1">+InputQ!CS22</f>
        <v>105.07333333333334</v>
      </c>
      <c r="CT250" s="1116">
        <f ca="1">+InputQ!CT22</f>
        <v>104.41333333333334</v>
      </c>
      <c r="CU250" s="1285">
        <f t="shared" ca="1" si="1189"/>
        <v>104.83333333333331</v>
      </c>
      <c r="CV250" s="1285">
        <f t="shared" ca="1" si="1190"/>
        <v>105.94632432369256</v>
      </c>
      <c r="CW250" s="1285">
        <f t="shared" ca="1" si="1191"/>
        <v>107.30770139841439</v>
      </c>
      <c r="CX250" s="1285">
        <f t="shared" ca="1" si="1192"/>
        <v>106.80207526819206</v>
      </c>
      <c r="CY250" s="1285">
        <f t="shared" ca="1" si="1193"/>
        <v>107.26799651274074</v>
      </c>
      <c r="CZ250" s="1285">
        <f t="shared" ca="1" si="1194"/>
        <v>108.09889788181663</v>
      </c>
      <c r="DA250" s="1285">
        <f t="shared" ca="1" si="1195"/>
        <v>109.99667514239458</v>
      </c>
      <c r="DB250" s="1285">
        <f t="shared" ca="1" si="1196"/>
        <v>108.85704495139341</v>
      </c>
    </row>
    <row r="251" spans="1:106" customFormat="1">
      <c r="A251" s="714"/>
      <c r="B251" s="714"/>
      <c r="C251" s="744"/>
      <c r="D251" s="1096"/>
      <c r="E251" s="1097" t="s">
        <v>276</v>
      </c>
      <c r="F251" s="1096"/>
      <c r="G251" s="1098"/>
      <c r="H251" s="1098"/>
      <c r="I251" s="1098"/>
      <c r="J251" s="1098"/>
      <c r="K251" s="1098"/>
      <c r="L251" s="1098"/>
      <c r="M251" s="1098"/>
      <c r="N251" s="1098">
        <f>+N252</f>
        <v>70.936666666666667</v>
      </c>
      <c r="O251" s="1098">
        <f ca="1">(O246/N246*O272+O247/N247*O273+O248/N248*O274+O249/N249*O275+O250/N250*O276)/1000*N251</f>
        <v>69.903110471768372</v>
      </c>
      <c r="P251" s="1098">
        <f ca="1">(P246/N246*P272+P247/N247*P273+P248/N248*P274+P249/N249*P275+P250/N250*P276)/1000*N251</f>
        <v>70.154796598520349</v>
      </c>
      <c r="Q251" s="1098">
        <f ca="1">(Q246/N246*Q272+Q247/N247*Q273+Q248/N248*Q274+Q249/N249*Q275+Q250/N250*Q276)/1000*N251</f>
        <v>70.32630571992209</v>
      </c>
      <c r="R251" s="1098">
        <f ca="1">(R246/N246*R272+R247/N247*R273+R248/N248*R274+R249/N249*R275+R250/N250*R276)/1000*N251</f>
        <v>70.372042476141445</v>
      </c>
      <c r="S251" s="1098">
        <f ca="1">(S246/R246*S272+S247/R247*S273+S248/R248*S274+S249/R249*S275+S250/R250*S276)/1000*R251</f>
        <v>69.134373873793308</v>
      </c>
      <c r="T251" s="1098">
        <f ca="1">(T246/R246*T272+T247/R247*T273+T248/R248*T274+T249/R249*T275+T250/R250*T276)/1000*R251</f>
        <v>69.537967364899629</v>
      </c>
      <c r="U251" s="1098">
        <f ca="1">(U246/R246*U272+U247/R247*U273+U248/R248*U274+U249/R249*U275+U250/R250*U276)/1000*R251</f>
        <v>69.530729116565809</v>
      </c>
      <c r="V251" s="1098">
        <f ca="1">(V246/R246*V272+V247/R247*V273+V248/R248*V274+V249/R249*V275+V250/R250*V276)/1000*R251</f>
        <v>69.373723641040158</v>
      </c>
      <c r="W251" s="1098">
        <f ca="1">(W246/V246*W272+W247/V247*W273+W248/V248*W274+W249/V249*W275+W250/V250*W276)/1000*V251</f>
        <v>69.672188346136053</v>
      </c>
      <c r="X251" s="1098">
        <f ca="1">(X246/V246*X272+X247/V247*X273+X248/V248*X274+X249/V249*X275+X250/V250*X276)/1000*V251</f>
        <v>70.116542411823886</v>
      </c>
      <c r="Y251" s="1098">
        <f ca="1">(Y246/V246*Y272+Y247/V247*Y273+Y248/V248*Y274+Y249/V249*Y275+Y250/V250*Y276)/1000*V251</f>
        <v>70.152041133617686</v>
      </c>
      <c r="Z251" s="1098">
        <f ca="1">(Z246/V246*Z272+Z247/V247*Z273+Z248/V248*Z274+Z249/V249*Z275+Z250/V250*Z276)/1000*V251</f>
        <v>70.501351386803776</v>
      </c>
      <c r="AA251" s="1098">
        <f ca="1">(AA246/Z246*AA272+AA247/Z247*AA273+AA248/Z248*AA274+AA249/Z249*AA275+AA250/Z250*AA276)/1000*Z251</f>
        <v>70.866941646368318</v>
      </c>
      <c r="AB251" s="1098">
        <f ca="1">(AB246/Z246*AB272+AB247/Z247*AB273+AB248/Z248*AB274+AB249/Z249*AB275+AB250/Z250*AB276)/1000*Z251</f>
        <v>71.905191361980968</v>
      </c>
      <c r="AC251" s="1098">
        <f ca="1">(AC246/Z246*AC272+AC247/Z247*AC273+AC248/Z248*AC274+AC249/Z249*AC275+AC250/Z250*AC276)/1000*Z251</f>
        <v>72.323927150951562</v>
      </c>
      <c r="AD251" s="1098">
        <f ca="1">(AD246/Z246*AD272+AD247/Z247*AD273+AD248/Z248*AD274+AD249/Z249*AD275+AD250/Z250*AD276)/1000*Z251</f>
        <v>72.930460015251924</v>
      </c>
      <c r="AE251" s="1098">
        <f ca="1">(AE246/AD246*AE272+AE247/AD247*AE273+AE248/AD248*AE274+AE249/AD249*AE275+AE250/AD250*AE276)/1000*AD251</f>
        <v>72.65338798876428</v>
      </c>
      <c r="AF251" s="1098">
        <f ca="1">(AF246/AD246*AF272+AF247/AD247*AF273+AF248/AD248*AF274+AF249/AD249*AF275+AF250/AD250*AF276)/1000*AD251</f>
        <v>74.124227935895476</v>
      </c>
      <c r="AG251" s="1098">
        <f ca="1">(AG246/AD246*AG272+AG247/AD247*AG273+AG248/AD248*AG274+AG249/AD249*AG275+AG250/AD250*AG276)/1000*AD251</f>
        <v>74.092173585334152</v>
      </c>
      <c r="AH251" s="1098">
        <f ca="1">(AH246/AD246*AH272+AH247/AD247*AH273+AH248/AD248*AH274+AH249/AD249*AH275+AH250/AD250*AH276)/1000*AD251</f>
        <v>74.381844973895738</v>
      </c>
      <c r="AI251" s="1098">
        <f ca="1">(AI246/AH246*AI272+AI247/AH247*AI273+AI248/AH248*AI274+AI249/AH249*AI275+AI250/AH250*AI276)/1000*AH251</f>
        <v>74.513929296855451</v>
      </c>
      <c r="AJ251" s="1098">
        <f ca="1">(AJ246/AH246*AJ272+AJ247/AH247*AJ273+AJ248/AH248*AJ274+AJ249/AH249*AJ275+AJ250/AH250*AJ276)/1000*AH251</f>
        <v>75.07788096902587</v>
      </c>
      <c r="AK251" s="1098">
        <f ca="1">(AK246/AH246*AK272+AK247/AH247*AK273+AK248/AH248*AK274+AK249/AH249*AK275+AK250/AH250*AK276)/1000*AH251</f>
        <v>74.991889579534146</v>
      </c>
      <c r="AL251" s="1098">
        <f ca="1">(AL246/AH246*AL272+AL247/AH247*AL273+AL248/AH248*AL274+AL249/AH249*AL275+AL250/AH250*AL276)/1000*AH251</f>
        <v>75.275037979157531</v>
      </c>
      <c r="AM251" s="1098">
        <f ca="1">(AM246/AL246*AM272+AM247/AL247*AM273+AM248/AL248*AM274+AM249/AL249*AM275+AM250/AL250*AM276)/1000*AL251</f>
        <v>75.647017989633156</v>
      </c>
      <c r="AN251" s="1098">
        <f ca="1">(AN246/AL246*AN272+AN247/AL247*AN273+AN248/AL248*AN274+AN249/AL249*AN275+AN250/AL250*AN276)/1000*AL251</f>
        <v>76.066771675279085</v>
      </c>
      <c r="AO251" s="1098">
        <f ca="1">(AO246/AL246*AO272+AO247/AL247*AO273+AO248/AL248*AO274+AO249/AL249*AO275+AO250/AL250*AO276)/1000*AL251</f>
        <v>76.181429628300805</v>
      </c>
      <c r="AP251" s="1098">
        <f ca="1">(AP246/AL246*AP272+AP247/AL247*AP273+AP248/AL248*AP274+AP249/AL249*AP275+AP250/AL250*AP276)/1000*AL251</f>
        <v>76.517335795230679</v>
      </c>
      <c r="AQ251" s="1098">
        <f ca="1">(AQ246/AP246*AQ272+AQ247/AP247*AQ273+AQ248/AP248*AQ274+AQ249/AP249*AQ275+AQ250/AP250*AQ276)/1000*AP251</f>
        <v>76.516766168773785</v>
      </c>
      <c r="AR251" s="1098">
        <f ca="1">(AR246/AP246*AR272+AR247/AP247*AR273+AR248/AP248*AR274+AR249/AP249*AR275+AR250/AP250*AR276)/1000*AP251</f>
        <v>77.603772365474867</v>
      </c>
      <c r="AS251" s="1098">
        <f ca="1">(AS246/AP246*AS272+AS247/AP247*AS273+AS248/AP248*AS274+AS249/AP249*AS275+AS250/AP250*AS276)/1000*AP251</f>
        <v>77.680937360286663</v>
      </c>
      <c r="AT251" s="1098">
        <f ca="1">(AT246/AP246*AT272+AT247/AP247*AT273+AT248/AP248*AT274+AT249/AP249*AT275+AT250/AP250*AT276)/1000*AP251</f>
        <v>78.274421385353094</v>
      </c>
      <c r="AU251" s="1098">
        <f ca="1">(AU246/AT246*AU272+AU247/AT247*AU273+AU248/AT248*AU274+AU249/AT249*AU275+AU250/AT250*AU276)/1000*AT252</f>
        <v>81.465987837494737</v>
      </c>
      <c r="AV251" s="1098">
        <f ca="1">(AV246/AT246*AV272+AV247/AT247*AV273+AV248/AT248*AV274+AV249/AT249*AV275+AV250/AT250*AV276)/1000*AT252</f>
        <v>82.698101641492855</v>
      </c>
      <c r="AW251" s="1098">
        <f ca="1">(AW246/AT246*AW272+AW247/AT247*AW273+AW248/AT248*AW274+AW249/AT249*AW275+AW250/AT250*AW276)/1000*AT252</f>
        <v>83.055967002044326</v>
      </c>
      <c r="AX251" s="1098">
        <f ca="1">(AX246/AT246*AX272+AX247/AT247*AX273+AX248/AT248*AX274+AX249/AT249*AX275+AX250/AT250*AX276)/1000*AT252</f>
        <v>83.405919300785584</v>
      </c>
      <c r="AY251" s="1098">
        <f ca="1">(AY246/AX246*AY272+AY247/AX247*AY273+AY248/AX248*AY274+AY249/AX249*AY275+AY250/AX250*AY276)/1000*AX252</f>
        <v>83.576902690498656</v>
      </c>
      <c r="AZ251" s="1098">
        <f ca="1">(AZ246/AX246*AZ272+AZ247/AX247*AZ273+AZ248/AX248*AZ274+AZ249/AX249*AZ275+AZ250/AX250*AZ276)/1000*AX252</f>
        <v>84.857128107234757</v>
      </c>
      <c r="BA251" s="1098">
        <f ca="1">(BA246/AX246*BA272+BA247/AX247*BA273+BA248/AX248*BA274+BA249/AX249*BA275+BA250/AX250*BA276)/1000*AX252</f>
        <v>84.919920765003084</v>
      </c>
      <c r="BB251" s="1098">
        <f ca="1">(BB246/AX246*BB272+BB247/AX247*BB273+BB248/AX248*BB274+BB249/AX249*BB275+BB250/AX250*BB276)/1000*AX252</f>
        <v>85.04549529581233</v>
      </c>
      <c r="BC251" s="1098">
        <f ca="1">(BC246/BB246*BC272+BC247/BB247*BC273+BC248/BB248*BC274+BC249/BB249*BC275+BC250/BB250*BC276)/1000*BB252</f>
        <v>85.048377921453934</v>
      </c>
      <c r="BD251" s="1098">
        <f ca="1">(BD246/BB246*BD272+BD247/BB247*BD273+BD248/BB248*BD274+BD249/BB249*BD275+BD250/BB250*BD276)/1000*BB252</f>
        <v>86.093325497390055</v>
      </c>
      <c r="BE251" s="1098">
        <f ca="1">(BE246/BB246*BE272+BE247/BB247*BE273+BE248/BB248*BE274+BE249/BB249*BE275+BE250/BB250*BE276)/1000*BB252</f>
        <v>86.019823451083255</v>
      </c>
      <c r="BF251" s="1098">
        <f ca="1">(BF246/BB246*BF272+BF247/BB247*BF273+BF248/BB248*BF274+BF249/BB249*BF275+BF250/BB250*BF276)/1000*BB252</f>
        <v>87.360785587647257</v>
      </c>
      <c r="BG251" s="1098">
        <f ca="1">(BG246/BF246*BG272+BG247/BF247*BG273+BG248/BF248*BG274+BG249/BF249*BG275+BG250/BF250*BG276)/1000*BF252</f>
        <v>88.334654209193317</v>
      </c>
      <c r="BH251" s="1098">
        <f ca="1">(BH246/BF246*BH272+BH247/BF247*BH273+BH248/BF248*BH274+BH249/BF249*BH275+BH250/BF250*BH276)/1000*BF252</f>
        <v>90.397817061670807</v>
      </c>
      <c r="BI251" s="1098">
        <f ca="1">(BI246/BF246*BI272+BI247/BF247*BI273+BI248/BF248*BI274+BI249/BF249*BI275+BI250/BF250*BI276)/1000*BF252</f>
        <v>90.838136534227857</v>
      </c>
      <c r="BJ251" s="1098">
        <f ca="1">(BJ246/BF246*BJ272+BJ247/BF247*BJ273+BJ248/BF248*BJ274+BJ249/BF249*BJ275+BJ250/BF250*BJ276)/1000*BF252</f>
        <v>90.489179748685345</v>
      </c>
      <c r="BK251" s="1098">
        <f ca="1">(BK246/BJ246*BK272+BK247/BJ247*BK273+BK248/BJ248*BK274+BK249/BJ249*BK275+BK250/BJ250*BK276)/1000*BJ252</f>
        <v>89.724557375104851</v>
      </c>
      <c r="BL251" s="1098">
        <f ca="1">(BL246/BJ246*BL272+BL247/BJ247*BL273+BL248/BJ248*BL274+BL249/BJ249*BL275+BL250/BJ250*BL276)/1000*BJ252</f>
        <v>90.255517525628235</v>
      </c>
      <c r="BM251" s="1098">
        <f ca="1">(BM246/BJ246*BM272+BM247/BJ247*BM273+BM248/BJ248*BM274+BM249/BJ249*BM275+BM250/BJ250*BM276)/1000*BJ252</f>
        <v>89.819603363340292</v>
      </c>
      <c r="BN251" s="1098">
        <f ca="1">(BN246/BJ246*BN272+BN247/BJ247*BN273+BN248/BJ248*BN274+BN249/BJ249*BN275+BN250/BJ250*BN276)/1000*BJ252</f>
        <v>90.353287650586893</v>
      </c>
      <c r="BO251" s="1098">
        <f ca="1">(BO246/BN246*BO272+BO247/BN247*BO273+BO248/BN248*BO274+BO249/BN249*BO275+BO250/BN250*BO276)/1000*BN252</f>
        <v>90.753651666788571</v>
      </c>
      <c r="BP251" s="1098">
        <f ca="1">(BP246/BN246*BP272+BP247/BN247*BP273+BP248/BN248*BP274+BP249/BN249*BP275+BP250/BN250*BP276)/1000*BN252</f>
        <v>92.394173504034171</v>
      </c>
      <c r="BQ251" s="1098">
        <f ca="1">(BQ246/BN246*BQ272+BQ247/BN247*BQ273+BQ248/BN248*BQ274+BQ249/BN249*BQ275+BQ250/BN250*BQ276)/1000*BN252</f>
        <v>92.103236283217768</v>
      </c>
      <c r="BR251" s="915">
        <f ca="1">(BR246/BN246*BR272+BR247/BN247*BR273+BR248/BN248*BR274+BR249/BN249*BR275+BR250/BN250*BR276)/1000*BN251</f>
        <v>93.22811802252491</v>
      </c>
      <c r="BS251" s="915">
        <f ca="1">(BS246/BR246*BS272+BS247/BR247*BS273+BS248/BR248*BS274+BS249/BR249*BS275+BS250/BR250*BS276)/1000*BR251</f>
        <v>93.912861887000176</v>
      </c>
      <c r="BT251" s="915">
        <f ca="1">(BT246/BR246*BT272+BT247/BR247*BT273+BT248/BR248*BT274+BT249/BR249*BT275+BT250/BR250*BT276)/1000*BR251</f>
        <v>95.320338064327487</v>
      </c>
      <c r="BU251" s="915">
        <f ca="1">(BU246/BR246*BU272+BU247/BR247*BU273+BU248/BR248*BU274+BU249/BR249*BU275+BU250/BR250*BU276)/1000*BR251</f>
        <v>95.42492029898861</v>
      </c>
      <c r="BV251" s="915">
        <f ca="1">(BV246/BR246*BV272+BV247/BR247*BV273+BV248/BR248*BV274+BV249/BR249*BV275+BV250/BR250*BV276)/1000*BR251</f>
        <v>96.302691190475471</v>
      </c>
      <c r="BW251" s="915">
        <f ca="1">(BW246/BV246*BW272+BW247/BV247*BW273+BW248/BV248*BW274+BW249/BV249*BW275+BW250/BV250*BW276)/1000*BV251</f>
        <v>96.981723273809436</v>
      </c>
      <c r="BX251" s="915">
        <f ca="1">(BX246/BV246*BX272+BX247/BV247*BX273+BX248/BV248*BX274+BX249/BV249*BX275+BX250/BV250*BX276)/1000*BV251</f>
        <v>97.767532197385961</v>
      </c>
      <c r="BY251" s="915">
        <f ca="1">(BY246/BV246*BY272+BY247/BV247*BY273+BY248/BV248*BY274+BY249/BV249*BY275+BY250/BV250*BY276)/1000*BV251</f>
        <v>97.719555221862578</v>
      </c>
      <c r="BZ251" s="915">
        <f ca="1">(BZ246/BV246*BZ272+BZ247/BV247*BZ273+BZ248/BV248*BZ274+BZ249/BV249*BZ275+BZ250/BV250*BZ276)/1000*BV251</f>
        <v>98.519066080914456</v>
      </c>
      <c r="CA251" s="915">
        <f ca="1">(CA246/BZ246*CA272+CA247/BZ247*CA273+CA248/BZ248*CA274+CA249/BZ249*CA275+CA250/BZ250*CA276)/1000*BZ251</f>
        <v>98.417907096994625</v>
      </c>
      <c r="CB251" s="915">
        <f ca="1">(CB246/BZ246*CB272+CB247/BZ247*CB273+CB248/BZ248*CB274+CB249/BZ249*CB275+CB250/BZ250*CB276)/1000*BZ251</f>
        <v>99.09961573928986</v>
      </c>
      <c r="CC251" s="915">
        <f ca="1">(CC246/BZ246*CC272+CC247/BZ247*CC273+CC248/BZ248*CC274+CC249/BZ249*CC275+CC250/BZ250*CC276)/1000*BZ251</f>
        <v>98.943831838697776</v>
      </c>
      <c r="CD251" s="915">
        <f ca="1">(CD246/BZ246*CD272+CD247/BZ247*CD273+CD248/BZ248*CD274+CD249/BZ249*CD275+CD250/BZ250*CD276)/1000*BZ251</f>
        <v>99.445136995365175</v>
      </c>
      <c r="CE251" s="915">
        <f ca="1">(CE246/CD246*CE272+CE247/CD247*CE273+CE248/CD248*CE274+CE249/CD249*CE275+CE250/CD250*CE276)/1000*CD251</f>
        <v>99.32492301718483</v>
      </c>
      <c r="CF251" s="915">
        <f ca="1">(CF246/CD246*CF272+CF247/CD247*CF273+CF248/CD248*CF274+CF249/CD249*CF275+CF250/CD250*CF276)/1000*CD251</f>
        <v>99.770394939811212</v>
      </c>
      <c r="CG251" s="915">
        <f ca="1">(CG246/CD246*CG272+CG247/CD247*CG273+CG248/CD248*CG274+CG249/CD249*CG275+CG250/CD250*CG276)/1000*CD251</f>
        <v>99.324405209721363</v>
      </c>
      <c r="CH251" s="915">
        <f ca="1">(CH246/CD246*CH272+CH247/CD247*CH273+CH248/CD248*CH274+CH249/CD249*CH275+CH250/CD250*CH276)/1000*CD251</f>
        <v>99.441203438626474</v>
      </c>
      <c r="CI251" s="915">
        <f ca="1">(CI246/CH246*CI272+CI247/CH247*CI273+CI248/CH248*CI274+CI249/CH249*CI275+CI250/CH250*CI276)/1000*CH251</f>
        <v>98.921802898309423</v>
      </c>
      <c r="CJ251" s="915">
        <f ca="1">(CJ246/CH246*CJ272+CJ247/CH247*CJ273+CJ248/CH248*CJ274+CJ249/CH249*CJ275+CJ250/CH250*CJ276)/1000*CH251</f>
        <v>100.43595118132905</v>
      </c>
      <c r="CK251" s="915">
        <f ca="1">(CK246/CH246*CK272+CK247/CH247*CK273+CK248/CH248*CK274+CK249/CH249*CK275+CK250/CH250*CK276)/1000*CH251</f>
        <v>100.13087180581356</v>
      </c>
      <c r="CL251" s="915">
        <f ca="1">(CL246/CH246*CL272+CL247/CH247*CL273+CL248/CH248*CL274+CL249/CH249*CL275+CL250/CH250*CL276)/1000*CH251</f>
        <v>100.75127204633968</v>
      </c>
      <c r="CM251" s="915">
        <f ca="1">(CM246/CL246*CM272+CM247/CL247*CM273+CM248/CL248*CM274+CM249/CL249*CM275+CM250/CL250*CM276)/1000*CL251</f>
        <v>100.47462795124309</v>
      </c>
      <c r="CN251" s="915">
        <f ca="1">(CN246/CL246*CN272+CN247/CL247*CN273+CN248/CL248*CN274+CN249/CL249*CN275+CN250/CL250*CN276)/1000*CL251</f>
        <v>102.12402091431748</v>
      </c>
      <c r="CO251" s="915">
        <f ca="1">(CO246/CL246*CO272+CO247/CL247*CO273+CO248/CL248*CO274+CO249/CL249*CO275+CO250/CL250*CO276)/1000*CL251</f>
        <v>102.10489598638202</v>
      </c>
      <c r="CP251" s="915">
        <f ca="1">(CP246/CL246*CP272+CP247/CL247*CP273+CP248/CL248*CP274+CP249/CL249*CP275+CP250/CL250*CP276)/1000*CL251</f>
        <v>102.74460976438316</v>
      </c>
      <c r="CQ251" s="915">
        <f ca="1">(CQ246/CP246*CQ272+CQ247/CP247*CQ273+CQ248/CP248*CQ274+CQ249/CP249*CQ275+CQ250/CP250*CQ276)/1000*CP251</f>
        <v>103.42056758358429</v>
      </c>
      <c r="CR251" s="915">
        <f ca="1">(CR246/CP246*CR272+CR247/CP247*CR273+CR248/CP248*CR274+CR249/CP249*CR275+CR250/CP250*CR276)/1000*CP251</f>
        <v>104.18123175561091</v>
      </c>
      <c r="CS251" s="915">
        <f ca="1">(CS246/CP246*CS272+CS247/CP247*CS273+CS248/CP248*CS274+CS249/CP249*CS275+CS250/CP250*CS276)/1000*CP251</f>
        <v>104.04963377726669</v>
      </c>
      <c r="CT251" s="915">
        <f ca="1">(CT246/CP246*CT272+CT247/CP247*CT273+CT248/CP248*CT274+CT249/CP249*CT275+CT250/CP250*CT276)/1000*CP251</f>
        <v>104.78554964766064</v>
      </c>
      <c r="CU251" s="915">
        <f ca="1">(CU246/CT246*CU272+CU247/CT247*CU273+CU248/CT248*CU274+CU249/CT249*CU275+CU250/CT250*CU276)/1000*CT251</f>
        <v>105.05073762786797</v>
      </c>
      <c r="CV251" s="915">
        <f ca="1">(CV246/CT246*CV272+CV247/CT247*CV273+CV248/CT248*CV274+CV249/CT249*CV275+CV250/CT250*CV276)/1000*CT251</f>
        <v>105.8923456996642</v>
      </c>
      <c r="CW251" s="915">
        <f ca="1">(CW246/CT246*CW272+CW247/CT247*CW273+CW248/CT248*CW274+CW249/CT249*CW275+CW250/CT250*CW276)/1000*CT251</f>
        <v>105.84587064670816</v>
      </c>
      <c r="CX251" s="915">
        <f ca="1">(CX246/CT246*CX272+CX247/CT247*CX273+CX248/CT248*CX274+CX249/CT249*CX275+CX250/CT250*CX276)/1000*CT251</f>
        <v>106.18789553685997</v>
      </c>
      <c r="CY251" s="915">
        <f ca="1">(CY246/CX246*CY272+CY247/CX247*CY273+CY248/CX248*CY274+CY249/CX249*CY275+CY250/CX250*CY276)/1000*CX251</f>
        <v>106.35131244056944</v>
      </c>
      <c r="CZ251" s="915">
        <f ca="1">(CZ246/CX246*CZ272+CZ247/CX247*CZ273+CZ248/CX248*CZ274+CZ249/CX249*CZ275+CZ250/CX250*CZ276)/1000*CX251</f>
        <v>107.62878749114131</v>
      </c>
      <c r="DA251" s="915">
        <f ca="1">(DA246/CX246*DA272+DA247/CX247*DA273+DA248/CX248*DA274+DA249/CX249*DA275+DA250/CX250*DA276)/1000*CX251</f>
        <v>108.0856117759496</v>
      </c>
      <c r="DB251" s="915">
        <f ca="1">(DB246/CX246*DB272+DB247/CX247*DB273+DB248/CX248*DB274+DB249/CX249*DB275+DB250/CX250*DB276)/1000*CX251</f>
        <v>107.8236726387977</v>
      </c>
    </row>
    <row r="252" spans="1:106" customFormat="1">
      <c r="A252" s="714" t="str">
        <f>"Q" &amp; ROW(InputQ!A17)</f>
        <v>Q17</v>
      </c>
      <c r="B252" s="714"/>
      <c r="C252" s="744"/>
      <c r="D252" s="1096"/>
      <c r="E252" s="1097" t="s">
        <v>1139</v>
      </c>
      <c r="F252" s="1096"/>
      <c r="G252" s="1098">
        <v>83.429999999999993</v>
      </c>
      <c r="H252" s="1098">
        <v>83.600000000000009</v>
      </c>
      <c r="I252" s="1098">
        <v>84.023333333333326</v>
      </c>
      <c r="J252" s="1098">
        <v>83.99666666666667</v>
      </c>
      <c r="K252" s="1098">
        <v>70.00333333333333</v>
      </c>
      <c r="L252" s="1098">
        <v>70.516666666666666</v>
      </c>
      <c r="M252" s="1098">
        <v>70.446666666666673</v>
      </c>
      <c r="N252" s="1098">
        <v>70.936666666666667</v>
      </c>
      <c r="O252" s="1098">
        <v>71.246666666666655</v>
      </c>
      <c r="P252" s="1098">
        <v>71.483333333333334</v>
      </c>
      <c r="Q252" s="1098">
        <v>71.67</v>
      </c>
      <c r="R252" s="1098">
        <v>71.740000000000009</v>
      </c>
      <c r="S252" s="1098">
        <v>71.786666666666676</v>
      </c>
      <c r="T252" s="1098">
        <v>72.37</v>
      </c>
      <c r="U252" s="1098">
        <v>72.373333333333335</v>
      </c>
      <c r="V252" s="1098">
        <v>72.206666666666663</v>
      </c>
      <c r="W252" s="1098">
        <f ca="1">+InputQ!W17</f>
        <v>72.563333333333333</v>
      </c>
      <c r="X252" s="1098">
        <f ca="1">+InputQ!X17</f>
        <v>72.986666666666665</v>
      </c>
      <c r="Y252" s="1098">
        <f ca="1">+InputQ!Y17</f>
        <v>73.056666666666658</v>
      </c>
      <c r="Z252" s="1098">
        <f ca="1">+InputQ!Z17</f>
        <v>73.406666666666652</v>
      </c>
      <c r="AA252" s="1098">
        <f ca="1">+InputQ!AA17</f>
        <v>73.763333333333335</v>
      </c>
      <c r="AB252" s="1098">
        <f ca="1">+InputQ!AB17</f>
        <v>74.86333333333333</v>
      </c>
      <c r="AC252" s="1098">
        <f ca="1">+InputQ!AC17</f>
        <v>75.286666666666676</v>
      </c>
      <c r="AD252" s="1098">
        <f ca="1">+InputQ!AD17</f>
        <v>75.923333333333332</v>
      </c>
      <c r="AE252" s="1098">
        <f ca="1">+InputQ!AE17</f>
        <v>75.58</v>
      </c>
      <c r="AF252" s="1098">
        <f ca="1">+InputQ!AF17</f>
        <v>77.11333333333333</v>
      </c>
      <c r="AG252" s="1098">
        <f ca="1">+InputQ!AG17</f>
        <v>77.08</v>
      </c>
      <c r="AH252" s="1098">
        <f ca="1">+InputQ!AH17</f>
        <v>77.363333333333344</v>
      </c>
      <c r="AI252" s="1098">
        <f ca="1">+InputQ!AI17</f>
        <v>77.50333333333333</v>
      </c>
      <c r="AJ252" s="1098">
        <f ca="1">+InputQ!AJ17</f>
        <v>78.093333333333348</v>
      </c>
      <c r="AK252" s="1098">
        <f ca="1">+InputQ!AK17</f>
        <v>77.996666666666655</v>
      </c>
      <c r="AL252" s="1098">
        <f ca="1">+InputQ!AL17</f>
        <v>78.296666666666667</v>
      </c>
      <c r="AM252" s="1098">
        <f ca="1">+InputQ!AM17</f>
        <v>78.683333333333337</v>
      </c>
      <c r="AN252" s="1098">
        <f ca="1">+InputQ!AN17</f>
        <v>79.116666666666674</v>
      </c>
      <c r="AO252" s="1098">
        <f ca="1">+InputQ!AO17</f>
        <v>79.236666666666665</v>
      </c>
      <c r="AP252" s="1098">
        <f ca="1">+InputQ!AP17</f>
        <v>79.583333333333329</v>
      </c>
      <c r="AQ252" s="1098">
        <f ca="1">+InputQ!AQ17</f>
        <v>79.583333333333329</v>
      </c>
      <c r="AR252" s="1098">
        <f ca="1">+InputQ!AR17</f>
        <v>80.713333333333324</v>
      </c>
      <c r="AS252" s="1098">
        <f ca="1">+InputQ!AS17</f>
        <v>80.793333333333337</v>
      </c>
      <c r="AT252" s="1098">
        <f ca="1">+InputQ!AT17</f>
        <v>81.410000000000011</v>
      </c>
      <c r="AU252" s="1098">
        <f ca="1">+InputQ!AU17</f>
        <v>81.463333333333324</v>
      </c>
      <c r="AV252" s="1098">
        <f ca="1">+InputQ!AV17</f>
        <v>82.71</v>
      </c>
      <c r="AW252" s="1098">
        <f ca="1">+InputQ!AW17</f>
        <v>83.083333333333329</v>
      </c>
      <c r="AX252" s="1098">
        <f ca="1">+InputQ!AX17</f>
        <v>83.426666666666662</v>
      </c>
      <c r="AY252" s="1098">
        <f ca="1">+InputQ!AY17</f>
        <v>83.570000000000007</v>
      </c>
      <c r="AZ252" s="1098">
        <f ca="1">+InputQ!AZ17</f>
        <v>84.853333333333339</v>
      </c>
      <c r="BA252" s="1098">
        <f ca="1">+InputQ!BA17</f>
        <v>84.92</v>
      </c>
      <c r="BB252" s="1098">
        <f ca="1">+InputQ!BB17</f>
        <v>85.036666666666676</v>
      </c>
      <c r="BC252" s="1098">
        <f ca="1">+InputQ!BC17</f>
        <v>85.05</v>
      </c>
      <c r="BD252" s="1098">
        <f ca="1">+InputQ!BD17</f>
        <v>86.09333333333332</v>
      </c>
      <c r="BE252" s="1098">
        <f ca="1">+InputQ!BE17</f>
        <v>86.023333333333326</v>
      </c>
      <c r="BF252" s="1098">
        <f ca="1">+InputQ!BF17</f>
        <v>87.36</v>
      </c>
      <c r="BG252" s="1098">
        <f ca="1">+InputQ!BG17</f>
        <v>88.323333333333338</v>
      </c>
      <c r="BH252" s="1098">
        <f ca="1">+InputQ!BH17</f>
        <v>90.38</v>
      </c>
      <c r="BI252" s="1098">
        <f ca="1">+InputQ!BI17</f>
        <v>90.813333333333333</v>
      </c>
      <c r="BJ252" s="1098">
        <f ca="1">+InputQ!BJ17</f>
        <v>90.476666666666674</v>
      </c>
      <c r="BK252" s="1098">
        <f ca="1">+InputQ!BK17</f>
        <v>89.693333333333342</v>
      </c>
      <c r="BL252" s="1098">
        <f ca="1">+InputQ!BL17</f>
        <v>90.206666666666663</v>
      </c>
      <c r="BM252" s="1098">
        <f ca="1">+InputQ!BM17</f>
        <v>89.766666666666666</v>
      </c>
      <c r="BN252" s="1098">
        <f ca="1">+InputQ!BN17</f>
        <v>90.303333333333342</v>
      </c>
      <c r="BO252" s="1098">
        <f ca="1">+InputQ!BO17</f>
        <v>90.743333333333339</v>
      </c>
      <c r="BP252" s="1098">
        <f ca="1">+InputQ!BP17</f>
        <v>92.38</v>
      </c>
      <c r="BQ252" s="1098">
        <f ca="1">+InputQ!BQ17</f>
        <v>92.086666666666659</v>
      </c>
      <c r="BR252" s="915">
        <f t="shared" ref="BR252:CH252" ca="1" si="1197">+BR251/BN251*BN252</f>
        <v>93.176574275686846</v>
      </c>
      <c r="BS252" s="915">
        <f t="shared" ca="1" si="1197"/>
        <v>93.902184363761293</v>
      </c>
      <c r="BT252" s="915">
        <f t="shared" ca="1" si="1197"/>
        <v>95.305715679117938</v>
      </c>
      <c r="BU252" s="915">
        <f t="shared" ca="1" si="1197"/>
        <v>95.407753102670867</v>
      </c>
      <c r="BV252" s="915">
        <f t="shared" ca="1" si="1197"/>
        <v>96.249447580716591</v>
      </c>
      <c r="BW252" s="915">
        <f t="shared" ca="1" si="1197"/>
        <v>96.970696833094109</v>
      </c>
      <c r="BX252" s="915">
        <f t="shared" ca="1" si="1197"/>
        <v>97.752534406297428</v>
      </c>
      <c r="BY252" s="915">
        <f t="shared" ca="1" si="1197"/>
        <v>97.7019752146347</v>
      </c>
      <c r="BZ252" s="915">
        <f t="shared" ca="1" si="1197"/>
        <v>98.464597086918786</v>
      </c>
      <c r="CA252" s="915">
        <f t="shared" ca="1" si="1197"/>
        <v>98.406717367824044</v>
      </c>
      <c r="CB252" s="915">
        <f t="shared" ref="CB252:CF252" ca="1" si="1198">+CB251/BX251*BX252</f>
        <v>99.084413603157273</v>
      </c>
      <c r="CC252" s="915">
        <f t="shared" ca="1" si="1197"/>
        <v>98.926031580858606</v>
      </c>
      <c r="CD252" s="915">
        <f t="shared" ca="1" si="1197"/>
        <v>99.390155997418546</v>
      </c>
      <c r="CE252" s="915">
        <f t="shared" ca="1" si="1197"/>
        <v>99.313630163869476</v>
      </c>
      <c r="CF252" s="915">
        <f t="shared" ca="1" si="1198"/>
        <v>99.755089904422704</v>
      </c>
      <c r="CG252" s="915">
        <f t="shared" ca="1" si="1197"/>
        <v>99.3065364857231</v>
      </c>
      <c r="CH252" s="915">
        <f t="shared" ca="1" si="1197"/>
        <v>99.386224615455617</v>
      </c>
      <c r="CI252" s="915">
        <f t="shared" ref="CI252" ca="1" si="1199">+CI251/CE251*CE252</f>
        <v>98.910555878166974</v>
      </c>
      <c r="CJ252" s="915">
        <f t="shared" ref="CJ252:CT252" ca="1" si="1200">+CJ251/CF251*CF252</f>
        <v>100.42054404789998</v>
      </c>
      <c r="CK252" s="915">
        <f t="shared" ca="1" si="1200"/>
        <v>100.11285799633517</v>
      </c>
      <c r="CL252" s="915">
        <f t="shared" ca="1" si="1200"/>
        <v>100.69556891545899</v>
      </c>
      <c r="CM252" s="915">
        <f t="shared" ca="1" si="1200"/>
        <v>100.46320438099605</v>
      </c>
      <c r="CN252" s="915">
        <f t="shared" ca="1" si="1200"/>
        <v>102.10835482664636</v>
      </c>
      <c r="CO252" s="915">
        <f t="shared" ca="1" si="1200"/>
        <v>102.0865270447166</v>
      </c>
      <c r="CP252" s="915">
        <f t="shared" ca="1" si="1200"/>
        <v>102.68780456154305</v>
      </c>
      <c r="CQ252" s="915">
        <f t="shared" ca="1" si="1200"/>
        <v>103.40880907158109</v>
      </c>
      <c r="CR252" s="915">
        <f t="shared" ca="1" si="1200"/>
        <v>104.16525008650156</v>
      </c>
      <c r="CS252" s="915">
        <f t="shared" ca="1" si="1200"/>
        <v>104.03091497211344</v>
      </c>
      <c r="CT252" s="915">
        <f t="shared" ca="1" si="1200"/>
        <v>104.72761605468581</v>
      </c>
      <c r="CU252" s="915">
        <f t="shared" ref="CU252" ca="1" si="1201">+CU251/CQ251*CQ252</f>
        <v>105.0387937719387</v>
      </c>
      <c r="CV252" s="915">
        <f t="shared" ref="CV252" ca="1" si="1202">+CV251/CR251*CR252</f>
        <v>105.8761015412715</v>
      </c>
      <c r="CW252" s="915">
        <f t="shared" ref="CW252" ca="1" si="1203">+CW251/CS251*CS252</f>
        <v>105.82682869377679</v>
      </c>
      <c r="CX252" s="915">
        <f t="shared" ref="CX252" ca="1" si="1204">+CX251/CT251*CT252</f>
        <v>106.12918661812478</v>
      </c>
      <c r="CY252" s="915">
        <f t="shared" ref="CY252" ca="1" si="1205">+CY251/CU251*CU252</f>
        <v>106.33922071439632</v>
      </c>
      <c r="CZ252" s="915">
        <f t="shared" ref="CZ252" ca="1" si="1206">+CZ251/CV251*CV252</f>
        <v>107.61227695810827</v>
      </c>
      <c r="DA252" s="915">
        <f t="shared" ref="DA252" ca="1" si="1207">+DA251/CW251*CW252</f>
        <v>108.0661668876472</v>
      </c>
      <c r="DB252" s="915">
        <f t="shared" ref="DB252" ca="1" si="1208">+DB251/CX251*CX252</f>
        <v>107.76405933539172</v>
      </c>
    </row>
    <row r="253" spans="1:106" s="1044" customFormat="1" ht="10.199999999999999">
      <c r="A253" s="723"/>
      <c r="B253" s="723"/>
      <c r="C253" s="1048"/>
      <c r="D253" s="1049"/>
      <c r="E253" s="1050" t="s">
        <v>1963</v>
      </c>
      <c r="F253" s="1049"/>
      <c r="G253" s="1051"/>
      <c r="H253" s="1051"/>
      <c r="I253" s="1051"/>
      <c r="J253" s="1051"/>
      <c r="K253" s="2858"/>
      <c r="L253" s="2858"/>
      <c r="M253" s="2858"/>
      <c r="N253" s="2858">
        <f t="shared" ref="N253:AP253" si="1209">(N252-N251)</f>
        <v>0</v>
      </c>
      <c r="O253" s="2858">
        <f t="shared" ca="1" si="1209"/>
        <v>1.3435561948982837</v>
      </c>
      <c r="P253" s="2858">
        <f t="shared" ca="1" si="1209"/>
        <v>1.3285367348129853</v>
      </c>
      <c r="Q253" s="2858">
        <f t="shared" ca="1" si="1209"/>
        <v>1.3436942800779121</v>
      </c>
      <c r="R253" s="2858">
        <f t="shared" ca="1" si="1209"/>
        <v>1.3679575238585642</v>
      </c>
      <c r="S253" s="2858">
        <f t="shared" ca="1" si="1209"/>
        <v>2.6522927928733679</v>
      </c>
      <c r="T253" s="2858">
        <f t="shared" ca="1" si="1209"/>
        <v>2.8320326351003757</v>
      </c>
      <c r="U253" s="2858">
        <f t="shared" ca="1" si="1209"/>
        <v>2.8426042167675263</v>
      </c>
      <c r="V253" s="2858">
        <f t="shared" ca="1" si="1209"/>
        <v>2.8329430256265056</v>
      </c>
      <c r="W253" s="2858">
        <f t="shared" ca="1" si="1209"/>
        <v>2.8911449871972792</v>
      </c>
      <c r="X253" s="2858">
        <f t="shared" ca="1" si="1209"/>
        <v>2.8701242548427786</v>
      </c>
      <c r="Y253" s="2858">
        <f t="shared" ca="1" si="1209"/>
        <v>2.9046255330489714</v>
      </c>
      <c r="Z253" s="2858">
        <f t="shared" ca="1" si="1209"/>
        <v>2.9053152798628759</v>
      </c>
      <c r="AA253" s="2858">
        <f t="shared" ca="1" si="1209"/>
        <v>2.8963916869650177</v>
      </c>
      <c r="AB253" s="2858">
        <f t="shared" ca="1" si="1209"/>
        <v>2.9581419713523616</v>
      </c>
      <c r="AC253" s="2858">
        <f t="shared" ca="1" si="1209"/>
        <v>2.9627395157151142</v>
      </c>
      <c r="AD253" s="2858">
        <f t="shared" ca="1" si="1209"/>
        <v>2.9928733180814078</v>
      </c>
      <c r="AE253" s="2858">
        <f t="shared" ca="1" si="1209"/>
        <v>2.9266120112357186</v>
      </c>
      <c r="AF253" s="2858">
        <f t="shared" ca="1" si="1209"/>
        <v>2.9891053974378536</v>
      </c>
      <c r="AG253" s="2858">
        <f t="shared" ca="1" si="1209"/>
        <v>2.9878264146658466</v>
      </c>
      <c r="AH253" s="2858">
        <f t="shared" ca="1" si="1209"/>
        <v>2.9814883594376056</v>
      </c>
      <c r="AI253" s="2858">
        <f t="shared" ca="1" si="1209"/>
        <v>2.9894040364778789</v>
      </c>
      <c r="AJ253" s="2858">
        <f t="shared" ca="1" si="1209"/>
        <v>3.0154523643074782</v>
      </c>
      <c r="AK253" s="2858">
        <f t="shared" ca="1" si="1209"/>
        <v>3.0047770871325099</v>
      </c>
      <c r="AL253" s="2858">
        <f t="shared" ca="1" si="1209"/>
        <v>3.0216286875091356</v>
      </c>
      <c r="AM253" s="2858">
        <f t="shared" ca="1" si="1209"/>
        <v>3.0363153437001813</v>
      </c>
      <c r="AN253" s="2858">
        <f t="shared" ca="1" si="1209"/>
        <v>3.049894991387589</v>
      </c>
      <c r="AO253" s="2858">
        <f t="shared" ca="1" si="1209"/>
        <v>3.0552370383658598</v>
      </c>
      <c r="AP253" s="2858">
        <f t="shared" ca="1" si="1209"/>
        <v>3.0659975381026499</v>
      </c>
      <c r="AQ253" s="2858">
        <f t="shared" ref="AQ253:BJ253" ca="1" si="1210">(AQ252-AQ251)</f>
        <v>3.0665671645595438</v>
      </c>
      <c r="AR253" s="2858">
        <f t="shared" ca="1" si="1210"/>
        <v>3.1095609678584566</v>
      </c>
      <c r="AS253" s="2858">
        <f t="shared" ca="1" si="1210"/>
        <v>3.1123959730466737</v>
      </c>
      <c r="AT253" s="2858">
        <f t="shared" ca="1" si="1210"/>
        <v>3.1355786146469171</v>
      </c>
      <c r="AU253" s="2858">
        <f t="shared" ca="1" si="1210"/>
        <v>-2.654504161412774E-3</v>
      </c>
      <c r="AV253" s="2858">
        <f t="shared" ca="1" si="1210"/>
        <v>1.1898358507139051E-2</v>
      </c>
      <c r="AW253" s="2858">
        <f t="shared" ca="1" si="1210"/>
        <v>2.7366331289002233E-2</v>
      </c>
      <c r="AX253" s="2858">
        <f t="shared" ca="1" si="1210"/>
        <v>2.0747365881078395E-2</v>
      </c>
      <c r="AY253" s="2858">
        <f t="shared" ca="1" si="1210"/>
        <v>-6.902690498648667E-3</v>
      </c>
      <c r="AZ253" s="2858">
        <f t="shared" ca="1" si="1210"/>
        <v>-3.79477390141858E-3</v>
      </c>
      <c r="BA253" s="2858">
        <f t="shared" ca="1" si="1210"/>
        <v>7.9234996917421086E-5</v>
      </c>
      <c r="BB253" s="2858">
        <f t="shared" ca="1" si="1210"/>
        <v>-8.8286291456540766E-3</v>
      </c>
      <c r="BC253" s="2858">
        <f t="shared" ca="1" si="1210"/>
        <v>1.6220785460632214E-3</v>
      </c>
      <c r="BD253" s="2858">
        <f t="shared" ca="1" si="1210"/>
        <v>7.8359432649222072E-6</v>
      </c>
      <c r="BE253" s="2858">
        <f t="shared" ca="1" si="1210"/>
        <v>3.5098822500714277E-3</v>
      </c>
      <c r="BF253" s="2858">
        <f t="shared" ca="1" si="1210"/>
        <v>-7.8558764725755736E-4</v>
      </c>
      <c r="BG253" s="2858">
        <f ca="1">(BG252-BG251)</f>
        <v>-1.1320875859979651E-2</v>
      </c>
      <c r="BH253" s="2858">
        <f ca="1">(BH252-BH251)</f>
        <v>-1.781706167081154E-2</v>
      </c>
      <c r="BI253" s="2858">
        <f ca="1">(BI252-BI251)</f>
        <v>-2.480320089452448E-2</v>
      </c>
      <c r="BJ253" s="2858">
        <f t="shared" ca="1" si="1210"/>
        <v>-1.2513082018671184E-2</v>
      </c>
      <c r="BK253" s="2858">
        <f t="shared" ref="BK253:BX253" ca="1" si="1211">(BK252-BK251)</f>
        <v>-3.1224041771508837E-2</v>
      </c>
      <c r="BL253" s="2858">
        <f t="shared" ca="1" si="1211"/>
        <v>-4.885085896157193E-2</v>
      </c>
      <c r="BM253" s="2858">
        <f t="shared" ca="1" si="1211"/>
        <v>-5.2936696673626216E-2</v>
      </c>
      <c r="BN253" s="2858">
        <f t="shared" ca="1" si="1211"/>
        <v>-4.9954317253551039E-2</v>
      </c>
      <c r="BO253" s="2858">
        <f t="shared" ca="1" si="1211"/>
        <v>-1.0318333455231254E-2</v>
      </c>
      <c r="BP253" s="2858">
        <f t="shared" ca="1" si="1211"/>
        <v>-1.4173504034175721E-2</v>
      </c>
      <c r="BQ253" s="2858">
        <f t="shared" ca="1" si="1211"/>
        <v>-1.6569616551109334E-2</v>
      </c>
      <c r="BR253" s="2858">
        <f t="shared" ca="1" si="1211"/>
        <v>-5.1543746838063953E-2</v>
      </c>
      <c r="BS253" s="2858">
        <f t="shared" ca="1" si="1211"/>
        <v>-1.0677523238882713E-2</v>
      </c>
      <c r="BT253" s="2858">
        <f t="shared" ca="1" si="1211"/>
        <v>-1.4622385209548838E-2</v>
      </c>
      <c r="BU253" s="2858">
        <f t="shared" ca="1" si="1211"/>
        <v>-1.7167196317743105E-2</v>
      </c>
      <c r="BV253" s="2858">
        <f t="shared" ca="1" si="1211"/>
        <v>-5.3243609758879984E-2</v>
      </c>
      <c r="BW253" s="2858">
        <f t="shared" ca="1" si="1211"/>
        <v>-1.1026440715326657E-2</v>
      </c>
      <c r="BX253" s="2858">
        <f t="shared" ca="1" si="1211"/>
        <v>-1.4997791088532608E-2</v>
      </c>
      <c r="BY253" s="2858">
        <f ca="1">(BY252-BY251)</f>
        <v>-1.7580007227877559E-2</v>
      </c>
      <c r="BZ253" s="2858">
        <f ca="1">(BZ252-BZ251)</f>
        <v>-5.4468993995669734E-2</v>
      </c>
      <c r="CA253" s="2858">
        <f ca="1">(CA252-CA251)</f>
        <v>-1.1189729170581586E-2</v>
      </c>
      <c r="CB253" s="2858">
        <f t="shared" ref="CB253" ca="1" si="1212">(CB252-CB251)</f>
        <v>-1.5202136132586475E-2</v>
      </c>
      <c r="CC253" s="2858">
        <f ca="1">(CC252-CC251)</f>
        <v>-1.7800257839169831E-2</v>
      </c>
      <c r="CD253" s="2858">
        <f ca="1">(CD252-CD251)</f>
        <v>-5.4980997946628918E-2</v>
      </c>
      <c r="CE253" s="2858">
        <f ca="1">(CE252-CE251)</f>
        <v>-1.1292853315353568E-2</v>
      </c>
      <c r="CF253" s="2858">
        <f t="shared" ref="CF253" ca="1" si="1213">(CF252-CF251)</f>
        <v>-1.5305035388507804E-2</v>
      </c>
      <c r="CG253" s="2858">
        <f ca="1">(CG252-CG251)</f>
        <v>-1.7868723998262226E-2</v>
      </c>
      <c r="CH253" s="2858">
        <f ca="1">(CH252-CH251)</f>
        <v>-5.4978823170856117E-2</v>
      </c>
      <c r="CI253" s="2858">
        <f ca="1">(CI252-CI251)</f>
        <v>-1.1247020142448605E-2</v>
      </c>
      <c r="CJ253" s="2858">
        <f t="shared" ref="CJ253" ca="1" si="1214">(CJ252-CJ251)</f>
        <v>-1.5407133429064857E-2</v>
      </c>
      <c r="CK253" s="2858">
        <f ca="1">(CK252-CK251)</f>
        <v>-1.8013809478389931E-2</v>
      </c>
      <c r="CL253" s="2858">
        <f ca="1">(CL252-CL251)</f>
        <v>-5.5703130880687013E-2</v>
      </c>
      <c r="CM253" s="2858">
        <f ca="1">(CM252-CM251)</f>
        <v>-1.1423570247046655E-2</v>
      </c>
      <c r="CN253" s="2858">
        <f t="shared" ref="CN253" ca="1" si="1215">(CN252-CN251)</f>
        <v>-1.5666087671121431E-2</v>
      </c>
      <c r="CO253" s="2858">
        <f ca="1">(CO252-CO251)</f>
        <v>-1.8368941665414695E-2</v>
      </c>
      <c r="CP253" s="2858">
        <f ca="1">(CP252-CP251)</f>
        <v>-5.6805202840109814E-2</v>
      </c>
      <c r="CQ253" s="2858">
        <f ca="1">(CQ252-CQ251)</f>
        <v>-1.1758512003197552E-2</v>
      </c>
      <c r="CR253" s="2858">
        <f t="shared" ref="CR253" ca="1" si="1216">(CR252-CR251)</f>
        <v>-1.598166910935106E-2</v>
      </c>
      <c r="CS253" s="2858">
        <f ca="1">(CS252-CS251)</f>
        <v>-1.8718805153255857E-2</v>
      </c>
      <c r="CT253" s="2858">
        <f ca="1">(CT252-CT251)</f>
        <v>-5.7933592974833914E-2</v>
      </c>
      <c r="CU253" s="2858">
        <f t="shared" ref="CU253:CX253" ca="1" si="1217">(CU252-CU251)</f>
        <v>-1.1943855929274605E-2</v>
      </c>
      <c r="CV253" s="2858">
        <f t="shared" ca="1" si="1217"/>
        <v>-1.6244158392709096E-2</v>
      </c>
      <c r="CW253" s="2858">
        <f t="shared" ca="1" si="1217"/>
        <v>-1.904195293137434E-2</v>
      </c>
      <c r="CX253" s="2858">
        <f t="shared" ca="1" si="1217"/>
        <v>-5.8708918735192128E-2</v>
      </c>
      <c r="CY253" s="2858">
        <f t="shared" ref="CY253:DB253" ca="1" si="1218">(CY252-CY251)</f>
        <v>-1.2091726173125039E-2</v>
      </c>
      <c r="CZ253" s="2858">
        <f t="shared" ca="1" si="1218"/>
        <v>-1.6510533033041952E-2</v>
      </c>
      <c r="DA253" s="2858">
        <f t="shared" ca="1" si="1218"/>
        <v>-1.9444888302402319E-2</v>
      </c>
      <c r="DB253" s="2858">
        <f t="shared" ca="1" si="1218"/>
        <v>-5.961330340598181E-2</v>
      </c>
    </row>
    <row r="254" spans="1:106" customFormat="1">
      <c r="A254" s="714"/>
      <c r="B254" s="714"/>
      <c r="C254" s="744"/>
      <c r="D254" s="1096"/>
      <c r="E254" s="1097" t="s">
        <v>1812</v>
      </c>
      <c r="F254" s="1096"/>
      <c r="G254" s="1098" t="str">
        <f>+InputQ!G19</f>
        <v>:</v>
      </c>
      <c r="H254" s="1098" t="str">
        <f>+InputQ!H19</f>
        <v>:</v>
      </c>
      <c r="I254" s="1098" t="str">
        <f>+InputQ!I19</f>
        <v>:</v>
      </c>
      <c r="J254" s="1098" t="str">
        <f>+InputQ!J19</f>
        <v>:</v>
      </c>
      <c r="K254" s="1098"/>
      <c r="L254" s="1098"/>
      <c r="M254" s="1098"/>
      <c r="N254" s="1098">
        <f>+N255</f>
        <v>73.680000000000007</v>
      </c>
      <c r="O254" s="1098">
        <f ca="1">(O246/N246*O272+O249/N249*O275+O250/N250*O276)/(O272+O275+O276)*N254</f>
        <v>73.886461594521776</v>
      </c>
      <c r="P254" s="1098">
        <f ca="1">(P246/N246*P272+P249/N249*P275+P250/N250*P276)/(P272+P275+P276)*N254</f>
        <v>74.068313758871639</v>
      </c>
      <c r="Q254" s="1098">
        <f ca="1">(Q246/N246*Q272+Q249/N249*Q275+Q250/N250*Q276)/(Q272+Q275+Q276)*N254</f>
        <v>74.22396145226304</v>
      </c>
      <c r="R254" s="1098">
        <f ca="1">(R246/N246*R272+R249/N249*R275+R250/N250*R276)/(R272+R275+R276)*N254</f>
        <v>74.365065453877136</v>
      </c>
      <c r="S254" s="1098">
        <f ca="1">(S246/R246*S272+S249/R249*S275+S250/R250*S276)/(S272+S275+S276)*R254</f>
        <v>74.715584378414349</v>
      </c>
      <c r="T254" s="1098">
        <f ca="1">(T246/R246*T272+T249/R249*T275+T250/R250*T276)/(T272+T275+T276)*R254</f>
        <v>74.906696358968986</v>
      </c>
      <c r="U254" s="1098">
        <f ca="1">(U246/R246*U272+U249/R249*U275+U250/R250*U276)/(U272+U275+U276)*R254</f>
        <v>75.226235173870364</v>
      </c>
      <c r="V254" s="1098">
        <f ca="1">(V246/R246*V272+V249/R249*V275+V250/R250*V276)/(V272+V275+V276)*R254</f>
        <v>75.230605104742878</v>
      </c>
      <c r="W254" s="1098">
        <f ca="1">(W246/V246*W272+W249/V249*W275+W250/V250*W276)/(W272+W275+W276)*V254</f>
        <v>75.552478250623821</v>
      </c>
      <c r="X254" s="1098">
        <f ca="1">(X246/V246*X272+X249/V249*X275+X250/V250*X276)/(X272+X275+X276)*V254</f>
        <v>75.740678263949476</v>
      </c>
      <c r="Y254" s="1098">
        <f ca="1">(Y246/V246*Y272+Y249/V249*Y275+Y250/V250*Y276)/(Y272+Y275+Y276)*V254</f>
        <v>75.891181949436358</v>
      </c>
      <c r="Z254" s="1098">
        <f ca="1">(Z246/V246*Z272+Z249/V249*Z275+Z250/V250*Z276)/(Z272+Z275+Z276)*V254</f>
        <v>76.04870419714284</v>
      </c>
      <c r="AA254" s="1098">
        <f ca="1">(AA246/Z246*AA272+AA249/Z249*AA275+AA250/Z250*AA276)/(AA272+AA275+AA276)*Z254</f>
        <v>76.028878882875233</v>
      </c>
      <c r="AB254" s="1098">
        <f ca="1">(AB246/Z246*AB272+AB249/Z249*AB275+AB250/Z250*AB276)/(AB272+AB275+AB276)*Z254</f>
        <v>76.786814184920104</v>
      </c>
      <c r="AC254" s="1098">
        <f ca="1">(AC246/Z246*AC272+AC249/Z249*AC275+AC250/Z250*AC276)/(AC272+AC275+AC276)*Z254</f>
        <v>76.700352398366519</v>
      </c>
      <c r="AD254" s="1098">
        <f ca="1">(AD246/Z246*AD272+AD249/Z249*AD275+AD250/Z250*AD276)/(AD272+AD275+AD276)*Z254</f>
        <v>77.171302116861796</v>
      </c>
      <c r="AE254" s="1098">
        <f ca="1">(AE246/AD246*AE272+AE249/AD249*AE275+AE250/AD250*AE276)/(AE272+AE275+AE276)*AD254</f>
        <v>77.207835449009238</v>
      </c>
      <c r="AF254" s="1098">
        <f ca="1">(AF246/AD246*AF272+AF249/AD249*AF275+AF250/AD250*AF276)/(AF272+AF275+AF276)*AD254</f>
        <v>78.190227251310233</v>
      </c>
      <c r="AG254" s="1098">
        <f ca="1">(AG246/AD246*AG272+AG249/AD249*AG275+AG250/AD250*AG276)/(AG272+AG275+AG276)*AD254</f>
        <v>78.424131300301042</v>
      </c>
      <c r="AH254" s="1098">
        <f ca="1">(AH246/AD246*AH272+AH249/AD249*AH275+AH250/AD250*AH276)/(AH272+AH275+AH276)*AD254</f>
        <v>79.243359001046855</v>
      </c>
      <c r="AI254" s="1098">
        <f ca="1">(AI246/AH246*AI272+AI249/AH249*AI275+AI250/AH250*AI276)/(AI272+AI275+AI276)*AH254</f>
        <v>79.347077792787104</v>
      </c>
      <c r="AJ254" s="1098">
        <f ca="1">(AJ246/AH246*AJ272+AJ249/AH249*AJ275+AJ250/AH250*AJ276)/(AJ272+AJ275+AJ276)*AH254</f>
        <v>79.900872212722277</v>
      </c>
      <c r="AK254" s="1098">
        <f ca="1">(AK246/AH246*AK272+AK249/AH249*AK275+AK250/AH250*AK276)/(AK272+AK275+AK276)*AH254</f>
        <v>79.921663450026131</v>
      </c>
      <c r="AL254" s="1098">
        <f ca="1">(AL246/AH246*AL272+AL249/AH249*AL275+AL250/AH250*AL276)/(AL272+AL275+AL276)*AH254</f>
        <v>80.347436765875528</v>
      </c>
      <c r="AM254" s="1098">
        <f ca="1">(AM246/AL246*AM272+AM249/AL249*AM275+AM250/AL250*AM276)/(AM272+AM275+AM276)*AL254</f>
        <v>80.406290385716972</v>
      </c>
      <c r="AN254" s="1098">
        <f ca="1">(AN246/AL246*AN272+AN249/AL249*AN275+AN250/AL250*AN276)/(AN272+AN275+AN276)*AL254</f>
        <v>81.37705192453241</v>
      </c>
      <c r="AO254" s="1098">
        <f ca="1">(AO246/AL246*AO272+AO249/AL249*AO275+AO250/AL250*AO276)/(AO272+AO275+AO276)*AL254</f>
        <v>81.247508832594789</v>
      </c>
      <c r="AP254" s="1098">
        <f ca="1">(AP246/AL246*AP272+AP249/AL249*AP275+AP250/AL250*AP276)/(AP272+AP275+AP276)*AL254</f>
        <v>81.801953137594239</v>
      </c>
      <c r="AQ254" s="1098">
        <f ca="1">(AQ246/AP246*AQ272+AQ249/AP249*AQ275+AQ250/AP250*AQ276)/(AQ272+AQ275+AQ276)*AP254</f>
        <v>81.742357962241016</v>
      </c>
      <c r="AR254" s="1098">
        <f ca="1">(AR246/AP246*AR272+AR249/AP249*AR275+AR250/AP250*AR276)/(AR272+AR275+AR276)*AP254</f>
        <v>82.527580521260504</v>
      </c>
      <c r="AS254" s="1098">
        <f ca="1">(AS246/AP246*AS272+AS249/AP249*AS275+AS250/AP250*AS276)/(AS272+AS275+AS276)*AP254</f>
        <v>82.362509037570376</v>
      </c>
      <c r="AT254" s="1098">
        <f ca="1">(AT246/AP246*AT272+AT249/AP249*AT275+AT250/AP250*AT276)/(AT272+AT275+AT276)*AP254</f>
        <v>82.786923200749598</v>
      </c>
      <c r="AU254" s="1098">
        <f ca="1">(AU246/AT246*AU272+AU249/AT249*AU275+AU250/AT250*AU276)/(AU272+AU275+AU276)*AT254</f>
        <v>82.852198639170709</v>
      </c>
      <c r="AV254" s="1098">
        <f ca="1">(AV246/AT246*AV272+AV249/AT249*AV275+AV250/AT250*AV276)/(AV272+AV275+AV276)*AT254</f>
        <v>83.594851328753933</v>
      </c>
      <c r="AW254" s="1098">
        <f ca="1">(AW246/AT246*AW272+AW249/AT249*AW275+AW250/AT250*AW276)/(AW272+AW275+AW276)*AT254</f>
        <v>83.405802145459162</v>
      </c>
      <c r="AX254" s="1098">
        <f ca="1">(AX246/AT246*AX272+AX249/AT249*AX275+AX250/AT250*AX276)/(AX272+AX275+AX276)*AT254</f>
        <v>84.109887786854955</v>
      </c>
      <c r="AY254" s="1098">
        <f ca="1">(AY246/AX246*AY272+AY249/AX249*AY275+AY250/AX250*AY276)/(AY272+AY275+AY276)*AX254</f>
        <v>83.97304286880086</v>
      </c>
      <c r="AZ254" s="1098">
        <f ca="1">(AZ246/AX246*AZ272+AZ249/AX249*AZ275+AZ250/AX250*AZ276)/(AZ272+AZ275+AZ276)*AX254</f>
        <v>84.967745547361403</v>
      </c>
      <c r="BA254" s="1098">
        <f ca="1">(BA246/AX246*BA272+BA249/AX249*BA275+BA250/AX250*BA276)/(BA272+BA275+BA276)*AX254</f>
        <v>84.956908043974636</v>
      </c>
      <c r="BB254" s="1098">
        <f ca="1">(BB246/AX246*BB272+BB249/AX249*BB275+BB250/AX250*BB276)/(BB272+BB275+BB276)*AX254</f>
        <v>85.443365753695971</v>
      </c>
      <c r="BC254" s="1098">
        <f ca="1">(BC246/BB246*BC272+BC249/BB249*BC275+BC250/BB250*BC276)/(BC272+BC275+BC276)*BB254</f>
        <v>85.473315634674478</v>
      </c>
      <c r="BD254" s="1098">
        <f ca="1">(BD246/BB246*BD272+BD249/BB249*BD275+BD250/BB250*BD276)/(BD272+BD275+BD276)*BB254</f>
        <v>86.551639996473654</v>
      </c>
      <c r="BE254" s="1098">
        <f ca="1">(BE246/BB246*BE272+BE249/BB249*BE275+BE250/BB250*BE276)/(BE272+BE275+BE276)*BB254</f>
        <v>86.480064981544487</v>
      </c>
      <c r="BF254" s="1098">
        <f t="shared" ref="BF254:BN254" ca="1" si="1219">(BF246/BB246*BF272+BF249/BB249*BF275+BF250/BB250*BF276)/(BF272+BF275+BF276)*BB254</f>
        <v>87.292194515791124</v>
      </c>
      <c r="BG254" s="1098">
        <f t="shared" ca="1" si="1219"/>
        <v>87.658706027748337</v>
      </c>
      <c r="BH254" s="1098">
        <f t="shared" ca="1" si="1219"/>
        <v>88.759305203957837</v>
      </c>
      <c r="BI254" s="1098">
        <f t="shared" ca="1" si="1219"/>
        <v>89.000142023889595</v>
      </c>
      <c r="BJ254" s="1098">
        <f t="shared" ca="1" si="1219"/>
        <v>89.849211044732698</v>
      </c>
      <c r="BK254" s="1098">
        <f t="shared" ca="1" si="1219"/>
        <v>89.709714568928092</v>
      </c>
      <c r="BL254" s="1098">
        <f t="shared" ca="1" si="1219"/>
        <v>90.874841923913465</v>
      </c>
      <c r="BM254" s="1098">
        <f t="shared" ca="1" si="1219"/>
        <v>90.673992354255702</v>
      </c>
      <c r="BN254" s="1098">
        <f t="shared" ca="1" si="1219"/>
        <v>91.213116099012183</v>
      </c>
      <c r="BO254" s="1098">
        <f ca="1">(BO246/BK246*BO272+BO249/BK249*BO275+BO250/BK250*BO276)/(BO272+BO275+BO276)*BK254</f>
        <v>90.710308749804511</v>
      </c>
      <c r="BP254" s="1098">
        <f ca="1">(BP246/BL246*BP272+BP249/BL249*BP275+BP250/BL250*BP276)/(BP272+BP275+BP276)*BL254</f>
        <v>91.827157422484447</v>
      </c>
      <c r="BQ254" s="1098">
        <f ca="1">(BQ246/BM246*BQ272+BQ249/BM249*BQ275+BQ250/BM250*BQ276)/(BQ272+BQ275+BQ276)*BM254</f>
        <v>91.546669893413949</v>
      </c>
      <c r="BR254" s="915">
        <f ca="1">(BR246/BN246*BR272+BR249/BN249*BR275+BR250/BN250*BR276)/(BR272+BR275+BR276)*BN254</f>
        <v>92.438470962403116</v>
      </c>
      <c r="BS254" s="915">
        <f ca="1">(BS246/BR246*BS272+BS249/BR249*BS275+BS250/BR250*BS276)/(BS272+BS275+BS276)*BR254</f>
        <v>92.296199646283199</v>
      </c>
      <c r="BT254" s="915">
        <f ca="1">(BT246/BR246*BT272+BT249/BR249*BT275+BT250/BR250*BT276)/(BT272+BT275+BT276)*BR254</f>
        <v>93.280712488466719</v>
      </c>
      <c r="BU254" s="915">
        <f ca="1">(BU246/BR246*BU272+BU249/BR249*BU275+BU250/BR250*BU276)/(BU272+BU275+BU276)*BR254</f>
        <v>93.38006203378427</v>
      </c>
      <c r="BV254" s="915">
        <f ca="1">(BV246/BS246*BV272+BV249/BS249*BV275+BV250/BS250*BV276)/(BV272+BV275+BV276)*BS254</f>
        <v>94.133588335932586</v>
      </c>
      <c r="BW254" s="915">
        <f ca="1">(BW246/BV246*BW272+BW249/BV249*BW275+BW250/BV250*BW276)/(BW272+BW275+BW276)*BV254</f>
        <v>94.296083138483695</v>
      </c>
      <c r="BX254" s="915">
        <f ca="1">(BX246/BV246*BX272+BX249/BV249*BX275+BX250/BV250*BX276)/(BX272+BX275+BX276)*BV254</f>
        <v>95.250527307694853</v>
      </c>
      <c r="BY254" s="915">
        <f ca="1">(BY246/BW246*BY272+BY249/BW249*BY275+BY250/BW250*BY276)/(BY272+BY275+BY276)*BW254</f>
        <v>95.194884378796829</v>
      </c>
      <c r="BZ254" s="915">
        <f ca="1">(BZ246/BX246*BZ272+BZ249/BX249*BZ275+BZ250/BX250*BZ276)/(BZ272+BZ275+BZ276)*BX254</f>
        <v>96.050148660198104</v>
      </c>
      <c r="CA254" s="915">
        <f ca="1">(CA246/BZ246*CA272+CA249/BZ249*CA275+CA250/BZ250*CA276)/(CA272+CA275+CA276)*BZ254</f>
        <v>95.983367796026712</v>
      </c>
      <c r="CB254" s="915">
        <f ca="1">(CB246/BZ246*CB272+CB249/BZ249*CB275+CB250/BZ250*CB276)/(CB272+CB275+CB276)*BZ254</f>
        <v>96.954953540737648</v>
      </c>
      <c r="CC254" s="915">
        <f ca="1">(CC246/CA246*CC272+CC249/CA249*CC275+CC250/CA250*CC276)/(CC272+CC275+CC276)*CA254</f>
        <v>96.909714493784847</v>
      </c>
      <c r="CD254" s="915">
        <f ca="1">(CD246/CB246*CD272+CD249/CB249*CD275+CD250/CB250*CD276)/(CD272+CD275+CD276)*CB254</f>
        <v>97.753348845051661</v>
      </c>
      <c r="CE254" s="915">
        <f ca="1">(CE246/CD246*CE272+CE249/CD249*CE275+CE250/CD250*CE276)/(CE272+CE275+CE276)*CD254</f>
        <v>97.506857723715598</v>
      </c>
      <c r="CF254" s="915">
        <f ca="1">(CF246/CD246*CF272+CF249/CD249*CF275+CF250/CD250*CF276)/(CF272+CF275+CF276)*CD254</f>
        <v>98.669586235506856</v>
      </c>
      <c r="CG254" s="915">
        <f ca="1">(CG246/CE246*CG272+CG249/CE249*CG275+CG250/CE250*CG276)/(CG272+CG275+CG276)*CE254</f>
        <v>98.470406902841134</v>
      </c>
      <c r="CH254" s="915">
        <f ca="1">(CH246/CF246*CH272+CH249/CF249*CH275+CH250/CF250*CH276)/(CH272+CH275+CH276)*CF254</f>
        <v>99.042711608819531</v>
      </c>
      <c r="CI254" s="915">
        <f ca="1">(CI246/CH246*CI272+CI249/CH249*CI275+CI250/CH250*CI276)/(CI272+CI275+CI276)*CH254</f>
        <v>99.039639337651565</v>
      </c>
      <c r="CJ254" s="915">
        <f ca="1">(CJ246/CH246*CJ272+CJ249/CH249*CJ275+CJ250/CH250*CJ276)/(CJ272+CJ275+CJ276)*CH254</f>
        <v>100.10319550815962</v>
      </c>
      <c r="CK254" s="915">
        <f ca="1">(CK246/CI246*CK272+CK249/CI249*CK275+CK250/CI250*CK276)/(CK272+CK275+CK276)*CI254</f>
        <v>100.02115367881947</v>
      </c>
      <c r="CL254" s="915">
        <f ca="1">(CL246/CJ246*CL272+CL249/CJ249*CL275+CL250/CJ250*CL276)/(CL272+CL275+CL276)*CJ254</f>
        <v>100.9269651345556</v>
      </c>
      <c r="CM254" s="915">
        <f ca="1">(CM246/CL246*CM272+CM249/CL249*CM275+CM250/CL250*CM276)/(CM272+CM275+CM276)*CL254</f>
        <v>101.1748967114271</v>
      </c>
      <c r="CN254" s="915">
        <f ca="1">(CN246/CL246*CN272+CN249/CL249*CN275+CN250/CL250*CN276)/(CN272+CN275+CN276)*CL254</f>
        <v>102.26895737046388</v>
      </c>
      <c r="CO254" s="915">
        <f ca="1">(CO246/CM246*CO272+CO249/CM249*CO275+CO250/CM250*CO276)/(CO272+CO275+CO276)*CM254</f>
        <v>102.17325096762404</v>
      </c>
      <c r="CP254" s="915">
        <f ca="1">(CP246/CN246*CP272+CP249/CN249*CP275+CP250/CN250*CP276)/(CP272+CP275+CP276)*CN254</f>
        <v>102.56280107483593</v>
      </c>
      <c r="CQ254" s="915">
        <f ca="1">(CQ246/CP246*CQ272+CQ249/CP249*CQ275+CQ250/CP250*CQ276)/(CQ272+CQ275+CQ276)*CP254</f>
        <v>102.63131464633241</v>
      </c>
      <c r="CR254" s="915">
        <f ca="1">(CR246/CP246*CR272+CR249/CP249*CR275+CR250/CP250*CR276)/(CR272+CR275+CR276)*CP254</f>
        <v>103.86595933894267</v>
      </c>
      <c r="CS254" s="915">
        <f ca="1">(CS246/CQ246*CS272+CS249/CQ249*CS275+CS250/CQ250*CS276)/(CS272+CS275+CS276)*CQ254</f>
        <v>103.9188374725933</v>
      </c>
      <c r="CT254" s="915">
        <f ca="1">(CT246/CR246*CT272+CT249/CR249*CT275+CT250/CR250*CT276)/(CT272+CT275+CT276)*CR254</f>
        <v>104.24544863118199</v>
      </c>
      <c r="CU254" s="915">
        <f ca="1">(CU246/CT246*CU272+CU249/CT249*CU275+CU250/CT250*CU276)/(CU272+CU275+CU276)*CT254</f>
        <v>104.36049352764825</v>
      </c>
      <c r="CV254" s="915">
        <f ca="1">(CV246/CT246*CV272+CV249/CT249*CV275+CV250/CT250*CV276)/(CV272+CV275+CV276)*CT254</f>
        <v>105.64555702492368</v>
      </c>
      <c r="CW254" s="915">
        <f ca="1">(CW246/CT246*CW272+CW249/CT249*CW275+CW250/CT250*CW276)/(CW272+CW275+CW276)*CT254</f>
        <v>105.95664135392974</v>
      </c>
      <c r="CX254" s="915">
        <f ca="1">(CX246/CT246*CX272+CX249/CT249*CX275+CX250/CT250*CX276)/(CX272+CX275+CX276)*CT254</f>
        <v>106.1899336283588</v>
      </c>
      <c r="CY254" s="915">
        <f ca="1">(CY246/CX246*CY272+CY249/CX249*CY275+CY250/CX250*CY276)/(CY272+CY275+CY276)*CX254</f>
        <v>105.96461381514693</v>
      </c>
      <c r="CZ254" s="915">
        <f ca="1">(CZ246/CX246*CZ272+CZ249/CX249*CZ275+CZ250/CX250*CZ276)/(CZ272+CZ275+CZ276)*CX254</f>
        <v>107.58107445451354</v>
      </c>
      <c r="DA254" s="915">
        <f ca="1">(DA246/CX246*DA272+DA249/CX249*DA275+DA250/CX250*DA276)/(DA272+DA275+DA276)*CX254</f>
        <v>108.35274271788892</v>
      </c>
      <c r="DB254" s="915">
        <f ca="1">(DB246/CX246*DB272+DB249/CX249*DB275+DB250/CX250*DB276)/(DB272+DB275+DB276)*CX254</f>
        <v>108.14758038848892</v>
      </c>
    </row>
    <row r="255" spans="1:106" customFormat="1">
      <c r="A255" s="714" t="str">
        <f>"Q" &amp; ROW(InputQ!A23)</f>
        <v>Q23</v>
      </c>
      <c r="B255" s="714"/>
      <c r="C255" s="744"/>
      <c r="D255" s="1096"/>
      <c r="E255" s="1097" t="s">
        <v>703</v>
      </c>
      <c r="F255" s="1096"/>
      <c r="G255" s="1098" t="s">
        <v>2629</v>
      </c>
      <c r="H255" s="1098" t="s">
        <v>2629</v>
      </c>
      <c r="I255" s="1098" t="s">
        <v>2629</v>
      </c>
      <c r="J255" s="1098" t="s">
        <v>2629</v>
      </c>
      <c r="K255" s="1098">
        <v>72.963333333333324</v>
      </c>
      <c r="L255" s="1098">
        <v>73.223333333333343</v>
      </c>
      <c r="M255" s="1098">
        <v>73.399999999999991</v>
      </c>
      <c r="N255" s="1098">
        <v>73.680000000000007</v>
      </c>
      <c r="O255" s="1098">
        <v>73.89</v>
      </c>
      <c r="P255" s="1098">
        <v>74.066666666666677</v>
      </c>
      <c r="Q255" s="1098">
        <v>74.226666666666674</v>
      </c>
      <c r="R255" s="1098">
        <v>74.37</v>
      </c>
      <c r="S255" s="1098">
        <v>74.713333333333352</v>
      </c>
      <c r="T255" s="1098">
        <v>74.903333333333336</v>
      </c>
      <c r="U255" s="1098">
        <v>75.23</v>
      </c>
      <c r="V255" s="1098">
        <v>75.23</v>
      </c>
      <c r="W255" s="1098">
        <f ca="1">+InputQ!W23</f>
        <v>75.55</v>
      </c>
      <c r="X255" s="1098">
        <f ca="1">+InputQ!X23</f>
        <v>75.739999999999995</v>
      </c>
      <c r="Y255" s="1098">
        <f ca="1">+InputQ!Y23</f>
        <v>75.89</v>
      </c>
      <c r="Z255" s="1098">
        <f ca="1">+InputQ!Z23</f>
        <v>76.05</v>
      </c>
      <c r="AA255" s="1098">
        <f ca="1">+InputQ!AA23</f>
        <v>76.026666666666671</v>
      </c>
      <c r="AB255" s="1098">
        <f ca="1">+InputQ!AB23</f>
        <v>76.783333333333331</v>
      </c>
      <c r="AC255" s="1098">
        <f ca="1">+InputQ!AC23</f>
        <v>76.696666666666673</v>
      </c>
      <c r="AD255" s="1098">
        <f ca="1">+InputQ!AD23</f>
        <v>77.173333333333332</v>
      </c>
      <c r="AE255" s="1098">
        <f ca="1">+InputQ!AE23</f>
        <v>77.203333333333333</v>
      </c>
      <c r="AF255" s="1098">
        <f ca="1">+InputQ!AF23</f>
        <v>78.183333333333337</v>
      </c>
      <c r="AG255" s="1098">
        <f ca="1">+InputQ!AG23</f>
        <v>78.416666666666671</v>
      </c>
      <c r="AH255" s="1098">
        <f ca="1">+InputQ!AH23</f>
        <v>79.236666666666665</v>
      </c>
      <c r="AI255" s="1098">
        <f ca="1">+InputQ!AI23</f>
        <v>79.34</v>
      </c>
      <c r="AJ255" s="1098">
        <f ca="1">+InputQ!AJ23</f>
        <v>79.893333333333331</v>
      </c>
      <c r="AK255" s="1098">
        <f ca="1">+InputQ!AK23</f>
        <v>79.913333333333341</v>
      </c>
      <c r="AL255" s="1098">
        <f ca="1">+InputQ!AL23</f>
        <v>80.343333333333348</v>
      </c>
      <c r="AM255" s="1098">
        <f ca="1">+InputQ!AM23</f>
        <v>80.399999999999991</v>
      </c>
      <c r="AN255" s="1098">
        <f ca="1">+InputQ!AN23</f>
        <v>81.366666666666674</v>
      </c>
      <c r="AO255" s="1098">
        <f ca="1">+InputQ!AO23</f>
        <v>81.239999999999995</v>
      </c>
      <c r="AP255" s="1098">
        <f ca="1">+InputQ!AP23</f>
        <v>81.793333333333337</v>
      </c>
      <c r="AQ255" s="1098">
        <f ca="1">+InputQ!AQ23</f>
        <v>81.736666666666665</v>
      </c>
      <c r="AR255" s="1098">
        <f ca="1">+InputQ!AR23</f>
        <v>82.52</v>
      </c>
      <c r="AS255" s="1098">
        <f ca="1">+InputQ!AS23</f>
        <v>82.353333333333339</v>
      </c>
      <c r="AT255" s="1098">
        <f ca="1">+InputQ!AT23</f>
        <v>82.78</v>
      </c>
      <c r="AU255" s="1098">
        <f ca="1">+InputQ!AU23</f>
        <v>82.84333333333332</v>
      </c>
      <c r="AV255" s="1098">
        <f ca="1">+InputQ!AV23</f>
        <v>83.583333333333329</v>
      </c>
      <c r="AW255" s="1098">
        <f ca="1">+InputQ!AW23</f>
        <v>83.396666666666661</v>
      </c>
      <c r="AX255" s="1098">
        <f ca="1">+InputQ!AX23</f>
        <v>84.100000000000009</v>
      </c>
      <c r="AY255" s="1098">
        <f ca="1">+InputQ!AY23</f>
        <v>83.966666666666669</v>
      </c>
      <c r="AZ255" s="1098">
        <f ca="1">+InputQ!AZ23</f>
        <v>84.956666666666663</v>
      </c>
      <c r="BA255" s="1098">
        <f ca="1">+InputQ!BA23</f>
        <v>84.95</v>
      </c>
      <c r="BB255" s="1098">
        <f ca="1">+InputQ!BB23</f>
        <v>85.436666666666667</v>
      </c>
      <c r="BC255" s="1098">
        <f ca="1">+InputQ!BC23</f>
        <v>85.466666666666654</v>
      </c>
      <c r="BD255" s="1098">
        <f ca="1">+InputQ!BD23</f>
        <v>86.54</v>
      </c>
      <c r="BE255" s="1098">
        <f ca="1">+InputQ!BE23</f>
        <v>86.473333333333343</v>
      </c>
      <c r="BF255" s="1098">
        <f ca="1">+InputQ!BF23</f>
        <v>87.283333333333346</v>
      </c>
      <c r="BG255" s="1098">
        <f ca="1">+InputQ!BG23</f>
        <v>87.61333333333333</v>
      </c>
      <c r="BH255" s="1098">
        <f ca="1">+InputQ!BH23</f>
        <v>88.720000000000013</v>
      </c>
      <c r="BI255" s="1098">
        <f ca="1">+InputQ!BI23</f>
        <v>88.98</v>
      </c>
      <c r="BJ255" s="1098">
        <f ca="1">+InputQ!BJ23</f>
        <v>89.836666666666659</v>
      </c>
      <c r="BK255" s="1098">
        <f ca="1">+InputQ!BK23</f>
        <v>89.666666666666671</v>
      </c>
      <c r="BL255" s="1098">
        <f ca="1">+InputQ!BL23</f>
        <v>90.83</v>
      </c>
      <c r="BM255" s="1098">
        <f ca="1">+InputQ!BM23</f>
        <v>90.649999999999991</v>
      </c>
      <c r="BN255" s="1098">
        <f ca="1">+InputQ!BN23</f>
        <v>91.2</v>
      </c>
      <c r="BO255" s="1098">
        <f ca="1">+InputQ!BO23</f>
        <v>90.693333333333328</v>
      </c>
      <c r="BP255" s="1098">
        <f ca="1">+InputQ!BP23</f>
        <v>91.786666666666676</v>
      </c>
      <c r="BQ255" s="1098">
        <f ca="1">+InputQ!BQ23</f>
        <v>91.56</v>
      </c>
      <c r="BR255" s="915">
        <f t="shared" ref="BR255:CH255" ca="1" si="1220">+BR254/BN254*BN255</f>
        <v>92.42517866202428</v>
      </c>
      <c r="BS255" s="915">
        <f t="shared" ca="1" si="1220"/>
        <v>92.278927448125174</v>
      </c>
      <c r="BT255" s="915">
        <f t="shared" ca="1" si="1220"/>
        <v>93.239580794337272</v>
      </c>
      <c r="BU255" s="915">
        <f t="shared" ca="1" si="1220"/>
        <v>93.393659100519429</v>
      </c>
      <c r="BV255" s="915">
        <f t="shared" ca="1" si="1220"/>
        <v>94.120052284125677</v>
      </c>
      <c r="BW255" s="915">
        <f t="shared" ca="1" si="1220"/>
        <v>94.278436684569726</v>
      </c>
      <c r="BX255" s="915">
        <f t="shared" ca="1" si="1220"/>
        <v>95.208527032928799</v>
      </c>
      <c r="BY255" s="915">
        <f t="shared" ca="1" si="1220"/>
        <v>95.208745701734003</v>
      </c>
      <c r="BZ255" s="915">
        <f t="shared" ca="1" si="1220"/>
        <v>96.036337014309424</v>
      </c>
      <c r="CA255" s="915">
        <f t="shared" ca="1" si="1220"/>
        <v>95.965405585721186</v>
      </c>
      <c r="CB255" s="915">
        <f t="shared" ref="CB255:CF255" ca="1" si="1221">+CB254/BX254*BX255</f>
        <v>96.9122017071915</v>
      </c>
      <c r="CC255" s="915">
        <f t="shared" ca="1" si="1220"/>
        <v>96.923825513059825</v>
      </c>
      <c r="CD255" s="915">
        <f t="shared" ca="1" si="1220"/>
        <v>97.739292285457381</v>
      </c>
      <c r="CE255" s="915">
        <f t="shared" ca="1" si="1220"/>
        <v>97.48861040936437</v>
      </c>
      <c r="CF255" s="915">
        <f t="shared" ca="1" si="1221"/>
        <v>98.626078342689027</v>
      </c>
      <c r="CG255" s="915">
        <f t="shared" ca="1" si="1220"/>
        <v>98.484745174469296</v>
      </c>
      <c r="CH255" s="915">
        <f t="shared" ca="1" si="1220"/>
        <v>99.028469643766087</v>
      </c>
      <c r="CI255" s="915">
        <f t="shared" ref="CI255" ca="1" si="1222">+CI254/CE254*CE255</f>
        <v>99.021105180419795</v>
      </c>
      <c r="CJ255" s="915">
        <f t="shared" ref="CJ255:CT255" ca="1" si="1223">+CJ254/CF254*CF255</f>
        <v>100.05905547203444</v>
      </c>
      <c r="CK255" s="915">
        <f t="shared" ca="1" si="1223"/>
        <v>100.03571775461764</v>
      </c>
      <c r="CL255" s="915">
        <f t="shared" ca="1" si="1223"/>
        <v>100.91245222101509</v>
      </c>
      <c r="CM255" s="915">
        <f t="shared" ca="1" si="1223"/>
        <v>101.15596296473639</v>
      </c>
      <c r="CN255" s="915">
        <f t="shared" ca="1" si="1223"/>
        <v>102.22386235176943</v>
      </c>
      <c r="CO255" s="915">
        <f t="shared" ca="1" si="1223"/>
        <v>102.18812841021399</v>
      </c>
      <c r="CP255" s="915">
        <f t="shared" ca="1" si="1223"/>
        <v>102.54805293431187</v>
      </c>
      <c r="CQ255" s="915">
        <f t="shared" ca="1" si="1223"/>
        <v>102.61210834736686</v>
      </c>
      <c r="CR255" s="915">
        <f t="shared" ca="1" si="1223"/>
        <v>103.82016012969542</v>
      </c>
      <c r="CS255" s="915">
        <f t="shared" ca="1" si="1223"/>
        <v>103.93396908995763</v>
      </c>
      <c r="CT255" s="915">
        <f t="shared" ca="1" si="1223"/>
        <v>104.23045853234211</v>
      </c>
      <c r="CU255" s="915">
        <f t="shared" ref="CU255" ca="1" si="1224">+CU254/CQ254*CQ255</f>
        <v>104.34096363225723</v>
      </c>
      <c r="CV255" s="915">
        <f t="shared" ref="CV255" ca="1" si="1225">+CV254/CR254*CR255</f>
        <v>105.59897311039556</v>
      </c>
      <c r="CW255" s="915">
        <f t="shared" ref="CW255" ca="1" si="1226">+CW254/CS254*CS255</f>
        <v>105.97206969582781</v>
      </c>
      <c r="CX255" s="915">
        <f t="shared" ref="CX255" ca="1" si="1227">+CX254/CT254*CT255</f>
        <v>106.17466391997546</v>
      </c>
      <c r="CY255" s="915">
        <f t="shared" ref="CY255" ca="1" si="1228">+CY254/CU254*CU255</f>
        <v>105.94478372664308</v>
      </c>
      <c r="CZ255" s="915">
        <f t="shared" ref="CZ255" ca="1" si="1229">+CZ254/CV254*CV255</f>
        <v>107.53363708262248</v>
      </c>
      <c r="DA255" s="915">
        <f t="shared" ref="DA255" ca="1" si="1230">+DA254/CW254*CW255</f>
        <v>108.36851995600145</v>
      </c>
      <c r="DB255" s="915">
        <f t="shared" ref="DB255" ca="1" si="1231">+DB254/CX254*CX255</f>
        <v>108.13202917795068</v>
      </c>
    </row>
    <row r="256" spans="1:106" s="1044" customFormat="1" ht="10.199999999999999">
      <c r="A256" s="723"/>
      <c r="B256" s="723"/>
      <c r="C256" s="1048"/>
      <c r="D256" s="1049"/>
      <c r="E256" s="1050" t="s">
        <v>1963</v>
      </c>
      <c r="F256" s="1049"/>
      <c r="G256" s="1051"/>
      <c r="H256" s="1051"/>
      <c r="I256" s="1051"/>
      <c r="J256" s="1051"/>
      <c r="K256" s="2858"/>
      <c r="L256" s="2858"/>
      <c r="M256" s="2858"/>
      <c r="N256" s="2858">
        <f t="shared" ref="N256:AP256" si="1232">(N255-N254)</f>
        <v>0</v>
      </c>
      <c r="O256" s="2858">
        <f t="shared" ca="1" si="1232"/>
        <v>3.5384054782241492E-3</v>
      </c>
      <c r="P256" s="2858">
        <f t="shared" ca="1" si="1232"/>
        <v>-1.647092204962064E-3</v>
      </c>
      <c r="Q256" s="2858">
        <f t="shared" ca="1" si="1232"/>
        <v>2.7052144036332493E-3</v>
      </c>
      <c r="R256" s="2858">
        <f t="shared" ca="1" si="1232"/>
        <v>4.9345461228682552E-3</v>
      </c>
      <c r="S256" s="2858">
        <f t="shared" ca="1" si="1232"/>
        <v>-2.2510450809960503E-3</v>
      </c>
      <c r="T256" s="2858">
        <f t="shared" ca="1" si="1232"/>
        <v>-3.3630256356502741E-3</v>
      </c>
      <c r="U256" s="2858">
        <f t="shared" ca="1" si="1232"/>
        <v>3.7648261296396868E-3</v>
      </c>
      <c r="V256" s="2858">
        <f t="shared" ca="1" si="1232"/>
        <v>-6.0510474287411853E-4</v>
      </c>
      <c r="W256" s="2858">
        <f t="shared" ca="1" si="1232"/>
        <v>-2.4782506238238966E-3</v>
      </c>
      <c r="X256" s="2858">
        <f t="shared" ca="1" si="1232"/>
        <v>-6.7826394948156121E-4</v>
      </c>
      <c r="Y256" s="2858">
        <f t="shared" ca="1" si="1232"/>
        <v>-1.1819494363578542E-3</v>
      </c>
      <c r="Z256" s="2858">
        <f t="shared" ca="1" si="1232"/>
        <v>1.2958028571574687E-3</v>
      </c>
      <c r="AA256" s="2858">
        <f t="shared" ca="1" si="1232"/>
        <v>-2.2122162085622676E-3</v>
      </c>
      <c r="AB256" s="2858">
        <f t="shared" ca="1" si="1232"/>
        <v>-3.48085158677236E-3</v>
      </c>
      <c r="AC256" s="2858">
        <f t="shared" ca="1" si="1232"/>
        <v>-3.6857316998464285E-3</v>
      </c>
      <c r="AD256" s="2858">
        <f t="shared" ca="1" si="1232"/>
        <v>2.0312164715363679E-3</v>
      </c>
      <c r="AE256" s="2858">
        <f t="shared" ca="1" si="1232"/>
        <v>-4.5021156759048608E-3</v>
      </c>
      <c r="AF256" s="2858">
        <f t="shared" ca="1" si="1232"/>
        <v>-6.8939179768960912E-3</v>
      </c>
      <c r="AG256" s="2858">
        <f t="shared" ca="1" si="1232"/>
        <v>-7.4646336343704434E-3</v>
      </c>
      <c r="AH256" s="2858">
        <f t="shared" ca="1" si="1232"/>
        <v>-6.6923343801903457E-3</v>
      </c>
      <c r="AI256" s="2858">
        <f t="shared" ca="1" si="1232"/>
        <v>-7.0777927871006341E-3</v>
      </c>
      <c r="AJ256" s="2858">
        <f t="shared" ca="1" si="1232"/>
        <v>-7.5388793889459293E-3</v>
      </c>
      <c r="AK256" s="2858">
        <f t="shared" ca="1" si="1232"/>
        <v>-8.330116692789602E-3</v>
      </c>
      <c r="AL256" s="2858">
        <f t="shared" ca="1" si="1232"/>
        <v>-4.1034325421804851E-3</v>
      </c>
      <c r="AM256" s="2858">
        <f t="shared" ca="1" si="1232"/>
        <v>-6.2903857169800403E-3</v>
      </c>
      <c r="AN256" s="2858">
        <f t="shared" ca="1" si="1232"/>
        <v>-1.0385257865735298E-2</v>
      </c>
      <c r="AO256" s="2858">
        <f t="shared" ca="1" si="1232"/>
        <v>-7.5088325947945123E-3</v>
      </c>
      <c r="AP256" s="2858">
        <f t="shared" ca="1" si="1232"/>
        <v>-8.619804260902697E-3</v>
      </c>
      <c r="AQ256" s="2858">
        <f t="shared" ref="AQ256:BJ256" ca="1" si="1233">(AQ255-AQ254)</f>
        <v>-5.6912955743513294E-3</v>
      </c>
      <c r="AR256" s="2858">
        <f t="shared" ca="1" si="1233"/>
        <v>-7.5805212605075667E-3</v>
      </c>
      <c r="AS256" s="2858">
        <f t="shared" ca="1" si="1233"/>
        <v>-9.1757042370375075E-3</v>
      </c>
      <c r="AT256" s="2858">
        <f t="shared" ca="1" si="1233"/>
        <v>-6.9232007495969583E-3</v>
      </c>
      <c r="AU256" s="2858">
        <f t="shared" ca="1" si="1233"/>
        <v>-8.8653058373893145E-3</v>
      </c>
      <c r="AV256" s="2858">
        <f t="shared" ca="1" si="1233"/>
        <v>-1.1517995420604166E-2</v>
      </c>
      <c r="AW256" s="2858">
        <f t="shared" ca="1" si="1233"/>
        <v>-9.135478792501317E-3</v>
      </c>
      <c r="AX256" s="2858">
        <f t="shared" ca="1" si="1233"/>
        <v>-9.887786854946512E-3</v>
      </c>
      <c r="AY256" s="2858">
        <f t="shared" ca="1" si="1233"/>
        <v>-6.3762021341915442E-3</v>
      </c>
      <c r="AZ256" s="2858">
        <f t="shared" ca="1" si="1233"/>
        <v>-1.1078880694739723E-2</v>
      </c>
      <c r="BA256" s="2858">
        <f t="shared" ca="1" si="1233"/>
        <v>-6.9080439746329603E-3</v>
      </c>
      <c r="BB256" s="2858">
        <f t="shared" ca="1" si="1233"/>
        <v>-6.6990870293039961E-3</v>
      </c>
      <c r="BC256" s="2858">
        <f t="shared" ca="1" si="1233"/>
        <v>-6.6489680078234414E-3</v>
      </c>
      <c r="BD256" s="2858">
        <f t="shared" ca="1" si="1233"/>
        <v>-1.1639996473647329E-2</v>
      </c>
      <c r="BE256" s="2858">
        <f t="shared" ca="1" si="1233"/>
        <v>-6.7316482111436926E-3</v>
      </c>
      <c r="BF256" s="2858">
        <f t="shared" ca="1" si="1233"/>
        <v>-8.8611824577782272E-3</v>
      </c>
      <c r="BG256" s="2858">
        <f ca="1">(BG255-BG254)</f>
        <v>-4.5372694415007686E-2</v>
      </c>
      <c r="BH256" s="2858">
        <f ca="1">(BH255-BH254)</f>
        <v>-3.9305203957823664E-2</v>
      </c>
      <c r="BI256" s="2858">
        <f ca="1">(BI255-BI254)</f>
        <v>-2.0142023889590632E-2</v>
      </c>
      <c r="BJ256" s="2858">
        <f t="shared" ca="1" si="1233"/>
        <v>-1.254437806603903E-2</v>
      </c>
      <c r="BK256" s="2858">
        <f t="shared" ref="BK256:BX256" ca="1" si="1234">(BK255-BK254)</f>
        <v>-4.3047902261420745E-2</v>
      </c>
      <c r="BL256" s="2858">
        <f t="shared" ca="1" si="1234"/>
        <v>-4.484192391346653E-2</v>
      </c>
      <c r="BM256" s="2858">
        <f t="shared" ca="1" si="1234"/>
        <v>-2.3992354255710779E-2</v>
      </c>
      <c r="BN256" s="2858">
        <f t="shared" ca="1" si="1234"/>
        <v>-1.3116099012179916E-2</v>
      </c>
      <c r="BO256" s="2858">
        <f t="shared" ca="1" si="1234"/>
        <v>-1.697541647118328E-2</v>
      </c>
      <c r="BP256" s="2858">
        <f t="shared" ca="1" si="1234"/>
        <v>-4.0490755817771173E-2</v>
      </c>
      <c r="BQ256" s="2858">
        <f t="shared" ca="1" si="1234"/>
        <v>1.3330106586053603E-2</v>
      </c>
      <c r="BR256" s="2858">
        <f t="shared" ca="1" si="1234"/>
        <v>-1.329230037883633E-2</v>
      </c>
      <c r="BS256" s="2858">
        <f t="shared" ca="1" si="1234"/>
        <v>-1.7272198158025276E-2</v>
      </c>
      <c r="BT256" s="2858">
        <f t="shared" ca="1" si="1234"/>
        <v>-4.1131694129447283E-2</v>
      </c>
      <c r="BU256" s="2858">
        <f t="shared" ca="1" si="1234"/>
        <v>1.3597066735158592E-2</v>
      </c>
      <c r="BV256" s="2858">
        <f t="shared" ca="1" si="1234"/>
        <v>-1.35360518069092E-2</v>
      </c>
      <c r="BW256" s="2858">
        <f t="shared" ca="1" si="1234"/>
        <v>-1.7646453913968685E-2</v>
      </c>
      <c r="BX256" s="2858">
        <f t="shared" ca="1" si="1234"/>
        <v>-4.200027476605328E-2</v>
      </c>
      <c r="BY256" s="2858">
        <f ca="1">(BY255-BY254)</f>
        <v>1.3861322937174236E-2</v>
      </c>
      <c r="BZ256" s="2858">
        <f ca="1">(BZ255-BZ254)</f>
        <v>-1.3811645888679891E-2</v>
      </c>
      <c r="CA256" s="2858">
        <f ca="1">(CA255-CA254)</f>
        <v>-1.7962210305526582E-2</v>
      </c>
      <c r="CB256" s="2858">
        <f t="shared" ref="CB256" ca="1" si="1235">(CB255-CB254)</f>
        <v>-4.2751833546148532E-2</v>
      </c>
      <c r="CC256" s="2858">
        <f ca="1">(CC255-CC254)</f>
        <v>1.4111019274977821E-2</v>
      </c>
      <c r="CD256" s="2858">
        <f ca="1">(CD255-CD254)</f>
        <v>-1.4056559594280316E-2</v>
      </c>
      <c r="CE256" s="2858">
        <f ca="1">(CE255-CE254)</f>
        <v>-1.8247314351228283E-2</v>
      </c>
      <c r="CF256" s="2858">
        <f t="shared" ref="CF256" ca="1" si="1236">(CF255-CF254)</f>
        <v>-4.350789281782852E-2</v>
      </c>
      <c r="CG256" s="2858">
        <f ca="1">(CG255-CG254)</f>
        <v>1.4338271628162147E-2</v>
      </c>
      <c r="CH256" s="2858">
        <f ca="1">(CH255-CH254)</f>
        <v>-1.424196505344355E-2</v>
      </c>
      <c r="CI256" s="2858">
        <f ca="1">(CI255-CI254)</f>
        <v>-1.8534157231769655E-2</v>
      </c>
      <c r="CJ256" s="2858">
        <f t="shared" ref="CJ256" ca="1" si="1237">(CJ255-CJ254)</f>
        <v>-4.4140036125170923E-2</v>
      </c>
      <c r="CK256" s="2858">
        <f ca="1">(CK255-CK254)</f>
        <v>1.4564075798162435E-2</v>
      </c>
      <c r="CL256" s="2858">
        <f ca="1">(CL255-CL254)</f>
        <v>-1.4512913540514205E-2</v>
      </c>
      <c r="CM256" s="2858">
        <f ca="1">(CM255-CM254)</f>
        <v>-1.8933746690706243E-2</v>
      </c>
      <c r="CN256" s="2858">
        <f t="shared" ref="CN256" ca="1" si="1238">(CN255-CN254)</f>
        <v>-4.509501869445387E-2</v>
      </c>
      <c r="CO256" s="2858">
        <f ca="1">(CO255-CO254)</f>
        <v>1.4877442589948942E-2</v>
      </c>
      <c r="CP256" s="2858">
        <f ca="1">(CP255-CP254)</f>
        <v>-1.4748140524062592E-2</v>
      </c>
      <c r="CQ256" s="2858">
        <f ca="1">(CQ255-CQ254)</f>
        <v>-1.9206298965556812E-2</v>
      </c>
      <c r="CR256" s="2858">
        <f t="shared" ref="CR256" ca="1" si="1239">(CR255-CR254)</f>
        <v>-4.5799209247249451E-2</v>
      </c>
      <c r="CS256" s="2858">
        <f ca="1">(CS255-CS254)</f>
        <v>1.5131617364332328E-2</v>
      </c>
      <c r="CT256" s="2858">
        <f ca="1">(CT255-CT254)</f>
        <v>-1.4990098839874122E-2</v>
      </c>
      <c r="CU256" s="2858">
        <f t="shared" ref="CU256:CX256" ca="1" si="1240">(CU255-CU254)</f>
        <v>-1.9529895391016794E-2</v>
      </c>
      <c r="CV256" s="2858">
        <f t="shared" ca="1" si="1240"/>
        <v>-4.6583914528113723E-2</v>
      </c>
      <c r="CW256" s="2858">
        <f t="shared" ca="1" si="1240"/>
        <v>1.5428341898072517E-2</v>
      </c>
      <c r="CX256" s="2858">
        <f t="shared" ca="1" si="1240"/>
        <v>-1.5269708383343072E-2</v>
      </c>
      <c r="CY256" s="2858">
        <f t="shared" ref="CY256:DB256" ca="1" si="1241">(CY255-CY254)</f>
        <v>-1.9830088503852039E-2</v>
      </c>
      <c r="CZ256" s="2858">
        <f t="shared" ca="1" si="1241"/>
        <v>-4.7437371891064117E-2</v>
      </c>
      <c r="DA256" s="2858">
        <f t="shared" ca="1" si="1241"/>
        <v>1.5777238112534064E-2</v>
      </c>
      <c r="DB256" s="2858">
        <f t="shared" ca="1" si="1241"/>
        <v>-1.5551210538234272E-2</v>
      </c>
    </row>
    <row r="257" spans="1:106">
      <c r="AY257" s="218"/>
      <c r="BA257" s="218"/>
      <c r="BB257" s="218"/>
      <c r="BC257" s="218"/>
      <c r="BD257" s="218"/>
      <c r="BE257" s="218"/>
      <c r="BF257" s="218"/>
      <c r="BG257" s="1602"/>
      <c r="BH257" s="1602"/>
      <c r="BI257" s="1602"/>
      <c r="BJ257" s="1602"/>
      <c r="BK257" s="1602"/>
      <c r="BL257" s="1602"/>
      <c r="BM257" s="1602"/>
      <c r="BN257" s="1602"/>
      <c r="BO257" s="1602"/>
      <c r="BP257" s="1602"/>
      <c r="BQ257" s="1602"/>
      <c r="BR257" s="1602"/>
      <c r="BS257" s="1602"/>
      <c r="BT257" s="1602"/>
      <c r="BU257" s="1602"/>
      <c r="BV257" s="1602"/>
      <c r="BW257" s="1602"/>
      <c r="BX257" s="1602"/>
      <c r="BY257" s="1602"/>
      <c r="BZ257" s="1602"/>
      <c r="CA257" s="1602"/>
      <c r="CB257" s="1602"/>
      <c r="CC257" s="1602"/>
      <c r="CD257" s="1602"/>
      <c r="CE257" s="1602"/>
      <c r="CF257" s="1602"/>
      <c r="CG257" s="1602"/>
      <c r="CH257" s="1602"/>
      <c r="CI257" s="1602"/>
      <c r="CJ257" s="1602"/>
      <c r="CK257" s="1602"/>
      <c r="CL257" s="1602"/>
      <c r="CM257" s="1602"/>
      <c r="CN257" s="1602"/>
      <c r="CO257" s="1602"/>
      <c r="CP257" s="1602"/>
      <c r="CQ257" s="1602"/>
      <c r="CR257" s="1602"/>
      <c r="CS257" s="1602"/>
      <c r="CT257" s="1602"/>
      <c r="CU257" s="1602"/>
      <c r="CV257" s="1602"/>
      <c r="CW257" s="1602"/>
      <c r="CX257" s="1602"/>
      <c r="CY257" s="1602"/>
      <c r="CZ257" s="1602"/>
      <c r="DA257" s="1602"/>
      <c r="DB257" s="1602"/>
    </row>
    <row r="258" spans="1:106" s="749" customFormat="1" ht="12.75" customHeight="1">
      <c r="A258" s="714"/>
      <c r="B258" s="714"/>
      <c r="C258" s="716"/>
      <c r="D258" s="745"/>
      <c r="E258" s="746" t="s">
        <v>1809</v>
      </c>
      <c r="F258" s="747"/>
      <c r="G258" s="1472" t="s">
        <v>364</v>
      </c>
      <c r="H258" s="1473" t="s">
        <v>671</v>
      </c>
      <c r="I258" s="1473" t="s">
        <v>672</v>
      </c>
      <c r="J258" s="1473" t="s">
        <v>673</v>
      </c>
      <c r="K258" s="1473" t="s">
        <v>364</v>
      </c>
      <c r="L258" s="1473" t="s">
        <v>671</v>
      </c>
      <c r="M258" s="1473" t="s">
        <v>672</v>
      </c>
      <c r="N258" s="1473" t="s">
        <v>673</v>
      </c>
      <c r="O258" s="1473" t="s">
        <v>364</v>
      </c>
      <c r="P258" s="1473" t="s">
        <v>671</v>
      </c>
      <c r="Q258" s="1473" t="s">
        <v>672</v>
      </c>
      <c r="R258" s="1473" t="s">
        <v>673</v>
      </c>
      <c r="S258" s="1473" t="s">
        <v>364</v>
      </c>
      <c r="T258" s="1473" t="s">
        <v>671</v>
      </c>
      <c r="U258" s="1473" t="s">
        <v>672</v>
      </c>
      <c r="V258" s="1473" t="s">
        <v>673</v>
      </c>
      <c r="W258" s="1473" t="s">
        <v>364</v>
      </c>
      <c r="X258" s="1473" t="s">
        <v>671</v>
      </c>
      <c r="Y258" s="1473" t="s">
        <v>672</v>
      </c>
      <c r="Z258" s="1473" t="s">
        <v>673</v>
      </c>
      <c r="AA258" s="1473" t="s">
        <v>364</v>
      </c>
      <c r="AB258" s="1473" t="s">
        <v>671</v>
      </c>
      <c r="AC258" s="1473" t="s">
        <v>672</v>
      </c>
      <c r="AD258" s="1473" t="s">
        <v>673</v>
      </c>
      <c r="AE258" s="1473" t="s">
        <v>364</v>
      </c>
      <c r="AF258" s="1473" t="s">
        <v>671</v>
      </c>
      <c r="AG258" s="1473" t="s">
        <v>672</v>
      </c>
      <c r="AH258" s="1473" t="s">
        <v>673</v>
      </c>
      <c r="AI258" s="1473" t="s">
        <v>364</v>
      </c>
      <c r="AJ258" s="1473" t="s">
        <v>671</v>
      </c>
      <c r="AK258" s="1473" t="s">
        <v>672</v>
      </c>
      <c r="AL258" s="1473" t="s">
        <v>673</v>
      </c>
      <c r="AM258" s="1473" t="s">
        <v>364</v>
      </c>
      <c r="AN258" s="1473" t="s">
        <v>671</v>
      </c>
      <c r="AO258" s="1473" t="s">
        <v>672</v>
      </c>
      <c r="AP258" s="1473" t="s">
        <v>673</v>
      </c>
      <c r="AQ258" s="1473" t="s">
        <v>364</v>
      </c>
      <c r="AR258" s="1473" t="s">
        <v>671</v>
      </c>
      <c r="AS258" s="1473" t="s">
        <v>672</v>
      </c>
      <c r="AT258" s="1473" t="s">
        <v>673</v>
      </c>
      <c r="AU258" s="1473" t="s">
        <v>364</v>
      </c>
      <c r="AV258" s="1473" t="s">
        <v>671</v>
      </c>
      <c r="AW258" s="1473" t="s">
        <v>672</v>
      </c>
      <c r="AX258" s="1473" t="s">
        <v>673</v>
      </c>
      <c r="AY258" s="1473" t="s">
        <v>364</v>
      </c>
      <c r="AZ258" s="1473" t="s">
        <v>671</v>
      </c>
      <c r="BA258" s="1473" t="s">
        <v>672</v>
      </c>
      <c r="BB258" s="1473" t="s">
        <v>673</v>
      </c>
      <c r="BC258" s="1473" t="s">
        <v>364</v>
      </c>
      <c r="BD258" s="1473" t="s">
        <v>671</v>
      </c>
      <c r="BE258" s="1473" t="s">
        <v>672</v>
      </c>
      <c r="BF258" s="1473" t="s">
        <v>673</v>
      </c>
      <c r="BG258" s="1473" t="s">
        <v>364</v>
      </c>
      <c r="BH258" s="1473" t="s">
        <v>671</v>
      </c>
      <c r="BI258" s="1473" t="s">
        <v>672</v>
      </c>
      <c r="BJ258" s="1473" t="s">
        <v>673</v>
      </c>
      <c r="BK258" s="1473" t="s">
        <v>364</v>
      </c>
      <c r="BL258" s="1473" t="s">
        <v>671</v>
      </c>
      <c r="BM258" s="1473" t="s">
        <v>672</v>
      </c>
      <c r="BN258" s="1473" t="s">
        <v>673</v>
      </c>
      <c r="BO258" s="1473" t="s">
        <v>364</v>
      </c>
      <c r="BP258" s="1473" t="s">
        <v>671</v>
      </c>
      <c r="BQ258" s="1473" t="s">
        <v>672</v>
      </c>
      <c r="BR258" s="1473" t="s">
        <v>673</v>
      </c>
      <c r="BS258" s="1473" t="s">
        <v>364</v>
      </c>
      <c r="BT258" s="1473" t="s">
        <v>671</v>
      </c>
      <c r="BU258" s="1473" t="s">
        <v>672</v>
      </c>
      <c r="BV258" s="1473" t="s">
        <v>673</v>
      </c>
      <c r="BW258" s="1473" t="s">
        <v>364</v>
      </c>
      <c r="BX258" s="1473" t="s">
        <v>671</v>
      </c>
      <c r="BY258" s="1473" t="s">
        <v>672</v>
      </c>
      <c r="BZ258" s="1473" t="s">
        <v>673</v>
      </c>
      <c r="CA258" s="1473" t="s">
        <v>364</v>
      </c>
      <c r="CB258" s="1473" t="s">
        <v>671</v>
      </c>
      <c r="CC258" s="1473" t="s">
        <v>672</v>
      </c>
      <c r="CD258" s="1473" t="s">
        <v>673</v>
      </c>
      <c r="CE258" s="1473" t="s">
        <v>364</v>
      </c>
      <c r="CF258" s="1473" t="s">
        <v>671</v>
      </c>
      <c r="CG258" s="1473" t="s">
        <v>672</v>
      </c>
      <c r="CH258" s="1473" t="s">
        <v>673</v>
      </c>
      <c r="CI258" s="1473" t="s">
        <v>364</v>
      </c>
      <c r="CJ258" s="1473" t="s">
        <v>671</v>
      </c>
      <c r="CK258" s="1473" t="s">
        <v>672</v>
      </c>
      <c r="CL258" s="1473" t="s">
        <v>673</v>
      </c>
      <c r="CM258" s="1473" t="s">
        <v>364</v>
      </c>
      <c r="CN258" s="1473" t="s">
        <v>671</v>
      </c>
      <c r="CO258" s="1473" t="s">
        <v>672</v>
      </c>
      <c r="CP258" s="1473" t="s">
        <v>673</v>
      </c>
      <c r="CQ258" s="1473" t="s">
        <v>364</v>
      </c>
      <c r="CR258" s="1473" t="s">
        <v>671</v>
      </c>
      <c r="CS258" s="1473" t="s">
        <v>672</v>
      </c>
      <c r="CT258" s="1473" t="s">
        <v>673</v>
      </c>
      <c r="CU258" s="1473" t="s">
        <v>364</v>
      </c>
      <c r="CV258" s="1473" t="s">
        <v>671</v>
      </c>
      <c r="CW258" s="1473" t="s">
        <v>672</v>
      </c>
      <c r="CX258" s="1473" t="s">
        <v>673</v>
      </c>
      <c r="CY258" s="1473" t="s">
        <v>364</v>
      </c>
      <c r="CZ258" s="1473" t="s">
        <v>671</v>
      </c>
      <c r="DA258" s="1473" t="s">
        <v>672</v>
      </c>
      <c r="DB258" s="1473" t="s">
        <v>673</v>
      </c>
    </row>
    <row r="259" spans="1:106" s="749" customFormat="1" ht="12.75" customHeight="1">
      <c r="A259" s="714"/>
      <c r="B259" s="714"/>
      <c r="C259" s="1464"/>
      <c r="D259" s="718"/>
      <c r="E259" s="750" t="s">
        <v>609</v>
      </c>
      <c r="F259" s="751"/>
      <c r="G259" s="828"/>
      <c r="H259" s="828"/>
      <c r="I259" s="828"/>
      <c r="J259" s="828"/>
      <c r="K259" s="828"/>
      <c r="L259" s="828"/>
      <c r="M259" s="828"/>
      <c r="N259" s="828">
        <f t="shared" ref="N259:N265" si="1242">AVERAGE(K246:N246)</f>
        <v>85.460000000000008</v>
      </c>
      <c r="O259" s="828"/>
      <c r="P259" s="828"/>
      <c r="Q259" s="828"/>
      <c r="R259" s="828">
        <f t="shared" ref="R259:R265" si="1243">AVERAGE(O246:R246)</f>
        <v>85.563333333333347</v>
      </c>
      <c r="S259" s="828"/>
      <c r="T259" s="828"/>
      <c r="U259" s="828"/>
      <c r="V259" s="828">
        <f t="shared" ref="V259:V265" si="1244">AVERAGE(S246:V246)</f>
        <v>86.139166666666668</v>
      </c>
      <c r="W259" s="828"/>
      <c r="X259" s="828"/>
      <c r="Y259" s="828"/>
      <c r="Z259" s="828">
        <f t="shared" ref="Z259:Z265" ca="1" si="1245">AVERAGE(W246:Z246)</f>
        <v>86.84416666666668</v>
      </c>
      <c r="AA259" s="828"/>
      <c r="AB259" s="828"/>
      <c r="AC259" s="828"/>
      <c r="AD259" s="828">
        <f t="shared" ref="AD259:AD265" ca="1" si="1246">AVERAGE(AA246:AD246)</f>
        <v>86.867499999999993</v>
      </c>
      <c r="AE259" s="828"/>
      <c r="AF259" s="828"/>
      <c r="AG259" s="828"/>
      <c r="AH259" s="828">
        <f t="shared" ref="AH259:AH265" ca="1" si="1247">AVERAGE(AE246:AH246)</f>
        <v>88.589166666666671</v>
      </c>
      <c r="AI259" s="828"/>
      <c r="AJ259" s="828"/>
      <c r="AK259" s="828"/>
      <c r="AL259" s="828">
        <f t="shared" ref="AL259:AL265" ca="1" si="1248">AVERAGE(AI246:AL246)</f>
        <v>90.06</v>
      </c>
      <c r="AM259" s="828"/>
      <c r="AN259" s="828"/>
      <c r="AO259" s="828"/>
      <c r="AP259" s="828">
        <f t="shared" ref="AP259:AP265" ca="1" si="1249">AVERAGE(AM246:AP246)</f>
        <v>90.953333333333319</v>
      </c>
      <c r="AQ259" s="828"/>
      <c r="AR259" s="828"/>
      <c r="AS259" s="828"/>
      <c r="AT259" s="828">
        <f ca="1">AVERAGE(AQ246:AT246)</f>
        <v>91.232500000000016</v>
      </c>
      <c r="AU259" s="828"/>
      <c r="AV259" s="828"/>
      <c r="AW259" s="828"/>
      <c r="AX259" s="828">
        <f t="shared" ref="AX259:AX265" ca="1" si="1250">AVERAGE(AU246:AX246)</f>
        <v>91.477499999999992</v>
      </c>
      <c r="AY259" s="828"/>
      <c r="AZ259" s="828"/>
      <c r="BA259" s="828"/>
      <c r="BB259" s="828">
        <f t="shared" ref="BB259:BB265" ca="1" si="1251">AVERAGE(AY246:BB246)</f>
        <v>92.31583333333333</v>
      </c>
      <c r="BC259" s="828"/>
      <c r="BD259" s="828"/>
      <c r="BE259" s="828"/>
      <c r="BF259" s="828">
        <f t="shared" ref="BF259:BF264" ca="1" si="1252">AVERAGE(BC246:BF246)</f>
        <v>93.11666666666666</v>
      </c>
      <c r="BG259" s="886"/>
      <c r="BH259" s="886"/>
      <c r="BI259" s="886"/>
      <c r="BJ259" s="828">
        <f t="shared" ref="BJ259:BJ264" ca="1" si="1253">AVERAGE(BG246:BJ246)</f>
        <v>94.330000000000013</v>
      </c>
      <c r="BK259" s="886"/>
      <c r="BL259" s="886"/>
      <c r="BM259" s="886"/>
      <c r="BN259" s="828">
        <f t="shared" ref="BN259:BN264" ca="1" si="1254">AVERAGE(BK246:BN246)</f>
        <v>95.689166666666651</v>
      </c>
      <c r="BO259" s="886"/>
      <c r="BP259" s="886"/>
      <c r="BQ259" s="886"/>
      <c r="BR259" s="886">
        <f t="shared" ref="BR259:BR265" ca="1" si="1255">AVERAGE(BO246:BR246)</f>
        <v>96.45</v>
      </c>
      <c r="BS259" s="886"/>
      <c r="BT259" s="886"/>
      <c r="BU259" s="886"/>
      <c r="BV259" s="886">
        <f t="shared" ref="BV259:BV265" ca="1" si="1256">AVERAGE(BS246:BV246)</f>
        <v>97.374166666666667</v>
      </c>
      <c r="BW259" s="886"/>
      <c r="BX259" s="886"/>
      <c r="BY259" s="886"/>
      <c r="BZ259" s="886">
        <f t="shared" ref="BZ259:BZ265" ca="1" si="1257">AVERAGE(BW246:BZ246)</f>
        <v>98.243333333333325</v>
      </c>
      <c r="CA259" s="886"/>
      <c r="CB259" s="886"/>
      <c r="CC259" s="886"/>
      <c r="CD259" s="886">
        <f t="shared" ref="CD259:CD265" ca="1" si="1258">AVERAGE(CA246:CD246)</f>
        <v>99.20750000000001</v>
      </c>
      <c r="CE259" s="886"/>
      <c r="CF259" s="886"/>
      <c r="CG259" s="886"/>
      <c r="CH259" s="886">
        <f t="shared" ref="CH259:CH265" ca="1" si="1259">AVERAGE(CE246:CH246)</f>
        <v>99.54</v>
      </c>
      <c r="CI259" s="886"/>
      <c r="CJ259" s="886"/>
      <c r="CK259" s="886"/>
      <c r="CL259" s="886">
        <f t="shared" ref="CL259:CL265" ca="1" si="1260">AVERAGE(CI246:CL246)</f>
        <v>99.999166666666667</v>
      </c>
      <c r="CM259" s="886"/>
      <c r="CN259" s="886"/>
      <c r="CO259" s="886"/>
      <c r="CP259" s="886">
        <f t="shared" ref="CP259:CP265" ca="1" si="1261">AVERAGE(CM246:CP246)</f>
        <v>101.00833333333334</v>
      </c>
      <c r="CQ259" s="886"/>
      <c r="CR259" s="886"/>
      <c r="CS259" s="886"/>
      <c r="CT259" s="886">
        <f t="shared" ref="CT259:CT265" ca="1" si="1262">AVERAGE(CQ246:CT246)</f>
        <v>101.82583333333334</v>
      </c>
      <c r="CU259" s="886"/>
      <c r="CV259" s="886"/>
      <c r="CW259" s="886"/>
      <c r="CX259" s="886">
        <f t="shared" ref="CX259:CX265" ca="1" si="1263">AVERAGE(CU246:CX246)</f>
        <v>102.85087796505539</v>
      </c>
      <c r="CY259" s="886"/>
      <c r="CZ259" s="886"/>
      <c r="DA259" s="886"/>
      <c r="DB259" s="886">
        <f t="shared" ref="DB259:DB265" ca="1" si="1264">AVERAGE(CY246:DB246)</f>
        <v>103.93770724032156</v>
      </c>
    </row>
    <row r="260" spans="1:106" s="749" customFormat="1" ht="12.75" customHeight="1">
      <c r="A260" s="714"/>
      <c r="B260" s="714"/>
      <c r="C260" s="1465"/>
      <c r="D260" s="724"/>
      <c r="E260" s="830" t="s">
        <v>610</v>
      </c>
      <c r="F260" s="754"/>
      <c r="G260" s="756"/>
      <c r="H260" s="756"/>
      <c r="I260" s="756"/>
      <c r="J260" s="756"/>
      <c r="K260" s="756"/>
      <c r="L260" s="756"/>
      <c r="M260" s="756"/>
      <c r="N260" s="756">
        <f t="shared" si="1242"/>
        <v>57.81583333333333</v>
      </c>
      <c r="O260" s="756"/>
      <c r="P260" s="756"/>
      <c r="Q260" s="756"/>
      <c r="R260" s="756">
        <f t="shared" si="1243"/>
        <v>59.640833333333333</v>
      </c>
      <c r="S260" s="756"/>
      <c r="T260" s="756"/>
      <c r="U260" s="756"/>
      <c r="V260" s="756">
        <f t="shared" si="1244"/>
        <v>57.514166666666661</v>
      </c>
      <c r="W260" s="756"/>
      <c r="X260" s="756"/>
      <c r="Y260" s="756"/>
      <c r="Z260" s="756">
        <f t="shared" ca="1" si="1245"/>
        <v>58.657499999999999</v>
      </c>
      <c r="AA260" s="756"/>
      <c r="AB260" s="756"/>
      <c r="AC260" s="756"/>
      <c r="AD260" s="756">
        <f t="shared" ca="1" si="1246"/>
        <v>68.230833333333337</v>
      </c>
      <c r="AE260" s="756"/>
      <c r="AF260" s="756"/>
      <c r="AG260" s="756"/>
      <c r="AH260" s="756">
        <f t="shared" ca="1" si="1247"/>
        <v>69.169999999999987</v>
      </c>
      <c r="AI260" s="756"/>
      <c r="AJ260" s="756"/>
      <c r="AK260" s="756"/>
      <c r="AL260" s="756">
        <f t="shared" ca="1" si="1248"/>
        <v>66.656666666666666</v>
      </c>
      <c r="AM260" s="756"/>
      <c r="AN260" s="756"/>
      <c r="AO260" s="756"/>
      <c r="AP260" s="756">
        <f t="shared" ca="1" si="1249"/>
        <v>66.774166666666659</v>
      </c>
      <c r="AQ260" s="756"/>
      <c r="AR260" s="756"/>
      <c r="AS260" s="756"/>
      <c r="AT260" s="756">
        <f t="shared" ref="AT260:AT265" ca="1" si="1265">AVERAGE(AQ247:AT247)</f>
        <v>71.180000000000007</v>
      </c>
      <c r="AU260" s="756"/>
      <c r="AV260" s="756"/>
      <c r="AW260" s="756"/>
      <c r="AX260" s="756">
        <f t="shared" ca="1" si="1250"/>
        <v>80.22</v>
      </c>
      <c r="AY260" s="756"/>
      <c r="AZ260" s="756"/>
      <c r="BA260" s="756"/>
      <c r="BB260" s="756">
        <f t="shared" ca="1" si="1251"/>
        <v>86.054166666666674</v>
      </c>
      <c r="BC260" s="756"/>
      <c r="BD260" s="756"/>
      <c r="BE260" s="756"/>
      <c r="BF260" s="756">
        <f t="shared" ca="1" si="1252"/>
        <v>86.242499999999993</v>
      </c>
      <c r="BG260" s="836"/>
      <c r="BH260" s="836"/>
      <c r="BI260" s="836"/>
      <c r="BJ260" s="756">
        <f t="shared" ca="1" si="1253"/>
        <v>103.35416666666667</v>
      </c>
      <c r="BK260" s="836"/>
      <c r="BL260" s="836"/>
      <c r="BM260" s="836"/>
      <c r="BN260" s="756">
        <f t="shared" ca="1" si="1254"/>
        <v>88.90583333333332</v>
      </c>
      <c r="BO260" s="836"/>
      <c r="BP260" s="836"/>
      <c r="BQ260" s="836"/>
      <c r="BR260" s="836">
        <f t="shared" ca="1" si="1255"/>
        <v>97.773333333333326</v>
      </c>
      <c r="BS260" s="836"/>
      <c r="BT260" s="836"/>
      <c r="BU260" s="836"/>
      <c r="BV260" s="836">
        <f t="shared" ca="1" si="1256"/>
        <v>114.41250000000001</v>
      </c>
      <c r="BW260" s="836"/>
      <c r="BX260" s="836"/>
      <c r="BY260" s="836"/>
      <c r="BZ260" s="836">
        <f t="shared" ca="1" si="1257"/>
        <v>121.27083333333334</v>
      </c>
      <c r="CA260" s="836"/>
      <c r="CB260" s="836"/>
      <c r="CC260" s="836"/>
      <c r="CD260" s="836">
        <f t="shared" ca="1" si="1258"/>
        <v>115.69166666666666</v>
      </c>
      <c r="CE260" s="836"/>
      <c r="CF260" s="836"/>
      <c r="CG260" s="836"/>
      <c r="CH260" s="836">
        <f t="shared" ca="1" si="1259"/>
        <v>108.69666666666666</v>
      </c>
      <c r="CI260" s="836"/>
      <c r="CJ260" s="836"/>
      <c r="CK260" s="836"/>
      <c r="CL260" s="836">
        <f t="shared" ca="1" si="1260"/>
        <v>99.999166666666667</v>
      </c>
      <c r="CM260" s="836"/>
      <c r="CN260" s="836"/>
      <c r="CO260" s="836"/>
      <c r="CP260" s="836">
        <f t="shared" ca="1" si="1261"/>
        <v>99.400833333333338</v>
      </c>
      <c r="CQ260" s="836"/>
      <c r="CR260" s="836"/>
      <c r="CS260" s="836"/>
      <c r="CT260" s="836">
        <f t="shared" ca="1" si="1262"/>
        <v>109.19333333333333</v>
      </c>
      <c r="CU260" s="836"/>
      <c r="CV260" s="836"/>
      <c r="CW260" s="836"/>
      <c r="CX260" s="836">
        <f t="shared" ca="1" si="1263"/>
        <v>107.67070494304062</v>
      </c>
      <c r="CY260" s="836"/>
      <c r="CZ260" s="836"/>
      <c r="DA260" s="836"/>
      <c r="DB260" s="836">
        <f t="shared" ca="1" si="1264"/>
        <v>106.22689860195854</v>
      </c>
    </row>
    <row r="261" spans="1:106" s="749" customFormat="1" ht="12.75" customHeight="1">
      <c r="A261" s="714"/>
      <c r="B261" s="714"/>
      <c r="C261" s="1465"/>
      <c r="D261" s="724"/>
      <c r="E261" s="830" t="s">
        <v>612</v>
      </c>
      <c r="F261" s="754"/>
      <c r="G261" s="756"/>
      <c r="H261" s="756"/>
      <c r="I261" s="756"/>
      <c r="J261" s="756"/>
      <c r="K261" s="756"/>
      <c r="L261" s="756"/>
      <c r="M261" s="756"/>
      <c r="N261" s="756">
        <f t="shared" si="1242"/>
        <v>66.68416666666667</v>
      </c>
      <c r="O261" s="756"/>
      <c r="P261" s="756"/>
      <c r="Q261" s="756"/>
      <c r="R261" s="756">
        <f t="shared" si="1243"/>
        <v>68.476666666666659</v>
      </c>
      <c r="S261" s="756"/>
      <c r="T261" s="756"/>
      <c r="U261" s="756"/>
      <c r="V261" s="756">
        <f t="shared" si="1244"/>
        <v>69.972500000000011</v>
      </c>
      <c r="W261" s="756"/>
      <c r="X261" s="756"/>
      <c r="Y261" s="756"/>
      <c r="Z261" s="756">
        <f t="shared" ca="1" si="1245"/>
        <v>69.990833333333342</v>
      </c>
      <c r="AA261" s="756"/>
      <c r="AB261" s="756"/>
      <c r="AC261" s="756"/>
      <c r="AD261" s="756">
        <f t="shared" ca="1" si="1246"/>
        <v>70.15666666666668</v>
      </c>
      <c r="AE261" s="756"/>
      <c r="AF261" s="756"/>
      <c r="AG261" s="756"/>
      <c r="AH261" s="756">
        <f t="shared" ca="1" si="1247"/>
        <v>75.017500000000013</v>
      </c>
      <c r="AI261" s="756"/>
      <c r="AJ261" s="756"/>
      <c r="AK261" s="756"/>
      <c r="AL261" s="756">
        <f t="shared" ca="1" si="1248"/>
        <v>77.424999999999997</v>
      </c>
      <c r="AM261" s="756"/>
      <c r="AN261" s="756"/>
      <c r="AO261" s="756"/>
      <c r="AP261" s="756">
        <f t="shared" ca="1" si="1249"/>
        <v>78.75</v>
      </c>
      <c r="AQ261" s="756"/>
      <c r="AR261" s="756"/>
      <c r="AS261" s="756"/>
      <c r="AT261" s="756">
        <f t="shared" ca="1" si="1265"/>
        <v>79.470833333333331</v>
      </c>
      <c r="AU261" s="756"/>
      <c r="AV261" s="756"/>
      <c r="AW261" s="756"/>
      <c r="AX261" s="756">
        <f t="shared" ca="1" si="1250"/>
        <v>80.811666666666653</v>
      </c>
      <c r="AY261" s="756"/>
      <c r="AZ261" s="756"/>
      <c r="BA261" s="756"/>
      <c r="BB261" s="756">
        <f t="shared" ca="1" si="1251"/>
        <v>83.431666666666658</v>
      </c>
      <c r="BC261" s="756"/>
      <c r="BD261" s="756"/>
      <c r="BE261" s="756"/>
      <c r="BF261" s="756">
        <f t="shared" ca="1" si="1252"/>
        <v>85.944166666666661</v>
      </c>
      <c r="BG261" s="836"/>
      <c r="BH261" s="836"/>
      <c r="BI261" s="836"/>
      <c r="BJ261" s="756">
        <f t="shared" ca="1" si="1253"/>
        <v>88.325833333333321</v>
      </c>
      <c r="BK261" s="836"/>
      <c r="BL261" s="836"/>
      <c r="BM261" s="836"/>
      <c r="BN261" s="756">
        <f t="shared" ca="1" si="1254"/>
        <v>88.641666666666652</v>
      </c>
      <c r="BO261" s="836"/>
      <c r="BP261" s="836"/>
      <c r="BQ261" s="836"/>
      <c r="BR261" s="836">
        <f t="shared" ca="1" si="1255"/>
        <v>91.767499999999998</v>
      </c>
      <c r="BS261" s="836"/>
      <c r="BT261" s="836"/>
      <c r="BU261" s="836"/>
      <c r="BV261" s="836">
        <f t="shared" ca="1" si="1256"/>
        <v>91.975833333333341</v>
      </c>
      <c r="BW261" s="836"/>
      <c r="BX261" s="836"/>
      <c r="BY261" s="836"/>
      <c r="BZ261" s="836">
        <f t="shared" ca="1" si="1257"/>
        <v>95.099166666666676</v>
      </c>
      <c r="CA261" s="836"/>
      <c r="CB261" s="836"/>
      <c r="CC261" s="836"/>
      <c r="CD261" s="836">
        <f t="shared" ca="1" si="1258"/>
        <v>99.246666666666655</v>
      </c>
      <c r="CE261" s="836"/>
      <c r="CF261" s="836"/>
      <c r="CG261" s="836"/>
      <c r="CH261" s="836">
        <f t="shared" ca="1" si="1259"/>
        <v>97.932500000000005</v>
      </c>
      <c r="CI261" s="836"/>
      <c r="CJ261" s="836"/>
      <c r="CK261" s="836"/>
      <c r="CL261" s="836">
        <f t="shared" ca="1" si="1260"/>
        <v>100.00083333333333</v>
      </c>
      <c r="CM261" s="836"/>
      <c r="CN261" s="836"/>
      <c r="CO261" s="836"/>
      <c r="CP261" s="836">
        <f t="shared" ca="1" si="1261"/>
        <v>102.56333333333332</v>
      </c>
      <c r="CQ261" s="836"/>
      <c r="CR261" s="836"/>
      <c r="CS261" s="836"/>
      <c r="CT261" s="836">
        <f t="shared" ca="1" si="1262"/>
        <v>102.63416666666667</v>
      </c>
      <c r="CU261" s="836"/>
      <c r="CV261" s="836"/>
      <c r="CW261" s="836"/>
      <c r="CX261" s="836">
        <f t="shared" ca="1" si="1263"/>
        <v>105.0082543117322</v>
      </c>
      <c r="CY261" s="836"/>
      <c r="CZ261" s="836"/>
      <c r="DA261" s="836"/>
      <c r="DB261" s="836">
        <f t="shared" ca="1" si="1264"/>
        <v>107.55464510727879</v>
      </c>
    </row>
    <row r="262" spans="1:106" s="749" customFormat="1" ht="12.75" customHeight="1">
      <c r="A262" s="714"/>
      <c r="B262" s="714"/>
      <c r="C262" s="1465"/>
      <c r="D262" s="724"/>
      <c r="E262" s="830" t="s">
        <v>611</v>
      </c>
      <c r="F262" s="754"/>
      <c r="G262" s="756"/>
      <c r="H262" s="756"/>
      <c r="I262" s="756"/>
      <c r="J262" s="756"/>
      <c r="K262" s="756"/>
      <c r="L262" s="756"/>
      <c r="M262" s="756"/>
      <c r="N262" s="756">
        <f t="shared" si="1242"/>
        <v>63.280833333333334</v>
      </c>
      <c r="O262" s="756"/>
      <c r="P262" s="756"/>
      <c r="Q262" s="756"/>
      <c r="R262" s="756">
        <f t="shared" si="1243"/>
        <v>64.704999999999998</v>
      </c>
      <c r="S262" s="756"/>
      <c r="T262" s="756"/>
      <c r="U262" s="756"/>
      <c r="V262" s="756">
        <f t="shared" si="1244"/>
        <v>65.61333333333333</v>
      </c>
      <c r="W262" s="756"/>
      <c r="X262" s="756"/>
      <c r="Y262" s="756"/>
      <c r="Z262" s="756">
        <f t="shared" ca="1" si="1245"/>
        <v>66.025000000000006</v>
      </c>
      <c r="AA262" s="756"/>
      <c r="AB262" s="756"/>
      <c r="AC262" s="756"/>
      <c r="AD262" s="756">
        <f t="shared" ca="1" si="1246"/>
        <v>66.880833333333328</v>
      </c>
      <c r="AE262" s="756"/>
      <c r="AF262" s="756"/>
      <c r="AG262" s="756"/>
      <c r="AH262" s="756">
        <f t="shared" ca="1" si="1247"/>
        <v>68.331666666666678</v>
      </c>
      <c r="AI262" s="756"/>
      <c r="AJ262" s="756"/>
      <c r="AK262" s="756"/>
      <c r="AL262" s="756">
        <f t="shared" ca="1" si="1248"/>
        <v>69.346666666666664</v>
      </c>
      <c r="AM262" s="756"/>
      <c r="AN262" s="756"/>
      <c r="AO262" s="756"/>
      <c r="AP262" s="756">
        <f t="shared" ca="1" si="1249"/>
        <v>71.254999999999995</v>
      </c>
      <c r="AQ262" s="756"/>
      <c r="AR262" s="756"/>
      <c r="AS262" s="756"/>
      <c r="AT262" s="756">
        <f t="shared" ca="1" si="1265"/>
        <v>72.836666666666673</v>
      </c>
      <c r="AU262" s="756"/>
      <c r="AV262" s="756"/>
      <c r="AW262" s="756"/>
      <c r="AX262" s="756">
        <f t="shared" ca="1" si="1250"/>
        <v>74.315000000000012</v>
      </c>
      <c r="AY262" s="756"/>
      <c r="AZ262" s="756"/>
      <c r="BA262" s="756"/>
      <c r="BB262" s="756">
        <f t="shared" ca="1" si="1251"/>
        <v>75.84</v>
      </c>
      <c r="BC262" s="756"/>
      <c r="BD262" s="756"/>
      <c r="BE262" s="756"/>
      <c r="BF262" s="756">
        <f t="shared" ca="1" si="1252"/>
        <v>79.374166666666667</v>
      </c>
      <c r="BG262" s="836"/>
      <c r="BH262" s="836"/>
      <c r="BI262" s="836"/>
      <c r="BJ262" s="756">
        <f t="shared" ca="1" si="1253"/>
        <v>85.537500000000009</v>
      </c>
      <c r="BK262" s="836"/>
      <c r="BL262" s="836"/>
      <c r="BM262" s="836"/>
      <c r="BN262" s="756">
        <f t="shared" ca="1" si="1254"/>
        <v>86.963333333333338</v>
      </c>
      <c r="BO262" s="836"/>
      <c r="BP262" s="836"/>
      <c r="BQ262" s="836"/>
      <c r="BR262" s="836">
        <f t="shared" ca="1" si="1255"/>
        <v>87.870833333333337</v>
      </c>
      <c r="BS262" s="836"/>
      <c r="BT262" s="836"/>
      <c r="BU262" s="836"/>
      <c r="BV262" s="836">
        <f t="shared" ca="1" si="1256"/>
        <v>90.589166666666685</v>
      </c>
      <c r="BW262" s="836"/>
      <c r="BX262" s="836"/>
      <c r="BY262" s="836"/>
      <c r="BZ262" s="836">
        <f t="shared" ca="1" si="1257"/>
        <v>93.366666666666674</v>
      </c>
      <c r="CA262" s="836"/>
      <c r="CB262" s="836"/>
      <c r="CC262" s="836"/>
      <c r="CD262" s="836">
        <f t="shared" ca="1" si="1258"/>
        <v>96.367500000000007</v>
      </c>
      <c r="CE262" s="836"/>
      <c r="CF262" s="836"/>
      <c r="CG262" s="836"/>
      <c r="CH262" s="836">
        <f t="shared" ca="1" si="1259"/>
        <v>98.431666666666672</v>
      </c>
      <c r="CI262" s="836"/>
      <c r="CJ262" s="836"/>
      <c r="CK262" s="836"/>
      <c r="CL262" s="836">
        <f t="shared" ca="1" si="1260"/>
        <v>99.999166666666667</v>
      </c>
      <c r="CM262" s="836"/>
      <c r="CN262" s="836"/>
      <c r="CO262" s="836"/>
      <c r="CP262" s="836">
        <f t="shared" ca="1" si="1261"/>
        <v>103.45166666666667</v>
      </c>
      <c r="CQ262" s="836"/>
      <c r="CR262" s="836"/>
      <c r="CS262" s="836"/>
      <c r="CT262" s="836">
        <f t="shared" ca="1" si="1262"/>
        <v>105.66916666666667</v>
      </c>
      <c r="CU262" s="836"/>
      <c r="CV262" s="836"/>
      <c r="CW262" s="836"/>
      <c r="CX262" s="836">
        <f t="shared" ca="1" si="1263"/>
        <v>108.77943178536566</v>
      </c>
      <c r="CY262" s="836"/>
      <c r="CZ262" s="836"/>
      <c r="DA262" s="836"/>
      <c r="DB262" s="836">
        <f t="shared" ca="1" si="1264"/>
        <v>111.48702968513636</v>
      </c>
    </row>
    <row r="263" spans="1:106" customFormat="1">
      <c r="A263" s="714"/>
      <c r="B263" s="714"/>
      <c r="C263" s="1114"/>
      <c r="D263" s="1110"/>
      <c r="E263" s="1111" t="s">
        <v>92</v>
      </c>
      <c r="F263" s="1110"/>
      <c r="G263" s="1116"/>
      <c r="H263" s="1116"/>
      <c r="I263" s="1116"/>
      <c r="J263" s="1116"/>
      <c r="K263" s="1116"/>
      <c r="L263" s="1116"/>
      <c r="M263" s="1116"/>
      <c r="N263" s="1116">
        <f t="shared" si="1242"/>
        <v>67.873333333333335</v>
      </c>
      <c r="O263" s="1116"/>
      <c r="P263" s="1116"/>
      <c r="Q263" s="1116"/>
      <c r="R263" s="1116">
        <f t="shared" si="1243"/>
        <v>69.010000000000005</v>
      </c>
      <c r="S263" s="1116"/>
      <c r="T263" s="1116"/>
      <c r="U263" s="1116"/>
      <c r="V263" s="1116">
        <f t="shared" si="1244"/>
        <v>70.149166666666673</v>
      </c>
      <c r="W263" s="1116"/>
      <c r="X263" s="1116"/>
      <c r="Y263" s="1116"/>
      <c r="Z263" s="1116">
        <f t="shared" ca="1" si="1245"/>
        <v>71.216666666666669</v>
      </c>
      <c r="AA263" s="1116"/>
      <c r="AB263" s="1116"/>
      <c r="AC263" s="1116"/>
      <c r="AD263" s="1116">
        <f t="shared" ca="1" si="1246"/>
        <v>72.830833333333331</v>
      </c>
      <c r="AE263" s="1116"/>
      <c r="AF263" s="1116"/>
      <c r="AG263" s="1116"/>
      <c r="AH263" s="1116">
        <f t="shared" ca="1" si="1247"/>
        <v>74.323333333333323</v>
      </c>
      <c r="AI263" s="1116"/>
      <c r="AJ263" s="1116"/>
      <c r="AK263" s="1116"/>
      <c r="AL263" s="1116">
        <f t="shared" ca="1" si="1248"/>
        <v>76.248333333333335</v>
      </c>
      <c r="AM263" s="1116"/>
      <c r="AN263" s="1116"/>
      <c r="AO263" s="1116"/>
      <c r="AP263" s="1116">
        <f t="shared" ca="1" si="1249"/>
        <v>77.691666666666663</v>
      </c>
      <c r="AQ263" s="1116"/>
      <c r="AR263" s="1116"/>
      <c r="AS263" s="1116"/>
      <c r="AT263" s="1116">
        <f t="shared" ca="1" si="1265"/>
        <v>79.337500000000006</v>
      </c>
      <c r="AU263" s="1116"/>
      <c r="AV263" s="1116"/>
      <c r="AW263" s="1116"/>
      <c r="AX263" s="1116">
        <f t="shared" ca="1" si="1250"/>
        <v>81.018333333333345</v>
      </c>
      <c r="AY263" s="1116"/>
      <c r="AZ263" s="1116"/>
      <c r="BA263" s="1116"/>
      <c r="BB263" s="1116">
        <f t="shared" ca="1" si="1251"/>
        <v>82.69583333333334</v>
      </c>
      <c r="BC263" s="1116"/>
      <c r="BD263" s="1116"/>
      <c r="BE263" s="1116"/>
      <c r="BF263" s="1116">
        <f t="shared" ca="1" si="1252"/>
        <v>84.271666666666675</v>
      </c>
      <c r="BG263" s="980"/>
      <c r="BH263" s="980"/>
      <c r="BI263" s="980"/>
      <c r="BJ263" s="966">
        <f t="shared" ca="1" si="1253"/>
        <v>86.17916666666666</v>
      </c>
      <c r="BK263" s="980"/>
      <c r="BL263" s="980"/>
      <c r="BM263" s="980"/>
      <c r="BN263" s="966">
        <f t="shared" ca="1" si="1254"/>
        <v>88.45</v>
      </c>
      <c r="BO263" s="980"/>
      <c r="BP263" s="980"/>
      <c r="BQ263" s="980"/>
      <c r="BR263" s="980">
        <f t="shared" ca="1" si="1255"/>
        <v>89.685833333333349</v>
      </c>
      <c r="BS263" s="980"/>
      <c r="BT263" s="980"/>
      <c r="BU263" s="980"/>
      <c r="BV263" s="980">
        <f t="shared" ca="1" si="1256"/>
        <v>91.410833333333329</v>
      </c>
      <c r="BW263" s="980"/>
      <c r="BX263" s="980"/>
      <c r="BY263" s="980"/>
      <c r="BZ263" s="980">
        <f t="shared" ca="1" si="1257"/>
        <v>93.730833333333322</v>
      </c>
      <c r="CA263" s="980"/>
      <c r="CB263" s="980"/>
      <c r="CC263" s="980"/>
      <c r="CD263" s="980">
        <f t="shared" ca="1" si="1258"/>
        <v>95.493333333333325</v>
      </c>
      <c r="CE263" s="980"/>
      <c r="CF263" s="980"/>
      <c r="CG263" s="980"/>
      <c r="CH263" s="980">
        <f t="shared" ca="1" si="1259"/>
        <v>97.64166666666668</v>
      </c>
      <c r="CI263" s="980"/>
      <c r="CJ263" s="980"/>
      <c r="CK263" s="980"/>
      <c r="CL263" s="980">
        <f t="shared" ca="1" si="1260"/>
        <v>100</v>
      </c>
      <c r="CM263" s="980"/>
      <c r="CN263" s="980"/>
      <c r="CO263" s="980"/>
      <c r="CP263" s="980">
        <f t="shared" ca="1" si="1261"/>
        <v>102.23166666666665</v>
      </c>
      <c r="CQ263" s="980"/>
      <c r="CR263" s="980"/>
      <c r="CS263" s="980"/>
      <c r="CT263" s="980">
        <f t="shared" ca="1" si="1262"/>
        <v>104.18166666666667</v>
      </c>
      <c r="CU263" s="980"/>
      <c r="CV263" s="980"/>
      <c r="CW263" s="980"/>
      <c r="CX263" s="980">
        <f t="shared" ca="1" si="1263"/>
        <v>106.22235858090809</v>
      </c>
      <c r="CY263" s="980"/>
      <c r="CZ263" s="980"/>
      <c r="DA263" s="980"/>
      <c r="DB263" s="980">
        <f t="shared" ca="1" si="1264"/>
        <v>108.55515362208634</v>
      </c>
    </row>
    <row r="264" spans="1:106" customFormat="1">
      <c r="A264" s="714"/>
      <c r="B264" s="714"/>
      <c r="C264" s="744"/>
      <c r="D264" s="1096"/>
      <c r="E264" s="1097" t="s">
        <v>276</v>
      </c>
      <c r="F264" s="1096"/>
      <c r="G264" s="1098"/>
      <c r="H264" s="1098"/>
      <c r="I264" s="1098"/>
      <c r="J264" s="1098"/>
      <c r="K264" s="1098"/>
      <c r="L264" s="1098"/>
      <c r="M264" s="1098"/>
      <c r="N264" s="1098">
        <f t="shared" si="1242"/>
        <v>70.936666666666667</v>
      </c>
      <c r="O264" s="1098"/>
      <c r="P264" s="1098"/>
      <c r="Q264" s="1098"/>
      <c r="R264" s="1098">
        <f t="shared" ca="1" si="1243"/>
        <v>70.18906381658806</v>
      </c>
      <c r="S264" s="1098"/>
      <c r="T264" s="1098"/>
      <c r="U264" s="1098"/>
      <c r="V264" s="1098">
        <f t="shared" ca="1" si="1244"/>
        <v>69.394198499074719</v>
      </c>
      <c r="W264" s="1098"/>
      <c r="X264" s="1098"/>
      <c r="Y264" s="1098"/>
      <c r="Z264" s="1098">
        <f t="shared" ca="1" si="1245"/>
        <v>70.110530819595354</v>
      </c>
      <c r="AA264" s="1098"/>
      <c r="AB264" s="1098"/>
      <c r="AC264" s="1098"/>
      <c r="AD264" s="1098">
        <f t="shared" ca="1" si="1246"/>
        <v>72.006630043638182</v>
      </c>
      <c r="AE264" s="1098"/>
      <c r="AF264" s="1098"/>
      <c r="AG264" s="1098"/>
      <c r="AH264" s="1098">
        <f t="shared" ca="1" si="1247"/>
        <v>73.812908620972408</v>
      </c>
      <c r="AI264" s="1098"/>
      <c r="AJ264" s="1098"/>
      <c r="AK264" s="1098"/>
      <c r="AL264" s="1098">
        <f t="shared" ca="1" si="1248"/>
        <v>74.96468445614326</v>
      </c>
      <c r="AM264" s="1098"/>
      <c r="AN264" s="1098"/>
      <c r="AO264" s="1098"/>
      <c r="AP264" s="1098">
        <f t="shared" ca="1" si="1249"/>
        <v>76.103138772110924</v>
      </c>
      <c r="AQ264" s="1098"/>
      <c r="AR264" s="1098"/>
      <c r="AS264" s="1098"/>
      <c r="AT264" s="1098">
        <f t="shared" ca="1" si="1265"/>
        <v>77.518974319972102</v>
      </c>
      <c r="AU264" s="1098"/>
      <c r="AV264" s="1098"/>
      <c r="AW264" s="1098"/>
      <c r="AX264" s="1098">
        <f t="shared" ca="1" si="1250"/>
        <v>82.656493945454372</v>
      </c>
      <c r="AY264" s="1098"/>
      <c r="AZ264" s="1098"/>
      <c r="BA264" s="1098"/>
      <c r="BB264" s="1098">
        <f t="shared" ca="1" si="1251"/>
        <v>84.5998617146372</v>
      </c>
      <c r="BC264" s="1098"/>
      <c r="BD264" s="1098"/>
      <c r="BE264" s="1098"/>
      <c r="BF264" s="1098">
        <f t="shared" ca="1" si="1252"/>
        <v>86.130578114393614</v>
      </c>
      <c r="BG264" s="915"/>
      <c r="BH264" s="915"/>
      <c r="BI264" s="915"/>
      <c r="BJ264" s="820">
        <f t="shared" ca="1" si="1253"/>
        <v>90.014946888444328</v>
      </c>
      <c r="BK264" s="915"/>
      <c r="BL264" s="915"/>
      <c r="BM264" s="915"/>
      <c r="BN264" s="820">
        <f t="shared" ca="1" si="1254"/>
        <v>90.038241478665057</v>
      </c>
      <c r="BO264" s="915"/>
      <c r="BP264" s="915"/>
      <c r="BQ264" s="915"/>
      <c r="BR264" s="915">
        <f t="shared" ca="1" si="1255"/>
        <v>92.119794869141344</v>
      </c>
      <c r="BS264" s="915"/>
      <c r="BT264" s="915"/>
      <c r="BU264" s="915"/>
      <c r="BV264" s="915">
        <f t="shared" ca="1" si="1256"/>
        <v>95.24020286019794</v>
      </c>
      <c r="BW264" s="915"/>
      <c r="BX264" s="915"/>
      <c r="BY264" s="915"/>
      <c r="BZ264" s="915">
        <f t="shared" ca="1" si="1257"/>
        <v>97.746969193493115</v>
      </c>
      <c r="CA264" s="915"/>
      <c r="CB264" s="915"/>
      <c r="CC264" s="915"/>
      <c r="CD264" s="915">
        <f t="shared" ca="1" si="1258"/>
        <v>98.976622917586866</v>
      </c>
      <c r="CE264" s="915"/>
      <c r="CF264" s="915"/>
      <c r="CG264" s="915"/>
      <c r="CH264" s="915">
        <f t="shared" ca="1" si="1259"/>
        <v>99.465231651335969</v>
      </c>
      <c r="CI264" s="915"/>
      <c r="CJ264" s="915"/>
      <c r="CK264" s="915"/>
      <c r="CL264" s="915">
        <f t="shared" ca="1" si="1260"/>
        <v>100.05997448294794</v>
      </c>
      <c r="CM264" s="915"/>
      <c r="CN264" s="915"/>
      <c r="CO264" s="915"/>
      <c r="CP264" s="915">
        <f t="shared" ca="1" si="1261"/>
        <v>101.86203865408143</v>
      </c>
      <c r="CQ264" s="915"/>
      <c r="CR264" s="915"/>
      <c r="CS264" s="915"/>
      <c r="CT264" s="915">
        <f t="shared" ca="1" si="1262"/>
        <v>104.10924569103062</v>
      </c>
      <c r="CU264" s="915"/>
      <c r="CV264" s="915"/>
      <c r="CW264" s="915"/>
      <c r="CX264" s="915">
        <f t="shared" ca="1" si="1263"/>
        <v>105.74421237777509</v>
      </c>
      <c r="CY264" s="915"/>
      <c r="CZ264" s="915"/>
      <c r="DA264" s="915"/>
      <c r="DB264" s="915">
        <f t="shared" ca="1" si="1264"/>
        <v>107.47234608661451</v>
      </c>
    </row>
    <row r="265" spans="1:106" customFormat="1">
      <c r="A265" s="714"/>
      <c r="B265" s="714"/>
      <c r="C265" s="744"/>
      <c r="D265" s="1096"/>
      <c r="E265" s="1097" t="s">
        <v>1139</v>
      </c>
      <c r="F265" s="1096"/>
      <c r="G265" s="1098"/>
      <c r="H265" s="1098"/>
      <c r="I265" s="1098"/>
      <c r="J265" s="1098">
        <f>AVERAGE(G252:J252)</f>
        <v>83.762500000000003</v>
      </c>
      <c r="K265" s="1098"/>
      <c r="L265" s="1098">
        <f>AVERAGE(I252:L252)</f>
        <v>77.134999999999991</v>
      </c>
      <c r="M265" s="1098"/>
      <c r="N265" s="1098">
        <f t="shared" si="1242"/>
        <v>70.475833333333327</v>
      </c>
      <c r="O265" s="1098"/>
      <c r="P265" s="1098">
        <f>AVERAGE(M252:P252)</f>
        <v>71.028333333333336</v>
      </c>
      <c r="Q265" s="1098"/>
      <c r="R265" s="1098">
        <f t="shared" si="1243"/>
        <v>71.534999999999997</v>
      </c>
      <c r="S265" s="1098"/>
      <c r="T265" s="1098">
        <f>AVERAGE(Q252:T252)</f>
        <v>71.89166666666668</v>
      </c>
      <c r="U265" s="1098"/>
      <c r="V265" s="1098">
        <f t="shared" si="1244"/>
        <v>72.18416666666667</v>
      </c>
      <c r="W265" s="1098"/>
      <c r="X265" s="1098">
        <f ca="1">AVERAGE(U252:X252)</f>
        <v>72.532499999999999</v>
      </c>
      <c r="Y265" s="1098"/>
      <c r="Z265" s="1098">
        <f t="shared" ca="1" si="1245"/>
        <v>73.00333333333333</v>
      </c>
      <c r="AA265" s="1098"/>
      <c r="AB265" s="1098">
        <f ca="1">AVERAGE(Y252:AB252)</f>
        <v>73.772499999999994</v>
      </c>
      <c r="AC265" s="1098"/>
      <c r="AD265" s="1098">
        <f t="shared" ca="1" si="1246"/>
        <v>74.959166666666675</v>
      </c>
      <c r="AE265" s="1098"/>
      <c r="AF265" s="1098">
        <f ca="1">AVERAGE(AC252:AF252)</f>
        <v>75.975833333333341</v>
      </c>
      <c r="AG265" s="1098"/>
      <c r="AH265" s="1098">
        <f t="shared" ca="1" si="1247"/>
        <v>76.784166666666664</v>
      </c>
      <c r="AI265" s="1098"/>
      <c r="AJ265" s="1098">
        <f ca="1">AVERAGE(AG252:AJ252)</f>
        <v>77.510000000000005</v>
      </c>
      <c r="AK265" s="1098"/>
      <c r="AL265" s="1098">
        <f t="shared" ca="1" si="1248"/>
        <v>77.972500000000011</v>
      </c>
      <c r="AM265" s="1098"/>
      <c r="AN265" s="1098">
        <f ca="1">AVERAGE(AK252:AN252)</f>
        <v>78.523333333333341</v>
      </c>
      <c r="AO265" s="1098"/>
      <c r="AP265" s="1098">
        <f t="shared" ca="1" si="1249"/>
        <v>79.155000000000001</v>
      </c>
      <c r="AQ265" s="1098"/>
      <c r="AR265" s="1098">
        <f ca="1">AVERAGE(AO252:AR252)</f>
        <v>79.779166666666654</v>
      </c>
      <c r="AS265" s="1098"/>
      <c r="AT265" s="1098">
        <f t="shared" ca="1" si="1265"/>
        <v>80.625</v>
      </c>
      <c r="AU265" s="1098"/>
      <c r="AV265" s="1098">
        <f ca="1">AVERAGE(AS252:AV252)</f>
        <v>81.594166666666666</v>
      </c>
      <c r="AW265" s="1098"/>
      <c r="AX265" s="1098">
        <f t="shared" ca="1" si="1250"/>
        <v>82.670833333333334</v>
      </c>
      <c r="AY265" s="1098"/>
      <c r="AZ265" s="1098">
        <f ca="1">AVERAGE(AW252:AZ252)</f>
        <v>83.733333333333334</v>
      </c>
      <c r="BA265" s="1098"/>
      <c r="BB265" s="1098">
        <f t="shared" ca="1" si="1251"/>
        <v>84.595000000000013</v>
      </c>
      <c r="BC265" s="1098"/>
      <c r="BD265" s="1098">
        <f ca="1">AVERAGE(BA252:BD252)</f>
        <v>85.274999999999991</v>
      </c>
      <c r="BE265" s="1098"/>
      <c r="BF265" s="1098">
        <f ca="1">AVERAGE(BC252:BF252)</f>
        <v>86.131666666666661</v>
      </c>
      <c r="BG265" s="915"/>
      <c r="BH265" s="1098">
        <f ca="1">AVERAGE(BE252:BH252)</f>
        <v>88.021666666666661</v>
      </c>
      <c r="BI265" s="915"/>
      <c r="BJ265" s="820">
        <f ca="1">AVERAGE(BG252:BJ252)</f>
        <v>89.998333333333335</v>
      </c>
      <c r="BK265" s="915"/>
      <c r="BL265" s="1098">
        <f ca="1">AVERAGE(BI252:BL252)</f>
        <v>90.297499999999999</v>
      </c>
      <c r="BM265" s="915"/>
      <c r="BN265" s="820">
        <f ca="1">AVERAGE(BK252:BN252)</f>
        <v>89.992500000000007</v>
      </c>
      <c r="BO265" s="915"/>
      <c r="BP265" s="1098">
        <f ca="1">AVERAGE(BM252:BP252)</f>
        <v>90.798333333333332</v>
      </c>
      <c r="BQ265" s="915"/>
      <c r="BR265" s="915">
        <f t="shared" ca="1" si="1255"/>
        <v>92.096643568921706</v>
      </c>
      <c r="BS265" s="915"/>
      <c r="BT265" s="1098">
        <f ca="1">AVERAGE(BQ252:BT252)</f>
        <v>93.617785246308188</v>
      </c>
      <c r="BU265" s="915"/>
      <c r="BV265" s="915">
        <f t="shared" ca="1" si="1256"/>
        <v>95.216275181566672</v>
      </c>
      <c r="BW265" s="915"/>
      <c r="BX265" s="1098">
        <f ca="1">AVERAGE(BU252:BX252)</f>
        <v>96.595107980694735</v>
      </c>
      <c r="BY265" s="915"/>
      <c r="BZ265" s="915">
        <f t="shared" ca="1" si="1257"/>
        <v>97.722450885236256</v>
      </c>
      <c r="CA265" s="915"/>
      <c r="CB265" s="1098">
        <f ca="1">AVERAGE(BY252:CB252)</f>
        <v>98.414425818133694</v>
      </c>
      <c r="CC265" s="915"/>
      <c r="CD265" s="915">
        <f t="shared" ca="1" si="1258"/>
        <v>98.951829637314617</v>
      </c>
      <c r="CE265" s="915"/>
      <c r="CF265" s="1098">
        <f ca="1">AVERAGE(CC252:CF252)</f>
        <v>99.346226911642333</v>
      </c>
      <c r="CG265" s="915"/>
      <c r="CH265" s="915">
        <f t="shared" ca="1" si="1259"/>
        <v>99.440370292367717</v>
      </c>
      <c r="CI265" s="915"/>
      <c r="CJ265" s="1098">
        <f ca="1">AVERAGE(CG252:CJ252)</f>
        <v>99.505965256811407</v>
      </c>
      <c r="CK265" s="915"/>
      <c r="CL265" s="915">
        <f t="shared" ca="1" si="1260"/>
        <v>100.03488170946527</v>
      </c>
      <c r="CM265" s="915"/>
      <c r="CN265" s="1098">
        <f ca="1">AVERAGE(CK252:CN252)</f>
        <v>100.84499652985913</v>
      </c>
      <c r="CO265" s="915"/>
      <c r="CP265" s="915">
        <f t="shared" ca="1" si="1261"/>
        <v>101.83647270347551</v>
      </c>
      <c r="CQ265" s="915"/>
      <c r="CR265" s="1098">
        <f ca="1">AVERAGE(CO252:CR252)</f>
        <v>103.08709769108556</v>
      </c>
      <c r="CS265" s="915"/>
      <c r="CT265" s="915">
        <f t="shared" ca="1" si="1262"/>
        <v>104.08314754622047</v>
      </c>
      <c r="CU265" s="915"/>
      <c r="CV265" s="1098">
        <f ca="1">AVERAGE(CS252:CV252)</f>
        <v>104.91835658500236</v>
      </c>
      <c r="CW265" s="915"/>
      <c r="CX265" s="915">
        <f t="shared" ca="1" si="1263"/>
        <v>105.71772765627794</v>
      </c>
      <c r="CY265" s="915"/>
      <c r="CZ265" s="1098">
        <f ca="1">AVERAGE(CW252:CZ252)</f>
        <v>106.47687824610155</v>
      </c>
      <c r="DA265" s="915"/>
      <c r="DB265" s="915">
        <f t="shared" ca="1" si="1264"/>
        <v>107.44543097388588</v>
      </c>
    </row>
    <row r="266" spans="1:106" s="1044" customFormat="1" ht="10.199999999999999">
      <c r="A266" s="723"/>
      <c r="B266" s="723"/>
      <c r="C266" s="1048"/>
      <c r="D266" s="1049"/>
      <c r="E266" s="1050" t="s">
        <v>1963</v>
      </c>
      <c r="F266" s="1049"/>
      <c r="G266" s="1051"/>
      <c r="H266" s="1051"/>
      <c r="I266" s="1051"/>
      <c r="J266" s="1051"/>
      <c r="K266" s="2858"/>
      <c r="L266" s="2858"/>
      <c r="M266" s="2858"/>
      <c r="N266" s="2858">
        <f>(N265-N264)</f>
        <v>-0.46083333333334053</v>
      </c>
      <c r="O266" s="2858"/>
      <c r="P266" s="2858"/>
      <c r="Q266" s="2858"/>
      <c r="R266" s="2858">
        <f ca="1">(R265-R264)</f>
        <v>1.3459361834119363</v>
      </c>
      <c r="S266" s="2858"/>
      <c r="T266" s="2858"/>
      <c r="U266" s="2858"/>
      <c r="V266" s="2858">
        <f ca="1">(V265-V264)</f>
        <v>2.789968167591951</v>
      </c>
      <c r="W266" s="2858"/>
      <c r="X266" s="2858"/>
      <c r="Y266" s="2858"/>
      <c r="Z266" s="2858">
        <f ca="1">(Z265-Z264)</f>
        <v>2.8928025137379763</v>
      </c>
      <c r="AA266" s="2858"/>
      <c r="AB266" s="2858"/>
      <c r="AC266" s="2858"/>
      <c r="AD266" s="2858">
        <f ca="1">(AD265-AD264)</f>
        <v>2.9525366230284931</v>
      </c>
      <c r="AE266" s="2858"/>
      <c r="AF266" s="2858"/>
      <c r="AG266" s="2858"/>
      <c r="AH266" s="2858">
        <f ca="1">(AH265-AH264)</f>
        <v>2.9712580456942561</v>
      </c>
      <c r="AI266" s="2858"/>
      <c r="AJ266" s="2858"/>
      <c r="AK266" s="2858"/>
      <c r="AL266" s="2858">
        <f ca="1">(AL265-AL264)</f>
        <v>3.0078155438567507</v>
      </c>
      <c r="AM266" s="2858"/>
      <c r="AN266" s="2858"/>
      <c r="AO266" s="2858"/>
      <c r="AP266" s="2858">
        <f ca="1">(AP265-AP264)</f>
        <v>3.0518612278890771</v>
      </c>
      <c r="AQ266" s="2858"/>
      <c r="AR266" s="2858"/>
      <c r="AS266" s="2858"/>
      <c r="AT266" s="2858">
        <f ca="1">(AT265-AT264)</f>
        <v>3.1060256800278978</v>
      </c>
      <c r="AU266" s="2858"/>
      <c r="AV266" s="2858"/>
      <c r="AW266" s="2858"/>
      <c r="AX266" s="2858">
        <f ca="1">(AX265-AX264)</f>
        <v>1.4339387878962384E-2</v>
      </c>
      <c r="AY266" s="2858"/>
      <c r="AZ266" s="2858"/>
      <c r="BA266" s="2858"/>
      <c r="BB266" s="2858">
        <f ca="1">(BB265-BB264)</f>
        <v>-4.8617146371867648E-3</v>
      </c>
      <c r="BC266" s="2858"/>
      <c r="BD266" s="2858"/>
      <c r="BE266" s="2858"/>
      <c r="BF266" s="2858">
        <f ca="1">(BF265-BF264)</f>
        <v>1.0885522730461616E-3</v>
      </c>
      <c r="BG266" s="2865"/>
      <c r="BH266" s="2865"/>
      <c r="BI266" s="2865"/>
      <c r="BJ266" s="2858"/>
      <c r="BK266" s="2865"/>
      <c r="BL266" s="2865"/>
      <c r="BM266" s="2865"/>
      <c r="BN266" s="2858"/>
      <c r="BO266" s="2865"/>
      <c r="BP266" s="2865"/>
      <c r="BQ266" s="2865"/>
      <c r="BR266" s="2865"/>
      <c r="BS266" s="2865"/>
      <c r="BT266" s="2865"/>
      <c r="BU266" s="2865"/>
      <c r="BV266" s="2865"/>
      <c r="BW266" s="2865"/>
      <c r="BX266" s="2865"/>
      <c r="BY266" s="2865"/>
      <c r="BZ266" s="2865"/>
      <c r="CA266" s="2865"/>
      <c r="CB266" s="2865"/>
      <c r="CC266" s="2865"/>
      <c r="CD266" s="2865"/>
      <c r="CE266" s="2865"/>
      <c r="CF266" s="2865"/>
      <c r="CG266" s="2865"/>
      <c r="CH266" s="2865"/>
      <c r="CI266" s="2865"/>
      <c r="CJ266" s="2865"/>
      <c r="CK266" s="2865"/>
      <c r="CL266" s="2865"/>
      <c r="CM266" s="2865"/>
      <c r="CN266" s="2865"/>
      <c r="CO266" s="2865"/>
      <c r="CP266" s="2865"/>
      <c r="CQ266" s="2865"/>
      <c r="CR266" s="2865"/>
      <c r="CS266" s="2865"/>
      <c r="CT266" s="2865"/>
      <c r="CU266" s="2865"/>
      <c r="CV266" s="2865"/>
      <c r="CW266" s="2865"/>
      <c r="CX266" s="2865"/>
      <c r="CY266" s="2865"/>
      <c r="CZ266" s="2865"/>
      <c r="DA266" s="2865"/>
      <c r="DB266" s="2865"/>
    </row>
    <row r="267" spans="1:106" customFormat="1">
      <c r="A267" s="714"/>
      <c r="B267" s="714"/>
      <c r="C267" s="744"/>
      <c r="D267" s="1096"/>
      <c r="E267" s="1097" t="s">
        <v>1812</v>
      </c>
      <c r="F267" s="1096"/>
      <c r="G267" s="1098"/>
      <c r="H267" s="1098"/>
      <c r="I267" s="1098"/>
      <c r="J267" s="1098"/>
      <c r="K267" s="1098"/>
      <c r="L267" s="1098"/>
      <c r="M267" s="1098"/>
      <c r="N267" s="1098">
        <f>AVERAGE(K254:N254)</f>
        <v>73.680000000000007</v>
      </c>
      <c r="O267" s="1098"/>
      <c r="P267" s="1098"/>
      <c r="Q267" s="1098"/>
      <c r="R267" s="1098">
        <f ca="1">AVERAGE(O254:R254)</f>
        <v>74.135950564883402</v>
      </c>
      <c r="S267" s="1098"/>
      <c r="T267" s="1098"/>
      <c r="U267" s="1098"/>
      <c r="V267" s="1098">
        <f ca="1">AVERAGE(S254:V254)</f>
        <v>75.019780253999144</v>
      </c>
      <c r="W267" s="1098"/>
      <c r="X267" s="1098"/>
      <c r="Y267" s="1098"/>
      <c r="Z267" s="1098">
        <f ca="1">AVERAGE(W254:Z254)</f>
        <v>75.808260665288131</v>
      </c>
      <c r="AA267" s="1098"/>
      <c r="AB267" s="1098"/>
      <c r="AC267" s="1098"/>
      <c r="AD267" s="1098">
        <f ca="1">AVERAGE(AA254:AD254)</f>
        <v>76.671836895755916</v>
      </c>
      <c r="AE267" s="1098"/>
      <c r="AF267" s="1098"/>
      <c r="AG267" s="1098"/>
      <c r="AH267" s="1098">
        <f ca="1">AVERAGE(AE254:AH254)</f>
        <v>78.266388250416838</v>
      </c>
      <c r="AI267" s="1098"/>
      <c r="AJ267" s="1098"/>
      <c r="AK267" s="1098"/>
      <c r="AL267" s="1098">
        <f ca="1">AVERAGE(AI254:AL254)</f>
        <v>79.879262555352767</v>
      </c>
      <c r="AM267" s="1098"/>
      <c r="AN267" s="1098"/>
      <c r="AO267" s="1098"/>
      <c r="AP267" s="1098">
        <f ca="1">AVERAGE(AM254:AP254)</f>
        <v>81.20820107010961</v>
      </c>
      <c r="AQ267" s="1098"/>
      <c r="AR267" s="1098"/>
      <c r="AS267" s="1098"/>
      <c r="AT267" s="1098">
        <f ca="1">AVERAGE(AQ254:AT254)</f>
        <v>82.354842680455363</v>
      </c>
      <c r="AU267" s="1098"/>
      <c r="AV267" s="1098"/>
      <c r="AW267" s="1098"/>
      <c r="AX267" s="1098">
        <f ca="1">AVERAGE(AU254:AX254)</f>
        <v>83.490684975059679</v>
      </c>
      <c r="AY267" s="1098"/>
      <c r="AZ267" s="1098"/>
      <c r="BA267" s="1098"/>
      <c r="BB267" s="1098">
        <f ca="1">AVERAGE(AY254:BB254)</f>
        <v>84.835265553458214</v>
      </c>
      <c r="BC267" s="1098"/>
      <c r="BD267" s="1098"/>
      <c r="BE267" s="1098"/>
      <c r="BF267" s="1098">
        <f ca="1">AVERAGE(BC254:BF254)</f>
        <v>86.44930378212095</v>
      </c>
      <c r="BG267" s="915"/>
      <c r="BH267" s="915"/>
      <c r="BI267" s="915"/>
      <c r="BJ267" s="820">
        <f ca="1">AVERAGE(BG254:BJ254)</f>
        <v>88.816841075082124</v>
      </c>
      <c r="BK267" s="915"/>
      <c r="BL267" s="915"/>
      <c r="BM267" s="915"/>
      <c r="BN267" s="820">
        <f ca="1">AVERAGE(BK254:BN254)</f>
        <v>90.61791623652735</v>
      </c>
      <c r="BO267" s="915"/>
      <c r="BP267" s="915"/>
      <c r="BQ267" s="915"/>
      <c r="BR267" s="915">
        <f ca="1">AVERAGE(BO254:BR254)</f>
        <v>91.630651757026513</v>
      </c>
      <c r="BS267" s="915"/>
      <c r="BT267" s="915"/>
      <c r="BU267" s="915"/>
      <c r="BV267" s="915">
        <f ca="1">AVERAGE(BS254:BV254)</f>
        <v>93.272640626116697</v>
      </c>
      <c r="BW267" s="915"/>
      <c r="BX267" s="915"/>
      <c r="BY267" s="915"/>
      <c r="BZ267" s="915">
        <f ca="1">AVERAGE(BW254:BZ254)</f>
        <v>95.197910871293359</v>
      </c>
      <c r="CA267" s="915"/>
      <c r="CB267" s="915"/>
      <c r="CC267" s="915"/>
      <c r="CD267" s="915">
        <f ca="1">AVERAGE(CA254:CD254)</f>
        <v>96.900346168900228</v>
      </c>
      <c r="CE267" s="915"/>
      <c r="CF267" s="915"/>
      <c r="CG267" s="915"/>
      <c r="CH267" s="915">
        <f ca="1">AVERAGE(CE254:CH254)</f>
        <v>98.422390617720794</v>
      </c>
      <c r="CI267" s="915"/>
      <c r="CJ267" s="915"/>
      <c r="CK267" s="915"/>
      <c r="CL267" s="915">
        <f ca="1">AVERAGE(CI254:CL254)</f>
        <v>100.02273841479656</v>
      </c>
      <c r="CM267" s="915"/>
      <c r="CN267" s="915"/>
      <c r="CO267" s="915"/>
      <c r="CP267" s="915">
        <f ca="1">AVERAGE(CM254:CP254)</f>
        <v>102.04497653108774</v>
      </c>
      <c r="CQ267" s="915"/>
      <c r="CR267" s="915"/>
      <c r="CS267" s="915"/>
      <c r="CT267" s="915">
        <f ca="1">AVERAGE(CQ254:CT254)</f>
        <v>103.6653900222626</v>
      </c>
      <c r="CU267" s="915"/>
      <c r="CV267" s="915"/>
      <c r="CW267" s="915"/>
      <c r="CX267" s="915">
        <f ca="1">AVERAGE(CU254:CX254)</f>
        <v>105.53815638371512</v>
      </c>
      <c r="CY267" s="915"/>
      <c r="CZ267" s="915"/>
      <c r="DA267" s="915"/>
      <c r="DB267" s="915">
        <f ca="1">AVERAGE(CY254:DB254)</f>
        <v>107.51150284400957</v>
      </c>
    </row>
    <row r="268" spans="1:106" customFormat="1">
      <c r="A268" s="714"/>
      <c r="B268" s="714"/>
      <c r="C268" s="744"/>
      <c r="D268" s="1096"/>
      <c r="E268" s="1097" t="s">
        <v>703</v>
      </c>
      <c r="F268" s="1096"/>
      <c r="G268" s="1098"/>
      <c r="H268" s="1098"/>
      <c r="I268" s="1098"/>
      <c r="J268" s="1098"/>
      <c r="K268" s="1098"/>
      <c r="L268" s="1098"/>
      <c r="M268" s="1098"/>
      <c r="N268" s="1098">
        <f>AVERAGE(K255:N255)</f>
        <v>73.316666666666663</v>
      </c>
      <c r="O268" s="1098"/>
      <c r="P268" s="1098">
        <f>AVERAGE(M255:P255)</f>
        <v>73.759166666666658</v>
      </c>
      <c r="Q268" s="1098"/>
      <c r="R268" s="1098">
        <f>AVERAGE(O255:R255)</f>
        <v>74.138333333333335</v>
      </c>
      <c r="S268" s="1098"/>
      <c r="T268" s="1098">
        <f>AVERAGE(Q255:T255)</f>
        <v>74.553333333333342</v>
      </c>
      <c r="U268" s="1098"/>
      <c r="V268" s="1098">
        <f>AVERAGE(S255:V255)</f>
        <v>75.019166666666678</v>
      </c>
      <c r="W268" s="1098"/>
      <c r="X268" s="1098">
        <f ca="1">AVERAGE(U255:X255)</f>
        <v>75.4375</v>
      </c>
      <c r="Y268" s="1098"/>
      <c r="Z268" s="1098">
        <f ca="1">AVERAGE(W255:Z255)</f>
        <v>75.807500000000005</v>
      </c>
      <c r="AA268" s="1098"/>
      <c r="AB268" s="1098">
        <f ca="1">AVERAGE(Y255:AB255)</f>
        <v>76.1875</v>
      </c>
      <c r="AC268" s="1098"/>
      <c r="AD268" s="1098">
        <f ca="1">AVERAGE(AA255:AD255)</f>
        <v>76.67</v>
      </c>
      <c r="AE268" s="1098"/>
      <c r="AF268" s="1098">
        <f ca="1">AVERAGE(AC255:AF255)</f>
        <v>77.314166666666665</v>
      </c>
      <c r="AG268" s="1098"/>
      <c r="AH268" s="1098">
        <f ca="1">AVERAGE(AE255:AH255)</f>
        <v>78.260000000000005</v>
      </c>
      <c r="AI268" s="1098"/>
      <c r="AJ268" s="1098">
        <f ca="1">AVERAGE(AG255:AJ255)</f>
        <v>79.221666666666664</v>
      </c>
      <c r="AK268" s="1098"/>
      <c r="AL268" s="1098">
        <f ca="1">AVERAGE(AI255:AL255)</f>
        <v>79.872500000000016</v>
      </c>
      <c r="AM268" s="1098"/>
      <c r="AN268" s="1098">
        <f ca="1">AVERAGE(AK255:AN255)</f>
        <v>80.505833333333342</v>
      </c>
      <c r="AO268" s="1098"/>
      <c r="AP268" s="1098">
        <f ca="1">AVERAGE(AM255:AP255)</f>
        <v>81.2</v>
      </c>
      <c r="AQ268" s="1098"/>
      <c r="AR268" s="1098">
        <f ca="1">AVERAGE(AO255:AR255)</f>
        <v>81.822499999999991</v>
      </c>
      <c r="AS268" s="1098"/>
      <c r="AT268" s="1098">
        <f ca="1">AVERAGE(AQ255:AT255)</f>
        <v>82.347499999999997</v>
      </c>
      <c r="AU268" s="1098"/>
      <c r="AV268" s="1098">
        <f ca="1">AVERAGE(AS255:AV255)</f>
        <v>82.889999999999986</v>
      </c>
      <c r="AW268" s="1098"/>
      <c r="AX268" s="1098">
        <f ca="1">AVERAGE(AU255:AX255)</f>
        <v>83.480833333333337</v>
      </c>
      <c r="AY268" s="1098"/>
      <c r="AZ268" s="1098">
        <f ca="1">AVERAGE(AW255:AZ255)</f>
        <v>84.105000000000004</v>
      </c>
      <c r="BA268" s="1098"/>
      <c r="BB268" s="1098">
        <f ca="1">AVERAGE(AY255:BB255)</f>
        <v>84.827500000000001</v>
      </c>
      <c r="BC268" s="1098"/>
      <c r="BD268" s="1098">
        <f ca="1">AVERAGE(BA255:BD255)</f>
        <v>85.598333333333329</v>
      </c>
      <c r="BE268" s="1098"/>
      <c r="BF268" s="1098">
        <f ca="1">AVERAGE(BC255:BF255)</f>
        <v>86.440833333333345</v>
      </c>
      <c r="BG268" s="915"/>
      <c r="BH268" s="1098">
        <f ca="1">AVERAGE(BE255:BH255)</f>
        <v>87.522500000000008</v>
      </c>
      <c r="BI268" s="915"/>
      <c r="BJ268" s="820">
        <f ca="1">AVERAGE(BG255:BJ255)</f>
        <v>88.787499999999994</v>
      </c>
      <c r="BK268" s="915"/>
      <c r="BL268" s="1098">
        <f ca="1">AVERAGE(BI255:BL255)</f>
        <v>89.828333333333333</v>
      </c>
      <c r="BM268" s="915"/>
      <c r="BN268" s="820">
        <f ca="1">AVERAGE(BK255:BN255)</f>
        <v>90.586666666666659</v>
      </c>
      <c r="BO268" s="915"/>
      <c r="BP268" s="1098">
        <f ca="1">AVERAGE(BM255:BP255)</f>
        <v>91.082499999999996</v>
      </c>
      <c r="BQ268" s="915"/>
      <c r="BR268" s="915">
        <f ca="1">AVERAGE(BO255:BR255)</f>
        <v>91.616294665506075</v>
      </c>
      <c r="BS268" s="915"/>
      <c r="BT268" s="1098">
        <f ca="1">AVERAGE(BQ255:BT255)</f>
        <v>92.375921726121675</v>
      </c>
      <c r="BU268" s="915"/>
      <c r="BV268" s="915">
        <f ca="1">AVERAGE(BS255:BV255)</f>
        <v>93.258054906776891</v>
      </c>
      <c r="BW268" s="915"/>
      <c r="BX268" s="1098">
        <f ca="1">AVERAGE(BU255:BX255)</f>
        <v>94.250168775535911</v>
      </c>
      <c r="BY268" s="915"/>
      <c r="BZ268" s="915">
        <f ca="1">AVERAGE(BW255:BZ255)</f>
        <v>95.183011608385485</v>
      </c>
      <c r="CA268" s="915"/>
      <c r="CB268" s="1098">
        <f ca="1">AVERAGE(BY255:CB255)</f>
        <v>96.030672502239028</v>
      </c>
      <c r="CC268" s="915"/>
      <c r="CD268" s="915">
        <f ca="1">AVERAGE(CA255:CD255)</f>
        <v>96.885181272857466</v>
      </c>
      <c r="CE268" s="915"/>
      <c r="CF268" s="1098">
        <f ca="1">AVERAGE(CC255:CF255)</f>
        <v>97.694451637642644</v>
      </c>
      <c r="CG268" s="915"/>
      <c r="CH268" s="915">
        <f ca="1">AVERAGE(CE255:CH255)</f>
        <v>98.406975892572191</v>
      </c>
      <c r="CI268" s="915"/>
      <c r="CJ268" s="1098">
        <f ca="1">AVERAGE(CG255:CJ255)</f>
        <v>99.148343867672409</v>
      </c>
      <c r="CK268" s="915"/>
      <c r="CL268" s="915">
        <f ca="1">AVERAGE(CI255:CL255)</f>
        <v>100.00708265702174</v>
      </c>
      <c r="CM268" s="915"/>
      <c r="CN268" s="1098">
        <f ca="1">AVERAGE(CK255:CN255)</f>
        <v>101.08199882303462</v>
      </c>
      <c r="CO268" s="915"/>
      <c r="CP268" s="915">
        <f ca="1">AVERAGE(CM255:CP255)</f>
        <v>102.02900166525791</v>
      </c>
      <c r="CQ268" s="915"/>
      <c r="CR268" s="1098">
        <f ca="1">AVERAGE(CO255:CR255)</f>
        <v>102.79211245539703</v>
      </c>
      <c r="CS268" s="915"/>
      <c r="CT268" s="915">
        <f ca="1">AVERAGE(CQ255:CT255)</f>
        <v>103.64917402484051</v>
      </c>
      <c r="CU268" s="915"/>
      <c r="CV268" s="1098">
        <f ca="1">AVERAGE(CS255:CV255)</f>
        <v>104.52609109123813</v>
      </c>
      <c r="CW268" s="915"/>
      <c r="CX268" s="915">
        <f ca="1">AVERAGE(CU255:CX255)</f>
        <v>105.52166758961401</v>
      </c>
      <c r="CY268" s="915"/>
      <c r="CZ268" s="1098">
        <f ca="1">AVERAGE(CW255:CZ255)</f>
        <v>106.40628860626721</v>
      </c>
      <c r="DA268" s="915"/>
      <c r="DB268" s="915">
        <f ca="1">AVERAGE(CY255:DB255)</f>
        <v>107.49474248580444</v>
      </c>
    </row>
    <row r="269" spans="1:106" s="1044" customFormat="1" ht="10.199999999999999">
      <c r="A269" s="723"/>
      <c r="B269" s="723"/>
      <c r="C269" s="1048"/>
      <c r="D269" s="1049"/>
      <c r="E269" s="1050" t="s">
        <v>1963</v>
      </c>
      <c r="F269" s="1049"/>
      <c r="G269" s="1051"/>
      <c r="H269" s="1051"/>
      <c r="I269" s="1051"/>
      <c r="J269" s="1051"/>
      <c r="K269" s="2858"/>
      <c r="L269" s="2858"/>
      <c r="M269" s="2858"/>
      <c r="N269" s="2858">
        <f>(N268-N267)</f>
        <v>-0.36333333333334394</v>
      </c>
      <c r="O269" s="2858"/>
      <c r="P269" s="2858"/>
      <c r="Q269" s="2858"/>
      <c r="R269" s="2858">
        <f ca="1">(R268-R267)</f>
        <v>2.382768449933792E-3</v>
      </c>
      <c r="S269" s="2858"/>
      <c r="T269" s="2858"/>
      <c r="U269" s="2858"/>
      <c r="V269" s="2858">
        <f ca="1">(V268-V267)</f>
        <v>-6.1358733246663633E-4</v>
      </c>
      <c r="W269" s="2858"/>
      <c r="X269" s="2858"/>
      <c r="Y269" s="2858"/>
      <c r="Z269" s="2858">
        <f ca="1">(Z268-Z267)</f>
        <v>-7.6066528812646084E-4</v>
      </c>
      <c r="AA269" s="2858"/>
      <c r="AB269" s="2858"/>
      <c r="AC269" s="2858"/>
      <c r="AD269" s="2858">
        <f ca="1">(AD268-AD267)</f>
        <v>-1.8368957559147248E-3</v>
      </c>
      <c r="AE269" s="2858"/>
      <c r="AF269" s="2858"/>
      <c r="AG269" s="2858"/>
      <c r="AH269" s="2858">
        <f ca="1">(AH268-AH267)</f>
        <v>-6.3882504168333298E-3</v>
      </c>
      <c r="AI269" s="2858"/>
      <c r="AJ269" s="2858"/>
      <c r="AK269" s="2858"/>
      <c r="AL269" s="2858">
        <f ca="1">(AL268-AL267)</f>
        <v>-6.7625553527506099E-3</v>
      </c>
      <c r="AM269" s="2858"/>
      <c r="AN269" s="2858"/>
      <c r="AO269" s="2858"/>
      <c r="AP269" s="2858">
        <f ca="1">(AP268-AP267)</f>
        <v>-8.2010701096066896E-3</v>
      </c>
      <c r="AQ269" s="2858"/>
      <c r="AR269" s="2858"/>
      <c r="AS269" s="2858"/>
      <c r="AT269" s="2858">
        <f ca="1">(AT268-AT267)</f>
        <v>-7.342680455366235E-3</v>
      </c>
      <c r="AU269" s="2858"/>
      <c r="AV269" s="2858"/>
      <c r="AW269" s="2858"/>
      <c r="AX269" s="2858">
        <f ca="1">(AX268-AX267)</f>
        <v>-9.8516417263425637E-3</v>
      </c>
      <c r="AY269" s="2858"/>
      <c r="AZ269" s="2858"/>
      <c r="BA269" s="2858"/>
      <c r="BB269" s="2858">
        <f ca="1">(BB268-BB267)</f>
        <v>-7.7655534582135033E-3</v>
      </c>
      <c r="BC269" s="2858"/>
      <c r="BD269" s="2858"/>
      <c r="BE269" s="2858"/>
      <c r="BF269" s="2858">
        <f ca="1">(BF268-BF267)</f>
        <v>-8.4704487876052781E-3</v>
      </c>
      <c r="BG269" s="2865"/>
      <c r="BH269" s="2865"/>
      <c r="BI269" s="2865"/>
      <c r="BJ269" s="2865"/>
      <c r="BK269" s="2865"/>
      <c r="BL269" s="2865"/>
      <c r="BM269" s="2865"/>
      <c r="BN269" s="2865"/>
    </row>
    <row r="270" spans="1:106">
      <c r="AY270" s="218"/>
      <c r="BA270" s="218"/>
      <c r="BB270" s="218"/>
      <c r="BC270" s="218"/>
      <c r="BD270" s="218"/>
      <c r="BE270" s="218"/>
      <c r="BF270" s="218"/>
    </row>
    <row r="271" spans="1:106" s="749" customFormat="1" ht="12.75" customHeight="1">
      <c r="A271" s="714"/>
      <c r="B271" s="714"/>
      <c r="C271" s="716"/>
      <c r="D271" s="745"/>
      <c r="E271" s="746" t="s">
        <v>415</v>
      </c>
      <c r="F271" s="747"/>
      <c r="G271" s="1472" t="s">
        <v>364</v>
      </c>
      <c r="H271" s="1473" t="s">
        <v>671</v>
      </c>
      <c r="I271" s="1473" t="s">
        <v>672</v>
      </c>
      <c r="J271" s="1473" t="s">
        <v>673</v>
      </c>
      <c r="K271" s="1473" t="s">
        <v>364</v>
      </c>
      <c r="L271" s="1473" t="s">
        <v>671</v>
      </c>
      <c r="M271" s="1473" t="s">
        <v>672</v>
      </c>
      <c r="N271" s="1473" t="s">
        <v>673</v>
      </c>
      <c r="O271" s="1473" t="s">
        <v>364</v>
      </c>
      <c r="P271" s="1473" t="s">
        <v>671</v>
      </c>
      <c r="Q271" s="1473" t="s">
        <v>672</v>
      </c>
      <c r="R271" s="1473" t="s">
        <v>673</v>
      </c>
      <c r="S271" s="1473" t="s">
        <v>364</v>
      </c>
      <c r="T271" s="1473" t="s">
        <v>671</v>
      </c>
      <c r="U271" s="1473" t="s">
        <v>672</v>
      </c>
      <c r="V271" s="1473" t="s">
        <v>673</v>
      </c>
      <c r="W271" s="1473" t="s">
        <v>364</v>
      </c>
      <c r="X271" s="1473" t="s">
        <v>671</v>
      </c>
      <c r="Y271" s="1473" t="s">
        <v>672</v>
      </c>
      <c r="Z271" s="1473" t="s">
        <v>673</v>
      </c>
      <c r="AA271" s="1473" t="s">
        <v>364</v>
      </c>
      <c r="AB271" s="1473" t="s">
        <v>671</v>
      </c>
      <c r="AC271" s="1473" t="s">
        <v>672</v>
      </c>
      <c r="AD271" s="1473" t="s">
        <v>673</v>
      </c>
      <c r="AE271" s="1473" t="s">
        <v>364</v>
      </c>
      <c r="AF271" s="1473" t="s">
        <v>671</v>
      </c>
      <c r="AG271" s="1473" t="s">
        <v>672</v>
      </c>
      <c r="AH271" s="1473" t="s">
        <v>673</v>
      </c>
      <c r="AI271" s="1473" t="s">
        <v>364</v>
      </c>
      <c r="AJ271" s="1473" t="s">
        <v>671</v>
      </c>
      <c r="AK271" s="1473" t="s">
        <v>672</v>
      </c>
      <c r="AL271" s="1473" t="s">
        <v>673</v>
      </c>
      <c r="AM271" s="1473" t="s">
        <v>364</v>
      </c>
      <c r="AN271" s="1473" t="s">
        <v>671</v>
      </c>
      <c r="AO271" s="1473" t="s">
        <v>672</v>
      </c>
      <c r="AP271" s="1473" t="s">
        <v>673</v>
      </c>
      <c r="AQ271" s="1473" t="s">
        <v>364</v>
      </c>
      <c r="AR271" s="1473" t="s">
        <v>671</v>
      </c>
      <c r="AS271" s="1473" t="s">
        <v>672</v>
      </c>
      <c r="AT271" s="1473" t="s">
        <v>673</v>
      </c>
      <c r="AU271" s="1473" t="s">
        <v>364</v>
      </c>
      <c r="AV271" s="1473" t="s">
        <v>671</v>
      </c>
      <c r="AW271" s="1473" t="s">
        <v>672</v>
      </c>
      <c r="AX271" s="1473" t="s">
        <v>673</v>
      </c>
      <c r="AY271" s="1473" t="s">
        <v>364</v>
      </c>
      <c r="AZ271" s="1473" t="s">
        <v>671</v>
      </c>
      <c r="BA271" s="1473" t="s">
        <v>672</v>
      </c>
      <c r="BB271" s="1473" t="s">
        <v>673</v>
      </c>
      <c r="BC271" s="1473" t="s">
        <v>364</v>
      </c>
      <c r="BD271" s="1473" t="s">
        <v>671</v>
      </c>
      <c r="BE271" s="1473" t="s">
        <v>672</v>
      </c>
      <c r="BF271" s="1473" t="s">
        <v>673</v>
      </c>
      <c r="BG271" s="1473" t="s">
        <v>364</v>
      </c>
      <c r="BH271" s="1473" t="s">
        <v>671</v>
      </c>
      <c r="BI271" s="1473" t="s">
        <v>672</v>
      </c>
      <c r="BJ271" s="1473" t="s">
        <v>673</v>
      </c>
      <c r="BK271" s="1473" t="s">
        <v>364</v>
      </c>
      <c r="BL271" s="1473" t="s">
        <v>671</v>
      </c>
      <c r="BM271" s="1473" t="s">
        <v>672</v>
      </c>
      <c r="BN271" s="1473" t="s">
        <v>673</v>
      </c>
      <c r="BO271" s="1473" t="s">
        <v>364</v>
      </c>
      <c r="BP271" s="1473" t="s">
        <v>671</v>
      </c>
      <c r="BQ271" s="1473" t="s">
        <v>672</v>
      </c>
      <c r="BR271" s="1473" t="s">
        <v>673</v>
      </c>
      <c r="BS271" s="1473" t="s">
        <v>364</v>
      </c>
      <c r="BT271" s="1473" t="s">
        <v>671</v>
      </c>
      <c r="BU271" s="1473" t="s">
        <v>672</v>
      </c>
      <c r="BV271" s="1473" t="s">
        <v>673</v>
      </c>
      <c r="BW271" s="1473" t="s">
        <v>364</v>
      </c>
      <c r="BX271" s="1473" t="s">
        <v>671</v>
      </c>
      <c r="BY271" s="1473" t="s">
        <v>672</v>
      </c>
      <c r="BZ271" s="1473" t="s">
        <v>673</v>
      </c>
      <c r="CA271" s="1473" t="s">
        <v>364</v>
      </c>
      <c r="CB271" s="1473" t="s">
        <v>671</v>
      </c>
      <c r="CC271" s="1473" t="s">
        <v>672</v>
      </c>
      <c r="CD271" s="1473" t="s">
        <v>673</v>
      </c>
      <c r="CE271" s="1473" t="s">
        <v>364</v>
      </c>
      <c r="CF271" s="1473" t="s">
        <v>671</v>
      </c>
      <c r="CG271" s="1473" t="s">
        <v>672</v>
      </c>
      <c r="CH271" s="1473" t="s">
        <v>673</v>
      </c>
      <c r="CI271" s="1473" t="s">
        <v>364</v>
      </c>
      <c r="CJ271" s="1473" t="s">
        <v>671</v>
      </c>
      <c r="CK271" s="1473" t="s">
        <v>672</v>
      </c>
      <c r="CL271" s="1473" t="s">
        <v>673</v>
      </c>
      <c r="CM271" s="1473" t="s">
        <v>364</v>
      </c>
      <c r="CN271" s="1473" t="s">
        <v>671</v>
      </c>
      <c r="CO271" s="1473" t="s">
        <v>672</v>
      </c>
      <c r="CP271" s="1473" t="s">
        <v>673</v>
      </c>
      <c r="CQ271" s="1473" t="s">
        <v>364</v>
      </c>
      <c r="CR271" s="1473" t="s">
        <v>671</v>
      </c>
      <c r="CS271" s="1473" t="s">
        <v>672</v>
      </c>
      <c r="CT271" s="1473" t="s">
        <v>673</v>
      </c>
      <c r="CU271" s="1473" t="s">
        <v>364</v>
      </c>
      <c r="CV271" s="1473" t="s">
        <v>671</v>
      </c>
      <c r="CW271" s="1473" t="s">
        <v>672</v>
      </c>
      <c r="CX271" s="1473" t="s">
        <v>673</v>
      </c>
      <c r="CY271" s="1473" t="s">
        <v>364</v>
      </c>
      <c r="CZ271" s="1473" t="s">
        <v>671</v>
      </c>
      <c r="DA271" s="1473" t="s">
        <v>672</v>
      </c>
      <c r="DB271" s="1473" t="s">
        <v>673</v>
      </c>
    </row>
    <row r="272" spans="1:106" s="749" customFormat="1" ht="12.75" customHeight="1">
      <c r="A272" s="714" t="str">
        <f>"Y" &amp; ROW(InputY!A272)</f>
        <v>Y272</v>
      </c>
      <c r="B272" s="714" t="s">
        <v>1971</v>
      </c>
      <c r="C272" s="1464"/>
      <c r="D272" s="718"/>
      <c r="E272" s="750" t="str">
        <f>+E246</f>
        <v>Non-energy industrial goods</v>
      </c>
      <c r="F272" s="751"/>
      <c r="G272" s="828"/>
      <c r="H272" s="828"/>
      <c r="I272" s="828"/>
      <c r="J272" s="828" t="str">
        <f ca="1">OFFSET(InputY!$G272,0,(COLUMN()-10)/4)</f>
        <v>:</v>
      </c>
      <c r="K272" s="828">
        <f ca="1">OFFSET(InputY!$G272,0,(COLUMN()-7)/4)</f>
        <v>329.57</v>
      </c>
      <c r="L272" s="828">
        <f ca="1">+K272</f>
        <v>329.57</v>
      </c>
      <c r="M272" s="828">
        <f ca="1">+L272</f>
        <v>329.57</v>
      </c>
      <c r="N272" s="828">
        <f ca="1">+M272</f>
        <v>329.57</v>
      </c>
      <c r="O272" s="828">
        <f ca="1">OFFSET(InputY!$G272,0,(COLUMN()-7)/4)</f>
        <v>327.76</v>
      </c>
      <c r="P272" s="828">
        <f t="shared" ref="P272:R276" ca="1" si="1266">+O272</f>
        <v>327.76</v>
      </c>
      <c r="Q272" s="828">
        <f t="shared" ca="1" si="1266"/>
        <v>327.76</v>
      </c>
      <c r="R272" s="828">
        <f t="shared" ca="1" si="1266"/>
        <v>327.76</v>
      </c>
      <c r="S272" s="828">
        <f ca="1">OFFSET(InputY!$G272,0,(COLUMN()-7)/4)</f>
        <v>325.05</v>
      </c>
      <c r="T272" s="828">
        <f t="shared" ref="T272:V276" ca="1" si="1267">+S272</f>
        <v>325.05</v>
      </c>
      <c r="U272" s="828">
        <f t="shared" ca="1" si="1267"/>
        <v>325.05</v>
      </c>
      <c r="V272" s="828">
        <f t="shared" ca="1" si="1267"/>
        <v>325.05</v>
      </c>
      <c r="W272" s="828">
        <f ca="1">OFFSET(InputY!$G272,0,(COLUMN()-7)/4)</f>
        <v>347.22</v>
      </c>
      <c r="X272" s="828">
        <f t="shared" ref="X272:Z276" ca="1" si="1268">+W272</f>
        <v>347.22</v>
      </c>
      <c r="Y272" s="828">
        <f t="shared" ca="1" si="1268"/>
        <v>347.22</v>
      </c>
      <c r="Z272" s="828">
        <f t="shared" ca="1" si="1268"/>
        <v>347.22</v>
      </c>
      <c r="AA272" s="828">
        <f ca="1">OFFSET(InputY!$G272,0,(COLUMN()-7)/4)</f>
        <v>340.45</v>
      </c>
      <c r="AB272" s="828">
        <f t="shared" ref="AB272:AD276" ca="1" si="1269">+AA272</f>
        <v>340.45</v>
      </c>
      <c r="AC272" s="828">
        <f t="shared" ca="1" si="1269"/>
        <v>340.45</v>
      </c>
      <c r="AD272" s="828">
        <f t="shared" ca="1" si="1269"/>
        <v>340.45</v>
      </c>
      <c r="AE272" s="828">
        <f ca="1">OFFSET(InputY!$G272,0,(COLUMN()-7)/4)</f>
        <v>322.93</v>
      </c>
      <c r="AF272" s="828">
        <f t="shared" ref="AF272:AH276" ca="1" si="1270">+AE272</f>
        <v>322.93</v>
      </c>
      <c r="AG272" s="828">
        <f t="shared" ca="1" si="1270"/>
        <v>322.93</v>
      </c>
      <c r="AH272" s="828">
        <f t="shared" ca="1" si="1270"/>
        <v>322.93</v>
      </c>
      <c r="AI272" s="828">
        <f ca="1">OFFSET(InputY!$G272,0,(COLUMN()-7)/4)</f>
        <v>324.37</v>
      </c>
      <c r="AJ272" s="828">
        <f t="shared" ref="AJ272:AL276" ca="1" si="1271">+AI272</f>
        <v>324.37</v>
      </c>
      <c r="AK272" s="828">
        <f t="shared" ca="1" si="1271"/>
        <v>324.37</v>
      </c>
      <c r="AL272" s="828">
        <f t="shared" ca="1" si="1271"/>
        <v>324.37</v>
      </c>
      <c r="AM272" s="828">
        <f ca="1">OFFSET(InputY!$G272,0,(COLUMN()-7)/4)</f>
        <v>323.68</v>
      </c>
      <c r="AN272" s="828">
        <f t="shared" ref="AN272:AP276" ca="1" si="1272">+AM272</f>
        <v>323.68</v>
      </c>
      <c r="AO272" s="828">
        <f t="shared" ca="1" si="1272"/>
        <v>323.68</v>
      </c>
      <c r="AP272" s="828">
        <f t="shared" ca="1" si="1272"/>
        <v>323.68</v>
      </c>
      <c r="AQ272" s="828">
        <f ca="1">OFFSET(InputY!$G272,0,(COLUMN()-7)/4)</f>
        <v>327.79</v>
      </c>
      <c r="AR272" s="828">
        <f t="shared" ref="AR272:AT276" ca="1" si="1273">+AQ272</f>
        <v>327.79</v>
      </c>
      <c r="AS272" s="828">
        <f t="shared" ca="1" si="1273"/>
        <v>327.79</v>
      </c>
      <c r="AT272" s="828">
        <f t="shared" ca="1" si="1273"/>
        <v>327.79</v>
      </c>
      <c r="AU272" s="828">
        <f ca="1">OFFSET(InputY!$G272,0,(COLUMN()-7)/4)</f>
        <v>321.18</v>
      </c>
      <c r="AV272" s="828">
        <f t="shared" ref="AV272:AX276" ca="1" si="1274">+AU272</f>
        <v>321.18</v>
      </c>
      <c r="AW272" s="828">
        <f t="shared" ca="1" si="1274"/>
        <v>321.18</v>
      </c>
      <c r="AX272" s="828">
        <f t="shared" ca="1" si="1274"/>
        <v>321.18</v>
      </c>
      <c r="AY272" s="828">
        <f ca="1">OFFSET(InputY!$G272,0,(COLUMN()-7)/4)</f>
        <v>322.2</v>
      </c>
      <c r="AZ272" s="828">
        <f t="shared" ref="AZ272:BB276" ca="1" si="1275">+AY272</f>
        <v>322.2</v>
      </c>
      <c r="BA272" s="828">
        <f t="shared" ca="1" si="1275"/>
        <v>322.2</v>
      </c>
      <c r="BB272" s="828">
        <f t="shared" ca="1" si="1275"/>
        <v>322.2</v>
      </c>
      <c r="BC272" s="828">
        <f ca="1">OFFSET(InputY!$G272,0,(COLUMN()-7)/4)</f>
        <v>318.17</v>
      </c>
      <c r="BD272" s="828">
        <f t="shared" ref="BD272:BF276" ca="1" si="1276">+BC272</f>
        <v>318.17</v>
      </c>
      <c r="BE272" s="828">
        <f t="shared" ca="1" si="1276"/>
        <v>318.17</v>
      </c>
      <c r="BF272" s="828">
        <f t="shared" ca="1" si="1276"/>
        <v>318.17</v>
      </c>
      <c r="BG272" s="828">
        <f ca="1">OFFSET(InputY!$G272,0,(COLUMN()-7)/4)</f>
        <v>312.81</v>
      </c>
      <c r="BH272" s="828">
        <f t="shared" ref="BH272:BJ276" ca="1" si="1277">+BG272</f>
        <v>312.81</v>
      </c>
      <c r="BI272" s="828">
        <f t="shared" ca="1" si="1277"/>
        <v>312.81</v>
      </c>
      <c r="BJ272" s="828">
        <f t="shared" ca="1" si="1277"/>
        <v>312.81</v>
      </c>
      <c r="BK272" s="828">
        <f ca="1">OFFSET(InputY!$G272,0,(COLUMN()-7)/4)</f>
        <v>309.31</v>
      </c>
      <c r="BL272" s="828">
        <f t="shared" ref="BL272:BN276" ca="1" si="1278">+BK272</f>
        <v>309.31</v>
      </c>
      <c r="BM272" s="828">
        <f t="shared" ca="1" si="1278"/>
        <v>309.31</v>
      </c>
      <c r="BN272" s="828">
        <f t="shared" ca="1" si="1278"/>
        <v>309.31</v>
      </c>
      <c r="BO272" s="828">
        <f ca="1">OFFSET(InputY!$G272,0,(COLUMN()-7)/4)</f>
        <v>300.01</v>
      </c>
      <c r="BP272" s="828">
        <f t="shared" ref="BP272:BR276" ca="1" si="1279">+BO272</f>
        <v>300.01</v>
      </c>
      <c r="BQ272" s="828">
        <f t="shared" ca="1" si="1279"/>
        <v>300.01</v>
      </c>
      <c r="BR272" s="828">
        <f t="shared" ca="1" si="1279"/>
        <v>300.01</v>
      </c>
      <c r="BS272" s="828">
        <f ca="1">OFFSET(InputY!$G272,0,(COLUMN()-7)/4)</f>
        <v>285.27</v>
      </c>
      <c r="BT272" s="828">
        <f t="shared" ref="BT272:BV276" ca="1" si="1280">+BS272</f>
        <v>285.27</v>
      </c>
      <c r="BU272" s="828">
        <f t="shared" ca="1" si="1280"/>
        <v>285.27</v>
      </c>
      <c r="BV272" s="828">
        <f t="shared" ca="1" si="1280"/>
        <v>285.27</v>
      </c>
      <c r="BW272" s="3314">
        <f ca="1">OFFSET(InputY!$G272,0,(COLUMN()-7)/4)</f>
        <v>280.51</v>
      </c>
      <c r="BX272" s="3315">
        <f t="shared" ref="BX272:BZ276" ca="1" si="1281">+BW272</f>
        <v>280.51</v>
      </c>
      <c r="BY272" s="3315">
        <f t="shared" ca="1" si="1281"/>
        <v>280.51</v>
      </c>
      <c r="BZ272" s="3315">
        <f t="shared" ca="1" si="1281"/>
        <v>280.51</v>
      </c>
      <c r="CA272" s="3314">
        <f ca="1">OFFSET(InputY!$G272,0,(COLUMN()-7)/4)</f>
        <v>279.17</v>
      </c>
      <c r="CB272" s="3314">
        <f ca="1">CA272</f>
        <v>279.17</v>
      </c>
      <c r="CC272" s="3315">
        <f t="shared" ref="CC272:CD276" ca="1" si="1282">+CB272</f>
        <v>279.17</v>
      </c>
      <c r="CD272" s="3315">
        <f t="shared" ca="1" si="1282"/>
        <v>279.17</v>
      </c>
      <c r="CE272" s="3314">
        <f ca="1">OFFSET(InputY!$G272,0,(COLUMN()-7)/4)</f>
        <v>278.89</v>
      </c>
      <c r="CF272" s="3314">
        <f ca="1">CE272</f>
        <v>278.89</v>
      </c>
      <c r="CG272" s="3315">
        <f t="shared" ref="CG272:CH276" ca="1" si="1283">+CF272</f>
        <v>278.89</v>
      </c>
      <c r="CH272" s="3315">
        <f t="shared" ca="1" si="1283"/>
        <v>278.89</v>
      </c>
      <c r="CI272" s="3314">
        <f ca="1">OFFSET(InputY!$G272,0,(COLUMN()-7)/4)</f>
        <v>274.16000000000003</v>
      </c>
      <c r="CJ272" s="3314">
        <f ca="1">CI272</f>
        <v>274.16000000000003</v>
      </c>
      <c r="CK272" s="3315">
        <f t="shared" ref="CK272:CL276" ca="1" si="1284">+CJ272</f>
        <v>274.16000000000003</v>
      </c>
      <c r="CL272" s="3315">
        <f t="shared" ca="1" si="1284"/>
        <v>274.16000000000003</v>
      </c>
      <c r="CM272" s="3314">
        <f ca="1">OFFSET(InputY!$G272,0,(COLUMN()-7)/4)</f>
        <v>275.66000000000003</v>
      </c>
      <c r="CN272" s="3314">
        <f ca="1">CM272</f>
        <v>275.66000000000003</v>
      </c>
      <c r="CO272" s="3315">
        <f t="shared" ref="CO272:CT276" ca="1" si="1285">+CN272</f>
        <v>275.66000000000003</v>
      </c>
      <c r="CP272" s="3315">
        <f t="shared" ca="1" si="1285"/>
        <v>275.66000000000003</v>
      </c>
      <c r="CQ272" s="3314">
        <f ca="1">OFFSET(InputY!$G272,0,(COLUMN()-7)/4)</f>
        <v>272.94</v>
      </c>
      <c r="CR272" s="3314">
        <f ca="1">CQ272</f>
        <v>272.94</v>
      </c>
      <c r="CS272" s="3315">
        <f t="shared" ca="1" si="1285"/>
        <v>272.94</v>
      </c>
      <c r="CT272" s="3315">
        <f t="shared" ca="1" si="1285"/>
        <v>272.94</v>
      </c>
      <c r="CU272" s="2895">
        <f ca="1">+CQ272</f>
        <v>272.94</v>
      </c>
      <c r="CV272" s="1355">
        <f t="shared" ref="CV272:CV276" ca="1" si="1286">+CU272</f>
        <v>272.94</v>
      </c>
      <c r="CW272" s="1355">
        <f t="shared" ref="CW272:CW276" ca="1" si="1287">+CV272</f>
        <v>272.94</v>
      </c>
      <c r="CX272" s="1355">
        <f t="shared" ref="CX272:CX276" ca="1" si="1288">+CW272</f>
        <v>272.94</v>
      </c>
      <c r="CY272" s="2895">
        <f ca="1">+CU272</f>
        <v>272.94</v>
      </c>
      <c r="CZ272" s="1355">
        <f t="shared" ref="CZ272:CZ276" ca="1" si="1289">+CY272</f>
        <v>272.94</v>
      </c>
      <c r="DA272" s="1355">
        <f t="shared" ref="DA272:DA276" ca="1" si="1290">+CZ272</f>
        <v>272.94</v>
      </c>
      <c r="DB272" s="1355">
        <f t="shared" ref="DB272:DB276" ca="1" si="1291">+DA272</f>
        <v>272.94</v>
      </c>
    </row>
    <row r="273" spans="1:114" s="749" customFormat="1" ht="12.75" customHeight="1">
      <c r="A273" s="714" t="str">
        <f>"Y" &amp; ROW(InputY!A273)</f>
        <v>Y273</v>
      </c>
      <c r="B273" s="714" t="s">
        <v>1972</v>
      </c>
      <c r="C273" s="1465"/>
      <c r="D273" s="724"/>
      <c r="E273" s="830" t="str">
        <f>+E247</f>
        <v>Energy</v>
      </c>
      <c r="F273" s="754"/>
      <c r="G273" s="756"/>
      <c r="H273" s="756"/>
      <c r="I273" s="756"/>
      <c r="J273" s="756" t="str">
        <f ca="1">OFFSET(InputY!$G273,0,(COLUMN()-10)/4)</f>
        <v>:</v>
      </c>
      <c r="K273" s="756">
        <f ca="1">OFFSET(InputY!$G273,0,(COLUMN()-7)/4)</f>
        <v>106.83</v>
      </c>
      <c r="L273" s="756">
        <f t="shared" ref="L273:N276" ca="1" si="1292">+K273</f>
        <v>106.83</v>
      </c>
      <c r="M273" s="756">
        <f t="shared" ca="1" si="1292"/>
        <v>106.83</v>
      </c>
      <c r="N273" s="756">
        <f t="shared" ca="1" si="1292"/>
        <v>106.83</v>
      </c>
      <c r="O273" s="756">
        <f ca="1">OFFSET(InputY!$G273,0,(COLUMN()-7)/4)</f>
        <v>109.39</v>
      </c>
      <c r="P273" s="756">
        <f t="shared" ca="1" si="1266"/>
        <v>109.39</v>
      </c>
      <c r="Q273" s="756">
        <f t="shared" ca="1" si="1266"/>
        <v>109.39</v>
      </c>
      <c r="R273" s="756">
        <f t="shared" ca="1" si="1266"/>
        <v>109.39</v>
      </c>
      <c r="S273" s="756">
        <f ca="1">OFFSET(InputY!$G273,0,(COLUMN()-7)/4)</f>
        <v>108.11</v>
      </c>
      <c r="T273" s="756">
        <f t="shared" ca="1" si="1267"/>
        <v>108.11</v>
      </c>
      <c r="U273" s="756">
        <f t="shared" ca="1" si="1267"/>
        <v>108.11</v>
      </c>
      <c r="V273" s="756">
        <f t="shared" ca="1" si="1267"/>
        <v>108.11</v>
      </c>
      <c r="W273" s="756">
        <f ca="1">OFFSET(InputY!$G273,0,(COLUMN()-7)/4)</f>
        <v>100.72</v>
      </c>
      <c r="X273" s="756">
        <f t="shared" ca="1" si="1268"/>
        <v>100.72</v>
      </c>
      <c r="Y273" s="756">
        <f t="shared" ca="1" si="1268"/>
        <v>100.72</v>
      </c>
      <c r="Z273" s="756">
        <f t="shared" ca="1" si="1268"/>
        <v>100.72</v>
      </c>
      <c r="AA273" s="756">
        <f ca="1">OFFSET(InputY!$G273,0,(COLUMN()-7)/4)</f>
        <v>117.97</v>
      </c>
      <c r="AB273" s="756">
        <f t="shared" ca="1" si="1269"/>
        <v>117.97</v>
      </c>
      <c r="AC273" s="756">
        <f t="shared" ca="1" si="1269"/>
        <v>117.97</v>
      </c>
      <c r="AD273" s="756">
        <f t="shared" ca="1" si="1269"/>
        <v>117.97</v>
      </c>
      <c r="AE273" s="756">
        <f ca="1">OFFSET(InputY!$G273,0,(COLUMN()-7)/4)</f>
        <v>109.95</v>
      </c>
      <c r="AF273" s="756">
        <f t="shared" ca="1" si="1270"/>
        <v>109.95</v>
      </c>
      <c r="AG273" s="756">
        <f t="shared" ca="1" si="1270"/>
        <v>109.95</v>
      </c>
      <c r="AH273" s="756">
        <f t="shared" ca="1" si="1270"/>
        <v>109.95</v>
      </c>
      <c r="AI273" s="756">
        <f ca="1">OFFSET(InputY!$G273,0,(COLUMN()-7)/4)</f>
        <v>100.27</v>
      </c>
      <c r="AJ273" s="756">
        <f t="shared" ca="1" si="1271"/>
        <v>100.27</v>
      </c>
      <c r="AK273" s="756">
        <f t="shared" ca="1" si="1271"/>
        <v>100.27</v>
      </c>
      <c r="AL273" s="756">
        <f t="shared" ca="1" si="1271"/>
        <v>100.27</v>
      </c>
      <c r="AM273" s="756">
        <f ca="1">OFFSET(InputY!$G273,0,(COLUMN()-7)/4)</f>
        <v>100.02</v>
      </c>
      <c r="AN273" s="756">
        <f t="shared" ca="1" si="1272"/>
        <v>100.02</v>
      </c>
      <c r="AO273" s="756">
        <f t="shared" ca="1" si="1272"/>
        <v>100.02</v>
      </c>
      <c r="AP273" s="756">
        <f t="shared" ca="1" si="1272"/>
        <v>100.02</v>
      </c>
      <c r="AQ273" s="756">
        <f ca="1">OFFSET(InputY!$G273,0,(COLUMN()-7)/4)</f>
        <v>94.45</v>
      </c>
      <c r="AR273" s="756">
        <f t="shared" ca="1" si="1273"/>
        <v>94.45</v>
      </c>
      <c r="AS273" s="756">
        <f t="shared" ca="1" si="1273"/>
        <v>94.45</v>
      </c>
      <c r="AT273" s="756">
        <f t="shared" ca="1" si="1273"/>
        <v>94.45</v>
      </c>
      <c r="AU273" s="756">
        <f ca="1">OFFSET(InputY!$G273,0,(COLUMN()-7)/4)</f>
        <v>102.03</v>
      </c>
      <c r="AV273" s="756">
        <f t="shared" ca="1" si="1274"/>
        <v>102.03</v>
      </c>
      <c r="AW273" s="756">
        <f t="shared" ca="1" si="1274"/>
        <v>102.03</v>
      </c>
      <c r="AX273" s="756">
        <f t="shared" ca="1" si="1274"/>
        <v>102.03</v>
      </c>
      <c r="AY273" s="756">
        <f ca="1">OFFSET(InputY!$G273,0,(COLUMN()-7)/4)</f>
        <v>101.74</v>
      </c>
      <c r="AZ273" s="756">
        <f t="shared" ca="1" si="1275"/>
        <v>101.74</v>
      </c>
      <c r="BA273" s="756">
        <f t="shared" ca="1" si="1275"/>
        <v>101.74</v>
      </c>
      <c r="BB273" s="756">
        <f t="shared" ca="1" si="1275"/>
        <v>101.74</v>
      </c>
      <c r="BC273" s="756">
        <f ca="1">OFFSET(InputY!$G273,0,(COLUMN()-7)/4)</f>
        <v>103.27</v>
      </c>
      <c r="BD273" s="756">
        <f t="shared" ca="1" si="1276"/>
        <v>103.27</v>
      </c>
      <c r="BE273" s="756">
        <f t="shared" ca="1" si="1276"/>
        <v>103.27</v>
      </c>
      <c r="BF273" s="756">
        <f t="shared" ca="1" si="1276"/>
        <v>103.27</v>
      </c>
      <c r="BG273" s="756">
        <f ca="1">OFFSET(InputY!$G273,0,(COLUMN()-7)/4)</f>
        <v>108.69</v>
      </c>
      <c r="BH273" s="756">
        <f t="shared" ca="1" si="1277"/>
        <v>108.69</v>
      </c>
      <c r="BI273" s="756">
        <f t="shared" ca="1" si="1277"/>
        <v>108.69</v>
      </c>
      <c r="BJ273" s="756">
        <f t="shared" ca="1" si="1277"/>
        <v>108.69</v>
      </c>
      <c r="BK273" s="756">
        <f ca="1">OFFSET(InputY!$G273,0,(COLUMN()-7)/4)</f>
        <v>109.04</v>
      </c>
      <c r="BL273" s="756">
        <f t="shared" ca="1" si="1278"/>
        <v>109.04</v>
      </c>
      <c r="BM273" s="756">
        <f t="shared" ca="1" si="1278"/>
        <v>109.04</v>
      </c>
      <c r="BN273" s="756">
        <f t="shared" ca="1" si="1278"/>
        <v>109.04</v>
      </c>
      <c r="BO273" s="756">
        <f ca="1">OFFSET(InputY!$G273,0,(COLUMN()-7)/4)</f>
        <v>112.37</v>
      </c>
      <c r="BP273" s="756">
        <f t="shared" ca="1" si="1279"/>
        <v>112.37</v>
      </c>
      <c r="BQ273" s="756">
        <f t="shared" ca="1" si="1279"/>
        <v>112.37</v>
      </c>
      <c r="BR273" s="756">
        <f t="shared" ca="1" si="1279"/>
        <v>112.37</v>
      </c>
      <c r="BS273" s="756">
        <f ca="1">OFFSET(InputY!$G273,0,(COLUMN()-7)/4)</f>
        <v>110.23</v>
      </c>
      <c r="BT273" s="756">
        <f t="shared" ca="1" si="1280"/>
        <v>110.23</v>
      </c>
      <c r="BU273" s="756">
        <f t="shared" ca="1" si="1280"/>
        <v>110.23</v>
      </c>
      <c r="BV273" s="756">
        <f t="shared" ca="1" si="1280"/>
        <v>110.23</v>
      </c>
      <c r="BW273" s="3316">
        <f ca="1">OFFSET(InputY!$G273,0,(COLUMN()-7)/4)</f>
        <v>117.07</v>
      </c>
      <c r="BX273" s="3317">
        <f t="shared" ca="1" si="1281"/>
        <v>117.07</v>
      </c>
      <c r="BY273" s="3317">
        <f t="shared" ca="1" si="1281"/>
        <v>117.07</v>
      </c>
      <c r="BZ273" s="3317">
        <f t="shared" ca="1" si="1281"/>
        <v>117.07</v>
      </c>
      <c r="CA273" s="3316">
        <f ca="1">OFFSET(InputY!$G273,0,(COLUMN()-7)/4)</f>
        <v>112.92</v>
      </c>
      <c r="CB273" s="3316">
        <f t="shared" ref="CB273:CB276" ca="1" si="1293">CA273</f>
        <v>112.92</v>
      </c>
      <c r="CC273" s="3317">
        <f t="shared" ca="1" si="1282"/>
        <v>112.92</v>
      </c>
      <c r="CD273" s="3317">
        <f t="shared" ca="1" si="1282"/>
        <v>112.92</v>
      </c>
      <c r="CE273" s="3316">
        <f ca="1">OFFSET(InputY!$G273,0,(COLUMN()-7)/4)</f>
        <v>109.15</v>
      </c>
      <c r="CF273" s="3316">
        <f t="shared" ref="CF273:CF276" ca="1" si="1294">CE273</f>
        <v>109.15</v>
      </c>
      <c r="CG273" s="3317">
        <f t="shared" ca="1" si="1283"/>
        <v>109.15</v>
      </c>
      <c r="CH273" s="3317">
        <f t="shared" ca="1" si="1283"/>
        <v>109.15</v>
      </c>
      <c r="CI273" s="3316">
        <f ca="1">OFFSET(InputY!$G273,0,(COLUMN()-7)/4)</f>
        <v>110.21</v>
      </c>
      <c r="CJ273" s="3316">
        <f t="shared" ref="CJ273:CJ276" ca="1" si="1295">CI273</f>
        <v>110.21</v>
      </c>
      <c r="CK273" s="3317">
        <f t="shared" ca="1" si="1284"/>
        <v>110.21</v>
      </c>
      <c r="CL273" s="3317">
        <f t="shared" ca="1" si="1284"/>
        <v>110.21</v>
      </c>
      <c r="CM273" s="3316">
        <f ca="1">OFFSET(InputY!$G273,0,(COLUMN()-7)/4)</f>
        <v>92.18</v>
      </c>
      <c r="CN273" s="3316">
        <f t="shared" ref="CN273:CN276" ca="1" si="1296">CM273</f>
        <v>92.18</v>
      </c>
      <c r="CO273" s="3317">
        <f t="shared" ca="1" si="1285"/>
        <v>92.18</v>
      </c>
      <c r="CP273" s="3317">
        <f t="shared" ca="1" si="1285"/>
        <v>92.18</v>
      </c>
      <c r="CQ273" s="3316">
        <f ca="1">OFFSET(InputY!$G273,0,(COLUMN()-7)/4)</f>
        <v>90.37</v>
      </c>
      <c r="CR273" s="3316">
        <f t="shared" ref="CR273:CR276" ca="1" si="1297">CQ273</f>
        <v>90.37</v>
      </c>
      <c r="CS273" s="3317">
        <f t="shared" ca="1" si="1285"/>
        <v>90.37</v>
      </c>
      <c r="CT273" s="3317">
        <f t="shared" ca="1" si="1285"/>
        <v>90.37</v>
      </c>
      <c r="CU273" s="2896">
        <f ca="1">+CQ273</f>
        <v>90.37</v>
      </c>
      <c r="CV273" s="979">
        <f t="shared" ca="1" si="1286"/>
        <v>90.37</v>
      </c>
      <c r="CW273" s="979">
        <f t="shared" ca="1" si="1287"/>
        <v>90.37</v>
      </c>
      <c r="CX273" s="979">
        <f t="shared" ca="1" si="1288"/>
        <v>90.37</v>
      </c>
      <c r="CY273" s="2896">
        <f ca="1">+CU273</f>
        <v>90.37</v>
      </c>
      <c r="CZ273" s="979">
        <f t="shared" ca="1" si="1289"/>
        <v>90.37</v>
      </c>
      <c r="DA273" s="979">
        <f t="shared" ca="1" si="1290"/>
        <v>90.37</v>
      </c>
      <c r="DB273" s="979">
        <f t="shared" ca="1" si="1291"/>
        <v>90.37</v>
      </c>
    </row>
    <row r="274" spans="1:114" s="749" customFormat="1" ht="12.75" customHeight="1">
      <c r="A274" s="714" t="str">
        <f>"Y" &amp; ROW(InputY!A274)</f>
        <v>Y274</v>
      </c>
      <c r="B274" s="714" t="s">
        <v>1973</v>
      </c>
      <c r="C274" s="1465"/>
      <c r="D274" s="724"/>
      <c r="E274" s="830" t="s">
        <v>612</v>
      </c>
      <c r="F274" s="754"/>
      <c r="G274" s="756"/>
      <c r="H274" s="756"/>
      <c r="I274" s="756"/>
      <c r="J274" s="756" t="str">
        <f ca="1">OFFSET(InputY!$G274,0,(COLUMN()-10)/4)</f>
        <v>:</v>
      </c>
      <c r="K274" s="756">
        <f ca="1">OFFSET(InputY!$G274,0,(COLUMN()-7)/4)</f>
        <v>101.79</v>
      </c>
      <c r="L274" s="756">
        <f t="shared" ca="1" si="1292"/>
        <v>101.79</v>
      </c>
      <c r="M274" s="756">
        <f t="shared" ca="1" si="1292"/>
        <v>101.79</v>
      </c>
      <c r="N274" s="756">
        <f t="shared" ca="1" si="1292"/>
        <v>101.79</v>
      </c>
      <c r="O274" s="756">
        <f ca="1">OFFSET(InputY!$G274,0,(COLUMN()-7)/4)</f>
        <v>99.97</v>
      </c>
      <c r="P274" s="756">
        <f t="shared" ca="1" si="1266"/>
        <v>99.97</v>
      </c>
      <c r="Q274" s="756">
        <f t="shared" ca="1" si="1266"/>
        <v>99.97</v>
      </c>
      <c r="R274" s="756">
        <f t="shared" ca="1" si="1266"/>
        <v>99.97</v>
      </c>
      <c r="S274" s="756">
        <f ca="1">OFFSET(InputY!$G274,0,(COLUMN()-7)/4)</f>
        <v>102.17</v>
      </c>
      <c r="T274" s="756">
        <f t="shared" ca="1" si="1267"/>
        <v>102.17</v>
      </c>
      <c r="U274" s="756">
        <f t="shared" ca="1" si="1267"/>
        <v>102.17</v>
      </c>
      <c r="V274" s="756">
        <f t="shared" ca="1" si="1267"/>
        <v>102.17</v>
      </c>
      <c r="W274" s="756">
        <f ca="1">OFFSET(InputY!$G274,0,(COLUMN()-7)/4)</f>
        <v>104.03</v>
      </c>
      <c r="X274" s="756">
        <f t="shared" ca="1" si="1268"/>
        <v>104.03</v>
      </c>
      <c r="Y274" s="756">
        <f t="shared" ca="1" si="1268"/>
        <v>104.03</v>
      </c>
      <c r="Z274" s="756">
        <f t="shared" ca="1" si="1268"/>
        <v>104.03</v>
      </c>
      <c r="AA274" s="756">
        <f ca="1">OFFSET(InputY!$G274,0,(COLUMN()-7)/4)</f>
        <v>88.59</v>
      </c>
      <c r="AB274" s="756">
        <f t="shared" ca="1" si="1269"/>
        <v>88.59</v>
      </c>
      <c r="AC274" s="756">
        <f t="shared" ca="1" si="1269"/>
        <v>88.59</v>
      </c>
      <c r="AD274" s="756">
        <f t="shared" ca="1" si="1269"/>
        <v>88.59</v>
      </c>
      <c r="AE274" s="756">
        <f ca="1">OFFSET(InputY!$G274,0,(COLUMN()-7)/4)</f>
        <v>79.22</v>
      </c>
      <c r="AF274" s="756">
        <f t="shared" ca="1" si="1270"/>
        <v>79.22</v>
      </c>
      <c r="AG274" s="756">
        <f t="shared" ca="1" si="1270"/>
        <v>79.22</v>
      </c>
      <c r="AH274" s="756">
        <f t="shared" ca="1" si="1270"/>
        <v>79.22</v>
      </c>
      <c r="AI274" s="756">
        <f ca="1">OFFSET(InputY!$G274,0,(COLUMN()-7)/4)</f>
        <v>82.48</v>
      </c>
      <c r="AJ274" s="756">
        <f t="shared" ca="1" si="1271"/>
        <v>82.48</v>
      </c>
      <c r="AK274" s="756">
        <f t="shared" ca="1" si="1271"/>
        <v>82.48</v>
      </c>
      <c r="AL274" s="756">
        <f t="shared" ca="1" si="1271"/>
        <v>82.48</v>
      </c>
      <c r="AM274" s="756">
        <f ca="1">OFFSET(InputY!$G274,0,(COLUMN()-7)/4)</f>
        <v>81.84</v>
      </c>
      <c r="AN274" s="756">
        <f t="shared" ca="1" si="1272"/>
        <v>81.84</v>
      </c>
      <c r="AO274" s="756">
        <f t="shared" ca="1" si="1272"/>
        <v>81.84</v>
      </c>
      <c r="AP274" s="756">
        <f t="shared" ca="1" si="1272"/>
        <v>81.84</v>
      </c>
      <c r="AQ274" s="756">
        <f ca="1">OFFSET(InputY!$G274,0,(COLUMN()-7)/4)</f>
        <v>81.59</v>
      </c>
      <c r="AR274" s="756">
        <f t="shared" ca="1" si="1273"/>
        <v>81.59</v>
      </c>
      <c r="AS274" s="756">
        <f t="shared" ca="1" si="1273"/>
        <v>81.59</v>
      </c>
      <c r="AT274" s="756">
        <f t="shared" ca="1" si="1273"/>
        <v>81.59</v>
      </c>
      <c r="AU274" s="756">
        <f ca="1">OFFSET(InputY!$G274,0,(COLUMN()-7)/4)</f>
        <v>81.48</v>
      </c>
      <c r="AV274" s="756">
        <f t="shared" ca="1" si="1274"/>
        <v>81.48</v>
      </c>
      <c r="AW274" s="756">
        <f t="shared" ca="1" si="1274"/>
        <v>81.48</v>
      </c>
      <c r="AX274" s="756">
        <f t="shared" ca="1" si="1274"/>
        <v>81.48</v>
      </c>
      <c r="AY274" s="756">
        <f ca="1">OFFSET(InputY!$G274,0,(COLUMN()-7)/4)</f>
        <v>80.819999999999993</v>
      </c>
      <c r="AZ274" s="756">
        <f t="shared" ca="1" si="1275"/>
        <v>80.819999999999993</v>
      </c>
      <c r="BA274" s="756">
        <f t="shared" ca="1" si="1275"/>
        <v>80.819999999999993</v>
      </c>
      <c r="BB274" s="756">
        <f t="shared" ca="1" si="1275"/>
        <v>80.819999999999993</v>
      </c>
      <c r="BC274" s="756">
        <f ca="1">OFFSET(InputY!$G274,0,(COLUMN()-7)/4)</f>
        <v>83.01</v>
      </c>
      <c r="BD274" s="756">
        <f t="shared" ca="1" si="1276"/>
        <v>83.01</v>
      </c>
      <c r="BE274" s="756">
        <f t="shared" ca="1" si="1276"/>
        <v>83.01</v>
      </c>
      <c r="BF274" s="756">
        <f t="shared" ca="1" si="1276"/>
        <v>83.01</v>
      </c>
      <c r="BG274" s="756">
        <f ca="1">OFFSET(InputY!$G274,0,(COLUMN()-7)/4)</f>
        <v>82.57</v>
      </c>
      <c r="BH274" s="756">
        <f t="shared" ca="1" si="1277"/>
        <v>82.57</v>
      </c>
      <c r="BI274" s="756">
        <f t="shared" ca="1" si="1277"/>
        <v>82.57</v>
      </c>
      <c r="BJ274" s="756">
        <f t="shared" ca="1" si="1277"/>
        <v>82.57</v>
      </c>
      <c r="BK274" s="756">
        <f ca="1">OFFSET(InputY!$G274,0,(COLUMN()-7)/4)</f>
        <v>82.13</v>
      </c>
      <c r="BL274" s="756">
        <f t="shared" ca="1" si="1278"/>
        <v>82.13</v>
      </c>
      <c r="BM274" s="756">
        <f t="shared" ca="1" si="1278"/>
        <v>82.13</v>
      </c>
      <c r="BN274" s="756">
        <f t="shared" ca="1" si="1278"/>
        <v>82.13</v>
      </c>
      <c r="BO274" s="756">
        <f ca="1">OFFSET(InputY!$G274,0,(COLUMN()-7)/4)</f>
        <v>77.95</v>
      </c>
      <c r="BP274" s="756">
        <f t="shared" ca="1" si="1279"/>
        <v>77.95</v>
      </c>
      <c r="BQ274" s="756">
        <f t="shared" ca="1" si="1279"/>
        <v>77.95</v>
      </c>
      <c r="BR274" s="756">
        <f t="shared" ca="1" si="1279"/>
        <v>77.95</v>
      </c>
      <c r="BS274" s="756">
        <f ca="1">OFFSET(InputY!$G274,0,(COLUMN()-7)/4)</f>
        <v>83.07</v>
      </c>
      <c r="BT274" s="756">
        <f t="shared" ca="1" si="1280"/>
        <v>83.07</v>
      </c>
      <c r="BU274" s="756">
        <f t="shared" ca="1" si="1280"/>
        <v>83.07</v>
      </c>
      <c r="BV274" s="756">
        <f t="shared" ca="1" si="1280"/>
        <v>83.07</v>
      </c>
      <c r="BW274" s="3316">
        <f ca="1">OFFSET(InputY!$G274,0,(COLUMN()-7)/4)</f>
        <v>78.78</v>
      </c>
      <c r="BX274" s="3317">
        <f t="shared" ca="1" si="1281"/>
        <v>78.78</v>
      </c>
      <c r="BY274" s="3317">
        <f t="shared" ca="1" si="1281"/>
        <v>78.78</v>
      </c>
      <c r="BZ274" s="3317">
        <f t="shared" ca="1" si="1281"/>
        <v>78.78</v>
      </c>
      <c r="CA274" s="3316">
        <f ca="1">OFFSET(InputY!$G274,0,(COLUMN()-7)/4)</f>
        <v>80.5</v>
      </c>
      <c r="CB274" s="3316">
        <f t="shared" ca="1" si="1293"/>
        <v>80.5</v>
      </c>
      <c r="CC274" s="3317">
        <f t="shared" ca="1" si="1282"/>
        <v>80.5</v>
      </c>
      <c r="CD274" s="3317">
        <f t="shared" ca="1" si="1282"/>
        <v>80.5</v>
      </c>
      <c r="CE274" s="3316">
        <f ca="1">OFFSET(InputY!$G274,0,(COLUMN()-7)/4)</f>
        <v>82</v>
      </c>
      <c r="CF274" s="3316">
        <f t="shared" ca="1" si="1294"/>
        <v>82</v>
      </c>
      <c r="CG274" s="3317">
        <f t="shared" ca="1" si="1283"/>
        <v>82</v>
      </c>
      <c r="CH274" s="3317">
        <f t="shared" ca="1" si="1283"/>
        <v>82</v>
      </c>
      <c r="CI274" s="3316">
        <f ca="1">OFFSET(InputY!$G274,0,(COLUMN()-7)/4)</f>
        <v>76.42</v>
      </c>
      <c r="CJ274" s="3316">
        <f t="shared" ca="1" si="1295"/>
        <v>76.42</v>
      </c>
      <c r="CK274" s="3317">
        <f t="shared" ca="1" si="1284"/>
        <v>76.42</v>
      </c>
      <c r="CL274" s="3317">
        <f t="shared" ca="1" si="1284"/>
        <v>76.42</v>
      </c>
      <c r="CM274" s="3316">
        <f ca="1">OFFSET(InputY!$G274,0,(COLUMN()-7)/4)</f>
        <v>76.900000000000006</v>
      </c>
      <c r="CN274" s="3316">
        <f t="shared" ca="1" si="1296"/>
        <v>76.900000000000006</v>
      </c>
      <c r="CO274" s="3317">
        <f t="shared" ca="1" si="1285"/>
        <v>76.900000000000006</v>
      </c>
      <c r="CP274" s="3317">
        <f t="shared" ca="1" si="1285"/>
        <v>76.900000000000006</v>
      </c>
      <c r="CQ274" s="3316">
        <f ca="1">OFFSET(InputY!$G274,0,(COLUMN()-7)/4)</f>
        <v>79.38</v>
      </c>
      <c r="CR274" s="3316">
        <f t="shared" ca="1" si="1297"/>
        <v>79.38</v>
      </c>
      <c r="CS274" s="3317">
        <f t="shared" ca="1" si="1285"/>
        <v>79.38</v>
      </c>
      <c r="CT274" s="3317">
        <f t="shared" ca="1" si="1285"/>
        <v>79.38</v>
      </c>
      <c r="CU274" s="2896">
        <f ca="1">+CQ274</f>
        <v>79.38</v>
      </c>
      <c r="CV274" s="979">
        <f t="shared" ca="1" si="1286"/>
        <v>79.38</v>
      </c>
      <c r="CW274" s="979">
        <f t="shared" ca="1" si="1287"/>
        <v>79.38</v>
      </c>
      <c r="CX274" s="979">
        <f t="shared" ca="1" si="1288"/>
        <v>79.38</v>
      </c>
      <c r="CY274" s="2896">
        <f ca="1">+CU274</f>
        <v>79.38</v>
      </c>
      <c r="CZ274" s="979">
        <f t="shared" ca="1" si="1289"/>
        <v>79.38</v>
      </c>
      <c r="DA274" s="979">
        <f t="shared" ca="1" si="1290"/>
        <v>79.38</v>
      </c>
      <c r="DB274" s="979">
        <f t="shared" ca="1" si="1291"/>
        <v>79.38</v>
      </c>
    </row>
    <row r="275" spans="1:114" s="749" customFormat="1" ht="12.75" customHeight="1">
      <c r="A275" s="714" t="str">
        <f>"Y" &amp; ROW(InputY!A275)</f>
        <v>Y275</v>
      </c>
      <c r="B275" s="714" t="s">
        <v>452</v>
      </c>
      <c r="C275" s="1465"/>
      <c r="D275" s="724"/>
      <c r="E275" s="830" t="s">
        <v>611</v>
      </c>
      <c r="F275" s="754"/>
      <c r="G275" s="756"/>
      <c r="H275" s="756"/>
      <c r="I275" s="756"/>
      <c r="J275" s="756" t="str">
        <f ca="1">OFFSET(InputY!$G275,0,(COLUMN()-10)/4)</f>
        <v>:</v>
      </c>
      <c r="K275" s="756">
        <f ca="1">OFFSET(InputY!$G275,0,(COLUMN()-7)/4)</f>
        <v>140.63</v>
      </c>
      <c r="L275" s="756">
        <f t="shared" ca="1" si="1292"/>
        <v>140.63</v>
      </c>
      <c r="M275" s="756">
        <f t="shared" ca="1" si="1292"/>
        <v>140.63</v>
      </c>
      <c r="N275" s="756">
        <f t="shared" ca="1" si="1292"/>
        <v>140.63</v>
      </c>
      <c r="O275" s="756">
        <f ca="1">OFFSET(InputY!$G275,0,(COLUMN()-7)/4)</f>
        <v>140.75</v>
      </c>
      <c r="P275" s="756">
        <f t="shared" ca="1" si="1266"/>
        <v>140.75</v>
      </c>
      <c r="Q275" s="756">
        <f t="shared" ca="1" si="1266"/>
        <v>140.75</v>
      </c>
      <c r="R275" s="756">
        <f t="shared" ca="1" si="1266"/>
        <v>140.75</v>
      </c>
      <c r="S275" s="756">
        <f ca="1">OFFSET(InputY!$G275,0,(COLUMN()-7)/4)</f>
        <v>143</v>
      </c>
      <c r="T275" s="756">
        <f t="shared" ca="1" si="1267"/>
        <v>143</v>
      </c>
      <c r="U275" s="756">
        <f t="shared" ca="1" si="1267"/>
        <v>143</v>
      </c>
      <c r="V275" s="756">
        <f t="shared" ca="1" si="1267"/>
        <v>143</v>
      </c>
      <c r="W275" s="756">
        <f ca="1">OFFSET(InputY!$G275,0,(COLUMN()-7)/4)</f>
        <v>142.37</v>
      </c>
      <c r="X275" s="756">
        <f t="shared" ca="1" si="1268"/>
        <v>142.37</v>
      </c>
      <c r="Y275" s="756">
        <f t="shared" ca="1" si="1268"/>
        <v>142.37</v>
      </c>
      <c r="Z275" s="756">
        <f t="shared" ca="1" si="1268"/>
        <v>142.37</v>
      </c>
      <c r="AA275" s="756">
        <f ca="1">OFFSET(InputY!$G275,0,(COLUMN()-7)/4)</f>
        <v>128.38</v>
      </c>
      <c r="AB275" s="756">
        <f t="shared" ca="1" si="1269"/>
        <v>128.38</v>
      </c>
      <c r="AC275" s="756">
        <f t="shared" ca="1" si="1269"/>
        <v>128.38</v>
      </c>
      <c r="AD275" s="756">
        <f t="shared" ca="1" si="1269"/>
        <v>128.38</v>
      </c>
      <c r="AE275" s="756">
        <f ca="1">OFFSET(InputY!$G275,0,(COLUMN()-7)/4)</f>
        <v>118.77</v>
      </c>
      <c r="AF275" s="756">
        <f t="shared" ca="1" si="1270"/>
        <v>118.77</v>
      </c>
      <c r="AG275" s="756">
        <f t="shared" ca="1" si="1270"/>
        <v>118.77</v>
      </c>
      <c r="AH275" s="756">
        <f t="shared" ca="1" si="1270"/>
        <v>118.77</v>
      </c>
      <c r="AI275" s="756">
        <f ca="1">OFFSET(InputY!$G275,0,(COLUMN()-7)/4)</f>
        <v>119.11</v>
      </c>
      <c r="AJ275" s="756">
        <f t="shared" ca="1" si="1271"/>
        <v>119.11</v>
      </c>
      <c r="AK275" s="756">
        <f t="shared" ca="1" si="1271"/>
        <v>119.11</v>
      </c>
      <c r="AL275" s="756">
        <f t="shared" ca="1" si="1271"/>
        <v>119.11</v>
      </c>
      <c r="AM275" s="756">
        <f ca="1">OFFSET(InputY!$G275,0,(COLUMN()-7)/4)</f>
        <v>119.27</v>
      </c>
      <c r="AN275" s="756">
        <f t="shared" ca="1" si="1272"/>
        <v>119.27</v>
      </c>
      <c r="AO275" s="756">
        <f t="shared" ca="1" si="1272"/>
        <v>119.27</v>
      </c>
      <c r="AP275" s="756">
        <f t="shared" ca="1" si="1272"/>
        <v>119.27</v>
      </c>
      <c r="AQ275" s="756">
        <f ca="1">OFFSET(InputY!$G275,0,(COLUMN()-7)/4)</f>
        <v>120.1</v>
      </c>
      <c r="AR275" s="756">
        <f t="shared" ca="1" si="1273"/>
        <v>120.1</v>
      </c>
      <c r="AS275" s="756">
        <f t="shared" ca="1" si="1273"/>
        <v>120.1</v>
      </c>
      <c r="AT275" s="756">
        <f t="shared" ca="1" si="1273"/>
        <v>120.1</v>
      </c>
      <c r="AU275" s="756">
        <f ca="1">OFFSET(InputY!$G275,0,(COLUMN()-7)/4)</f>
        <v>120.22</v>
      </c>
      <c r="AV275" s="756">
        <f t="shared" ca="1" si="1274"/>
        <v>120.22</v>
      </c>
      <c r="AW275" s="756">
        <f t="shared" ca="1" si="1274"/>
        <v>120.22</v>
      </c>
      <c r="AX275" s="756">
        <f t="shared" ca="1" si="1274"/>
        <v>120.22</v>
      </c>
      <c r="AY275" s="756">
        <f ca="1">OFFSET(InputY!$G275,0,(COLUMN()-7)/4)</f>
        <v>117.69</v>
      </c>
      <c r="AZ275" s="756">
        <f t="shared" ca="1" si="1275"/>
        <v>117.69</v>
      </c>
      <c r="BA275" s="756">
        <f t="shared" ca="1" si="1275"/>
        <v>117.69</v>
      </c>
      <c r="BB275" s="756">
        <f t="shared" ca="1" si="1275"/>
        <v>117.69</v>
      </c>
      <c r="BC275" s="756">
        <f ca="1">OFFSET(InputY!$G275,0,(COLUMN()-7)/4)</f>
        <v>118.97</v>
      </c>
      <c r="BD275" s="756">
        <f t="shared" ca="1" si="1276"/>
        <v>118.97</v>
      </c>
      <c r="BE275" s="756">
        <f t="shared" ca="1" si="1276"/>
        <v>118.97</v>
      </c>
      <c r="BF275" s="756">
        <f t="shared" ca="1" si="1276"/>
        <v>118.97</v>
      </c>
      <c r="BG275" s="756">
        <f ca="1">OFFSET(InputY!$G275,0,(COLUMN()-7)/4)</f>
        <v>124.06</v>
      </c>
      <c r="BH275" s="756">
        <f t="shared" ca="1" si="1277"/>
        <v>124.06</v>
      </c>
      <c r="BI275" s="756">
        <f t="shared" ca="1" si="1277"/>
        <v>124.06</v>
      </c>
      <c r="BJ275" s="756">
        <f t="shared" ca="1" si="1277"/>
        <v>124.06</v>
      </c>
      <c r="BK275" s="756">
        <f ca="1">OFFSET(InputY!$G275,0,(COLUMN()-7)/4)</f>
        <v>126.19</v>
      </c>
      <c r="BL275" s="756">
        <f t="shared" ca="1" si="1278"/>
        <v>126.19</v>
      </c>
      <c r="BM275" s="756">
        <f t="shared" ca="1" si="1278"/>
        <v>126.19</v>
      </c>
      <c r="BN275" s="756">
        <f t="shared" ca="1" si="1278"/>
        <v>126.19</v>
      </c>
      <c r="BO275" s="756">
        <f ca="1">OFFSET(InputY!$G275,0,(COLUMN()-7)/4)</f>
        <v>130.6</v>
      </c>
      <c r="BP275" s="756">
        <f t="shared" ca="1" si="1279"/>
        <v>130.6</v>
      </c>
      <c r="BQ275" s="756">
        <f t="shared" ca="1" si="1279"/>
        <v>130.6</v>
      </c>
      <c r="BR275" s="756">
        <f t="shared" ca="1" si="1279"/>
        <v>130.6</v>
      </c>
      <c r="BS275" s="756">
        <f ca="1">OFFSET(InputY!$G275,0,(COLUMN()-7)/4)</f>
        <v>135.63</v>
      </c>
      <c r="BT275" s="756">
        <f t="shared" ca="1" si="1280"/>
        <v>135.63</v>
      </c>
      <c r="BU275" s="756">
        <f t="shared" ca="1" si="1280"/>
        <v>135.63</v>
      </c>
      <c r="BV275" s="756">
        <f t="shared" ca="1" si="1280"/>
        <v>135.63</v>
      </c>
      <c r="BW275" s="3316">
        <f ca="1">OFFSET(InputY!$G275,0,(COLUMN()-7)/4)</f>
        <v>131.79</v>
      </c>
      <c r="BX275" s="3317">
        <f t="shared" ca="1" si="1281"/>
        <v>131.79</v>
      </c>
      <c r="BY275" s="3317">
        <f t="shared" ca="1" si="1281"/>
        <v>131.79</v>
      </c>
      <c r="BZ275" s="3317">
        <f t="shared" ca="1" si="1281"/>
        <v>131.79</v>
      </c>
      <c r="CA275" s="3316">
        <f ca="1">OFFSET(InputY!$G275,0,(COLUMN()-7)/4)</f>
        <v>131.94</v>
      </c>
      <c r="CB275" s="3316">
        <f t="shared" ca="1" si="1293"/>
        <v>131.94</v>
      </c>
      <c r="CC275" s="3317">
        <f t="shared" ca="1" si="1282"/>
        <v>131.94</v>
      </c>
      <c r="CD275" s="3317">
        <f t="shared" ca="1" si="1282"/>
        <v>131.94</v>
      </c>
      <c r="CE275" s="3316">
        <f ca="1">OFFSET(InputY!$G275,0,(COLUMN()-7)/4)</f>
        <v>134.52000000000001</v>
      </c>
      <c r="CF275" s="3316">
        <f t="shared" ca="1" si="1294"/>
        <v>134.52000000000001</v>
      </c>
      <c r="CG275" s="3317">
        <f t="shared" ca="1" si="1283"/>
        <v>134.52000000000001</v>
      </c>
      <c r="CH275" s="3317">
        <f t="shared" ca="1" si="1283"/>
        <v>134.52000000000001</v>
      </c>
      <c r="CI275" s="3316">
        <f ca="1">OFFSET(InputY!$G275,0,(COLUMN()-7)/4)</f>
        <v>131.02000000000001</v>
      </c>
      <c r="CJ275" s="3316">
        <f t="shared" ca="1" si="1295"/>
        <v>131.02000000000001</v>
      </c>
      <c r="CK275" s="3317">
        <f t="shared" ca="1" si="1284"/>
        <v>131.02000000000001</v>
      </c>
      <c r="CL275" s="3317">
        <f t="shared" ca="1" si="1284"/>
        <v>131.02000000000001</v>
      </c>
      <c r="CM275" s="3316">
        <f ca="1">OFFSET(InputY!$G275,0,(COLUMN()-7)/4)</f>
        <v>131.13</v>
      </c>
      <c r="CN275" s="3316">
        <f t="shared" ca="1" si="1296"/>
        <v>131.13</v>
      </c>
      <c r="CO275" s="3317">
        <f t="shared" ca="1" si="1285"/>
        <v>131.13</v>
      </c>
      <c r="CP275" s="3317">
        <f t="shared" ca="1" si="1285"/>
        <v>131.13</v>
      </c>
      <c r="CQ275" s="3316">
        <f ca="1">OFFSET(InputY!$G275,0,(COLUMN()-7)/4)</f>
        <v>134.72</v>
      </c>
      <c r="CR275" s="3316">
        <f t="shared" ca="1" si="1297"/>
        <v>134.72</v>
      </c>
      <c r="CS275" s="3317">
        <f t="shared" ca="1" si="1285"/>
        <v>134.72</v>
      </c>
      <c r="CT275" s="3317">
        <f t="shared" ca="1" si="1285"/>
        <v>134.72</v>
      </c>
      <c r="CU275" s="2896">
        <f ca="1">+CQ275</f>
        <v>134.72</v>
      </c>
      <c r="CV275" s="979">
        <f t="shared" ca="1" si="1286"/>
        <v>134.72</v>
      </c>
      <c r="CW275" s="979">
        <f t="shared" ca="1" si="1287"/>
        <v>134.72</v>
      </c>
      <c r="CX275" s="979">
        <f t="shared" ca="1" si="1288"/>
        <v>134.72</v>
      </c>
      <c r="CY275" s="2896">
        <f ca="1">+CU275</f>
        <v>134.72</v>
      </c>
      <c r="CZ275" s="979">
        <f t="shared" ca="1" si="1289"/>
        <v>134.72</v>
      </c>
      <c r="DA275" s="979">
        <f t="shared" ca="1" si="1290"/>
        <v>134.72</v>
      </c>
      <c r="DB275" s="979">
        <f t="shared" ca="1" si="1291"/>
        <v>134.72</v>
      </c>
    </row>
    <row r="276" spans="1:114" customFormat="1">
      <c r="A276" s="714" t="str">
        <f>"Y" &amp; ROW(InputY!A276)</f>
        <v>Y276</v>
      </c>
      <c r="B276" s="714" t="s">
        <v>453</v>
      </c>
      <c r="C276" s="1114"/>
      <c r="D276" s="1110"/>
      <c r="E276" s="1111" t="str">
        <f>+E250</f>
        <v>Services</v>
      </c>
      <c r="F276" s="1110"/>
      <c r="G276" s="1116"/>
      <c r="H276" s="1116"/>
      <c r="I276" s="1116"/>
      <c r="J276" s="1116" t="str">
        <f ca="1">OFFSET(InputY!$G276,0,(COLUMN()-10)/4)</f>
        <v>:</v>
      </c>
      <c r="K276" s="1116">
        <f ca="1">OFFSET(InputY!$G276,0,(COLUMN()-7)/4)</f>
        <v>302.12</v>
      </c>
      <c r="L276" s="1116">
        <f t="shared" ca="1" si="1292"/>
        <v>302.12</v>
      </c>
      <c r="M276" s="1116">
        <f t="shared" ca="1" si="1292"/>
        <v>302.12</v>
      </c>
      <c r="N276" s="1116">
        <f t="shared" ca="1" si="1292"/>
        <v>302.12</v>
      </c>
      <c r="O276" s="1116">
        <f ca="1">OFFSET(InputY!$G276,0,(COLUMN()-7)/4)</f>
        <v>303.13</v>
      </c>
      <c r="P276" s="1116">
        <f t="shared" ca="1" si="1266"/>
        <v>303.13</v>
      </c>
      <c r="Q276" s="1116">
        <f t="shared" ca="1" si="1266"/>
        <v>303.13</v>
      </c>
      <c r="R276" s="1116">
        <f t="shared" ca="1" si="1266"/>
        <v>303.13</v>
      </c>
      <c r="S276" s="1116">
        <f ca="1">OFFSET(InputY!$G276,0,(COLUMN()-7)/4)</f>
        <v>302.78000000000003</v>
      </c>
      <c r="T276" s="1116">
        <f t="shared" ca="1" si="1267"/>
        <v>302.78000000000003</v>
      </c>
      <c r="U276" s="1116">
        <f t="shared" ca="1" si="1267"/>
        <v>302.78000000000003</v>
      </c>
      <c r="V276" s="1116">
        <f t="shared" ca="1" si="1267"/>
        <v>302.78000000000003</v>
      </c>
      <c r="W276" s="1116">
        <f ca="1">OFFSET(InputY!$G276,0,(COLUMN()-7)/4)</f>
        <v>305.66000000000003</v>
      </c>
      <c r="X276" s="1116">
        <f t="shared" ca="1" si="1268"/>
        <v>305.66000000000003</v>
      </c>
      <c r="Y276" s="1116">
        <f t="shared" ca="1" si="1268"/>
        <v>305.66000000000003</v>
      </c>
      <c r="Z276" s="1116">
        <f t="shared" ca="1" si="1268"/>
        <v>305.66000000000003</v>
      </c>
      <c r="AA276" s="1116">
        <f ca="1">OFFSET(InputY!$G276,0,(COLUMN()-7)/4)</f>
        <v>324.62</v>
      </c>
      <c r="AB276" s="1116">
        <f t="shared" ca="1" si="1269"/>
        <v>324.62</v>
      </c>
      <c r="AC276" s="1116">
        <f t="shared" ca="1" si="1269"/>
        <v>324.62</v>
      </c>
      <c r="AD276" s="1116">
        <f t="shared" ca="1" si="1269"/>
        <v>324.62</v>
      </c>
      <c r="AE276" s="1116">
        <f ca="1">OFFSET(InputY!$G276,0,(COLUMN()-7)/4)</f>
        <v>369.13</v>
      </c>
      <c r="AF276" s="1116">
        <f t="shared" ca="1" si="1270"/>
        <v>369.13</v>
      </c>
      <c r="AG276" s="1116">
        <f t="shared" ca="1" si="1270"/>
        <v>369.13</v>
      </c>
      <c r="AH276" s="1116">
        <f t="shared" ca="1" si="1270"/>
        <v>369.13</v>
      </c>
      <c r="AI276" s="1116">
        <f ca="1">OFFSET(InputY!$G276,0,(COLUMN()-7)/4)</f>
        <v>373.76</v>
      </c>
      <c r="AJ276" s="1116">
        <f t="shared" ca="1" si="1271"/>
        <v>373.76</v>
      </c>
      <c r="AK276" s="1116">
        <f t="shared" ca="1" si="1271"/>
        <v>373.76</v>
      </c>
      <c r="AL276" s="1116">
        <f t="shared" ca="1" si="1271"/>
        <v>373.76</v>
      </c>
      <c r="AM276" s="1116">
        <f ca="1">OFFSET(InputY!$G276,0,(COLUMN()-7)/4)</f>
        <v>375.19</v>
      </c>
      <c r="AN276" s="1116">
        <f t="shared" ca="1" si="1272"/>
        <v>375.19</v>
      </c>
      <c r="AO276" s="1116">
        <f t="shared" ca="1" si="1272"/>
        <v>375.19</v>
      </c>
      <c r="AP276" s="1116">
        <f t="shared" ca="1" si="1272"/>
        <v>375.19</v>
      </c>
      <c r="AQ276" s="1116">
        <f ca="1">OFFSET(InputY!$G276,0,(COLUMN()-7)/4)</f>
        <v>376.07</v>
      </c>
      <c r="AR276" s="1116">
        <f t="shared" ca="1" si="1273"/>
        <v>376.07</v>
      </c>
      <c r="AS276" s="1116">
        <f t="shared" ca="1" si="1273"/>
        <v>376.07</v>
      </c>
      <c r="AT276" s="1116">
        <f t="shared" ca="1" si="1273"/>
        <v>376.07</v>
      </c>
      <c r="AU276" s="1116">
        <f ca="1">OFFSET(InputY!$G276,0,(COLUMN()-7)/4)</f>
        <v>375.09</v>
      </c>
      <c r="AV276" s="1116">
        <f t="shared" ca="1" si="1274"/>
        <v>375.09</v>
      </c>
      <c r="AW276" s="1116">
        <f t="shared" ca="1" si="1274"/>
        <v>375.09</v>
      </c>
      <c r="AX276" s="1116">
        <f t="shared" ca="1" si="1274"/>
        <v>375.09</v>
      </c>
      <c r="AY276" s="1116">
        <f ca="1">OFFSET(InputY!$G276,0,(COLUMN()-7)/4)</f>
        <v>377.54</v>
      </c>
      <c r="AZ276" s="1116">
        <f t="shared" ca="1" si="1275"/>
        <v>377.54</v>
      </c>
      <c r="BA276" s="1116">
        <f t="shared" ca="1" si="1275"/>
        <v>377.54</v>
      </c>
      <c r="BB276" s="1116">
        <f t="shared" ca="1" si="1275"/>
        <v>377.54</v>
      </c>
      <c r="BC276" s="1116">
        <f ca="1">OFFSET(InputY!$G276,0,(COLUMN()-7)/4)</f>
        <v>376.58</v>
      </c>
      <c r="BD276" s="1116">
        <f t="shared" ca="1" si="1276"/>
        <v>376.58</v>
      </c>
      <c r="BE276" s="1116">
        <f t="shared" ca="1" si="1276"/>
        <v>376.58</v>
      </c>
      <c r="BF276" s="1116">
        <f t="shared" ca="1" si="1276"/>
        <v>376.58</v>
      </c>
      <c r="BG276" s="1116">
        <f ca="1">OFFSET(InputY!$G276,0,(COLUMN()-7)/4)</f>
        <v>371.87</v>
      </c>
      <c r="BH276" s="1116">
        <f t="shared" ca="1" si="1277"/>
        <v>371.87</v>
      </c>
      <c r="BI276" s="1116">
        <f t="shared" ca="1" si="1277"/>
        <v>371.87</v>
      </c>
      <c r="BJ276" s="1116">
        <f t="shared" ca="1" si="1277"/>
        <v>371.87</v>
      </c>
      <c r="BK276" s="1116">
        <f ca="1">OFFSET(InputY!$G276,0,(COLUMN()-7)/4)</f>
        <v>373.33</v>
      </c>
      <c r="BL276" s="1116">
        <f t="shared" ca="1" si="1278"/>
        <v>373.33</v>
      </c>
      <c r="BM276" s="1116">
        <f t="shared" ca="1" si="1278"/>
        <v>373.33</v>
      </c>
      <c r="BN276" s="1116">
        <f t="shared" ca="1" si="1278"/>
        <v>373.33</v>
      </c>
      <c r="BO276" s="1116">
        <f ca="1">OFFSET(InputY!$G276,0,(COLUMN()-7)/4)</f>
        <v>379.08</v>
      </c>
      <c r="BP276" s="1116">
        <f t="shared" ca="1" si="1279"/>
        <v>379.08</v>
      </c>
      <c r="BQ276" s="1116">
        <f t="shared" ca="1" si="1279"/>
        <v>379.08</v>
      </c>
      <c r="BR276" s="1116">
        <f t="shared" ca="1" si="1279"/>
        <v>379.08</v>
      </c>
      <c r="BS276" s="1116">
        <f ca="1">OFFSET(InputY!$G276,0,(COLUMN()-7)/4)</f>
        <v>385.8</v>
      </c>
      <c r="BT276" s="1116">
        <f t="shared" ca="1" si="1280"/>
        <v>385.8</v>
      </c>
      <c r="BU276" s="1116">
        <f t="shared" ca="1" si="1280"/>
        <v>385.8</v>
      </c>
      <c r="BV276" s="1116">
        <f t="shared" ca="1" si="1280"/>
        <v>385.8</v>
      </c>
      <c r="BW276" s="3318">
        <f ca="1">OFFSET(InputY!$G276,0,(COLUMN()-7)/4)</f>
        <v>391.84</v>
      </c>
      <c r="BX276" s="3319">
        <f t="shared" ca="1" si="1281"/>
        <v>391.84</v>
      </c>
      <c r="BY276" s="3319">
        <f t="shared" ca="1" si="1281"/>
        <v>391.84</v>
      </c>
      <c r="BZ276" s="3319">
        <f t="shared" ca="1" si="1281"/>
        <v>391.84</v>
      </c>
      <c r="CA276" s="3318">
        <f ca="1">OFFSET(InputY!$G276,0,(COLUMN()-7)/4)</f>
        <v>395.47</v>
      </c>
      <c r="CB276" s="3318">
        <f t="shared" ca="1" si="1293"/>
        <v>395.47</v>
      </c>
      <c r="CC276" s="3319">
        <f t="shared" ca="1" si="1282"/>
        <v>395.47</v>
      </c>
      <c r="CD276" s="3319">
        <f t="shared" ca="1" si="1282"/>
        <v>395.47</v>
      </c>
      <c r="CE276" s="3318">
        <f ca="1">OFFSET(InputY!$G276,0,(COLUMN()-7)/4)</f>
        <v>395.44</v>
      </c>
      <c r="CF276" s="3318">
        <f t="shared" ca="1" si="1294"/>
        <v>395.44</v>
      </c>
      <c r="CG276" s="3319">
        <f t="shared" ca="1" si="1283"/>
        <v>395.44</v>
      </c>
      <c r="CH276" s="3319">
        <f t="shared" ca="1" si="1283"/>
        <v>395.44</v>
      </c>
      <c r="CI276" s="3318">
        <f ca="1">OFFSET(InputY!$G276,0,(COLUMN()-7)/4)</f>
        <v>408.18</v>
      </c>
      <c r="CJ276" s="3318">
        <f t="shared" ca="1" si="1295"/>
        <v>408.18</v>
      </c>
      <c r="CK276" s="3319">
        <f t="shared" ca="1" si="1284"/>
        <v>408.18</v>
      </c>
      <c r="CL276" s="3319">
        <f t="shared" ca="1" si="1284"/>
        <v>408.18</v>
      </c>
      <c r="CM276" s="3318">
        <f ca="1">OFFSET(InputY!$G276,0,(COLUMN()-7)/4)</f>
        <v>424.13</v>
      </c>
      <c r="CN276" s="3318">
        <f t="shared" ca="1" si="1296"/>
        <v>424.13</v>
      </c>
      <c r="CO276" s="3319">
        <f t="shared" ca="1" si="1285"/>
        <v>424.13</v>
      </c>
      <c r="CP276" s="3319">
        <f t="shared" ca="1" si="1285"/>
        <v>424.13</v>
      </c>
      <c r="CQ276" s="3318">
        <f ca="1">OFFSET(InputY!$G276,0,(COLUMN()-7)/4)</f>
        <v>422.6</v>
      </c>
      <c r="CR276" s="3318">
        <f t="shared" ca="1" si="1297"/>
        <v>422.6</v>
      </c>
      <c r="CS276" s="3319">
        <f t="shared" ca="1" si="1285"/>
        <v>422.6</v>
      </c>
      <c r="CT276" s="3319">
        <f t="shared" ca="1" si="1285"/>
        <v>422.6</v>
      </c>
      <c r="CU276" s="2897">
        <f ca="1">+CQ276</f>
        <v>422.6</v>
      </c>
      <c r="CV276" s="1285">
        <f t="shared" ca="1" si="1286"/>
        <v>422.6</v>
      </c>
      <c r="CW276" s="1285">
        <f t="shared" ca="1" si="1287"/>
        <v>422.6</v>
      </c>
      <c r="CX276" s="1285">
        <f t="shared" ca="1" si="1288"/>
        <v>422.6</v>
      </c>
      <c r="CY276" s="2897">
        <f ca="1">+CU276</f>
        <v>422.6</v>
      </c>
      <c r="CZ276" s="1285">
        <f t="shared" ca="1" si="1289"/>
        <v>422.6</v>
      </c>
      <c r="DA276" s="1285">
        <f t="shared" ca="1" si="1290"/>
        <v>422.6</v>
      </c>
      <c r="DB276" s="1285">
        <f t="shared" ca="1" si="1291"/>
        <v>422.6</v>
      </c>
    </row>
    <row r="277" spans="1:114" customFormat="1">
      <c r="A277" s="714"/>
      <c r="B277" s="714"/>
      <c r="C277" s="744"/>
      <c r="D277" s="1096"/>
      <c r="E277" s="1097" t="str">
        <f>+E252</f>
        <v>HICP</v>
      </c>
      <c r="F277" s="1096"/>
      <c r="G277" s="1098"/>
      <c r="H277" s="1098"/>
      <c r="I277" s="1098"/>
      <c r="J277" s="1098"/>
      <c r="K277" s="1098">
        <f t="shared" ref="K277:AP277" ca="1" si="1298">+SUM(K272:K276)</f>
        <v>980.93999999999994</v>
      </c>
      <c r="L277" s="1098">
        <f t="shared" ca="1" si="1298"/>
        <v>980.93999999999994</v>
      </c>
      <c r="M277" s="1098">
        <f t="shared" ca="1" si="1298"/>
        <v>980.93999999999994</v>
      </c>
      <c r="N277" s="1098">
        <f t="shared" ca="1" si="1298"/>
        <v>980.93999999999994</v>
      </c>
      <c r="O277" s="1098">
        <f t="shared" ca="1" si="1298"/>
        <v>981</v>
      </c>
      <c r="P277" s="1098">
        <f t="shared" ca="1" si="1298"/>
        <v>981</v>
      </c>
      <c r="Q277" s="1098">
        <f t="shared" ca="1" si="1298"/>
        <v>981</v>
      </c>
      <c r="R277" s="1098">
        <f t="shared" ca="1" si="1298"/>
        <v>981</v>
      </c>
      <c r="S277" s="1098">
        <f t="shared" ca="1" si="1298"/>
        <v>981.11000000000013</v>
      </c>
      <c r="T277" s="1098">
        <f t="shared" ca="1" si="1298"/>
        <v>981.11000000000013</v>
      </c>
      <c r="U277" s="1098">
        <f t="shared" ca="1" si="1298"/>
        <v>981.11000000000013</v>
      </c>
      <c r="V277" s="1098">
        <f t="shared" ca="1" si="1298"/>
        <v>981.11000000000013</v>
      </c>
      <c r="W277" s="1098">
        <f t="shared" ca="1" si="1298"/>
        <v>1000</v>
      </c>
      <c r="X277" s="1098">
        <f t="shared" ca="1" si="1298"/>
        <v>1000</v>
      </c>
      <c r="Y277" s="1098">
        <f t="shared" ca="1" si="1298"/>
        <v>1000</v>
      </c>
      <c r="Z277" s="1098">
        <f t="shared" ca="1" si="1298"/>
        <v>1000</v>
      </c>
      <c r="AA277" s="1098">
        <f t="shared" ca="1" si="1298"/>
        <v>1000.01</v>
      </c>
      <c r="AB277" s="1098">
        <f t="shared" ca="1" si="1298"/>
        <v>1000.01</v>
      </c>
      <c r="AC277" s="1098">
        <f t="shared" ca="1" si="1298"/>
        <v>1000.01</v>
      </c>
      <c r="AD277" s="1098">
        <f t="shared" ca="1" si="1298"/>
        <v>1000.01</v>
      </c>
      <c r="AE277" s="1098">
        <f t="shared" ca="1" si="1298"/>
        <v>1000</v>
      </c>
      <c r="AF277" s="1098">
        <f t="shared" ca="1" si="1298"/>
        <v>1000</v>
      </c>
      <c r="AG277" s="1098">
        <f t="shared" ca="1" si="1298"/>
        <v>1000</v>
      </c>
      <c r="AH277" s="1098">
        <f t="shared" ca="1" si="1298"/>
        <v>1000</v>
      </c>
      <c r="AI277" s="1098">
        <f t="shared" ca="1" si="1298"/>
        <v>999.99</v>
      </c>
      <c r="AJ277" s="1098">
        <f t="shared" ca="1" si="1298"/>
        <v>999.99</v>
      </c>
      <c r="AK277" s="1098">
        <f t="shared" ca="1" si="1298"/>
        <v>999.99</v>
      </c>
      <c r="AL277" s="1098">
        <f t="shared" ca="1" si="1298"/>
        <v>999.99</v>
      </c>
      <c r="AM277" s="1098">
        <f t="shared" ca="1" si="1298"/>
        <v>1000</v>
      </c>
      <c r="AN277" s="1098">
        <f t="shared" ca="1" si="1298"/>
        <v>1000</v>
      </c>
      <c r="AO277" s="1098">
        <f t="shared" ca="1" si="1298"/>
        <v>1000</v>
      </c>
      <c r="AP277" s="1098">
        <f t="shared" ca="1" si="1298"/>
        <v>1000</v>
      </c>
      <c r="AQ277" s="1098">
        <f t="shared" ref="AQ277:BB277" ca="1" si="1299">+SUM(AQ272:AQ276)</f>
        <v>1000</v>
      </c>
      <c r="AR277" s="1098">
        <f t="shared" ca="1" si="1299"/>
        <v>1000</v>
      </c>
      <c r="AS277" s="1098">
        <f t="shared" ca="1" si="1299"/>
        <v>1000</v>
      </c>
      <c r="AT277" s="1098">
        <f t="shared" ca="1" si="1299"/>
        <v>1000</v>
      </c>
      <c r="AU277" s="1098">
        <f t="shared" ca="1" si="1299"/>
        <v>1000</v>
      </c>
      <c r="AV277" s="1098">
        <f t="shared" ca="1" si="1299"/>
        <v>1000</v>
      </c>
      <c r="AW277" s="1098">
        <f t="shared" ca="1" si="1299"/>
        <v>1000</v>
      </c>
      <c r="AX277" s="1098">
        <f t="shared" ca="1" si="1299"/>
        <v>1000</v>
      </c>
      <c r="AY277" s="1098">
        <f t="shared" ca="1" si="1299"/>
        <v>999.99</v>
      </c>
      <c r="AZ277" s="1098">
        <f t="shared" ca="1" si="1299"/>
        <v>999.99</v>
      </c>
      <c r="BA277" s="1098">
        <f t="shared" ca="1" si="1299"/>
        <v>999.99</v>
      </c>
      <c r="BB277" s="1098">
        <f t="shared" ca="1" si="1299"/>
        <v>999.99</v>
      </c>
      <c r="BC277" s="1098">
        <f t="shared" ref="BC277:BJ277" ca="1" si="1300">+SUM(BC272:BC276)</f>
        <v>1000</v>
      </c>
      <c r="BD277" s="1098">
        <f t="shared" ca="1" si="1300"/>
        <v>1000</v>
      </c>
      <c r="BE277" s="1098">
        <f t="shared" ca="1" si="1300"/>
        <v>1000</v>
      </c>
      <c r="BF277" s="1098">
        <f t="shared" ca="1" si="1300"/>
        <v>1000</v>
      </c>
      <c r="BG277" s="1098">
        <f t="shared" ca="1" si="1300"/>
        <v>1000</v>
      </c>
      <c r="BH277" s="1098">
        <f t="shared" ca="1" si="1300"/>
        <v>1000</v>
      </c>
      <c r="BI277" s="1098">
        <f t="shared" ca="1" si="1300"/>
        <v>1000</v>
      </c>
      <c r="BJ277" s="1098">
        <f t="shared" ca="1" si="1300"/>
        <v>1000</v>
      </c>
      <c r="BK277" s="1098">
        <f t="shared" ref="BK277:BZ277" ca="1" si="1301">+SUM(BK272:BK276)</f>
        <v>1000</v>
      </c>
      <c r="BL277" s="1098">
        <f t="shared" ca="1" si="1301"/>
        <v>1000</v>
      </c>
      <c r="BM277" s="1098">
        <f t="shared" ca="1" si="1301"/>
        <v>1000</v>
      </c>
      <c r="BN277" s="1098">
        <f t="shared" ca="1" si="1301"/>
        <v>1000</v>
      </c>
      <c r="BO277" s="1098">
        <f t="shared" ca="1" si="1301"/>
        <v>1000.01</v>
      </c>
      <c r="BP277" s="1098">
        <f t="shared" ca="1" si="1301"/>
        <v>1000.01</v>
      </c>
      <c r="BQ277" s="1098">
        <f t="shared" ca="1" si="1301"/>
        <v>1000.01</v>
      </c>
      <c r="BR277" s="1098">
        <f t="shared" ca="1" si="1301"/>
        <v>1000.01</v>
      </c>
      <c r="BS277" s="1098">
        <f t="shared" ca="1" si="1301"/>
        <v>1000</v>
      </c>
      <c r="BT277" s="1098">
        <f t="shared" ca="1" si="1301"/>
        <v>1000</v>
      </c>
      <c r="BU277" s="1098">
        <f t="shared" ca="1" si="1301"/>
        <v>1000</v>
      </c>
      <c r="BV277" s="1098">
        <f t="shared" ca="1" si="1301"/>
        <v>1000</v>
      </c>
      <c r="BW277" s="1098">
        <f t="shared" ca="1" si="1301"/>
        <v>999.99</v>
      </c>
      <c r="BX277" s="1098">
        <f t="shared" ca="1" si="1301"/>
        <v>999.99</v>
      </c>
      <c r="BY277" s="1098">
        <f t="shared" ca="1" si="1301"/>
        <v>999.99</v>
      </c>
      <c r="BZ277" s="1098">
        <f t="shared" ca="1" si="1301"/>
        <v>999.99</v>
      </c>
      <c r="CA277" s="1098">
        <f ca="1">+SUM(CA272:CA276)</f>
        <v>1000</v>
      </c>
      <c r="CB277" s="915">
        <f t="shared" ref="CB277:CD277" ca="1" si="1302">+SUM(CB272:CB276)</f>
        <v>1000</v>
      </c>
      <c r="CC277" s="1098">
        <f t="shared" ca="1" si="1302"/>
        <v>1000</v>
      </c>
      <c r="CD277" s="1098">
        <f t="shared" ca="1" si="1302"/>
        <v>1000</v>
      </c>
      <c r="CE277" s="1098">
        <f ca="1">+SUM(CE272:CE276)</f>
        <v>1000</v>
      </c>
      <c r="CF277" s="915">
        <f t="shared" ref="CF277:CH277" ca="1" si="1303">+SUM(CF272:CF276)</f>
        <v>1000</v>
      </c>
      <c r="CG277" s="1098">
        <f t="shared" ca="1" si="1303"/>
        <v>1000</v>
      </c>
      <c r="CH277" s="1098">
        <f t="shared" ca="1" si="1303"/>
        <v>1000</v>
      </c>
      <c r="CI277" s="1098">
        <f ca="1">+SUM(CI272:CI276)</f>
        <v>999.99</v>
      </c>
      <c r="CJ277" s="915">
        <f t="shared" ref="CJ277:CL277" ca="1" si="1304">+SUM(CJ272:CJ276)</f>
        <v>999.99</v>
      </c>
      <c r="CK277" s="1098">
        <f t="shared" ca="1" si="1304"/>
        <v>999.99</v>
      </c>
      <c r="CL277" s="1098">
        <f t="shared" ca="1" si="1304"/>
        <v>999.99</v>
      </c>
      <c r="CM277" s="1098">
        <f ca="1">+SUM(CM272:CM276)</f>
        <v>1000</v>
      </c>
      <c r="CN277" s="915">
        <f t="shared" ref="CN277:CP277" ca="1" si="1305">+SUM(CN272:CN276)</f>
        <v>1000</v>
      </c>
      <c r="CO277" s="1098">
        <f t="shared" ca="1" si="1305"/>
        <v>1000</v>
      </c>
      <c r="CP277" s="1098">
        <f t="shared" ca="1" si="1305"/>
        <v>1000</v>
      </c>
      <c r="CQ277" s="1098">
        <f ca="1">+SUM(CQ272:CQ276)</f>
        <v>1000.01</v>
      </c>
      <c r="CR277" s="915">
        <f t="shared" ref="CR277:CT277" ca="1" si="1306">+SUM(CR272:CR276)</f>
        <v>1000.01</v>
      </c>
      <c r="CS277" s="1098">
        <f t="shared" ca="1" si="1306"/>
        <v>1000.01</v>
      </c>
      <c r="CT277" s="1098">
        <f t="shared" ca="1" si="1306"/>
        <v>1000.01</v>
      </c>
      <c r="CU277" s="915">
        <f t="shared" ref="CU277:CX277" ca="1" si="1307">+SUM(CU272:CU276)</f>
        <v>1000.01</v>
      </c>
      <c r="CV277" s="915">
        <f t="shared" ca="1" si="1307"/>
        <v>1000.01</v>
      </c>
      <c r="CW277" s="915">
        <f t="shared" ca="1" si="1307"/>
        <v>1000.01</v>
      </c>
      <c r="CX277" s="915">
        <f t="shared" ca="1" si="1307"/>
        <v>1000.01</v>
      </c>
      <c r="CY277" s="915">
        <f t="shared" ref="CY277:DB277" ca="1" si="1308">+SUM(CY272:CY276)</f>
        <v>1000.01</v>
      </c>
      <c r="CZ277" s="915">
        <f t="shared" ca="1" si="1308"/>
        <v>1000.01</v>
      </c>
      <c r="DA277" s="915">
        <f t="shared" ca="1" si="1308"/>
        <v>1000.01</v>
      </c>
      <c r="DB277" s="915">
        <f t="shared" ca="1" si="1308"/>
        <v>1000.01</v>
      </c>
    </row>
    <row r="278" spans="1:114">
      <c r="O278" s="2931"/>
      <c r="P278" s="2931"/>
      <c r="Q278" s="2931"/>
      <c r="R278" s="2931"/>
      <c r="S278" s="2931"/>
      <c r="T278" s="2931"/>
      <c r="U278" s="2931"/>
      <c r="V278" s="2931"/>
      <c r="W278" s="2931"/>
      <c r="X278" s="2931"/>
      <c r="Y278" s="2931"/>
      <c r="Z278" s="2931"/>
      <c r="AA278" s="2931"/>
      <c r="AB278" s="2931"/>
      <c r="AC278" s="2931"/>
      <c r="AD278" s="2931"/>
      <c r="AE278" s="2931"/>
      <c r="AF278" s="2931"/>
      <c r="AG278" s="2931"/>
      <c r="AH278" s="2931"/>
      <c r="AI278" s="2931"/>
      <c r="AJ278" s="2931"/>
      <c r="AK278" s="2931"/>
      <c r="AL278" s="2931"/>
      <c r="AM278" s="2931"/>
      <c r="AN278" s="2931"/>
      <c r="AO278" s="2931"/>
      <c r="AP278" s="2931"/>
      <c r="AQ278" s="2931"/>
      <c r="AR278" s="2931"/>
      <c r="AS278" s="2931"/>
      <c r="AT278" s="2931"/>
      <c r="AU278" s="2931"/>
      <c r="AV278" s="2931"/>
      <c r="AW278" s="2931"/>
      <c r="AX278" s="2931"/>
      <c r="AY278" s="2931"/>
      <c r="AZ278" s="2931"/>
      <c r="BA278" s="2931"/>
      <c r="BB278" s="2931"/>
      <c r="BC278" s="2931"/>
      <c r="BD278" s="2931"/>
      <c r="BE278" s="2931"/>
      <c r="BF278" s="2931"/>
      <c r="BG278" s="2931"/>
      <c r="BH278" s="2931"/>
      <c r="BI278" s="2931"/>
      <c r="BJ278" s="2931"/>
      <c r="BK278" s="2931"/>
      <c r="BL278" s="2931"/>
      <c r="BM278" s="2931"/>
      <c r="BN278" s="2931"/>
      <c r="BO278" s="2931"/>
      <c r="BP278" s="2931"/>
      <c r="BQ278" s="2931"/>
      <c r="BR278" s="2931"/>
      <c r="BS278" s="3292"/>
      <c r="BT278" s="3292"/>
      <c r="BU278" s="3292"/>
      <c r="BV278" s="3292"/>
      <c r="BW278" s="3292"/>
      <c r="BX278" s="3292"/>
      <c r="BY278" s="3292"/>
      <c r="BZ278" s="3292"/>
      <c r="CA278" s="3292"/>
      <c r="CB278" s="3292"/>
      <c r="CC278" s="3292"/>
      <c r="CD278" s="3292"/>
      <c r="CE278" s="3292"/>
      <c r="CF278" s="3292"/>
      <c r="CG278" s="3292"/>
      <c r="CH278" s="3292"/>
      <c r="CI278" s="3292"/>
      <c r="CJ278" s="3292"/>
      <c r="CK278" s="3292"/>
      <c r="CL278" s="3292"/>
      <c r="CM278" s="3292"/>
      <c r="CN278" s="3292"/>
      <c r="CO278" s="3292"/>
      <c r="CP278" s="3292"/>
      <c r="CQ278" s="3292"/>
      <c r="CR278" s="3292"/>
      <c r="CS278" s="3292"/>
      <c r="CT278" s="3292"/>
      <c r="CU278" s="3292"/>
      <c r="CV278" s="3292"/>
      <c r="CW278" s="3292"/>
      <c r="CX278" s="3292"/>
      <c r="CY278" s="3292"/>
      <c r="CZ278" s="3292"/>
      <c r="DA278" s="3292"/>
      <c r="DB278" s="3292"/>
    </row>
    <row r="279" spans="1:114" s="749" customFormat="1" ht="12.75" customHeight="1">
      <c r="A279" s="714"/>
      <c r="B279" s="714"/>
      <c r="C279" s="1456"/>
      <c r="D279" s="790"/>
      <c r="E279" s="791" t="s">
        <v>1369</v>
      </c>
      <c r="F279" s="792"/>
      <c r="G279" s="1484" t="s">
        <v>364</v>
      </c>
      <c r="H279" s="1485" t="s">
        <v>671</v>
      </c>
      <c r="I279" s="1485" t="s">
        <v>672</v>
      </c>
      <c r="J279" s="1485" t="s">
        <v>673</v>
      </c>
      <c r="K279" s="1485" t="s">
        <v>364</v>
      </c>
      <c r="L279" s="1485" t="s">
        <v>671</v>
      </c>
      <c r="M279" s="1485" t="s">
        <v>672</v>
      </c>
      <c r="N279" s="1485" t="s">
        <v>673</v>
      </c>
      <c r="O279" s="1485" t="s">
        <v>364</v>
      </c>
      <c r="P279" s="1485" t="s">
        <v>671</v>
      </c>
      <c r="Q279" s="1485" t="s">
        <v>672</v>
      </c>
      <c r="R279" s="1485" t="s">
        <v>673</v>
      </c>
      <c r="S279" s="1485" t="s">
        <v>364</v>
      </c>
      <c r="T279" s="1485" t="s">
        <v>671</v>
      </c>
      <c r="U279" s="1485" t="s">
        <v>672</v>
      </c>
      <c r="V279" s="1485" t="s">
        <v>673</v>
      </c>
      <c r="W279" s="1485" t="s">
        <v>364</v>
      </c>
      <c r="X279" s="1485" t="s">
        <v>671</v>
      </c>
      <c r="Y279" s="1485" t="s">
        <v>672</v>
      </c>
      <c r="Z279" s="1485" t="s">
        <v>673</v>
      </c>
      <c r="AA279" s="1485" t="s">
        <v>364</v>
      </c>
      <c r="AB279" s="1485" t="s">
        <v>671</v>
      </c>
      <c r="AC279" s="1485" t="s">
        <v>672</v>
      </c>
      <c r="AD279" s="1485" t="s">
        <v>673</v>
      </c>
      <c r="AE279" s="1485" t="s">
        <v>364</v>
      </c>
      <c r="AF279" s="1485" t="s">
        <v>671</v>
      </c>
      <c r="AG279" s="1485" t="s">
        <v>672</v>
      </c>
      <c r="AH279" s="1485" t="s">
        <v>673</v>
      </c>
      <c r="AI279" s="1485" t="s">
        <v>364</v>
      </c>
      <c r="AJ279" s="1485" t="s">
        <v>671</v>
      </c>
      <c r="AK279" s="1485" t="s">
        <v>672</v>
      </c>
      <c r="AL279" s="1485" t="s">
        <v>673</v>
      </c>
      <c r="AM279" s="1485" t="s">
        <v>364</v>
      </c>
      <c r="AN279" s="1485" t="s">
        <v>671</v>
      </c>
      <c r="AO279" s="1485" t="s">
        <v>672</v>
      </c>
      <c r="AP279" s="1485" t="s">
        <v>673</v>
      </c>
      <c r="AQ279" s="1485" t="s">
        <v>364</v>
      </c>
      <c r="AR279" s="1485" t="s">
        <v>671</v>
      </c>
      <c r="AS279" s="1485" t="s">
        <v>672</v>
      </c>
      <c r="AT279" s="1485" t="s">
        <v>673</v>
      </c>
      <c r="AU279" s="1485" t="s">
        <v>364</v>
      </c>
      <c r="AV279" s="1485" t="s">
        <v>671</v>
      </c>
      <c r="AW279" s="1485" t="s">
        <v>672</v>
      </c>
      <c r="AX279" s="1485" t="s">
        <v>673</v>
      </c>
      <c r="AY279" s="1485" t="s">
        <v>364</v>
      </c>
      <c r="AZ279" s="1485" t="s">
        <v>671</v>
      </c>
      <c r="BA279" s="1485" t="s">
        <v>672</v>
      </c>
      <c r="BB279" s="1485" t="s">
        <v>673</v>
      </c>
      <c r="BC279" s="1485" t="s">
        <v>364</v>
      </c>
      <c r="BD279" s="1485" t="s">
        <v>671</v>
      </c>
      <c r="BE279" s="1485" t="s">
        <v>672</v>
      </c>
      <c r="BF279" s="1485" t="s">
        <v>673</v>
      </c>
      <c r="BG279" s="1485" t="s">
        <v>364</v>
      </c>
      <c r="BH279" s="1485" t="s">
        <v>671</v>
      </c>
      <c r="BI279" s="1485" t="s">
        <v>672</v>
      </c>
      <c r="BJ279" s="1485" t="s">
        <v>673</v>
      </c>
      <c r="BK279" s="1485" t="s">
        <v>364</v>
      </c>
      <c r="BL279" s="1485" t="s">
        <v>671</v>
      </c>
      <c r="BM279" s="1485" t="s">
        <v>672</v>
      </c>
      <c r="BN279" s="1485" t="s">
        <v>673</v>
      </c>
      <c r="BO279" s="1485" t="s">
        <v>364</v>
      </c>
      <c r="BP279" s="1485" t="s">
        <v>671</v>
      </c>
      <c r="BQ279" s="1485" t="s">
        <v>672</v>
      </c>
      <c r="BR279" s="1485" t="s">
        <v>673</v>
      </c>
      <c r="BS279" s="1485" t="s">
        <v>364</v>
      </c>
      <c r="BT279" s="1485" t="s">
        <v>671</v>
      </c>
      <c r="BU279" s="1485" t="s">
        <v>672</v>
      </c>
      <c r="BV279" s="1485" t="s">
        <v>673</v>
      </c>
      <c r="BW279" s="1485" t="s">
        <v>364</v>
      </c>
      <c r="BX279" s="1485" t="s">
        <v>671</v>
      </c>
      <c r="BY279" s="1485" t="s">
        <v>672</v>
      </c>
      <c r="BZ279" s="1485" t="s">
        <v>673</v>
      </c>
      <c r="CA279" s="1485" t="s">
        <v>364</v>
      </c>
      <c r="CB279" s="1485" t="s">
        <v>671</v>
      </c>
      <c r="CC279" s="1485" t="s">
        <v>672</v>
      </c>
      <c r="CD279" s="1485" t="s">
        <v>673</v>
      </c>
      <c r="CE279" s="1485" t="s">
        <v>364</v>
      </c>
      <c r="CF279" s="1485" t="s">
        <v>671</v>
      </c>
      <c r="CG279" s="1485" t="s">
        <v>672</v>
      </c>
      <c r="CH279" s="1485" t="s">
        <v>673</v>
      </c>
      <c r="CI279" s="1485" t="s">
        <v>364</v>
      </c>
      <c r="CJ279" s="1485" t="s">
        <v>671</v>
      </c>
      <c r="CK279" s="1485" t="s">
        <v>672</v>
      </c>
      <c r="CL279" s="1485" t="s">
        <v>673</v>
      </c>
      <c r="CM279" s="1485" t="s">
        <v>364</v>
      </c>
      <c r="CN279" s="1485" t="s">
        <v>671</v>
      </c>
      <c r="CO279" s="1485" t="s">
        <v>672</v>
      </c>
      <c r="CP279" s="1485" t="s">
        <v>673</v>
      </c>
      <c r="CQ279" s="1485" t="s">
        <v>364</v>
      </c>
      <c r="CR279" s="1485" t="s">
        <v>671</v>
      </c>
      <c r="CS279" s="1485" t="s">
        <v>672</v>
      </c>
      <c r="CT279" s="1485" t="s">
        <v>673</v>
      </c>
      <c r="CU279" s="1485" t="s">
        <v>364</v>
      </c>
      <c r="CV279" s="1485" t="s">
        <v>671</v>
      </c>
      <c r="CW279" s="1485" t="s">
        <v>672</v>
      </c>
      <c r="CX279" s="1485" t="s">
        <v>673</v>
      </c>
      <c r="CY279" s="1485" t="s">
        <v>364</v>
      </c>
      <c r="CZ279" s="1485" t="s">
        <v>671</v>
      </c>
      <c r="DA279" s="1485" t="s">
        <v>672</v>
      </c>
      <c r="DB279" s="1485" t="s">
        <v>673</v>
      </c>
    </row>
    <row r="280" spans="1:114" s="749" customFormat="1" ht="12.75" customHeight="1">
      <c r="B280" s="714"/>
      <c r="C280" s="742"/>
      <c r="D280" s="739"/>
      <c r="E280" s="787" t="str">
        <f>+E272</f>
        <v>Non-energy industrial goods</v>
      </c>
      <c r="F280" s="782"/>
      <c r="G280" s="2853"/>
      <c r="H280" s="2853"/>
      <c r="I280" s="2853"/>
      <c r="J280" s="2853"/>
      <c r="K280" s="2853"/>
      <c r="L280" s="2853"/>
      <c r="M280" s="2853"/>
      <c r="N280" s="2853"/>
      <c r="O280" s="3820">
        <f t="shared" ref="O280:X285" si="1309">+O246/K246*100-100</f>
        <v>0.36708712461435766</v>
      </c>
      <c r="P280" s="3820">
        <f t="shared" si="1309"/>
        <v>0.19124190149088349</v>
      </c>
      <c r="Q280" s="3820">
        <f t="shared" si="1309"/>
        <v>-8.1890500701902624E-2</v>
      </c>
      <c r="R280" s="3820">
        <f t="shared" si="1309"/>
        <v>7.7884652829141032E-3</v>
      </c>
      <c r="S280" s="3820">
        <f t="shared" si="1309"/>
        <v>8.170888292282541E-2</v>
      </c>
      <c r="T280" s="3820">
        <f t="shared" si="1309"/>
        <v>0.57263059483464929</v>
      </c>
      <c r="U280" s="3820">
        <f t="shared" si="1309"/>
        <v>0.99519962533658202</v>
      </c>
      <c r="V280" s="3820">
        <f t="shared" si="1309"/>
        <v>1.0435730695845109</v>
      </c>
      <c r="W280" s="3820">
        <f t="shared" ca="1" si="1309"/>
        <v>1.1429904362024956</v>
      </c>
      <c r="X280" s="3820">
        <f t="shared" ca="1" si="1309"/>
        <v>0.87535827717096026</v>
      </c>
      <c r="Y280" s="3820">
        <f t="shared" ref="Y280:AH285" ca="1" si="1310">+Y246/U246*100-100</f>
        <v>0.62601437514490499</v>
      </c>
      <c r="Z280" s="3820">
        <f t="shared" ca="1" si="1310"/>
        <v>0.63200894061428414</v>
      </c>
      <c r="AA280" s="3820">
        <f t="shared" ca="1" si="1310"/>
        <v>-0.81872693726940327</v>
      </c>
      <c r="AB280" s="3820">
        <f t="shared" ca="1" si="1310"/>
        <v>0.52603286745507205</v>
      </c>
      <c r="AC280" s="3820">
        <f t="shared" ca="1" si="1310"/>
        <v>-0.66436251920120526</v>
      </c>
      <c r="AD280" s="3820">
        <f t="shared" ca="1" si="1310"/>
        <v>1.0607743269635677</v>
      </c>
      <c r="AE280" s="3820">
        <f t="shared" ca="1" si="1310"/>
        <v>1.4920745649730947</v>
      </c>
      <c r="AF280" s="3820">
        <f t="shared" ca="1" si="1310"/>
        <v>1.9708949237997189</v>
      </c>
      <c r="AG280" s="3820">
        <f t="shared" ca="1" si="1310"/>
        <v>2.1494568368964195</v>
      </c>
      <c r="AH280" s="3820">
        <f t="shared" ca="1" si="1310"/>
        <v>2.3076923076923208</v>
      </c>
      <c r="AI280" s="3820">
        <f t="shared" ref="AI280:AR285" ca="1" si="1311">+AI246/AE246*100-100</f>
        <v>2.1803879639529669</v>
      </c>
      <c r="AJ280" s="3820">
        <f t="shared" ca="1" si="1311"/>
        <v>1.8616323931527745</v>
      </c>
      <c r="AK280" s="3820">
        <f t="shared" ca="1" si="1311"/>
        <v>1.4230026870529286</v>
      </c>
      <c r="AL280" s="3820">
        <f t="shared" ca="1" si="1311"/>
        <v>1.1889329234416266</v>
      </c>
      <c r="AM280" s="3820">
        <f t="shared" ca="1" si="1311"/>
        <v>1.0874845846257273</v>
      </c>
      <c r="AN280" s="3820">
        <f t="shared" ca="1" si="1311"/>
        <v>0.93402956534529835</v>
      </c>
      <c r="AO280" s="3820">
        <f t="shared" ca="1" si="1311"/>
        <v>1.0261576924512212</v>
      </c>
      <c r="AP280" s="3820">
        <f t="shared" ca="1" si="1311"/>
        <v>0.92240117130305066</v>
      </c>
      <c r="AQ280" s="3820">
        <f t="shared" ca="1" si="1311"/>
        <v>0.70609981515710274</v>
      </c>
      <c r="AR280" s="3820">
        <f t="shared" ca="1" si="1311"/>
        <v>0.40804430195279906</v>
      </c>
      <c r="AS280" s="3820">
        <f t="shared" ref="AS280:BB285" ca="1" si="1312">+AS246/AO246*100-100</f>
        <v>0.12188815838072742</v>
      </c>
      <c r="AT280" s="3820">
        <f t="shared" ca="1" si="1312"/>
        <v>-3.6268678368998053E-3</v>
      </c>
      <c r="AU280" s="3820">
        <f t="shared" ca="1" si="1312"/>
        <v>-0.13582467603977477</v>
      </c>
      <c r="AV280" s="3820">
        <f t="shared" ca="1" si="1312"/>
        <v>0.30116110304787469</v>
      </c>
      <c r="AW280" s="3820">
        <f t="shared" ca="1" si="1312"/>
        <v>0.15863061201903861</v>
      </c>
      <c r="AX280" s="3820">
        <f t="shared" ca="1" si="1312"/>
        <v>0.7435348735990317</v>
      </c>
      <c r="AY280" s="3820">
        <f t="shared" ca="1" si="1312"/>
        <v>0.69107484193500568</v>
      </c>
      <c r="AZ280" s="3820">
        <f t="shared" ca="1" si="1312"/>
        <v>1.0382375284882386</v>
      </c>
      <c r="BA280" s="3820">
        <f t="shared" ca="1" si="1312"/>
        <v>1.1270718232044175</v>
      </c>
      <c r="BB280" s="3820">
        <f t="shared" ca="1" si="1312"/>
        <v>0.81005184331797864</v>
      </c>
      <c r="BC280" s="3820">
        <f t="shared" ref="BC280:BF285" ca="1" si="1313">+BC246/AY246*100-100</f>
        <v>0.8433119158878668</v>
      </c>
      <c r="BD280" s="3820">
        <f t="shared" ca="1" si="1313"/>
        <v>0.69459362692445836</v>
      </c>
      <c r="BE280" s="3820">
        <f t="shared" ca="1" si="1313"/>
        <v>0.84863053613052841</v>
      </c>
      <c r="BF280" s="3820">
        <f t="shared" ca="1" si="1313"/>
        <v>1.0821042105638981</v>
      </c>
      <c r="BG280" s="3820">
        <f t="shared" ref="BG280:BG286" ca="1" si="1314">+BG246/BC246*100-100</f>
        <v>1.2525793722622467</v>
      </c>
      <c r="BH280" s="3820">
        <f t="shared" ref="BH280:BK284" ca="1" si="1315">+BH246/BD246*100-100</f>
        <v>1.3333807424263995</v>
      </c>
      <c r="BI280" s="3820">
        <f t="shared" ca="1" si="1315"/>
        <v>1.1376358842861976</v>
      </c>
      <c r="BJ280" s="3820">
        <f t="shared" ca="1" si="1315"/>
        <v>1.4838892029395367</v>
      </c>
      <c r="BK280" s="3820">
        <f t="shared" ca="1" si="1315"/>
        <v>1.1834531087990143</v>
      </c>
      <c r="BL280" s="3820">
        <f t="shared" ref="BL280:BL286" ca="1" si="1316">+BL246/BH246*100-100</f>
        <v>1.6772518333976478</v>
      </c>
      <c r="BM280" s="3820">
        <f ca="1">+BM246/BI246*100-100</f>
        <v>1.4855020711327001</v>
      </c>
      <c r="BN280" s="3820">
        <f ca="1">+BN246/BJ246*100-100</f>
        <v>1.4134521654365386</v>
      </c>
      <c r="BO280" s="3820">
        <f ca="1">+BO246/BK246*100-100</f>
        <v>1.063604240282686</v>
      </c>
      <c r="BP280" s="3820">
        <f t="shared" ref="BP280:CH286" ca="1" si="1317">+BP246/BL246*100-100</f>
        <v>0.84204714083585941</v>
      </c>
      <c r="BQ280" s="3820">
        <f t="shared" ca="1" si="1317"/>
        <v>0.53131597466573055</v>
      </c>
      <c r="BR280" s="3820">
        <f t="shared" ca="1" si="1317"/>
        <v>0.74493649158944208</v>
      </c>
      <c r="BS280" s="3820">
        <f t="shared" ca="1" si="1317"/>
        <v>0.84962064263487491</v>
      </c>
      <c r="BT280" s="3820">
        <f t="shared" ca="1" si="1317"/>
        <v>0.69128366585673007</v>
      </c>
      <c r="BU280" s="3820">
        <f t="shared" ca="1" si="1317"/>
        <v>1.2425186377795825</v>
      </c>
      <c r="BV280" s="3820">
        <f t="shared" ca="1" si="1317"/>
        <v>1.0529185265955761</v>
      </c>
      <c r="BW280" s="3820">
        <f t="shared" ca="1" si="1317"/>
        <v>0.98113992511439108</v>
      </c>
      <c r="BX280" s="3820">
        <f t="shared" ca="1" si="1317"/>
        <v>1.101179349488504</v>
      </c>
      <c r="BY280" s="3820">
        <f t="shared" ca="1" si="1317"/>
        <v>0.68104819193803223</v>
      </c>
      <c r="BZ280" s="3820">
        <f t="shared" ca="1" si="1317"/>
        <v>0.8059077421095111</v>
      </c>
      <c r="CA280" s="3820">
        <f t="shared" ca="1" si="1317"/>
        <v>0.98534006248497974</v>
      </c>
      <c r="CB280" s="3820">
        <f t="shared" ca="1" si="1317"/>
        <v>1.169865868827074</v>
      </c>
      <c r="CC280" s="3820">
        <f t="shared" ca="1" si="1317"/>
        <v>0.99234282182467837</v>
      </c>
      <c r="CD280" s="3820">
        <f t="shared" ca="1" si="1317"/>
        <v>0.77939454758322313</v>
      </c>
      <c r="CE280" s="3820">
        <f t="shared" ca="1" si="1317"/>
        <v>0.4623648602706254</v>
      </c>
      <c r="CF280" s="3820">
        <f t="shared" ca="1" si="1317"/>
        <v>0.28576175444425189</v>
      </c>
      <c r="CG280" s="3820">
        <f t="shared" ca="1" si="1317"/>
        <v>0.36039711682305153</v>
      </c>
      <c r="CH280" s="3820">
        <f t="shared" ca="1" si="1317"/>
        <v>0.23566117896973537</v>
      </c>
      <c r="CI280" s="3820">
        <f t="shared" ref="CI280:CI286" ca="1" si="1318">+CI246/CE246*100-100</f>
        <v>0.48730964467004867</v>
      </c>
      <c r="CJ280" s="3820">
        <f t="shared" ref="CJ280:CT286" ca="1" si="1319">+CJ246/CF246*100-100</f>
        <v>0.24187402670554548</v>
      </c>
      <c r="CK280" s="3820">
        <f t="shared" ca="1" si="1319"/>
        <v>0.50816450979063177</v>
      </c>
      <c r="CL280" s="3820">
        <f t="shared" ca="1" si="1319"/>
        <v>0.6092916984005825</v>
      </c>
      <c r="CM280" s="3820">
        <f t="shared" ca="1" si="1319"/>
        <v>1.0709234188724963</v>
      </c>
      <c r="CN280" s="3820">
        <f t="shared" ca="1" si="1319"/>
        <v>0.97838302373239117</v>
      </c>
      <c r="CO280" s="3820">
        <f t="shared" ca="1" si="1319"/>
        <v>1.1594984495078933</v>
      </c>
      <c r="CP280" s="3820">
        <f t="shared" ca="1" si="1319"/>
        <v>0.83270249810752262</v>
      </c>
      <c r="CQ280" s="3820">
        <f t="shared" ca="1" si="1319"/>
        <v>0.75636412101825101</v>
      </c>
      <c r="CR280" s="3820">
        <f t="shared" ca="1" si="1319"/>
        <v>0.82160392798691362</v>
      </c>
      <c r="CS280" s="3820">
        <f t="shared" ca="1" si="1319"/>
        <v>0.90963614554178207</v>
      </c>
      <c r="CT280" s="3820">
        <f t="shared" ca="1" si="1319"/>
        <v>0.75075075075072562</v>
      </c>
      <c r="CU280" s="3818">
        <v>0.96564039816131597</v>
      </c>
      <c r="CV280" s="3818">
        <v>0.76496104497356665</v>
      </c>
      <c r="CW280" s="3818">
        <v>1.1742846240934801</v>
      </c>
      <c r="CX280" s="3818">
        <v>1.1235852011840519</v>
      </c>
      <c r="CY280" s="3818">
        <v>0.5924219234650252</v>
      </c>
      <c r="CZ280" s="3818">
        <v>1.8657217999009212</v>
      </c>
      <c r="DA280" s="3818">
        <v>1.4794241539144881</v>
      </c>
      <c r="DB280" s="3818">
        <v>0.29142197945466464</v>
      </c>
      <c r="DC280" s="218"/>
      <c r="DD280" s="218"/>
      <c r="DE280" s="218"/>
      <c r="DF280" s="218"/>
      <c r="DG280" s="218"/>
      <c r="DH280" s="218"/>
      <c r="DI280" s="218"/>
      <c r="DJ280" s="218"/>
    </row>
    <row r="281" spans="1:114">
      <c r="C281" s="975"/>
      <c r="D281" s="724"/>
      <c r="E281" s="221" t="str">
        <f>+E273</f>
        <v>Energy</v>
      </c>
      <c r="F281" s="759"/>
      <c r="G281" s="2854"/>
      <c r="H281" s="2854"/>
      <c r="I281" s="2854"/>
      <c r="J281" s="2854"/>
      <c r="K281" s="2854"/>
      <c r="L281" s="2854"/>
      <c r="M281" s="2854"/>
      <c r="N281" s="2854"/>
      <c r="O281" s="1062">
        <f t="shared" si="1309"/>
        <v>5.8975715881695692</v>
      </c>
      <c r="P281" s="1062">
        <f t="shared" si="1309"/>
        <v>3.1578947368421098</v>
      </c>
      <c r="Q281" s="1062">
        <f t="shared" si="1309"/>
        <v>3.643841965009841</v>
      </c>
      <c r="R281" s="1062">
        <f t="shared" si="1309"/>
        <v>8.3728718950609959E-2</v>
      </c>
      <c r="S281" s="1062">
        <f t="shared" si="1309"/>
        <v>-2.815102720710712</v>
      </c>
      <c r="T281" s="1062">
        <f t="shared" si="1309"/>
        <v>-2.0577291690156585</v>
      </c>
      <c r="U281" s="1062">
        <f t="shared" si="1309"/>
        <v>-4.0914426247833973</v>
      </c>
      <c r="V281" s="1062">
        <f t="shared" si="1309"/>
        <v>-5.2872281093140145</v>
      </c>
      <c r="W281" s="1062">
        <f t="shared" ca="1" si="1309"/>
        <v>-4.1021539164714795</v>
      </c>
      <c r="X281" s="1062">
        <f t="shared" ca="1" si="1309"/>
        <v>-0.46624071835609016</v>
      </c>
      <c r="Y281" s="1062">
        <f t="shared" ca="1" si="1310"/>
        <v>4.1669094935602402</v>
      </c>
      <c r="Z281" s="1062">
        <f t="shared" ca="1" si="1310"/>
        <v>8.5737840065952327</v>
      </c>
      <c r="AA281" s="1062">
        <f t="shared" ca="1" si="1310"/>
        <v>14.935954721477529</v>
      </c>
      <c r="AB281" s="1062">
        <f t="shared" ca="1" si="1310"/>
        <v>15.290307656719875</v>
      </c>
      <c r="AC281" s="1062">
        <f t="shared" ca="1" si="1310"/>
        <v>17.55622692178585</v>
      </c>
      <c r="AD281" s="1062">
        <f t="shared" ca="1" si="1310"/>
        <v>17.350037965072133</v>
      </c>
      <c r="AE281" s="1062">
        <f t="shared" ca="1" si="1310"/>
        <v>6.5623056189093631</v>
      </c>
      <c r="AF281" s="1062">
        <f t="shared" ca="1" si="1310"/>
        <v>7.188001605136435</v>
      </c>
      <c r="AG281" s="1062">
        <f t="shared" ca="1" si="1310"/>
        <v>-1.4277555682497223E-2</v>
      </c>
      <c r="AH281" s="1062">
        <f t="shared" ca="1" si="1310"/>
        <v>-7.2514673938161565</v>
      </c>
      <c r="AI281" s="1062">
        <f t="shared" ca="1" si="1311"/>
        <v>-3.9887148555306737</v>
      </c>
      <c r="AJ281" s="1062">
        <f t="shared" ca="1" si="1311"/>
        <v>-5.999344845336708</v>
      </c>
      <c r="AK281" s="1062">
        <f t="shared" ca="1" si="1311"/>
        <v>-4.4314341472702097</v>
      </c>
      <c r="AL281" s="1062">
        <f t="shared" ca="1" si="1311"/>
        <v>8.4711979270466031E-2</v>
      </c>
      <c r="AM281" s="1062">
        <f t="shared" ca="1" si="1311"/>
        <v>4.9954402675042928</v>
      </c>
      <c r="AN281" s="1062">
        <f t="shared" ca="1" si="1311"/>
        <v>-2.638522427440634</v>
      </c>
      <c r="AO281" s="1062">
        <f t="shared" ca="1" si="1311"/>
        <v>-0.99113457515687742</v>
      </c>
      <c r="AP281" s="1062">
        <f t="shared" ca="1" si="1311"/>
        <v>-0.57754543191434493</v>
      </c>
      <c r="AQ281" s="1062">
        <f t="shared" ca="1" si="1311"/>
        <v>-3.416328894035928</v>
      </c>
      <c r="AR281" s="1062">
        <f t="shared" ca="1" si="1311"/>
        <v>7.3272996880912302</v>
      </c>
      <c r="AS281" s="1062">
        <f t="shared" ca="1" si="1312"/>
        <v>9.925046531515676</v>
      </c>
      <c r="AT281" s="1062">
        <f t="shared" ca="1" si="1312"/>
        <v>12.9650958986429</v>
      </c>
      <c r="AU281" s="1062">
        <f t="shared" ca="1" si="1312"/>
        <v>11.715627498001638</v>
      </c>
      <c r="AV281" s="1062">
        <f t="shared" ca="1" si="1312"/>
        <v>12.61553120533587</v>
      </c>
      <c r="AW281" s="1062">
        <f t="shared" ca="1" si="1312"/>
        <v>16.378363536518378</v>
      </c>
      <c r="AX281" s="1062">
        <f t="shared" ca="1" si="1312"/>
        <v>10.089546945651222</v>
      </c>
      <c r="AY281" s="1062">
        <f t="shared" ca="1" si="1312"/>
        <v>13.179195921470438</v>
      </c>
      <c r="AZ281" s="1062">
        <f t="shared" ca="1" si="1312"/>
        <v>11.130383281157449</v>
      </c>
      <c r="BA281" s="1062">
        <f t="shared" ca="1" si="1312"/>
        <v>3.6333608587944042</v>
      </c>
      <c r="BB281" s="1062">
        <f t="shared" ca="1" si="1312"/>
        <v>2.0093420310864047</v>
      </c>
      <c r="BC281" s="1062">
        <f t="shared" ca="1" si="1313"/>
        <v>-0.58479532163742931</v>
      </c>
      <c r="BD281" s="1062">
        <f t="shared" ca="1" si="1313"/>
        <v>-3.1253568845407074</v>
      </c>
      <c r="BE281" s="1062">
        <f t="shared" ca="1" si="1313"/>
        <v>-2.8950863213811431</v>
      </c>
      <c r="BF281" s="1062">
        <f ca="1">+BF247/BB247*100-100</f>
        <v>7.7290490664350813</v>
      </c>
      <c r="BG281" s="1062">
        <f t="shared" ca="1" si="1314"/>
        <v>16.31160572337042</v>
      </c>
      <c r="BH281" s="1062">
        <f t="shared" ca="1" si="1315"/>
        <v>26.076705438541353</v>
      </c>
      <c r="BI281" s="1062">
        <f t="shared" ca="1" si="1315"/>
        <v>28.211941231634881</v>
      </c>
      <c r="BJ281" s="1062">
        <f t="shared" ca="1" si="1315"/>
        <v>9.4316807738815243</v>
      </c>
      <c r="BK281" s="1062">
        <f t="shared" ca="1" si="1315"/>
        <v>-5.7476763258611356</v>
      </c>
      <c r="BL281" s="1062">
        <f t="shared" ca="1" si="1316"/>
        <v>-17.525869592320163</v>
      </c>
      <c r="BM281" s="1062">
        <f t="shared" ref="BM281:BM286" ca="1" si="1320">+BM247/BI247*100-100</f>
        <v>-19.974399609898825</v>
      </c>
      <c r="BN281" s="1062">
        <f t="shared" ref="BN281:BN286" ca="1" si="1321">+BN247/BJ247*100-100</f>
        <v>-11.649087560689765</v>
      </c>
      <c r="BO281" s="1062">
        <f t="shared" ref="BO281:BO286" ca="1" si="1322">+BO247/BK247*100-100</f>
        <v>0.61271843956203043</v>
      </c>
      <c r="BP281" s="1062">
        <f t="shared" ca="1" si="1317"/>
        <v>11.976115793053935</v>
      </c>
      <c r="BQ281" s="1062">
        <f t="shared" ca="1" si="1317"/>
        <v>12.457155914388011</v>
      </c>
      <c r="BR281" s="1062">
        <f t="shared" ca="1" si="1317"/>
        <v>15.280830743576132</v>
      </c>
      <c r="BS281" s="1062">
        <f t="shared" ca="1" si="1317"/>
        <v>17.368743468703826</v>
      </c>
      <c r="BT281" s="1062">
        <f t="shared" ca="1" si="1317"/>
        <v>16.473169085386445</v>
      </c>
      <c r="BU281" s="1062">
        <f t="shared" ca="1" si="1317"/>
        <v>18.022960479528606</v>
      </c>
      <c r="BV281" s="1062">
        <f t="shared" ca="1" si="1317"/>
        <v>16.253534091656263</v>
      </c>
      <c r="BW281" s="1062">
        <f t="shared" ca="1" si="1317"/>
        <v>12.170335574590908</v>
      </c>
      <c r="BX281" s="1062">
        <f t="shared" ca="1" si="1317"/>
        <v>5.4214598244038115</v>
      </c>
      <c r="BY281" s="1062">
        <f t="shared" ca="1" si="1317"/>
        <v>4.4102034374910346</v>
      </c>
      <c r="BZ281" s="1062">
        <f t="shared" ca="1" si="1317"/>
        <v>2.4263333521859778</v>
      </c>
      <c r="CA281" s="1062">
        <f t="shared" ca="1" si="1317"/>
        <v>-2.8027918434378023</v>
      </c>
      <c r="CB281" s="1062">
        <f t="shared" ca="1" si="1317"/>
        <v>-5.3625419163322476</v>
      </c>
      <c r="CC281" s="1062">
        <f t="shared" ca="1" si="1317"/>
        <v>-4.7185885456743932</v>
      </c>
      <c r="CD281" s="1062">
        <f t="shared" ca="1" si="1317"/>
        <v>-5.5300938707896279</v>
      </c>
      <c r="CE281" s="1062">
        <f t="shared" ca="1" si="1317"/>
        <v>-3.6157810255977267</v>
      </c>
      <c r="CF281" s="1062">
        <f t="shared" ca="1" si="1317"/>
        <v>-5.5066655049228785</v>
      </c>
      <c r="CG281" s="1062">
        <f t="shared" ca="1" si="1317"/>
        <v>-6.9049061175045665</v>
      </c>
      <c r="CH281" s="1062">
        <f t="shared" ca="1" si="1317"/>
        <v>-8.2415173744045518</v>
      </c>
      <c r="CI281" s="1062">
        <f t="shared" ca="1" si="1318"/>
        <v>-13.980191077219729</v>
      </c>
      <c r="CJ281" s="1062">
        <f t="shared" ca="1" si="1319"/>
        <v>-6.276317811587532</v>
      </c>
      <c r="CK281" s="1062">
        <f t="shared" ca="1" si="1319"/>
        <v>-6.3140936270409185</v>
      </c>
      <c r="CL281" s="1062">
        <f t="shared" ca="1" si="1319"/>
        <v>-5.0068477880052029</v>
      </c>
      <c r="CM281" s="1062">
        <f t="shared" ca="1" si="1319"/>
        <v>-4.9860743156035596</v>
      </c>
      <c r="CN281" s="1062">
        <f t="shared" ca="1" si="1319"/>
        <v>-2.8990260059685795</v>
      </c>
      <c r="CO281" s="1062">
        <f t="shared" ca="1" si="1319"/>
        <v>0.30754985283904546</v>
      </c>
      <c r="CP281" s="1062">
        <f t="shared" ca="1" si="1319"/>
        <v>5.1668063704945411</v>
      </c>
      <c r="CQ281" s="1062">
        <f t="shared" ca="1" si="1319"/>
        <v>18.370629870594129</v>
      </c>
      <c r="CR281" s="1062">
        <f t="shared" ca="1" si="1319"/>
        <v>9.2640751122969505</v>
      </c>
      <c r="CS281" s="1062">
        <f t="shared" ca="1" si="1319"/>
        <v>5.7628906765132513</v>
      </c>
      <c r="CT281" s="1062">
        <f t="shared" ca="1" si="1319"/>
        <v>6.7620990881846552</v>
      </c>
      <c r="CU281" s="3818">
        <v>1.7304381964787341</v>
      </c>
      <c r="CV281" s="3818">
        <v>0.13007861342182458</v>
      </c>
      <c r="CW281" s="3818">
        <v>-1.9249093038805176</v>
      </c>
      <c r="CX281" s="3818">
        <v>-5.4490584306764127</v>
      </c>
      <c r="CY281" s="3818">
        <v>-4.2077538445164482</v>
      </c>
      <c r="CZ281" s="3818">
        <v>-0.89634502026068041</v>
      </c>
      <c r="DA281" s="3818">
        <v>1.1288431863228254</v>
      </c>
      <c r="DB281" s="3818">
        <v>-1.1999866651059565</v>
      </c>
      <c r="DC281" s="749"/>
      <c r="DD281" s="749"/>
      <c r="DE281" s="749"/>
      <c r="DF281" s="749"/>
      <c r="DG281" s="749"/>
      <c r="DH281" s="749"/>
      <c r="DI281" s="749"/>
      <c r="DJ281" s="749"/>
    </row>
    <row r="282" spans="1:114">
      <c r="C282" s="975"/>
      <c r="D282" s="724"/>
      <c r="E282" s="830" t="s">
        <v>612</v>
      </c>
      <c r="F282" s="759"/>
      <c r="G282" s="2854"/>
      <c r="H282" s="2854"/>
      <c r="I282" s="2854"/>
      <c r="J282" s="2854"/>
      <c r="K282" s="2854"/>
      <c r="L282" s="2854"/>
      <c r="M282" s="2854"/>
      <c r="N282" s="2854"/>
      <c r="O282" s="1062">
        <f t="shared" si="1309"/>
        <v>1.1767072312179181</v>
      </c>
      <c r="P282" s="1062">
        <f t="shared" si="1309"/>
        <v>1.405838133359353</v>
      </c>
      <c r="Q282" s="1062">
        <f t="shared" si="1309"/>
        <v>4.4404168554599011</v>
      </c>
      <c r="R282" s="1062">
        <f t="shared" si="1309"/>
        <v>3.775396745173353</v>
      </c>
      <c r="S282" s="1062">
        <f t="shared" si="1309"/>
        <v>2.2962226640159287</v>
      </c>
      <c r="T282" s="1062">
        <f t="shared" si="1309"/>
        <v>3.4658708000385019</v>
      </c>
      <c r="U282" s="1062">
        <f t="shared" si="1309"/>
        <v>1.552181248493639</v>
      </c>
      <c r="V282" s="1062">
        <f t="shared" si="1309"/>
        <v>1.417230799201306</v>
      </c>
      <c r="W282" s="1062">
        <f t="shared" ca="1" si="1309"/>
        <v>3.1872509960159334</v>
      </c>
      <c r="X282" s="1062">
        <f t="shared" ca="1" si="1309"/>
        <v>0.12096398995069535</v>
      </c>
      <c r="Y282" s="1062">
        <f t="shared" ca="1" si="1310"/>
        <v>-2.1550291925760803</v>
      </c>
      <c r="Z282" s="1062">
        <f t="shared" ca="1" si="1310"/>
        <v>-0.98924318094506702</v>
      </c>
      <c r="AA282" s="1062">
        <f t="shared" ca="1" si="1310"/>
        <v>-3.0087578868066629</v>
      </c>
      <c r="AB282" s="1062">
        <f t="shared" ca="1" si="1310"/>
        <v>-1.361524163568788</v>
      </c>
      <c r="AC282" s="1062">
        <f t="shared" ca="1" si="1310"/>
        <v>2.9301896861204426</v>
      </c>
      <c r="AD282" s="1062">
        <f t="shared" ca="1" si="1310"/>
        <v>2.5560190125133175</v>
      </c>
      <c r="AE282" s="1062">
        <f t="shared" ca="1" si="1310"/>
        <v>4.3351619010631595</v>
      </c>
      <c r="AF282" s="1062">
        <f t="shared" ca="1" si="1310"/>
        <v>8.4467894662458178</v>
      </c>
      <c r="AG282" s="1062">
        <f t="shared" ca="1" si="1310"/>
        <v>7.154640147051893</v>
      </c>
      <c r="AH282" s="1062">
        <f t="shared" ca="1" si="1310"/>
        <v>7.7039489240955419</v>
      </c>
      <c r="AI282" s="1062">
        <f t="shared" ca="1" si="1311"/>
        <v>9.0033500837520819</v>
      </c>
      <c r="AJ282" s="1062">
        <f t="shared" ca="1" si="1311"/>
        <v>1.9200695047784535</v>
      </c>
      <c r="AK282" s="1062">
        <f t="shared" ca="1" si="1311"/>
        <v>1.587860127556624</v>
      </c>
      <c r="AL282" s="1062">
        <f t="shared" ca="1" si="1311"/>
        <v>0.66303679634671653</v>
      </c>
      <c r="AM282" s="1062">
        <f t="shared" ca="1" si="1311"/>
        <v>-0.75553848123958289</v>
      </c>
      <c r="AN282" s="1062">
        <f t="shared" ca="1" si="1311"/>
        <v>0.89080214815446368</v>
      </c>
      <c r="AO282" s="1062">
        <f t="shared" ca="1" si="1311"/>
        <v>3.9920332525112485</v>
      </c>
      <c r="AP282" s="1062">
        <f t="shared" ca="1" si="1311"/>
        <v>2.7742639040348962</v>
      </c>
      <c r="AQ282" s="1062">
        <f t="shared" ca="1" si="1311"/>
        <v>1.7978494623655905</v>
      </c>
      <c r="AR282" s="1062">
        <f t="shared" ca="1" si="1311"/>
        <v>2.0489206201681327</v>
      </c>
      <c r="AS282" s="1062">
        <f t="shared" ca="1" si="1312"/>
        <v>-1.1158297943209163</v>
      </c>
      <c r="AT282" s="1062">
        <f t="shared" ca="1" si="1312"/>
        <v>0.97618946564237774</v>
      </c>
      <c r="AU282" s="1062">
        <f t="shared" ca="1" si="1312"/>
        <v>1.6731451749197248</v>
      </c>
      <c r="AV282" s="1062">
        <f t="shared" ca="1" si="1312"/>
        <v>2.0781586355356865</v>
      </c>
      <c r="AW282" s="1062">
        <f t="shared" ca="1" si="1312"/>
        <v>1.5494736842105254</v>
      </c>
      <c r="AX282" s="1062">
        <f t="shared" ca="1" si="1312"/>
        <v>1.4417216594510478</v>
      </c>
      <c r="AY282" s="1062">
        <f t="shared" ca="1" si="1312"/>
        <v>1.7785904255319167</v>
      </c>
      <c r="AZ282" s="1062">
        <f t="shared" ca="1" si="1312"/>
        <v>1.4356395490307392</v>
      </c>
      <c r="BA282" s="1062">
        <f t="shared" ca="1" si="1312"/>
        <v>4.3328634215109076</v>
      </c>
      <c r="BB282" s="1062">
        <f t="shared" ca="1" si="1312"/>
        <v>5.4570315737134223</v>
      </c>
      <c r="BC282" s="1062">
        <f t="shared" ca="1" si="1313"/>
        <v>4.6137514290380324</v>
      </c>
      <c r="BD282" s="1062">
        <f t="shared" ca="1" si="1313"/>
        <v>3.4743323204861554</v>
      </c>
      <c r="BE282" s="1062">
        <f t="shared" ca="1" si="1313"/>
        <v>1.9155108691332572</v>
      </c>
      <c r="BF282" s="1062">
        <f ca="1">+BF248/BB248*100-100</f>
        <v>2.098149385092924</v>
      </c>
      <c r="BG282" s="1062">
        <f t="shared" ca="1" si="1314"/>
        <v>1.643119194442292</v>
      </c>
      <c r="BH282" s="1062">
        <f t="shared" ca="1" si="1315"/>
        <v>3.2688072331053633</v>
      </c>
      <c r="BI282" s="1062">
        <f t="shared" ca="1" si="1315"/>
        <v>3.8993955936829536</v>
      </c>
      <c r="BJ282" s="1062">
        <f t="shared" ca="1" si="1315"/>
        <v>2.2743890706176586</v>
      </c>
      <c r="BK282" s="1062">
        <f t="shared" ca="1" si="1315"/>
        <v>3.9703567177360526</v>
      </c>
      <c r="BL282" s="1062">
        <f t="shared" ca="1" si="1316"/>
        <v>0.69218393384966248</v>
      </c>
      <c r="BM282" s="1062">
        <f t="shared" ca="1" si="1320"/>
        <v>-2.0116344529930785</v>
      </c>
      <c r="BN282" s="1062">
        <f t="shared" ca="1" si="1321"/>
        <v>-1.1438892233594089</v>
      </c>
      <c r="BO282" s="1062">
        <f t="shared" ca="1" si="1322"/>
        <v>1.6213022122096135</v>
      </c>
      <c r="BP282" s="1062">
        <f t="shared" ca="1" si="1317"/>
        <v>2.794292508917934</v>
      </c>
      <c r="BQ282" s="1062">
        <f t="shared" ca="1" si="1317"/>
        <v>4.9523152935769303</v>
      </c>
      <c r="BR282" s="1062">
        <f t="shared" ca="1" si="1317"/>
        <v>4.8226248477466527</v>
      </c>
      <c r="BS282" s="1062">
        <f t="shared" ca="1" si="1317"/>
        <v>1.02849251344675</v>
      </c>
      <c r="BT282" s="1062">
        <f t="shared" ca="1" si="1317"/>
        <v>-0.14097744360901743</v>
      </c>
      <c r="BU282" s="1062">
        <f t="shared" ca="1" si="1317"/>
        <v>-0.36858623458141437</v>
      </c>
      <c r="BV282" s="1062">
        <f t="shared" ca="1" si="1317"/>
        <v>0.38853988888487834</v>
      </c>
      <c r="BW282" s="1062">
        <f t="shared" ca="1" si="1317"/>
        <v>1.7086945573581858</v>
      </c>
      <c r="BX282" s="1062">
        <f t="shared" ca="1" si="1317"/>
        <v>3.0009049773755692</v>
      </c>
      <c r="BY282" s="1062">
        <f t="shared" ca="1" si="1317"/>
        <v>4.0621222665836427</v>
      </c>
      <c r="BZ282" s="1062">
        <f t="shared" ca="1" si="1317"/>
        <v>4.8289083411704894</v>
      </c>
      <c r="CA282" s="1062">
        <f t="shared" ca="1" si="1317"/>
        <v>4.7216524014996253</v>
      </c>
      <c r="CB282" s="1062">
        <f t="shared" ca="1" si="1317"/>
        <v>6.7512476277500326</v>
      </c>
      <c r="CC282" s="1062">
        <f t="shared" ca="1" si="1317"/>
        <v>4.3681802182329932</v>
      </c>
      <c r="CD282" s="1062">
        <f t="shared" ca="1" si="1317"/>
        <v>1.6562575480487283</v>
      </c>
      <c r="CE282" s="1062">
        <f t="shared" ca="1" si="1317"/>
        <v>0.46945185585465765</v>
      </c>
      <c r="CF282" s="1062">
        <f t="shared" ca="1" si="1317"/>
        <v>-1.7613168724279689</v>
      </c>
      <c r="CG282" s="1062">
        <f t="shared" ca="1" si="1317"/>
        <v>-1.8987555225793358</v>
      </c>
      <c r="CH282" s="1062">
        <f t="shared" ca="1" si="1317"/>
        <v>-2.0976884695020601</v>
      </c>
      <c r="CI282" s="1062">
        <f t="shared" ca="1" si="1318"/>
        <v>-0.9177087535296522</v>
      </c>
      <c r="CJ282" s="1062">
        <f t="shared" ca="1" si="1319"/>
        <v>2.3223860589812091</v>
      </c>
      <c r="CK282" s="1062">
        <f t="shared" ca="1" si="1319"/>
        <v>2.9187293729373067</v>
      </c>
      <c r="CL282" s="1062">
        <f t="shared" ca="1" si="1319"/>
        <v>4.2055264708941564</v>
      </c>
      <c r="CM282" s="1062">
        <f t="shared" ca="1" si="1319"/>
        <v>3.2094995759117637</v>
      </c>
      <c r="CN282" s="1062">
        <f t="shared" ca="1" si="1319"/>
        <v>2.5906396358039103</v>
      </c>
      <c r="CO282" s="1062">
        <f t="shared" ca="1" si="1319"/>
        <v>2.4284330427230429</v>
      </c>
      <c r="CP282" s="1062">
        <f t="shared" ca="1" si="1319"/>
        <v>2.0328719723183184</v>
      </c>
      <c r="CQ282" s="1062">
        <f t="shared" ca="1" si="1319"/>
        <v>2.054501824397633</v>
      </c>
      <c r="CR282" s="1062">
        <f t="shared" ca="1" si="1319"/>
        <v>-1.3791342101902728</v>
      </c>
      <c r="CS282" s="1062">
        <f t="shared" ca="1" si="1319"/>
        <v>-0.49895643099398512</v>
      </c>
      <c r="CT282" s="1062">
        <f t="shared" ca="1" si="1319"/>
        <v>0.14673753546159674</v>
      </c>
      <c r="CU282" s="3818">
        <v>0.25446112220575134</v>
      </c>
      <c r="CV282" s="3818">
        <v>2.3614868748692786</v>
      </c>
      <c r="CW282" s="3818">
        <v>3.1234856439323444</v>
      </c>
      <c r="CX282" s="3818">
        <v>3.5405963267577167</v>
      </c>
      <c r="CY282" s="3818">
        <v>4.1746929072765004</v>
      </c>
      <c r="CZ282" s="3818">
        <v>2.364587672006957</v>
      </c>
      <c r="DA282" s="3818">
        <v>1.7122183679792791</v>
      </c>
      <c r="DB282" s="3818">
        <v>1.4775282669199807</v>
      </c>
    </row>
    <row r="283" spans="1:114">
      <c r="C283" s="975"/>
      <c r="D283" s="724"/>
      <c r="E283" s="830" t="s">
        <v>611</v>
      </c>
      <c r="F283" s="759"/>
      <c r="G283" s="2854"/>
      <c r="H283" s="2854"/>
      <c r="I283" s="2854"/>
      <c r="J283" s="2854"/>
      <c r="K283" s="2854"/>
      <c r="L283" s="2854"/>
      <c r="M283" s="2854"/>
      <c r="N283" s="2854"/>
      <c r="O283" s="1062">
        <f t="shared" si="1309"/>
        <v>1.4848084544253624</v>
      </c>
      <c r="P283" s="1062">
        <f t="shared" si="1309"/>
        <v>1.9252070256870155</v>
      </c>
      <c r="Q283" s="1062">
        <f t="shared" si="1309"/>
        <v>2.8363559679460053</v>
      </c>
      <c r="R283" s="1062">
        <f t="shared" si="1309"/>
        <v>2.7508514540214719</v>
      </c>
      <c r="S283" s="1062">
        <f t="shared" si="1309"/>
        <v>2.4211184004998358</v>
      </c>
      <c r="T283" s="1062">
        <f t="shared" si="1309"/>
        <v>1.7077209687435158</v>
      </c>
      <c r="U283" s="1062">
        <f t="shared" si="1309"/>
        <v>1.0355787962678278</v>
      </c>
      <c r="V283" s="1062">
        <f t="shared" si="1309"/>
        <v>0.47424783273841342</v>
      </c>
      <c r="W283" s="1062">
        <f t="shared" ca="1" si="1309"/>
        <v>0.4473590564790868</v>
      </c>
      <c r="X283" s="1062">
        <f t="shared" ca="1" si="1309"/>
        <v>0.80390760150605445</v>
      </c>
      <c r="Y283" s="1062">
        <f t="shared" ca="1" si="1310"/>
        <v>0.6139638725390455</v>
      </c>
      <c r="Z283" s="1062">
        <f t="shared" ca="1" si="1310"/>
        <v>0.64457189260518533</v>
      </c>
      <c r="AA283" s="1062">
        <f t="shared" ca="1" si="1310"/>
        <v>0.98183106432512091</v>
      </c>
      <c r="AB283" s="1062">
        <f t="shared" ca="1" si="1310"/>
        <v>1.266908944074288</v>
      </c>
      <c r="AC283" s="1062">
        <f t="shared" ca="1" si="1310"/>
        <v>1.311210852791362</v>
      </c>
      <c r="AD283" s="1062">
        <f t="shared" ca="1" si="1310"/>
        <v>1.6238023197175977</v>
      </c>
      <c r="AE283" s="1062">
        <f t="shared" ca="1" si="1310"/>
        <v>1.58873352378086</v>
      </c>
      <c r="AF283" s="1062">
        <f t="shared" ca="1" si="1310"/>
        <v>1.724567612022156</v>
      </c>
      <c r="AG283" s="1062">
        <f t="shared" ca="1" si="1310"/>
        <v>2.6233261984170753</v>
      </c>
      <c r="AH283" s="1062">
        <f t="shared" ca="1" si="1310"/>
        <v>2.7342199285430837</v>
      </c>
      <c r="AI283" s="1062">
        <f t="shared" ca="1" si="1311"/>
        <v>2.1114948199309396</v>
      </c>
      <c r="AJ283" s="1062">
        <f t="shared" ca="1" si="1311"/>
        <v>1.5042383262285881</v>
      </c>
      <c r="AK283" s="1062">
        <f t="shared" ca="1" si="1311"/>
        <v>1.0719829258827787</v>
      </c>
      <c r="AL283" s="1062">
        <f t="shared" ca="1" si="1311"/>
        <v>1.2655170748200817</v>
      </c>
      <c r="AM283" s="1062">
        <f t="shared" ca="1" si="1311"/>
        <v>2.4833317228717817</v>
      </c>
      <c r="AN283" s="1062">
        <f t="shared" ca="1" si="1311"/>
        <v>3.2342150994400356</v>
      </c>
      <c r="AO283" s="1062">
        <f t="shared" ca="1" si="1311"/>
        <v>2.9370830733790996</v>
      </c>
      <c r="AP283" s="1062">
        <f t="shared" ca="1" si="1311"/>
        <v>2.3563081326019528</v>
      </c>
      <c r="AQ283" s="1062">
        <f t="shared" ca="1" si="1311"/>
        <v>2.3382990759947262</v>
      </c>
      <c r="AR283" s="1062">
        <f t="shared" ca="1" si="1311"/>
        <v>2.2912185541943444</v>
      </c>
      <c r="AS283" s="1062">
        <f t="shared" ca="1" si="1312"/>
        <v>2.2052310131008426</v>
      </c>
      <c r="AT283" s="1062">
        <f t="shared" ca="1" si="1312"/>
        <v>2.0457616850738702</v>
      </c>
      <c r="AU283" s="1062">
        <f t="shared" ca="1" si="1312"/>
        <v>2.3171181131380223</v>
      </c>
      <c r="AV283" s="1062">
        <f t="shared" ca="1" si="1312"/>
        <v>2.2353263850795457</v>
      </c>
      <c r="AW283" s="1062">
        <f t="shared" ca="1" si="1312"/>
        <v>1.7106103457713857</v>
      </c>
      <c r="AX283" s="1062">
        <f t="shared" ca="1" si="1312"/>
        <v>1.8586172253173885</v>
      </c>
      <c r="AY283" s="1062">
        <f t="shared" ca="1" si="1312"/>
        <v>1.125568412048068</v>
      </c>
      <c r="AZ283" s="1062">
        <f t="shared" ca="1" si="1312"/>
        <v>1.4218645204560545</v>
      </c>
      <c r="BA283" s="1062">
        <f t="shared" ca="1" si="1312"/>
        <v>2.5474279050993403</v>
      </c>
      <c r="BB283" s="1062">
        <f t="shared" ca="1" si="1312"/>
        <v>3.1114099977583436</v>
      </c>
      <c r="BC283" s="1062">
        <f t="shared" ca="1" si="1313"/>
        <v>3.5884421886826203</v>
      </c>
      <c r="BD283" s="1062">
        <f t="shared" ca="1" si="1313"/>
        <v>4.1528898293876466</v>
      </c>
      <c r="BE283" s="1062">
        <f t="shared" ca="1" si="1313"/>
        <v>4.2772796851082546</v>
      </c>
      <c r="BF283" s="1062">
        <f t="shared" ca="1" si="1313"/>
        <v>6.5872429236053449</v>
      </c>
      <c r="BG283" s="1062">
        <f t="shared" ca="1" si="1314"/>
        <v>8.5270984656380193</v>
      </c>
      <c r="BH283" s="1062">
        <f t="shared" ca="1" si="1315"/>
        <v>8.5206349206349046</v>
      </c>
      <c r="BI283" s="1062">
        <f t="shared" ca="1" si="1315"/>
        <v>8.3504592542884808</v>
      </c>
      <c r="BJ283" s="1062">
        <f t="shared" ca="1" si="1315"/>
        <v>5.743656685975381</v>
      </c>
      <c r="BK283" s="1062">
        <f t="shared" ca="1" si="1315"/>
        <v>3.176111837154977</v>
      </c>
      <c r="BL283" s="1062">
        <f t="shared" ca="1" si="1316"/>
        <v>1.8644200015601911</v>
      </c>
      <c r="BM283" s="1062">
        <f t="shared" ca="1" si="1320"/>
        <v>1.0219091120229109</v>
      </c>
      <c r="BN283" s="1062">
        <f t="shared" ca="1" si="1321"/>
        <v>0.64424041354831729</v>
      </c>
      <c r="BO283" s="1062">
        <f t="shared" ca="1" si="1322"/>
        <v>0.48362952443092411</v>
      </c>
      <c r="BP283" s="1062">
        <f t="shared" ca="1" si="1317"/>
        <v>0.68157451370805688</v>
      </c>
      <c r="BQ283" s="1062">
        <f t="shared" ca="1" si="1317"/>
        <v>1.2682964211817165</v>
      </c>
      <c r="BR283" s="1062">
        <f t="shared" ca="1" si="1317"/>
        <v>1.7401970179002859</v>
      </c>
      <c r="BS283" s="1062">
        <f t="shared" ca="1" si="1317"/>
        <v>2.2728140876274949</v>
      </c>
      <c r="BT283" s="1062">
        <f t="shared" ca="1" si="1317"/>
        <v>3.0120940138434804</v>
      </c>
      <c r="BU283" s="1062">
        <f t="shared" ca="1" si="1317"/>
        <v>3.473457187180756</v>
      </c>
      <c r="BV283" s="1062">
        <f t="shared" ca="1" si="1317"/>
        <v>3.6054703688354692</v>
      </c>
      <c r="BW283" s="1062">
        <f t="shared" ca="1" si="1317"/>
        <v>3.5220736535444814</v>
      </c>
      <c r="BX283" s="1062">
        <f t="shared" ca="1" si="1317"/>
        <v>2.8538728494425243</v>
      </c>
      <c r="BY283" s="1062">
        <f t="shared" ca="1" si="1317"/>
        <v>2.6876805499689027</v>
      </c>
      <c r="BZ283" s="1062">
        <f t="shared" ca="1" si="1317"/>
        <v>3.2072727272727235</v>
      </c>
      <c r="CA283" s="1062">
        <f t="shared" ca="1" si="1317"/>
        <v>3.4491467330519185</v>
      </c>
      <c r="CB283" s="1062">
        <f t="shared" ca="1" si="1317"/>
        <v>3.4782296564844302</v>
      </c>
      <c r="CC283" s="1062">
        <f t="shared" ca="1" si="1317"/>
        <v>3.1123139377537115</v>
      </c>
      <c r="CD283" s="1062">
        <f t="shared" ca="1" si="1317"/>
        <v>2.8257346205341491</v>
      </c>
      <c r="CE283" s="1062">
        <f t="shared" ca="1" si="1317"/>
        <v>2.2216022041642134</v>
      </c>
      <c r="CF283" s="1062">
        <f t="shared" ca="1" si="1317"/>
        <v>2.782017483002619</v>
      </c>
      <c r="CG283" s="1062">
        <f t="shared" ca="1" si="1317"/>
        <v>2.3380301146567177</v>
      </c>
      <c r="CH283" s="1062">
        <f t="shared" ca="1" si="1317"/>
        <v>1.2369791666666572</v>
      </c>
      <c r="CI283" s="1062">
        <f t="shared" ca="1" si="1318"/>
        <v>1.2794268167860707</v>
      </c>
      <c r="CJ283" s="1062">
        <f t="shared" ca="1" si="1319"/>
        <v>1.211609854876798</v>
      </c>
      <c r="CK283" s="1062">
        <f t="shared" ca="1" si="1319"/>
        <v>1.3970910808895667</v>
      </c>
      <c r="CL283" s="1062">
        <f t="shared" ca="1" si="1319"/>
        <v>2.4809612455576087</v>
      </c>
      <c r="CM283" s="1062">
        <f t="shared" ca="1" si="1319"/>
        <v>3.7998989388579929</v>
      </c>
      <c r="CN283" s="1062">
        <f t="shared" ca="1" si="1319"/>
        <v>3.8480776284637699</v>
      </c>
      <c r="CO283" s="1062">
        <f t="shared" ca="1" si="1319"/>
        <v>3.4978533630645217</v>
      </c>
      <c r="CP283" s="1062">
        <f t="shared" ca="1" si="1319"/>
        <v>2.6752097232313901</v>
      </c>
      <c r="CQ283" s="1062">
        <f t="shared" ca="1" si="1319"/>
        <v>1.5577840521857809</v>
      </c>
      <c r="CR283" s="1062">
        <f t="shared" ca="1" si="1319"/>
        <v>1.8752207558680851</v>
      </c>
      <c r="CS283" s="1062">
        <f t="shared" ca="1" si="1319"/>
        <v>2.501768602482457</v>
      </c>
      <c r="CT283" s="1062">
        <f t="shared" ca="1" si="1319"/>
        <v>2.6344570252187367</v>
      </c>
      <c r="CU283" s="3818">
        <v>3.611031221039851</v>
      </c>
      <c r="CV283" s="3818">
        <v>3.1336468333002854</v>
      </c>
      <c r="CW283" s="3818">
        <v>3.0001773619390937</v>
      </c>
      <c r="CX283" s="3818">
        <v>2.0427162558244172</v>
      </c>
      <c r="CY283" s="3818">
        <v>0.99651927112034411</v>
      </c>
      <c r="CZ283" s="3818">
        <v>1.1451718109163789</v>
      </c>
      <c r="DA283" s="3818">
        <v>3.0747768766048234</v>
      </c>
      <c r="DB283" s="3818">
        <v>4.735378123645817</v>
      </c>
      <c r="DC283" s="749"/>
      <c r="DD283" s="749"/>
      <c r="DE283" s="749"/>
      <c r="DF283" s="749"/>
      <c r="DG283" s="749"/>
      <c r="DH283" s="749"/>
      <c r="DI283" s="749"/>
      <c r="DJ283" s="749"/>
    </row>
    <row r="284" spans="1:114">
      <c r="C284" s="740"/>
      <c r="D284" s="741"/>
      <c r="E284" s="784" t="str">
        <f>+E276</f>
        <v>Services</v>
      </c>
      <c r="F284" s="976"/>
      <c r="G284" s="2855"/>
      <c r="H284" s="2855"/>
      <c r="I284" s="2855"/>
      <c r="J284" s="2855"/>
      <c r="K284" s="2855"/>
      <c r="L284" s="2855"/>
      <c r="M284" s="2855"/>
      <c r="N284" s="2855"/>
      <c r="O284" s="3821">
        <f t="shared" si="1309"/>
        <v>2.1419009370816582</v>
      </c>
      <c r="P284" s="3821">
        <f t="shared" si="1309"/>
        <v>1.8452908178328897</v>
      </c>
      <c r="Q284" s="3821">
        <f t="shared" si="1309"/>
        <v>1.6403074964500775</v>
      </c>
      <c r="R284" s="3821">
        <f t="shared" si="1309"/>
        <v>1.0811337294243515</v>
      </c>
      <c r="S284" s="3821">
        <f t="shared" si="1309"/>
        <v>1.6406970535410892</v>
      </c>
      <c r="T284" s="3821">
        <f t="shared" si="1309"/>
        <v>1.463980286998094</v>
      </c>
      <c r="U284" s="3821">
        <f t="shared" si="1309"/>
        <v>1.8787937180846086</v>
      </c>
      <c r="V284" s="3821">
        <f t="shared" si="1309"/>
        <v>1.6188090190788245</v>
      </c>
      <c r="W284" s="3821">
        <f t="shared" ca="1" si="1309"/>
        <v>1.4231816228090963</v>
      </c>
      <c r="X284" s="3821">
        <f t="shared" ca="1" si="1309"/>
        <v>1.5333333333333456</v>
      </c>
      <c r="Y284" s="3821">
        <f t="shared" ca="1" si="1310"/>
        <v>1.3192736901834508</v>
      </c>
      <c r="Z284" s="3821">
        <f t="shared" ca="1" si="1310"/>
        <v>1.8111132182818039</v>
      </c>
      <c r="AA284" s="3821">
        <f t="shared" ca="1" si="1310"/>
        <v>2.0624381974855339</v>
      </c>
      <c r="AB284" s="3821">
        <f t="shared" ca="1" si="1310"/>
        <v>2.3590657536816479</v>
      </c>
      <c r="AC284" s="3821">
        <f t="shared" ca="1" si="1310"/>
        <v>2.7908713305642578</v>
      </c>
      <c r="AD284" s="3821">
        <f t="shared" ca="1" si="1310"/>
        <v>1.8534041166061002</v>
      </c>
      <c r="AE284" s="3821">
        <f t="shared" ca="1" si="1310"/>
        <v>1.4994232987312444</v>
      </c>
      <c r="AF284" s="3821">
        <f t="shared" ca="1" si="1310"/>
        <v>1.6907216494845159</v>
      </c>
      <c r="AG284" s="3821">
        <f t="shared" ca="1" si="1310"/>
        <v>2.0022701475595852</v>
      </c>
      <c r="AH284" s="3821">
        <f t="shared" ca="1" si="1310"/>
        <v>2.999268471104628</v>
      </c>
      <c r="AI284" s="3821">
        <f t="shared" ca="1" si="1311"/>
        <v>3.4909090909090992</v>
      </c>
      <c r="AJ284" s="3821">
        <f t="shared" ca="1" si="1311"/>
        <v>2.6899161935658498</v>
      </c>
      <c r="AK284" s="3821">
        <f t="shared" ca="1" si="1311"/>
        <v>2.590581322887914</v>
      </c>
      <c r="AL284" s="3821">
        <f t="shared" ca="1" si="1311"/>
        <v>1.611328125</v>
      </c>
      <c r="AM284" s="3821">
        <f t="shared" ca="1" si="1311"/>
        <v>1.181482782853152</v>
      </c>
      <c r="AN284" s="3821">
        <f t="shared" ca="1" si="1311"/>
        <v>2.1982361458470194</v>
      </c>
      <c r="AO284" s="3821">
        <f t="shared" ca="1" si="1311"/>
        <v>1.7875737591114245</v>
      </c>
      <c r="AP284" s="3821">
        <f t="shared" ca="1" si="1311"/>
        <v>2.4026910139356232</v>
      </c>
      <c r="AQ284" s="3821">
        <f t="shared" ca="1" si="1311"/>
        <v>2.2789425706472173</v>
      </c>
      <c r="AR284" s="3821">
        <f t="shared" ca="1" si="1311"/>
        <v>2.0092735703245808</v>
      </c>
      <c r="AS284" s="3821">
        <f t="shared" ca="1" si="1312"/>
        <v>2.1994884910485837</v>
      </c>
      <c r="AT284" s="3821">
        <f t="shared" ca="1" si="1312"/>
        <v>1.9879697965103702</v>
      </c>
      <c r="AU284" s="3821">
        <f t="shared" ca="1" si="1312"/>
        <v>2.3300229182582086</v>
      </c>
      <c r="AV284" s="3821">
        <f t="shared" ca="1" si="1312"/>
        <v>1.8434343434343532</v>
      </c>
      <c r="AW284" s="3821">
        <f t="shared" ca="1" si="1312"/>
        <v>2.0562228895562242</v>
      </c>
      <c r="AX284" s="3821">
        <f t="shared" ca="1" si="1312"/>
        <v>2.2462040406575596</v>
      </c>
      <c r="AY284" s="3821">
        <f t="shared" ca="1" si="1312"/>
        <v>1.9990875533988657</v>
      </c>
      <c r="AZ284" s="3821">
        <f t="shared" ca="1" si="1312"/>
        <v>2.2357219604925831</v>
      </c>
      <c r="BA284" s="3821">
        <f t="shared" ca="1" si="1312"/>
        <v>2.2763496669254977</v>
      </c>
      <c r="BB284" s="3821">
        <f t="shared" ca="1" si="1312"/>
        <v>1.7713958435608106</v>
      </c>
      <c r="BC284" s="3821">
        <f t="shared" ca="1" si="1313"/>
        <v>2.0127678607733799</v>
      </c>
      <c r="BD284" s="3821">
        <f t="shared" ca="1" si="1313"/>
        <v>2.1383241036420486</v>
      </c>
      <c r="BE284" s="3821">
        <f t="shared" ca="1" si="1313"/>
        <v>1.7941341005354445</v>
      </c>
      <c r="BF284" s="3821">
        <f t="shared" ca="1" si="1313"/>
        <v>1.6802669132129893</v>
      </c>
      <c r="BG284" s="3821">
        <f t="shared" ca="1" si="1314"/>
        <v>1.6621492346938709</v>
      </c>
      <c r="BH284" s="3821">
        <f t="shared" ca="1" si="1315"/>
        <v>1.5830299192654707</v>
      </c>
      <c r="BI284" s="3821">
        <f t="shared" ca="1" si="1315"/>
        <v>2.5947006869479878</v>
      </c>
      <c r="BJ284" s="3821">
        <f t="shared" ca="1" si="1315"/>
        <v>3.206167226724645</v>
      </c>
      <c r="BK284" s="3821">
        <f t="shared" ca="1" si="1315"/>
        <v>3.0150950793961897</v>
      </c>
      <c r="BL284" s="3821">
        <f t="shared" ca="1" si="1316"/>
        <v>3.1439925198691014</v>
      </c>
      <c r="BM284" s="3821">
        <f t="shared" ca="1" si="1320"/>
        <v>2.4984695439240738</v>
      </c>
      <c r="BN284" s="3821">
        <f t="shared" ca="1" si="1321"/>
        <v>1.8999463724814376</v>
      </c>
      <c r="BO284" s="3821">
        <f t="shared" ca="1" si="1322"/>
        <v>1.3739818832305843</v>
      </c>
      <c r="BP284" s="3821">
        <f t="shared" ca="1" si="1317"/>
        <v>1.3371104815864072</v>
      </c>
      <c r="BQ284" s="3821">
        <f t="shared" ca="1" si="1317"/>
        <v>1.1982530142969239</v>
      </c>
      <c r="BR284" s="3821">
        <f t="shared" ca="1" si="1317"/>
        <v>1.6803247876099476</v>
      </c>
      <c r="BS284" s="3821">
        <f t="shared" ca="1" si="1317"/>
        <v>2.2038670921719472</v>
      </c>
      <c r="BT284" s="3821">
        <f t="shared" ca="1" si="1317"/>
        <v>1.8226545901822675</v>
      </c>
      <c r="BU284" s="3821">
        <f t="shared" ca="1" si="1317"/>
        <v>1.8959793434157035</v>
      </c>
      <c r="BV284" s="3821">
        <f t="shared" ca="1" si="1317"/>
        <v>1.7745572849273401</v>
      </c>
      <c r="BW284" s="3821">
        <f t="shared" ca="1" si="1317"/>
        <v>2.5090000734699629</v>
      </c>
      <c r="BX284" s="3821">
        <f t="shared" ca="1" si="1317"/>
        <v>2.5624130609854348</v>
      </c>
      <c r="BY284" s="3821">
        <f t="shared" ca="1" si="1317"/>
        <v>2.5557486243845915</v>
      </c>
      <c r="BZ284" s="3821">
        <f t="shared" ca="1" si="1317"/>
        <v>2.5246104108394718</v>
      </c>
      <c r="CA284" s="3821">
        <f t="shared" ca="1" si="1317"/>
        <v>1.8025443468912385</v>
      </c>
      <c r="CB284" s="3821">
        <f t="shared" ca="1" si="1317"/>
        <v>1.6667856378042671</v>
      </c>
      <c r="CC284" s="3821">
        <f t="shared" ca="1" si="1317"/>
        <v>1.9237557359689248</v>
      </c>
      <c r="CD284" s="3821">
        <f t="shared" ca="1" si="1317"/>
        <v>2.1258503401360542</v>
      </c>
      <c r="CE284" s="3821">
        <f t="shared" ca="1" si="1317"/>
        <v>2.1648831315122692</v>
      </c>
      <c r="CF284" s="3821">
        <f t="shared" ca="1" si="1317"/>
        <v>2.4784974548007739</v>
      </c>
      <c r="CG284" s="3821">
        <f t="shared" ca="1" si="1317"/>
        <v>2.2441558441558414</v>
      </c>
      <c r="CH284" s="3821">
        <f t="shared" ca="1" si="1317"/>
        <v>2.1128226477935073</v>
      </c>
      <c r="CI284" s="3821">
        <f t="shared" ca="1" si="1318"/>
        <v>2.3912069737794184</v>
      </c>
      <c r="CJ284" s="3821">
        <f t="shared" ca="1" si="1319"/>
        <v>2.3705936761330406</v>
      </c>
      <c r="CK284" s="3821">
        <f t="shared" ca="1" si="1319"/>
        <v>2.3100633404464048</v>
      </c>
      <c r="CL284" s="3821">
        <f t="shared" ca="1" si="1319"/>
        <v>2.5889307919681812</v>
      </c>
      <c r="CM284" s="3821">
        <f t="shared" ca="1" si="1319"/>
        <v>2.3488239055086382</v>
      </c>
      <c r="CN284" s="3821">
        <f t="shared" ca="1" si="1319"/>
        <v>2.4227821838503445</v>
      </c>
      <c r="CO284" s="3821">
        <f t="shared" ca="1" si="1319"/>
        <v>2.3539149147492111</v>
      </c>
      <c r="CP284" s="3821">
        <f t="shared" ca="1" si="1319"/>
        <v>1.8049345918198298</v>
      </c>
      <c r="CQ284" s="3821">
        <f t="shared" ca="1" si="1319"/>
        <v>1.8346210751274015</v>
      </c>
      <c r="CR284" s="3821">
        <f t="shared" ca="1" si="1319"/>
        <v>1.9341980592674872</v>
      </c>
      <c r="CS284" s="3821">
        <f t="shared" ca="1" si="1319"/>
        <v>1.9601500840988706</v>
      </c>
      <c r="CT284" s="3821">
        <f t="shared" ca="1" si="1319"/>
        <v>1.8998048145738551</v>
      </c>
      <c r="CU284" s="3819">
        <v>1.5400510121718725</v>
      </c>
      <c r="CV284" s="3819">
        <v>1.8747309115925814</v>
      </c>
      <c r="CW284" s="3819">
        <v>2.1264844220681312</v>
      </c>
      <c r="CX284" s="3819">
        <v>2.2877748067220427</v>
      </c>
      <c r="CY284" s="3819">
        <v>2.3224132077018345</v>
      </c>
      <c r="CZ284" s="3819">
        <v>2.0317586021648237</v>
      </c>
      <c r="DA284" s="3819">
        <v>2.5058534559383672</v>
      </c>
      <c r="DB284" s="3819">
        <v>1.9240915291590444</v>
      </c>
    </row>
    <row r="285" spans="1:114">
      <c r="C285" s="724"/>
      <c r="D285" s="766"/>
      <c r="E285" s="767" t="s">
        <v>276</v>
      </c>
      <c r="F285" s="967"/>
      <c r="G285" s="2820"/>
      <c r="H285" s="2820"/>
      <c r="I285" s="2820"/>
      <c r="J285" s="2820"/>
      <c r="K285" s="2820"/>
      <c r="L285" s="2820"/>
      <c r="M285" s="2820"/>
      <c r="N285" s="2820"/>
      <c r="O285" s="2820"/>
      <c r="P285" s="2820"/>
      <c r="Q285" s="2820"/>
      <c r="R285" s="2820">
        <f t="shared" ca="1" si="1309"/>
        <v>-0.79595534588396788</v>
      </c>
      <c r="S285" s="2820">
        <f t="shared" ca="1" si="1309"/>
        <v>-1.0997172983962287</v>
      </c>
      <c r="T285" s="2820">
        <f t="shared" ca="1" si="1309"/>
        <v>-0.87924028509510777</v>
      </c>
      <c r="U285" s="2820">
        <f t="shared" ca="1" si="1309"/>
        <v>-1.131264603212216</v>
      </c>
      <c r="V285" s="2820">
        <f t="shared" ca="1" si="1309"/>
        <v>-1.4186298989968265</v>
      </c>
      <c r="W285" s="2820">
        <f t="shared" ca="1" si="1309"/>
        <v>0.77792629369079691</v>
      </c>
      <c r="X285" s="2820">
        <f t="shared" ca="1" si="1309"/>
        <v>0.83202755106168524</v>
      </c>
      <c r="Y285" s="2820">
        <f t="shared" ca="1" si="1310"/>
        <v>0.89357903325056043</v>
      </c>
      <c r="Z285" s="2820">
        <f t="shared" ca="1" si="1310"/>
        <v>1.6254392680408642</v>
      </c>
      <c r="AA285" s="2820">
        <f t="shared" ca="1" si="1310"/>
        <v>1.7148209760495092</v>
      </c>
      <c r="AB285" s="2820">
        <f t="shared" ca="1" si="1310"/>
        <v>2.5509657045716665</v>
      </c>
      <c r="AC285" s="2820">
        <f t="shared" ca="1" si="1310"/>
        <v>3.0959698139033662</v>
      </c>
      <c r="AD285" s="2820">
        <f t="shared" ca="1" si="1310"/>
        <v>3.4454781088108604</v>
      </c>
      <c r="AE285" s="2820">
        <f t="shared" ca="1" si="1310"/>
        <v>2.5208458286664523</v>
      </c>
      <c r="AF285" s="2820">
        <f t="shared" ca="1" si="1310"/>
        <v>3.0860589227049928</v>
      </c>
      <c r="AG285" s="2820">
        <f t="shared" ca="1" si="1310"/>
        <v>2.4448982571037448</v>
      </c>
      <c r="AH285" s="2820">
        <f t="shared" ca="1" si="1310"/>
        <v>1.990094342391771</v>
      </c>
      <c r="AI285" s="2820">
        <f t="shared" ca="1" si="1311"/>
        <v>2.5608459007842868</v>
      </c>
      <c r="AJ285" s="2820">
        <f t="shared" ca="1" si="1311"/>
        <v>1.2865604940332673</v>
      </c>
      <c r="AK285" s="2820">
        <f t="shared" ca="1" si="1311"/>
        <v>1.2143198811191098</v>
      </c>
      <c r="AL285" s="2820">
        <f t="shared" ca="1" si="1311"/>
        <v>1.2008212562827083</v>
      </c>
      <c r="AM285" s="2820">
        <f t="shared" ca="1" si="1311"/>
        <v>1.5206401051051728</v>
      </c>
      <c r="AN285" s="2820">
        <f t="shared" ca="1" si="1311"/>
        <v>1.3171531927774964</v>
      </c>
      <c r="AO285" s="2820">
        <f t="shared" ca="1" si="1311"/>
        <v>1.5862249310374636</v>
      </c>
      <c r="AP285" s="2820">
        <f t="shared" ca="1" si="1311"/>
        <v>1.6503449874274594</v>
      </c>
      <c r="AQ285" s="2820">
        <f t="shared" ca="1" si="1311"/>
        <v>1.1497454919635004</v>
      </c>
      <c r="AR285" s="2820">
        <f t="shared" ca="1" si="1311"/>
        <v>2.020594086412757</v>
      </c>
      <c r="AS285" s="2820">
        <f t="shared" ca="1" si="1312"/>
        <v>1.968337611019038</v>
      </c>
      <c r="AT285" s="2820">
        <f t="shared" ca="1" si="1312"/>
        <v>2.2963235348713482</v>
      </c>
      <c r="AU285" s="2820">
        <f ca="1">+AU251/AQ251*100-100</f>
        <v>6.4681532120743412</v>
      </c>
      <c r="AV285" s="2820">
        <f t="shared" ca="1" si="1312"/>
        <v>6.5645381928422779</v>
      </c>
      <c r="AW285" s="2820">
        <f t="shared" ca="1" si="1312"/>
        <v>6.9193676394867794</v>
      </c>
      <c r="AX285" s="2820">
        <f t="shared" ca="1" si="1312"/>
        <v>6.5557787903274232</v>
      </c>
      <c r="AY285" s="2820">
        <f t="shared" ca="1" si="1312"/>
        <v>2.5911609360395715</v>
      </c>
      <c r="AZ285" s="2820">
        <f t="shared" ca="1" si="1312"/>
        <v>2.6107328014632856</v>
      </c>
      <c r="BA285" s="2820">
        <f t="shared" ca="1" si="1312"/>
        <v>2.2442141488917713</v>
      </c>
      <c r="BB285" s="2820">
        <f t="shared" ca="1" si="1312"/>
        <v>1.9657789384395699</v>
      </c>
      <c r="BC285" s="2820">
        <f t="shared" ca="1" si="1313"/>
        <v>1.7606242676932311</v>
      </c>
      <c r="BD285" s="2820">
        <f t="shared" ca="1" si="1313"/>
        <v>1.4567985244481747</v>
      </c>
      <c r="BE285" s="2820">
        <f t="shared" ca="1" si="1313"/>
        <v>1.295223401260472</v>
      </c>
      <c r="BF285" s="2820">
        <f t="shared" ca="1" si="1313"/>
        <v>2.7224137901504406</v>
      </c>
      <c r="BG285" s="2820">
        <f ca="1">+BG251/BC251*100-100</f>
        <v>3.8640081892853999</v>
      </c>
      <c r="BH285" s="2820">
        <f ca="1">+BH251/BD251*100-100</f>
        <v>4.9997970683699862</v>
      </c>
      <c r="BI285" s="2820">
        <f ca="1">+BI251/BE251*100-100</f>
        <v>5.6013984798336907</v>
      </c>
      <c r="BJ285" s="2820">
        <f ca="1">+BJ251/BF251*100-100</f>
        <v>3.5810050699457605</v>
      </c>
      <c r="BK285" s="2820">
        <f ca="1">+BK251/BG251*100-100</f>
        <v>1.5734517538495965</v>
      </c>
      <c r="BL285" s="2820">
        <f t="shared" ca="1" si="1316"/>
        <v>-0.15741479237877343</v>
      </c>
      <c r="BM285" s="2820">
        <f t="shared" ca="1" si="1320"/>
        <v>-1.121261630574935</v>
      </c>
      <c r="BN285" s="2820">
        <f t="shared" ca="1" si="1321"/>
        <v>-0.15017496951111298</v>
      </c>
      <c r="BO285" s="2820">
        <f t="shared" ca="1" si="1322"/>
        <v>1.1469483068960358</v>
      </c>
      <c r="BP285" s="2820">
        <f t="shared" ca="1" si="1317"/>
        <v>2.3695570498486944</v>
      </c>
      <c r="BQ285" s="2820">
        <f t="shared" ca="1" si="1317"/>
        <v>2.5424660479067995</v>
      </c>
      <c r="BR285" s="981">
        <f t="shared" ref="BR285:CH285" ca="1" si="1323">+BR251/BN251*100-100</f>
        <v>3.1817662054042017</v>
      </c>
      <c r="BS285" s="981">
        <f t="shared" ca="1" si="1323"/>
        <v>3.4810833087036315</v>
      </c>
      <c r="BT285" s="981">
        <f t="shared" ca="1" si="1323"/>
        <v>3.167044467544855</v>
      </c>
      <c r="BU285" s="981">
        <f t="shared" ca="1" si="1323"/>
        <v>3.6064791529764051</v>
      </c>
      <c r="BV285" s="981">
        <f t="shared" ca="1" si="1323"/>
        <v>3.2979032862249937</v>
      </c>
      <c r="BW285" s="981">
        <f t="shared" ca="1" si="1323"/>
        <v>3.267775387892911</v>
      </c>
      <c r="BX285" s="981">
        <f t="shared" ca="1" si="1323"/>
        <v>2.5673368168364732</v>
      </c>
      <c r="BY285" s="981">
        <f t="shared" ca="1" si="1323"/>
        <v>2.4046495566193187</v>
      </c>
      <c r="BZ285" s="981">
        <f t="shared" ca="1" si="1323"/>
        <v>2.3014672415075665</v>
      </c>
      <c r="CA285" s="981">
        <f t="shared" ca="1" si="1323"/>
        <v>1.4808809069420334</v>
      </c>
      <c r="CB285" s="981">
        <f t="shared" ref="CB285:CF285" ca="1" si="1324">+CB251/BX251*100-100</f>
        <v>1.3625009366243575</v>
      </c>
      <c r="CC285" s="981">
        <f t="shared" ca="1" si="1323"/>
        <v>1.2528471031776576</v>
      </c>
      <c r="CD285" s="981">
        <f t="shared" ca="1" si="1323"/>
        <v>0.93999156842406251</v>
      </c>
      <c r="CE285" s="981">
        <f t="shared" ca="1" si="1323"/>
        <v>0.92159643193419072</v>
      </c>
      <c r="CF285" s="981">
        <f t="shared" ca="1" si="1324"/>
        <v>0.67687366446105557</v>
      </c>
      <c r="CG285" s="981">
        <f t="shared" ca="1" si="1323"/>
        <v>0.38463577157999396</v>
      </c>
      <c r="CH285" s="981">
        <f t="shared" ca="1" si="1323"/>
        <v>-3.955504369088203E-3</v>
      </c>
      <c r="CI285" s="981">
        <f t="shared" ca="1" si="1318"/>
        <v>-0.40585998622486841</v>
      </c>
      <c r="CJ285" s="981">
        <f t="shared" ca="1" si="1319"/>
        <v>0.66708790911307858</v>
      </c>
      <c r="CK285" s="981">
        <f t="shared" ca="1" si="1319"/>
        <v>0.81195210219418357</v>
      </c>
      <c r="CL285" s="981">
        <f t="shared" ca="1" si="1319"/>
        <v>1.3174303632817157</v>
      </c>
      <c r="CM285" s="981">
        <f t="shared" ca="1" si="1319"/>
        <v>1.5697500525035508</v>
      </c>
      <c r="CN285" s="981">
        <f t="shared" ca="1" si="1319"/>
        <v>1.6807425161342593</v>
      </c>
      <c r="CO285" s="981">
        <f t="shared" ca="1" si="1319"/>
        <v>1.9714441160531919</v>
      </c>
      <c r="CP285" s="981">
        <f t="shared" ca="1" si="1319"/>
        <v>1.9784739959676614</v>
      </c>
      <c r="CQ285" s="981">
        <f t="shared" ca="1" si="1319"/>
        <v>2.932023429607284</v>
      </c>
      <c r="CR285" s="981">
        <f t="shared" ca="1" si="1319"/>
        <v>2.0144240531024877</v>
      </c>
      <c r="CS285" s="981">
        <f t="shared" ca="1" si="1319"/>
        <v>1.9046469536035318</v>
      </c>
      <c r="CT285" s="981">
        <f t="shared" ca="1" si="1319"/>
        <v>1.9864203951504891</v>
      </c>
      <c r="CU285" s="3788">
        <f t="shared" ref="CU285:CV285" ca="1" si="1325">+CU251/CQ251*100-100</f>
        <v>1.5762532370228826</v>
      </c>
      <c r="CV285" s="3788">
        <f t="shared" ca="1" si="1325"/>
        <v>1.6424397323956015</v>
      </c>
      <c r="CW285" s="3788">
        <f t="shared" ref="CW285" ca="1" si="1326">+CW251/CS251*100-100</f>
        <v>1.7263269501616634</v>
      </c>
      <c r="CX285" s="3788">
        <f t="shared" ref="CX285" ca="1" si="1327">+CX251/CT251*100-100</f>
        <v>1.3383008381543817</v>
      </c>
      <c r="CY285" s="3788">
        <f t="shared" ref="CY285" ca="1" si="1328">+CY251/CU251*100-100</f>
        <v>1.2380444364975602</v>
      </c>
      <c r="CZ285" s="3788">
        <f t="shared" ref="CZ285" ca="1" si="1329">+CZ251/CV251*100-100</f>
        <v>1.6398180435081429</v>
      </c>
      <c r="DA285" s="3788">
        <f t="shared" ref="DA285" ca="1" si="1330">+DA251/CW251*100-100</f>
        <v>2.1160401587297031</v>
      </c>
      <c r="DB285" s="3788">
        <f t="shared" ref="DB285" ca="1" si="1331">+DB251/CX251*100-100</f>
        <v>1.540455335015011</v>
      </c>
    </row>
    <row r="286" spans="1:114">
      <c r="B286" s="715">
        <v>25</v>
      </c>
      <c r="C286" s="724"/>
      <c r="D286" s="766"/>
      <c r="E286" s="767" t="str">
        <f>+E277</f>
        <v>HICP</v>
      </c>
      <c r="F286" s="967"/>
      <c r="G286" s="2820"/>
      <c r="H286" s="2820"/>
      <c r="I286" s="2820"/>
      <c r="J286" s="2820"/>
      <c r="K286" s="2820">
        <f t="shared" ref="K286:T286" si="1332">+K252/G252*100-100</f>
        <v>-16.093331735187178</v>
      </c>
      <c r="L286" s="2820">
        <f t="shared" si="1332"/>
        <v>-15.649920255183432</v>
      </c>
      <c r="M286" s="2820">
        <f t="shared" si="1332"/>
        <v>-16.158210021025894</v>
      </c>
      <c r="N286" s="2820">
        <f t="shared" si="1332"/>
        <v>-15.548236041112744</v>
      </c>
      <c r="O286" s="2820">
        <f t="shared" si="1332"/>
        <v>1.776105899719056</v>
      </c>
      <c r="P286" s="2820">
        <f t="shared" si="1332"/>
        <v>1.3708343181281037</v>
      </c>
      <c r="Q286" s="2820">
        <f t="shared" si="1332"/>
        <v>1.736538279549535</v>
      </c>
      <c r="R286" s="2820">
        <f t="shared" si="1332"/>
        <v>1.132465579625034</v>
      </c>
      <c r="S286" s="2820">
        <f t="shared" si="1332"/>
        <v>0.75793019556473951</v>
      </c>
      <c r="T286" s="2820">
        <f t="shared" si="1332"/>
        <v>1.2403823735136541</v>
      </c>
      <c r="U286" s="2820">
        <f t="shared" ref="U286:AD286" si="1333">+U252/Q252*100-100</f>
        <v>0.98134970466490756</v>
      </c>
      <c r="V286" s="2820">
        <f t="shared" si="1333"/>
        <v>0.65049716569089355</v>
      </c>
      <c r="W286" s="2820">
        <f t="shared" ca="1" si="1333"/>
        <v>1.0819093610698189</v>
      </c>
      <c r="X286" s="2820">
        <f t="shared" ca="1" si="1333"/>
        <v>0.85210262079129961</v>
      </c>
      <c r="Y286" s="2820">
        <f t="shared" ca="1" si="1333"/>
        <v>0.94417833456151357</v>
      </c>
      <c r="Z286" s="2820">
        <f t="shared" ca="1" si="1333"/>
        <v>1.6618964084571957</v>
      </c>
      <c r="AA286" s="2820">
        <f t="shared" ca="1" si="1333"/>
        <v>1.6537277780329873</v>
      </c>
      <c r="AB286" s="2820">
        <f t="shared" ca="1" si="1333"/>
        <v>2.5712458896602044</v>
      </c>
      <c r="AC286" s="2820">
        <f t="shared" ca="1" si="1333"/>
        <v>3.0524250581740517</v>
      </c>
      <c r="AD286" s="2820">
        <f t="shared" ca="1" si="1333"/>
        <v>3.4283897920261808</v>
      </c>
      <c r="AE286" s="2820">
        <f t="shared" ref="AE286:AN286" ca="1" si="1334">+AE252/AA252*100-100</f>
        <v>2.4628315784716932</v>
      </c>
      <c r="AF286" s="2820">
        <f t="shared" ca="1" si="1334"/>
        <v>3.0054766463333209</v>
      </c>
      <c r="AG286" s="2820">
        <f t="shared" ca="1" si="1334"/>
        <v>2.3820065527317809</v>
      </c>
      <c r="AH286" s="2820">
        <f t="shared" ca="1" si="1334"/>
        <v>1.8966501295166296</v>
      </c>
      <c r="AI286" s="2820">
        <f t="shared" ca="1" si="1334"/>
        <v>2.5447649289935583</v>
      </c>
      <c r="AJ286" s="2820">
        <f t="shared" ca="1" si="1334"/>
        <v>1.2708567476441743</v>
      </c>
      <c r="AK286" s="2820">
        <f t="shared" ca="1" si="1334"/>
        <v>1.1892406158104052</v>
      </c>
      <c r="AL286" s="2820">
        <f t="shared" ca="1" si="1334"/>
        <v>1.2064285406523112</v>
      </c>
      <c r="AM286" s="2820">
        <f t="shared" ca="1" si="1334"/>
        <v>1.5225151606382639</v>
      </c>
      <c r="AN286" s="2820">
        <f t="shared" ca="1" si="1334"/>
        <v>1.3103978145808384</v>
      </c>
      <c r="AO286" s="2820">
        <f t="shared" ref="AO286:AX286" ca="1" si="1335">+AO252/AK252*100-100</f>
        <v>1.5898115304072888</v>
      </c>
      <c r="AP286" s="2820">
        <f t="shared" ca="1" si="1335"/>
        <v>1.6433224062326985</v>
      </c>
      <c r="AQ286" s="2820">
        <f t="shared" ca="1" si="1335"/>
        <v>1.1438254607074612</v>
      </c>
      <c r="AR286" s="2820">
        <f t="shared" ca="1" si="1335"/>
        <v>2.0181167052875253</v>
      </c>
      <c r="AS286" s="2820">
        <f t="shared" ca="1" si="1335"/>
        <v>1.964578688317701</v>
      </c>
      <c r="AT286" s="2820">
        <f t="shared" ca="1" si="1335"/>
        <v>2.2952879581151961</v>
      </c>
      <c r="AU286" s="2820">
        <f t="shared" ca="1" si="1335"/>
        <v>2.3623036649214555</v>
      </c>
      <c r="AV286" s="2820">
        <f t="shared" ca="1" si="1335"/>
        <v>2.4737755017758332</v>
      </c>
      <c r="AW286" s="2820">
        <f t="shared" ca="1" si="1335"/>
        <v>2.8343922765904637</v>
      </c>
      <c r="AX286" s="2820">
        <f t="shared" ca="1" si="1335"/>
        <v>2.4771731564508599</v>
      </c>
      <c r="AY286" s="2820">
        <f t="shared" ref="AY286:BF286" ca="1" si="1336">+AY252/AU252*100-100</f>
        <v>2.5860305249805862</v>
      </c>
      <c r="AZ286" s="2820">
        <f t="shared" ca="1" si="1336"/>
        <v>2.5913835489461263</v>
      </c>
      <c r="BA286" s="2820">
        <f t="shared" ca="1" si="1336"/>
        <v>2.2106318956870723</v>
      </c>
      <c r="BB286" s="2820">
        <f t="shared" ca="1" si="1336"/>
        <v>1.9298385807895215</v>
      </c>
      <c r="BC286" s="2820">
        <f t="shared" ca="1" si="1336"/>
        <v>1.7709704439391913</v>
      </c>
      <c r="BD286" s="2820">
        <f t="shared" ca="1" si="1336"/>
        <v>1.4613450659961984</v>
      </c>
      <c r="BE286" s="2820">
        <f t="shared" ca="1" si="1336"/>
        <v>1.299262050557374</v>
      </c>
      <c r="BF286" s="2820">
        <f t="shared" ca="1" si="1336"/>
        <v>2.7321547567715783</v>
      </c>
      <c r="BG286" s="2820">
        <f t="shared" ca="1" si="1314"/>
        <v>3.8487164413090369</v>
      </c>
      <c r="BH286" s="2820">
        <f ca="1">+BH252/BD252*100-100</f>
        <v>4.9790924577977478</v>
      </c>
      <c r="BI286" s="2820">
        <f ca="1">+BI252/BE252*100-100</f>
        <v>5.5682566745456796</v>
      </c>
      <c r="BJ286" s="2820">
        <f ca="1">+BJ252/BF252*100-100</f>
        <v>3.5676129426129393</v>
      </c>
      <c r="BK286" s="2820">
        <f ca="1">+BK252/BG252*100-100</f>
        <v>1.5511189946031578</v>
      </c>
      <c r="BL286" s="2820">
        <f t="shared" ca="1" si="1316"/>
        <v>-0.19178284281183267</v>
      </c>
      <c r="BM286" s="2820">
        <f t="shared" ca="1" si="1320"/>
        <v>-1.1525473498751921</v>
      </c>
      <c r="BN286" s="2820">
        <f t="shared" ca="1" si="1321"/>
        <v>-0.1915779390634782</v>
      </c>
      <c r="BO286" s="2820">
        <f t="shared" ca="1" si="1322"/>
        <v>1.1706555671175778</v>
      </c>
      <c r="BP286" s="2820">
        <f t="shared" ca="1" si="1317"/>
        <v>2.4092823885891761</v>
      </c>
      <c r="BQ286" s="2820">
        <f t="shared" ca="1" si="1317"/>
        <v>2.584478277014469</v>
      </c>
      <c r="BR286" s="2820">
        <f t="shared" ca="1" si="1317"/>
        <v>3.1817662054042017</v>
      </c>
      <c r="BS286" s="2820">
        <f t="shared" ref="BS286:CH286" ca="1" si="1337">+BS252/BO252*100-100</f>
        <v>3.4810833087036315</v>
      </c>
      <c r="BT286" s="2820">
        <f t="shared" ca="1" si="1337"/>
        <v>3.167044467544855</v>
      </c>
      <c r="BU286" s="2820">
        <f t="shared" ca="1" si="1337"/>
        <v>3.6064791529764051</v>
      </c>
      <c r="BV286" s="2820">
        <f t="shared" ca="1" si="1337"/>
        <v>3.2979032862249937</v>
      </c>
      <c r="BW286" s="2820">
        <f t="shared" ca="1" si="1337"/>
        <v>3.267775387892911</v>
      </c>
      <c r="BX286" s="2820">
        <f t="shared" ca="1" si="1337"/>
        <v>2.5673368168364732</v>
      </c>
      <c r="BY286" s="2820">
        <f t="shared" ca="1" si="1337"/>
        <v>2.4046495566193187</v>
      </c>
      <c r="BZ286" s="2820">
        <f t="shared" ca="1" si="1337"/>
        <v>2.3014672415075665</v>
      </c>
      <c r="CA286" s="2820">
        <f t="shared" ca="1" si="1337"/>
        <v>1.4808809069420334</v>
      </c>
      <c r="CB286" s="2820">
        <f t="shared" ca="1" si="1337"/>
        <v>1.3625009366243575</v>
      </c>
      <c r="CC286" s="2820">
        <f t="shared" ca="1" si="1337"/>
        <v>1.2528471031776576</v>
      </c>
      <c r="CD286" s="2820">
        <f t="shared" ca="1" si="1337"/>
        <v>0.93999156842406251</v>
      </c>
      <c r="CE286" s="2820">
        <f t="shared" ca="1" si="1337"/>
        <v>0.92159643193419072</v>
      </c>
      <c r="CF286" s="2820">
        <f t="shared" ca="1" si="1337"/>
        <v>0.67687366446105557</v>
      </c>
      <c r="CG286" s="2820">
        <f t="shared" ca="1" si="1337"/>
        <v>0.38463577157999396</v>
      </c>
      <c r="CH286" s="2820">
        <f t="shared" ca="1" si="1337"/>
        <v>-3.955504369088203E-3</v>
      </c>
      <c r="CI286" s="2820">
        <f t="shared" ca="1" si="1318"/>
        <v>-0.40585998622488262</v>
      </c>
      <c r="CJ286" s="2820">
        <f t="shared" ca="1" si="1319"/>
        <v>0.66708790911307858</v>
      </c>
      <c r="CK286" s="2820">
        <f t="shared" ca="1" si="1319"/>
        <v>0.81195210219418357</v>
      </c>
      <c r="CL286" s="2820">
        <f t="shared" ca="1" si="1319"/>
        <v>1.3174303632817157</v>
      </c>
      <c r="CM286" s="2820">
        <f t="shared" ca="1" si="1319"/>
        <v>1.5697500525035508</v>
      </c>
      <c r="CN286" s="2820">
        <f t="shared" ca="1" si="1319"/>
        <v>1.6807425161342593</v>
      </c>
      <c r="CO286" s="2820">
        <f t="shared" ca="1" si="1319"/>
        <v>1.9714441160531919</v>
      </c>
      <c r="CP286" s="2820">
        <f t="shared" ca="1" si="1319"/>
        <v>1.9784739959676614</v>
      </c>
      <c r="CQ286" s="2820">
        <f t="shared" ca="1" si="1319"/>
        <v>2.932023429607284</v>
      </c>
      <c r="CR286" s="2820">
        <f t="shared" ca="1" si="1319"/>
        <v>2.0144240531024877</v>
      </c>
      <c r="CS286" s="2820">
        <f t="shared" ca="1" si="1319"/>
        <v>1.9046469536035318</v>
      </c>
      <c r="CT286" s="2820">
        <f t="shared" ca="1" si="1319"/>
        <v>1.9864203951504891</v>
      </c>
      <c r="CU286" s="3785">
        <f t="shared" ref="CU286:CX286" ca="1" si="1338">+CU285</f>
        <v>1.5762532370228826</v>
      </c>
      <c r="CV286" s="3785">
        <f t="shared" ca="1" si="1338"/>
        <v>1.6424397323956015</v>
      </c>
      <c r="CW286" s="3785">
        <f t="shared" ca="1" si="1338"/>
        <v>1.7263269501616634</v>
      </c>
      <c r="CX286" s="3785">
        <f t="shared" ca="1" si="1338"/>
        <v>1.3383008381543817</v>
      </c>
      <c r="CY286" s="3785">
        <f t="shared" ref="CY286:DB286" ca="1" si="1339">+CY285</f>
        <v>1.2380444364975602</v>
      </c>
      <c r="CZ286" s="3785">
        <f t="shared" ca="1" si="1339"/>
        <v>1.6398180435081429</v>
      </c>
      <c r="DA286" s="3785">
        <f t="shared" ca="1" si="1339"/>
        <v>2.1160401587297031</v>
      </c>
      <c r="DB286" s="3785">
        <f t="shared" ca="1" si="1339"/>
        <v>1.540455335015011</v>
      </c>
    </row>
    <row r="287" spans="1:114" s="1044" customFormat="1" ht="10.199999999999999">
      <c r="A287" s="723"/>
      <c r="B287" s="723"/>
      <c r="C287" s="1048"/>
      <c r="D287" s="1049"/>
      <c r="E287" s="1050" t="s">
        <v>1963</v>
      </c>
      <c r="F287" s="1049"/>
      <c r="G287" s="1051"/>
      <c r="H287" s="1051"/>
      <c r="I287" s="1051"/>
      <c r="J287" s="1051"/>
      <c r="K287" s="2858"/>
      <c r="L287" s="2858"/>
      <c r="M287" s="2858"/>
      <c r="N287" s="2858"/>
      <c r="O287" s="2858"/>
      <c r="P287" s="2858"/>
      <c r="Q287" s="2858"/>
      <c r="R287" s="2858">
        <f t="shared" ref="R287:BF287" ca="1" si="1340">+R286-R285</f>
        <v>1.9284209255090019</v>
      </c>
      <c r="S287" s="2858">
        <f t="shared" ca="1" si="1340"/>
        <v>1.8576474939609682</v>
      </c>
      <c r="T287" s="2858">
        <f t="shared" ca="1" si="1340"/>
        <v>2.1196226586087619</v>
      </c>
      <c r="U287" s="2858">
        <f t="shared" ca="1" si="1340"/>
        <v>2.1126143078771236</v>
      </c>
      <c r="V287" s="2858">
        <f t="shared" ca="1" si="1340"/>
        <v>2.06912706468772</v>
      </c>
      <c r="W287" s="2858">
        <f t="shared" ca="1" si="1340"/>
        <v>0.30398306737902203</v>
      </c>
      <c r="X287" s="2858">
        <f t="shared" ca="1" si="1340"/>
        <v>2.007506972961437E-2</v>
      </c>
      <c r="Y287" s="2858">
        <f t="shared" ca="1" si="1340"/>
        <v>5.0599301310953138E-2</v>
      </c>
      <c r="Z287" s="2858">
        <f t="shared" ca="1" si="1340"/>
        <v>3.6457140416331413E-2</v>
      </c>
      <c r="AA287" s="2858">
        <f t="shared" ca="1" si="1340"/>
        <v>-6.109319801652191E-2</v>
      </c>
      <c r="AB287" s="2858">
        <f t="shared" ca="1" si="1340"/>
        <v>2.0280185088537905E-2</v>
      </c>
      <c r="AC287" s="2858">
        <f t="shared" ca="1" si="1340"/>
        <v>-4.3544755729314488E-2</v>
      </c>
      <c r="AD287" s="2858">
        <f t="shared" ca="1" si="1340"/>
        <v>-1.7088316784679591E-2</v>
      </c>
      <c r="AE287" s="2858">
        <f t="shared" ca="1" si="1340"/>
        <v>-5.8014250194759143E-2</v>
      </c>
      <c r="AF287" s="2858">
        <f t="shared" ca="1" si="1340"/>
        <v>-8.0582276371671924E-2</v>
      </c>
      <c r="AG287" s="2858">
        <f t="shared" ca="1" si="1340"/>
        <v>-6.2891704371963897E-2</v>
      </c>
      <c r="AH287" s="2858">
        <f t="shared" ca="1" si="1340"/>
        <v>-9.3444212875141375E-2</v>
      </c>
      <c r="AI287" s="2858">
        <f t="shared" ca="1" si="1340"/>
        <v>-1.6080971790728427E-2</v>
      </c>
      <c r="AJ287" s="2858">
        <f t="shared" ca="1" si="1340"/>
        <v>-1.5703746389092998E-2</v>
      </c>
      <c r="AK287" s="2858">
        <f t="shared" ca="1" si="1340"/>
        <v>-2.5079265308704635E-2</v>
      </c>
      <c r="AL287" s="2858">
        <f t="shared" ca="1" si="1340"/>
        <v>5.607284369602894E-3</v>
      </c>
      <c r="AM287" s="2858">
        <f t="shared" ca="1" si="1340"/>
        <v>1.8750555330910856E-3</v>
      </c>
      <c r="AN287" s="2858">
        <f t="shared" ca="1" si="1340"/>
        <v>-6.7553781966580573E-3</v>
      </c>
      <c r="AO287" s="2858">
        <f t="shared" ca="1" si="1340"/>
        <v>3.5865993698251941E-3</v>
      </c>
      <c r="AP287" s="2858">
        <f t="shared" ca="1" si="1340"/>
        <v>-7.0225811947608463E-3</v>
      </c>
      <c r="AQ287" s="2858">
        <f t="shared" ca="1" si="1340"/>
        <v>-5.9200312560392376E-3</v>
      </c>
      <c r="AR287" s="2858">
        <f t="shared" ca="1" si="1340"/>
        <v>-2.4773811252316591E-3</v>
      </c>
      <c r="AS287" s="2858">
        <f t="shared" ca="1" si="1340"/>
        <v>-3.7589227013370419E-3</v>
      </c>
      <c r="AT287" s="2858">
        <f t="shared" ca="1" si="1340"/>
        <v>-1.0355767561520679E-3</v>
      </c>
      <c r="AU287" s="2858">
        <f t="shared" ca="1" si="1340"/>
        <v>-4.1058495471528857</v>
      </c>
      <c r="AV287" s="2858">
        <f t="shared" ca="1" si="1340"/>
        <v>-4.0907626910664447</v>
      </c>
      <c r="AW287" s="2858">
        <f t="shared" ca="1" si="1340"/>
        <v>-4.0849753628963157</v>
      </c>
      <c r="AX287" s="2858">
        <f t="shared" ca="1" si="1340"/>
        <v>-4.0786056338765633</v>
      </c>
      <c r="AY287" s="2858">
        <f t="shared" ca="1" si="1340"/>
        <v>-5.1304110589853735E-3</v>
      </c>
      <c r="AZ287" s="2858">
        <f t="shared" ca="1" si="1340"/>
        <v>-1.9349252517159243E-2</v>
      </c>
      <c r="BA287" s="2858">
        <f t="shared" ca="1" si="1340"/>
        <v>-3.3582253204698986E-2</v>
      </c>
      <c r="BB287" s="2858">
        <f t="shared" ca="1" si="1340"/>
        <v>-3.5940357650048327E-2</v>
      </c>
      <c r="BC287" s="2858">
        <f t="shared" ca="1" si="1340"/>
        <v>1.0346176245960237E-2</v>
      </c>
      <c r="BD287" s="2858">
        <f t="shared" ca="1" si="1340"/>
        <v>4.546541548023697E-3</v>
      </c>
      <c r="BE287" s="2858">
        <f t="shared" ca="1" si="1340"/>
        <v>4.0386492969020082E-3</v>
      </c>
      <c r="BF287" s="2858">
        <f t="shared" ca="1" si="1340"/>
        <v>9.7409666211376589E-3</v>
      </c>
      <c r="BG287" s="2858">
        <f ca="1">+BG286-BG285</f>
        <v>-1.5291747976363013E-2</v>
      </c>
      <c r="BH287" s="2858">
        <f ca="1">+BH286-BH285</f>
        <v>-2.070461057223838E-2</v>
      </c>
      <c r="BI287" s="2858">
        <f ca="1">+BI286-BI285</f>
        <v>-3.3141805288011028E-2</v>
      </c>
      <c r="BJ287" s="2858">
        <f ca="1">+BJ286-BJ285</f>
        <v>-1.3392127332821246E-2</v>
      </c>
      <c r="BK287" s="2858">
        <f t="shared" ref="BK287:BQ287" ca="1" si="1341">+BK286-BK285</f>
        <v>-2.2332759246438627E-2</v>
      </c>
      <c r="BL287" s="2858">
        <f t="shared" ca="1" si="1341"/>
        <v>-3.4368050433059238E-2</v>
      </c>
      <c r="BM287" s="2858">
        <f t="shared" ca="1" si="1341"/>
        <v>-3.1285719300257142E-2</v>
      </c>
      <c r="BN287" s="2858">
        <f t="shared" ca="1" si="1341"/>
        <v>-4.1402969552365221E-2</v>
      </c>
      <c r="BO287" s="2858">
        <f t="shared" ca="1" si="1341"/>
        <v>2.3707260221542015E-2</v>
      </c>
      <c r="BP287" s="2858">
        <f t="shared" ca="1" si="1341"/>
        <v>3.9725338740481675E-2</v>
      </c>
      <c r="BQ287" s="2858">
        <f t="shared" ca="1" si="1341"/>
        <v>4.2012229107669441E-2</v>
      </c>
      <c r="BR287" s="2858">
        <f t="shared" ref="BR287:CB287" ca="1" si="1342">+BR286-BR285</f>
        <v>0</v>
      </c>
      <c r="BS287" s="2858">
        <f t="shared" ca="1" si="1342"/>
        <v>0</v>
      </c>
      <c r="BT287" s="2858">
        <f t="shared" ca="1" si="1342"/>
        <v>0</v>
      </c>
      <c r="BU287" s="2858">
        <f t="shared" ca="1" si="1342"/>
        <v>0</v>
      </c>
      <c r="BV287" s="2858">
        <f t="shared" ca="1" si="1342"/>
        <v>0</v>
      </c>
      <c r="BW287" s="2858">
        <f t="shared" ca="1" si="1342"/>
        <v>0</v>
      </c>
      <c r="BX287" s="2858">
        <f t="shared" ca="1" si="1342"/>
        <v>0</v>
      </c>
      <c r="BY287" s="2858">
        <f t="shared" ca="1" si="1342"/>
        <v>0</v>
      </c>
      <c r="BZ287" s="2858">
        <f t="shared" ca="1" si="1342"/>
        <v>0</v>
      </c>
      <c r="CA287" s="2858">
        <f ca="1">+CA286-CA285</f>
        <v>0</v>
      </c>
      <c r="CB287" s="2858">
        <f t="shared" ca="1" si="1342"/>
        <v>0</v>
      </c>
      <c r="CC287" s="2858">
        <f t="shared" ref="CC287:CD287" ca="1" si="1343">+CC286-CC285</f>
        <v>0</v>
      </c>
      <c r="CD287" s="2858">
        <f t="shared" ca="1" si="1343"/>
        <v>0</v>
      </c>
      <c r="CE287" s="2858">
        <f ca="1">+CE286-CE285</f>
        <v>0</v>
      </c>
      <c r="CF287" s="2858">
        <f t="shared" ref="CF287:CH287" ca="1" si="1344">+CF286-CF285</f>
        <v>0</v>
      </c>
      <c r="CG287" s="2858">
        <f t="shared" ca="1" si="1344"/>
        <v>0</v>
      </c>
      <c r="CH287" s="2858">
        <f t="shared" ca="1" si="1344"/>
        <v>0</v>
      </c>
      <c r="CI287" s="2858">
        <f ca="1">+CI286-CI285</f>
        <v>-1.4210854715202004E-14</v>
      </c>
      <c r="CJ287" s="2858">
        <f t="shared" ref="CJ287:CL287" ca="1" si="1345">+CJ286-CJ285</f>
        <v>0</v>
      </c>
      <c r="CK287" s="2858">
        <f t="shared" ca="1" si="1345"/>
        <v>0</v>
      </c>
      <c r="CL287" s="2858">
        <f t="shared" ca="1" si="1345"/>
        <v>0</v>
      </c>
      <c r="CM287" s="2858">
        <f ca="1">+CM286-CM285</f>
        <v>0</v>
      </c>
      <c r="CN287" s="2858">
        <f t="shared" ref="CN287:CP287" ca="1" si="1346">+CN286-CN285</f>
        <v>0</v>
      </c>
      <c r="CO287" s="2858">
        <f t="shared" ca="1" si="1346"/>
        <v>0</v>
      </c>
      <c r="CP287" s="2858">
        <f t="shared" ca="1" si="1346"/>
        <v>0</v>
      </c>
      <c r="CQ287" s="2858">
        <f ca="1">+CQ286-CQ285</f>
        <v>0</v>
      </c>
      <c r="CR287" s="2858">
        <f t="shared" ref="CR287:CT287" ca="1" si="1347">+CR286-CR285</f>
        <v>0</v>
      </c>
      <c r="CS287" s="2858">
        <f t="shared" ca="1" si="1347"/>
        <v>0</v>
      </c>
      <c r="CT287" s="2858">
        <f t="shared" ca="1" si="1347"/>
        <v>0</v>
      </c>
      <c r="CU287" s="1051">
        <f t="shared" ref="CU287:CX287" ca="1" si="1348">+CU286-CU285</f>
        <v>0</v>
      </c>
      <c r="CV287" s="1051">
        <f t="shared" ca="1" si="1348"/>
        <v>0</v>
      </c>
      <c r="CW287" s="1051">
        <f t="shared" ca="1" si="1348"/>
        <v>0</v>
      </c>
      <c r="CX287" s="1051">
        <f t="shared" ca="1" si="1348"/>
        <v>0</v>
      </c>
      <c r="CY287" s="1051">
        <f t="shared" ref="CY287:DB287" ca="1" si="1349">+CY286-CY285</f>
        <v>0</v>
      </c>
      <c r="CZ287" s="1051">
        <f t="shared" ca="1" si="1349"/>
        <v>0</v>
      </c>
      <c r="DA287" s="1051">
        <f t="shared" ca="1" si="1349"/>
        <v>0</v>
      </c>
      <c r="DB287" s="1051">
        <f t="shared" ca="1" si="1349"/>
        <v>0</v>
      </c>
    </row>
    <row r="288" spans="1:114">
      <c r="C288" s="724"/>
      <c r="D288" s="766"/>
      <c r="E288" s="767" t="s">
        <v>1812</v>
      </c>
      <c r="F288" s="967"/>
      <c r="G288" s="2820"/>
      <c r="H288" s="2820"/>
      <c r="I288" s="2820"/>
      <c r="J288" s="2820"/>
      <c r="K288" s="2820"/>
      <c r="L288" s="2820"/>
      <c r="M288" s="2820"/>
      <c r="N288" s="2820"/>
      <c r="O288" s="2820"/>
      <c r="P288" s="2820"/>
      <c r="Q288" s="2820"/>
      <c r="R288" s="2820">
        <f t="shared" ref="R288:AT288" ca="1" si="1350">+R254/N254*100-100</f>
        <v>0.92978481796571089</v>
      </c>
      <c r="S288" s="2820">
        <f t="shared" ca="1" si="1350"/>
        <v>1.1221579244688655</v>
      </c>
      <c r="T288" s="2820">
        <f t="shared" ca="1" si="1350"/>
        <v>1.1319045318443273</v>
      </c>
      <c r="U288" s="2820">
        <f t="shared" ca="1" si="1350"/>
        <v>1.3503371444973737</v>
      </c>
      <c r="V288" s="2820">
        <f t="shared" ca="1" si="1350"/>
        <v>1.1639062583795692</v>
      </c>
      <c r="W288" s="2820">
        <f t="shared" ca="1" si="1350"/>
        <v>1.1201061721886987</v>
      </c>
      <c r="X288" s="2820">
        <f t="shared" ca="1" si="1350"/>
        <v>1.1133609483775331</v>
      </c>
      <c r="Y288" s="2820">
        <f t="shared" ca="1" si="1350"/>
        <v>0.8839293552696148</v>
      </c>
      <c r="Z288" s="2820">
        <f t="shared" ca="1" si="1350"/>
        <v>1.0874551537382047</v>
      </c>
      <c r="AA288" s="2820">
        <f t="shared" ca="1" si="1350"/>
        <v>0.63055593050313519</v>
      </c>
      <c r="AB288" s="2820">
        <f t="shared" ca="1" si="1350"/>
        <v>1.3812074897519864</v>
      </c>
      <c r="AC288" s="2820">
        <f t="shared" ca="1" si="1350"/>
        <v>1.0662245970411703</v>
      </c>
      <c r="AD288" s="2820">
        <f t="shared" ca="1" si="1350"/>
        <v>1.4761565388528055</v>
      </c>
      <c r="AE288" s="2820">
        <f t="shared" ca="1" si="1350"/>
        <v>1.550669408068245</v>
      </c>
      <c r="AF288" s="2820">
        <f t="shared" ca="1" si="1350"/>
        <v>1.8276745575228404</v>
      </c>
      <c r="AG288" s="2820">
        <f t="shared" ca="1" si="1350"/>
        <v>2.2474197940858858</v>
      </c>
      <c r="AH288" s="2820">
        <f t="shared" ca="1" si="1350"/>
        <v>2.6850096180148739</v>
      </c>
      <c r="AI288" s="2820">
        <f t="shared" ca="1" si="1350"/>
        <v>2.7707580860632817</v>
      </c>
      <c r="AJ288" s="2820">
        <f t="shared" ca="1" si="1350"/>
        <v>2.1877989379847804</v>
      </c>
      <c r="AK288" s="2820">
        <f t="shared" ca="1" si="1350"/>
        <v>1.9095297899963413</v>
      </c>
      <c r="AL288" s="2820">
        <f t="shared" ca="1" si="1350"/>
        <v>1.3932748166494093</v>
      </c>
      <c r="AM288" s="2820">
        <f t="shared" ca="1" si="1350"/>
        <v>1.3349106512730913</v>
      </c>
      <c r="AN288" s="2820">
        <f t="shared" ca="1" si="1350"/>
        <v>1.8475138893103207</v>
      </c>
      <c r="AO288" s="2820">
        <f t="shared" ca="1" si="1350"/>
        <v>1.6589311650122056</v>
      </c>
      <c r="AP288" s="2820">
        <f t="shared" ca="1" si="1350"/>
        <v>1.8102834766926321</v>
      </c>
      <c r="AQ288" s="2820">
        <f t="shared" ca="1" si="1350"/>
        <v>1.6616455878200469</v>
      </c>
      <c r="AR288" s="2820">
        <f t="shared" ca="1" si="1350"/>
        <v>1.4138243761829301</v>
      </c>
      <c r="AS288" s="2820">
        <f t="shared" ca="1" si="1350"/>
        <v>1.3723500215532454</v>
      </c>
      <c r="AT288" s="2820">
        <f t="shared" ca="1" si="1350"/>
        <v>1.204091131538874</v>
      </c>
      <c r="AU288" s="2820">
        <f t="shared" ref="AU288:BF288" ca="1" si="1351">+AU254/AQ254*100-100</f>
        <v>1.3577301959436454</v>
      </c>
      <c r="AV288" s="2820">
        <f t="shared" ca="1" si="1351"/>
        <v>1.2932292462136274</v>
      </c>
      <c r="AW288" s="2820">
        <f t="shared" ca="1" si="1351"/>
        <v>1.2667087490169564</v>
      </c>
      <c r="AX288" s="2820">
        <f t="shared" ca="1" si="1351"/>
        <v>1.5980356980984851</v>
      </c>
      <c r="AY288" s="2820">
        <f t="shared" ca="1" si="1351"/>
        <v>1.3528237609137506</v>
      </c>
      <c r="AZ288" s="2820">
        <f t="shared" ca="1" si="1351"/>
        <v>1.6423191103101402</v>
      </c>
      <c r="BA288" s="2820">
        <f t="shared" ca="1" si="1351"/>
        <v>1.8597098266741199</v>
      </c>
      <c r="BB288" s="2820">
        <f t="shared" ca="1" si="1351"/>
        <v>1.5853997691926764</v>
      </c>
      <c r="BC288" s="2820">
        <f t="shared" ca="1" si="1351"/>
        <v>1.7866123634672277</v>
      </c>
      <c r="BD288" s="2820">
        <f t="shared" ca="1" si="1351"/>
        <v>1.8641125981498305</v>
      </c>
      <c r="BE288" s="2820">
        <f t="shared" ca="1" si="1351"/>
        <v>1.7928582532469761</v>
      </c>
      <c r="BF288" s="2820">
        <f t="shared" ca="1" si="1351"/>
        <v>2.1638061021901791</v>
      </c>
      <c r="BG288" s="2820">
        <f t="shared" ref="BG288:BJ289" ca="1" si="1352">+BG254/BC254*100-100</f>
        <v>2.5568101305611464</v>
      </c>
      <c r="BH288" s="2820">
        <f t="shared" ca="1" si="1352"/>
        <v>2.5506913648015512</v>
      </c>
      <c r="BI288" s="2820">
        <f t="shared" ca="1" si="1352"/>
        <v>2.9140554448969311</v>
      </c>
      <c r="BJ288" s="2820">
        <f t="shared" ca="1" si="1352"/>
        <v>2.929261365377883</v>
      </c>
      <c r="BK288" s="2820">
        <f t="shared" ref="BK288:BN289" ca="1" si="1353">+BK254/BG254*100-100</f>
        <v>2.3397659332668184</v>
      </c>
      <c r="BL288" s="2820">
        <f t="shared" ca="1" si="1353"/>
        <v>2.3834534476068683</v>
      </c>
      <c r="BM288" s="2820">
        <f t="shared" ca="1" si="1353"/>
        <v>1.8807277070600747</v>
      </c>
      <c r="BN288" s="2820">
        <f t="shared" ca="1" si="1353"/>
        <v>1.5179933562248493</v>
      </c>
      <c r="BO288" s="2820">
        <f t="shared" ref="BO288:BR289" ca="1" si="1354">+BO254/BK254*100-100</f>
        <v>1.1153688156120722</v>
      </c>
      <c r="BP288" s="2820">
        <f t="shared" ca="1" si="1354"/>
        <v>1.0479418488213952</v>
      </c>
      <c r="BQ288" s="2820">
        <f t="shared" ca="1" si="1354"/>
        <v>0.96243422893387276</v>
      </c>
      <c r="BR288" s="2820">
        <f t="shared" ca="1" si="1354"/>
        <v>1.3433976557283671</v>
      </c>
      <c r="BS288" s="981">
        <f t="shared" ref="BS288:CH289" ca="1" si="1355">+BS254/BO254*100-100</f>
        <v>1.7483028316581652</v>
      </c>
      <c r="BT288" s="981">
        <f t="shared" ca="1" si="1355"/>
        <v>1.5829250374098649</v>
      </c>
      <c r="BU288" s="981">
        <f t="shared" ca="1" si="1355"/>
        <v>2.0026857803838283</v>
      </c>
      <c r="BV288" s="981">
        <f t="shared" ca="1" si="1355"/>
        <v>1.8337791136970623</v>
      </c>
      <c r="BW288" s="981">
        <f t="shared" ca="1" si="1355"/>
        <v>2.1668102260600932</v>
      </c>
      <c r="BX288" s="981">
        <f t="shared" ca="1" si="1355"/>
        <v>2.1117064467873519</v>
      </c>
      <c r="BY288" s="981">
        <f t="shared" ca="1" si="1355"/>
        <v>1.9434794810437808</v>
      </c>
      <c r="BZ288" s="981">
        <f t="shared" ca="1" si="1355"/>
        <v>2.036000494771244</v>
      </c>
      <c r="CA288" s="981">
        <f t="shared" ca="1" si="1355"/>
        <v>1.789347554410142</v>
      </c>
      <c r="CB288" s="981">
        <f t="shared" ref="CB288:CF288" ca="1" si="1356">+CB254/BX254*100-100</f>
        <v>1.7894139604464954</v>
      </c>
      <c r="CC288" s="981">
        <f t="shared" ca="1" si="1355"/>
        <v>1.8013889361579771</v>
      </c>
      <c r="CD288" s="981">
        <f t="shared" ca="1" si="1355"/>
        <v>1.7732405504951885</v>
      </c>
      <c r="CE288" s="981">
        <f t="shared" ca="1" si="1355"/>
        <v>1.5872436680138549</v>
      </c>
      <c r="CF288" s="981">
        <f t="shared" ca="1" si="1356"/>
        <v>1.7684838496145261</v>
      </c>
      <c r="CG288" s="981">
        <f t="shared" ca="1" si="1355"/>
        <v>1.610460228067609</v>
      </c>
      <c r="CH288" s="981">
        <f t="shared" ca="1" si="1355"/>
        <v>1.3189960026961671</v>
      </c>
      <c r="CI288" s="981">
        <f t="shared" ref="CI288:CI289" ca="1" si="1357">+CI254/CE254*100-100</f>
        <v>1.5719731408831592</v>
      </c>
      <c r="CJ288" s="981">
        <f t="shared" ref="CJ288:CT289" ca="1" si="1358">+CJ254/CF254*100-100</f>
        <v>1.4529393781291304</v>
      </c>
      <c r="CK288" s="981">
        <f t="shared" ca="1" si="1358"/>
        <v>1.5748353487646511</v>
      </c>
      <c r="CL288" s="981">
        <f t="shared" ca="1" si="1358"/>
        <v>1.9024656081490861</v>
      </c>
      <c r="CM288" s="981">
        <f t="shared" ca="1" si="1358"/>
        <v>2.1559623884492112</v>
      </c>
      <c r="CN288" s="981">
        <f t="shared" ca="1" si="1358"/>
        <v>2.163529197354876</v>
      </c>
      <c r="CO288" s="981">
        <f t="shared" ca="1" si="1358"/>
        <v>2.1516421373374897</v>
      </c>
      <c r="CP288" s="981">
        <f t="shared" ca="1" si="1358"/>
        <v>1.6208115820181916</v>
      </c>
      <c r="CQ288" s="981">
        <f t="shared" ca="1" si="1358"/>
        <v>1.4395052352356998</v>
      </c>
      <c r="CR288" s="981">
        <f t="shared" ca="1" si="1358"/>
        <v>1.5615705973159919</v>
      </c>
      <c r="CS288" s="981">
        <f t="shared" ca="1" si="1358"/>
        <v>1.7084574371841939</v>
      </c>
      <c r="CT288" s="981">
        <f t="shared" ca="1" si="1358"/>
        <v>1.6406021858922344</v>
      </c>
      <c r="CU288" s="981">
        <f t="shared" ref="CU288" ca="1" si="1359">+CU254/CQ254*100-100</f>
        <v>1.6848453001645538</v>
      </c>
      <c r="CV288" s="981">
        <f t="shared" ref="CV288" ca="1" si="1360">+CV254/CR254*100-100</f>
        <v>1.7133598893297659</v>
      </c>
      <c r="CW288" s="981">
        <f t="shared" ref="CW288" ca="1" si="1361">+CW254/CS254*100-100</f>
        <v>1.9609571574295899</v>
      </c>
      <c r="CX288" s="981">
        <f t="shared" ref="CX288" ca="1" si="1362">+CX254/CT254*100-100</f>
        <v>1.8652948619909182</v>
      </c>
      <c r="CY288" s="981">
        <f t="shared" ref="CY288" ca="1" si="1363">+CY254/CU254*100-100</f>
        <v>1.5370953444884918</v>
      </c>
      <c r="CZ288" s="981">
        <f t="shared" ref="CZ288" ca="1" si="1364">+CZ254/CV254*100-100</f>
        <v>1.8320859713326598</v>
      </c>
      <c r="DA288" s="981">
        <f t="shared" ref="DA288" ca="1" si="1365">+DA254/CW254*100-100</f>
        <v>2.2613979957664156</v>
      </c>
      <c r="DB288" s="981">
        <f t="shared" ref="DB288" ca="1" si="1366">+DB254/CX254*100-100</f>
        <v>1.843533274049733</v>
      </c>
    </row>
    <row r="289" spans="1:106">
      <c r="B289" s="715">
        <v>25</v>
      </c>
      <c r="C289" s="724"/>
      <c r="D289" s="766"/>
      <c r="E289" s="767" t="s">
        <v>703</v>
      </c>
      <c r="F289" s="967"/>
      <c r="G289" s="2820"/>
      <c r="H289" s="2820"/>
      <c r="I289" s="2820"/>
      <c r="J289" s="2820"/>
      <c r="K289" s="2820"/>
      <c r="L289" s="2820"/>
      <c r="M289" s="2820"/>
      <c r="N289" s="2820"/>
      <c r="O289" s="2820">
        <f t="shared" ref="O289:BF289" si="1367">+O255/K255*100-100</f>
        <v>1.2700443144958911</v>
      </c>
      <c r="P289" s="2820">
        <f t="shared" si="1367"/>
        <v>1.1517275913870861</v>
      </c>
      <c r="Q289" s="2820">
        <f t="shared" si="1367"/>
        <v>1.1262488646684972</v>
      </c>
      <c r="R289" s="2820">
        <f t="shared" si="1367"/>
        <v>0.93648208469055305</v>
      </c>
      <c r="S289" s="2820">
        <f t="shared" si="1367"/>
        <v>1.1142689583615493</v>
      </c>
      <c r="T289" s="2820">
        <f t="shared" si="1367"/>
        <v>1.1296129612961181</v>
      </c>
      <c r="U289" s="2820">
        <f t="shared" si="1367"/>
        <v>1.3517154661397512</v>
      </c>
      <c r="V289" s="2820">
        <f t="shared" si="1367"/>
        <v>1.1563802608578726</v>
      </c>
      <c r="W289" s="2820">
        <f t="shared" ca="1" si="1367"/>
        <v>1.119835816900121</v>
      </c>
      <c r="X289" s="2820">
        <f t="shared" ca="1" si="1367"/>
        <v>1.1169952383071546</v>
      </c>
      <c r="Y289" s="2820">
        <f t="shared" ca="1" si="1367"/>
        <v>0.8773095839425622</v>
      </c>
      <c r="Z289" s="2820">
        <f t="shared" ca="1" si="1367"/>
        <v>1.0899906952013652</v>
      </c>
      <c r="AA289" s="2820">
        <f t="shared" ca="1" si="1367"/>
        <v>0.63092874476065219</v>
      </c>
      <c r="AB289" s="2820">
        <f t="shared" ca="1" si="1367"/>
        <v>1.3775195845436201</v>
      </c>
      <c r="AC289" s="2820">
        <f t="shared" ca="1" si="1367"/>
        <v>1.0629419774234634</v>
      </c>
      <c r="AD289" s="2820">
        <f t="shared" ca="1" si="1367"/>
        <v>1.4770984001753362</v>
      </c>
      <c r="AE289" s="2820">
        <f t="shared" ca="1" si="1367"/>
        <v>1.5477025605050727</v>
      </c>
      <c r="AF289" s="2820">
        <f t="shared" ca="1" si="1367"/>
        <v>1.8233123507705784</v>
      </c>
      <c r="AG289" s="2820">
        <f t="shared" ca="1" si="1367"/>
        <v>2.2426007214568102</v>
      </c>
      <c r="AH289" s="2820">
        <f t="shared" ca="1" si="1367"/>
        <v>2.673635107118173</v>
      </c>
      <c r="AI289" s="2820">
        <f t="shared" ca="1" si="1367"/>
        <v>2.7675834376753983</v>
      </c>
      <c r="AJ289" s="2820">
        <f t="shared" ca="1" si="1367"/>
        <v>2.1871669153698434</v>
      </c>
      <c r="AK289" s="2820">
        <f t="shared" ca="1" si="1367"/>
        <v>1.9086078639745097</v>
      </c>
      <c r="AL289" s="2820">
        <f t="shared" ca="1" si="1367"/>
        <v>1.3966597955492119</v>
      </c>
      <c r="AM289" s="2820">
        <f t="shared" ca="1" si="1367"/>
        <v>1.3360221830098169</v>
      </c>
      <c r="AN289" s="2820">
        <f t="shared" ca="1" si="1367"/>
        <v>1.8441255006675732</v>
      </c>
      <c r="AO289" s="2820">
        <f t="shared" ca="1" si="1367"/>
        <v>1.6601318094602249</v>
      </c>
      <c r="AP289" s="2820">
        <f t="shared" ca="1" si="1367"/>
        <v>1.8047545948636952</v>
      </c>
      <c r="AQ289" s="2820">
        <f t="shared" ca="1" si="1367"/>
        <v>1.662520729684914</v>
      </c>
      <c r="AR289" s="2820">
        <f t="shared" ca="1" si="1367"/>
        <v>1.4174518639901663</v>
      </c>
      <c r="AS289" s="2820">
        <f t="shared" ca="1" si="1367"/>
        <v>1.3704250779583305</v>
      </c>
      <c r="AT289" s="2820">
        <f t="shared" ca="1" si="1367"/>
        <v>1.2062922813595094</v>
      </c>
      <c r="AU289" s="2820">
        <f t="shared" ca="1" si="1367"/>
        <v>1.3539415195138673</v>
      </c>
      <c r="AV289" s="2820">
        <f t="shared" ca="1" si="1367"/>
        <v>1.2885765067054393</v>
      </c>
      <c r="AW289" s="2820">
        <f t="shared" ca="1" si="1367"/>
        <v>1.2668987290536506</v>
      </c>
      <c r="AX289" s="2820">
        <f t="shared" ca="1" si="1367"/>
        <v>1.5945880647499422</v>
      </c>
      <c r="AY289" s="2820">
        <f t="shared" ca="1" si="1367"/>
        <v>1.3559731219571205</v>
      </c>
      <c r="AZ289" s="2820">
        <f t="shared" ca="1" si="1367"/>
        <v>1.643070787637086</v>
      </c>
      <c r="BA289" s="2820">
        <f t="shared" ca="1" si="1367"/>
        <v>1.8625844358287793</v>
      </c>
      <c r="BB289" s="2820">
        <f t="shared" ca="1" si="1367"/>
        <v>1.589377724930614</v>
      </c>
      <c r="BC289" s="2820">
        <f t="shared" ca="1" si="1367"/>
        <v>1.7864231838030946</v>
      </c>
      <c r="BD289" s="2820">
        <f t="shared" ca="1" si="1367"/>
        <v>1.863695217169564</v>
      </c>
      <c r="BE289" s="2820">
        <f t="shared" ca="1" si="1367"/>
        <v>1.7932116931528554</v>
      </c>
      <c r="BF289" s="2820">
        <f t="shared" ca="1" si="1367"/>
        <v>2.1614451250438975</v>
      </c>
      <c r="BG289" s="2820">
        <f t="shared" ca="1" si="1352"/>
        <v>2.5117004680187449</v>
      </c>
      <c r="BH289" s="2820">
        <f t="shared" ca="1" si="1352"/>
        <v>2.5190663277097229</v>
      </c>
      <c r="BI289" s="2820">
        <f t="shared" ca="1" si="1352"/>
        <v>2.8987741885745208</v>
      </c>
      <c r="BJ289" s="2820">
        <f t="shared" ca="1" si="1352"/>
        <v>2.9253389345044667</v>
      </c>
      <c r="BK289" s="2820">
        <f t="shared" ca="1" si="1353"/>
        <v>2.3436311063765203</v>
      </c>
      <c r="BL289" s="2820">
        <f t="shared" ca="1" si="1353"/>
        <v>2.3782687105500315</v>
      </c>
      <c r="BM289" s="2820">
        <f t="shared" ca="1" si="1353"/>
        <v>1.876826253090556</v>
      </c>
      <c r="BN289" s="2820">
        <f t="shared" ca="1" si="1353"/>
        <v>1.5175689213758403</v>
      </c>
      <c r="BO289" s="2820">
        <f t="shared" ca="1" si="1354"/>
        <v>1.144981412639396</v>
      </c>
      <c r="BP289" s="2820">
        <f t="shared" ca="1" si="1354"/>
        <v>1.0532496605380146</v>
      </c>
      <c r="BQ289" s="2820">
        <f t="shared" ca="1" si="1354"/>
        <v>1.0038610038610045</v>
      </c>
      <c r="BR289" s="2820">
        <f t="shared" ca="1" si="1354"/>
        <v>1.3433976557283671</v>
      </c>
      <c r="BS289" s="2820">
        <f t="shared" ca="1" si="1355"/>
        <v>1.7483028316581652</v>
      </c>
      <c r="BT289" s="2820">
        <f t="shared" ca="1" si="1355"/>
        <v>1.5829250374098649</v>
      </c>
      <c r="BU289" s="2820">
        <f t="shared" ca="1" si="1355"/>
        <v>2.0026857803838283</v>
      </c>
      <c r="BV289" s="2820">
        <f t="shared" ca="1" si="1355"/>
        <v>1.8337791136970623</v>
      </c>
      <c r="BW289" s="2820">
        <f t="shared" ca="1" si="1355"/>
        <v>2.1668102260600932</v>
      </c>
      <c r="BX289" s="2820">
        <f t="shared" ca="1" si="1355"/>
        <v>2.1117064467873519</v>
      </c>
      <c r="BY289" s="2820">
        <f t="shared" ca="1" si="1355"/>
        <v>1.9434794810437808</v>
      </c>
      <c r="BZ289" s="2820">
        <f t="shared" ca="1" si="1355"/>
        <v>2.036000494771244</v>
      </c>
      <c r="CA289" s="2820">
        <f t="shared" ca="1" si="1355"/>
        <v>1.789347554410142</v>
      </c>
      <c r="CB289" s="2820">
        <f t="shared" ca="1" si="1355"/>
        <v>1.7894139604464954</v>
      </c>
      <c r="CC289" s="2820">
        <f t="shared" ca="1" si="1355"/>
        <v>1.8013889361579771</v>
      </c>
      <c r="CD289" s="2820">
        <f t="shared" ca="1" si="1355"/>
        <v>1.7732405504951885</v>
      </c>
      <c r="CE289" s="2820">
        <f t="shared" ca="1" si="1355"/>
        <v>1.5872436680138549</v>
      </c>
      <c r="CF289" s="2820">
        <f t="shared" ca="1" si="1355"/>
        <v>1.7684838496145261</v>
      </c>
      <c r="CG289" s="2820">
        <f t="shared" ca="1" si="1355"/>
        <v>1.610460228067609</v>
      </c>
      <c r="CH289" s="2820">
        <f t="shared" ca="1" si="1355"/>
        <v>1.3189960026961671</v>
      </c>
      <c r="CI289" s="2820">
        <f t="shared" ca="1" si="1357"/>
        <v>1.5719731408831592</v>
      </c>
      <c r="CJ289" s="2820">
        <f t="shared" ca="1" si="1358"/>
        <v>1.4529393781291304</v>
      </c>
      <c r="CK289" s="2820">
        <f t="shared" ca="1" si="1358"/>
        <v>1.5748353487646511</v>
      </c>
      <c r="CL289" s="2820">
        <f t="shared" ca="1" si="1358"/>
        <v>1.9024656081490861</v>
      </c>
      <c r="CM289" s="2820">
        <f t="shared" ca="1" si="1358"/>
        <v>2.1559623884492112</v>
      </c>
      <c r="CN289" s="2820">
        <f t="shared" ca="1" si="1358"/>
        <v>2.163529197354876</v>
      </c>
      <c r="CO289" s="2820">
        <f t="shared" ca="1" si="1358"/>
        <v>2.1516421373374897</v>
      </c>
      <c r="CP289" s="2820">
        <f t="shared" ca="1" si="1358"/>
        <v>1.6208115820181916</v>
      </c>
      <c r="CQ289" s="2820">
        <f t="shared" ca="1" si="1358"/>
        <v>1.4395052352356998</v>
      </c>
      <c r="CR289" s="2820">
        <f t="shared" ca="1" si="1358"/>
        <v>1.5615705973159919</v>
      </c>
      <c r="CS289" s="2820">
        <f t="shared" ca="1" si="1358"/>
        <v>1.7084574371841939</v>
      </c>
      <c r="CT289" s="2820">
        <f t="shared" ca="1" si="1358"/>
        <v>1.6406021858922344</v>
      </c>
      <c r="CU289" s="3785">
        <f t="shared" ref="CU289:CX289" ca="1" si="1368">+CU288</f>
        <v>1.6848453001645538</v>
      </c>
      <c r="CV289" s="3785">
        <f t="shared" ca="1" si="1368"/>
        <v>1.7133598893297659</v>
      </c>
      <c r="CW289" s="3785">
        <f t="shared" ca="1" si="1368"/>
        <v>1.9609571574295899</v>
      </c>
      <c r="CX289" s="3785">
        <f t="shared" ca="1" si="1368"/>
        <v>1.8652948619909182</v>
      </c>
      <c r="CY289" s="3785">
        <f t="shared" ref="CY289:DB289" ca="1" si="1369">+CY288</f>
        <v>1.5370953444884918</v>
      </c>
      <c r="CZ289" s="3785">
        <f t="shared" ca="1" si="1369"/>
        <v>1.8320859713326598</v>
      </c>
      <c r="DA289" s="3785">
        <f t="shared" ca="1" si="1369"/>
        <v>2.2613979957664156</v>
      </c>
      <c r="DB289" s="3785">
        <f t="shared" ca="1" si="1369"/>
        <v>1.843533274049733</v>
      </c>
    </row>
    <row r="290" spans="1:106" s="1044" customFormat="1" ht="10.199999999999999">
      <c r="A290" s="723"/>
      <c r="B290" s="723"/>
      <c r="C290" s="1048"/>
      <c r="D290" s="1049"/>
      <c r="E290" s="1050" t="s">
        <v>1963</v>
      </c>
      <c r="F290" s="1049"/>
      <c r="G290" s="1051"/>
      <c r="H290" s="1051"/>
      <c r="I290" s="1051"/>
      <c r="J290" s="1051"/>
      <c r="K290" s="2858"/>
      <c r="L290" s="2858"/>
      <c r="M290" s="2858"/>
      <c r="N290" s="2858"/>
      <c r="O290" s="2858"/>
      <c r="P290" s="2858"/>
      <c r="Q290" s="2858"/>
      <c r="R290" s="2858">
        <f t="shared" ref="R290:AT290" ca="1" si="1370">+R289-R288</f>
        <v>6.6972667248421658E-3</v>
      </c>
      <c r="S290" s="2858">
        <f t="shared" ca="1" si="1370"/>
        <v>-7.8889661073162642E-3</v>
      </c>
      <c r="T290" s="2858">
        <f t="shared" ca="1" si="1370"/>
        <v>-2.2915705482091653E-3</v>
      </c>
      <c r="U290" s="2858">
        <f t="shared" ca="1" si="1370"/>
        <v>1.3783216423775002E-3</v>
      </c>
      <c r="V290" s="2858">
        <f t="shared" ca="1" si="1370"/>
        <v>-7.5259975216965813E-3</v>
      </c>
      <c r="W290" s="2858">
        <f t="shared" ca="1" si="1370"/>
        <v>-2.7035528857766167E-4</v>
      </c>
      <c r="X290" s="2858">
        <f t="shared" ca="1" si="1370"/>
        <v>3.6342899296215592E-3</v>
      </c>
      <c r="Y290" s="2858">
        <f t="shared" ca="1" si="1370"/>
        <v>-6.6197713270526037E-3</v>
      </c>
      <c r="Z290" s="2858">
        <f t="shared" ca="1" si="1370"/>
        <v>2.5355414631604845E-3</v>
      </c>
      <c r="AA290" s="2858">
        <f t="shared" ca="1" si="1370"/>
        <v>3.7281425751700681E-4</v>
      </c>
      <c r="AB290" s="2858">
        <f t="shared" ca="1" si="1370"/>
        <v>-3.68790520836626E-3</v>
      </c>
      <c r="AC290" s="2858">
        <f t="shared" ca="1" si="1370"/>
        <v>-3.2826196177069278E-3</v>
      </c>
      <c r="AD290" s="2858">
        <f t="shared" ca="1" si="1370"/>
        <v>9.4186132253071264E-4</v>
      </c>
      <c r="AE290" s="2858">
        <f t="shared" ca="1" si="1370"/>
        <v>-2.9668475631723368E-3</v>
      </c>
      <c r="AF290" s="2858">
        <f t="shared" ca="1" si="1370"/>
        <v>-4.3622067522619545E-3</v>
      </c>
      <c r="AG290" s="2858">
        <f t="shared" ca="1" si="1370"/>
        <v>-4.8190726290755492E-3</v>
      </c>
      <c r="AH290" s="2858">
        <f t="shared" ca="1" si="1370"/>
        <v>-1.137451089670094E-2</v>
      </c>
      <c r="AI290" s="2858">
        <f t="shared" ca="1" si="1370"/>
        <v>-3.1746483878833942E-3</v>
      </c>
      <c r="AJ290" s="2858">
        <f t="shared" ca="1" si="1370"/>
        <v>-6.3202261493700007E-4</v>
      </c>
      <c r="AK290" s="2858">
        <f t="shared" ca="1" si="1370"/>
        <v>-9.2192602183160943E-4</v>
      </c>
      <c r="AL290" s="2858">
        <f t="shared" ca="1" si="1370"/>
        <v>3.3849788998026042E-3</v>
      </c>
      <c r="AM290" s="2858">
        <f t="shared" ca="1" si="1370"/>
        <v>1.1115317367256239E-3</v>
      </c>
      <c r="AN290" s="2858">
        <f t="shared" ca="1" si="1370"/>
        <v>-3.3883886427474863E-3</v>
      </c>
      <c r="AO290" s="2858">
        <f t="shared" ca="1" si="1370"/>
        <v>1.2006444480192613E-3</v>
      </c>
      <c r="AP290" s="2858">
        <f t="shared" ca="1" si="1370"/>
        <v>-5.5288818289369601E-3</v>
      </c>
      <c r="AQ290" s="2858">
        <f t="shared" ca="1" si="1370"/>
        <v>8.7514186486714607E-4</v>
      </c>
      <c r="AR290" s="2858">
        <f t="shared" ca="1" si="1370"/>
        <v>3.6274878072362071E-3</v>
      </c>
      <c r="AS290" s="2858">
        <f t="shared" ca="1" si="1370"/>
        <v>-1.9249435949149074E-3</v>
      </c>
      <c r="AT290" s="2858">
        <f t="shared" ca="1" si="1370"/>
        <v>2.2011498206353508E-3</v>
      </c>
      <c r="AU290" s="2858">
        <f t="shared" ref="AU290:BF290" ca="1" si="1371">+AU289-AU288</f>
        <v>-3.7886764297780928E-3</v>
      </c>
      <c r="AV290" s="2858">
        <f t="shared" ca="1" si="1371"/>
        <v>-4.6527395081881195E-3</v>
      </c>
      <c r="AW290" s="2858">
        <f t="shared" ca="1" si="1371"/>
        <v>1.8998003669423724E-4</v>
      </c>
      <c r="AX290" s="2858">
        <f t="shared" ca="1" si="1371"/>
        <v>-3.4476333485429222E-3</v>
      </c>
      <c r="AY290" s="2858">
        <f t="shared" ca="1" si="1371"/>
        <v>3.1493610433699359E-3</v>
      </c>
      <c r="AZ290" s="2858">
        <f t="shared" ca="1" si="1371"/>
        <v>7.5167732694580991E-4</v>
      </c>
      <c r="BA290" s="2858">
        <f t="shared" ca="1" si="1371"/>
        <v>2.8746091546594243E-3</v>
      </c>
      <c r="BB290" s="2858">
        <f t="shared" ca="1" si="1371"/>
        <v>3.9779557379375774E-3</v>
      </c>
      <c r="BC290" s="2858">
        <f t="shared" ca="1" si="1371"/>
        <v>-1.8917966413312115E-4</v>
      </c>
      <c r="BD290" s="2858">
        <f t="shared" ca="1" si="1371"/>
        <v>-4.1738098026655734E-4</v>
      </c>
      <c r="BE290" s="2858">
        <f t="shared" ca="1" si="1371"/>
        <v>3.5343990587932694E-4</v>
      </c>
      <c r="BF290" s="2858">
        <f t="shared" ca="1" si="1371"/>
        <v>-2.3609771462815843E-3</v>
      </c>
      <c r="BG290" s="2858">
        <f t="shared" ref="BG290:BN290" ca="1" si="1372">+BG289-BG288</f>
        <v>-4.5109662542401452E-2</v>
      </c>
      <c r="BH290" s="2858">
        <f t="shared" ca="1" si="1372"/>
        <v>-3.162503709182829E-2</v>
      </c>
      <c r="BI290" s="2858">
        <f t="shared" ca="1" si="1372"/>
        <v>-1.5281256322410286E-2</v>
      </c>
      <c r="BJ290" s="2858">
        <f t="shared" ca="1" si="1372"/>
        <v>-3.9224308734162605E-3</v>
      </c>
      <c r="BK290" s="2858">
        <f t="shared" ca="1" si="1372"/>
        <v>3.8651731097019137E-3</v>
      </c>
      <c r="BL290" s="2858">
        <f t="shared" ca="1" si="1372"/>
        <v>-5.1847370568367523E-3</v>
      </c>
      <c r="BM290" s="2858">
        <f t="shared" ca="1" si="1372"/>
        <v>-3.9014539695187977E-3</v>
      </c>
      <c r="BN290" s="2858">
        <f t="shared" ca="1" si="1372"/>
        <v>-4.244348490090033E-4</v>
      </c>
      <c r="BO290" s="2858">
        <f t="shared" ref="BO290:BY290" ca="1" si="1373">+BO289-BO288</f>
        <v>2.9612597027323773E-2</v>
      </c>
      <c r="BP290" s="2858">
        <f t="shared" ca="1" si="1373"/>
        <v>5.3078117166194261E-3</v>
      </c>
      <c r="BQ290" s="2858">
        <f t="shared" ca="1" si="1373"/>
        <v>4.142677492713176E-2</v>
      </c>
      <c r="BR290" s="2858">
        <f t="shared" ca="1" si="1373"/>
        <v>0</v>
      </c>
      <c r="BS290" s="2858">
        <f t="shared" ca="1" si="1373"/>
        <v>0</v>
      </c>
      <c r="BT290" s="2858">
        <f t="shared" ca="1" si="1373"/>
        <v>0</v>
      </c>
      <c r="BU290" s="2858">
        <f t="shared" ca="1" si="1373"/>
        <v>0</v>
      </c>
      <c r="BV290" s="2858">
        <f t="shared" ca="1" si="1373"/>
        <v>0</v>
      </c>
      <c r="BW290" s="2858">
        <f t="shared" ca="1" si="1373"/>
        <v>0</v>
      </c>
      <c r="BX290" s="2858">
        <f t="shared" ca="1" si="1373"/>
        <v>0</v>
      </c>
      <c r="BY290" s="2858">
        <f t="shared" ca="1" si="1373"/>
        <v>0</v>
      </c>
      <c r="BZ290" s="2858">
        <f ca="1">+BZ289-BZ288</f>
        <v>0</v>
      </c>
      <c r="CA290" s="2858">
        <f ca="1">+CA289-CA288</f>
        <v>0</v>
      </c>
      <c r="CB290" s="2858">
        <f t="shared" ref="CB290:CC290" ca="1" si="1374">+CB289-CB288</f>
        <v>0</v>
      </c>
      <c r="CC290" s="2858">
        <f t="shared" ca="1" si="1374"/>
        <v>0</v>
      </c>
      <c r="CD290" s="2858">
        <f ca="1">+CD289-CD288</f>
        <v>0</v>
      </c>
      <c r="CE290" s="2858">
        <f ca="1">+CE289-CE288</f>
        <v>0</v>
      </c>
      <c r="CF290" s="2858">
        <f t="shared" ref="CF290:CG290" ca="1" si="1375">+CF289-CF288</f>
        <v>0</v>
      </c>
      <c r="CG290" s="2858">
        <f t="shared" ca="1" si="1375"/>
        <v>0</v>
      </c>
      <c r="CH290" s="2858">
        <f ca="1">+CH289-CH288</f>
        <v>0</v>
      </c>
      <c r="CI290" s="2858">
        <f ca="1">+CI289-CI288</f>
        <v>0</v>
      </c>
      <c r="CJ290" s="2858">
        <f t="shared" ref="CJ290:CK290" ca="1" si="1376">+CJ289-CJ288</f>
        <v>0</v>
      </c>
      <c r="CK290" s="2858">
        <f t="shared" ca="1" si="1376"/>
        <v>0</v>
      </c>
      <c r="CL290" s="2858">
        <f ca="1">+CL289-CL288</f>
        <v>0</v>
      </c>
      <c r="CM290" s="2858">
        <f ca="1">+CM289-CM288</f>
        <v>0</v>
      </c>
      <c r="CN290" s="2858">
        <f t="shared" ref="CN290:CO290" ca="1" si="1377">+CN289-CN288</f>
        <v>0</v>
      </c>
      <c r="CO290" s="2858">
        <f t="shared" ca="1" si="1377"/>
        <v>0</v>
      </c>
      <c r="CP290" s="2858">
        <f ca="1">+CP289-CP288</f>
        <v>0</v>
      </c>
      <c r="CQ290" s="2858">
        <f ca="1">+CQ289-CQ288</f>
        <v>0</v>
      </c>
      <c r="CR290" s="2858">
        <f t="shared" ref="CR290:CS290" ca="1" si="1378">+CR289-CR288</f>
        <v>0</v>
      </c>
      <c r="CS290" s="2858">
        <f t="shared" ca="1" si="1378"/>
        <v>0</v>
      </c>
      <c r="CT290" s="2858">
        <f ca="1">+CT289-CT288</f>
        <v>0</v>
      </c>
      <c r="CU290" s="2858">
        <f t="shared" ref="CU290:CX290" ca="1" si="1379">+CU289-CU288</f>
        <v>0</v>
      </c>
      <c r="CV290" s="2858">
        <f t="shared" ca="1" si="1379"/>
        <v>0</v>
      </c>
      <c r="CW290" s="2858">
        <f t="shared" ca="1" si="1379"/>
        <v>0</v>
      </c>
      <c r="CX290" s="2858">
        <f t="shared" ca="1" si="1379"/>
        <v>0</v>
      </c>
      <c r="CY290" s="2858">
        <f t="shared" ref="CY290:DB290" ca="1" si="1380">+CY289-CY288</f>
        <v>0</v>
      </c>
      <c r="CZ290" s="2858">
        <f t="shared" ca="1" si="1380"/>
        <v>0</v>
      </c>
      <c r="DA290" s="2858">
        <f t="shared" ca="1" si="1380"/>
        <v>0</v>
      </c>
      <c r="DB290" s="2858">
        <f t="shared" ca="1" si="1380"/>
        <v>0</v>
      </c>
    </row>
    <row r="291" spans="1:106">
      <c r="O291" s="2826"/>
      <c r="P291" s="2826"/>
      <c r="Q291" s="2826"/>
      <c r="R291" s="2826"/>
      <c r="S291" s="2826"/>
      <c r="T291" s="2826"/>
      <c r="U291" s="2826"/>
      <c r="V291" s="2826"/>
      <c r="W291" s="2826"/>
      <c r="X291" s="2826"/>
      <c r="Y291" s="2826"/>
      <c r="Z291" s="2826"/>
      <c r="AA291" s="2826"/>
      <c r="AB291" s="2826"/>
      <c r="AC291" s="2826"/>
      <c r="AD291" s="2826"/>
      <c r="AE291" s="2826"/>
      <c r="AF291" s="2826"/>
      <c r="AG291" s="2826"/>
      <c r="AH291" s="2826"/>
      <c r="AI291" s="2826"/>
      <c r="AJ291" s="2826"/>
      <c r="AK291" s="2826"/>
      <c r="AL291" s="2826"/>
      <c r="AM291" s="2826"/>
      <c r="AN291" s="2826"/>
      <c r="AO291" s="2826"/>
      <c r="AP291" s="2826"/>
      <c r="AQ291" s="2826"/>
      <c r="AR291" s="2826"/>
      <c r="AS291" s="2826"/>
      <c r="AT291" s="2826"/>
      <c r="AU291" s="2826"/>
      <c r="AV291" s="2826"/>
      <c r="AW291" s="2826"/>
      <c r="AX291" s="2826"/>
      <c r="AY291" s="2826"/>
      <c r="AZ291" s="2826"/>
      <c r="BA291" s="2826"/>
      <c r="BB291" s="2826"/>
      <c r="BC291" s="2826"/>
      <c r="BD291" s="2826"/>
      <c r="BE291" s="2826"/>
      <c r="BF291" s="2826"/>
      <c r="BG291" s="2826"/>
      <c r="BH291" s="2826"/>
      <c r="BI291" s="2826"/>
      <c r="BJ291" s="2826"/>
      <c r="BK291" s="2826"/>
      <c r="BL291" s="2826"/>
      <c r="BM291" s="2826"/>
      <c r="BN291" s="2826"/>
      <c r="BO291" s="749"/>
      <c r="BS291" s="749"/>
      <c r="BW291" s="749"/>
      <c r="CA291" s="749"/>
      <c r="CE291" s="753"/>
      <c r="CF291" s="753"/>
      <c r="CG291" s="753"/>
      <c r="CH291" s="753"/>
      <c r="CI291" s="753"/>
      <c r="CJ291" s="1602"/>
      <c r="CK291" s="753"/>
      <c r="CL291" s="753"/>
      <c r="CM291" s="753"/>
      <c r="CN291" s="1602"/>
      <c r="CO291" s="753"/>
      <c r="CP291" s="753"/>
      <c r="CQ291" s="753"/>
      <c r="CR291" s="1602"/>
      <c r="CS291" s="753"/>
      <c r="CT291" s="753"/>
      <c r="CU291" s="749"/>
      <c r="CY291" s="749"/>
    </row>
    <row r="292" spans="1:106" s="749" customFormat="1" ht="12.75" customHeight="1">
      <c r="A292" s="714"/>
      <c r="B292" s="714"/>
      <c r="C292" s="1456"/>
      <c r="D292" s="790"/>
      <c r="E292" s="791" t="s">
        <v>1810</v>
      </c>
      <c r="F292" s="792"/>
      <c r="G292" s="1484" t="s">
        <v>364</v>
      </c>
      <c r="H292" s="1485" t="s">
        <v>671</v>
      </c>
      <c r="I292" s="1485" t="s">
        <v>672</v>
      </c>
      <c r="J292" s="1485" t="s">
        <v>673</v>
      </c>
      <c r="K292" s="1485" t="s">
        <v>364</v>
      </c>
      <c r="L292" s="1485" t="s">
        <v>671</v>
      </c>
      <c r="M292" s="1485" t="s">
        <v>672</v>
      </c>
      <c r="N292" s="1485" t="s">
        <v>673</v>
      </c>
      <c r="O292" s="1485" t="s">
        <v>364</v>
      </c>
      <c r="P292" s="1485" t="s">
        <v>671</v>
      </c>
      <c r="Q292" s="1485" t="s">
        <v>672</v>
      </c>
      <c r="R292" s="1485" t="s">
        <v>673</v>
      </c>
      <c r="S292" s="1485" t="s">
        <v>364</v>
      </c>
      <c r="T292" s="1485" t="s">
        <v>671</v>
      </c>
      <c r="U292" s="1485" t="s">
        <v>672</v>
      </c>
      <c r="V292" s="1485" t="s">
        <v>673</v>
      </c>
      <c r="W292" s="1485" t="s">
        <v>364</v>
      </c>
      <c r="X292" s="1485" t="s">
        <v>671</v>
      </c>
      <c r="Y292" s="1485" t="s">
        <v>672</v>
      </c>
      <c r="Z292" s="1485" t="s">
        <v>673</v>
      </c>
      <c r="AA292" s="1485" t="s">
        <v>364</v>
      </c>
      <c r="AB292" s="1485" t="s">
        <v>671</v>
      </c>
      <c r="AC292" s="1485" t="s">
        <v>672</v>
      </c>
      <c r="AD292" s="1485" t="s">
        <v>673</v>
      </c>
      <c r="AE292" s="1485" t="s">
        <v>364</v>
      </c>
      <c r="AF292" s="1485" t="s">
        <v>671</v>
      </c>
      <c r="AG292" s="1485" t="s">
        <v>672</v>
      </c>
      <c r="AH292" s="1485" t="s">
        <v>673</v>
      </c>
      <c r="AI292" s="1485" t="s">
        <v>364</v>
      </c>
      <c r="AJ292" s="1485" t="s">
        <v>671</v>
      </c>
      <c r="AK292" s="1485" t="s">
        <v>672</v>
      </c>
      <c r="AL292" s="1485" t="s">
        <v>673</v>
      </c>
      <c r="AM292" s="1485" t="s">
        <v>364</v>
      </c>
      <c r="AN292" s="1485" t="s">
        <v>671</v>
      </c>
      <c r="AO292" s="1485" t="s">
        <v>672</v>
      </c>
      <c r="AP292" s="1485" t="s">
        <v>673</v>
      </c>
      <c r="AQ292" s="1485" t="s">
        <v>364</v>
      </c>
      <c r="AR292" s="1485" t="s">
        <v>671</v>
      </c>
      <c r="AS292" s="1485" t="s">
        <v>672</v>
      </c>
      <c r="AT292" s="1485" t="s">
        <v>673</v>
      </c>
      <c r="AU292" s="1485" t="s">
        <v>364</v>
      </c>
      <c r="AV292" s="1485" t="s">
        <v>671</v>
      </c>
      <c r="AW292" s="1485" t="s">
        <v>672</v>
      </c>
      <c r="AX292" s="1485" t="s">
        <v>673</v>
      </c>
      <c r="AY292" s="1485" t="s">
        <v>364</v>
      </c>
      <c r="AZ292" s="1485" t="s">
        <v>671</v>
      </c>
      <c r="BA292" s="1485" t="s">
        <v>672</v>
      </c>
      <c r="BB292" s="1485" t="s">
        <v>673</v>
      </c>
      <c r="BC292" s="1485" t="s">
        <v>364</v>
      </c>
      <c r="BD292" s="1485" t="s">
        <v>671</v>
      </c>
      <c r="BE292" s="1485" t="s">
        <v>672</v>
      </c>
      <c r="BF292" s="1485" t="s">
        <v>673</v>
      </c>
      <c r="BG292" s="1485" t="s">
        <v>364</v>
      </c>
      <c r="BH292" s="1485" t="s">
        <v>671</v>
      </c>
      <c r="BI292" s="1485" t="s">
        <v>672</v>
      </c>
      <c r="BJ292" s="1485" t="s">
        <v>673</v>
      </c>
      <c r="BK292" s="1485" t="s">
        <v>364</v>
      </c>
      <c r="BL292" s="1485" t="s">
        <v>671</v>
      </c>
      <c r="BM292" s="1485" t="s">
        <v>672</v>
      </c>
      <c r="BN292" s="1485" t="s">
        <v>673</v>
      </c>
      <c r="BO292" s="1485" t="s">
        <v>364</v>
      </c>
      <c r="BP292" s="1485" t="s">
        <v>671</v>
      </c>
      <c r="BQ292" s="1485" t="s">
        <v>672</v>
      </c>
      <c r="BR292" s="1485" t="s">
        <v>673</v>
      </c>
      <c r="BS292" s="1485" t="s">
        <v>364</v>
      </c>
      <c r="BT292" s="1485" t="s">
        <v>671</v>
      </c>
      <c r="BU292" s="1485" t="s">
        <v>672</v>
      </c>
      <c r="BV292" s="1485" t="s">
        <v>673</v>
      </c>
      <c r="BW292" s="1485" t="s">
        <v>364</v>
      </c>
      <c r="BX292" s="1485" t="s">
        <v>671</v>
      </c>
      <c r="BY292" s="1485" t="s">
        <v>672</v>
      </c>
      <c r="BZ292" s="1485" t="s">
        <v>673</v>
      </c>
      <c r="CA292" s="1485" t="s">
        <v>364</v>
      </c>
      <c r="CB292" s="1485" t="s">
        <v>671</v>
      </c>
      <c r="CC292" s="1485" t="s">
        <v>672</v>
      </c>
      <c r="CD292" s="1485" t="s">
        <v>673</v>
      </c>
      <c r="CE292" s="1485" t="s">
        <v>364</v>
      </c>
      <c r="CF292" s="1485" t="s">
        <v>671</v>
      </c>
      <c r="CG292" s="1485" t="s">
        <v>672</v>
      </c>
      <c r="CH292" s="1485" t="s">
        <v>673</v>
      </c>
      <c r="CI292" s="1485" t="s">
        <v>364</v>
      </c>
      <c r="CJ292" s="1485" t="s">
        <v>671</v>
      </c>
      <c r="CK292" s="1485" t="s">
        <v>672</v>
      </c>
      <c r="CL292" s="1485" t="s">
        <v>673</v>
      </c>
      <c r="CM292" s="1485" t="s">
        <v>364</v>
      </c>
      <c r="CN292" s="1485" t="s">
        <v>671</v>
      </c>
      <c r="CO292" s="1485" t="s">
        <v>672</v>
      </c>
      <c r="CP292" s="1485" t="s">
        <v>673</v>
      </c>
      <c r="CQ292" s="1485" t="s">
        <v>364</v>
      </c>
      <c r="CR292" s="1485" t="s">
        <v>671</v>
      </c>
      <c r="CS292" s="1485" t="s">
        <v>672</v>
      </c>
      <c r="CT292" s="1485" t="s">
        <v>673</v>
      </c>
      <c r="CU292" s="1485" t="s">
        <v>364</v>
      </c>
      <c r="CV292" s="1485" t="s">
        <v>671</v>
      </c>
      <c r="CW292" s="1485" t="s">
        <v>672</v>
      </c>
      <c r="CX292" s="1485" t="s">
        <v>673</v>
      </c>
      <c r="CY292" s="1485" t="s">
        <v>364</v>
      </c>
      <c r="CZ292" s="1485" t="s">
        <v>671</v>
      </c>
      <c r="DA292" s="1485" t="s">
        <v>672</v>
      </c>
      <c r="DB292" s="1485" t="s">
        <v>673</v>
      </c>
    </row>
    <row r="293" spans="1:106" s="749" customFormat="1" ht="12.75" customHeight="1">
      <c r="B293" s="714"/>
      <c r="C293" s="742"/>
      <c r="D293" s="739"/>
      <c r="E293" s="787" t="str">
        <f>+E280</f>
        <v>Non-energy industrial goods</v>
      </c>
      <c r="F293" s="782"/>
      <c r="G293" s="2853"/>
      <c r="H293" s="2853"/>
      <c r="I293" s="2853"/>
      <c r="J293" s="2853"/>
      <c r="K293" s="2853"/>
      <c r="L293" s="2853"/>
      <c r="M293" s="2853"/>
      <c r="N293" s="2853"/>
      <c r="O293" s="2853"/>
      <c r="P293" s="2853"/>
      <c r="Q293" s="2853"/>
      <c r="R293" s="3820">
        <f>+R259/N259*100-100</f>
        <v>0.12091426788360593</v>
      </c>
      <c r="S293" s="3820"/>
      <c r="T293" s="3820"/>
      <c r="U293" s="3820"/>
      <c r="V293" s="3820">
        <f>+V259/R259*100-100</f>
        <v>0.67299076707310235</v>
      </c>
      <c r="W293" s="3820"/>
      <c r="X293" s="3820"/>
      <c r="Y293" s="3820"/>
      <c r="Z293" s="3820">
        <f ca="1">+Z259/V259*100-100</f>
        <v>0.81844302340205388</v>
      </c>
      <c r="AA293" s="3820"/>
      <c r="AB293" s="3820"/>
      <c r="AC293" s="3820"/>
      <c r="AD293" s="3820">
        <f ca="1">+AD259/Z259*100-100</f>
        <v>2.6868049091731905E-2</v>
      </c>
      <c r="AE293" s="3820"/>
      <c r="AF293" s="3820"/>
      <c r="AG293" s="3820"/>
      <c r="AH293" s="3820">
        <f ca="1">+AH259/AD259*100-100</f>
        <v>1.9819456835602267</v>
      </c>
      <c r="AI293" s="3820"/>
      <c r="AJ293" s="3820"/>
      <c r="AK293" s="3820"/>
      <c r="AL293" s="3820">
        <f ca="1">+AL259/AH259*100-100</f>
        <v>1.6602857761012899</v>
      </c>
      <c r="AM293" s="3820"/>
      <c r="AN293" s="3820"/>
      <c r="AO293" s="3820"/>
      <c r="AP293" s="3820">
        <f ca="1">+AP259/AL259*100-100</f>
        <v>0.99193130505585714</v>
      </c>
      <c r="AQ293" s="3820"/>
      <c r="AR293" s="3820"/>
      <c r="AS293" s="3820"/>
      <c r="AT293" s="3820">
        <f ca="1">+AT259/AP259*100-100</f>
        <v>0.30693395880673791</v>
      </c>
      <c r="AU293" s="3820"/>
      <c r="AV293" s="3820"/>
      <c r="AW293" s="3820"/>
      <c r="AX293" s="3820">
        <f ca="1">+AX259/AT259*100-100</f>
        <v>0.26854465239907199</v>
      </c>
      <c r="AY293" s="3820"/>
      <c r="AZ293" s="3820"/>
      <c r="BA293" s="3820"/>
      <c r="BB293" s="3820">
        <f ca="1">+BB259/AX259*100-100</f>
        <v>0.91643664653422263</v>
      </c>
      <c r="BC293" s="3820"/>
      <c r="BD293" s="3820"/>
      <c r="BE293" s="3820"/>
      <c r="BF293" s="3820">
        <f ca="1">+BF259/BB259*100-100</f>
        <v>0.86749293638686709</v>
      </c>
      <c r="BG293" s="2945"/>
      <c r="BH293" s="2945"/>
      <c r="BI293" s="2945"/>
      <c r="BJ293" s="3820">
        <f ca="1">+BJ259/BF259*100-100</f>
        <v>1.3030248791838375</v>
      </c>
      <c r="BK293" s="2945"/>
      <c r="BL293" s="2945"/>
      <c r="BM293" s="2945"/>
      <c r="BN293" s="3820">
        <f ca="1">+BN259/BJ259*100-100</f>
        <v>1.4408636347573776</v>
      </c>
      <c r="BO293" s="2866"/>
      <c r="BP293" s="2866"/>
      <c r="BQ293" s="2866"/>
      <c r="BR293" s="2945">
        <f ca="1">+BR259/BN259*100-100</f>
        <v>0.79510916422098887</v>
      </c>
      <c r="BS293" s="2866"/>
      <c r="BT293" s="2866"/>
      <c r="BU293" s="2866"/>
      <c r="BV293" s="2945">
        <f ca="1">+BV259/BR259*100-100</f>
        <v>0.95818213236564986</v>
      </c>
      <c r="BW293" s="2866"/>
      <c r="BX293" s="2866"/>
      <c r="BY293" s="2866"/>
      <c r="BZ293" s="2945">
        <f ca="1">+BZ259/BV259*100-100</f>
        <v>0.89260498592199156</v>
      </c>
      <c r="CA293" s="2866"/>
      <c r="CB293" s="2866"/>
      <c r="CC293" s="2866"/>
      <c r="CD293" s="2945">
        <f ca="1">+CD259/BZ259*100-100</f>
        <v>0.98140671122723688</v>
      </c>
      <c r="CE293" s="2866"/>
      <c r="CF293" s="2866"/>
      <c r="CG293" s="2866"/>
      <c r="CH293" s="2945">
        <f ca="1">+CH259/CD259*100-100</f>
        <v>0.3351561121891109</v>
      </c>
      <c r="CI293" s="2866"/>
      <c r="CJ293" s="2866"/>
      <c r="CK293" s="2866"/>
      <c r="CL293" s="2945">
        <f ca="1">+CL259/CH259*100-100</f>
        <v>0.46128859419998491</v>
      </c>
      <c r="CM293" s="2866"/>
      <c r="CN293" s="2866"/>
      <c r="CO293" s="2866"/>
      <c r="CP293" s="2945">
        <f ca="1">+CP259/CL259*100-100</f>
        <v>1.0091750764589733</v>
      </c>
      <c r="CQ293" s="2866"/>
      <c r="CR293" s="2866"/>
      <c r="CS293" s="2866"/>
      <c r="CT293" s="2945">
        <f ca="1">+CT259/CP259*100-100</f>
        <v>0.80933916343535373</v>
      </c>
      <c r="CU293" s="2866"/>
      <c r="CV293" s="2866"/>
      <c r="CW293" s="2866"/>
      <c r="CX293" s="2945">
        <f ca="1">+CX259/CT259*100-100</f>
        <v>1.0066646136511253</v>
      </c>
      <c r="CY293" s="2866"/>
      <c r="CZ293" s="2866"/>
      <c r="DA293" s="2866"/>
      <c r="DB293" s="2945">
        <f ca="1">+DB259/CX259*100-100</f>
        <v>1.0567039356099883</v>
      </c>
    </row>
    <row r="294" spans="1:106">
      <c r="C294" s="975"/>
      <c r="D294" s="724"/>
      <c r="E294" s="221" t="str">
        <f>+E281</f>
        <v>Energy</v>
      </c>
      <c r="F294" s="759"/>
      <c r="G294" s="2854"/>
      <c r="H294" s="2854"/>
      <c r="I294" s="2854"/>
      <c r="J294" s="2854"/>
      <c r="K294" s="2854"/>
      <c r="L294" s="2854"/>
      <c r="M294" s="2854"/>
      <c r="N294" s="2854"/>
      <c r="O294" s="2854"/>
      <c r="P294" s="2854"/>
      <c r="Q294" s="2854"/>
      <c r="R294" s="1062">
        <f>+R260/N260*100-100</f>
        <v>3.1565747560501052</v>
      </c>
      <c r="S294" s="1062"/>
      <c r="T294" s="1062"/>
      <c r="U294" s="1062"/>
      <c r="V294" s="1062">
        <f>+V260/R260*100-100</f>
        <v>-3.5657896575333012</v>
      </c>
      <c r="W294" s="1062"/>
      <c r="X294" s="1062"/>
      <c r="Y294" s="1062"/>
      <c r="Z294" s="1062">
        <f ca="1">+Z260/V260*100-100</f>
        <v>1.9879160206905766</v>
      </c>
      <c r="AA294" s="1062"/>
      <c r="AB294" s="1062"/>
      <c r="AC294" s="1062"/>
      <c r="AD294" s="1062">
        <f ca="1">+AD260/Z260*100-100</f>
        <v>16.320731932546281</v>
      </c>
      <c r="AE294" s="1062"/>
      <c r="AF294" s="1062"/>
      <c r="AG294" s="1062"/>
      <c r="AH294" s="1062">
        <f ca="1">+AH260/AD260*100-100</f>
        <v>1.3764549262918564</v>
      </c>
      <c r="AI294" s="1062"/>
      <c r="AJ294" s="1062"/>
      <c r="AK294" s="1062"/>
      <c r="AL294" s="1062">
        <f ca="1">+AL260/AH260*100-100</f>
        <v>-3.6335598284419888</v>
      </c>
      <c r="AM294" s="1062"/>
      <c r="AN294" s="1062"/>
      <c r="AO294" s="1062"/>
      <c r="AP294" s="1062">
        <f ca="1">+AP260/AL260*100-100</f>
        <v>0.17627644146620014</v>
      </c>
      <c r="AQ294" s="1062"/>
      <c r="AR294" s="1062"/>
      <c r="AS294" s="1062"/>
      <c r="AT294" s="1062">
        <f ca="1">+AT260/AP260*100-100</f>
        <v>6.5981105467433991</v>
      </c>
      <c r="AU294" s="1062"/>
      <c r="AV294" s="1062"/>
      <c r="AW294" s="1062"/>
      <c r="AX294" s="1062">
        <f ca="1">+AX260/AT260*100-100</f>
        <v>12.700196684461915</v>
      </c>
      <c r="AY294" s="1062"/>
      <c r="AZ294" s="1062"/>
      <c r="BA294" s="1062"/>
      <c r="BB294" s="1062">
        <f ca="1">+BB260/AX260*100-100</f>
        <v>7.2727083852738588</v>
      </c>
      <c r="BC294" s="1062"/>
      <c r="BD294" s="1062"/>
      <c r="BE294" s="1062"/>
      <c r="BF294" s="1062">
        <f ca="1">+BF260/BB260*100-100</f>
        <v>0.21885440371856646</v>
      </c>
      <c r="BG294" s="2910"/>
      <c r="BH294" s="2910"/>
      <c r="BI294" s="2910"/>
      <c r="BJ294" s="1062">
        <f ca="1">+BJ260/BF260*100-100</f>
        <v>19.841338860384013</v>
      </c>
      <c r="BK294" s="2910"/>
      <c r="BL294" s="2910"/>
      <c r="BM294" s="2910"/>
      <c r="BN294" s="1062">
        <f ca="1">+BN260/BJ260*100-100</f>
        <v>-13.979439629107048</v>
      </c>
      <c r="BO294" s="1425"/>
      <c r="BP294" s="1425"/>
      <c r="BQ294" s="1425"/>
      <c r="BR294" s="2910">
        <f ca="1">+BR260/BN260*100-100</f>
        <v>9.9740361993495128</v>
      </c>
      <c r="BS294" s="1425"/>
      <c r="BT294" s="1425"/>
      <c r="BU294" s="1425"/>
      <c r="BV294" s="2910">
        <f ca="1">+BV260/BR260*100-100</f>
        <v>17.018103095595265</v>
      </c>
      <c r="BW294" s="1425"/>
      <c r="BX294" s="1425"/>
      <c r="BY294" s="1425"/>
      <c r="BZ294" s="2910">
        <f ca="1">+BZ260/BV260*100-100</f>
        <v>5.994391638442778</v>
      </c>
      <c r="CA294" s="1425"/>
      <c r="CB294" s="1425"/>
      <c r="CC294" s="1425"/>
      <c r="CD294" s="2910">
        <f ca="1">+CD260/BZ260*100-100</f>
        <v>-4.6005840920804104</v>
      </c>
      <c r="CE294" s="1425"/>
      <c r="CF294" s="1425"/>
      <c r="CG294" s="1425"/>
      <c r="CH294" s="2910">
        <f ca="1">+CH260/CD260*100-100</f>
        <v>-6.0462436072894974</v>
      </c>
      <c r="CI294" s="1425"/>
      <c r="CJ294" s="1425"/>
      <c r="CK294" s="1425"/>
      <c r="CL294" s="2910">
        <f ca="1">+CL260/CH260*100-100</f>
        <v>-8.0016253181636898</v>
      </c>
      <c r="CM294" s="1425"/>
      <c r="CN294" s="1425"/>
      <c r="CO294" s="1425"/>
      <c r="CP294" s="2910">
        <f ca="1">+CP260/CL260*100-100</f>
        <v>-0.5983383194859897</v>
      </c>
      <c r="CQ294" s="1425"/>
      <c r="CR294" s="1425"/>
      <c r="CS294" s="1425"/>
      <c r="CT294" s="2910">
        <f ca="1">+CT260/CP260*100-100</f>
        <v>9.8515270663391448</v>
      </c>
      <c r="CU294" s="1425"/>
      <c r="CV294" s="1425"/>
      <c r="CW294" s="1425"/>
      <c r="CX294" s="2910">
        <f ca="1">+CX260/CT260*100-100</f>
        <v>-1.3944334730075525</v>
      </c>
      <c r="CY294" s="1425"/>
      <c r="CZ294" s="1425"/>
      <c r="DA294" s="1425"/>
      <c r="DB294" s="2910">
        <f ca="1">+DB260/CX260*100-100</f>
        <v>-1.3409463064682967</v>
      </c>
    </row>
    <row r="295" spans="1:106">
      <c r="C295" s="975"/>
      <c r="D295" s="724"/>
      <c r="E295" s="221" t="str">
        <f>+E282</f>
        <v>Unprocessed food</v>
      </c>
      <c r="F295" s="759"/>
      <c r="G295" s="2854"/>
      <c r="H295" s="2854"/>
      <c r="I295" s="2854"/>
      <c r="J295" s="2854"/>
      <c r="K295" s="2854"/>
      <c r="L295" s="2854"/>
      <c r="M295" s="2854"/>
      <c r="N295" s="2854"/>
      <c r="O295" s="2854"/>
      <c r="P295" s="2854"/>
      <c r="Q295" s="2854"/>
      <c r="R295" s="1062">
        <f>+R261/N261*100-100</f>
        <v>2.6880443883480467</v>
      </c>
      <c r="S295" s="1062"/>
      <c r="T295" s="1062"/>
      <c r="U295" s="1062"/>
      <c r="V295" s="1062">
        <f>+V261/R261*100-100</f>
        <v>2.1844423891350289</v>
      </c>
      <c r="W295" s="1062"/>
      <c r="X295" s="1062"/>
      <c r="Y295" s="1062"/>
      <c r="Z295" s="1062">
        <f ca="1">+Z261/V261*100-100</f>
        <v>2.6200769349870257E-2</v>
      </c>
      <c r="AA295" s="1062"/>
      <c r="AB295" s="1062"/>
      <c r="AC295" s="1062"/>
      <c r="AD295" s="1062">
        <f ca="1">+AD261/Z261*100-100</f>
        <v>0.23693578921049152</v>
      </c>
      <c r="AE295" s="1062"/>
      <c r="AF295" s="1062"/>
      <c r="AG295" s="1062"/>
      <c r="AH295" s="1062">
        <f ca="1">+AH261/AD261*100-100</f>
        <v>6.9285408846866403</v>
      </c>
      <c r="AI295" s="1062"/>
      <c r="AJ295" s="1062"/>
      <c r="AK295" s="1062"/>
      <c r="AL295" s="1062">
        <f ca="1">+AL261/AH261*100-100</f>
        <v>3.2092511747258783</v>
      </c>
      <c r="AM295" s="1062"/>
      <c r="AN295" s="1062"/>
      <c r="AO295" s="1062"/>
      <c r="AP295" s="1062">
        <f ca="1">+AP261/AL261*100-100</f>
        <v>1.7113335485954337</v>
      </c>
      <c r="AQ295" s="1062"/>
      <c r="AR295" s="1062"/>
      <c r="AS295" s="1062"/>
      <c r="AT295" s="1062">
        <f ca="1">+AT261/AP261*100-100</f>
        <v>0.91534391534391091</v>
      </c>
      <c r="AU295" s="1062"/>
      <c r="AV295" s="1062"/>
      <c r="AW295" s="1062"/>
      <c r="AX295" s="1062">
        <f ca="1">+AX261/AT261*100-100</f>
        <v>1.6872018035966931</v>
      </c>
      <c r="AY295" s="1062"/>
      <c r="AZ295" s="1062"/>
      <c r="BA295" s="1062"/>
      <c r="BB295" s="1062">
        <f ca="1">+BB261/AX261*100-100</f>
        <v>3.2421061315404103</v>
      </c>
      <c r="BC295" s="1062"/>
      <c r="BD295" s="1062"/>
      <c r="BE295" s="1062"/>
      <c r="BF295" s="1062">
        <f ca="1">+BF261/BB261*100-100</f>
        <v>3.0114464931380951</v>
      </c>
      <c r="BG295" s="2910"/>
      <c r="BH295" s="2910"/>
      <c r="BI295" s="2910"/>
      <c r="BJ295" s="1062">
        <f ca="1">+BJ261/BF261*100-100</f>
        <v>2.7711789630864985</v>
      </c>
      <c r="BK295" s="2910"/>
      <c r="BL295" s="2910"/>
      <c r="BM295" s="2910"/>
      <c r="BN295" s="1062">
        <f ca="1">+BN261/BJ261*100-100</f>
        <v>0.35757753016764582</v>
      </c>
      <c r="BO295" s="1425"/>
      <c r="BP295" s="1425"/>
      <c r="BQ295" s="1425"/>
      <c r="BR295" s="2910">
        <f ca="1">+BR261/BN261*100-100</f>
        <v>3.5263702171665017</v>
      </c>
      <c r="BS295" s="1425"/>
      <c r="BT295" s="1425"/>
      <c r="BU295" s="1425"/>
      <c r="BV295" s="2910">
        <f ca="1">+BV261/BR261*100-100</f>
        <v>0.22702300197056502</v>
      </c>
      <c r="BW295" s="1425"/>
      <c r="BX295" s="1425"/>
      <c r="BY295" s="1425"/>
      <c r="BZ295" s="2910">
        <f ca="1">+BZ261/BV261*100-100</f>
        <v>3.395819554049524</v>
      </c>
      <c r="CA295" s="1425"/>
      <c r="CB295" s="1425"/>
      <c r="CC295" s="1425"/>
      <c r="CD295" s="2910">
        <f ca="1">+CD261/BZ261*100-100</f>
        <v>4.361236954407218</v>
      </c>
      <c r="CE295" s="1425"/>
      <c r="CF295" s="1425"/>
      <c r="CG295" s="1425"/>
      <c r="CH295" s="2910">
        <f ca="1">+CH261/CD261*100-100</f>
        <v>-1.324141868744519</v>
      </c>
      <c r="CI295" s="1425"/>
      <c r="CJ295" s="1425"/>
      <c r="CK295" s="1425"/>
      <c r="CL295" s="2910">
        <f ca="1">+CL261/CH261*100-100</f>
        <v>2.111998910814421</v>
      </c>
      <c r="CM295" s="1425"/>
      <c r="CN295" s="1425"/>
      <c r="CO295" s="1425"/>
      <c r="CP295" s="2910">
        <f ca="1">+CP261/CL261*100-100</f>
        <v>2.5624786460112716</v>
      </c>
      <c r="CQ295" s="1425"/>
      <c r="CR295" s="1425"/>
      <c r="CS295" s="1425"/>
      <c r="CT295" s="2910">
        <f ca="1">+CT261/CP261*100-100</f>
        <v>6.9063017972652574E-2</v>
      </c>
      <c r="CU295" s="1425"/>
      <c r="CV295" s="1425"/>
      <c r="CW295" s="1425"/>
      <c r="CX295" s="2910">
        <f ca="1">+CX261/CT261*100-100</f>
        <v>2.3131552797384103</v>
      </c>
      <c r="CY295" s="1425"/>
      <c r="CZ295" s="1425"/>
      <c r="DA295" s="1425"/>
      <c r="DB295" s="2910">
        <f ca="1">+DB261/CX261*100-100</f>
        <v>2.4249434601467215</v>
      </c>
    </row>
    <row r="296" spans="1:106">
      <c r="C296" s="975"/>
      <c r="D296" s="724"/>
      <c r="E296" s="221" t="str">
        <f>+E283</f>
        <v>Processed food (incl. Alcohol and tobacco)</v>
      </c>
      <c r="F296" s="759"/>
      <c r="G296" s="2854"/>
      <c r="H296" s="2854"/>
      <c r="I296" s="2854"/>
      <c r="J296" s="2854"/>
      <c r="K296" s="2854"/>
      <c r="L296" s="2854"/>
      <c r="M296" s="2854"/>
      <c r="N296" s="2854"/>
      <c r="O296" s="2854"/>
      <c r="P296" s="2854"/>
      <c r="Q296" s="2854"/>
      <c r="R296" s="1062">
        <f>+R262/N262*100-100</f>
        <v>2.2505497978587528</v>
      </c>
      <c r="S296" s="1062"/>
      <c r="T296" s="1062"/>
      <c r="U296" s="1062"/>
      <c r="V296" s="1062">
        <f>+V262/R262*100-100</f>
        <v>1.4038070216108878</v>
      </c>
      <c r="W296" s="1062"/>
      <c r="X296" s="1062"/>
      <c r="Y296" s="1062"/>
      <c r="Z296" s="1062">
        <f ca="1">+Z262/V262*100-100</f>
        <v>0.62741312741314914</v>
      </c>
      <c r="AA296" s="1062"/>
      <c r="AB296" s="1062"/>
      <c r="AC296" s="1062"/>
      <c r="AD296" s="1062">
        <f ca="1">+AD262/Z262*100-100</f>
        <v>1.2962261769531551</v>
      </c>
      <c r="AE296" s="1062"/>
      <c r="AF296" s="1062"/>
      <c r="AG296" s="1062"/>
      <c r="AH296" s="1062">
        <f ca="1">+AH262/AD262*100-100</f>
        <v>2.1692811841957962</v>
      </c>
      <c r="AI296" s="1062"/>
      <c r="AJ296" s="1062"/>
      <c r="AK296" s="1062"/>
      <c r="AL296" s="1062">
        <f ca="1">+AL262/AH262*100-100</f>
        <v>1.4854020829776005</v>
      </c>
      <c r="AM296" s="1062"/>
      <c r="AN296" s="1062"/>
      <c r="AO296" s="1062"/>
      <c r="AP296" s="1062">
        <f ca="1">+AP262/AL262*100-100</f>
        <v>2.7518746394923994</v>
      </c>
      <c r="AQ296" s="1062"/>
      <c r="AR296" s="1062"/>
      <c r="AS296" s="1062"/>
      <c r="AT296" s="1062">
        <f ca="1">+AT262/AP262*100-100</f>
        <v>2.219727270600913</v>
      </c>
      <c r="AU296" s="1062"/>
      <c r="AV296" s="1062"/>
      <c r="AW296" s="1062"/>
      <c r="AX296" s="1062">
        <f ca="1">+AX262/AT262*100-100</f>
        <v>2.0296553933458483</v>
      </c>
      <c r="AY296" s="1062"/>
      <c r="AZ296" s="1062"/>
      <c r="BA296" s="1062"/>
      <c r="BB296" s="1062">
        <f ca="1">+BB262/AX262*100-100</f>
        <v>2.052075624032824</v>
      </c>
      <c r="BC296" s="1062"/>
      <c r="BD296" s="1062"/>
      <c r="BE296" s="1062"/>
      <c r="BF296" s="1062">
        <f ca="1">+BF262/BB262*100-100</f>
        <v>4.6600298874824233</v>
      </c>
      <c r="BG296" s="2910"/>
      <c r="BH296" s="2910"/>
      <c r="BI296" s="2910"/>
      <c r="BJ296" s="1062">
        <f ca="1">+BJ262/BF262*100-100</f>
        <v>7.764910917699936</v>
      </c>
      <c r="BK296" s="2910"/>
      <c r="BL296" s="2910"/>
      <c r="BM296" s="2910"/>
      <c r="BN296" s="1062">
        <f ca="1">+BN262/BJ262*100-100</f>
        <v>1.6669102245603824</v>
      </c>
      <c r="BO296" s="1425"/>
      <c r="BP296" s="1425"/>
      <c r="BQ296" s="1425"/>
      <c r="BR296" s="2910">
        <f ca="1">+BR262/BN262*100-100</f>
        <v>1.0435432557782889</v>
      </c>
      <c r="BS296" s="1425"/>
      <c r="BT296" s="1425"/>
      <c r="BU296" s="1425"/>
      <c r="BV296" s="2910">
        <f ca="1">+BV262/BR262*100-100</f>
        <v>3.0935558822134936</v>
      </c>
      <c r="BW296" s="1425"/>
      <c r="BX296" s="1425"/>
      <c r="BY296" s="1425"/>
      <c r="BZ296" s="2910">
        <f ca="1">+BZ262/BV262*100-100</f>
        <v>3.0660399054338541</v>
      </c>
      <c r="CA296" s="1425"/>
      <c r="CB296" s="1425"/>
      <c r="CC296" s="1425"/>
      <c r="CD296" s="2910">
        <f ca="1">+CD262/BZ262*100-100</f>
        <v>3.2140307033202475</v>
      </c>
      <c r="CE296" s="1425"/>
      <c r="CF296" s="1425"/>
      <c r="CG296" s="1425"/>
      <c r="CH296" s="2910">
        <f ca="1">+CH262/CD262*100-100</f>
        <v>2.1419738673999547</v>
      </c>
      <c r="CI296" s="1425"/>
      <c r="CJ296" s="1425"/>
      <c r="CK296" s="1425"/>
      <c r="CL296" s="2910">
        <f ca="1">+CL262/CH262*100-100</f>
        <v>1.5924753212888731</v>
      </c>
      <c r="CM296" s="1425"/>
      <c r="CN296" s="1425"/>
      <c r="CO296" s="1425"/>
      <c r="CP296" s="2910">
        <f ca="1">+CP262/CL262*100-100</f>
        <v>3.4525287710730908</v>
      </c>
      <c r="CQ296" s="1425"/>
      <c r="CR296" s="1425"/>
      <c r="CS296" s="1425"/>
      <c r="CT296" s="2910">
        <f ca="1">+CT262/CP262*100-100</f>
        <v>2.1435130737381485</v>
      </c>
      <c r="CU296" s="1425"/>
      <c r="CV296" s="1425"/>
      <c r="CW296" s="1425"/>
      <c r="CX296" s="2910">
        <f ca="1">+CX262/CT262*100-100</f>
        <v>2.9433989278162045</v>
      </c>
      <c r="CY296" s="1425"/>
      <c r="CZ296" s="1425"/>
      <c r="DA296" s="1425"/>
      <c r="DB296" s="2910">
        <f ca="1">+DB262/CX262*100-100</f>
        <v>2.4890715600657956</v>
      </c>
    </row>
    <row r="297" spans="1:106">
      <c r="C297" s="740"/>
      <c r="D297" s="741"/>
      <c r="E297" s="784" t="str">
        <f>+E284</f>
        <v>Services</v>
      </c>
      <c r="F297" s="976"/>
      <c r="G297" s="2855"/>
      <c r="H297" s="2855"/>
      <c r="I297" s="2855"/>
      <c r="J297" s="2855"/>
      <c r="K297" s="2855"/>
      <c r="L297" s="2855"/>
      <c r="M297" s="2855"/>
      <c r="N297" s="2855"/>
      <c r="O297" s="2855"/>
      <c r="P297" s="2855"/>
      <c r="Q297" s="2855"/>
      <c r="R297" s="3821">
        <f>+R263/N263*100-100</f>
        <v>1.6746881445830439</v>
      </c>
      <c r="S297" s="3821"/>
      <c r="T297" s="3821"/>
      <c r="U297" s="3821"/>
      <c r="V297" s="3821">
        <f>+V263/R263*100-100</f>
        <v>1.6507269477853441</v>
      </c>
      <c r="W297" s="3821"/>
      <c r="X297" s="3821"/>
      <c r="Y297" s="3821"/>
      <c r="Z297" s="3821">
        <f ca="1">+Z263/V263*100-100</f>
        <v>1.5217572078546766</v>
      </c>
      <c r="AA297" s="3821"/>
      <c r="AB297" s="3821"/>
      <c r="AC297" s="3821"/>
      <c r="AD297" s="3821">
        <f ca="1">+AD263/Z263*100-100</f>
        <v>2.266557453779555</v>
      </c>
      <c r="AE297" s="3821"/>
      <c r="AF297" s="3821"/>
      <c r="AG297" s="3821"/>
      <c r="AH297" s="3821">
        <f ca="1">+AH263/AD263*100-100</f>
        <v>2.0492694257239918</v>
      </c>
      <c r="AI297" s="3821"/>
      <c r="AJ297" s="3821"/>
      <c r="AK297" s="3821"/>
      <c r="AL297" s="3821">
        <f ca="1">+AL263/AH263*100-100</f>
        <v>2.590034533793812</v>
      </c>
      <c r="AM297" s="3821"/>
      <c r="AN297" s="3821"/>
      <c r="AO297" s="3821"/>
      <c r="AP297" s="3821">
        <f ca="1">+AP263/AL263*100-100</f>
        <v>1.8929375505475292</v>
      </c>
      <c r="AQ297" s="3821"/>
      <c r="AR297" s="3821"/>
      <c r="AS297" s="3821"/>
      <c r="AT297" s="3821">
        <f ca="1">+AT263/AP263*100-100</f>
        <v>2.1184168186206449</v>
      </c>
      <c r="AU297" s="3821"/>
      <c r="AV297" s="3821"/>
      <c r="AW297" s="3821"/>
      <c r="AX297" s="3821">
        <f ca="1">+AX263/AT263*100-100</f>
        <v>2.1185862087075265</v>
      </c>
      <c r="AY297" s="3821"/>
      <c r="AZ297" s="3821"/>
      <c r="BA297" s="3821"/>
      <c r="BB297" s="3821">
        <f ca="1">+BB263/AX263*100-100</f>
        <v>2.0705190183291791</v>
      </c>
      <c r="BC297" s="3821"/>
      <c r="BD297" s="3821"/>
      <c r="BE297" s="3821"/>
      <c r="BF297" s="3821">
        <f ca="1">+BF263/BB263*100-100</f>
        <v>1.9055776691691477</v>
      </c>
      <c r="BG297" s="2944"/>
      <c r="BH297" s="2944"/>
      <c r="BI297" s="2944"/>
      <c r="BJ297" s="3821">
        <f ca="1">+BJ263/BF263*100-100</f>
        <v>2.2635128453612197</v>
      </c>
      <c r="BK297" s="2944"/>
      <c r="BL297" s="2944"/>
      <c r="BM297" s="2944"/>
      <c r="BN297" s="3821">
        <f ca="1">+BN263/BJ263*100-100</f>
        <v>2.6350142629212598</v>
      </c>
      <c r="BO297" s="2867"/>
      <c r="BP297" s="2867"/>
      <c r="BQ297" s="2867"/>
      <c r="BR297" s="2944">
        <f ca="1">+BR263/BN263*100-100</f>
        <v>1.3972112304503526</v>
      </c>
      <c r="BS297" s="2867"/>
      <c r="BT297" s="2867"/>
      <c r="BU297" s="2867"/>
      <c r="BV297" s="2944">
        <f ca="1">+BV263/BR263*100-100</f>
        <v>1.9233806900011814</v>
      </c>
      <c r="BW297" s="2867"/>
      <c r="BX297" s="2867"/>
      <c r="BY297" s="2867"/>
      <c r="BZ297" s="2944">
        <f ca="1">+BZ263/BV263*100-100</f>
        <v>2.537992396962423</v>
      </c>
      <c r="CA297" s="2867"/>
      <c r="CB297" s="2867"/>
      <c r="CC297" s="2867"/>
      <c r="CD297" s="2944">
        <f ca="1">+CD263/BZ263*100-100</f>
        <v>1.8803844341509972</v>
      </c>
      <c r="CE297" s="2867"/>
      <c r="CF297" s="2867"/>
      <c r="CG297" s="2867"/>
      <c r="CH297" s="2944">
        <f ca="1">+CH263/CD263*100-100</f>
        <v>2.2497207483943384</v>
      </c>
      <c r="CI297" s="2867"/>
      <c r="CJ297" s="2867"/>
      <c r="CK297" s="2867"/>
      <c r="CL297" s="2944">
        <f ca="1">+CL263/CH263*100-100</f>
        <v>2.4152940172399013</v>
      </c>
      <c r="CM297" s="2867"/>
      <c r="CN297" s="2867"/>
      <c r="CO297" s="2867"/>
      <c r="CP297" s="2944">
        <f ca="1">+CP263/CL263*100-100</f>
        <v>2.2316666666666549</v>
      </c>
      <c r="CQ297" s="2867"/>
      <c r="CR297" s="2867"/>
      <c r="CS297" s="2867"/>
      <c r="CT297" s="2944">
        <f ca="1">+CT263/CP263*100-100</f>
        <v>1.9074324654787489</v>
      </c>
      <c r="CU297" s="2867"/>
      <c r="CV297" s="2867"/>
      <c r="CW297" s="2867"/>
      <c r="CX297" s="2944">
        <f ca="1">+CX263/CT263*100-100</f>
        <v>1.9587821730388413</v>
      </c>
      <c r="CY297" s="2867"/>
      <c r="CZ297" s="2867"/>
      <c r="DA297" s="2867"/>
      <c r="DB297" s="2944">
        <f ca="1">+DB263/CX263*100-100</f>
        <v>2.1961431400540761</v>
      </c>
    </row>
    <row r="298" spans="1:106">
      <c r="C298" s="724"/>
      <c r="D298" s="766"/>
      <c r="E298" s="767" t="str">
        <f>+E286</f>
        <v>HICP</v>
      </c>
      <c r="F298" s="967"/>
      <c r="G298" s="2820"/>
      <c r="H298" s="2820"/>
      <c r="I298" s="2820"/>
      <c r="J298" s="2820"/>
      <c r="K298" s="2820"/>
      <c r="L298" s="2820"/>
      <c r="M298" s="2820"/>
      <c r="N298" s="2820">
        <f>+N265/J265*100-100</f>
        <v>-15.862309108093328</v>
      </c>
      <c r="O298" s="2820"/>
      <c r="P298" s="2820"/>
      <c r="Q298" s="2820"/>
      <c r="R298" s="2820">
        <f>+R265/N265*100-100</f>
        <v>1.5028792375637181</v>
      </c>
      <c r="S298" s="2820"/>
      <c r="T298" s="2820"/>
      <c r="U298" s="2820"/>
      <c r="V298" s="2820">
        <f>+V265/R265*100-100</f>
        <v>0.90748118636565778</v>
      </c>
      <c r="W298" s="2820"/>
      <c r="X298" s="2820"/>
      <c r="Y298" s="2820"/>
      <c r="Z298" s="2820">
        <f ca="1">+Z265/V265*100-100</f>
        <v>1.1348287366804755</v>
      </c>
      <c r="AA298" s="2820"/>
      <c r="AB298" s="2820"/>
      <c r="AC298" s="2820"/>
      <c r="AD298" s="2820">
        <f ca="1">+AD265/Z265*100-100</f>
        <v>2.6791014108944893</v>
      </c>
      <c r="AE298" s="2820"/>
      <c r="AF298" s="2820"/>
      <c r="AG298" s="2820"/>
      <c r="AH298" s="2820">
        <f ca="1">+AH265/AD265*100-100</f>
        <v>2.4346588698291214</v>
      </c>
      <c r="AI298" s="2820"/>
      <c r="AJ298" s="2820"/>
      <c r="AK298" s="2820"/>
      <c r="AL298" s="2820">
        <f ca="1">+AL265/AH265*100-100</f>
        <v>1.5476280917289955</v>
      </c>
      <c r="AM298" s="2820"/>
      <c r="AN298" s="2820"/>
      <c r="AO298" s="2820"/>
      <c r="AP298" s="2820">
        <f ca="1">+AP265/AL265*100-100</f>
        <v>1.5165603257558615</v>
      </c>
      <c r="AQ298" s="2820"/>
      <c r="AR298" s="2820"/>
      <c r="AS298" s="2820"/>
      <c r="AT298" s="2820">
        <f ca="1">+AT265/AP265*100-100</f>
        <v>1.8571157854841829</v>
      </c>
      <c r="AU298" s="2820"/>
      <c r="AV298" s="2820"/>
      <c r="AW298" s="2820"/>
      <c r="AX298" s="2820">
        <f ca="1">+AX265/AT265*100-100</f>
        <v>2.5374677002584036</v>
      </c>
      <c r="AY298" s="2820"/>
      <c r="AZ298" s="2820"/>
      <c r="BA298" s="2820"/>
      <c r="BB298" s="2820">
        <f ca="1">+BB265/AX265*100-100</f>
        <v>2.3275036540497069</v>
      </c>
      <c r="BC298" s="2820"/>
      <c r="BD298" s="2820"/>
      <c r="BE298" s="2820"/>
      <c r="BF298" s="2820">
        <f ca="1">+BF265/BB265*100-100</f>
        <v>1.816498216994674</v>
      </c>
      <c r="BG298" s="2844"/>
      <c r="BH298" s="2820"/>
      <c r="BI298" s="2844"/>
      <c r="BJ298" s="968">
        <f ca="1">+BJ265/BF265*100-100</f>
        <v>4.4892509529983187</v>
      </c>
      <c r="BK298" s="2844"/>
      <c r="BL298" s="2820"/>
      <c r="BM298" s="2844"/>
      <c r="BN298" s="968">
        <f ca="1">+BN265/BJ265*100-100</f>
        <v>-6.4816015111262004E-3</v>
      </c>
      <c r="BO298" s="2844"/>
      <c r="BP298" s="2820"/>
      <c r="BQ298" s="2844"/>
      <c r="BR298" s="2844">
        <f ca="1">+BR265/BN265*100-100</f>
        <v>2.3381321431471491</v>
      </c>
      <c r="BS298" s="2844"/>
      <c r="BT298" s="2820"/>
      <c r="BU298" s="2844"/>
      <c r="BV298" s="981">
        <f ca="1">+BV265/BR265*100-100</f>
        <v>3.387345609734794</v>
      </c>
      <c r="BW298" s="2844"/>
      <c r="BX298" s="2820"/>
      <c r="BY298" s="2844"/>
      <c r="BZ298" s="2844">
        <f ca="1">+BZ265/BV265*100-100</f>
        <v>2.6320875279888725</v>
      </c>
      <c r="CA298" s="2844"/>
      <c r="CB298" s="2820"/>
      <c r="CC298" s="2844"/>
      <c r="CD298" s="2844">
        <f ca="1">+CD265/BZ265*100-100</f>
        <v>1.258031026587858</v>
      </c>
      <c r="CE298" s="2844"/>
      <c r="CF298" s="2820"/>
      <c r="CG298" s="2844"/>
      <c r="CH298" s="2844">
        <f ca="1">+CH265/CD265*100-100</f>
        <v>0.49371563602586832</v>
      </c>
      <c r="CI298" s="2844"/>
      <c r="CJ298" s="2820"/>
      <c r="CK298" s="2844"/>
      <c r="CL298" s="2844">
        <f ca="1">+CL265/CH265*100-100</f>
        <v>0.59785720361821859</v>
      </c>
      <c r="CM298" s="2844"/>
      <c r="CN298" s="2820"/>
      <c r="CO298" s="2844"/>
      <c r="CP298" s="2844">
        <f ca="1">+CP265/CL265*100-100</f>
        <v>1.8009627874031651</v>
      </c>
      <c r="CQ298" s="2844"/>
      <c r="CR298" s="2820"/>
      <c r="CS298" s="2844"/>
      <c r="CT298" s="2844">
        <f ca="1">+CT265/CP265*100-100</f>
        <v>2.2061593288750032</v>
      </c>
      <c r="CU298" s="2844"/>
      <c r="CV298" s="2820"/>
      <c r="CW298" s="2844"/>
      <c r="CX298" s="2844">
        <f ca="1">+CX265/CT265*100-100</f>
        <v>1.5704560715091702</v>
      </c>
      <c r="CY298" s="2844"/>
      <c r="CZ298" s="2820"/>
      <c r="DA298" s="2844"/>
      <c r="DB298" s="2844">
        <f ca="1">+DB265/CX265*100-100</f>
        <v>1.6342607393390551</v>
      </c>
    </row>
    <row r="299" spans="1:106">
      <c r="C299" s="724"/>
      <c r="D299" s="766"/>
      <c r="E299" s="767" t="s">
        <v>703</v>
      </c>
      <c r="F299" s="967"/>
      <c r="G299" s="2820"/>
      <c r="H299" s="2820"/>
      <c r="I299" s="2820"/>
      <c r="J299" s="2820"/>
      <c r="K299" s="2820"/>
      <c r="L299" s="2820"/>
      <c r="M299" s="2820"/>
      <c r="N299" s="2820"/>
      <c r="O299" s="2820"/>
      <c r="P299" s="2820"/>
      <c r="Q299" s="2820"/>
      <c r="R299" s="2820">
        <f>+R268/N268*100-100</f>
        <v>1.1207092521027704</v>
      </c>
      <c r="S299" s="2820"/>
      <c r="T299" s="2820"/>
      <c r="U299" s="2820"/>
      <c r="V299" s="2820">
        <f>+V268/R268*100-100</f>
        <v>1.1880943281703367</v>
      </c>
      <c r="W299" s="2820"/>
      <c r="X299" s="2820"/>
      <c r="Y299" s="2820"/>
      <c r="Z299" s="2820">
        <f ca="1">+Z268/V268*100-100</f>
        <v>1.0508425624562392</v>
      </c>
      <c r="AA299" s="2820"/>
      <c r="AB299" s="2820"/>
      <c r="AC299" s="2820"/>
      <c r="AD299" s="2820">
        <f ca="1">+AD268/Z268*100-100</f>
        <v>1.1377502226033016</v>
      </c>
      <c r="AE299" s="2820"/>
      <c r="AF299" s="2820"/>
      <c r="AG299" s="2820"/>
      <c r="AH299" s="2820">
        <f ca="1">+AH268/AD268*100-100</f>
        <v>2.0738228772662097</v>
      </c>
      <c r="AI299" s="2820"/>
      <c r="AJ299" s="2820"/>
      <c r="AK299" s="2820"/>
      <c r="AL299" s="2820">
        <f ca="1">+AL268/AH268*100-100</f>
        <v>2.0604395604395762</v>
      </c>
      <c r="AM299" s="2820"/>
      <c r="AN299" s="2820"/>
      <c r="AO299" s="2820"/>
      <c r="AP299" s="2820">
        <f ca="1">+AP268/AL268*100-100</f>
        <v>1.66202385051173</v>
      </c>
      <c r="AQ299" s="2820"/>
      <c r="AR299" s="2820"/>
      <c r="AS299" s="2820"/>
      <c r="AT299" s="2820">
        <f ca="1">+AT268/AP268*100-100</f>
        <v>1.4131773399014662</v>
      </c>
      <c r="AU299" s="2820"/>
      <c r="AV299" s="2820"/>
      <c r="AW299" s="2820"/>
      <c r="AX299" s="2820">
        <f ca="1">+AX268/AT268*100-100</f>
        <v>1.3762814090692927</v>
      </c>
      <c r="AY299" s="2820"/>
      <c r="AZ299" s="2820"/>
      <c r="BA299" s="2820"/>
      <c r="BB299" s="2820">
        <f ca="1">+BB268/AX268*100-100</f>
        <v>1.6131447338211302</v>
      </c>
      <c r="BC299" s="2820"/>
      <c r="BD299" s="2820"/>
      <c r="BE299" s="2820"/>
      <c r="BF299" s="2820">
        <f ca="1">+BF268/BB268*100-100</f>
        <v>1.9018989517943368</v>
      </c>
      <c r="BG299" s="2844"/>
      <c r="BH299" s="2844"/>
      <c r="BI299" s="2844"/>
      <c r="BJ299" s="968">
        <f ca="1">+BJ268/BF268*100-100</f>
        <v>2.7147663623480156</v>
      </c>
      <c r="BK299" s="2844"/>
      <c r="BL299" s="2844"/>
      <c r="BM299" s="2844"/>
      <c r="BN299" s="968">
        <f ca="1">+BN268/BJ268*100-100</f>
        <v>2.0263738326528653</v>
      </c>
      <c r="BO299" s="2844"/>
      <c r="BP299" s="2844"/>
      <c r="BQ299" s="2844"/>
      <c r="BR299" s="2844">
        <f ca="1">+BR268/BN268*100-100</f>
        <v>1.1366220181477331</v>
      </c>
      <c r="BS299" s="2844"/>
      <c r="BT299" s="2820"/>
      <c r="BU299" s="2844"/>
      <c r="BV299" s="2844">
        <f ca="1">+BV268/BR268*100-100</f>
        <v>1.7919958968706737</v>
      </c>
      <c r="BW299" s="2844"/>
      <c r="BX299" s="2820"/>
      <c r="BY299" s="2844"/>
      <c r="BZ299" s="2844">
        <f ca="1">+BZ268/BV268*100-100</f>
        <v>2.0641184330220312</v>
      </c>
      <c r="CA299" s="2844"/>
      <c r="CB299" s="2820"/>
      <c r="CC299" s="2844"/>
      <c r="CD299" s="2844">
        <f ca="1">+CD268/BZ268*100-100</f>
        <v>1.7883124684846763</v>
      </c>
      <c r="CE299" s="2844"/>
      <c r="CF299" s="2820"/>
      <c r="CG299" s="2844"/>
      <c r="CH299" s="2844">
        <f ca="1">+CH268/CD268*100-100</f>
        <v>1.5707196907945047</v>
      </c>
      <c r="CI299" s="2844"/>
      <c r="CJ299" s="2820"/>
      <c r="CK299" s="2844"/>
      <c r="CL299" s="2844">
        <f ca="1">+CL268/CH268*100-100</f>
        <v>1.6260094875757005</v>
      </c>
      <c r="CM299" s="2844"/>
      <c r="CN299" s="2820"/>
      <c r="CO299" s="2844"/>
      <c r="CP299" s="2844">
        <f ca="1">+CP268/CL268*100-100</f>
        <v>2.0217758127895991</v>
      </c>
      <c r="CQ299" s="2844"/>
      <c r="CR299" s="2820"/>
      <c r="CS299" s="2844"/>
      <c r="CT299" s="2844">
        <f ca="1">+CT268/CP268*100-100</f>
        <v>1.5879527714072452</v>
      </c>
      <c r="CU299" s="2844"/>
      <c r="CV299" s="2820"/>
      <c r="CW299" s="2844"/>
      <c r="CX299" s="2844">
        <f ca="1">+CX268/CT268*100-100</f>
        <v>1.8065687280100633</v>
      </c>
      <c r="CY299" s="2844"/>
      <c r="CZ299" s="2820"/>
      <c r="DA299" s="2844"/>
      <c r="DB299" s="2844">
        <f ca="1">+DB268/CX268*100-100</f>
        <v>1.8698291462412726</v>
      </c>
    </row>
    <row r="300" spans="1:106">
      <c r="BO300" s="577"/>
      <c r="BP300" s="577"/>
      <c r="BQ300" s="577"/>
      <c r="BR300" s="577"/>
      <c r="BS300" s="577"/>
      <c r="BT300" s="577"/>
      <c r="BU300" s="577"/>
      <c r="BV300" s="577"/>
      <c r="BW300" s="577"/>
      <c r="BX300" s="577"/>
      <c r="BY300" s="577"/>
      <c r="BZ300" s="577"/>
      <c r="CA300" s="577"/>
      <c r="CB300" s="577"/>
      <c r="CC300" s="577"/>
      <c r="CD300" s="577"/>
      <c r="CE300" s="577"/>
      <c r="CF300" s="577"/>
      <c r="CG300" s="577"/>
      <c r="CH300" s="577"/>
      <c r="CI300" s="577"/>
      <c r="CJ300" s="577"/>
      <c r="CK300" s="577"/>
      <c r="CL300" s="577"/>
      <c r="CM300" s="577"/>
      <c r="CN300" s="577"/>
      <c r="CO300" s="577"/>
      <c r="CP300" s="577"/>
      <c r="CQ300" s="577"/>
      <c r="CR300" s="577"/>
      <c r="CS300" s="577"/>
      <c r="CT300" s="577"/>
      <c r="CU300" s="577"/>
      <c r="CV300" s="577"/>
      <c r="CW300" s="577"/>
      <c r="CX300" s="577"/>
      <c r="CY300" s="577"/>
      <c r="CZ300" s="577"/>
      <c r="DA300" s="577"/>
      <c r="DB300" s="577"/>
    </row>
    <row r="301" spans="1:106" s="749" customFormat="1" ht="12.75" customHeight="1">
      <c r="A301" s="714"/>
      <c r="B301" s="714"/>
      <c r="C301" s="716"/>
      <c r="D301" s="898"/>
      <c r="E301" s="899" t="s">
        <v>416</v>
      </c>
      <c r="F301" s="900"/>
      <c r="G301" s="1534" t="s">
        <v>364</v>
      </c>
      <c r="H301" s="1533" t="s">
        <v>671</v>
      </c>
      <c r="I301" s="1533" t="s">
        <v>672</v>
      </c>
      <c r="J301" s="1533" t="s">
        <v>673</v>
      </c>
      <c r="K301" s="1533" t="s">
        <v>364</v>
      </c>
      <c r="L301" s="1533" t="s">
        <v>671</v>
      </c>
      <c r="M301" s="1533" t="s">
        <v>672</v>
      </c>
      <c r="N301" s="1533" t="s">
        <v>673</v>
      </c>
      <c r="O301" s="1533" t="s">
        <v>364</v>
      </c>
      <c r="P301" s="1533" t="s">
        <v>671</v>
      </c>
      <c r="Q301" s="1533" t="s">
        <v>672</v>
      </c>
      <c r="R301" s="1533" t="s">
        <v>673</v>
      </c>
      <c r="S301" s="1533" t="s">
        <v>364</v>
      </c>
      <c r="T301" s="1533" t="s">
        <v>671</v>
      </c>
      <c r="U301" s="1533" t="s">
        <v>672</v>
      </c>
      <c r="V301" s="1533" t="s">
        <v>673</v>
      </c>
      <c r="W301" s="1533" t="s">
        <v>364</v>
      </c>
      <c r="X301" s="1533" t="s">
        <v>671</v>
      </c>
      <c r="Y301" s="1533" t="s">
        <v>672</v>
      </c>
      <c r="Z301" s="1533" t="s">
        <v>673</v>
      </c>
      <c r="AA301" s="1533" t="s">
        <v>364</v>
      </c>
      <c r="AB301" s="1533" t="s">
        <v>671</v>
      </c>
      <c r="AC301" s="1533" t="s">
        <v>672</v>
      </c>
      <c r="AD301" s="1533" t="s">
        <v>673</v>
      </c>
      <c r="AE301" s="1533" t="s">
        <v>364</v>
      </c>
      <c r="AF301" s="1533" t="s">
        <v>671</v>
      </c>
      <c r="AG301" s="1533" t="s">
        <v>672</v>
      </c>
      <c r="AH301" s="1533" t="s">
        <v>673</v>
      </c>
      <c r="AI301" s="1533" t="s">
        <v>364</v>
      </c>
      <c r="AJ301" s="1533" t="s">
        <v>671</v>
      </c>
      <c r="AK301" s="1533" t="s">
        <v>672</v>
      </c>
      <c r="AL301" s="1533" t="s">
        <v>673</v>
      </c>
      <c r="AM301" s="1533" t="s">
        <v>364</v>
      </c>
      <c r="AN301" s="1533" t="s">
        <v>671</v>
      </c>
      <c r="AO301" s="1533" t="s">
        <v>672</v>
      </c>
      <c r="AP301" s="1533" t="s">
        <v>673</v>
      </c>
      <c r="AQ301" s="1533" t="s">
        <v>364</v>
      </c>
      <c r="AR301" s="1533" t="s">
        <v>671</v>
      </c>
      <c r="AS301" s="1533" t="s">
        <v>672</v>
      </c>
      <c r="AT301" s="1533" t="s">
        <v>673</v>
      </c>
      <c r="AU301" s="1533" t="s">
        <v>364</v>
      </c>
      <c r="AV301" s="1533" t="s">
        <v>671</v>
      </c>
      <c r="AW301" s="1533" t="s">
        <v>672</v>
      </c>
      <c r="AX301" s="1533" t="s">
        <v>673</v>
      </c>
      <c r="AY301" s="1533" t="s">
        <v>364</v>
      </c>
      <c r="AZ301" s="1533" t="s">
        <v>671</v>
      </c>
      <c r="BA301" s="1533" t="s">
        <v>672</v>
      </c>
      <c r="BB301" s="1533" t="s">
        <v>673</v>
      </c>
      <c r="BC301" s="1533" t="s">
        <v>364</v>
      </c>
      <c r="BD301" s="1533" t="s">
        <v>671</v>
      </c>
      <c r="BE301" s="1533" t="s">
        <v>672</v>
      </c>
      <c r="BF301" s="1533" t="s">
        <v>673</v>
      </c>
      <c r="BG301" s="1533" t="s">
        <v>364</v>
      </c>
      <c r="BH301" s="1533" t="s">
        <v>671</v>
      </c>
      <c r="BI301" s="1533" t="s">
        <v>672</v>
      </c>
      <c r="BJ301" s="1533" t="s">
        <v>673</v>
      </c>
      <c r="BK301" s="1533" t="s">
        <v>364</v>
      </c>
      <c r="BL301" s="1533" t="s">
        <v>671</v>
      </c>
      <c r="BM301" s="1533" t="s">
        <v>672</v>
      </c>
      <c r="BN301" s="1533" t="s">
        <v>673</v>
      </c>
      <c r="BO301" s="1533" t="s">
        <v>364</v>
      </c>
      <c r="BP301" s="1533" t="s">
        <v>671</v>
      </c>
      <c r="BQ301" s="1533" t="s">
        <v>672</v>
      </c>
      <c r="BR301" s="1533" t="s">
        <v>673</v>
      </c>
      <c r="BS301" s="1533" t="s">
        <v>364</v>
      </c>
      <c r="BT301" s="1533" t="s">
        <v>671</v>
      </c>
      <c r="BU301" s="1533" t="s">
        <v>672</v>
      </c>
      <c r="BV301" s="1533" t="s">
        <v>673</v>
      </c>
      <c r="BW301" s="1533" t="s">
        <v>364</v>
      </c>
      <c r="BX301" s="1533" t="s">
        <v>671</v>
      </c>
      <c r="BY301" s="1533" t="s">
        <v>672</v>
      </c>
      <c r="BZ301" s="1533" t="s">
        <v>673</v>
      </c>
      <c r="CA301" s="1533" t="s">
        <v>364</v>
      </c>
      <c r="CB301" s="1533" t="s">
        <v>671</v>
      </c>
      <c r="CC301" s="1533" t="s">
        <v>672</v>
      </c>
      <c r="CD301" s="1533" t="s">
        <v>673</v>
      </c>
      <c r="CE301" s="1533" t="s">
        <v>364</v>
      </c>
      <c r="CF301" s="1533" t="s">
        <v>671</v>
      </c>
      <c r="CG301" s="1533" t="s">
        <v>672</v>
      </c>
      <c r="CH301" s="1533" t="s">
        <v>673</v>
      </c>
      <c r="CI301" s="1533" t="s">
        <v>364</v>
      </c>
      <c r="CJ301" s="1533" t="s">
        <v>671</v>
      </c>
      <c r="CK301" s="1533" t="s">
        <v>672</v>
      </c>
      <c r="CL301" s="1533" t="s">
        <v>673</v>
      </c>
      <c r="CM301" s="1533" t="s">
        <v>364</v>
      </c>
      <c r="CN301" s="1533" t="s">
        <v>671</v>
      </c>
      <c r="CO301" s="1533" t="s">
        <v>672</v>
      </c>
      <c r="CP301" s="1533" t="s">
        <v>673</v>
      </c>
      <c r="CQ301" s="1533" t="s">
        <v>364</v>
      </c>
      <c r="CR301" s="1533" t="s">
        <v>671</v>
      </c>
      <c r="CS301" s="1533" t="s">
        <v>672</v>
      </c>
      <c r="CT301" s="1533" t="s">
        <v>673</v>
      </c>
      <c r="CU301" s="1533" t="s">
        <v>364</v>
      </c>
      <c r="CV301" s="1533" t="s">
        <v>671</v>
      </c>
      <c r="CW301" s="1533" t="s">
        <v>672</v>
      </c>
      <c r="CX301" s="1533" t="s">
        <v>673</v>
      </c>
      <c r="CY301" s="1533" t="s">
        <v>364</v>
      </c>
      <c r="CZ301" s="1533" t="s">
        <v>671</v>
      </c>
      <c r="DA301" s="1533" t="s">
        <v>672</v>
      </c>
      <c r="DB301" s="1533" t="s">
        <v>673</v>
      </c>
    </row>
    <row r="302" spans="1:106" s="749" customFormat="1" ht="12.75" customHeight="1">
      <c r="A302" s="714"/>
      <c r="B302" s="714"/>
      <c r="C302" s="902"/>
      <c r="D302" s="903"/>
      <c r="E302" s="904" t="str">
        <f>+E280</f>
        <v>Non-energy industrial goods</v>
      </c>
      <c r="F302" s="905"/>
      <c r="G302" s="2860"/>
      <c r="H302" s="2860"/>
      <c r="I302" s="2860"/>
      <c r="J302" s="2860"/>
      <c r="K302" s="2861"/>
      <c r="L302" s="2861"/>
      <c r="M302" s="2861"/>
      <c r="N302" s="2861"/>
      <c r="O302" s="2861">
        <f t="shared" ref="O302:O307" ca="1" si="1381">+R272*O280/R$277</f>
        <v>0.12264676448889078</v>
      </c>
      <c r="P302" s="2861">
        <f t="shared" ref="P302:P307" ca="1" si="1382">+R272*P280/R$277</f>
        <v>6.3895459360501505E-2</v>
      </c>
      <c r="Q302" s="2861">
        <f t="shared" ref="Q302:Q307" ca="1" si="1383">+R272*Q280/R$277</f>
        <v>-2.7360275749292156E-2</v>
      </c>
      <c r="R302" s="2861">
        <f t="shared" ref="R302:R307" ca="1" si="1384">+R272*R280/R$277</f>
        <v>2.6021889715881E-3</v>
      </c>
      <c r="S302" s="2861">
        <f t="shared" ref="S302:S307" ca="1" si="1385">+V272*S280/V$277</f>
        <v>2.7070840572478515E-2</v>
      </c>
      <c r="T302" s="2861">
        <f t="shared" ref="T302:T307" ca="1" si="1386">+V272*T280/V$277</f>
        <v>0.18971733531510507</v>
      </c>
      <c r="U302" s="2861">
        <f t="shared" ref="U302:U307" ca="1" si="1387">+V272*U280/V$277</f>
        <v>0.32971801145198393</v>
      </c>
      <c r="V302" s="2861">
        <f t="shared" ref="V302:V307" ca="1" si="1388">+V272*V280/V$277</f>
        <v>0.34574454064115667</v>
      </c>
      <c r="W302" s="2861">
        <f t="shared" ref="W302:W307" ca="1" si="1389">+Z272*W280/Z$277</f>
        <v>0.39686913925823059</v>
      </c>
      <c r="X302" s="2861">
        <f t="shared" ref="X302:X307" ca="1" si="1390">+Z272*X280/Z$277</f>
        <v>0.30394190099930085</v>
      </c>
      <c r="Y302" s="2861">
        <f t="shared" ref="Y302:Y307" ca="1" si="1391">+Z272*Y280/Z$277</f>
        <v>0.21736471133781393</v>
      </c>
      <c r="Z302" s="2861">
        <f t="shared" ref="Z302:Z307" ca="1" si="1392">+Z272*Z280/Z$277</f>
        <v>0.21944614436009174</v>
      </c>
      <c r="AA302" s="2861">
        <f t="shared" ref="AA302:AA307" ca="1" si="1393">+AD272*AA280/AD$277</f>
        <v>-0.27873279846538368</v>
      </c>
      <c r="AB302" s="2861">
        <f t="shared" ref="AB302:AB307" ca="1" si="1394">+AD272*AB280/AD$277</f>
        <v>0.17908609886409063</v>
      </c>
      <c r="AC302" s="2861">
        <f t="shared" ref="AC302:AC307" ca="1" si="1395">+AD272*AC280/AD$277</f>
        <v>-0.22617995786247172</v>
      </c>
      <c r="AD302" s="2861">
        <f t="shared" ref="AD302:AD307" ca="1" si="1396">+AD272*AD280/AD$277</f>
        <v>0.36113700824466416</v>
      </c>
      <c r="AE302" s="2861">
        <f t="shared" ref="AE302:AE307" ca="1" si="1397">+AH272*AE280/AH$277</f>
        <v>0.48183563926676148</v>
      </c>
      <c r="AF302" s="2861">
        <f t="shared" ref="AF302:AF307" ca="1" si="1398">+AH272*AF280/AH$277</f>
        <v>0.63646109774264326</v>
      </c>
      <c r="AG302" s="2861">
        <f t="shared" ref="AG302:AG307" ca="1" si="1399">+AH272*AG280/AH$277</f>
        <v>0.69412409633896077</v>
      </c>
      <c r="AH302" s="2861">
        <f t="shared" ref="AH302:AH307" ca="1" si="1400">+AH272*AH280/AH$277</f>
        <v>0.74522307692308121</v>
      </c>
      <c r="AI302" s="2861">
        <f t="shared" ref="AI302:AI307" ca="1" si="1401">+AL272*AI280/AL$277</f>
        <v>0.70725951646258844</v>
      </c>
      <c r="AJ302" s="2861">
        <f t="shared" ref="AJ302:AJ307" ca="1" si="1402">+AL272*AJ280/AL$277</f>
        <v>0.60386373800434545</v>
      </c>
      <c r="AK302" s="2861">
        <f t="shared" ref="AK302:AK307" ca="1" si="1403">+AL272*AK280/AL$277</f>
        <v>0.46158399743933287</v>
      </c>
      <c r="AL302" s="2861">
        <f t="shared" ref="AL302:AL307" ca="1" si="1404">+AL272*AL280/AL$277</f>
        <v>0.38565802895704998</v>
      </c>
      <c r="AM302" s="2861">
        <f t="shared" ref="AM302:AM307" ca="1" si="1405">+AP272*AM280/AP$277</f>
        <v>0.35199701035165543</v>
      </c>
      <c r="AN302" s="2861">
        <f t="shared" ref="AN302:AN307" ca="1" si="1406">+AP272*AN280/AP$277</f>
        <v>0.30232668971096616</v>
      </c>
      <c r="AO302" s="2861">
        <f t="shared" ref="AO302:AO307" ca="1" si="1407">+AP272*AO280/AP$277</f>
        <v>0.3321467218926113</v>
      </c>
      <c r="AP302" s="2861">
        <f t="shared" ref="AP302:AP307" ca="1" si="1408">+AP272*AP280/AP$277</f>
        <v>0.29856281112737143</v>
      </c>
      <c r="AQ302" s="2861">
        <f t="shared" ref="AQ302:AQ307" ca="1" si="1409">+AT272*AQ280/AT$277</f>
        <v>0.2314524584103467</v>
      </c>
      <c r="AR302" s="2861">
        <f t="shared" ref="AR302:AR307" ca="1" si="1410">+AT272*AR280/AT$277</f>
        <v>0.13375284173710802</v>
      </c>
      <c r="AS302" s="2861">
        <f t="shared" ref="AS302:AS307" ca="1" si="1411">+AT272*AS280/AT$277</f>
        <v>3.9953719435618644E-2</v>
      </c>
      <c r="AT302" s="2861">
        <f t="shared" ref="AT302:AT307" ca="1" si="1412">+AT272*AT280/AT$277</f>
        <v>-1.1888510082573873E-3</v>
      </c>
      <c r="AU302" s="2861">
        <f t="shared" ref="AU302:AU307" ca="1" si="1413">+AX272*AU280/AX$277</f>
        <v>-4.3624169450454865E-2</v>
      </c>
      <c r="AV302" s="2861">
        <f t="shared" ref="AV302:AV307" ca="1" si="1414">+AX272*AV280/AX$277</f>
        <v>9.6726923076916396E-2</v>
      </c>
      <c r="AW302" s="2861">
        <f t="shared" ref="AW302:AW307" ca="1" si="1415">+AX272*AW280/AX$277</f>
        <v>5.094897996827482E-2</v>
      </c>
      <c r="AX302" s="2861">
        <f t="shared" ref="AX302:AX307" ca="1" si="1416">+AX272*AX280/AX$277</f>
        <v>0.23880853070253702</v>
      </c>
      <c r="AY302" s="2861">
        <f t="shared" ref="AY302:AY307" ca="1" si="1417">+BB272*AY280/BB$277</f>
        <v>0.22266654073686618</v>
      </c>
      <c r="AZ302" s="2861">
        <f t="shared" ref="AZ302:AZ307" ca="1" si="1418">+BB272*AZ280/BB$277</f>
        <v>0.33452347691367956</v>
      </c>
      <c r="BA302" s="2861">
        <f t="shared" ref="BA302:BA307" ca="1" si="1419">+BB272*BA280/BB$277</f>
        <v>0.36314617289819229</v>
      </c>
      <c r="BB302" s="2861">
        <f t="shared" ref="BB302:BB307" ca="1" si="1420">+BB272*BB280/BB$277</f>
        <v>0.26100131393019199</v>
      </c>
      <c r="BC302" s="2861">
        <f t="shared" ref="BC302:BC307" ca="1" si="1421">+BF272*BC280/BF$277</f>
        <v>0.26831655227804257</v>
      </c>
      <c r="BD302" s="2861">
        <f t="shared" ref="BD302:BD307" ca="1" si="1422">+BF272*BD280/BF$277</f>
        <v>0.22099885427855492</v>
      </c>
      <c r="BE302" s="2861">
        <f t="shared" ref="BE302:BE307" ca="1" si="1423">+BF272*BE280/BF$277</f>
        <v>0.27000877768065024</v>
      </c>
      <c r="BF302" s="2861">
        <f t="shared" ref="BF302:BH307" ca="1" si="1424">+BF272*BF280/BF$277</f>
        <v>0.34429309667511548</v>
      </c>
      <c r="BG302" s="2861">
        <f t="shared" ca="1" si="1424"/>
        <v>0.39181935343735341</v>
      </c>
      <c r="BH302" s="2861">
        <f t="shared" ca="1" si="1424"/>
        <v>0.41709483003840203</v>
      </c>
      <c r="BI302" s="2861">
        <f t="shared" ref="BI302:BL307" ca="1" si="1425">+BI272*BI280/BI$277</f>
        <v>0.35586388096356547</v>
      </c>
      <c r="BJ302" s="2861">
        <f t="shared" ca="1" si="1425"/>
        <v>0.4641753815715165</v>
      </c>
      <c r="BK302" s="2861">
        <f t="shared" ca="1" si="1425"/>
        <v>0.36605388108262316</v>
      </c>
      <c r="BL302" s="2861">
        <f t="shared" ca="1" si="1425"/>
        <v>0.51879076458822648</v>
      </c>
      <c r="BM302" s="2861">
        <f t="shared" ref="BM302:BN307" ca="1" si="1426">+BM272*BM280/BM$277</f>
        <v>0.45948064562205548</v>
      </c>
      <c r="BN302" s="2861">
        <f t="shared" ca="1" si="1426"/>
        <v>0.43719488929117573</v>
      </c>
      <c r="BO302" s="2861">
        <f t="shared" ref="BO302:BO307" ca="1" si="1427">+BO272*BO280/BO$277</f>
        <v>0.31908871724003623</v>
      </c>
      <c r="BP302" s="2868">
        <f t="shared" ref="BP302:BP307" ca="1" si="1428">+BR272*BP280/BR$277</f>
        <v>0.25262003652180098</v>
      </c>
      <c r="BQ302" s="2868">
        <f t="shared" ref="BQ302:BQ307" ca="1" si="1429">+BR272*BQ280/BR$277</f>
        <v>0.15939851157435009</v>
      </c>
      <c r="BR302" s="2868">
        <f t="shared" ref="BR302:BR307" ca="1" si="1430">+BR272*BR280/BR$277</f>
        <v>0.22348616198012872</v>
      </c>
      <c r="BS302" s="2868">
        <f t="shared" ref="BS302:BS307" ca="1" si="1431">+BV272*BS280/BV$277</f>
        <v>0.24237128072445074</v>
      </c>
      <c r="BT302" s="2868">
        <f t="shared" ref="BT302:BT307" ca="1" si="1432">+BV272*BT280/BV$277</f>
        <v>0.19720249135894938</v>
      </c>
      <c r="BU302" s="2868">
        <f t="shared" ref="BU302:BU307" ca="1" si="1433">+BV272*BU280/BV$277</f>
        <v>0.35445329179938145</v>
      </c>
      <c r="BV302" s="2868">
        <f t="shared" ref="BV302:BV307" ca="1" si="1434">+BV272*BV280/BV$277</f>
        <v>0.30036606808191996</v>
      </c>
      <c r="BW302" s="2868">
        <f t="shared" ref="BW302:BW307" ca="1" si="1435">+BZ272*BW280/BZ$277</f>
        <v>0.275222312616964</v>
      </c>
      <c r="BX302" s="2868">
        <f t="shared" ref="BX302:BX307" ca="1" si="1436">+BZ272*BX280/BZ$277</f>
        <v>0.30889490827410299</v>
      </c>
      <c r="BY302" s="2868">
        <f t="shared" ref="BY302:BY307" ca="1" si="1437">+BZ272*BY280/BZ$277</f>
        <v>0.19104273874792491</v>
      </c>
      <c r="BZ302" s="2868">
        <f t="shared" ref="BZ302:BZ307" ca="1" si="1438">+BZ272*BZ280/BZ$277</f>
        <v>0.22606744141355309</v>
      </c>
      <c r="CA302" s="2868">
        <f t="shared" ref="CA302:CA307" ca="1" si="1439">+CD272*CA280/CD$277</f>
        <v>0.27507738524393183</v>
      </c>
      <c r="CB302" s="2868">
        <f t="shared" ref="CB302:CB307" ca="1" si="1440">+CD272*CB280/CD$277</f>
        <v>0.32659145460045425</v>
      </c>
      <c r="CC302" s="2868">
        <f t="shared" ref="CC302:CC307" ca="1" si="1441">+CD272*CC280/CD$277</f>
        <v>0.27703234556879547</v>
      </c>
      <c r="CD302" s="2868">
        <f t="shared" ref="CD302:CD307" ca="1" si="1442">+CD272*CD280/CD$277</f>
        <v>0.21758357584880841</v>
      </c>
      <c r="CE302" s="2868">
        <f t="shared" ref="CE302:CE307" ca="1" si="1443">+CH272*CE280/CH$277</f>
        <v>0.12894893588087469</v>
      </c>
      <c r="CF302" s="2868">
        <f t="shared" ref="CF302:CF307" ca="1" si="1444">+CH272*CF280/CH$277</f>
        <v>7.9696095696957403E-2</v>
      </c>
      <c r="CG302" s="2868">
        <f t="shared" ref="CG302:CG307" ca="1" si="1445">+CH272*CG280/CH$277</f>
        <v>0.10051115191078083</v>
      </c>
      <c r="CH302" s="2868">
        <f t="shared" ref="CH302:CH307" ca="1" si="1446">+CH272*CH280/CH$277</f>
        <v>6.5723546202869493E-2</v>
      </c>
      <c r="CI302" s="2868">
        <f t="shared" ref="CI302:CI307" ca="1" si="1447">+CL272*CI280/CL$277</f>
        <v>0.13360214820422259</v>
      </c>
      <c r="CJ302" s="2868">
        <f t="shared" ref="CJ302:CJ307" ca="1" si="1448">+CL272*CJ280/CL$277</f>
        <v>6.6312846290055252E-2</v>
      </c>
      <c r="CK302" s="2868">
        <f t="shared" ref="CK302:CK307" ca="1" si="1449">+CL272*CK280/CL$277</f>
        <v>0.13931977520195163</v>
      </c>
      <c r="CL302" s="2868">
        <f t="shared" ref="CL302:CL307" ca="1" si="1450">+CL272*CL280/CL$277</f>
        <v>0.16704508248432856</v>
      </c>
      <c r="CM302" s="2868">
        <f t="shared" ref="CM302:CM307" ca="1" si="1451">+CP272*CM280/CP$277</f>
        <v>0.29521074964639232</v>
      </c>
      <c r="CN302" s="2868">
        <f t="shared" ref="CN302:CN307" ca="1" si="1452">+CP272*CN280/CP$277</f>
        <v>0.26970106432207097</v>
      </c>
      <c r="CO302" s="2868">
        <f t="shared" ref="CO302:CO307" ca="1" si="1453">+CP272*CO280/CP$277</f>
        <v>0.3196273425913459</v>
      </c>
      <c r="CP302" s="2868">
        <f t="shared" ref="CP302:CP307" ca="1" si="1454">+CP272*CP280/CP$277</f>
        <v>0.22954277062831971</v>
      </c>
      <c r="CQ302" s="2868">
        <f t="shared" ref="CQ302:CQ307" ca="1" si="1455">+CT272*CQ280/CT$277</f>
        <v>0.20643995879113353</v>
      </c>
      <c r="CR302" s="2868">
        <f t="shared" ref="CR302:CR307" ca="1" si="1456">+CT272*CR280/CT$277</f>
        <v>0.22424633364141178</v>
      </c>
      <c r="CS302" s="2868">
        <f t="shared" ref="CS302:CS307" ca="1" si="1457">+CT272*CS280/CT$277</f>
        <v>0.2482736068281057</v>
      </c>
      <c r="CT302" s="2868">
        <f t="shared" ref="CT302:CT307" ca="1" si="1458">+CT272*CT280/CT$277</f>
        <v>0.20490786083129472</v>
      </c>
      <c r="CU302" s="3929">
        <f t="shared" ref="CU302:CU307" ca="1" si="1459">+CX272*CU280/CX$277</f>
        <v>0.26355925468160274</v>
      </c>
      <c r="CV302" s="3929">
        <f t="shared" ref="CV302:CV307" ca="1" si="1460">+CX272*CV280/CX$277</f>
        <v>0.20878637975128775</v>
      </c>
      <c r="CW302" s="3929">
        <f t="shared" ref="CW302:CW307" ca="1" si="1461">+CX272*CW280/CX$277</f>
        <v>0.32050604023967205</v>
      </c>
      <c r="CX302" s="3929">
        <f t="shared" ref="CX302:CX307" ca="1" si="1462">+CX272*CX280/CX$277</f>
        <v>0.30666827812839381</v>
      </c>
      <c r="CY302" s="3929">
        <f t="shared" ref="CY302:CY307" ca="1" si="1463">+DB272*CY280/DB$277</f>
        <v>0.16169402285031545</v>
      </c>
      <c r="CZ302" s="3929">
        <f t="shared" ref="CZ302:CZ307" ca="1" si="1464">+DB272*CZ280/DB$277</f>
        <v>0.50922501581479929</v>
      </c>
      <c r="DA302" s="3929">
        <f t="shared" ref="DA302:DA307" ca="1" si="1465">+DB272*DA280/DB$277</f>
        <v>0.40378999066951371</v>
      </c>
      <c r="DB302" s="3929">
        <f t="shared" ref="DB302:DB307" ca="1" si="1466">+DB272*DB280/DB$277</f>
        <v>7.9539919673159432E-2</v>
      </c>
    </row>
    <row r="303" spans="1:106" s="749" customFormat="1" ht="12.75" customHeight="1">
      <c r="A303" s="714"/>
      <c r="B303" s="714"/>
      <c r="C303" s="986"/>
      <c r="D303" s="724"/>
      <c r="E303" s="830" t="str">
        <f>+E281</f>
        <v>Energy</v>
      </c>
      <c r="F303" s="754"/>
      <c r="G303" s="2856"/>
      <c r="H303" s="2856"/>
      <c r="I303" s="2856"/>
      <c r="J303" s="2856"/>
      <c r="K303" s="2854"/>
      <c r="L303" s="2854"/>
      <c r="M303" s="2854"/>
      <c r="N303" s="2854"/>
      <c r="O303" s="2854">
        <f t="shared" ca="1" si="1381"/>
        <v>0.65763033234441304</v>
      </c>
      <c r="P303" s="2854">
        <f t="shared" ca="1" si="1382"/>
        <v>0.35213262514083427</v>
      </c>
      <c r="Q303" s="2854">
        <f t="shared" ca="1" si="1383"/>
        <v>0.4063199516334623</v>
      </c>
      <c r="R303" s="2854">
        <f t="shared" ca="1" si="1384"/>
        <v>9.3364776411898297E-3</v>
      </c>
      <c r="S303" s="2854">
        <f t="shared" ca="1" si="1385"/>
        <v>-0.31020044147550735</v>
      </c>
      <c r="T303" s="2854">
        <f t="shared" ca="1" si="1386"/>
        <v>-0.22674430029485257</v>
      </c>
      <c r="U303" s="2854">
        <f t="shared" ca="1" si="1387"/>
        <v>-0.45084227269657129</v>
      </c>
      <c r="V303" s="2854">
        <f t="shared" ca="1" si="1388"/>
        <v>-0.58260769016515779</v>
      </c>
      <c r="W303" s="2854">
        <f t="shared" ca="1" si="1389"/>
        <v>-0.41316894246700742</v>
      </c>
      <c r="X303" s="2854">
        <f t="shared" ca="1" si="1390"/>
        <v>-4.6959765152825399E-2</v>
      </c>
      <c r="Y303" s="2854">
        <f t="shared" ca="1" si="1391"/>
        <v>0.41969112419138743</v>
      </c>
      <c r="Z303" s="2854">
        <f t="shared" ca="1" si="1392"/>
        <v>0.86355152514427191</v>
      </c>
      <c r="AA303" s="2854">
        <f t="shared" ca="1" si="1393"/>
        <v>1.7619769587231169</v>
      </c>
      <c r="AB303" s="2854">
        <f t="shared" ca="1" si="1394"/>
        <v>1.8037795564676788</v>
      </c>
      <c r="AC303" s="2854">
        <f t="shared" ca="1" si="1395"/>
        <v>2.0710873790892856</v>
      </c>
      <c r="AD303" s="2854">
        <f t="shared" ca="1" si="1396"/>
        <v>2.0467635111044484</v>
      </c>
      <c r="AE303" s="2854">
        <f t="shared" ca="1" si="1397"/>
        <v>0.72152550279908456</v>
      </c>
      <c r="AF303" s="2854">
        <f t="shared" ca="1" si="1398"/>
        <v>0.79032077648475108</v>
      </c>
      <c r="AG303" s="2854">
        <f t="shared" ca="1" si="1399"/>
        <v>-1.5698172472905696E-3</v>
      </c>
      <c r="AH303" s="2854">
        <f t="shared" ca="1" si="1400"/>
        <v>-0.79729883995008644</v>
      </c>
      <c r="AI303" s="2854">
        <f t="shared" ca="1" si="1401"/>
        <v>-0.39995243808844155</v>
      </c>
      <c r="AJ303" s="2854">
        <f t="shared" ca="1" si="1402"/>
        <v>-0.60156032324514419</v>
      </c>
      <c r="AK303" s="2854">
        <f t="shared" ca="1" si="1403"/>
        <v>-0.44434434539023782</v>
      </c>
      <c r="AL303" s="2854">
        <f t="shared" ca="1" si="1404"/>
        <v>8.4941551030006598E-3</v>
      </c>
      <c r="AM303" s="2854">
        <f t="shared" ca="1" si="1405"/>
        <v>0.49964393555577935</v>
      </c>
      <c r="AN303" s="2854">
        <f t="shared" ca="1" si="1406"/>
        <v>-0.26390501319261223</v>
      </c>
      <c r="AO303" s="2854">
        <f t="shared" ca="1" si="1407"/>
        <v>-9.913328020719088E-2</v>
      </c>
      <c r="AP303" s="2854">
        <f t="shared" ca="1" si="1408"/>
        <v>-5.776609410007278E-2</v>
      </c>
      <c r="AQ303" s="2854">
        <f t="shared" ca="1" si="1409"/>
        <v>-0.32267226404169336</v>
      </c>
      <c r="AR303" s="2854">
        <f t="shared" ca="1" si="1410"/>
        <v>0.69206345554021675</v>
      </c>
      <c r="AS303" s="2854">
        <f t="shared" ca="1" si="1411"/>
        <v>0.93742064490165555</v>
      </c>
      <c r="AT303" s="2854">
        <f t="shared" ca="1" si="1412"/>
        <v>1.224553307626822</v>
      </c>
      <c r="AU303" s="2854">
        <f t="shared" ca="1" si="1413"/>
        <v>1.1953454736211071</v>
      </c>
      <c r="AV303" s="2854">
        <f t="shared" ca="1" si="1414"/>
        <v>1.2871626488804189</v>
      </c>
      <c r="AW303" s="2854">
        <f t="shared" ca="1" si="1415"/>
        <v>1.6710844316309701</v>
      </c>
      <c r="AX303" s="2854">
        <f t="shared" ca="1" si="1416"/>
        <v>1.0294364748647942</v>
      </c>
      <c r="AY303" s="2854">
        <f t="shared" ca="1" si="1417"/>
        <v>1.3408648016984193</v>
      </c>
      <c r="AZ303" s="2854">
        <f t="shared" ca="1" si="1418"/>
        <v>1.1324165191901507</v>
      </c>
      <c r="BA303" s="2854">
        <f t="shared" ca="1" si="1419"/>
        <v>0.36966183039204659</v>
      </c>
      <c r="BB303" s="2854">
        <f t="shared" ca="1" si="1420"/>
        <v>0.2044325025677565</v>
      </c>
      <c r="BC303" s="2854">
        <f t="shared" ca="1" si="1421"/>
        <v>-6.0391812865497323E-2</v>
      </c>
      <c r="BD303" s="2854">
        <f t="shared" ca="1" si="1422"/>
        <v>-0.32275560546651882</v>
      </c>
      <c r="BE303" s="2854">
        <f t="shared" ca="1" si="1423"/>
        <v>-0.29897556440903067</v>
      </c>
      <c r="BF303" s="2854">
        <f t="shared" ca="1" si="1424"/>
        <v>0.79817889709075085</v>
      </c>
      <c r="BG303" s="2854">
        <f t="shared" ca="1" si="1424"/>
        <v>1.7729084260731309</v>
      </c>
      <c r="BH303" s="2854">
        <f t="shared" ca="1" si="1424"/>
        <v>2.8342771141150598</v>
      </c>
      <c r="BI303" s="2854">
        <f t="shared" ca="1" si="1425"/>
        <v>3.0663558924663952</v>
      </c>
      <c r="BJ303" s="2854">
        <f t="shared" ca="1" si="1425"/>
        <v>1.0251293833131829</v>
      </c>
      <c r="BK303" s="2854">
        <f t="shared" ca="1" si="1425"/>
        <v>-0.62672662657189826</v>
      </c>
      <c r="BL303" s="2854">
        <f t="shared" ca="1" si="1425"/>
        <v>-1.9110208203465906</v>
      </c>
      <c r="BM303" s="2854">
        <f t="shared" ca="1" si="1426"/>
        <v>-2.1780085334633683</v>
      </c>
      <c r="BN303" s="2854">
        <f t="shared" ca="1" si="1426"/>
        <v>-1.270216507617612</v>
      </c>
      <c r="BO303" s="2854">
        <f t="shared" ca="1" si="1427"/>
        <v>6.8850482548759875E-2</v>
      </c>
      <c r="BP303" s="1425">
        <f t="shared" ca="1" si="1428"/>
        <v>1.3457426742387284</v>
      </c>
      <c r="BQ303" s="1425">
        <f t="shared" ca="1" si="1429"/>
        <v>1.3997966121336596</v>
      </c>
      <c r="BR303" s="1425">
        <f t="shared" ca="1" si="1430"/>
        <v>1.7170897797578526</v>
      </c>
      <c r="BS303" s="1425">
        <f t="shared" ca="1" si="1431"/>
        <v>1.9145565925552228</v>
      </c>
      <c r="BT303" s="1425">
        <f t="shared" ca="1" si="1432"/>
        <v>1.8158374282821479</v>
      </c>
      <c r="BU303" s="1425">
        <f t="shared" ca="1" si="1433"/>
        <v>1.9866709336584383</v>
      </c>
      <c r="BV303" s="1425">
        <f t="shared" ca="1" si="1434"/>
        <v>1.79162706292327</v>
      </c>
      <c r="BW303" s="1425">
        <f t="shared" ca="1" si="1435"/>
        <v>1.4247954336716941</v>
      </c>
      <c r="BX303" s="1425">
        <f t="shared" ca="1" si="1436"/>
        <v>0.63469664860944031</v>
      </c>
      <c r="BY303" s="1425">
        <f t="shared" ca="1" si="1437"/>
        <v>0.51630767950387035</v>
      </c>
      <c r="BZ303" s="1425">
        <f t="shared" ca="1" si="1438"/>
        <v>0.28405368607727316</v>
      </c>
      <c r="CA303" s="1425">
        <f t="shared" ca="1" si="1439"/>
        <v>-0.31649125496099662</v>
      </c>
      <c r="CB303" s="1425">
        <f t="shared" ca="1" si="1440"/>
        <v>-0.60553823319223743</v>
      </c>
      <c r="CC303" s="1425">
        <f t="shared" ca="1" si="1441"/>
        <v>-0.53282301857755254</v>
      </c>
      <c r="CD303" s="1425">
        <f t="shared" ca="1" si="1442"/>
        <v>-0.62445819988956475</v>
      </c>
      <c r="CE303" s="1425">
        <f t="shared" ca="1" si="1443"/>
        <v>-0.39466249894399191</v>
      </c>
      <c r="CF303" s="1425">
        <f t="shared" ca="1" si="1444"/>
        <v>-0.6010525398623322</v>
      </c>
      <c r="CG303" s="1425">
        <f t="shared" ca="1" si="1445"/>
        <v>-0.75367050272562341</v>
      </c>
      <c r="CH303" s="1425">
        <f t="shared" ca="1" si="1446"/>
        <v>-0.89956162141625695</v>
      </c>
      <c r="CI303" s="1425">
        <f t="shared" ca="1" si="1447"/>
        <v>-1.5407722663430496</v>
      </c>
      <c r="CJ303" s="1425">
        <f t="shared" ca="1" si="1448"/>
        <v>-0.69171990321409405</v>
      </c>
      <c r="CK303" s="1425">
        <f t="shared" ca="1" si="1449"/>
        <v>-0.69588321746835424</v>
      </c>
      <c r="CL303" s="1425">
        <f t="shared" ca="1" si="1450"/>
        <v>-0.55181021281818154</v>
      </c>
      <c r="CM303" s="1425">
        <f t="shared" ca="1" si="1451"/>
        <v>-0.45961633041233613</v>
      </c>
      <c r="CN303" s="1425">
        <f t="shared" ca="1" si="1452"/>
        <v>-0.26723221723018364</v>
      </c>
      <c r="CO303" s="1425">
        <f t="shared" ca="1" si="1453"/>
        <v>2.8349945434703212E-2</v>
      </c>
      <c r="CP303" s="1425">
        <f t="shared" ca="1" si="1454"/>
        <v>0.47627621123218683</v>
      </c>
      <c r="CQ303" s="1425">
        <f t="shared" ca="1" si="1455"/>
        <v>1.6601372200333913</v>
      </c>
      <c r="CR303" s="1425">
        <f t="shared" ca="1" si="1456"/>
        <v>0.83718609603731509</v>
      </c>
      <c r="CS303" s="1425">
        <f t="shared" ca="1" si="1457"/>
        <v>0.5207872225642769</v>
      </c>
      <c r="CT303" s="1425">
        <f t="shared" ca="1" si="1458"/>
        <v>0.61108478375140984</v>
      </c>
      <c r="CU303" s="2910">
        <f t="shared" ca="1" si="1459"/>
        <v>0.15637813603442285</v>
      </c>
      <c r="CV303" s="2910">
        <f t="shared" ca="1" si="1460"/>
        <v>1.1755086744062849E-2</v>
      </c>
      <c r="CW303" s="2910">
        <f t="shared" ca="1" si="1461"/>
        <v>-0.17395231426853969</v>
      </c>
      <c r="CX303" s="2910">
        <f t="shared" ca="1" si="1462"/>
        <v>-0.49242648611536627</v>
      </c>
      <c r="CY303" s="2910">
        <f t="shared" ca="1" si="1463"/>
        <v>-0.38025091241982723</v>
      </c>
      <c r="CZ303" s="2910">
        <f t="shared" ca="1" si="1464"/>
        <v>-8.1001889462063062E-2</v>
      </c>
      <c r="DA303" s="2910">
        <f t="shared" ca="1" si="1465"/>
        <v>0.10201253862260752</v>
      </c>
      <c r="DB303" s="2910">
        <f t="shared" ca="1" si="1466"/>
        <v>-0.10844171050852021</v>
      </c>
    </row>
    <row r="304" spans="1:106" s="749" customFormat="1" ht="12.75" customHeight="1">
      <c r="A304" s="714"/>
      <c r="B304" s="714"/>
      <c r="C304" s="986"/>
      <c r="D304" s="724"/>
      <c r="E304" s="830" t="str">
        <f>+E282</f>
        <v>Unprocessed food</v>
      </c>
      <c r="F304" s="754"/>
      <c r="G304" s="2856"/>
      <c r="H304" s="2856"/>
      <c r="I304" s="2856"/>
      <c r="J304" s="2856"/>
      <c r="K304" s="2854"/>
      <c r="L304" s="2854"/>
      <c r="M304" s="2854"/>
      <c r="N304" s="2854"/>
      <c r="O304" s="2854">
        <f t="shared" ca="1" si="1381"/>
        <v>0.11991378379699823</v>
      </c>
      <c r="P304" s="2854">
        <f t="shared" ca="1" si="1382"/>
        <v>0.14326364749432671</v>
      </c>
      <c r="Q304" s="2854">
        <f t="shared" ca="1" si="1383"/>
        <v>0.45250608872612264</v>
      </c>
      <c r="R304" s="2854">
        <f t="shared" ca="1" si="1384"/>
        <v>0.38473640429661582</v>
      </c>
      <c r="S304" s="2854">
        <f t="shared" ca="1" si="1385"/>
        <v>0.23912208578294727</v>
      </c>
      <c r="T304" s="2854">
        <f t="shared" ca="1" si="1386"/>
        <v>0.36092591008137076</v>
      </c>
      <c r="U304" s="2854">
        <f t="shared" ca="1" si="1387"/>
        <v>0.1616397327094771</v>
      </c>
      <c r="V304" s="2854">
        <f t="shared" ca="1" si="1388"/>
        <v>0.14758637742393557</v>
      </c>
      <c r="W304" s="2854">
        <f t="shared" ca="1" si="1389"/>
        <v>0.33156972111553756</v>
      </c>
      <c r="X304" s="2854">
        <f t="shared" ca="1" si="1390"/>
        <v>1.2583883874570836E-2</v>
      </c>
      <c r="Y304" s="2854">
        <f t="shared" ca="1" si="1391"/>
        <v>-0.22418768690368965</v>
      </c>
      <c r="Z304" s="2854">
        <f t="shared" ca="1" si="1392"/>
        <v>-0.10291096811371533</v>
      </c>
      <c r="AA304" s="2854">
        <f t="shared" ca="1" si="1393"/>
        <v>-0.26654319576024466</v>
      </c>
      <c r="AB304" s="2854">
        <f t="shared" ca="1" si="1394"/>
        <v>-0.12061621948836405</v>
      </c>
      <c r="AC304" s="2854">
        <f t="shared" ca="1" si="1395"/>
        <v>0.25958290846432536</v>
      </c>
      <c r="AD304" s="2854">
        <f t="shared" ca="1" si="1396"/>
        <v>0.22643545996395517</v>
      </c>
      <c r="AE304" s="2854">
        <f t="shared" ca="1" si="1397"/>
        <v>0.34343152580222347</v>
      </c>
      <c r="AF304" s="2854">
        <f t="shared" ca="1" si="1398"/>
        <v>0.66915466151599368</v>
      </c>
      <c r="AG304" s="2854">
        <f t="shared" ca="1" si="1399"/>
        <v>0.56679059244945096</v>
      </c>
      <c r="AH304" s="2854">
        <f t="shared" ca="1" si="1400"/>
        <v>0.6103068337668488</v>
      </c>
      <c r="AI304" s="2854">
        <f t="shared" ca="1" si="1401"/>
        <v>0.74260374094528114</v>
      </c>
      <c r="AJ304" s="2854">
        <f t="shared" ca="1" si="1402"/>
        <v>0.15836891644329129</v>
      </c>
      <c r="AK304" s="2854">
        <f t="shared" ca="1" si="1403"/>
        <v>0.13096801300100036</v>
      </c>
      <c r="AL304" s="2854">
        <f t="shared" ca="1" si="1404"/>
        <v>5.4687821840895587E-2</v>
      </c>
      <c r="AM304" s="2854">
        <f t="shared" ca="1" si="1405"/>
        <v>-6.1833269304647463E-2</v>
      </c>
      <c r="AN304" s="2854">
        <f t="shared" ca="1" si="1406"/>
        <v>7.290324780496131E-2</v>
      </c>
      <c r="AO304" s="2854">
        <f t="shared" ca="1" si="1407"/>
        <v>0.32670800138552064</v>
      </c>
      <c r="AP304" s="2854">
        <f t="shared" ca="1" si="1408"/>
        <v>0.22704575790621592</v>
      </c>
      <c r="AQ304" s="2854">
        <f t="shared" ca="1" si="1409"/>
        <v>0.14668653763440853</v>
      </c>
      <c r="AR304" s="2854">
        <f t="shared" ca="1" si="1410"/>
        <v>0.16717143339951795</v>
      </c>
      <c r="AS304" s="2854">
        <f t="shared" ca="1" si="1411"/>
        <v>-9.1040552918643575E-2</v>
      </c>
      <c r="AT304" s="2854">
        <f t="shared" ca="1" si="1412"/>
        <v>7.9647298501761596E-2</v>
      </c>
      <c r="AU304" s="2854">
        <f t="shared" ca="1" si="1413"/>
        <v>0.13632786885245918</v>
      </c>
      <c r="AV304" s="2854">
        <f t="shared" ca="1" si="1414"/>
        <v>0.16932836562344775</v>
      </c>
      <c r="AW304" s="2854">
        <f t="shared" ca="1" si="1415"/>
        <v>0.12625111578947362</v>
      </c>
      <c r="AX304" s="2854">
        <f t="shared" ca="1" si="1416"/>
        <v>0.11747148081207137</v>
      </c>
      <c r="AY304" s="2854">
        <f t="shared" ca="1" si="1417"/>
        <v>0.14374711566264614</v>
      </c>
      <c r="AZ304" s="2854">
        <f t="shared" ca="1" si="1418"/>
        <v>0.11602954864815082</v>
      </c>
      <c r="BA304" s="2854">
        <f t="shared" ca="1" si="1419"/>
        <v>0.35018552358174737</v>
      </c>
      <c r="BB304" s="2854">
        <f t="shared" ca="1" si="1420"/>
        <v>0.44104170220454081</v>
      </c>
      <c r="BC304" s="2854">
        <f t="shared" ca="1" si="1421"/>
        <v>0.38298750612444704</v>
      </c>
      <c r="BD304" s="2854">
        <f t="shared" ca="1" si="1422"/>
        <v>0.2884043259235558</v>
      </c>
      <c r="BE304" s="2854">
        <f t="shared" ca="1" si="1423"/>
        <v>0.1590065572467517</v>
      </c>
      <c r="BF304" s="2854">
        <f t="shared" ca="1" si="1424"/>
        <v>0.17416738045656366</v>
      </c>
      <c r="BG304" s="2854">
        <f t="shared" ca="1" si="1424"/>
        <v>0.13567235188510005</v>
      </c>
      <c r="BH304" s="2854">
        <f t="shared" ca="1" si="1424"/>
        <v>0.26990541323750983</v>
      </c>
      <c r="BI304" s="2854">
        <f t="shared" ca="1" si="1425"/>
        <v>0.32197309417040143</v>
      </c>
      <c r="BJ304" s="2854">
        <f t="shared" ca="1" si="1425"/>
        <v>0.18779630556090007</v>
      </c>
      <c r="BK304" s="2854">
        <f t="shared" ca="1" si="1425"/>
        <v>0.326085397227662</v>
      </c>
      <c r="BL304" s="2854">
        <f t="shared" ca="1" si="1425"/>
        <v>5.6849066487072775E-2</v>
      </c>
      <c r="BM304" s="2854">
        <f t="shared" ca="1" si="1426"/>
        <v>-0.16521553762432153</v>
      </c>
      <c r="BN304" s="2854">
        <f t="shared" ca="1" si="1426"/>
        <v>-9.3947621914508242E-2</v>
      </c>
      <c r="BO304" s="2854">
        <f t="shared" ca="1" si="1427"/>
        <v>0.12637924364930286</v>
      </c>
      <c r="BP304" s="1425">
        <f t="shared" ca="1" si="1428"/>
        <v>0.21781292294092355</v>
      </c>
      <c r="BQ304" s="1425">
        <f t="shared" ca="1" si="1429"/>
        <v>0.38602911684315333</v>
      </c>
      <c r="BR304" s="1425">
        <f t="shared" ca="1" si="1430"/>
        <v>0.37591984768337477</v>
      </c>
      <c r="BS304" s="1425">
        <f t="shared" ca="1" si="1431"/>
        <v>8.5436873092021512E-2</v>
      </c>
      <c r="BT304" s="1425">
        <f t="shared" ca="1" si="1432"/>
        <v>-1.1710996240601077E-2</v>
      </c>
      <c r="BU304" s="1425">
        <f t="shared" ca="1" si="1433"/>
        <v>-3.061845850667809E-2</v>
      </c>
      <c r="BV304" s="1425">
        <f t="shared" ca="1" si="1434"/>
        <v>3.2276008569666843E-2</v>
      </c>
      <c r="BW304" s="1425">
        <f t="shared" ca="1" si="1435"/>
        <v>0.1346123033517114</v>
      </c>
      <c r="BX304" s="1425">
        <f t="shared" ca="1" si="1436"/>
        <v>0.23641365825422989</v>
      </c>
      <c r="BY304" s="1425">
        <f t="shared" ca="1" si="1437"/>
        <v>0.32001719233338272</v>
      </c>
      <c r="BZ304" s="1425">
        <f t="shared" ca="1" si="1438"/>
        <v>0.38042520336944485</v>
      </c>
      <c r="CA304" s="1425">
        <f t="shared" ca="1" si="1439"/>
        <v>0.38009301832071979</v>
      </c>
      <c r="CB304" s="1425">
        <f t="shared" ca="1" si="1440"/>
        <v>0.54347543403387766</v>
      </c>
      <c r="CC304" s="1425">
        <f t="shared" ca="1" si="1441"/>
        <v>0.35163850756775594</v>
      </c>
      <c r="CD304" s="1425">
        <f t="shared" ca="1" si="1442"/>
        <v>0.13332873261792264</v>
      </c>
      <c r="CE304" s="1425">
        <f t="shared" ca="1" si="1443"/>
        <v>3.849505218008193E-2</v>
      </c>
      <c r="CF304" s="1425">
        <f t="shared" ca="1" si="1444"/>
        <v>-0.14442798353909345</v>
      </c>
      <c r="CG304" s="1425">
        <f t="shared" ca="1" si="1445"/>
        <v>-0.15569795285150553</v>
      </c>
      <c r="CH304" s="1425">
        <f t="shared" ca="1" si="1446"/>
        <v>-0.17201045449916894</v>
      </c>
      <c r="CI304" s="1425">
        <f t="shared" ca="1" si="1447"/>
        <v>-7.0132004264778669E-2</v>
      </c>
      <c r="CJ304" s="1425">
        <f t="shared" ca="1" si="1448"/>
        <v>0.17747851741251813</v>
      </c>
      <c r="CK304" s="1425">
        <f t="shared" ca="1" si="1449"/>
        <v>0.22305152919516094</v>
      </c>
      <c r="CL304" s="1425">
        <f t="shared" ca="1" si="1450"/>
        <v>0.32138954680119941</v>
      </c>
      <c r="CM304" s="1425">
        <f t="shared" ca="1" si="1451"/>
        <v>0.24681051738761464</v>
      </c>
      <c r="CN304" s="1425">
        <f t="shared" ca="1" si="1452"/>
        <v>0.1992201879933207</v>
      </c>
      <c r="CO304" s="1425">
        <f t="shared" ca="1" si="1453"/>
        <v>0.18674650098540202</v>
      </c>
      <c r="CP304" s="1425">
        <f t="shared" ca="1" si="1454"/>
        <v>0.15632785467127869</v>
      </c>
      <c r="CQ304" s="1425">
        <f t="shared" ca="1" si="1455"/>
        <v>0.16308472397344437</v>
      </c>
      <c r="CR304" s="1425">
        <f t="shared" ca="1" si="1456"/>
        <v>-0.10947457885911525</v>
      </c>
      <c r="CS304" s="1425">
        <f t="shared" ca="1" si="1457"/>
        <v>-3.9606765424648291E-2</v>
      </c>
      <c r="CT304" s="1425">
        <f t="shared" ca="1" si="1458"/>
        <v>1.1647909085850689E-2</v>
      </c>
      <c r="CU304" s="2910">
        <f t="shared" ca="1" si="1459"/>
        <v>2.0198921891473626E-2</v>
      </c>
      <c r="CV304" s="2910">
        <f t="shared" ca="1" si="1460"/>
        <v>0.18745295359758735</v>
      </c>
      <c r="CW304" s="2910">
        <f t="shared" ca="1" si="1461"/>
        <v>0.2479398110172393</v>
      </c>
      <c r="CX304" s="2910">
        <f t="shared" ca="1" si="1462"/>
        <v>0.28104972592076838</v>
      </c>
      <c r="CY304" s="2910">
        <f t="shared" ca="1" si="1463"/>
        <v>0.33138380914151716</v>
      </c>
      <c r="CZ304" s="2910">
        <f t="shared" ca="1" si="1464"/>
        <v>0.1876990924129881</v>
      </c>
      <c r="DA304" s="2910">
        <f t="shared" ca="1" si="1465"/>
        <v>0.13591453490484612</v>
      </c>
      <c r="DB304" s="2910">
        <f t="shared" ca="1" si="1466"/>
        <v>0.11728502097789829</v>
      </c>
    </row>
    <row r="305" spans="1:106" s="749" customFormat="1" ht="12.75" customHeight="1">
      <c r="A305" s="714"/>
      <c r="B305" s="714"/>
      <c r="C305" s="986"/>
      <c r="D305" s="724"/>
      <c r="E305" s="830" t="str">
        <f>+E283</f>
        <v>Processed food (incl. Alcohol and tobacco)</v>
      </c>
      <c r="F305" s="754"/>
      <c r="G305" s="2856"/>
      <c r="H305" s="2856"/>
      <c r="I305" s="2856"/>
      <c r="J305" s="2856"/>
      <c r="K305" s="2854"/>
      <c r="L305" s="2854"/>
      <c r="M305" s="2854"/>
      <c r="N305" s="2854"/>
      <c r="O305" s="2854">
        <f t="shared" ca="1" si="1381"/>
        <v>0.21303444440404665</v>
      </c>
      <c r="P305" s="2854">
        <f t="shared" ca="1" si="1382"/>
        <v>0.27622108956722469</v>
      </c>
      <c r="Q305" s="2854">
        <f t="shared" ca="1" si="1383"/>
        <v>0.40694913607380251</v>
      </c>
      <c r="R305" s="2854">
        <f t="shared" ca="1" si="1384"/>
        <v>0.39468128659890134</v>
      </c>
      <c r="S305" s="2854">
        <f t="shared" ca="1" si="1385"/>
        <v>0.35288594680665419</v>
      </c>
      <c r="T305" s="2854">
        <f t="shared" ca="1" si="1386"/>
        <v>0.24890593157782789</v>
      </c>
      <c r="U305" s="2854">
        <f t="shared" ca="1" si="1387"/>
        <v>0.15093900568366375</v>
      </c>
      <c r="V305" s="2854">
        <f t="shared" ca="1" si="1388"/>
        <v>6.9123176893103835E-2</v>
      </c>
      <c r="W305" s="2854">
        <f t="shared" ca="1" si="1389"/>
        <v>6.3690508870927587E-2</v>
      </c>
      <c r="X305" s="2854">
        <f t="shared" ca="1" si="1390"/>
        <v>0.11445232522641698</v>
      </c>
      <c r="Y305" s="2854">
        <f t="shared" ca="1" si="1391"/>
        <v>8.7410036533383917E-2</v>
      </c>
      <c r="Z305" s="2854">
        <f t="shared" ca="1" si="1392"/>
        <v>9.1767700350200238E-2</v>
      </c>
      <c r="AA305" s="2854">
        <f t="shared" ca="1" si="1393"/>
        <v>0.12604621157594326</v>
      </c>
      <c r="AB305" s="2854">
        <f t="shared" ca="1" si="1394"/>
        <v>0.16264414379881911</v>
      </c>
      <c r="AC305" s="2854">
        <f t="shared" ca="1" si="1395"/>
        <v>0.1683315659656954</v>
      </c>
      <c r="AD305" s="2854">
        <f t="shared" ca="1" si="1396"/>
        <v>0.2084616571887733</v>
      </c>
      <c r="AE305" s="2854">
        <f t="shared" ca="1" si="1397"/>
        <v>0.18869388061945272</v>
      </c>
      <c r="AF305" s="2854">
        <f t="shared" ca="1" si="1398"/>
        <v>0.20482689527987144</v>
      </c>
      <c r="AG305" s="2854">
        <f t="shared" ca="1" si="1399"/>
        <v>0.31157245258599603</v>
      </c>
      <c r="AH305" s="2854">
        <f t="shared" ca="1" si="1400"/>
        <v>0.32474330091306208</v>
      </c>
      <c r="AI305" s="2854">
        <f t="shared" ca="1" si="1401"/>
        <v>0.25150266302860452</v>
      </c>
      <c r="AJ305" s="2854">
        <f t="shared" ca="1" si="1402"/>
        <v>0.17917161875327464</v>
      </c>
      <c r="AK305" s="2854">
        <f t="shared" ca="1" si="1403"/>
        <v>0.12768516315352932</v>
      </c>
      <c r="AL305" s="2854">
        <f t="shared" ca="1" si="1404"/>
        <v>0.15073724615428147</v>
      </c>
      <c r="AM305" s="2854">
        <f t="shared" ca="1" si="1405"/>
        <v>0.2961869745869174</v>
      </c>
      <c r="AN305" s="2854">
        <f t="shared" ca="1" si="1406"/>
        <v>0.38574483491021305</v>
      </c>
      <c r="AO305" s="2854">
        <f t="shared" ca="1" si="1407"/>
        <v>0.3503058981619252</v>
      </c>
      <c r="AP305" s="2854">
        <f t="shared" ca="1" si="1408"/>
        <v>0.28103687097543489</v>
      </c>
      <c r="AQ305" s="2854">
        <f t="shared" ca="1" si="1409"/>
        <v>0.28082971902696657</v>
      </c>
      <c r="AR305" s="2854">
        <f t="shared" ca="1" si="1410"/>
        <v>0.27517534835874075</v>
      </c>
      <c r="AS305" s="2854">
        <f t="shared" ca="1" si="1411"/>
        <v>0.26484824467341117</v>
      </c>
      <c r="AT305" s="2854">
        <f t="shared" ca="1" si="1412"/>
        <v>0.24569597837737181</v>
      </c>
      <c r="AU305" s="2854">
        <f t="shared" ca="1" si="1413"/>
        <v>0.27856393956145303</v>
      </c>
      <c r="AV305" s="2854">
        <f t="shared" ca="1" si="1414"/>
        <v>0.26873093801426295</v>
      </c>
      <c r="AW305" s="2854">
        <f t="shared" ca="1" si="1415"/>
        <v>0.20564957576863599</v>
      </c>
      <c r="AX305" s="2854">
        <f t="shared" ca="1" si="1416"/>
        <v>0.22344296282765644</v>
      </c>
      <c r="AY305" s="2854">
        <f t="shared" ca="1" si="1417"/>
        <v>0.13246947110864821</v>
      </c>
      <c r="AZ305" s="2854">
        <f t="shared" ca="1" si="1418"/>
        <v>0.16734090882156125</v>
      </c>
      <c r="BA305" s="2854">
        <f t="shared" ca="1" si="1419"/>
        <v>0.29980978824902382</v>
      </c>
      <c r="BB305" s="2854">
        <f t="shared" ca="1" si="1420"/>
        <v>0.36618550449122439</v>
      </c>
      <c r="BC305" s="2854">
        <f t="shared" ca="1" si="1421"/>
        <v>0.42691696718757133</v>
      </c>
      <c r="BD305" s="2854">
        <f t="shared" ca="1" si="1422"/>
        <v>0.49406930300224833</v>
      </c>
      <c r="BE305" s="2854">
        <f t="shared" ca="1" si="1423"/>
        <v>0.50886796413732904</v>
      </c>
      <c r="BF305" s="2854">
        <f t="shared" ca="1" si="1424"/>
        <v>0.78368429062132794</v>
      </c>
      <c r="BG305" s="2854">
        <f t="shared" ca="1" si="1424"/>
        <v>1.0578718356470527</v>
      </c>
      <c r="BH305" s="2854">
        <f t="shared" ca="1" si="1424"/>
        <v>1.0570699682539662</v>
      </c>
      <c r="BI305" s="2854">
        <f t="shared" ca="1" si="1425"/>
        <v>1.0359579750870289</v>
      </c>
      <c r="BJ305" s="2854">
        <f t="shared" ca="1" si="1425"/>
        <v>0.7125580484621058</v>
      </c>
      <c r="BK305" s="2854">
        <f t="shared" ca="1" si="1425"/>
        <v>0.40079355273058653</v>
      </c>
      <c r="BL305" s="2854">
        <f t="shared" ca="1" si="1425"/>
        <v>0.2352711599968805</v>
      </c>
      <c r="BM305" s="2854">
        <f t="shared" ca="1" si="1426"/>
        <v>0.12895471084617111</v>
      </c>
      <c r="BN305" s="2854">
        <f t="shared" ca="1" si="1426"/>
        <v>8.1296697785662161E-2</v>
      </c>
      <c r="BO305" s="2854">
        <f t="shared" ca="1" si="1427"/>
        <v>6.3161384276835916E-2</v>
      </c>
      <c r="BP305" s="1425">
        <f t="shared" ca="1" si="1428"/>
        <v>8.9012741362858611E-2</v>
      </c>
      <c r="BQ305" s="1425">
        <f t="shared" ca="1" si="1429"/>
        <v>0.16563785622776989</v>
      </c>
      <c r="BR305" s="1425">
        <f t="shared" ca="1" si="1430"/>
        <v>0.22726745786319869</v>
      </c>
      <c r="BS305" s="1425">
        <f t="shared" ca="1" si="1431"/>
        <v>0.30826177470491711</v>
      </c>
      <c r="BT305" s="1425">
        <f t="shared" ca="1" si="1432"/>
        <v>0.40853031109759119</v>
      </c>
      <c r="BU305" s="1425">
        <f t="shared" ca="1" si="1433"/>
        <v>0.47110499829732594</v>
      </c>
      <c r="BV305" s="1425">
        <f t="shared" ca="1" si="1434"/>
        <v>0.48900994612515469</v>
      </c>
      <c r="BW305" s="1425">
        <f t="shared" ca="1" si="1435"/>
        <v>0.46417872858791309</v>
      </c>
      <c r="BX305" s="1425">
        <f t="shared" ca="1" si="1436"/>
        <v>0.37611566398467006</v>
      </c>
      <c r="BY305" s="1425">
        <f t="shared" ca="1" si="1437"/>
        <v>0.35421296181001977</v>
      </c>
      <c r="BZ305" s="1425">
        <f t="shared" ca="1" si="1438"/>
        <v>0.42269069963426853</v>
      </c>
      <c r="CA305" s="1425">
        <f t="shared" ca="1" si="1439"/>
        <v>0.45508041995887016</v>
      </c>
      <c r="CB305" s="1425">
        <f t="shared" ca="1" si="1440"/>
        <v>0.45891762087655569</v>
      </c>
      <c r="CC305" s="1425">
        <f t="shared" ca="1" si="1441"/>
        <v>0.41063870094722466</v>
      </c>
      <c r="CD305" s="1425">
        <f t="shared" ca="1" si="1442"/>
        <v>0.37282742583327566</v>
      </c>
      <c r="CE305" s="1425">
        <f t="shared" ca="1" si="1443"/>
        <v>0.29884992850417003</v>
      </c>
      <c r="CF305" s="1425">
        <f t="shared" ca="1" si="1444"/>
        <v>0.37423699181351239</v>
      </c>
      <c r="CG305" s="1425">
        <f t="shared" ca="1" si="1445"/>
        <v>0.31451181102362169</v>
      </c>
      <c r="CH305" s="1425">
        <f t="shared" ca="1" si="1446"/>
        <v>0.16639843749999875</v>
      </c>
      <c r="CI305" s="1425">
        <f t="shared" ca="1" si="1447"/>
        <v>0.16763217785708956</v>
      </c>
      <c r="CJ305" s="1425">
        <f t="shared" ca="1" si="1448"/>
        <v>0.15874671065306462</v>
      </c>
      <c r="CK305" s="1425">
        <f t="shared" ca="1" si="1449"/>
        <v>0.1830487039051901</v>
      </c>
      <c r="CL305" s="1425">
        <f t="shared" ca="1" si="1450"/>
        <v>0.32505879298088775</v>
      </c>
      <c r="CM305" s="1425">
        <f t="shared" ca="1" si="1451"/>
        <v>0.49828074785244858</v>
      </c>
      <c r="CN305" s="1425">
        <f t="shared" ca="1" si="1452"/>
        <v>0.50459841942045414</v>
      </c>
      <c r="CO305" s="1425">
        <f t="shared" ca="1" si="1453"/>
        <v>0.45867351149865071</v>
      </c>
      <c r="CP305" s="1425">
        <f t="shared" ca="1" si="1454"/>
        <v>0.3508002510073322</v>
      </c>
      <c r="CQ305" s="1425">
        <f t="shared" ca="1" si="1455"/>
        <v>0.20986256888477955</v>
      </c>
      <c r="CR305" s="1425">
        <f t="shared" ca="1" si="1456"/>
        <v>0.25262721395840887</v>
      </c>
      <c r="CS305" s="1425">
        <f t="shared" ca="1" si="1457"/>
        <v>0.33703489577747886</v>
      </c>
      <c r="CT305" s="1425">
        <f t="shared" ca="1" si="1458"/>
        <v>0.35491050133245489</v>
      </c>
      <c r="CU305" s="2910">
        <f t="shared" ca="1" si="1459"/>
        <v>0.48647326136587504</v>
      </c>
      <c r="CV305" s="2910">
        <f t="shared" ca="1" si="1460"/>
        <v>0.42216067977541671</v>
      </c>
      <c r="CW305" s="2910">
        <f t="shared" ca="1" si="1461"/>
        <v>0.40417985240191068</v>
      </c>
      <c r="CX305" s="2910">
        <f t="shared" ca="1" si="1462"/>
        <v>0.27519198206484485</v>
      </c>
      <c r="CY305" s="2910">
        <f t="shared" ca="1" si="1463"/>
        <v>0.1342497337079957</v>
      </c>
      <c r="CZ305" s="2910">
        <f t="shared" ca="1" si="1464"/>
        <v>0.15427600360661847</v>
      </c>
      <c r="DA305" s="2910">
        <f t="shared" ca="1" si="1465"/>
        <v>0.41422979851821662</v>
      </c>
      <c r="DB305" s="2910">
        <f t="shared" ca="1" si="1466"/>
        <v>0.63794376137995068</v>
      </c>
    </row>
    <row r="306" spans="1:106">
      <c r="C306" s="907"/>
      <c r="D306" s="908"/>
      <c r="E306" s="2862" t="str">
        <f>+E284</f>
        <v>Services</v>
      </c>
      <c r="F306" s="908"/>
      <c r="G306" s="2863"/>
      <c r="H306" s="2863"/>
      <c r="I306" s="2863"/>
      <c r="J306" s="2863"/>
      <c r="K306" s="2864"/>
      <c r="L306" s="2864"/>
      <c r="M306" s="2864"/>
      <c r="N306" s="2864"/>
      <c r="O306" s="2864">
        <f t="shared" ca="1" si="1381"/>
        <v>0.66184957294348934</v>
      </c>
      <c r="P306" s="2864">
        <f t="shared" ca="1" si="1382"/>
        <v>0.57019674374075835</v>
      </c>
      <c r="Q306" s="2864">
        <f t="shared" ca="1" si="1383"/>
        <v>0.50685668848003262</v>
      </c>
      <c r="R306" s="2864">
        <f t="shared" ca="1" si="1384"/>
        <v>0.33407142446524329</v>
      </c>
      <c r="S306" s="2864">
        <f t="shared" ca="1" si="1385"/>
        <v>0.50633492051978979</v>
      </c>
      <c r="T306" s="2864">
        <f t="shared" ca="1" si="1386"/>
        <v>0.45179842351752902</v>
      </c>
      <c r="U306" s="2864">
        <f t="shared" ca="1" si="1387"/>
        <v>0.57981384550321358</v>
      </c>
      <c r="V306" s="2864">
        <f t="shared" ca="1" si="1388"/>
        <v>0.49958006217109852</v>
      </c>
      <c r="W306" s="2864">
        <f t="shared" ca="1" si="1389"/>
        <v>0.43500969482782842</v>
      </c>
      <c r="X306" s="2864">
        <f t="shared" ca="1" si="1390"/>
        <v>0.46867866666667052</v>
      </c>
      <c r="Y306" s="2864">
        <f t="shared" ca="1" si="1391"/>
        <v>0.40324919614147359</v>
      </c>
      <c r="Z306" s="2864">
        <f t="shared" ca="1" si="1392"/>
        <v>0.55358486630001624</v>
      </c>
      <c r="AA306" s="2864">
        <f t="shared" ca="1" si="1393"/>
        <v>0.6695019926478275</v>
      </c>
      <c r="AB306" s="2864">
        <f t="shared" ca="1" si="1394"/>
        <v>0.76579226703746617</v>
      </c>
      <c r="AC306" s="2864">
        <f t="shared" ca="1" si="1395"/>
        <v>0.90596359169185248</v>
      </c>
      <c r="AD306" s="2864">
        <f t="shared" ca="1" si="1396"/>
        <v>0.60164602787239352</v>
      </c>
      <c r="AE306" s="2864">
        <f t="shared" ca="1" si="1397"/>
        <v>0.55348212226066429</v>
      </c>
      <c r="AF306" s="2864">
        <f t="shared" ca="1" si="1398"/>
        <v>0.62409608247421933</v>
      </c>
      <c r="AG306" s="2864">
        <f t="shared" ca="1" si="1399"/>
        <v>0.73909797956866963</v>
      </c>
      <c r="AH306" s="2864">
        <f t="shared" ca="1" si="1400"/>
        <v>1.1071199707388515</v>
      </c>
      <c r="AI306" s="2864">
        <f t="shared" ca="1" si="1401"/>
        <v>1.3047752295704806</v>
      </c>
      <c r="AJ306" s="2864">
        <f t="shared" ca="1" si="1402"/>
        <v>1.0053931304384762</v>
      </c>
      <c r="AK306" s="2864">
        <f t="shared" ca="1" si="1403"/>
        <v>0.96826535789616563</v>
      </c>
      <c r="AL306" s="2864">
        <f t="shared" ca="1" si="1404"/>
        <v>0.60225602256022559</v>
      </c>
      <c r="AM306" s="2864">
        <f t="shared" ca="1" si="1405"/>
        <v>0.44328052529867407</v>
      </c>
      <c r="AN306" s="2864">
        <f t="shared" ca="1" si="1406"/>
        <v>0.82475621956034317</v>
      </c>
      <c r="AO306" s="2864">
        <f t="shared" ca="1" si="1407"/>
        <v>0.67067979868101535</v>
      </c>
      <c r="AP306" s="2864">
        <f t="shared" ca="1" si="1408"/>
        <v>0.9014656415185065</v>
      </c>
      <c r="AQ306" s="2864">
        <f t="shared" ca="1" si="1409"/>
        <v>0.85704193254329908</v>
      </c>
      <c r="AR306" s="2864">
        <f t="shared" ca="1" si="1410"/>
        <v>0.75562751159196506</v>
      </c>
      <c r="AS306" s="2864">
        <f t="shared" ca="1" si="1411"/>
        <v>0.82716163682864086</v>
      </c>
      <c r="AT306" s="2864">
        <f t="shared" ca="1" si="1412"/>
        <v>0.74761580137365491</v>
      </c>
      <c r="AU306" s="2864">
        <f t="shared" ca="1" si="1413"/>
        <v>0.87396829640947149</v>
      </c>
      <c r="AV306" s="2864">
        <f t="shared" ca="1" si="1414"/>
        <v>0.69145378787879141</v>
      </c>
      <c r="AW306" s="2864">
        <f t="shared" ca="1" si="1415"/>
        <v>0.771268643643644</v>
      </c>
      <c r="AX306" s="2864">
        <f t="shared" ca="1" si="1416"/>
        <v>0.84252867361024397</v>
      </c>
      <c r="AY306" s="2864">
        <f t="shared" ca="1" si="1417"/>
        <v>0.75474306234083122</v>
      </c>
      <c r="AZ306" s="2864">
        <f t="shared" ca="1" si="1418"/>
        <v>0.84408290979346778</v>
      </c>
      <c r="BA306" s="2864">
        <f t="shared" ca="1" si="1419"/>
        <v>0.85942164746752714</v>
      </c>
      <c r="BB306" s="2864">
        <f t="shared" ca="1" si="1420"/>
        <v>0.66877947457269415</v>
      </c>
      <c r="BC306" s="2864">
        <f t="shared" ca="1" si="1421"/>
        <v>0.7579681210100393</v>
      </c>
      <c r="BD306" s="2864">
        <f t="shared" ca="1" si="1422"/>
        <v>0.8052500909495226</v>
      </c>
      <c r="BE306" s="2864">
        <f t="shared" ca="1" si="1423"/>
        <v>0.67563501957963767</v>
      </c>
      <c r="BF306" s="2864">
        <f t="shared" ca="1" si="1424"/>
        <v>0.63275491417774743</v>
      </c>
      <c r="BG306" s="2864">
        <f t="shared" ca="1" si="1424"/>
        <v>0.61810343590560979</v>
      </c>
      <c r="BH306" s="2864">
        <f t="shared" ca="1" si="1424"/>
        <v>0.58868133607725048</v>
      </c>
      <c r="BI306" s="2864">
        <f t="shared" ca="1" si="1425"/>
        <v>0.9648913444553483</v>
      </c>
      <c r="BJ306" s="2864">
        <f t="shared" ca="1" si="1425"/>
        <v>1.1922774066020938</v>
      </c>
      <c r="BK306" s="2864">
        <f t="shared" ca="1" si="1425"/>
        <v>1.1256254459909794</v>
      </c>
      <c r="BL306" s="2864">
        <f t="shared" ca="1" si="1425"/>
        <v>1.1737467274427316</v>
      </c>
      <c r="BM306" s="2864">
        <f t="shared" ca="1" si="1426"/>
        <v>0.93275363483317453</v>
      </c>
      <c r="BN306" s="2864">
        <f t="shared" ca="1" si="1426"/>
        <v>0.70930697923849506</v>
      </c>
      <c r="BO306" s="2864">
        <f t="shared" ca="1" si="1427"/>
        <v>0.52084384385661131</v>
      </c>
      <c r="BP306" s="2869">
        <f t="shared" ca="1" si="1428"/>
        <v>0.50686677269204827</v>
      </c>
      <c r="BQ306" s="2869">
        <f t="shared" ca="1" si="1429"/>
        <v>0.45422921036757419</v>
      </c>
      <c r="BR306" s="2869">
        <f t="shared" ca="1" si="1430"/>
        <v>0.63697115077567124</v>
      </c>
      <c r="BS306" s="2869">
        <f t="shared" ca="1" si="1431"/>
        <v>0.85025192415993733</v>
      </c>
      <c r="BT306" s="2869">
        <f t="shared" ca="1" si="1432"/>
        <v>0.70318014089231884</v>
      </c>
      <c r="BU306" s="2869">
        <f t="shared" ca="1" si="1433"/>
        <v>0.73146883068977842</v>
      </c>
      <c r="BV306" s="2869">
        <f t="shared" ca="1" si="1434"/>
        <v>0.68462420052496786</v>
      </c>
      <c r="BW306" s="2869">
        <f t="shared" ca="1" si="1435"/>
        <v>0.98313642015267166</v>
      </c>
      <c r="BX306" s="2869">
        <f t="shared" ca="1" si="1436"/>
        <v>1.0040659744762774</v>
      </c>
      <c r="BY306" s="2869">
        <f t="shared" ca="1" si="1437"/>
        <v>1.0014545555244134</v>
      </c>
      <c r="BZ306" s="2869">
        <f t="shared" ca="1" si="1438"/>
        <v>0.98925323591569769</v>
      </c>
      <c r="CA306" s="2869">
        <f t="shared" ca="1" si="1439"/>
        <v>0.71285221286507816</v>
      </c>
      <c r="CB306" s="2869">
        <f t="shared" ca="1" si="1440"/>
        <v>0.65916371618245351</v>
      </c>
      <c r="CC306" s="2869">
        <f t="shared" ca="1" si="1441"/>
        <v>0.7607876809036308</v>
      </c>
      <c r="CD306" s="2869">
        <f t="shared" ca="1" si="1442"/>
        <v>0.84071003401360545</v>
      </c>
      <c r="CE306" s="2869">
        <f t="shared" ca="1" si="1443"/>
        <v>0.85608138552521174</v>
      </c>
      <c r="CF306" s="2869">
        <f t="shared" ca="1" si="1444"/>
        <v>0.98009703352641808</v>
      </c>
      <c r="CG306" s="2869">
        <f t="shared" ca="1" si="1445"/>
        <v>0.88742898701298589</v>
      </c>
      <c r="CH306" s="2869">
        <f t="shared" ca="1" si="1446"/>
        <v>0.83549458784346453</v>
      </c>
      <c r="CI306" s="2869">
        <f t="shared" ca="1" si="1447"/>
        <v>0.97605262308351382</v>
      </c>
      <c r="CJ306" s="2869">
        <f t="shared" ca="1" si="1448"/>
        <v>0.9676386031100157</v>
      </c>
      <c r="CK306" s="2869">
        <f t="shared" ca="1" si="1449"/>
        <v>0.94293108361424971</v>
      </c>
      <c r="CL306" s="2869">
        <f t="shared" ca="1" si="1450"/>
        <v>1.056760338268955</v>
      </c>
      <c r="CM306" s="2869">
        <f t="shared" ca="1" si="1451"/>
        <v>0.99620668304337867</v>
      </c>
      <c r="CN306" s="2869">
        <f t="shared" ca="1" si="1452"/>
        <v>1.0275746076364467</v>
      </c>
      <c r="CO306" s="2869">
        <f t="shared" ca="1" si="1453"/>
        <v>0.99836593279258279</v>
      </c>
      <c r="CP306" s="2869">
        <f t="shared" ca="1" si="1454"/>
        <v>0.76552690842854443</v>
      </c>
      <c r="CQ306" s="2869">
        <f t="shared" ca="1" si="1455"/>
        <v>0.77530311331770674</v>
      </c>
      <c r="CR306" s="2869">
        <f t="shared" ca="1" si="1456"/>
        <v>0.81738392600718013</v>
      </c>
      <c r="CS306" s="2869">
        <f t="shared" ca="1" si="1457"/>
        <v>0.82835114202876248</v>
      </c>
      <c r="CT306" s="2869">
        <f t="shared" ca="1" si="1458"/>
        <v>0.80284948614404972</v>
      </c>
      <c r="CU306" s="3930">
        <f t="shared" ca="1" si="1459"/>
        <v>0.6508190495533378</v>
      </c>
      <c r="CV306" s="3930">
        <f t="shared" ca="1" si="1460"/>
        <v>0.79225336070541785</v>
      </c>
      <c r="CW306" s="3930">
        <f t="shared" ca="1" si="1461"/>
        <v>0.89864333033268895</v>
      </c>
      <c r="CX306" s="3930">
        <f t="shared" ca="1" si="1462"/>
        <v>0.96680396528108248</v>
      </c>
      <c r="CY306" s="3930">
        <f t="shared" ca="1" si="1463"/>
        <v>0.98144200715472374</v>
      </c>
      <c r="CZ306" s="3930">
        <f t="shared" ca="1" si="1464"/>
        <v>0.85861259914886312</v>
      </c>
      <c r="DA306" s="3930">
        <f t="shared" ca="1" si="1465"/>
        <v>1.0589630808487456</v>
      </c>
      <c r="DB306" s="3930">
        <f t="shared" ca="1" si="1466"/>
        <v>0.81311294909312126</v>
      </c>
    </row>
    <row r="307" spans="1:106" customFormat="1">
      <c r="A307" s="714"/>
      <c r="B307" s="715"/>
      <c r="C307" s="558"/>
      <c r="D307" s="1880"/>
      <c r="E307" s="45" t="str">
        <f>+E286</f>
        <v>HICP</v>
      </c>
      <c r="F307" s="1387"/>
      <c r="G307" s="2857"/>
      <c r="H307" s="1428"/>
      <c r="I307" s="1428"/>
      <c r="J307" s="1428"/>
      <c r="K307" s="2859"/>
      <c r="L307" s="2859"/>
      <c r="M307" s="2859"/>
      <c r="N307" s="2859"/>
      <c r="O307" s="2859">
        <f t="shared" ca="1" si="1381"/>
        <v>0</v>
      </c>
      <c r="P307" s="2859">
        <f t="shared" ca="1" si="1382"/>
        <v>0</v>
      </c>
      <c r="Q307" s="2859">
        <f t="shared" ca="1" si="1383"/>
        <v>0</v>
      </c>
      <c r="R307" s="2859">
        <f t="shared" ca="1" si="1384"/>
        <v>-0.79595534588396788</v>
      </c>
      <c r="S307" s="2859">
        <f t="shared" ca="1" si="1385"/>
        <v>-1.0997172983962287</v>
      </c>
      <c r="T307" s="2859">
        <f t="shared" ca="1" si="1386"/>
        <v>-0.87924028509510777</v>
      </c>
      <c r="U307" s="2859">
        <f t="shared" ca="1" si="1387"/>
        <v>-1.131264603212216</v>
      </c>
      <c r="V307" s="2859">
        <f t="shared" ca="1" si="1388"/>
        <v>-1.4186298989968265</v>
      </c>
      <c r="W307" s="2859">
        <f t="shared" ca="1" si="1389"/>
        <v>0.77792629369079691</v>
      </c>
      <c r="X307" s="2859">
        <f t="shared" ca="1" si="1390"/>
        <v>0.83202755106168524</v>
      </c>
      <c r="Y307" s="2859">
        <f t="shared" ca="1" si="1391"/>
        <v>0.89357903325056043</v>
      </c>
      <c r="Z307" s="2859">
        <f t="shared" ca="1" si="1392"/>
        <v>1.625439268040864</v>
      </c>
      <c r="AA307" s="2859">
        <f t="shared" ca="1" si="1393"/>
        <v>1.7148209760495092</v>
      </c>
      <c r="AB307" s="2859">
        <f t="shared" ca="1" si="1394"/>
        <v>2.5509657045716665</v>
      </c>
      <c r="AC307" s="2859">
        <f t="shared" ca="1" si="1395"/>
        <v>3.0959698139033662</v>
      </c>
      <c r="AD307" s="2859">
        <f t="shared" ca="1" si="1396"/>
        <v>3.4454781088108604</v>
      </c>
      <c r="AE307" s="2859">
        <f t="shared" ca="1" si="1397"/>
        <v>2.5208458286664523</v>
      </c>
      <c r="AF307" s="2859">
        <f t="shared" ca="1" si="1398"/>
        <v>3.0860589227049928</v>
      </c>
      <c r="AG307" s="2859">
        <f t="shared" ca="1" si="1399"/>
        <v>2.4448982571037452</v>
      </c>
      <c r="AH307" s="2859">
        <f t="shared" ca="1" si="1400"/>
        <v>1.9900943423917712</v>
      </c>
      <c r="AI307" s="2859">
        <f t="shared" ca="1" si="1401"/>
        <v>2.5608459007842868</v>
      </c>
      <c r="AJ307" s="2859">
        <f t="shared" ca="1" si="1402"/>
        <v>1.2865604940332673</v>
      </c>
      <c r="AK307" s="2859">
        <f t="shared" ca="1" si="1403"/>
        <v>1.2143198811191098</v>
      </c>
      <c r="AL307" s="2859">
        <f t="shared" ca="1" si="1404"/>
        <v>1.2008212562827083</v>
      </c>
      <c r="AM307" s="2859">
        <f t="shared" ca="1" si="1405"/>
        <v>1.5206401051051728</v>
      </c>
      <c r="AN307" s="2859">
        <f t="shared" ca="1" si="1406"/>
        <v>1.3171531927774962</v>
      </c>
      <c r="AO307" s="2859">
        <f t="shared" ca="1" si="1407"/>
        <v>1.5862249310374636</v>
      </c>
      <c r="AP307" s="2859">
        <f t="shared" ca="1" si="1408"/>
        <v>1.6503449874274592</v>
      </c>
      <c r="AQ307" s="2859">
        <f t="shared" ca="1" si="1409"/>
        <v>1.1497454919635004</v>
      </c>
      <c r="AR307" s="2859">
        <f t="shared" ca="1" si="1410"/>
        <v>2.020594086412757</v>
      </c>
      <c r="AS307" s="2859">
        <f t="shared" ca="1" si="1411"/>
        <v>1.9683376110190378</v>
      </c>
      <c r="AT307" s="2859">
        <f t="shared" ca="1" si="1412"/>
        <v>2.2963235348713482</v>
      </c>
      <c r="AU307" s="2859">
        <f t="shared" ca="1" si="1413"/>
        <v>6.4681532120743412</v>
      </c>
      <c r="AV307" s="2859">
        <f t="shared" ca="1" si="1414"/>
        <v>6.5645381928422779</v>
      </c>
      <c r="AW307" s="2859">
        <f t="shared" ca="1" si="1415"/>
        <v>6.9193676394867802</v>
      </c>
      <c r="AX307" s="2859">
        <f t="shared" ca="1" si="1416"/>
        <v>6.5557787903274232</v>
      </c>
      <c r="AY307" s="2859">
        <f t="shared" ca="1" si="1417"/>
        <v>2.5911609360395715</v>
      </c>
      <c r="AZ307" s="2859">
        <f t="shared" ca="1" si="1418"/>
        <v>2.6107328014632856</v>
      </c>
      <c r="BA307" s="2859">
        <f t="shared" ca="1" si="1419"/>
        <v>2.2442141488917713</v>
      </c>
      <c r="BB307" s="2859">
        <f t="shared" ca="1" si="1420"/>
        <v>1.9657789384395699</v>
      </c>
      <c r="BC307" s="2859">
        <f t="shared" ca="1" si="1421"/>
        <v>1.7606242676932311</v>
      </c>
      <c r="BD307" s="2859">
        <f t="shared" ca="1" si="1422"/>
        <v>1.4567985244481747</v>
      </c>
      <c r="BE307" s="2859">
        <f t="shared" ca="1" si="1423"/>
        <v>1.295223401260472</v>
      </c>
      <c r="BF307" s="2859">
        <f t="shared" ca="1" si="1424"/>
        <v>2.7224137901504406</v>
      </c>
      <c r="BG307" s="2859">
        <f t="shared" ca="1" si="1424"/>
        <v>3.8640081892853999</v>
      </c>
      <c r="BH307" s="2859">
        <f t="shared" ca="1" si="1424"/>
        <v>4.9997970683699862</v>
      </c>
      <c r="BI307" s="2859">
        <f t="shared" ca="1" si="1425"/>
        <v>5.6013984798336907</v>
      </c>
      <c r="BJ307" s="2859">
        <f t="shared" ca="1" si="1425"/>
        <v>3.5810050699457605</v>
      </c>
      <c r="BK307" s="2859">
        <f t="shared" ca="1" si="1425"/>
        <v>1.5734517538495967</v>
      </c>
      <c r="BL307" s="2859">
        <f t="shared" ca="1" si="1425"/>
        <v>-0.15741479237877343</v>
      </c>
      <c r="BM307" s="2859">
        <f t="shared" ca="1" si="1426"/>
        <v>-1.121261630574935</v>
      </c>
      <c r="BN307" s="2859">
        <f t="shared" ca="1" si="1426"/>
        <v>-0.15017496951111298</v>
      </c>
      <c r="BO307" s="2859">
        <f t="shared" ca="1" si="1427"/>
        <v>1.1469483068960358</v>
      </c>
      <c r="BP307" s="846">
        <f t="shared" ca="1" si="1428"/>
        <v>2.3695570498486944</v>
      </c>
      <c r="BQ307" s="846">
        <f t="shared" ca="1" si="1429"/>
        <v>2.5424660479067995</v>
      </c>
      <c r="BR307" s="846">
        <f t="shared" ca="1" si="1430"/>
        <v>3.1817662054042017</v>
      </c>
      <c r="BS307" s="846">
        <f t="shared" ca="1" si="1431"/>
        <v>3.4810833087036319</v>
      </c>
      <c r="BT307" s="846">
        <f t="shared" ca="1" si="1432"/>
        <v>3.1670444675448555</v>
      </c>
      <c r="BU307" s="846">
        <f t="shared" ca="1" si="1433"/>
        <v>3.6064791529764051</v>
      </c>
      <c r="BV307" s="846">
        <f t="shared" ca="1" si="1434"/>
        <v>3.2979032862249937</v>
      </c>
      <c r="BW307" s="846">
        <f t="shared" ca="1" si="1435"/>
        <v>3.267775387892911</v>
      </c>
      <c r="BX307" s="846">
        <f t="shared" ca="1" si="1436"/>
        <v>2.5673368168364732</v>
      </c>
      <c r="BY307" s="846">
        <f t="shared" ca="1" si="1437"/>
        <v>2.4046495566193187</v>
      </c>
      <c r="BZ307" s="846">
        <f t="shared" ca="1" si="1438"/>
        <v>2.3014672415075665</v>
      </c>
      <c r="CA307" s="846">
        <f t="shared" ca="1" si="1439"/>
        <v>1.4808809069420337</v>
      </c>
      <c r="CB307" s="846">
        <f t="shared" ca="1" si="1440"/>
        <v>1.3625009366243577</v>
      </c>
      <c r="CC307" s="846">
        <f t="shared" ca="1" si="1441"/>
        <v>1.2528471031776576</v>
      </c>
      <c r="CD307" s="846">
        <f t="shared" ca="1" si="1442"/>
        <v>0.93999156842406251</v>
      </c>
      <c r="CE307" s="846">
        <f t="shared" ca="1" si="1443"/>
        <v>0.92159643193419072</v>
      </c>
      <c r="CF307" s="846">
        <f t="shared" ca="1" si="1444"/>
        <v>0.67687366446105557</v>
      </c>
      <c r="CG307" s="846">
        <f t="shared" ca="1" si="1445"/>
        <v>0.38463577157999396</v>
      </c>
      <c r="CH307" s="846">
        <f t="shared" ca="1" si="1446"/>
        <v>-3.955504369088203E-3</v>
      </c>
      <c r="CI307" s="846">
        <f t="shared" ca="1" si="1447"/>
        <v>-0.40585998622486841</v>
      </c>
      <c r="CJ307" s="846">
        <f t="shared" ca="1" si="1448"/>
        <v>0.66708790911307858</v>
      </c>
      <c r="CK307" s="846">
        <f t="shared" ca="1" si="1449"/>
        <v>0.81195210219418357</v>
      </c>
      <c r="CL307" s="846">
        <f t="shared" ca="1" si="1450"/>
        <v>1.3174303632817157</v>
      </c>
      <c r="CM307" s="846">
        <f t="shared" ca="1" si="1451"/>
        <v>1.5697500525035506</v>
      </c>
      <c r="CN307" s="846">
        <f t="shared" ca="1" si="1452"/>
        <v>1.6807425161342595</v>
      </c>
      <c r="CO307" s="846">
        <f t="shared" ca="1" si="1453"/>
        <v>1.9714441160531919</v>
      </c>
      <c r="CP307" s="846">
        <f t="shared" ca="1" si="1454"/>
        <v>1.9784739959676612</v>
      </c>
      <c r="CQ307" s="846">
        <f t="shared" ca="1" si="1455"/>
        <v>2.932023429607284</v>
      </c>
      <c r="CR307" s="846">
        <f t="shared" ca="1" si="1456"/>
        <v>2.0144240531024877</v>
      </c>
      <c r="CS307" s="846">
        <f t="shared" ca="1" si="1457"/>
        <v>1.9046469536035318</v>
      </c>
      <c r="CT307" s="846">
        <f t="shared" ca="1" si="1458"/>
        <v>1.9864203951504891</v>
      </c>
      <c r="CU307" s="846">
        <f t="shared" ca="1" si="1459"/>
        <v>1.5762532370228826</v>
      </c>
      <c r="CV307" s="846">
        <f t="shared" ca="1" si="1460"/>
        <v>1.6424397323956015</v>
      </c>
      <c r="CW307" s="846">
        <f t="shared" ca="1" si="1461"/>
        <v>1.7263269501616634</v>
      </c>
      <c r="CX307" s="846">
        <f t="shared" ca="1" si="1462"/>
        <v>1.3383008381543817</v>
      </c>
      <c r="CY307" s="846">
        <f t="shared" ca="1" si="1463"/>
        <v>1.2380444364975602</v>
      </c>
      <c r="CZ307" s="846">
        <f t="shared" ca="1" si="1464"/>
        <v>1.6398180435081429</v>
      </c>
      <c r="DA307" s="846">
        <f t="shared" ca="1" si="1465"/>
        <v>2.1160401587297031</v>
      </c>
      <c r="DB307" s="846">
        <f t="shared" ca="1" si="1466"/>
        <v>1.540455335015011</v>
      </c>
    </row>
    <row r="309" spans="1:106">
      <c r="BG309" s="1604"/>
      <c r="BH309" s="1604"/>
      <c r="BI309" s="1604"/>
      <c r="BJ309" s="1604"/>
      <c r="BK309" s="1604"/>
      <c r="BL309" s="1604"/>
      <c r="BM309" s="1604"/>
      <c r="BN309" s="1604"/>
    </row>
    <row r="310" spans="1:106">
      <c r="BG310" s="1604"/>
      <c r="BH310" s="1604"/>
      <c r="BI310" s="1604"/>
      <c r="BJ310" s="1604"/>
      <c r="BK310" s="1604"/>
      <c r="BL310" s="1604"/>
      <c r="BM310" s="1604"/>
      <c r="BN310" s="1604"/>
      <c r="CI310" s="2826"/>
      <c r="CM310" s="2826"/>
      <c r="CQ310" s="2826"/>
    </row>
    <row r="311" spans="1:106">
      <c r="BG311" s="1604"/>
      <c r="BH311" s="1604"/>
      <c r="BI311" s="1604"/>
      <c r="BJ311" s="1604"/>
      <c r="BK311" s="1604"/>
      <c r="BL311" s="1604"/>
      <c r="BM311" s="1604"/>
      <c r="BN311" s="1604"/>
    </row>
    <row r="312" spans="1:106">
      <c r="BG312" s="1604"/>
      <c r="BH312" s="1604"/>
      <c r="BI312" s="1604"/>
      <c r="BJ312" s="1604"/>
      <c r="BK312" s="1604"/>
      <c r="BL312" s="1604"/>
      <c r="BM312" s="1604"/>
      <c r="BN312" s="1604"/>
    </row>
    <row r="313" spans="1:106">
      <c r="BE313" s="2930"/>
      <c r="BF313" s="2930"/>
      <c r="BG313" s="2930"/>
      <c r="BH313" s="2930"/>
      <c r="BI313" s="2930"/>
      <c r="BJ313" s="2930"/>
      <c r="BK313" s="2930"/>
      <c r="BL313" s="2930"/>
      <c r="BM313" s="2930"/>
      <c r="BN313" s="2930"/>
      <c r="BO313" s="2930"/>
      <c r="BP313" s="2930"/>
      <c r="BQ313" s="2930"/>
      <c r="BR313" s="2930"/>
    </row>
    <row r="314" spans="1:106">
      <c r="BE314" s="2930"/>
      <c r="BF314" s="2930"/>
      <c r="BG314" s="2930"/>
      <c r="BH314" s="2930"/>
      <c r="BI314" s="2930"/>
      <c r="BJ314" s="2930"/>
      <c r="BK314" s="2930"/>
      <c r="BL314" s="2930"/>
      <c r="BM314" s="2930"/>
      <c r="BN314" s="2930"/>
      <c r="BO314" s="2930"/>
      <c r="BP314" s="2930"/>
      <c r="BQ314" s="2930"/>
      <c r="BR314" s="2930"/>
    </row>
    <row r="315" spans="1:106">
      <c r="BE315" s="2930"/>
      <c r="BF315" s="2930"/>
      <c r="BG315" s="2930"/>
      <c r="BH315" s="2930"/>
      <c r="BI315" s="2930"/>
      <c r="BJ315" s="2930"/>
      <c r="BK315" s="2930"/>
      <c r="BL315" s="2930"/>
      <c r="BM315" s="2930"/>
      <c r="BN315" s="2930"/>
      <c r="BO315" s="2930"/>
      <c r="BP315" s="2930"/>
      <c r="BQ315" s="2930"/>
      <c r="BR315" s="2930"/>
    </row>
    <row r="316" spans="1:106">
      <c r="BE316" s="2930"/>
      <c r="BF316" s="2930"/>
      <c r="BG316" s="2930"/>
      <c r="BH316" s="2930"/>
      <c r="BI316" s="2930"/>
      <c r="BJ316" s="2930"/>
      <c r="BK316" s="2930"/>
      <c r="BL316" s="2930"/>
      <c r="BM316" s="2930"/>
      <c r="BN316" s="2930"/>
      <c r="BO316" s="2930"/>
      <c r="BP316" s="2930"/>
      <c r="BQ316" s="2930"/>
      <c r="BR316" s="2930"/>
    </row>
    <row r="317" spans="1:106">
      <c r="BE317" s="2930"/>
      <c r="BF317" s="2930"/>
      <c r="BG317" s="2930"/>
      <c r="BH317" s="2930"/>
      <c r="BI317" s="2930"/>
      <c r="BJ317" s="2930"/>
      <c r="BK317" s="2930"/>
      <c r="BL317" s="2930"/>
      <c r="BM317" s="2930"/>
      <c r="BN317" s="2930"/>
      <c r="BO317" s="2930"/>
      <c r="BP317" s="2930"/>
      <c r="BQ317" s="2930"/>
      <c r="BR317" s="2930"/>
    </row>
    <row r="318" spans="1:106">
      <c r="BE318" s="2930"/>
      <c r="BF318" s="2930"/>
      <c r="BG318" s="2930"/>
      <c r="BH318" s="2930"/>
      <c r="BI318" s="2930"/>
      <c r="BJ318" s="2930"/>
      <c r="BK318" s="2930"/>
      <c r="BL318" s="2930"/>
      <c r="BM318" s="2930"/>
      <c r="BN318" s="2930"/>
      <c r="BO318" s="2930"/>
      <c r="BP318" s="2930"/>
      <c r="BQ318" s="2930"/>
      <c r="BR318" s="2930"/>
    </row>
  </sheetData>
  <mergeCells count="312">
    <mergeCell ref="CY203:DB203"/>
    <mergeCell ref="CY222:DB222"/>
    <mergeCell ref="CY244:DB244"/>
    <mergeCell ref="CY4:DB4"/>
    <mergeCell ref="CY36:DB36"/>
    <mergeCell ref="CY55:DB55"/>
    <mergeCell ref="CY74:DB74"/>
    <mergeCell ref="CY100:DB100"/>
    <mergeCell ref="CY123:DB123"/>
    <mergeCell ref="CY140:DB140"/>
    <mergeCell ref="CY162:DB162"/>
    <mergeCell ref="CY181:DB181"/>
    <mergeCell ref="CQ203:CT203"/>
    <mergeCell ref="CQ222:CT222"/>
    <mergeCell ref="CQ244:CT244"/>
    <mergeCell ref="CQ4:CT4"/>
    <mergeCell ref="CQ36:CT36"/>
    <mergeCell ref="CQ55:CT55"/>
    <mergeCell ref="CQ74:CT74"/>
    <mergeCell ref="CQ100:CT100"/>
    <mergeCell ref="CQ123:CT123"/>
    <mergeCell ref="CQ140:CT140"/>
    <mergeCell ref="CQ162:CT162"/>
    <mergeCell ref="CQ181:CT181"/>
    <mergeCell ref="BO181:BR181"/>
    <mergeCell ref="BO203:BR203"/>
    <mergeCell ref="BO222:BR222"/>
    <mergeCell ref="BO244:BR244"/>
    <mergeCell ref="BO100:BR100"/>
    <mergeCell ref="BO123:BR123"/>
    <mergeCell ref="BO140:BR140"/>
    <mergeCell ref="BO162:BR162"/>
    <mergeCell ref="CE4:CH4"/>
    <mergeCell ref="CE36:CH36"/>
    <mergeCell ref="CE55:CH55"/>
    <mergeCell ref="CE74:CH74"/>
    <mergeCell ref="CE100:CH100"/>
    <mergeCell ref="CE123:CH123"/>
    <mergeCell ref="CE140:CH140"/>
    <mergeCell ref="CE162:CH162"/>
    <mergeCell ref="CE181:CH181"/>
    <mergeCell ref="CE203:CH203"/>
    <mergeCell ref="CE222:CH222"/>
    <mergeCell ref="CE244:CH244"/>
    <mergeCell ref="BO4:BR4"/>
    <mergeCell ref="BO36:BR36"/>
    <mergeCell ref="BO55:BR55"/>
    <mergeCell ref="BO74:BR74"/>
    <mergeCell ref="BG4:BJ4"/>
    <mergeCell ref="BK4:BN4"/>
    <mergeCell ref="BG36:BJ36"/>
    <mergeCell ref="BG55:BJ55"/>
    <mergeCell ref="BG74:BJ74"/>
    <mergeCell ref="BG222:BJ222"/>
    <mergeCell ref="BG123:BJ123"/>
    <mergeCell ref="BG140:BJ140"/>
    <mergeCell ref="BG162:BJ162"/>
    <mergeCell ref="BG181:BJ181"/>
    <mergeCell ref="BC55:BF55"/>
    <mergeCell ref="BC74:BF74"/>
    <mergeCell ref="BC162:BF162"/>
    <mergeCell ref="BG203:BJ203"/>
    <mergeCell ref="AU36:AX36"/>
    <mergeCell ref="BG100:BJ100"/>
    <mergeCell ref="BC36:BF36"/>
    <mergeCell ref="BC100:BF100"/>
    <mergeCell ref="C4:F4"/>
    <mergeCell ref="G4:J4"/>
    <mergeCell ref="K4:N4"/>
    <mergeCell ref="O4:R4"/>
    <mergeCell ref="S4:V4"/>
    <mergeCell ref="AY36:BB36"/>
    <mergeCell ref="AY4:BB4"/>
    <mergeCell ref="BC4:BF4"/>
    <mergeCell ref="W4:Z4"/>
    <mergeCell ref="AA4:AD4"/>
    <mergeCell ref="AE4:AH4"/>
    <mergeCell ref="AI4:AL4"/>
    <mergeCell ref="AM4:AP4"/>
    <mergeCell ref="AQ4:AT4"/>
    <mergeCell ref="AQ36:AT36"/>
    <mergeCell ref="AM55:AP55"/>
    <mergeCell ref="AU4:AX4"/>
    <mergeCell ref="C53:F53"/>
    <mergeCell ref="K74:N74"/>
    <mergeCell ref="AE36:AH36"/>
    <mergeCell ref="O36:R36"/>
    <mergeCell ref="AI36:AL36"/>
    <mergeCell ref="AM36:AP36"/>
    <mergeCell ref="C34:F34"/>
    <mergeCell ref="G36:J36"/>
    <mergeCell ref="K36:N36"/>
    <mergeCell ref="S36:V36"/>
    <mergeCell ref="W36:Z36"/>
    <mergeCell ref="AA36:AD36"/>
    <mergeCell ref="O74:R74"/>
    <mergeCell ref="AI100:AL100"/>
    <mergeCell ref="AQ74:AT74"/>
    <mergeCell ref="AU74:AX74"/>
    <mergeCell ref="AY55:BB55"/>
    <mergeCell ref="AE55:AH55"/>
    <mergeCell ref="AI55:AL55"/>
    <mergeCell ref="AQ55:AT55"/>
    <mergeCell ref="AY74:BB74"/>
    <mergeCell ref="C98:F98"/>
    <mergeCell ref="G55:J55"/>
    <mergeCell ref="K55:N55"/>
    <mergeCell ref="C72:F72"/>
    <mergeCell ref="G74:J74"/>
    <mergeCell ref="AU55:AX55"/>
    <mergeCell ref="S74:V74"/>
    <mergeCell ref="W74:Z74"/>
    <mergeCell ref="AA74:AD74"/>
    <mergeCell ref="AE74:AH74"/>
    <mergeCell ref="AI74:AL74"/>
    <mergeCell ref="AM74:AP74"/>
    <mergeCell ref="O55:R55"/>
    <mergeCell ref="S55:V55"/>
    <mergeCell ref="W55:Z55"/>
    <mergeCell ref="AA55:AD55"/>
    <mergeCell ref="AY100:BB100"/>
    <mergeCell ref="AM100:AP100"/>
    <mergeCell ref="AQ100:AT100"/>
    <mergeCell ref="AU100:AX100"/>
    <mergeCell ref="AE100:AH100"/>
    <mergeCell ref="AI123:AL123"/>
    <mergeCell ref="C138:F138"/>
    <mergeCell ref="G140:J140"/>
    <mergeCell ref="K140:N140"/>
    <mergeCell ref="O140:R140"/>
    <mergeCell ref="AA123:AD123"/>
    <mergeCell ref="AE123:AH123"/>
    <mergeCell ref="C121:F121"/>
    <mergeCell ref="G123:J123"/>
    <mergeCell ref="K123:N123"/>
    <mergeCell ref="O123:R123"/>
    <mergeCell ref="G100:J100"/>
    <mergeCell ref="K100:N100"/>
    <mergeCell ref="O100:R100"/>
    <mergeCell ref="S100:V100"/>
    <mergeCell ref="W100:Z100"/>
    <mergeCell ref="AA100:AD100"/>
    <mergeCell ref="S123:V123"/>
    <mergeCell ref="W123:Z123"/>
    <mergeCell ref="BC123:BF123"/>
    <mergeCell ref="AM123:AP123"/>
    <mergeCell ref="AQ123:AT123"/>
    <mergeCell ref="AU123:AX123"/>
    <mergeCell ref="BC140:BF140"/>
    <mergeCell ref="S140:V140"/>
    <mergeCell ref="W140:Z140"/>
    <mergeCell ref="AA140:AD140"/>
    <mergeCell ref="AE140:AH140"/>
    <mergeCell ref="AU162:AX162"/>
    <mergeCell ref="AY140:BB140"/>
    <mergeCell ref="AQ140:AT140"/>
    <mergeCell ref="AU140:AX140"/>
    <mergeCell ref="AY162:BB162"/>
    <mergeCell ref="W162:Z162"/>
    <mergeCell ref="AI140:AL140"/>
    <mergeCell ref="AM140:AP140"/>
    <mergeCell ref="AY123:BB123"/>
    <mergeCell ref="C179:F179"/>
    <mergeCell ref="G181:J181"/>
    <mergeCell ref="K181:N181"/>
    <mergeCell ref="O181:R181"/>
    <mergeCell ref="S181:V181"/>
    <mergeCell ref="W181:Z181"/>
    <mergeCell ref="C160:F160"/>
    <mergeCell ref="G162:J162"/>
    <mergeCell ref="K162:N162"/>
    <mergeCell ref="O162:R162"/>
    <mergeCell ref="C220:F220"/>
    <mergeCell ref="G222:J222"/>
    <mergeCell ref="K222:N222"/>
    <mergeCell ref="O222:R222"/>
    <mergeCell ref="BK36:BN36"/>
    <mergeCell ref="BK55:BN55"/>
    <mergeCell ref="BK74:BN74"/>
    <mergeCell ref="BK100:BN100"/>
    <mergeCell ref="BC222:BF222"/>
    <mergeCell ref="AY222:BB222"/>
    <mergeCell ref="C201:F201"/>
    <mergeCell ref="G203:J203"/>
    <mergeCell ref="K203:N203"/>
    <mergeCell ref="O203:R203"/>
    <mergeCell ref="S203:V203"/>
    <mergeCell ref="BC203:BF203"/>
    <mergeCell ref="AY203:BB203"/>
    <mergeCell ref="W203:Z203"/>
    <mergeCell ref="AA203:AD203"/>
    <mergeCell ref="AE203:AH203"/>
    <mergeCell ref="AY181:BB181"/>
    <mergeCell ref="AM203:AP203"/>
    <mergeCell ref="AQ203:AT203"/>
    <mergeCell ref="AU203:AX203"/>
    <mergeCell ref="C242:F242"/>
    <mergeCell ref="AI222:AL222"/>
    <mergeCell ref="AM222:AP222"/>
    <mergeCell ref="AQ222:AT222"/>
    <mergeCell ref="AU222:AX222"/>
    <mergeCell ref="S222:V222"/>
    <mergeCell ref="W222:Z222"/>
    <mergeCell ref="AA222:AD222"/>
    <mergeCell ref="AE222:AH222"/>
    <mergeCell ref="G244:J244"/>
    <mergeCell ref="K244:N244"/>
    <mergeCell ref="O244:R244"/>
    <mergeCell ref="S244:V244"/>
    <mergeCell ref="BK203:BN203"/>
    <mergeCell ref="BK222:BN222"/>
    <mergeCell ref="BK123:BN123"/>
    <mergeCell ref="BK140:BN140"/>
    <mergeCell ref="BK162:BN162"/>
    <mergeCell ref="BK181:BN181"/>
    <mergeCell ref="AU181:AX181"/>
    <mergeCell ref="BC181:BF181"/>
    <mergeCell ref="AM181:AP181"/>
    <mergeCell ref="AQ181:AT181"/>
    <mergeCell ref="AI181:AL181"/>
    <mergeCell ref="AE181:AH181"/>
    <mergeCell ref="AI203:AL203"/>
    <mergeCell ref="AA181:AD181"/>
    <mergeCell ref="AQ162:AT162"/>
    <mergeCell ref="S162:V162"/>
    <mergeCell ref="AI162:AL162"/>
    <mergeCell ref="AM162:AP162"/>
    <mergeCell ref="AA162:AD162"/>
    <mergeCell ref="AE162:AH162"/>
    <mergeCell ref="BC244:BF244"/>
    <mergeCell ref="BG244:BJ244"/>
    <mergeCell ref="BK244:BN244"/>
    <mergeCell ref="AM244:AP244"/>
    <mergeCell ref="AQ244:AT244"/>
    <mergeCell ref="AU244:AX244"/>
    <mergeCell ref="AY244:BB244"/>
    <mergeCell ref="W244:Z244"/>
    <mergeCell ref="AA244:AD244"/>
    <mergeCell ref="AE244:AH244"/>
    <mergeCell ref="AI244:AL244"/>
    <mergeCell ref="BS140:BV140"/>
    <mergeCell ref="BS162:BV162"/>
    <mergeCell ref="BS181:BV181"/>
    <mergeCell ref="BS203:BV203"/>
    <mergeCell ref="BS222:BV222"/>
    <mergeCell ref="BS244:BV244"/>
    <mergeCell ref="BS4:BV4"/>
    <mergeCell ref="BS36:BV36"/>
    <mergeCell ref="BS55:BV55"/>
    <mergeCell ref="BS74:BV74"/>
    <mergeCell ref="BS100:BV100"/>
    <mergeCell ref="BS123:BV123"/>
    <mergeCell ref="BW140:BZ140"/>
    <mergeCell ref="BW162:BZ162"/>
    <mergeCell ref="BW181:BZ181"/>
    <mergeCell ref="BW203:BZ203"/>
    <mergeCell ref="BW222:BZ222"/>
    <mergeCell ref="BW244:BZ244"/>
    <mergeCell ref="BW4:BZ4"/>
    <mergeCell ref="BW36:BZ36"/>
    <mergeCell ref="BW55:BZ55"/>
    <mergeCell ref="BW74:BZ74"/>
    <mergeCell ref="BW100:BZ100"/>
    <mergeCell ref="BW123:BZ123"/>
    <mergeCell ref="CA140:CD140"/>
    <mergeCell ref="CA162:CD162"/>
    <mergeCell ref="CA181:CD181"/>
    <mergeCell ref="CA203:CD203"/>
    <mergeCell ref="CA222:CD222"/>
    <mergeCell ref="CA244:CD244"/>
    <mergeCell ref="CA4:CD4"/>
    <mergeCell ref="CA36:CD36"/>
    <mergeCell ref="CA55:CD55"/>
    <mergeCell ref="CA74:CD74"/>
    <mergeCell ref="CA100:CD100"/>
    <mergeCell ref="CA123:CD123"/>
    <mergeCell ref="CI140:CL140"/>
    <mergeCell ref="CI162:CL162"/>
    <mergeCell ref="CI181:CL181"/>
    <mergeCell ref="CI203:CL203"/>
    <mergeCell ref="CI222:CL222"/>
    <mergeCell ref="CI244:CL244"/>
    <mergeCell ref="CI4:CL4"/>
    <mergeCell ref="CI36:CL36"/>
    <mergeCell ref="CI55:CL55"/>
    <mergeCell ref="CI74:CL74"/>
    <mergeCell ref="CI100:CL100"/>
    <mergeCell ref="CI123:CL123"/>
    <mergeCell ref="CM203:CP203"/>
    <mergeCell ref="CM222:CP222"/>
    <mergeCell ref="CM244:CP244"/>
    <mergeCell ref="CM4:CP4"/>
    <mergeCell ref="CM36:CP36"/>
    <mergeCell ref="CM55:CP55"/>
    <mergeCell ref="CM74:CP74"/>
    <mergeCell ref="CM100:CP100"/>
    <mergeCell ref="CM123:CP123"/>
    <mergeCell ref="CM140:CP140"/>
    <mergeCell ref="CM162:CP162"/>
    <mergeCell ref="CM181:CP181"/>
    <mergeCell ref="CU203:CX203"/>
    <mergeCell ref="CU222:CX222"/>
    <mergeCell ref="CU244:CX244"/>
    <mergeCell ref="CU4:CX4"/>
    <mergeCell ref="CU36:CX36"/>
    <mergeCell ref="CU55:CX55"/>
    <mergeCell ref="CU74:CX74"/>
    <mergeCell ref="CU100:CX100"/>
    <mergeCell ref="CU123:CX123"/>
    <mergeCell ref="CU140:CX140"/>
    <mergeCell ref="CU162:CX162"/>
    <mergeCell ref="CU181:CX181"/>
  </mergeCells>
  <phoneticPr fontId="76" type="noConversion"/>
  <pageMargins left="0.75" right="0.75" top="1" bottom="1" header="0.5" footer="0.5"/>
  <pageSetup paperSize="9"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8">
    <tabColor indexed="44"/>
  </sheetPr>
  <dimension ref="A1:AE477"/>
  <sheetViews>
    <sheetView showGridLines="0" topLeftCell="A449" zoomScale="85" zoomScaleNormal="85" workbookViewId="0">
      <pane xSplit="6" topLeftCell="O1" activePane="topRight" state="frozen"/>
      <selection pane="topRight" activeCell="E478" sqref="E478"/>
    </sheetView>
  </sheetViews>
  <sheetFormatPr defaultRowHeight="13.2"/>
  <cols>
    <col min="1" max="2" width="3.6640625" style="715" customWidth="1"/>
    <col min="3" max="3" width="4.33203125" style="744" customWidth="1"/>
    <col min="4" max="4" width="4.33203125" style="558" customWidth="1"/>
    <col min="5" max="5" width="42" customWidth="1"/>
    <col min="6" max="6" width="9.109375" style="558"/>
    <col min="7" max="7" width="12.44140625" customWidth="1"/>
    <col min="8" max="16" width="9.33203125" bestFit="1" customWidth="1"/>
    <col min="17" max="18" width="9.33203125" style="577" bestFit="1" customWidth="1"/>
    <col min="19" max="19" width="9.5546875" style="577" bestFit="1" customWidth="1"/>
    <col min="20" max="20" width="12" style="577" bestFit="1" customWidth="1"/>
    <col min="21" max="21" width="9.5546875" style="577" customWidth="1"/>
  </cols>
  <sheetData>
    <row r="1" spans="1:31" ht="12.75" customHeight="1">
      <c r="A1" s="3059" t="s">
        <v>1545</v>
      </c>
      <c r="S1" s="218"/>
      <c r="T1" s="218"/>
      <c r="U1" s="218"/>
      <c r="Y1" s="3734">
        <f ca="1">Y24+Y30+Y62+Y80+Y91+Y102+Y113+Y202+Y215+Y221+Y242+Y265+Y283+Y294+Y315+Y326</f>
        <v>3.1223251648171413E-5</v>
      </c>
      <c r="Z1" s="3734">
        <f t="shared" ref="Z1:AB1" ca="1" si="0">Z24+Z30+Z62+Z80+Z91+Z102+Z113+Z202+Z215+Z221+Z242+Z265+Z283+Z294+Z315+Z326</f>
        <v>4.6503312019179788E-2</v>
      </c>
      <c r="AA1" s="3734">
        <f t="shared" ca="1" si="0"/>
        <v>0.12192089261665728</v>
      </c>
      <c r="AB1" s="3734">
        <f t="shared" ca="1" si="0"/>
        <v>0.47350862419899187</v>
      </c>
    </row>
    <row r="2" spans="1:31" ht="23.25" customHeight="1">
      <c r="C2" s="4124" t="s">
        <v>475</v>
      </c>
      <c r="D2" s="4124"/>
      <c r="E2" s="4124"/>
      <c r="F2" s="2268">
        <v>0.05</v>
      </c>
      <c r="G2" s="1886" t="str">
        <f t="shared" ref="G2:AB2" ca="1" si="1">IF(+G24+G30+G62+G80+G91+G102+G113+G202+G215+G221+G242+G265+G283+G294+G315+G326&lt;$F$2,"ok","Not ok")</f>
        <v>Not ok</v>
      </c>
      <c r="H2" s="1886" t="str">
        <f t="shared" ca="1" si="1"/>
        <v>Not ok</v>
      </c>
      <c r="I2" s="1886" t="str">
        <f t="shared" ca="1" si="1"/>
        <v>ok</v>
      </c>
      <c r="J2" s="1886" t="str">
        <f t="shared" ca="1" si="1"/>
        <v>ok</v>
      </c>
      <c r="K2" s="1886" t="str">
        <f t="shared" ca="1" si="1"/>
        <v>ok</v>
      </c>
      <c r="L2" s="1886" t="str">
        <f t="shared" ca="1" si="1"/>
        <v>ok</v>
      </c>
      <c r="M2" s="1886" t="str">
        <f t="shared" ca="1" si="1"/>
        <v>ok</v>
      </c>
      <c r="N2" s="1886" t="str">
        <f t="shared" ca="1" si="1"/>
        <v>ok</v>
      </c>
      <c r="O2" s="1886" t="str">
        <f t="shared" ca="1" si="1"/>
        <v>ok</v>
      </c>
      <c r="P2" s="1886" t="str">
        <f t="shared" ca="1" si="1"/>
        <v>ok</v>
      </c>
      <c r="Q2" s="1886" t="str">
        <f t="shared" ca="1" si="1"/>
        <v>ok</v>
      </c>
      <c r="R2" s="1886" t="str">
        <f t="shared" ca="1" si="1"/>
        <v>ok</v>
      </c>
      <c r="S2" s="1886" t="str">
        <f t="shared" ca="1" si="1"/>
        <v>ok</v>
      </c>
      <c r="T2" s="1886" t="str">
        <f t="shared" ca="1" si="1"/>
        <v>ok</v>
      </c>
      <c r="U2" s="1886" t="str">
        <f t="shared" ca="1" si="1"/>
        <v>ok</v>
      </c>
      <c r="V2" s="1886" t="str">
        <f t="shared" ca="1" si="1"/>
        <v>ok</v>
      </c>
      <c r="W2" s="1886" t="str">
        <f t="shared" ca="1" si="1"/>
        <v>ok</v>
      </c>
      <c r="X2" s="1886" t="str">
        <f t="shared" ca="1" si="1"/>
        <v>ok</v>
      </c>
      <c r="Y2" s="1886" t="str">
        <f t="shared" ca="1" si="1"/>
        <v>ok</v>
      </c>
      <c r="Z2" s="1886" t="str">
        <f t="shared" ref="Z2" ca="1" si="2">IF(+Z24+Z30+Z62+Z80+Z91+Z102+Z113+Z202+Z215+Z221+Z242+Z265+Z283+Z294+Z315+Z326&lt;$F$2,"ok","Not ok")</f>
        <v>ok</v>
      </c>
      <c r="AA2" s="1886" t="str">
        <f t="shared" ca="1" si="1"/>
        <v>Not ok</v>
      </c>
      <c r="AB2" s="1886" t="str">
        <f t="shared" ca="1" si="1"/>
        <v>Not ok</v>
      </c>
      <c r="AC2" s="1886" t="str">
        <f ca="1">IF(+AC24+AC30+AC62+AC80+AC91+AC102+AC113+AC202+AC215+AC221+AC242+AC265+AC283+AC294+AC315+AC326&lt;$F$2,"ok","Not ok")</f>
        <v>Not ok</v>
      </c>
      <c r="AD2" s="1886" t="str">
        <f t="shared" ref="AD2" ca="1" si="3">IF(+AD24+AD30+AD62+AD80+AD91+AD102+AD113+AD202+AD215+AD221+AD242+AD265+AD283+AD294+AD315+AD326&lt;$F$2,"ok","Not ok")</f>
        <v>ok</v>
      </c>
      <c r="AE2" s="1886" t="str">
        <f t="shared" ref="AE2" ca="1" si="4">IF(+AE24+AE30+AE62+AE80+AE91+AE102+AE113+AE202+AE215+AE221+AE242+AE265+AE283+AE294+AE315+AE326&lt;$F$2,"ok","Not ok")</f>
        <v>ok</v>
      </c>
    </row>
    <row r="3" spans="1:31">
      <c r="S3" s="218"/>
      <c r="T3" s="218"/>
      <c r="U3" s="218"/>
    </row>
    <row r="4" spans="1:31" s="218" customFormat="1" ht="22.5" customHeight="1">
      <c r="A4" s="1123"/>
      <c r="B4" s="715"/>
      <c r="C4" s="4124" t="s">
        <v>1192</v>
      </c>
      <c r="D4" s="4124"/>
      <c r="E4" s="4124"/>
      <c r="F4" s="4124"/>
      <c r="N4" s="1602">
        <f>N118</f>
        <v>0.91226840390916664</v>
      </c>
      <c r="O4" s="1602">
        <f t="shared" ref="O4:AC4" si="5">O118</f>
        <v>1.4788086968683389</v>
      </c>
      <c r="P4" s="1602">
        <f t="shared" si="5"/>
        <v>6.2794354821921416</v>
      </c>
      <c r="Q4" s="1602">
        <f t="shared" si="5"/>
        <v>6.2092888389723599</v>
      </c>
      <c r="R4" s="1602">
        <f t="shared" si="5"/>
        <v>4.6003261535048967</v>
      </c>
      <c r="S4" s="1602">
        <f t="shared" si="5"/>
        <v>5.8541914431290198</v>
      </c>
      <c r="T4" s="1602">
        <f t="shared" si="5"/>
        <v>3.5559621013944609</v>
      </c>
      <c r="U4" s="1602">
        <f t="shared" si="5"/>
        <v>-9.1151118973871732</v>
      </c>
      <c r="V4" s="1602">
        <f t="shared" si="5"/>
        <v>9.6247631466433567</v>
      </c>
      <c r="W4" s="1602">
        <f t="shared" si="5"/>
        <v>7.310787815102926</v>
      </c>
      <c r="X4" s="1602">
        <f t="shared" si="5"/>
        <v>9.5490410733911624E-2</v>
      </c>
      <c r="Y4" s="1602">
        <f t="shared" si="5"/>
        <v>0.34233286555367393</v>
      </c>
      <c r="Z4" s="1602">
        <f t="shared" si="5"/>
        <v>6.2054125404542138</v>
      </c>
      <c r="AA4" s="1602">
        <f t="shared" si="5"/>
        <v>3.2782053232309982</v>
      </c>
      <c r="AB4" s="1602">
        <f t="shared" si="5"/>
        <v>8.3642280580936035</v>
      </c>
      <c r="AC4" s="1602">
        <f t="shared" si="5"/>
        <v>4.0903580942795115</v>
      </c>
      <c r="AD4" s="1602">
        <f t="shared" ref="AD4:AE4" ca="1" si="6">AD118</f>
        <v>5.047833854710726</v>
      </c>
      <c r="AE4" s="1602">
        <f t="shared" ca="1" si="6"/>
        <v>4.5047708319876367</v>
      </c>
    </row>
    <row r="5" spans="1:31">
      <c r="M5" s="3326"/>
      <c r="N5" s="3734">
        <f>N68</f>
        <v>-0.19678502441055068</v>
      </c>
      <c r="O5" s="3734">
        <f t="shared" ref="O5:AC5" si="7">O68</f>
        <v>0.51967657416074342</v>
      </c>
      <c r="P5" s="3734">
        <f t="shared" si="7"/>
        <v>3.1539157441510923</v>
      </c>
      <c r="Q5" s="3734">
        <f t="shared" si="7"/>
        <v>2.1910334550508281</v>
      </c>
      <c r="R5" s="3734">
        <f t="shared" si="7"/>
        <v>1.4631006971647542</v>
      </c>
      <c r="S5" s="3734">
        <f t="shared" si="7"/>
        <v>3.0253283478656412</v>
      </c>
      <c r="T5" s="3734">
        <f t="shared" si="7"/>
        <v>2.00844992320246</v>
      </c>
      <c r="U5" s="3734">
        <f t="shared" si="7"/>
        <v>-1.1098074206370434</v>
      </c>
      <c r="V5" s="3734">
        <f t="shared" si="7"/>
        <v>1.4713831249982823</v>
      </c>
      <c r="W5" s="3734">
        <f t="shared" si="7"/>
        <v>1.4281191616104083</v>
      </c>
      <c r="X5" s="3734">
        <f t="shared" si="7"/>
        <v>0.69537185780133015</v>
      </c>
      <c r="Y5" s="3734">
        <f t="shared" si="7"/>
        <v>0.12833753643997081</v>
      </c>
      <c r="Z5" s="3734">
        <f t="shared" si="7"/>
        <v>1.8243156534913041</v>
      </c>
      <c r="AA5" s="3734">
        <f t="shared" si="7"/>
        <v>1.205989817037123</v>
      </c>
      <c r="AB5" s="3734">
        <f t="shared" si="7"/>
        <v>1.840191747107589</v>
      </c>
      <c r="AC5" s="3734">
        <f t="shared" si="7"/>
        <v>1.0773688936565273</v>
      </c>
      <c r="AD5" s="3734">
        <f t="shared" ref="AD5:AE5" ca="1" si="8">AD68</f>
        <v>1.8557061652820339</v>
      </c>
      <c r="AE5" s="3734">
        <f t="shared" ca="1" si="8"/>
        <v>1.8160858898058185</v>
      </c>
    </row>
    <row r="6" spans="1:31" s="749" customFormat="1" ht="12.75" customHeight="1">
      <c r="A6" s="714"/>
      <c r="B6" s="714"/>
      <c r="C6" s="822"/>
      <c r="D6" s="3060"/>
      <c r="E6" s="3061" t="s">
        <v>1193</v>
      </c>
      <c r="F6" s="3062"/>
      <c r="G6" s="3063">
        <f>InputY!$G$3</f>
        <v>1995</v>
      </c>
      <c r="H6" s="3063">
        <f t="shared" ref="H6:W6" si="9">+G6+1</f>
        <v>1996</v>
      </c>
      <c r="I6" s="3063">
        <f t="shared" si="9"/>
        <v>1997</v>
      </c>
      <c r="J6" s="3063">
        <f t="shared" si="9"/>
        <v>1998</v>
      </c>
      <c r="K6" s="3063">
        <f t="shared" si="9"/>
        <v>1999</v>
      </c>
      <c r="L6" s="3063">
        <f t="shared" si="9"/>
        <v>2000</v>
      </c>
      <c r="M6" s="3063">
        <f t="shared" si="9"/>
        <v>2001</v>
      </c>
      <c r="N6" s="3063">
        <f t="shared" si="9"/>
        <v>2002</v>
      </c>
      <c r="O6" s="3063">
        <f t="shared" si="9"/>
        <v>2003</v>
      </c>
      <c r="P6" s="3063">
        <f t="shared" si="9"/>
        <v>2004</v>
      </c>
      <c r="Q6" s="3063">
        <f t="shared" si="9"/>
        <v>2005</v>
      </c>
      <c r="R6" s="3063">
        <f t="shared" si="9"/>
        <v>2006</v>
      </c>
      <c r="S6" s="3063">
        <f t="shared" si="9"/>
        <v>2007</v>
      </c>
      <c r="T6" s="3063">
        <f t="shared" si="9"/>
        <v>2008</v>
      </c>
      <c r="U6" s="3063">
        <f t="shared" si="9"/>
        <v>2009</v>
      </c>
      <c r="V6" s="3063">
        <f t="shared" si="9"/>
        <v>2010</v>
      </c>
      <c r="W6" s="3063">
        <f t="shared" si="9"/>
        <v>2011</v>
      </c>
      <c r="X6" s="3063">
        <f t="shared" ref="X6:AE6" si="10">+W6+1</f>
        <v>2012</v>
      </c>
      <c r="Y6" s="3063">
        <f t="shared" si="10"/>
        <v>2013</v>
      </c>
      <c r="Z6" s="3063">
        <f t="shared" si="10"/>
        <v>2014</v>
      </c>
      <c r="AA6" s="3063">
        <f t="shared" si="10"/>
        <v>2015</v>
      </c>
      <c r="AB6" s="3063">
        <f t="shared" si="10"/>
        <v>2016</v>
      </c>
      <c r="AC6" s="3063">
        <f t="shared" si="10"/>
        <v>2017</v>
      </c>
      <c r="AD6" s="3063">
        <f t="shared" si="10"/>
        <v>2018</v>
      </c>
      <c r="AE6" s="3063">
        <f t="shared" si="10"/>
        <v>2019</v>
      </c>
    </row>
    <row r="7" spans="1:31" s="749" customFormat="1" ht="12.75" customHeight="1">
      <c r="A7" s="714">
        <f>+ROW(InputY!A21)</f>
        <v>21</v>
      </c>
      <c r="B7" s="714" t="s">
        <v>1194</v>
      </c>
      <c r="C7" s="1115" t="s">
        <v>624</v>
      </c>
      <c r="D7" s="1117"/>
      <c r="E7" s="1118" t="s">
        <v>1043</v>
      </c>
      <c r="F7" s="1119" t="s">
        <v>511</v>
      </c>
      <c r="G7" s="3064">
        <f ca="1">InputY!G21/1000</f>
        <v>155.7663</v>
      </c>
      <c r="H7" s="3064">
        <f>InputY!H21/1000</f>
        <v>152.52107000000001</v>
      </c>
      <c r="I7" s="3064">
        <f>InputY!I21/1000</f>
        <v>155.24648999999999</v>
      </c>
      <c r="J7" s="3064">
        <f>InputY!J21/1000</f>
        <v>159.46993000000001</v>
      </c>
      <c r="K7" s="3064">
        <f>InputY!K21/1000</f>
        <v>162.14264</v>
      </c>
      <c r="L7" s="3064">
        <f>InputY!L21/1000</f>
        <v>166.85023999999999</v>
      </c>
      <c r="M7" s="3064">
        <f>InputY!M21/1000</f>
        <v>168.54211999999998</v>
      </c>
      <c r="N7" s="3064">
        <f>InputY!N21/1000</f>
        <v>169.2123</v>
      </c>
      <c r="O7" s="3064">
        <f>InputY!O21/1000</f>
        <v>170.08707000000001</v>
      </c>
      <c r="P7" s="3064">
        <f>InputY!P21/1000</f>
        <v>172.74055999999999</v>
      </c>
      <c r="Q7" s="3064">
        <f>InputY!Q21/1000</f>
        <v>174.86520000000002</v>
      </c>
      <c r="R7" s="3064">
        <f>InputY!R21/1000</f>
        <v>177.43678</v>
      </c>
      <c r="S7" s="3064">
        <f>InputY!S21/1000</f>
        <v>180.72538</v>
      </c>
      <c r="T7" s="3064">
        <f>InputY!T21/1000</f>
        <v>183.78897000000001</v>
      </c>
      <c r="U7" s="3064">
        <f>InputY!U21/1000</f>
        <v>184.69489000000002</v>
      </c>
      <c r="V7" s="3064">
        <f>InputY!V21/1000</f>
        <v>189.69289999999998</v>
      </c>
      <c r="W7" s="3064">
        <f>InputY!W21/1000</f>
        <v>190.34564</v>
      </c>
      <c r="X7" s="3064">
        <f>InputY!X21/1000</f>
        <v>191.45801</v>
      </c>
      <c r="Y7" s="3064">
        <f>InputY!Y21/1000</f>
        <v>192.88681</v>
      </c>
      <c r="Z7" s="3064">
        <f>InputY!Z21/1000</f>
        <v>194.06485000000001</v>
      </c>
      <c r="AA7" s="3064">
        <f>InputY!AA21/1000</f>
        <v>195.80095</v>
      </c>
      <c r="AB7" s="3064">
        <f>InputY!AB21/1000</f>
        <v>199.04486</v>
      </c>
      <c r="AC7" s="3064">
        <f>InputY!AC21/1000</f>
        <v>201.28648000000001</v>
      </c>
      <c r="AD7" s="3065">
        <f ca="1">+AC7*(1+AD10/100)</f>
        <v>204.60770692</v>
      </c>
      <c r="AE7" s="3065">
        <f ca="1">+AD7*(1+AE10/100)</f>
        <v>208.208802561792</v>
      </c>
    </row>
    <row r="9" spans="1:31" s="749" customFormat="1" ht="12.75" customHeight="1">
      <c r="A9" s="714"/>
      <c r="B9" s="714"/>
      <c r="C9" s="3066"/>
      <c r="D9" s="790"/>
      <c r="E9" s="791" t="s">
        <v>1195</v>
      </c>
      <c r="F9" s="792"/>
      <c r="G9" s="793">
        <f>InputY!$G$3</f>
        <v>1995</v>
      </c>
      <c r="H9" s="939">
        <f t="shared" ref="H9:W9" si="11">+G9+1</f>
        <v>1996</v>
      </c>
      <c r="I9" s="939">
        <f t="shared" si="11"/>
        <v>1997</v>
      </c>
      <c r="J9" s="939">
        <f t="shared" si="11"/>
        <v>1998</v>
      </c>
      <c r="K9" s="939">
        <f t="shared" si="11"/>
        <v>1999</v>
      </c>
      <c r="L9" s="939">
        <f t="shared" si="11"/>
        <v>2000</v>
      </c>
      <c r="M9" s="939">
        <f t="shared" si="11"/>
        <v>2001</v>
      </c>
      <c r="N9" s="939">
        <f t="shared" si="11"/>
        <v>2002</v>
      </c>
      <c r="O9" s="939">
        <f t="shared" si="11"/>
        <v>2003</v>
      </c>
      <c r="P9" s="939">
        <f t="shared" si="11"/>
        <v>2004</v>
      </c>
      <c r="Q9" s="939">
        <f t="shared" si="11"/>
        <v>2005</v>
      </c>
      <c r="R9" s="939">
        <f t="shared" si="11"/>
        <v>2006</v>
      </c>
      <c r="S9" s="939">
        <f t="shared" si="11"/>
        <v>2007</v>
      </c>
      <c r="T9" s="939">
        <f t="shared" si="11"/>
        <v>2008</v>
      </c>
      <c r="U9" s="939">
        <f t="shared" si="11"/>
        <v>2009</v>
      </c>
      <c r="V9" s="939">
        <f t="shared" si="11"/>
        <v>2010</v>
      </c>
      <c r="W9" s="939">
        <f t="shared" si="11"/>
        <v>2011</v>
      </c>
      <c r="X9" s="939">
        <f t="shared" ref="X9:AE9" si="12">+W9+1</f>
        <v>2012</v>
      </c>
      <c r="Y9" s="939">
        <f t="shared" si="12"/>
        <v>2013</v>
      </c>
      <c r="Z9" s="939">
        <f t="shared" si="12"/>
        <v>2014</v>
      </c>
      <c r="AA9" s="939">
        <f t="shared" si="12"/>
        <v>2015</v>
      </c>
      <c r="AB9" s="939">
        <f t="shared" si="12"/>
        <v>2016</v>
      </c>
      <c r="AC9" s="939">
        <f t="shared" si="12"/>
        <v>2017</v>
      </c>
      <c r="AD9" s="939">
        <f t="shared" si="12"/>
        <v>2018</v>
      </c>
      <c r="AE9" s="939">
        <f t="shared" si="12"/>
        <v>2019</v>
      </c>
    </row>
    <row r="10" spans="1:31" s="749" customFormat="1" ht="12.75" customHeight="1">
      <c r="A10" s="714"/>
      <c r="B10" s="714"/>
      <c r="C10" s="3067" t="s">
        <v>624</v>
      </c>
      <c r="D10" s="3068"/>
      <c r="E10" s="3069" t="s">
        <v>1043</v>
      </c>
      <c r="F10" s="3070" t="s">
        <v>511</v>
      </c>
      <c r="G10" s="3071"/>
      <c r="H10" s="3071">
        <f t="shared" ref="H10:T10" ca="1" si="13">+(H7/G7-1)*100</f>
        <v>-2.0833967295878497</v>
      </c>
      <c r="I10" s="3071">
        <f t="shared" si="13"/>
        <v>1.7869137687009262</v>
      </c>
      <c r="J10" s="3071">
        <f t="shared" si="13"/>
        <v>2.7204737446882232</v>
      </c>
      <c r="K10" s="3071">
        <f t="shared" si="13"/>
        <v>1.6759962207295143</v>
      </c>
      <c r="L10" s="3071">
        <f t="shared" si="13"/>
        <v>2.9033695269794491</v>
      </c>
      <c r="M10" s="3071">
        <f t="shared" si="13"/>
        <v>1.0140111275836361</v>
      </c>
      <c r="N10" s="3071">
        <f t="shared" si="13"/>
        <v>0.39763354109940696</v>
      </c>
      <c r="O10" s="3071">
        <f t="shared" si="13"/>
        <v>0.51696596524011262</v>
      </c>
      <c r="P10" s="3071">
        <f t="shared" si="13"/>
        <v>1.5600774356334002</v>
      </c>
      <c r="Q10" s="3071">
        <f t="shared" si="13"/>
        <v>1.2299601205414845</v>
      </c>
      <c r="R10" s="3071">
        <f t="shared" si="13"/>
        <v>1.4706070733341958</v>
      </c>
      <c r="S10" s="3071">
        <f t="shared" si="13"/>
        <v>1.8533925153511044</v>
      </c>
      <c r="T10" s="3071">
        <f t="shared" si="13"/>
        <v>1.695163125400545</v>
      </c>
      <c r="U10" s="3071">
        <f t="shared" ref="U10:AC10" si="14">+(U7/T7-1)*100</f>
        <v>0.49291314924939655</v>
      </c>
      <c r="V10" s="3071">
        <f t="shared" si="14"/>
        <v>2.7060900277208422</v>
      </c>
      <c r="W10" s="3071">
        <f t="shared" si="14"/>
        <v>0.34410354841958313</v>
      </c>
      <c r="X10" s="3071">
        <f t="shared" si="14"/>
        <v>0.58439478834397818</v>
      </c>
      <c r="Y10" s="3071">
        <f t="shared" si="14"/>
        <v>0.7462732951209583</v>
      </c>
      <c r="Z10" s="3071">
        <f t="shared" si="14"/>
        <v>0.61074160540059985</v>
      </c>
      <c r="AA10" s="3071">
        <f t="shared" si="14"/>
        <v>0.89459786251864237</v>
      </c>
      <c r="AB10" s="3071">
        <f t="shared" si="14"/>
        <v>1.656738641972888</v>
      </c>
      <c r="AC10" s="3071">
        <f t="shared" si="14"/>
        <v>1.1261883376440851</v>
      </c>
      <c r="AD10" s="3824">
        <f ca="1">OFFSET('VVP1'!$G$34,0,5*(COLUMN()-7))</f>
        <v>1.65</v>
      </c>
      <c r="AE10" s="3824">
        <f ca="1">OFFSET('VVP1'!$G$34,0,5*(COLUMN()-7))</f>
        <v>1.76</v>
      </c>
    </row>
    <row r="12" spans="1:31" s="749" customFormat="1" ht="12.75" customHeight="1">
      <c r="A12" s="714"/>
      <c r="B12" s="714"/>
      <c r="C12" s="822"/>
      <c r="D12" s="3060"/>
      <c r="E12" s="3061" t="s">
        <v>1196</v>
      </c>
      <c r="F12" s="3062"/>
      <c r="G12" s="3063">
        <f>InputY!$G$3</f>
        <v>1995</v>
      </c>
      <c r="H12" s="3063">
        <f t="shared" ref="H12:W12" si="15">+G12+1</f>
        <v>1996</v>
      </c>
      <c r="I12" s="3063">
        <f t="shared" si="15"/>
        <v>1997</v>
      </c>
      <c r="J12" s="3063">
        <f t="shared" si="15"/>
        <v>1998</v>
      </c>
      <c r="K12" s="3063">
        <f t="shared" si="15"/>
        <v>1999</v>
      </c>
      <c r="L12" s="3063">
        <f t="shared" si="15"/>
        <v>2000</v>
      </c>
      <c r="M12" s="3063">
        <f t="shared" si="15"/>
        <v>2001</v>
      </c>
      <c r="N12" s="3063">
        <f t="shared" si="15"/>
        <v>2002</v>
      </c>
      <c r="O12" s="3063">
        <f t="shared" si="15"/>
        <v>2003</v>
      </c>
      <c r="P12" s="3063">
        <f t="shared" si="15"/>
        <v>2004</v>
      </c>
      <c r="Q12" s="3063">
        <f t="shared" si="15"/>
        <v>2005</v>
      </c>
      <c r="R12" s="3063">
        <f t="shared" si="15"/>
        <v>2006</v>
      </c>
      <c r="S12" s="3063">
        <f t="shared" si="15"/>
        <v>2007</v>
      </c>
      <c r="T12" s="3063">
        <f t="shared" si="15"/>
        <v>2008</v>
      </c>
      <c r="U12" s="3063">
        <f t="shared" si="15"/>
        <v>2009</v>
      </c>
      <c r="V12" s="3063">
        <f t="shared" si="15"/>
        <v>2010</v>
      </c>
      <c r="W12" s="3063">
        <f t="shared" si="15"/>
        <v>2011</v>
      </c>
      <c r="X12" s="3063">
        <f t="shared" ref="X12:AE12" si="16">+W12+1</f>
        <v>2012</v>
      </c>
      <c r="Y12" s="3063">
        <f t="shared" si="16"/>
        <v>2013</v>
      </c>
      <c r="Z12" s="3063">
        <f t="shared" si="16"/>
        <v>2014</v>
      </c>
      <c r="AA12" s="3063">
        <f t="shared" si="16"/>
        <v>2015</v>
      </c>
      <c r="AB12" s="3063">
        <f t="shared" si="16"/>
        <v>2016</v>
      </c>
      <c r="AC12" s="3063">
        <f t="shared" si="16"/>
        <v>2017</v>
      </c>
      <c r="AD12" s="3063">
        <f t="shared" si="16"/>
        <v>2018</v>
      </c>
      <c r="AE12" s="3063">
        <f t="shared" si="16"/>
        <v>2019</v>
      </c>
    </row>
    <row r="13" spans="1:31" s="749" customFormat="1" ht="12.75" customHeight="1">
      <c r="A13" s="714">
        <f>+ROW(InputY!A24)</f>
        <v>24</v>
      </c>
      <c r="B13" s="714" t="s">
        <v>1197</v>
      </c>
      <c r="C13" s="1115" t="s">
        <v>624</v>
      </c>
      <c r="D13" s="1117"/>
      <c r="E13" s="1118" t="s">
        <v>1043</v>
      </c>
      <c r="F13" s="1119" t="s">
        <v>39</v>
      </c>
      <c r="G13" s="3064">
        <f ca="1">InputY!G24/1000</f>
        <v>71.405600000000007</v>
      </c>
      <c r="H13" s="3064">
        <f>InputY!H24/1000</f>
        <v>68.306149999999988</v>
      </c>
      <c r="I13" s="3064">
        <f>InputY!I24/1000</f>
        <v>68.744309999999999</v>
      </c>
      <c r="J13" s="3064">
        <f>InputY!J24/1000</f>
        <v>70.014710000000008</v>
      </c>
      <c r="K13" s="3064">
        <f>InputY!K24/1000</f>
        <v>71.890270000000001</v>
      </c>
      <c r="L13" s="3064">
        <f>InputY!L24/1000</f>
        <v>74.035610000000005</v>
      </c>
      <c r="M13" s="3064">
        <f>InputY!M24/1000</f>
        <v>74.779399999999995</v>
      </c>
      <c r="N13" s="3064">
        <f>InputY!N24/1000</f>
        <v>76.772329999999997</v>
      </c>
      <c r="O13" s="3064">
        <f>InputY!O24/1000</f>
        <v>77.844279999999998</v>
      </c>
      <c r="P13" s="3064">
        <f>InputY!P24/1000</f>
        <v>79.085130000000007</v>
      </c>
      <c r="Q13" s="3064">
        <f>InputY!Q24/1000</f>
        <v>79.596159999999998</v>
      </c>
      <c r="R13" s="3064">
        <f>InputY!R24/1000</f>
        <v>80.353080000000006</v>
      </c>
      <c r="S13" s="3064">
        <f>InputY!S24/1000</f>
        <v>81.897190000000009</v>
      </c>
      <c r="T13" s="3064">
        <f>InputY!T24/1000</f>
        <v>84.240359999999995</v>
      </c>
      <c r="U13" s="3064">
        <f>InputY!U24/1000</f>
        <v>85.181970000000007</v>
      </c>
      <c r="V13" s="3064">
        <f>InputY!V24/1000</f>
        <v>85.998899999999992</v>
      </c>
      <c r="W13" s="3064">
        <f>InputY!W24/1000</f>
        <v>87.059899999999999</v>
      </c>
      <c r="X13" s="3064">
        <f>InputY!X24/1000</f>
        <v>88.287800000000004</v>
      </c>
      <c r="Y13" s="3064">
        <f>InputY!Y24/1000</f>
        <v>88.565160000000006</v>
      </c>
      <c r="Z13" s="3064">
        <f>InputY!Z24/1000</f>
        <v>89.15043</v>
      </c>
      <c r="AA13" s="3064">
        <f>InputY!AA24/1000</f>
        <v>89.572800000000001</v>
      </c>
      <c r="AB13" s="3064">
        <f>InputY!AB24/1000</f>
        <v>90.042600000000007</v>
      </c>
      <c r="AC13" s="3064">
        <f>InputY!AC24/1000</f>
        <v>90.996250000000003</v>
      </c>
      <c r="AD13" s="3065">
        <f ca="1">+AC13*(1+AD16/100)</f>
        <v>91.169142875000006</v>
      </c>
      <c r="AE13" s="3065">
        <f ca="1">+AD13*(1+AE16/100)</f>
        <v>92.080834303750009</v>
      </c>
    </row>
    <row r="14" spans="1:31">
      <c r="Q14" s="1380"/>
      <c r="R14" s="1380"/>
    </row>
    <row r="15" spans="1:31" s="749" customFormat="1" ht="12.75" customHeight="1">
      <c r="A15" s="714"/>
      <c r="B15" s="714"/>
      <c r="C15" s="822"/>
      <c r="D15" s="3073"/>
      <c r="E15" s="3074" t="s">
        <v>1198</v>
      </c>
      <c r="F15" s="3075"/>
      <c r="G15" s="939">
        <f>InputY!$G$3</f>
        <v>1995</v>
      </c>
      <c r="H15" s="939">
        <f t="shared" ref="H15:W15" si="17">+G15+1</f>
        <v>1996</v>
      </c>
      <c r="I15" s="939">
        <f t="shared" si="17"/>
        <v>1997</v>
      </c>
      <c r="J15" s="939">
        <f t="shared" si="17"/>
        <v>1998</v>
      </c>
      <c r="K15" s="939">
        <f t="shared" si="17"/>
        <v>1999</v>
      </c>
      <c r="L15" s="939">
        <f t="shared" si="17"/>
        <v>2000</v>
      </c>
      <c r="M15" s="939">
        <f t="shared" si="17"/>
        <v>2001</v>
      </c>
      <c r="N15" s="939">
        <f t="shared" si="17"/>
        <v>2002</v>
      </c>
      <c r="O15" s="939">
        <f t="shared" si="17"/>
        <v>2003</v>
      </c>
      <c r="P15" s="939">
        <f t="shared" si="17"/>
        <v>2004</v>
      </c>
      <c r="Q15" s="939">
        <f t="shared" si="17"/>
        <v>2005</v>
      </c>
      <c r="R15" s="939">
        <f t="shared" si="17"/>
        <v>2006</v>
      </c>
      <c r="S15" s="939">
        <f t="shared" si="17"/>
        <v>2007</v>
      </c>
      <c r="T15" s="939">
        <f t="shared" si="17"/>
        <v>2008</v>
      </c>
      <c r="U15" s="939">
        <f t="shared" si="17"/>
        <v>2009</v>
      </c>
      <c r="V15" s="939">
        <f t="shared" si="17"/>
        <v>2010</v>
      </c>
      <c r="W15" s="939">
        <f t="shared" si="17"/>
        <v>2011</v>
      </c>
      <c r="X15" s="939">
        <f t="shared" ref="X15:AE15" si="18">+W15+1</f>
        <v>2012</v>
      </c>
      <c r="Y15" s="939">
        <f t="shared" si="18"/>
        <v>2013</v>
      </c>
      <c r="Z15" s="939">
        <f t="shared" si="18"/>
        <v>2014</v>
      </c>
      <c r="AA15" s="939">
        <f t="shared" si="18"/>
        <v>2015</v>
      </c>
      <c r="AB15" s="939">
        <f t="shared" si="18"/>
        <v>2016</v>
      </c>
      <c r="AC15" s="939">
        <f t="shared" si="18"/>
        <v>2017</v>
      </c>
      <c r="AD15" s="939">
        <f t="shared" si="18"/>
        <v>2018</v>
      </c>
      <c r="AE15" s="939">
        <f t="shared" si="18"/>
        <v>2019</v>
      </c>
    </row>
    <row r="16" spans="1:31" s="749" customFormat="1" ht="12.75" customHeight="1">
      <c r="A16" s="714"/>
      <c r="B16" s="714"/>
      <c r="C16" s="3067" t="s">
        <v>624</v>
      </c>
      <c r="D16" s="3068"/>
      <c r="E16" s="3069" t="s">
        <v>1043</v>
      </c>
      <c r="F16" s="3070" t="s">
        <v>39</v>
      </c>
      <c r="G16" s="3071"/>
      <c r="H16" s="3071">
        <f t="shared" ref="H16:T16" ca="1" si="19">(H13/G13-1)*100</f>
        <v>-4.3406259453040335</v>
      </c>
      <c r="I16" s="3071">
        <f t="shared" si="19"/>
        <v>0.64146493397740922</v>
      </c>
      <c r="J16" s="3071">
        <f t="shared" si="19"/>
        <v>1.8480074932747392</v>
      </c>
      <c r="K16" s="3071">
        <f t="shared" si="19"/>
        <v>2.6788084961003156</v>
      </c>
      <c r="L16" s="3071">
        <f t="shared" si="19"/>
        <v>2.9841868725767773</v>
      </c>
      <c r="M16" s="3071">
        <f t="shared" si="19"/>
        <v>1.0046381734411192</v>
      </c>
      <c r="N16" s="3071">
        <f t="shared" si="19"/>
        <v>2.6650788853614715</v>
      </c>
      <c r="O16" s="3071">
        <f t="shared" si="19"/>
        <v>1.3962712868034632</v>
      </c>
      <c r="P16" s="3071">
        <f t="shared" si="19"/>
        <v>1.5940156425109375</v>
      </c>
      <c r="Q16" s="3071">
        <f t="shared" si="19"/>
        <v>0.64617710054972743</v>
      </c>
      <c r="R16" s="3071">
        <f t="shared" si="19"/>
        <v>0.95095039760713096</v>
      </c>
      <c r="S16" s="3071">
        <f t="shared" si="19"/>
        <v>1.9216562700521189</v>
      </c>
      <c r="T16" s="3071">
        <f t="shared" si="19"/>
        <v>2.8611115961365563</v>
      </c>
      <c r="U16" s="3071">
        <f t="shared" ref="U16:AC16" si="20">(U13/T13-1)*100</f>
        <v>1.1177658784934152</v>
      </c>
      <c r="V16" s="3071">
        <f t="shared" si="20"/>
        <v>0.95904098015107131</v>
      </c>
      <c r="W16" s="3071">
        <f t="shared" si="20"/>
        <v>1.2337367105858421</v>
      </c>
      <c r="X16" s="3071">
        <f t="shared" si="20"/>
        <v>1.4104082361684478</v>
      </c>
      <c r="Y16" s="3071">
        <f t="shared" si="20"/>
        <v>0.31415439052735472</v>
      </c>
      <c r="Z16" s="3071">
        <f t="shared" si="20"/>
        <v>0.66083547977555668</v>
      </c>
      <c r="AA16" s="3071">
        <f t="shared" si="20"/>
        <v>0.47377225213607321</v>
      </c>
      <c r="AB16" s="3071">
        <f t="shared" si="20"/>
        <v>0.52448957719308797</v>
      </c>
      <c r="AC16" s="3071">
        <f t="shared" si="20"/>
        <v>1.0591097991395237</v>
      </c>
      <c r="AD16" s="3072">
        <f ca="1">OFFSET('VVP1'!$G$49,0,5*(COLUMN()-7))</f>
        <v>0.19</v>
      </c>
      <c r="AE16" s="3072">
        <f ca="1">OFFSET('VVP1'!$G$49,0,5*(COLUMN()-7))</f>
        <v>1</v>
      </c>
    </row>
    <row r="18" spans="1:31">
      <c r="A18" s="1123"/>
      <c r="D18" s="3076"/>
      <c r="E18" s="3077" t="s">
        <v>1199</v>
      </c>
      <c r="F18" s="3078"/>
      <c r="G18" s="3079">
        <f>InputY!$G$3</f>
        <v>1995</v>
      </c>
      <c r="H18" s="3079">
        <f t="shared" ref="H18:W18" si="21">+G18+1</f>
        <v>1996</v>
      </c>
      <c r="I18" s="3079">
        <f t="shared" si="21"/>
        <v>1997</v>
      </c>
      <c r="J18" s="3079">
        <f t="shared" si="21"/>
        <v>1998</v>
      </c>
      <c r="K18" s="3079">
        <f t="shared" si="21"/>
        <v>1999</v>
      </c>
      <c r="L18" s="3079">
        <f t="shared" si="21"/>
        <v>2000</v>
      </c>
      <c r="M18" s="3079">
        <f t="shared" si="21"/>
        <v>2001</v>
      </c>
      <c r="N18" s="3079">
        <f t="shared" si="21"/>
        <v>2002</v>
      </c>
      <c r="O18" s="3079">
        <f t="shared" si="21"/>
        <v>2003</v>
      </c>
      <c r="P18" s="3079">
        <f t="shared" si="21"/>
        <v>2004</v>
      </c>
      <c r="Q18" s="3079">
        <f t="shared" si="21"/>
        <v>2005</v>
      </c>
      <c r="R18" s="3079">
        <f t="shared" si="21"/>
        <v>2006</v>
      </c>
      <c r="S18" s="3079">
        <f t="shared" si="21"/>
        <v>2007</v>
      </c>
      <c r="T18" s="3079">
        <f t="shared" si="21"/>
        <v>2008</v>
      </c>
      <c r="U18" s="3079">
        <f t="shared" si="21"/>
        <v>2009</v>
      </c>
      <c r="V18" s="3079">
        <f t="shared" si="21"/>
        <v>2010</v>
      </c>
      <c r="W18" s="3079">
        <f t="shared" si="21"/>
        <v>2011</v>
      </c>
      <c r="X18" s="3079">
        <f t="shared" ref="X18:AE18" si="22">+W18+1</f>
        <v>2012</v>
      </c>
      <c r="Y18" s="3079">
        <f t="shared" si="22"/>
        <v>2013</v>
      </c>
      <c r="Z18" s="3079">
        <f t="shared" si="22"/>
        <v>2014</v>
      </c>
      <c r="AA18" s="3079">
        <f t="shared" si="22"/>
        <v>2015</v>
      </c>
      <c r="AB18" s="3079">
        <f t="shared" si="22"/>
        <v>2016</v>
      </c>
      <c r="AC18" s="3079">
        <f t="shared" si="22"/>
        <v>2017</v>
      </c>
      <c r="AD18" s="3079">
        <f t="shared" si="22"/>
        <v>2018</v>
      </c>
      <c r="AE18" s="3079">
        <f t="shared" si="22"/>
        <v>2019</v>
      </c>
    </row>
    <row r="19" spans="1:31">
      <c r="A19" s="714"/>
      <c r="B19" s="714"/>
      <c r="C19" s="1112" t="s">
        <v>622</v>
      </c>
      <c r="D19" s="1099" t="s">
        <v>591</v>
      </c>
      <c r="E19" s="1100" t="s">
        <v>1200</v>
      </c>
      <c r="F19" s="1105" t="s">
        <v>1728</v>
      </c>
      <c r="G19" s="1095"/>
      <c r="H19" s="1095"/>
      <c r="I19" s="1095"/>
      <c r="J19" s="1095"/>
      <c r="K19" s="1095"/>
      <c r="L19" s="1095"/>
      <c r="M19" s="1095"/>
      <c r="N19" s="1095"/>
      <c r="O19" s="1095"/>
      <c r="P19" s="1095"/>
      <c r="Q19" s="1095"/>
      <c r="R19" s="1095"/>
      <c r="S19" s="3080"/>
      <c r="T19" s="3080"/>
      <c r="U19" s="3080"/>
      <c r="V19" s="3080"/>
      <c r="W19" s="3080"/>
      <c r="X19" s="3080"/>
      <c r="Y19" s="3080"/>
      <c r="Z19" s="3080"/>
      <c r="AA19" s="3080"/>
      <c r="AB19" s="3080"/>
      <c r="AC19" s="3080"/>
      <c r="AD19" s="3080"/>
      <c r="AE19" s="3080"/>
    </row>
    <row r="20" spans="1:31" ht="12.75" customHeight="1">
      <c r="A20" s="714"/>
      <c r="B20" s="714"/>
      <c r="C20" s="1113" t="s">
        <v>622</v>
      </c>
      <c r="D20" s="1106" t="s">
        <v>1743</v>
      </c>
      <c r="E20" s="1" t="s">
        <v>1200</v>
      </c>
      <c r="F20" s="1106" t="s">
        <v>1729</v>
      </c>
      <c r="G20" s="924"/>
      <c r="H20" s="924"/>
      <c r="I20" s="924"/>
      <c r="J20" s="924"/>
      <c r="K20" s="924"/>
      <c r="L20" s="924"/>
      <c r="M20" s="924"/>
      <c r="N20" s="924"/>
      <c r="O20" s="924"/>
      <c r="P20" s="924"/>
      <c r="Q20" s="924"/>
      <c r="R20" s="924"/>
      <c r="S20" s="3081"/>
      <c r="T20" s="3081"/>
      <c r="U20" s="3081"/>
      <c r="V20" s="3081"/>
      <c r="W20" s="3081"/>
      <c r="X20" s="3081"/>
      <c r="Y20" s="3081"/>
      <c r="Z20" s="3081"/>
      <c r="AA20" s="3081"/>
      <c r="AB20" s="3081"/>
      <c r="AC20" s="3081"/>
      <c r="AD20" s="3081"/>
      <c r="AE20" s="3081"/>
    </row>
    <row r="21" spans="1:31">
      <c r="A21" s="714">
        <f>+ROW(InputY!A28)</f>
        <v>28</v>
      </c>
      <c r="C21" s="1113" t="s">
        <v>624</v>
      </c>
      <c r="D21" s="1170"/>
      <c r="E21" s="1146" t="s">
        <v>1200</v>
      </c>
      <c r="F21" s="1170" t="s">
        <v>1730</v>
      </c>
      <c r="G21" s="3082">
        <f ca="1">InputY!G28/1000</f>
        <v>14.719100000000001</v>
      </c>
      <c r="H21" s="3082">
        <f>InputY!H28/1000</f>
        <v>14.28607</v>
      </c>
      <c r="I21" s="3082">
        <f>InputY!I28/1000</f>
        <v>14.249840000000001</v>
      </c>
      <c r="J21" s="3082">
        <f>InputY!J28/1000</f>
        <v>14.906040000000001</v>
      </c>
      <c r="K21" s="3082">
        <f>InputY!K28/1000</f>
        <v>14.366149999999999</v>
      </c>
      <c r="L21" s="3082">
        <f>InputY!L28/1000</f>
        <v>14.155370000000001</v>
      </c>
      <c r="M21" s="3082">
        <f>InputY!M28/1000</f>
        <v>14.12059</v>
      </c>
      <c r="N21" s="3082">
        <f>InputY!N28/1000</f>
        <v>13.27641</v>
      </c>
      <c r="O21" s="3082">
        <f>InputY!O28/1000</f>
        <v>13.287129999999999</v>
      </c>
      <c r="P21" s="3082">
        <f>InputY!P28/1000</f>
        <v>14.6401</v>
      </c>
      <c r="Q21" s="3082">
        <f>InputY!Q28/1000</f>
        <v>14.59219</v>
      </c>
      <c r="R21" s="3082">
        <f>InputY!R28/1000</f>
        <v>14.43956</v>
      </c>
      <c r="S21" s="3082">
        <f>InputY!S28/1000</f>
        <v>15.52669</v>
      </c>
      <c r="T21" s="3082">
        <f>InputY!T28/1000</f>
        <v>16.40971</v>
      </c>
      <c r="U21" s="3082">
        <f>InputY!U28/1000</f>
        <v>17.71988</v>
      </c>
      <c r="V21" s="3082">
        <f>InputY!V28/1000</f>
        <v>16.6769</v>
      </c>
      <c r="W21" s="3082">
        <f>InputY!W28/1000</f>
        <v>18.865449999999999</v>
      </c>
      <c r="X21" s="3082">
        <f>InputY!X28/1000</f>
        <v>20.190799999999999</v>
      </c>
      <c r="Y21" s="3082">
        <f>InputY!Y28/1000</f>
        <v>20.016719999999999</v>
      </c>
      <c r="Z21" s="3082">
        <f>InputY!Z28/1000</f>
        <v>19.845740000000003</v>
      </c>
      <c r="AA21" s="3082">
        <f>InputY!AA28/1000</f>
        <v>19.562419999999999</v>
      </c>
      <c r="AB21" s="3082">
        <f>InputY!AB28/1000</f>
        <v>19.890759999999997</v>
      </c>
      <c r="AC21" s="3082">
        <f>InputY!AC28/1000</f>
        <v>20.827189999999998</v>
      </c>
      <c r="AD21" s="979">
        <f t="shared" ref="AD21:AE22" ca="1" si="23">+AC21*(1+AD35/100)</f>
        <v>21.712345574999997</v>
      </c>
      <c r="AE21" s="979">
        <f t="shared" ca="1" si="23"/>
        <v>22.493990015699996</v>
      </c>
    </row>
    <row r="22" spans="1:31">
      <c r="A22" s="714">
        <f>+ROW(InputY!A29)</f>
        <v>29</v>
      </c>
      <c r="B22" s="714" t="s">
        <v>350</v>
      </c>
      <c r="C22" s="1113" t="s">
        <v>622</v>
      </c>
      <c r="D22" s="3"/>
      <c r="E22" s="1" t="s">
        <v>351</v>
      </c>
      <c r="F22" s="3" t="s">
        <v>1731</v>
      </c>
      <c r="G22" s="3083">
        <f ca="1">InputY!G29/1000</f>
        <v>21.3401</v>
      </c>
      <c r="H22" s="3083">
        <f>InputY!H29/1000</f>
        <v>18.295150000000003</v>
      </c>
      <c r="I22" s="3083">
        <f>InputY!I29/1000</f>
        <v>19.70571</v>
      </c>
      <c r="J22" s="3083">
        <f>InputY!J29/1000</f>
        <v>18.802769999999999</v>
      </c>
      <c r="K22" s="3083">
        <f>InputY!K29/1000</f>
        <v>19.288979999999999</v>
      </c>
      <c r="L22" s="3083">
        <f>InputY!L29/1000</f>
        <v>19.29721</v>
      </c>
      <c r="M22" s="3083">
        <f>InputY!M29/1000</f>
        <v>18.883569999999999</v>
      </c>
      <c r="N22" s="3083">
        <f>InputY!N29/1000</f>
        <v>17.952860000000001</v>
      </c>
      <c r="O22" s="3083">
        <f>InputY!O29/1000</f>
        <v>18.54185</v>
      </c>
      <c r="P22" s="3083">
        <f>InputY!P29/1000</f>
        <v>19.928099999999997</v>
      </c>
      <c r="Q22" s="3083">
        <f>InputY!Q29/1000</f>
        <v>21.951499999999999</v>
      </c>
      <c r="R22" s="3083">
        <f>InputY!R29/1000</f>
        <v>23.47363</v>
      </c>
      <c r="S22" s="3083">
        <f>InputY!S29/1000</f>
        <v>24.164090000000002</v>
      </c>
      <c r="T22" s="3083">
        <f>InputY!T29/1000</f>
        <v>23.821339999999999</v>
      </c>
      <c r="U22" s="3083">
        <f>InputY!U29/1000</f>
        <v>21.763529999999999</v>
      </c>
      <c r="V22" s="3083">
        <f>InputY!V29/1000</f>
        <v>22.3383</v>
      </c>
      <c r="W22" s="3083">
        <f>InputY!W29/1000</f>
        <v>21.812339999999999</v>
      </c>
      <c r="X22" s="3083">
        <f>InputY!X29/1000</f>
        <v>21.860040000000001</v>
      </c>
      <c r="Y22" s="3083">
        <f>InputY!Y29/1000</f>
        <v>21.130299999999998</v>
      </c>
      <c r="Z22" s="3083">
        <f>InputY!Z29/1000</f>
        <v>22.305099999999999</v>
      </c>
      <c r="AA22" s="3083">
        <f>InputY!AA29/1000</f>
        <v>22.426209999999998</v>
      </c>
      <c r="AB22" s="3083">
        <f>InputY!AB29/1000</f>
        <v>23.118069999999999</v>
      </c>
      <c r="AC22" s="3083">
        <f>InputY!AC29/1000</f>
        <v>23.223089999999999</v>
      </c>
      <c r="AD22" s="979">
        <f t="shared" ca="1" si="23"/>
        <v>23.385651629999998</v>
      </c>
      <c r="AE22" s="979">
        <f t="shared" ca="1" si="23"/>
        <v>23.549351191409997</v>
      </c>
    </row>
    <row r="23" spans="1:31">
      <c r="A23" s="714">
        <f>+ROW(InputY!A30)</f>
        <v>30</v>
      </c>
      <c r="B23" s="715" t="s">
        <v>352</v>
      </c>
      <c r="C23" s="1113" t="s">
        <v>624</v>
      </c>
      <c r="D23" s="3084"/>
      <c r="E23" s="3085" t="s">
        <v>1740</v>
      </c>
      <c r="F23" s="3086" t="s">
        <v>42</v>
      </c>
      <c r="G23" s="3087">
        <f ca="1">InputY!G30/1000</f>
        <v>36.059199999999997</v>
      </c>
      <c r="H23" s="3087">
        <f>InputY!H30/1000</f>
        <v>32.696012230000001</v>
      </c>
      <c r="I23" s="3087">
        <f>InputY!I30/1000</f>
        <v>33.962623669999999</v>
      </c>
      <c r="J23" s="3087">
        <f>InputY!J30/1000</f>
        <v>33.850603130000003</v>
      </c>
      <c r="K23" s="3087">
        <f>InputY!K30/1000</f>
        <v>33.70176945</v>
      </c>
      <c r="L23" s="3087">
        <f>InputY!L30/1000</f>
        <v>33.474456310000001</v>
      </c>
      <c r="M23" s="3087">
        <f>InputY!M30/1000</f>
        <v>33.053735359999997</v>
      </c>
      <c r="N23" s="3087">
        <f>InputY!N30/1000</f>
        <v>31.262894499999998</v>
      </c>
      <c r="O23" s="3087">
        <f>InputY!O30/1000</f>
        <v>31.83045692</v>
      </c>
      <c r="P23" s="3087">
        <f>InputY!P30/1000</f>
        <v>34.599926780000004</v>
      </c>
      <c r="Q23" s="3087">
        <f>InputY!Q30/1000</f>
        <v>36.478348769999997</v>
      </c>
      <c r="R23" s="3087">
        <f>InputY!R30/1000</f>
        <v>37.787091610000004</v>
      </c>
      <c r="S23" s="3087">
        <f>InputY!S30/1000</f>
        <v>39.591072429999997</v>
      </c>
      <c r="T23" s="3087">
        <f>InputY!T30/1000</f>
        <v>40.176084369999998</v>
      </c>
      <c r="U23" s="3087">
        <f>InputY!U30/1000</f>
        <v>39.466038419999997</v>
      </c>
      <c r="V23" s="3087">
        <f>InputY!V30/1000</f>
        <v>39.0152</v>
      </c>
      <c r="W23" s="3087">
        <f>InputY!W30/1000</f>
        <v>40.677790000000002</v>
      </c>
      <c r="X23" s="3087">
        <f>InputY!X30/1000</f>
        <v>42.070576260000003</v>
      </c>
      <c r="Y23" s="3087">
        <f>InputY!Y30/1000</f>
        <v>41.168890769999997</v>
      </c>
      <c r="Z23" s="3087">
        <f>InputY!Z30/1000</f>
        <v>42.180293250000005</v>
      </c>
      <c r="AA23" s="3087">
        <f>InputY!AA30/1000</f>
        <v>42.021132100000003</v>
      </c>
      <c r="AB23" s="3087">
        <f>InputY!AB30/1000</f>
        <v>43.046880920000007</v>
      </c>
      <c r="AC23" s="3087">
        <f>InputY!AC30/1000</f>
        <v>44.076303019999997</v>
      </c>
      <c r="AD23" s="3088">
        <f ca="1">IF(UPPER('VVP1'!$F$2)="Y",+AC23*(1+AD37/100),+AD21+AD22)</f>
        <v>45.115949292267644</v>
      </c>
      <c r="AE23" s="3088">
        <f ca="1">IF(UPPER('VVP1'!$F$2)="Y",+AD23*(1+AE37/100),+AE21+AE22)</f>
        <v>46.054390461509747</v>
      </c>
    </row>
    <row r="24" spans="1:31">
      <c r="A24" s="714"/>
      <c r="C24" s="1113"/>
      <c r="D24" s="1882"/>
      <c r="E24" s="1882" t="s">
        <v>474</v>
      </c>
      <c r="F24" s="1882"/>
      <c r="G24" s="1882"/>
      <c r="H24" s="1043">
        <f ca="1">ABS(IF('VVP1'!$F$2="Y",OFFSET('VVP1'!$G$59,0,5*(COLUMN()-7)+1)-OFFSET('VVP1'!$G$58,0,5*(COLUMN()-7)+1)-OFFSET('VVP1'!$G$57,0,5*(COLUMN()-7)+1),ABS(H23-H21-H22)))</f>
        <v>0</v>
      </c>
      <c r="I24" s="1043">
        <f ca="1">ABS(IF('VVP1'!$F$2="Y",OFFSET('VVP1'!$G$59,0,5*(COLUMN()-7)+1)-OFFSET('VVP1'!$G$58,0,5*(COLUMN()-7)+1)-OFFSET('VVP1'!$G$57,0,5*(COLUMN()-7)+1),ABS(I23-I21-I22)))</f>
        <v>0</v>
      </c>
      <c r="J24" s="1043">
        <f ca="1">ABS(IF('VVP1'!$F$2="Y",OFFSET('VVP1'!$G$59,0,5*(COLUMN()-7)+1)-OFFSET('VVP1'!$G$58,0,5*(COLUMN()-7)+1)-OFFSET('VVP1'!$G$57,0,5*(COLUMN()-7)+1),ABS(J23-J21-J22)))</f>
        <v>0</v>
      </c>
      <c r="K24" s="1043">
        <f ca="1">ABS(IF('VVP1'!$F$2="Y",OFFSET('VVP1'!$G$59,0,5*(COLUMN()-7)+1)-OFFSET('VVP1'!$G$58,0,5*(COLUMN()-7)+1)-OFFSET('VVP1'!$G$57,0,5*(COLUMN()-7)+1),ABS(K23-K21-K22)))</f>
        <v>0</v>
      </c>
      <c r="L24" s="1043">
        <f ca="1">ABS(IF('VVP1'!$F$2="Y",OFFSET('VVP1'!$G$59,0,5*(COLUMN()-7)+1)-OFFSET('VVP1'!$G$58,0,5*(COLUMN()-7)+1)-OFFSET('VVP1'!$G$57,0,5*(COLUMN()-7)+1),ABS(L23-L21-L22)))</f>
        <v>0</v>
      </c>
      <c r="M24" s="1043">
        <f ca="1">ABS(IF('VVP1'!$F$2="Y",OFFSET('VVP1'!$G$59,0,5*(COLUMN()-7)+1)-OFFSET('VVP1'!$G$58,0,5*(COLUMN()-7)+1)-OFFSET('VVP1'!$G$57,0,5*(COLUMN()-7)+1),ABS(M23-M21-M22)))</f>
        <v>0</v>
      </c>
      <c r="N24" s="1043">
        <f ca="1">ABS(IF('VVP1'!$F$2="Y",OFFSET('VVP1'!$G$59,0,5*(COLUMN()-7)+1)-OFFSET('VVP1'!$G$58,0,5*(COLUMN()-7)+1)-OFFSET('VVP1'!$G$57,0,5*(COLUMN()-7)+1),ABS(N23-N21-N22)))</f>
        <v>1.7763568394002505E-15</v>
      </c>
      <c r="O24" s="1043">
        <f ca="1">ABS(IF('VVP1'!$F$2="Y",OFFSET('VVP1'!$G$59,0,5*(COLUMN()-7)+1)-OFFSET('VVP1'!$G$58,0,5*(COLUMN()-7)+1)-OFFSET('VVP1'!$G$57,0,5*(COLUMN()-7)+1),ABS(O23-O21-O22)))</f>
        <v>1.7763568394002505E-15</v>
      </c>
      <c r="P24" s="1043">
        <f ca="1">ABS(IF('VVP1'!$F$2="Y",OFFSET('VVP1'!$G$59,0,5*(COLUMN()-7)+1)-OFFSET('VVP1'!$G$58,0,5*(COLUMN()-7)+1)-OFFSET('VVP1'!$G$57,0,5*(COLUMN()-7)+1),ABS(P23-P21-P22)))</f>
        <v>1.7763568394002505E-15</v>
      </c>
      <c r="Q24" s="1043">
        <f ca="1">ABS(IF('VVP1'!$F$2="Y",OFFSET('VVP1'!$G$59,0,5*(COLUMN()-7)+1)-OFFSET('VVP1'!$G$58,0,5*(COLUMN()-7)+1)-OFFSET('VVP1'!$G$57,0,5*(COLUMN()-7)+1),ABS(Q23-Q21-Q22)))</f>
        <v>1.7763568394002505E-15</v>
      </c>
      <c r="R24" s="1043">
        <f ca="1">ABS(IF('VVP1'!$F$2="Y",OFFSET('VVP1'!$G$59,0,5*(COLUMN()-7)+1)-OFFSET('VVP1'!$G$58,0,5*(COLUMN()-7)+1)-OFFSET('VVP1'!$G$57,0,5*(COLUMN()-7)+1),ABS(R23-R21-R22)))</f>
        <v>0</v>
      </c>
      <c r="S24" s="1043">
        <f ca="1">ABS(IF('VVP1'!$F$2="Y",OFFSET('VVP1'!$G$59,0,5*(COLUMN()-7)+1)-OFFSET('VVP1'!$G$58,0,5*(COLUMN()-7)+1)-OFFSET('VVP1'!$G$57,0,5*(COLUMN()-7)+1),ABS(S23-S21-S22)))</f>
        <v>3.5527136788005009E-15</v>
      </c>
      <c r="T24" s="1043">
        <f ca="1">ABS(IF('VVP1'!$F$2="Y",OFFSET('VVP1'!$G$59,0,5*(COLUMN()-7)+1)-OFFSET('VVP1'!$G$58,0,5*(COLUMN()-7)+1)-OFFSET('VVP1'!$G$57,0,5*(COLUMN()-7)+1),ABS(T23-T21-T22)))</f>
        <v>1.7763568394002505E-15</v>
      </c>
      <c r="U24" s="1043">
        <f ca="1">ABS(IF('VVP1'!$F$2="Y",OFFSET('VVP1'!$G$59,0,5*(COLUMN()-7)+1)-OFFSET('VVP1'!$G$58,0,5*(COLUMN()-7)+1)-OFFSET('VVP1'!$G$57,0,5*(COLUMN()-7)+1),ABS(U23-U21-U22)))</f>
        <v>0</v>
      </c>
      <c r="V24" s="1043">
        <f ca="1">ABS(IF('VVP1'!$F$2="Y",OFFSET('VVP1'!$G$59,0,5*(COLUMN()-7)+1)-OFFSET('VVP1'!$G$58,0,5*(COLUMN()-7)+1)-OFFSET('VVP1'!$G$57,0,5*(COLUMN()-7)+1),ABS(V23-V21-V22)))</f>
        <v>0</v>
      </c>
      <c r="W24" s="1043">
        <f ca="1">ABS(IF('VVP1'!$F$2="Y",OFFSET('VVP1'!$G$59,0,5*(COLUMN()-7)+1)-OFFSET('VVP1'!$G$58,0,5*(COLUMN()-7)+1)-OFFSET('VVP1'!$G$57,0,5*(COLUMN()-7)+1),ABS(W23-W21-W22)))</f>
        <v>0</v>
      </c>
      <c r="X24" s="1043">
        <f ca="1">ABS(IF('VVP1'!$F$2="Y",OFFSET('VVP1'!$G$59,0,5*(COLUMN()-7)+1)-OFFSET('VVP1'!$G$58,0,5*(COLUMN()-7)+1)-OFFSET('VVP1'!$G$57,0,5*(COLUMN()-7)+1),ABS(X23-X21-X22)))</f>
        <v>3.5527136788005009E-15</v>
      </c>
      <c r="Y24" s="1043">
        <f ca="1">ABS(IF('VVP1'!$F$2="Y",OFFSET('VVP1'!$G$59,0,5*(COLUMN()-7)+1)-OFFSET('VVP1'!$G$58,0,5*(COLUMN()-7)+1)-OFFSET('VVP1'!$G$57,0,5*(COLUMN()-7)+1),ABS(Y23-Y21-Y22)))</f>
        <v>0</v>
      </c>
      <c r="Z24" s="1043">
        <f ca="1">ABS(IF('VVP1'!$F$2="Y",OFFSET('VVP1'!$G$59,0,5*(COLUMN()-7)+1)-OFFSET('VVP1'!$G$58,0,5*(COLUMN()-7)+1)-OFFSET('VVP1'!$G$57,0,5*(COLUMN()-7)+1),ABS(Z23-Z21-Z22)))</f>
        <v>0</v>
      </c>
      <c r="AA24" s="1043">
        <f ca="1">ABS(IF('VVP1'!$F$2="Y",OFFSET('VVP1'!$G$59,0,5*(COLUMN()-7)+1)-OFFSET('VVP1'!$G$58,0,5*(COLUMN()-7)+1)-OFFSET('VVP1'!$G$57,0,5*(COLUMN()-7)+1),ABS(AA23-AA21-AA22)))</f>
        <v>3.5527136788005009E-15</v>
      </c>
      <c r="AB24" s="1043">
        <f ca="1">ABS(IF('VVP1'!$F$2="Y",OFFSET('VVP1'!$G$59,0,5*(COLUMN()-7)+1)-OFFSET('VVP1'!$G$58,0,5*(COLUMN()-7)+1)-OFFSET('VVP1'!$G$57,0,5*(COLUMN()-7)+1),ABS(AB23-AB21-AB22)))</f>
        <v>0</v>
      </c>
      <c r="AC24" s="1043">
        <f ca="1">ABS(IF('VVP1'!$F$2="Y",OFFSET('VVP1'!$G$59,0,5*(COLUMN()-7)+1)-OFFSET('VVP1'!$G$58,0,5*(COLUMN()-7)+1)-OFFSET('VVP1'!$G$57,0,5*(COLUMN()-7)+1),ABS(AC23-AC21-AC22)))</f>
        <v>3.5527136788005009E-15</v>
      </c>
      <c r="AD24" s="1043">
        <f ca="1">ABS(IF('VVP1'!$F$2="Y",OFFSET('VVP1'!$G$59,0,5*(COLUMN()-7)+1)-OFFSET('VVP1'!$G$58,0,5*(COLUMN()-7)+1)-OFFSET('VVP1'!$G$57,0,5*(COLUMN()-7)+1),ABS(AD23-AD21-AD22)))</f>
        <v>0</v>
      </c>
      <c r="AE24" s="1043">
        <f ca="1">ABS(IF('VVP1'!$F$2="Y",OFFSET('VVP1'!$G$59,0,5*(COLUMN()-7)+1)-OFFSET('VVP1'!$G$58,0,5*(COLUMN()-7)+1)-OFFSET('VVP1'!$G$57,0,5*(COLUMN()-7)+1),ABS(AE23-AE21-AE22)))</f>
        <v>3.5527136788005009E-15</v>
      </c>
    </row>
    <row r="25" spans="1:31">
      <c r="A25" s="714"/>
      <c r="C25" s="1113" t="s">
        <v>622</v>
      </c>
      <c r="D25" s="3" t="s">
        <v>591</v>
      </c>
      <c r="E25" s="29" t="s">
        <v>1741</v>
      </c>
      <c r="F25" s="3" t="s">
        <v>1732</v>
      </c>
      <c r="G25" s="924"/>
      <c r="H25" s="924"/>
      <c r="I25" s="924"/>
      <c r="J25" s="924"/>
      <c r="K25" s="924"/>
      <c r="L25" s="924"/>
      <c r="M25" s="924"/>
      <c r="N25" s="924"/>
      <c r="O25" s="924"/>
      <c r="P25" s="924"/>
      <c r="Q25" s="924"/>
      <c r="R25" s="924"/>
      <c r="S25" s="3081"/>
      <c r="T25" s="3081"/>
      <c r="U25" s="3081"/>
      <c r="V25" s="3081"/>
      <c r="W25" s="3081"/>
      <c r="X25" s="3081"/>
      <c r="Y25" s="3081"/>
      <c r="Z25" s="3081"/>
      <c r="AA25" s="3081"/>
      <c r="AB25" s="3081"/>
      <c r="AC25" s="3081"/>
      <c r="AD25" s="3081"/>
      <c r="AE25" s="3081"/>
    </row>
    <row r="26" spans="1:31">
      <c r="A26" s="714"/>
      <c r="C26" s="1113" t="s">
        <v>622</v>
      </c>
      <c r="D26" s="1106" t="s">
        <v>1743</v>
      </c>
      <c r="E26" s="1" t="s">
        <v>1741</v>
      </c>
      <c r="F26" s="3" t="s">
        <v>1733</v>
      </c>
      <c r="G26" s="924"/>
      <c r="H26" s="924"/>
      <c r="I26" s="924"/>
      <c r="J26" s="924"/>
      <c r="K26" s="924"/>
      <c r="L26" s="924"/>
      <c r="M26" s="924"/>
      <c r="N26" s="924"/>
      <c r="O26" s="924"/>
      <c r="P26" s="924"/>
      <c r="Q26" s="924"/>
      <c r="R26" s="924"/>
      <c r="S26" s="3081"/>
      <c r="T26" s="3081"/>
      <c r="U26" s="3081"/>
      <c r="V26" s="3081"/>
      <c r="W26" s="3081"/>
      <c r="X26" s="3081"/>
      <c r="Y26" s="3081"/>
      <c r="Z26" s="3081"/>
      <c r="AA26" s="3081"/>
      <c r="AB26" s="3081"/>
      <c r="AC26" s="3081"/>
      <c r="AD26" s="3081"/>
      <c r="AE26" s="3081"/>
    </row>
    <row r="27" spans="1:31">
      <c r="A27" s="714">
        <f>+ROW(InputY!A34)</f>
        <v>34</v>
      </c>
      <c r="B27" s="715" t="s">
        <v>353</v>
      </c>
      <c r="C27" s="1114" t="s">
        <v>624</v>
      </c>
      <c r="D27" s="3089"/>
      <c r="E27" s="3090" t="s">
        <v>1741</v>
      </c>
      <c r="F27" s="3089" t="s">
        <v>1734</v>
      </c>
      <c r="G27" s="3091">
        <f ca="1">InputY!G34/1000</f>
        <v>20.614799999999999</v>
      </c>
      <c r="H27" s="3091">
        <f>InputY!H34/1000</f>
        <v>19.891830000000002</v>
      </c>
      <c r="I27" s="3091">
        <f>InputY!I34/1000</f>
        <v>21.928639999999998</v>
      </c>
      <c r="J27" s="3091">
        <f>InputY!J34/1000</f>
        <v>22.651340000000001</v>
      </c>
      <c r="K27" s="3091">
        <f>InputY!K34/1000</f>
        <v>24.55716</v>
      </c>
      <c r="L27" s="3091">
        <f>InputY!L34/1000</f>
        <v>27.495540000000002</v>
      </c>
      <c r="M27" s="3091">
        <f>InputY!M34/1000</f>
        <v>28.02957</v>
      </c>
      <c r="N27" s="3091">
        <f>InputY!N34/1000</f>
        <v>26.477409999999999</v>
      </c>
      <c r="O27" s="3091">
        <f>InputY!O34/1000</f>
        <v>25.30743</v>
      </c>
      <c r="P27" s="3091">
        <f>InputY!P34/1000</f>
        <v>27.632770000000001</v>
      </c>
      <c r="Q27" s="3091">
        <f>InputY!Q34/1000</f>
        <v>29.677689999999998</v>
      </c>
      <c r="R27" s="3091">
        <f>InputY!R34/1000</f>
        <v>29.882750000000001</v>
      </c>
      <c r="S27" s="3091">
        <f>InputY!S34/1000</f>
        <v>32.854019999999998</v>
      </c>
      <c r="T27" s="3091">
        <f>InputY!T34/1000</f>
        <v>33.323399999999999</v>
      </c>
      <c r="U27" s="3091">
        <f>InputY!U34/1000</f>
        <v>27.75892</v>
      </c>
      <c r="V27" s="3091">
        <f>InputY!V34/1000</f>
        <v>27.3093</v>
      </c>
      <c r="W27" s="3091">
        <f>InputY!W34/1000</f>
        <v>28.27488</v>
      </c>
      <c r="X27" s="3091">
        <f>InputY!X34/1000</f>
        <v>26.918369999999999</v>
      </c>
      <c r="Y27" s="3091">
        <f>InputY!Y34/1000</f>
        <v>26.485049999999998</v>
      </c>
      <c r="Z27" s="3091">
        <f>InputY!Z34/1000</f>
        <v>28.58764</v>
      </c>
      <c r="AA27" s="3091">
        <f>InputY!AA34/1000</f>
        <v>29.05059</v>
      </c>
      <c r="AB27" s="3091">
        <f>InputY!AB34/1000</f>
        <v>32.851790000000001</v>
      </c>
      <c r="AC27" s="3091">
        <f>InputY!AC34/1000</f>
        <v>32.465800000000002</v>
      </c>
      <c r="AD27" s="1285">
        <f t="shared" ref="AD27:AE28" ca="1" si="24">+AC27*(1+AD40/100)</f>
        <v>34.283884800000003</v>
      </c>
      <c r="AE27" s="1285">
        <f t="shared" ca="1" si="24"/>
        <v>35.518104652800005</v>
      </c>
    </row>
    <row r="28" spans="1:31">
      <c r="A28" s="714">
        <f>+ROW(InputY!A38)</f>
        <v>38</v>
      </c>
      <c r="B28" s="714" t="s">
        <v>354</v>
      </c>
      <c r="C28" s="1115" t="s">
        <v>624</v>
      </c>
      <c r="D28" s="3092"/>
      <c r="E28" s="3093" t="s">
        <v>1742</v>
      </c>
      <c r="F28" s="3092" t="s">
        <v>1458</v>
      </c>
      <c r="G28" s="3094">
        <f ca="1">InputY!G38/1000</f>
        <v>7.2445000000000004</v>
      </c>
      <c r="H28" s="3094">
        <f>InputY!H38/1000</f>
        <v>6.9369309100000001</v>
      </c>
      <c r="I28" s="3094">
        <f>InputY!I38/1000</f>
        <v>7.3875164599999996</v>
      </c>
      <c r="J28" s="3094">
        <f>InputY!J38/1000</f>
        <v>8.1697440999999991</v>
      </c>
      <c r="K28" s="3094">
        <f>InputY!K38/1000</f>
        <v>8.5583322800000001</v>
      </c>
      <c r="L28" s="3094">
        <f>InputY!L38/1000</f>
        <v>8.3900885499999998</v>
      </c>
      <c r="M28" s="3094">
        <f>InputY!M38/1000</f>
        <v>9.2601788000000003</v>
      </c>
      <c r="N28" s="3094">
        <f>InputY!N38/1000</f>
        <v>9.5337724500000007</v>
      </c>
      <c r="O28" s="3094">
        <f>InputY!O38/1000</f>
        <v>9.9885753000000008</v>
      </c>
      <c r="P28" s="3094">
        <f>InputY!P38/1000</f>
        <v>10.846063910000002</v>
      </c>
      <c r="Q28" s="3094">
        <f>InputY!Q38/1000</f>
        <v>11.32001324</v>
      </c>
      <c r="R28" s="3094">
        <f>InputY!R38/1000</f>
        <v>11.37519279</v>
      </c>
      <c r="S28" s="3094">
        <f>InputY!S38/1000</f>
        <v>11.86676158</v>
      </c>
      <c r="T28" s="3094">
        <f>InputY!T38/1000</f>
        <v>12.42015997</v>
      </c>
      <c r="U28" s="3094">
        <f>InputY!U38/1000</f>
        <v>13.100421560000001</v>
      </c>
      <c r="V28" s="3094">
        <f>InputY!V38/1000</f>
        <v>13.336499999999999</v>
      </c>
      <c r="W28" s="3094">
        <f>InputY!W38/1000</f>
        <v>14.070049999999998</v>
      </c>
      <c r="X28" s="3094">
        <f>InputY!X38/1000</f>
        <v>14.203465210000001</v>
      </c>
      <c r="Y28" s="3094">
        <f>InputY!Y38/1000</f>
        <v>14.295120750000001</v>
      </c>
      <c r="Z28" s="3094">
        <f>InputY!Z38/1000</f>
        <v>16.04420434</v>
      </c>
      <c r="AA28" s="3094">
        <f>InputY!AA38/1000</f>
        <v>18.015858520000002</v>
      </c>
      <c r="AB28" s="3094">
        <f>InputY!AB38/1000</f>
        <v>16.438815419999997</v>
      </c>
      <c r="AC28" s="3094">
        <f>InputY!AC38/1000</f>
        <v>16.717245180000003</v>
      </c>
      <c r="AD28" s="3065">
        <f t="shared" ca="1" si="24"/>
        <v>17.553107439000005</v>
      </c>
      <c r="AE28" s="3065">
        <f t="shared" ca="1" si="24"/>
        <v>18.027041339853003</v>
      </c>
    </row>
    <row r="29" spans="1:31">
      <c r="A29" s="714">
        <f>+ROW(InputY!A40)</f>
        <v>40</v>
      </c>
      <c r="B29" s="715" t="s">
        <v>355</v>
      </c>
      <c r="C29" s="3803" t="s">
        <v>624</v>
      </c>
      <c r="D29" s="3096"/>
      <c r="E29" s="3097" t="s">
        <v>1248</v>
      </c>
      <c r="F29" s="3098" t="s">
        <v>2048</v>
      </c>
      <c r="G29" s="3099">
        <f ca="1">InputY!G40/1000</f>
        <v>62.320099999999996</v>
      </c>
      <c r="H29" s="3099">
        <f>InputY!H40/1000</f>
        <v>58.605170000000001</v>
      </c>
      <c r="I29" s="3099">
        <f>InputY!I40/1000</f>
        <v>62.49879</v>
      </c>
      <c r="J29" s="3099">
        <f>InputY!J40/1000</f>
        <v>64.033510000000007</v>
      </c>
      <c r="K29" s="3099">
        <f>InputY!K40/1000</f>
        <v>66.448979999999992</v>
      </c>
      <c r="L29" s="3099">
        <f>InputY!L40/1000</f>
        <v>69.348609999999994</v>
      </c>
      <c r="M29" s="3099">
        <f>InputY!M40/1000</f>
        <v>70.478970000000004</v>
      </c>
      <c r="N29" s="3099">
        <f>InputY!N40/1000</f>
        <v>67.439030000000002</v>
      </c>
      <c r="O29" s="3099">
        <f>InputY!O40/1000</f>
        <v>67.167020000000008</v>
      </c>
      <c r="P29" s="3099">
        <f>InputY!P40/1000</f>
        <v>73.133009999999999</v>
      </c>
      <c r="Q29" s="3099">
        <f>InputY!Q40/1000</f>
        <v>77.572509999999994</v>
      </c>
      <c r="R29" s="3099">
        <f>InputY!R40/1000</f>
        <v>79.090570000000014</v>
      </c>
      <c r="S29" s="3099">
        <f>InputY!S40/1000</f>
        <v>84.433109999999999</v>
      </c>
      <c r="T29" s="3099">
        <f>InputY!T40/1000</f>
        <v>86.030960000000007</v>
      </c>
      <c r="U29" s="3099">
        <f>InputY!U40/1000</f>
        <v>80.32687</v>
      </c>
      <c r="V29" s="3099">
        <f>InputY!V40/1000</f>
        <v>79.660899999999998</v>
      </c>
      <c r="W29" s="3099">
        <f>InputY!W40/1000</f>
        <v>83.022019999999998</v>
      </c>
      <c r="X29" s="3099">
        <f>InputY!X40/1000</f>
        <v>83.185380000000009</v>
      </c>
      <c r="Y29" s="3099">
        <f>InputY!Y40/1000</f>
        <v>81.946830000000006</v>
      </c>
      <c r="Z29" s="3099">
        <f>InputY!Z40/1000</f>
        <v>86.833309999999997</v>
      </c>
      <c r="AA29" s="3099">
        <f>InputY!AA40/1000</f>
        <v>89.157359999999997</v>
      </c>
      <c r="AB29" s="3099">
        <f>InputY!AB40/1000</f>
        <v>92.368990000000011</v>
      </c>
      <c r="AC29" s="3099">
        <f>InputY!AC40/1000</f>
        <v>93.282610000000005</v>
      </c>
      <c r="AD29" s="3100">
        <f ca="1">IF(UPPER('VVP1'!$F$2)="Y",+AC29*(1+AD42/100),+AD27+AD28+AD23)</f>
        <v>96.996965479342123</v>
      </c>
      <c r="AE29" s="3100">
        <f ca="1">IF(UPPER('VVP1'!$F$2)="Y",+AD29*(1+AE42/100),+AE27+AE28+AE23)</f>
        <v>99.650374393593751</v>
      </c>
    </row>
    <row r="30" spans="1:31">
      <c r="D30" s="1882"/>
      <c r="E30" s="1882" t="s">
        <v>474</v>
      </c>
      <c r="F30" s="1882"/>
      <c r="G30" s="1043"/>
      <c r="H30" s="1043">
        <f ca="1">ABS(IF('VVP1'!$F$2="Y",OFFSET('VVP1'!$G$64,0,5*(COLUMN()-7)+1)-OFFSET('VVP1'!$G$59,0,5*(COLUMN()-7)+1)-OFFSET('VVP1'!$G$62,0,5*(COLUMN()-7)+1)-OFFSET('VVP1'!$G$63,0,5*(COLUMN()-7)+1),ABS(H29-H23-H27-H28)))</f>
        <v>3.5527136788005009E-15</v>
      </c>
      <c r="I30" s="1043">
        <f ca="1">ABS(IF('VVP1'!$F$2="Y",OFFSET('VVP1'!$G$64,0,5*(COLUMN()-7)+1)-OFFSET('VVP1'!$G$59,0,5*(COLUMN()-7)+1)-OFFSET('VVP1'!$G$62,0,5*(COLUMN()-7)+1)-OFFSET('VVP1'!$G$63,0,5*(COLUMN()-7)+1),ABS(I29-I23-I27-I28)))</f>
        <v>6.2172489379008766E-15</v>
      </c>
      <c r="J30" s="1043">
        <f ca="1">ABS(IF('VVP1'!$F$2="Y",OFFSET('VVP1'!$G$64,0,5*(COLUMN()-7)+1)-OFFSET('VVP1'!$G$59,0,5*(COLUMN()-7)+1)-OFFSET('VVP1'!$G$62,0,5*(COLUMN()-7)+1)-OFFSET('VVP1'!$G$63,0,5*(COLUMN()-7)+1),ABS(J29-J23-J27-J28)))</f>
        <v>5.3290705182007514E-15</v>
      </c>
      <c r="K30" s="1043">
        <f ca="1">ABS(IF('VVP1'!$F$2="Y",OFFSET('VVP1'!$G$64,0,5*(COLUMN()-7)+1)-OFFSET('VVP1'!$G$59,0,5*(COLUMN()-7)+1)-OFFSET('VVP1'!$G$62,0,5*(COLUMN()-7)+1)-OFFSET('VVP1'!$G$63,0,5*(COLUMN()-7)+1),ABS(K29-K23-K27-K28)))</f>
        <v>5.3290705182007514E-15</v>
      </c>
      <c r="L30" s="1043">
        <f ca="1">ABS(IF('VVP1'!$F$2="Y",OFFSET('VVP1'!$G$64,0,5*(COLUMN()-7)+1)-OFFSET('VVP1'!$G$59,0,5*(COLUMN()-7)+1)-OFFSET('VVP1'!$G$62,0,5*(COLUMN()-7)+1)-OFFSET('VVP1'!$G$63,0,5*(COLUMN()-7)+1),ABS(L29-L23-L27-L28)))</f>
        <v>3.5527136788005009E-15</v>
      </c>
      <c r="M30" s="1043">
        <f ca="1">ABS(IF('VVP1'!$F$2="Y",OFFSET('VVP1'!$G$64,0,5*(COLUMN()-7)+1)-OFFSET('VVP1'!$G$59,0,5*(COLUMN()-7)+1)-OFFSET('VVP1'!$G$62,0,5*(COLUMN()-7)+1)-OFFSET('VVP1'!$G$63,0,5*(COLUMN()-7)+1),ABS(M29-M23-M27-M28)))</f>
        <v>0</v>
      </c>
      <c r="N30" s="1043">
        <f ca="1">ABS(IF('VVP1'!$F$2="Y",OFFSET('VVP1'!$G$64,0,5*(COLUMN()-7)+1)-OFFSET('VVP1'!$G$59,0,5*(COLUMN()-7)+1)-OFFSET('VVP1'!$G$62,0,5*(COLUMN()-7)+1)-OFFSET('VVP1'!$G$63,0,5*(COLUMN()-7)+1),ABS(N29-N23-N27-N28)))</f>
        <v>1.7763568394002505E-15</v>
      </c>
      <c r="O30" s="1043">
        <f ca="1">ABS(IF('VVP1'!$F$2="Y",OFFSET('VVP1'!$G$64,0,5*(COLUMN()-7)+1)-OFFSET('VVP1'!$G$59,0,5*(COLUMN()-7)+1)-OFFSET('VVP1'!$G$62,0,5*(COLUMN()-7)+1)-OFFSET('VVP1'!$G$63,0,5*(COLUMN()-7)+1),ABS(O29-O23-O27-O28)))</f>
        <v>3.5527136788005009E-15</v>
      </c>
      <c r="P30" s="1043">
        <f ca="1">ABS(IF('VVP1'!$F$2="Y",OFFSET('VVP1'!$G$64,0,5*(COLUMN()-7)+1)-OFFSET('VVP1'!$G$59,0,5*(COLUMN()-7)+1)-OFFSET('VVP1'!$G$62,0,5*(COLUMN()-7)+1)-OFFSET('VVP1'!$G$63,0,5*(COLUMN()-7)+1),ABS(P29-P23-P27-P28)))</f>
        <v>1.7763568394002505E-15</v>
      </c>
      <c r="Q30" s="1043">
        <f ca="1">ABS(IF('VVP1'!$F$2="Y",OFFSET('VVP1'!$G$64,0,5*(COLUMN()-7)+1)-OFFSET('VVP1'!$G$59,0,5*(COLUMN()-7)+1)-OFFSET('VVP1'!$G$62,0,5*(COLUMN()-7)+1)-OFFSET('VVP1'!$G$63,0,5*(COLUMN()-7)+1),ABS(Q29-Q23-Q27-Q28)))</f>
        <v>8.8817841970012523E-15</v>
      </c>
      <c r="R30" s="1043">
        <f ca="1">ABS(IF('VVP1'!$F$2="Y",OFFSET('VVP1'!$G$64,0,5*(COLUMN()-7)+1)-OFFSET('VVP1'!$G$59,0,5*(COLUMN()-7)+1)-OFFSET('VVP1'!$G$62,0,5*(COLUMN()-7)+1)-OFFSET('VVP1'!$G$63,0,5*(COLUMN()-7)+1),ABS(R29-R23-R27-R28)))</f>
        <v>7.1054273576010019E-15</v>
      </c>
      <c r="S30" s="1043">
        <f ca="1">ABS(IF('VVP1'!$F$2="Y",OFFSET('VVP1'!$G$64,0,5*(COLUMN()-7)+1)-OFFSET('VVP1'!$G$59,0,5*(COLUMN()-7)+1)-OFFSET('VVP1'!$G$62,0,5*(COLUMN()-7)+1)-OFFSET('VVP1'!$G$63,0,5*(COLUMN()-7)+1),ABS(S29-S23-S27-S28)))</f>
        <v>1.7763568394002505E-15</v>
      </c>
      <c r="T30" s="1043">
        <f ca="1">ABS(IF('VVP1'!$F$2="Y",OFFSET('VVP1'!$G$64,0,5*(COLUMN()-7)+1)-OFFSET('VVP1'!$G$59,0,5*(COLUMN()-7)+1)-OFFSET('VVP1'!$G$62,0,5*(COLUMN()-7)+1)-OFFSET('VVP1'!$G$63,0,5*(COLUMN()-7)+1),ABS(T29-T23-T27-T28)))</f>
        <v>5.3290705182007514E-15</v>
      </c>
      <c r="U30" s="1043">
        <f ca="1">ABS(IF('VVP1'!$F$2="Y",OFFSET('VVP1'!$G$64,0,5*(COLUMN()-7)+1)-OFFSET('VVP1'!$G$59,0,5*(COLUMN()-7)+1)-OFFSET('VVP1'!$G$62,0,5*(COLUMN()-7)+1)-OFFSET('VVP1'!$G$63,0,5*(COLUMN()-7)+1),ABS(U29-U23-U27-U28)))</f>
        <v>1.7763568394002505E-15</v>
      </c>
      <c r="V30" s="1043">
        <f ca="1">ABS(IF('VVP1'!$F$2="Y",OFFSET('VVP1'!$G$64,0,5*(COLUMN()-7)+1)-OFFSET('VVP1'!$G$59,0,5*(COLUMN()-7)+1)-OFFSET('VVP1'!$G$62,0,5*(COLUMN()-7)+1)-OFFSET('VVP1'!$G$63,0,5*(COLUMN()-7)+1),ABS(V29-V23-V27-V28)))</f>
        <v>3.5527136788005009E-15</v>
      </c>
      <c r="W30" s="1043">
        <f ca="1">ABS(IF('VVP1'!$F$2="Y",OFFSET('VVP1'!$G$64,0,5*(COLUMN()-7)+1)-OFFSET('VVP1'!$G$59,0,5*(COLUMN()-7)+1)-OFFSET('VVP1'!$G$62,0,5*(COLUMN()-7)+1)-OFFSET('VVP1'!$G$63,0,5*(COLUMN()-7)+1),ABS(W29-W23-W27-W28)))</f>
        <v>7.1054273576010019E-15</v>
      </c>
      <c r="X30" s="1043">
        <f ca="1">ABS(IF('VVP1'!$F$2="Y",OFFSET('VVP1'!$G$64,0,5*(COLUMN()-7)+1)-OFFSET('VVP1'!$G$59,0,5*(COLUMN()-7)+1)-OFFSET('VVP1'!$G$62,0,5*(COLUMN()-7)+1)-OFFSET('VVP1'!$G$63,0,5*(COLUMN()-7)+1),ABS(X29-X23-X27-X28)))</f>
        <v>1.4210854715202004E-14</v>
      </c>
      <c r="Y30" s="1043">
        <f ca="1">ABS(IF('VVP1'!$F$2="Y",OFFSET('VVP1'!$G$64,0,5*(COLUMN()-7)+1)-OFFSET('VVP1'!$G$59,0,5*(COLUMN()-7)+1)-OFFSET('VVP1'!$G$62,0,5*(COLUMN()-7)+1)-OFFSET('VVP1'!$G$63,0,5*(COLUMN()-7)+1),ABS(Y29-Y23-Y27-Y28)))</f>
        <v>5.3290705182007514E-15</v>
      </c>
      <c r="Z30" s="1043">
        <f ca="1">ABS(IF('VVP1'!$F$2="Y",OFFSET('VVP1'!$G$64,0,5*(COLUMN()-7)+1)-OFFSET('VVP1'!$G$59,0,5*(COLUMN()-7)+1)-OFFSET('VVP1'!$G$62,0,5*(COLUMN()-7)+1)-OFFSET('VVP1'!$G$63,0,5*(COLUMN()-7)+1),ABS(Z29-Z23-Z27-Z28)))</f>
        <v>3.5527136788005009E-15</v>
      </c>
      <c r="AA30" s="1043">
        <f ca="1">ABS(IF('VVP1'!$F$2="Y",OFFSET('VVP1'!$G$64,0,5*(COLUMN()-7)+1)-OFFSET('VVP1'!$G$59,0,5*(COLUMN()-7)+1)-OFFSET('VVP1'!$G$62,0,5*(COLUMN()-7)+1)-OFFSET('VVP1'!$G$63,0,5*(COLUMN()-7)+1),ABS(AA29-AA23-AA27-AA28)))</f>
        <v>1.0658141036401503E-14</v>
      </c>
      <c r="AB30" s="1043">
        <f ca="1">ABS(IF('VVP1'!$F$2="Y",OFFSET('VVP1'!$G$64,0,5*(COLUMN()-7)+1)-OFFSET('VVP1'!$G$59,0,5*(COLUMN()-7)+1)-OFFSET('VVP1'!$G$62,0,5*(COLUMN()-7)+1)-OFFSET('VVP1'!$G$63,0,5*(COLUMN()-7)+1),ABS(AB29-AB23-AB27-AB28)))</f>
        <v>7.1054273576010019E-15</v>
      </c>
      <c r="AC30" s="1043">
        <f ca="1">ABS(IF('VVP1'!$F$2="Y",OFFSET('VVP1'!$G$64,0,5*(COLUMN()-7)+1)-OFFSET('VVP1'!$G$59,0,5*(COLUMN()-7)+1)-OFFSET('VVP1'!$G$62,0,5*(COLUMN()-7)+1)-OFFSET('VVP1'!$G$63,0,5*(COLUMN()-7)+1),ABS(AC29-AC23-AC27-AC28)))</f>
        <v>3.5527136788005009E-15</v>
      </c>
      <c r="AD30" s="1043">
        <f ca="1">ABS(IF('VVP1'!$F$2="Y",OFFSET('VVP1'!$G$64,0,5*(COLUMN()-7)+1)-OFFSET('VVP1'!$G$59,0,5*(COLUMN()-7)+1)-OFFSET('VVP1'!$G$62,0,5*(COLUMN()-7)+1)-OFFSET('VVP1'!$G$63,0,5*(COLUMN()-7)+1),ABS(AD29-AD23-AD27-AD28)))</f>
        <v>7.1054273576010019E-15</v>
      </c>
      <c r="AE30" s="1043">
        <f ca="1">ABS(IF('VVP1'!$F$2="Y",OFFSET('VVP1'!$G$64,0,5*(COLUMN()-7)+1)-OFFSET('VVP1'!$G$59,0,5*(COLUMN()-7)+1)-OFFSET('VVP1'!$G$62,0,5*(COLUMN()-7)+1)-OFFSET('VVP1'!$G$63,0,5*(COLUMN()-7)+1),ABS(AE29-AE23-AE27-AE28)))</f>
        <v>7.1054273576010019E-15</v>
      </c>
    </row>
    <row r="32" spans="1:31" s="749" customFormat="1" ht="12.75" customHeight="1">
      <c r="A32" s="714"/>
      <c r="B32" s="714"/>
      <c r="C32" s="822"/>
      <c r="D32" s="3073"/>
      <c r="E32" s="3074" t="s">
        <v>2040</v>
      </c>
      <c r="F32" s="792"/>
      <c r="G32" s="793">
        <f>InputY!$G$3</f>
        <v>1995</v>
      </c>
      <c r="H32" s="793">
        <f t="shared" ref="H32:W32" si="25">+G32+1</f>
        <v>1996</v>
      </c>
      <c r="I32" s="793">
        <f t="shared" si="25"/>
        <v>1997</v>
      </c>
      <c r="J32" s="793">
        <f t="shared" si="25"/>
        <v>1998</v>
      </c>
      <c r="K32" s="793">
        <f t="shared" si="25"/>
        <v>1999</v>
      </c>
      <c r="L32" s="793">
        <f t="shared" si="25"/>
        <v>2000</v>
      </c>
      <c r="M32" s="793">
        <f t="shared" si="25"/>
        <v>2001</v>
      </c>
      <c r="N32" s="793">
        <f t="shared" si="25"/>
        <v>2002</v>
      </c>
      <c r="O32" s="793">
        <f t="shared" si="25"/>
        <v>2003</v>
      </c>
      <c r="P32" s="793">
        <f t="shared" si="25"/>
        <v>2004</v>
      </c>
      <c r="Q32" s="793">
        <f t="shared" si="25"/>
        <v>2005</v>
      </c>
      <c r="R32" s="793">
        <f t="shared" si="25"/>
        <v>2006</v>
      </c>
      <c r="S32" s="793">
        <f t="shared" si="25"/>
        <v>2007</v>
      </c>
      <c r="T32" s="793">
        <f t="shared" si="25"/>
        <v>2008</v>
      </c>
      <c r="U32" s="793">
        <f t="shared" si="25"/>
        <v>2009</v>
      </c>
      <c r="V32" s="793">
        <f t="shared" si="25"/>
        <v>2010</v>
      </c>
      <c r="W32" s="793">
        <f t="shared" si="25"/>
        <v>2011</v>
      </c>
      <c r="X32" s="793">
        <f t="shared" ref="X32:AE32" si="26">+W32+1</f>
        <v>2012</v>
      </c>
      <c r="Y32" s="793">
        <f t="shared" si="26"/>
        <v>2013</v>
      </c>
      <c r="Z32" s="793">
        <f t="shared" si="26"/>
        <v>2014</v>
      </c>
      <c r="AA32" s="793">
        <f t="shared" si="26"/>
        <v>2015</v>
      </c>
      <c r="AB32" s="793">
        <f t="shared" si="26"/>
        <v>2016</v>
      </c>
      <c r="AC32" s="793">
        <f t="shared" si="26"/>
        <v>2017</v>
      </c>
      <c r="AD32" s="793">
        <f t="shared" si="26"/>
        <v>2018</v>
      </c>
      <c r="AE32" s="793">
        <f t="shared" si="26"/>
        <v>2019</v>
      </c>
    </row>
    <row r="33" spans="1:31" s="749" customFormat="1" ht="12.75" customHeight="1">
      <c r="A33" s="714"/>
      <c r="B33" s="714"/>
      <c r="C33" s="839" t="s">
        <v>622</v>
      </c>
      <c r="D33" s="739" t="s">
        <v>591</v>
      </c>
      <c r="E33" s="787" t="s">
        <v>1200</v>
      </c>
      <c r="F33" s="754" t="s">
        <v>1728</v>
      </c>
      <c r="G33" s="924"/>
      <c r="H33" s="924"/>
      <c r="I33" s="924"/>
      <c r="J33" s="924"/>
      <c r="K33" s="924"/>
      <c r="L33" s="924"/>
      <c r="M33" s="924"/>
      <c r="N33" s="924"/>
      <c r="O33" s="924"/>
      <c r="P33" s="924"/>
      <c r="Q33" s="924"/>
      <c r="R33" s="924"/>
      <c r="S33" s="3081"/>
      <c r="T33" s="3081"/>
      <c r="U33" s="3081"/>
      <c r="V33" s="3081"/>
      <c r="W33" s="3081"/>
      <c r="X33" s="3081"/>
      <c r="Y33" s="3081"/>
      <c r="Z33" s="3081"/>
      <c r="AA33" s="3081"/>
      <c r="AB33" s="3081"/>
      <c r="AC33" s="3081"/>
      <c r="AD33" s="3081"/>
      <c r="AE33" s="3081"/>
    </row>
    <row r="34" spans="1:31">
      <c r="A34" s="714"/>
      <c r="B34" s="714"/>
      <c r="C34" s="3101" t="s">
        <v>622</v>
      </c>
      <c r="D34" s="1106" t="s">
        <v>1743</v>
      </c>
      <c r="E34" s="1" t="s">
        <v>1200</v>
      </c>
      <c r="F34" s="1106" t="s">
        <v>1729</v>
      </c>
      <c r="G34" s="924"/>
      <c r="H34" s="924"/>
      <c r="I34" s="924"/>
      <c r="J34" s="924"/>
      <c r="K34" s="924"/>
      <c r="L34" s="924"/>
      <c r="M34" s="924"/>
      <c r="N34" s="924"/>
      <c r="O34" s="924"/>
      <c r="P34" s="924"/>
      <c r="Q34" s="924"/>
      <c r="R34" s="924"/>
      <c r="S34" s="3081"/>
      <c r="T34" s="3081"/>
      <c r="U34" s="3081"/>
      <c r="V34" s="3081"/>
      <c r="W34" s="3081"/>
      <c r="X34" s="3081"/>
      <c r="Y34" s="3081"/>
      <c r="Z34" s="3081"/>
      <c r="AA34" s="3081"/>
      <c r="AB34" s="3081"/>
      <c r="AC34" s="3081"/>
      <c r="AD34" s="3081"/>
      <c r="AE34" s="3081"/>
    </row>
    <row r="35" spans="1:31">
      <c r="A35" s="1123"/>
      <c r="C35" s="3101" t="s">
        <v>624</v>
      </c>
      <c r="D35" s="3102"/>
      <c r="E35" s="3103" t="s">
        <v>1200</v>
      </c>
      <c r="F35" s="3102" t="s">
        <v>1730</v>
      </c>
      <c r="G35" s="3104"/>
      <c r="H35" s="3104">
        <f t="shared" ref="H35:AC35" ca="1" si="27">(H21/G21-1)*100</f>
        <v>-2.9419597665618191</v>
      </c>
      <c r="I35" s="3104">
        <f t="shared" si="27"/>
        <v>-0.25360368526823329</v>
      </c>
      <c r="J35" s="3104">
        <f t="shared" si="27"/>
        <v>4.6049639855605395</v>
      </c>
      <c r="K35" s="3104">
        <f t="shared" si="27"/>
        <v>-3.6219545902198114</v>
      </c>
      <c r="L35" s="3104">
        <f t="shared" si="27"/>
        <v>-1.4671989363886473</v>
      </c>
      <c r="M35" s="3104">
        <f t="shared" si="27"/>
        <v>-0.24570180786515072</v>
      </c>
      <c r="N35" s="3104">
        <f t="shared" si="27"/>
        <v>-5.9783620939351634</v>
      </c>
      <c r="O35" s="3104">
        <f t="shared" si="27"/>
        <v>8.0744719393255338E-2</v>
      </c>
      <c r="P35" s="3104">
        <f t="shared" si="27"/>
        <v>10.182560116443518</v>
      </c>
      <c r="Q35" s="3104">
        <f t="shared" si="27"/>
        <v>-0.32725186303371734</v>
      </c>
      <c r="R35" s="3104">
        <f t="shared" si="27"/>
        <v>-1.0459704814698823</v>
      </c>
      <c r="S35" s="3104">
        <f t="shared" si="27"/>
        <v>7.5288305183814463</v>
      </c>
      <c r="T35" s="3104">
        <f t="shared" si="27"/>
        <v>5.687110388627592</v>
      </c>
      <c r="U35" s="3104">
        <f t="shared" si="27"/>
        <v>7.984114283555277</v>
      </c>
      <c r="V35" s="3104">
        <f t="shared" si="27"/>
        <v>-5.8859315074368475</v>
      </c>
      <c r="W35" s="3104">
        <f t="shared" si="27"/>
        <v>13.123242329209873</v>
      </c>
      <c r="X35" s="3104">
        <f t="shared" si="27"/>
        <v>7.025276364995281</v>
      </c>
      <c r="Y35" s="3104">
        <f t="shared" si="27"/>
        <v>-0.86217485191275589</v>
      </c>
      <c r="Z35" s="3104">
        <f t="shared" si="27"/>
        <v>-0.85418590058708999</v>
      </c>
      <c r="AA35" s="3104">
        <f t="shared" si="27"/>
        <v>-1.4276111649150103</v>
      </c>
      <c r="AB35" s="3104">
        <f t="shared" si="27"/>
        <v>1.6784221992984349</v>
      </c>
      <c r="AC35" s="3104">
        <f t="shared" si="27"/>
        <v>4.707864355107616</v>
      </c>
      <c r="AD35" s="1357">
        <f ca="1">OFFSET('VVP1'!$G$57,0,5*(COLUMN()-7))</f>
        <v>4.25</v>
      </c>
      <c r="AE35" s="1357">
        <f ca="1">OFFSET('VVP1'!$G$57,0,5*(COLUMN()-7))</f>
        <v>3.6</v>
      </c>
    </row>
    <row r="36" spans="1:31">
      <c r="A36" s="714"/>
      <c r="B36" s="714"/>
      <c r="C36" s="3101" t="s">
        <v>622</v>
      </c>
      <c r="D36" s="3"/>
      <c r="E36" s="1" t="s">
        <v>351</v>
      </c>
      <c r="F36" s="3" t="s">
        <v>1731</v>
      </c>
      <c r="G36" s="3083"/>
      <c r="H36" s="3083">
        <f t="shared" ref="H36:AC36" ca="1" si="28">(H22/G22-1)*100</f>
        <v>-14.26867727892558</v>
      </c>
      <c r="I36" s="3083">
        <f t="shared" si="28"/>
        <v>7.7100215084325407</v>
      </c>
      <c r="J36" s="3083">
        <f t="shared" si="28"/>
        <v>-4.5821236585740888</v>
      </c>
      <c r="K36" s="3083">
        <f t="shared" si="28"/>
        <v>2.5858424051349971</v>
      </c>
      <c r="L36" s="3083">
        <f t="shared" si="28"/>
        <v>4.2666849154282538E-2</v>
      </c>
      <c r="M36" s="3083">
        <f t="shared" si="28"/>
        <v>-2.1435223019286243</v>
      </c>
      <c r="N36" s="3083">
        <f t="shared" si="28"/>
        <v>-4.9286760924973301</v>
      </c>
      <c r="O36" s="3083">
        <f t="shared" si="28"/>
        <v>3.2807586089347307</v>
      </c>
      <c r="P36" s="3083">
        <f t="shared" si="28"/>
        <v>7.476330571113432</v>
      </c>
      <c r="Q36" s="3083">
        <f t="shared" si="28"/>
        <v>10.153501839111613</v>
      </c>
      <c r="R36" s="3083">
        <f t="shared" si="28"/>
        <v>6.934059175910523</v>
      </c>
      <c r="S36" s="3083">
        <f t="shared" si="28"/>
        <v>2.9414283176483647</v>
      </c>
      <c r="T36" s="3083">
        <f t="shared" si="28"/>
        <v>-1.4184270957441458</v>
      </c>
      <c r="U36" s="3083">
        <f t="shared" si="28"/>
        <v>-8.6385148778364229</v>
      </c>
      <c r="V36" s="3083">
        <f t="shared" si="28"/>
        <v>2.6409778193151601</v>
      </c>
      <c r="W36" s="3083">
        <f t="shared" si="28"/>
        <v>-2.3545211587273962</v>
      </c>
      <c r="X36" s="3083">
        <f t="shared" si="28"/>
        <v>0.21868355252119276</v>
      </c>
      <c r="Y36" s="3083">
        <f t="shared" si="28"/>
        <v>-3.3382372584862763</v>
      </c>
      <c r="Z36" s="3083">
        <f t="shared" si="28"/>
        <v>5.5597885500915822</v>
      </c>
      <c r="AA36" s="3083">
        <f t="shared" si="28"/>
        <v>0.54296999340956997</v>
      </c>
      <c r="AB36" s="3083">
        <f t="shared" si="28"/>
        <v>3.0850509292475348</v>
      </c>
      <c r="AC36" s="3083">
        <f t="shared" si="28"/>
        <v>0.45427667621043</v>
      </c>
      <c r="AD36" s="1357">
        <f ca="1">OFFSET('VVP1'!$G$58,0,5*(COLUMN()-7))</f>
        <v>0.7</v>
      </c>
      <c r="AE36" s="1357">
        <f ca="1">OFFSET('VVP1'!$G$58,0,5*(COLUMN()-7))</f>
        <v>0.7</v>
      </c>
    </row>
    <row r="37" spans="1:31">
      <c r="A37" s="1123"/>
      <c r="C37" s="1021" t="s">
        <v>624</v>
      </c>
      <c r="D37" s="3105"/>
      <c r="E37" s="3106" t="s">
        <v>1740</v>
      </c>
      <c r="F37" s="3105" t="s">
        <v>42</v>
      </c>
      <c r="G37" s="3107"/>
      <c r="H37" s="3107">
        <f t="shared" ref="H37:AC37" ca="1" si="29">(H23/G23-1)*100</f>
        <v>-9.3268507620801309</v>
      </c>
      <c r="I37" s="3107">
        <f t="shared" si="29"/>
        <v>3.8739019030517463</v>
      </c>
      <c r="J37" s="3107">
        <f t="shared" si="29"/>
        <v>-0.32983476508897658</v>
      </c>
      <c r="K37" s="3107">
        <f t="shared" si="29"/>
        <v>-0.43967807435637551</v>
      </c>
      <c r="L37" s="3107">
        <f t="shared" si="29"/>
        <v>-0.67448428883605249</v>
      </c>
      <c r="M37" s="3107">
        <f t="shared" si="29"/>
        <v>-1.2568417724362568</v>
      </c>
      <c r="N37" s="3107">
        <f t="shared" si="29"/>
        <v>-5.41796816757717</v>
      </c>
      <c r="O37" s="3107">
        <f t="shared" si="29"/>
        <v>1.8154506454928665</v>
      </c>
      <c r="P37" s="3107">
        <f t="shared" si="29"/>
        <v>8.7006915011008434</v>
      </c>
      <c r="Q37" s="3107">
        <f t="shared" si="29"/>
        <v>5.428976777736394</v>
      </c>
      <c r="R37" s="3107">
        <f t="shared" si="29"/>
        <v>3.5877250043629294</v>
      </c>
      <c r="S37" s="3107">
        <f t="shared" si="29"/>
        <v>4.77406633624744</v>
      </c>
      <c r="T37" s="3107">
        <f t="shared" si="29"/>
        <v>1.4776360024961299</v>
      </c>
      <c r="U37" s="3107">
        <f t="shared" si="29"/>
        <v>-1.7673348738041827</v>
      </c>
      <c r="V37" s="3107">
        <f t="shared" si="29"/>
        <v>-1.1423452620254015</v>
      </c>
      <c r="W37" s="3107">
        <f t="shared" si="29"/>
        <v>4.2613904324468432</v>
      </c>
      <c r="X37" s="3107">
        <f t="shared" si="29"/>
        <v>3.4239477120069806</v>
      </c>
      <c r="Y37" s="3107">
        <f t="shared" si="29"/>
        <v>-2.143268693130107</v>
      </c>
      <c r="Z37" s="3107">
        <f t="shared" si="29"/>
        <v>2.4567154010790571</v>
      </c>
      <c r="AA37" s="3107">
        <f t="shared" si="29"/>
        <v>-0.37733533301123057</v>
      </c>
      <c r="AB37" s="3107">
        <f t="shared" si="29"/>
        <v>2.4410309021636323</v>
      </c>
      <c r="AC37" s="3107">
        <f t="shared" si="29"/>
        <v>2.39139765297538</v>
      </c>
      <c r="AD37" s="3108">
        <f ca="1">IF(UPPER('VVP1'!$F$2)="Y",OFFSET('VVP1'!$G$59,0,5*(COLUMN()-7)),('VVP2'!AD23/'VVP2'!AC23-1)*100)</f>
        <v>2.3587420020138694</v>
      </c>
      <c r="AE37" s="3108">
        <f ca="1">IF(UPPER('VVP1'!$F$2)="Y",OFFSET('VVP1'!$G$59,0,5*(COLUMN()-7)),('VVP2'!AE23/'VVP2'!AD23-1)*100)</f>
        <v>2.0800652185388957</v>
      </c>
    </row>
    <row r="38" spans="1:31">
      <c r="A38" s="1123"/>
      <c r="C38" s="3109" t="s">
        <v>622</v>
      </c>
      <c r="D38" s="3110" t="s">
        <v>591</v>
      </c>
      <c r="E38" s="3111" t="s">
        <v>1741</v>
      </c>
      <c r="F38" s="3110" t="s">
        <v>1732</v>
      </c>
      <c r="G38" s="3112"/>
      <c r="H38" s="3112"/>
      <c r="I38" s="3112"/>
      <c r="J38" s="3112"/>
      <c r="K38" s="3112"/>
      <c r="L38" s="3112"/>
      <c r="M38" s="3112"/>
      <c r="N38" s="3112"/>
      <c r="O38" s="3112"/>
      <c r="P38" s="3112"/>
      <c r="Q38" s="3112"/>
      <c r="R38" s="3112"/>
      <c r="S38" s="3113"/>
      <c r="T38" s="3113"/>
      <c r="U38" s="3113"/>
      <c r="V38" s="3113"/>
      <c r="W38" s="3113"/>
      <c r="X38" s="3113"/>
      <c r="Y38" s="3113"/>
      <c r="Z38" s="3113"/>
      <c r="AA38" s="3113"/>
      <c r="AB38" s="3113"/>
      <c r="AC38" s="3113"/>
      <c r="AD38" s="3113"/>
      <c r="AE38" s="3113"/>
    </row>
    <row r="39" spans="1:31">
      <c r="A39" s="1123"/>
      <c r="C39" s="3101" t="s">
        <v>622</v>
      </c>
      <c r="D39" s="1106" t="s">
        <v>1743</v>
      </c>
      <c r="E39" s="1" t="s">
        <v>1741</v>
      </c>
      <c r="F39" s="3" t="s">
        <v>1733</v>
      </c>
      <c r="G39" s="924"/>
      <c r="H39" s="924"/>
      <c r="I39" s="924"/>
      <c r="J39" s="924"/>
      <c r="K39" s="924"/>
      <c r="L39" s="924"/>
      <c r="M39" s="924"/>
      <c r="N39" s="924"/>
      <c r="O39" s="924"/>
      <c r="P39" s="924"/>
      <c r="Q39" s="924"/>
      <c r="R39" s="924"/>
      <c r="S39" s="3081"/>
      <c r="T39" s="3081"/>
      <c r="U39" s="3081"/>
      <c r="V39" s="3081"/>
      <c r="W39" s="3081"/>
      <c r="X39" s="3081"/>
      <c r="Y39" s="3081"/>
      <c r="Z39" s="3081"/>
      <c r="AA39" s="3081"/>
      <c r="AB39" s="3081"/>
      <c r="AC39" s="3081"/>
      <c r="AD39" s="3081"/>
      <c r="AE39" s="3081"/>
    </row>
    <row r="40" spans="1:31">
      <c r="A40" s="1123"/>
      <c r="C40" s="1021" t="s">
        <v>624</v>
      </c>
      <c r="D40" s="3105"/>
      <c r="E40" s="3114" t="s">
        <v>1741</v>
      </c>
      <c r="F40" s="3105" t="s">
        <v>1734</v>
      </c>
      <c r="G40" s="3107"/>
      <c r="H40" s="3107">
        <f t="shared" ref="H40:AC40" ca="1" si="30">(H27/G27-1)*100</f>
        <v>-3.5070434833226471</v>
      </c>
      <c r="I40" s="3107">
        <f t="shared" si="30"/>
        <v>10.239429956921997</v>
      </c>
      <c r="J40" s="3107">
        <f t="shared" si="30"/>
        <v>3.2956900199921257</v>
      </c>
      <c r="K40" s="3107">
        <f t="shared" si="30"/>
        <v>8.4137185702920725</v>
      </c>
      <c r="L40" s="3107">
        <f t="shared" si="30"/>
        <v>11.965471577332231</v>
      </c>
      <c r="M40" s="3107">
        <f t="shared" si="30"/>
        <v>1.9422422691098173</v>
      </c>
      <c r="N40" s="3107">
        <f t="shared" si="30"/>
        <v>-5.5375804908887272</v>
      </c>
      <c r="O40" s="3107">
        <f t="shared" si="30"/>
        <v>-4.4187856742785581</v>
      </c>
      <c r="P40" s="3107">
        <f t="shared" si="30"/>
        <v>9.1883687912996272</v>
      </c>
      <c r="Q40" s="3107">
        <f t="shared" si="30"/>
        <v>7.4003438670824373</v>
      </c>
      <c r="R40" s="3107">
        <f t="shared" si="30"/>
        <v>0.69095674225319037</v>
      </c>
      <c r="S40" s="3107">
        <f t="shared" si="30"/>
        <v>9.9430942600664096</v>
      </c>
      <c r="T40" s="3107">
        <f t="shared" si="30"/>
        <v>1.4286836131468972</v>
      </c>
      <c r="U40" s="3107">
        <f t="shared" si="30"/>
        <v>-16.698416128006144</v>
      </c>
      <c r="V40" s="3107">
        <f t="shared" si="30"/>
        <v>-1.6197316033909059</v>
      </c>
      <c r="W40" s="3107">
        <f t="shared" si="30"/>
        <v>3.5357186013555753</v>
      </c>
      <c r="X40" s="3107">
        <f t="shared" si="30"/>
        <v>-4.7975800427800248</v>
      </c>
      <c r="Y40" s="3107">
        <f t="shared" si="30"/>
        <v>-1.6097557170066445</v>
      </c>
      <c r="Z40" s="3107">
        <f t="shared" si="30"/>
        <v>7.9387805573333026</v>
      </c>
      <c r="AA40" s="3107">
        <f t="shared" si="30"/>
        <v>1.6194061489510858</v>
      </c>
      <c r="AB40" s="3107">
        <f t="shared" si="30"/>
        <v>13.084760068556278</v>
      </c>
      <c r="AC40" s="3107">
        <f t="shared" si="30"/>
        <v>-1.1749435875488046</v>
      </c>
      <c r="AD40" s="3115">
        <f ca="1">OFFSET('VVP1'!$G$62,0,5*(COLUMN()-7))</f>
        <v>5.6</v>
      </c>
      <c r="AE40" s="3115">
        <f ca="1">OFFSET('VVP1'!$G$62,0,5*(COLUMN()-7))</f>
        <v>3.6</v>
      </c>
    </row>
    <row r="41" spans="1:31">
      <c r="A41" s="714"/>
      <c r="B41" s="714"/>
      <c r="C41" s="3116" t="s">
        <v>624</v>
      </c>
      <c r="D41" s="3117"/>
      <c r="E41" s="3118" t="s">
        <v>1742</v>
      </c>
      <c r="F41" s="3117" t="s">
        <v>1458</v>
      </c>
      <c r="G41" s="3119"/>
      <c r="H41" s="3119">
        <f t="shared" ref="H41:AC41" ca="1" si="31">(H28/G28-1)*100</f>
        <v>-4.2455530402374269</v>
      </c>
      <c r="I41" s="3119">
        <f t="shared" si="31"/>
        <v>6.4954596758409977</v>
      </c>
      <c r="J41" s="3119">
        <f t="shared" si="31"/>
        <v>10.58850622175127</v>
      </c>
      <c r="K41" s="3119">
        <f t="shared" si="31"/>
        <v>4.7564302534274239</v>
      </c>
      <c r="L41" s="3119">
        <f t="shared" si="31"/>
        <v>-1.9658471358160456</v>
      </c>
      <c r="M41" s="3119">
        <f t="shared" si="31"/>
        <v>10.370453718274518</v>
      </c>
      <c r="N41" s="3119">
        <f t="shared" si="31"/>
        <v>2.9545180056350651</v>
      </c>
      <c r="O41" s="3119">
        <f t="shared" si="31"/>
        <v>4.7704395336181982</v>
      </c>
      <c r="P41" s="3119">
        <f t="shared" si="31"/>
        <v>8.5846938551887408</v>
      </c>
      <c r="Q41" s="3119">
        <f t="shared" si="31"/>
        <v>4.3697818299136104</v>
      </c>
      <c r="R41" s="3119">
        <f t="shared" si="31"/>
        <v>0.48745128499514401</v>
      </c>
      <c r="S41" s="3119">
        <f t="shared" si="31"/>
        <v>4.3214106263951946</v>
      </c>
      <c r="T41" s="3119">
        <f t="shared" si="31"/>
        <v>4.6634322790531701</v>
      </c>
      <c r="U41" s="3119">
        <f t="shared" si="31"/>
        <v>5.4770759124127544</v>
      </c>
      <c r="V41" s="3119">
        <f t="shared" si="31"/>
        <v>1.8020675053757484</v>
      </c>
      <c r="W41" s="3119">
        <f t="shared" si="31"/>
        <v>5.5003186743148413</v>
      </c>
      <c r="X41" s="3119">
        <f t="shared" si="31"/>
        <v>0.94822129274596545</v>
      </c>
      <c r="Y41" s="3119">
        <f t="shared" si="31"/>
        <v>0.64530407646909982</v>
      </c>
      <c r="Z41" s="3119">
        <f t="shared" si="31"/>
        <v>12.235528615594227</v>
      </c>
      <c r="AA41" s="3119">
        <f t="shared" si="31"/>
        <v>12.288887240637081</v>
      </c>
      <c r="AB41" s="3119">
        <f t="shared" si="31"/>
        <v>-8.753638347288728</v>
      </c>
      <c r="AC41" s="3119">
        <f t="shared" si="31"/>
        <v>1.6937337203826619</v>
      </c>
      <c r="AD41" s="3120">
        <f ca="1">OFFSET('VVP1'!$G$63,0,5*(COLUMN()-7))</f>
        <v>5</v>
      </c>
      <c r="AE41" s="3120">
        <f ca="1">OFFSET('VVP1'!$G$63,0,5*(COLUMN()-7))</f>
        <v>2.7</v>
      </c>
    </row>
    <row r="42" spans="1:31">
      <c r="A42" s="1123"/>
      <c r="C42" s="3803" t="s">
        <v>624</v>
      </c>
      <c r="D42" s="3121"/>
      <c r="E42" s="3122" t="s">
        <v>1248</v>
      </c>
      <c r="F42" s="3121" t="s">
        <v>2048</v>
      </c>
      <c r="G42" s="3123"/>
      <c r="H42" s="3123">
        <f t="shared" ref="H42:AC42" ca="1" si="32">(H29/G29-1)*100</f>
        <v>-5.9610462755996796</v>
      </c>
      <c r="I42" s="3123">
        <f t="shared" si="32"/>
        <v>6.6438165779572067</v>
      </c>
      <c r="J42" s="3123">
        <f t="shared" si="32"/>
        <v>2.4555995404071052</v>
      </c>
      <c r="K42" s="3123">
        <f t="shared" si="32"/>
        <v>3.7721967763441056</v>
      </c>
      <c r="L42" s="3123">
        <f t="shared" si="32"/>
        <v>4.3636937692647759</v>
      </c>
      <c r="M42" s="3123">
        <f t="shared" si="32"/>
        <v>1.6299677816181246</v>
      </c>
      <c r="N42" s="3123">
        <f t="shared" si="32"/>
        <v>-4.3132582669695658</v>
      </c>
      <c r="O42" s="3123">
        <f t="shared" si="32"/>
        <v>-0.40334210026448103</v>
      </c>
      <c r="P42" s="3123">
        <f t="shared" si="32"/>
        <v>8.8823205198027111</v>
      </c>
      <c r="Q42" s="3123">
        <f t="shared" si="32"/>
        <v>6.0704461637774765</v>
      </c>
      <c r="R42" s="3123">
        <f t="shared" si="32"/>
        <v>1.9569561433554483</v>
      </c>
      <c r="S42" s="3123">
        <f t="shared" si="32"/>
        <v>6.7549645931240354</v>
      </c>
      <c r="T42" s="3123">
        <f t="shared" si="32"/>
        <v>1.892444800386972</v>
      </c>
      <c r="U42" s="3123">
        <f t="shared" si="32"/>
        <v>-6.6302758913767912</v>
      </c>
      <c r="V42" s="3123">
        <f t="shared" si="32"/>
        <v>-0.82907500317142002</v>
      </c>
      <c r="W42" s="3123">
        <f t="shared" si="32"/>
        <v>4.2192844921410622</v>
      </c>
      <c r="X42" s="3123">
        <f t="shared" si="32"/>
        <v>0.19676707456650622</v>
      </c>
      <c r="Y42" s="3123">
        <f t="shared" si="32"/>
        <v>-1.4889034587568184</v>
      </c>
      <c r="Z42" s="3123">
        <f t="shared" si="32"/>
        <v>5.9629884401873667</v>
      </c>
      <c r="AA42" s="3123">
        <f t="shared" si="32"/>
        <v>2.6764498554759708</v>
      </c>
      <c r="AB42" s="3123">
        <f t="shared" si="32"/>
        <v>3.6022040132188904</v>
      </c>
      <c r="AC42" s="3123">
        <f t="shared" si="32"/>
        <v>0.98909818111034831</v>
      </c>
      <c r="AD42" s="3124">
        <f ca="1">IF(UPPER('VVP1'!$F$2)="Y",OFFSET('VVP1'!$G$64,0,5*(COLUMN()-7)),('VVP2'!AD29/'VVP2'!AC29-1)*100)</f>
        <v>3.9818305677147281</v>
      </c>
      <c r="AE42" s="3124">
        <f ca="1">IF(UPPER('VVP1'!$F$2)="Y",OFFSET('VVP1'!$G$64,0,5*(COLUMN()-7)),('VVP2'!AE29/'VVP2'!AD29-1)*100)</f>
        <v>2.7355586859227454</v>
      </c>
    </row>
    <row r="44" spans="1:31">
      <c r="A44" s="1123"/>
      <c r="C44" s="2810"/>
      <c r="D44" s="3156"/>
      <c r="E44" s="3157" t="s">
        <v>1221</v>
      </c>
      <c r="F44" s="3186"/>
      <c r="G44" s="3855">
        <f>InputY!$G$3</f>
        <v>1995</v>
      </c>
      <c r="H44" s="3855">
        <f t="shared" ref="H44:Z44" si="33">+G44+1</f>
        <v>1996</v>
      </c>
      <c r="I44" s="3855">
        <f t="shared" si="33"/>
        <v>1997</v>
      </c>
      <c r="J44" s="3855">
        <f t="shared" si="33"/>
        <v>1998</v>
      </c>
      <c r="K44" s="3855">
        <f t="shared" si="33"/>
        <v>1999</v>
      </c>
      <c r="L44" s="3855">
        <f t="shared" si="33"/>
        <v>2000</v>
      </c>
      <c r="M44" s="3855">
        <f t="shared" si="33"/>
        <v>2001</v>
      </c>
      <c r="N44" s="3855">
        <f t="shared" si="33"/>
        <v>2002</v>
      </c>
      <c r="O44" s="3855">
        <f t="shared" si="33"/>
        <v>2003</v>
      </c>
      <c r="P44" s="3855">
        <f t="shared" si="33"/>
        <v>2004</v>
      </c>
      <c r="Q44" s="3855">
        <f t="shared" si="33"/>
        <v>2005</v>
      </c>
      <c r="R44" s="3855">
        <f t="shared" si="33"/>
        <v>2006</v>
      </c>
      <c r="S44" s="3855">
        <f t="shared" si="33"/>
        <v>2007</v>
      </c>
      <c r="T44" s="3855">
        <f t="shared" si="33"/>
        <v>2008</v>
      </c>
      <c r="U44" s="3855">
        <f t="shared" si="33"/>
        <v>2009</v>
      </c>
      <c r="V44" s="3855">
        <f t="shared" si="33"/>
        <v>2010</v>
      </c>
      <c r="W44" s="3855">
        <f t="shared" si="33"/>
        <v>2011</v>
      </c>
      <c r="X44" s="3855">
        <f>+W44+1</f>
        <v>2012</v>
      </c>
      <c r="Y44" s="3855">
        <f t="shared" si="33"/>
        <v>2013</v>
      </c>
      <c r="Z44" s="3855">
        <f t="shared" si="33"/>
        <v>2014</v>
      </c>
      <c r="AA44" s="3855">
        <f>+Z44+1</f>
        <v>2015</v>
      </c>
      <c r="AB44" s="3855">
        <f>+AA44+1</f>
        <v>2016</v>
      </c>
      <c r="AC44" s="3855">
        <f>+AB44+1</f>
        <v>2017</v>
      </c>
      <c r="AD44" s="3855">
        <f>+AC44+1</f>
        <v>2018</v>
      </c>
      <c r="AE44" s="3855">
        <f>+AD44+1</f>
        <v>2019</v>
      </c>
    </row>
    <row r="45" spans="1:31">
      <c r="A45" s="1123"/>
      <c r="C45" s="3856"/>
      <c r="D45" s="1099" t="s">
        <v>589</v>
      </c>
      <c r="E45" s="1080" t="s">
        <v>1248</v>
      </c>
      <c r="F45" s="1099"/>
      <c r="G45" s="3127">
        <f>InputY!G217/1000</f>
        <v>12.098600000000001</v>
      </c>
      <c r="H45" s="3127">
        <f>InputY!H217/1000</f>
        <v>11.3139</v>
      </c>
      <c r="I45" s="3127">
        <f>InputY!I217/1000</f>
        <v>12.311299999999999</v>
      </c>
      <c r="J45" s="3127">
        <f>InputY!J217/1000</f>
        <v>11.921200000000001</v>
      </c>
      <c r="K45" s="3127">
        <f>InputY!K217/1000</f>
        <v>12.1678</v>
      </c>
      <c r="L45" s="3127">
        <f>InputY!L217/1000</f>
        <v>12.195799999999998</v>
      </c>
      <c r="M45" s="3127">
        <f>InputY!M217/1000</f>
        <v>12.0242</v>
      </c>
      <c r="N45" s="3127">
        <f>InputY!N217/1000</f>
        <v>11.607799999999999</v>
      </c>
      <c r="O45" s="3127">
        <f>InputY!O217/1000</f>
        <v>12.4605</v>
      </c>
      <c r="P45" s="3127">
        <f>InputY!P217/1000</f>
        <v>13.670500000000001</v>
      </c>
      <c r="Q45" s="3127">
        <f>InputY!Q217/1000</f>
        <v>16.560200000000002</v>
      </c>
      <c r="R45" s="3127">
        <f>InputY!R217/1000</f>
        <v>18.344099999999997</v>
      </c>
      <c r="S45" s="3127">
        <f>InputY!S217/1000</f>
        <v>20.0654</v>
      </c>
      <c r="T45" s="3127">
        <f>InputY!T217/1000</f>
        <v>21.1541</v>
      </c>
      <c r="U45" s="3127">
        <f>InputY!U217/1000</f>
        <v>19.186199999999999</v>
      </c>
      <c r="V45" s="3127">
        <f>InputY!V217/1000</f>
        <v>19.851500000000001</v>
      </c>
      <c r="W45" s="3127">
        <f>InputY!W217/1000</f>
        <v>19.629900000000003</v>
      </c>
      <c r="X45" s="3127">
        <f>InputY!X217/1000</f>
        <v>20.205299999999998</v>
      </c>
      <c r="Y45" s="3127">
        <f>InputY!Y217/1000</f>
        <v>19.7318</v>
      </c>
      <c r="Z45" s="3127">
        <f>InputY!Z217/1000</f>
        <v>20.9268</v>
      </c>
      <c r="AA45" s="3127">
        <f>InputY!AA217/1000</f>
        <v>21.192799999999998</v>
      </c>
      <c r="AB45" s="3127">
        <f>InputY!AB217/1000</f>
        <v>21.7926</v>
      </c>
      <c r="AC45" s="3857">
        <f t="shared" ref="AC45:AE46" ca="1" si="34">+AB45*(1+AC52/100)</f>
        <v>21.891598698939834</v>
      </c>
      <c r="AD45" s="3857">
        <f t="shared" ca="1" si="34"/>
        <v>22.04483988983241</v>
      </c>
      <c r="AE45" s="3857">
        <f t="shared" ca="1" si="34"/>
        <v>22.199153769061233</v>
      </c>
    </row>
    <row r="46" spans="1:31">
      <c r="A46" s="1123"/>
      <c r="C46" s="3770" t="s">
        <v>622</v>
      </c>
      <c r="D46" s="3" t="s">
        <v>590</v>
      </c>
      <c r="E46" s="29" t="s">
        <v>1248</v>
      </c>
      <c r="F46" s="3"/>
      <c r="G46" s="3083">
        <f>InputY!G216/1000</f>
        <v>28.1877</v>
      </c>
      <c r="H46" s="3083">
        <f>InputY!H216/1000</f>
        <v>30.023499999999999</v>
      </c>
      <c r="I46" s="3083">
        <f>InputY!I216/1000</f>
        <v>32.318400000000004</v>
      </c>
      <c r="J46" s="3083">
        <f>InputY!J216/1000</f>
        <v>34.484499999999997</v>
      </c>
      <c r="K46" s="3083">
        <f>InputY!K216/1000</f>
        <v>36.244199999999999</v>
      </c>
      <c r="L46" s="3083">
        <f>InputY!L216/1000</f>
        <v>39.608599999999996</v>
      </c>
      <c r="M46" s="3083">
        <f>InputY!M216/1000</f>
        <v>41.761000000000003</v>
      </c>
      <c r="N46" s="3083">
        <f>InputY!N216/1000</f>
        <v>39.392000000000003</v>
      </c>
      <c r="O46" s="3083">
        <f>InputY!O216/1000</f>
        <v>39.2166</v>
      </c>
      <c r="P46" s="3083">
        <f>InputY!P216/1000</f>
        <v>43.916599999999995</v>
      </c>
      <c r="Q46" s="3083">
        <f>InputY!Q216/1000</f>
        <v>45.831800000000001</v>
      </c>
      <c r="R46" s="3083">
        <f>InputY!R216/1000</f>
        <v>48.231300000000005</v>
      </c>
      <c r="S46" s="3083">
        <f>InputY!S216/1000</f>
        <v>52.998599999999996</v>
      </c>
      <c r="T46" s="3083">
        <f>InputY!T216/1000</f>
        <v>56.315199999999997</v>
      </c>
      <c r="U46" s="3083">
        <f>InputY!U216/1000</f>
        <v>51.4634</v>
      </c>
      <c r="V46" s="3083">
        <f>InputY!V216/1000</f>
        <v>51.415399999999998</v>
      </c>
      <c r="W46" s="3083">
        <f>InputY!W216/1000</f>
        <v>56.704699999999995</v>
      </c>
      <c r="X46" s="3083">
        <f>InputY!X216/1000</f>
        <v>57.8232</v>
      </c>
      <c r="Y46" s="3083">
        <f>InputY!Y216/1000</f>
        <v>57.961599999999997</v>
      </c>
      <c r="Z46" s="3083">
        <f>InputY!Z216/1000</f>
        <v>61.817599999999999</v>
      </c>
      <c r="AA46" s="3083">
        <f>InputY!AA216/1000</f>
        <v>64.366199999999992</v>
      </c>
      <c r="AB46" s="3083">
        <f>InputY!AB216/1000</f>
        <v>67.971199999999996</v>
      </c>
      <c r="AC46" s="1235">
        <f t="shared" ca="1" si="34"/>
        <v>68.64975224363485</v>
      </c>
      <c r="AD46" s="1235">
        <f t="shared" ca="1" si="34"/>
        <v>71.59621422896069</v>
      </c>
      <c r="AE46" s="1235">
        <f t="shared" ca="1" si="34"/>
        <v>73.772643544261186</v>
      </c>
    </row>
    <row r="47" spans="1:31">
      <c r="A47" s="714">
        <f>+ROW(InputY!A218)</f>
        <v>218</v>
      </c>
      <c r="B47" s="715" t="s">
        <v>1222</v>
      </c>
      <c r="C47" s="3858" t="s">
        <v>622</v>
      </c>
      <c r="D47" s="3859" t="s">
        <v>591</v>
      </c>
      <c r="E47" s="3860" t="s">
        <v>1248</v>
      </c>
      <c r="F47" s="3859" t="s">
        <v>1948</v>
      </c>
      <c r="G47" s="3861">
        <f>InputY!G218/1000</f>
        <v>4.8567999999999998</v>
      </c>
      <c r="H47" s="3861">
        <f>InputY!H218/1000</f>
        <v>4.6556000000000006</v>
      </c>
      <c r="I47" s="3861">
        <f>InputY!I218/1000</f>
        <v>4.9722</v>
      </c>
      <c r="J47" s="3861">
        <f>InputY!J218/1000</f>
        <v>5.0324</v>
      </c>
      <c r="K47" s="3861">
        <f>InputY!K218/1000</f>
        <v>5.9561999999999999</v>
      </c>
      <c r="L47" s="3861">
        <f>InputY!L218/1000</f>
        <v>6.2696999999999994</v>
      </c>
      <c r="M47" s="3861">
        <f>InputY!M218/1000</f>
        <v>5.7919999999999998</v>
      </c>
      <c r="N47" s="3861">
        <f>InputY!N218/1000</f>
        <v>5.8331</v>
      </c>
      <c r="O47" s="3861">
        <f>InputY!O218/1000</f>
        <v>6.0922999999999998</v>
      </c>
      <c r="P47" s="3861">
        <f>InputY!P218/1000</f>
        <v>6.1935000000000002</v>
      </c>
      <c r="Q47" s="3861">
        <f>InputY!Q218/1000</f>
        <v>6.6242000000000001</v>
      </c>
      <c r="R47" s="3861">
        <f>InputY!R218/1000</f>
        <v>6.4175000000000004</v>
      </c>
      <c r="S47" s="3861">
        <f>InputY!S218/1000</f>
        <v>7.0301</v>
      </c>
      <c r="T47" s="3861">
        <f>InputY!T218/1000</f>
        <v>7.4166999999999996</v>
      </c>
      <c r="U47" s="3861">
        <f>InputY!U218/1000</f>
        <v>8.1306000000000012</v>
      </c>
      <c r="V47" s="3861">
        <f>InputY!V218/1000</f>
        <v>8.3940000000000001</v>
      </c>
      <c r="W47" s="3861">
        <f>InputY!W218/1000</f>
        <v>9.2747000000000011</v>
      </c>
      <c r="X47" s="3861">
        <f>InputY!X218/1000</f>
        <v>9.6434999999999995</v>
      </c>
      <c r="Y47" s="3861">
        <f>InputY!Y218/1000</f>
        <v>9.2502999999999993</v>
      </c>
      <c r="Z47" s="3861">
        <f>InputY!Z218/1000</f>
        <v>9.57</v>
      </c>
      <c r="AA47" s="3861">
        <f>InputY!AA218/1000</f>
        <v>9.6271000000000004</v>
      </c>
      <c r="AB47" s="3861">
        <f>InputY!AB218/1000</f>
        <v>9.3897000000000013</v>
      </c>
      <c r="AC47" s="3862">
        <f ca="1">+AB47*(1+AC54/100)</f>
        <v>9.647916750000002</v>
      </c>
      <c r="AD47" s="3862">
        <f ca="1">+AC47*(1+AD54/100)</f>
        <v>10.637793008550002</v>
      </c>
      <c r="AE47" s="3862">
        <f ca="1">+AD47*(1+AE54/100)</f>
        <v>11.222871624020252</v>
      </c>
    </row>
    <row r="48" spans="1:31">
      <c r="A48" s="714"/>
      <c r="C48" s="2810" t="s">
        <v>624</v>
      </c>
      <c r="D48" s="3144"/>
      <c r="E48" s="3097" t="s">
        <v>1248</v>
      </c>
      <c r="F48" s="3098" t="s">
        <v>2048</v>
      </c>
      <c r="G48" s="3863">
        <f ca="1">InputY!G40/1000</f>
        <v>62.320099999999996</v>
      </c>
      <c r="H48" s="3863">
        <f>InputY!H40/1000</f>
        <v>58.605170000000001</v>
      </c>
      <c r="I48" s="3863">
        <f>InputY!I40/1000</f>
        <v>62.49879</v>
      </c>
      <c r="J48" s="3863">
        <f>InputY!J40/1000</f>
        <v>64.033510000000007</v>
      </c>
      <c r="K48" s="3863">
        <f>InputY!K40/1000</f>
        <v>66.448979999999992</v>
      </c>
      <c r="L48" s="3863">
        <f>InputY!L40/1000</f>
        <v>69.348609999999994</v>
      </c>
      <c r="M48" s="3863">
        <f>InputY!M40/1000</f>
        <v>70.478970000000004</v>
      </c>
      <c r="N48" s="3863">
        <f>InputY!N40/1000</f>
        <v>67.439030000000002</v>
      </c>
      <c r="O48" s="3863">
        <f>InputY!O40/1000</f>
        <v>67.167020000000008</v>
      </c>
      <c r="P48" s="3863">
        <f>InputY!P40/1000</f>
        <v>73.133009999999999</v>
      </c>
      <c r="Q48" s="3863">
        <f>InputY!Q40/1000</f>
        <v>77.572509999999994</v>
      </c>
      <c r="R48" s="3863">
        <f>InputY!R40/1000</f>
        <v>79.090570000000014</v>
      </c>
      <c r="S48" s="3863">
        <f>InputY!S40/1000</f>
        <v>84.433109999999999</v>
      </c>
      <c r="T48" s="3863">
        <f>InputY!T40/1000</f>
        <v>86.030960000000007</v>
      </c>
      <c r="U48" s="3863">
        <f>InputY!U40/1000</f>
        <v>80.32687</v>
      </c>
      <c r="V48" s="3863">
        <f>InputY!V40/1000</f>
        <v>79.660899999999998</v>
      </c>
      <c r="W48" s="3863">
        <f>InputY!W40/1000</f>
        <v>83.022019999999998</v>
      </c>
      <c r="X48" s="3863">
        <f>InputY!X40/1000</f>
        <v>83.185380000000009</v>
      </c>
      <c r="Y48" s="3863">
        <f>InputY!Y40/1000</f>
        <v>81.946830000000006</v>
      </c>
      <c r="Z48" s="3863">
        <f>InputY!Z40/1000</f>
        <v>86.833309999999997</v>
      </c>
      <c r="AA48" s="3863">
        <f>InputY!AA40/1000</f>
        <v>89.157359999999997</v>
      </c>
      <c r="AB48" s="3863">
        <f>InputY!AB40/1000</f>
        <v>92.368990000000011</v>
      </c>
      <c r="AC48" s="3863">
        <f>InputY!AC40/1000</f>
        <v>93.282610000000005</v>
      </c>
      <c r="AD48" s="3100">
        <f ca="1">IF(UPPER('VVP1'!$F$2)="Y",+AC48*(1+AD55/100),+AD46+AD47+AD45)</f>
        <v>96.996965479342123</v>
      </c>
      <c r="AE48" s="3100">
        <f ca="1">IF(UPPER('VVP1'!$F$2)="Y",+AD48*(1+AE55/100),+AE46+AE47+AE45)</f>
        <v>99.650374393593751</v>
      </c>
    </row>
    <row r="49" spans="1:31">
      <c r="A49" s="714"/>
      <c r="C49" s="2810"/>
      <c r="D49" s="1882"/>
      <c r="E49" s="1882" t="s">
        <v>474</v>
      </c>
      <c r="F49" s="1882"/>
      <c r="G49" s="1043">
        <f ca="1">G45+G46+G47-G48</f>
        <v>-17.177</v>
      </c>
      <c r="H49" s="1043">
        <f t="shared" ref="H49:AB49" si="35">H45+H46+H47-H48</f>
        <v>-12.612169999999999</v>
      </c>
      <c r="I49" s="1043">
        <f t="shared" si="35"/>
        <v>-12.896889999999999</v>
      </c>
      <c r="J49" s="1043">
        <f t="shared" si="35"/>
        <v>-12.595410000000008</v>
      </c>
      <c r="K49" s="1043">
        <f t="shared" si="35"/>
        <v>-12.08077999999999</v>
      </c>
      <c r="L49" s="1043">
        <f t="shared" si="35"/>
        <v>-11.274509999999999</v>
      </c>
      <c r="M49" s="1043">
        <f t="shared" si="35"/>
        <v>-10.901769999999999</v>
      </c>
      <c r="N49" s="1043">
        <f t="shared" si="35"/>
        <v>-10.60613</v>
      </c>
      <c r="O49" s="1043">
        <f t="shared" si="35"/>
        <v>-9.3976200000000105</v>
      </c>
      <c r="P49" s="1043">
        <f t="shared" si="35"/>
        <v>-9.3524100000000061</v>
      </c>
      <c r="Q49" s="1043">
        <f t="shared" si="35"/>
        <v>-8.5563099999999963</v>
      </c>
      <c r="R49" s="1043">
        <f t="shared" si="35"/>
        <v>-6.0976700000000079</v>
      </c>
      <c r="S49" s="1043">
        <f t="shared" si="35"/>
        <v>-4.3390100000000018</v>
      </c>
      <c r="T49" s="1043">
        <f t="shared" si="35"/>
        <v>-1.1449599999999975</v>
      </c>
      <c r="U49" s="1043">
        <f t="shared" si="35"/>
        <v>-1.546670000000006</v>
      </c>
      <c r="V49" s="1043">
        <f t="shared" si="35"/>
        <v>0</v>
      </c>
      <c r="W49" s="1043">
        <f t="shared" si="35"/>
        <v>2.5872799999999927</v>
      </c>
      <c r="X49" s="1043">
        <f t="shared" si="35"/>
        <v>4.4866199999999878</v>
      </c>
      <c r="Y49" s="1043">
        <f t="shared" si="35"/>
        <v>4.996869999999987</v>
      </c>
      <c r="Z49" s="1043">
        <f t="shared" ref="Z49" si="36">Z45+Z46+Z47-Z48</f>
        <v>5.4810900000000089</v>
      </c>
      <c r="AA49" s="1043">
        <f t="shared" si="35"/>
        <v>6.0287399999999991</v>
      </c>
      <c r="AB49" s="1043">
        <f t="shared" si="35"/>
        <v>6.7845099999999974</v>
      </c>
      <c r="AC49" s="1043">
        <f t="shared" ref="AC49:AD49" ca="1" si="37">AC45+AC46+AC47-AC48</f>
        <v>6.906657692574683</v>
      </c>
      <c r="AD49" s="1043">
        <f t="shared" ca="1" si="37"/>
        <v>7.28188164800099</v>
      </c>
      <c r="AE49" s="1043">
        <f t="shared" ref="AE49" ca="1" si="38">AE45+AE46+AE47-AE48</f>
        <v>7.5442945437489186</v>
      </c>
    </row>
    <row r="50" spans="1:31">
      <c r="C50" s="2810"/>
      <c r="Q50" s="1232"/>
      <c r="R50" s="1232"/>
      <c r="S50" s="1232"/>
      <c r="T50" s="1232"/>
      <c r="U50" s="1232"/>
    </row>
    <row r="51" spans="1:31" s="749" customFormat="1" ht="12.75" customHeight="1">
      <c r="A51" s="714"/>
      <c r="B51" s="714"/>
      <c r="C51" s="3704"/>
      <c r="D51" s="3073"/>
      <c r="E51" s="3864" t="s">
        <v>2041</v>
      </c>
      <c r="F51" s="3865"/>
      <c r="G51" s="3866">
        <f>InputY!$G$3</f>
        <v>1995</v>
      </c>
      <c r="H51" s="3866">
        <f t="shared" ref="H51:Z51" si="39">+G51+1</f>
        <v>1996</v>
      </c>
      <c r="I51" s="3866">
        <f t="shared" si="39"/>
        <v>1997</v>
      </c>
      <c r="J51" s="3866">
        <f t="shared" si="39"/>
        <v>1998</v>
      </c>
      <c r="K51" s="3866">
        <f t="shared" si="39"/>
        <v>1999</v>
      </c>
      <c r="L51" s="3866">
        <f t="shared" si="39"/>
        <v>2000</v>
      </c>
      <c r="M51" s="3866">
        <f t="shared" si="39"/>
        <v>2001</v>
      </c>
      <c r="N51" s="3866">
        <f t="shared" si="39"/>
        <v>2002</v>
      </c>
      <c r="O51" s="3866">
        <f t="shared" si="39"/>
        <v>2003</v>
      </c>
      <c r="P51" s="3866">
        <f t="shared" si="39"/>
        <v>2004</v>
      </c>
      <c r="Q51" s="3866">
        <f t="shared" si="39"/>
        <v>2005</v>
      </c>
      <c r="R51" s="3866">
        <f t="shared" si="39"/>
        <v>2006</v>
      </c>
      <c r="S51" s="3866">
        <f t="shared" si="39"/>
        <v>2007</v>
      </c>
      <c r="T51" s="3866">
        <f t="shared" si="39"/>
        <v>2008</v>
      </c>
      <c r="U51" s="3866">
        <f t="shared" si="39"/>
        <v>2009</v>
      </c>
      <c r="V51" s="3866">
        <f t="shared" si="39"/>
        <v>2010</v>
      </c>
      <c r="W51" s="3866">
        <f t="shared" si="39"/>
        <v>2011</v>
      </c>
      <c r="X51" s="3866">
        <f t="shared" si="39"/>
        <v>2012</v>
      </c>
      <c r="Y51" s="3866">
        <f t="shared" si="39"/>
        <v>2013</v>
      </c>
      <c r="Z51" s="3866">
        <f t="shared" si="39"/>
        <v>2014</v>
      </c>
      <c r="AA51" s="3866">
        <f>+Z51+1</f>
        <v>2015</v>
      </c>
      <c r="AB51" s="3866">
        <f>+AA51+1</f>
        <v>2016</v>
      </c>
      <c r="AC51" s="3866">
        <f>+AB51+1</f>
        <v>2017</v>
      </c>
      <c r="AD51" s="3866">
        <f>+AC51+1</f>
        <v>2018</v>
      </c>
      <c r="AE51" s="3866">
        <f>+AD51+1</f>
        <v>2019</v>
      </c>
    </row>
    <row r="52" spans="1:31" s="749" customFormat="1" ht="13.5" customHeight="1">
      <c r="A52" s="714"/>
      <c r="B52" s="714"/>
      <c r="C52" s="3867"/>
      <c r="D52" s="739" t="s">
        <v>589</v>
      </c>
      <c r="E52" s="3868" t="s">
        <v>1248</v>
      </c>
      <c r="F52" s="3869"/>
      <c r="G52" s="3870"/>
      <c r="H52" s="3870">
        <f t="shared" ref="H52:AB54" si="40">+(H45/G45-1)*100</f>
        <v>-6.4858743986907612</v>
      </c>
      <c r="I52" s="3870">
        <f t="shared" si="40"/>
        <v>8.8157045757872865</v>
      </c>
      <c r="J52" s="3870">
        <f t="shared" si="40"/>
        <v>-3.1686336942483573</v>
      </c>
      <c r="K52" s="3870">
        <f t="shared" si="40"/>
        <v>2.0685836996275464</v>
      </c>
      <c r="L52" s="3870">
        <f t="shared" si="40"/>
        <v>0.23011555088017221</v>
      </c>
      <c r="M52" s="3870">
        <f t="shared" si="40"/>
        <v>-1.4070417684776571</v>
      </c>
      <c r="N52" s="3870">
        <f t="shared" si="40"/>
        <v>-3.4630162505613793</v>
      </c>
      <c r="O52" s="3870">
        <f t="shared" si="40"/>
        <v>7.3459225693068397</v>
      </c>
      <c r="P52" s="3870">
        <f t="shared" si="40"/>
        <v>9.7106857670238078</v>
      </c>
      <c r="Q52" s="3870">
        <f t="shared" si="40"/>
        <v>21.138217329285691</v>
      </c>
      <c r="R52" s="3870">
        <f t="shared" si="40"/>
        <v>10.772212895979493</v>
      </c>
      <c r="S52" s="3870">
        <f t="shared" si="40"/>
        <v>9.383398476894488</v>
      </c>
      <c r="T52" s="3870">
        <f t="shared" si="40"/>
        <v>5.4257577720852712</v>
      </c>
      <c r="U52" s="3870">
        <f t="shared" si="40"/>
        <v>-9.3026883677395862</v>
      </c>
      <c r="V52" s="3870">
        <f t="shared" si="40"/>
        <v>3.4675965016522481</v>
      </c>
      <c r="W52" s="3870">
        <f t="shared" si="40"/>
        <v>-1.1162884416794583</v>
      </c>
      <c r="X52" s="3870">
        <f t="shared" si="40"/>
        <v>2.9312426451484352</v>
      </c>
      <c r="Y52" s="3870">
        <f t="shared" si="40"/>
        <v>-2.3434445417786276</v>
      </c>
      <c r="Z52" s="3870">
        <f t="shared" si="40"/>
        <v>6.0562138274257826</v>
      </c>
      <c r="AA52" s="3870">
        <f t="shared" si="40"/>
        <v>1.2710973488540889</v>
      </c>
      <c r="AB52" s="3870">
        <f t="shared" si="40"/>
        <v>2.8302064852214093</v>
      </c>
      <c r="AC52" s="3871">
        <f ca="1">OFFSET('VVP1'!$G$71,0,5*(COLUMN()-7))</f>
        <v>0.45427667621043</v>
      </c>
      <c r="AD52" s="3871">
        <f ca="1">OFFSET('VVP1'!$G$71,0,5*(COLUMN()-7))</f>
        <v>0.7</v>
      </c>
      <c r="AE52" s="3871">
        <f ca="1">OFFSET('VVP1'!$G$71,0,5*(COLUMN()-7))</f>
        <v>0.7</v>
      </c>
    </row>
    <row r="53" spans="1:31" s="749" customFormat="1" ht="12.75" customHeight="1">
      <c r="A53" s="714"/>
      <c r="B53" s="714"/>
      <c r="C53" s="3872" t="s">
        <v>622</v>
      </c>
      <c r="D53" s="724" t="s">
        <v>590</v>
      </c>
      <c r="E53" s="3873" t="s">
        <v>1248</v>
      </c>
      <c r="F53" s="3874"/>
      <c r="G53" s="3771"/>
      <c r="H53" s="3771">
        <f t="shared" si="40"/>
        <v>6.5127697541835561</v>
      </c>
      <c r="I53" s="3771">
        <f t="shared" si="40"/>
        <v>7.6436791180242381</v>
      </c>
      <c r="J53" s="3771">
        <f t="shared" si="40"/>
        <v>6.7023738798950294</v>
      </c>
      <c r="K53" s="3771">
        <f t="shared" si="40"/>
        <v>5.1028723049486135</v>
      </c>
      <c r="L53" s="3771">
        <f t="shared" si="40"/>
        <v>9.2825886624618548</v>
      </c>
      <c r="M53" s="3771">
        <f t="shared" si="40"/>
        <v>5.4341733865877817</v>
      </c>
      <c r="N53" s="3771">
        <f t="shared" si="40"/>
        <v>-5.6727568784272435</v>
      </c>
      <c r="O53" s="3771">
        <f t="shared" si="40"/>
        <v>-0.44526807473599384</v>
      </c>
      <c r="P53" s="3771">
        <f t="shared" si="40"/>
        <v>11.984720756006384</v>
      </c>
      <c r="Q53" s="3771">
        <f t="shared" si="40"/>
        <v>4.3609933373712995</v>
      </c>
      <c r="R53" s="3771">
        <f t="shared" si="40"/>
        <v>5.2354478768017021</v>
      </c>
      <c r="S53" s="3771">
        <f t="shared" si="40"/>
        <v>9.8842452929943647</v>
      </c>
      <c r="T53" s="3771">
        <f t="shared" si="40"/>
        <v>6.2579011521059158</v>
      </c>
      <c r="U53" s="3771">
        <f t="shared" si="40"/>
        <v>-8.6154359746569256</v>
      </c>
      <c r="V53" s="3771">
        <f t="shared" si="40"/>
        <v>-9.3270168702419554E-2</v>
      </c>
      <c r="W53" s="3771">
        <f t="shared" si="40"/>
        <v>10.287384713529413</v>
      </c>
      <c r="X53" s="3771">
        <f t="shared" si="40"/>
        <v>1.9724996340691359</v>
      </c>
      <c r="Y53" s="3771">
        <f t="shared" si="40"/>
        <v>0.23935029538315611</v>
      </c>
      <c r="Z53" s="3771">
        <f t="shared" si="40"/>
        <v>6.6526803952962066</v>
      </c>
      <c r="AA53" s="3771">
        <f t="shared" si="40"/>
        <v>4.1227740966973681</v>
      </c>
      <c r="AB53" s="3771">
        <f t="shared" si="40"/>
        <v>5.6007656192225141</v>
      </c>
      <c r="AC53" s="3875">
        <f ca="1">OFFSET('VVP1'!$G$72,0,5*(COLUMN()-7))</f>
        <v>0.99829375328794878</v>
      </c>
      <c r="AD53" s="3875">
        <f ca="1">OFFSET('VVP1'!$G$72,0,5*(COLUMN()-7))</f>
        <v>4.2920212950936509</v>
      </c>
      <c r="AE53" s="3875">
        <f ca="1">OFFSET('VVP1'!$G$72,0,5*(COLUMN()-7))</f>
        <v>3.0398664772139927</v>
      </c>
    </row>
    <row r="54" spans="1:31" s="749" customFormat="1" ht="12.75" customHeight="1">
      <c r="A54" s="714"/>
      <c r="B54" s="714"/>
      <c r="C54" s="3876" t="s">
        <v>622</v>
      </c>
      <c r="D54" s="741" t="s">
        <v>591</v>
      </c>
      <c r="E54" s="3877" t="s">
        <v>1248</v>
      </c>
      <c r="F54" s="3878" t="s">
        <v>1948</v>
      </c>
      <c r="G54" s="3879"/>
      <c r="H54" s="3879">
        <f t="shared" si="40"/>
        <v>-4.1426453632020905</v>
      </c>
      <c r="I54" s="3879">
        <f t="shared" si="40"/>
        <v>6.8004124065641269</v>
      </c>
      <c r="J54" s="3879">
        <f t="shared" si="40"/>
        <v>1.2107316680745051</v>
      </c>
      <c r="K54" s="3879">
        <f t="shared" si="40"/>
        <v>18.357046339718618</v>
      </c>
      <c r="L54" s="3879">
        <f t="shared" si="40"/>
        <v>5.2634229878110173</v>
      </c>
      <c r="M54" s="3879">
        <f t="shared" si="40"/>
        <v>-7.6191843309887153</v>
      </c>
      <c r="N54" s="3879">
        <f t="shared" si="40"/>
        <v>0.70959944751380899</v>
      </c>
      <c r="O54" s="3879">
        <f t="shared" si="40"/>
        <v>4.4436063156811922</v>
      </c>
      <c r="P54" s="3879">
        <f t="shared" si="40"/>
        <v>1.6611132084762836</v>
      </c>
      <c r="Q54" s="3879">
        <f t="shared" si="40"/>
        <v>6.9540647452974946</v>
      </c>
      <c r="R54" s="3879">
        <f t="shared" si="40"/>
        <v>-3.1203768002173837</v>
      </c>
      <c r="S54" s="3879">
        <f t="shared" si="40"/>
        <v>9.5457732761978988</v>
      </c>
      <c r="T54" s="3879">
        <f t="shared" si="40"/>
        <v>5.4992105375456957</v>
      </c>
      <c r="U54" s="3879">
        <f t="shared" si="40"/>
        <v>9.6255747165181482</v>
      </c>
      <c r="V54" s="3879">
        <f t="shared" si="40"/>
        <v>3.2396133126706417</v>
      </c>
      <c r="W54" s="3879">
        <f t="shared" si="40"/>
        <v>10.492018108172507</v>
      </c>
      <c r="X54" s="3879">
        <f t="shared" si="40"/>
        <v>3.9764089404508818</v>
      </c>
      <c r="Y54" s="3879">
        <f t="shared" si="40"/>
        <v>-4.0773578057759163</v>
      </c>
      <c r="Z54" s="3879">
        <f t="shared" si="40"/>
        <v>3.456104126352666</v>
      </c>
      <c r="AA54" s="3879">
        <f t="shared" si="40"/>
        <v>0.59665621734588115</v>
      </c>
      <c r="AB54" s="3879">
        <f t="shared" si="40"/>
        <v>-2.4659554798433514</v>
      </c>
      <c r="AC54" s="3880">
        <f ca="1">OFFSET('VVP1'!$G$70,0,5*(COLUMN()-7))</f>
        <v>2.75</v>
      </c>
      <c r="AD54" s="3880">
        <f ca="1">OFFSET('VVP1'!$G$70,0,5*(COLUMN()-7))</f>
        <v>10.26</v>
      </c>
      <c r="AE54" s="3880">
        <f ca="1">OFFSET('VVP1'!$G$70,0,5*(COLUMN()-7))</f>
        <v>5.5</v>
      </c>
    </row>
    <row r="55" spans="1:31" s="749" customFormat="1" ht="12.75" customHeight="1">
      <c r="A55" s="714"/>
      <c r="B55" s="714"/>
      <c r="C55" s="3704" t="s">
        <v>624</v>
      </c>
      <c r="D55" s="766"/>
      <c r="E55" s="3137" t="s">
        <v>1248</v>
      </c>
      <c r="F55" s="3881" t="s">
        <v>2048</v>
      </c>
      <c r="G55" s="3882"/>
      <c r="H55" s="3882">
        <f t="shared" ref="H55:X55" ca="1" si="41">(H48/G48-1)*100</f>
        <v>-5.9610462755996796</v>
      </c>
      <c r="I55" s="3882">
        <f t="shared" si="41"/>
        <v>6.6438165779572067</v>
      </c>
      <c r="J55" s="3882">
        <f t="shared" si="41"/>
        <v>2.4555995404071052</v>
      </c>
      <c r="K55" s="3882">
        <f t="shared" si="41"/>
        <v>3.7721967763441056</v>
      </c>
      <c r="L55" s="3882">
        <f t="shared" si="41"/>
        <v>4.3636937692647759</v>
      </c>
      <c r="M55" s="3882">
        <f t="shared" si="41"/>
        <v>1.6299677816181246</v>
      </c>
      <c r="N55" s="3882">
        <f t="shared" si="41"/>
        <v>-4.3132582669695658</v>
      </c>
      <c r="O55" s="3882">
        <f t="shared" si="41"/>
        <v>-0.40334210026448103</v>
      </c>
      <c r="P55" s="3882">
        <f t="shared" si="41"/>
        <v>8.8823205198027111</v>
      </c>
      <c r="Q55" s="3882">
        <f t="shared" si="41"/>
        <v>6.0704461637774765</v>
      </c>
      <c r="R55" s="3882">
        <f t="shared" si="41"/>
        <v>1.9569561433554483</v>
      </c>
      <c r="S55" s="3882">
        <f t="shared" si="41"/>
        <v>6.7549645931240354</v>
      </c>
      <c r="T55" s="3882">
        <f t="shared" si="41"/>
        <v>1.892444800386972</v>
      </c>
      <c r="U55" s="3882">
        <f t="shared" si="41"/>
        <v>-6.6302758913767912</v>
      </c>
      <c r="V55" s="3882">
        <f t="shared" si="41"/>
        <v>-0.82907500317142002</v>
      </c>
      <c r="W55" s="3882">
        <f t="shared" si="41"/>
        <v>4.2192844921410622</v>
      </c>
      <c r="X55" s="3882">
        <f t="shared" si="41"/>
        <v>0.19676707456650622</v>
      </c>
      <c r="Y55" s="3882">
        <f>(Y48/X48-1)*100</f>
        <v>-1.4889034587568184</v>
      </c>
      <c r="Z55" s="3882">
        <f>(Z48/Y48-1)*100</f>
        <v>5.9629884401873667</v>
      </c>
      <c r="AA55" s="3882">
        <f>(AA48/Z48-1)*100</f>
        <v>2.6764498554759708</v>
      </c>
      <c r="AB55" s="3882">
        <f>(AB48/AA48-1)*100</f>
        <v>3.6022040132188904</v>
      </c>
      <c r="AC55" s="3882">
        <f>(AC48/AB48-1)*100</f>
        <v>0.98909818111034831</v>
      </c>
      <c r="AD55" s="3138">
        <f ca="1">IF(UPPER('VVP1'!$F$2)="Y",OFFSET('VVP1'!$G$64,0,5*(COLUMN()-7)),('VVP2'!AD42/'VVP2'!AC42-1)*100)</f>
        <v>3.9818305677147281</v>
      </c>
      <c r="AE55" s="3138">
        <f ca="1">IF(UPPER('VVP1'!$F$2)="Y",OFFSET('VVP1'!$G$64,0,5*(COLUMN()-7)),('VVP2'!AE42/'VVP2'!AD42-1)*100)</f>
        <v>2.7355586859227454</v>
      </c>
    </row>
    <row r="57" spans="1:31">
      <c r="A57" s="1123"/>
      <c r="D57" s="3125"/>
      <c r="E57" s="3126" t="s">
        <v>1223</v>
      </c>
      <c r="F57" s="3096"/>
      <c r="G57" s="3079">
        <f>InputY!$G$3</f>
        <v>1995</v>
      </c>
      <c r="H57" s="3079">
        <f t="shared" ref="H57:W57" si="42">+G57+1</f>
        <v>1996</v>
      </c>
      <c r="I57" s="3079">
        <f t="shared" si="42"/>
        <v>1997</v>
      </c>
      <c r="J57" s="3079">
        <f t="shared" si="42"/>
        <v>1998</v>
      </c>
      <c r="K57" s="3079">
        <f t="shared" si="42"/>
        <v>1999</v>
      </c>
      <c r="L57" s="3079">
        <f t="shared" si="42"/>
        <v>2000</v>
      </c>
      <c r="M57" s="3079">
        <f t="shared" si="42"/>
        <v>2001</v>
      </c>
      <c r="N57" s="3079">
        <f t="shared" si="42"/>
        <v>2002</v>
      </c>
      <c r="O57" s="3079">
        <f t="shared" si="42"/>
        <v>2003</v>
      </c>
      <c r="P57" s="3079">
        <f t="shared" si="42"/>
        <v>2004</v>
      </c>
      <c r="Q57" s="3079">
        <f t="shared" si="42"/>
        <v>2005</v>
      </c>
      <c r="R57" s="3079">
        <f t="shared" si="42"/>
        <v>2006</v>
      </c>
      <c r="S57" s="3079">
        <f t="shared" si="42"/>
        <v>2007</v>
      </c>
      <c r="T57" s="3079">
        <f t="shared" si="42"/>
        <v>2008</v>
      </c>
      <c r="U57" s="3079">
        <f t="shared" si="42"/>
        <v>2009</v>
      </c>
      <c r="V57" s="3079">
        <f t="shared" si="42"/>
        <v>2010</v>
      </c>
      <c r="W57" s="3079">
        <f t="shared" si="42"/>
        <v>2011</v>
      </c>
      <c r="X57" s="3079">
        <f t="shared" ref="X57:AE57" si="43">+W57+1</f>
        <v>2012</v>
      </c>
      <c r="Y57" s="3079">
        <f t="shared" si="43"/>
        <v>2013</v>
      </c>
      <c r="Z57" s="3079">
        <f t="shared" si="43"/>
        <v>2014</v>
      </c>
      <c r="AA57" s="3079">
        <f t="shared" si="43"/>
        <v>2015</v>
      </c>
      <c r="AB57" s="3079">
        <f t="shared" si="43"/>
        <v>2016</v>
      </c>
      <c r="AC57" s="3079">
        <f t="shared" si="43"/>
        <v>2017</v>
      </c>
      <c r="AD57" s="3079">
        <f t="shared" si="43"/>
        <v>2018</v>
      </c>
      <c r="AE57" s="3079">
        <f t="shared" si="43"/>
        <v>2019</v>
      </c>
    </row>
    <row r="58" spans="1:31">
      <c r="A58" s="714"/>
      <c r="C58" s="1112" t="s">
        <v>622</v>
      </c>
      <c r="D58" s="1099" t="s">
        <v>589</v>
      </c>
      <c r="E58" s="1080" t="s">
        <v>1043</v>
      </c>
      <c r="F58" s="1099" t="s">
        <v>511</v>
      </c>
      <c r="G58" s="3127">
        <f t="shared" ref="G58:W58" ca="1" si="44">+G7</f>
        <v>155.7663</v>
      </c>
      <c r="H58" s="3127">
        <f t="shared" si="44"/>
        <v>152.52107000000001</v>
      </c>
      <c r="I58" s="3127">
        <f t="shared" si="44"/>
        <v>155.24648999999999</v>
      </c>
      <c r="J58" s="3127">
        <f t="shared" si="44"/>
        <v>159.46993000000001</v>
      </c>
      <c r="K58" s="3127">
        <f t="shared" si="44"/>
        <v>162.14264</v>
      </c>
      <c r="L58" s="3127">
        <f t="shared" si="44"/>
        <v>166.85023999999999</v>
      </c>
      <c r="M58" s="3127">
        <f t="shared" si="44"/>
        <v>168.54211999999998</v>
      </c>
      <c r="N58" s="3127">
        <f t="shared" si="44"/>
        <v>169.2123</v>
      </c>
      <c r="O58" s="3127">
        <f t="shared" si="44"/>
        <v>170.08707000000001</v>
      </c>
      <c r="P58" s="3127">
        <f t="shared" si="44"/>
        <v>172.74055999999999</v>
      </c>
      <c r="Q58" s="3127">
        <f t="shared" si="44"/>
        <v>174.86520000000002</v>
      </c>
      <c r="R58" s="3127">
        <f t="shared" si="44"/>
        <v>177.43678</v>
      </c>
      <c r="S58" s="3127">
        <f t="shared" si="44"/>
        <v>180.72538</v>
      </c>
      <c r="T58" s="3127">
        <f t="shared" si="44"/>
        <v>183.78897000000001</v>
      </c>
      <c r="U58" s="3127">
        <f t="shared" si="44"/>
        <v>184.69489000000002</v>
      </c>
      <c r="V58" s="3127">
        <f t="shared" si="44"/>
        <v>189.69289999999998</v>
      </c>
      <c r="W58" s="3127">
        <f t="shared" si="44"/>
        <v>190.34564</v>
      </c>
      <c r="X58" s="3127">
        <f t="shared" ref="X58:AB58" si="45">+X7</f>
        <v>191.45801</v>
      </c>
      <c r="Y58" s="3127">
        <f t="shared" si="45"/>
        <v>192.88681</v>
      </c>
      <c r="Z58" s="3127">
        <f t="shared" si="45"/>
        <v>194.06485000000001</v>
      </c>
      <c r="AA58" s="3127">
        <f t="shared" si="45"/>
        <v>195.80095</v>
      </c>
      <c r="AB58" s="3127">
        <f t="shared" si="45"/>
        <v>199.04486</v>
      </c>
      <c r="AC58" s="3127">
        <f t="shared" ref="AC58" si="46">+AC7</f>
        <v>201.28648000000001</v>
      </c>
      <c r="AD58" s="3128">
        <f t="shared" ref="AD58" ca="1" si="47">+AD7</f>
        <v>204.60770692</v>
      </c>
      <c r="AE58" s="3128">
        <f t="shared" ref="AE58" ca="1" si="48">+AE7</f>
        <v>208.208802561792</v>
      </c>
    </row>
    <row r="59" spans="1:31">
      <c r="A59" s="714"/>
      <c r="C59" s="1113" t="s">
        <v>622</v>
      </c>
      <c r="D59" s="3" t="s">
        <v>591</v>
      </c>
      <c r="E59" s="29" t="s">
        <v>1043</v>
      </c>
      <c r="F59" s="3" t="s">
        <v>39</v>
      </c>
      <c r="G59" s="3083">
        <f t="shared" ref="G59:W59" ca="1" si="49">+G13</f>
        <v>71.405600000000007</v>
      </c>
      <c r="H59" s="3083">
        <f t="shared" si="49"/>
        <v>68.306149999999988</v>
      </c>
      <c r="I59" s="3083">
        <f t="shared" si="49"/>
        <v>68.744309999999999</v>
      </c>
      <c r="J59" s="3083">
        <f t="shared" si="49"/>
        <v>70.014710000000008</v>
      </c>
      <c r="K59" s="3083">
        <f t="shared" si="49"/>
        <v>71.890270000000001</v>
      </c>
      <c r="L59" s="3083">
        <f t="shared" si="49"/>
        <v>74.035610000000005</v>
      </c>
      <c r="M59" s="3083">
        <f t="shared" si="49"/>
        <v>74.779399999999995</v>
      </c>
      <c r="N59" s="3083">
        <f t="shared" si="49"/>
        <v>76.772329999999997</v>
      </c>
      <c r="O59" s="3083">
        <f t="shared" si="49"/>
        <v>77.844279999999998</v>
      </c>
      <c r="P59" s="3083">
        <f t="shared" si="49"/>
        <v>79.085130000000007</v>
      </c>
      <c r="Q59" s="3083">
        <f t="shared" si="49"/>
        <v>79.596159999999998</v>
      </c>
      <c r="R59" s="3083">
        <f t="shared" si="49"/>
        <v>80.353080000000006</v>
      </c>
      <c r="S59" s="3083">
        <f t="shared" si="49"/>
        <v>81.897190000000009</v>
      </c>
      <c r="T59" s="3083">
        <f t="shared" si="49"/>
        <v>84.240359999999995</v>
      </c>
      <c r="U59" s="3083">
        <f t="shared" si="49"/>
        <v>85.181970000000007</v>
      </c>
      <c r="V59" s="3083">
        <f t="shared" si="49"/>
        <v>85.998899999999992</v>
      </c>
      <c r="W59" s="3083">
        <f t="shared" si="49"/>
        <v>87.059899999999999</v>
      </c>
      <c r="X59" s="3083">
        <f t="shared" ref="X59:AB59" si="50">+X13</f>
        <v>88.287800000000004</v>
      </c>
      <c r="Y59" s="3083">
        <f t="shared" si="50"/>
        <v>88.565160000000006</v>
      </c>
      <c r="Z59" s="3083">
        <f t="shared" si="50"/>
        <v>89.15043</v>
      </c>
      <c r="AA59" s="3083">
        <f t="shared" si="50"/>
        <v>89.572800000000001</v>
      </c>
      <c r="AB59" s="3083">
        <f t="shared" si="50"/>
        <v>90.042600000000007</v>
      </c>
      <c r="AC59" s="3083">
        <f t="shared" ref="AC59" si="51">+AC13</f>
        <v>90.996250000000003</v>
      </c>
      <c r="AD59" s="1284">
        <f t="shared" ref="AD59" ca="1" si="52">+AD13</f>
        <v>91.169142875000006</v>
      </c>
      <c r="AE59" s="1284">
        <f t="shared" ref="AE59" ca="1" si="53">+AE13</f>
        <v>92.080834303750009</v>
      </c>
    </row>
    <row r="60" spans="1:31">
      <c r="A60" s="714"/>
      <c r="C60" s="1114" t="s">
        <v>622</v>
      </c>
      <c r="D60" s="942"/>
      <c r="E60" s="3129" t="s">
        <v>1248</v>
      </c>
      <c r="F60" s="942" t="s">
        <v>2048</v>
      </c>
      <c r="G60" s="3020">
        <f t="shared" ref="G60:W60" ca="1" si="54">+G29</f>
        <v>62.320099999999996</v>
      </c>
      <c r="H60" s="3020">
        <f t="shared" si="54"/>
        <v>58.605170000000001</v>
      </c>
      <c r="I60" s="3020">
        <f t="shared" si="54"/>
        <v>62.49879</v>
      </c>
      <c r="J60" s="3020">
        <f t="shared" si="54"/>
        <v>64.033510000000007</v>
      </c>
      <c r="K60" s="3020">
        <f t="shared" si="54"/>
        <v>66.448979999999992</v>
      </c>
      <c r="L60" s="3020">
        <f t="shared" si="54"/>
        <v>69.348609999999994</v>
      </c>
      <c r="M60" s="3020">
        <f t="shared" si="54"/>
        <v>70.478970000000004</v>
      </c>
      <c r="N60" s="3020">
        <f t="shared" si="54"/>
        <v>67.439030000000002</v>
      </c>
      <c r="O60" s="3020">
        <f t="shared" si="54"/>
        <v>67.167020000000008</v>
      </c>
      <c r="P60" s="3020">
        <f t="shared" si="54"/>
        <v>73.133009999999999</v>
      </c>
      <c r="Q60" s="3020">
        <f t="shared" si="54"/>
        <v>77.572509999999994</v>
      </c>
      <c r="R60" s="3020">
        <f t="shared" si="54"/>
        <v>79.090570000000014</v>
      </c>
      <c r="S60" s="3020">
        <f t="shared" si="54"/>
        <v>84.433109999999999</v>
      </c>
      <c r="T60" s="3020">
        <f t="shared" si="54"/>
        <v>86.030960000000007</v>
      </c>
      <c r="U60" s="3020">
        <f t="shared" si="54"/>
        <v>80.32687</v>
      </c>
      <c r="V60" s="3020">
        <f t="shared" si="54"/>
        <v>79.660899999999998</v>
      </c>
      <c r="W60" s="3020">
        <f t="shared" si="54"/>
        <v>83.022019999999998</v>
      </c>
      <c r="X60" s="3020">
        <f t="shared" ref="X60:AB60" si="55">+X29</f>
        <v>83.185380000000009</v>
      </c>
      <c r="Y60" s="3020">
        <f t="shared" si="55"/>
        <v>81.946830000000006</v>
      </c>
      <c r="Z60" s="3020">
        <f t="shared" si="55"/>
        <v>86.833309999999997</v>
      </c>
      <c r="AA60" s="3020">
        <f t="shared" si="55"/>
        <v>89.157359999999997</v>
      </c>
      <c r="AB60" s="3020">
        <f t="shared" si="55"/>
        <v>92.368990000000011</v>
      </c>
      <c r="AC60" s="3020">
        <f t="shared" ref="AC60" si="56">+AC29</f>
        <v>93.282610000000005</v>
      </c>
      <c r="AD60" s="3130">
        <f t="shared" ref="AD60" ca="1" si="57">+AD29</f>
        <v>96.996965479342123</v>
      </c>
      <c r="AE60" s="3130">
        <f t="shared" ref="AE60" ca="1" si="58">+AE29</f>
        <v>99.650374393593751</v>
      </c>
    </row>
    <row r="61" spans="1:31">
      <c r="A61" s="714">
        <f>+ROW(InputY!A43)</f>
        <v>43</v>
      </c>
      <c r="B61" s="714"/>
      <c r="C61" s="744" t="s">
        <v>624</v>
      </c>
      <c r="D61" s="3131"/>
      <c r="E61" s="3132" t="s">
        <v>1223</v>
      </c>
      <c r="F61" s="3133" t="s">
        <v>1224</v>
      </c>
      <c r="G61" s="3099">
        <f>InputY!G43/1000</f>
        <v>274.61100578000003</v>
      </c>
      <c r="H61" s="3099">
        <f>InputY!H43/1000</f>
        <v>279.33542229</v>
      </c>
      <c r="I61" s="3099">
        <f>InputY!I43/1000</f>
        <v>286.60115446999998</v>
      </c>
      <c r="J61" s="3099">
        <f>InputY!J43/1000</f>
        <v>293.68036205999999</v>
      </c>
      <c r="K61" s="3099">
        <f>InputY!K43/1000</f>
        <v>300.64450001999995</v>
      </c>
      <c r="L61" s="3099">
        <f>InputY!L43/1000</f>
        <v>310.44741067999996</v>
      </c>
      <c r="M61" s="3099">
        <f>InputY!M43/1000</f>
        <v>314.03670165</v>
      </c>
      <c r="N61" s="3099">
        <f>InputY!N43/1000</f>
        <v>313.41872444999996</v>
      </c>
      <c r="O61" s="3099">
        <f>InputY!O43/1000</f>
        <v>315.04748813999998</v>
      </c>
      <c r="P61" s="3099">
        <f>InputY!P43/1000</f>
        <v>324.98382046999996</v>
      </c>
      <c r="Q61" s="3099">
        <f>InputY!Q43/1000</f>
        <v>332.10432470000001</v>
      </c>
      <c r="R61" s="3099">
        <f>InputY!R43/1000</f>
        <v>336.96334538999997</v>
      </c>
      <c r="S61" s="3099">
        <f>InputY!S43/1000</f>
        <v>347.15759300000002</v>
      </c>
      <c r="T61" s="3099">
        <f>InputY!T43/1000</f>
        <v>354.13007941000001</v>
      </c>
      <c r="U61" s="3099">
        <f>InputY!U43/1000</f>
        <v>350.19991750999998</v>
      </c>
      <c r="V61" s="3099">
        <f>InputY!V43/1000</f>
        <v>355.35270000000003</v>
      </c>
      <c r="W61" s="3099">
        <f>InputY!W43/1000</f>
        <v>360.42755999999997</v>
      </c>
      <c r="X61" s="3099">
        <f>InputY!X43/1000</f>
        <v>362.93387181999998</v>
      </c>
      <c r="Y61" s="3099">
        <f>InputY!Y43/1000</f>
        <v>363.39965221</v>
      </c>
      <c r="Z61" s="3099">
        <f>InputY!Z43/1000</f>
        <v>370.02920895</v>
      </c>
      <c r="AA61" s="3099">
        <f>InputY!AA43/1000</f>
        <v>374.49172353</v>
      </c>
      <c r="AB61" s="3099">
        <f>InputY!AB43/1000</f>
        <v>381.38308932000001</v>
      </c>
      <c r="AC61" s="3099">
        <f>InputY!AC43/1000</f>
        <v>385.49199209</v>
      </c>
      <c r="AD61" s="3100">
        <f ca="1">IF(UPPER('VVP1'!$F$2)="Y",+AC61*(1+AD68/100),+AD59+AD60+AD58)</f>
        <v>392.64559075388263</v>
      </c>
      <c r="AE61" s="3100">
        <f ca="1">IF(UPPER('VVP1'!$F$2)="Y",+AD61*(1+AE68/100),+AE59+AE60+AE58)</f>
        <v>399.77637192450857</v>
      </c>
    </row>
    <row r="62" spans="1:31">
      <c r="A62" s="714"/>
      <c r="B62" s="714"/>
      <c r="D62" s="1882"/>
      <c r="E62" s="1882" t="s">
        <v>474</v>
      </c>
      <c r="F62" s="1882"/>
      <c r="G62" s="1043"/>
      <c r="H62" s="1043">
        <f ca="1">ABS(IF('VVP1'!$F$2="Y",OFFSET('VVP1'!$G$10,0,5*(COLUMN()-7)+1)-OFFSET('VVP1'!$G$7,0,5*(COLUMN()-7)+1)-OFFSET('VVP1'!$G$8,0,5*(COLUMN()-7)+1)-OFFSET('VVP1'!$G$9,0,5*(COLUMN()-7)+1),ABS(H61-H58-H59-H60)))</f>
        <v>0</v>
      </c>
      <c r="I62" s="1043">
        <f ca="1">ABS(IF('VVP1'!$F$2="Y",OFFSET('VVP1'!$G$10,0,5*(COLUMN()-7)+1)-OFFSET('VVP1'!$G$7,0,5*(COLUMN()-7)+1)-OFFSET('VVP1'!$G$8,0,5*(COLUMN()-7)+1)-OFFSET('VVP1'!$G$9,0,5*(COLUMN()-7)+1),ABS(I61-I58-I59-I60)))</f>
        <v>7.1054273576010019E-15</v>
      </c>
      <c r="J62" s="1043">
        <f ca="1">ABS(IF('VVP1'!$F$2="Y",OFFSET('VVP1'!$G$10,0,5*(COLUMN()-7)+1)-OFFSET('VVP1'!$G$7,0,5*(COLUMN()-7)+1)-OFFSET('VVP1'!$G$8,0,5*(COLUMN()-7)+1)-OFFSET('VVP1'!$G$9,0,5*(COLUMN()-7)+1),ABS(J61-J58-J59-J60)))</f>
        <v>7.1054273576010019E-15</v>
      </c>
      <c r="K62" s="1043">
        <f ca="1">ABS(IF('VVP1'!$F$2="Y",OFFSET('VVP1'!$G$10,0,5*(COLUMN()-7)+1)-OFFSET('VVP1'!$G$7,0,5*(COLUMN()-7)+1)-OFFSET('VVP1'!$G$8,0,5*(COLUMN()-7)+1)-OFFSET('VVP1'!$G$9,0,5*(COLUMN()-7)+1),ABS(K61-K58-K59-K60)))</f>
        <v>0</v>
      </c>
      <c r="L62" s="1043">
        <f ca="1">ABS(IF('VVP1'!$F$2="Y",OFFSET('VVP1'!$G$10,0,5*(COLUMN()-7)+1)-OFFSET('VVP1'!$G$7,0,5*(COLUMN()-7)+1)-OFFSET('VVP1'!$G$8,0,5*(COLUMN()-7)+1)-OFFSET('VVP1'!$G$9,0,5*(COLUMN()-7)+1),ABS(L61-L58-L59-L60)))</f>
        <v>0</v>
      </c>
      <c r="M62" s="1043">
        <f ca="1">ABS(IF('VVP1'!$F$2="Y",OFFSET('VVP1'!$G$10,0,5*(COLUMN()-7)+1)-OFFSET('VVP1'!$G$7,0,5*(COLUMN()-7)+1)-OFFSET('VVP1'!$G$8,0,5*(COLUMN()-7)+1)-OFFSET('VVP1'!$G$9,0,5*(COLUMN()-7)+1),ABS(M61-M58-M59-M60)))</f>
        <v>1.4210854715202004E-14</v>
      </c>
      <c r="N62" s="1043">
        <f ca="1">ABS(IF('VVP1'!$F$2="Y",OFFSET('VVP1'!$G$10,0,5*(COLUMN()-7)+1)-OFFSET('VVP1'!$G$7,0,5*(COLUMN()-7)+1)-OFFSET('VVP1'!$G$8,0,5*(COLUMN()-7)+1)-OFFSET('VVP1'!$G$9,0,5*(COLUMN()-7)+1),ABS(N61-N58-N59-N60)))</f>
        <v>7.1054273576010019E-15</v>
      </c>
      <c r="O62" s="1043">
        <f ca="1">ABS(IF('VVP1'!$F$2="Y",OFFSET('VVP1'!$G$10,0,5*(COLUMN()-7)+1)-OFFSET('VVP1'!$G$7,0,5*(COLUMN()-7)+1)-OFFSET('VVP1'!$G$8,0,5*(COLUMN()-7)+1)-OFFSET('VVP1'!$G$9,0,5*(COLUMN()-7)+1),ABS(O61-O58-O59-O60)))</f>
        <v>1.4210854715202004E-14</v>
      </c>
      <c r="P62" s="1043">
        <f ca="1">ABS(IF('VVP1'!$F$2="Y",OFFSET('VVP1'!$G$10,0,5*(COLUMN()-7)+1)-OFFSET('VVP1'!$G$7,0,5*(COLUMN()-7)+1)-OFFSET('VVP1'!$G$8,0,5*(COLUMN()-7)+1)-OFFSET('VVP1'!$G$9,0,5*(COLUMN()-7)+1),ABS(P61-P58-P59-P60)))</f>
        <v>3.5527136788005009E-14</v>
      </c>
      <c r="Q62" s="1043">
        <f ca="1">ABS(IF('VVP1'!$F$2="Y",OFFSET('VVP1'!$G$10,0,5*(COLUMN()-7)+1)-OFFSET('VVP1'!$G$7,0,5*(COLUMN()-7)+1)-OFFSET('VVP1'!$G$8,0,5*(COLUMN()-7)+1)-OFFSET('VVP1'!$G$9,0,5*(COLUMN()-7)+1),ABS(Q61-Q58-Q59-Q60)))</f>
        <v>2.8421709430404007E-14</v>
      </c>
      <c r="R62" s="1043">
        <f ca="1">ABS(IF('VVP1'!$F$2="Y",OFFSET('VVP1'!$G$10,0,5*(COLUMN()-7)+1)-OFFSET('VVP1'!$G$7,0,5*(COLUMN()-7)+1)-OFFSET('VVP1'!$G$8,0,5*(COLUMN()-7)+1)-OFFSET('VVP1'!$G$9,0,5*(COLUMN()-7)+1),ABS(R61-R58-R59-R60)))</f>
        <v>2.8421709430404007E-14</v>
      </c>
      <c r="S62" s="1043">
        <f ca="1">ABS(IF('VVP1'!$F$2="Y",OFFSET('VVP1'!$G$10,0,5*(COLUMN()-7)+1)-OFFSET('VVP1'!$G$7,0,5*(COLUMN()-7)+1)-OFFSET('VVP1'!$G$8,0,5*(COLUMN()-7)+1)-OFFSET('VVP1'!$G$9,0,5*(COLUMN()-7)+1),ABS(S61-S58-S59-S60)))</f>
        <v>1.4210854715202004E-14</v>
      </c>
      <c r="T62" s="1043">
        <f ca="1">ABS(IF('VVP1'!$F$2="Y",OFFSET('VVP1'!$G$10,0,5*(COLUMN()-7)+1)-OFFSET('VVP1'!$G$7,0,5*(COLUMN()-7)+1)-OFFSET('VVP1'!$G$8,0,5*(COLUMN()-7)+1)-OFFSET('VVP1'!$G$9,0,5*(COLUMN()-7)+1),ABS(T61-T58-T59-T60)))</f>
        <v>2.8421709430404007E-14</v>
      </c>
      <c r="U62" s="1043">
        <f ca="1">ABS(IF('VVP1'!$F$2="Y",OFFSET('VVP1'!$G$10,0,5*(COLUMN()-7)+1)-OFFSET('VVP1'!$G$7,0,5*(COLUMN()-7)+1)-OFFSET('VVP1'!$G$8,0,5*(COLUMN()-7)+1)-OFFSET('VVP1'!$G$9,0,5*(COLUMN()-7)+1),ABS(U61-U58-U59-U60)))</f>
        <v>1.4210854715202004E-14</v>
      </c>
      <c r="V62" s="1043">
        <f ca="1">ABS(IF('VVP1'!$F$2="Y",OFFSET('VVP1'!$G$10,0,5*(COLUMN()-7)+1)-OFFSET('VVP1'!$G$7,0,5*(COLUMN()-7)+1)-OFFSET('VVP1'!$G$8,0,5*(COLUMN()-7)+1)-OFFSET('VVP1'!$G$9,0,5*(COLUMN()-7)+1),ABS(V61-V58-V59-V60)))</f>
        <v>2.8421709430404007E-14</v>
      </c>
      <c r="W62" s="1043">
        <f ca="1">ABS(IF('VVP1'!$F$2="Y",OFFSET('VVP1'!$G$10,0,5*(COLUMN()-7)+1)-OFFSET('VVP1'!$G$7,0,5*(COLUMN()-7)+1)-OFFSET('VVP1'!$G$8,0,5*(COLUMN()-7)+1)-OFFSET('VVP1'!$G$9,0,5*(COLUMN()-7)+1),ABS(W61-W58-W59-W60)))</f>
        <v>2.8421709430404007E-14</v>
      </c>
      <c r="X62" s="1043">
        <f ca="1">ABS(IF('VVP1'!$F$2="Y",OFFSET('VVP1'!$G$10,0,5*(COLUMN()-7)+1)-OFFSET('VVP1'!$G$7,0,5*(COLUMN()-7)+1)-OFFSET('VVP1'!$G$8,0,5*(COLUMN()-7)+1)-OFFSET('VVP1'!$G$9,0,5*(COLUMN()-7)+1),ABS(X61-X58-X59-X60)))</f>
        <v>2.8421709430404007E-14</v>
      </c>
      <c r="Y62" s="1043">
        <f ca="1">ABS(IF('VVP1'!$F$2="Y",OFFSET('VVP1'!$G$10,0,5*(COLUMN()-7)+1)-OFFSET('VVP1'!$G$7,0,5*(COLUMN()-7)+1)-OFFSET('VVP1'!$G$8,0,5*(COLUMN()-7)+1)-OFFSET('VVP1'!$G$9,0,5*(COLUMN()-7)+1),ABS(Y61-Y58-Y59-Y60)))</f>
        <v>0</v>
      </c>
      <c r="Z62" s="1043">
        <f ca="1">ABS(IF('VVP1'!$F$2="Y",OFFSET('VVP1'!$G$10,0,5*(COLUMN()-7)+1)-OFFSET('VVP1'!$G$7,0,5*(COLUMN()-7)+1)-OFFSET('VVP1'!$G$8,0,5*(COLUMN()-7)+1)-OFFSET('VVP1'!$G$9,0,5*(COLUMN()-7)+1),ABS(Z61-Z58-Z59-Z60)))</f>
        <v>0</v>
      </c>
      <c r="AA62" s="1043">
        <f ca="1">ABS(IF('VVP1'!$F$2="Y",OFFSET('VVP1'!$G$10,0,5*(COLUMN()-7)+1)-OFFSET('VVP1'!$G$7,0,5*(COLUMN()-7)+1)-OFFSET('VVP1'!$G$8,0,5*(COLUMN()-7)+1)-OFFSET('VVP1'!$G$9,0,5*(COLUMN()-7)+1),ABS(AA61-AA58-AA59-AA60)))</f>
        <v>1.4210854715202004E-14</v>
      </c>
      <c r="AB62" s="1043">
        <f ca="1">ABS(IF('VVP1'!$F$2="Y",OFFSET('VVP1'!$G$10,0,5*(COLUMN()-7)+1)-OFFSET('VVP1'!$G$7,0,5*(COLUMN()-7)+1)-OFFSET('VVP1'!$G$8,0,5*(COLUMN()-7)+1)-OFFSET('VVP1'!$G$9,0,5*(COLUMN()-7)+1),ABS(AB61-AB58-AB59-AB60)))</f>
        <v>2.8421709430404007E-14</v>
      </c>
      <c r="AC62" s="1043">
        <f ca="1">ABS(IF('VVP1'!$F$2="Y",OFFSET('VVP1'!$G$10,0,5*(COLUMN()-7)+1)-OFFSET('VVP1'!$G$7,0,5*(COLUMN()-7)+1)-OFFSET('VVP1'!$G$8,0,5*(COLUMN()-7)+1)-OFFSET('VVP1'!$G$9,0,5*(COLUMN()-7)+1),ABS(AC61-AC58-AC59-AC60)))</f>
        <v>2.8421709430404007E-14</v>
      </c>
      <c r="AD62" s="1043">
        <f ca="1">ABS(IF('VVP1'!$F$2="Y",OFFSET('VVP1'!$G$10,0,5*(COLUMN()-7)+1)-OFFSET('VVP1'!$G$7,0,5*(COLUMN()-7)+1)-OFFSET('VVP1'!$G$8,0,5*(COLUMN()-7)+1)-OFFSET('VVP1'!$G$9,0,5*(COLUMN()-7)+1),ABS(AD61-AD58-AD59-AD60)))</f>
        <v>4.2632564145606011E-14</v>
      </c>
      <c r="AE62" s="1043">
        <f ca="1">ABS(IF('VVP1'!$F$2="Y",OFFSET('VVP1'!$G$10,0,5*(COLUMN()-7)+1)-OFFSET('VVP1'!$G$7,0,5*(COLUMN()-7)+1)-OFFSET('VVP1'!$G$8,0,5*(COLUMN()-7)+1)-OFFSET('VVP1'!$G$9,0,5*(COLUMN()-7)+1),ABS(AE61-AE58-AE59-AE60)))</f>
        <v>1.4210854715202004E-14</v>
      </c>
    </row>
    <row r="64" spans="1:31" s="749" customFormat="1" ht="12.75" customHeight="1">
      <c r="A64" s="714"/>
      <c r="B64" s="714"/>
      <c r="C64" s="822"/>
      <c r="D64" s="3073"/>
      <c r="E64" s="3074" t="s">
        <v>1223</v>
      </c>
      <c r="F64" s="3075"/>
      <c r="G64" s="939">
        <f>InputY!$G$3</f>
        <v>1995</v>
      </c>
      <c r="H64" s="939">
        <f t="shared" ref="H64:W64" si="59">+G64+1</f>
        <v>1996</v>
      </c>
      <c r="I64" s="939">
        <f t="shared" si="59"/>
        <v>1997</v>
      </c>
      <c r="J64" s="939">
        <f t="shared" si="59"/>
        <v>1998</v>
      </c>
      <c r="K64" s="939">
        <f t="shared" si="59"/>
        <v>1999</v>
      </c>
      <c r="L64" s="939">
        <f t="shared" si="59"/>
        <v>2000</v>
      </c>
      <c r="M64" s="939">
        <f t="shared" si="59"/>
        <v>2001</v>
      </c>
      <c r="N64" s="939">
        <f t="shared" si="59"/>
        <v>2002</v>
      </c>
      <c r="O64" s="939">
        <f t="shared" si="59"/>
        <v>2003</v>
      </c>
      <c r="P64" s="939">
        <f t="shared" si="59"/>
        <v>2004</v>
      </c>
      <c r="Q64" s="939">
        <f t="shared" si="59"/>
        <v>2005</v>
      </c>
      <c r="R64" s="939">
        <f t="shared" si="59"/>
        <v>2006</v>
      </c>
      <c r="S64" s="939">
        <f t="shared" si="59"/>
        <v>2007</v>
      </c>
      <c r="T64" s="939">
        <f t="shared" si="59"/>
        <v>2008</v>
      </c>
      <c r="U64" s="939">
        <f t="shared" si="59"/>
        <v>2009</v>
      </c>
      <c r="V64" s="939">
        <f t="shared" si="59"/>
        <v>2010</v>
      </c>
      <c r="W64" s="939">
        <f t="shared" si="59"/>
        <v>2011</v>
      </c>
      <c r="X64" s="939">
        <f t="shared" ref="X64:AE64" si="60">+W64+1</f>
        <v>2012</v>
      </c>
      <c r="Y64" s="939">
        <f t="shared" si="60"/>
        <v>2013</v>
      </c>
      <c r="Z64" s="939">
        <f t="shared" si="60"/>
        <v>2014</v>
      </c>
      <c r="AA64" s="939">
        <f t="shared" si="60"/>
        <v>2015</v>
      </c>
      <c r="AB64" s="939">
        <f t="shared" si="60"/>
        <v>2016</v>
      </c>
      <c r="AC64" s="939">
        <f t="shared" si="60"/>
        <v>2017</v>
      </c>
      <c r="AD64" s="939">
        <f t="shared" si="60"/>
        <v>2018</v>
      </c>
      <c r="AE64" s="939">
        <f t="shared" si="60"/>
        <v>2019</v>
      </c>
    </row>
    <row r="65" spans="1:31" s="749" customFormat="1" ht="12.75" customHeight="1">
      <c r="A65" s="714"/>
      <c r="B65" s="714"/>
      <c r="C65" s="839" t="s">
        <v>622</v>
      </c>
      <c r="D65" s="739" t="s">
        <v>589</v>
      </c>
      <c r="E65" s="787" t="s">
        <v>1043</v>
      </c>
      <c r="F65" s="782" t="s">
        <v>511</v>
      </c>
      <c r="G65" s="1122"/>
      <c r="H65" s="1122">
        <f t="shared" ref="H65:AE65" ca="1" si="61">+(H58/G58-1)*100</f>
        <v>-2.0833967295878497</v>
      </c>
      <c r="I65" s="1122">
        <f t="shared" si="61"/>
        <v>1.7869137687009262</v>
      </c>
      <c r="J65" s="1122">
        <f t="shared" si="61"/>
        <v>2.7204737446882232</v>
      </c>
      <c r="K65" s="1122">
        <f t="shared" si="61"/>
        <v>1.6759962207295143</v>
      </c>
      <c r="L65" s="1122">
        <f t="shared" si="61"/>
        <v>2.9033695269794491</v>
      </c>
      <c r="M65" s="1122">
        <f t="shared" si="61"/>
        <v>1.0140111275836361</v>
      </c>
      <c r="N65" s="1122">
        <f t="shared" si="61"/>
        <v>0.39763354109940696</v>
      </c>
      <c r="O65" s="1122">
        <f t="shared" si="61"/>
        <v>0.51696596524011262</v>
      </c>
      <c r="P65" s="1122">
        <f t="shared" si="61"/>
        <v>1.5600774356334002</v>
      </c>
      <c r="Q65" s="1122">
        <f t="shared" si="61"/>
        <v>1.2299601205414845</v>
      </c>
      <c r="R65" s="1122">
        <f t="shared" si="61"/>
        <v>1.4706070733341958</v>
      </c>
      <c r="S65" s="1122">
        <f t="shared" si="61"/>
        <v>1.8533925153511044</v>
      </c>
      <c r="T65" s="1122">
        <f t="shared" si="61"/>
        <v>1.695163125400545</v>
      </c>
      <c r="U65" s="1122">
        <f t="shared" si="61"/>
        <v>0.49291314924939655</v>
      </c>
      <c r="V65" s="1122">
        <f t="shared" si="61"/>
        <v>2.7060900277208422</v>
      </c>
      <c r="W65" s="1122">
        <f t="shared" si="61"/>
        <v>0.34410354841958313</v>
      </c>
      <c r="X65" s="1122">
        <f t="shared" si="61"/>
        <v>0.58439478834397818</v>
      </c>
      <c r="Y65" s="1122">
        <f t="shared" si="61"/>
        <v>0.7462732951209583</v>
      </c>
      <c r="Z65" s="1122">
        <f t="shared" si="61"/>
        <v>0.61074160540059985</v>
      </c>
      <c r="AA65" s="1122">
        <f t="shared" si="61"/>
        <v>0.89459786251864237</v>
      </c>
      <c r="AB65" s="1122">
        <f t="shared" si="61"/>
        <v>1.656738641972888</v>
      </c>
      <c r="AC65" s="1122">
        <f t="shared" si="61"/>
        <v>1.1261883376440851</v>
      </c>
      <c r="AD65" s="3134">
        <f t="shared" ca="1" si="61"/>
        <v>1.6499999999999959</v>
      </c>
      <c r="AE65" s="3134">
        <f t="shared" ca="1" si="61"/>
        <v>1.760000000000006</v>
      </c>
    </row>
    <row r="66" spans="1:31" s="749" customFormat="1" ht="12.75" customHeight="1">
      <c r="A66" s="714"/>
      <c r="B66" s="714"/>
      <c r="C66" s="840" t="s">
        <v>622</v>
      </c>
      <c r="D66" s="724" t="s">
        <v>591</v>
      </c>
      <c r="E66" s="830" t="s">
        <v>1043</v>
      </c>
      <c r="F66" s="754" t="s">
        <v>39</v>
      </c>
      <c r="G66" s="1085"/>
      <c r="H66" s="1085">
        <f t="shared" ref="H66:AE66" ca="1" si="62">+(H59/G59-1)*100</f>
        <v>-4.3406259453040335</v>
      </c>
      <c r="I66" s="1085">
        <f t="shared" si="62"/>
        <v>0.64146493397740922</v>
      </c>
      <c r="J66" s="1085">
        <f t="shared" si="62"/>
        <v>1.8480074932747392</v>
      </c>
      <c r="K66" s="1085">
        <f t="shared" si="62"/>
        <v>2.6788084961003156</v>
      </c>
      <c r="L66" s="1085">
        <f t="shared" si="62"/>
        <v>2.9841868725767773</v>
      </c>
      <c r="M66" s="1085">
        <f t="shared" si="62"/>
        <v>1.0046381734411192</v>
      </c>
      <c r="N66" s="1085">
        <f t="shared" si="62"/>
        <v>2.6650788853614715</v>
      </c>
      <c r="O66" s="1085">
        <f t="shared" si="62"/>
        <v>1.3962712868034632</v>
      </c>
      <c r="P66" s="1085">
        <f t="shared" si="62"/>
        <v>1.5940156425109375</v>
      </c>
      <c r="Q66" s="1085">
        <f t="shared" si="62"/>
        <v>0.64617710054972743</v>
      </c>
      <c r="R66" s="1085">
        <f t="shared" si="62"/>
        <v>0.95095039760713096</v>
      </c>
      <c r="S66" s="1085">
        <f t="shared" si="62"/>
        <v>1.9216562700521189</v>
      </c>
      <c r="T66" s="1085">
        <f t="shared" si="62"/>
        <v>2.8611115961365563</v>
      </c>
      <c r="U66" s="1085">
        <f t="shared" si="62"/>
        <v>1.1177658784934152</v>
      </c>
      <c r="V66" s="1085">
        <f t="shared" si="62"/>
        <v>0.95904098015107131</v>
      </c>
      <c r="W66" s="1085">
        <f t="shared" si="62"/>
        <v>1.2337367105858421</v>
      </c>
      <c r="X66" s="1085">
        <f t="shared" si="62"/>
        <v>1.4104082361684478</v>
      </c>
      <c r="Y66" s="1085">
        <f t="shared" si="62"/>
        <v>0.31415439052735472</v>
      </c>
      <c r="Z66" s="1085">
        <f t="shared" si="62"/>
        <v>0.66083547977555668</v>
      </c>
      <c r="AA66" s="1085">
        <f t="shared" si="62"/>
        <v>0.47377225213607321</v>
      </c>
      <c r="AB66" s="1085">
        <f t="shared" si="62"/>
        <v>0.52448957719308797</v>
      </c>
      <c r="AC66" s="1085">
        <f t="shared" si="62"/>
        <v>1.0591097991395237</v>
      </c>
      <c r="AD66" s="1257">
        <f t="shared" ca="1" si="62"/>
        <v>0.19000000000000128</v>
      </c>
      <c r="AE66" s="1257">
        <f t="shared" ca="1" si="62"/>
        <v>1.0000000000000009</v>
      </c>
    </row>
    <row r="67" spans="1:31" s="749" customFormat="1" ht="12.75" customHeight="1">
      <c r="A67" s="714"/>
      <c r="B67" s="714"/>
      <c r="C67" s="841" t="s">
        <v>622</v>
      </c>
      <c r="D67" s="741"/>
      <c r="E67" s="842" t="s">
        <v>1248</v>
      </c>
      <c r="F67" s="785" t="s">
        <v>2048</v>
      </c>
      <c r="G67" s="3135"/>
      <c r="H67" s="3135">
        <f t="shared" ref="H67:AE67" ca="1" si="63">+(H60/G60-1)*100</f>
        <v>-5.9610462755996796</v>
      </c>
      <c r="I67" s="3135">
        <f t="shared" si="63"/>
        <v>6.6438165779572067</v>
      </c>
      <c r="J67" s="3135">
        <f t="shared" si="63"/>
        <v>2.4555995404071052</v>
      </c>
      <c r="K67" s="3135">
        <f t="shared" si="63"/>
        <v>3.7721967763441056</v>
      </c>
      <c r="L67" s="3135">
        <f t="shared" si="63"/>
        <v>4.3636937692647759</v>
      </c>
      <c r="M67" s="3135">
        <f t="shared" si="63"/>
        <v>1.6299677816181246</v>
      </c>
      <c r="N67" s="3135">
        <f t="shared" si="63"/>
        <v>-4.3132582669695658</v>
      </c>
      <c r="O67" s="3135">
        <f t="shared" si="63"/>
        <v>-0.40334210026448103</v>
      </c>
      <c r="P67" s="3135">
        <f t="shared" si="63"/>
        <v>8.8823205198027111</v>
      </c>
      <c r="Q67" s="3135">
        <f t="shared" si="63"/>
        <v>6.0704461637774765</v>
      </c>
      <c r="R67" s="3135">
        <f t="shared" si="63"/>
        <v>1.9569561433554483</v>
      </c>
      <c r="S67" s="3135">
        <f t="shared" si="63"/>
        <v>6.7549645931240354</v>
      </c>
      <c r="T67" s="3135">
        <f t="shared" si="63"/>
        <v>1.892444800386972</v>
      </c>
      <c r="U67" s="3135">
        <f t="shared" si="63"/>
        <v>-6.6302758913767912</v>
      </c>
      <c r="V67" s="3135">
        <f t="shared" si="63"/>
        <v>-0.82907500317142002</v>
      </c>
      <c r="W67" s="3135">
        <f t="shared" si="63"/>
        <v>4.2192844921410622</v>
      </c>
      <c r="X67" s="3135">
        <f t="shared" si="63"/>
        <v>0.19676707456650622</v>
      </c>
      <c r="Y67" s="3135">
        <f t="shared" si="63"/>
        <v>-1.4889034587568184</v>
      </c>
      <c r="Z67" s="3135">
        <f t="shared" si="63"/>
        <v>5.9629884401873667</v>
      </c>
      <c r="AA67" s="3135">
        <f t="shared" si="63"/>
        <v>2.6764498554759708</v>
      </c>
      <c r="AB67" s="3135">
        <f t="shared" si="63"/>
        <v>3.6022040132188904</v>
      </c>
      <c r="AC67" s="3135">
        <f t="shared" si="63"/>
        <v>0.98909818111034831</v>
      </c>
      <c r="AD67" s="3136">
        <f t="shared" ca="1" si="63"/>
        <v>3.9818305677147281</v>
      </c>
      <c r="AE67" s="3136">
        <f t="shared" ca="1" si="63"/>
        <v>2.7355586859227454</v>
      </c>
    </row>
    <row r="68" spans="1:31" s="749" customFormat="1" ht="12.75" customHeight="1">
      <c r="A68" s="714"/>
      <c r="B68" s="714"/>
      <c r="C68" s="822" t="s">
        <v>624</v>
      </c>
      <c r="D68" s="766"/>
      <c r="E68" s="3137" t="s">
        <v>1223</v>
      </c>
      <c r="F68" s="772" t="s">
        <v>1224</v>
      </c>
      <c r="G68" s="770"/>
      <c r="H68" s="770">
        <f t="shared" ref="H68:AC68" si="64">+(H61/G61-1)*100</f>
        <v>1.7204031923559793</v>
      </c>
      <c r="I68" s="770">
        <f t="shared" si="64"/>
        <v>2.6010779873298251</v>
      </c>
      <c r="J68" s="770">
        <f t="shared" si="64"/>
        <v>2.4700555038207339</v>
      </c>
      <c r="K68" s="770">
        <f t="shared" si="64"/>
        <v>2.3713325300849242</v>
      </c>
      <c r="L68" s="770">
        <f t="shared" si="64"/>
        <v>3.2606319621173441</v>
      </c>
      <c r="M68" s="770">
        <f t="shared" si="64"/>
        <v>1.1561671466797208</v>
      </c>
      <c r="N68" s="770">
        <f t="shared" si="64"/>
        <v>-0.19678502441055068</v>
      </c>
      <c r="O68" s="770">
        <f t="shared" si="64"/>
        <v>0.51967657416074342</v>
      </c>
      <c r="P68" s="770">
        <f t="shared" si="64"/>
        <v>3.1539157441510923</v>
      </c>
      <c r="Q68" s="770">
        <f t="shared" si="64"/>
        <v>2.1910334550508281</v>
      </c>
      <c r="R68" s="770">
        <f t="shared" si="64"/>
        <v>1.4631006971647542</v>
      </c>
      <c r="S68" s="770">
        <f t="shared" si="64"/>
        <v>3.0253283478656412</v>
      </c>
      <c r="T68" s="770">
        <f t="shared" si="64"/>
        <v>2.00844992320246</v>
      </c>
      <c r="U68" s="770">
        <f t="shared" si="64"/>
        <v>-1.1098074206370434</v>
      </c>
      <c r="V68" s="770">
        <f t="shared" si="64"/>
        <v>1.4713831249982823</v>
      </c>
      <c r="W68" s="770">
        <f t="shared" si="64"/>
        <v>1.4281191616104083</v>
      </c>
      <c r="X68" s="770">
        <f t="shared" si="64"/>
        <v>0.69537185780133015</v>
      </c>
      <c r="Y68" s="770">
        <f t="shared" si="64"/>
        <v>0.12833753643997081</v>
      </c>
      <c r="Z68" s="770">
        <f t="shared" si="64"/>
        <v>1.8243156534913041</v>
      </c>
      <c r="AA68" s="770">
        <f t="shared" si="64"/>
        <v>1.205989817037123</v>
      </c>
      <c r="AB68" s="770">
        <f t="shared" si="64"/>
        <v>1.840191747107589</v>
      </c>
      <c r="AC68" s="770">
        <f t="shared" si="64"/>
        <v>1.0773688936565273</v>
      </c>
      <c r="AD68" s="3138">
        <f ca="1">IF(UPPER('VVP1'!$F$2)="Y",OFFSET('VVP1'!$G$10,0,5*(COLUMN()-7)),('VVP2'!AD61/'VVP2'!AC61-1)*100)</f>
        <v>1.8557061652820339</v>
      </c>
      <c r="AE68" s="3138">
        <f ca="1">IF(UPPER('VVP1'!$F$2)="Y",OFFSET('VVP1'!$G$10,0,5*(COLUMN()-7)),('VVP2'!AE61/'VVP2'!AD61-1)*100)</f>
        <v>1.8160858898058185</v>
      </c>
    </row>
    <row r="70" spans="1:31">
      <c r="A70" s="1123"/>
      <c r="D70" s="3125"/>
      <c r="E70" s="3126" t="s">
        <v>44</v>
      </c>
      <c r="F70" s="3096"/>
      <c r="G70" s="3079">
        <f>InputY!$G$3</f>
        <v>1995</v>
      </c>
      <c r="H70" s="3079">
        <f t="shared" ref="H70:W70" si="65">+G70+1</f>
        <v>1996</v>
      </c>
      <c r="I70" s="3079">
        <f t="shared" si="65"/>
        <v>1997</v>
      </c>
      <c r="J70" s="3079">
        <f t="shared" si="65"/>
        <v>1998</v>
      </c>
      <c r="K70" s="3079">
        <f t="shared" si="65"/>
        <v>1999</v>
      </c>
      <c r="L70" s="3079">
        <f t="shared" si="65"/>
        <v>2000</v>
      </c>
      <c r="M70" s="3079">
        <f t="shared" si="65"/>
        <v>2001</v>
      </c>
      <c r="N70" s="3079">
        <f t="shared" si="65"/>
        <v>2002</v>
      </c>
      <c r="O70" s="3079">
        <f t="shared" si="65"/>
        <v>2003</v>
      </c>
      <c r="P70" s="3079">
        <f t="shared" si="65"/>
        <v>2004</v>
      </c>
      <c r="Q70" s="3079">
        <f t="shared" si="65"/>
        <v>2005</v>
      </c>
      <c r="R70" s="3079">
        <f t="shared" si="65"/>
        <v>2006</v>
      </c>
      <c r="S70" s="3079">
        <f t="shared" si="65"/>
        <v>2007</v>
      </c>
      <c r="T70" s="3079">
        <f t="shared" si="65"/>
        <v>2008</v>
      </c>
      <c r="U70" s="3079">
        <f t="shared" si="65"/>
        <v>2009</v>
      </c>
      <c r="V70" s="3079">
        <f t="shared" si="65"/>
        <v>2010</v>
      </c>
      <c r="W70" s="3079">
        <f t="shared" si="65"/>
        <v>2011</v>
      </c>
      <c r="X70" s="3079">
        <f t="shared" ref="X70:AE70" si="66">+W70+1</f>
        <v>2012</v>
      </c>
      <c r="Y70" s="3079">
        <f t="shared" si="66"/>
        <v>2013</v>
      </c>
      <c r="Z70" s="3079">
        <f t="shared" si="66"/>
        <v>2014</v>
      </c>
      <c r="AA70" s="3079">
        <f t="shared" si="66"/>
        <v>2015</v>
      </c>
      <c r="AB70" s="3079">
        <f t="shared" si="66"/>
        <v>2016</v>
      </c>
      <c r="AC70" s="3079">
        <f t="shared" si="66"/>
        <v>2017</v>
      </c>
      <c r="AD70" s="3079">
        <f t="shared" si="66"/>
        <v>2018</v>
      </c>
      <c r="AE70" s="3079">
        <f t="shared" si="66"/>
        <v>2019</v>
      </c>
    </row>
    <row r="71" spans="1:31">
      <c r="A71" s="714">
        <f>+ROW(InputY!A41)</f>
        <v>41</v>
      </c>
      <c r="B71" s="715" t="s">
        <v>45</v>
      </c>
      <c r="C71" s="1115"/>
      <c r="D71" s="1117"/>
      <c r="E71" s="1118" t="s">
        <v>1518</v>
      </c>
      <c r="F71" s="1119" t="s">
        <v>1675</v>
      </c>
      <c r="G71" s="3064">
        <f ca="1">InputY!G41/1000</f>
        <v>2.1059999999999999</v>
      </c>
      <c r="H71" s="3064">
        <f>InputY!H41/1000</f>
        <v>-20.293560000000003</v>
      </c>
      <c r="I71" s="3064">
        <f>InputY!I41/1000</f>
        <v>-17.282029999999999</v>
      </c>
      <c r="J71" s="3064">
        <f>InputY!J41/1000</f>
        <v>-18.921099999999999</v>
      </c>
      <c r="K71" s="3064">
        <f>InputY!K41/1000</f>
        <v>-17.760259999999999</v>
      </c>
      <c r="L71" s="3064">
        <f>InputY!L41/1000</f>
        <v>-11.127690000000001</v>
      </c>
      <c r="M71" s="3064">
        <f>InputY!M41/1000</f>
        <v>-25.930130000000002</v>
      </c>
      <c r="N71" s="3064">
        <f>InputY!N41/1000</f>
        <v>-25.98432</v>
      </c>
      <c r="O71" s="3064">
        <f>InputY!O41/1000</f>
        <v>-23.80133</v>
      </c>
      <c r="P71" s="3064">
        <f>InputY!P41/1000</f>
        <v>-17.97335</v>
      </c>
      <c r="Q71" s="3064">
        <f>InputY!Q41/1000</f>
        <v>-9.3116800000000008</v>
      </c>
      <c r="R71" s="3064">
        <f>InputY!R41/1000</f>
        <v>-2.3866300000000003</v>
      </c>
      <c r="S71" s="3064">
        <f>InputY!S41/1000</f>
        <v>5.5603999999999996</v>
      </c>
      <c r="T71" s="3064">
        <f>InputY!T41/1000</f>
        <v>8.3521000000000001</v>
      </c>
      <c r="U71" s="3064">
        <f>InputY!U41/1000</f>
        <v>-6.4830500000000004</v>
      </c>
      <c r="V71" s="3064">
        <f>InputY!V41/1000</f>
        <v>3.1879</v>
      </c>
      <c r="W71" s="3837">
        <f>InputY!W41/1000</f>
        <v>15.63918</v>
      </c>
      <c r="X71" s="3837">
        <f>InputY!X41/1000</f>
        <v>4.5806800000000001</v>
      </c>
      <c r="Y71" s="3837">
        <f>InputY!Y41/1000</f>
        <v>-2.1232399999999996</v>
      </c>
      <c r="Z71" s="3837">
        <f>InputY!Z41/1000</f>
        <v>3.4557800000000003</v>
      </c>
      <c r="AA71" s="3837">
        <f>InputY!AA41/1000</f>
        <v>6.7948500000000003</v>
      </c>
      <c r="AB71" s="3837">
        <f>InputY!AB41/1000</f>
        <v>11.017520000000001</v>
      </c>
      <c r="AC71" s="3065">
        <f ca="1">+AB71*(1+AC74/100)</f>
        <v>16.341916721203631</v>
      </c>
      <c r="AD71" s="3065">
        <f ca="1">+AC71*(1+AD74/100)</f>
        <v>16.341916721203631</v>
      </c>
      <c r="AE71" s="3065">
        <f ca="1">+AD71*(1+AE74/100)</f>
        <v>16.341916721203631</v>
      </c>
    </row>
    <row r="73" spans="1:31" s="749" customFormat="1" ht="12.75" customHeight="1">
      <c r="A73" s="714"/>
      <c r="B73" s="714"/>
      <c r="C73" s="822"/>
      <c r="D73" s="3073"/>
      <c r="E73" s="3074" t="s">
        <v>2049</v>
      </c>
      <c r="F73" s="3075"/>
      <c r="G73" s="939">
        <f>InputY!$G$3</f>
        <v>1995</v>
      </c>
      <c r="H73" s="939">
        <f t="shared" ref="H73:W73" si="67">+G73+1</f>
        <v>1996</v>
      </c>
      <c r="I73" s="939">
        <f t="shared" si="67"/>
        <v>1997</v>
      </c>
      <c r="J73" s="939">
        <f t="shared" si="67"/>
        <v>1998</v>
      </c>
      <c r="K73" s="939">
        <f t="shared" si="67"/>
        <v>1999</v>
      </c>
      <c r="L73" s="939">
        <f t="shared" si="67"/>
        <v>2000</v>
      </c>
      <c r="M73" s="939">
        <f t="shared" si="67"/>
        <v>2001</v>
      </c>
      <c r="N73" s="939">
        <f t="shared" si="67"/>
        <v>2002</v>
      </c>
      <c r="O73" s="939">
        <f t="shared" si="67"/>
        <v>2003</v>
      </c>
      <c r="P73" s="939">
        <f t="shared" si="67"/>
        <v>2004</v>
      </c>
      <c r="Q73" s="939">
        <f t="shared" si="67"/>
        <v>2005</v>
      </c>
      <c r="R73" s="939">
        <f t="shared" si="67"/>
        <v>2006</v>
      </c>
      <c r="S73" s="939">
        <f t="shared" si="67"/>
        <v>2007</v>
      </c>
      <c r="T73" s="939">
        <f t="shared" si="67"/>
        <v>2008</v>
      </c>
      <c r="U73" s="939">
        <f t="shared" si="67"/>
        <v>2009</v>
      </c>
      <c r="V73" s="939">
        <f t="shared" si="67"/>
        <v>2010</v>
      </c>
      <c r="W73" s="939">
        <f t="shared" si="67"/>
        <v>2011</v>
      </c>
      <c r="X73" s="939">
        <f t="shared" ref="X73:AE73" si="68">+W73+1</f>
        <v>2012</v>
      </c>
      <c r="Y73" s="939">
        <f t="shared" si="68"/>
        <v>2013</v>
      </c>
      <c r="Z73" s="939">
        <f t="shared" si="68"/>
        <v>2014</v>
      </c>
      <c r="AA73" s="939">
        <f t="shared" si="68"/>
        <v>2015</v>
      </c>
      <c r="AB73" s="939">
        <f t="shared" si="68"/>
        <v>2016</v>
      </c>
      <c r="AC73" s="939">
        <f t="shared" si="68"/>
        <v>2017</v>
      </c>
      <c r="AD73" s="939">
        <f t="shared" si="68"/>
        <v>2018</v>
      </c>
      <c r="AE73" s="939">
        <f t="shared" si="68"/>
        <v>2019</v>
      </c>
    </row>
    <row r="74" spans="1:31" s="749" customFormat="1" ht="12.75" customHeight="1">
      <c r="A74" s="714"/>
      <c r="B74" s="714"/>
      <c r="C74" s="3067"/>
      <c r="D74" s="3068"/>
      <c r="E74" s="3069" t="s">
        <v>1518</v>
      </c>
      <c r="F74" s="3070" t="s">
        <v>1675</v>
      </c>
      <c r="G74" s="3071"/>
      <c r="H74" s="3071">
        <f t="shared" ref="H74:AB74" ca="1" si="69">+(H71/G71-1)*100</f>
        <v>-1063.6068376068379</v>
      </c>
      <c r="I74" s="3071">
        <f t="shared" si="69"/>
        <v>-14.839830961152224</v>
      </c>
      <c r="J74" s="3071">
        <f t="shared" si="69"/>
        <v>9.4842446170964934</v>
      </c>
      <c r="K74" s="3071">
        <f t="shared" si="69"/>
        <v>-6.1351612749787288</v>
      </c>
      <c r="L74" s="3071">
        <f t="shared" si="69"/>
        <v>-37.345005084385022</v>
      </c>
      <c r="M74" s="3071">
        <f t="shared" si="69"/>
        <v>133.02347567194991</v>
      </c>
      <c r="N74" s="3071">
        <f t="shared" si="69"/>
        <v>0.2089846830694686</v>
      </c>
      <c r="O74" s="3071">
        <f t="shared" si="69"/>
        <v>-8.4011819435721229</v>
      </c>
      <c r="P74" s="3071">
        <f t="shared" si="69"/>
        <v>-24.485942592283706</v>
      </c>
      <c r="Q74" s="3071">
        <f t="shared" si="69"/>
        <v>-48.191739436443392</v>
      </c>
      <c r="R74" s="3071">
        <f t="shared" si="69"/>
        <v>-74.369501529262166</v>
      </c>
      <c r="S74" s="3071">
        <f t="shared" si="69"/>
        <v>-332.98123295190283</v>
      </c>
      <c r="T74" s="3071">
        <f t="shared" si="69"/>
        <v>50.206819653262372</v>
      </c>
      <c r="U74" s="3071">
        <f t="shared" si="69"/>
        <v>-177.62179571604747</v>
      </c>
      <c r="V74" s="3071">
        <f t="shared" si="69"/>
        <v>-149.17284302912981</v>
      </c>
      <c r="W74" s="3071">
        <f t="shared" si="69"/>
        <v>390.57937827409893</v>
      </c>
      <c r="X74" s="3071">
        <f t="shared" si="69"/>
        <v>-70.71022905292989</v>
      </c>
      <c r="Y74" s="3071">
        <f t="shared" si="69"/>
        <v>-146.35206999834085</v>
      </c>
      <c r="Z74" s="3071">
        <f t="shared" si="69"/>
        <v>-262.75974454136139</v>
      </c>
      <c r="AA74" s="3071">
        <f t="shared" si="69"/>
        <v>96.622759550665833</v>
      </c>
      <c r="AB74" s="3071">
        <f t="shared" si="69"/>
        <v>62.145154050494142</v>
      </c>
      <c r="AC74" s="3824">
        <f ca="1">OFFSET('VVP1'!$G$80,0,5*(COLUMN()-7))</f>
        <v>48.326635406186057</v>
      </c>
      <c r="AD74" s="3072">
        <f ca="1">OFFSET('VVP1'!$G$80,0,5*(COLUMN()-7))</f>
        <v>0</v>
      </c>
      <c r="AE74" s="3072">
        <f ca="1">OFFSET('VVP1'!$G$80,0,5*(COLUMN()-7))</f>
        <v>0</v>
      </c>
    </row>
    <row r="76" spans="1:31">
      <c r="A76" s="1123"/>
      <c r="D76" s="3125"/>
      <c r="E76" s="3126" t="s">
        <v>46</v>
      </c>
      <c r="F76" s="3096"/>
      <c r="G76" s="3079">
        <f>InputY!$G$3</f>
        <v>1995</v>
      </c>
      <c r="H76" s="3079">
        <f t="shared" ref="H76:W76" si="70">+G76+1</f>
        <v>1996</v>
      </c>
      <c r="I76" s="3079">
        <f t="shared" si="70"/>
        <v>1997</v>
      </c>
      <c r="J76" s="3079">
        <f t="shared" si="70"/>
        <v>1998</v>
      </c>
      <c r="K76" s="3079">
        <f t="shared" si="70"/>
        <v>1999</v>
      </c>
      <c r="L76" s="3079">
        <f t="shared" si="70"/>
        <v>2000</v>
      </c>
      <c r="M76" s="3079">
        <f t="shared" si="70"/>
        <v>2001</v>
      </c>
      <c r="N76" s="3079">
        <f t="shared" si="70"/>
        <v>2002</v>
      </c>
      <c r="O76" s="3079">
        <f t="shared" si="70"/>
        <v>2003</v>
      </c>
      <c r="P76" s="3079">
        <f t="shared" si="70"/>
        <v>2004</v>
      </c>
      <c r="Q76" s="3079">
        <f t="shared" si="70"/>
        <v>2005</v>
      </c>
      <c r="R76" s="3079">
        <f t="shared" si="70"/>
        <v>2006</v>
      </c>
      <c r="S76" s="3079">
        <f t="shared" si="70"/>
        <v>2007</v>
      </c>
      <c r="T76" s="3079">
        <f t="shared" si="70"/>
        <v>2008</v>
      </c>
      <c r="U76" s="3079">
        <f t="shared" si="70"/>
        <v>2009</v>
      </c>
      <c r="V76" s="3079">
        <f t="shared" si="70"/>
        <v>2010</v>
      </c>
      <c r="W76" s="3079">
        <f t="shared" si="70"/>
        <v>2011</v>
      </c>
      <c r="X76" s="3079">
        <f t="shared" ref="X76:AE76" si="71">+W76+1</f>
        <v>2012</v>
      </c>
      <c r="Y76" s="3079">
        <f t="shared" si="71"/>
        <v>2013</v>
      </c>
      <c r="Z76" s="3079">
        <f t="shared" si="71"/>
        <v>2014</v>
      </c>
      <c r="AA76" s="3079">
        <f t="shared" si="71"/>
        <v>2015</v>
      </c>
      <c r="AB76" s="3079">
        <f t="shared" si="71"/>
        <v>2016</v>
      </c>
      <c r="AC76" s="3079">
        <f t="shared" si="71"/>
        <v>2017</v>
      </c>
      <c r="AD76" s="3079">
        <f t="shared" si="71"/>
        <v>2018</v>
      </c>
      <c r="AE76" s="3079">
        <f t="shared" si="71"/>
        <v>2019</v>
      </c>
    </row>
    <row r="77" spans="1:31">
      <c r="A77" s="714"/>
      <c r="C77" s="1112" t="s">
        <v>622</v>
      </c>
      <c r="D77" s="1099"/>
      <c r="E77" s="1080" t="s">
        <v>1223</v>
      </c>
      <c r="F77" s="1099"/>
      <c r="G77" s="3127">
        <f t="shared" ref="G77:U77" si="72">+G61</f>
        <v>274.61100578000003</v>
      </c>
      <c r="H77" s="3127">
        <f t="shared" si="72"/>
        <v>279.33542229</v>
      </c>
      <c r="I77" s="3127">
        <f t="shared" si="72"/>
        <v>286.60115446999998</v>
      </c>
      <c r="J77" s="3127">
        <f t="shared" si="72"/>
        <v>293.68036205999999</v>
      </c>
      <c r="K77" s="3127">
        <f t="shared" si="72"/>
        <v>300.64450001999995</v>
      </c>
      <c r="L77" s="3127">
        <f t="shared" si="72"/>
        <v>310.44741067999996</v>
      </c>
      <c r="M77" s="3127">
        <f t="shared" si="72"/>
        <v>314.03670165</v>
      </c>
      <c r="N77" s="3127">
        <f t="shared" si="72"/>
        <v>313.41872444999996</v>
      </c>
      <c r="O77" s="3127">
        <f t="shared" si="72"/>
        <v>315.04748813999998</v>
      </c>
      <c r="P77" s="3127">
        <f t="shared" si="72"/>
        <v>324.98382046999996</v>
      </c>
      <c r="Q77" s="3127">
        <f t="shared" si="72"/>
        <v>332.10432470000001</v>
      </c>
      <c r="R77" s="3127">
        <f t="shared" si="72"/>
        <v>336.96334538999997</v>
      </c>
      <c r="S77" s="3127">
        <f t="shared" si="72"/>
        <v>347.15759300000002</v>
      </c>
      <c r="T77" s="3127">
        <f t="shared" si="72"/>
        <v>354.13007941000001</v>
      </c>
      <c r="U77" s="3127">
        <f t="shared" si="72"/>
        <v>350.19991750999998</v>
      </c>
      <c r="V77" s="3127">
        <f t="shared" ref="V77:W77" si="73">+V61</f>
        <v>355.35270000000003</v>
      </c>
      <c r="W77" s="3127">
        <f t="shared" si="73"/>
        <v>360.42755999999997</v>
      </c>
      <c r="X77" s="3127">
        <f t="shared" ref="X77:AB77" si="74">+X61</f>
        <v>362.93387181999998</v>
      </c>
      <c r="Y77" s="3127">
        <f t="shared" si="74"/>
        <v>363.39965221</v>
      </c>
      <c r="Z77" s="3127">
        <f t="shared" si="74"/>
        <v>370.02920895</v>
      </c>
      <c r="AA77" s="3127">
        <f t="shared" si="74"/>
        <v>374.49172353</v>
      </c>
      <c r="AB77" s="3127">
        <f t="shared" si="74"/>
        <v>381.38308932000001</v>
      </c>
      <c r="AC77" s="3127">
        <f t="shared" ref="AC77" si="75">+AC61</f>
        <v>385.49199209</v>
      </c>
      <c r="AD77" s="3128">
        <f t="shared" ref="AD77" ca="1" si="76">+AD61</f>
        <v>392.64559075388263</v>
      </c>
      <c r="AE77" s="3128">
        <f t="shared" ref="AE77" ca="1" si="77">+AE61</f>
        <v>399.77637192450857</v>
      </c>
    </row>
    <row r="78" spans="1:31">
      <c r="A78" s="714"/>
      <c r="C78" s="1114" t="s">
        <v>622</v>
      </c>
      <c r="D78" s="942"/>
      <c r="E78" s="3129" t="s">
        <v>1518</v>
      </c>
      <c r="F78" s="942" t="s">
        <v>1675</v>
      </c>
      <c r="G78" s="3020">
        <f t="shared" ref="G78:U78" ca="1" si="78">+G71</f>
        <v>2.1059999999999999</v>
      </c>
      <c r="H78" s="3020">
        <f t="shared" si="78"/>
        <v>-20.293560000000003</v>
      </c>
      <c r="I78" s="3020">
        <f t="shared" si="78"/>
        <v>-17.282029999999999</v>
      </c>
      <c r="J78" s="3020">
        <f t="shared" si="78"/>
        <v>-18.921099999999999</v>
      </c>
      <c r="K78" s="3020">
        <f t="shared" si="78"/>
        <v>-17.760259999999999</v>
      </c>
      <c r="L78" s="3020">
        <f t="shared" si="78"/>
        <v>-11.127690000000001</v>
      </c>
      <c r="M78" s="3020">
        <f t="shared" si="78"/>
        <v>-25.930130000000002</v>
      </c>
      <c r="N78" s="3020">
        <f t="shared" si="78"/>
        <v>-25.98432</v>
      </c>
      <c r="O78" s="3020">
        <f t="shared" si="78"/>
        <v>-23.80133</v>
      </c>
      <c r="P78" s="3020">
        <f t="shared" si="78"/>
        <v>-17.97335</v>
      </c>
      <c r="Q78" s="3020">
        <f t="shared" si="78"/>
        <v>-9.3116800000000008</v>
      </c>
      <c r="R78" s="3020">
        <f t="shared" si="78"/>
        <v>-2.3866300000000003</v>
      </c>
      <c r="S78" s="3020">
        <f t="shared" si="78"/>
        <v>5.5603999999999996</v>
      </c>
      <c r="T78" s="3020">
        <f t="shared" si="78"/>
        <v>8.3521000000000001</v>
      </c>
      <c r="U78" s="3020">
        <f t="shared" si="78"/>
        <v>-6.4830500000000004</v>
      </c>
      <c r="V78" s="3020">
        <f t="shared" ref="V78:W78" si="79">+V71</f>
        <v>3.1879</v>
      </c>
      <c r="W78" s="3020">
        <f t="shared" si="79"/>
        <v>15.63918</v>
      </c>
      <c r="X78" s="3020">
        <f t="shared" ref="X78:AB78" si="80">+X71</f>
        <v>4.5806800000000001</v>
      </c>
      <c r="Y78" s="3020">
        <f t="shared" si="80"/>
        <v>-2.1232399999999996</v>
      </c>
      <c r="Z78" s="3020">
        <f t="shared" si="80"/>
        <v>3.4557800000000003</v>
      </c>
      <c r="AA78" s="3020">
        <f t="shared" si="80"/>
        <v>6.7948500000000003</v>
      </c>
      <c r="AB78" s="3020">
        <f t="shared" si="80"/>
        <v>11.017520000000001</v>
      </c>
      <c r="AC78" s="3020">
        <f t="shared" ref="AC78" ca="1" si="81">+AC71</f>
        <v>16.341916721203631</v>
      </c>
      <c r="AD78" s="3130">
        <f t="shared" ref="AD78" ca="1" si="82">+AD71</f>
        <v>16.341916721203631</v>
      </c>
      <c r="AE78" s="3130">
        <f t="shared" ref="AE78" ca="1" si="83">+AE71</f>
        <v>16.341916721203631</v>
      </c>
    </row>
    <row r="79" spans="1:31">
      <c r="A79" s="714">
        <f>+ROW(InputY!A44)</f>
        <v>44</v>
      </c>
      <c r="B79" s="714"/>
      <c r="C79" s="744" t="s">
        <v>624</v>
      </c>
      <c r="D79" s="3131"/>
      <c r="E79" s="3132" t="s">
        <v>46</v>
      </c>
      <c r="F79" s="3133" t="s">
        <v>47</v>
      </c>
      <c r="G79" s="3099">
        <f ca="1">InputY!G44/1000</f>
        <v>289.22909999999996</v>
      </c>
      <c r="H79" s="3099">
        <f>InputY!H44/1000</f>
        <v>277.92148135000002</v>
      </c>
      <c r="I79" s="3099">
        <f>InputY!I44/1000</f>
        <v>285.79019574</v>
      </c>
      <c r="J79" s="3099">
        <f>InputY!J44/1000</f>
        <v>292.48186105000002</v>
      </c>
      <c r="K79" s="3099">
        <f>InputY!K44/1000</f>
        <v>299.59885966999997</v>
      </c>
      <c r="L79" s="3099">
        <f>InputY!L44/1000</f>
        <v>310.81220346999999</v>
      </c>
      <c r="M79" s="3099">
        <f>InputY!M44/1000</f>
        <v>311.10612871999996</v>
      </c>
      <c r="N79" s="3099">
        <f>InputY!N44/1000</f>
        <v>310.48003388000001</v>
      </c>
      <c r="O79" s="3099">
        <f>InputY!O44/1000</f>
        <v>312.57143439000004</v>
      </c>
      <c r="P79" s="3099">
        <f>InputY!P44/1000</f>
        <v>323.65054015000004</v>
      </c>
      <c r="Q79" s="3099">
        <f>InputY!Q44/1000</f>
        <v>332.55590175000003</v>
      </c>
      <c r="R79" s="3099">
        <f>InputY!R44/1000</f>
        <v>338.91171392000001</v>
      </c>
      <c r="S79" s="3099">
        <f>InputY!S44/1000</f>
        <v>350.70455543000003</v>
      </c>
      <c r="T79" s="3099">
        <f>InputY!T44/1000</f>
        <v>358.27871506000002</v>
      </c>
      <c r="U79" s="3099">
        <f>InputY!U44/1000</f>
        <v>351.22582442999999</v>
      </c>
      <c r="V79" s="3099">
        <f>InputY!V44/1000</f>
        <v>358.54059999999998</v>
      </c>
      <c r="W79" s="3099">
        <f>InputY!W44/1000</f>
        <v>366.28136000000001</v>
      </c>
      <c r="X79" s="3099">
        <f>InputY!X44/1000</f>
        <v>366.41528463000003</v>
      </c>
      <c r="Y79" s="3099">
        <f>InputY!Y44/1000</f>
        <v>366.41528463000003</v>
      </c>
      <c r="Z79" s="3099">
        <f>InputY!Z44/1000</f>
        <v>373.29303947</v>
      </c>
      <c r="AA79" s="3099">
        <f>InputY!AA44/1000</f>
        <v>378.48153022999998</v>
      </c>
      <c r="AB79" s="3099">
        <f>InputY!AB44/1000</f>
        <v>386.52498042999997</v>
      </c>
      <c r="AC79" s="3099">
        <f>InputY!AC44/1000</f>
        <v>391.32494335999996</v>
      </c>
      <c r="AD79" s="3100">
        <f ca="1">IF(UPPER('VVP1'!$F$2)="Y",+AC79*(1+AD85/100),+AD77+AD78)</f>
        <v>398.49307277357883</v>
      </c>
      <c r="AE79" s="3100">
        <f ca="1">IF(UPPER('VVP1'!$F$2)="Y",+AD79*(1+AE85/100),+AE77+AE78)</f>
        <v>405.63975249229793</v>
      </c>
    </row>
    <row r="80" spans="1:31">
      <c r="A80" s="714"/>
      <c r="B80" s="714"/>
      <c r="D80" s="1882"/>
      <c r="E80" s="1882" t="s">
        <v>474</v>
      </c>
      <c r="F80" s="1882"/>
      <c r="G80" s="1043"/>
      <c r="H80" s="1043">
        <f ca="1">ABS(IF('VVP1'!$F$2="Y",OFFSET('VVP1'!$G$12,0,5*(COLUMN()-7)+1)-OFFSET('VVP1'!$G$7,0,5*(COLUMN()-7)+1)-OFFSET('VVP1'!$G$8,0,5*(COLUMN()-7)+1)-OFFSET('VVP1'!$G$9,0,5*(COLUMN()-7)+1)-OFFSET('VVP1'!$G$11,0,5*(COLUMN()-7)+1),ABS(H79-H77)))</f>
        <v>0</v>
      </c>
      <c r="I80" s="1043">
        <f ca="1">ABS(IF('VVP1'!$F$2="Y",OFFSET('VVP1'!$G$12,0,5*(COLUMN()-7)+1)-OFFSET('VVP1'!$G$7,0,5*(COLUMN()-7)+1)-OFFSET('VVP1'!$G$8,0,5*(COLUMN()-7)+1)-OFFSET('VVP1'!$G$9,0,5*(COLUMN()-7)+1)-OFFSET('VVP1'!$G$11,0,5*(COLUMN()-7)+1),ABS(I79-I77)))</f>
        <v>7.1054273576010019E-15</v>
      </c>
      <c r="J80" s="1043">
        <f ca="1">ABS(IF('VVP1'!$F$2="Y",OFFSET('VVP1'!$G$12,0,5*(COLUMN()-7)+1)-OFFSET('VVP1'!$G$7,0,5*(COLUMN()-7)+1)-OFFSET('VVP1'!$G$8,0,5*(COLUMN()-7)+1)-OFFSET('VVP1'!$G$9,0,5*(COLUMN()-7)+1)-OFFSET('VVP1'!$G$11,0,5*(COLUMN()-7)+1),ABS(J79-J77)))</f>
        <v>7.1054273576010019E-15</v>
      </c>
      <c r="K80" s="1043">
        <f ca="1">ABS(IF('VVP1'!$F$2="Y",OFFSET('VVP1'!$G$12,0,5*(COLUMN()-7)+1)-OFFSET('VVP1'!$G$7,0,5*(COLUMN()-7)+1)-OFFSET('VVP1'!$G$8,0,5*(COLUMN()-7)+1)-OFFSET('VVP1'!$G$9,0,5*(COLUMN()-7)+1)-OFFSET('VVP1'!$G$11,0,5*(COLUMN()-7)+1),ABS(K79-K77)))</f>
        <v>1.4210854715202004E-14</v>
      </c>
      <c r="L80" s="1043">
        <f ca="1">ABS(IF('VVP1'!$F$2="Y",OFFSET('VVP1'!$G$12,0,5*(COLUMN()-7)+1)-OFFSET('VVP1'!$G$7,0,5*(COLUMN()-7)+1)-OFFSET('VVP1'!$G$8,0,5*(COLUMN()-7)+1)-OFFSET('VVP1'!$G$9,0,5*(COLUMN()-7)+1)-OFFSET('VVP1'!$G$11,0,5*(COLUMN()-7)+1),ABS(L79-L77)))</f>
        <v>0</v>
      </c>
      <c r="M80" s="1043">
        <f ca="1">ABS(IF('VVP1'!$F$2="Y",OFFSET('VVP1'!$G$12,0,5*(COLUMN()-7)+1)-OFFSET('VVP1'!$G$7,0,5*(COLUMN()-7)+1)-OFFSET('VVP1'!$G$8,0,5*(COLUMN()-7)+1)-OFFSET('VVP1'!$G$9,0,5*(COLUMN()-7)+1)-OFFSET('VVP1'!$G$11,0,5*(COLUMN()-7)+1),ABS(M79-M77)))</f>
        <v>1.4210854715202004E-14</v>
      </c>
      <c r="N80" s="1043">
        <f ca="1">ABS(IF('VVP1'!$F$2="Y",OFFSET('VVP1'!$G$12,0,5*(COLUMN()-7)+1)-OFFSET('VVP1'!$G$7,0,5*(COLUMN()-7)+1)-OFFSET('VVP1'!$G$8,0,5*(COLUMN()-7)+1)-OFFSET('VVP1'!$G$9,0,5*(COLUMN()-7)+1)-OFFSET('VVP1'!$G$11,0,5*(COLUMN()-7)+1),ABS(N79-N77)))</f>
        <v>7.1054273576010019E-15</v>
      </c>
      <c r="O80" s="1043">
        <f ca="1">ABS(IF('VVP1'!$F$2="Y",OFFSET('VVP1'!$G$12,0,5*(COLUMN()-7)+1)-OFFSET('VVP1'!$G$7,0,5*(COLUMN()-7)+1)-OFFSET('VVP1'!$G$8,0,5*(COLUMN()-7)+1)-OFFSET('VVP1'!$G$9,0,5*(COLUMN()-7)+1)-OFFSET('VVP1'!$G$11,0,5*(COLUMN()-7)+1),ABS(O79-O77)))</f>
        <v>1.4210854715202004E-14</v>
      </c>
      <c r="P80" s="1043">
        <f ca="1">ABS(IF('VVP1'!$F$2="Y",OFFSET('VVP1'!$G$12,0,5*(COLUMN()-7)+1)-OFFSET('VVP1'!$G$7,0,5*(COLUMN()-7)+1)-OFFSET('VVP1'!$G$8,0,5*(COLUMN()-7)+1)-OFFSET('VVP1'!$G$9,0,5*(COLUMN()-7)+1)-OFFSET('VVP1'!$G$11,0,5*(COLUMN()-7)+1),ABS(P79-P77)))</f>
        <v>7.1054273576010019E-15</v>
      </c>
      <c r="Q80" s="1043">
        <f ca="1">ABS(IF('VVP1'!$F$2="Y",OFFSET('VVP1'!$G$12,0,5*(COLUMN()-7)+1)-OFFSET('VVP1'!$G$7,0,5*(COLUMN()-7)+1)-OFFSET('VVP1'!$G$8,0,5*(COLUMN()-7)+1)-OFFSET('VVP1'!$G$9,0,5*(COLUMN()-7)+1)-OFFSET('VVP1'!$G$11,0,5*(COLUMN()-7)+1),ABS(Q79-Q77)))</f>
        <v>2.8421709430404007E-14</v>
      </c>
      <c r="R80" s="1043">
        <f ca="1">ABS(IF('VVP1'!$F$2="Y",OFFSET('VVP1'!$G$12,0,5*(COLUMN()-7)+1)-OFFSET('VVP1'!$G$7,0,5*(COLUMN()-7)+1)-OFFSET('VVP1'!$G$8,0,5*(COLUMN()-7)+1)-OFFSET('VVP1'!$G$9,0,5*(COLUMN()-7)+1)-OFFSET('VVP1'!$G$11,0,5*(COLUMN()-7)+1),ABS(R79-R77)))</f>
        <v>5.6843418860808015E-14</v>
      </c>
      <c r="S80" s="1043">
        <f ca="1">ABS(IF('VVP1'!$F$2="Y",OFFSET('VVP1'!$G$12,0,5*(COLUMN()-7)+1)-OFFSET('VVP1'!$G$7,0,5*(COLUMN()-7)+1)-OFFSET('VVP1'!$G$8,0,5*(COLUMN()-7)+1)-OFFSET('VVP1'!$G$9,0,5*(COLUMN()-7)+1)-OFFSET('VVP1'!$G$11,0,5*(COLUMN()-7)+1),ABS(S79-S77)))</f>
        <v>1.4210854715202004E-14</v>
      </c>
      <c r="T80" s="1043">
        <f ca="1">ABS(IF('VVP1'!$F$2="Y",OFFSET('VVP1'!$G$12,0,5*(COLUMN()-7)+1)-OFFSET('VVP1'!$G$7,0,5*(COLUMN()-7)+1)-OFFSET('VVP1'!$G$8,0,5*(COLUMN()-7)+1)-OFFSET('VVP1'!$G$9,0,5*(COLUMN()-7)+1)-OFFSET('VVP1'!$G$11,0,5*(COLUMN()-7)+1),ABS(T79-T77)))</f>
        <v>5.6843418860808015E-14</v>
      </c>
      <c r="U80" s="1043">
        <f ca="1">ABS(IF('VVP1'!$F$2="Y",OFFSET('VVP1'!$G$12,0,5*(COLUMN()-7)+1)-OFFSET('VVP1'!$G$7,0,5*(COLUMN()-7)+1)-OFFSET('VVP1'!$G$8,0,5*(COLUMN()-7)+1)-OFFSET('VVP1'!$G$9,0,5*(COLUMN()-7)+1)-OFFSET('VVP1'!$G$11,0,5*(COLUMN()-7)+1),ABS(U79-U77)))</f>
        <v>1.4210854715202004E-14</v>
      </c>
      <c r="V80" s="1043">
        <f ca="1">ABS(IF('VVP1'!$F$2="Y",OFFSET('VVP1'!$G$12,0,5*(COLUMN()-7)+1)-OFFSET('VVP1'!$G$7,0,5*(COLUMN()-7)+1)-OFFSET('VVP1'!$G$8,0,5*(COLUMN()-7)+1)-OFFSET('VVP1'!$G$9,0,5*(COLUMN()-7)+1)-OFFSET('VVP1'!$G$11,0,5*(COLUMN()-7)+1),ABS(V79-V77)))</f>
        <v>2.8421709430404007E-14</v>
      </c>
      <c r="W80" s="1043">
        <f ca="1">ABS(IF('VVP1'!$F$2="Y",OFFSET('VVP1'!$G$12,0,5*(COLUMN()-7)+1)-OFFSET('VVP1'!$G$7,0,5*(COLUMN()-7)+1)-OFFSET('VVP1'!$G$8,0,5*(COLUMN()-7)+1)-OFFSET('VVP1'!$G$9,0,5*(COLUMN()-7)+1)-OFFSET('VVP1'!$G$11,0,5*(COLUMN()-7)+1),ABS(W79-W77)))</f>
        <v>0</v>
      </c>
      <c r="X80" s="1043">
        <f ca="1">ABS(IF('VVP1'!$F$2="Y",OFFSET('VVP1'!$G$12,0,5*(COLUMN()-7)+1)-OFFSET('VVP1'!$G$7,0,5*(COLUMN()-7)+1)-OFFSET('VVP1'!$G$8,0,5*(COLUMN()-7)+1)-OFFSET('VVP1'!$G$9,0,5*(COLUMN()-7)+1)-OFFSET('VVP1'!$G$11,0,5*(COLUMN()-7)+1),ABS(X79-X77)))</f>
        <v>2.8421709430404007E-14</v>
      </c>
      <c r="Y80" s="1043">
        <f ca="1">ABS(IF('VVP1'!$F$2="Y",OFFSET('VVP1'!$G$12,0,5*(COLUMN()-7)+1)-OFFSET('VVP1'!$G$7,0,5*(COLUMN()-7)+1)-OFFSET('VVP1'!$G$8,0,5*(COLUMN()-7)+1)-OFFSET('VVP1'!$G$9,0,5*(COLUMN()-7)+1)-OFFSET('VVP1'!$G$11,0,5*(COLUMN()-7)+1),ABS(Y79-Y77)))</f>
        <v>0</v>
      </c>
      <c r="Z80" s="1043">
        <f ca="1">ABS(IF('VVP1'!$F$2="Y",OFFSET('VVP1'!$G$12,0,5*(COLUMN()-7)+1)-OFFSET('VVP1'!$G$7,0,5*(COLUMN()-7)+1)-OFFSET('VVP1'!$G$8,0,5*(COLUMN()-7)+1)-OFFSET('VVP1'!$G$9,0,5*(COLUMN()-7)+1)-OFFSET('VVP1'!$G$11,0,5*(COLUMN()-7)+1),ABS(Z79-Z77)))</f>
        <v>2.8421709430404007E-14</v>
      </c>
      <c r="AA80" s="1043">
        <f ca="1">ABS(IF('VVP1'!$F$2="Y",OFFSET('VVP1'!$G$12,0,5*(COLUMN()-7)+1)-OFFSET('VVP1'!$G$7,0,5*(COLUMN()-7)+1)-OFFSET('VVP1'!$G$8,0,5*(COLUMN()-7)+1)-OFFSET('VVP1'!$G$9,0,5*(COLUMN()-7)+1)-OFFSET('VVP1'!$G$11,0,5*(COLUMN()-7)+1),ABS(AA79-AA77)))</f>
        <v>1.4210854715202004E-14</v>
      </c>
      <c r="AB80" s="1043">
        <f ca="1">ABS(IF('VVP1'!$F$2="Y",OFFSET('VVP1'!$G$12,0,5*(COLUMN()-7)+1)-OFFSET('VVP1'!$G$7,0,5*(COLUMN()-7)+1)-OFFSET('VVP1'!$G$8,0,5*(COLUMN()-7)+1)-OFFSET('VVP1'!$G$9,0,5*(COLUMN()-7)+1)-OFFSET('VVP1'!$G$11,0,5*(COLUMN()-7)+1),ABS(AB79-AB77)))</f>
        <v>2.8421709430404007E-14</v>
      </c>
      <c r="AC80" s="1043">
        <f ca="1">ABS(IF('VVP1'!$F$2="Y",OFFSET('VVP1'!$G$12,0,5*(COLUMN()-7)+1)-OFFSET('VVP1'!$G$7,0,5*(COLUMN()-7)+1)-OFFSET('VVP1'!$G$8,0,5*(COLUMN()-7)+1)-OFFSET('VVP1'!$G$9,0,5*(COLUMN()-7)+1)-OFFSET('VVP1'!$G$11,0,5*(COLUMN()-7)+1),ABS(AC79-AC77)))</f>
        <v>5.6843418860808015E-14</v>
      </c>
      <c r="AD80" s="1043">
        <f ca="1">ABS(IF('VVP1'!$F$2="Y",OFFSET('VVP1'!$G$12,0,5*(COLUMN()-7)+1)-OFFSET('VVP1'!$G$7,0,5*(COLUMN()-7)+1)-OFFSET('VVP1'!$G$8,0,5*(COLUMN()-7)+1)-OFFSET('VVP1'!$G$9,0,5*(COLUMN()-7)+1)-OFFSET('VVP1'!$G$11,0,5*(COLUMN()-7)+1),ABS(AD79-AD77)))</f>
        <v>5.3290705182007514E-14</v>
      </c>
      <c r="AE80" s="1043">
        <f ca="1">ABS(IF('VVP1'!$F$2="Y",OFFSET('VVP1'!$G$12,0,5*(COLUMN()-7)+1)-OFFSET('VVP1'!$G$7,0,5*(COLUMN()-7)+1)-OFFSET('VVP1'!$G$8,0,5*(COLUMN()-7)+1)-OFFSET('VVP1'!$G$9,0,5*(COLUMN()-7)+1)-OFFSET('VVP1'!$G$11,0,5*(COLUMN()-7)+1),ABS(AE79-AE77)))</f>
        <v>3.5527136788005009E-15</v>
      </c>
    </row>
    <row r="82" spans="1:31" s="749" customFormat="1" ht="12.75" customHeight="1">
      <c r="A82" s="714"/>
      <c r="B82" s="714"/>
      <c r="C82" s="822"/>
      <c r="D82" s="3073"/>
      <c r="E82" s="3074" t="s">
        <v>46</v>
      </c>
      <c r="F82" s="3075"/>
      <c r="G82" s="939">
        <f>InputY!$G$3</f>
        <v>1995</v>
      </c>
      <c r="H82" s="939">
        <f t="shared" ref="H82:W82" si="84">+G82+1</f>
        <v>1996</v>
      </c>
      <c r="I82" s="939">
        <f t="shared" si="84"/>
        <v>1997</v>
      </c>
      <c r="J82" s="939">
        <f t="shared" si="84"/>
        <v>1998</v>
      </c>
      <c r="K82" s="939">
        <f t="shared" si="84"/>
        <v>1999</v>
      </c>
      <c r="L82" s="939">
        <f t="shared" si="84"/>
        <v>2000</v>
      </c>
      <c r="M82" s="939">
        <f t="shared" si="84"/>
        <v>2001</v>
      </c>
      <c r="N82" s="939">
        <f t="shared" si="84"/>
        <v>2002</v>
      </c>
      <c r="O82" s="939">
        <f t="shared" si="84"/>
        <v>2003</v>
      </c>
      <c r="P82" s="939">
        <f t="shared" si="84"/>
        <v>2004</v>
      </c>
      <c r="Q82" s="939">
        <f t="shared" si="84"/>
        <v>2005</v>
      </c>
      <c r="R82" s="939">
        <f t="shared" si="84"/>
        <v>2006</v>
      </c>
      <c r="S82" s="939">
        <f t="shared" si="84"/>
        <v>2007</v>
      </c>
      <c r="T82" s="939">
        <f t="shared" si="84"/>
        <v>2008</v>
      </c>
      <c r="U82" s="939">
        <f t="shared" si="84"/>
        <v>2009</v>
      </c>
      <c r="V82" s="939">
        <f t="shared" si="84"/>
        <v>2010</v>
      </c>
      <c r="W82" s="939">
        <f t="shared" si="84"/>
        <v>2011</v>
      </c>
      <c r="X82" s="939">
        <f t="shared" ref="X82:AE82" si="85">+W82+1</f>
        <v>2012</v>
      </c>
      <c r="Y82" s="939">
        <f t="shared" si="85"/>
        <v>2013</v>
      </c>
      <c r="Z82" s="939">
        <f t="shared" si="85"/>
        <v>2014</v>
      </c>
      <c r="AA82" s="939">
        <f t="shared" si="85"/>
        <v>2015</v>
      </c>
      <c r="AB82" s="939">
        <f t="shared" si="85"/>
        <v>2016</v>
      </c>
      <c r="AC82" s="939">
        <f t="shared" si="85"/>
        <v>2017</v>
      </c>
      <c r="AD82" s="939">
        <f t="shared" si="85"/>
        <v>2018</v>
      </c>
      <c r="AE82" s="939">
        <f t="shared" si="85"/>
        <v>2019</v>
      </c>
    </row>
    <row r="83" spans="1:31" s="749" customFormat="1" ht="12.75" customHeight="1">
      <c r="A83" s="714"/>
      <c r="B83" s="714"/>
      <c r="C83" s="839" t="s">
        <v>622</v>
      </c>
      <c r="D83" s="739"/>
      <c r="E83" s="787" t="s">
        <v>1223</v>
      </c>
      <c r="F83" s="782" t="s">
        <v>1224</v>
      </c>
      <c r="G83" s="1122"/>
      <c r="H83" s="1122">
        <f t="shared" ref="H83:AE83" si="86">+(H77/G77-1)*100</f>
        <v>1.7204031923559793</v>
      </c>
      <c r="I83" s="1122">
        <f t="shared" si="86"/>
        <v>2.6010779873298251</v>
      </c>
      <c r="J83" s="1122">
        <f t="shared" si="86"/>
        <v>2.4700555038207339</v>
      </c>
      <c r="K83" s="1122">
        <f t="shared" si="86"/>
        <v>2.3713325300849242</v>
      </c>
      <c r="L83" s="1122">
        <f t="shared" si="86"/>
        <v>3.2606319621173441</v>
      </c>
      <c r="M83" s="1122">
        <f t="shared" si="86"/>
        <v>1.1561671466797208</v>
      </c>
      <c r="N83" s="1122">
        <f t="shared" si="86"/>
        <v>-0.19678502441055068</v>
      </c>
      <c r="O83" s="1122">
        <f t="shared" si="86"/>
        <v>0.51967657416074342</v>
      </c>
      <c r="P83" s="1122">
        <f t="shared" si="86"/>
        <v>3.1539157441510923</v>
      </c>
      <c r="Q83" s="1122">
        <f t="shared" si="86"/>
        <v>2.1910334550508281</v>
      </c>
      <c r="R83" s="1122">
        <f t="shared" si="86"/>
        <v>1.4631006971647542</v>
      </c>
      <c r="S83" s="1122">
        <f t="shared" si="86"/>
        <v>3.0253283478656412</v>
      </c>
      <c r="T83" s="1122">
        <f t="shared" si="86"/>
        <v>2.00844992320246</v>
      </c>
      <c r="U83" s="1122">
        <f t="shared" si="86"/>
        <v>-1.1098074206370434</v>
      </c>
      <c r="V83" s="1122">
        <f t="shared" si="86"/>
        <v>1.4713831249982823</v>
      </c>
      <c r="W83" s="1122">
        <f t="shared" si="86"/>
        <v>1.4281191616104083</v>
      </c>
      <c r="X83" s="1122">
        <f t="shared" si="86"/>
        <v>0.69537185780133015</v>
      </c>
      <c r="Y83" s="1122">
        <f t="shared" si="86"/>
        <v>0.12833753643997081</v>
      </c>
      <c r="Z83" s="1122">
        <f t="shared" si="86"/>
        <v>1.8243156534913041</v>
      </c>
      <c r="AA83" s="1122">
        <f t="shared" si="86"/>
        <v>1.205989817037123</v>
      </c>
      <c r="AB83" s="1122">
        <f t="shared" si="86"/>
        <v>1.840191747107589</v>
      </c>
      <c r="AC83" s="1122">
        <f t="shared" si="86"/>
        <v>1.0773688936565273</v>
      </c>
      <c r="AD83" s="3134">
        <f t="shared" ca="1" si="86"/>
        <v>1.8557061652820339</v>
      </c>
      <c r="AE83" s="3134">
        <f t="shared" ca="1" si="86"/>
        <v>1.8160858898058185</v>
      </c>
    </row>
    <row r="84" spans="1:31" s="749" customFormat="1" ht="12.75" customHeight="1">
      <c r="A84" s="714"/>
      <c r="B84" s="714"/>
      <c r="C84" s="841" t="s">
        <v>622</v>
      </c>
      <c r="D84" s="741"/>
      <c r="E84" s="842" t="s">
        <v>1518</v>
      </c>
      <c r="F84" s="785" t="s">
        <v>1675</v>
      </c>
      <c r="G84" s="3135"/>
      <c r="H84" s="3135">
        <f t="shared" ref="H84:AE84" ca="1" si="87">+(H78/G78-1)*100</f>
        <v>-1063.6068376068379</v>
      </c>
      <c r="I84" s="3135">
        <f t="shared" si="87"/>
        <v>-14.839830961152224</v>
      </c>
      <c r="J84" s="3135">
        <f t="shared" si="87"/>
        <v>9.4842446170964934</v>
      </c>
      <c r="K84" s="3135">
        <f t="shared" si="87"/>
        <v>-6.1351612749787288</v>
      </c>
      <c r="L84" s="3135">
        <f t="shared" si="87"/>
        <v>-37.345005084385022</v>
      </c>
      <c r="M84" s="3135">
        <f t="shared" si="87"/>
        <v>133.02347567194991</v>
      </c>
      <c r="N84" s="3135">
        <f t="shared" si="87"/>
        <v>0.2089846830694686</v>
      </c>
      <c r="O84" s="3135">
        <f t="shared" si="87"/>
        <v>-8.4011819435721229</v>
      </c>
      <c r="P84" s="3135">
        <f t="shared" si="87"/>
        <v>-24.485942592283706</v>
      </c>
      <c r="Q84" s="3135">
        <f t="shared" si="87"/>
        <v>-48.191739436443392</v>
      </c>
      <c r="R84" s="3135">
        <f t="shared" si="87"/>
        <v>-74.369501529262166</v>
      </c>
      <c r="S84" s="3135">
        <f t="shared" si="87"/>
        <v>-332.98123295190283</v>
      </c>
      <c r="T84" s="3135">
        <f t="shared" si="87"/>
        <v>50.206819653262372</v>
      </c>
      <c r="U84" s="3135">
        <f t="shared" si="87"/>
        <v>-177.62179571604747</v>
      </c>
      <c r="V84" s="3135">
        <f t="shared" si="87"/>
        <v>-149.17284302912981</v>
      </c>
      <c r="W84" s="3135">
        <f t="shared" si="87"/>
        <v>390.57937827409893</v>
      </c>
      <c r="X84" s="3135">
        <f t="shared" si="87"/>
        <v>-70.71022905292989</v>
      </c>
      <c r="Y84" s="3135">
        <f t="shared" si="87"/>
        <v>-146.35206999834085</v>
      </c>
      <c r="Z84" s="3135">
        <f t="shared" si="87"/>
        <v>-262.75974454136139</v>
      </c>
      <c r="AA84" s="3135">
        <f t="shared" si="87"/>
        <v>96.622759550665833</v>
      </c>
      <c r="AB84" s="3135">
        <f t="shared" si="87"/>
        <v>62.145154050494142</v>
      </c>
      <c r="AC84" s="3135">
        <f t="shared" ca="1" si="87"/>
        <v>48.32663540618605</v>
      </c>
      <c r="AD84" s="3136">
        <f t="shared" ca="1" si="87"/>
        <v>0</v>
      </c>
      <c r="AE84" s="3136">
        <f t="shared" ca="1" si="87"/>
        <v>0</v>
      </c>
    </row>
    <row r="85" spans="1:31" s="749" customFormat="1" ht="12.75" customHeight="1">
      <c r="A85" s="714"/>
      <c r="B85" s="714"/>
      <c r="C85" s="822" t="s">
        <v>624</v>
      </c>
      <c r="D85" s="766"/>
      <c r="E85" s="3137" t="s">
        <v>46</v>
      </c>
      <c r="F85" s="772" t="s">
        <v>47</v>
      </c>
      <c r="G85" s="770"/>
      <c r="H85" s="770">
        <f t="shared" ref="H85:AC85" ca="1" si="88">+(H79/G79-1)*100</f>
        <v>-3.9095715645486417</v>
      </c>
      <c r="I85" s="770">
        <f t="shared" si="88"/>
        <v>2.8312724701155867</v>
      </c>
      <c r="J85" s="770">
        <f t="shared" si="88"/>
        <v>2.3414607672853194</v>
      </c>
      <c r="K85" s="770">
        <f t="shared" si="88"/>
        <v>2.4333128196224463</v>
      </c>
      <c r="L85" s="770">
        <f t="shared" si="88"/>
        <v>3.7427858745361142</v>
      </c>
      <c r="M85" s="770">
        <f t="shared" si="88"/>
        <v>9.4566830619413622E-2</v>
      </c>
      <c r="N85" s="770">
        <f t="shared" si="88"/>
        <v>-0.20124799295209161</v>
      </c>
      <c r="O85" s="770">
        <f t="shared" si="88"/>
        <v>0.6736022551480314</v>
      </c>
      <c r="P85" s="770">
        <f t="shared" si="88"/>
        <v>3.5445036049507994</v>
      </c>
      <c r="Q85" s="770">
        <f t="shared" si="88"/>
        <v>2.7515361463239518</v>
      </c>
      <c r="R85" s="770">
        <f t="shared" si="88"/>
        <v>1.9112011353742187</v>
      </c>
      <c r="S85" s="770">
        <f t="shared" si="88"/>
        <v>3.4796205104860256</v>
      </c>
      <c r="T85" s="770">
        <f t="shared" si="88"/>
        <v>2.1596981027843576</v>
      </c>
      <c r="U85" s="770">
        <f t="shared" si="88"/>
        <v>-1.9685486001642327</v>
      </c>
      <c r="V85" s="770">
        <f t="shared" si="88"/>
        <v>2.0826417254115714</v>
      </c>
      <c r="W85" s="770">
        <f t="shared" si="88"/>
        <v>2.1589633084788895</v>
      </c>
      <c r="X85" s="770">
        <f t="shared" si="88"/>
        <v>3.6563321158356032E-2</v>
      </c>
      <c r="Y85" s="770">
        <f t="shared" si="88"/>
        <v>0</v>
      </c>
      <c r="Z85" s="770">
        <f t="shared" si="88"/>
        <v>1.8770381936837</v>
      </c>
      <c r="AA85" s="770">
        <f t="shared" si="88"/>
        <v>1.3899243252342819</v>
      </c>
      <c r="AB85" s="770">
        <f t="shared" si="88"/>
        <v>2.1251896215680688</v>
      </c>
      <c r="AC85" s="770">
        <f t="shared" si="88"/>
        <v>1.2418247650281655</v>
      </c>
      <c r="AD85" s="3138">
        <f ca="1">IF(UPPER('VVP1'!$F$2)="Y",OFFSET('VVP1'!$G$12,0,5*(COLUMN()-7)),('VVP2'!AD79/'VVP2'!AC79-1)*100)</f>
        <v>1.8317588835589538</v>
      </c>
      <c r="AE85" s="3138">
        <f ca="1">IF(UPPER('VVP1'!$F$2)="Y",OFFSET('VVP1'!$G$12,0,5*(COLUMN()-7)),('VVP2'!AE79/'VVP2'!AD79-1)*100)</f>
        <v>1.7934263371197412</v>
      </c>
    </row>
    <row r="87" spans="1:31">
      <c r="A87" s="1123"/>
      <c r="D87" s="3139"/>
      <c r="E87" s="3140" t="s">
        <v>48</v>
      </c>
      <c r="F87" s="3141"/>
      <c r="G87" s="3142">
        <f>InputY!$G$3</f>
        <v>1995</v>
      </c>
      <c r="H87" s="3142">
        <f t="shared" ref="H87:W87" si="89">+G87+1</f>
        <v>1996</v>
      </c>
      <c r="I87" s="3142">
        <f t="shared" si="89"/>
        <v>1997</v>
      </c>
      <c r="J87" s="3142">
        <f t="shared" si="89"/>
        <v>1998</v>
      </c>
      <c r="K87" s="3142">
        <f t="shared" si="89"/>
        <v>1999</v>
      </c>
      <c r="L87" s="3142">
        <f t="shared" si="89"/>
        <v>2000</v>
      </c>
      <c r="M87" s="3142">
        <f t="shared" si="89"/>
        <v>2001</v>
      </c>
      <c r="N87" s="3142">
        <f t="shared" si="89"/>
        <v>2002</v>
      </c>
      <c r="O87" s="3142">
        <f t="shared" si="89"/>
        <v>2003</v>
      </c>
      <c r="P87" s="3142">
        <f t="shared" si="89"/>
        <v>2004</v>
      </c>
      <c r="Q87" s="3142">
        <f t="shared" si="89"/>
        <v>2005</v>
      </c>
      <c r="R87" s="3142">
        <f t="shared" si="89"/>
        <v>2006</v>
      </c>
      <c r="S87" s="3063">
        <f t="shared" si="89"/>
        <v>2007</v>
      </c>
      <c r="T87" s="3063">
        <f t="shared" si="89"/>
        <v>2008</v>
      </c>
      <c r="U87" s="3063">
        <f t="shared" si="89"/>
        <v>2009</v>
      </c>
      <c r="V87" s="3063">
        <f t="shared" si="89"/>
        <v>2010</v>
      </c>
      <c r="W87" s="3063">
        <f t="shared" si="89"/>
        <v>2011</v>
      </c>
      <c r="X87" s="3063">
        <f t="shared" ref="X87:AE87" si="90">+W87+1</f>
        <v>2012</v>
      </c>
      <c r="Y87" s="3063">
        <f t="shared" si="90"/>
        <v>2013</v>
      </c>
      <c r="Z87" s="3063">
        <f t="shared" si="90"/>
        <v>2014</v>
      </c>
      <c r="AA87" s="3063">
        <f t="shared" si="90"/>
        <v>2015</v>
      </c>
      <c r="AB87" s="3063">
        <f t="shared" si="90"/>
        <v>2016</v>
      </c>
      <c r="AC87" s="3063">
        <f t="shared" si="90"/>
        <v>2017</v>
      </c>
      <c r="AD87" s="3063">
        <f t="shared" si="90"/>
        <v>2018</v>
      </c>
      <c r="AE87" s="3063">
        <f t="shared" si="90"/>
        <v>2019</v>
      </c>
    </row>
    <row r="88" spans="1:31">
      <c r="A88" s="714">
        <f>+ROW(InputY!A48)</f>
        <v>48</v>
      </c>
      <c r="B88" s="715" t="s">
        <v>49</v>
      </c>
      <c r="C88" s="1112" t="s">
        <v>624</v>
      </c>
      <c r="D88" s="1099"/>
      <c r="E88" s="1080" t="s">
        <v>691</v>
      </c>
      <c r="F88" s="1099" t="s">
        <v>860</v>
      </c>
      <c r="G88" s="3127">
        <f>InputY!G48/1000</f>
        <v>33.835680000000004</v>
      </c>
      <c r="H88" s="3127">
        <f>InputY!H48/1000</f>
        <v>34.901029999999999</v>
      </c>
      <c r="I88" s="3127">
        <f>InputY!I48/1000</f>
        <v>37.880859999999998</v>
      </c>
      <c r="J88" s="3127">
        <f>InputY!J48/1000</f>
        <v>40.511830000000003</v>
      </c>
      <c r="K88" s="3127">
        <f>InputY!K48/1000</f>
        <v>43.702959999999997</v>
      </c>
      <c r="L88" s="3127">
        <f>InputY!L48/1000</f>
        <v>48.778349999999996</v>
      </c>
      <c r="M88" s="3127">
        <f>InputY!M48/1000</f>
        <v>51.435220000000001</v>
      </c>
      <c r="N88" s="3127">
        <f>InputY!N48/1000</f>
        <v>50.203240000000001</v>
      </c>
      <c r="O88" s="3127">
        <f>InputY!O48/1000</f>
        <v>49.171390000000002</v>
      </c>
      <c r="P88" s="3127">
        <f>InputY!P48/1000</f>
        <v>50.000599999999999</v>
      </c>
      <c r="Q88" s="3127">
        <f>InputY!Q48/1000</f>
        <v>52.939430000000002</v>
      </c>
      <c r="R88" s="3127">
        <f>InputY!R48/1000</f>
        <v>54.437669999999997</v>
      </c>
      <c r="S88" s="3127">
        <f>InputY!S48/1000</f>
        <v>59.752940000000002</v>
      </c>
      <c r="T88" s="3127">
        <f>InputY!T48/1000</f>
        <v>67.365449999999996</v>
      </c>
      <c r="U88" s="3127">
        <f>InputY!U48/1000</f>
        <v>68.718519999999998</v>
      </c>
      <c r="V88" s="3127">
        <f>InputY!V48/1000</f>
        <v>74.564399999999992</v>
      </c>
      <c r="W88" s="3127">
        <f>InputY!W48/1000</f>
        <v>74.54871</v>
      </c>
      <c r="X88" s="3127">
        <f>InputY!X48/1000</f>
        <v>80.54764999999999</v>
      </c>
      <c r="Y88" s="3127">
        <f>InputY!Y48/1000</f>
        <v>81.860869999999991</v>
      </c>
      <c r="Z88" s="3127">
        <f>InputY!Z48/1000</f>
        <v>89.750799999999998</v>
      </c>
      <c r="AA88" s="3127">
        <f>InputY!AA48/1000</f>
        <v>97.774640000000005</v>
      </c>
      <c r="AB88" s="3127">
        <f>InputY!AB48/1000</f>
        <v>97.979679999999988</v>
      </c>
      <c r="AC88" s="3127">
        <f>InputY!AC48/1000</f>
        <v>97.111580000000004</v>
      </c>
      <c r="AD88" s="1355">
        <f t="shared" ref="AD88:AE89" ca="1" si="91">+AC88*(1+AD94/100)</f>
        <v>101.38448952</v>
      </c>
      <c r="AE88" s="1355">
        <f t="shared" ca="1" si="91"/>
        <v>105.64263807984001</v>
      </c>
    </row>
    <row r="89" spans="1:31">
      <c r="A89" s="714">
        <f>+ROW(InputY!A47)</f>
        <v>47</v>
      </c>
      <c r="B89" s="715" t="s">
        <v>50</v>
      </c>
      <c r="C89" s="1114" t="s">
        <v>622</v>
      </c>
      <c r="D89" s="942"/>
      <c r="E89" s="3129" t="s">
        <v>692</v>
      </c>
      <c r="F89" s="942" t="s">
        <v>494</v>
      </c>
      <c r="G89" s="3020">
        <f>InputY!G47/1000</f>
        <v>113.88419999999999</v>
      </c>
      <c r="H89" s="3020">
        <f>InputY!H47/1000</f>
        <v>120.15771000000001</v>
      </c>
      <c r="I89" s="3020">
        <f>InputY!I47/1000</f>
        <v>131.74754999999999</v>
      </c>
      <c r="J89" s="3020">
        <f>InputY!J47/1000</f>
        <v>136.49509</v>
      </c>
      <c r="K89" s="3020">
        <f>InputY!K47/1000</f>
        <v>142.29760999999999</v>
      </c>
      <c r="L89" s="3020">
        <f>InputY!L47/1000</f>
        <v>160.25788</v>
      </c>
      <c r="M89" s="3020">
        <f>InputY!M47/1000</f>
        <v>158.55188000000001</v>
      </c>
      <c r="N89" s="3020">
        <f>InputY!N47/1000</f>
        <v>167.15960000000001</v>
      </c>
      <c r="O89" s="3020">
        <f>InputY!O47/1000</f>
        <v>171.44636</v>
      </c>
      <c r="P89" s="3020">
        <f>InputY!P47/1000</f>
        <v>184.20810999999998</v>
      </c>
      <c r="Q89" s="3020">
        <f>InputY!Q47/1000</f>
        <v>193.08838</v>
      </c>
      <c r="R89" s="3020">
        <f>InputY!R47/1000</f>
        <v>204.49939000000001</v>
      </c>
      <c r="S89" s="3020">
        <f>InputY!S47/1000</f>
        <v>214.10119</v>
      </c>
      <c r="T89" s="3020">
        <f>InputY!T47/1000</f>
        <v>211.55194</v>
      </c>
      <c r="U89" s="3020">
        <f>InputY!U47/1000</f>
        <v>184.24552</v>
      </c>
      <c r="V89" s="3020">
        <f>InputY!V47/1000</f>
        <v>204.54929999999999</v>
      </c>
      <c r="W89" s="3020">
        <f>InputY!W47/1000</f>
        <v>223.31571</v>
      </c>
      <c r="X89" s="3020">
        <f>InputY!X47/1000</f>
        <v>218.46576000000002</v>
      </c>
      <c r="Y89" s="3020">
        <f>InputY!Y47/1000</f>
        <v>219.82839999999999</v>
      </c>
      <c r="Z89" s="3020">
        <f>InputY!Z47/1000</f>
        <v>227.63757000000001</v>
      </c>
      <c r="AA89" s="3020">
        <f>InputY!AA47/1000</f>
        <v>229.96218999999999</v>
      </c>
      <c r="AB89" s="3020">
        <f>InputY!AB47/1000</f>
        <v>254.67245</v>
      </c>
      <c r="AC89" s="3020">
        <f>InputY!AC47/1000</f>
        <v>271.82827000000003</v>
      </c>
      <c r="AD89" s="3143">
        <f t="shared" ca="1" si="91"/>
        <v>285.93615721300006</v>
      </c>
      <c r="AE89" s="3143">
        <f t="shared" ca="1" si="91"/>
        <v>298.71750344042113</v>
      </c>
    </row>
    <row r="90" spans="1:31">
      <c r="A90" s="714">
        <f>+ROW(InputY!A49)</f>
        <v>49</v>
      </c>
      <c r="B90" s="714"/>
      <c r="C90" s="744" t="s">
        <v>624</v>
      </c>
      <c r="D90" s="3144"/>
      <c r="E90" s="3132" t="s">
        <v>51</v>
      </c>
      <c r="F90" s="3133" t="s">
        <v>2044</v>
      </c>
      <c r="G90" s="3145">
        <f ca="1">InputY!G49/1000</f>
        <v>157.67500000000001</v>
      </c>
      <c r="H90" s="3145">
        <f>InputY!H49/1000</f>
        <v>155.52164000000002</v>
      </c>
      <c r="I90" s="3145">
        <f>InputY!I49/1000</f>
        <v>170.17232000000001</v>
      </c>
      <c r="J90" s="3145">
        <f>InputY!J49/1000</f>
        <v>177.45182</v>
      </c>
      <c r="K90" s="3145">
        <f>InputY!K49/1000</f>
        <v>186.32373000000001</v>
      </c>
      <c r="L90" s="3145">
        <f>InputY!L49/1000</f>
        <v>209.44286</v>
      </c>
      <c r="M90" s="3145">
        <f>InputY!M49/1000</f>
        <v>210.14968999999999</v>
      </c>
      <c r="N90" s="3145">
        <f>InputY!N49/1000</f>
        <v>217.82060000000001</v>
      </c>
      <c r="O90" s="3145">
        <f>InputY!O49/1000</f>
        <v>221.21660999999997</v>
      </c>
      <c r="P90" s="3145">
        <f>InputY!P49/1000</f>
        <v>234.9402</v>
      </c>
      <c r="Q90" s="3145">
        <f>InputY!Q49/1000</f>
        <v>246.79142000000002</v>
      </c>
      <c r="R90" s="3145">
        <f>InputY!R49/1000</f>
        <v>259.81054999999998</v>
      </c>
      <c r="S90" s="3145">
        <f>InputY!S49/1000</f>
        <v>274.61153999999999</v>
      </c>
      <c r="T90" s="3145">
        <f>InputY!T49/1000</f>
        <v>279.30945000000003</v>
      </c>
      <c r="U90" s="3145">
        <f>InputY!U49/1000</f>
        <v>252.97385999999997</v>
      </c>
      <c r="V90" s="3145">
        <f>InputY!V49/1000</f>
        <v>279.11369999999999</v>
      </c>
      <c r="W90" s="3145">
        <f>InputY!W49/1000</f>
        <v>297.86446000000001</v>
      </c>
      <c r="X90" s="3145">
        <f>InputY!X49/1000</f>
        <v>298.87101000000001</v>
      </c>
      <c r="Y90" s="3145">
        <f>InputY!Y49/1000</f>
        <v>301.52758</v>
      </c>
      <c r="Z90" s="3145">
        <f>InputY!Z49/1000</f>
        <v>317.1601</v>
      </c>
      <c r="AA90" s="3145">
        <f>InputY!AA49/1000</f>
        <v>327.56732</v>
      </c>
      <c r="AB90" s="3145">
        <f>InputY!AB49/1000</f>
        <v>352.19122999999996</v>
      </c>
      <c r="AC90" s="3145">
        <f>InputY!AC49/1000</f>
        <v>368.07504</v>
      </c>
      <c r="AD90" s="3146">
        <f ca="1">IF(UPPER('VVP1'!$F$2)="Y",+AC90*(1+AD96/100),+AD88+AD89)</f>
        <v>386.37174330032877</v>
      </c>
      <c r="AE90" s="3146">
        <f ca="1">IF(UPPER('VVP1'!$F$2)="Y",+AD90*(1+AE96/100),+AE88+AE89)</f>
        <v>403.35486885096265</v>
      </c>
    </row>
    <row r="91" spans="1:31">
      <c r="A91" s="714"/>
      <c r="B91" s="714"/>
      <c r="D91" s="1882"/>
      <c r="E91" s="1882" t="s">
        <v>474</v>
      </c>
      <c r="F91" s="1882"/>
      <c r="G91" s="1043"/>
      <c r="H91" s="1043">
        <f ca="1">ABS(IF('VVP1'!$F$2="Y",OFFSET('VVP1'!$G$87,0,5*(COLUMN()-7)+1)-OFFSET('VVP1'!$G$85,0,5*(COLUMN()-7)+1)-OFFSET('VVP1'!$G$86,0,5*(COLUMN()-7)+1),ABS(H90-H88-H89)))</f>
        <v>0</v>
      </c>
      <c r="I91" s="1043">
        <f ca="1">ABS(IF('VVP1'!$F$2="Y",OFFSET('VVP1'!$G$87,0,5*(COLUMN()-7)+1)-OFFSET('VVP1'!$G$85,0,5*(COLUMN()-7)+1)-OFFSET('VVP1'!$G$86,0,5*(COLUMN()-7)+1),ABS(I90-I88-I89)))</f>
        <v>0</v>
      </c>
      <c r="J91" s="1043">
        <f ca="1">ABS(IF('VVP1'!$F$2="Y",OFFSET('VVP1'!$G$87,0,5*(COLUMN()-7)+1)-OFFSET('VVP1'!$G$85,0,5*(COLUMN()-7)+1)-OFFSET('VVP1'!$G$86,0,5*(COLUMN()-7)+1),ABS(J90-J88-J89)))</f>
        <v>1.4210854715202004E-14</v>
      </c>
      <c r="K91" s="1043">
        <f ca="1">ABS(IF('VVP1'!$F$2="Y",OFFSET('VVP1'!$G$87,0,5*(COLUMN()-7)+1)-OFFSET('VVP1'!$G$85,0,5*(COLUMN()-7)+1)-OFFSET('VVP1'!$G$86,0,5*(COLUMN()-7)+1),ABS(K90-K88-K89)))</f>
        <v>1.4210854715202004E-14</v>
      </c>
      <c r="L91" s="1043">
        <f ca="1">ABS(IF('VVP1'!$F$2="Y",OFFSET('VVP1'!$G$87,0,5*(COLUMN()-7)+1)-OFFSET('VVP1'!$G$85,0,5*(COLUMN()-7)+1)-OFFSET('VVP1'!$G$86,0,5*(COLUMN()-7)+1),ABS(L90-L88-L89)))</f>
        <v>0</v>
      </c>
      <c r="M91" s="1043">
        <f ca="1">ABS(IF('VVP1'!$F$2="Y",OFFSET('VVP1'!$G$87,0,5*(COLUMN()-7)+1)-OFFSET('VVP1'!$G$85,0,5*(COLUMN()-7)+1)-OFFSET('VVP1'!$G$86,0,5*(COLUMN()-7)+1),ABS(M90-M88-M89)))</f>
        <v>0</v>
      </c>
      <c r="N91" s="1043">
        <f ca="1">ABS(IF('VVP1'!$F$2="Y",OFFSET('VVP1'!$G$87,0,5*(COLUMN()-7)+1)-OFFSET('VVP1'!$G$85,0,5*(COLUMN()-7)+1)-OFFSET('VVP1'!$G$86,0,5*(COLUMN()-7)+1),ABS(N90-N88-N89)))</f>
        <v>0</v>
      </c>
      <c r="O91" s="1043">
        <f ca="1">ABS(IF('VVP1'!$F$2="Y",OFFSET('VVP1'!$G$87,0,5*(COLUMN()-7)+1)-OFFSET('VVP1'!$G$85,0,5*(COLUMN()-7)+1)-OFFSET('VVP1'!$G$86,0,5*(COLUMN()-7)+1),ABS(O90-O88-O89)))</f>
        <v>0</v>
      </c>
      <c r="P91" s="1043">
        <f ca="1">ABS(IF('VVP1'!$F$2="Y",OFFSET('VVP1'!$G$87,0,5*(COLUMN()-7)+1)-OFFSET('VVP1'!$G$85,0,5*(COLUMN()-7)+1)-OFFSET('VVP1'!$G$86,0,5*(COLUMN()-7)+1),ABS(P90-P88-P89)))</f>
        <v>0</v>
      </c>
      <c r="Q91" s="1043">
        <f ca="1">ABS(IF('VVP1'!$F$2="Y",OFFSET('VVP1'!$G$87,0,5*(COLUMN()-7)+1)-OFFSET('VVP1'!$G$85,0,5*(COLUMN()-7)+1)-OFFSET('VVP1'!$G$86,0,5*(COLUMN()-7)+1),ABS(Q90-Q88-Q89)))</f>
        <v>0</v>
      </c>
      <c r="R91" s="1043">
        <f ca="1">ABS(IF('VVP1'!$F$2="Y",OFFSET('VVP1'!$G$87,0,5*(COLUMN()-7)+1)-OFFSET('VVP1'!$G$85,0,5*(COLUMN()-7)+1)-OFFSET('VVP1'!$G$86,0,5*(COLUMN()-7)+1),ABS(R90-R88-R89)))</f>
        <v>2.8421709430404007E-14</v>
      </c>
      <c r="S91" s="1043">
        <f ca="1">ABS(IF('VVP1'!$F$2="Y",OFFSET('VVP1'!$G$87,0,5*(COLUMN()-7)+1)-OFFSET('VVP1'!$G$85,0,5*(COLUMN()-7)+1)-OFFSET('VVP1'!$G$86,0,5*(COLUMN()-7)+1),ABS(S90-S88-S89)))</f>
        <v>0</v>
      </c>
      <c r="T91" s="1043">
        <f ca="1">ABS(IF('VVP1'!$F$2="Y",OFFSET('VVP1'!$G$87,0,5*(COLUMN()-7)+1)-OFFSET('VVP1'!$G$85,0,5*(COLUMN()-7)+1)-OFFSET('VVP1'!$G$86,0,5*(COLUMN()-7)+1),ABS(T90-T88-T89)))</f>
        <v>2.8421709430404007E-14</v>
      </c>
      <c r="U91" s="1043">
        <f ca="1">ABS(IF('VVP1'!$F$2="Y",OFFSET('VVP1'!$G$87,0,5*(COLUMN()-7)+1)-OFFSET('VVP1'!$G$85,0,5*(COLUMN()-7)+1)-OFFSET('VVP1'!$G$86,0,5*(COLUMN()-7)+1),ABS(U90-U88-U89)))</f>
        <v>0</v>
      </c>
      <c r="V91" s="1043">
        <f ca="1">ABS(IF('VVP1'!$F$2="Y",OFFSET('VVP1'!$G$87,0,5*(COLUMN()-7)+1)-OFFSET('VVP1'!$G$85,0,5*(COLUMN()-7)+1)-OFFSET('VVP1'!$G$86,0,5*(COLUMN()-7)+1),ABS(V90-V88-V89)))</f>
        <v>0</v>
      </c>
      <c r="W91" s="1043">
        <f ca="1">ABS(IF('VVP1'!$F$2="Y",OFFSET('VVP1'!$G$87,0,5*(COLUMN()-7)+1)-OFFSET('VVP1'!$G$85,0,5*(COLUMN()-7)+1)-OFFSET('VVP1'!$G$86,0,5*(COLUMN()-7)+1),ABS(W90-W88-W89)))</f>
        <v>2.8421709430404007E-14</v>
      </c>
      <c r="X91" s="1043">
        <f ca="1">ABS(IF('VVP1'!$F$2="Y",OFFSET('VVP1'!$G$87,0,5*(COLUMN()-7)+1)-OFFSET('VVP1'!$G$85,0,5*(COLUMN()-7)+1)-OFFSET('VVP1'!$G$86,0,5*(COLUMN()-7)+1),ABS(X90-X88-X89)))</f>
        <v>2.8421709430404007E-14</v>
      </c>
      <c r="Y91" s="1043">
        <f ca="1">ABS(IF('VVP1'!$F$2="Y",OFFSET('VVP1'!$G$87,0,5*(COLUMN()-7)+1)-OFFSET('VVP1'!$G$85,0,5*(COLUMN()-7)+1)-OFFSET('VVP1'!$G$86,0,5*(COLUMN()-7)+1),ABS(Y90-Y88-Y89)))</f>
        <v>2.8421709430404007E-14</v>
      </c>
      <c r="Z91" s="1043">
        <f ca="1">ABS(IF('VVP1'!$F$2="Y",OFFSET('VVP1'!$G$87,0,5*(COLUMN()-7)+1)-OFFSET('VVP1'!$G$85,0,5*(COLUMN()-7)+1)-OFFSET('VVP1'!$G$86,0,5*(COLUMN()-7)+1),ABS(Z90-Z88-Z89)))</f>
        <v>0</v>
      </c>
      <c r="AA91" s="1043">
        <f ca="1">ABS(IF('VVP1'!$F$2="Y",OFFSET('VVP1'!$G$87,0,5*(COLUMN()-7)+1)-OFFSET('VVP1'!$G$85,0,5*(COLUMN()-7)+1)-OFFSET('VVP1'!$G$86,0,5*(COLUMN()-7)+1),ABS(AA90-AA88-AA89)))</f>
        <v>0</v>
      </c>
      <c r="AB91" s="1043">
        <f ca="1">ABS(IF('VVP1'!$F$2="Y",OFFSET('VVP1'!$G$87,0,5*(COLUMN()-7)+1)-OFFSET('VVP1'!$G$85,0,5*(COLUMN()-7)+1)-OFFSET('VVP1'!$G$86,0,5*(COLUMN()-7)+1),ABS(AB90-AB88-AB89)))</f>
        <v>2.8421709430404007E-14</v>
      </c>
      <c r="AC91" s="1043">
        <f ca="1">ABS(IF('VVP1'!$F$2="Y",OFFSET('VVP1'!$G$87,0,5*(COLUMN()-7)+1)-OFFSET('VVP1'!$G$85,0,5*(COLUMN()-7)+1)-OFFSET('VVP1'!$G$86,0,5*(COLUMN()-7)+1),ABS(AC90-AC88-AC89)))</f>
        <v>0</v>
      </c>
      <c r="AD91" s="1043">
        <f ca="1">ABS(IF('VVP1'!$F$2="Y",OFFSET('VVP1'!$G$87,0,5*(COLUMN()-7)+1)-OFFSET('VVP1'!$G$85,0,5*(COLUMN()-7)+1)-OFFSET('VVP1'!$G$86,0,5*(COLUMN()-7)+1),ABS(AD90-AD88-AD89)))</f>
        <v>0</v>
      </c>
      <c r="AE91" s="1043">
        <f ca="1">ABS(IF('VVP1'!$F$2="Y",OFFSET('VVP1'!$G$87,0,5*(COLUMN()-7)+1)-OFFSET('VVP1'!$G$85,0,5*(COLUMN()-7)+1)-OFFSET('VVP1'!$G$86,0,5*(COLUMN()-7)+1),ABS(AE90-AE88-AE89)))</f>
        <v>0</v>
      </c>
    </row>
    <row r="93" spans="1:31">
      <c r="A93" s="1123"/>
      <c r="D93" s="3147"/>
      <c r="E93" s="970" t="s">
        <v>48</v>
      </c>
      <c r="F93" s="3117"/>
      <c r="G93" s="939">
        <f>InputY!$G$3</f>
        <v>1995</v>
      </c>
      <c r="H93" s="939">
        <f t="shared" ref="H93:W93" si="92">+G93+1</f>
        <v>1996</v>
      </c>
      <c r="I93" s="939">
        <f t="shared" si="92"/>
        <v>1997</v>
      </c>
      <c r="J93" s="939">
        <f t="shared" si="92"/>
        <v>1998</v>
      </c>
      <c r="K93" s="939">
        <f t="shared" si="92"/>
        <v>1999</v>
      </c>
      <c r="L93" s="939">
        <f t="shared" si="92"/>
        <v>2000</v>
      </c>
      <c r="M93" s="939">
        <f t="shared" si="92"/>
        <v>2001</v>
      </c>
      <c r="N93" s="939">
        <f t="shared" si="92"/>
        <v>2002</v>
      </c>
      <c r="O93" s="939">
        <f t="shared" si="92"/>
        <v>2003</v>
      </c>
      <c r="P93" s="939">
        <f t="shared" si="92"/>
        <v>2004</v>
      </c>
      <c r="Q93" s="939">
        <f t="shared" si="92"/>
        <v>2005</v>
      </c>
      <c r="R93" s="939">
        <f t="shared" si="92"/>
        <v>2006</v>
      </c>
      <c r="S93" s="939">
        <f t="shared" si="92"/>
        <v>2007</v>
      </c>
      <c r="T93" s="939">
        <f t="shared" si="92"/>
        <v>2008</v>
      </c>
      <c r="U93" s="939">
        <f t="shared" si="92"/>
        <v>2009</v>
      </c>
      <c r="V93" s="939">
        <f t="shared" si="92"/>
        <v>2010</v>
      </c>
      <c r="W93" s="939">
        <f t="shared" si="92"/>
        <v>2011</v>
      </c>
      <c r="X93" s="939">
        <f t="shared" ref="X93:AE93" si="93">+W93+1</f>
        <v>2012</v>
      </c>
      <c r="Y93" s="939">
        <f t="shared" si="93"/>
        <v>2013</v>
      </c>
      <c r="Z93" s="939">
        <f t="shared" si="93"/>
        <v>2014</v>
      </c>
      <c r="AA93" s="939">
        <f t="shared" si="93"/>
        <v>2015</v>
      </c>
      <c r="AB93" s="939">
        <f t="shared" si="93"/>
        <v>2016</v>
      </c>
      <c r="AC93" s="939">
        <f t="shared" si="93"/>
        <v>2017</v>
      </c>
      <c r="AD93" s="939">
        <f t="shared" si="93"/>
        <v>2018</v>
      </c>
      <c r="AE93" s="939">
        <f t="shared" si="93"/>
        <v>2019</v>
      </c>
    </row>
    <row r="94" spans="1:31">
      <c r="A94" s="1123"/>
      <c r="C94" s="839" t="s">
        <v>624</v>
      </c>
      <c r="D94" s="739"/>
      <c r="E94" s="787" t="s">
        <v>691</v>
      </c>
      <c r="F94" s="782" t="s">
        <v>860</v>
      </c>
      <c r="G94" s="1122"/>
      <c r="H94" s="1122">
        <f t="shared" ref="H94:AC94" si="94">+(H88/G88-1)*100</f>
        <v>3.1485993483801655</v>
      </c>
      <c r="I94" s="1122">
        <f t="shared" si="94"/>
        <v>8.5379428630043321</v>
      </c>
      <c r="J94" s="1122">
        <f t="shared" si="94"/>
        <v>6.9453808598854527</v>
      </c>
      <c r="K94" s="1122">
        <f t="shared" si="94"/>
        <v>7.8770324618759435</v>
      </c>
      <c r="L94" s="1122">
        <f t="shared" si="94"/>
        <v>11.613378132739749</v>
      </c>
      <c r="M94" s="1122">
        <f t="shared" si="94"/>
        <v>5.4468222069832262</v>
      </c>
      <c r="N94" s="1122">
        <f t="shared" si="94"/>
        <v>-2.3952070196258557</v>
      </c>
      <c r="O94" s="1122">
        <f t="shared" si="94"/>
        <v>-2.0553454318884556</v>
      </c>
      <c r="P94" s="1122">
        <f t="shared" si="94"/>
        <v>1.6863668080157934</v>
      </c>
      <c r="Q94" s="1122">
        <f t="shared" si="94"/>
        <v>5.8775894689263808</v>
      </c>
      <c r="R94" s="1122">
        <f t="shared" si="94"/>
        <v>2.8301022508175677</v>
      </c>
      <c r="S94" s="1122">
        <f t="shared" si="94"/>
        <v>9.7639557313896841</v>
      </c>
      <c r="T94" s="1122">
        <f t="shared" si="94"/>
        <v>12.739975639692357</v>
      </c>
      <c r="U94" s="1122">
        <f t="shared" si="94"/>
        <v>2.0085518615254649</v>
      </c>
      <c r="V94" s="1122">
        <f t="shared" si="94"/>
        <v>8.5069934567857395</v>
      </c>
      <c r="W94" s="1122">
        <f t="shared" si="94"/>
        <v>-2.104221317410504E-2</v>
      </c>
      <c r="X94" s="1122">
        <f t="shared" si="94"/>
        <v>8.0470071178964542</v>
      </c>
      <c r="Y94" s="1122">
        <f t="shared" si="94"/>
        <v>1.6303641384944223</v>
      </c>
      <c r="Z94" s="1122">
        <f t="shared" si="94"/>
        <v>9.6382190905129672</v>
      </c>
      <c r="AA94" s="1122">
        <f t="shared" si="94"/>
        <v>8.9401320099653745</v>
      </c>
      <c r="AB94" s="1122">
        <f t="shared" si="94"/>
        <v>0.20970672967957071</v>
      </c>
      <c r="AC94" s="1122">
        <f t="shared" si="94"/>
        <v>-0.88600003592580467</v>
      </c>
      <c r="AD94" s="3148">
        <f ca="1">OFFSET('VVP1'!$G$85,0,5*(COLUMN()-7))</f>
        <v>4.4000000000000004</v>
      </c>
      <c r="AE94" s="3148">
        <f ca="1">OFFSET('VVP1'!$G$85,0,5*(COLUMN()-7))</f>
        <v>4.2</v>
      </c>
    </row>
    <row r="95" spans="1:31">
      <c r="A95" s="1123"/>
      <c r="C95" s="1021" t="s">
        <v>622</v>
      </c>
      <c r="D95" s="3149"/>
      <c r="E95" s="3150" t="s">
        <v>692</v>
      </c>
      <c r="F95" s="3149" t="s">
        <v>494</v>
      </c>
      <c r="G95" s="3151"/>
      <c r="H95" s="3151">
        <f t="shared" ref="H95:AC95" si="95">+(H89/G89-1)*100</f>
        <v>5.5086746010421184</v>
      </c>
      <c r="I95" s="3151">
        <f t="shared" si="95"/>
        <v>9.6455233709097588</v>
      </c>
      <c r="J95" s="3151">
        <f t="shared" si="95"/>
        <v>3.6035129306009939</v>
      </c>
      <c r="K95" s="3151">
        <f t="shared" si="95"/>
        <v>4.2510833173559526</v>
      </c>
      <c r="L95" s="3151">
        <f t="shared" si="95"/>
        <v>12.621624495309526</v>
      </c>
      <c r="M95" s="3151">
        <f t="shared" si="95"/>
        <v>-1.0645342369436039</v>
      </c>
      <c r="N95" s="3151">
        <f t="shared" si="95"/>
        <v>5.4289611703121965</v>
      </c>
      <c r="O95" s="3151">
        <f t="shared" si="95"/>
        <v>2.5644713196250724</v>
      </c>
      <c r="P95" s="3151">
        <f t="shared" si="95"/>
        <v>7.4435817709982199</v>
      </c>
      <c r="Q95" s="3151">
        <f t="shared" si="95"/>
        <v>4.8207812348761481</v>
      </c>
      <c r="R95" s="3151">
        <f t="shared" si="95"/>
        <v>5.9097341849364549</v>
      </c>
      <c r="S95" s="3151">
        <f t="shared" si="95"/>
        <v>4.6952707291694207</v>
      </c>
      <c r="T95" s="3151">
        <f t="shared" si="95"/>
        <v>-1.1906753063819941</v>
      </c>
      <c r="U95" s="3151">
        <f t="shared" si="95"/>
        <v>-12.907667024939595</v>
      </c>
      <c r="V95" s="3151">
        <f t="shared" si="95"/>
        <v>11.019958585695866</v>
      </c>
      <c r="W95" s="3151">
        <f t="shared" si="95"/>
        <v>9.1745168524165024</v>
      </c>
      <c r="X95" s="3151">
        <f t="shared" si="95"/>
        <v>-2.1717907799679526</v>
      </c>
      <c r="Y95" s="3151">
        <f t="shared" si="95"/>
        <v>0.6237316090173417</v>
      </c>
      <c r="Z95" s="3151">
        <f t="shared" si="95"/>
        <v>3.5523935942762819</v>
      </c>
      <c r="AA95" s="3151">
        <f t="shared" si="95"/>
        <v>1.02119346995313</v>
      </c>
      <c r="AB95" s="3151">
        <f t="shared" si="95"/>
        <v>10.745357747723672</v>
      </c>
      <c r="AC95" s="3151">
        <f t="shared" si="95"/>
        <v>6.7364255536867201</v>
      </c>
      <c r="AD95" s="3115">
        <f ca="1">OFFSET('VVP1'!$G$86,0,5*(COLUMN()-7))</f>
        <v>5.19</v>
      </c>
      <c r="AE95" s="3115">
        <f ca="1">OFFSET('VVP1'!$G$86,0,5*(COLUMN()-7))</f>
        <v>4.47</v>
      </c>
    </row>
    <row r="96" spans="1:31">
      <c r="A96" s="714"/>
      <c r="B96" s="714"/>
      <c r="C96" s="744" t="s">
        <v>624</v>
      </c>
      <c r="D96" s="3121"/>
      <c r="E96" s="3122" t="s">
        <v>51</v>
      </c>
      <c r="F96" s="3152" t="s">
        <v>2044</v>
      </c>
      <c r="G96" s="3123"/>
      <c r="H96" s="3123">
        <f t="shared" ref="H96:AC96" ca="1" si="96">+(H90/G90-1)*100</f>
        <v>-1.3656952592357663</v>
      </c>
      <c r="I96" s="3123">
        <f t="shared" si="96"/>
        <v>9.4203481907726641</v>
      </c>
      <c r="J96" s="3123">
        <f t="shared" si="96"/>
        <v>4.2777227224733094</v>
      </c>
      <c r="K96" s="3123">
        <f t="shared" si="96"/>
        <v>4.9996162338599826</v>
      </c>
      <c r="L96" s="3123">
        <f t="shared" si="96"/>
        <v>12.408043784868394</v>
      </c>
      <c r="M96" s="3123">
        <f t="shared" si="96"/>
        <v>0.33748106762865326</v>
      </c>
      <c r="N96" s="3123">
        <f t="shared" si="96"/>
        <v>3.65021237956622</v>
      </c>
      <c r="O96" s="3123">
        <f t="shared" si="96"/>
        <v>1.5590857797655344</v>
      </c>
      <c r="P96" s="3123">
        <f t="shared" si="96"/>
        <v>6.2036887736413693</v>
      </c>
      <c r="Q96" s="3123">
        <f t="shared" si="96"/>
        <v>5.0443559680293237</v>
      </c>
      <c r="R96" s="3123">
        <f t="shared" si="96"/>
        <v>5.2753576279110259</v>
      </c>
      <c r="S96" s="3123">
        <f t="shared" si="96"/>
        <v>5.6968394855405169</v>
      </c>
      <c r="T96" s="3123">
        <f t="shared" si="96"/>
        <v>1.7107474798764954</v>
      </c>
      <c r="U96" s="3123">
        <f t="shared" si="96"/>
        <v>-9.4288216886324605</v>
      </c>
      <c r="V96" s="3123">
        <f t="shared" si="96"/>
        <v>10.333020178448482</v>
      </c>
      <c r="W96" s="3123">
        <f t="shared" si="96"/>
        <v>6.7179647577313428</v>
      </c>
      <c r="X96" s="3123">
        <f t="shared" si="96"/>
        <v>0.33792215425767491</v>
      </c>
      <c r="Y96" s="3123">
        <f t="shared" si="96"/>
        <v>0.88886841182755916</v>
      </c>
      <c r="Z96" s="3123">
        <f t="shared" si="96"/>
        <v>5.1844411711857274</v>
      </c>
      <c r="AA96" s="3123">
        <f t="shared" si="96"/>
        <v>3.2813774494332648</v>
      </c>
      <c r="AB96" s="3123">
        <f t="shared" si="96"/>
        <v>7.5172059288453941</v>
      </c>
      <c r="AC96" s="3123">
        <f t="shared" si="96"/>
        <v>4.5099958905847837</v>
      </c>
      <c r="AD96" s="3124">
        <f ca="1">IF(UPPER('VVP1'!$F$2)="Y",OFFSET('VVP1'!$G$87,0,5*(COLUMN()-7)),('VVP2'!AD90/'VVP2'!AC90-1)*100)</f>
        <v>4.970916609919751</v>
      </c>
      <c r="AE96" s="3124">
        <f ca="1">IF(UPPER('VVP1'!$F$2)="Y",OFFSET('VVP1'!$G$87,0,5*(COLUMN()-7)),('VVP2'!AE90/'VVP2'!AD90-1)*100)</f>
        <v>4.3955402653327091</v>
      </c>
    </row>
    <row r="98" spans="1:31">
      <c r="A98" s="1123"/>
      <c r="D98" s="3125"/>
      <c r="E98" s="3126" t="s">
        <v>825</v>
      </c>
      <c r="F98" s="3096"/>
      <c r="G98" s="3079">
        <f>InputY!$G$3</f>
        <v>1995</v>
      </c>
      <c r="H98" s="3079">
        <f t="shared" ref="H98:W98" si="97">+G98+1</f>
        <v>1996</v>
      </c>
      <c r="I98" s="3079">
        <f t="shared" si="97"/>
        <v>1997</v>
      </c>
      <c r="J98" s="3079">
        <f t="shared" si="97"/>
        <v>1998</v>
      </c>
      <c r="K98" s="3079">
        <f t="shared" si="97"/>
        <v>1999</v>
      </c>
      <c r="L98" s="3079">
        <f t="shared" si="97"/>
        <v>2000</v>
      </c>
      <c r="M98" s="3079">
        <f t="shared" si="97"/>
        <v>2001</v>
      </c>
      <c r="N98" s="3079">
        <f t="shared" si="97"/>
        <v>2002</v>
      </c>
      <c r="O98" s="3079">
        <f t="shared" si="97"/>
        <v>2003</v>
      </c>
      <c r="P98" s="3079">
        <f t="shared" si="97"/>
        <v>2004</v>
      </c>
      <c r="Q98" s="3079">
        <f t="shared" si="97"/>
        <v>2005</v>
      </c>
      <c r="R98" s="3079">
        <f t="shared" si="97"/>
        <v>2006</v>
      </c>
      <c r="S98" s="3079">
        <f t="shared" si="97"/>
        <v>2007</v>
      </c>
      <c r="T98" s="3079">
        <f t="shared" si="97"/>
        <v>2008</v>
      </c>
      <c r="U98" s="3079">
        <f t="shared" si="97"/>
        <v>2009</v>
      </c>
      <c r="V98" s="3079">
        <f t="shared" si="97"/>
        <v>2010</v>
      </c>
      <c r="W98" s="3079">
        <f t="shared" si="97"/>
        <v>2011</v>
      </c>
      <c r="X98" s="3079">
        <f t="shared" ref="X98:AE98" si="98">+W98+1</f>
        <v>2012</v>
      </c>
      <c r="Y98" s="3079">
        <f t="shared" si="98"/>
        <v>2013</v>
      </c>
      <c r="Z98" s="3079">
        <f t="shared" si="98"/>
        <v>2014</v>
      </c>
      <c r="AA98" s="3079">
        <f t="shared" si="98"/>
        <v>2015</v>
      </c>
      <c r="AB98" s="3079">
        <f t="shared" si="98"/>
        <v>2016</v>
      </c>
      <c r="AC98" s="3079">
        <f t="shared" si="98"/>
        <v>2017</v>
      </c>
      <c r="AD98" s="3079">
        <f t="shared" si="98"/>
        <v>2018</v>
      </c>
      <c r="AE98" s="3079">
        <f t="shared" si="98"/>
        <v>2019</v>
      </c>
    </row>
    <row r="99" spans="1:31">
      <c r="A99" s="714"/>
      <c r="C99" s="1112" t="s">
        <v>622</v>
      </c>
      <c r="D99" s="1099"/>
      <c r="E99" s="1080" t="s">
        <v>46</v>
      </c>
      <c r="F99" s="1099"/>
      <c r="G99" s="3127">
        <f t="shared" ref="G99:V99" ca="1" si="99">+G79</f>
        <v>289.22909999999996</v>
      </c>
      <c r="H99" s="3127">
        <f t="shared" si="99"/>
        <v>277.92148135000002</v>
      </c>
      <c r="I99" s="3127">
        <f t="shared" si="99"/>
        <v>285.79019574</v>
      </c>
      <c r="J99" s="3127">
        <f t="shared" si="99"/>
        <v>292.48186105000002</v>
      </c>
      <c r="K99" s="3127">
        <f t="shared" si="99"/>
        <v>299.59885966999997</v>
      </c>
      <c r="L99" s="3127">
        <f t="shared" si="99"/>
        <v>310.81220346999999</v>
      </c>
      <c r="M99" s="3127">
        <f t="shared" si="99"/>
        <v>311.10612871999996</v>
      </c>
      <c r="N99" s="3127">
        <f t="shared" si="99"/>
        <v>310.48003388000001</v>
      </c>
      <c r="O99" s="3127">
        <f t="shared" si="99"/>
        <v>312.57143439000004</v>
      </c>
      <c r="P99" s="3127">
        <f t="shared" si="99"/>
        <v>323.65054015000004</v>
      </c>
      <c r="Q99" s="3127">
        <f t="shared" si="99"/>
        <v>332.55590175000003</v>
      </c>
      <c r="R99" s="3127">
        <f t="shared" si="99"/>
        <v>338.91171392000001</v>
      </c>
      <c r="S99" s="3127">
        <f t="shared" si="99"/>
        <v>350.70455543000003</v>
      </c>
      <c r="T99" s="3127">
        <f t="shared" si="99"/>
        <v>358.27871506000002</v>
      </c>
      <c r="U99" s="3127">
        <f t="shared" si="99"/>
        <v>351.22582442999999</v>
      </c>
      <c r="V99" s="3127">
        <f t="shared" si="99"/>
        <v>358.54059999999998</v>
      </c>
      <c r="W99" s="3127">
        <f t="shared" ref="W99:X99" si="100">+W79</f>
        <v>366.28136000000001</v>
      </c>
      <c r="X99" s="3127">
        <f t="shared" si="100"/>
        <v>366.41528463000003</v>
      </c>
      <c r="Y99" s="3127">
        <f t="shared" ref="Y99" si="101">+Y79</f>
        <v>366.41528463000003</v>
      </c>
      <c r="Z99" s="3127">
        <f t="shared" ref="Z99:AA99" si="102">+Z79</f>
        <v>373.29303947</v>
      </c>
      <c r="AA99" s="3127">
        <f t="shared" si="102"/>
        <v>378.48153022999998</v>
      </c>
      <c r="AB99" s="3127">
        <f t="shared" ref="AB99" si="103">+AB79</f>
        <v>386.52498042999997</v>
      </c>
      <c r="AC99" s="3128">
        <f t="shared" ref="AC99:AD99" si="104">+AC79</f>
        <v>391.32494335999996</v>
      </c>
      <c r="AD99" s="3128">
        <f t="shared" ca="1" si="104"/>
        <v>398.49307277357883</v>
      </c>
      <c r="AE99" s="3128">
        <f t="shared" ref="AE99" ca="1" si="105">+AE79</f>
        <v>405.63975249229793</v>
      </c>
    </row>
    <row r="100" spans="1:31" ht="12.75" customHeight="1">
      <c r="A100" s="714"/>
      <c r="C100" s="1114" t="s">
        <v>622</v>
      </c>
      <c r="D100" s="1110"/>
      <c r="E100" s="3153" t="s">
        <v>51</v>
      </c>
      <c r="F100" s="1110" t="s">
        <v>2044</v>
      </c>
      <c r="G100" s="1116">
        <f t="shared" ref="G100:V100" ca="1" si="106">+G90</f>
        <v>157.67500000000001</v>
      </c>
      <c r="H100" s="1116">
        <f t="shared" si="106"/>
        <v>155.52164000000002</v>
      </c>
      <c r="I100" s="1116">
        <f t="shared" si="106"/>
        <v>170.17232000000001</v>
      </c>
      <c r="J100" s="1116">
        <f t="shared" si="106"/>
        <v>177.45182</v>
      </c>
      <c r="K100" s="1116">
        <f t="shared" si="106"/>
        <v>186.32373000000001</v>
      </c>
      <c r="L100" s="1116">
        <f t="shared" si="106"/>
        <v>209.44286</v>
      </c>
      <c r="M100" s="1116">
        <f t="shared" si="106"/>
        <v>210.14968999999999</v>
      </c>
      <c r="N100" s="1116">
        <f t="shared" si="106"/>
        <v>217.82060000000001</v>
      </c>
      <c r="O100" s="1116">
        <f t="shared" si="106"/>
        <v>221.21660999999997</v>
      </c>
      <c r="P100" s="1116">
        <f t="shared" si="106"/>
        <v>234.9402</v>
      </c>
      <c r="Q100" s="1116">
        <f t="shared" si="106"/>
        <v>246.79142000000002</v>
      </c>
      <c r="R100" s="1116">
        <f t="shared" si="106"/>
        <v>259.81054999999998</v>
      </c>
      <c r="S100" s="1116">
        <f t="shared" si="106"/>
        <v>274.61153999999999</v>
      </c>
      <c r="T100" s="1116">
        <f t="shared" si="106"/>
        <v>279.30945000000003</v>
      </c>
      <c r="U100" s="1116">
        <f t="shared" si="106"/>
        <v>252.97385999999997</v>
      </c>
      <c r="V100" s="1116">
        <f t="shared" si="106"/>
        <v>279.11369999999999</v>
      </c>
      <c r="W100" s="1116">
        <f t="shared" ref="W100:X100" si="107">+W90</f>
        <v>297.86446000000001</v>
      </c>
      <c r="X100" s="1116">
        <f t="shared" si="107"/>
        <v>298.87101000000001</v>
      </c>
      <c r="Y100" s="1116">
        <f t="shared" ref="Y100" si="108">+Y90</f>
        <v>301.52758</v>
      </c>
      <c r="Z100" s="1116">
        <f t="shared" ref="Z100:AA100" si="109">+Z90</f>
        <v>317.1601</v>
      </c>
      <c r="AA100" s="1116">
        <f t="shared" si="109"/>
        <v>327.56732</v>
      </c>
      <c r="AB100" s="1116">
        <f t="shared" ref="AB100:AC100" si="110">+AB90</f>
        <v>352.19122999999996</v>
      </c>
      <c r="AC100" s="1116">
        <f t="shared" si="110"/>
        <v>368.07504</v>
      </c>
      <c r="AD100" s="980">
        <f t="shared" ref="AD100" ca="1" si="111">+AD90</f>
        <v>386.37174330032877</v>
      </c>
      <c r="AE100" s="980">
        <f t="shared" ref="AE100" ca="1" si="112">+AE90</f>
        <v>403.35486885096265</v>
      </c>
    </row>
    <row r="101" spans="1:31">
      <c r="A101" s="714">
        <f>+ROW(InputY!A45)</f>
        <v>45</v>
      </c>
      <c r="B101" s="714"/>
      <c r="C101" s="744" t="s">
        <v>624</v>
      </c>
      <c r="D101" s="3131"/>
      <c r="E101" s="3132" t="s">
        <v>825</v>
      </c>
      <c r="F101" s="3133"/>
      <c r="G101" s="3099">
        <f ca="1">InputY!G45/1000</f>
        <v>444.58529999999996</v>
      </c>
      <c r="H101" s="3099">
        <f>InputY!H45/1000</f>
        <v>431.52742309000001</v>
      </c>
      <c r="I101" s="3099">
        <f>InputY!I45/1000</f>
        <v>454.64882919000001</v>
      </c>
      <c r="J101" s="3099">
        <f>InputY!J45/1000</f>
        <v>468.79955520999999</v>
      </c>
      <c r="K101" s="3099">
        <f>InputY!K45/1000</f>
        <v>484.97132405000002</v>
      </c>
      <c r="L101" s="3099">
        <f>InputY!L45/1000</f>
        <v>519.89544149000005</v>
      </c>
      <c r="M101" s="3099">
        <f>InputY!M45/1000</f>
        <v>520.92336335000005</v>
      </c>
      <c r="N101" s="3099">
        <f>InputY!N45/1000</f>
        <v>528.37300546000006</v>
      </c>
      <c r="O101" s="3099">
        <f>InputY!O45/1000</f>
        <v>533.92824499999995</v>
      </c>
      <c r="P101" s="3099">
        <f>InputY!P45/1000</f>
        <v>558.81400853999992</v>
      </c>
      <c r="Q101" s="3099">
        <f>InputY!Q45/1000</f>
        <v>579.63232594999999</v>
      </c>
      <c r="R101" s="3099">
        <f>InputY!R45/1000</f>
        <v>599.15066882999997</v>
      </c>
      <c r="S101" s="3099">
        <f>InputY!S45/1000</f>
        <v>625.84700184999997</v>
      </c>
      <c r="T101" s="3099">
        <f>InputY!T45/1000</f>
        <v>638.10973161000004</v>
      </c>
      <c r="U101" s="3099">
        <f>InputY!U45/1000</f>
        <v>604.37830789999998</v>
      </c>
      <c r="V101" s="3099">
        <f>InputY!V45/1000</f>
        <v>637.65430000000003</v>
      </c>
      <c r="W101" s="3099">
        <f>InputY!W45/1000</f>
        <v>664.14581999999996</v>
      </c>
      <c r="X101" s="3099">
        <f>InputY!X45/1000</f>
        <v>665.29077472999995</v>
      </c>
      <c r="Y101" s="3099">
        <f>InputY!Y45/1000</f>
        <v>667.04942864000009</v>
      </c>
      <c r="Z101" s="3099">
        <f>InputY!Z45/1000</f>
        <v>690.50315867999996</v>
      </c>
      <c r="AA101" s="3099">
        <f>InputY!AA45/1000</f>
        <v>706.03017049000005</v>
      </c>
      <c r="AB101" s="3099">
        <f>InputY!AB45/1000</f>
        <v>738.17276752999999</v>
      </c>
      <c r="AC101" s="3099">
        <f>InputY!AC45/1000</f>
        <v>758.35175323999999</v>
      </c>
      <c r="AD101" s="3100">
        <f ca="1">IF(UPPER('VVP1'!$F$2)="Y",+AC101*(1+AD107/100),+AD99+AD100)</f>
        <v>783.23689945976275</v>
      </c>
      <c r="AE101" s="3100">
        <f ca="1">IF(UPPER('VVP1'!$F$2)="Y",+AD101*(1+AE107/100),+AE99+AE100)</f>
        <v>806.82144906568249</v>
      </c>
    </row>
    <row r="102" spans="1:31">
      <c r="A102" s="714"/>
      <c r="B102" s="714"/>
      <c r="D102" s="1882"/>
      <c r="E102" s="1882" t="s">
        <v>474</v>
      </c>
      <c r="F102" s="1882"/>
      <c r="G102" s="1043"/>
      <c r="H102" s="1043">
        <f ca="1">ABS(IF('VVP1'!$F$2="Y",OFFSET('VVP1'!$G$14,0,5*(COLUMN()-7)+1)-OFFSET('VVP1'!$G$87,0,5*(COLUMN()-7)+1)-OFFSET('VVP1'!$G$12,0,5*(COLUMN()-7)+1),ABS(H101-H99-H100)))</f>
        <v>8.0520771301987395</v>
      </c>
      <c r="I102" s="1043">
        <f ca="1">ABS(IF('VVP1'!$F$2="Y",OFFSET('VVP1'!$G$14,0,5*(COLUMN()-7)+1)-OFFSET('VVP1'!$G$87,0,5*(COLUMN()-7)+1)-OFFSET('VVP1'!$G$12,0,5*(COLUMN()-7)+1),ABS(I101-I99-I100)))</f>
        <v>7.5093231970413399E-5</v>
      </c>
      <c r="J102" s="1043">
        <f ca="1">ABS(IF('VVP1'!$F$2="Y",OFFSET('VVP1'!$G$14,0,5*(COLUMN()-7)+1)-OFFSET('VVP1'!$G$87,0,5*(COLUMN()-7)+1)-OFFSET('VVP1'!$G$12,0,5*(COLUMN()-7)+1),ABS(J101-J99-J100)))</f>
        <v>7.7011861947084981E-5</v>
      </c>
      <c r="K102" s="1043">
        <f ca="1">ABS(IF('VVP1'!$F$2="Y",OFFSET('VVP1'!$G$14,0,5*(COLUMN()-7)+1)-OFFSET('VVP1'!$G$87,0,5*(COLUMN()-7)+1)-OFFSET('VVP1'!$G$12,0,5*(COLUMN()-7)+1),ABS(K101-K99-K100)))</f>
        <v>6.3141848613668117E-5</v>
      </c>
      <c r="L102" s="1043">
        <f ca="1">ABS(IF('VVP1'!$F$2="Y",OFFSET('VVP1'!$G$14,0,5*(COLUMN()-7)+1)-OFFSET('VVP1'!$G$87,0,5*(COLUMN()-7)+1)-OFFSET('VVP1'!$G$12,0,5*(COLUMN()-7)+1),ABS(L101-L99-L100)))</f>
        <v>1.1907952170986391E-5</v>
      </c>
      <c r="M102" s="1043">
        <f ca="1">ABS(IF('VVP1'!$F$2="Y",OFFSET('VVP1'!$G$14,0,5*(COLUMN()-7)+1)-OFFSET('VVP1'!$G$87,0,5*(COLUMN()-7)+1)-OFFSET('VVP1'!$G$12,0,5*(COLUMN()-7)+1),ABS(M101-M99-M100)))</f>
        <v>7.200229487125398E-5</v>
      </c>
      <c r="N102" s="1043">
        <f ca="1">ABS(IF('VVP1'!$F$2="Y",OFFSET('VVP1'!$G$14,0,5*(COLUMN()-7)+1)-OFFSET('VVP1'!$G$87,0,5*(COLUMN()-7)+1)-OFFSET('VVP1'!$G$12,0,5*(COLUMN()-7)+1),ABS(N101-N99-N100)))</f>
        <v>1.140142651934184E-4</v>
      </c>
      <c r="O102" s="1043">
        <f ca="1">ABS(IF('VVP1'!$F$2="Y",OFFSET('VVP1'!$G$14,0,5*(COLUMN()-7)+1)-OFFSET('VVP1'!$G$87,0,5*(COLUMN()-7)+1)-OFFSET('VVP1'!$G$12,0,5*(COLUMN()-7)+1),ABS(O101-O99-O100)))</f>
        <v>8.1716045087887323E-5</v>
      </c>
      <c r="P102" s="1043">
        <f ca="1">ABS(IF('VVP1'!$F$2="Y",OFFSET('VVP1'!$G$14,0,5*(COLUMN()-7)+1)-OFFSET('VVP1'!$G$87,0,5*(COLUMN()-7)+1)-OFFSET('VVP1'!$G$12,0,5*(COLUMN()-7)+1),ABS(P101-P99-P100)))</f>
        <v>3.027905961516808E-5</v>
      </c>
      <c r="Q102" s="1043">
        <f ca="1">ABS(IF('VVP1'!$F$2="Y",OFFSET('VVP1'!$G$14,0,5*(COLUMN()-7)+1)-OFFSET('VVP1'!$G$87,0,5*(COLUMN()-7)+1)-OFFSET('VVP1'!$G$12,0,5*(COLUMN()-7)+1),ABS(Q101-Q99-Q100)))</f>
        <v>1.4122984350706247E-4</v>
      </c>
      <c r="R102" s="1043">
        <f ca="1">ABS(IF('VVP1'!$F$2="Y",OFFSET('VVP1'!$G$14,0,5*(COLUMN()-7)+1)-OFFSET('VVP1'!$G$87,0,5*(COLUMN()-7)+1)-OFFSET('VVP1'!$G$12,0,5*(COLUMN()-7)+1),ABS(R101-R99-R100)))</f>
        <v>2.0727306889511965E-5</v>
      </c>
      <c r="S102" s="1043">
        <f ca="1">ABS(IF('VVP1'!$F$2="Y",OFFSET('VVP1'!$G$14,0,5*(COLUMN()-7)+1)-OFFSET('VVP1'!$G$87,0,5*(COLUMN()-7)+1)-OFFSET('VVP1'!$G$12,0,5*(COLUMN()-7)+1),ABS(S101-S99-S100)))</f>
        <v>4.4127119167569617E-6</v>
      </c>
      <c r="T102" s="1043">
        <f ca="1">ABS(IF('VVP1'!$F$2="Y",OFFSET('VVP1'!$G$14,0,5*(COLUMN()-7)+1)-OFFSET('VVP1'!$G$87,0,5*(COLUMN()-7)+1)-OFFSET('VVP1'!$G$12,0,5*(COLUMN()-7)+1),ABS(T101-T99-T100)))</f>
        <v>1.1721321465074652E-4</v>
      </c>
      <c r="U102" s="1043">
        <f ca="1">ABS(IF('VVP1'!$F$2="Y",OFFSET('VVP1'!$G$14,0,5*(COLUMN()-7)+1)-OFFSET('VVP1'!$G$87,0,5*(COLUMN()-7)+1)-OFFSET('VVP1'!$G$12,0,5*(COLUMN()-7)+1),ABS(U101-U99-U100)))</f>
        <v>1.1340353137256898E-4</v>
      </c>
      <c r="V102" s="1043">
        <f ca="1">ABS(IF('VVP1'!$F$2="Y",OFFSET('VVP1'!$G$14,0,5*(COLUMN()-7)+1)-OFFSET('VVP1'!$G$87,0,5*(COLUMN()-7)+1)-OFFSET('VVP1'!$G$12,0,5*(COLUMN()-7)+1),ABS(V101-V99-V100)))</f>
        <v>1.0881581948751773E-4</v>
      </c>
      <c r="W102" s="1043">
        <f ca="1">ABS(IF('VVP1'!$F$2="Y",OFFSET('VVP1'!$G$14,0,5*(COLUMN()-7)+1)-OFFSET('VVP1'!$G$87,0,5*(COLUMN()-7)+1)-OFFSET('VVP1'!$G$12,0,5*(COLUMN()-7)+1),ABS(W101-W99-W100)))</f>
        <v>4.0000000012696546E-5</v>
      </c>
      <c r="X102" s="1043">
        <f ca="1">ABS(IF('VVP1'!$F$2="Y",OFFSET('VVP1'!$G$14,0,5*(COLUMN()-7)+1)-OFFSET('VVP1'!$G$87,0,5*(COLUMN()-7)+1)-OFFSET('VVP1'!$G$12,0,5*(COLUMN()-7)+1),ABS(X101-X99-X100)))</f>
        <v>1.7476629636803409E-6</v>
      </c>
      <c r="Y102" s="1043">
        <f ca="1">ABS(IF('VVP1'!$F$2="Y",OFFSET('VVP1'!$G$14,0,5*(COLUMN()-7)+1)-OFFSET('VVP1'!$G$87,0,5*(COLUMN()-7)+1)-OFFSET('VVP1'!$G$12,0,5*(COLUMN()-7)+1),ABS(Y101-Y99-Y100)))</f>
        <v>3.1223251482970227E-5</v>
      </c>
      <c r="Z102" s="1043">
        <f ca="1">ABS(IF('VVP1'!$F$2="Y",OFFSET('VVP1'!$G$14,0,5*(COLUMN()-7)+1)-OFFSET('VVP1'!$G$87,0,5*(COLUMN()-7)+1)-OFFSET('VVP1'!$G$12,0,5*(COLUMN()-7)+1),ABS(Z101-Z99-Z100)))</f>
        <v>3.3120190892077517E-6</v>
      </c>
      <c r="AA102" s="1043">
        <f ca="1">ABS(IF('VVP1'!$F$2="Y",OFFSET('VVP1'!$G$14,0,5*(COLUMN()-7)+1)-OFFSET('VVP1'!$G$87,0,5*(COLUMN()-7)+1)-OFFSET('VVP1'!$G$12,0,5*(COLUMN()-7)+1),ABS(AA101-AA99-AA100)))</f>
        <v>2.0892616475975956E-5</v>
      </c>
      <c r="AB102" s="1043">
        <f ca="1">ABS(IF('VVP1'!$F$2="Y",OFFSET('VVP1'!$G$14,0,5*(COLUMN()-7)+1)-OFFSET('VVP1'!$G$87,0,5*(COLUMN()-7)+1)-OFFSET('VVP1'!$G$12,0,5*(COLUMN()-7)+1),ABS(AB101-AB99-AB100)))</f>
        <v>8.6241986991808517E-6</v>
      </c>
      <c r="AC102" s="1043">
        <f ca="1">ABS(IF('VVP1'!$F$2="Y",OFFSET('VVP1'!$G$14,0,5*(COLUMN()-7)+1)-OFFSET('VVP1'!$G$87,0,5*(COLUMN()-7)+1)-OFFSET('VVP1'!$G$12,0,5*(COLUMN()-7)+1),ABS(AC101-AC99-AC100)))</f>
        <v>2.9142887456146127E-5</v>
      </c>
      <c r="AD102" s="1043">
        <f ca="1">ABS(IF('VVP1'!$F$2="Y",OFFSET('VVP1'!$G$14,0,5*(COLUMN()-7)+1)-OFFSET('VVP1'!$G$87,0,5*(COLUMN()-7)+1)-OFFSET('VVP1'!$G$12,0,5*(COLUMN()-7)+1),ABS(AD101-AD99-AD100)))</f>
        <v>5.6843418860808015E-14</v>
      </c>
      <c r="AE102" s="1043">
        <f ca="1">ABS(IF('VVP1'!$F$2="Y",OFFSET('VVP1'!$G$14,0,5*(COLUMN()-7)+1)-OFFSET('VVP1'!$G$87,0,5*(COLUMN()-7)+1)-OFFSET('VVP1'!$G$12,0,5*(COLUMN()-7)+1),ABS(AE101-AE99-AE100)))</f>
        <v>5.6843418860808015E-14</v>
      </c>
    </row>
    <row r="104" spans="1:31" s="749" customFormat="1" ht="12.75" customHeight="1">
      <c r="A104" s="714"/>
      <c r="B104" s="714"/>
      <c r="C104" s="822"/>
      <c r="D104" s="3073"/>
      <c r="E104" s="3074" t="s">
        <v>825</v>
      </c>
      <c r="F104" s="3075"/>
      <c r="G104" s="939">
        <f>InputY!$G$3</f>
        <v>1995</v>
      </c>
      <c r="H104" s="939">
        <f t="shared" ref="H104:W104" si="113">+G104+1</f>
        <v>1996</v>
      </c>
      <c r="I104" s="939">
        <f t="shared" si="113"/>
        <v>1997</v>
      </c>
      <c r="J104" s="939">
        <f t="shared" si="113"/>
        <v>1998</v>
      </c>
      <c r="K104" s="939">
        <f t="shared" si="113"/>
        <v>1999</v>
      </c>
      <c r="L104" s="939">
        <f t="shared" si="113"/>
        <v>2000</v>
      </c>
      <c r="M104" s="939">
        <f t="shared" si="113"/>
        <v>2001</v>
      </c>
      <c r="N104" s="939">
        <f t="shared" si="113"/>
        <v>2002</v>
      </c>
      <c r="O104" s="939">
        <f t="shared" si="113"/>
        <v>2003</v>
      </c>
      <c r="P104" s="939">
        <f t="shared" si="113"/>
        <v>2004</v>
      </c>
      <c r="Q104" s="939">
        <f t="shared" si="113"/>
        <v>2005</v>
      </c>
      <c r="R104" s="939">
        <f t="shared" si="113"/>
        <v>2006</v>
      </c>
      <c r="S104" s="939">
        <f t="shared" si="113"/>
        <v>2007</v>
      </c>
      <c r="T104" s="939">
        <f t="shared" si="113"/>
        <v>2008</v>
      </c>
      <c r="U104" s="939">
        <f t="shared" si="113"/>
        <v>2009</v>
      </c>
      <c r="V104" s="939">
        <f t="shared" si="113"/>
        <v>2010</v>
      </c>
      <c r="W104" s="939">
        <f t="shared" si="113"/>
        <v>2011</v>
      </c>
      <c r="X104" s="939">
        <f t="shared" ref="X104:AE104" si="114">+W104+1</f>
        <v>2012</v>
      </c>
      <c r="Y104" s="939">
        <f t="shared" si="114"/>
        <v>2013</v>
      </c>
      <c r="Z104" s="939">
        <f t="shared" si="114"/>
        <v>2014</v>
      </c>
      <c r="AA104" s="939">
        <f t="shared" si="114"/>
        <v>2015</v>
      </c>
      <c r="AB104" s="939">
        <f t="shared" si="114"/>
        <v>2016</v>
      </c>
      <c r="AC104" s="939">
        <f t="shared" si="114"/>
        <v>2017</v>
      </c>
      <c r="AD104" s="939">
        <f t="shared" si="114"/>
        <v>2018</v>
      </c>
      <c r="AE104" s="939">
        <f t="shared" si="114"/>
        <v>2019</v>
      </c>
    </row>
    <row r="105" spans="1:31" s="749" customFormat="1" ht="12.75" customHeight="1">
      <c r="A105" s="714"/>
      <c r="B105" s="714"/>
      <c r="C105" s="839" t="s">
        <v>622</v>
      </c>
      <c r="D105" s="739"/>
      <c r="E105" s="787" t="s">
        <v>46</v>
      </c>
      <c r="F105" s="782" t="s">
        <v>47</v>
      </c>
      <c r="G105" s="1122"/>
      <c r="H105" s="1122">
        <f t="shared" ref="H105:AE105" ca="1" si="115">+(H99/G99-1)*100</f>
        <v>-3.9095715645486417</v>
      </c>
      <c r="I105" s="1122">
        <f t="shared" si="115"/>
        <v>2.8312724701155867</v>
      </c>
      <c r="J105" s="1122">
        <f t="shared" si="115"/>
        <v>2.3414607672853194</v>
      </c>
      <c r="K105" s="1122">
        <f t="shared" si="115"/>
        <v>2.4333128196224463</v>
      </c>
      <c r="L105" s="1122">
        <f t="shared" si="115"/>
        <v>3.7427858745361142</v>
      </c>
      <c r="M105" s="1122">
        <f t="shared" si="115"/>
        <v>9.4566830619413622E-2</v>
      </c>
      <c r="N105" s="1122">
        <f t="shared" si="115"/>
        <v>-0.20124799295209161</v>
      </c>
      <c r="O105" s="1122">
        <f t="shared" si="115"/>
        <v>0.6736022551480314</v>
      </c>
      <c r="P105" s="1122">
        <f t="shared" si="115"/>
        <v>3.5445036049507994</v>
      </c>
      <c r="Q105" s="1122">
        <f t="shared" si="115"/>
        <v>2.7515361463239518</v>
      </c>
      <c r="R105" s="1122">
        <f t="shared" si="115"/>
        <v>1.9112011353742187</v>
      </c>
      <c r="S105" s="1122">
        <f t="shared" si="115"/>
        <v>3.4796205104860256</v>
      </c>
      <c r="T105" s="1122">
        <f t="shared" si="115"/>
        <v>2.1596981027843576</v>
      </c>
      <c r="U105" s="1122">
        <f t="shared" si="115"/>
        <v>-1.9685486001642327</v>
      </c>
      <c r="V105" s="1122">
        <f t="shared" si="115"/>
        <v>2.0826417254115714</v>
      </c>
      <c r="W105" s="1122">
        <f t="shared" si="115"/>
        <v>2.1589633084788895</v>
      </c>
      <c r="X105" s="1122">
        <f t="shared" si="115"/>
        <v>3.6563321158356032E-2</v>
      </c>
      <c r="Y105" s="1122">
        <f t="shared" si="115"/>
        <v>0</v>
      </c>
      <c r="Z105" s="1122">
        <f t="shared" si="115"/>
        <v>1.8770381936837</v>
      </c>
      <c r="AA105" s="1122">
        <f t="shared" si="115"/>
        <v>1.3899243252342819</v>
      </c>
      <c r="AB105" s="1122">
        <f t="shared" si="115"/>
        <v>2.1251896215680688</v>
      </c>
      <c r="AC105" s="3134">
        <f t="shared" si="115"/>
        <v>1.2418247650281655</v>
      </c>
      <c r="AD105" s="3134">
        <f t="shared" ca="1" si="115"/>
        <v>1.8317588835589538</v>
      </c>
      <c r="AE105" s="3134">
        <f t="shared" ca="1" si="115"/>
        <v>1.7934263371197412</v>
      </c>
    </row>
    <row r="106" spans="1:31" s="749" customFormat="1" ht="12.75" customHeight="1">
      <c r="A106" s="714"/>
      <c r="B106" s="714"/>
      <c r="C106" s="841" t="s">
        <v>622</v>
      </c>
      <c r="D106" s="741"/>
      <c r="E106" s="842" t="s">
        <v>51</v>
      </c>
      <c r="F106" s="785" t="s">
        <v>2044</v>
      </c>
      <c r="G106" s="3135"/>
      <c r="H106" s="3135">
        <f t="shared" ref="H106:AE106" ca="1" si="116">+(H100/G100-1)*100</f>
        <v>-1.3656952592357663</v>
      </c>
      <c r="I106" s="3135">
        <f t="shared" si="116"/>
        <v>9.4203481907726641</v>
      </c>
      <c r="J106" s="3135">
        <f t="shared" si="116"/>
        <v>4.2777227224733094</v>
      </c>
      <c r="K106" s="3135">
        <f t="shared" si="116"/>
        <v>4.9996162338599826</v>
      </c>
      <c r="L106" s="3135">
        <f t="shared" si="116"/>
        <v>12.408043784868394</v>
      </c>
      <c r="M106" s="3135">
        <f t="shared" si="116"/>
        <v>0.33748106762865326</v>
      </c>
      <c r="N106" s="3135">
        <f t="shared" si="116"/>
        <v>3.65021237956622</v>
      </c>
      <c r="O106" s="3135">
        <f t="shared" si="116"/>
        <v>1.5590857797655344</v>
      </c>
      <c r="P106" s="3135">
        <f t="shared" si="116"/>
        <v>6.2036887736413693</v>
      </c>
      <c r="Q106" s="3135">
        <f t="shared" si="116"/>
        <v>5.0443559680293237</v>
      </c>
      <c r="R106" s="3135">
        <f t="shared" si="116"/>
        <v>5.2753576279110259</v>
      </c>
      <c r="S106" s="3135">
        <f t="shared" si="116"/>
        <v>5.6968394855405169</v>
      </c>
      <c r="T106" s="3135">
        <f t="shared" si="116"/>
        <v>1.7107474798764954</v>
      </c>
      <c r="U106" s="3135">
        <f t="shared" si="116"/>
        <v>-9.4288216886324605</v>
      </c>
      <c r="V106" s="3135">
        <f t="shared" si="116"/>
        <v>10.333020178448482</v>
      </c>
      <c r="W106" s="3135">
        <f t="shared" si="116"/>
        <v>6.7179647577313428</v>
      </c>
      <c r="X106" s="3135">
        <f t="shared" si="116"/>
        <v>0.33792215425767491</v>
      </c>
      <c r="Y106" s="3135">
        <f t="shared" si="116"/>
        <v>0.88886841182755916</v>
      </c>
      <c r="Z106" s="3135">
        <f t="shared" si="116"/>
        <v>5.1844411711857274</v>
      </c>
      <c r="AA106" s="3135">
        <f t="shared" si="116"/>
        <v>3.2813774494332648</v>
      </c>
      <c r="AB106" s="3135">
        <f t="shared" si="116"/>
        <v>7.5172059288453941</v>
      </c>
      <c r="AC106" s="3135">
        <f t="shared" si="116"/>
        <v>4.5099958905847837</v>
      </c>
      <c r="AD106" s="3136">
        <f t="shared" ca="1" si="116"/>
        <v>4.970916609919751</v>
      </c>
      <c r="AE106" s="3136">
        <f t="shared" ca="1" si="116"/>
        <v>4.3955402653327091</v>
      </c>
    </row>
    <row r="107" spans="1:31" s="749" customFormat="1" ht="12.75" customHeight="1">
      <c r="A107" s="714"/>
      <c r="B107" s="714"/>
      <c r="C107" s="822" t="s">
        <v>624</v>
      </c>
      <c r="D107" s="766"/>
      <c r="E107" s="3137" t="s">
        <v>825</v>
      </c>
      <c r="F107" s="772" t="s">
        <v>52</v>
      </c>
      <c r="G107" s="770"/>
      <c r="H107" s="3123">
        <f t="shared" ref="H107:AC107" ca="1" si="117">+(H101/G101-1)*100</f>
        <v>-2.9370914670368009</v>
      </c>
      <c r="I107" s="3123">
        <f t="shared" si="117"/>
        <v>5.3580386466372421</v>
      </c>
      <c r="J107" s="3123">
        <f t="shared" si="117"/>
        <v>3.112451877465694</v>
      </c>
      <c r="K107" s="3123">
        <f t="shared" si="117"/>
        <v>3.4496126671357041</v>
      </c>
      <c r="L107" s="3123">
        <f t="shared" si="117"/>
        <v>7.2012747368954466</v>
      </c>
      <c r="M107" s="3123">
        <f t="shared" si="117"/>
        <v>0.19771703653603812</v>
      </c>
      <c r="N107" s="3123">
        <f t="shared" si="117"/>
        <v>1.4300840841716456</v>
      </c>
      <c r="O107" s="3123">
        <f t="shared" si="117"/>
        <v>1.0513859494323485</v>
      </c>
      <c r="P107" s="3123">
        <f t="shared" si="117"/>
        <v>4.6608816396292996</v>
      </c>
      <c r="Q107" s="3123">
        <f t="shared" si="117"/>
        <v>3.7254465872091469</v>
      </c>
      <c r="R107" s="3123">
        <f t="shared" si="117"/>
        <v>3.3673661744123784</v>
      </c>
      <c r="S107" s="3123">
        <f t="shared" si="117"/>
        <v>4.4556961059780908</v>
      </c>
      <c r="T107" s="3123">
        <f t="shared" si="117"/>
        <v>1.959381402124083</v>
      </c>
      <c r="U107" s="3123">
        <f t="shared" si="117"/>
        <v>-5.2861478267841271</v>
      </c>
      <c r="V107" s="3123">
        <f t="shared" si="117"/>
        <v>5.5058217121693787</v>
      </c>
      <c r="W107" s="3123">
        <f t="shared" si="117"/>
        <v>4.1545269905652438</v>
      </c>
      <c r="X107" s="3123">
        <f t="shared" si="117"/>
        <v>0.17239508185113994</v>
      </c>
      <c r="Y107" s="3123">
        <f t="shared" si="117"/>
        <v>0.26434364894265538</v>
      </c>
      <c r="Z107" s="3123">
        <f t="shared" si="117"/>
        <v>3.5160407959299311</v>
      </c>
      <c r="AA107" s="3123">
        <f t="shared" si="117"/>
        <v>2.2486518149579915</v>
      </c>
      <c r="AB107" s="3123">
        <f t="shared" si="117"/>
        <v>4.5525812328518933</v>
      </c>
      <c r="AC107" s="3123">
        <f t="shared" si="117"/>
        <v>2.7336399549824808</v>
      </c>
      <c r="AD107" s="3124">
        <f ca="1">IF(UPPER('VVP1'!$F$2)="Y",OFFSET('VVP1'!$G$14,0,5*(COLUMN()-7)),('VVP2'!AD101/'VVP2'!AC101-1)*100)</f>
        <v>3.2814780362071971</v>
      </c>
      <c r="AE107" s="3124">
        <f ca="1">IF(UPPER('VVP1'!$F$2)="Y",OFFSET('VVP1'!$G$14,0,5*(COLUMN()-7)),('VVP2'!AE101/'VVP2'!AD101-1)*100)</f>
        <v>3.0111642623307455</v>
      </c>
    </row>
    <row r="109" spans="1:31">
      <c r="A109" s="1123"/>
      <c r="D109" s="3139"/>
      <c r="E109" s="3140" t="s">
        <v>32</v>
      </c>
      <c r="F109" s="3141"/>
      <c r="G109" s="3142">
        <f>InputY!$G$3</f>
        <v>1995</v>
      </c>
      <c r="H109" s="3142">
        <f t="shared" ref="H109:W109" si="118">+G109+1</f>
        <v>1996</v>
      </c>
      <c r="I109" s="3142">
        <f t="shared" si="118"/>
        <v>1997</v>
      </c>
      <c r="J109" s="3142">
        <f t="shared" si="118"/>
        <v>1998</v>
      </c>
      <c r="K109" s="3142">
        <f t="shared" si="118"/>
        <v>1999</v>
      </c>
      <c r="L109" s="3142">
        <f t="shared" si="118"/>
        <v>2000</v>
      </c>
      <c r="M109" s="3142">
        <f t="shared" si="118"/>
        <v>2001</v>
      </c>
      <c r="N109" s="3142">
        <f t="shared" si="118"/>
        <v>2002</v>
      </c>
      <c r="O109" s="3142">
        <f t="shared" si="118"/>
        <v>2003</v>
      </c>
      <c r="P109" s="3142">
        <f t="shared" si="118"/>
        <v>2004</v>
      </c>
      <c r="Q109" s="3142">
        <f t="shared" si="118"/>
        <v>2005</v>
      </c>
      <c r="R109" s="3142">
        <f t="shared" si="118"/>
        <v>2006</v>
      </c>
      <c r="S109" s="3142">
        <f t="shared" si="118"/>
        <v>2007</v>
      </c>
      <c r="T109" s="3063">
        <f t="shared" si="118"/>
        <v>2008</v>
      </c>
      <c r="U109" s="3063">
        <f t="shared" si="118"/>
        <v>2009</v>
      </c>
      <c r="V109" s="3063">
        <f t="shared" si="118"/>
        <v>2010</v>
      </c>
      <c r="W109" s="3063">
        <f t="shared" si="118"/>
        <v>2011</v>
      </c>
      <c r="X109" s="3063">
        <f t="shared" ref="X109:AE109" si="119">+W109+1</f>
        <v>2012</v>
      </c>
      <c r="Y109" s="3063">
        <f t="shared" si="119"/>
        <v>2013</v>
      </c>
      <c r="Z109" s="3063">
        <f t="shared" si="119"/>
        <v>2014</v>
      </c>
      <c r="AA109" s="3063">
        <f t="shared" si="119"/>
        <v>2015</v>
      </c>
      <c r="AB109" s="3063">
        <f t="shared" si="119"/>
        <v>2016</v>
      </c>
      <c r="AC109" s="3063">
        <f t="shared" si="119"/>
        <v>2017</v>
      </c>
      <c r="AD109" s="3063">
        <f t="shared" si="119"/>
        <v>2018</v>
      </c>
      <c r="AE109" s="3063">
        <f t="shared" si="119"/>
        <v>2019</v>
      </c>
    </row>
    <row r="110" spans="1:31">
      <c r="A110" s="714">
        <f>+ROW(InputY!A52)</f>
        <v>52</v>
      </c>
      <c r="B110" s="715" t="s">
        <v>33</v>
      </c>
      <c r="C110" s="1112" t="s">
        <v>624</v>
      </c>
      <c r="D110" s="1099"/>
      <c r="E110" s="1080" t="s">
        <v>693</v>
      </c>
      <c r="F110" s="1099" t="s">
        <v>1996</v>
      </c>
      <c r="G110" s="3127">
        <f>InputY!G52/1000</f>
        <v>30.531220000000001</v>
      </c>
      <c r="H110" s="3127">
        <f>InputY!H52/1000</f>
        <v>31.452959999999997</v>
      </c>
      <c r="I110" s="3127">
        <f>InputY!I52/1000</f>
        <v>34.051010000000005</v>
      </c>
      <c r="J110" s="3127">
        <f>InputY!J52/1000</f>
        <v>36.458709999999996</v>
      </c>
      <c r="K110" s="3127">
        <f>InputY!K52/1000</f>
        <v>40.247129999999999</v>
      </c>
      <c r="L110" s="3127">
        <f>InputY!L52/1000</f>
        <v>45.447690000000001</v>
      </c>
      <c r="M110" s="3127">
        <f>InputY!M52/1000</f>
        <v>48.628489999999999</v>
      </c>
      <c r="N110" s="3127">
        <f>InputY!N52/1000</f>
        <v>48.120550000000001</v>
      </c>
      <c r="O110" s="3127">
        <f>InputY!O52/1000</f>
        <v>47.02055</v>
      </c>
      <c r="P110" s="3127">
        <f>InputY!P52/1000</f>
        <v>47.009949999999996</v>
      </c>
      <c r="Q110" s="3127">
        <f>InputY!Q52/1000</f>
        <v>47.607959999999999</v>
      </c>
      <c r="R110" s="3127">
        <f>InputY!R52/1000</f>
        <v>48.732239999999997</v>
      </c>
      <c r="S110" s="3127">
        <f>InputY!S52/1000</f>
        <v>53.03454</v>
      </c>
      <c r="T110" s="3127">
        <f>InputY!T52/1000</f>
        <v>59.325789999999998</v>
      </c>
      <c r="U110" s="3127">
        <f>InputY!U52/1000</f>
        <v>60.087499999999999</v>
      </c>
      <c r="V110" s="3127">
        <f>InputY!V52/1000</f>
        <v>65.893100000000004</v>
      </c>
      <c r="W110" s="3127">
        <f>InputY!W52/1000</f>
        <v>68.365110000000001</v>
      </c>
      <c r="X110" s="3127">
        <f>InputY!X52/1000</f>
        <v>75.97336</v>
      </c>
      <c r="Y110" s="3127">
        <f>InputY!Y52/1000</f>
        <v>77.884020000000007</v>
      </c>
      <c r="Z110" s="3127">
        <f>InputY!Z52/1000</f>
        <v>88.050690000000003</v>
      </c>
      <c r="AA110" s="3127">
        <f>InputY!AA52/1000</f>
        <v>95.406070000000014</v>
      </c>
      <c r="AB110" s="3127">
        <f>InputY!AB52/1000</f>
        <v>97.082979999999992</v>
      </c>
      <c r="AC110" s="3127">
        <f>InputY!AC52/1000</f>
        <v>98.57835</v>
      </c>
      <c r="AD110" s="1355">
        <f t="shared" ref="AD110:AE111" ca="1" si="120">+AC110*(1+AD116/100)</f>
        <v>103.16224327499999</v>
      </c>
      <c r="AE110" s="1355">
        <f t="shared" ca="1" si="120"/>
        <v>106.92766515453749</v>
      </c>
    </row>
    <row r="111" spans="1:31">
      <c r="A111" s="714">
        <f>+ROW(InputY!A51)</f>
        <v>51</v>
      </c>
      <c r="B111" s="715" t="s">
        <v>34</v>
      </c>
      <c r="C111" s="1114" t="s">
        <v>622</v>
      </c>
      <c r="D111" s="1110"/>
      <c r="E111" s="3153" t="s">
        <v>694</v>
      </c>
      <c r="F111" s="1110" t="s">
        <v>82</v>
      </c>
      <c r="G111" s="1116">
        <f>InputY!G51/1000</f>
        <v>117.71826</v>
      </c>
      <c r="H111" s="1116">
        <f>InputY!H51/1000</f>
        <v>124.88741999999999</v>
      </c>
      <c r="I111" s="1116">
        <f>InputY!I51/1000</f>
        <v>135.13719</v>
      </c>
      <c r="J111" s="1116">
        <f>InputY!J51/1000</f>
        <v>141.19725</v>
      </c>
      <c r="K111" s="1116">
        <f>InputY!K51/1000</f>
        <v>143.20352</v>
      </c>
      <c r="L111" s="1116">
        <f>InputY!L51/1000</f>
        <v>162.1009</v>
      </c>
      <c r="M111" s="1116">
        <f>InputY!M51/1000</f>
        <v>157.66675000000001</v>
      </c>
      <c r="N111" s="1116">
        <f>InputY!N51/1000</f>
        <v>159.99773999999999</v>
      </c>
      <c r="O111" s="1116">
        <f>InputY!O51/1000</f>
        <v>164.14413000000002</v>
      </c>
      <c r="P111" s="1116">
        <f>InputY!P51/1000</f>
        <v>177.40295999999998</v>
      </c>
      <c r="Q111" s="1116">
        <f>InputY!Q51/1000</f>
        <v>190.71704</v>
      </c>
      <c r="R111" s="1116">
        <f>InputY!R51/1000</f>
        <v>200.52245000000002</v>
      </c>
      <c r="S111" s="1116">
        <f>InputY!S51/1000</f>
        <v>210.87962999999999</v>
      </c>
      <c r="T111" s="1116">
        <f>InputY!T51/1000</f>
        <v>214.06685000000002</v>
      </c>
      <c r="U111" s="1116">
        <f>InputY!U51/1000</f>
        <v>188.53767000000002</v>
      </c>
      <c r="V111" s="1116">
        <f>InputY!V51/1000</f>
        <v>206.66070000000002</v>
      </c>
      <c r="W111" s="1116">
        <f>InputY!W51/1000</f>
        <v>224.11451</v>
      </c>
      <c r="X111" s="1116">
        <f>InputY!X51/1000</f>
        <v>217.26351</v>
      </c>
      <c r="Y111" s="1116">
        <f>InputY!Y51/1000</f>
        <v>216.49780999999999</v>
      </c>
      <c r="Z111" s="1116">
        <f>InputY!Z51/1000</f>
        <v>225.03154000000001</v>
      </c>
      <c r="AA111" s="1116">
        <f>InputY!AA51/1000</f>
        <v>228.17335999999997</v>
      </c>
      <c r="AB111" s="1116">
        <f>InputY!AB51/1000</f>
        <v>253.57882999999998</v>
      </c>
      <c r="AC111" s="1116">
        <f>InputY!AC51/1000</f>
        <v>266.51373000000001</v>
      </c>
      <c r="AD111" s="1285">
        <f t="shared" ca="1" si="120"/>
        <v>280.37244396</v>
      </c>
      <c r="AE111" s="1285">
        <f t="shared" ca="1" si="120"/>
        <v>293.91443300326802</v>
      </c>
    </row>
    <row r="112" spans="1:31">
      <c r="A112" s="714">
        <f>+ROW(InputY!A53)</f>
        <v>53</v>
      </c>
      <c r="B112" s="714"/>
      <c r="C112" s="744" t="s">
        <v>624</v>
      </c>
      <c r="D112" s="3144"/>
      <c r="E112" s="3132" t="s">
        <v>1792</v>
      </c>
      <c r="F112" s="3133" t="s">
        <v>2045</v>
      </c>
      <c r="G112" s="3145">
        <f ca="1">InputY!G53/1000</f>
        <v>158.29929999999999</v>
      </c>
      <c r="H112" s="3145">
        <f>InputY!H53/1000</f>
        <v>156.56997000000001</v>
      </c>
      <c r="I112" s="3145">
        <f>InputY!I53/1000</f>
        <v>169.43636999999998</v>
      </c>
      <c r="J112" s="3145">
        <f>InputY!J53/1000</f>
        <v>177.89632999999998</v>
      </c>
      <c r="K112" s="3145">
        <f>InputY!K53/1000</f>
        <v>183.69639000000001</v>
      </c>
      <c r="L112" s="3145">
        <f>InputY!L53/1000</f>
        <v>207.82976000000002</v>
      </c>
      <c r="M112" s="3145">
        <f>InputY!M53/1000</f>
        <v>206.39759000000001</v>
      </c>
      <c r="N112" s="3145">
        <f>InputY!N53/1000</f>
        <v>208.28048999999999</v>
      </c>
      <c r="O112" s="3145">
        <f>InputY!O53/1000</f>
        <v>211.36055999999999</v>
      </c>
      <c r="P112" s="3145">
        <f>InputY!P53/1000</f>
        <v>224.63281000000001</v>
      </c>
      <c r="Q112" s="3145">
        <f>InputY!Q53/1000</f>
        <v>238.58091000000002</v>
      </c>
      <c r="R112" s="3145">
        <f>InputY!R53/1000</f>
        <v>249.55641</v>
      </c>
      <c r="S112" s="3145">
        <f>InputY!S53/1000</f>
        <v>264.16591999999997</v>
      </c>
      <c r="T112" s="3145">
        <f>InputY!T53/1000</f>
        <v>273.55955999999998</v>
      </c>
      <c r="U112" s="3145">
        <f>InputY!U53/1000</f>
        <v>248.62429999999998</v>
      </c>
      <c r="V112" s="3145">
        <f>InputY!V53/1000</f>
        <v>272.55379999999997</v>
      </c>
      <c r="W112" s="3145">
        <f>InputY!W53/1000</f>
        <v>292.47962999999999</v>
      </c>
      <c r="X112" s="3145">
        <f>InputY!X53/1000</f>
        <v>292.75891999999999</v>
      </c>
      <c r="Y112" s="3145">
        <f>InputY!Y53/1000</f>
        <v>293.76112999999998</v>
      </c>
      <c r="Z112" s="3145">
        <f>InputY!Z53/1000</f>
        <v>311.99021999999997</v>
      </c>
      <c r="AA112" s="3145">
        <f>InputY!AA53/1000</f>
        <v>322.21790000000004</v>
      </c>
      <c r="AB112" s="3145">
        <f>InputY!AB53/1000</f>
        <v>349.16894000000002</v>
      </c>
      <c r="AC112" s="3145">
        <f>InputY!AC53/1000</f>
        <v>363.45120000000003</v>
      </c>
      <c r="AD112" s="3146">
        <f ca="1">IF(UPPER('VVP1'!$F$2)="Y",+AC112*(1+AD118/100),+AD110+AD111)</f>
        <v>381.79761271895239</v>
      </c>
      <c r="AE112" s="3146">
        <f ca="1">IF(UPPER('VVP1'!$F$2)="Y",+AD112*(1+AE118/100),+AE110+AE111)</f>
        <v>398.99672021394088</v>
      </c>
    </row>
    <row r="113" spans="1:31">
      <c r="A113" s="714"/>
      <c r="B113" s="714"/>
      <c r="D113" s="1882"/>
      <c r="E113" s="1882" t="s">
        <v>474</v>
      </c>
      <c r="F113" s="1882"/>
      <c r="G113" s="1043"/>
      <c r="H113" s="1043">
        <f ca="1">ABS(IF('VVP1'!$F$2="Y",OFFSET('VVP1'!$G$102,0,5*(COLUMN()-7)+1)-OFFSET('VVP1'!$G$101,0,5*(COLUMN()-7)+1)-OFFSET('VVP1'!$G$100,0,5*(COLUMN()-7)+1),ABS(H112-H111-H110)))</f>
        <v>7.1054273576010019E-15</v>
      </c>
      <c r="I113" s="1043">
        <f ca="1">ABS(IF('VVP1'!$F$2="Y",OFFSET('VVP1'!$G$102,0,5*(COLUMN()-7)+1)-OFFSET('VVP1'!$G$101,0,5*(COLUMN()-7)+1)-OFFSET('VVP1'!$G$100,0,5*(COLUMN()-7)+1),ABS(I112-I111-I110)))</f>
        <v>3.5527136788005009E-15</v>
      </c>
      <c r="J113" s="1043">
        <f ca="1">ABS(IF('VVP1'!$F$2="Y",OFFSET('VVP1'!$G$102,0,5*(COLUMN()-7)+1)-OFFSET('VVP1'!$G$101,0,5*(COLUMN()-7)+1)-OFFSET('VVP1'!$G$100,0,5*(COLUMN()-7)+1),ABS(J112-J111-J110)))</f>
        <v>1.0658141036401503E-14</v>
      </c>
      <c r="K113" s="1043">
        <f ca="1">ABS(IF('VVP1'!$F$2="Y",OFFSET('VVP1'!$G$102,0,5*(COLUMN()-7)+1)-OFFSET('VVP1'!$G$101,0,5*(COLUMN()-7)+1)-OFFSET('VVP1'!$G$100,0,5*(COLUMN()-7)+1),ABS(K112-K111-K110)))</f>
        <v>7.1054273576010019E-15</v>
      </c>
      <c r="L113" s="1043">
        <f ca="1">ABS(IF('VVP1'!$F$2="Y",OFFSET('VVP1'!$G$102,0,5*(COLUMN()-7)+1)-OFFSET('VVP1'!$G$101,0,5*(COLUMN()-7)+1)-OFFSET('VVP1'!$G$100,0,5*(COLUMN()-7)+1),ABS(L112-L111-L110)))</f>
        <v>7.1054273576010019E-15</v>
      </c>
      <c r="M113" s="1043">
        <f ca="1">ABS(IF('VVP1'!$F$2="Y",OFFSET('VVP1'!$G$102,0,5*(COLUMN()-7)+1)-OFFSET('VVP1'!$G$101,0,5*(COLUMN()-7)+1)-OFFSET('VVP1'!$G$100,0,5*(COLUMN()-7)+1),ABS(M112-M111-M110)))</f>
        <v>0</v>
      </c>
      <c r="N113" s="1043">
        <f ca="1">ABS(IF('VVP1'!$F$2="Y",OFFSET('VVP1'!$G$102,0,5*(COLUMN()-7)+1)-OFFSET('VVP1'!$G$101,0,5*(COLUMN()-7)+1)-OFFSET('VVP1'!$G$100,0,5*(COLUMN()-7)+1),ABS(N112-N111-N110)))</f>
        <v>1.4210854715202004E-14</v>
      </c>
      <c r="O113" s="1043">
        <f ca="1">ABS(IF('VVP1'!$F$2="Y",OFFSET('VVP1'!$G$102,0,5*(COLUMN()-7)+1)-OFFSET('VVP1'!$G$101,0,5*(COLUMN()-7)+1)-OFFSET('VVP1'!$G$100,0,5*(COLUMN()-7)+1),ABS(O112-O111-O110)))</f>
        <v>7.1054273576010019E-15</v>
      </c>
      <c r="P113" s="1043">
        <f ca="1">ABS(IF('VVP1'!$F$2="Y",OFFSET('VVP1'!$G$102,0,5*(COLUMN()-7)+1)-OFFSET('VVP1'!$G$101,0,5*(COLUMN()-7)+1)-OFFSET('VVP1'!$G$100,0,5*(COLUMN()-7)+1),ABS(P112-P111-P110)))</f>
        <v>7.1054273576010019E-15</v>
      </c>
      <c r="Q113" s="1043">
        <f ca="1">ABS(IF('VVP1'!$F$2="Y",OFFSET('VVP1'!$G$102,0,5*(COLUMN()-7)+1)-OFFSET('VVP1'!$G$101,0,5*(COLUMN()-7)+1)-OFFSET('VVP1'!$G$100,0,5*(COLUMN()-7)+1),ABS(Q112-Q111-Q110)))</f>
        <v>0</v>
      </c>
      <c r="R113" s="1043">
        <f ca="1">ABS(IF('VVP1'!$F$2="Y",OFFSET('VVP1'!$G$102,0,5*(COLUMN()-7)+1)-OFFSET('VVP1'!$G$101,0,5*(COLUMN()-7)+1)-OFFSET('VVP1'!$G$100,0,5*(COLUMN()-7)+1),ABS(R112-R111-R110)))</f>
        <v>7.1054273576010019E-15</v>
      </c>
      <c r="S113" s="1043">
        <f ca="1">ABS(IF('VVP1'!$F$2="Y",OFFSET('VVP1'!$G$102,0,5*(COLUMN()-7)+1)-OFFSET('VVP1'!$G$101,0,5*(COLUMN()-7)+1)-OFFSET('VVP1'!$G$100,0,5*(COLUMN()-7)+1),ABS(S112-S111-S110)))</f>
        <v>1.4210854715202004E-14</v>
      </c>
      <c r="T113" s="1043">
        <f ca="1">ABS(IF('VVP1'!$F$2="Y",OFFSET('VVP1'!$G$102,0,5*(COLUMN()-7)+1)-OFFSET('VVP1'!$G$101,0,5*(COLUMN()-7)+1)-OFFSET('VVP1'!$G$100,0,5*(COLUMN()-7)+1),ABS(T112-T111-T110)))</f>
        <v>1.4210854715202004E-14</v>
      </c>
      <c r="U113" s="1043">
        <f ca="1">ABS(IF('VVP1'!$F$2="Y",OFFSET('VVP1'!$G$102,0,5*(COLUMN()-7)+1)-OFFSET('VVP1'!$G$101,0,5*(COLUMN()-7)+1)-OFFSET('VVP1'!$G$100,0,5*(COLUMN()-7)+1),ABS(U112-U111-U110)))</f>
        <v>1.4210854715202004E-14</v>
      </c>
      <c r="V113" s="1043">
        <f ca="1">ABS(IF('VVP1'!$F$2="Y",OFFSET('VVP1'!$G$102,0,5*(COLUMN()-7)+1)-OFFSET('VVP1'!$G$101,0,5*(COLUMN()-7)+1)-OFFSET('VVP1'!$G$100,0,5*(COLUMN()-7)+1),ABS(V112-V111-V110)))</f>
        <v>7.1054273576010019E-15</v>
      </c>
      <c r="W113" s="1043">
        <f ca="1">ABS(IF('VVP1'!$F$2="Y",OFFSET('VVP1'!$G$102,0,5*(COLUMN()-7)+1)-OFFSET('VVP1'!$G$101,0,5*(COLUMN()-7)+1)-OFFSET('VVP1'!$G$100,0,5*(COLUMN()-7)+1),ABS(W112-W111-W110)))</f>
        <v>1.4210854715202004E-14</v>
      </c>
      <c r="X113" s="1043">
        <f ca="1">ABS(IF('VVP1'!$F$2="Y",OFFSET('VVP1'!$G$102,0,5*(COLUMN()-7)+1)-OFFSET('VVP1'!$G$101,0,5*(COLUMN()-7)+1)-OFFSET('VVP1'!$G$100,0,5*(COLUMN()-7)+1),ABS(X112-X111-X110)))</f>
        <v>1.4210854715202004E-14</v>
      </c>
      <c r="Y113" s="1043">
        <f ca="1">ABS(IF('VVP1'!$F$2="Y",OFFSET('VVP1'!$G$102,0,5*(COLUMN()-7)+1)-OFFSET('VVP1'!$G$101,0,5*(COLUMN()-7)+1)-OFFSET('VVP1'!$G$100,0,5*(COLUMN()-7)+1),ABS(Y112-Y111-Y110)))</f>
        <v>1.4210854715202004E-14</v>
      </c>
      <c r="Z113" s="1043">
        <f ca="1">ABS(IF('VVP1'!$F$2="Y",OFFSET('VVP1'!$G$102,0,5*(COLUMN()-7)+1)-OFFSET('VVP1'!$G$101,0,5*(COLUMN()-7)+1)-OFFSET('VVP1'!$G$100,0,5*(COLUMN()-7)+1),ABS(Z112-Z111-Z110)))</f>
        <v>1.4210854715202004E-14</v>
      </c>
      <c r="AA113" s="1043">
        <f ca="1">ABS(IF('VVP1'!$F$2="Y",OFFSET('VVP1'!$G$102,0,5*(COLUMN()-7)+1)-OFFSET('VVP1'!$G$101,0,5*(COLUMN()-7)+1)-OFFSET('VVP1'!$G$100,0,5*(COLUMN()-7)+1),ABS(AA112-AA111-AA110)))</f>
        <v>1.4210854715202004E-14</v>
      </c>
      <c r="AB113" s="1043">
        <f ca="1">ABS(IF('VVP1'!$F$2="Y",OFFSET('VVP1'!$G$102,0,5*(COLUMN()-7)+1)-OFFSET('VVP1'!$G$101,0,5*(COLUMN()-7)+1)-OFFSET('VVP1'!$G$100,0,5*(COLUMN()-7)+1),ABS(AB112-AB111-AB110)))</f>
        <v>1.4210854715202004E-14</v>
      </c>
      <c r="AC113" s="1043">
        <f ca="1">ABS(IF('VVP1'!$F$2="Y",OFFSET('VVP1'!$G$102,0,5*(COLUMN()-7)+1)-OFFSET('VVP1'!$G$101,0,5*(COLUMN()-7)+1)-OFFSET('VVP1'!$G$100,0,5*(COLUMN()-7)+1),ABS(AC112-AC111-AC110)))</f>
        <v>1.4210854715202004E-14</v>
      </c>
      <c r="AD113" s="1043">
        <f ca="1">ABS(IF('VVP1'!$F$2="Y",OFFSET('VVP1'!$G$102,0,5*(COLUMN()-7)+1)-OFFSET('VVP1'!$G$101,0,5*(COLUMN()-7)+1)-OFFSET('VVP1'!$G$100,0,5*(COLUMN()-7)+1),ABS(AD112-AD111-AD110)))</f>
        <v>0</v>
      </c>
      <c r="AE113" s="1043">
        <f ca="1">ABS(IF('VVP1'!$F$2="Y",OFFSET('VVP1'!$G$102,0,5*(COLUMN()-7)+1)-OFFSET('VVP1'!$G$101,0,5*(COLUMN()-7)+1)-OFFSET('VVP1'!$G$100,0,5*(COLUMN()-7)+1),ABS(AE112-AE111-AE110)))</f>
        <v>2.8421709430404007E-14</v>
      </c>
    </row>
    <row r="115" spans="1:31">
      <c r="A115" s="1123"/>
      <c r="D115" s="3154"/>
      <c r="E115" s="973" t="s">
        <v>32</v>
      </c>
      <c r="F115" s="3155"/>
      <c r="G115" s="939">
        <f>InputY!$G$3</f>
        <v>1995</v>
      </c>
      <c r="H115" s="939">
        <f t="shared" ref="H115:W115" si="121">+G115+1</f>
        <v>1996</v>
      </c>
      <c r="I115" s="939">
        <f t="shared" si="121"/>
        <v>1997</v>
      </c>
      <c r="J115" s="939">
        <f t="shared" si="121"/>
        <v>1998</v>
      </c>
      <c r="K115" s="939">
        <f t="shared" si="121"/>
        <v>1999</v>
      </c>
      <c r="L115" s="939">
        <f t="shared" si="121"/>
        <v>2000</v>
      </c>
      <c r="M115" s="939">
        <f t="shared" si="121"/>
        <v>2001</v>
      </c>
      <c r="N115" s="939">
        <f t="shared" si="121"/>
        <v>2002</v>
      </c>
      <c r="O115" s="939">
        <f t="shared" si="121"/>
        <v>2003</v>
      </c>
      <c r="P115" s="939">
        <f t="shared" si="121"/>
        <v>2004</v>
      </c>
      <c r="Q115" s="939">
        <f t="shared" si="121"/>
        <v>2005</v>
      </c>
      <c r="R115" s="939">
        <f t="shared" si="121"/>
        <v>2006</v>
      </c>
      <c r="S115" s="939">
        <f t="shared" si="121"/>
        <v>2007</v>
      </c>
      <c r="T115" s="939">
        <f t="shared" si="121"/>
        <v>2008</v>
      </c>
      <c r="U115" s="939">
        <f t="shared" si="121"/>
        <v>2009</v>
      </c>
      <c r="V115" s="939">
        <f t="shared" si="121"/>
        <v>2010</v>
      </c>
      <c r="W115" s="939">
        <f t="shared" si="121"/>
        <v>2011</v>
      </c>
      <c r="X115" s="939">
        <f t="shared" ref="X115:AE115" si="122">+W115+1</f>
        <v>2012</v>
      </c>
      <c r="Y115" s="939">
        <f t="shared" si="122"/>
        <v>2013</v>
      </c>
      <c r="Z115" s="939">
        <f t="shared" si="122"/>
        <v>2014</v>
      </c>
      <c r="AA115" s="939">
        <f t="shared" si="122"/>
        <v>2015</v>
      </c>
      <c r="AB115" s="939">
        <f t="shared" si="122"/>
        <v>2016</v>
      </c>
      <c r="AC115" s="939">
        <f t="shared" si="122"/>
        <v>2017</v>
      </c>
      <c r="AD115" s="939">
        <f t="shared" si="122"/>
        <v>2018</v>
      </c>
      <c r="AE115" s="939">
        <f t="shared" si="122"/>
        <v>2019</v>
      </c>
    </row>
    <row r="116" spans="1:31">
      <c r="A116" s="1123"/>
      <c r="C116" s="839" t="s">
        <v>624</v>
      </c>
      <c r="D116" s="739"/>
      <c r="E116" s="787" t="s">
        <v>693</v>
      </c>
      <c r="F116" s="782" t="s">
        <v>1996</v>
      </c>
      <c r="G116" s="1122"/>
      <c r="H116" s="1122">
        <f t="shared" ref="H116:AC116" si="123">+(H110/G110-1)*100</f>
        <v>3.0190080841839828</v>
      </c>
      <c r="I116" s="1122">
        <f t="shared" si="123"/>
        <v>8.2601128796781165</v>
      </c>
      <c r="J116" s="1122">
        <f t="shared" si="123"/>
        <v>7.0708622152470424</v>
      </c>
      <c r="K116" s="1122">
        <f t="shared" si="123"/>
        <v>10.390987503397685</v>
      </c>
      <c r="L116" s="1122">
        <f t="shared" si="123"/>
        <v>12.921567326664052</v>
      </c>
      <c r="M116" s="1122">
        <f t="shared" si="123"/>
        <v>6.9988155613629699</v>
      </c>
      <c r="N116" s="1122">
        <f t="shared" si="123"/>
        <v>-1.0445317138163213</v>
      </c>
      <c r="O116" s="1122">
        <f t="shared" si="123"/>
        <v>-2.2859256596194366</v>
      </c>
      <c r="P116" s="1122">
        <f t="shared" si="123"/>
        <v>-2.2543334775970703E-2</v>
      </c>
      <c r="Q116" s="1122">
        <f t="shared" si="123"/>
        <v>1.2720923974605336</v>
      </c>
      <c r="R116" s="1122">
        <f t="shared" si="123"/>
        <v>2.3615378604754378</v>
      </c>
      <c r="S116" s="1122">
        <f t="shared" si="123"/>
        <v>8.8284470403987125</v>
      </c>
      <c r="T116" s="1122">
        <f t="shared" si="123"/>
        <v>11.862552215970945</v>
      </c>
      <c r="U116" s="1122">
        <f t="shared" si="123"/>
        <v>1.2839441328973411</v>
      </c>
      <c r="V116" s="1122">
        <f t="shared" si="123"/>
        <v>9.6619097149989628</v>
      </c>
      <c r="W116" s="1122">
        <f t="shared" si="123"/>
        <v>3.7515460647624677</v>
      </c>
      <c r="X116" s="1122">
        <f t="shared" si="123"/>
        <v>11.128849203928738</v>
      </c>
      <c r="Y116" s="1122">
        <f t="shared" si="123"/>
        <v>2.5149078571752082</v>
      </c>
      <c r="Z116" s="1122">
        <f t="shared" si="123"/>
        <v>13.053602009757581</v>
      </c>
      <c r="AA116" s="1122">
        <f t="shared" si="123"/>
        <v>8.353574514861851</v>
      </c>
      <c r="AB116" s="1122">
        <f t="shared" si="123"/>
        <v>1.7576554615445161</v>
      </c>
      <c r="AC116" s="1122">
        <f t="shared" si="123"/>
        <v>1.5403008848718924</v>
      </c>
      <c r="AD116" s="3148">
        <f ca="1">OFFSET('VVP1'!$G$100,0,5*(COLUMN()-7))</f>
        <v>4.6500000000000004</v>
      </c>
      <c r="AE116" s="3148">
        <f ca="1">OFFSET('VVP1'!$G$100,0,5*(COLUMN()-7))</f>
        <v>3.65</v>
      </c>
    </row>
    <row r="117" spans="1:31">
      <c r="A117" s="1123"/>
      <c r="C117" s="1021" t="s">
        <v>622</v>
      </c>
      <c r="D117" s="3149"/>
      <c r="E117" s="3150" t="s">
        <v>694</v>
      </c>
      <c r="F117" s="3149" t="s">
        <v>82</v>
      </c>
      <c r="G117" s="3151"/>
      <c r="H117" s="3151">
        <f t="shared" ref="H117:AC117" si="124">+(H111/G111-1)*100</f>
        <v>6.0901002104516211</v>
      </c>
      <c r="I117" s="3151">
        <f t="shared" si="124"/>
        <v>8.2072077395785925</v>
      </c>
      <c r="J117" s="3151">
        <f t="shared" si="124"/>
        <v>4.484376210575336</v>
      </c>
      <c r="K117" s="3151">
        <f t="shared" si="124"/>
        <v>1.420898778127766</v>
      </c>
      <c r="L117" s="3151">
        <f t="shared" si="124"/>
        <v>13.1961700382784</v>
      </c>
      <c r="M117" s="3151">
        <f t="shared" si="124"/>
        <v>-2.7354258983139479</v>
      </c>
      <c r="N117" s="3151">
        <f t="shared" si="124"/>
        <v>1.478428394065312</v>
      </c>
      <c r="O117" s="3151">
        <f t="shared" si="124"/>
        <v>2.5915303553662783</v>
      </c>
      <c r="P117" s="3151">
        <f t="shared" si="124"/>
        <v>8.0775535500416282</v>
      </c>
      <c r="Q117" s="3151">
        <f t="shared" si="124"/>
        <v>7.5049931523127</v>
      </c>
      <c r="R117" s="3151">
        <f t="shared" si="124"/>
        <v>5.141339232194464</v>
      </c>
      <c r="S117" s="3151">
        <f t="shared" si="124"/>
        <v>5.1650974741232147</v>
      </c>
      <c r="T117" s="3151">
        <f t="shared" si="124"/>
        <v>1.5113930160063571</v>
      </c>
      <c r="U117" s="3151">
        <f t="shared" si="124"/>
        <v>-11.925797945828599</v>
      </c>
      <c r="V117" s="3151">
        <f t="shared" si="124"/>
        <v>9.6124185686605745</v>
      </c>
      <c r="W117" s="3151">
        <f t="shared" si="124"/>
        <v>8.4456357691617079</v>
      </c>
      <c r="X117" s="3151">
        <f t="shared" si="124"/>
        <v>-3.0569194292685453</v>
      </c>
      <c r="Y117" s="3151">
        <f t="shared" si="124"/>
        <v>-0.35242917690135878</v>
      </c>
      <c r="Z117" s="3151">
        <f t="shared" si="124"/>
        <v>3.9417165466939519</v>
      </c>
      <c r="AA117" s="3151">
        <f t="shared" si="124"/>
        <v>1.3961687326140781</v>
      </c>
      <c r="AB117" s="3151">
        <f t="shared" si="124"/>
        <v>11.134284037365273</v>
      </c>
      <c r="AC117" s="3151">
        <f t="shared" si="124"/>
        <v>5.1009384340167552</v>
      </c>
      <c r="AD117" s="3115">
        <f ca="1">OFFSET('VVP1'!$G$101,0,5*(COLUMN()-7))</f>
        <v>5.2</v>
      </c>
      <c r="AE117" s="3115">
        <f ca="1">OFFSET('VVP1'!$G$101,0,5*(COLUMN()-7))</f>
        <v>4.83</v>
      </c>
    </row>
    <row r="118" spans="1:31">
      <c r="A118" s="714"/>
      <c r="B118" s="714"/>
      <c r="C118" s="744" t="s">
        <v>624</v>
      </c>
      <c r="D118" s="3121"/>
      <c r="E118" s="3122" t="s">
        <v>1792</v>
      </c>
      <c r="F118" s="3152" t="s">
        <v>2045</v>
      </c>
      <c r="G118" s="3123"/>
      <c r="H118" s="3123">
        <f t="shared" ref="H118:AC118" ca="1" si="125">+(H112/G112-1)*100</f>
        <v>-1.0924432388519589</v>
      </c>
      <c r="I118" s="3123">
        <f t="shared" si="125"/>
        <v>8.2176677941497864</v>
      </c>
      <c r="J118" s="3123">
        <f t="shared" si="125"/>
        <v>4.9930012074739238</v>
      </c>
      <c r="K118" s="3123">
        <f t="shared" si="125"/>
        <v>3.260359558850956</v>
      </c>
      <c r="L118" s="3123">
        <f t="shared" si="125"/>
        <v>13.137639776154565</v>
      </c>
      <c r="M118" s="3123">
        <f t="shared" si="125"/>
        <v>-0.68910727703289654</v>
      </c>
      <c r="N118" s="3123">
        <f t="shared" si="125"/>
        <v>0.91226840390916664</v>
      </c>
      <c r="O118" s="3123">
        <f t="shared" si="125"/>
        <v>1.4788086968683389</v>
      </c>
      <c r="P118" s="3123">
        <f t="shared" si="125"/>
        <v>6.2794354821921416</v>
      </c>
      <c r="Q118" s="3123">
        <f t="shared" si="125"/>
        <v>6.2092888389723599</v>
      </c>
      <c r="R118" s="3123">
        <f t="shared" si="125"/>
        <v>4.6003261535048967</v>
      </c>
      <c r="S118" s="3123">
        <f t="shared" si="125"/>
        <v>5.8541914431290198</v>
      </c>
      <c r="T118" s="3123">
        <f t="shared" si="125"/>
        <v>3.5559621013944609</v>
      </c>
      <c r="U118" s="3123">
        <f t="shared" si="125"/>
        <v>-9.1151118973871732</v>
      </c>
      <c r="V118" s="3123">
        <f t="shared" si="125"/>
        <v>9.6247631466433567</v>
      </c>
      <c r="W118" s="3123">
        <f t="shared" si="125"/>
        <v>7.310787815102926</v>
      </c>
      <c r="X118" s="3123">
        <f t="shared" si="125"/>
        <v>9.5490410733911624E-2</v>
      </c>
      <c r="Y118" s="3123">
        <f t="shared" si="125"/>
        <v>0.34233286555367393</v>
      </c>
      <c r="Z118" s="3123">
        <f t="shared" si="125"/>
        <v>6.2054125404542138</v>
      </c>
      <c r="AA118" s="3123">
        <f t="shared" si="125"/>
        <v>3.2782053232309982</v>
      </c>
      <c r="AB118" s="3123">
        <f t="shared" si="125"/>
        <v>8.3642280580936035</v>
      </c>
      <c r="AC118" s="3123">
        <f t="shared" si="125"/>
        <v>4.0903580942795115</v>
      </c>
      <c r="AD118" s="3124">
        <f ca="1">IF(UPPER('VVP1'!$F$2)="Y",OFFSET('VVP1'!$G$102,0,5*(COLUMN()-7)),('VVP2'!AD112/'VVP2'!AC112-1)*100)</f>
        <v>5.047833854710726</v>
      </c>
      <c r="AE118" s="3124">
        <f ca="1">IF(UPPER('VVP1'!$F$2)="Y",OFFSET('VVP1'!$G$102,0,5*(COLUMN()-7)),('VVP2'!AE112/'VVP2'!AD112-1)*100)</f>
        <v>4.5047708319876367</v>
      </c>
    </row>
    <row r="120" spans="1:31">
      <c r="A120" s="1123"/>
      <c r="D120" s="3156"/>
      <c r="E120" s="3157" t="s">
        <v>35</v>
      </c>
      <c r="F120" s="3141"/>
      <c r="G120" s="3142">
        <f>InputY!$G$3</f>
        <v>1995</v>
      </c>
      <c r="H120" s="3142">
        <f t="shared" ref="H120:W120" si="126">+G120+1</f>
        <v>1996</v>
      </c>
      <c r="I120" s="3142">
        <f t="shared" si="126"/>
        <v>1997</v>
      </c>
      <c r="J120" s="3142">
        <f t="shared" si="126"/>
        <v>1998</v>
      </c>
      <c r="K120" s="3142">
        <f t="shared" si="126"/>
        <v>1999</v>
      </c>
      <c r="L120" s="3142">
        <f t="shared" si="126"/>
        <v>2000</v>
      </c>
      <c r="M120" s="3142">
        <f t="shared" si="126"/>
        <v>2001</v>
      </c>
      <c r="N120" s="3142">
        <f t="shared" si="126"/>
        <v>2002</v>
      </c>
      <c r="O120" s="3142">
        <f t="shared" si="126"/>
        <v>2003</v>
      </c>
      <c r="P120" s="3142">
        <f t="shared" si="126"/>
        <v>2004</v>
      </c>
      <c r="Q120" s="3142">
        <f t="shared" si="126"/>
        <v>2005</v>
      </c>
      <c r="R120" s="3142">
        <f t="shared" si="126"/>
        <v>2006</v>
      </c>
      <c r="S120" s="3063">
        <f t="shared" si="126"/>
        <v>2007</v>
      </c>
      <c r="T120" s="3063">
        <f t="shared" si="126"/>
        <v>2008</v>
      </c>
      <c r="U120" s="3063">
        <f t="shared" si="126"/>
        <v>2009</v>
      </c>
      <c r="V120" s="3063">
        <f t="shared" si="126"/>
        <v>2010</v>
      </c>
      <c r="W120" s="3063">
        <f t="shared" si="126"/>
        <v>2011</v>
      </c>
      <c r="X120" s="3063">
        <f t="shared" ref="X120:AE120" si="127">+W120+1</f>
        <v>2012</v>
      </c>
      <c r="Y120" s="3063">
        <f t="shared" si="127"/>
        <v>2013</v>
      </c>
      <c r="Z120" s="3063">
        <f t="shared" si="127"/>
        <v>2014</v>
      </c>
      <c r="AA120" s="3063">
        <f t="shared" si="127"/>
        <v>2015</v>
      </c>
      <c r="AB120" s="3063">
        <f t="shared" si="127"/>
        <v>2016</v>
      </c>
      <c r="AC120" s="3063">
        <f t="shared" si="127"/>
        <v>2017</v>
      </c>
      <c r="AD120" s="3063">
        <f t="shared" si="127"/>
        <v>2018</v>
      </c>
      <c r="AE120" s="3063">
        <f t="shared" si="127"/>
        <v>2019</v>
      </c>
    </row>
    <row r="121" spans="1:31">
      <c r="A121" s="714"/>
      <c r="B121" s="714"/>
      <c r="C121" s="1120"/>
      <c r="D121" s="1121"/>
      <c r="E121" s="1080" t="s">
        <v>36</v>
      </c>
      <c r="F121" s="175" t="s">
        <v>37</v>
      </c>
      <c r="G121" s="1085">
        <f t="shared" ref="G121:U121" si="128">+G89-G111</f>
        <v>-3.834060000000008</v>
      </c>
      <c r="H121" s="1085">
        <f t="shared" si="128"/>
        <v>-4.729709999999983</v>
      </c>
      <c r="I121" s="1085">
        <f t="shared" si="128"/>
        <v>-3.3896400000000142</v>
      </c>
      <c r="J121" s="1085">
        <f t="shared" si="128"/>
        <v>-4.7021599999999921</v>
      </c>
      <c r="K121" s="1085">
        <f t="shared" si="128"/>
        <v>-0.90591000000000577</v>
      </c>
      <c r="L121" s="1085">
        <f t="shared" si="128"/>
        <v>-1.8430199999999957</v>
      </c>
      <c r="M121" s="1085">
        <f t="shared" si="128"/>
        <v>0.88513000000000375</v>
      </c>
      <c r="N121" s="1085">
        <f t="shared" si="128"/>
        <v>7.1618600000000185</v>
      </c>
      <c r="O121" s="1085">
        <f t="shared" si="128"/>
        <v>7.3022299999999802</v>
      </c>
      <c r="P121" s="1085">
        <f t="shared" si="128"/>
        <v>6.8051499999999976</v>
      </c>
      <c r="Q121" s="1085">
        <f t="shared" si="128"/>
        <v>2.3713400000000036</v>
      </c>
      <c r="R121" s="1085">
        <f t="shared" si="128"/>
        <v>3.9769399999999848</v>
      </c>
      <c r="S121" s="1085">
        <f t="shared" si="128"/>
        <v>3.2215600000000109</v>
      </c>
      <c r="T121" s="1085">
        <f t="shared" si="128"/>
        <v>-2.5149100000000146</v>
      </c>
      <c r="U121" s="1085">
        <f t="shared" si="128"/>
        <v>-4.2921500000000208</v>
      </c>
      <c r="V121" s="1085">
        <f t="shared" ref="V121:W122" si="129">+V89-V111</f>
        <v>-2.1114000000000317</v>
      </c>
      <c r="W121" s="1085">
        <f t="shared" si="129"/>
        <v>-0.79879999999999995</v>
      </c>
      <c r="X121" s="1085">
        <f t="shared" ref="X121:Y121" si="130">+X89-X111</f>
        <v>1.2022500000000207</v>
      </c>
      <c r="Y121" s="1085">
        <f t="shared" si="130"/>
        <v>3.3305900000000008</v>
      </c>
      <c r="Z121" s="1085">
        <f t="shared" ref="Z121:AB121" si="131">+Z89-Z111</f>
        <v>2.6060300000000041</v>
      </c>
      <c r="AA121" s="1085">
        <f t="shared" si="131"/>
        <v>1.7888300000000186</v>
      </c>
      <c r="AB121" s="1085">
        <f t="shared" si="131"/>
        <v>1.0936200000000156</v>
      </c>
      <c r="AC121" s="1085">
        <f t="shared" ref="AC121" si="132">+AC89-AC111</f>
        <v>5.3145400000000222</v>
      </c>
      <c r="AD121" s="1257">
        <f t="shared" ref="AD121" ca="1" si="133">+AD89-AD111</f>
        <v>5.5637132530000599</v>
      </c>
      <c r="AE121" s="1257">
        <f t="shared" ref="AE121" ca="1" si="134">+AE89-AE111</f>
        <v>4.8030704371531101</v>
      </c>
    </row>
    <row r="122" spans="1:31">
      <c r="A122" s="1123"/>
      <c r="C122" s="1114"/>
      <c r="D122" s="1110"/>
      <c r="E122" s="1111" t="s">
        <v>1201</v>
      </c>
      <c r="F122" s="1110" t="s">
        <v>1202</v>
      </c>
      <c r="G122" s="1116">
        <f t="shared" ref="G122:U122" ca="1" si="135">+G90-G112</f>
        <v>-0.62429999999997676</v>
      </c>
      <c r="H122" s="1116">
        <f t="shared" si="135"/>
        <v>-1.0483299999999929</v>
      </c>
      <c r="I122" s="1116">
        <f t="shared" si="135"/>
        <v>0.73595000000003097</v>
      </c>
      <c r="J122" s="1116">
        <f t="shared" si="135"/>
        <v>-0.44450999999997975</v>
      </c>
      <c r="K122" s="1116">
        <f t="shared" si="135"/>
        <v>2.6273400000000038</v>
      </c>
      <c r="L122" s="1116">
        <f t="shared" si="135"/>
        <v>1.6130999999999744</v>
      </c>
      <c r="M122" s="1116">
        <f t="shared" si="135"/>
        <v>3.7520999999999844</v>
      </c>
      <c r="N122" s="1116">
        <f t="shared" si="135"/>
        <v>9.540110000000027</v>
      </c>
      <c r="O122" s="1116">
        <f t="shared" si="135"/>
        <v>9.856049999999982</v>
      </c>
      <c r="P122" s="1116">
        <f t="shared" si="135"/>
        <v>10.307389999999998</v>
      </c>
      <c r="Q122" s="1116">
        <f t="shared" si="135"/>
        <v>8.2105099999999993</v>
      </c>
      <c r="R122" s="1116">
        <f t="shared" si="135"/>
        <v>10.254139999999978</v>
      </c>
      <c r="S122" s="1116">
        <f t="shared" si="135"/>
        <v>10.445620000000019</v>
      </c>
      <c r="T122" s="1116">
        <f t="shared" si="135"/>
        <v>5.7498900000000503</v>
      </c>
      <c r="U122" s="1116">
        <f t="shared" si="135"/>
        <v>4.3495599999999968</v>
      </c>
      <c r="V122" s="1116">
        <f t="shared" si="129"/>
        <v>6.5599000000000274</v>
      </c>
      <c r="W122" s="1116">
        <f t="shared" si="129"/>
        <v>5.3848300000000222</v>
      </c>
      <c r="X122" s="1116">
        <f t="shared" ref="X122:Y122" si="136">+X90-X112</f>
        <v>6.1120900000000233</v>
      </c>
      <c r="Y122" s="1116">
        <f t="shared" si="136"/>
        <v>7.7664500000000203</v>
      </c>
      <c r="Z122" s="1116">
        <f t="shared" ref="Z122:AB122" si="137">+Z90-Z112</f>
        <v>5.1698800000000347</v>
      </c>
      <c r="AA122" s="1116">
        <f t="shared" si="137"/>
        <v>5.3494199999999523</v>
      </c>
      <c r="AB122" s="1116">
        <f t="shared" si="137"/>
        <v>3.0222899999999413</v>
      </c>
      <c r="AC122" s="1116">
        <f t="shared" ref="AC122" si="138">+AC90-AC112</f>
        <v>4.6238399999999729</v>
      </c>
      <c r="AD122" s="980">
        <f t="shared" ref="AD122" ca="1" si="139">+AD90-AD112</f>
        <v>4.5741305813763802</v>
      </c>
      <c r="AE122" s="980">
        <f t="shared" ref="AE122" ca="1" si="140">+AE90-AE112</f>
        <v>4.3581486370217704</v>
      </c>
    </row>
    <row r="124" spans="1:31">
      <c r="A124" s="1123"/>
      <c r="D124" s="3154"/>
      <c r="E124" s="973" t="s">
        <v>35</v>
      </c>
      <c r="F124" s="3155"/>
      <c r="G124" s="939">
        <f>InputY!$G$3</f>
        <v>1995</v>
      </c>
      <c r="H124" s="939">
        <f t="shared" ref="H124:W124" si="141">+G124+1</f>
        <v>1996</v>
      </c>
      <c r="I124" s="939">
        <f t="shared" si="141"/>
        <v>1997</v>
      </c>
      <c r="J124" s="939">
        <f t="shared" si="141"/>
        <v>1998</v>
      </c>
      <c r="K124" s="939">
        <f t="shared" si="141"/>
        <v>1999</v>
      </c>
      <c r="L124" s="939">
        <f t="shared" si="141"/>
        <v>2000</v>
      </c>
      <c r="M124" s="939">
        <f t="shared" si="141"/>
        <v>2001</v>
      </c>
      <c r="N124" s="939">
        <f t="shared" si="141"/>
        <v>2002</v>
      </c>
      <c r="O124" s="939">
        <f t="shared" si="141"/>
        <v>2003</v>
      </c>
      <c r="P124" s="939">
        <f t="shared" si="141"/>
        <v>2004</v>
      </c>
      <c r="Q124" s="939">
        <f t="shared" si="141"/>
        <v>2005</v>
      </c>
      <c r="R124" s="939">
        <f t="shared" si="141"/>
        <v>2006</v>
      </c>
      <c r="S124" s="939">
        <f t="shared" si="141"/>
        <v>2007</v>
      </c>
      <c r="T124" s="939">
        <f t="shared" si="141"/>
        <v>2008</v>
      </c>
      <c r="U124" s="939">
        <f t="shared" si="141"/>
        <v>2009</v>
      </c>
      <c r="V124" s="939">
        <f t="shared" si="141"/>
        <v>2010</v>
      </c>
      <c r="W124" s="939">
        <f t="shared" si="141"/>
        <v>2011</v>
      </c>
      <c r="X124" s="939">
        <f t="shared" ref="X124:AE124" si="142">+W124+1</f>
        <v>2012</v>
      </c>
      <c r="Y124" s="939">
        <f t="shared" si="142"/>
        <v>2013</v>
      </c>
      <c r="Z124" s="939">
        <f t="shared" si="142"/>
        <v>2014</v>
      </c>
      <c r="AA124" s="939">
        <f t="shared" si="142"/>
        <v>2015</v>
      </c>
      <c r="AB124" s="939">
        <f t="shared" si="142"/>
        <v>2016</v>
      </c>
      <c r="AC124" s="939">
        <f t="shared" si="142"/>
        <v>2017</v>
      </c>
      <c r="AD124" s="939">
        <f t="shared" si="142"/>
        <v>2018</v>
      </c>
      <c r="AE124" s="939">
        <f t="shared" si="142"/>
        <v>2019</v>
      </c>
    </row>
    <row r="125" spans="1:31">
      <c r="A125" s="714"/>
      <c r="B125" s="714"/>
      <c r="C125" s="3158"/>
      <c r="D125" s="3159"/>
      <c r="E125" s="3111" t="s">
        <v>36</v>
      </c>
      <c r="F125" s="3159" t="s">
        <v>37</v>
      </c>
      <c r="G125" s="1122"/>
      <c r="H125" s="1122">
        <f t="shared" ref="H125:AE125" si="143">+(H121/G121-1)*100</f>
        <v>23.360354298054098</v>
      </c>
      <c r="I125" s="1122">
        <f t="shared" si="143"/>
        <v>-28.333026760625359</v>
      </c>
      <c r="J125" s="1122">
        <f t="shared" si="143"/>
        <v>38.721516149206778</v>
      </c>
      <c r="K125" s="1122">
        <f t="shared" si="143"/>
        <v>-80.734173231025579</v>
      </c>
      <c r="L125" s="1122">
        <f t="shared" si="143"/>
        <v>103.44405073351481</v>
      </c>
      <c r="M125" s="1122">
        <f t="shared" si="143"/>
        <v>-148.02606591355524</v>
      </c>
      <c r="N125" s="1122">
        <f t="shared" si="143"/>
        <v>709.1308621332447</v>
      </c>
      <c r="O125" s="1122">
        <f t="shared" si="143"/>
        <v>1.9599657072319365</v>
      </c>
      <c r="P125" s="1122">
        <f t="shared" si="143"/>
        <v>-6.8072355978924808</v>
      </c>
      <c r="Q125" s="1122">
        <f t="shared" si="143"/>
        <v>-65.153743855756233</v>
      </c>
      <c r="R125" s="1122">
        <f t="shared" si="143"/>
        <v>67.708552970049809</v>
      </c>
      <c r="S125" s="1122">
        <f t="shared" si="143"/>
        <v>-18.994000412376778</v>
      </c>
      <c r="T125" s="1122">
        <f t="shared" ref="T125:AC126" si="144">+(T121/S121-1)*100</f>
        <v>-178.06497473273836</v>
      </c>
      <c r="U125" s="1122">
        <f t="shared" si="144"/>
        <v>70.668135241419989</v>
      </c>
      <c r="V125" s="1122">
        <f t="shared" si="144"/>
        <v>-50.807870181610113</v>
      </c>
      <c r="W125" s="1122">
        <f t="shared" si="144"/>
        <v>-62.167282371886522</v>
      </c>
      <c r="X125" s="1122">
        <f t="shared" si="144"/>
        <v>-250.50701051577624</v>
      </c>
      <c r="Y125" s="1122">
        <f t="shared" si="144"/>
        <v>177.02973591182726</v>
      </c>
      <c r="Z125" s="1122">
        <f t="shared" si="144"/>
        <v>-21.754704121491887</v>
      </c>
      <c r="AA125" s="1122">
        <f t="shared" si="144"/>
        <v>-31.358042693291488</v>
      </c>
      <c r="AB125" s="1122">
        <f t="shared" si="144"/>
        <v>-38.863950179726181</v>
      </c>
      <c r="AC125" s="1122">
        <f t="shared" si="144"/>
        <v>385.95855964594159</v>
      </c>
      <c r="AD125" s="3134">
        <f t="shared" ca="1" si="143"/>
        <v>4.6885196649199434</v>
      </c>
      <c r="AE125" s="3134">
        <f t="shared" ca="1" si="143"/>
        <v>-13.671495658709532</v>
      </c>
    </row>
    <row r="126" spans="1:31" ht="12.75" customHeight="1">
      <c r="A126" s="1123"/>
      <c r="C126" s="1021"/>
      <c r="D126" s="3149"/>
      <c r="E126" s="3150" t="s">
        <v>1201</v>
      </c>
      <c r="F126" s="3149" t="s">
        <v>1202</v>
      </c>
      <c r="G126" s="3160"/>
      <c r="H126" s="3160">
        <f t="shared" ref="H126:AE126" ca="1" si="145">+(H122/G122-1)*100</f>
        <v>67.920871375946163</v>
      </c>
      <c r="I126" s="3160">
        <f t="shared" si="145"/>
        <v>-170.20213100836912</v>
      </c>
      <c r="J126" s="3160">
        <f t="shared" si="145"/>
        <v>-160.39948366056947</v>
      </c>
      <c r="K126" s="3160">
        <f t="shared" si="145"/>
        <v>-691.06431801312078</v>
      </c>
      <c r="L126" s="3160">
        <f t="shared" si="145"/>
        <v>-38.60330219918351</v>
      </c>
      <c r="M126" s="3160">
        <f t="shared" si="145"/>
        <v>132.60182257764822</v>
      </c>
      <c r="N126" s="3160">
        <f t="shared" si="145"/>
        <v>154.2605474267761</v>
      </c>
      <c r="O126" s="3160">
        <f t="shared" si="145"/>
        <v>3.3117018566866996</v>
      </c>
      <c r="P126" s="3160">
        <f t="shared" si="145"/>
        <v>4.57931930134301</v>
      </c>
      <c r="Q126" s="3160">
        <f t="shared" si="145"/>
        <v>-20.343462311991679</v>
      </c>
      <c r="R126" s="3160">
        <f t="shared" si="145"/>
        <v>24.890414846336938</v>
      </c>
      <c r="S126" s="3160">
        <f t="shared" si="145"/>
        <v>1.8673433364479353</v>
      </c>
      <c r="T126" s="3160">
        <f t="shared" si="144"/>
        <v>-44.954057298656856</v>
      </c>
      <c r="U126" s="3160">
        <f t="shared" si="144"/>
        <v>-24.354031120596066</v>
      </c>
      <c r="V126" s="3160">
        <f t="shared" si="144"/>
        <v>50.817553959481707</v>
      </c>
      <c r="W126" s="3160">
        <f t="shared" si="144"/>
        <v>-17.912925501913147</v>
      </c>
      <c r="X126" s="3160">
        <f t="shared" si="144"/>
        <v>13.505718843491765</v>
      </c>
      <c r="Y126" s="3160">
        <f t="shared" si="144"/>
        <v>27.067009811700913</v>
      </c>
      <c r="Z126" s="3160">
        <f t="shared" si="144"/>
        <v>-33.433164444501394</v>
      </c>
      <c r="AA126" s="3160">
        <f t="shared" si="144"/>
        <v>3.4728078794849404</v>
      </c>
      <c r="AB126" s="3160">
        <f t="shared" si="144"/>
        <v>-43.502473165315713</v>
      </c>
      <c r="AC126" s="3160">
        <f t="shared" si="144"/>
        <v>52.99127482802983</v>
      </c>
      <c r="AD126" s="3161">
        <f t="shared" ca="1" si="145"/>
        <v>-1.075067879156566</v>
      </c>
      <c r="AE126" s="3161">
        <f t="shared" ca="1" si="145"/>
        <v>-4.7218141352147303</v>
      </c>
    </row>
    <row r="128" spans="1:31">
      <c r="A128" s="1123"/>
      <c r="D128" s="3125"/>
      <c r="E128" s="3126" t="s">
        <v>1203</v>
      </c>
      <c r="F128" s="3096"/>
      <c r="G128" s="3079">
        <f>InputY!$G$3</f>
        <v>1995</v>
      </c>
      <c r="H128" s="3079">
        <f t="shared" ref="H128:W128" si="146">+G128+1</f>
        <v>1996</v>
      </c>
      <c r="I128" s="3079">
        <f t="shared" si="146"/>
        <v>1997</v>
      </c>
      <c r="J128" s="3079">
        <f t="shared" si="146"/>
        <v>1998</v>
      </c>
      <c r="K128" s="3079">
        <f t="shared" si="146"/>
        <v>1999</v>
      </c>
      <c r="L128" s="3079">
        <f t="shared" si="146"/>
        <v>2000</v>
      </c>
      <c r="M128" s="3079">
        <f t="shared" si="146"/>
        <v>2001</v>
      </c>
      <c r="N128" s="3079">
        <f t="shared" si="146"/>
        <v>2002</v>
      </c>
      <c r="O128" s="3079">
        <f t="shared" si="146"/>
        <v>2003</v>
      </c>
      <c r="P128" s="3079">
        <f t="shared" si="146"/>
        <v>2004</v>
      </c>
      <c r="Q128" s="3079">
        <f t="shared" si="146"/>
        <v>2005</v>
      </c>
      <c r="R128" s="3079">
        <f t="shared" si="146"/>
        <v>2006</v>
      </c>
      <c r="S128" s="3079">
        <f t="shared" si="146"/>
        <v>2007</v>
      </c>
      <c r="T128" s="3079">
        <f t="shared" si="146"/>
        <v>2008</v>
      </c>
      <c r="U128" s="3079">
        <f t="shared" si="146"/>
        <v>2009</v>
      </c>
      <c r="V128" s="3079">
        <f t="shared" si="146"/>
        <v>2010</v>
      </c>
      <c r="W128" s="3079">
        <f t="shared" si="146"/>
        <v>2011</v>
      </c>
      <c r="X128" s="3079">
        <f t="shared" ref="X128:AE128" si="147">+W128+1</f>
        <v>2012</v>
      </c>
      <c r="Y128" s="3079">
        <f t="shared" si="147"/>
        <v>2013</v>
      </c>
      <c r="Z128" s="3079">
        <f t="shared" si="147"/>
        <v>2014</v>
      </c>
      <c r="AA128" s="3079">
        <f t="shared" si="147"/>
        <v>2015</v>
      </c>
      <c r="AB128" s="3079">
        <f t="shared" si="147"/>
        <v>2016</v>
      </c>
      <c r="AC128" s="3079">
        <f t="shared" si="147"/>
        <v>2017</v>
      </c>
      <c r="AD128" s="3079">
        <f t="shared" si="147"/>
        <v>2018</v>
      </c>
      <c r="AE128" s="3079">
        <f t="shared" si="147"/>
        <v>2019</v>
      </c>
    </row>
    <row r="129" spans="1:31">
      <c r="A129" s="714"/>
      <c r="C129" s="1112" t="s">
        <v>622</v>
      </c>
      <c r="D129" s="1099"/>
      <c r="E129" s="1080" t="s">
        <v>825</v>
      </c>
      <c r="F129" s="1099"/>
      <c r="G129" s="3127">
        <f t="shared" ref="G129:W129" ca="1" si="148">+G101</f>
        <v>444.58529999999996</v>
      </c>
      <c r="H129" s="3127">
        <f t="shared" si="148"/>
        <v>431.52742309000001</v>
      </c>
      <c r="I129" s="3127">
        <f t="shared" si="148"/>
        <v>454.64882919000001</v>
      </c>
      <c r="J129" s="3127">
        <f t="shared" si="148"/>
        <v>468.79955520999999</v>
      </c>
      <c r="K129" s="3127">
        <f t="shared" si="148"/>
        <v>484.97132405000002</v>
      </c>
      <c r="L129" s="3127">
        <f t="shared" si="148"/>
        <v>519.89544149000005</v>
      </c>
      <c r="M129" s="3127">
        <f t="shared" si="148"/>
        <v>520.92336335000005</v>
      </c>
      <c r="N129" s="3127">
        <f t="shared" si="148"/>
        <v>528.37300546000006</v>
      </c>
      <c r="O129" s="3127">
        <f t="shared" si="148"/>
        <v>533.92824499999995</v>
      </c>
      <c r="P129" s="3127">
        <f t="shared" si="148"/>
        <v>558.81400853999992</v>
      </c>
      <c r="Q129" s="3127">
        <f t="shared" si="148"/>
        <v>579.63232594999999</v>
      </c>
      <c r="R129" s="3127">
        <f t="shared" si="148"/>
        <v>599.15066882999997</v>
      </c>
      <c r="S129" s="3127">
        <f t="shared" si="148"/>
        <v>625.84700184999997</v>
      </c>
      <c r="T129" s="3127">
        <f t="shared" si="148"/>
        <v>638.10973161000004</v>
      </c>
      <c r="U129" s="3127">
        <f t="shared" si="148"/>
        <v>604.37830789999998</v>
      </c>
      <c r="V129" s="3127">
        <f t="shared" si="148"/>
        <v>637.65430000000003</v>
      </c>
      <c r="W129" s="3127">
        <f t="shared" si="148"/>
        <v>664.14581999999996</v>
      </c>
      <c r="X129" s="3127">
        <f t="shared" ref="X129:AC129" si="149">+X101</f>
        <v>665.29077472999995</v>
      </c>
      <c r="Y129" s="3127">
        <f t="shared" si="149"/>
        <v>667.04942864000009</v>
      </c>
      <c r="Z129" s="3127">
        <f t="shared" ref="Z129" si="150">+Z101</f>
        <v>690.50315867999996</v>
      </c>
      <c r="AA129" s="3127">
        <f t="shared" si="149"/>
        <v>706.03017049000005</v>
      </c>
      <c r="AB129" s="3127">
        <f t="shared" si="149"/>
        <v>738.17276752999999</v>
      </c>
      <c r="AC129" s="3127">
        <f t="shared" si="149"/>
        <v>758.35175323999999</v>
      </c>
      <c r="AD129" s="3127">
        <f t="shared" ref="AD129" ca="1" si="151">+AD101</f>
        <v>783.23689945976275</v>
      </c>
      <c r="AE129" s="3127">
        <f t="shared" ref="AE129" ca="1" si="152">+AE101</f>
        <v>806.82144906568249</v>
      </c>
    </row>
    <row r="130" spans="1:31">
      <c r="A130" s="714"/>
      <c r="C130" s="1113" t="s">
        <v>2133</v>
      </c>
      <c r="D130" s="3"/>
      <c r="E130" s="29" t="s">
        <v>1792</v>
      </c>
      <c r="F130" s="3" t="s">
        <v>2045</v>
      </c>
      <c r="G130" s="3083">
        <f t="shared" ref="G130:W130" ca="1" si="153">+G112</f>
        <v>158.29929999999999</v>
      </c>
      <c r="H130" s="3083">
        <f t="shared" si="153"/>
        <v>156.56997000000001</v>
      </c>
      <c r="I130" s="3083">
        <f t="shared" si="153"/>
        <v>169.43636999999998</v>
      </c>
      <c r="J130" s="3083">
        <f t="shared" si="153"/>
        <v>177.89632999999998</v>
      </c>
      <c r="K130" s="3083">
        <f t="shared" si="153"/>
        <v>183.69639000000001</v>
      </c>
      <c r="L130" s="3083">
        <f t="shared" si="153"/>
        <v>207.82976000000002</v>
      </c>
      <c r="M130" s="3083">
        <f t="shared" si="153"/>
        <v>206.39759000000001</v>
      </c>
      <c r="N130" s="3083">
        <f t="shared" si="153"/>
        <v>208.28048999999999</v>
      </c>
      <c r="O130" s="3083">
        <f t="shared" si="153"/>
        <v>211.36055999999999</v>
      </c>
      <c r="P130" s="3083">
        <f t="shared" si="153"/>
        <v>224.63281000000001</v>
      </c>
      <c r="Q130" s="3083">
        <f t="shared" si="153"/>
        <v>238.58091000000002</v>
      </c>
      <c r="R130" s="3083">
        <f t="shared" si="153"/>
        <v>249.55641</v>
      </c>
      <c r="S130" s="3083">
        <f t="shared" si="153"/>
        <v>264.16591999999997</v>
      </c>
      <c r="T130" s="3083">
        <f t="shared" si="153"/>
        <v>273.55955999999998</v>
      </c>
      <c r="U130" s="3083">
        <f t="shared" si="153"/>
        <v>248.62429999999998</v>
      </c>
      <c r="V130" s="3083">
        <f t="shared" si="153"/>
        <v>272.55379999999997</v>
      </c>
      <c r="W130" s="3083">
        <f t="shared" si="153"/>
        <v>292.47962999999999</v>
      </c>
      <c r="X130" s="3083">
        <f t="shared" ref="X130:AC130" si="154">+X112</f>
        <v>292.75891999999999</v>
      </c>
      <c r="Y130" s="3083">
        <f t="shared" si="154"/>
        <v>293.76112999999998</v>
      </c>
      <c r="Z130" s="3083">
        <f t="shared" ref="Z130" si="155">+Z112</f>
        <v>311.99021999999997</v>
      </c>
      <c r="AA130" s="3083">
        <f t="shared" si="154"/>
        <v>322.21790000000004</v>
      </c>
      <c r="AB130" s="3083">
        <f t="shared" si="154"/>
        <v>349.16894000000002</v>
      </c>
      <c r="AC130" s="3083">
        <f t="shared" si="154"/>
        <v>363.45120000000003</v>
      </c>
      <c r="AD130" s="3083">
        <f t="shared" ref="AD130" ca="1" si="156">+AD112</f>
        <v>381.79761271895239</v>
      </c>
      <c r="AE130" s="3083">
        <f t="shared" ref="AE130" ca="1" si="157">+AE112</f>
        <v>398.99672021394088</v>
      </c>
    </row>
    <row r="131" spans="1:31">
      <c r="A131" s="714"/>
      <c r="C131" s="1115"/>
      <c r="D131" s="1117"/>
      <c r="E131" s="1118" t="s">
        <v>1353</v>
      </c>
      <c r="F131" s="1119"/>
      <c r="G131" s="3162" t="str">
        <f>IF(UPPER('VVP1'!$F$2)="Y","n.a.",'VVP2'!G132-'VVP2'!G129+'VVP2'!G130)</f>
        <v>n.a.</v>
      </c>
      <c r="H131" s="3162" t="str">
        <f>IF(UPPER('VVP1'!$F$2)="Y","n.a.",'VVP2'!H132-'VVP2'!H129+'VVP2'!H130)</f>
        <v>n.a.</v>
      </c>
      <c r="I131" s="3162" t="str">
        <f>IF(UPPER('VVP1'!$F$2)="Y","n.a.",'VVP2'!I132-'VVP2'!I129+'VVP2'!I130)</f>
        <v>n.a.</v>
      </c>
      <c r="J131" s="3162" t="str">
        <f>IF(UPPER('VVP1'!$F$2)="Y","n.a.",'VVP2'!J132-'VVP2'!J129+'VVP2'!J130)</f>
        <v>n.a.</v>
      </c>
      <c r="K131" s="3162" t="str">
        <f>IF(UPPER('VVP1'!$F$2)="Y","n.a.",'VVP2'!K132-'VVP2'!K129+'VVP2'!K130)</f>
        <v>n.a.</v>
      </c>
      <c r="L131" s="3162" t="str">
        <f>IF(UPPER('VVP1'!$F$2)="Y","n.a.",'VVP2'!L132-'VVP2'!L129+'VVP2'!L130)</f>
        <v>n.a.</v>
      </c>
      <c r="M131" s="3162" t="str">
        <f>IF(UPPER('VVP1'!$F$2)="Y","n.a.",'VVP2'!M132-'VVP2'!M129+'VVP2'!M130)</f>
        <v>n.a.</v>
      </c>
      <c r="N131" s="3162" t="str">
        <f>IF(UPPER('VVP1'!$F$2)="Y","n.a.",'VVP2'!N132-'VVP2'!N129+'VVP2'!N130)</f>
        <v>n.a.</v>
      </c>
      <c r="O131" s="3162" t="str">
        <f>IF(UPPER('VVP1'!$F$2)="Y","n.a.",'VVP2'!O132-'VVP2'!O129+'VVP2'!O130)</f>
        <v>n.a.</v>
      </c>
      <c r="P131" s="3162" t="str">
        <f>IF(UPPER('VVP1'!$F$2)="Y","n.a.",'VVP2'!P132-'VVP2'!P129+'VVP2'!P130)</f>
        <v>n.a.</v>
      </c>
      <c r="Q131" s="3162" t="str">
        <f>IF(UPPER('VVP1'!$F$2)="Y","n.a.",'VVP2'!Q132-'VVP2'!Q129+'VVP2'!Q130)</f>
        <v>n.a.</v>
      </c>
      <c r="R131" s="3162" t="str">
        <f>IF(UPPER('VVP1'!$F$2)="Y","n.a.",'VVP2'!R132-'VVP2'!R129+'VVP2'!R130)</f>
        <v>n.a.</v>
      </c>
      <c r="S131" s="3162" t="str">
        <f>IF(UPPER('VVP1'!$F$2)="Y","n.a.",'VVP2'!S132-'VVP2'!S129+'VVP2'!S130)</f>
        <v>n.a.</v>
      </c>
      <c r="T131" s="3162" t="str">
        <f>IF(UPPER('VVP1'!$F$2)="Y","n.a.",'VVP2'!T132-'VVP2'!T129+'VVP2'!T130)</f>
        <v>n.a.</v>
      </c>
      <c r="U131" s="3162" t="str">
        <f>IF(UPPER('VVP1'!$F$2)="Y","n.a.",'VVP2'!U132-'VVP2'!U129+'VVP2'!U130)</f>
        <v>n.a.</v>
      </c>
      <c r="V131" s="3162" t="str">
        <f>IF(UPPER('VVP1'!$F$2)="Y","n.a.",'VVP2'!V132-'VVP2'!V129+'VVP2'!V130)</f>
        <v>n.a.</v>
      </c>
      <c r="W131" s="3162" t="str">
        <f>IF(UPPER('VVP1'!$F$2)="Y","n.a.",'VVP2'!W132-'VVP2'!W129+'VVP2'!W130)</f>
        <v>n.a.</v>
      </c>
      <c r="X131" s="3162" t="str">
        <f>IF(UPPER('VVP1'!$F$2)="Y","n.a.",'VVP2'!X132-'VVP2'!X129+'VVP2'!X130)</f>
        <v>n.a.</v>
      </c>
      <c r="Y131" s="3162" t="str">
        <f>IF(UPPER('VVP1'!$F$2)="Y","n.a.",'VVP2'!Y132-'VVP2'!Y129+'VVP2'!Y130)</f>
        <v>n.a.</v>
      </c>
      <c r="Z131" s="3162" t="str">
        <f>IF(UPPER('VVP1'!$F$2)="Y","n.a.",'VVP2'!Z132-'VVP2'!Z129+'VVP2'!Z130)</f>
        <v>n.a.</v>
      </c>
      <c r="AA131" s="3162" t="str">
        <f>IF(UPPER('VVP1'!$F$2)="Y","n.a.",'VVP2'!AA132-'VVP2'!AA129+'VVP2'!AA130)</f>
        <v>n.a.</v>
      </c>
      <c r="AB131" s="3162" t="str">
        <f>IF(UPPER('VVP1'!$F$2)="Y","n.a.",'VVP2'!AB132-'VVP2'!AB129+'VVP2'!AB130)</f>
        <v>n.a.</v>
      </c>
      <c r="AC131" s="3162" t="str">
        <f>IF(UPPER('VVP1'!$F$2)="Y","n.a.",'VVP2'!AC132-'VVP2'!AC129+'VVP2'!AC130)</f>
        <v>n.a.</v>
      </c>
      <c r="AD131" s="1339" t="str">
        <f>IF(UPPER('VVP1'!$F$2)="Y","n.a.",AC131*(1+AD138/100))</f>
        <v>n.a.</v>
      </c>
      <c r="AE131" s="1339" t="str">
        <f>IF(UPPER('VVP1'!$F$2)="Y","n.a.",AD131*(1+AE138/100))</f>
        <v>n.a.</v>
      </c>
    </row>
    <row r="132" spans="1:31">
      <c r="A132" s="714">
        <f>+ROW(InputY!A57)</f>
        <v>57</v>
      </c>
      <c r="B132" s="714" t="s">
        <v>1204</v>
      </c>
      <c r="C132" s="744" t="s">
        <v>624</v>
      </c>
      <c r="D132" s="3131"/>
      <c r="E132" s="3087" t="s">
        <v>1205</v>
      </c>
      <c r="F132" s="3087" t="s">
        <v>467</v>
      </c>
      <c r="G132" s="3087">
        <f ca="1">InputY!G57/1000</f>
        <v>284.81420000000003</v>
      </c>
      <c r="H132" s="3087">
        <f>InputY!H57/1000</f>
        <v>273.92513000000002</v>
      </c>
      <c r="I132" s="3087">
        <f>InputY!I57/1000</f>
        <v>284.08897999999999</v>
      </c>
      <c r="J132" s="3087">
        <f>InputY!J57/1000</f>
        <v>289.70051000000001</v>
      </c>
      <c r="K132" s="3087">
        <f>InputY!K57/1000</f>
        <v>300.02343999999999</v>
      </c>
      <c r="L132" s="3087">
        <f>InputY!L57/1000</f>
        <v>310.92525000000001</v>
      </c>
      <c r="M132" s="3087">
        <f>InputY!M57/1000</f>
        <v>313.44855000000001</v>
      </c>
      <c r="N132" s="3087">
        <f>InputY!N57/1000</f>
        <v>319.02951999999999</v>
      </c>
      <c r="O132" s="3087">
        <f>InputY!O57/1000</f>
        <v>321.50009</v>
      </c>
      <c r="P132" s="3087">
        <f>InputY!P57/1000</f>
        <v>333.18614000000002</v>
      </c>
      <c r="Q132" s="3087">
        <f>InputY!Q57/1000</f>
        <v>340.16396000000003</v>
      </c>
      <c r="R132" s="3087">
        <f>InputY!R57/1000</f>
        <v>348.68895000000003</v>
      </c>
      <c r="S132" s="3087">
        <f>InputY!S57/1000</f>
        <v>360.71514000000002</v>
      </c>
      <c r="T132" s="3087">
        <f>InputY!T57/1000</f>
        <v>363.54015999999996</v>
      </c>
      <c r="U132" s="3087">
        <f>InputY!U57/1000</f>
        <v>355.34896999999995</v>
      </c>
      <c r="V132" s="3087">
        <f>InputY!V57/1000</f>
        <v>365.10050000000001</v>
      </c>
      <c r="W132" s="3087">
        <f>InputY!W57/1000</f>
        <v>371.66611</v>
      </c>
      <c r="X132" s="3087">
        <f>InputY!X57/1000</f>
        <v>372.53877</v>
      </c>
      <c r="Y132" s="3087">
        <f>InputY!Y57/1000</f>
        <v>373.28627</v>
      </c>
      <c r="Z132" s="3087">
        <f>InputY!Z57/1000</f>
        <v>378.33098999999999</v>
      </c>
      <c r="AA132" s="3087">
        <f>InputY!AA57/1000</f>
        <v>383.64463000000001</v>
      </c>
      <c r="AB132" s="3087">
        <f>InputY!AB57/1000</f>
        <v>389.26888000000002</v>
      </c>
      <c r="AC132" s="3087">
        <f>InputY!AC57/1000</f>
        <v>395.83393000000001</v>
      </c>
      <c r="AD132" s="3146">
        <f ca="1">IF(UPPER('VVP1'!$F$2)="Y",+AC132*(1+AD138/100),+AD129-AD130)</f>
        <v>402.99191314019384</v>
      </c>
      <c r="AE132" s="3146">
        <f ca="1">IF(UPPER('VVP1'!$F$2)="Y",+AD132*(1+AE138/100),+AE129-AE130)</f>
        <v>409.9754667236038</v>
      </c>
    </row>
    <row r="134" spans="1:31" s="749" customFormat="1" ht="12.75" customHeight="1">
      <c r="A134" s="714"/>
      <c r="B134" s="714"/>
      <c r="C134" s="822"/>
      <c r="D134" s="3073"/>
      <c r="E134" s="3074" t="s">
        <v>1203</v>
      </c>
      <c r="F134" s="3075"/>
      <c r="G134" s="939">
        <f>InputY!$G$3</f>
        <v>1995</v>
      </c>
      <c r="H134" s="939">
        <f t="shared" ref="H134:W134" si="158">+G134+1</f>
        <v>1996</v>
      </c>
      <c r="I134" s="939">
        <f t="shared" si="158"/>
        <v>1997</v>
      </c>
      <c r="J134" s="939">
        <f t="shared" si="158"/>
        <v>1998</v>
      </c>
      <c r="K134" s="939">
        <f t="shared" si="158"/>
        <v>1999</v>
      </c>
      <c r="L134" s="939">
        <f t="shared" si="158"/>
        <v>2000</v>
      </c>
      <c r="M134" s="939">
        <f t="shared" si="158"/>
        <v>2001</v>
      </c>
      <c r="N134" s="939">
        <f t="shared" si="158"/>
        <v>2002</v>
      </c>
      <c r="O134" s="939">
        <f t="shared" si="158"/>
        <v>2003</v>
      </c>
      <c r="P134" s="939">
        <f t="shared" si="158"/>
        <v>2004</v>
      </c>
      <c r="Q134" s="939">
        <f t="shared" si="158"/>
        <v>2005</v>
      </c>
      <c r="R134" s="939">
        <f t="shared" si="158"/>
        <v>2006</v>
      </c>
      <c r="S134" s="939">
        <f t="shared" si="158"/>
        <v>2007</v>
      </c>
      <c r="T134" s="939">
        <f t="shared" si="158"/>
        <v>2008</v>
      </c>
      <c r="U134" s="939">
        <f t="shared" si="158"/>
        <v>2009</v>
      </c>
      <c r="V134" s="939">
        <f t="shared" si="158"/>
        <v>2010</v>
      </c>
      <c r="W134" s="939">
        <f t="shared" si="158"/>
        <v>2011</v>
      </c>
      <c r="X134" s="939">
        <f t="shared" ref="X134:AE134" si="159">+W134+1</f>
        <v>2012</v>
      </c>
      <c r="Y134" s="939">
        <f t="shared" si="159"/>
        <v>2013</v>
      </c>
      <c r="Z134" s="939">
        <f t="shared" si="159"/>
        <v>2014</v>
      </c>
      <c r="AA134" s="939">
        <f t="shared" si="159"/>
        <v>2015</v>
      </c>
      <c r="AB134" s="939">
        <f t="shared" si="159"/>
        <v>2016</v>
      </c>
      <c r="AC134" s="939">
        <f t="shared" si="159"/>
        <v>2017</v>
      </c>
      <c r="AD134" s="939">
        <f t="shared" si="159"/>
        <v>2018</v>
      </c>
      <c r="AE134" s="939">
        <f t="shared" si="159"/>
        <v>2019</v>
      </c>
    </row>
    <row r="135" spans="1:31" s="749" customFormat="1" ht="12.75" customHeight="1">
      <c r="A135" s="714"/>
      <c r="B135" s="714"/>
      <c r="C135" s="839"/>
      <c r="D135" s="739"/>
      <c r="E135" s="787" t="s">
        <v>825</v>
      </c>
      <c r="F135" s="782"/>
      <c r="G135" s="1122"/>
      <c r="H135" s="1122">
        <f t="shared" ref="H135:AE135" ca="1" si="160">+(H129/G129-1)*100</f>
        <v>-2.9370914670368009</v>
      </c>
      <c r="I135" s="1122">
        <f t="shared" si="160"/>
        <v>5.3580386466372421</v>
      </c>
      <c r="J135" s="1122">
        <f t="shared" si="160"/>
        <v>3.112451877465694</v>
      </c>
      <c r="K135" s="1122">
        <f t="shared" si="160"/>
        <v>3.4496126671357041</v>
      </c>
      <c r="L135" s="1122">
        <f t="shared" si="160"/>
        <v>7.2012747368954466</v>
      </c>
      <c r="M135" s="1122">
        <f t="shared" si="160"/>
        <v>0.19771703653603812</v>
      </c>
      <c r="N135" s="1122">
        <f t="shared" si="160"/>
        <v>1.4300840841716456</v>
      </c>
      <c r="O135" s="1122">
        <f t="shared" si="160"/>
        <v>1.0513859494323485</v>
      </c>
      <c r="P135" s="1122">
        <f t="shared" si="160"/>
        <v>4.6608816396292996</v>
      </c>
      <c r="Q135" s="1122">
        <f t="shared" si="160"/>
        <v>3.7254465872091469</v>
      </c>
      <c r="R135" s="1122">
        <f t="shared" si="160"/>
        <v>3.3673661744123784</v>
      </c>
      <c r="S135" s="1122">
        <f t="shared" si="160"/>
        <v>4.4556961059780908</v>
      </c>
      <c r="T135" s="1122">
        <f t="shared" si="160"/>
        <v>1.959381402124083</v>
      </c>
      <c r="U135" s="1122">
        <f t="shared" si="160"/>
        <v>-5.2861478267841271</v>
      </c>
      <c r="V135" s="1122">
        <f t="shared" si="160"/>
        <v>5.5058217121693787</v>
      </c>
      <c r="W135" s="1122">
        <f t="shared" si="160"/>
        <v>4.1545269905652438</v>
      </c>
      <c r="X135" s="1122">
        <f t="shared" si="160"/>
        <v>0.17239508185113994</v>
      </c>
      <c r="Y135" s="1122">
        <f t="shared" si="160"/>
        <v>0.26434364894265538</v>
      </c>
      <c r="Z135" s="1122">
        <f t="shared" si="160"/>
        <v>3.5160407959299311</v>
      </c>
      <c r="AA135" s="1122">
        <f t="shared" si="160"/>
        <v>2.2486518149579915</v>
      </c>
      <c r="AB135" s="1122">
        <f t="shared" si="160"/>
        <v>4.5525812328518933</v>
      </c>
      <c r="AC135" s="1122">
        <f t="shared" si="160"/>
        <v>2.7336399549824808</v>
      </c>
      <c r="AD135" s="1122">
        <f t="shared" ca="1" si="160"/>
        <v>3.2814780362071971</v>
      </c>
      <c r="AE135" s="1122">
        <f t="shared" ca="1" si="160"/>
        <v>3.0111642623307455</v>
      </c>
    </row>
    <row r="136" spans="1:31" ht="12.75" customHeight="1">
      <c r="A136" s="1123"/>
      <c r="C136" s="1021"/>
      <c r="D136" s="3149"/>
      <c r="E136" s="3150" t="s">
        <v>1792</v>
      </c>
      <c r="F136" s="3149" t="s">
        <v>2045</v>
      </c>
      <c r="G136" s="3160"/>
      <c r="H136" s="3160">
        <f t="shared" ref="H136:AE136" ca="1" si="161">+(H130/G130-1)*100</f>
        <v>-1.0924432388519589</v>
      </c>
      <c r="I136" s="3160">
        <f t="shared" si="161"/>
        <v>8.2176677941497864</v>
      </c>
      <c r="J136" s="3160">
        <f t="shared" si="161"/>
        <v>4.9930012074739238</v>
      </c>
      <c r="K136" s="3160">
        <f t="shared" si="161"/>
        <v>3.260359558850956</v>
      </c>
      <c r="L136" s="3160">
        <f t="shared" si="161"/>
        <v>13.137639776154565</v>
      </c>
      <c r="M136" s="3160">
        <f t="shared" si="161"/>
        <v>-0.68910727703289654</v>
      </c>
      <c r="N136" s="3160">
        <f t="shared" si="161"/>
        <v>0.91226840390916664</v>
      </c>
      <c r="O136" s="3160">
        <f t="shared" si="161"/>
        <v>1.4788086968683389</v>
      </c>
      <c r="P136" s="3160">
        <f t="shared" si="161"/>
        <v>6.2794354821921416</v>
      </c>
      <c r="Q136" s="3160">
        <f t="shared" si="161"/>
        <v>6.2092888389723599</v>
      </c>
      <c r="R136" s="3160">
        <f t="shared" si="161"/>
        <v>4.6003261535048967</v>
      </c>
      <c r="S136" s="3160">
        <f t="shared" si="161"/>
        <v>5.8541914431290198</v>
      </c>
      <c r="T136" s="3160">
        <f t="shared" si="161"/>
        <v>3.5559621013944609</v>
      </c>
      <c r="U136" s="3161">
        <f t="shared" si="161"/>
        <v>-9.1151118973871732</v>
      </c>
      <c r="V136" s="3163">
        <f t="shared" si="161"/>
        <v>9.6247631466433567</v>
      </c>
      <c r="W136" s="3163">
        <f t="shared" si="161"/>
        <v>7.310787815102926</v>
      </c>
      <c r="X136" s="3163">
        <f t="shared" si="161"/>
        <v>9.5490410733911624E-2</v>
      </c>
      <c r="Y136" s="3163">
        <f t="shared" si="161"/>
        <v>0.34233286555367393</v>
      </c>
      <c r="Z136" s="3163">
        <f t="shared" si="161"/>
        <v>6.2054125404542138</v>
      </c>
      <c r="AA136" s="3163">
        <f t="shared" si="161"/>
        <v>3.2782053232309982</v>
      </c>
      <c r="AB136" s="3163">
        <f t="shared" si="161"/>
        <v>8.3642280580936035</v>
      </c>
      <c r="AC136" s="3163">
        <f t="shared" si="161"/>
        <v>4.0903580942795115</v>
      </c>
      <c r="AD136" s="3163">
        <f t="shared" ca="1" si="161"/>
        <v>5.047833854710726</v>
      </c>
      <c r="AE136" s="3163">
        <f t="shared" ca="1" si="161"/>
        <v>4.5047708319876367</v>
      </c>
    </row>
    <row r="137" spans="1:31" ht="12.75" customHeight="1">
      <c r="A137" s="1123"/>
      <c r="C137" s="1021"/>
      <c r="D137" s="3149"/>
      <c r="E137" s="3150" t="s">
        <v>1353</v>
      </c>
      <c r="F137" s="3149" t="s">
        <v>1675</v>
      </c>
      <c r="G137" s="3160"/>
      <c r="H137" s="3160" t="str">
        <f>IF(UPPER('VVP1'!$F$2)="Y","n.a.",H131/G131*100-100)</f>
        <v>n.a.</v>
      </c>
      <c r="I137" s="3160" t="str">
        <f>IF(UPPER('VVP1'!$F$2)="Y","n.a.",I131/H131*100-100)</f>
        <v>n.a.</v>
      </c>
      <c r="J137" s="3160" t="str">
        <f>IF(UPPER('VVP1'!$F$2)="Y","n.a.",J131/I131*100-100)</f>
        <v>n.a.</v>
      </c>
      <c r="K137" s="3160" t="str">
        <f>IF(UPPER('VVP1'!$F$2)="Y","n.a.",K131/J131*100-100)</f>
        <v>n.a.</v>
      </c>
      <c r="L137" s="3160" t="str">
        <f>IF(UPPER('VVP1'!$F$2)="Y","n.a.",L131/K131*100-100)</f>
        <v>n.a.</v>
      </c>
      <c r="M137" s="3160" t="str">
        <f>IF(UPPER('VVP1'!$F$2)="Y","n.a.",M131/L131*100-100)</f>
        <v>n.a.</v>
      </c>
      <c r="N137" s="3160" t="str">
        <f>IF(UPPER('VVP1'!$F$2)="Y","n.a.",N131/M131*100-100)</f>
        <v>n.a.</v>
      </c>
      <c r="O137" s="3160" t="str">
        <f>IF(UPPER('VVP1'!$F$2)="Y","n.a.",O131/N131*100-100)</f>
        <v>n.a.</v>
      </c>
      <c r="P137" s="3160" t="str">
        <f>IF(UPPER('VVP1'!$F$2)="Y","n.a.",P131/O131*100-100)</f>
        <v>n.a.</v>
      </c>
      <c r="Q137" s="3160" t="str">
        <f>IF(UPPER('VVP1'!$F$2)="Y","n.a.",Q131/P131*100-100)</f>
        <v>n.a.</v>
      </c>
      <c r="R137" s="3160" t="str">
        <f>IF(UPPER('VVP1'!$F$2)="Y","n.a.",R131/Q131*100-100)</f>
        <v>n.a.</v>
      </c>
      <c r="S137" s="3161" t="str">
        <f>IF(UPPER('VVP1'!$F$2)="Y","n.a.",S131/R131*100-100)</f>
        <v>n.a.</v>
      </c>
      <c r="T137" s="3164">
        <f ca="1">OFFSET('VVP1'!$G$82,0,5*(COLUMN()-7))</f>
        <v>0</v>
      </c>
      <c r="U137" s="3164">
        <f ca="1">OFFSET('VVP1'!$G$82,0,5*(COLUMN()-7))</f>
        <v>0</v>
      </c>
      <c r="V137" s="3165">
        <f ca="1">OFFSET('VVP1'!$G$82,0,5*(COLUMN()-7))</f>
        <v>0</v>
      </c>
      <c r="W137" s="3165">
        <f ca="1">OFFSET('VVP1'!$G$82,0,5*(COLUMN()-7))</f>
        <v>0</v>
      </c>
      <c r="X137" s="3165">
        <f ca="1">OFFSET('VVP1'!$G$82,0,5*(COLUMN()-7))</f>
        <v>0</v>
      </c>
      <c r="Y137" s="3165">
        <f ca="1">OFFSET('VVP1'!$G$82,0,5*(COLUMN()-7))</f>
        <v>0</v>
      </c>
      <c r="Z137" s="3165">
        <f ca="1">OFFSET('VVP1'!$G$82,0,5*(COLUMN()-7))</f>
        <v>0</v>
      </c>
      <c r="AA137" s="3165">
        <f ca="1">OFFSET('VVP1'!$G$82,0,5*(COLUMN()-7))</f>
        <v>0</v>
      </c>
      <c r="AB137" s="3165">
        <f ca="1">OFFSET('VVP1'!$G$82,0,5*(COLUMN()-7))</f>
        <v>0</v>
      </c>
      <c r="AC137" s="3165">
        <f ca="1">OFFSET('VVP1'!$G$82,0,5*(COLUMN()-7))</f>
        <v>0</v>
      </c>
      <c r="AD137" s="3165">
        <f ca="1">OFFSET('VVP1'!$G$82,0,5*(COLUMN()-7))</f>
        <v>0</v>
      </c>
      <c r="AE137" s="3165">
        <f ca="1">OFFSET('VVP1'!$G$82,0,5*(COLUMN()-7))</f>
        <v>0</v>
      </c>
    </row>
    <row r="138" spans="1:31" s="749" customFormat="1" ht="12.75" customHeight="1">
      <c r="A138" s="714"/>
      <c r="B138" s="714"/>
      <c r="C138" s="822"/>
      <c r="D138" s="766"/>
      <c r="E138" s="3123" t="s">
        <v>1205</v>
      </c>
      <c r="F138" s="3123" t="s">
        <v>467</v>
      </c>
      <c r="G138" s="770"/>
      <c r="H138" s="3123">
        <f t="shared" ref="H138:AC138" ca="1" si="162">+(H132/G132-1)*100</f>
        <v>-3.8232187861419797</v>
      </c>
      <c r="I138" s="3123">
        <f t="shared" si="162"/>
        <v>3.7104481797635591</v>
      </c>
      <c r="J138" s="3123">
        <f t="shared" si="162"/>
        <v>1.9752719728868051</v>
      </c>
      <c r="K138" s="3123">
        <f t="shared" si="162"/>
        <v>3.5633109517135386</v>
      </c>
      <c r="L138" s="3123">
        <f t="shared" si="162"/>
        <v>3.6336527572645716</v>
      </c>
      <c r="M138" s="3123">
        <f t="shared" si="162"/>
        <v>0.81154554028661785</v>
      </c>
      <c r="N138" s="3123">
        <f t="shared" si="162"/>
        <v>1.7805059235399101</v>
      </c>
      <c r="O138" s="3123">
        <f t="shared" si="162"/>
        <v>0.77440169173059736</v>
      </c>
      <c r="P138" s="3123">
        <f t="shared" si="162"/>
        <v>3.6348512375222075</v>
      </c>
      <c r="Q138" s="3123">
        <f t="shared" si="162"/>
        <v>2.0942707880946099</v>
      </c>
      <c r="R138" s="3123">
        <f t="shared" si="162"/>
        <v>2.5061414501406976</v>
      </c>
      <c r="S138" s="3123">
        <f t="shared" si="162"/>
        <v>3.4489736482902655</v>
      </c>
      <c r="T138" s="3123">
        <f t="shared" si="162"/>
        <v>0.7831720065866854</v>
      </c>
      <c r="U138" s="3123">
        <f t="shared" si="162"/>
        <v>-2.2531733495413597</v>
      </c>
      <c r="V138" s="3123">
        <f t="shared" si="162"/>
        <v>2.7442122598526408</v>
      </c>
      <c r="W138" s="3123">
        <f t="shared" si="162"/>
        <v>1.7983021113364694</v>
      </c>
      <c r="X138" s="3123">
        <f t="shared" si="162"/>
        <v>0.23479676422475393</v>
      </c>
      <c r="Y138" s="3123">
        <f t="shared" si="162"/>
        <v>0.20065025715310103</v>
      </c>
      <c r="Z138" s="3123">
        <f t="shared" si="162"/>
        <v>1.3514346509449604</v>
      </c>
      <c r="AA138" s="3123">
        <f t="shared" si="162"/>
        <v>1.4044950428195202</v>
      </c>
      <c r="AB138" s="3123">
        <f t="shared" si="162"/>
        <v>1.4660051412683783</v>
      </c>
      <c r="AC138" s="3123">
        <f t="shared" si="162"/>
        <v>1.6865077937902484</v>
      </c>
      <c r="AD138" s="3124">
        <f ca="1">IF(UPPER('VVP1'!$F$2)="Y",OFFSET('VVP1'!$G$16,0,5*(COLUMN()-7)),('VVP2'!AD132/'VVP2'!AC132-1)*100)</f>
        <v>1.8083298569664841</v>
      </c>
      <c r="AE138" s="3124">
        <f ca="1">IF(UPPER('VVP1'!$F$2)="Y",OFFSET('VVP1'!$G$16,0,5*(COLUMN()-7)),('VVP2'!AE132/'VVP2'!AD132-1)*100)</f>
        <v>1.7329264820707513</v>
      </c>
    </row>
    <row r="139" spans="1:31">
      <c r="H139" s="3734">
        <f ca="1">H141+H142</f>
        <v>-2.0335966641271215</v>
      </c>
      <c r="I139" s="3734">
        <f t="shared" ref="I139:AD139" ca="1" si="163">I141+I142</f>
        <v>1.1028627251506609</v>
      </c>
      <c r="J139" s="3734">
        <f t="shared" ca="1" si="163"/>
        <v>1.8378774091224259</v>
      </c>
      <c r="K139" s="3734">
        <f t="shared" ca="1" si="163"/>
        <v>1.453974397063885</v>
      </c>
      <c r="L139" s="3734">
        <f t="shared" ca="1" si="163"/>
        <v>2.1505864721627663</v>
      </c>
      <c r="M139" s="3734">
        <f t="shared" ca="1" si="163"/>
        <v>0.74417385781058276</v>
      </c>
      <c r="N139" s="3734">
        <f t="shared" ca="1" si="163"/>
        <v>0.77697660362601262</v>
      </c>
      <c r="O139" s="3734">
        <f t="shared" ca="1" si="163"/>
        <v>0.57439165539064385</v>
      </c>
      <c r="P139" s="3734">
        <f t="shared" ca="1" si="163"/>
        <v>1.1610670933979856</v>
      </c>
      <c r="Q139" s="3734">
        <f t="shared" ca="1" si="163"/>
        <v>0.76681090064119173</v>
      </c>
      <c r="R139" s="3734">
        <f t="shared" ca="1" si="163"/>
        <v>0.95460695139238061</v>
      </c>
      <c r="S139" s="3734">
        <f t="shared" ca="1" si="163"/>
        <v>1.356568258137449</v>
      </c>
      <c r="T139" s="3734">
        <f t="shared" ca="1" si="163"/>
        <v>1.4677054534141862</v>
      </c>
      <c r="U139" s="3734">
        <f t="shared" ca="1" si="163"/>
        <v>0.50463071057617026</v>
      </c>
      <c r="V139" s="3734">
        <f t="shared" ca="1" si="163"/>
        <v>1.6389339558147522</v>
      </c>
      <c r="W139" s="3734">
        <f t="shared" ca="1" si="163"/>
        <v>0.46938856561413356</v>
      </c>
      <c r="X139" s="3734">
        <f t="shared" ca="1" si="163"/>
        <v>0.63754779844081721</v>
      </c>
      <c r="Y139" s="3734">
        <f t="shared" ca="1" si="163"/>
        <v>0.46366632178880196</v>
      </c>
      <c r="Z139" s="3734">
        <f t="shared" ca="1" si="163"/>
        <v>0.48000245119211282</v>
      </c>
      <c r="AA139" s="3734">
        <f t="shared" ca="1" si="163"/>
        <v>0.57765845803132021</v>
      </c>
      <c r="AB139" s="3734">
        <f t="shared" ca="1" si="163"/>
        <v>0.97272257567482812</v>
      </c>
      <c r="AC139" s="3734">
        <f t="shared" ca="1" si="163"/>
        <v>0.82617259833610368</v>
      </c>
      <c r="AD139" s="3734">
        <f t="shared" ca="1" si="163"/>
        <v>0.88254521367454775</v>
      </c>
      <c r="AE139" s="3734">
        <f t="shared" ref="AE139" ca="1" si="164">AE141+AE142</f>
        <v>1.1249001899984707</v>
      </c>
    </row>
    <row r="140" spans="1:31">
      <c r="A140" s="1123"/>
      <c r="D140" s="1388"/>
      <c r="E140" s="3166" t="s">
        <v>1160</v>
      </c>
      <c r="F140" s="3167"/>
      <c r="G140" s="3246">
        <f>InputY!$G$3</f>
        <v>1995</v>
      </c>
      <c r="H140" s="861">
        <f t="shared" ref="H140:W140" si="165">+G140+1</f>
        <v>1996</v>
      </c>
      <c r="I140" s="861">
        <f t="shared" si="165"/>
        <v>1997</v>
      </c>
      <c r="J140" s="861">
        <f t="shared" si="165"/>
        <v>1998</v>
      </c>
      <c r="K140" s="861">
        <f t="shared" si="165"/>
        <v>1999</v>
      </c>
      <c r="L140" s="861">
        <f t="shared" si="165"/>
        <v>2000</v>
      </c>
      <c r="M140" s="861">
        <f t="shared" si="165"/>
        <v>2001</v>
      </c>
      <c r="N140" s="861">
        <f t="shared" si="165"/>
        <v>2002</v>
      </c>
      <c r="O140" s="861">
        <f t="shared" si="165"/>
        <v>2003</v>
      </c>
      <c r="P140" s="861">
        <f t="shared" si="165"/>
        <v>2004</v>
      </c>
      <c r="Q140" s="861">
        <f t="shared" si="165"/>
        <v>2005</v>
      </c>
      <c r="R140" s="861">
        <f t="shared" si="165"/>
        <v>2006</v>
      </c>
      <c r="S140" s="861">
        <f t="shared" si="165"/>
        <v>2007</v>
      </c>
      <c r="T140" s="861">
        <f t="shared" si="165"/>
        <v>2008</v>
      </c>
      <c r="U140" s="861">
        <f t="shared" si="165"/>
        <v>2009</v>
      </c>
      <c r="V140" s="861">
        <f t="shared" si="165"/>
        <v>2010</v>
      </c>
      <c r="W140" s="861">
        <f t="shared" si="165"/>
        <v>2011</v>
      </c>
      <c r="X140" s="861">
        <f t="shared" ref="X140:AE140" si="166">+W140+1</f>
        <v>2012</v>
      </c>
      <c r="Y140" s="861">
        <f t="shared" si="166"/>
        <v>2013</v>
      </c>
      <c r="Z140" s="861">
        <f t="shared" si="166"/>
        <v>2014</v>
      </c>
      <c r="AA140" s="861">
        <f t="shared" si="166"/>
        <v>2015</v>
      </c>
      <c r="AB140" s="861">
        <f t="shared" si="166"/>
        <v>2016</v>
      </c>
      <c r="AC140" s="861">
        <f t="shared" si="166"/>
        <v>2017</v>
      </c>
      <c r="AD140" s="861">
        <f t="shared" si="166"/>
        <v>2018</v>
      </c>
      <c r="AE140" s="861">
        <f t="shared" si="166"/>
        <v>2019</v>
      </c>
    </row>
    <row r="141" spans="1:31">
      <c r="A141" s="714"/>
      <c r="C141" s="1390"/>
      <c r="D141" s="3168" t="s">
        <v>589</v>
      </c>
      <c r="E141" s="1" t="s">
        <v>1043</v>
      </c>
      <c r="F141" s="1392" t="s">
        <v>511</v>
      </c>
      <c r="G141" s="3083"/>
      <c r="H141" s="3083">
        <f ca="1">IF(UPPER('VVP1'!$F$2)="Y",(OFFSET('VVP1'!$M7,0,5*(COLUMN()-8))-OFFSET('VVP1'!$J7,0,5*(COLUMN()-8)))/OFFSET('VVP1'!$J$16,0,5*(COLUMN()-8))*100,(H7-G7)/G$132*100)</f>
        <v>-1.1139006213635771</v>
      </c>
      <c r="I141" s="3083">
        <f ca="1">IF(UPPER('VVP1'!$F$2)="Y",(OFFSET('VVP1'!$M7,0,5*(COLUMN()-8))-OFFSET('VVP1'!$J7,0,5*(COLUMN()-8)))/OFFSET('VVP1'!$J$16,0,5*(COLUMN()-8))*100,(I7-H7)/H$132*100)</f>
        <v>0.96491691828715187</v>
      </c>
      <c r="J141" s="3083">
        <f ca="1">IF(UPPER('VVP1'!$F$2)="Y",(OFFSET('VVP1'!$M7,0,5*(COLUMN()-8))-OFFSET('VVP1'!$J7,0,5*(COLUMN()-8)))/OFFSET('VVP1'!$J$16,0,5*(COLUMN()-8))*100,(J7-I7)/I$132*100)</f>
        <v>1.4506130542237805</v>
      </c>
      <c r="K141" s="3083">
        <f ca="1">IF(UPPER('VVP1'!$F$2)="Y",(OFFSET('VVP1'!$M7,0,5*(COLUMN()-8))-OFFSET('VVP1'!$J7,0,5*(COLUMN()-8)))/OFFSET('VVP1'!$J$16,0,5*(COLUMN()-8))*100,(K7-J7)/J$132*100)</f>
        <v>0.89526325867190937</v>
      </c>
      <c r="L141" s="3083">
        <f ca="1">IF(UPPER('VVP1'!$F$2)="Y",(OFFSET('VVP1'!$M7,0,5*(COLUMN()-8))-OFFSET('VVP1'!$J7,0,5*(COLUMN()-8)))/OFFSET('VVP1'!$J$16,0,5*(COLUMN()-8))*100,(L7-K7)/K$132*100)</f>
        <v>1.5234338665464504</v>
      </c>
      <c r="M141" s="3083">
        <f ca="1">IF(UPPER('VVP1'!$F$2)="Y",(OFFSET('VVP1'!$M7,0,5*(COLUMN()-8))-OFFSET('VVP1'!$J7,0,5*(COLUMN()-8)))/OFFSET('VVP1'!$J$16,0,5*(COLUMN()-8))*100,(M7-L7)/L$132*100)</f>
        <v>0.53446164035321875</v>
      </c>
      <c r="N141" s="3083">
        <f ca="1">IF(UPPER('VVP1'!$F$2)="Y",(OFFSET('VVP1'!$M7,0,5*(COLUMN()-8))-OFFSET('VVP1'!$J7,0,5*(COLUMN()-8)))/OFFSET('VVP1'!$J$16,0,5*(COLUMN()-8))*100,(N7-M7)/M$132*100)</f>
        <v>0.20988262599505259</v>
      </c>
      <c r="O141" s="3083">
        <f ca="1">IF(UPPER('VVP1'!$F$2)="Y",(OFFSET('VVP1'!$M7,0,5*(COLUMN()-8))-OFFSET('VVP1'!$J7,0,5*(COLUMN()-8)))/OFFSET('VVP1'!$J$16,0,5*(COLUMN()-8))*100,(O7-N7)/N$132*100)</f>
        <v>0.26837959811748913</v>
      </c>
      <c r="P141" s="3083">
        <f ca="1">IF(UPPER('VVP1'!$F$2)="Y",(OFFSET('VVP1'!$M7,0,5*(COLUMN()-8))-OFFSET('VVP1'!$J7,0,5*(COLUMN()-8)))/OFFSET('VVP1'!$J$16,0,5*(COLUMN()-8))*100,(P7-O7)/O$132*100)</f>
        <v>0.80477897987812164</v>
      </c>
      <c r="Q141" s="3083">
        <f ca="1">IF(UPPER('VVP1'!$F$2)="Y",(OFFSET('VVP1'!$M7,0,5*(COLUMN()-8))-OFFSET('VVP1'!$J7,0,5*(COLUMN()-8)))/OFFSET('VVP1'!$J$16,0,5*(COLUMN()-8))*100,(Q7-P7)/P$132*100)</f>
        <v>0.62442409956384715</v>
      </c>
      <c r="R141" s="3083">
        <f ca="1">IF(UPPER('VVP1'!$F$2)="Y",(OFFSET('VVP1'!$M7,0,5*(COLUMN()-8))-OFFSET('VVP1'!$J7,0,5*(COLUMN()-8)))/OFFSET('VVP1'!$J$16,0,5*(COLUMN()-8))*100,(R7-Q7)/Q$132*100)</f>
        <v>0.74437228846964709</v>
      </c>
      <c r="S141" s="3083">
        <f ca="1">IF(UPPER('VVP1'!$F$2)="Y",(OFFSET('VVP1'!$M7,0,5*(COLUMN()-8))-OFFSET('VVP1'!$J7,0,5*(COLUMN()-8)))/OFFSET('VVP1'!$J$16,0,5*(COLUMN()-8))*100,(S7-R7)/R$132*100)</f>
        <v>0.93587436680562364</v>
      </c>
      <c r="T141" s="3083">
        <f ca="1">IF(UPPER('VVP1'!$F$2)="Y",(OFFSET('VVP1'!$M7,0,5*(COLUMN()-8))-OFFSET('VVP1'!$J7,0,5*(COLUMN()-8)))/OFFSET('VVP1'!$J$16,0,5*(COLUMN()-8))*100,(T7-S7)/S$132*100)</f>
        <v>0.8500888083600191</v>
      </c>
      <c r="U141" s="3083">
        <f ca="1">IF(UPPER('VVP1'!$F$2)="Y",(OFFSET('VVP1'!$M7,0,5*(COLUMN()-8))-OFFSET('VVP1'!$J7,0,5*(COLUMN()-8)))/OFFSET('VVP1'!$J$16,0,5*(COLUMN()-8))*100,(U7-T7)/T$132*100)</f>
        <v>0.25252544750169753</v>
      </c>
      <c r="V141" s="3083">
        <f ca="1">IF(UPPER('VVP1'!$F$2)="Y",(OFFSET('VVP1'!$M7,0,5*(COLUMN()-8))-OFFSET('VVP1'!$J7,0,5*(COLUMN()-8)))/OFFSET('VVP1'!$J$16,0,5*(COLUMN()-8))*100,(V7-U7)/U$132*100)</f>
        <v>1.4085597193930528</v>
      </c>
      <c r="W141" s="3083">
        <f ca="1">IF(UPPER('VVP1'!$F$2)="Y",(OFFSET('VVP1'!$M7,0,5*(COLUMN()-8))-OFFSET('VVP1'!$J7,0,5*(COLUMN()-8)))/OFFSET('VVP1'!$J$16,0,5*(COLUMN()-8))*100,(W7-V7)/V$132*100)</f>
        <v>0.17878364998131274</v>
      </c>
      <c r="X141" s="3083">
        <f ca="1">IF(UPPER('VVP1'!$F$2)="Y",(OFFSET('VVP1'!$M7,0,5*(COLUMN()-8))-OFFSET('VVP1'!$J7,0,5*(COLUMN()-8)))/OFFSET('VVP1'!$J$16,0,5*(COLUMN()-8))*100,(X7-W7)/W$132*100)</f>
        <v>0.30224192696025498</v>
      </c>
      <c r="Y141" s="3083">
        <f ca="1">IF(UPPER('VVP1'!$F$2)="Y",(OFFSET('VVP1'!$M7,0,5*(COLUMN()-8))-OFFSET('VVP1'!$J7,0,5*(COLUMN()-8)))/OFFSET('VVP1'!$J$16,0,5*(COLUMN()-8))*100,(Y7-X7)/X$132*100)</f>
        <v>0.38744997308047802</v>
      </c>
      <c r="Z141" s="3083">
        <f ca="1">IF(UPPER('VVP1'!$F$2)="Y",(OFFSET('VVP1'!$M7,0,5*(COLUMN()-8))-OFFSET('VVP1'!$J7,0,5*(COLUMN()-8)))/OFFSET('VVP1'!$J$16,0,5*(COLUMN()-8))*100,(Z7-Y7)/Y$132*100)</f>
        <v>0.31815864939392213</v>
      </c>
      <c r="AA141" s="3083">
        <f ca="1">IF(UPPER('VVP1'!$F$2)="Y",(OFFSET('VVP1'!$M7,0,5*(COLUMN()-8))-OFFSET('VVP1'!$J7,0,5*(COLUMN()-8)))/OFFSET('VVP1'!$J$16,0,5*(COLUMN()-8))*100,(AA7-Z7)/Z$132*100)</f>
        <v>0.46237300319774732</v>
      </c>
      <c r="AB141" s="3083">
        <f ca="1">IF(UPPER('VVP1'!$F$2)="Y",(OFFSET('VVP1'!$M7,0,5*(COLUMN()-8))-OFFSET('VVP1'!$J7,0,5*(COLUMN()-8)))/OFFSET('VVP1'!$J$16,0,5*(COLUMN()-8))*100,(AB7-AA7)/AA$132*100)</f>
        <v>0.84722198719863351</v>
      </c>
      <c r="AC141" s="1284">
        <f ca="1">IF(UPPER('VVP1'!$F$2)="Y",(OFFSET('VVP1'!$M7,0,5*(COLUMN()-8))-OFFSET('VVP1'!$J7,0,5*(COLUMN()-8)))/OFFSET('VVP1'!$J$16,0,5*(COLUMN()-8))*100,(AC7-AB7)/AB$132*100)</f>
        <v>0.57653793488743299</v>
      </c>
      <c r="AD141" s="1284">
        <f ca="1">IF(UPPER('VVP1'!$F$2)="Y",(OFFSET('VVP1'!$M7,0,5*(COLUMN()-8))-OFFSET('VVP1'!$J7,0,5*(COLUMN()-8)))/OFFSET('VVP1'!$J$16,0,5*(COLUMN()-8))*100,(AD7-AC7)/AC$132*100)</f>
        <v>0.83809773478931526</v>
      </c>
      <c r="AE141" s="1284">
        <f ca="1">IF(UPPER('VVP1'!$F$2)="Y",(OFFSET('VVP1'!$M7,0,5*(COLUMN()-8))-OFFSET('VVP1'!$J7,0,5*(COLUMN()-8)))/OFFSET('VVP1'!$J$16,0,5*(COLUMN()-8))*100,(AE7-AD7)/AD$132*100)</f>
        <v>0.89382077662302961</v>
      </c>
    </row>
    <row r="142" spans="1:31">
      <c r="A142" s="714"/>
      <c r="C142" s="1391"/>
      <c r="D142" s="1106" t="s">
        <v>591</v>
      </c>
      <c r="E142" s="1" t="s">
        <v>1043</v>
      </c>
      <c r="F142" s="1392" t="s">
        <v>39</v>
      </c>
      <c r="G142" s="3083"/>
      <c r="H142" s="554">
        <f ca="1">IF(UPPER('VVP1'!$F$2)="Y",(OFFSET('VVP1'!$M8,0,5*(COLUMN()-8))-OFFSET('VVP1'!$J8,0,5*(COLUMN()-8)))/OFFSET('VVP1'!$J$16,0,5*(COLUMN()-8))*100,(H13-G13)/G$132*100)</f>
        <v>-0.91969604276354411</v>
      </c>
      <c r="I142" s="554">
        <f ca="1">IF(UPPER('VVP1'!$F$2)="Y",(OFFSET('VVP1'!$M8,0,5*(COLUMN()-8))-OFFSET('VVP1'!$J8,0,5*(COLUMN()-8)))/OFFSET('VVP1'!$J$16,0,5*(COLUMN()-8))*100,(I13-H13)/H$132*100)</f>
        <v>0.1379458068635091</v>
      </c>
      <c r="J142" s="554">
        <f ca="1">IF(UPPER('VVP1'!$F$2)="Y",(OFFSET('VVP1'!$M8,0,5*(COLUMN()-8))-OFFSET('VVP1'!$J8,0,5*(COLUMN()-8)))/OFFSET('VVP1'!$J$16,0,5*(COLUMN()-8))*100,(J13-I13)/I$132*100)</f>
        <v>0.38726435489864541</v>
      </c>
      <c r="K142" s="554">
        <f ca="1">IF(UPPER('VVP1'!$F$2)="Y",(OFFSET('VVP1'!$M8,0,5*(COLUMN()-8))-OFFSET('VVP1'!$J8,0,5*(COLUMN()-8)))/OFFSET('VVP1'!$J$16,0,5*(COLUMN()-8))*100,(K13-J13)/J$132*100)</f>
        <v>0.5587111383919755</v>
      </c>
      <c r="L142" s="554">
        <f ca="1">IF(UPPER('VVP1'!$F$2)="Y",(OFFSET('VVP1'!$M8,0,5*(COLUMN()-8))-OFFSET('VVP1'!$J8,0,5*(COLUMN()-8)))/OFFSET('VVP1'!$J$16,0,5*(COLUMN()-8))*100,(L13-K13)/K$132*100)</f>
        <v>0.62715260561631603</v>
      </c>
      <c r="M142" s="554">
        <f ca="1">IF(UPPER('VVP1'!$F$2)="Y",(OFFSET('VVP1'!$M8,0,5*(COLUMN()-8))-OFFSET('VVP1'!$J8,0,5*(COLUMN()-8)))/OFFSET('VVP1'!$J$16,0,5*(COLUMN()-8))*100,(M13-L13)/L$132*100)</f>
        <v>0.20971221745736407</v>
      </c>
      <c r="N142" s="554">
        <f ca="1">IF(UPPER('VVP1'!$F$2)="Y",(OFFSET('VVP1'!$M8,0,5*(COLUMN()-8))-OFFSET('VVP1'!$J8,0,5*(COLUMN()-8)))/OFFSET('VVP1'!$J$16,0,5*(COLUMN()-8))*100,(N13-M13)/M$132*100)</f>
        <v>0.56709397763096003</v>
      </c>
      <c r="O142" s="554">
        <f ca="1">IF(UPPER('VVP1'!$F$2)="Y",(OFFSET('VVP1'!$M8,0,5*(COLUMN()-8))-OFFSET('VVP1'!$J8,0,5*(COLUMN()-8)))/OFFSET('VVP1'!$J$16,0,5*(COLUMN()-8))*100,(O13-N13)/N$132*100)</f>
        <v>0.30601205727315467</v>
      </c>
      <c r="P142" s="554">
        <f ca="1">IF(UPPER('VVP1'!$F$2)="Y",(OFFSET('VVP1'!$M8,0,5*(COLUMN()-8))-OFFSET('VVP1'!$J8,0,5*(COLUMN()-8)))/OFFSET('VVP1'!$J$16,0,5*(COLUMN()-8))*100,(P13-O13)/O$132*100)</f>
        <v>0.35628811351986395</v>
      </c>
      <c r="Q142" s="554">
        <f ca="1">IF(UPPER('VVP1'!$F$2)="Y",(OFFSET('VVP1'!$M8,0,5*(COLUMN()-8))-OFFSET('VVP1'!$J8,0,5*(COLUMN()-8)))/OFFSET('VVP1'!$J$16,0,5*(COLUMN()-8))*100,(Q13-P13)/P$132*100)</f>
        <v>0.14238680107734455</v>
      </c>
      <c r="R142" s="554">
        <f ca="1">IF(UPPER('VVP1'!$F$2)="Y",(OFFSET('VVP1'!$M8,0,5*(COLUMN()-8))-OFFSET('VVP1'!$J8,0,5*(COLUMN()-8)))/OFFSET('VVP1'!$J$16,0,5*(COLUMN()-8))*100,(R13-Q13)/Q$132*100)</f>
        <v>0.21023466292273349</v>
      </c>
      <c r="S142" s="554">
        <f ca="1">IF(UPPER('VVP1'!$F$2)="Y",(OFFSET('VVP1'!$M8,0,5*(COLUMN()-8))-OFFSET('VVP1'!$J8,0,5*(COLUMN()-8)))/OFFSET('VVP1'!$J$16,0,5*(COLUMN()-8))*100,(S13-R13)/R$132*100)</f>
        <v>0.42069389133182528</v>
      </c>
      <c r="T142" s="554">
        <f ca="1">IF(UPPER('VVP1'!$F$2)="Y",(OFFSET('VVP1'!$M8,0,5*(COLUMN()-8))-OFFSET('VVP1'!$J8,0,5*(COLUMN()-8)))/OFFSET('VVP1'!$J$16,0,5*(COLUMN()-8))*100,(T13-S13)/S$132*100)</f>
        <v>0.61761664505416713</v>
      </c>
      <c r="U142" s="554">
        <f ca="1">IF(UPPER('VVP1'!$F$2)="Y",(OFFSET('VVP1'!$M8,0,5*(COLUMN()-8))-OFFSET('VVP1'!$J8,0,5*(COLUMN()-8)))/OFFSET('VVP1'!$J$16,0,5*(COLUMN()-8))*100,(U13-T13)/T$132*100)</f>
        <v>0.25210526307447273</v>
      </c>
      <c r="V142" s="554">
        <f ca="1">IF(UPPER('VVP1'!$F$2)="Y",(OFFSET('VVP1'!$M8,0,5*(COLUMN()-8))-OFFSET('VVP1'!$J8,0,5*(COLUMN()-8)))/OFFSET('VVP1'!$J$16,0,5*(COLUMN()-8))*100,(V13-U13)/U$132*100)</f>
        <v>0.23037423642169949</v>
      </c>
      <c r="W142" s="554">
        <f ca="1">IF(UPPER('VVP1'!$F$2)="Y",(OFFSET('VVP1'!$M8,0,5*(COLUMN()-8))-OFFSET('VVP1'!$J8,0,5*(COLUMN()-8)))/OFFSET('VVP1'!$J$16,0,5*(COLUMN()-8))*100,(W13-V13)/V$132*100)</f>
        <v>0.29060491563282081</v>
      </c>
      <c r="X142" s="554">
        <f ca="1">IF(UPPER('VVP1'!$F$2)="Y",(OFFSET('VVP1'!$M8,0,5*(COLUMN()-8))-OFFSET('VVP1'!$J8,0,5*(COLUMN()-8)))/OFFSET('VVP1'!$J$16,0,5*(COLUMN()-8))*100,(X13-W13)/W$132*100)</f>
        <v>0.33530587148056223</v>
      </c>
      <c r="Y142" s="554">
        <f ca="1">IF(UPPER('VVP1'!$F$2)="Y",(OFFSET('VVP1'!$M8,0,5*(COLUMN()-8))-OFFSET('VVP1'!$J8,0,5*(COLUMN()-8)))/OFFSET('VVP1'!$J$16,0,5*(COLUMN()-8))*100,(Y13-X13)/X$132*100)</f>
        <v>7.621634870832393E-2</v>
      </c>
      <c r="Z142" s="554">
        <f ca="1">IF(UPPER('VVP1'!$F$2)="Y",(OFFSET('VVP1'!$M8,0,5*(COLUMN()-8))-OFFSET('VVP1'!$J8,0,5*(COLUMN()-8)))/OFFSET('VVP1'!$J$16,0,5*(COLUMN()-8))*100,(Z13-Y13)/Y$132*100)</f>
        <v>0.16184380179819069</v>
      </c>
      <c r="AA142" s="554">
        <f ca="1">IF(UPPER('VVP1'!$F$2)="Y",(OFFSET('VVP1'!$M8,0,5*(COLUMN()-8))-OFFSET('VVP1'!$J8,0,5*(COLUMN()-8)))/OFFSET('VVP1'!$J$16,0,5*(COLUMN()-8))*100,(AA13-Z13)/Z$132*100)</f>
        <v>0.11528545483357286</v>
      </c>
      <c r="AB142" s="554">
        <f ca="1">IF(UPPER('VVP1'!$F$2)="Y",(OFFSET('VVP1'!$M8,0,5*(COLUMN()-8))-OFFSET('VVP1'!$J8,0,5*(COLUMN()-8)))/OFFSET('VVP1'!$J$16,0,5*(COLUMN()-8))*100,(AB13-AA13)/AA$132*100)</f>
        <v>0.12550058847619461</v>
      </c>
      <c r="AC142" s="2910">
        <f ca="1">IF(UPPER('VVP1'!$F$2)="Y",(OFFSET('VVP1'!$M8,0,5*(COLUMN()-8))-OFFSET('VVP1'!$J8,0,5*(COLUMN()-8)))/OFFSET('VVP1'!$J$16,0,5*(COLUMN()-8))*100,(AC13-AB13)/AB$132*100)</f>
        <v>0.24963466344867064</v>
      </c>
      <c r="AD142" s="2910">
        <f ca="1">IF(UPPER('VVP1'!$F$2)="Y",(OFFSET('VVP1'!$M8,0,5*(COLUMN()-8))-OFFSET('VVP1'!$J8,0,5*(COLUMN()-8)))/OFFSET('VVP1'!$J$16,0,5*(COLUMN()-8))*100,(AD13-AC13)/AC$132*100)</f>
        <v>4.4447478885232435E-2</v>
      </c>
      <c r="AE142" s="2910">
        <f ca="1">IF(UPPER('VVP1'!$F$2)="Y",(OFFSET('VVP1'!$M8,0,5*(COLUMN()-8))-OFFSET('VVP1'!$J8,0,5*(COLUMN()-8)))/OFFSET('VVP1'!$J$16,0,5*(COLUMN()-8))*100,(AE13-AD13)/AD$132*100)</f>
        <v>0.23107941337544119</v>
      </c>
    </row>
    <row r="143" spans="1:31">
      <c r="A143" s="714"/>
      <c r="C143" s="1391"/>
      <c r="D143" s="3169"/>
      <c r="E143" s="113" t="s">
        <v>1248</v>
      </c>
      <c r="F143" s="3170" t="s">
        <v>2048</v>
      </c>
      <c r="G143" s="1420"/>
      <c r="H143" s="3171">
        <f ca="1">IF(UPPER('VVP1'!$F$2)="Y",(OFFSET('VVP1'!$M9,0,5*(COLUMN()-8))-OFFSET('VVP1'!$J9,0,5*(COLUMN()-8)))/OFFSET('VVP1'!$J$16,0,5*(COLUMN()-8))*100,(H29-G29)/G$132*100)</f>
        <v>-1.2658676352206613</v>
      </c>
      <c r="I143" s="3171">
        <f ca="1">IF(UPPER('VVP1'!$F$2)="Y",(OFFSET('VVP1'!$M9,0,5*(COLUMN()-8))-OFFSET('VVP1'!$J9,0,5*(COLUMN()-8)))/OFFSET('VVP1'!$J$16,0,5*(COLUMN()-8))*100,(I29-H29)/H$132*100)</f>
        <v>1.4150489013273255</v>
      </c>
      <c r="J143" s="3171">
        <f ca="1">IF(UPPER('VVP1'!$F$2)="Y",(OFFSET('VVP1'!$M9,0,5*(COLUMN()-8))-OFFSET('VVP1'!$J9,0,5*(COLUMN()-8)))/OFFSET('VVP1'!$J$16,0,5*(COLUMN()-8))*100,(J29-I29)/I$132*100)</f>
        <v>0.53902333749461384</v>
      </c>
      <c r="K143" s="3171">
        <f ca="1">IF(UPPER('VVP1'!$F$2)="Y",(OFFSET('VVP1'!$M9,0,5*(COLUMN()-8))-OFFSET('VVP1'!$J9,0,5*(COLUMN()-8)))/OFFSET('VVP1'!$J$16,0,5*(COLUMN()-8))*100,(K29-J29)/J$132*100)</f>
        <v>0.82747811511019276</v>
      </c>
      <c r="L143" s="3171">
        <f ca="1">IF(UPPER('VVP1'!$F$2)="Y",(OFFSET('VVP1'!$M9,0,5*(COLUMN()-8))-OFFSET('VVP1'!$J9,0,5*(COLUMN()-8)))/OFFSET('VVP1'!$J$16,0,5*(COLUMN()-8))*100,(L29-K29)/K$132*100)</f>
        <v>0.97142063329105355</v>
      </c>
      <c r="M143" s="3171">
        <f ca="1">IF(UPPER('VVP1'!$F$2)="Y",(OFFSET('VVP1'!$M9,0,5*(COLUMN()-8))-OFFSET('VVP1'!$J9,0,5*(COLUMN()-8)))/OFFSET('VVP1'!$J$16,0,5*(COLUMN()-8))*100,(M29-L29)/L$132*100)</f>
        <v>0.36658020983203365</v>
      </c>
      <c r="N143" s="3171">
        <f ca="1">IF(UPPER('VVP1'!$F$2)="Y",(OFFSET('VVP1'!$M9,0,5*(COLUMN()-8))-OFFSET('VVP1'!$J9,0,5*(COLUMN()-8)))/OFFSET('VVP1'!$J$16,0,5*(COLUMN()-8))*100,(N29-M29)/M$132*100)</f>
        <v>-0.9668286893743272</v>
      </c>
      <c r="O143" s="3171">
        <f ca="1">IF(UPPER('VVP1'!$F$2)="Y",(OFFSET('VVP1'!$M9,0,5*(COLUMN()-8))-OFFSET('VVP1'!$J9,0,5*(COLUMN()-8)))/OFFSET('VVP1'!$J$16,0,5*(COLUMN()-8))*100,(O29-N29)/N$132*100)</f>
        <v>-8.3337003677023874E-2</v>
      </c>
      <c r="P143" s="3171">
        <f ca="1">IF(UPPER('VVP1'!$F$2)="Y",(OFFSET('VVP1'!$M9,0,5*(COLUMN()-8))-OFFSET('VVP1'!$J9,0,5*(COLUMN()-8)))/OFFSET('VVP1'!$J$16,0,5*(COLUMN()-8))*100,(P29-O29)/O$132*100)</f>
        <v>1.8155022980709958</v>
      </c>
      <c r="Q143" s="3171">
        <f ca="1">IF(UPPER('VVP1'!$F$2)="Y",(OFFSET('VVP1'!$M9,0,5*(COLUMN()-8))-OFFSET('VVP1'!$J9,0,5*(COLUMN()-8)))/OFFSET('VVP1'!$J$16,0,5*(COLUMN()-8))*100,(Q29-P29)/P$132*100)</f>
        <v>1.2961569904697439</v>
      </c>
      <c r="R143" s="3171">
        <f ca="1">IF(UPPER('VVP1'!$F$2)="Y",(OFFSET('VVP1'!$M9,0,5*(COLUMN()-8))-OFFSET('VVP1'!$J9,0,5*(COLUMN()-8)))/OFFSET('VVP1'!$J$16,0,5*(COLUMN()-8))*100,(R29-Q29)/Q$132*100)</f>
        <v>0.43361219143094087</v>
      </c>
      <c r="S143" s="3171">
        <f ca="1">IF(UPPER('VVP1'!$F$2)="Y",(OFFSET('VVP1'!$M9,0,5*(COLUMN()-8))-OFFSET('VVP1'!$J9,0,5*(COLUMN()-8)))/OFFSET('VVP1'!$J$16,0,5*(COLUMN()-8))*100,(S29-R29)/R$132*100)</f>
        <v>1.5094020856703105</v>
      </c>
      <c r="T143" s="3171">
        <f ca="1">IF(UPPER('VVP1'!$F$2)="Y",(OFFSET('VVP1'!$M9,0,5*(COLUMN()-8))-OFFSET('VVP1'!$J9,0,5*(COLUMN()-8)))/OFFSET('VVP1'!$J$16,0,5*(COLUMN()-8))*100,(T29-S29)/S$132*100)</f>
        <v>0.43971092528165956</v>
      </c>
      <c r="U143" s="3171">
        <f ca="1">IF(UPPER('VVP1'!$F$2)="Y",(OFFSET('VVP1'!$M9,0,5*(COLUMN()-8))-OFFSET('VVP1'!$J9,0,5*(COLUMN()-8)))/OFFSET('VVP1'!$J$16,0,5*(COLUMN()-8))*100,(U29-T29)/T$132*100)</f>
        <v>-1.5895805646921435</v>
      </c>
      <c r="V143" s="3171">
        <f ca="1">IF(UPPER('VVP1'!$F$2)="Y",(OFFSET('VVP1'!$M9,0,5*(COLUMN()-8))-OFFSET('VVP1'!$J9,0,5*(COLUMN()-8)))/OFFSET('VVP1'!$J$16,0,5*(COLUMN()-8))*100,(V29-U29)/U$132*100)</f>
        <v>-0.1872658165030876</v>
      </c>
      <c r="W143" s="3171">
        <f ca="1">IF(UPPER('VVP1'!$F$2)="Y",(OFFSET('VVP1'!$M9,0,5*(COLUMN()-8))-OFFSET('VVP1'!$J9,0,5*(COLUMN()-8)))/OFFSET('VVP1'!$J$16,0,5*(COLUMN()-8))*100,(W29-V29)/V$132*100)</f>
        <v>0.92060131388480693</v>
      </c>
      <c r="X143" s="3171">
        <f ca="1">IF(UPPER('VVP1'!$F$2)="Y",(OFFSET('VVP1'!$M9,0,5*(COLUMN()-8))-OFFSET('VVP1'!$J9,0,5*(COLUMN()-8)))/OFFSET('VVP1'!$J$16,0,5*(COLUMN()-8))*100,(X29-W29)/W$132*100)</f>
        <v>4.4433741125888271E-2</v>
      </c>
      <c r="Y143" s="3171">
        <f ca="1">IF(UPPER('VVP1'!$F$2)="Y",(OFFSET('VVP1'!$M9,0,5*(COLUMN()-8))-OFFSET('VVP1'!$J9,0,5*(COLUMN()-8)))/OFFSET('VVP1'!$J$16,0,5*(COLUMN()-8))*100,(Y29-X29)/X$132*100)</f>
        <v>-0.33686403243621443</v>
      </c>
      <c r="Z143" s="3171">
        <f ca="1">IF(UPPER('VVP1'!$F$2)="Y",(OFFSET('VVP1'!$M9,0,5*(COLUMN()-8))-OFFSET('VVP1'!$J9,0,5*(COLUMN()-8)))/OFFSET('VVP1'!$J$16,0,5*(COLUMN()-8))*100,(Z29-Y29)/Y$132*100)</f>
        <v>1.3214164814457232</v>
      </c>
      <c r="AA143" s="3171">
        <f ca="1">IF(UPPER('VVP1'!$F$2)="Y",(OFFSET('VVP1'!$M9,0,5*(COLUMN()-8))-OFFSET('VVP1'!$J9,0,5*(COLUMN()-8)))/OFFSET('VVP1'!$J$16,0,5*(COLUMN()-8))*100,(AA29-Z29)/Z$132*100)</f>
        <v>0.61724243317277572</v>
      </c>
      <c r="AB143" s="3171">
        <f ca="1">IF(UPPER('VVP1'!$F$2)="Y",(OFFSET('VVP1'!$M9,0,5*(COLUMN()-8))-OFFSET('VVP1'!$J9,0,5*(COLUMN()-8)))/OFFSET('VVP1'!$J$16,0,5*(COLUMN()-8))*100,(AB29-AA29)/AA$132*100)</f>
        <v>0.83540532445232407</v>
      </c>
      <c r="AC143" s="3922">
        <f ca="1">IF(UPPER('VVP1'!$F$2)="Y",(OFFSET('VVP1'!$M9,0,5*(COLUMN()-8))-OFFSET('VVP1'!$J9,0,5*(COLUMN()-8)))/OFFSET('VVP1'!$J$16,0,5*(COLUMN()-8))*100,(AC29-AB29)/AB$132*100)</f>
        <v>0.2318237001027392</v>
      </c>
      <c r="AD143" s="3922">
        <f ca="1">IF(UPPER('VVP1'!$F$2)="Y",(OFFSET('VVP1'!$M9,0,5*(COLUMN()-8))-OFFSET('VVP1'!$J9,0,5*(COLUMN()-8)))/OFFSET('VVP1'!$J$16,0,5*(COLUMN()-8))*100,(AD29-AC29)/AC$132*100)</f>
        <v>0.92545260426477838</v>
      </c>
      <c r="AE143" s="3922">
        <f ca="1">IF(UPPER('VVP1'!$F$2)="Y",(OFFSET('VVP1'!$M9,0,5*(COLUMN()-8))-OFFSET('VVP1'!$J9,0,5*(COLUMN()-8)))/OFFSET('VVP1'!$J$16,0,5*(COLUMN()-8))*100,(AE29-AD29)/AD$132*100)</f>
        <v>0.64579546878933158</v>
      </c>
    </row>
    <row r="144" spans="1:31">
      <c r="A144" s="714"/>
      <c r="C144" s="1391"/>
      <c r="D144" s="1371"/>
      <c r="E144" s="50" t="s">
        <v>1585</v>
      </c>
      <c r="F144" s="30"/>
      <c r="G144" s="30"/>
      <c r="H144" s="1428">
        <f ca="1">IF(UPPER('VVP1'!$F$2)="Y",(OFFSET('VVP1'!$M10,0,5*(COLUMN()-8))-OFFSET('VVP1'!$J10,0,5*(COLUMN()-8)))/OFFSET('VVP1'!$J$16,0,5*(COLUMN()-8))*100,(H61-G61)/G$132*100)</f>
        <v>-3.2994642993477825</v>
      </c>
      <c r="I144" s="1428">
        <f ca="1">IF(UPPER('VVP1'!$F$2)="Y",(OFFSET('VVP1'!$M10,0,5*(COLUMN()-8))-OFFSET('VVP1'!$J10,0,5*(COLUMN()-8)))/OFFSET('VVP1'!$J$16,0,5*(COLUMN()-8))*100,(I61-H61)/H$132*100)</f>
        <v>2.5179116264779928</v>
      </c>
      <c r="J144" s="1428">
        <f ca="1">IF(UPPER('VVP1'!$F$2)="Y",(OFFSET('VVP1'!$M10,0,5*(COLUMN()-8))-OFFSET('VVP1'!$J10,0,5*(COLUMN()-8)))/OFFSET('VVP1'!$J$16,0,5*(COLUMN()-8))*100,(J61-I61)/I$132*100)</f>
        <v>2.3769007466170367</v>
      </c>
      <c r="K144" s="1428">
        <f ca="1">IF(UPPER('VVP1'!$F$2)="Y",(OFFSET('VVP1'!$M10,0,5*(COLUMN()-8))-OFFSET('VVP1'!$J10,0,5*(COLUMN()-8)))/OFFSET('VVP1'!$J$16,0,5*(COLUMN()-8))*100,(K61-J61)/J$132*100)</f>
        <v>2.2814525121740776</v>
      </c>
      <c r="L144" s="1428">
        <f ca="1">IF(UPPER('VVP1'!$F$2)="Y",(OFFSET('VVP1'!$M10,0,5*(COLUMN()-8))-OFFSET('VVP1'!$J10,0,5*(COLUMN()-8)))/OFFSET('VVP1'!$J$16,0,5*(COLUMN()-8))*100,(L61-K61)/K$132*100)</f>
        <v>3.1220071054538172</v>
      </c>
      <c r="M144" s="1428">
        <f ca="1">IF(UPPER('VVP1'!$F$2)="Y",(OFFSET('VVP1'!$M10,0,5*(COLUMN()-8))-OFFSET('VVP1'!$J10,0,5*(COLUMN()-8)))/OFFSET('VVP1'!$J$16,0,5*(COLUMN()-8))*100,(M61-L61)/L$132*100)</f>
        <v>1.1107540676426275</v>
      </c>
      <c r="N144" s="1428">
        <f ca="1">IF(UPPER('VVP1'!$F$2)="Y",(OFFSET('VVP1'!$M10,0,5*(COLUMN()-8))-OFFSET('VVP1'!$J10,0,5*(COLUMN()-8)))/OFFSET('VVP1'!$J$16,0,5*(COLUMN()-8))*100,(N61-M61)/M$132*100)</f>
        <v>-0.18985208574831194</v>
      </c>
      <c r="O144" s="1428">
        <f ca="1">IF(UPPER('VVP1'!$F$2)="Y",(OFFSET('VVP1'!$M10,0,5*(COLUMN()-8))-OFFSET('VVP1'!$J10,0,5*(COLUMN()-8)))/OFFSET('VVP1'!$J$16,0,5*(COLUMN()-8))*100,(O61-N61)/N$132*100)</f>
        <v>0.4910546517136174</v>
      </c>
      <c r="P144" s="1428">
        <f ca="1">IF(UPPER('VVP1'!$F$2)="Y",(OFFSET('VVP1'!$M10,0,5*(COLUMN()-8))-OFFSET('VVP1'!$J10,0,5*(COLUMN()-8)))/OFFSET('VVP1'!$J$16,0,5*(COLUMN()-8))*100,(P61-O61)/O$132*100)</f>
        <v>2.976569391468971</v>
      </c>
      <c r="Q144" s="1428">
        <f ca="1">IF(UPPER('VVP1'!$F$2)="Y",(OFFSET('VVP1'!$M10,0,5*(COLUMN()-8))-OFFSET('VVP1'!$J10,0,5*(COLUMN()-8)))/OFFSET('VVP1'!$J$16,0,5*(COLUMN()-8))*100,(Q61-P61)/P$132*100)</f>
        <v>2.0629678911109499</v>
      </c>
      <c r="R144" s="1428">
        <f ca="1">IF(UPPER('VVP1'!$F$2)="Y",(OFFSET('VVP1'!$M10,0,5*(COLUMN()-8))-OFFSET('VVP1'!$J10,0,5*(COLUMN()-8)))/OFFSET('VVP1'!$J$16,0,5*(COLUMN()-8))*100,(R61-Q61)/Q$132*100)</f>
        <v>1.3882191428233168</v>
      </c>
      <c r="S144" s="1428">
        <f ca="1">IF(UPPER('VVP1'!$F$2)="Y",(OFFSET('VVP1'!$M10,0,5*(COLUMN()-8))-OFFSET('VVP1'!$J10,0,5*(COLUMN()-8)))/OFFSET('VVP1'!$J$16,0,5*(COLUMN()-8))*100,(S61-R61)/R$132*100)</f>
        <v>2.8659703438077639</v>
      </c>
      <c r="T144" s="1428">
        <f ca="1">IF(UPPER('VVP1'!$F$2)="Y",(OFFSET('VVP1'!$M10,0,5*(COLUMN()-8))-OFFSET('VVP1'!$J10,0,5*(COLUMN()-8)))/OFFSET('VVP1'!$J$16,0,5*(COLUMN()-8))*100,(T61-S61)/S$132*100)</f>
        <v>1.9074163786958376</v>
      </c>
      <c r="U144" s="1428">
        <f ca="1">IF(UPPER('VVP1'!$F$2)="Y",(OFFSET('VVP1'!$M10,0,5*(COLUMN()-8))-OFFSET('VVP1'!$J10,0,5*(COLUMN()-8)))/OFFSET('VVP1'!$J$16,0,5*(COLUMN()-8))*100,(U61-T61)/T$132*100)</f>
        <v>-1.084949854115969</v>
      </c>
      <c r="V144" s="1428">
        <f ca="1">IF(UPPER('VVP1'!$F$2)="Y",(OFFSET('VVP1'!$M10,0,5*(COLUMN()-8))-OFFSET('VVP1'!$J10,0,5*(COLUMN()-8)))/OFFSET('VVP1'!$J$16,0,5*(COLUMN()-8))*100,(V61-U61)/U$132*100)</f>
        <v>1.4516681393116606</v>
      </c>
      <c r="W144" s="1428">
        <f ca="1">IF(UPPER('VVP1'!$F$2)="Y",(OFFSET('VVP1'!$M10,0,5*(COLUMN()-8))-OFFSET('VVP1'!$J10,0,5*(COLUMN()-8)))/OFFSET('VVP1'!$J$16,0,5*(COLUMN()-8))*100,(W61-V61)/V$132*100)</f>
        <v>1.3899898794989483</v>
      </c>
      <c r="X144" s="1428">
        <f ca="1">IF(UPPER('VVP1'!$F$2)="Y",(OFFSET('VVP1'!$M10,0,5*(COLUMN()-8))-OFFSET('VVP1'!$J10,0,5*(COLUMN()-8)))/OFFSET('VVP1'!$J$16,0,5*(COLUMN()-8))*100,(X61-W61)/W$132*100)</f>
        <v>0.68198153956671304</v>
      </c>
      <c r="Y144" s="1428">
        <f ca="1">IF(UPPER('VVP1'!$F$2)="Y",(OFFSET('VVP1'!$M10,0,5*(COLUMN()-8))-OFFSET('VVP1'!$J10,0,5*(COLUMN()-8)))/OFFSET('VVP1'!$J$16,0,5*(COLUMN()-8))*100,(Y61-X61)/X$132*100)</f>
        <v>0.12680228935258386</v>
      </c>
      <c r="Z144" s="1428">
        <f ca="1">IF(UPPER('VVP1'!$F$2)="Y",(OFFSET('VVP1'!$M10,0,5*(COLUMN()-8))-OFFSET('VVP1'!$J10,0,5*(COLUMN()-8)))/OFFSET('VVP1'!$J$16,0,5*(COLUMN()-8))*100,(Z61-Y61)/Y$132*100)</f>
        <v>1.8014189326378358</v>
      </c>
      <c r="AA144" s="1428">
        <f ca="1">IF(UPPER('VVP1'!$F$2)="Y",(OFFSET('VVP1'!$M10,0,5*(COLUMN()-8))-OFFSET('VVP1'!$J10,0,5*(COLUMN()-8)))/OFFSET('VVP1'!$J$16,0,5*(COLUMN()-8))*100,(AA61-Z61)/Z$132*100)</f>
        <v>1.194900891204103</v>
      </c>
      <c r="AB144" s="1428">
        <f ca="1">IF(UPPER('VVP1'!$F$2)="Y",(OFFSET('VVP1'!$M10,0,5*(COLUMN()-8))-OFFSET('VVP1'!$J10,0,5*(COLUMN()-8)))/OFFSET('VVP1'!$J$16,0,5*(COLUMN()-8))*100,(AB61-AA61)/AA$132*100)</f>
        <v>1.8081279001271489</v>
      </c>
      <c r="AC144" s="3923">
        <f ca="1">IF(UPPER('VVP1'!$F$2)="Y",(OFFSET('VVP1'!$M10,0,5*(COLUMN()-8))-OFFSET('VVP1'!$J10,0,5*(COLUMN()-8)))/OFFSET('VVP1'!$J$16,0,5*(COLUMN()-8))*100,(AC61-AB61)/AB$132*100)</f>
        <v>1.0579962984388394</v>
      </c>
      <c r="AD144" s="3923">
        <f ca="1">IF(UPPER('VVP1'!$F$2)="Y",(OFFSET('VVP1'!$M10,0,5*(COLUMN()-8))-OFFSET('VVP1'!$J10,0,5*(COLUMN()-8)))/OFFSET('VVP1'!$J$16,0,5*(COLUMN()-8))*100,(AD61-AC61)/AC$132*100)</f>
        <v>1.8079978179393326</v>
      </c>
      <c r="AE144" s="3923">
        <f ca="1">IF(UPPER('VVP1'!$F$2)="Y",(OFFSET('VVP1'!$M10,0,5*(COLUMN()-8))-OFFSET('VVP1'!$J10,0,5*(COLUMN()-8)))/OFFSET('VVP1'!$J$16,0,5*(COLUMN()-8))*100,(AE61-AD61)/AD$132*100)</f>
        <v>1.7706956587878024</v>
      </c>
    </row>
    <row r="145" spans="1:31">
      <c r="A145" s="714"/>
      <c r="C145" s="1391"/>
      <c r="D145" s="3169"/>
      <c r="E145" s="113" t="s">
        <v>1485</v>
      </c>
      <c r="F145" s="1393" t="s">
        <v>1675</v>
      </c>
      <c r="G145" s="1420"/>
      <c r="H145" s="3171">
        <f ca="1">IF(UPPER('VVP1'!$F$2)="Y",(OFFSET('VVP1'!$M11,0,5*(COLUMN()-8))-OFFSET('VVP1'!$J11,0,5*(COLUMN()-8)))/OFFSET('VVP1'!$J$16,0,5*(COLUMN()-8))*100,(H71-G71)/G$132*100)</f>
        <v>-0.32302057075374041</v>
      </c>
      <c r="I145" s="3171">
        <f ca="1">IF(UPPER('VVP1'!$F$2)="Y",(OFFSET('VVP1'!$M11,0,5*(COLUMN()-8))-OFFSET('VVP1'!$J11,0,5*(COLUMN()-8)))/OFFSET('VVP1'!$J$16,0,5*(COLUMN()-8))*100,(I71-H71)/H$132*100)</f>
        <v>0.23341482482889636</v>
      </c>
      <c r="J145" s="3171">
        <f ca="1">IF(UPPER('VVP1'!$F$2)="Y",(OFFSET('VVP1'!$M11,0,5*(COLUMN()-8))-OFFSET('VVP1'!$J11,0,5*(COLUMN()-8)))/OFFSET('VVP1'!$J$16,0,5*(COLUMN()-8))*100,(J71-I71)/I$132*100)</f>
        <v>-0.11569140328893066</v>
      </c>
      <c r="K145" s="3171">
        <f ca="1">IF(UPPER('VVP1'!$F$2)="Y",(OFFSET('VVP1'!$M11,0,5*(COLUMN()-8))-OFFSET('VVP1'!$J11,0,5*(COLUMN()-8)))/OFFSET('VVP1'!$J$16,0,5*(COLUMN()-8))*100,(K71-J71)/J$132*100)</f>
        <v>7.1298013427700341E-2</v>
      </c>
      <c r="L145" s="3171">
        <f ca="1">IF(UPPER('VVP1'!$F$2)="Y",(OFFSET('VVP1'!$M11,0,5*(COLUMN()-8))-OFFSET('VVP1'!$J11,0,5*(COLUMN()-8)))/OFFSET('VVP1'!$J$16,0,5*(COLUMN()-8))*100,(L71-K71)/K$132*100)</f>
        <v>0.47859033404963752</v>
      </c>
      <c r="M145" s="3171">
        <f ca="1">IF(UPPER('VVP1'!$F$2)="Y",(OFFSET('VVP1'!$M11,0,5*(COLUMN()-8))-OFFSET('VVP1'!$J11,0,5*(COLUMN()-8)))/OFFSET('VVP1'!$J$16,0,5*(COLUMN()-8))*100,(M71-L71)/L$132*100)</f>
        <v>-1.0187245637615643</v>
      </c>
      <c r="N145" s="3171">
        <f ca="1">IF(UPPER('VVP1'!$F$2)="Y",(OFFSET('VVP1'!$M11,0,5*(COLUMN()-8))-OFFSET('VVP1'!$J11,0,5*(COLUMN()-8)))/OFFSET('VVP1'!$J$16,0,5*(COLUMN()-8))*100,(N71-M71)/M$132*100)</f>
        <v>-4.6668526354033549E-3</v>
      </c>
      <c r="O145" s="3171">
        <f ca="1">IF(UPPER('VVP1'!$F$2)="Y",(OFFSET('VVP1'!$M11,0,5*(COLUMN()-8))-OFFSET('VVP1'!$J11,0,5*(COLUMN()-8)))/OFFSET('VVP1'!$J$16,0,5*(COLUMN()-8))*100,(O71-N71)/N$132*100)</f>
        <v>0.1454969929051306</v>
      </c>
      <c r="P145" s="3171">
        <f ca="1">IF(UPPER('VVP1'!$F$2)="Y",(OFFSET('VVP1'!$M11,0,5*(COLUMN()-8))-OFFSET('VVP1'!$J11,0,5*(COLUMN()-8)))/OFFSET('VVP1'!$J$16,0,5*(COLUMN()-8))*100,(P71-O71)/O$132*100)</f>
        <v>0.38359268817141823</v>
      </c>
      <c r="Q145" s="3171">
        <f ca="1">IF(UPPER('VVP1'!$F$2)="Y",(OFFSET('VVP1'!$M11,0,5*(COLUMN()-8))-OFFSET('VVP1'!$J11,0,5*(COLUMN()-8)))/OFFSET('VVP1'!$J$16,0,5*(COLUMN()-8))*100,(Q71-P71)/P$132*100)</f>
        <v>0.55909843214821331</v>
      </c>
      <c r="R145" s="3171">
        <f ca="1">IF(UPPER('VVP1'!$F$2)="Y",(OFFSET('VVP1'!$M11,0,5*(COLUMN()-8))-OFFSET('VVP1'!$J11,0,5*(COLUMN()-8)))/OFFSET('VVP1'!$J$16,0,5*(COLUMN()-8))*100,(R71-Q71)/Q$132*100)</f>
        <v>0.45297239764973141</v>
      </c>
      <c r="S145" s="3171">
        <f ca="1">IF(UPPER('VVP1'!$F$2)="Y",(OFFSET('VVP1'!$M11,0,5*(COLUMN()-8))-OFFSET('VVP1'!$J11,0,5*(COLUMN()-8)))/OFFSET('VVP1'!$J$16,0,5*(COLUMN()-8))*100,(S71-R71)/R$132*100)</f>
        <v>0.4838698414509483</v>
      </c>
      <c r="T145" s="3171">
        <f ca="1">IF(UPPER('VVP1'!$F$2)="Y",(OFFSET('VVP1'!$M11,0,5*(COLUMN()-8))-OFFSET('VVP1'!$J11,0,5*(COLUMN()-8)))/OFFSET('VVP1'!$J$16,0,5*(COLUMN()-8))*100,(T71-S71)/S$132*100)</f>
        <v>0.16985941821923886</v>
      </c>
      <c r="U145" s="3171">
        <f ca="1">IF(UPPER('VVP1'!$F$2)="Y",(OFFSET('VVP1'!$M11,0,5*(COLUMN()-8))-OFFSET('VVP1'!$J11,0,5*(COLUMN()-8)))/OFFSET('VVP1'!$J$16,0,5*(COLUMN()-8))*100,(U71-T71)/T$132*100)</f>
        <v>-0.87409943294899906</v>
      </c>
      <c r="V145" s="3171">
        <f ca="1">IF(UPPER('VVP1'!$F$2)="Y",(OFFSET('VVP1'!$M11,0,5*(COLUMN()-8))-OFFSET('VVP1'!$J11,0,5*(COLUMN()-8)))/OFFSET('VVP1'!$J$16,0,5*(COLUMN()-8))*100,(V71-U71)/U$132*100)</f>
        <v>0.58386413294907236</v>
      </c>
      <c r="W145" s="3171">
        <f ca="1">IF(UPPER('VVP1'!$F$2)="Y",(OFFSET('VVP1'!$M11,0,5*(COLUMN()-8))-OFFSET('VVP1'!$J11,0,5*(COLUMN()-8)))/OFFSET('VVP1'!$J$16,0,5*(COLUMN()-8))*100,(W71-V71)/V$132*100)</f>
        <v>0.73016059961570157</v>
      </c>
      <c r="X145" s="3171">
        <f ca="1">IF(UPPER('VVP1'!$F$2)="Y",(OFFSET('VVP1'!$M11,0,5*(COLUMN()-8))-OFFSET('VVP1'!$J11,0,5*(COLUMN()-8)))/OFFSET('VVP1'!$J$16,0,5*(COLUMN()-8))*100,(X71-W71)/W$132*100)</f>
        <v>-0.64558934775346988</v>
      </c>
      <c r="Y145" s="3171">
        <f ca="1">IF(UPPER('VVP1'!$F$2)="Y",(OFFSET('VVP1'!$M11,0,5*(COLUMN()-8))-OFFSET('VVP1'!$J11,0,5*(COLUMN()-8)))/OFFSET('VVP1'!$J$16,0,5*(COLUMN()-8))*100,(Y71-X71)/X$132*100)</f>
        <v>-0.37809384229654119</v>
      </c>
      <c r="Z145" s="3171">
        <f ca="1">IF(UPPER('VVP1'!$F$2)="Y",(OFFSET('VVP1'!$M11,0,5*(COLUMN()-8))-OFFSET('VVP1'!$J11,0,5*(COLUMN()-8)))/OFFSET('VVP1'!$J$16,0,5*(COLUMN()-8))*100,(Z71-Y71)/Y$132*100)</f>
        <v>0.30739000475330641</v>
      </c>
      <c r="AA145" s="3171">
        <f ca="1">IF(UPPER('VVP1'!$F$2)="Y",(OFFSET('VVP1'!$M11,0,5*(COLUMN()-8))-OFFSET('VVP1'!$J11,0,5*(COLUMN()-8)))/OFFSET('VVP1'!$J$16,0,5*(COLUMN()-8))*100,(AA71-Z71)/Z$132*100)</f>
        <v>0.18619778574286705</v>
      </c>
      <c r="AB145" s="3171">
        <f ca="1">IF(UPPER('VVP1'!$F$2)="Y",(OFFSET('VVP1'!$M11,0,5*(COLUMN()-8))-OFFSET('VVP1'!$J11,0,5*(COLUMN()-8)))/OFFSET('VVP1'!$J$16,0,5*(COLUMN()-8))*100,(AB71-AA71)/AA$132*100)</f>
        <v>0.22831866250537391</v>
      </c>
      <c r="AC145" s="3922">
        <f ca="1">IF(UPPER('VVP1'!$F$2)="Y",(OFFSET('VVP1'!$M11,0,5*(COLUMN()-8))-OFFSET('VVP1'!$J11,0,5*(COLUMN()-8)))/OFFSET('VVP1'!$J$16,0,5*(COLUMN()-8))*100,(AC71-AB71)/AB$132*100)</f>
        <v>0.22638952433806522</v>
      </c>
      <c r="AD145" s="3922">
        <f ca="1">IF(UPPER('VVP1'!$F$2)="Y",(OFFSET('VVP1'!$M11,0,5*(COLUMN()-8))-OFFSET('VVP1'!$J11,0,5*(COLUMN()-8)))/OFFSET('VVP1'!$J$16,0,5*(COLUMN()-8))*100,(AD71-AC71)/AC$132*100)</f>
        <v>0</v>
      </c>
      <c r="AE145" s="3922">
        <f ca="1">IF(UPPER('VVP1'!$F$2)="Y",(OFFSET('VVP1'!$M11,0,5*(COLUMN()-8))-OFFSET('VVP1'!$J11,0,5*(COLUMN()-8)))/OFFSET('VVP1'!$J$16,0,5*(COLUMN()-8))*100,(AE71-AD71)/AD$132*100)</f>
        <v>0</v>
      </c>
    </row>
    <row r="146" spans="1:31">
      <c r="A146" s="714"/>
      <c r="C146" s="1391"/>
      <c r="D146" s="1371"/>
      <c r="E146" s="50" t="s">
        <v>1161</v>
      </c>
      <c r="F146" s="1394"/>
      <c r="G146" s="30"/>
      <c r="H146" s="1428">
        <f ca="1">IF(UPPER('VVP1'!$F$2)="Y",(OFFSET('VVP1'!$M12,0,5*(COLUMN()-8))-OFFSET('VVP1'!$J12,0,5*(COLUMN()-8)))/OFFSET('VVP1'!$J$16,0,5*(COLUMN()-8))*100,(H79-G79)/G$132*100)</f>
        <v>-3.6224848701015291</v>
      </c>
      <c r="I146" s="1428">
        <f ca="1">IF(UPPER('VVP1'!$F$2)="Y",(OFFSET('VVP1'!$M12,0,5*(COLUMN()-8))-OFFSET('VVP1'!$J12,0,5*(COLUMN()-8)))/OFFSET('VVP1'!$J$16,0,5*(COLUMN()-8))*100,(I79-H79)/H$132*100)</f>
        <v>2.7513264513068889</v>
      </c>
      <c r="J146" s="1428">
        <f ca="1">IF(UPPER('VVP1'!$F$2)="Y",(OFFSET('VVP1'!$M12,0,5*(COLUMN()-8))-OFFSET('VVP1'!$J12,0,5*(COLUMN()-8)))/OFFSET('VVP1'!$J$16,0,5*(COLUMN()-8))*100,(J79-I79)/I$132*100)</f>
        <v>2.2612093433281024</v>
      </c>
      <c r="K146" s="1428">
        <f ca="1">IF(UPPER('VVP1'!$F$2)="Y",(OFFSET('VVP1'!$M12,0,5*(COLUMN()-8))-OFFSET('VVP1'!$J12,0,5*(COLUMN()-8)))/OFFSET('VVP1'!$J$16,0,5*(COLUMN()-8))*100,(K79-J79)/J$132*100)</f>
        <v>2.3527505256017682</v>
      </c>
      <c r="L146" s="1428">
        <f ca="1">IF(UPPER('VVP1'!$F$2)="Y",(OFFSET('VVP1'!$M12,0,5*(COLUMN()-8))-OFFSET('VVP1'!$J12,0,5*(COLUMN()-8)))/OFFSET('VVP1'!$J$16,0,5*(COLUMN()-8))*100,(L79-K79)/K$132*100)</f>
        <v>3.6005974395034515</v>
      </c>
      <c r="M146" s="1428">
        <f ca="1">IF(UPPER('VVP1'!$F$2)="Y",(OFFSET('VVP1'!$M12,0,5*(COLUMN()-8))-OFFSET('VVP1'!$J12,0,5*(COLUMN()-8)))/OFFSET('VVP1'!$J$16,0,5*(COLUMN()-8))*100,(M79-L79)/L$132*100)</f>
        <v>9.2029503881062166E-2</v>
      </c>
      <c r="N146" s="1428">
        <f ca="1">IF(UPPER('VVP1'!$F$2)="Y",(OFFSET('VVP1'!$M12,0,5*(COLUMN()-8))-OFFSET('VVP1'!$J12,0,5*(COLUMN()-8)))/OFFSET('VVP1'!$J$16,0,5*(COLUMN()-8))*100,(N79-M79)/M$132*100)</f>
        <v>-0.19451893838372558</v>
      </c>
      <c r="O146" s="1428">
        <f ca="1">IF(UPPER('VVP1'!$F$2)="Y",(OFFSET('VVP1'!$M12,0,5*(COLUMN()-8))-OFFSET('VVP1'!$J12,0,5*(COLUMN()-8)))/OFFSET('VVP1'!$J$16,0,5*(COLUMN()-8))*100,(O79-N79)/N$132*100)</f>
        <v>0.63655164461874203</v>
      </c>
      <c r="P146" s="1428">
        <f ca="1">IF(UPPER('VVP1'!$F$2)="Y",(OFFSET('VVP1'!$M12,0,5*(COLUMN()-8))-OFFSET('VVP1'!$J12,0,5*(COLUMN()-8)))/OFFSET('VVP1'!$J$16,0,5*(COLUMN()-8))*100,(P79-O79)/O$132*100)</f>
        <v>3.3601620796403955</v>
      </c>
      <c r="Q146" s="1428">
        <f ca="1">IF(UPPER('VVP1'!$F$2)="Y",(OFFSET('VVP1'!$M12,0,5*(COLUMN()-8))-OFFSET('VVP1'!$J12,0,5*(COLUMN()-8)))/OFFSET('VVP1'!$J$16,0,5*(COLUMN()-8))*100,(Q79-P79)/P$132*100)</f>
        <v>2.6220663232591592</v>
      </c>
      <c r="R146" s="1428">
        <f ca="1">IF(UPPER('VVP1'!$F$2)="Y",(OFFSET('VVP1'!$M12,0,5*(COLUMN()-8))-OFFSET('VVP1'!$J12,0,5*(COLUMN()-8)))/OFFSET('VVP1'!$J$16,0,5*(COLUMN()-8))*100,(R79-Q79)/Q$132*100)</f>
        <v>1.8411915404730421</v>
      </c>
      <c r="S146" s="1428">
        <f ca="1">IF(UPPER('VVP1'!$F$2)="Y",(OFFSET('VVP1'!$M12,0,5*(COLUMN()-8))-OFFSET('VVP1'!$J12,0,5*(COLUMN()-8)))/OFFSET('VVP1'!$J$16,0,5*(COLUMN()-8))*100,(S79-R79)/R$132*100)</f>
        <v>3.3498401852587185</v>
      </c>
      <c r="T146" s="1428">
        <f ca="1">IF(UPPER('VVP1'!$F$2)="Y",(OFFSET('VVP1'!$M12,0,5*(COLUMN()-8))-OFFSET('VVP1'!$J12,0,5*(COLUMN()-8)))/OFFSET('VVP1'!$J$16,0,5*(COLUMN()-8))*100,(T79-S79)/S$132*100)</f>
        <v>2.0772757969150737</v>
      </c>
      <c r="U146" s="1428">
        <f ca="1">IF(UPPER('VVP1'!$F$2)="Y",(OFFSET('VVP1'!$M12,0,5*(COLUMN()-8))-OFFSET('VVP1'!$J12,0,5*(COLUMN()-8)))/OFFSET('VVP1'!$J$16,0,5*(COLUMN()-8))*100,(U79-T79)/T$132*100)</f>
        <v>-1.9590492870649641</v>
      </c>
      <c r="V146" s="1428">
        <f ca="1">IF(UPPER('VVP1'!$F$2)="Y",(OFFSET('VVP1'!$M12,0,5*(COLUMN()-8))-OFFSET('VVP1'!$J12,0,5*(COLUMN()-8)))/OFFSET('VVP1'!$J$16,0,5*(COLUMN()-8))*100,(V79-U79)/U$132*100)</f>
        <v>2.0355322722607387</v>
      </c>
      <c r="W146" s="1428">
        <f ca="1">IF(UPPER('VVP1'!$F$2)="Y",(OFFSET('VVP1'!$M12,0,5*(COLUMN()-8))-OFFSET('VVP1'!$J12,0,5*(COLUMN()-8)))/OFFSET('VVP1'!$J$16,0,5*(COLUMN()-8))*100,(W79-V79)/V$132*100)</f>
        <v>2.1201504791146539</v>
      </c>
      <c r="X146" s="1428">
        <f ca="1">IF(UPPER('VVP1'!$F$2)="Y",(OFFSET('VVP1'!$M12,0,5*(COLUMN()-8))-OFFSET('VVP1'!$J12,0,5*(COLUMN()-8)))/OFFSET('VVP1'!$J$16,0,5*(COLUMN()-8))*100,(X79-W79)/W$132*100)</f>
        <v>3.6392191813247113E-2</v>
      </c>
      <c r="Y146" s="1428">
        <f ca="1">IF(UPPER('VVP1'!$F$2)="Y",(OFFSET('VVP1'!$M12,0,5*(COLUMN()-8))-OFFSET('VVP1'!$J12,0,5*(COLUMN()-8)))/OFFSET('VVP1'!$J$16,0,5*(COLUMN()-8))*100,(Y79-X79)/X$132*100)</f>
        <v>-0.25129155294395067</v>
      </c>
      <c r="Z146" s="1428">
        <f ca="1">IF(UPPER('VVP1'!$F$2)="Y",(OFFSET('VVP1'!$M12,0,5*(COLUMN()-8))-OFFSET('VVP1'!$J12,0,5*(COLUMN()-8)))/OFFSET('VVP1'!$J$16,0,5*(COLUMN()-8))*100,(Z79-Y79)/Y$132*100)</f>
        <v>2.108808937391156</v>
      </c>
      <c r="AA146" s="1428">
        <f ca="1">IF(UPPER('VVP1'!$F$2)="Y",(OFFSET('VVP1'!$M12,0,5*(COLUMN()-8))-OFFSET('VVP1'!$J12,0,5*(COLUMN()-8)))/OFFSET('VVP1'!$J$16,0,5*(COLUMN()-8))*100,(AA79-Z79)/Z$132*100)</f>
        <v>1.3810986769469633</v>
      </c>
      <c r="AB146" s="1428">
        <f ca="1">IF(UPPER('VVP1'!$F$2)="Y",(OFFSET('VVP1'!$M12,0,5*(COLUMN()-8))-OFFSET('VVP1'!$J12,0,5*(COLUMN()-8)))/OFFSET('VVP1'!$J$16,0,5*(COLUMN()-8))*100,(AB79-AA79)/AA$132*100)</f>
        <v>2.0364465626325194</v>
      </c>
      <c r="AC146" s="3923">
        <f ca="1">IF(UPPER('VVP1'!$F$2)="Y",(OFFSET('VVP1'!$M12,0,5*(COLUMN()-8))-OFFSET('VVP1'!$J12,0,5*(COLUMN()-8)))/OFFSET('VVP1'!$J$16,0,5*(COLUMN()-8))*100,(AC79-AB79)/AB$132*100)</f>
        <v>1.2843858227769063</v>
      </c>
      <c r="AD146" s="3923">
        <f ca="1">IF(UPPER('VVP1'!$F$2)="Y",(OFFSET('VVP1'!$M12,0,5*(COLUMN()-8))-OFFSET('VVP1'!$J12,0,5*(COLUMN()-8)))/OFFSET('VVP1'!$J$16,0,5*(COLUMN()-8))*100,(AD79-AC79)/AC$132*100)</f>
        <v>1.8079978179393326</v>
      </c>
      <c r="AE146" s="3923">
        <f ca="1">IF(UPPER('VVP1'!$F$2)="Y",(OFFSET('VVP1'!$M12,0,5*(COLUMN()-8))-OFFSET('VVP1'!$J12,0,5*(COLUMN()-8)))/OFFSET('VVP1'!$J$16,0,5*(COLUMN()-8))*100,(AE79-AD79)/AD$132*100)</f>
        <v>1.7706956587878024</v>
      </c>
    </row>
    <row r="147" spans="1:31">
      <c r="A147" s="714"/>
      <c r="C147" s="1391"/>
      <c r="D147" s="3169"/>
      <c r="E147" s="113" t="s">
        <v>824</v>
      </c>
      <c r="F147" s="1393" t="s">
        <v>2044</v>
      </c>
      <c r="G147" s="1420"/>
      <c r="H147" s="3171">
        <f ca="1">IF(UPPER('VVP1'!$F$2)="Y",(OFFSET('VVP1'!$M13,0,5*(COLUMN()-8))-OFFSET('VVP1'!$J13,0,5*(COLUMN()-8)))/OFFSET('VVP1'!$J$16,0,5*(COLUMN()-8))*100,(H90-G90)/G$132*100)</f>
        <v>-0.81358196363470037</v>
      </c>
      <c r="I147" s="3171">
        <f ca="1">IF(UPPER('VVP1'!$F$2)="Y",(OFFSET('VVP1'!$M13,0,5*(COLUMN()-8))-OFFSET('VVP1'!$J13,0,5*(COLUMN()-8)))/OFFSET('VVP1'!$J$16,0,5*(COLUMN()-8))*100,(I90-H90)/H$132*100)</f>
        <v>5.6939207789519521</v>
      </c>
      <c r="J147" s="3171">
        <f ca="1">IF(UPPER('VVP1'!$F$2)="Y",(OFFSET('VVP1'!$M13,0,5*(COLUMN()-8))-OFFSET('VVP1'!$J13,0,5*(COLUMN()-8)))/OFFSET('VVP1'!$J$16,0,5*(COLUMN()-8))*100,(J90-I90)/I$132*100)</f>
        <v>2.7333266395431615</v>
      </c>
      <c r="K147" s="3171">
        <f ca="1">IF(UPPER('VVP1'!$F$2)="Y",(OFFSET('VVP1'!$M13,0,5*(COLUMN()-8))-OFFSET('VVP1'!$J13,0,5*(COLUMN()-8)))/OFFSET('VVP1'!$J$16,0,5*(COLUMN()-8))*100,(K90-J90)/J$132*100)</f>
        <v>3.1696200996787285</v>
      </c>
      <c r="L147" s="3171">
        <f ca="1">IF(UPPER('VVP1'!$F$2)="Y",(OFFSET('VVP1'!$M13,0,5*(COLUMN()-8))-OFFSET('VVP1'!$J13,0,5*(COLUMN()-8)))/OFFSET('VVP1'!$J$16,0,5*(COLUMN()-8))*100,(L90-K90)/K$132*100)</f>
        <v>7.9285817699521903</v>
      </c>
      <c r="M147" s="3171">
        <f ca="1">IF(UPPER('VVP1'!$F$2)="Y",(OFFSET('VVP1'!$M13,0,5*(COLUMN()-8))-OFFSET('VVP1'!$J13,0,5*(COLUMN()-8)))/OFFSET('VVP1'!$J$16,0,5*(COLUMN()-8))*100,(M90-L90)/L$132*100)</f>
        <v>0.24250575399748642</v>
      </c>
      <c r="N147" s="3171">
        <f ca="1">IF(UPPER('VVP1'!$F$2)="Y",(OFFSET('VVP1'!$M13,0,5*(COLUMN()-8))-OFFSET('VVP1'!$J13,0,5*(COLUMN()-8)))/OFFSET('VVP1'!$J$16,0,5*(COLUMN()-8))*100,(N90-M90)/M$132*100)</f>
        <v>2.5923942677528409</v>
      </c>
      <c r="O147" s="3171">
        <f ca="1">IF(UPPER('VVP1'!$F$2)="Y",(OFFSET('VVP1'!$M13,0,5*(COLUMN()-8))-OFFSET('VVP1'!$J13,0,5*(COLUMN()-8)))/OFFSET('VVP1'!$J$16,0,5*(COLUMN()-8))*100,(O90-N90)/N$132*100)</f>
        <v>1.0962676231355541</v>
      </c>
      <c r="P147" s="3171">
        <f ca="1">IF(UPPER('VVP1'!$F$2)="Y",(OFFSET('VVP1'!$M13,0,5*(COLUMN()-8))-OFFSET('VVP1'!$J13,0,5*(COLUMN()-8)))/OFFSET('VVP1'!$J$16,0,5*(COLUMN()-8))*100,(P90-O90)/O$132*100)</f>
        <v>4.2554881997920742</v>
      </c>
      <c r="Q147" s="3171">
        <f ca="1">IF(UPPER('VVP1'!$F$2)="Y",(OFFSET('VVP1'!$M13,0,5*(COLUMN()-8))-OFFSET('VVP1'!$J13,0,5*(COLUMN()-8)))/OFFSET('VVP1'!$J$16,0,5*(COLUMN()-8))*100,(Q90-P90)/P$132*100)</f>
        <v>3.5497117755396803</v>
      </c>
      <c r="R147" s="3171">
        <f ca="1">IF(UPPER('VVP1'!$F$2)="Y",(OFFSET('VVP1'!$M13,0,5*(COLUMN()-8))-OFFSET('VVP1'!$J13,0,5*(COLUMN()-8)))/OFFSET('VVP1'!$J$16,0,5*(COLUMN()-8))*100,(R90-Q90)/Q$132*100)</f>
        <v>3.8785075545617902</v>
      </c>
      <c r="S147" s="3171">
        <f ca="1">IF(UPPER('VVP1'!$F$2)="Y",(OFFSET('VVP1'!$M13,0,5*(COLUMN()-8))-OFFSET('VVP1'!$J13,0,5*(COLUMN()-8)))/OFFSET('VVP1'!$J$16,0,5*(COLUMN()-8))*100,(S90-R90)/R$132*100)</f>
        <v>4.3131421209503209</v>
      </c>
      <c r="T147" s="3171">
        <f ca="1">IF(UPPER('VVP1'!$F$2)="Y",(OFFSET('VVP1'!$M13,0,5*(COLUMN()-8))-OFFSET('VVP1'!$J13,0,5*(COLUMN()-8)))/OFFSET('VVP1'!$J$16,0,5*(COLUMN()-8))*100,(T90-S90)/S$132*100)</f>
        <v>1.3256725337001019</v>
      </c>
      <c r="U147" s="3171">
        <f ca="1">IF(UPPER('VVP1'!$F$2)="Y",(OFFSET('VVP1'!$M13,0,5*(COLUMN()-8))-OFFSET('VVP1'!$J13,0,5*(COLUMN()-8)))/OFFSET('VVP1'!$J$16,0,5*(COLUMN()-8))*100,(U90-T90)/T$132*100)</f>
        <v>-7.5143921441123238</v>
      </c>
      <c r="V147" s="3171">
        <f ca="1">IF(UPPER('VVP1'!$F$2)="Y",(OFFSET('VVP1'!$M13,0,5*(COLUMN()-8))-OFFSET('VVP1'!$J13,0,5*(COLUMN()-8)))/OFFSET('VVP1'!$J$16,0,5*(COLUMN()-8))*100,(V90-U90)/U$132*100)</f>
        <v>7.1617931651859275</v>
      </c>
      <c r="W147" s="3171">
        <f ca="1">IF(UPPER('VVP1'!$F$2)="Y",(OFFSET('VVP1'!$M13,0,5*(COLUMN()-8))-OFFSET('VVP1'!$J13,0,5*(COLUMN()-8)))/OFFSET('VVP1'!$J$16,0,5*(COLUMN()-8))*100,(W90-V90)/V$132*100)</f>
        <v>5.1357804221029593</v>
      </c>
      <c r="X147" s="3171">
        <f ca="1">IF(UPPER('VVP1'!$F$2)="Y",(OFFSET('VVP1'!$M13,0,5*(COLUMN()-8))-OFFSET('VVP1'!$J13,0,5*(COLUMN()-8)))/OFFSET('VVP1'!$J$16,0,5*(COLUMN()-8))*100,(X90-W90)/W$132*100)</f>
        <v>0.27586459753244907</v>
      </c>
      <c r="Y147" s="3171">
        <f ca="1">IF(UPPER('VVP1'!$F$2)="Y",(OFFSET('VVP1'!$M13,0,5*(COLUMN()-8))-OFFSET('VVP1'!$J13,0,5*(COLUMN()-8)))/OFFSET('VVP1'!$J$16,0,5*(COLUMN()-8))*100,(Y90-X90)/X$132*100)</f>
        <v>0.73159058462154269</v>
      </c>
      <c r="Z147" s="3171">
        <f ca="1">IF(UPPER('VVP1'!$F$2)="Y",(OFFSET('VVP1'!$M13,0,5*(COLUMN()-8))-OFFSET('VVP1'!$J13,0,5*(COLUMN()-8)))/OFFSET('VVP1'!$J$16,0,5*(COLUMN()-8))*100,(Z90-Y90)/Y$132*100)</f>
        <v>4.2372593812124153</v>
      </c>
      <c r="AA147" s="3171">
        <f ca="1">IF(UPPER('VVP1'!$F$2)="Y",(OFFSET('VVP1'!$M13,0,5*(COLUMN()-8))-OFFSET('VVP1'!$J13,0,5*(COLUMN()-8)))/OFFSET('VVP1'!$J$16,0,5*(COLUMN()-8))*100,(AA90-Z90)/Z$132*100)</f>
        <v>2.7112247945467454</v>
      </c>
      <c r="AB147" s="3171">
        <f ca="1">IF(UPPER('VVP1'!$F$2)="Y",(OFFSET('VVP1'!$M13,0,5*(COLUMN()-8))-OFFSET('VVP1'!$J13,0,5*(COLUMN()-8)))/OFFSET('VVP1'!$J$16,0,5*(COLUMN()-8))*100,(AB90-AA90)/AA$132*100)</f>
        <v>6.0713374995186733</v>
      </c>
      <c r="AC147" s="3922">
        <f ca="1">IF(UPPER('VVP1'!$F$2)="Y",(OFFSET('VVP1'!$M13,0,5*(COLUMN()-8))-OFFSET('VVP1'!$J13,0,5*(COLUMN()-8)))/OFFSET('VVP1'!$J$16,0,5*(COLUMN()-8))*100,(AC90-AB90)/AB$132*100)</f>
        <v>3.7372117549809132</v>
      </c>
      <c r="AD147" s="3922">
        <f ca="1">IF(UPPER('VVP1'!$F$2)="Y",(OFFSET('VVP1'!$M13,0,5*(COLUMN()-8))-OFFSET('VVP1'!$J13,0,5*(COLUMN()-8)))/OFFSET('VVP1'!$J$16,0,5*(COLUMN()-8))*100,(AD90-AC90)/AC$132*100)</f>
        <v>4.2102466973754495</v>
      </c>
      <c r="AE147" s="3922">
        <f ca="1">IF(UPPER('VVP1'!$F$2)="Y",(OFFSET('VVP1'!$M13,0,5*(COLUMN()-8))-OFFSET('VVP1'!$J13,0,5*(COLUMN()-8)))/OFFSET('VVP1'!$J$16,0,5*(COLUMN()-8))*100,(AE90-AD90)/AD$132*100)</f>
        <v>3.8174416839197955</v>
      </c>
    </row>
    <row r="148" spans="1:31">
      <c r="A148" s="714"/>
      <c r="C148" s="1391"/>
      <c r="D148" s="1371"/>
      <c r="E148" s="50" t="s">
        <v>825</v>
      </c>
      <c r="F148" s="1394"/>
      <c r="G148" s="30"/>
      <c r="H148" s="1428">
        <f ca="1">IF(UPPER('VVP1'!$F$2)="Y",(OFFSET('VVP1'!$M14,0,5*(COLUMN()-8))-OFFSET('VVP1'!$J14,0,5*(COLUMN()-8)))/OFFSET('VVP1'!$J$16,0,5*(COLUMN()-8))*100,(H101-G101)/G$132*100)</f>
        <v>-4.4360668337362155</v>
      </c>
      <c r="I148" s="1428">
        <f ca="1">IF(UPPER('VVP1'!$F$2)="Y",(OFFSET('VVP1'!$M14,0,5*(COLUMN()-8))-OFFSET('VVP1'!$J14,0,5*(COLUMN()-8)))/OFFSET('VVP1'!$J$16,0,5*(COLUMN()-8))*100,(I101-H101)/H$132*100)</f>
        <v>8.4452472302588415</v>
      </c>
      <c r="J148" s="1428">
        <f ca="1">IF(UPPER('VVP1'!$F$2)="Y",(OFFSET('VVP1'!$M14,0,5*(COLUMN()-8))-OFFSET('VVP1'!$J14,0,5*(COLUMN()-8)))/OFFSET('VVP1'!$J$16,0,5*(COLUMN()-8))*100,(J101-I101)/I$132*100)</f>
        <v>4.9945359828712768</v>
      </c>
      <c r="K148" s="1428">
        <f ca="1">IF(UPPER('VVP1'!$F$2)="Y",(OFFSET('VVP1'!$M14,0,5*(COLUMN()-8))-OFFSET('VVP1'!$J14,0,5*(COLUMN()-8)))/OFFSET('VVP1'!$J$16,0,5*(COLUMN()-8))*100,(K101-J101)/J$132*100)</f>
        <v>5.5223706252804972</v>
      </c>
      <c r="L148" s="1428">
        <f ca="1">IF(UPPER('VVP1'!$F$2)="Y",(OFFSET('VVP1'!$M14,0,5*(COLUMN()-8))-OFFSET('VVP1'!$J14,0,5*(COLUMN()-8)))/OFFSET('VVP1'!$J$16,0,5*(COLUMN()-8))*100,(L101-K101)/K$132*100)</f>
        <v>11.529179209455631</v>
      </c>
      <c r="M148" s="1428">
        <f ca="1">IF(UPPER('VVP1'!$F$2)="Y",(OFFSET('VVP1'!$M14,0,5*(COLUMN()-8))-OFFSET('VVP1'!$J14,0,5*(COLUMN()-8)))/OFFSET('VVP1'!$J$16,0,5*(COLUMN()-8))*100,(M101-L101)/L$132*100)</f>
        <v>0.33453525787855959</v>
      </c>
      <c r="N148" s="1428">
        <f ca="1">IF(UPPER('VVP1'!$F$2)="Y",(OFFSET('VVP1'!$M14,0,5*(COLUMN()-8))-OFFSET('VVP1'!$J14,0,5*(COLUMN()-8)))/OFFSET('VVP1'!$J$16,0,5*(COLUMN()-8))*100,(N101-M101)/M$132*100)</f>
        <v>2.3978753293691151</v>
      </c>
      <c r="O148" s="1428">
        <f ca="1">IF(UPPER('VVP1'!$F$2)="Y",(OFFSET('VVP1'!$M14,0,5*(COLUMN()-8))-OFFSET('VVP1'!$J14,0,5*(COLUMN()-8)))/OFFSET('VVP1'!$J$16,0,5*(COLUMN()-8))*100,(O101-N101)/N$132*100)</f>
        <v>1.7328192677542962</v>
      </c>
      <c r="P148" s="1428">
        <f ca="1">IF(UPPER('VVP1'!$F$2)="Y",(OFFSET('VVP1'!$M14,0,5*(COLUMN()-8))-OFFSET('VVP1'!$J14,0,5*(COLUMN()-8)))/OFFSET('VVP1'!$J$16,0,5*(COLUMN()-8))*100,(P101-O101)/O$132*100)</f>
        <v>7.6156502794324901</v>
      </c>
      <c r="Q148" s="1428">
        <f ca="1">IF(UPPER('VVP1'!$F$2)="Y",(OFFSET('VVP1'!$M14,0,5*(COLUMN()-8))-OFFSET('VVP1'!$J14,0,5*(COLUMN()-8)))/OFFSET('VVP1'!$J$16,0,5*(COLUMN()-8))*100,(Q101-P101)/P$132*100)</f>
        <v>6.1717780987988391</v>
      </c>
      <c r="R148" s="1428">
        <f ca="1">IF(UPPER('VVP1'!$F$2)="Y",(OFFSET('VVP1'!$M14,0,5*(COLUMN()-8))-OFFSET('VVP1'!$J14,0,5*(COLUMN()-8)))/OFFSET('VVP1'!$J$16,0,5*(COLUMN()-8))*100,(R101-Q101)/Q$132*100)</f>
        <v>5.7196990950348141</v>
      </c>
      <c r="S148" s="1428">
        <f ca="1">IF(UPPER('VVP1'!$F$2)="Y",(OFFSET('VVP1'!$M14,0,5*(COLUMN()-8))-OFFSET('VVP1'!$J14,0,5*(COLUMN()-8)))/OFFSET('VVP1'!$J$16,0,5*(COLUMN()-8))*100,(S101-R101)/R$132*100)</f>
        <v>7.6629823062090301</v>
      </c>
      <c r="T148" s="1428">
        <f ca="1">IF(UPPER('VVP1'!$F$2)="Y",(OFFSET('VVP1'!$M14,0,5*(COLUMN()-8))-OFFSET('VVP1'!$J14,0,5*(COLUMN()-8)))/OFFSET('VVP1'!$J$16,0,5*(COLUMN()-8))*100,(T101-S101)/S$132*100)</f>
        <v>3.4029483306151924</v>
      </c>
      <c r="U148" s="1428">
        <f ca="1">IF(UPPER('VVP1'!$F$2)="Y",(OFFSET('VVP1'!$M14,0,5*(COLUMN()-8))-OFFSET('VVP1'!$J14,0,5*(COLUMN()-8)))/OFFSET('VVP1'!$J$16,0,5*(COLUMN()-8))*100,(U101-T101)/T$132*100)</f>
        <v>-9.473441431177287</v>
      </c>
      <c r="V148" s="1428">
        <f ca="1">IF(UPPER('VVP1'!$F$2)="Y",(OFFSET('VVP1'!$M14,0,5*(COLUMN()-8))-OFFSET('VVP1'!$J14,0,5*(COLUMN()-8)))/OFFSET('VVP1'!$J$16,0,5*(COLUMN()-8))*100,(V101-U101)/U$132*100)</f>
        <v>9.1973254374466489</v>
      </c>
      <c r="W148" s="1428">
        <f ca="1">IF(UPPER('VVP1'!$F$2)="Y",(OFFSET('VVP1'!$M14,0,5*(COLUMN()-8))-OFFSET('VVP1'!$J14,0,5*(COLUMN()-8)))/OFFSET('VVP1'!$J$16,0,5*(COLUMN()-8))*100,(W101-V101)/V$132*100)</f>
        <v>7.2559309012176127</v>
      </c>
      <c r="X148" s="1428">
        <f ca="1">IF(UPPER('VVP1'!$F$2)="Y",(OFFSET('VVP1'!$M14,0,5*(COLUMN()-8))-OFFSET('VVP1'!$J14,0,5*(COLUMN()-8)))/OFFSET('VVP1'!$J$16,0,5*(COLUMN()-8))*100,(X101-W101)/W$132*100)</f>
        <v>0.3122567893456662</v>
      </c>
      <c r="Y148" s="1428">
        <f ca="1">IF(UPPER('VVP1'!$F$2)="Y",(OFFSET('VVP1'!$M14,0,5*(COLUMN()-8))-OFFSET('VVP1'!$J14,0,5*(COLUMN()-8)))/OFFSET('VVP1'!$J$16,0,5*(COLUMN()-8))*100,(Y101-X101)/X$132*100)</f>
        <v>0.48029903167759208</v>
      </c>
      <c r="Z148" s="1428">
        <f ca="1">IF(UPPER('VVP1'!$F$2)="Y",(OFFSET('VVP1'!$M14,0,5*(COLUMN()-8))-OFFSET('VVP1'!$J14,0,5*(COLUMN()-8)))/OFFSET('VVP1'!$J$16,0,5*(COLUMN()-8))*100,(Z101-Y101)/Y$132*100)</f>
        <v>6.3460683186035567</v>
      </c>
      <c r="AA148" s="1428">
        <f ca="1">IF(UPPER('VVP1'!$F$2)="Y",(OFFSET('VVP1'!$M14,0,5*(COLUMN()-8))-OFFSET('VVP1'!$J14,0,5*(COLUMN()-8)))/OFFSET('VVP1'!$J$16,0,5*(COLUMN()-8))*100,(AA101-Z101)/Z$132*100)</f>
        <v>4.0923234714937085</v>
      </c>
      <c r="AB148" s="1428">
        <f ca="1">IF(UPPER('VVP1'!$F$2)="Y",(OFFSET('VVP1'!$M14,0,5*(COLUMN()-8))-OFFSET('VVP1'!$J14,0,5*(COLUMN()-8)))/OFFSET('VVP1'!$J$16,0,5*(COLUMN()-8))*100,(AB101-AA101)/AA$132*100)</f>
        <v>8.1077840621512056</v>
      </c>
      <c r="AC148" s="3923">
        <f ca="1">IF(UPPER('VVP1'!$F$2)="Y",(OFFSET('VVP1'!$M14,0,5*(COLUMN()-8))-OFFSET('VVP1'!$J14,0,5*(COLUMN()-8)))/OFFSET('VVP1'!$J$16,0,5*(COLUMN()-8))*100,(AC101-AB101)/AB$132*100)</f>
        <v>5.0215975777578459</v>
      </c>
      <c r="AD148" s="3923">
        <f ca="1">IF(UPPER('VVP1'!$F$2)="Y",(OFFSET('VVP1'!$M14,0,5*(COLUMN()-8))-OFFSET('VVP1'!$J14,0,5*(COLUMN()-8)))/OFFSET('VVP1'!$J$16,0,5*(COLUMN()-8))*100,(AD101-AC101)/AC$132*100)</f>
        <v>6.0182445153147945</v>
      </c>
      <c r="AE148" s="3923">
        <f ca="1">IF(UPPER('VVP1'!$F$2)="Y",(OFFSET('VVP1'!$M14,0,5*(COLUMN()-8))-OFFSET('VVP1'!$J14,0,5*(COLUMN()-8)))/OFFSET('VVP1'!$J$16,0,5*(COLUMN()-8))*100,(AE101-AD101)/AD$132*100)</f>
        <v>5.5881373427076104</v>
      </c>
    </row>
    <row r="149" spans="1:31">
      <c r="A149" s="714"/>
      <c r="C149" s="1391"/>
      <c r="D149" s="1106"/>
      <c r="E149" s="1" t="s">
        <v>1792</v>
      </c>
      <c r="F149" s="1392" t="s">
        <v>2045</v>
      </c>
      <c r="G149" s="3083"/>
      <c r="H149" s="554">
        <f ca="1">IF(UPPER('VVP1'!$F$2)="Y",-(OFFSET('VVP1'!$M15,0,5*(COLUMN()-8))-OFFSET('VVP1'!$J15,0,5*(COLUMN()-8)))/OFFSET('VVP1'!$J$16,0,5*(COLUMN()-8))*100,-(H112-G112)/G$132*100)</f>
        <v>0.61284804759425471</v>
      </c>
      <c r="I149" s="554">
        <f ca="1">IF(UPPER('VVP1'!$F$2)="Y",-(OFFSET('VVP1'!$M15,0,5*(COLUMN()-8))-OFFSET('VVP1'!$J15,0,5*(COLUMN()-8)))/OFFSET('VVP1'!$J$16,0,5*(COLUMN()-8))*100,-(I112-H112)/H$132*100)</f>
        <v>-4.734799050495293</v>
      </c>
      <c r="J149" s="554">
        <f ca="1">IF(UPPER('VVP1'!$F$2)="Y",-(OFFSET('VVP1'!$M15,0,5*(COLUMN()-8))-OFFSET('VVP1'!$J15,0,5*(COLUMN()-8)))/OFFSET('VVP1'!$J$16,0,5*(COLUMN()-8))*100,-(J112-I112)/I$132*100)</f>
        <v>-3.0192640099844801</v>
      </c>
      <c r="K149" s="554">
        <f ca="1">IF(UPPER('VVP1'!$F$2)="Y",-(OFFSET('VVP1'!$M15,0,5*(COLUMN()-8))-OFFSET('VVP1'!$J15,0,5*(COLUMN()-8)))/OFFSET('VVP1'!$J$16,0,5*(COLUMN()-8))*100,-(K112-J112)/J$132*100)</f>
        <v>-1.9590596735669672</v>
      </c>
      <c r="L149" s="554">
        <f ca="1">IF(UPPER('VVP1'!$F$2)="Y",-(OFFSET('VVP1'!$M15,0,5*(COLUMN()-8))-OFFSET('VVP1'!$J15,0,5*(COLUMN()-8)))/OFFSET('VVP1'!$J$16,0,5*(COLUMN()-8))*100,-(L112-K112)/K$132*100)</f>
        <v>-7.895526452191076</v>
      </c>
      <c r="M149" s="554">
        <f ca="1">IF(UPPER('VVP1'!$F$2)="Y",-(OFFSET('VVP1'!$M15,0,5*(COLUMN()-8))-OFFSET('VVP1'!$J15,0,5*(COLUMN()-8)))/OFFSET('VVP1'!$J$16,0,5*(COLUMN()-8))*100,-(M112-L112)/L$132*100)</f>
        <v>0.47701028240805926</v>
      </c>
      <c r="N149" s="554">
        <f ca="1">IF(UPPER('VVP1'!$F$2)="Y",-(OFFSET('VVP1'!$M15,0,5*(COLUMN()-8))-OFFSET('VVP1'!$J15,0,5*(COLUMN()-8)))/OFFSET('VVP1'!$J$16,0,5*(COLUMN()-8))*100,-(N112-M112)/M$132*100)</f>
        <v>-0.61736940582923305</v>
      </c>
      <c r="O149" s="554">
        <f ca="1">IF(UPPER('VVP1'!$F$2)="Y",-(OFFSET('VVP1'!$M15,0,5*(COLUMN()-8))-OFFSET('VVP1'!$J15,0,5*(COLUMN()-8)))/OFFSET('VVP1'!$J$16,0,5*(COLUMN()-8))*100,-(O112-N112)/N$132*100)</f>
        <v>-0.95841757602370781</v>
      </c>
      <c r="P149" s="554">
        <f ca="1">IF(UPPER('VVP1'!$F$2)="Y",-(OFFSET('VVP1'!$M15,0,5*(COLUMN()-8))-OFFSET('VVP1'!$J15,0,5*(COLUMN()-8)))/OFFSET('VVP1'!$J$16,0,5*(COLUMN()-8))*100,-(P112-O112)/O$132*100)</f>
        <v>-3.9807990419102732</v>
      </c>
      <c r="Q149" s="554">
        <f ca="1">IF(UPPER('VVP1'!$F$2)="Y",-(OFFSET('VVP1'!$M15,0,5*(COLUMN()-8))-OFFSET('VVP1'!$J15,0,5*(COLUMN()-8)))/OFFSET('VVP1'!$J$16,0,5*(COLUMN()-8))*100,-(Q112-P112)/P$132*100)</f>
        <v>-4.0775073107042008</v>
      </c>
      <c r="R149" s="554">
        <f ca="1">IF(UPPER('VVP1'!$F$2)="Y",-(OFFSET('VVP1'!$M15,0,5*(COLUMN()-8))-OFFSET('VVP1'!$J15,0,5*(COLUMN()-8)))/OFFSET('VVP1'!$J$16,0,5*(COLUMN()-8))*100,-(R112-Q112)/Q$132*100)</f>
        <v>-3.2135576448941521</v>
      </c>
      <c r="S149" s="554">
        <f ca="1">IF(UPPER('VVP1'!$F$2)="Y",-(OFFSET('VVP1'!$M15,0,5*(COLUMN()-8))-OFFSET('VVP1'!$J15,0,5*(COLUMN()-8)))/OFFSET('VVP1'!$J$16,0,5*(COLUMN()-8))*100,-(S112-R112)/R$132*100)</f>
        <v>-4.2140086579187912</v>
      </c>
      <c r="T149" s="554">
        <f ca="1">IF(UPPER('VVP1'!$F$2)="Y",-(OFFSET('VVP1'!$M15,0,5*(COLUMN()-8))-OFFSET('VVP1'!$J15,0,5*(COLUMN()-8)))/OFFSET('VVP1'!$J$16,0,5*(COLUMN()-8))*100,-(T112-S112)/S$132*100)</f>
        <v>-2.6197763240284822</v>
      </c>
      <c r="U149" s="554">
        <f ca="1">IF(UPPER('VVP1'!$F$2)="Y",-(OFFSET('VVP1'!$M15,0,5*(COLUMN()-8))-OFFSET('VVP1'!$J15,0,5*(COLUMN()-8)))/OFFSET('VVP1'!$J$16,0,5*(COLUMN()-8))*100,-(U112-T112)/T$132*100)</f>
        <v>7.2202680816359583</v>
      </c>
      <c r="V149" s="554">
        <f ca="1">IF(UPPER('VVP1'!$F$2)="Y",-(OFFSET('VVP1'!$M15,0,5*(COLUMN()-8))-OFFSET('VVP1'!$J15,0,5*(COLUMN()-8)))/OFFSET('VVP1'!$J$16,0,5*(COLUMN()-8))*100,-(V112-U112)/U$132*100)</f>
        <v>-6.4531131775940258</v>
      </c>
      <c r="W149" s="554">
        <f ca="1">IF(UPPER('VVP1'!$F$2)="Y",-(OFFSET('VVP1'!$M15,0,5*(COLUMN()-8))-OFFSET('VVP1'!$J15,0,5*(COLUMN()-8)))/OFFSET('VVP1'!$J$16,0,5*(COLUMN()-8))*100,-(W112-V112)/V$132*100)</f>
        <v>-5.4576287898811469</v>
      </c>
      <c r="X149" s="554">
        <f ca="1">IF(UPPER('VVP1'!$F$2)="Y",-(OFFSET('VVP1'!$M15,0,5*(COLUMN()-8))-OFFSET('VVP1'!$J15,0,5*(COLUMN()-8)))/OFFSET('VVP1'!$J$16,0,5*(COLUMN()-8))*100,-(X112-W112)/W$132*100)</f>
        <v>-7.7460025120912851E-2</v>
      </c>
      <c r="Y149" s="554">
        <f ca="1">IF(UPPER('VVP1'!$F$2)="Y",-(OFFSET('VVP1'!$M15,0,5*(COLUMN()-8))-OFFSET('VVP1'!$J15,0,5*(COLUMN()-8)))/OFFSET('VVP1'!$J$16,0,5*(COLUMN()-8))*100,-(Y112-X112)/X$132*100)</f>
        <v>-0.27964877452449921</v>
      </c>
      <c r="Z149" s="554">
        <f ca="1">IF(UPPER('VVP1'!$F$2)="Y",-(OFFSET('VVP1'!$M15,0,5*(COLUMN()-8))-OFFSET('VVP1'!$J15,0,5*(COLUMN()-8)))/OFFSET('VVP1'!$J$16,0,5*(COLUMN()-8))*100,-(Z112-Y112)/Y$132*100)</f>
        <v>-4.9946336676586078</v>
      </c>
      <c r="AA149" s="554">
        <f ca="1">IF(UPPER('VVP1'!$F$2)="Y",-(OFFSET('VVP1'!$M15,0,5*(COLUMN()-8))-OFFSET('VVP1'!$J15,0,5*(COLUMN()-8)))/OFFSET('VVP1'!$J$16,0,5*(COLUMN()-8))*100,-(AA112-Z112)/Z$132*100)</f>
        <v>-2.6878284286741811</v>
      </c>
      <c r="AB149" s="554">
        <f ca="1">IF(UPPER('VVP1'!$F$2)="Y",-(OFFSET('VVP1'!$M15,0,5*(COLUMN()-8))-OFFSET('VVP1'!$J15,0,5*(COLUMN()-8)))/OFFSET('VVP1'!$J$16,0,5*(COLUMN()-8))*100,-(AB112-AA112)/AA$132*100)</f>
        <v>-6.6417789208828157</v>
      </c>
      <c r="AC149" s="2910">
        <f ca="1">IF(UPPER('VVP1'!$F$2)="Y",-(OFFSET('VVP1'!$M15,0,5*(COLUMN()-8))-OFFSET('VVP1'!$J15,0,5*(COLUMN()-8)))/OFFSET('VVP1'!$J$16,0,5*(COLUMN()-8))*100,-(AC112-AB112)/AB$132*100)</f>
        <v>-3.3350897839675708</v>
      </c>
      <c r="AD149" s="2910">
        <f ca="1">IF(UPPER('VVP1'!$F$2)="Y",-(OFFSET('VVP1'!$M15,0,5*(COLUMN()-8))-OFFSET('VVP1'!$J15,0,5*(COLUMN()-8)))/OFFSET('VVP1'!$J$16,0,5*(COLUMN()-8))*100,-(AD112-AC112)/AC$132*100)</f>
        <v>-4.2099146583483282</v>
      </c>
      <c r="AE149" s="2910">
        <f ca="1">IF(UPPER('VVP1'!$F$2)="Y",-(OFFSET('VVP1'!$M15,0,5*(COLUMN()-8))-OFFSET('VVP1'!$J15,0,5*(COLUMN()-8)))/OFFSET('VVP1'!$J$16,0,5*(COLUMN()-8))*100,-(AE112-AD112)/AD$132*100)</f>
        <v>-3.8552108606368694</v>
      </c>
    </row>
    <row r="150" spans="1:31">
      <c r="A150" s="714"/>
      <c r="C150" s="1395"/>
      <c r="D150" s="3172"/>
      <c r="E150" s="3173" t="s">
        <v>1206</v>
      </c>
      <c r="F150" s="3174" t="s">
        <v>1207</v>
      </c>
      <c r="G150" s="3175"/>
      <c r="H150" s="3176">
        <f t="shared" ref="H150:U150" ca="1" si="167">+H147+H149</f>
        <v>-0.20073391604044566</v>
      </c>
      <c r="I150" s="3176">
        <f t="shared" ca="1" si="167"/>
        <v>0.95912172845665911</v>
      </c>
      <c r="J150" s="3176">
        <f t="shared" ca="1" si="167"/>
        <v>-0.28593737044131862</v>
      </c>
      <c r="K150" s="3176">
        <f t="shared" ca="1" si="167"/>
        <v>1.2105604261117613</v>
      </c>
      <c r="L150" s="3176">
        <f t="shared" ca="1" si="167"/>
        <v>3.3055317761114367E-2</v>
      </c>
      <c r="M150" s="3176">
        <f t="shared" ca="1" si="167"/>
        <v>0.71951603640554573</v>
      </c>
      <c r="N150" s="3176">
        <f t="shared" ca="1" si="167"/>
        <v>1.9750248619236079</v>
      </c>
      <c r="O150" s="3176">
        <f t="shared" ca="1" si="167"/>
        <v>0.13785004711184634</v>
      </c>
      <c r="P150" s="3176">
        <f t="shared" ca="1" si="167"/>
        <v>0.27468915788180093</v>
      </c>
      <c r="Q150" s="3176">
        <f t="shared" ca="1" si="167"/>
        <v>-0.52779553516452049</v>
      </c>
      <c r="R150" s="3176">
        <f t="shared" ca="1" si="167"/>
        <v>0.66494990966763812</v>
      </c>
      <c r="S150" s="3176">
        <f t="shared" ca="1" si="167"/>
        <v>9.9133463031529701E-2</v>
      </c>
      <c r="T150" s="3176">
        <f t="shared" ca="1" si="167"/>
        <v>-1.2941037903283803</v>
      </c>
      <c r="U150" s="3176">
        <f t="shared" ca="1" si="167"/>
        <v>-0.29412406247636547</v>
      </c>
      <c r="V150" s="3176">
        <f t="shared" ref="V150:AD150" ca="1" si="168">+V147+V149</f>
        <v>0.70867998759190165</v>
      </c>
      <c r="W150" s="3176">
        <f t="shared" ca="1" si="168"/>
        <v>-0.32184836777818759</v>
      </c>
      <c r="X150" s="3176">
        <f t="shared" ca="1" si="168"/>
        <v>0.19840457241153622</v>
      </c>
      <c r="Y150" s="3176">
        <f t="shared" ca="1" si="168"/>
        <v>0.45194181009704348</v>
      </c>
      <c r="Z150" s="3176">
        <f t="shared" ca="1" si="168"/>
        <v>-0.75737428644619254</v>
      </c>
      <c r="AA150" s="3176">
        <f t="shared" ca="1" si="168"/>
        <v>2.3396365872564218E-2</v>
      </c>
      <c r="AB150" s="3176">
        <f t="shared" ca="1" si="168"/>
        <v>-0.57044142136414244</v>
      </c>
      <c r="AC150" s="3924">
        <f t="shared" ca="1" si="168"/>
        <v>0.40212197101334235</v>
      </c>
      <c r="AD150" s="3924">
        <f t="shared" ca="1" si="168"/>
        <v>3.3203902712131139E-4</v>
      </c>
      <c r="AE150" s="3924">
        <f t="shared" ref="AE150" ca="1" si="169">+AE147+AE149</f>
        <v>-3.7769176717073805E-2</v>
      </c>
    </row>
    <row r="151" spans="1:31">
      <c r="A151" s="714"/>
      <c r="C151" s="558"/>
      <c r="D151" s="1880"/>
      <c r="E151" s="45" t="s">
        <v>1476</v>
      </c>
      <c r="F151" s="1387" t="s">
        <v>467</v>
      </c>
      <c r="G151" s="30"/>
      <c r="H151" s="1428">
        <f ca="1">IF(UPPER('VVP1'!$F$2)="Y",(OFFSET('VVP1'!$M16,0,5*(COLUMN()-8))-OFFSET('VVP1'!$J16,0,5*(COLUMN()-8)))/OFFSET('VVP1'!$J$16,0,5*(COLUMN()-8))*100,(H132-G132)/G$132*100)</f>
        <v>-3.8232187861419744</v>
      </c>
      <c r="I151" s="1428">
        <f ca="1">IF(UPPER('VVP1'!$F$2)="Y",(OFFSET('VVP1'!$M16,0,5*(COLUMN()-8))-OFFSET('VVP1'!$J16,0,5*(COLUMN()-8)))/OFFSET('VVP1'!$J$16,0,5*(COLUMN()-8))*100,(I132-H132)/H$132*100)</f>
        <v>3.7104481797635605</v>
      </c>
      <c r="J151" s="1428">
        <f ca="1">IF(UPPER('VVP1'!$F$2)="Y",(OFFSET('VVP1'!$M16,0,5*(COLUMN()-8))-OFFSET('VVP1'!$J16,0,5*(COLUMN()-8)))/OFFSET('VVP1'!$J$16,0,5*(COLUMN()-8))*100,(J132-I132)/I$132*100)</f>
        <v>1.9752719728868089</v>
      </c>
      <c r="K151" s="1428">
        <f ca="1">IF(UPPER('VVP1'!$F$2)="Y",(OFFSET('VVP1'!$M16,0,5*(COLUMN()-8))-OFFSET('VVP1'!$J16,0,5*(COLUMN()-8)))/OFFSET('VVP1'!$J$16,0,5*(COLUMN()-8))*100,(K132-J132)/J$132*100)</f>
        <v>3.5633109517135413</v>
      </c>
      <c r="L151" s="1428">
        <f ca="1">IF(UPPER('VVP1'!$F$2)="Y",(OFFSET('VVP1'!$M16,0,5*(COLUMN()-8))-OFFSET('VVP1'!$J16,0,5*(COLUMN()-8)))/OFFSET('VVP1'!$J$16,0,5*(COLUMN()-8))*100,(L132-K132)/K$132*100)</f>
        <v>3.6336527572645667</v>
      </c>
      <c r="M151" s="1428">
        <f ca="1">IF(UPPER('VVP1'!$F$2)="Y",(OFFSET('VVP1'!$M16,0,5*(COLUMN()-8))-OFFSET('VVP1'!$J16,0,5*(COLUMN()-8)))/OFFSET('VVP1'!$J$16,0,5*(COLUMN()-8))*100,(M132-L132)/L$132*100)</f>
        <v>0.81154554028660797</v>
      </c>
      <c r="N151" s="1428">
        <f ca="1">IF(UPPER('VVP1'!$F$2)="Y",(OFFSET('VVP1'!$M16,0,5*(COLUMN()-8))-OFFSET('VVP1'!$J16,0,5*(COLUMN()-8)))/OFFSET('VVP1'!$J$16,0,5*(COLUMN()-8))*100,(N132-M132)/M$132*100)</f>
        <v>1.7805059235399032</v>
      </c>
      <c r="O151" s="1428">
        <f ca="1">IF(UPPER('VVP1'!$F$2)="Y",(OFFSET('VVP1'!$M16,0,5*(COLUMN()-8))-OFFSET('VVP1'!$J16,0,5*(COLUMN()-8)))/OFFSET('VVP1'!$J$16,0,5*(COLUMN()-8))*100,(O132-N132)/N$132*100)</f>
        <v>0.77440169173058848</v>
      </c>
      <c r="P151" s="1428">
        <f ca="1">IF(UPPER('VVP1'!$F$2)="Y",(OFFSET('VVP1'!$M16,0,5*(COLUMN()-8))-OFFSET('VVP1'!$J16,0,5*(COLUMN()-8)))/OFFSET('VVP1'!$J$16,0,5*(COLUMN()-8))*100,(P132-O132)/O$132*100)</f>
        <v>3.6348512375222062</v>
      </c>
      <c r="Q151" s="1428">
        <f ca="1">IF(UPPER('VVP1'!$F$2)="Y",(OFFSET('VVP1'!$M16,0,5*(COLUMN()-8))-OFFSET('VVP1'!$J16,0,5*(COLUMN()-8)))/OFFSET('VVP1'!$J$16,0,5*(COLUMN()-8))*100,(Q132-P132)/P$132*100)</f>
        <v>2.0942707880946099</v>
      </c>
      <c r="R151" s="1428">
        <f ca="1">IF(UPPER('VVP1'!$F$2)="Y",(OFFSET('VVP1'!$M16,0,5*(COLUMN()-8))-OFFSET('VVP1'!$J16,0,5*(COLUMN()-8)))/OFFSET('VVP1'!$J$16,0,5*(COLUMN()-8))*100,(R132-Q132)/Q$132*100)</f>
        <v>2.5061414501406891</v>
      </c>
      <c r="S151" s="1428">
        <f ca="1">IF(UPPER('VVP1'!$F$2)="Y",(OFFSET('VVP1'!$M16,0,5*(COLUMN()-8))-OFFSET('VVP1'!$J16,0,5*(COLUMN()-8)))/OFFSET('VVP1'!$J$16,0,5*(COLUMN()-8))*100,(S132-R132)/R$132*100)</f>
        <v>3.4489736482902664</v>
      </c>
      <c r="T151" s="1428">
        <f ca="1">IF(UPPER('VVP1'!$F$2)="Y",(OFFSET('VVP1'!$M16,0,5*(COLUMN()-8))-OFFSET('VVP1'!$J16,0,5*(COLUMN()-8)))/OFFSET('VVP1'!$J$16,0,5*(COLUMN()-8))*100,(T132-S132)/S$132*100)</f>
        <v>0.78317200658669339</v>
      </c>
      <c r="U151" s="1428">
        <f ca="1">IF(UPPER('VVP1'!$F$2)="Y",(OFFSET('VVP1'!$M16,0,5*(COLUMN()-8))-OFFSET('VVP1'!$J16,0,5*(COLUMN()-8)))/OFFSET('VVP1'!$J$16,0,5*(COLUMN()-8))*100,(U132-T132)/T$132*100)</f>
        <v>-2.253173349541354</v>
      </c>
      <c r="V151" s="1428">
        <f ca="1">IF(UPPER('VVP1'!$F$2)="Y",(OFFSET('VVP1'!$M16,0,5*(COLUMN()-8))-OFFSET('VVP1'!$J16,0,5*(COLUMN()-8)))/OFFSET('VVP1'!$J$16,0,5*(COLUMN()-8))*100,(V132-U132)/U$132*100)</f>
        <v>2.7442122598526479</v>
      </c>
      <c r="W151" s="1428">
        <f ca="1">IF(UPPER('VVP1'!$F$2)="Y",(OFFSET('VVP1'!$M16,0,5*(COLUMN()-8))-OFFSET('VVP1'!$J16,0,5*(COLUMN()-8)))/OFFSET('VVP1'!$J$16,0,5*(COLUMN()-8))*100,(W132-V132)/V$132*100)</f>
        <v>1.7983021113364657</v>
      </c>
      <c r="X151" s="1428">
        <f ca="1">IF(UPPER('VVP1'!$F$2)="Y",(OFFSET('VVP1'!$M16,0,5*(COLUMN()-8))-OFFSET('VVP1'!$J16,0,5*(COLUMN()-8)))/OFFSET('VVP1'!$J$16,0,5*(COLUMN()-8))*100,(X132-W132)/W$132*100)</f>
        <v>0.23479676422475337</v>
      </c>
      <c r="Y151" s="1428">
        <f ca="1">IF(UPPER('VVP1'!$F$2)="Y",(OFFSET('VVP1'!$M16,0,5*(COLUMN()-8))-OFFSET('VVP1'!$J16,0,5*(COLUMN()-8)))/OFFSET('VVP1'!$J$16,0,5*(COLUMN()-8))*100,(Y132-X132)/X$132*100)</f>
        <v>0.20065025715310753</v>
      </c>
      <c r="Z151" s="1428">
        <f ca="1">IF(UPPER('VVP1'!$F$2)="Y",(OFFSET('VVP1'!$M16,0,5*(COLUMN()-8))-OFFSET('VVP1'!$J16,0,5*(COLUMN()-8)))/OFFSET('VVP1'!$J$16,0,5*(COLUMN()-8))*100,(Z132-Y132)/Y$132*100)</f>
        <v>1.3514346509449631</v>
      </c>
      <c r="AA151" s="1428">
        <f ca="1">IF(UPPER('VVP1'!$F$2)="Y",(OFFSET('VVP1'!$M16,0,5*(COLUMN()-8))-OFFSET('VVP1'!$J16,0,5*(COLUMN()-8)))/OFFSET('VVP1'!$J$16,0,5*(COLUMN()-8))*100,(AA132-Z132)/Z$132*100)</f>
        <v>1.4044950428195135</v>
      </c>
      <c r="AB151" s="1428">
        <f ca="1">IF(UPPER('VVP1'!$F$2)="Y",(OFFSET('VVP1'!$M16,0,5*(COLUMN()-8))-OFFSET('VVP1'!$J16,0,5*(COLUMN()-8)))/OFFSET('VVP1'!$J$16,0,5*(COLUMN()-8))*100,(AB132-AA132)/AA$132*100)</f>
        <v>1.4660051412683779</v>
      </c>
      <c r="AC151" s="3923">
        <f ca="1">IF(UPPER('VVP1'!$F$2)="Y",(OFFSET('VVP1'!$M16,0,5*(COLUMN()-8))-OFFSET('VVP1'!$J16,0,5*(COLUMN()-8)))/OFFSET('VVP1'!$J$16,0,5*(COLUMN()-8))*100,(AC132-AB132)/AB$132*100)</f>
        <v>1.6865077937902488</v>
      </c>
      <c r="AD151" s="3923">
        <f ca="1">IF(UPPER('VVP1'!$F$2)="Y",(OFFSET('VVP1'!$M16,0,5*(COLUMN()-8))-OFFSET('VVP1'!$J16,0,5*(COLUMN()-8)))/OFFSET('VVP1'!$J$16,0,5*(COLUMN()-8))*100,(AD132-AC132)/AC$132*100)</f>
        <v>1.8083298569664925</v>
      </c>
      <c r="AE151" s="3923">
        <f ca="1">IF(UPPER('VVP1'!$F$2)="Y",(OFFSET('VVP1'!$M16,0,5*(COLUMN()-8))-OFFSET('VVP1'!$J16,0,5*(COLUMN()-8)))/OFFSET('VVP1'!$J$16,0,5*(COLUMN()-8))*100,(AE132-AD132)/AD$132*100)</f>
        <v>1.7329264820707408</v>
      </c>
    </row>
    <row r="152" spans="1:31">
      <c r="V152" s="577"/>
      <c r="W152" s="577"/>
    </row>
    <row r="153" spans="1:31">
      <c r="A153" s="1123"/>
      <c r="D153" s="1388"/>
      <c r="E153" s="3166" t="s">
        <v>1208</v>
      </c>
      <c r="F153" s="3167"/>
      <c r="G153" s="3246">
        <f>InputY!$G$3</f>
        <v>1995</v>
      </c>
      <c r="H153" s="861">
        <f t="shared" ref="H153:U153" si="170">+G153+1</f>
        <v>1996</v>
      </c>
      <c r="I153" s="861">
        <f t="shared" si="170"/>
        <v>1997</v>
      </c>
      <c r="J153" s="861">
        <f t="shared" si="170"/>
        <v>1998</v>
      </c>
      <c r="K153" s="861">
        <f t="shared" si="170"/>
        <v>1999</v>
      </c>
      <c r="L153" s="861">
        <f t="shared" si="170"/>
        <v>2000</v>
      </c>
      <c r="M153" s="861">
        <f t="shared" si="170"/>
        <v>2001</v>
      </c>
      <c r="N153" s="861">
        <f t="shared" si="170"/>
        <v>2002</v>
      </c>
      <c r="O153" s="861">
        <f t="shared" si="170"/>
        <v>2003</v>
      </c>
      <c r="P153" s="861">
        <f t="shared" si="170"/>
        <v>2004</v>
      </c>
      <c r="Q153" s="861">
        <f t="shared" si="170"/>
        <v>2005</v>
      </c>
      <c r="R153" s="861">
        <f t="shared" si="170"/>
        <v>2006</v>
      </c>
      <c r="S153" s="861">
        <f t="shared" si="170"/>
        <v>2007</v>
      </c>
      <c r="T153" s="861">
        <f t="shared" si="170"/>
        <v>2008</v>
      </c>
      <c r="U153" s="861">
        <f t="shared" si="170"/>
        <v>2009</v>
      </c>
      <c r="V153" s="861">
        <f t="shared" ref="V153:AE153" si="171">+U153+1</f>
        <v>2010</v>
      </c>
      <c r="W153" s="861">
        <f t="shared" si="171"/>
        <v>2011</v>
      </c>
      <c r="X153" s="861">
        <f t="shared" si="171"/>
        <v>2012</v>
      </c>
      <c r="Y153" s="861">
        <f t="shared" si="171"/>
        <v>2013</v>
      </c>
      <c r="Z153" s="861">
        <f t="shared" si="171"/>
        <v>2014</v>
      </c>
      <c r="AA153" s="861">
        <f t="shared" si="171"/>
        <v>2015</v>
      </c>
      <c r="AB153" s="861">
        <f t="shared" si="171"/>
        <v>2016</v>
      </c>
      <c r="AC153" s="861">
        <f t="shared" si="171"/>
        <v>2017</v>
      </c>
      <c r="AD153" s="861">
        <f t="shared" si="171"/>
        <v>2018</v>
      </c>
      <c r="AE153" s="861">
        <f t="shared" si="171"/>
        <v>2019</v>
      </c>
    </row>
    <row r="154" spans="1:31">
      <c r="A154" s="714"/>
      <c r="C154" s="1390"/>
      <c r="D154" s="3168" t="s">
        <v>589</v>
      </c>
      <c r="E154" s="23" t="s">
        <v>1043</v>
      </c>
      <c r="F154" s="1404" t="s">
        <v>511</v>
      </c>
      <c r="G154" s="3177"/>
      <c r="H154" s="3178">
        <f ca="1">(H7-OFFSET('Q1'!$N$39,0,4*(COLUMN()-8)))/H7</f>
        <v>-7.1865021665531131E-2</v>
      </c>
      <c r="I154" s="3178">
        <f ca="1">(I7-OFFSET('Q1'!$N$39,0,4*(COLUMN()-8)))/I7</f>
        <v>-7.1901851049901336E-2</v>
      </c>
      <c r="J154" s="3178">
        <f ca="1">(J7-OFFSET('Q1'!$N$39,0,4*(COLUMN()-8)))/J7</f>
        <v>-7.190741226261263E-2</v>
      </c>
      <c r="K154" s="3178">
        <f ca="1">(K7-OFFSET('Q1'!$N$39,0,4*(COLUMN()-8)))/K7</f>
        <v>-7.1895708618041385E-2</v>
      </c>
      <c r="L154" s="3178">
        <f ca="1">(L7-OFFSET('Q1'!$N$39,0,4*(COLUMN()-8)))/L7</f>
        <v>-7.2177061297604636E-2</v>
      </c>
      <c r="M154" s="3178">
        <f ca="1">(M7-OFFSET('Q1'!$N$39,0,4*(COLUMN()-8)))/M7</f>
        <v>-7.1904162591523227E-2</v>
      </c>
      <c r="N154" s="3178">
        <f ca="1">(N7-OFFSET('Q1'!$N$39,0,4*(COLUMN()-8)))/N7</f>
        <v>-7.1896073748776032E-2</v>
      </c>
      <c r="O154" s="3178">
        <f ca="1">(O7-OFFSET('Q1'!$N$39,0,4*(COLUMN()-8)))/O7</f>
        <v>-7.1898057859424533E-2</v>
      </c>
      <c r="P154" s="3178">
        <f ca="1">(P7-OFFSET('Q1'!$N$39,0,4*(COLUMN()-8)))/P7</f>
        <v>-7.1861756150379555E-2</v>
      </c>
      <c r="Q154" s="3178">
        <f ca="1">(Q7-OFFSET('Q1'!$N$39,0,4*(COLUMN()-8)))/Q7</f>
        <v>-7.204864089595861E-2</v>
      </c>
      <c r="R154" s="3178">
        <f ca="1">(R7-OFFSET('Q1'!$N$39,0,4*(COLUMN()-8)))/R7</f>
        <v>-7.2060708044859617E-2</v>
      </c>
      <c r="S154" s="3178">
        <f ca="1">(S7-OFFSET('Q1'!$N$39,0,4*(COLUMN()-8)))/S7</f>
        <v>-7.1924706978067979E-2</v>
      </c>
      <c r="T154" s="3178">
        <f ca="1">(T7-OFFSET('Q1'!$N$39,0,4*(COLUMN()-8)))/T7</f>
        <v>-7.1865194086456766E-2</v>
      </c>
      <c r="U154" s="3178">
        <f ca="1">(U7-OFFSET('Q1'!$N$39,0,4*(COLUMN()-8)))/U7</f>
        <v>-7.1951692870333303E-2</v>
      </c>
      <c r="V154" s="3178">
        <f ca="1">(V7-OFFSET('Q1'!$N$39,0,4*(COLUMN()-8)))/V7</f>
        <v>-7.1943124914005716E-2</v>
      </c>
      <c r="W154" s="3178">
        <f ca="1">(W7-OFFSET('Q1'!$N$39,0,4*(COLUMN()-8)))/W7</f>
        <v>-7.114089926094444E-2</v>
      </c>
      <c r="X154" s="3179">
        <f ca="1">(X7-OFFSET('Q1'!$N$39,0,4*(COLUMN()-8)))/X7</f>
        <v>-7.1942615511359373E-2</v>
      </c>
      <c r="Y154" s="3179">
        <f ca="1">(Y7-OFFSET('Q1'!$N$39,0,4*(COLUMN()-8)))/Y7</f>
        <v>-7.1944732768404504E-2</v>
      </c>
      <c r="Z154" s="3179">
        <f ca="1">(Z7-OFFSET('Q1'!$N$39,0,4*(COLUMN()-8)))/Z7</f>
        <v>-7.1945795438998761E-2</v>
      </c>
      <c r="AA154" s="3179">
        <f ca="1">(AA7-OFFSET('Q1'!$N$39,0,4*(COLUMN()-8)))/AA7</f>
        <v>-7.1945769415316954E-2</v>
      </c>
      <c r="AB154" s="3179">
        <f ca="1">(AB7-OFFSET('Q1'!$N$39,0,4*(COLUMN()-8)))/AB7</f>
        <v>-7.1944284318620488E-2</v>
      </c>
      <c r="AC154" s="3179">
        <f ca="1">(AC7-OFFSET('Q1'!$N$39,0,4*(COLUMN()-8)))/AC7</f>
        <v>-7.1944822126155661E-2</v>
      </c>
      <c r="AD154" s="3179">
        <f ca="1">(AD7-OFFSET('Q1'!$N$39,0,4*(COLUMN()-8)))/AD7</f>
        <v>-7.1959505755151781E-2</v>
      </c>
      <c r="AE154" s="3179">
        <f ca="1">(AE7-OFFSET('Q1'!$N$39,0,4*(COLUMN()-8)))/AE7</f>
        <v>-7.1965321514339903E-2</v>
      </c>
    </row>
    <row r="155" spans="1:31">
      <c r="A155" s="714"/>
      <c r="C155" s="1391"/>
      <c r="D155" s="1106" t="s">
        <v>591</v>
      </c>
      <c r="E155" s="1" t="s">
        <v>1043</v>
      </c>
      <c r="F155" s="1392" t="s">
        <v>39</v>
      </c>
      <c r="G155" s="3083"/>
      <c r="H155" s="3180">
        <f ca="1">(H13-OFFSET('Q1'!$N$58,0,4*(COLUMN()-8)))/H13</f>
        <v>-9.6402007725512329E-2</v>
      </c>
      <c r="I155" s="3180">
        <f ca="1">(I13-OFFSET('Q1'!$N$58,0,4*(COLUMN()-8)))/I13</f>
        <v>-9.6425289598513764E-2</v>
      </c>
      <c r="J155" s="3180">
        <f ca="1">(J13-OFFSET('Q1'!$N$58,0,4*(COLUMN()-8)))/J13</f>
        <v>-9.6412453897187861E-2</v>
      </c>
      <c r="K155" s="3180">
        <f ca="1">(K13-OFFSET('Q1'!$N$58,0,4*(COLUMN()-8)))/K13</f>
        <v>-9.6420976023598212E-2</v>
      </c>
      <c r="L155" s="3180">
        <f ca="1">(L13-OFFSET('Q1'!$N$58,0,4*(COLUMN()-8)))/L13</f>
        <v>-9.6431838678711385E-2</v>
      </c>
      <c r="M155" s="3180">
        <f ca="1">(M13-OFFSET('Q1'!$N$58,0,4*(COLUMN()-8)))/M13</f>
        <v>-9.6398205923021646E-2</v>
      </c>
      <c r="N155" s="3180">
        <f ca="1">(N13-OFFSET('Q1'!$N$58,0,4*(COLUMN()-8)))/N13</f>
        <v>-9.6423672435108007E-2</v>
      </c>
      <c r="O155" s="3180">
        <f ca="1">(O13-OFFSET('Q1'!$N$58,0,4*(COLUMN()-8)))/O13</f>
        <v>-9.6419672710698984E-2</v>
      </c>
      <c r="P155" s="3180">
        <f ca="1">(P13-OFFSET('Q1'!$N$58,0,4*(COLUMN()-8)))/P13</f>
        <v>-9.6426091731783098E-2</v>
      </c>
      <c r="Q155" s="3180">
        <f ca="1">(Q13-OFFSET('Q1'!$N$58,0,4*(COLUMN()-8)))/Q13</f>
        <v>-9.6422239464818441E-2</v>
      </c>
      <c r="R155" s="3180">
        <f ca="1">(R13-OFFSET('Q1'!$N$58,0,4*(COLUMN()-8)))/R13</f>
        <v>-9.6410990095214616E-2</v>
      </c>
      <c r="S155" s="3180">
        <f ca="1">(S13-OFFSET('Q1'!$N$58,0,4*(COLUMN()-8)))/S13</f>
        <v>-9.6411244390680523E-2</v>
      </c>
      <c r="T155" s="3180">
        <f ca="1">(T13-OFFSET('Q1'!$N$58,0,4*(COLUMN()-8)))/T13</f>
        <v>-9.6422190028627494E-2</v>
      </c>
      <c r="U155" s="3180">
        <f ca="1">(U13-OFFSET('Q1'!$N$58,0,4*(COLUMN()-8)))/U13</f>
        <v>-9.6429209138976166E-2</v>
      </c>
      <c r="V155" s="3180">
        <f ca="1">(V13-OFFSET('Q1'!$N$58,0,4*(COLUMN()-8)))/V13</f>
        <v>-9.6409372678022631E-2</v>
      </c>
      <c r="W155" s="3180">
        <f ca="1">(W13-OFFSET('Q1'!$N$58,0,4*(COLUMN()-8)))/W13</f>
        <v>-9.6417524026561119E-2</v>
      </c>
      <c r="X155" s="3181">
        <f ca="1">(X13-OFFSET('Q1'!$N$58,0,4*(COLUMN()-8)))/X13</f>
        <v>-9.6414227107255959E-2</v>
      </c>
      <c r="Y155" s="3181">
        <f ca="1">(Y13-OFFSET('Q1'!$N$58,0,4*(COLUMN()-8)))/Y13</f>
        <v>-9.6424372744316131E-2</v>
      </c>
      <c r="Z155" s="3181">
        <f ca="1">(Z13-OFFSET('Q1'!$N$58,0,4*(COLUMN()-8)))/Z13</f>
        <v>-9.6427689692579158E-2</v>
      </c>
      <c r="AA155" s="3181">
        <f ca="1">(AA13-OFFSET('Q1'!$N$58,0,4*(COLUMN()-8)))/AA13</f>
        <v>-9.6426593787399831E-2</v>
      </c>
      <c r="AB155" s="3181">
        <f ca="1">(AB13-OFFSET('Q1'!$N$58,0,4*(COLUMN()-8)))/AB13</f>
        <v>-9.6425469722109164E-2</v>
      </c>
      <c r="AC155" s="3181">
        <f ca="1">(AC13-OFFSET('Q1'!$N$58,0,4*(COLUMN()-8)))/AC13</f>
        <v>-9.6429797931233394E-2</v>
      </c>
      <c r="AD155" s="3181">
        <f ca="1">(AD13-OFFSET('Q1'!$N$58,0,4*(COLUMN()-8)))/AD13</f>
        <v>-9.646412205579194E-2</v>
      </c>
      <c r="AE155" s="3181">
        <f ca="1">(AE13-OFFSET('Q1'!$N$58,0,4*(COLUMN()-8)))/AE13</f>
        <v>-9.769054374978188E-2</v>
      </c>
    </row>
    <row r="156" spans="1:31">
      <c r="A156" s="714"/>
      <c r="C156" s="1391"/>
      <c r="D156" s="3169"/>
      <c r="E156" s="113" t="s">
        <v>1248</v>
      </c>
      <c r="F156" s="3170" t="s">
        <v>2048</v>
      </c>
      <c r="G156" s="1420"/>
      <c r="H156" s="3182">
        <f ca="1">(H29-OFFSET('Q1'!$N$81,0,4*(COLUMN()-8)))/H29</f>
        <v>-6.7619119610095771E-2</v>
      </c>
      <c r="I156" s="3182">
        <f ca="1">(I29-OFFSET('Q1'!$N$81,0,4*(COLUMN()-8)))/I29</f>
        <v>-6.7620669136154388E-2</v>
      </c>
      <c r="J156" s="3182">
        <f ca="1">(J29-OFFSET('Q1'!$N$81,0,4*(COLUMN()-8)))/J29</f>
        <v>-6.761287956883813E-2</v>
      </c>
      <c r="K156" s="3182">
        <f ca="1">(K29-OFFSET('Q1'!$N$81,0,4*(COLUMN()-8)))/K29</f>
        <v>-6.7616086808255232E-2</v>
      </c>
      <c r="L156" s="3182">
        <f ca="1">(L29-OFFSET('Q1'!$N$81,0,4*(COLUMN()-8)))/L29</f>
        <v>-6.7620533418045484E-2</v>
      </c>
      <c r="M156" s="3182">
        <f ca="1">(M29-OFFSET('Q1'!$N$81,0,4*(COLUMN()-8)))/M29</f>
        <v>-6.7623434337930874E-2</v>
      </c>
      <c r="N156" s="3182">
        <f ca="1">(N29-OFFSET('Q1'!$N$81,0,4*(COLUMN()-8)))/N29</f>
        <v>-6.7616186057242997E-2</v>
      </c>
      <c r="O156" s="3182">
        <f ca="1">(O29-OFFSET('Q1'!$N$81,0,4*(COLUMN()-8)))/O29</f>
        <v>-6.7622175287812308E-2</v>
      </c>
      <c r="P156" s="3182">
        <f ca="1">(P29-OFFSET('Q1'!$N$81,0,4*(COLUMN()-8)))/P29</f>
        <v>-6.7616388276648315E-2</v>
      </c>
      <c r="Q156" s="3182">
        <f ca="1">(Q29-OFFSET('Q1'!$N$81,0,4*(COLUMN()-8)))/Q29</f>
        <v>-6.7620475346227726E-2</v>
      </c>
      <c r="R156" s="3182">
        <f ca="1">(R29-OFFSET('Q1'!$N$81,0,4*(COLUMN()-8)))/R29</f>
        <v>-6.7624117514894361E-2</v>
      </c>
      <c r="S156" s="3182">
        <f ca="1">(S29-OFFSET('Q1'!$N$81,0,4*(COLUMN()-8)))/S29</f>
        <v>-6.762619545815618E-2</v>
      </c>
      <c r="T156" s="3182">
        <f ca="1">(T29-OFFSET('Q1'!$N$81,0,4*(COLUMN()-8)))/T29</f>
        <v>-6.7627282085425941E-2</v>
      </c>
      <c r="U156" s="3182">
        <f ca="1">(U29-OFFSET('Q1'!$N$81,0,4*(COLUMN()-8)))/U29</f>
        <v>-6.7637765544705269E-2</v>
      </c>
      <c r="V156" s="3182">
        <f ca="1">(V29-OFFSET('Q1'!$N$81,0,4*(COLUMN()-8)))/V29</f>
        <v>-6.7612843942260248E-2</v>
      </c>
      <c r="W156" s="3182">
        <f ca="1">(W29-OFFSET('Q1'!$N$81,0,4*(COLUMN()-8)))/W29</f>
        <v>-6.7620373486455734E-2</v>
      </c>
      <c r="X156" s="3183">
        <f ca="1">(X29-OFFSET('Q1'!$N$81,0,4*(COLUMN()-8)))/X29</f>
        <v>-6.7627508583839882E-2</v>
      </c>
      <c r="Y156" s="3183">
        <f ca="1">(Y29-OFFSET('Q1'!$N$81,0,4*(COLUMN()-8)))/Y29</f>
        <v>-6.7619089109365108E-2</v>
      </c>
      <c r="Z156" s="3183">
        <f ca="1">(Z29-OFFSET('Q1'!$N$81,0,4*(COLUMN()-8)))/Z29</f>
        <v>-6.7620248496803828E-2</v>
      </c>
      <c r="AA156" s="3183">
        <f ca="1">(AA29-OFFSET('Q1'!$N$81,0,4*(COLUMN()-8)))/AA29</f>
        <v>-6.7617973434834888E-2</v>
      </c>
      <c r="AB156" s="3183">
        <f ca="1">(AB29-OFFSET('Q1'!$N$81,0,4*(COLUMN()-8)))/AB29</f>
        <v>-6.762020457298476E-2</v>
      </c>
      <c r="AC156" s="3183">
        <f ca="1">(AC29-OFFSET('Q1'!$N$81,0,4*(COLUMN()-8)))/AC29</f>
        <v>-6.7626645523747697E-2</v>
      </c>
      <c r="AD156" s="3183">
        <f ca="1">(AD29-OFFSET('Q1'!$N$81,0,4*(COLUMN()-8)))/AD29</f>
        <v>-6.7563329758917934E-2</v>
      </c>
      <c r="AE156" s="3183">
        <f ca="1">(AE29-OFFSET('Q1'!$N$81,0,4*(COLUMN()-8)))/AE29</f>
        <v>-6.7498479446717372E-2</v>
      </c>
    </row>
    <row r="157" spans="1:31">
      <c r="A157" s="714"/>
      <c r="C157" s="1391"/>
      <c r="D157" s="1371"/>
      <c r="E157" s="50" t="s">
        <v>1585</v>
      </c>
      <c r="F157" s="30"/>
      <c r="G157" s="30"/>
      <c r="H157" s="3184">
        <f ca="1">(H61-OFFSET('Q1'!$N$107,0,4*(COLUMN()-8)))/H61</f>
        <v>-7.7346358484995631E-2</v>
      </c>
      <c r="I157" s="3184">
        <f ca="1">(I61-OFFSET('Q1'!$N$107,0,4*(COLUMN()-8)))/I61</f>
        <v>-7.6433207572068465E-2</v>
      </c>
      <c r="J157" s="3184">
        <f ca="1">(J61-OFFSET('Q1'!$N$107,0,4*(COLUMN()-8)))/J61</f>
        <v>-7.6221092152653838E-2</v>
      </c>
      <c r="K157" s="3184">
        <f ca="1">(K61-OFFSET('Q1'!$N$107,0,4*(COLUMN()-8)))/K61</f>
        <v>-7.6234556023726585E-2</v>
      </c>
      <c r="L157" s="3184">
        <f ca="1">(L61-OFFSET('Q1'!$N$107,0,4*(COLUMN()-8)))/L61</f>
        <v>-7.6208042026115225E-2</v>
      </c>
      <c r="M157" s="3184">
        <f ca="1">(M61-OFFSET('Q1'!$N$107,0,4*(COLUMN()-8)))/M61</f>
        <v>-7.5969777496228547E-2</v>
      </c>
      <c r="N157" s="3184">
        <f ca="1">(N61-OFFSET('Q1'!$N$107,0,4*(COLUMN()-8)))/N61</f>
        <v>-7.7000107738777024E-2</v>
      </c>
      <c r="O157" s="3184">
        <f ca="1">(O61-OFFSET('Q1'!$N$107,0,4*(COLUMN()-8)))/O61</f>
        <v>-7.7218555220441618E-2</v>
      </c>
      <c r="P157" s="3184">
        <f ca="1">(P61-OFFSET('Q1'!$N$107,0,4*(COLUMN()-8)))/P61</f>
        <v>-7.6801298888983086E-2</v>
      </c>
      <c r="Q157" s="3184">
        <f ca="1">(Q61-OFFSET('Q1'!$N$107,0,4*(COLUMN()-8)))/Q61</f>
        <v>-7.6628557375723896E-2</v>
      </c>
      <c r="R157" s="3184">
        <f ca="1">(R61-OFFSET('Q1'!$N$107,0,4*(COLUMN()-8)))/R61</f>
        <v>-7.6562198716720278E-2</v>
      </c>
      <c r="S157" s="3184">
        <f ca="1">(S61-OFFSET('Q1'!$N$107,0,4*(COLUMN()-8)))/S61</f>
        <v>-7.6341141701601625E-2</v>
      </c>
      <c r="T157" s="3184">
        <f ca="1">(T61-OFFSET('Q1'!$N$107,0,4*(COLUMN()-8)))/T61</f>
        <v>-7.6466028062668084E-2</v>
      </c>
      <c r="U157" s="3184">
        <f ca="1">(U61-OFFSET('Q1'!$N$107,0,4*(COLUMN()-8)))/U61</f>
        <v>-7.6927723688657898E-2</v>
      </c>
      <c r="V157" s="3184">
        <f ca="1">(V61-OFFSET('Q1'!$N$107,0,4*(COLUMN()-8)))/V61</f>
        <v>-7.6893463874060874E-2</v>
      </c>
      <c r="W157" s="3184">
        <f ca="1">(W61-OFFSET('Q1'!$N$107,0,4*(COLUMN()-8)))/W61</f>
        <v>-7.6435442395137609E-2</v>
      </c>
      <c r="X157" s="3185">
        <f ca="1">(X61-OFFSET('Q1'!$N$107,0,4*(COLUMN()-8)))/X61</f>
        <v>-7.6898659361950644E-2</v>
      </c>
      <c r="Y157" s="3185">
        <f ca="1">(Y61-OFFSET('Q1'!$N$107,0,4*(COLUMN()-8)))/Y61</f>
        <v>-7.6932786313852058E-2</v>
      </c>
      <c r="Z157" s="3185">
        <f ca="1">(Z61-OFFSET('Q1'!$N$107,0,4*(COLUMN()-8)))/Z61</f>
        <v>-7.688525760095942E-2</v>
      </c>
      <c r="AA157" s="3185">
        <f ca="1">(AA61-OFFSET('Q1'!$N$107,0,4*(COLUMN()-8)))/AA61</f>
        <v>-7.688361226945406E-2</v>
      </c>
      <c r="AB157" s="3185">
        <f ca="1">(AB61-OFFSET('Q1'!$N$107,0,4*(COLUMN()-8)))/AB61</f>
        <v>-7.6883090784860261E-2</v>
      </c>
      <c r="AC157" s="3185">
        <f ca="1">(AC61-OFFSET('Q1'!$N$107,0,4*(COLUMN()-8)))/AC61</f>
        <v>-7.6883589070977323E-2</v>
      </c>
      <c r="AD157" s="3185">
        <f ca="1">(AD61-OFFSET('Q1'!$N$107,0,4*(COLUMN()-8)))/AD61</f>
        <v>-7.6913338607585507E-2</v>
      </c>
      <c r="AE157" s="3185">
        <f ca="1">(AE61-OFFSET('Q1'!$N$107,0,4*(COLUMN()-8)))/AE61</f>
        <v>-7.7215989840595189E-2</v>
      </c>
    </row>
    <row r="158" spans="1:31">
      <c r="A158" s="714"/>
      <c r="C158" s="1391"/>
      <c r="D158" s="3169"/>
      <c r="E158" s="113" t="s">
        <v>1485</v>
      </c>
      <c r="F158" s="1393" t="s">
        <v>1675</v>
      </c>
      <c r="G158" s="1420"/>
      <c r="H158" s="3182">
        <f ca="1">(H71-OFFSET('Q1'!$N$126,0,4*(COLUMN()-8)))/H71</f>
        <v>1</v>
      </c>
      <c r="I158" s="3182">
        <f ca="1">(I71-OFFSET('Q1'!$N$126,0,4*(COLUMN()-8)))/I71</f>
        <v>1</v>
      </c>
      <c r="J158" s="3182">
        <f ca="1">(J71-OFFSET('Q1'!$N$126,0,4*(COLUMN()-8)))/J71</f>
        <v>1</v>
      </c>
      <c r="K158" s="3182">
        <f ca="1">(K71-OFFSET('Q1'!$N$126,0,4*(COLUMN()-8)))/K71</f>
        <v>1</v>
      </c>
      <c r="L158" s="3182">
        <f ca="1">(L71-OFFSET('Q1'!$N$126,0,4*(COLUMN()-8)))/L71</f>
        <v>1</v>
      </c>
      <c r="M158" s="3182">
        <f ca="1">(M71-OFFSET('Q1'!$N$126,0,4*(COLUMN()-8)))/M71</f>
        <v>1</v>
      </c>
      <c r="N158" s="3182">
        <f ca="1">(N71-OFFSET('Q1'!$N$126,0,4*(COLUMN()-8)))/N71</f>
        <v>1</v>
      </c>
      <c r="O158" s="3182">
        <f ca="1">(O71-OFFSET('Q1'!$N$126,0,4*(COLUMN()-8)))/O71</f>
        <v>1</v>
      </c>
      <c r="P158" s="3182">
        <f ca="1">(P71-OFFSET('Q1'!$N$126,0,4*(COLUMN()-8)))/P71</f>
        <v>1</v>
      </c>
      <c r="Q158" s="3182">
        <f ca="1">(Q71-OFFSET('Q1'!$N$126,0,4*(COLUMN()-8)))/Q71</f>
        <v>1</v>
      </c>
      <c r="R158" s="3182">
        <f ca="1">(R71-OFFSET('Q1'!$N$126,0,4*(COLUMN()-8)))/R71</f>
        <v>1</v>
      </c>
      <c r="S158" s="3182">
        <f ca="1">(S71-OFFSET('Q1'!$N$126,0,4*(COLUMN()-8)))/S71</f>
        <v>1</v>
      </c>
      <c r="T158" s="3182">
        <f ca="1">(T71-OFFSET('Q1'!$N$126,0,4*(COLUMN()-8)))/T71</f>
        <v>1</v>
      </c>
      <c r="U158" s="3182">
        <f ca="1">(U71-OFFSET('Q1'!$N$126,0,4*(COLUMN()-8)))/U71</f>
        <v>0.91516338760305727</v>
      </c>
      <c r="V158" s="3182">
        <f ca="1">(V71-OFFSET('Q1'!$N$126,0,4*(COLUMN()-8)))/V71</f>
        <v>1</v>
      </c>
      <c r="W158" s="3182">
        <f ca="1">(W71-OFFSET('Q1'!$N$126,0,4*(COLUMN()-8)))/W71</f>
        <v>1</v>
      </c>
      <c r="X158" s="3183">
        <f ca="1">(X71-OFFSET('Q1'!$N$126,0,4*(COLUMN()-8)))/X71</f>
        <v>1</v>
      </c>
      <c r="Y158" s="3183">
        <f ca="1">(Y71-OFFSET('Q1'!$N$126,0,4*(COLUMN()-8)))/Y71</f>
        <v>1</v>
      </c>
      <c r="Z158" s="3183">
        <f ca="1">(Z71-OFFSET('Q1'!$N$126,0,4*(COLUMN()-8)))/Z71</f>
        <v>1</v>
      </c>
      <c r="AA158" s="3183">
        <f ca="1">(AA71-OFFSET('Q1'!$N$126,0,4*(COLUMN()-8)))/AA71</f>
        <v>1</v>
      </c>
      <c r="AB158" s="3183">
        <f ca="1">(AB71-OFFSET('Q1'!$N$126,0,4*(COLUMN()-8)))/AB71</f>
        <v>1</v>
      </c>
      <c r="AC158" s="3183">
        <f ca="1">(AC71-OFFSET('Q1'!$N$126,0,4*(COLUMN()-8)))/AC71</f>
        <v>1</v>
      </c>
      <c r="AD158" s="3183">
        <f ca="1">(AD71-OFFSET('Q1'!$N$126,0,4*(COLUMN()-8)))/AD71</f>
        <v>1</v>
      </c>
      <c r="AE158" s="3183">
        <f ca="1">(AE71-OFFSET('Q1'!$N$126,0,4*(COLUMN()-8)))/AE71</f>
        <v>1</v>
      </c>
    </row>
    <row r="159" spans="1:31">
      <c r="A159" s="714"/>
      <c r="C159" s="1391"/>
      <c r="D159" s="1371"/>
      <c r="E159" s="50" t="s">
        <v>1161</v>
      </c>
      <c r="F159" s="1394"/>
      <c r="G159" s="30"/>
      <c r="H159" s="3184">
        <f ca="1">(H79-OFFSET('Q1'!$N$146,0,4*(COLUMN()-8)))/H79</f>
        <v>-8.2827417795065694E-2</v>
      </c>
      <c r="I159" s="3184">
        <f ca="1">(I79-OFFSET('Q1'!$N$146,0,4*(COLUMN()-8)))/I79</f>
        <v>-7.9487696214277634E-2</v>
      </c>
      <c r="J159" s="3184">
        <f ca="1">(J79-OFFSET('Q1'!$N$146,0,4*(COLUMN()-8)))/J79</f>
        <v>-8.0631116286450394E-2</v>
      </c>
      <c r="K159" s="3184">
        <f ca="1">(K79-OFFSET('Q1'!$N$146,0,4*(COLUMN()-8)))/K79</f>
        <v>-7.9990759498874422E-2</v>
      </c>
      <c r="L159" s="3184">
        <f ca="1">(L79-OFFSET('Q1'!$N$146,0,4*(COLUMN()-8)))/L79</f>
        <v>-7.4944922592939167E-2</v>
      </c>
      <c r="M159" s="3184">
        <f ca="1">(M79-OFFSET('Q1'!$N$146,0,4*(COLUMN()-8)))/M79</f>
        <v>-8.6105250932261512E-2</v>
      </c>
      <c r="N159" s="3184">
        <f ca="1">(N79-OFFSET('Q1'!$N$146,0,4*(COLUMN()-8)))/N79</f>
        <v>-8.7193903523159311E-2</v>
      </c>
      <c r="O159" s="3184">
        <f ca="1">(O79-OFFSET('Q1'!$N$146,0,4*(COLUMN()-8)))/O79</f>
        <v>-8.5751807942106309E-2</v>
      </c>
      <c r="P159" s="3184">
        <f ca="1">(P79-OFFSET('Q1'!$N$146,0,4*(COLUMN()-8)))/P79</f>
        <v>-8.1237188227198442E-2</v>
      </c>
      <c r="Q159" s="3184">
        <f ca="1">(Q79-OFFSET('Q1'!$N$146,0,4*(COLUMN()-8)))/Q79</f>
        <v>-7.516660542921777E-2</v>
      </c>
      <c r="R159" s="3184">
        <f ca="1">(R79-OFFSET('Q1'!$N$146,0,4*(COLUMN()-8)))/R79</f>
        <v>-7.0373153539419531E-2</v>
      </c>
      <c r="S159" s="3184">
        <f ca="1">(S79-OFFSET('Q1'!$N$146,0,4*(COLUMN()-8)))/S79</f>
        <v>-6.5455222108119451E-2</v>
      </c>
      <c r="T159" s="3184">
        <f ca="1">(T79-OFFSET('Q1'!$N$146,0,4*(COLUMN()-8)))/T79</f>
        <v>-6.4001248123712579E-2</v>
      </c>
      <c r="U159" s="3184">
        <f ca="1">(U79-OFFSET('Q1'!$N$146,0,4*(COLUMN()-8)))/U79</f>
        <v>-7.3782090516993859E-2</v>
      </c>
      <c r="V159" s="3184">
        <f ca="1">(V79-OFFSET('Q1'!$N$146,0,4*(COLUMN()-8)))/V79</f>
        <v>-6.7318457100813633E-2</v>
      </c>
      <c r="W159" s="3184">
        <f ca="1">(W79-OFFSET('Q1'!$N$146,0,4*(COLUMN()-8)))/W79</f>
        <v>-5.9232170591481829E-2</v>
      </c>
      <c r="X159" s="3185">
        <f ca="1">(X79-OFFSET('Q1'!$N$146,0,4*(COLUMN()-8)))/X79</f>
        <v>-6.666674779865317E-2</v>
      </c>
      <c r="Y159" s="3185">
        <f ca="1">(Y79-OFFSET('Q1'!$N$146,0,4*(COLUMN()-8)))/Y79</f>
        <v>-6.8069527708664396E-2</v>
      </c>
      <c r="Z159" s="3185">
        <f ca="1">(Z79-OFFSET('Q1'!$N$146,0,4*(COLUMN()-8)))/Z79</f>
        <v>-6.7469676278343993E-2</v>
      </c>
      <c r="AA159" s="3185">
        <f ca="1">(AA79-OFFSET('Q1'!$N$146,0,4*(COLUMN()-8)))/AA79</f>
        <v>-6.5531519477126848E-2</v>
      </c>
      <c r="AB159" s="3185">
        <f ca="1">(AB79-OFFSET('Q1'!$N$146,0,4*(COLUMN()-8)))/AB79</f>
        <v>-6.2557456294546107E-2</v>
      </c>
      <c r="AC159" s="3185">
        <f ca="1">(AC79-OFFSET('Q1'!$N$146,0,4*(COLUMN()-8)))/AC79</f>
        <v>-6.0831942977119489E-2</v>
      </c>
      <c r="AD159" s="3185">
        <f ca="1">(AD79-OFFSET('Q1'!$N$146,0,4*(COLUMN()-8)))/AD79</f>
        <v>-6.1110726681488058E-2</v>
      </c>
      <c r="AE159" s="3185">
        <f ca="1">(AE79-OFFSET('Q1'!$N$146,0,4*(COLUMN()-8)))/AE79</f>
        <v>-6.1645209947016444E-2</v>
      </c>
    </row>
    <row r="160" spans="1:31">
      <c r="A160" s="714"/>
      <c r="C160" s="1391"/>
      <c r="D160" s="3169"/>
      <c r="E160" s="113" t="s">
        <v>824</v>
      </c>
      <c r="F160" s="1393" t="s">
        <v>2044</v>
      </c>
      <c r="G160" s="1420"/>
      <c r="H160" s="3182">
        <f ca="1">(H90-OFFSET('Q1'!$N$165,0,4*(COLUMN()-8)))/H90</f>
        <v>-1.2045654868351198E-2</v>
      </c>
      <c r="I160" s="3182">
        <f ca="1">(I90-OFFSET('Q1'!$N$165,0,4*(COLUMN()-8)))/I90</f>
        <v>-1.2015350087487785E-2</v>
      </c>
      <c r="J160" s="3182">
        <f ca="1">(J90-OFFSET('Q1'!$N$165,0,4*(COLUMN()-8)))/J90</f>
        <v>-1.2009907816104679E-2</v>
      </c>
      <c r="K160" s="3182">
        <f ca="1">(K90-OFFSET('Q1'!$N$165,0,4*(COLUMN()-8)))/K90</f>
        <v>-1.2012801590006658E-2</v>
      </c>
      <c r="L160" s="3182">
        <f ca="1">(L90-OFFSET('Q1'!$N$165,0,4*(COLUMN()-8)))/L90</f>
        <v>-1.1817733963334966E-2</v>
      </c>
      <c r="M160" s="3182">
        <f ca="1">(M90-OFFSET('Q1'!$N$165,0,4*(COLUMN()-8)))/M90</f>
        <v>-1.2007203056069268E-2</v>
      </c>
      <c r="N160" s="3182">
        <f ca="1">(N90-OFFSET('Q1'!$N$165,0,4*(COLUMN()-8)))/N90</f>
        <v>-1.2016310670340523E-2</v>
      </c>
      <c r="O160" s="3182">
        <f ca="1">(O90-OFFSET('Q1'!$N$165,0,4*(COLUMN()-8)))/O90</f>
        <v>-1.2017135602973149E-2</v>
      </c>
      <c r="P160" s="3182">
        <f ca="1">(P90-OFFSET('Q1'!$N$165,0,4*(COLUMN()-8)))/P90</f>
        <v>-1.2040510734220761E-2</v>
      </c>
      <c r="Q160" s="3182">
        <f ca="1">(Q90-OFFSET('Q1'!$N$165,0,4*(COLUMN()-8)))/Q90</f>
        <v>-1.1915244055080937E-2</v>
      </c>
      <c r="R160" s="3182">
        <f ca="1">(R90-OFFSET('Q1'!$N$165,0,4*(COLUMN()-8)))/R90</f>
        <v>-1.1906560376397412E-2</v>
      </c>
      <c r="S160" s="3182">
        <f ca="1">(S90-OFFSET('Q1'!$N$165,0,4*(COLUMN()-8)))/S90</f>
        <v>-1.198951799330795E-2</v>
      </c>
      <c r="T160" s="3182">
        <f ca="1">(T90-OFFSET('Q1'!$N$165,0,4*(COLUMN()-8)))/T90</f>
        <v>-1.2028057052849492E-2</v>
      </c>
      <c r="U160" s="3182">
        <f ca="1">(U90-OFFSET('Q1'!$N$165,0,4*(COLUMN()-8)))/U90</f>
        <v>-1.1982028498912979E-2</v>
      </c>
      <c r="V160" s="3182">
        <f ca="1">(V90-OFFSET('Q1'!$N$165,0,4*(COLUMN()-8)))/V90</f>
        <v>-1.1978272653760813E-2</v>
      </c>
      <c r="W160" s="3182">
        <f ca="1">(W90-OFFSET('Q1'!$N$165,0,4*(COLUMN()-8)))/W90</f>
        <v>-1.198041552187859E-2</v>
      </c>
      <c r="X160" s="3183">
        <f ca="1">(X90-OFFSET('Q1'!$N$165,0,4*(COLUMN()-8)))/X90</f>
        <v>-1.1981724155848991E-2</v>
      </c>
      <c r="Y160" s="3183">
        <f ca="1">(Y90-OFFSET('Q1'!$N$165,0,4*(COLUMN()-8)))/Y90</f>
        <v>-1.1983713065318997E-2</v>
      </c>
      <c r="Z160" s="3183">
        <f ca="1">(Z90-OFFSET('Q1'!$N$165,0,4*(COLUMN()-8)))/Z90</f>
        <v>-1.1981015266422161E-2</v>
      </c>
      <c r="AA160" s="3183">
        <f ca="1">(AA90-OFFSET('Q1'!$N$165,0,4*(COLUMN()-8)))/AA90</f>
        <v>-1.1978240075963592E-2</v>
      </c>
      <c r="AB160" s="3183">
        <f ca="1">(AB90-OFFSET('Q1'!$N$165,0,4*(COLUMN()-8)))/AB90</f>
        <v>-1.1978634448109361E-2</v>
      </c>
      <c r="AC160" s="3183">
        <f ca="1">(AC90-OFFSET('Q1'!$N$165,0,4*(COLUMN()-8)))/AC90</f>
        <v>-1.1981143845015984E-2</v>
      </c>
      <c r="AD160" s="3183">
        <f ca="1">(AD90-OFFSET('Q1'!$N$165,0,4*(COLUMN()-8)))/AD90</f>
        <v>-1.2956276399974804E-2</v>
      </c>
      <c r="AE160" s="3183">
        <f ca="1">(AE90-OFFSET('Q1'!$N$165,0,4*(COLUMN()-8)))/AE90</f>
        <v>-1.3217977805431257E-2</v>
      </c>
    </row>
    <row r="161" spans="1:31">
      <c r="A161" s="714"/>
      <c r="C161" s="1391"/>
      <c r="D161" s="1371"/>
      <c r="E161" s="50" t="s">
        <v>825</v>
      </c>
      <c r="F161" s="1394"/>
      <c r="G161" s="30"/>
      <c r="H161" s="3184">
        <f ca="1">(H101-OFFSET('Q1'!$N$187,0,4*(COLUMN()-8)))/H101</f>
        <v>-6.2124851111510386E-2</v>
      </c>
      <c r="I161" s="3184">
        <f ca="1">(I101-OFFSET('Q1'!$N$187,0,4*(COLUMN()-8)))/I101</f>
        <v>-5.7352332472637005E-2</v>
      </c>
      <c r="J161" s="3184">
        <f ca="1">(J101-OFFSET('Q1'!$N$187,0,4*(COLUMN()-8)))/J101</f>
        <v>-5.7270627694971252E-2</v>
      </c>
      <c r="K161" s="3184">
        <f ca="1">(K101-OFFSET('Q1'!$N$187,0,4*(COLUMN()-8)))/K101</f>
        <v>-5.5992333161538302E-2</v>
      </c>
      <c r="L161" s="3184">
        <f ca="1">(L101-OFFSET('Q1'!$N$187,0,4*(COLUMN()-8)))/L101</f>
        <v>-5.0257333349791489E-2</v>
      </c>
      <c r="M161" s="3184">
        <f ca="1">(M101-OFFSET('Q1'!$N$187,0,4*(COLUMN()-8)))/M101</f>
        <v>-5.6905945740972415E-2</v>
      </c>
      <c r="N161" s="3184">
        <f ca="1">(N101-OFFSET('Q1'!$N$187,0,4*(COLUMN()-8)))/N101</f>
        <v>-5.6053193925407828E-2</v>
      </c>
      <c r="O161" s="3184">
        <f ca="1">(O101-OFFSET('Q1'!$N$187,0,4*(COLUMN()-8)))/O101</f>
        <v>-5.4917032905798149E-2</v>
      </c>
      <c r="P161" s="3184">
        <f ca="1">(P101-OFFSET('Q1'!$N$187,0,4*(COLUMN()-8)))/P101</f>
        <v>-5.1713076297963907E-2</v>
      </c>
      <c r="Q161" s="3184">
        <f ca="1">(Q101-OFFSET('Q1'!$N$187,0,4*(COLUMN()-8)))/Q101</f>
        <v>-4.7707266851755005E-2</v>
      </c>
      <c r="R161" s="3184">
        <f ca="1">(R101-OFFSET('Q1'!$N$187,0,4*(COLUMN()-8)))/R101</f>
        <v>-4.4254863675239085E-2</v>
      </c>
      <c r="S161" s="3184">
        <f ca="1">(S101-OFFSET('Q1'!$N$187,0,4*(COLUMN()-8)))/S101</f>
        <v>-4.1091509704417696E-2</v>
      </c>
      <c r="T161" s="3184">
        <f ca="1">(T101-OFFSET('Q1'!$N$187,0,4*(COLUMN()-8)))/T101</f>
        <v>-4.0382189948717243E-2</v>
      </c>
      <c r="U161" s="3184">
        <f ca="1">(U101-OFFSET('Q1'!$N$187,0,4*(COLUMN()-8)))/U101</f>
        <v>-4.7597161784237681E-2</v>
      </c>
      <c r="V161" s="3184">
        <f ca="1">(V101-OFFSET('Q1'!$N$187,0,4*(COLUMN()-8)))/V101</f>
        <v>-4.3094981089282981E-2</v>
      </c>
      <c r="W161" s="3184">
        <f ca="1">(W101-OFFSET('Q1'!$N$187,0,4*(COLUMN()-8)))/W101</f>
        <v>-3.8040109926461653E-2</v>
      </c>
      <c r="X161" s="3185">
        <f ca="1">(X101-OFFSET('Q1'!$N$187,0,4*(COLUMN()-8)))/X101</f>
        <v>-4.2093211470375584E-2</v>
      </c>
      <c r="Y161" s="3185">
        <f ca="1">(Y101-OFFSET('Q1'!$N$187,0,4*(COLUMN()-8)))/Y101</f>
        <v>-4.4147510057898492E-2</v>
      </c>
      <c r="Z161" s="3185">
        <f ca="1">(Z101-OFFSET('Q1'!$N$187,0,4*(COLUMN()-8)))/Z101</f>
        <v>-4.190544381479052E-2</v>
      </c>
      <c r="AA161" s="3185">
        <f ca="1">(AA101-OFFSET('Q1'!$N$187,0,4*(COLUMN()-8)))/AA101</f>
        <v>-4.0713316103829396E-2</v>
      </c>
      <c r="AB161" s="3185">
        <f ca="1">(AB101-OFFSET('Q1'!$N$187,0,4*(COLUMN()-8)))/AB101</f>
        <v>-3.9207938497709191E-2</v>
      </c>
      <c r="AC161" s="3185">
        <f ca="1">(AC101-OFFSET('Q1'!$N$187,0,4*(COLUMN()-8)))/AC101</f>
        <v>-3.858795952534548E-2</v>
      </c>
      <c r="AD161" s="3185">
        <f ca="1">(AD101-OFFSET('Q1'!$N$187,0,4*(COLUMN()-8)))/AD101</f>
        <v>-3.9561538775291546E-2</v>
      </c>
      <c r="AE161" s="3185">
        <f ca="1">(AE101-OFFSET('Q1'!$N$187,0,4*(COLUMN()-8)))/AE101</f>
        <v>-4.0294486127821681E-2</v>
      </c>
    </row>
    <row r="162" spans="1:31">
      <c r="A162" s="714"/>
      <c r="C162" s="1395"/>
      <c r="D162" s="3169"/>
      <c r="E162" s="113" t="s">
        <v>1792</v>
      </c>
      <c r="F162" s="1393" t="s">
        <v>2045</v>
      </c>
      <c r="G162" s="1420"/>
      <c r="H162" s="3182">
        <f ca="1">(H112-OFFSET('Q1'!$N$206,0,4*(COLUMN()-8)))/H112</f>
        <v>-1.0532224027378825E-2</v>
      </c>
      <c r="I162" s="3182">
        <f ca="1">(I112-OFFSET('Q1'!$N$206,0,4*(COLUMN()-8)))/I112</f>
        <v>-1.0904565531001458E-2</v>
      </c>
      <c r="J162" s="3182">
        <f ca="1">(J112-OFFSET('Q1'!$N$206,0,4*(COLUMN()-8)))/J112</f>
        <v>-1.0864024007690492E-2</v>
      </c>
      <c r="K162" s="3182">
        <f ca="1">(K112-OFFSET('Q1'!$N$206,0,4*(COLUMN()-8)))/K112</f>
        <v>-1.0820081984191357E-2</v>
      </c>
      <c r="L162" s="3182">
        <f ca="1">(L112-OFFSET('Q1'!$N$206,0,4*(COLUMN()-8)))/L112</f>
        <v>-1.4200276226080347E-2</v>
      </c>
      <c r="M162" s="3182">
        <f ca="1">(M112-OFFSET('Q1'!$N$206,0,4*(COLUMN()-8)))/M112</f>
        <v>-1.0777306072226938E-2</v>
      </c>
      <c r="N162" s="3182">
        <f ca="1">(N112-OFFSET('Q1'!$N$206,0,4*(COLUMN()-8)))/N112</f>
        <v>-1.0848399674880899E-2</v>
      </c>
      <c r="O162" s="3182">
        <f ca="1">(O112-OFFSET('Q1'!$N$206,0,4*(COLUMN()-8)))/O112</f>
        <v>-1.0902885571461391E-2</v>
      </c>
      <c r="P162" s="3182">
        <f ca="1">(P112-OFFSET('Q1'!$N$206,0,4*(COLUMN()-8)))/P112</f>
        <v>-1.042229761538402E-2</v>
      </c>
      <c r="Q162" s="3182">
        <f ca="1">(Q112-OFFSET('Q1'!$N$206,0,4*(COLUMN()-8)))/Q112</f>
        <v>-1.2738194350922659E-2</v>
      </c>
      <c r="R162" s="3182">
        <f ca="1">(R112-OFFSET('Q1'!$N$206,0,4*(COLUMN()-8)))/R112</f>
        <v>-1.2732952842205133E-2</v>
      </c>
      <c r="S162" s="3182">
        <f ca="1">(S112-OFFSET('Q1'!$N$206,0,4*(COLUMN()-8)))/S112</f>
        <v>-1.1023677846105218E-2</v>
      </c>
      <c r="T162" s="3182">
        <f ca="1">(T112-OFFSET('Q1'!$N$206,0,4*(COLUMN()-8)))/T112</f>
        <v>-1.0306494132393118E-2</v>
      </c>
      <c r="U162" s="3182">
        <f ca="1">(U112-OFFSET('Q1'!$N$206,0,4*(COLUMN()-8)))/U112</f>
        <v>-1.1469916657382334E-2</v>
      </c>
      <c r="V162" s="3182">
        <f ca="1">(V112-OFFSET('Q1'!$N$206,0,4*(COLUMN()-8)))/V112</f>
        <v>-1.1473698036864708E-2</v>
      </c>
      <c r="W162" s="3182">
        <f ca="1">(W112-OFFSET('Q1'!$N$206,0,4*(COLUMN()-8)))/W112</f>
        <v>-1.1468730318073835E-2</v>
      </c>
      <c r="X162" s="3183">
        <f ca="1">(X112-OFFSET('Q1'!$N$206,0,4*(COLUMN()-8)))/X112</f>
        <v>-1.1473877550853126E-2</v>
      </c>
      <c r="Y162" s="3183">
        <f ca="1">(Y112-OFFSET('Q1'!$N$206,0,4*(COLUMN()-8)))/Y112</f>
        <v>-1.1471463225920979E-2</v>
      </c>
      <c r="Z162" s="3183">
        <f ca="1">(Z112-OFFSET('Q1'!$N$206,0,4*(COLUMN()-8)))/Z112</f>
        <v>-1.1470808283670085E-2</v>
      </c>
      <c r="AA162" s="3183">
        <f ca="1">(AA112-OFFSET('Q1'!$N$206,0,4*(COLUMN()-8)))/AA112</f>
        <v>-1.1470809039472804E-2</v>
      </c>
      <c r="AB162" s="3183">
        <f ca="1">(AB112-OFFSET('Q1'!$N$206,0,4*(COLUMN()-8)))/AB112</f>
        <v>-1.1473128165408795E-2</v>
      </c>
      <c r="AC162" s="3183">
        <f ca="1">(AC112-OFFSET('Q1'!$N$206,0,4*(COLUMN()-8)))/AC112</f>
        <v>-1.1472791945658754E-2</v>
      </c>
      <c r="AD162" s="3183">
        <f ca="1">(AD112-OFFSET('Q1'!$N$206,0,4*(COLUMN()-8)))/AD112</f>
        <v>-9.8161221890715813E-3</v>
      </c>
      <c r="AE162" s="3183">
        <f ca="1">(AE112-OFFSET('Q1'!$N$206,0,4*(COLUMN()-8)))/AE112</f>
        <v>-1.0473580313100502E-2</v>
      </c>
    </row>
    <row r="163" spans="1:31">
      <c r="A163" s="714"/>
      <c r="C163" s="558"/>
      <c r="D163" s="1880"/>
      <c r="E163" s="45" t="s">
        <v>1476</v>
      </c>
      <c r="F163" s="1387" t="s">
        <v>467</v>
      </c>
      <c r="G163" s="30"/>
      <c r="H163" s="3184">
        <f ca="1">(H132-OFFSET('Q1'!$N$228,0,4*(COLUMN()-8)))/H132</f>
        <v>-6.9817873226892063E-2</v>
      </c>
      <c r="I163" s="3184">
        <f ca="1">(I132-OFFSET('Q1'!$N$228,0,4*(COLUMN()-8)))/I132</f>
        <v>-6.9816224480090741E-2</v>
      </c>
      <c r="J163" s="3184">
        <f ca="1">(J132-OFFSET('Q1'!$N$228,0,4*(COLUMN()-8)))/J132</f>
        <v>-6.9825524297489228E-2</v>
      </c>
      <c r="K163" s="3184">
        <f ca="1">(K132-OFFSET('Q1'!$N$228,0,4*(COLUMN()-8)))/K132</f>
        <v>-6.9819744750610188E-2</v>
      </c>
      <c r="L163" s="3184">
        <f ca="1">(L132-OFFSET('Q1'!$N$228,0,4*(COLUMN()-8)))/L132</f>
        <v>-6.9890592674605873E-2</v>
      </c>
      <c r="M163" s="3184">
        <f ca="1">(M132-OFFSET('Q1'!$N$228,0,4*(COLUMN()-8)))/M132</f>
        <v>-6.9827887224235052E-2</v>
      </c>
      <c r="N163" s="3184">
        <f ca="1">(N132-OFFSET('Q1'!$N$228,0,4*(COLUMN()-8)))/N132</f>
        <v>-6.9819495073684665E-2</v>
      </c>
      <c r="O163" s="3184">
        <f ca="1">(O132-OFFSET('Q1'!$N$228,0,4*(COLUMN()-8)))/O132</f>
        <v>-6.9819296162560954E-2</v>
      </c>
      <c r="P163" s="3184">
        <f ca="1">(P132-OFFSET('Q1'!$N$228,0,4*(COLUMN()-8)))/P132</f>
        <v>-6.9807405554144511E-2</v>
      </c>
      <c r="Q163" s="3184">
        <f ca="1">(Q132-OFFSET('Q1'!$N$228,0,4*(COLUMN()-8)))/Q132</f>
        <v>-6.9860546073134744E-2</v>
      </c>
      <c r="R163" s="3184">
        <f ca="1">(R132-OFFSET('Q1'!$N$228,0,4*(COLUMN()-8)))/R132</f>
        <v>-6.986757108305254E-2</v>
      </c>
      <c r="S163" s="3184">
        <f ca="1">(S132-OFFSET('Q1'!$N$228,0,4*(COLUMN()-8)))/S132</f>
        <v>-6.9822020777946803E-2</v>
      </c>
      <c r="T163" s="3184">
        <f ca="1">(T132-OFFSET('Q1'!$N$228,0,4*(COLUMN()-8)))/T132</f>
        <v>-6.9802026824216726E-2</v>
      </c>
      <c r="U163" s="3184">
        <f ca="1">(U132-OFFSET('Q1'!$N$228,0,4*(COLUMN()-8)))/U132</f>
        <v>-6.9832846286285957E-2</v>
      </c>
      <c r="V163" s="3184">
        <f ca="1">(V132-OFFSET('Q1'!$N$228,0,4*(COLUMN()-8)))/V132</f>
        <v>-6.9831457365848559E-2</v>
      </c>
      <c r="W163" s="3184">
        <f ca="1">(W132-OFFSET('Q1'!$N$228,0,4*(COLUMN()-8)))/W132</f>
        <v>-6.9833889347618958E-2</v>
      </c>
      <c r="X163" s="3185">
        <f ca="1">(X132-OFFSET('Q1'!$N$228,0,4*(COLUMN()-8)))/X132</f>
        <v>-6.982959115906244E-2</v>
      </c>
      <c r="Y163" s="3185">
        <f ca="1">(Y132-OFFSET('Q1'!$N$228,0,4*(COLUMN()-8)))/Y132</f>
        <v>-6.9830401209238169E-2</v>
      </c>
      <c r="Z163" s="3185">
        <f ca="1">(Z132-OFFSET('Q1'!$N$228,0,4*(COLUMN()-8)))/Z132</f>
        <v>-6.9833058084932439E-2</v>
      </c>
      <c r="AA163" s="3185">
        <f ca="1">(AA132-OFFSET('Q1'!$N$228,0,4*(COLUMN()-8)))/AA132</f>
        <v>-6.9831213328856057E-2</v>
      </c>
      <c r="AB163" s="3185">
        <f ca="1">(AB132-OFFSET('Q1'!$N$228,0,4*(COLUMN()-8)))/AB132</f>
        <v>-6.9831217948889135E-2</v>
      </c>
      <c r="AC163" s="3185">
        <f ca="1">(AC132-OFFSET('Q1'!$N$228,0,4*(COLUMN()-8)))/AC132</f>
        <v>-6.9832492631442797E-2</v>
      </c>
      <c r="AD163" s="3185">
        <f ca="1">(AD132-OFFSET('Q1'!$N$228,0,4*(COLUMN()-8)))/AD132</f>
        <v>-6.9633304381286315E-2</v>
      </c>
      <c r="AE163" s="3185">
        <f ca="1">(AE132-OFFSET('Q1'!$N$228,0,4*(COLUMN()-8)))/AE132</f>
        <v>-6.9654884106936016E-2</v>
      </c>
    </row>
    <row r="165" spans="1:31">
      <c r="A165" s="1123"/>
      <c r="D165" s="3156"/>
      <c r="E165" s="3157" t="s">
        <v>1209</v>
      </c>
      <c r="F165" s="3186"/>
      <c r="G165" s="3142">
        <f>InputY!$G$3</f>
        <v>1995</v>
      </c>
      <c r="H165" s="3142">
        <f t="shared" ref="H165:W165" si="172">+G165+1</f>
        <v>1996</v>
      </c>
      <c r="I165" s="3142">
        <f t="shared" si="172"/>
        <v>1997</v>
      </c>
      <c r="J165" s="3142">
        <f t="shared" si="172"/>
        <v>1998</v>
      </c>
      <c r="K165" s="3142">
        <f t="shared" si="172"/>
        <v>1999</v>
      </c>
      <c r="L165" s="3142">
        <f t="shared" si="172"/>
        <v>2000</v>
      </c>
      <c r="M165" s="3142">
        <f t="shared" si="172"/>
        <v>2001</v>
      </c>
      <c r="N165" s="3142">
        <f t="shared" si="172"/>
        <v>2002</v>
      </c>
      <c r="O165" s="3142">
        <f t="shared" si="172"/>
        <v>2003</v>
      </c>
      <c r="P165" s="3142">
        <f t="shared" si="172"/>
        <v>2004</v>
      </c>
      <c r="Q165" s="3142">
        <f t="shared" si="172"/>
        <v>2005</v>
      </c>
      <c r="R165" s="3142">
        <f t="shared" si="172"/>
        <v>2006</v>
      </c>
      <c r="S165" s="3063">
        <f t="shared" si="172"/>
        <v>2007</v>
      </c>
      <c r="T165" s="3063">
        <f t="shared" si="172"/>
        <v>2008</v>
      </c>
      <c r="U165" s="3063">
        <f t="shared" si="172"/>
        <v>2009</v>
      </c>
      <c r="V165" s="3063">
        <f t="shared" si="172"/>
        <v>2010</v>
      </c>
      <c r="W165" s="3063">
        <f t="shared" si="172"/>
        <v>2011</v>
      </c>
      <c r="X165" s="3063">
        <f t="shared" ref="X165:AE165" si="173">+W165+1</f>
        <v>2012</v>
      </c>
      <c r="Y165" s="3063">
        <f t="shared" si="173"/>
        <v>2013</v>
      </c>
      <c r="Z165" s="3063">
        <f t="shared" si="173"/>
        <v>2014</v>
      </c>
      <c r="AA165" s="3063">
        <f t="shared" si="173"/>
        <v>2015</v>
      </c>
      <c r="AB165" s="3063">
        <f t="shared" si="173"/>
        <v>2016</v>
      </c>
      <c r="AC165" s="3063">
        <f t="shared" si="173"/>
        <v>2017</v>
      </c>
      <c r="AD165" s="3063">
        <f t="shared" si="173"/>
        <v>2018</v>
      </c>
      <c r="AE165" s="3063">
        <f t="shared" si="173"/>
        <v>2019</v>
      </c>
    </row>
    <row r="166" spans="1:31">
      <c r="A166" s="714">
        <f>+ROW(InputY!A55)</f>
        <v>55</v>
      </c>
      <c r="B166" s="715" t="s">
        <v>1210</v>
      </c>
      <c r="C166" s="1115"/>
      <c r="D166" s="1117"/>
      <c r="E166" s="1118" t="s">
        <v>1211</v>
      </c>
      <c r="F166" s="1117" t="s">
        <v>1212</v>
      </c>
      <c r="G166" s="3064">
        <f ca="1">InputY!G55/1000</f>
        <v>255.93700000000001</v>
      </c>
      <c r="H166" s="3064">
        <f>InputY!H55/1000</f>
        <v>245.60226</v>
      </c>
      <c r="I166" s="3064">
        <f>InputY!I55/1000</f>
        <v>254.17176000000001</v>
      </c>
      <c r="J166" s="3064">
        <f>InputY!J55/1000</f>
        <v>259.10092000000003</v>
      </c>
      <c r="K166" s="3064">
        <f>InputY!K55/1000</f>
        <v>267.642</v>
      </c>
      <c r="L166" s="3064">
        <f>InputY!L55/1000</f>
        <v>276.95648</v>
      </c>
      <c r="M166" s="3064">
        <f>InputY!M55/1000</f>
        <v>280.6454</v>
      </c>
      <c r="N166" s="3064">
        <f>InputY!N55/1000</f>
        <v>285.30682000000002</v>
      </c>
      <c r="O166" s="3064">
        <f>InputY!O55/1000</f>
        <v>287.96696999999995</v>
      </c>
      <c r="P166" s="3064">
        <f>InputY!P55/1000</f>
        <v>297.05667</v>
      </c>
      <c r="Q166" s="3064">
        <f>InputY!Q55/1000</f>
        <v>303.45517000000001</v>
      </c>
      <c r="R166" s="3064">
        <f>InputY!R55/1000</f>
        <v>310.79821000000004</v>
      </c>
      <c r="S166" s="3064">
        <f>InputY!S55/1000</f>
        <v>321.56130999999999</v>
      </c>
      <c r="T166" s="3064">
        <f>InputY!T55/1000</f>
        <v>325.70365999999996</v>
      </c>
      <c r="U166" s="3064">
        <f>InputY!U55/1000</f>
        <v>318.36624</v>
      </c>
      <c r="V166" s="3064">
        <f>InputY!V55/1000</f>
        <v>326.53370000000001</v>
      </c>
      <c r="W166" s="3064">
        <f>InputY!W55/1000</f>
        <v>333.53847999999999</v>
      </c>
      <c r="X166" s="3064">
        <f>InputY!X55/1000</f>
        <v>334.18828000000002</v>
      </c>
      <c r="Y166" s="3064">
        <f>InputY!Y55/1000</f>
        <v>334.73502000000002</v>
      </c>
      <c r="Z166" s="3064">
        <f>InputY!Z55/1000</f>
        <v>339.25547999999998</v>
      </c>
      <c r="AA166" s="3064">
        <f>InputY!AA55/1000</f>
        <v>344.61387000000002</v>
      </c>
      <c r="AB166" s="3064">
        <f>InputY!AB55/1000</f>
        <v>348.79476</v>
      </c>
      <c r="AC166" s="3064">
        <f>InputY!AC55/1000</f>
        <v>354.55536000000001</v>
      </c>
      <c r="AD166" s="3065">
        <f ca="1">+AC166*(1+AD169/100)</f>
        <v>361.14815425373763</v>
      </c>
      <c r="AE166" s="3065">
        <f ca="1">+AD166*(1+AE169/100)</f>
        <v>367.34600619534052</v>
      </c>
    </row>
    <row r="167" spans="1:31">
      <c r="V167" s="577"/>
      <c r="W167" s="577"/>
      <c r="X167" s="577"/>
      <c r="Y167" s="577"/>
      <c r="Z167" s="577"/>
      <c r="AA167" s="577"/>
      <c r="AB167" s="577"/>
      <c r="AC167" s="577"/>
      <c r="AD167" s="577"/>
      <c r="AE167" s="577"/>
    </row>
    <row r="168" spans="1:31" s="749" customFormat="1" ht="12.75" customHeight="1">
      <c r="A168" s="714"/>
      <c r="B168" s="714"/>
      <c r="C168" s="822"/>
      <c r="D168" s="3073"/>
      <c r="E168" s="3074" t="s">
        <v>1209</v>
      </c>
      <c r="F168" s="3075"/>
      <c r="G168" s="939">
        <f>InputY!$G$3</f>
        <v>1995</v>
      </c>
      <c r="H168" s="939">
        <f t="shared" ref="H168:W168" si="174">+G168+1</f>
        <v>1996</v>
      </c>
      <c r="I168" s="939">
        <f t="shared" si="174"/>
        <v>1997</v>
      </c>
      <c r="J168" s="939">
        <f t="shared" si="174"/>
        <v>1998</v>
      </c>
      <c r="K168" s="939">
        <f t="shared" si="174"/>
        <v>1999</v>
      </c>
      <c r="L168" s="939">
        <f t="shared" si="174"/>
        <v>2000</v>
      </c>
      <c r="M168" s="939">
        <f t="shared" si="174"/>
        <v>2001</v>
      </c>
      <c r="N168" s="939">
        <f t="shared" si="174"/>
        <v>2002</v>
      </c>
      <c r="O168" s="939">
        <f t="shared" si="174"/>
        <v>2003</v>
      </c>
      <c r="P168" s="939">
        <f t="shared" si="174"/>
        <v>2004</v>
      </c>
      <c r="Q168" s="939">
        <f t="shared" si="174"/>
        <v>2005</v>
      </c>
      <c r="R168" s="939">
        <f t="shared" si="174"/>
        <v>2006</v>
      </c>
      <c r="S168" s="939">
        <f t="shared" si="174"/>
        <v>2007</v>
      </c>
      <c r="T168" s="939">
        <f t="shared" si="174"/>
        <v>2008</v>
      </c>
      <c r="U168" s="939">
        <f t="shared" si="174"/>
        <v>2009</v>
      </c>
      <c r="V168" s="939">
        <f t="shared" si="174"/>
        <v>2010</v>
      </c>
      <c r="W168" s="939">
        <f t="shared" si="174"/>
        <v>2011</v>
      </c>
      <c r="X168" s="939">
        <f t="shared" ref="X168:AE168" si="175">+W168+1</f>
        <v>2012</v>
      </c>
      <c r="Y168" s="939">
        <f t="shared" si="175"/>
        <v>2013</v>
      </c>
      <c r="Z168" s="939">
        <f t="shared" si="175"/>
        <v>2014</v>
      </c>
      <c r="AA168" s="939">
        <f t="shared" si="175"/>
        <v>2015</v>
      </c>
      <c r="AB168" s="939">
        <f t="shared" si="175"/>
        <v>2016</v>
      </c>
      <c r="AC168" s="939">
        <f t="shared" si="175"/>
        <v>2017</v>
      </c>
      <c r="AD168" s="939">
        <f t="shared" si="175"/>
        <v>2018</v>
      </c>
      <c r="AE168" s="939">
        <f t="shared" si="175"/>
        <v>2019</v>
      </c>
    </row>
    <row r="169" spans="1:31" s="749" customFormat="1" ht="12.75" customHeight="1">
      <c r="A169" s="714"/>
      <c r="B169" s="714"/>
      <c r="C169" s="3067"/>
      <c r="D169" s="3068"/>
      <c r="E169" s="3069" t="s">
        <v>1211</v>
      </c>
      <c r="F169" s="3187" t="s">
        <v>1212</v>
      </c>
      <c r="G169" s="3071"/>
      <c r="H169" s="3071">
        <f t="shared" ref="H169:AC169" ca="1" si="176">+(H166/G166-1)*100</f>
        <v>-4.0380015394413498</v>
      </c>
      <c r="I169" s="3071">
        <f t="shared" si="176"/>
        <v>3.4891779904631104</v>
      </c>
      <c r="J169" s="3071">
        <f t="shared" si="176"/>
        <v>1.9393027769883053</v>
      </c>
      <c r="K169" s="3071">
        <f t="shared" si="176"/>
        <v>3.2964298235606204</v>
      </c>
      <c r="L169" s="3071">
        <f t="shared" si="176"/>
        <v>3.4802011642417918</v>
      </c>
      <c r="M169" s="3071">
        <f t="shared" si="176"/>
        <v>1.3319493373110447</v>
      </c>
      <c r="N169" s="3071">
        <f t="shared" si="176"/>
        <v>1.6609643343521885</v>
      </c>
      <c r="O169" s="3071">
        <f t="shared" si="176"/>
        <v>0.93238219822433521</v>
      </c>
      <c r="P169" s="3071">
        <f t="shared" si="176"/>
        <v>3.1565078453268614</v>
      </c>
      <c r="Q169" s="3071">
        <f t="shared" si="176"/>
        <v>2.1539661102374819</v>
      </c>
      <c r="R169" s="3071">
        <f t="shared" si="176"/>
        <v>2.4198104781012697</v>
      </c>
      <c r="S169" s="3071">
        <f t="shared" si="176"/>
        <v>3.4630508328860499</v>
      </c>
      <c r="T169" s="3071">
        <f t="shared" si="176"/>
        <v>1.2881991306727736</v>
      </c>
      <c r="U169" s="3071">
        <f t="shared" si="176"/>
        <v>-2.2527901590052579</v>
      </c>
      <c r="V169" s="3071">
        <f t="shared" si="176"/>
        <v>2.565429048004586</v>
      </c>
      <c r="W169" s="3071">
        <f t="shared" si="176"/>
        <v>2.1451935895131058</v>
      </c>
      <c r="X169" s="3071">
        <f t="shared" si="176"/>
        <v>0.1948200999177141</v>
      </c>
      <c r="Y169" s="3071">
        <f t="shared" si="176"/>
        <v>0.16360238605614974</v>
      </c>
      <c r="Z169" s="3071">
        <f t="shared" si="176"/>
        <v>1.3504592378771552</v>
      </c>
      <c r="AA169" s="3071">
        <f t="shared" si="176"/>
        <v>1.5794556951593153</v>
      </c>
      <c r="AB169" s="3071">
        <f t="shared" si="176"/>
        <v>1.2132100196663442</v>
      </c>
      <c r="AC169" s="3071">
        <f t="shared" si="176"/>
        <v>1.651572976612381</v>
      </c>
      <c r="AD169" s="3072">
        <f ca="1">OFFSET('VVP1'!$G$118,0,5*(COLUMN()-7))</f>
        <v>1.859454121279569</v>
      </c>
      <c r="AE169" s="3072">
        <f ca="1">OFFSET('VVP1'!$G$118,0,5*(COLUMN()-7))</f>
        <v>1.7161521853572559</v>
      </c>
    </row>
    <row r="171" spans="1:31">
      <c r="A171" s="714"/>
      <c r="D171" s="1388"/>
      <c r="E171" s="3166" t="s">
        <v>1213</v>
      </c>
      <c r="F171" s="3167"/>
      <c r="G171" s="3246">
        <f>InputY!$G$3</f>
        <v>1995</v>
      </c>
      <c r="H171" s="861">
        <f t="shared" ref="H171:W171" si="177">+G171+1</f>
        <v>1996</v>
      </c>
      <c r="I171" s="861">
        <f t="shared" si="177"/>
        <v>1997</v>
      </c>
      <c r="J171" s="861">
        <f t="shared" si="177"/>
        <v>1998</v>
      </c>
      <c r="K171" s="861">
        <f t="shared" si="177"/>
        <v>1999</v>
      </c>
      <c r="L171" s="861">
        <f t="shared" si="177"/>
        <v>2000</v>
      </c>
      <c r="M171" s="861">
        <f t="shared" si="177"/>
        <v>2001</v>
      </c>
      <c r="N171" s="861">
        <f t="shared" si="177"/>
        <v>2002</v>
      </c>
      <c r="O171" s="861">
        <f t="shared" si="177"/>
        <v>2003</v>
      </c>
      <c r="P171" s="861">
        <f t="shared" si="177"/>
        <v>2004</v>
      </c>
      <c r="Q171" s="861">
        <f t="shared" si="177"/>
        <v>2005</v>
      </c>
      <c r="R171" s="861">
        <f t="shared" si="177"/>
        <v>2006</v>
      </c>
      <c r="S171" s="861">
        <f t="shared" si="177"/>
        <v>2007</v>
      </c>
      <c r="T171" s="861">
        <f t="shared" si="177"/>
        <v>2008</v>
      </c>
      <c r="U171" s="861">
        <f t="shared" si="177"/>
        <v>2009</v>
      </c>
      <c r="V171" s="861">
        <f t="shared" si="177"/>
        <v>2010</v>
      </c>
      <c r="W171" s="861">
        <f t="shared" si="177"/>
        <v>2011</v>
      </c>
      <c r="X171" s="861">
        <f t="shared" ref="X171:AE171" si="178">+W171+1</f>
        <v>2012</v>
      </c>
      <c r="Y171" s="861">
        <f t="shared" si="178"/>
        <v>2013</v>
      </c>
      <c r="Z171" s="861">
        <f t="shared" si="178"/>
        <v>2014</v>
      </c>
      <c r="AA171" s="861">
        <f t="shared" si="178"/>
        <v>2015</v>
      </c>
      <c r="AB171" s="861">
        <f t="shared" si="178"/>
        <v>2016</v>
      </c>
      <c r="AC171" s="861">
        <f t="shared" si="178"/>
        <v>2017</v>
      </c>
      <c r="AD171" s="861">
        <f t="shared" si="178"/>
        <v>2018</v>
      </c>
      <c r="AE171" s="861">
        <f t="shared" si="178"/>
        <v>2019</v>
      </c>
    </row>
    <row r="172" spans="1:31">
      <c r="A172" s="714"/>
      <c r="B172" s="715">
        <v>1</v>
      </c>
      <c r="C172" s="1390"/>
      <c r="D172" s="23"/>
      <c r="E172" s="23" t="str">
        <f>+Transfer!B101</f>
        <v>VOL. PRIVATE CONSUMPTION EXPEND.</v>
      </c>
      <c r="F172" s="1404"/>
      <c r="G172" s="3177"/>
      <c r="H172" s="3177">
        <f ca="1">IF(UPPER('VVP1'!$F$3)="Y",OFFSET('VVP1'!$H7,0,5*(COLUMN()-7)),H7)</f>
        <v>110.61433046591593</v>
      </c>
      <c r="I172" s="3177">
        <f ca="1">IF(UPPER('VVP1'!$F$3)="Y",OFFSET('VVP1'!$H7,0,5*(COLUMN()-7)),I7)</f>
        <v>118.69056475135531</v>
      </c>
      <c r="J172" s="3177">
        <f ca="1">IF(UPPER('VVP1'!$F$3)="Y",OFFSET('VVP1'!$H7,0,5*(COLUMN()-7)),J7)</f>
        <v>123.76913146065976</v>
      </c>
      <c r="K172" s="3177">
        <f ca="1">IF(UPPER('VVP1'!$F$3)="Y",OFFSET('VVP1'!$H7,0,5*(COLUMN()-7)),K7)</f>
        <v>127.35609923420672</v>
      </c>
      <c r="L172" s="3177">
        <f ca="1">IF(UPPER('VVP1'!$F$3)="Y",OFFSET('VVP1'!$H7,0,5*(COLUMN()-7)),L7)</f>
        <v>131.86902159491171</v>
      </c>
      <c r="M172" s="3177">
        <f ca="1">IF(UPPER('VVP1'!$F$3)="Y",OFFSET('VVP1'!$H7,0,5*(COLUMN()-7)),M7)</f>
        <v>137.48289753695289</v>
      </c>
      <c r="N172" s="3177">
        <f ca="1">IF(UPPER('VVP1'!$F$3)="Y",OFFSET('VVP1'!$H7,0,5*(COLUMN()-7)),N7)</f>
        <v>140.84874367351023</v>
      </c>
      <c r="O172" s="3177">
        <f ca="1">IF(UPPER('VVP1'!$F$3)="Y",OFFSET('VVP1'!$H7,0,5*(COLUMN()-7)),O7)</f>
        <v>143.53651860994145</v>
      </c>
      <c r="P172" s="3177">
        <f ca="1">IF(UPPER('VVP1'!$F$3)="Y",OFFSET('VVP1'!$H7,0,5*(COLUMN()-7)),P7)</f>
        <v>148.07499914146322</v>
      </c>
      <c r="Q172" s="3177">
        <f ca="1">IF(UPPER('VVP1'!$F$3)="Y",OFFSET('VVP1'!$H7,0,5*(COLUMN()-7)),Q7)</f>
        <v>153.51422222319997</v>
      </c>
      <c r="R172" s="3177">
        <f ca="1">IF(UPPER('VVP1'!$F$3)="Y",OFFSET('VVP1'!$H7,0,5*(COLUMN()-7)),R7)</f>
        <v>159.97977675910357</v>
      </c>
      <c r="S172" s="3177">
        <f ca="1">IF(UPPER('VVP1'!$F$3)="Y",OFFSET('VVP1'!$H7,0,5*(COLUMN()-7)),S7)</f>
        <v>168.00584685996895</v>
      </c>
      <c r="T172" s="3177">
        <f ca="1">IF(UPPER('VVP1'!$F$3)="Y",OFFSET('VVP1'!$H7,0,5*(COLUMN()-7)),T7)</f>
        <v>175.79646238351805</v>
      </c>
      <c r="U172" s="3177">
        <f ca="1">IF(UPPER('VVP1'!$F$3)="Y",OFFSET('VVP1'!$H7,0,5*(COLUMN()-7)),U7)</f>
        <v>182.28640649842589</v>
      </c>
      <c r="V172" s="3177">
        <f ca="1">IF(UPPER('VVP1'!$F$3)="Y",OFFSET('VVP1'!$H7,0,5*(COLUMN()-7)),V7)</f>
        <v>186.45849008345601</v>
      </c>
      <c r="W172" s="3177">
        <f ca="1">IF(UPPER('VVP1'!$F$3)="Y",OFFSET('VVP1'!$H7,0,5*(COLUMN()-7)),W7)</f>
        <v>190.34564</v>
      </c>
      <c r="X172" s="3177">
        <f ca="1">IF(UPPER('VVP1'!$F$3)="Y",OFFSET('VVP1'!$H7,0,5*(COLUMN()-7)),X7)</f>
        <v>197.21501818634775</v>
      </c>
      <c r="Y172" s="3177">
        <f ca="1">IF(UPPER('VVP1'!$F$3)="Y",OFFSET('VVP1'!$H7,0,5*(COLUMN()-7)),Y7)</f>
        <v>202.68356903313685</v>
      </c>
      <c r="Z172" s="3177">
        <f ca="1">IF(UPPER('VVP1'!$F$3)="Y",OFFSET('VVP1'!$H7,0,5*(COLUMN()-7)),Z7)</f>
        <v>205.6330630087148</v>
      </c>
      <c r="AA172" s="3177">
        <f ca="1">IF(UPPER('VVP1'!$F$3)="Y",OFFSET('VVP1'!$H7,0,5*(COLUMN()-7)),AA7)</f>
        <v>208.73982457178622</v>
      </c>
      <c r="AB172" s="3177">
        <f ca="1">IF(UPPER('VVP1'!$F$3)="Y",OFFSET('VVP1'!$H7,0,5*(COLUMN()-7)),AB7)</f>
        <v>213.36539725760269</v>
      </c>
      <c r="AC172" s="3177">
        <f ca="1">IF(UPPER('VVP1'!$F$3)="Y",OFFSET('VVP1'!$H7,0,5*(COLUMN()-7)),AC7)</f>
        <v>219.01333450893432</v>
      </c>
      <c r="AD172" s="3177">
        <f ca="1">IF(UPPER('VVP1'!$F$3)="Y",OFFSET('VVP1'!$H7,0,5*(COLUMN()-7)),AD7)</f>
        <v>226.3979295</v>
      </c>
      <c r="AE172" s="3177">
        <f ca="1">IF(UPPER('VVP1'!$F$3)="Y",OFFSET('VVP1'!$H7,0,5*(COLUMN()-7)),AE7)</f>
        <v>234.2990361212064</v>
      </c>
    </row>
    <row r="173" spans="1:31">
      <c r="A173" s="714"/>
      <c r="B173" s="715">
        <v>2</v>
      </c>
      <c r="C173" s="1391"/>
      <c r="D173" s="1"/>
      <c r="E173" s="1" t="str">
        <f>+Transfer!B102</f>
        <v xml:space="preserve">VOL. GOVERNMENT CONSUMPTION EXPEND. </v>
      </c>
      <c r="F173" s="1392"/>
      <c r="G173" s="3083"/>
      <c r="H173" s="3083">
        <f ca="1">IF(UPPER('VVP1'!$F$3)="Y",OFFSET('VVP1'!$H8,0,5*(COLUMN()-7)),H13)</f>
        <v>42.825266873676568</v>
      </c>
      <c r="I173" s="3083">
        <f ca="1">IF(UPPER('VVP1'!$F$3)="Y",OFFSET('VVP1'!$H8,0,5*(COLUMN()-7)),I13)</f>
        <v>46.735883486040429</v>
      </c>
      <c r="J173" s="3083">
        <f ca="1">IF(UPPER('VVP1'!$F$3)="Y",OFFSET('VVP1'!$H8,0,5*(COLUMN()-7)),J13)</f>
        <v>48.228596228327852</v>
      </c>
      <c r="K173" s="3083">
        <f ca="1">IF(UPPER('VVP1'!$F$3)="Y",OFFSET('VVP1'!$H8,0,5*(COLUMN()-7)),K13)</f>
        <v>50.216919513570794</v>
      </c>
      <c r="L173" s="3083">
        <f ca="1">IF(UPPER('VVP1'!$F$3)="Y",OFFSET('VVP1'!$H8,0,5*(COLUMN()-7)),L13)</f>
        <v>52.857869722592504</v>
      </c>
      <c r="M173" s="3083">
        <f ca="1">IF(UPPER('VVP1'!$F$3)="Y",OFFSET('VVP1'!$H8,0,5*(COLUMN()-7)),M13)</f>
        <v>54.443823082162758</v>
      </c>
      <c r="N173" s="3083">
        <f ca="1">IF(UPPER('VVP1'!$F$3)="Y",OFFSET('VVP1'!$H8,0,5*(COLUMN()-7)),N13)</f>
        <v>58.063570009641687</v>
      </c>
      <c r="O173" s="3083">
        <f ca="1">IF(UPPER('VVP1'!$F$3)="Y",OFFSET('VVP1'!$H8,0,5*(COLUMN()-7)),O13)</f>
        <v>61.126032371350462</v>
      </c>
      <c r="P173" s="3083">
        <f ca="1">IF(UPPER('VVP1'!$F$3)="Y",OFFSET('VVP1'!$H8,0,5*(COLUMN()-7)),P13)</f>
        <v>64.18080025396857</v>
      </c>
      <c r="Q173" s="3083">
        <f ca="1">IF(UPPER('VVP1'!$F$3)="Y",OFFSET('VVP1'!$H8,0,5*(COLUMN()-7)),Q13)</f>
        <v>66.247024752592537</v>
      </c>
      <c r="R173" s="3083">
        <f ca="1">IF(UPPER('VVP1'!$F$3)="Y",OFFSET('VVP1'!$H8,0,5*(COLUMN()-7)),R13)</f>
        <v>69.516540609949033</v>
      </c>
      <c r="S173" s="3083">
        <f ca="1">IF(UPPER('VVP1'!$F$3)="Y",OFFSET('VVP1'!$H8,0,5*(COLUMN()-7)),S13)</f>
        <v>72.887947499996258</v>
      </c>
      <c r="T173" s="3083">
        <f ca="1">IF(UPPER('VVP1'!$F$3)="Y",OFFSET('VVP1'!$H8,0,5*(COLUMN()-7)),T13)</f>
        <v>76.540701777582342</v>
      </c>
      <c r="U173" s="3083">
        <f ca="1">IF(UPPER('VVP1'!$F$3)="Y",OFFSET('VVP1'!$H8,0,5*(COLUMN()-7)),U13)</f>
        <v>80.750018768651998</v>
      </c>
      <c r="V173" s="3083">
        <f ca="1">IF(UPPER('VVP1'!$F$3)="Y",OFFSET('VVP1'!$H8,0,5*(COLUMN()-7)),V13)</f>
        <v>84.585301795908208</v>
      </c>
      <c r="W173" s="3083">
        <f ca="1">IF(UPPER('VVP1'!$F$3)="Y",OFFSET('VVP1'!$H8,0,5*(COLUMN()-7)),W13)</f>
        <v>87.059899999999999</v>
      </c>
      <c r="X173" s="3083">
        <f ca="1">IF(UPPER('VVP1'!$F$3)="Y",OFFSET('VVP1'!$H8,0,5*(COLUMN()-7)),X13)</f>
        <v>91.398665683052712</v>
      </c>
      <c r="Y173" s="3083">
        <f ca="1">IF(UPPER('VVP1'!$F$3)="Y",OFFSET('VVP1'!$H8,0,5*(COLUMN()-7)),Y13)</f>
        <v>94.305938427461115</v>
      </c>
      <c r="Z173" s="3083">
        <f ca="1">IF(UPPER('VVP1'!$F$3)="Y",OFFSET('VVP1'!$H8,0,5*(COLUMN()-7)),Z13)</f>
        <v>96.722077648287424</v>
      </c>
      <c r="AA173" s="3083">
        <f ca="1">IF(UPPER('VVP1'!$F$3)="Y",OFFSET('VVP1'!$H8,0,5*(COLUMN()-7)),AA13)</f>
        <v>97.865674072015125</v>
      </c>
      <c r="AB173" s="3083">
        <f ca="1">IF(UPPER('VVP1'!$F$3)="Y",OFFSET('VVP1'!$H8,0,5*(COLUMN()-7)),AB13)</f>
        <v>98.724598591313452</v>
      </c>
      <c r="AC173" s="3083">
        <f ca="1">IF(UPPER('VVP1'!$F$3)="Y",OFFSET('VVP1'!$H8,0,5*(COLUMN()-7)),AC13)</f>
        <v>100.76957544956498</v>
      </c>
      <c r="AD173" s="3083">
        <f ca="1">IF(UPPER('VVP1'!$F$3)="Y",OFFSET('VVP1'!$H8,0,5*(COLUMN()-7)),AD13)</f>
        <v>102.77139534999999</v>
      </c>
      <c r="AE173" s="3083">
        <f ca="1">IF(UPPER('VVP1'!$F$3)="Y",OFFSET('VVP1'!$H8,0,5*(COLUMN()-7)),AE13)</f>
        <v>105.8128120239879</v>
      </c>
    </row>
    <row r="174" spans="1:31">
      <c r="A174" s="714"/>
      <c r="B174" s="715">
        <v>3</v>
      </c>
      <c r="C174" s="1391"/>
      <c r="D174" s="1"/>
      <c r="E174" s="1" t="str">
        <f>+Transfer!B103</f>
        <v>VOL. G.F.C.F. TOTAL</v>
      </c>
      <c r="F174" s="3"/>
      <c r="G174" s="3083"/>
      <c r="H174" s="3083">
        <f ca="1">IF(UPPER('VVP1'!$F$3)="Y",OFFSET('VVP1'!$H9,0,5*(COLUMN()-7)),H29)</f>
        <v>42.194338146601183</v>
      </c>
      <c r="I174" s="3083">
        <f ca="1">IF(UPPER('VVP1'!$F$3)="Y",OFFSET('VVP1'!$H9,0,5*(COLUMN()-7)),I29)</f>
        <v>49.04869055869986</v>
      </c>
      <c r="J174" s="3083">
        <f ca="1">IF(UPPER('VVP1'!$F$3)="Y",OFFSET('VVP1'!$H9,0,5*(COLUMN()-7)),J29)</f>
        <v>50.819924028433192</v>
      </c>
      <c r="K174" s="3083">
        <f ca="1">IF(UPPER('VVP1'!$F$3)="Y",OFFSET('VVP1'!$H9,0,5*(COLUMN()-7)),K29)</f>
        <v>53.378550122209425</v>
      </c>
      <c r="L174" s="3083">
        <f ca="1">IF(UPPER('VVP1'!$F$3)="Y",OFFSET('VVP1'!$H9,0,5*(COLUMN()-7)),L29)</f>
        <v>56.740661755861403</v>
      </c>
      <c r="M174" s="3083">
        <f ca="1">IF(UPPER('VVP1'!$F$3)="Y",OFFSET('VVP1'!$H9,0,5*(COLUMN()-7)),M29)</f>
        <v>59.020790749432472</v>
      </c>
      <c r="N174" s="3083">
        <f ca="1">IF(UPPER('VVP1'!$F$3)="Y",OFFSET('VVP1'!$H9,0,5*(COLUMN()-7)),N29)</f>
        <v>57.007481495771003</v>
      </c>
      <c r="O174" s="3083">
        <f ca="1">IF(UPPER('VVP1'!$F$3)="Y",OFFSET('VVP1'!$H9,0,5*(COLUMN()-7)),O29)</f>
        <v>56.603668987498793</v>
      </c>
      <c r="P174" s="3083">
        <f ca="1">IF(UPPER('VVP1'!$F$3)="Y",OFFSET('VVP1'!$H9,0,5*(COLUMN()-7)),P29)</f>
        <v>62.900772152687431</v>
      </c>
      <c r="Q174" s="3083">
        <f ca="1">IF(UPPER('VVP1'!$F$3)="Y",OFFSET('VVP1'!$H9,0,5*(COLUMN()-7)),Q29)</f>
        <v>67.6522609154881</v>
      </c>
      <c r="R174" s="3083">
        <f ca="1">IF(UPPER('VVP1'!$F$3)="Y",OFFSET('VVP1'!$H9,0,5*(COLUMN()-7)),R29)</f>
        <v>70.366918722766627</v>
      </c>
      <c r="S174" s="3083">
        <f ca="1">IF(UPPER('VVP1'!$F$3)="Y",OFFSET('VVP1'!$H9,0,5*(COLUMN()-7)),S29)</f>
        <v>77.923544550494427</v>
      </c>
      <c r="T174" s="3083">
        <f ca="1">IF(UPPER('VVP1'!$F$3)="Y",OFFSET('VVP1'!$H9,0,5*(COLUMN()-7)),T29)</f>
        <v>81.609938523311541</v>
      </c>
      <c r="U174" s="3083">
        <f ca="1">IF(UPPER('VVP1'!$F$3)="Y",OFFSET('VVP1'!$H9,0,5*(COLUMN()-7)),U29)</f>
        <v>79.257637267397683</v>
      </c>
      <c r="V174" s="3083">
        <f ca="1">IF(UPPER('VVP1'!$F$3)="Y",OFFSET('VVP1'!$H9,0,5*(COLUMN()-7)),V29)</f>
        <v>78.127152225276546</v>
      </c>
      <c r="W174" s="3083">
        <f ca="1">IF(UPPER('VVP1'!$F$3)="Y",OFFSET('VVP1'!$H9,0,5*(COLUMN()-7)),W29)</f>
        <v>83.022019999999998</v>
      </c>
      <c r="X174" s="3083">
        <f ca="1">IF(UPPER('VVP1'!$F$3)="Y",OFFSET('VVP1'!$H9,0,5*(COLUMN()-7)),X29)</f>
        <v>85.777851111933927</v>
      </c>
      <c r="Y174" s="3083">
        <f ca="1">IF(UPPER('VVP1'!$F$3)="Y",OFFSET('VVP1'!$H9,0,5*(COLUMN()-7)),Y29)</f>
        <v>86.366451537445641</v>
      </c>
      <c r="Z174" s="3083">
        <f ca="1">IF(UPPER('VVP1'!$F$3)="Y",OFFSET('VVP1'!$H9,0,5*(COLUMN()-7)),Z29)</f>
        <v>92.12814278047118</v>
      </c>
      <c r="AA174" s="3083">
        <f ca="1">IF(UPPER('VVP1'!$F$3)="Y",OFFSET('VVP1'!$H9,0,5*(COLUMN()-7)),AA29)</f>
        <v>94.785148625383499</v>
      </c>
      <c r="AB174" s="3083">
        <f ca="1">IF(UPPER('VVP1'!$F$3)="Y",OFFSET('VVP1'!$H9,0,5*(COLUMN()-7)),AB29)</f>
        <v>98.614897514226556</v>
      </c>
      <c r="AC174" s="3083">
        <f ca="1">IF(UPPER('VVP1'!$F$3)="Y",OFFSET('VVP1'!$H9,0,5*(COLUMN()-7)),AC29)</f>
        <v>100.13432645410545</v>
      </c>
      <c r="AD174" s="3083">
        <f ca="1">IF(UPPER('VVP1'!$F$3)="Y",OFFSET('VVP1'!$H9,0,5*(COLUMN()-7)),AD29)</f>
        <v>105.97006715000001</v>
      </c>
      <c r="AE174" s="3083">
        <f ca="1">IF(UPPER('VVP1'!$F$3)="Y",OFFSET('VVP1'!$H9,0,5*(COLUMN()-7)),AE29)</f>
        <v>109.95762993166399</v>
      </c>
    </row>
    <row r="175" spans="1:31">
      <c r="A175" s="714"/>
      <c r="B175" s="715">
        <v>4</v>
      </c>
      <c r="C175" s="1391"/>
      <c r="D175" s="1"/>
      <c r="E175" s="1" t="str">
        <f>+Transfer!B104</f>
        <v>VOL. G.F.C.F. CONSTRUCTION</v>
      </c>
      <c r="F175" s="1392"/>
      <c r="G175" s="3083"/>
      <c r="H175" s="3083">
        <f ca="1">IF(UPPER('VVP1'!$F$3)="Y",OFFSET('VVP1'!$H59,0,5*(COLUMN()-7)),H23)</f>
        <v>20.658568567776705</v>
      </c>
      <c r="I175" s="3083">
        <f ca="1">IF(UPPER('VVP1'!$F$3)="Y",OFFSET('VVP1'!$H59,0,5*(COLUMN()-7)),I23)</f>
        <v>23.542915993466863</v>
      </c>
      <c r="J175" s="3083">
        <f ca="1">IF(UPPER('VVP1'!$F$3)="Y",OFFSET('VVP1'!$H59,0,5*(COLUMN()-7)),J23)</f>
        <v>23.767048589118183</v>
      </c>
      <c r="K175" s="3083">
        <f ca="1">IF(UPPER('VVP1'!$F$3)="Y",OFFSET('VVP1'!$H59,0,5*(COLUMN()-7)),K23)</f>
        <v>24.011361081788035</v>
      </c>
      <c r="L175" s="3083">
        <f ca="1">IF(UPPER('VVP1'!$F$3)="Y",OFFSET('VVP1'!$H59,0,5*(COLUMN()-7)),L23)</f>
        <v>24.445102000179599</v>
      </c>
      <c r="M175" s="3083">
        <f ca="1">IF(UPPER('VVP1'!$F$3)="Y",OFFSET('VVP1'!$H59,0,5*(COLUMN()-7)),M23)</f>
        <v>24.672162999431492</v>
      </c>
      <c r="N175" s="3083">
        <f ca="1">IF(UPPER('VVP1'!$F$3)="Y",OFFSET('VVP1'!$H59,0,5*(COLUMN()-7)),N23)</f>
        <v>23.720795258393949</v>
      </c>
      <c r="O175" s="3083">
        <f ca="1">IF(UPPER('VVP1'!$F$3)="Y",OFFSET('VVP1'!$H59,0,5*(COLUMN()-7)),O23)</f>
        <v>24.425119341482876</v>
      </c>
      <c r="P175" s="3083">
        <f ca="1">IF(UPPER('VVP1'!$F$3)="Y",OFFSET('VVP1'!$H59,0,5*(COLUMN()-7)),P23)</f>
        <v>27.346050362596984</v>
      </c>
      <c r="Q175" s="3083">
        <f ca="1">IF(UPPER('VVP1'!$F$3)="Y",OFFSET('VVP1'!$H59,0,5*(COLUMN()-7)),Q23)</f>
        <v>29.885741189761752</v>
      </c>
      <c r="R175" s="3083">
        <f ca="1">IF(UPPER('VVP1'!$F$3)="Y",OFFSET('VVP1'!$H59,0,5*(COLUMN()-7)),R23)</f>
        <v>32.023523665213517</v>
      </c>
      <c r="S175" s="3083">
        <f ca="1">IF(UPPER('VVP1'!$F$3)="Y",OFFSET('VVP1'!$H59,0,5*(COLUMN()-7)),S23)</f>
        <v>35.38272606831454</v>
      </c>
      <c r="T175" s="3083">
        <f ca="1">IF(UPPER('VVP1'!$F$3)="Y",OFFSET('VVP1'!$H59,0,5*(COLUMN()-7)),T23)</f>
        <v>37.359499083171258</v>
      </c>
      <c r="U175" s="3083">
        <f ca="1">IF(UPPER('VVP1'!$F$3)="Y",OFFSET('VVP1'!$H59,0,5*(COLUMN()-7)),U23)</f>
        <v>38.796106996746246</v>
      </c>
      <c r="V175" s="3083">
        <f ca="1">IF(UPPER('VVP1'!$F$3)="Y",OFFSET('VVP1'!$H59,0,5*(COLUMN()-7)),V23)</f>
        <v>38.081253754220704</v>
      </c>
      <c r="W175" s="3083">
        <f ca="1">IF(UPPER('VVP1'!$F$3)="Y",OFFSET('VVP1'!$H59,0,5*(COLUMN()-7)),W23)</f>
        <v>40.677790000000002</v>
      </c>
      <c r="X175" s="3083">
        <f ca="1">IF(UPPER('VVP1'!$F$3)="Y",OFFSET('VVP1'!$H59,0,5*(COLUMN()-7)),X23)</f>
        <v>43.274337930801096</v>
      </c>
      <c r="Y175" s="3083">
        <f ca="1">IF(UPPER('VVP1'!$F$3)="Y",OFFSET('VVP1'!$H59,0,5*(COLUMN()-7)),Y23)</f>
        <v>43.224101072362636</v>
      </c>
      <c r="Z175" s="3083">
        <f ca="1">IF(UPPER('VVP1'!$F$3)="Y",OFFSET('VVP1'!$H59,0,5*(COLUMN()-7)),Z23)</f>
        <v>44.562216420750474</v>
      </c>
      <c r="AA175" s="3083">
        <f ca="1">IF(UPPER('VVP1'!$F$3)="Y",OFFSET('VVP1'!$H59,0,5*(COLUMN()-7)),AA23)</f>
        <v>44.467771853352787</v>
      </c>
      <c r="AB175" s="3083">
        <f ca="1">IF(UPPER('VVP1'!$F$3)="Y",OFFSET('VVP1'!$H59,0,5*(COLUMN()-7)),AB23)</f>
        <v>45.310897255886609</v>
      </c>
      <c r="AC175" s="3083">
        <f ca="1">IF(UPPER('VVP1'!$F$3)="Y",OFFSET('VVP1'!$H59,0,5*(COLUMN()-7)),AC23)</f>
        <v>46.601806386130733</v>
      </c>
      <c r="AD175" s="3083">
        <f ca="1">IF(UPPER('VVP1'!$F$3)="Y",OFFSET('VVP1'!$H59,0,5*(COLUMN()-7)),AD23)</f>
        <v>48.488666749999993</v>
      </c>
      <c r="AE175" s="3083">
        <f ca="1">IF(UPPER('VVP1'!$F$3)="Y",OFFSET('VVP1'!$H59,0,5*(COLUMN()-7)),AE23)</f>
        <v>49.992235268419989</v>
      </c>
    </row>
    <row r="176" spans="1:31">
      <c r="A176" s="714"/>
      <c r="B176" s="715">
        <v>5</v>
      </c>
      <c r="C176" s="1391"/>
      <c r="D176" s="1"/>
      <c r="E176" s="1" t="str">
        <f>+Transfer!B105</f>
        <v>VOL. G.F.C.F. EQUIPMENT</v>
      </c>
      <c r="F176" s="1392"/>
      <c r="G176" s="3083"/>
      <c r="H176" s="3083">
        <f ca="1">IF(UPPER('VVP1'!$F$3)="Y",OFFSET('VVP1'!$H62,0,5*(COLUMN()-7)),H27)</f>
        <v>16.512936141655512</v>
      </c>
      <c r="I176" s="3083">
        <f ca="1">IF(UPPER('VVP1'!$F$3)="Y",OFFSET('VVP1'!$H62,0,5*(COLUMN()-7)),I27)</f>
        <v>19.502016595959244</v>
      </c>
      <c r="J176" s="3083">
        <f ca="1">IF(UPPER('VVP1'!$F$3)="Y",OFFSET('VVP1'!$H62,0,5*(COLUMN()-7)),J27)</f>
        <v>20.261552893111475</v>
      </c>
      <c r="K176" s="3083">
        <f ca="1">IF(UPPER('VVP1'!$F$3)="Y",OFFSET('VVP1'!$H62,0,5*(COLUMN()-7)),K27)</f>
        <v>22.155752768180598</v>
      </c>
      <c r="L176" s="3083">
        <f ca="1">IF(UPPER('VVP1'!$F$3)="Y",OFFSET('VVP1'!$H62,0,5*(COLUMN()-7)),L27)</f>
        <v>25.109936483290415</v>
      </c>
      <c r="M176" s="3083">
        <f ca="1">IF(UPPER('VVP1'!$F$3)="Y",OFFSET('VVP1'!$H62,0,5*(COLUMN()-7)),M27)</f>
        <v>26.236365181589449</v>
      </c>
      <c r="N176" s="3083">
        <f ca="1">IF(UPPER('VVP1'!$F$3)="Y",OFFSET('VVP1'!$H62,0,5*(COLUMN()-7)),N27)</f>
        <v>24.791473075327232</v>
      </c>
      <c r="O176" s="3083">
        <f ca="1">IF(UPPER('VVP1'!$F$3)="Y",OFFSET('VVP1'!$H62,0,5*(COLUMN()-7)),O27)</f>
        <v>23.197751879281245</v>
      </c>
      <c r="P176" s="3083">
        <f ca="1">IF(UPPER('VVP1'!$F$3)="Y",OFFSET('VVP1'!$H62,0,5*(COLUMN()-7)),P27)</f>
        <v>25.994584146513493</v>
      </c>
      <c r="Q176" s="3083">
        <f ca="1">IF(UPPER('VVP1'!$F$3)="Y",OFFSET('VVP1'!$H62,0,5*(COLUMN()-7)),Q27)</f>
        <v>27.855567986054236</v>
      </c>
      <c r="R176" s="3083">
        <f ca="1">IF(UPPER('VVP1'!$F$3)="Y",OFFSET('VVP1'!$H62,0,5*(COLUMN()-7)),R27)</f>
        <v>28.251063115087465</v>
      </c>
      <c r="S176" s="3083">
        <f ca="1">IF(UPPER('VVP1'!$F$3)="Y",OFFSET('VVP1'!$H62,0,5*(COLUMN()-7)),S27)</f>
        <v>31.770036062142868</v>
      </c>
      <c r="T176" s="3083">
        <f ca="1">IF(UPPER('VVP1'!$F$3)="Y",OFFSET('VVP1'!$H62,0,5*(COLUMN()-7)),T27)</f>
        <v>32.674641853873602</v>
      </c>
      <c r="U176" s="3083">
        <f ca="1">IF(UPPER('VVP1'!$F$3)="Y",OFFSET('VVP1'!$H62,0,5*(COLUMN()-7)),U27)</f>
        <v>27.859631614901247</v>
      </c>
      <c r="V176" s="3083">
        <f ca="1">IF(UPPER('VVP1'!$F$3)="Y",OFFSET('VVP1'!$H62,0,5*(COLUMN()-7)),V27)</f>
        <v>26.990429874072912</v>
      </c>
      <c r="W176" s="3083">
        <f ca="1">IF(UPPER('VVP1'!$F$3)="Y",OFFSET('VVP1'!$H62,0,5*(COLUMN()-7)),W27)</f>
        <v>28.27488</v>
      </c>
      <c r="X176" s="3083">
        <f ca="1">IF(UPPER('VVP1'!$F$3)="Y",OFFSET('VVP1'!$H62,0,5*(COLUMN()-7)),X27)</f>
        <v>27.818432718759546</v>
      </c>
      <c r="Y176" s="3083">
        <f ca="1">IF(UPPER('VVP1'!$F$3)="Y",OFFSET('VVP1'!$H62,0,5*(COLUMN()-7)),Y27)</f>
        <v>27.913115522596648</v>
      </c>
      <c r="Z176" s="3083">
        <f ca="1">IF(UPPER('VVP1'!$F$3)="Y",OFFSET('VVP1'!$H62,0,5*(COLUMN()-7)),Z27)</f>
        <v>30.155504756985547</v>
      </c>
      <c r="AA176" s="3083">
        <f ca="1">IF(UPPER('VVP1'!$F$3)="Y",OFFSET('VVP1'!$H62,0,5*(COLUMN()-7)),AA27)</f>
        <v>30.669041633971883</v>
      </c>
      <c r="AB176" s="3083">
        <f ca="1">IF(UPPER('VVP1'!$F$3)="Y",OFFSET('VVP1'!$H62,0,5*(COLUMN()-7)),AB27)</f>
        <v>35.261298291256736</v>
      </c>
      <c r="AC176" s="3083">
        <f ca="1">IF(UPPER('VVP1'!$F$3)="Y",OFFSET('VVP1'!$H62,0,5*(COLUMN()-7)),AC27)</f>
        <v>35.006305607700526</v>
      </c>
      <c r="AD176" s="3083">
        <f ca="1">IF(UPPER('VVP1'!$F$3)="Y",OFFSET('VVP1'!$H62,0,5*(COLUMN()-7)),AD27)</f>
        <v>37.586630400000004</v>
      </c>
      <c r="AE176" s="3083">
        <f ca="1">IF(UPPER('VVP1'!$F$3)="Y",OFFSET('VVP1'!$H62,0,5*(COLUMN()-7)),AE27)</f>
        <v>39.329146585344006</v>
      </c>
    </row>
    <row r="177" spans="1:31">
      <c r="A177" s="714"/>
      <c r="B177" s="715">
        <v>6</v>
      </c>
      <c r="C177" s="1391"/>
      <c r="D177" s="1"/>
      <c r="E177" s="1" t="str">
        <f>+Transfer!B106</f>
        <v>VOL. G.F.C.F. OTHER</v>
      </c>
      <c r="F177" s="1392"/>
      <c r="G177" s="3083"/>
      <c r="H177" s="3083">
        <f ca="1">IF(UPPER('VVP1'!$F$3)="Y",OFFSET('VVP1'!$H63,0,5*(COLUMN()-7)),H28)</f>
        <v>5.0566008350511424</v>
      </c>
      <c r="I177" s="3083">
        <f ca="1">IF(UPPER('VVP1'!$F$3)="Y",OFFSET('VVP1'!$H63,0,5*(COLUMN()-7)),I28)</f>
        <v>6.0036815392255365</v>
      </c>
      <c r="J177" s="3083">
        <f ca="1">IF(UPPER('VVP1'!$F$3)="Y",OFFSET('VVP1'!$H63,0,5*(COLUMN()-7)),J28)</f>
        <v>6.7913507555839683</v>
      </c>
      <c r="K177" s="3083">
        <f ca="1">IF(UPPER('VVP1'!$F$3)="Y",OFFSET('VVP1'!$H63,0,5*(COLUMN()-7)),K28)</f>
        <v>7.2118516843669571</v>
      </c>
      <c r="L177" s="3083">
        <f ca="1">IF(UPPER('VVP1'!$F$3)="Y",OFFSET('VVP1'!$H63,0,5*(COLUMN()-7)),L28)</f>
        <v>7.1863935757090047</v>
      </c>
      <c r="M177" s="3083">
        <f ca="1">IF(UPPER('VVP1'!$F$3)="Y",OFFSET('VVP1'!$H63,0,5*(COLUMN()-7)),M28)</f>
        <v>8.1138839050989517</v>
      </c>
      <c r="N177" s="3083">
        <f ca="1">IF(UPPER('VVP1'!$F$3)="Y",OFFSET('VVP1'!$H63,0,5*(COLUMN()-7)),N28)</f>
        <v>8.4966304619690494</v>
      </c>
      <c r="O177" s="3083">
        <f ca="1">IF(UPPER('VVP1'!$F$3)="Y",OFFSET('VVP1'!$H63,0,5*(COLUMN()-7)),O28)</f>
        <v>8.9819697812170887</v>
      </c>
      <c r="P177" s="3083">
        <f ca="1">IF(UPPER('VVP1'!$F$3)="Y",OFFSET('VVP1'!$H63,0,5*(COLUMN()-7)),P28)</f>
        <v>9.5609908786432225</v>
      </c>
      <c r="Q177" s="3083">
        <f ca="1">IF(UPPER('VVP1'!$F$3)="Y",OFFSET('VVP1'!$H63,0,5*(COLUMN()-7)),Q28)</f>
        <v>9.9126243990778757</v>
      </c>
      <c r="R177" s="3083">
        <f ca="1">IF(UPPER('VVP1'!$F$3)="Y",OFFSET('VVP1'!$H63,0,5*(COLUMN()-7)),R28)</f>
        <v>10.093562531772623</v>
      </c>
      <c r="S177" s="3083">
        <f ca="1">IF(UPPER('VVP1'!$F$3)="Y",OFFSET('VVP1'!$H63,0,5*(COLUMN()-7)),S28)</f>
        <v>10.771811575639061</v>
      </c>
      <c r="T177" s="3083">
        <f ca="1">IF(UPPER('VVP1'!$F$3)="Y",OFFSET('VVP1'!$H63,0,5*(COLUMN()-7)),T28)</f>
        <v>11.580171474219002</v>
      </c>
      <c r="U177" s="3083">
        <f ca="1">IF(UPPER('VVP1'!$F$3)="Y",OFFSET('VVP1'!$H63,0,5*(COLUMN()-7)),U28)</f>
        <v>12.601979121711425</v>
      </c>
      <c r="V177" s="3083">
        <f ca="1">IF(UPPER('VVP1'!$F$3)="Y",OFFSET('VVP1'!$H63,0,5*(COLUMN()-7)),V28)</f>
        <v>13.055198938956892</v>
      </c>
      <c r="W177" s="3083">
        <f ca="1">IF(UPPER('VVP1'!$F$3)="Y",OFFSET('VVP1'!$H63,0,5*(COLUMN()-7)),W28)</f>
        <v>14.070049999999998</v>
      </c>
      <c r="X177" s="3083">
        <f ca="1">IF(UPPER('VVP1'!$F$3)="Y",OFFSET('VVP1'!$H63,0,5*(COLUMN()-7)),X28)</f>
        <v>14.685240596119634</v>
      </c>
      <c r="Y177" s="3083">
        <f ca="1">IF(UPPER('VVP1'!$F$3)="Y",OFFSET('VVP1'!$H63,0,5*(COLUMN()-7)),Y28)</f>
        <v>15.229144186330922</v>
      </c>
      <c r="Z177" s="3083">
        <f ca="1">IF(UPPER('VVP1'!$F$3)="Y",OFFSET('VVP1'!$H63,0,5*(COLUMN()-7)),Z28)</f>
        <v>17.410424140965439</v>
      </c>
      <c r="AA177" s="3083">
        <f ca="1">IF(UPPER('VVP1'!$F$3)="Y",OFFSET('VVP1'!$H63,0,5*(COLUMN()-7)),AA28)</f>
        <v>19.648197200479437</v>
      </c>
      <c r="AB177" s="3083">
        <f ca="1">IF(UPPER('VVP1'!$F$3)="Y",OFFSET('VVP1'!$H63,0,5*(COLUMN()-7)),AB28)</f>
        <v>18.042690567760516</v>
      </c>
      <c r="AC177" s="3083">
        <f ca="1">IF(UPPER('VVP1'!$F$3)="Y",OFFSET('VVP1'!$H63,0,5*(COLUMN()-7)),AC28)</f>
        <v>18.526157634244431</v>
      </c>
      <c r="AD177" s="3083">
        <f ca="1">IF(UPPER('VVP1'!$F$3)="Y",OFFSET('VVP1'!$H63,0,5*(COLUMN()-7)),AD28)</f>
        <v>19.894770000000001</v>
      </c>
      <c r="AE177" s="3083">
        <f ca="1">IF(UPPER('VVP1'!$F$3)="Y",OFFSET('VVP1'!$H63,0,5*(COLUMN()-7)),AE28)</f>
        <v>20.636248077899999</v>
      </c>
    </row>
    <row r="178" spans="1:31">
      <c r="A178" s="714"/>
      <c r="B178" s="715">
        <v>7</v>
      </c>
      <c r="C178" s="1391"/>
      <c r="D178" s="1"/>
      <c r="E178" s="1" t="str">
        <f>+Transfer!B107</f>
        <v>VOL. CHANGE IN INVENTORIES</v>
      </c>
      <c r="F178" s="1392"/>
      <c r="G178" s="3083"/>
      <c r="H178" s="3083">
        <f ca="1">IF(UPPER('VVP1'!$F$3)="Y",OFFSET('VVP1'!$H11,0,5*(COLUMN()-7)),H71)</f>
        <v>0.66288725188985609</v>
      </c>
      <c r="I178" s="3083">
        <f ca="1">IF(UPPER('VVP1'!$F$3)="Y",OFFSET('VVP1'!$H11,0,5*(COLUMN()-7)),I71)</f>
        <v>1.3071415746913146</v>
      </c>
      <c r="J178" s="3083">
        <f ca="1">IF(UPPER('VVP1'!$F$3)="Y",OFFSET('VVP1'!$H11,0,5*(COLUMN()-7)),J71)</f>
        <v>0.51707363997624611</v>
      </c>
      <c r="K178" s="3083">
        <f ca="1">IF(UPPER('VVP1'!$F$3)="Y",OFFSET('VVP1'!$H11,0,5*(COLUMN()-7)),K71)</f>
        <v>1.2932864264945607</v>
      </c>
      <c r="L178" s="3083">
        <f ca="1">IF(UPPER('VVP1'!$F$3)="Y",OFFSET('VVP1'!$H11,0,5*(COLUMN()-7)),L71)</f>
        <v>2.2709420292360676</v>
      </c>
      <c r="M178" s="3083">
        <f ca="1">IF(UPPER('VVP1'!$F$3)="Y",OFFSET('VVP1'!$H11,0,5*(COLUMN()-7)),M71)</f>
        <v>0.70512905696361372</v>
      </c>
      <c r="N178" s="3083">
        <f ca="1">IF(UPPER('VVP1'!$F$3)="Y",OFFSET('VVP1'!$H11,0,5*(COLUMN()-7)),N71)</f>
        <v>0.45759604705000356</v>
      </c>
      <c r="O178" s="3083">
        <f ca="1">IF(UPPER('VVP1'!$F$3)="Y",OFFSET('VVP1'!$H11,0,5*(COLUMN()-7)),O71)</f>
        <v>0.40841144903149029</v>
      </c>
      <c r="P178" s="3083">
        <f ca="1">IF(UPPER('VVP1'!$F$3)="Y",OFFSET('VVP1'!$H11,0,5*(COLUMN()-7)),P71)</f>
        <v>2.2745729481036108</v>
      </c>
      <c r="Q178" s="3083">
        <f ca="1">IF(UPPER('VVP1'!$F$3)="Y",OFFSET('VVP1'!$H11,0,5*(COLUMN()-7)),Q71)</f>
        <v>5.083987399457385</v>
      </c>
      <c r="R178" s="3083">
        <f ca="1">IF(UPPER('VVP1'!$F$3)="Y",OFFSET('VVP1'!$H11,0,5*(COLUMN()-7)),R71)</f>
        <v>5.9329220479785647</v>
      </c>
      <c r="S178" s="3083">
        <f ca="1">IF(UPPER('VVP1'!$F$3)="Y",OFFSET('VVP1'!$H11,0,5*(COLUMN()-7)),S71)</f>
        <v>6.6082193853503384</v>
      </c>
      <c r="T178" s="3083">
        <f ca="1">IF(UPPER('VVP1'!$F$3)="Y",OFFSET('VVP1'!$H11,0,5*(COLUMN()-7)),T71)</f>
        <v>4.7647266470289935</v>
      </c>
      <c r="U178" s="3083">
        <f ca="1">IF(UPPER('VVP1'!$F$3)="Y",OFFSET('VVP1'!$H11,0,5*(COLUMN()-7)),U71)</f>
        <v>3.1221119758342297</v>
      </c>
      <c r="V178" s="3083">
        <f ca="1">IF(UPPER('VVP1'!$F$3)="Y",OFFSET('VVP1'!$H11,0,5*(COLUMN()-7)),V71)</f>
        <v>-1.1824922545947629</v>
      </c>
      <c r="W178" s="3083">
        <f ca="1">IF(UPPER('VVP1'!$F$3)="Y",OFFSET('VVP1'!$H11,0,5*(COLUMN()-7)),W71)</f>
        <v>5.8537199999999245</v>
      </c>
      <c r="X178" s="3083">
        <f ca="1">IF(UPPER('VVP1'!$F$3)="Y",OFFSET('VVP1'!$H11,0,5*(COLUMN()-7)),X71)</f>
        <v>2.8911301105376879</v>
      </c>
      <c r="Y178" s="3083">
        <f ca="1">IF(UPPER('VVP1'!$F$3)="Y",OFFSET('VVP1'!$H11,0,5*(COLUMN()-7)),Y71)</f>
        <v>0.78068598300706071</v>
      </c>
      <c r="Z178" s="3083">
        <f ca="1">IF(UPPER('VVP1'!$F$3)="Y",OFFSET('VVP1'!$H11,0,5*(COLUMN()-7)),Z71)</f>
        <v>1.2575133298691128</v>
      </c>
      <c r="AA178" s="3083">
        <f ca="1">IF(UPPER('VVP1'!$F$3)="Y",OFFSET('VVP1'!$H11,0,5*(COLUMN()-7)),AA71)</f>
        <v>1.8891277649899791</v>
      </c>
      <c r="AB178" s="3083">
        <f ca="1">IF(UPPER('VVP1'!$F$3)="Y",OFFSET('VVP1'!$H11,0,5*(COLUMN()-7)),AB71)</f>
        <v>2.5111001590912565</v>
      </c>
      <c r="AC178" s="3083">
        <f ca="1">IF(UPPER('VVP1'!$F$3)="Y",OFFSET('VVP1'!$H11,0,5*(COLUMN()-7)),AC71)</f>
        <v>2.9395372604797956</v>
      </c>
      <c r="AD178" s="3083">
        <f ca="1">IF(UPPER('VVP1'!$F$3)="Y",OFFSET('VVP1'!$H11,0,5*(COLUMN()-7)),AD71)</f>
        <v>5.5851000000000006</v>
      </c>
      <c r="AE178" s="3083">
        <f ca="1">IF(UPPER('VVP1'!$F$3)="Y",OFFSET('VVP1'!$H11,0,5*(COLUMN()-7)),AE71)</f>
        <v>5.5851000000000006</v>
      </c>
    </row>
    <row r="179" spans="1:31">
      <c r="A179" s="714"/>
      <c r="B179" s="715">
        <v>8</v>
      </c>
      <c r="C179" s="1391"/>
      <c r="D179" s="1"/>
      <c r="E179" s="1" t="str">
        <f>+Transfer!B108</f>
        <v>VOL. EXPORTS OF GOODS (FOB)</v>
      </c>
      <c r="F179" s="1392"/>
      <c r="G179" s="3083"/>
      <c r="H179" s="3083">
        <f ca="1">IF(UPPER('VVP1'!$F$3)="Y",OFFSET('VVP1'!$H86,0,5*(COLUMN()-7)),H89)</f>
        <v>105.94600805726344</v>
      </c>
      <c r="I179" s="3083">
        <f ca="1">IF(UPPER('VVP1'!$F$3)="Y",OFFSET('VVP1'!$H86,0,5*(COLUMN()-7)),I89)</f>
        <v>114.00864768240838</v>
      </c>
      <c r="J179" s="3083">
        <f ca="1">IF(UPPER('VVP1'!$F$3)="Y",OFFSET('VVP1'!$H86,0,5*(COLUMN()-7)),J89)</f>
        <v>119.40812522465124</v>
      </c>
      <c r="K179" s="3083">
        <f ca="1">IF(UPPER('VVP1'!$F$3)="Y",OFFSET('VVP1'!$H86,0,5*(COLUMN()-7)),K89)</f>
        <v>122.98781776873439</v>
      </c>
      <c r="L179" s="3083">
        <f ca="1">IF(UPPER('VVP1'!$F$3)="Y",OFFSET('VVP1'!$H86,0,5*(COLUMN()-7)),L89)</f>
        <v>138.5222330751163</v>
      </c>
      <c r="M179" s="3083">
        <f ca="1">IF(UPPER('VVP1'!$F$3)="Y",OFFSET('VVP1'!$H86,0,5*(COLUMN()-7)),M89)</f>
        <v>144.04825731262639</v>
      </c>
      <c r="N179" s="3083">
        <f ca="1">IF(UPPER('VVP1'!$F$3)="Y",OFFSET('VVP1'!$H86,0,5*(COLUMN()-7)),N89)</f>
        <v>153.76687471936629</v>
      </c>
      <c r="O179" s="3083">
        <f ca="1">IF(UPPER('VVP1'!$F$3)="Y",OFFSET('VVP1'!$H86,0,5*(COLUMN()-7)),O89)</f>
        <v>155.20271185475437</v>
      </c>
      <c r="P179" s="3083">
        <f ca="1">IF(UPPER('VVP1'!$F$3)="Y",OFFSET('VVP1'!$H86,0,5*(COLUMN()-7)),P89)</f>
        <v>163.44747433331332</v>
      </c>
      <c r="Q179" s="3083">
        <f ca="1">IF(UPPER('VVP1'!$F$3)="Y",OFFSET('VVP1'!$H86,0,5*(COLUMN()-7)),Q89)</f>
        <v>173.73656652790152</v>
      </c>
      <c r="R179" s="3083">
        <f ca="1">IF(UPPER('VVP1'!$F$3)="Y",OFFSET('VVP1'!$H86,0,5*(COLUMN()-7)),R89)</f>
        <v>192.5781055923562</v>
      </c>
      <c r="S179" s="3083">
        <f ca="1">IF(UPPER('VVP1'!$F$3)="Y",OFFSET('VVP1'!$H86,0,5*(COLUMN()-7)),S89)</f>
        <v>207.76724128568307</v>
      </c>
      <c r="T179" s="3083">
        <f ca="1">IF(UPPER('VVP1'!$F$3)="Y",OFFSET('VVP1'!$H86,0,5*(COLUMN()-7)),T89)</f>
        <v>208.96680151897334</v>
      </c>
      <c r="U179" s="3083">
        <f ca="1">IF(UPPER('VVP1'!$F$3)="Y",OFFSET('VVP1'!$H86,0,5*(COLUMN()-7)),U89)</f>
        <v>188.43845844181811</v>
      </c>
      <c r="V179" s="3083">
        <f ca="1">IF(UPPER('VVP1'!$F$3)="Y",OFFSET('VVP1'!$H86,0,5*(COLUMN()-7)),V89)</f>
        <v>195.0203237306394</v>
      </c>
      <c r="W179" s="3083">
        <f ca="1">IF(UPPER('VVP1'!$F$3)="Y",OFFSET('VVP1'!$H86,0,5*(COLUMN()-7)),W89)</f>
        <v>223.31570999999997</v>
      </c>
      <c r="X179" s="3083">
        <f ca="1">IF(UPPER('VVP1'!$F$3)="Y",OFFSET('VVP1'!$H86,0,5*(COLUMN()-7)),X89)</f>
        <v>228.40597672781738</v>
      </c>
      <c r="Y179" s="3083">
        <f ca="1">IF(UPPER('VVP1'!$F$3)="Y",OFFSET('VVP1'!$H86,0,5*(COLUMN()-7)),Y89)</f>
        <v>236.39311894696903</v>
      </c>
      <c r="Z179" s="3083">
        <f ca="1">IF(UPPER('VVP1'!$F$3)="Y",OFFSET('VVP1'!$H86,0,5*(COLUMN()-7)),Z89)</f>
        <v>243.00464165699702</v>
      </c>
      <c r="AA179" s="3083">
        <f ca="1">IF(UPPER('VVP1'!$F$3)="Y",OFFSET('VVP1'!$H86,0,5*(COLUMN()-7)),AA89)</f>
        <v>238.75308456211337</v>
      </c>
      <c r="AB179" s="3083">
        <f ca="1">IF(UPPER('VVP1'!$F$3)="Y",OFFSET('VVP1'!$H86,0,5*(COLUMN()-7)),AB89)</f>
        <v>254.62749845929025</v>
      </c>
      <c r="AC179" s="3083">
        <f ca="1">IF(UPPER('VVP1'!$F$3)="Y",OFFSET('VVP1'!$H86,0,5*(COLUMN()-7)),AC89)</f>
        <v>264.88255721173221</v>
      </c>
      <c r="AD179" s="3083">
        <f ca="1">IF(UPPER('VVP1'!$F$3)="Y",OFFSET('VVP1'!$H86,0,5*(COLUMN()-7)),AD89)</f>
        <v>282.33637658999999</v>
      </c>
      <c r="AE179" s="3083">
        <f ca="1">IF(UPPER('VVP1'!$F$3)="Y",OFFSET('VVP1'!$H86,0,5*(COLUMN()-7)),AE89)</f>
        <v>297.9063807498087</v>
      </c>
    </row>
    <row r="180" spans="1:31">
      <c r="A180" s="714"/>
      <c r="B180" s="715">
        <v>9</v>
      </c>
      <c r="C180" s="1391"/>
      <c r="D180" s="1"/>
      <c r="E180" s="1" t="str">
        <f>+Transfer!B109</f>
        <v>VOL. EXPORTS OF SERVICES</v>
      </c>
      <c r="F180" s="1392"/>
      <c r="G180" s="3083"/>
      <c r="H180" s="3083">
        <f ca="1">IF(UPPER('VVP1'!$F$3)="Y",OFFSET('VVP1'!$H85,0,5*(COLUMN()-7)),H88)</f>
        <v>26.258745233315835</v>
      </c>
      <c r="I180" s="3083">
        <f ca="1">IF(UPPER('VVP1'!$F$3)="Y",OFFSET('VVP1'!$H85,0,5*(COLUMN()-7)),I88)</f>
        <v>28.808466408527199</v>
      </c>
      <c r="J180" s="3083">
        <f ca="1">IF(UPPER('VVP1'!$F$3)="Y",OFFSET('VVP1'!$H85,0,5*(COLUMN()-7)),J88)</f>
        <v>31.155114461340109</v>
      </c>
      <c r="K180" s="3083">
        <f ca="1">IF(UPPER('VVP1'!$F$3)="Y",OFFSET('VVP1'!$H85,0,5*(COLUMN()-7)),K88)</f>
        <v>33.10454858267326</v>
      </c>
      <c r="L180" s="3083">
        <f ca="1">IF(UPPER('VVP1'!$F$3)="Y",OFFSET('VVP1'!$H85,0,5*(COLUMN()-7)),L88)</f>
        <v>36.898713130414968</v>
      </c>
      <c r="M180" s="3083">
        <f ca="1">IF(UPPER('VVP1'!$F$3)="Y",OFFSET('VVP1'!$H85,0,5*(COLUMN()-7)),M88)</f>
        <v>42.130117897755873</v>
      </c>
      <c r="N180" s="3083">
        <f ca="1">IF(UPPER('VVP1'!$F$3)="Y",OFFSET('VVP1'!$H85,0,5*(COLUMN()-7)),N88)</f>
        <v>41.887194512320541</v>
      </c>
      <c r="O180" s="3083">
        <f ca="1">IF(UPPER('VVP1'!$F$3)="Y",OFFSET('VVP1'!$H85,0,5*(COLUMN()-7)),O88)</f>
        <v>41.224219495136175</v>
      </c>
      <c r="P180" s="3083">
        <f ca="1">IF(UPPER('VVP1'!$F$3)="Y",OFFSET('VVP1'!$H85,0,5*(COLUMN()-7)),P88)</f>
        <v>42.457718851551682</v>
      </c>
      <c r="Q180" s="3083">
        <f ca="1">IF(UPPER('VVP1'!$F$3)="Y",OFFSET('VVP1'!$H85,0,5*(COLUMN()-7)),Q88)</f>
        <v>47.069364684663789</v>
      </c>
      <c r="R180" s="3083">
        <f ca="1">IF(UPPER('VVP1'!$F$3)="Y",OFFSET('VVP1'!$H85,0,5*(COLUMN()-7)),R88)</f>
        <v>48.507221493960159</v>
      </c>
      <c r="S180" s="3083">
        <f ca="1">IF(UPPER('VVP1'!$F$3)="Y",OFFSET('VVP1'!$H85,0,5*(COLUMN()-7)),S88)</f>
        <v>53.64175492988587</v>
      </c>
      <c r="T180" s="3083">
        <f ca="1">IF(UPPER('VVP1'!$F$3)="Y",OFFSET('VVP1'!$H85,0,5*(COLUMN()-7)),T88)</f>
        <v>62.723674626972318</v>
      </c>
      <c r="U180" s="3083">
        <f ca="1">IF(UPPER('VVP1'!$F$3)="Y",OFFSET('VVP1'!$H85,0,5*(COLUMN()-7)),U88)</f>
        <v>67.131827980069914</v>
      </c>
      <c r="V180" s="3083">
        <f ca="1">IF(UPPER('VVP1'!$F$3)="Y",OFFSET('VVP1'!$H85,0,5*(COLUMN()-7)),V88)</f>
        <v>71.698166066440308</v>
      </c>
      <c r="W180" s="3083">
        <f ca="1">IF(UPPER('VVP1'!$F$3)="Y",OFFSET('VVP1'!$H85,0,5*(COLUMN()-7)),W88)</f>
        <v>74.54871</v>
      </c>
      <c r="X180" s="3083">
        <f ca="1">IF(UPPER('VVP1'!$F$3)="Y",OFFSET('VVP1'!$H85,0,5*(COLUMN()-7)),X88)</f>
        <v>82.125341593234793</v>
      </c>
      <c r="Y180" s="3083">
        <f ca="1">IF(UPPER('VVP1'!$F$3)="Y",OFFSET('VVP1'!$H85,0,5*(COLUMN()-7)),Y88)</f>
        <v>85.377026523281558</v>
      </c>
      <c r="Z180" s="3083">
        <f ca="1">IF(UPPER('VVP1'!$F$3)="Y",OFFSET('VVP1'!$H85,0,5*(COLUMN()-7)),Z88)</f>
        <v>94.28031663675209</v>
      </c>
      <c r="AA180" s="3083">
        <f ca="1">IF(UPPER('VVP1'!$F$3)="Y",OFFSET('VVP1'!$H85,0,5*(COLUMN()-7)),AA88)</f>
        <v>102.836107473315</v>
      </c>
      <c r="AB180" s="3083">
        <f ca="1">IF(UPPER('VVP1'!$F$3)="Y",OFFSET('VVP1'!$H85,0,5*(COLUMN()-7)),AB88)</f>
        <v>101.78299912533554</v>
      </c>
      <c r="AC180" s="3083">
        <f ca="1">IF(UPPER('VVP1'!$F$3)="Y",OFFSET('VVP1'!$H85,0,5*(COLUMN()-7)),AC88)</f>
        <v>101.48708646521402</v>
      </c>
      <c r="AD180" s="3083">
        <f ca="1">IF(UPPER('VVP1'!$F$3)="Y",OFFSET('VVP1'!$H85,0,5*(COLUMN()-7)),AD88)</f>
        <v>107.5108068</v>
      </c>
      <c r="AE180" s="3083">
        <f ca="1">IF(UPPER('VVP1'!$F$3)="Y",OFFSET('VVP1'!$H85,0,5*(COLUMN()-7)),AE88)</f>
        <v>113.14652329245601</v>
      </c>
    </row>
    <row r="181" spans="1:31">
      <c r="A181" s="714"/>
      <c r="B181" s="715">
        <v>10</v>
      </c>
      <c r="C181" s="1391"/>
      <c r="D181" s="1"/>
      <c r="E181" s="1" t="str">
        <f>+Transfer!B110</f>
        <v>VOL. IMPORTS OF GOODS (FOB)</v>
      </c>
      <c r="F181" s="1392"/>
      <c r="G181" s="3083"/>
      <c r="H181" s="3083">
        <f ca="1">IF(UPPER('VVP1'!$F$3)="Y",OFFSET('VVP1'!$H101,0,5*(COLUMN()-7)),H111)</f>
        <v>100.59548174035191</v>
      </c>
      <c r="I181" s="3083">
        <f ca="1">IF(UPPER('VVP1'!$F$3)="Y",OFFSET('VVP1'!$H101,0,5*(COLUMN()-7)),I111)</f>
        <v>107.98570758533567</v>
      </c>
      <c r="J181" s="3083">
        <f ca="1">IF(UPPER('VVP1'!$F$3)="Y",OFFSET('VVP1'!$H101,0,5*(COLUMN()-7)),J111)</f>
        <v>114.69448496949653</v>
      </c>
      <c r="K181" s="3083">
        <f ca="1">IF(UPPER('VVP1'!$F$3)="Y",OFFSET('VVP1'!$H101,0,5*(COLUMN()-7)),K111)</f>
        <v>113.59657909734078</v>
      </c>
      <c r="L181" s="3083">
        <f ca="1">IF(UPPER('VVP1'!$F$3)="Y",OFFSET('VVP1'!$H101,0,5*(COLUMN()-7)),L111)</f>
        <v>130.7266344997665</v>
      </c>
      <c r="M181" s="3083">
        <f ca="1">IF(UPPER('VVP1'!$F$3)="Y",OFFSET('VVP1'!$H101,0,5*(COLUMN()-7)),M111)</f>
        <v>137.30723208446096</v>
      </c>
      <c r="N181" s="3083">
        <f ca="1">IF(UPPER('VVP1'!$F$3)="Y",OFFSET('VVP1'!$H101,0,5*(COLUMN()-7)),N111)</f>
        <v>141.56656822528527</v>
      </c>
      <c r="O181" s="3083">
        <f ca="1">IF(UPPER('VVP1'!$F$3)="Y",OFFSET('VVP1'!$H101,0,5*(COLUMN()-7)),O111)</f>
        <v>141.16491985368043</v>
      </c>
      <c r="P181" s="3083">
        <f ca="1">IF(UPPER('VVP1'!$F$3)="Y",OFFSET('VVP1'!$H101,0,5*(COLUMN()-7)),P111)</f>
        <v>150.66043388141867</v>
      </c>
      <c r="Q181" s="3083">
        <f ca="1">IF(UPPER('VVP1'!$F$3)="Y",OFFSET('VVP1'!$H101,0,5*(COLUMN()-7)),Q111)</f>
        <v>167.04297843995391</v>
      </c>
      <c r="R181" s="3083">
        <f ca="1">IF(UPPER('VVP1'!$F$3)="Y",OFFSET('VVP1'!$H101,0,5*(COLUMN()-7)),R111)</f>
        <v>184.24221783541211</v>
      </c>
      <c r="S181" s="3083">
        <f ca="1">IF(UPPER('VVP1'!$F$3)="Y",OFFSET('VVP1'!$H101,0,5*(COLUMN()-7)),S111)</f>
        <v>200.76595515846228</v>
      </c>
      <c r="T181" s="3083">
        <f ca="1">IF(UPPER('VVP1'!$F$3)="Y",OFFSET('VVP1'!$H101,0,5*(COLUMN()-7)),T111)</f>
        <v>206.87717362483048</v>
      </c>
      <c r="U181" s="3083">
        <f ca="1">IF(UPPER('VVP1'!$F$3)="Y",OFFSET('VVP1'!$H101,0,5*(COLUMN()-7)),U111)</f>
        <v>194.45700500875779</v>
      </c>
      <c r="V181" s="3083">
        <f ca="1">IF(UPPER('VVP1'!$F$3)="Y",OFFSET('VVP1'!$H101,0,5*(COLUMN()-7)),V111)</f>
        <v>192.68668409008131</v>
      </c>
      <c r="W181" s="3083">
        <f ca="1">IF(UPPER('VVP1'!$F$3)="Y",OFFSET('VVP1'!$H101,0,5*(COLUMN()-7)),W111)</f>
        <v>224.11451</v>
      </c>
      <c r="X181" s="3083">
        <f ca="1">IF(UPPER('VVP1'!$F$3)="Y",OFFSET('VVP1'!$H101,0,5*(COLUMN()-7)),X111)</f>
        <v>231.87233783229831</v>
      </c>
      <c r="Y181" s="3083">
        <f ca="1">IF(UPPER('VVP1'!$F$3)="Y",OFFSET('VVP1'!$H101,0,5*(COLUMN()-7)),Y111)</f>
        <v>239.00370214349385</v>
      </c>
      <c r="Z181" s="3083">
        <f ca="1">IF(UPPER('VVP1'!$F$3)="Y",OFFSET('VVP1'!$H101,0,5*(COLUMN()-7)),Z111)</f>
        <v>246.69048873296228</v>
      </c>
      <c r="AA181" s="3083">
        <f ca="1">IF(UPPER('VVP1'!$F$3)="Y",OFFSET('VVP1'!$H101,0,5*(COLUMN()-7)),AA111)</f>
        <v>242.76138902943111</v>
      </c>
      <c r="AB181" s="3083">
        <f ca="1">IF(UPPER('VVP1'!$F$3)="Y",OFFSET('VVP1'!$H101,0,5*(COLUMN()-7)),AB111)</f>
        <v>255.2001013892507</v>
      </c>
      <c r="AC181" s="3083">
        <f ca="1">IF(UPPER('VVP1'!$F$3)="Y",OFFSET('VVP1'!$H101,0,5*(COLUMN()-7)),AC111)</f>
        <v>259.63473694827366</v>
      </c>
      <c r="AD181" s="3083">
        <f ca="1">IF(UPPER('VVP1'!$F$3)="Y",OFFSET('VVP1'!$H101,0,5*(COLUMN()-7)),AD111)</f>
        <v>278.27703880000001</v>
      </c>
      <c r="AE181" s="3083">
        <f ca="1">IF(UPPER('VVP1'!$F$3)="Y",OFFSET('VVP1'!$H101,0,5*(COLUMN()-7)),AE111)</f>
        <v>294.63499797178042</v>
      </c>
    </row>
    <row r="182" spans="1:31">
      <c r="A182" s="714"/>
      <c r="B182" s="715">
        <v>11</v>
      </c>
      <c r="C182" s="1391"/>
      <c r="D182" s="1"/>
      <c r="E182" s="1" t="str">
        <f>+Transfer!B111</f>
        <v>VOL. IMPORTS OF SERVICES</v>
      </c>
      <c r="F182" s="1392"/>
      <c r="G182" s="3083"/>
      <c r="H182" s="3083">
        <f ca="1">IF(UPPER('VVP1'!$F$3)="Y",OFFSET('VVP1'!$H100,0,5*(COLUMN()-7)),H110)</f>
        <v>24.426733987832783</v>
      </c>
      <c r="I182" s="3083">
        <f ca="1">IF(UPPER('VVP1'!$F$3)="Y",OFFSET('VVP1'!$H100,0,5*(COLUMN()-7)),I110)</f>
        <v>26.658944536507857</v>
      </c>
      <c r="J182" s="3083">
        <f ca="1">IF(UPPER('VVP1'!$F$3)="Y",OFFSET('VVP1'!$H100,0,5*(COLUMN()-7)),J110)</f>
        <v>28.771225527583464</v>
      </c>
      <c r="K182" s="3083">
        <f ca="1">IF(UPPER('VVP1'!$F$3)="Y",OFFSET('VVP1'!$H100,0,5*(COLUMN()-7)),K110)</f>
        <v>31.895488801331702</v>
      </c>
      <c r="L182" s="3083">
        <f ca="1">IF(UPPER('VVP1'!$F$3)="Y",OFFSET('VVP1'!$H100,0,5*(COLUMN()-7)),L110)</f>
        <v>35.33248088710922</v>
      </c>
      <c r="M182" s="3083">
        <f ca="1">IF(UPPER('VVP1'!$F$3)="Y",OFFSET('VVP1'!$H100,0,5*(COLUMN()-7)),M110)</f>
        <v>40.206195931784436</v>
      </c>
      <c r="N182" s="3083">
        <f ca="1">IF(UPPER('VVP1'!$F$3)="Y",OFFSET('VVP1'!$H100,0,5*(COLUMN()-7)),N110)</f>
        <v>39.944166417464331</v>
      </c>
      <c r="O182" s="3083">
        <f ca="1">IF(UPPER('VVP1'!$F$3)="Y",OFFSET('VVP1'!$H100,0,5*(COLUMN()-7)),O110)</f>
        <v>39.741291174976176</v>
      </c>
      <c r="P182" s="3083">
        <f ca="1">IF(UPPER('VVP1'!$F$3)="Y",OFFSET('VVP1'!$H100,0,5*(COLUMN()-7)),P110)</f>
        <v>39.765933411136196</v>
      </c>
      <c r="Q182" s="3083">
        <f ca="1">IF(UPPER('VVP1'!$F$3)="Y",OFFSET('VVP1'!$H100,0,5*(COLUMN()-7)),Q110)</f>
        <v>41.29410076343413</v>
      </c>
      <c r="R182" s="3083">
        <f ca="1">IF(UPPER('VVP1'!$F$3)="Y",OFFSET('VVP1'!$H100,0,5*(COLUMN()-7)),R110)</f>
        <v>43.352158514668552</v>
      </c>
      <c r="S182" s="3083">
        <f ca="1">IF(UPPER('VVP1'!$F$3)="Y",OFFSET('VVP1'!$H100,0,5*(COLUMN()-7)),S110)</f>
        <v>48.140154719873337</v>
      </c>
      <c r="T182" s="3083">
        <f ca="1">IF(UPPER('VVP1'!$F$3)="Y",OFFSET('VVP1'!$H100,0,5*(COLUMN()-7)),T110)</f>
        <v>56.112829030231993</v>
      </c>
      <c r="U182" s="3083">
        <f ca="1">IF(UPPER('VVP1'!$F$3)="Y",OFFSET('VVP1'!$H100,0,5*(COLUMN()-7)),U110)</f>
        <v>60.441396229194751</v>
      </c>
      <c r="V182" s="3083">
        <f ca="1">IF(UPPER('VVP1'!$F$3)="Y",OFFSET('VVP1'!$H100,0,5*(COLUMN()-7)),V110)</f>
        <v>63.667621204243808</v>
      </c>
      <c r="W182" s="3083">
        <f ca="1">IF(UPPER('VVP1'!$F$3)="Y",OFFSET('VVP1'!$H100,0,5*(COLUMN()-7)),W110)</f>
        <v>68.365110000000001</v>
      </c>
      <c r="X182" s="3083">
        <f ca="1">IF(UPPER('VVP1'!$F$3)="Y",OFFSET('VVP1'!$H100,0,5*(COLUMN()-7)),X110)</f>
        <v>75.945344417115692</v>
      </c>
      <c r="Y182" s="3083">
        <f ca="1">IF(UPPER('VVP1'!$F$3)="Y",OFFSET('VVP1'!$H100,0,5*(COLUMN()-7)),Y110)</f>
        <v>78.625346304678388</v>
      </c>
      <c r="Z182" s="3083">
        <f ca="1">IF(UPPER('VVP1'!$F$3)="Y",OFFSET('VVP1'!$H100,0,5*(COLUMN()-7)),Z110)</f>
        <v>88.693264063103058</v>
      </c>
      <c r="AA182" s="3083">
        <f ca="1">IF(UPPER('VVP1'!$F$3)="Y",OFFSET('VVP1'!$H100,0,5*(COLUMN()-7)),AA110)</f>
        <v>96.197386990039504</v>
      </c>
      <c r="AB182" s="3083">
        <f ca="1">IF(UPPER('VVP1'!$F$3)="Y",OFFSET('VVP1'!$H100,0,5*(COLUMN()-7)),AB110)</f>
        <v>97.97420407382883</v>
      </c>
      <c r="AC182" s="3083">
        <f ca="1">IF(UPPER('VVP1'!$F$3)="Y",OFFSET('VVP1'!$H100,0,5*(COLUMN()-7)),AC110)</f>
        <v>99.408462267794008</v>
      </c>
      <c r="AD182" s="3083">
        <f ca="1">IF(UPPER('VVP1'!$F$3)="Y",OFFSET('VVP1'!$H100,0,5*(COLUMN()-7)),AD110)</f>
        <v>105.88078865</v>
      </c>
      <c r="AE182" s="3083">
        <f ca="1">IF(UPPER('VVP1'!$F$3)="Y",OFFSET('VVP1'!$H100,0,5*(COLUMN()-7)),AE110)</f>
        <v>110.84289181008225</v>
      </c>
    </row>
    <row r="183" spans="1:31">
      <c r="A183" s="714"/>
      <c r="B183" s="715">
        <v>12</v>
      </c>
      <c r="C183" s="1391"/>
      <c r="D183" s="1"/>
      <c r="E183" s="1" t="str">
        <f>+Transfer!B112</f>
        <v>VOL. GROSS DOMESTIC PRODUCT</v>
      </c>
      <c r="F183" s="1392"/>
      <c r="G183" s="3083"/>
      <c r="H183" s="3083">
        <f ca="1">IF(UPPER('VVP1'!$F$3)="Y",OFFSET('VVP1'!$H16,0,5*(COLUMN()-7)),H132)</f>
        <v>203.21269044101032</v>
      </c>
      <c r="I183" s="3083">
        <f ca="1">IF(UPPER('VVP1'!$F$3)="Y",OFFSET('VVP1'!$H16,0,5*(COLUMN()-7)),I132)</f>
        <v>223.95483085013774</v>
      </c>
      <c r="J183" s="3083">
        <f ca="1">IF(UPPER('VVP1'!$F$3)="Y",OFFSET('VVP1'!$H16,0,5*(COLUMN()-7)),J132)</f>
        <v>230.43219639859669</v>
      </c>
      <c r="K183" s="3083">
        <f ca="1">IF(UPPER('VVP1'!$F$3)="Y",OFFSET('VVP1'!$H16,0,5*(COLUMN()-7)),K132)</f>
        <v>242.84519359742927</v>
      </c>
      <c r="L183" s="3083">
        <f ca="1">IF(UPPER('VVP1'!$F$3)="Y",OFFSET('VVP1'!$H16,0,5*(COLUMN()-7)),L132)</f>
        <v>253.10032478295696</v>
      </c>
      <c r="M183" s="3083">
        <f ca="1">IF(UPPER('VVP1'!$F$3)="Y",OFFSET('VVP1'!$H16,0,5*(COLUMN()-7)),M132)</f>
        <v>260.31758912503886</v>
      </c>
      <c r="N183" s="3083">
        <f ca="1">IF(UPPER('VVP1'!$F$3)="Y",OFFSET('VVP1'!$H16,0,5*(COLUMN()-7)),N132)</f>
        <v>270.52077820608196</v>
      </c>
      <c r="O183" s="3083">
        <f ca="1">IF(UPPER('VVP1'!$F$3)="Y",OFFSET('VVP1'!$H16,0,5*(COLUMN()-7)),O132)</f>
        <v>277.19520878776041</v>
      </c>
      <c r="P183" s="3083">
        <f ca="1">IF(UPPER('VVP1'!$F$3)="Y",OFFSET('VVP1'!$H16,0,5*(COLUMN()-7)),P132)</f>
        <v>292.90991631793946</v>
      </c>
      <c r="Q183" s="3083">
        <f ca="1">IF(UPPER('VVP1'!$F$3)="Y",OFFSET('VVP1'!$H16,0,5*(COLUMN()-7)),Q132)</f>
        <v>304.96661302528372</v>
      </c>
      <c r="R183" s="3083">
        <f ca="1">IF(UPPER('VVP1'!$F$3)="Y",OFFSET('VVP1'!$H16,0,5*(COLUMN()-7)),R132)</f>
        <v>319.28694943802981</v>
      </c>
      <c r="S183" s="3083">
        <f ca="1">IF(UPPER('VVP1'!$F$3)="Y",OFFSET('VVP1'!$H16,0,5*(COLUMN()-7)),S132)</f>
        <v>337.92858974795155</v>
      </c>
      <c r="T183" s="3083">
        <f ca="1">IF(UPPER('VVP1'!$F$3)="Y",OFFSET('VVP1'!$H16,0,5*(COLUMN()-7)),T132)</f>
        <v>347.41219180320513</v>
      </c>
      <c r="U183" s="3083">
        <f ca="1">IF(UPPER('VVP1'!$F$3)="Y",OFFSET('VVP1'!$H16,0,5*(COLUMN()-7)),U132)</f>
        <v>346.08818150138626</v>
      </c>
      <c r="V183" s="3083">
        <f ca="1">IF(UPPER('VVP1'!$F$3)="Y",OFFSET('VVP1'!$H16,0,5*(COLUMN()-7)),V132)</f>
        <v>358.3523937062489</v>
      </c>
      <c r="W183" s="3083">
        <f ca="1">IF(UPPER('VVP1'!$F$3)="Y",OFFSET('VVP1'!$H16,0,5*(COLUMN()-7)),W132)</f>
        <v>371.66611</v>
      </c>
      <c r="X183" s="3083">
        <f ca="1">IF(UPPER('VVP1'!$F$3)="Y",OFFSET('VVP1'!$H16,0,5*(COLUMN()-7)),X132)</f>
        <v>379.99642932537216</v>
      </c>
      <c r="Y183" s="3083">
        <f ca="1">IF(UPPER('VVP1'!$F$3)="Y",OFFSET('VVP1'!$H16,0,5*(COLUMN()-7)),Y132)</f>
        <v>388.27761994711852</v>
      </c>
      <c r="Z183" s="3083">
        <f ca="1">IF(UPPER('VVP1'!$F$3)="Y",OFFSET('VVP1'!$H16,0,5*(COLUMN()-7)),Z132)</f>
        <v>397.64201600664813</v>
      </c>
      <c r="AA183" s="3083">
        <f ca="1">IF(UPPER('VVP1'!$F$3)="Y",OFFSET('VVP1'!$H16,0,5*(COLUMN()-7)),AA132)</f>
        <v>405.91022792599148</v>
      </c>
      <c r="AB183" s="3083">
        <f ca="1">IF(UPPER('VVP1'!$F$3)="Y",OFFSET('VVP1'!$H16,0,5*(COLUMN()-7)),AB132)</f>
        <v>416.45220113357516</v>
      </c>
      <c r="AC183" s="3083">
        <f ca="1">IF(UPPER('VVP1'!$F$3)="Y",OFFSET('VVP1'!$H16,0,5*(COLUMN()-7)),AC132)</f>
        <v>430.18314423750496</v>
      </c>
      <c r="AD183" s="3083">
        <f ca="1">IF(UPPER('VVP1'!$F$3)="Y",OFFSET('VVP1'!$H16,0,5*(COLUMN()-7)),AD132)</f>
        <v>446.4138479400001</v>
      </c>
      <c r="AE183" s="3083">
        <f ca="1">IF(UPPER('VVP1'!$F$3)="Y",OFFSET('VVP1'!$H16,0,5*(COLUMN()-7)),AE132)</f>
        <v>461.22959233726021</v>
      </c>
    </row>
    <row r="184" spans="1:31">
      <c r="A184" s="714"/>
      <c r="B184" s="715">
        <v>28</v>
      </c>
      <c r="C184" s="1391"/>
      <c r="D184" s="1"/>
      <c r="E184" s="1" t="str">
        <f>+Transfer!B128</f>
        <v xml:space="preserve">VOL. FIXED INVESTMENT GOVERNMENT  </v>
      </c>
      <c r="F184" s="1392"/>
      <c r="G184" s="3083"/>
      <c r="H184" s="3083">
        <f ca="1">IF(UPPER('VVP1'!$F$3)="Y",OFFSET('VVP1'!$H70,0,5*(COLUMN()-7)),H47)</f>
        <v>4.4982980810410149</v>
      </c>
      <c r="I184" s="3083">
        <f ca="1">IF(UPPER('VVP1'!$F$3)="Y",OFFSET('VVP1'!$H70,0,5*(COLUMN()-7)),I47)</f>
        <v>4.9722</v>
      </c>
      <c r="J184" s="3083">
        <f ca="1">IF(UPPER('VVP1'!$F$3)="Y",OFFSET('VVP1'!$H70,0,5*(COLUMN()-7)),J47)</f>
        <v>5.0324000000000009</v>
      </c>
      <c r="K184" s="3083">
        <f ca="1">IF(UPPER('VVP1'!$F$3)="Y",OFFSET('VVP1'!$H70,0,5*(COLUMN()-7)),K47)</f>
        <v>5.9561999999999999</v>
      </c>
      <c r="L184" s="3083">
        <f ca="1">IF(UPPER('VVP1'!$F$3)="Y",OFFSET('VVP1'!$H70,0,5*(COLUMN()-7)),L47)</f>
        <v>6.2696999999999994</v>
      </c>
      <c r="M184" s="3083">
        <f ca="1">IF(UPPER('VVP1'!$F$3)="Y",OFFSET('VVP1'!$H70,0,5*(COLUMN()-7)),M47)</f>
        <v>5.7919999999999998</v>
      </c>
      <c r="N184" s="3083">
        <f ca="1">IF(UPPER('VVP1'!$F$3)="Y",OFFSET('VVP1'!$H70,0,5*(COLUMN()-7)),N47)</f>
        <v>5.8331</v>
      </c>
      <c r="O184" s="3083">
        <f ca="1">IF(UPPER('VVP1'!$F$3)="Y",OFFSET('VVP1'!$H70,0,5*(COLUMN()-7)),O47)</f>
        <v>6.0922999999999998</v>
      </c>
      <c r="P184" s="3083">
        <f ca="1">IF(UPPER('VVP1'!$F$3)="Y",OFFSET('VVP1'!$H70,0,5*(COLUMN()-7)),P47)</f>
        <v>6.1935000000000002</v>
      </c>
      <c r="Q184" s="3083">
        <f ca="1">IF(UPPER('VVP1'!$F$3)="Y",OFFSET('VVP1'!$H70,0,5*(COLUMN()-7)),Q47)</f>
        <v>6.624200000000001</v>
      </c>
      <c r="R184" s="3083">
        <f ca="1">IF(UPPER('VVP1'!$F$3)="Y",OFFSET('VVP1'!$H70,0,5*(COLUMN()-7)),R47)</f>
        <v>6.4175000000000004</v>
      </c>
      <c r="S184" s="3083">
        <f ca="1">IF(UPPER('VVP1'!$F$3)="Y",OFFSET('VVP1'!$H70,0,5*(COLUMN()-7)),S47)</f>
        <v>7.0301000000000009</v>
      </c>
      <c r="T184" s="3083">
        <f ca="1">IF(UPPER('VVP1'!$F$3)="Y",OFFSET('VVP1'!$H70,0,5*(COLUMN()-7)),T47)</f>
        <v>7.4166999999999996</v>
      </c>
      <c r="U184" s="3083">
        <f ca="1">IF(UPPER('VVP1'!$F$3)="Y",OFFSET('VVP1'!$H70,0,5*(COLUMN()-7)),U47)</f>
        <v>8.1306000000000012</v>
      </c>
      <c r="V184" s="3083">
        <f ca="1">IF(UPPER('VVP1'!$F$3)="Y",OFFSET('VVP1'!$H70,0,5*(COLUMN()-7)),V47)</f>
        <v>8.3940000000000001</v>
      </c>
      <c r="W184" s="3083">
        <f ca="1">IF(UPPER('VVP1'!$F$3)="Y",OFFSET('VVP1'!$H70,0,5*(COLUMN()-7)),W47)</f>
        <v>9.2747000000000011</v>
      </c>
      <c r="X184" s="3083">
        <f ca="1">IF(UPPER('VVP1'!$F$3)="Y",OFFSET('VVP1'!$H70,0,5*(COLUMN()-7)),X47)</f>
        <v>9.6434999999999995</v>
      </c>
      <c r="Y184" s="3083">
        <f ca="1">IF(UPPER('VVP1'!$F$3)="Y",OFFSET('VVP1'!$H70,0,5*(COLUMN()-7)),Y47)</f>
        <v>9.2502999999999993</v>
      </c>
      <c r="Z184" s="3083">
        <f ca="1">IF(UPPER('VVP1'!$F$3)="Y",OFFSET('VVP1'!$H70,0,5*(COLUMN()-7)),Z47)</f>
        <v>9.57</v>
      </c>
      <c r="AA184" s="3083">
        <f ca="1">IF(UPPER('VVP1'!$F$3)="Y",OFFSET('VVP1'!$H70,0,5*(COLUMN()-7)),AA47)</f>
        <v>9.4234923678160918</v>
      </c>
      <c r="AB184" s="3083">
        <f ca="1">IF(UPPER('VVP1'!$F$3)="Y",OFFSET('VVP1'!$H70,0,5*(COLUMN()-7)),AB47)</f>
        <v>9.1993135450966541</v>
      </c>
      <c r="AC184" s="3083">
        <f ca="1">IF(UPPER('VVP1'!$F$3)="Y",OFFSET('VVP1'!$H70,0,5*(COLUMN()-7)),AC47)</f>
        <v>9.6074332499999997</v>
      </c>
      <c r="AD184" s="3083">
        <f ca="1">IF(UPPER('VVP1'!$F$3)="Y",OFFSET('VVP1'!$H70,0,5*(COLUMN()-7)),AD47)</f>
        <v>10.700291960000001</v>
      </c>
      <c r="AE184" s="3083">
        <f ca="1">IF(UPPER('VVP1'!$F$3)="Y",OFFSET('VVP1'!$H70,0,5*(COLUMN()-7)),AE47)</f>
        <v>11.4694289460848</v>
      </c>
    </row>
    <row r="185" spans="1:31">
      <c r="A185" s="714"/>
      <c r="B185" s="715">
        <v>31</v>
      </c>
      <c r="C185" s="1391"/>
      <c r="D185" s="1"/>
      <c r="E185" s="1" t="str">
        <f>+Transfer!B131</f>
        <v>VOL. FIXED INVESTMENT HOUSING</v>
      </c>
      <c r="F185" s="1392"/>
      <c r="G185" s="3083"/>
      <c r="H185" s="3083">
        <f ca="1">IF(UPPER('VVP1'!$F$3)="Y",OFFSET('VVP1'!$H58,0,5*(COLUMN()-7)),H22)</f>
        <v>10.760395508690213</v>
      </c>
      <c r="I185" s="3083">
        <f ca="1">IF(UPPER('VVP1'!$F$3)="Y",OFFSET('VVP1'!$H58,0,5*(COLUMN()-7)),I22)</f>
        <v>12.652803936617079</v>
      </c>
      <c r="J185" s="3083">
        <f ca="1">IF(UPPER('VVP1'!$F$3)="Y",OFFSET('VVP1'!$H58,0,5*(COLUMN()-7)),J22)</f>
        <v>12.221694109067879</v>
      </c>
      <c r="K185" s="3083">
        <f ca="1">IF(UPPER('VVP1'!$F$3)="Y",OFFSET('VVP1'!$H58,0,5*(COLUMN()-7)),K22)</f>
        <v>12.682892868231651</v>
      </c>
      <c r="L185" s="3083">
        <f ca="1">IF(UPPER('VVP1'!$F$3)="Y",OFFSET('VVP1'!$H58,0,5*(COLUMN()-7)),L22)</f>
        <v>12.926913154246622</v>
      </c>
      <c r="M185" s="3083">
        <f ca="1">IF(UPPER('VVP1'!$F$3)="Y",OFFSET('VVP1'!$H58,0,5*(COLUMN()-7)),M22)</f>
        <v>13.027045737078055</v>
      </c>
      <c r="N185" s="3083">
        <f ca="1">IF(UPPER('VVP1'!$F$3)="Y",OFFSET('VVP1'!$H58,0,5*(COLUMN()-7)),N22)</f>
        <v>12.729289700623347</v>
      </c>
      <c r="O185" s="3083">
        <f ca="1">IF(UPPER('VVP1'!$F$3)="Y",OFFSET('VVP1'!$H58,0,5*(COLUMN()-7)),O22)</f>
        <v>13.431249534057526</v>
      </c>
      <c r="P185" s="3083">
        <f ca="1">IF(UPPER('VVP1'!$F$3)="Y",OFFSET('VVP1'!$H58,0,5*(COLUMN()-7)),P22)</f>
        <v>14.80540191782373</v>
      </c>
      <c r="Q185" s="3083">
        <f ca="1">IF(UPPER('VVP1'!$F$3)="Y",OFFSET('VVP1'!$H58,0,5*(COLUMN()-7)),Q22)</f>
        <v>17.149358087323929</v>
      </c>
      <c r="R185" s="3083">
        <f ca="1">IF(UPPER('VVP1'!$F$3)="Y",OFFSET('VVP1'!$H58,0,5*(COLUMN()-7)),R22)</f>
        <v>19.195519094549347</v>
      </c>
      <c r="S185" s="3083">
        <f ca="1">IF(UPPER('VVP1'!$F$3)="Y",OFFSET('VVP1'!$H58,0,5*(COLUMN()-7)),S22)</f>
        <v>20.875904014249183</v>
      </c>
      <c r="T185" s="3083">
        <f ca="1">IF(UPPER('VVP1'!$F$3)="Y",OFFSET('VVP1'!$H58,0,5*(COLUMN()-7)),T22)</f>
        <v>21.500936795136912</v>
      </c>
      <c r="U185" s="3083">
        <f ca="1">IF(UPPER('VVP1'!$F$3)="Y",OFFSET('VVP1'!$H58,0,5*(COLUMN()-7)),U22)</f>
        <v>21.167268403498714</v>
      </c>
      <c r="V185" s="3083">
        <f ca="1">IF(UPPER('VVP1'!$F$3)="Y",OFFSET('VVP1'!$H58,0,5*(COLUMN()-7)),V22)</f>
        <v>21.995653623745781</v>
      </c>
      <c r="W185" s="3083">
        <f ca="1">IF(UPPER('VVP1'!$F$3)="Y",OFFSET('VVP1'!$H58,0,5*(COLUMN()-7)),W22)</f>
        <v>21.812339999999999</v>
      </c>
      <c r="X185" s="3083">
        <f ca="1">IF(UPPER('VVP1'!$F$3)="Y",OFFSET('VVP1'!$H58,0,5*(COLUMN()-7)),X22)</f>
        <v>22.186612602224248</v>
      </c>
      <c r="Y185" s="3083">
        <f ca="1">IF(UPPER('VVP1'!$F$3)="Y",OFFSET('VVP1'!$H58,0,5*(COLUMN()-7)),Y22)</f>
        <v>22.090692609894582</v>
      </c>
      <c r="Z185" s="3083">
        <f ca="1">IF(UPPER('VVP1'!$F$3)="Y",OFFSET('VVP1'!$H58,0,5*(COLUMN()-7)),Z22)</f>
        <v>23.69975592632381</v>
      </c>
      <c r="AA185" s="3083">
        <f ca="1">IF(UPPER('VVP1'!$F$3)="Y",OFFSET('VVP1'!$H58,0,5*(COLUMN()-7)),AA22)</f>
        <v>23.91927310440213</v>
      </c>
      <c r="AB185" s="3083">
        <f ca="1">IF(UPPER('VVP1'!$F$3)="Y",OFFSET('VVP1'!$H58,0,5*(COLUMN()-7)),AB22)</f>
        <v>24.719898297884487</v>
      </c>
      <c r="AC185" s="3083">
        <f ca="1">IF(UPPER('VVP1'!$F$3)="Y",OFFSET('VVP1'!$H58,0,5*(COLUMN()-7)),AC22)</f>
        <v>24.89879792551887</v>
      </c>
      <c r="AD185" s="3083">
        <f ca="1">IF(UPPER('VVP1'!$F$3)="Y",OFFSET('VVP1'!$H58,0,5*(COLUMN()-7)),AD22)</f>
        <v>25.413658999999996</v>
      </c>
      <c r="AE185" s="3083">
        <f ca="1">IF(UPPER('VVP1'!$F$3)="Y",OFFSET('VVP1'!$H58,0,5*(COLUMN()-7)),AE22)</f>
        <v>25.847470159129994</v>
      </c>
    </row>
    <row r="186" spans="1:31">
      <c r="A186" s="714"/>
      <c r="B186" s="715">
        <v>58</v>
      </c>
      <c r="C186" s="1395"/>
      <c r="D186" s="113"/>
      <c r="E186" s="113" t="str">
        <f>+Transfer!B158</f>
        <v>VOL GROSS VALUE ADDED</v>
      </c>
      <c r="F186" s="1393"/>
      <c r="G186" s="1420"/>
      <c r="H186" s="1420">
        <f ca="1">IF(UPPER('VVP1'!$F$3)="Y",OFFSET('VVP1'!$H118,0,5*(COLUMN()-7)),H166)</f>
        <v>183.00010683627613</v>
      </c>
      <c r="I186" s="1420">
        <f ca="1">IF(UPPER('VVP1'!$F$3)="Y",OFFSET('VVP1'!$H118,0,5*(COLUMN()-7)),I166)</f>
        <v>200.81723125844201</v>
      </c>
      <c r="J186" s="1420">
        <f ca="1">IF(UPPER('VVP1'!$F$3)="Y",OFFSET('VVP1'!$H118,0,5*(COLUMN()-7)),J166)</f>
        <v>206.45114579885671</v>
      </c>
      <c r="K186" s="1420">
        <f ca="1">IF(UPPER('VVP1'!$F$3)="Y",OFFSET('VVP1'!$H118,0,5*(COLUMN()-7)),K166)</f>
        <v>217.0641220347654</v>
      </c>
      <c r="L186" s="1420">
        <f ca="1">IF(UPPER('VVP1'!$F$3)="Y",OFFSET('VVP1'!$H118,0,5*(COLUMN()-7)),L166)</f>
        <v>225.73440130490732</v>
      </c>
      <c r="M186" s="1420">
        <f ca="1">IF(UPPER('VVP1'!$F$3)="Y",OFFSET('VVP1'!$H118,0,5*(COLUMN()-7)),M166)</f>
        <v>233.55889537612552</v>
      </c>
      <c r="N186" s="1420">
        <f ca="1">IF(UPPER('VVP1'!$F$3)="Y",OFFSET('VVP1'!$H118,0,5*(COLUMN()-7)),N166)</f>
        <v>242.56173930922799</v>
      </c>
      <c r="O186" s="1420">
        <f ca="1">IF(UPPER('VVP1'!$F$3)="Y",OFFSET('VVP1'!$H118,0,5*(COLUMN()-7)),O166)</f>
        <v>248.88976685689457</v>
      </c>
      <c r="P186" s="1420">
        <f ca="1">IF(UPPER('VVP1'!$F$3)="Y",OFFSET('VVP1'!$H118,0,5*(COLUMN()-7)),P166)</f>
        <v>261.82431778793591</v>
      </c>
      <c r="Q186" s="1420">
        <f ca="1">IF(UPPER('VVP1'!$F$3)="Y",OFFSET('VVP1'!$H118,0,5*(COLUMN()-7)),Q166)</f>
        <v>272.7962415673548</v>
      </c>
      <c r="R186" s="1420">
        <f ca="1">IF(UPPER('VVP1'!$F$3)="Y",OFFSET('VVP1'!$H118,0,5*(COLUMN()-7)),R166)</f>
        <v>285.23384635136716</v>
      </c>
      <c r="S186" s="1420">
        <f ca="1">IF(UPPER('VVP1'!$F$3)="Y",OFFSET('VVP1'!$H118,0,5*(COLUMN()-7)),S166)</f>
        <v>301.93187579747638</v>
      </c>
      <c r="T186" s="1420">
        <f ca="1">IF(UPPER('VVP1'!$F$3)="Y",OFFSET('VVP1'!$H118,0,5*(COLUMN()-7)),T166)</f>
        <v>311.92703675462076</v>
      </c>
      <c r="U186" s="1420">
        <f ca="1">IF(UPPER('VVP1'!$F$3)="Y",OFFSET('VVP1'!$H118,0,5*(COLUMN()-7)),U166)</f>
        <v>309.86725695041935</v>
      </c>
      <c r="V186" s="1420">
        <f ca="1">IF(UPPER('VVP1'!$F$3)="Y",OFFSET('VVP1'!$H118,0,5*(COLUMN()-7)),V166)</f>
        <v>320.61583884861665</v>
      </c>
      <c r="W186" s="1420">
        <f ca="1">IF(UPPER('VVP1'!$F$3)="Y",OFFSET('VVP1'!$H118,0,5*(COLUMN()-7)),W166)</f>
        <v>333.53847999999999</v>
      </c>
      <c r="X186" s="1420">
        <f ca="1">IF(UPPER('VVP1'!$F$3)="Y",OFFSET('VVP1'!$H118,0,5*(COLUMN()-7)),X166)</f>
        <v>340.30599536462483</v>
      </c>
      <c r="Y186" s="1420">
        <f ca="1">IF(UPPER('VVP1'!$F$3)="Y",OFFSET('VVP1'!$H118,0,5*(COLUMN()-7)),Y166)</f>
        <v>347.26560685481854</v>
      </c>
      <c r="Z186" s="1420">
        <f ca="1">IF(UPPER('VVP1'!$F$3)="Y",OFFSET('VVP1'!$H118,0,5*(COLUMN()-7)),Z166)</f>
        <v>355.61504545824926</v>
      </c>
      <c r="AA186" s="1420">
        <f ca="1">IF(UPPER('VVP1'!$F$3)="Y",OFFSET('VVP1'!$H118,0,5*(COLUMN()-7)),AA166)</f>
        <v>363.70625691107489</v>
      </c>
      <c r="AB186" s="1420">
        <f ca="1">IF(UPPER('VVP1'!$F$3)="Y",OFFSET('VVP1'!$H118,0,5*(COLUMN()-7)),AB166)</f>
        <v>371.92980227062822</v>
      </c>
      <c r="AC186" s="1420">
        <f ca="1">IF(UPPER('VVP1'!$F$3)="Y",OFFSET('VVP1'!$H118,0,5*(COLUMN()-7)),AC166)</f>
        <v>383.87252751966798</v>
      </c>
      <c r="AD186" s="1420">
        <f ca="1">IF(UPPER('VVP1'!$F$3)="Y",OFFSET('VVP1'!$H118,0,5*(COLUMN()-7)),AD166)</f>
        <v>398.01204817909735</v>
      </c>
      <c r="AE186" s="1420">
        <f ca="1">IF(UPPER('VVP1'!$F$3)="Y",OFFSET('VVP1'!$H118,0,5*(COLUMN()-7)),AE166)</f>
        <v>411.15361162497379</v>
      </c>
    </row>
    <row r="187" spans="1:31">
      <c r="AC187">
        <f ca="1">AC179/AB179*100-100</f>
        <v>4.0274749642099437</v>
      </c>
      <c r="AD187">
        <f ca="1">AD179/AC179*100-100</f>
        <v>6.5892671688140467</v>
      </c>
    </row>
    <row r="189" spans="1:31" s="218" customFormat="1" ht="22.5" customHeight="1">
      <c r="A189" s="715"/>
      <c r="B189" s="715"/>
      <c r="C189" s="4124" t="s">
        <v>1803</v>
      </c>
      <c r="D189" s="4124"/>
      <c r="E189" s="4124"/>
      <c r="F189" s="4124"/>
      <c r="Q189" s="577"/>
      <c r="R189" s="577"/>
      <c r="S189" s="577"/>
      <c r="T189" s="577"/>
      <c r="U189" s="577"/>
    </row>
    <row r="191" spans="1:31" s="749" customFormat="1" ht="12.75" customHeight="1">
      <c r="A191" s="714"/>
      <c r="B191" s="714"/>
      <c r="C191" s="822"/>
      <c r="D191" s="823"/>
      <c r="E191" s="824" t="s">
        <v>1214</v>
      </c>
      <c r="F191" s="825"/>
      <c r="G191" s="826">
        <f>InputY!$G$3</f>
        <v>1995</v>
      </c>
      <c r="H191" s="826">
        <f t="shared" ref="H191:W191" si="179">+G191+1</f>
        <v>1996</v>
      </c>
      <c r="I191" s="826">
        <f t="shared" si="179"/>
        <v>1997</v>
      </c>
      <c r="J191" s="826">
        <f t="shared" si="179"/>
        <v>1998</v>
      </c>
      <c r="K191" s="826">
        <f t="shared" si="179"/>
        <v>1999</v>
      </c>
      <c r="L191" s="826">
        <f t="shared" si="179"/>
        <v>2000</v>
      </c>
      <c r="M191" s="826">
        <f t="shared" si="179"/>
        <v>2001</v>
      </c>
      <c r="N191" s="826">
        <f t="shared" si="179"/>
        <v>2002</v>
      </c>
      <c r="O191" s="826">
        <f t="shared" si="179"/>
        <v>2003</v>
      </c>
      <c r="P191" s="826">
        <f t="shared" si="179"/>
        <v>2004</v>
      </c>
      <c r="Q191" s="826">
        <f t="shared" si="179"/>
        <v>2005</v>
      </c>
      <c r="R191" s="826">
        <f t="shared" si="179"/>
        <v>2006</v>
      </c>
      <c r="S191" s="826">
        <f t="shared" si="179"/>
        <v>2007</v>
      </c>
      <c r="T191" s="826">
        <f t="shared" si="179"/>
        <v>2008</v>
      </c>
      <c r="U191" s="826">
        <f t="shared" si="179"/>
        <v>2009</v>
      </c>
      <c r="V191" s="826">
        <f t="shared" si="179"/>
        <v>2010</v>
      </c>
      <c r="W191" s="826">
        <f t="shared" si="179"/>
        <v>2011</v>
      </c>
      <c r="X191" s="826">
        <f t="shared" ref="X191:AE191" si="180">+W191+1</f>
        <v>2012</v>
      </c>
      <c r="Y191" s="826">
        <f t="shared" si="180"/>
        <v>2013</v>
      </c>
      <c r="Z191" s="826">
        <f t="shared" si="180"/>
        <v>2014</v>
      </c>
      <c r="AA191" s="826">
        <f t="shared" si="180"/>
        <v>2015</v>
      </c>
      <c r="AB191" s="826">
        <f t="shared" si="180"/>
        <v>2016</v>
      </c>
      <c r="AC191" s="826">
        <f t="shared" si="180"/>
        <v>2017</v>
      </c>
      <c r="AD191" s="826">
        <f t="shared" si="180"/>
        <v>2018</v>
      </c>
      <c r="AE191" s="826">
        <f t="shared" si="180"/>
        <v>2019</v>
      </c>
    </row>
    <row r="192" spans="1:31" s="749" customFormat="1" ht="12.75" customHeight="1">
      <c r="A192" s="714">
        <f>+ROW(InputY!A62)</f>
        <v>62</v>
      </c>
      <c r="B192" s="3188" t="s">
        <v>1215</v>
      </c>
      <c r="C192" s="1115" t="s">
        <v>624</v>
      </c>
      <c r="D192" s="1117"/>
      <c r="E192" s="1118" t="s">
        <v>1043</v>
      </c>
      <c r="F192" s="1117" t="s">
        <v>876</v>
      </c>
      <c r="G192" s="3064">
        <f ca="1">InputY!G62/1000</f>
        <v>112.9679</v>
      </c>
      <c r="H192" s="3064">
        <f>InputY!H62/1000</f>
        <v>116.6069</v>
      </c>
      <c r="I192" s="3064">
        <f>InputY!I62/1000</f>
        <v>120.49119999999999</v>
      </c>
      <c r="J192" s="3064">
        <f>InputY!J62/1000</f>
        <v>125.2568</v>
      </c>
      <c r="K192" s="3064">
        <f>InputY!K62/1000</f>
        <v>128.14839999999998</v>
      </c>
      <c r="L192" s="3064">
        <f>InputY!L62/1000</f>
        <v>136.1028</v>
      </c>
      <c r="M192" s="3064">
        <f>InputY!M62/1000</f>
        <v>140.29089999999999</v>
      </c>
      <c r="N192" s="3064">
        <f>InputY!N62/1000</f>
        <v>142.79829999999998</v>
      </c>
      <c r="O192" s="3064">
        <f>InputY!O62/1000</f>
        <v>145.8004</v>
      </c>
      <c r="P192" s="3064">
        <f>InputY!P62/1000</f>
        <v>151.649</v>
      </c>
      <c r="Q192" s="3064">
        <f>InputY!Q62/1000</f>
        <v>157.66120000000001</v>
      </c>
      <c r="R192" s="3064">
        <f>InputY!R62/1000</f>
        <v>164.9487</v>
      </c>
      <c r="S192" s="3064">
        <f>InputY!S62/1000</f>
        <v>172.86610000000002</v>
      </c>
      <c r="T192" s="3189">
        <f>InputY!T62/1000</f>
        <v>181.39229999999998</v>
      </c>
      <c r="U192" s="3189">
        <f>InputY!U62/1000</f>
        <v>181.54570000000001</v>
      </c>
      <c r="V192" s="3189">
        <f>InputY!V62/1000</f>
        <v>189.69289999999998</v>
      </c>
      <c r="W192" s="3189">
        <f>InputY!W62/1000</f>
        <v>196.06920000000002</v>
      </c>
      <c r="X192" s="3189">
        <f>InputY!X62/1000</f>
        <v>201.18220000000002</v>
      </c>
      <c r="Y192" s="3189">
        <f>InputY!Y62/1000</f>
        <v>204.38479999999998</v>
      </c>
      <c r="Z192" s="3189">
        <f>InputY!Z62/1000</f>
        <v>206.88900000000001</v>
      </c>
      <c r="AA192" s="3189">
        <f>InputY!AA62/1000</f>
        <v>209.88810000000001</v>
      </c>
      <c r="AB192" s="3837">
        <f>InputY!AB62/1000</f>
        <v>216.57429999999999</v>
      </c>
      <c r="AC192" s="3189">
        <f>InputY!AC62/1000</f>
        <v>222.72300000000001</v>
      </c>
      <c r="AD192" s="3190">
        <f ca="1">+AC192*(1+AD195/100)</f>
        <v>230.24669430149996</v>
      </c>
      <c r="AE192" s="3190">
        <f ca="1">+AD192*(1+AE195/100)</f>
        <v>237.344923590782</v>
      </c>
    </row>
    <row r="194" spans="1:31" s="749" customFormat="1" ht="12.75" customHeight="1">
      <c r="A194" s="714"/>
      <c r="B194" s="714"/>
      <c r="C194" s="822"/>
      <c r="D194" s="3073"/>
      <c r="E194" s="3074" t="s">
        <v>1214</v>
      </c>
      <c r="F194" s="3075"/>
      <c r="G194" s="939">
        <f>InputY!$G$3</f>
        <v>1995</v>
      </c>
      <c r="H194" s="939">
        <f t="shared" ref="H194:W194" si="181">+G194+1</f>
        <v>1996</v>
      </c>
      <c r="I194" s="939">
        <f t="shared" si="181"/>
        <v>1997</v>
      </c>
      <c r="J194" s="939">
        <f t="shared" si="181"/>
        <v>1998</v>
      </c>
      <c r="K194" s="939">
        <f t="shared" si="181"/>
        <v>1999</v>
      </c>
      <c r="L194" s="939">
        <f t="shared" si="181"/>
        <v>2000</v>
      </c>
      <c r="M194" s="939">
        <f t="shared" si="181"/>
        <v>2001</v>
      </c>
      <c r="N194" s="939">
        <f t="shared" si="181"/>
        <v>2002</v>
      </c>
      <c r="O194" s="939">
        <f t="shared" si="181"/>
        <v>2003</v>
      </c>
      <c r="P194" s="939">
        <f t="shared" si="181"/>
        <v>2004</v>
      </c>
      <c r="Q194" s="939">
        <f t="shared" si="181"/>
        <v>2005</v>
      </c>
      <c r="R194" s="939">
        <f t="shared" si="181"/>
        <v>2006</v>
      </c>
      <c r="S194" s="939">
        <f t="shared" si="181"/>
        <v>2007</v>
      </c>
      <c r="T194" s="939">
        <f t="shared" si="181"/>
        <v>2008</v>
      </c>
      <c r="U194" s="939">
        <f t="shared" si="181"/>
        <v>2009</v>
      </c>
      <c r="V194" s="939">
        <f t="shared" si="181"/>
        <v>2010</v>
      </c>
      <c r="W194" s="939">
        <f t="shared" si="181"/>
        <v>2011</v>
      </c>
      <c r="X194" s="939">
        <f t="shared" ref="X194:AE194" si="182">+W194+1</f>
        <v>2012</v>
      </c>
      <c r="Y194" s="939">
        <f t="shared" si="182"/>
        <v>2013</v>
      </c>
      <c r="Z194" s="939">
        <f t="shared" si="182"/>
        <v>2014</v>
      </c>
      <c r="AA194" s="939">
        <f t="shared" si="182"/>
        <v>2015</v>
      </c>
      <c r="AB194" s="939">
        <f t="shared" si="182"/>
        <v>2016</v>
      </c>
      <c r="AC194" s="939">
        <f t="shared" si="182"/>
        <v>2017</v>
      </c>
      <c r="AD194" s="939">
        <f t="shared" si="182"/>
        <v>2018</v>
      </c>
      <c r="AE194" s="939">
        <f t="shared" si="182"/>
        <v>2019</v>
      </c>
    </row>
    <row r="195" spans="1:31" s="749" customFormat="1" ht="12.75" customHeight="1">
      <c r="A195" s="714"/>
      <c r="B195" s="714"/>
      <c r="C195" s="3067" t="s">
        <v>624</v>
      </c>
      <c r="D195" s="3068" t="s">
        <v>589</v>
      </c>
      <c r="E195" s="3069" t="s">
        <v>1043</v>
      </c>
      <c r="F195" s="3187" t="s">
        <v>876</v>
      </c>
      <c r="G195" s="3071"/>
      <c r="H195" s="3071">
        <f t="shared" ref="H195:AC195" ca="1" si="183">+(H192/G192-1)*100</f>
        <v>3.2212690507657404</v>
      </c>
      <c r="I195" s="3071">
        <f t="shared" si="183"/>
        <v>3.3311064782615807</v>
      </c>
      <c r="J195" s="3071">
        <f t="shared" si="183"/>
        <v>3.9551436121476158</v>
      </c>
      <c r="K195" s="3071">
        <f t="shared" si="183"/>
        <v>2.3085373408868737</v>
      </c>
      <c r="L195" s="3071">
        <f t="shared" si="183"/>
        <v>6.2071785523658773</v>
      </c>
      <c r="M195" s="3071">
        <f t="shared" si="183"/>
        <v>3.0771593236876837</v>
      </c>
      <c r="N195" s="3071">
        <f t="shared" si="183"/>
        <v>1.7872862744483076</v>
      </c>
      <c r="O195" s="3071">
        <f t="shared" si="183"/>
        <v>2.1023359521787022</v>
      </c>
      <c r="P195" s="3071">
        <f t="shared" si="183"/>
        <v>4.0113744543910812</v>
      </c>
      <c r="Q195" s="3071">
        <f t="shared" si="183"/>
        <v>3.9645497167801969</v>
      </c>
      <c r="R195" s="3071">
        <f t="shared" si="183"/>
        <v>4.622253287428979</v>
      </c>
      <c r="S195" s="3071">
        <f t="shared" si="183"/>
        <v>4.7999165801246191</v>
      </c>
      <c r="T195" s="3071">
        <f t="shared" si="183"/>
        <v>4.9322568161137115</v>
      </c>
      <c r="U195" s="3071">
        <f t="shared" si="183"/>
        <v>8.4568088061098834E-2</v>
      </c>
      <c r="V195" s="3071">
        <f t="shared" si="183"/>
        <v>4.4876854698293389</v>
      </c>
      <c r="W195" s="3071">
        <f t="shared" si="183"/>
        <v>3.3613804206694242</v>
      </c>
      <c r="X195" s="3071">
        <f t="shared" si="183"/>
        <v>2.6077527730005601</v>
      </c>
      <c r="Y195" s="3071">
        <f t="shared" si="183"/>
        <v>1.5918903362225789</v>
      </c>
      <c r="Z195" s="3071">
        <f t="shared" si="183"/>
        <v>1.2252378846176581</v>
      </c>
      <c r="AA195" s="3071">
        <f t="shared" si="183"/>
        <v>1.4496179110537577</v>
      </c>
      <c r="AB195" s="3071">
        <f t="shared" si="183"/>
        <v>3.1856022328088152</v>
      </c>
      <c r="AC195" s="3071">
        <f t="shared" si="183"/>
        <v>2.8390718566330353</v>
      </c>
      <c r="AD195" s="3072">
        <f ca="1">OFFSET('VVP1'!$K$34,0,5*(COLUMN()-7))</f>
        <v>3.3780499999999769</v>
      </c>
      <c r="AE195" s="3072">
        <f ca="1">OFFSET('VVP1'!$K$34,0,5*(COLUMN()-7))</f>
        <v>3.0828799999999879</v>
      </c>
    </row>
    <row r="197" spans="1:31" s="749" customFormat="1" ht="12.75" customHeight="1">
      <c r="A197" s="714"/>
      <c r="B197" s="714"/>
      <c r="C197" s="822"/>
      <c r="D197" s="823"/>
      <c r="E197" s="824" t="s">
        <v>1216</v>
      </c>
      <c r="F197" s="825"/>
      <c r="G197" s="826">
        <f>InputY!$G$3</f>
        <v>1995</v>
      </c>
      <c r="H197" s="826">
        <f t="shared" ref="H197:W197" si="184">+G197+1</f>
        <v>1996</v>
      </c>
      <c r="I197" s="826">
        <f t="shared" si="184"/>
        <v>1997</v>
      </c>
      <c r="J197" s="826">
        <f t="shared" si="184"/>
        <v>1998</v>
      </c>
      <c r="K197" s="826">
        <f t="shared" si="184"/>
        <v>1999</v>
      </c>
      <c r="L197" s="826">
        <f t="shared" si="184"/>
        <v>2000</v>
      </c>
      <c r="M197" s="826">
        <f t="shared" si="184"/>
        <v>2001</v>
      </c>
      <c r="N197" s="826">
        <f t="shared" si="184"/>
        <v>2002</v>
      </c>
      <c r="O197" s="826">
        <f t="shared" si="184"/>
        <v>2003</v>
      </c>
      <c r="P197" s="826">
        <f t="shared" si="184"/>
        <v>2004</v>
      </c>
      <c r="Q197" s="826">
        <f t="shared" si="184"/>
        <v>2005</v>
      </c>
      <c r="R197" s="826">
        <f t="shared" si="184"/>
        <v>2006</v>
      </c>
      <c r="S197" s="826">
        <f t="shared" si="184"/>
        <v>2007</v>
      </c>
      <c r="T197" s="826">
        <f t="shared" si="184"/>
        <v>2008</v>
      </c>
      <c r="U197" s="826">
        <f t="shared" si="184"/>
        <v>2009</v>
      </c>
      <c r="V197" s="826">
        <f t="shared" si="184"/>
        <v>2010</v>
      </c>
      <c r="W197" s="826">
        <f t="shared" si="184"/>
        <v>2011</v>
      </c>
      <c r="X197" s="826">
        <f t="shared" ref="X197:AE197" si="185">+W197+1</f>
        <v>2012</v>
      </c>
      <c r="Y197" s="826">
        <f t="shared" si="185"/>
        <v>2013</v>
      </c>
      <c r="Z197" s="826">
        <f t="shared" si="185"/>
        <v>2014</v>
      </c>
      <c r="AA197" s="826">
        <f t="shared" si="185"/>
        <v>2015</v>
      </c>
      <c r="AB197" s="826">
        <f t="shared" si="185"/>
        <v>2016</v>
      </c>
      <c r="AC197" s="826">
        <f t="shared" si="185"/>
        <v>2017</v>
      </c>
      <c r="AD197" s="826">
        <f t="shared" si="185"/>
        <v>2018</v>
      </c>
      <c r="AE197" s="826">
        <f t="shared" si="185"/>
        <v>2019</v>
      </c>
    </row>
    <row r="198" spans="1:31" s="749" customFormat="1" ht="12.75" customHeight="1">
      <c r="A198" s="714">
        <f>+ROW(InputY!A63)</f>
        <v>63</v>
      </c>
      <c r="B198" s="714">
        <v>119</v>
      </c>
      <c r="C198" s="827" t="s">
        <v>622</v>
      </c>
      <c r="D198" s="718"/>
      <c r="E198" s="750" t="s">
        <v>5</v>
      </c>
      <c r="F198" s="751" t="s">
        <v>1461</v>
      </c>
      <c r="G198" s="828">
        <f>InputY!G63/1000</f>
        <v>26.657700000000002</v>
      </c>
      <c r="H198" s="828">
        <f>InputY!H63/1000</f>
        <v>28.097549999999998</v>
      </c>
      <c r="I198" s="828">
        <f>InputY!I63/1000</f>
        <v>28.59742</v>
      </c>
      <c r="J198" s="828">
        <f>InputY!J63/1000</f>
        <v>29.6874</v>
      </c>
      <c r="K198" s="828">
        <f>InputY!K63/1000</f>
        <v>30.96294</v>
      </c>
      <c r="L198" s="828">
        <f>InputY!L63/1000</f>
        <v>32.323070000000001</v>
      </c>
      <c r="M198" s="828">
        <f>InputY!M63/1000</f>
        <v>34.466670000000001</v>
      </c>
      <c r="N198" s="828">
        <f>InputY!N63/1000</f>
        <v>36.268269999999994</v>
      </c>
      <c r="O198" s="828">
        <f>InputY!O63/1000</f>
        <v>38.63326</v>
      </c>
      <c r="P198" s="828">
        <f>InputY!P63/1000</f>
        <v>40.629910000000002</v>
      </c>
      <c r="Q198" s="828">
        <f>InputY!Q63/1000</f>
        <v>42.544309999999996</v>
      </c>
      <c r="R198" s="828">
        <f>InputY!R63/1000</f>
        <v>44.138940000000005</v>
      </c>
      <c r="S198" s="828">
        <f>InputY!S63/1000</f>
        <v>45.990639999999999</v>
      </c>
      <c r="T198" s="828">
        <f>InputY!T63/1000</f>
        <v>49.736429999999999</v>
      </c>
      <c r="U198" s="828">
        <f>InputY!U63/1000</f>
        <v>52.559280000000001</v>
      </c>
      <c r="V198" s="828">
        <f>InputY!V63/1000</f>
        <v>54.753219999999999</v>
      </c>
      <c r="W198" s="828">
        <f>InputY!W63/1000</f>
        <v>57.776780000000002</v>
      </c>
      <c r="X198" s="828">
        <f>InputY!X63/1000</f>
        <v>60.306669999999997</v>
      </c>
      <c r="Y198" s="828">
        <f>InputY!Y63/1000</f>
        <v>61.176910000000007</v>
      </c>
      <c r="Z198" s="828">
        <f>InputY!Z63/1000</f>
        <v>62.885580000000004</v>
      </c>
      <c r="AA198" s="828">
        <f>InputY!AA63/1000</f>
        <v>64.084599999999995</v>
      </c>
      <c r="AB198" s="828">
        <f>InputY!AB63/1000</f>
        <v>65.977190000000007</v>
      </c>
      <c r="AC198" s="828">
        <f>InputY!AC63/1000</f>
        <v>68.266030000000001</v>
      </c>
      <c r="AD198" s="3191">
        <f t="shared" ref="AD198:AE199" ca="1" si="186">+AC198*(1+AD205/100)</f>
        <v>69.792550685790019</v>
      </c>
      <c r="AE198" s="3191">
        <f t="shared" ca="1" si="186"/>
        <v>71.62248062880488</v>
      </c>
    </row>
    <row r="199" spans="1:31" s="749" customFormat="1" ht="12.75" customHeight="1">
      <c r="A199" s="714">
        <f>+ROW(InputY!A64)</f>
        <v>64</v>
      </c>
      <c r="B199" s="714">
        <v>118</v>
      </c>
      <c r="C199" s="829" t="s">
        <v>622</v>
      </c>
      <c r="D199" s="724"/>
      <c r="E199" s="830" t="s">
        <v>6</v>
      </c>
      <c r="F199" s="754" t="s">
        <v>1462</v>
      </c>
      <c r="G199" s="1124">
        <f>InputY!G64/1000</f>
        <v>18.110799999999998</v>
      </c>
      <c r="H199" s="1124">
        <f>InputY!H64/1000</f>
        <v>18.340450000000001</v>
      </c>
      <c r="I199" s="1124">
        <f>InputY!I64/1000</f>
        <v>18.756080000000001</v>
      </c>
      <c r="J199" s="1124">
        <f>InputY!J64/1000</f>
        <v>19.2194</v>
      </c>
      <c r="K199" s="1124">
        <f>InputY!K64/1000</f>
        <v>20.363259999999997</v>
      </c>
      <c r="L199" s="1124">
        <f>InputY!L64/1000</f>
        <v>21.579229999999999</v>
      </c>
      <c r="M199" s="1124">
        <f>InputY!M64/1000</f>
        <v>22.08963</v>
      </c>
      <c r="N199" s="1124">
        <f>InputY!N64/1000</f>
        <v>24.016029999999997</v>
      </c>
      <c r="O199" s="1124">
        <f>InputY!O64/1000</f>
        <v>24.54054</v>
      </c>
      <c r="P199" s="1124">
        <f>InputY!P64/1000</f>
        <v>25.191790000000001</v>
      </c>
      <c r="Q199" s="1124">
        <f>InputY!Q64/1000</f>
        <v>26.31739</v>
      </c>
      <c r="R199" s="1124">
        <f>InputY!R64/1000</f>
        <v>27.374759999999998</v>
      </c>
      <c r="S199" s="1124">
        <f>InputY!S64/1000</f>
        <v>28.421060000000001</v>
      </c>
      <c r="T199" s="1124">
        <f>InputY!T64/1000</f>
        <v>30.12097</v>
      </c>
      <c r="U199" s="1124">
        <f>InputY!U64/1000</f>
        <v>31.222519999999999</v>
      </c>
      <c r="V199" s="1124">
        <f>InputY!V64/1000</f>
        <v>31.24568</v>
      </c>
      <c r="W199" s="1124">
        <f>InputY!W64/1000</f>
        <v>32.350720000000003</v>
      </c>
      <c r="X199" s="1124">
        <f>InputY!X64/1000</f>
        <v>33.70393</v>
      </c>
      <c r="Y199" s="1124">
        <f>InputY!Y64/1000</f>
        <v>34.91019</v>
      </c>
      <c r="Z199" s="1124">
        <f>InputY!Z64/1000</f>
        <v>34.472120000000004</v>
      </c>
      <c r="AA199" s="1124">
        <f>InputY!AA64/1000</f>
        <v>34.003</v>
      </c>
      <c r="AB199" s="1124">
        <f>InputY!AB64/1000</f>
        <v>33.262910000000005</v>
      </c>
      <c r="AC199" s="1124">
        <f>InputY!AC64/1000</f>
        <v>34.146269999999994</v>
      </c>
      <c r="AD199" s="3192">
        <f t="shared" ca="1" si="186"/>
        <v>34.972609733999995</v>
      </c>
      <c r="AE199" s="3192">
        <f t="shared" ca="1" si="186"/>
        <v>36.126705855221992</v>
      </c>
    </row>
    <row r="200" spans="1:31" s="749" customFormat="1" ht="12.75" customHeight="1">
      <c r="A200" s="714">
        <f>+ROW(InputY!A65)</f>
        <v>65</v>
      </c>
      <c r="B200" s="714">
        <v>37</v>
      </c>
      <c r="C200" s="831" t="s">
        <v>622</v>
      </c>
      <c r="D200" s="800"/>
      <c r="E200" s="801" t="s">
        <v>1043</v>
      </c>
      <c r="F200" s="802" t="s">
        <v>1382</v>
      </c>
      <c r="G200" s="832">
        <f ca="1">InputY!G65/1000</f>
        <v>44.768500000000003</v>
      </c>
      <c r="H200" s="832">
        <f>InputY!H65/1000</f>
        <v>46.438000000000002</v>
      </c>
      <c r="I200" s="832">
        <f>InputY!I65/1000</f>
        <v>47.353499999999997</v>
      </c>
      <c r="J200" s="832">
        <f>InputY!J65/1000</f>
        <v>48.906800000000004</v>
      </c>
      <c r="K200" s="832">
        <f>InputY!K65/1000</f>
        <v>51.3262</v>
      </c>
      <c r="L200" s="832">
        <f>InputY!L65/1000</f>
        <v>53.902300000000004</v>
      </c>
      <c r="M200" s="832">
        <f>InputY!M65/1000</f>
        <v>56.5563</v>
      </c>
      <c r="N200" s="832">
        <f>InputY!N65/1000</f>
        <v>60.284300000000002</v>
      </c>
      <c r="O200" s="832">
        <f>InputY!O65/1000</f>
        <v>63.1738</v>
      </c>
      <c r="P200" s="832">
        <f>InputY!P65/1000</f>
        <v>65.821699999999993</v>
      </c>
      <c r="Q200" s="832">
        <f>InputY!Q65/1000</f>
        <v>68.861699999999999</v>
      </c>
      <c r="R200" s="832">
        <f>InputY!R65/1000</f>
        <v>71.5137</v>
      </c>
      <c r="S200" s="832">
        <f>InputY!S65/1000</f>
        <v>74.411699999999996</v>
      </c>
      <c r="T200" s="832">
        <f>InputY!T65/1000</f>
        <v>79.857399999999998</v>
      </c>
      <c r="U200" s="832">
        <f>InputY!U65/1000</f>
        <v>83.781800000000004</v>
      </c>
      <c r="V200" s="832">
        <f>InputY!V65/1000</f>
        <v>85.998899999999992</v>
      </c>
      <c r="W200" s="832">
        <f>InputY!W65/1000</f>
        <v>90.127499999999998</v>
      </c>
      <c r="X200" s="832">
        <f>InputY!X65/1000</f>
        <v>94.010600000000011</v>
      </c>
      <c r="Y200" s="832">
        <f>InputY!Y65/1000</f>
        <v>96.087100000000007</v>
      </c>
      <c r="Z200" s="2849">
        <f>InputY!Z65/1000</f>
        <v>97.404200000000003</v>
      </c>
      <c r="AA200" s="2849">
        <f>InputY!AA65/1000</f>
        <v>98.209500000000006</v>
      </c>
      <c r="AB200" s="2849">
        <f>InputY!AB65/1000</f>
        <v>99.713499999999996</v>
      </c>
      <c r="AC200" s="2849">
        <f>InputY!AC65/1000</f>
        <v>102.5765</v>
      </c>
      <c r="AD200" s="3191">
        <f ca="1">+AD198+AD199</f>
        <v>104.76516041979002</v>
      </c>
      <c r="AE200" s="3191">
        <f ca="1">+AE198+AE199</f>
        <v>107.74918648402686</v>
      </c>
    </row>
    <row r="201" spans="1:31" s="749" customFormat="1" ht="12.75" customHeight="1">
      <c r="A201" s="714"/>
      <c r="B201" s="714"/>
      <c r="C201" s="822"/>
      <c r="D201" s="794"/>
      <c r="E201" s="795" t="s">
        <v>2143</v>
      </c>
      <c r="F201" s="796"/>
      <c r="G201" s="843">
        <f t="shared" ref="G201:O201" si="187">G198+G199</f>
        <v>44.768500000000003</v>
      </c>
      <c r="H201" s="843">
        <f t="shared" si="187"/>
        <v>46.438000000000002</v>
      </c>
      <c r="I201" s="843">
        <f t="shared" si="187"/>
        <v>47.353499999999997</v>
      </c>
      <c r="J201" s="843">
        <f t="shared" si="187"/>
        <v>48.906800000000004</v>
      </c>
      <c r="K201" s="843">
        <f t="shared" si="187"/>
        <v>51.3262</v>
      </c>
      <c r="L201" s="843">
        <f t="shared" si="187"/>
        <v>53.902299999999997</v>
      </c>
      <c r="M201" s="843">
        <f t="shared" si="187"/>
        <v>56.5563</v>
      </c>
      <c r="N201" s="843">
        <f t="shared" si="187"/>
        <v>60.284299999999988</v>
      </c>
      <c r="O201" s="843">
        <f t="shared" si="187"/>
        <v>63.1738</v>
      </c>
      <c r="P201" s="843">
        <f>P198+P199</f>
        <v>65.821700000000007</v>
      </c>
      <c r="Q201" s="843">
        <f t="shared" ref="Q201:Y201" si="188">Q198+Q199</f>
        <v>68.861699999999999</v>
      </c>
      <c r="R201" s="843">
        <f t="shared" si="188"/>
        <v>71.5137</v>
      </c>
      <c r="S201" s="843">
        <f t="shared" si="188"/>
        <v>74.411699999999996</v>
      </c>
      <c r="T201" s="843">
        <f t="shared" si="188"/>
        <v>79.857399999999998</v>
      </c>
      <c r="U201" s="843">
        <f t="shared" si="188"/>
        <v>83.781800000000004</v>
      </c>
      <c r="V201" s="843">
        <f t="shared" si="188"/>
        <v>85.998899999999992</v>
      </c>
      <c r="W201" s="843">
        <f t="shared" si="188"/>
        <v>90.127499999999998</v>
      </c>
      <c r="X201" s="843">
        <f t="shared" si="188"/>
        <v>94.010599999999997</v>
      </c>
      <c r="Y201" s="843">
        <f t="shared" si="188"/>
        <v>96.087100000000007</v>
      </c>
      <c r="Z201" s="2852">
        <f t="shared" ref="Z201:AA201" si="189">Z198+Z199</f>
        <v>97.357700000000008</v>
      </c>
      <c r="AA201" s="2852">
        <f t="shared" si="189"/>
        <v>98.087599999999995</v>
      </c>
      <c r="AB201" s="2852">
        <f t="shared" ref="AB201:AC201" si="190">AB198+AB199</f>
        <v>99.240100000000012</v>
      </c>
      <c r="AC201" s="2852">
        <f t="shared" si="190"/>
        <v>102.41229999999999</v>
      </c>
      <c r="AD201" s="3322">
        <f ca="1">AC201*(1+AD207%)</f>
        <v>104.597456907378</v>
      </c>
      <c r="AE201" s="3322">
        <f ca="1">AD201*(1+AE207%)</f>
        <v>107.57670627247086</v>
      </c>
    </row>
    <row r="202" spans="1:31" s="749" customFormat="1" ht="12.75" customHeight="1">
      <c r="A202" s="714"/>
      <c r="B202" s="714"/>
      <c r="C202" s="822"/>
      <c r="D202" s="1882"/>
      <c r="E202" s="1882" t="s">
        <v>474</v>
      </c>
      <c r="F202" s="1882"/>
      <c r="G202" s="1043">
        <f t="shared" ref="G202:Y202" ca="1" si="191">ABS(G200-G198-G199)</f>
        <v>3.5527136788005009E-15</v>
      </c>
      <c r="H202" s="1043">
        <f t="shared" si="191"/>
        <v>3.5527136788005009E-15</v>
      </c>
      <c r="I202" s="1043">
        <f t="shared" si="191"/>
        <v>3.5527136788005009E-15</v>
      </c>
      <c r="J202" s="1043">
        <f t="shared" si="191"/>
        <v>3.5527136788005009E-15</v>
      </c>
      <c r="K202" s="1043">
        <f t="shared" si="191"/>
        <v>3.5527136788005009E-15</v>
      </c>
      <c r="L202" s="1043">
        <f t="shared" si="191"/>
        <v>3.5527136788005009E-15</v>
      </c>
      <c r="M202" s="1043">
        <f t="shared" si="191"/>
        <v>0</v>
      </c>
      <c r="N202" s="1043">
        <f t="shared" si="191"/>
        <v>1.0658141036401503E-14</v>
      </c>
      <c r="O202" s="1043">
        <f t="shared" si="191"/>
        <v>0</v>
      </c>
      <c r="P202" s="1043">
        <f t="shared" si="191"/>
        <v>1.0658141036401503E-14</v>
      </c>
      <c r="Q202" s="1043">
        <f t="shared" si="191"/>
        <v>3.5527136788005009E-15</v>
      </c>
      <c r="R202" s="1043">
        <f t="shared" si="191"/>
        <v>3.5527136788005009E-15</v>
      </c>
      <c r="S202" s="1043">
        <f t="shared" si="191"/>
        <v>3.5527136788005009E-15</v>
      </c>
      <c r="T202" s="1043">
        <f t="shared" si="191"/>
        <v>0</v>
      </c>
      <c r="U202" s="1043">
        <f t="shared" si="191"/>
        <v>3.5527136788005009E-15</v>
      </c>
      <c r="V202" s="1043">
        <f t="shared" si="191"/>
        <v>7.1054273576010019E-15</v>
      </c>
      <c r="W202" s="1043">
        <f t="shared" si="191"/>
        <v>7.1054273576010019E-15</v>
      </c>
      <c r="X202" s="1043">
        <f t="shared" si="191"/>
        <v>1.4210854715202004E-14</v>
      </c>
      <c r="Y202" s="1043">
        <f t="shared" si="191"/>
        <v>0</v>
      </c>
      <c r="Z202" s="1043">
        <f t="shared" ref="Z202" si="192">ABS(Z200-Z198-Z199)</f>
        <v>4.6499999999994657E-2</v>
      </c>
      <c r="AA202" s="2120">
        <f t="shared" ref="AA202:AB202" si="193">ABS(AA200-AA198-AA199)</f>
        <v>0.12190000000001078</v>
      </c>
      <c r="AB202" s="2120">
        <f t="shared" si="193"/>
        <v>0.47339999999998383</v>
      </c>
      <c r="AC202" s="2120">
        <f t="shared" ref="AC202:AD202" si="194">ABS(AC200-AC198-AC199)</f>
        <v>0.16420000000000101</v>
      </c>
      <c r="AD202" s="1043">
        <f t="shared" ca="1" si="194"/>
        <v>7.1054273576010019E-15</v>
      </c>
      <c r="AE202" s="1043">
        <f t="shared" ref="AE202" ca="1" si="195">ABS(AE200-AE198-AE199)</f>
        <v>7.1054273576010019E-15</v>
      </c>
    </row>
    <row r="204" spans="1:31" s="749" customFormat="1" ht="12.75" customHeight="1">
      <c r="A204" s="714"/>
      <c r="B204" s="714"/>
      <c r="C204" s="822"/>
      <c r="D204" s="3073"/>
      <c r="E204" s="3074" t="s">
        <v>1216</v>
      </c>
      <c r="F204" s="3075"/>
      <c r="G204" s="939">
        <f>InputY!$G$3</f>
        <v>1995</v>
      </c>
      <c r="H204" s="939">
        <f t="shared" ref="H204:W204" si="196">+G204+1</f>
        <v>1996</v>
      </c>
      <c r="I204" s="939">
        <f t="shared" si="196"/>
        <v>1997</v>
      </c>
      <c r="J204" s="939">
        <f t="shared" si="196"/>
        <v>1998</v>
      </c>
      <c r="K204" s="939">
        <f t="shared" si="196"/>
        <v>1999</v>
      </c>
      <c r="L204" s="939">
        <f t="shared" si="196"/>
        <v>2000</v>
      </c>
      <c r="M204" s="939">
        <f t="shared" si="196"/>
        <v>2001</v>
      </c>
      <c r="N204" s="939">
        <f t="shared" si="196"/>
        <v>2002</v>
      </c>
      <c r="O204" s="939">
        <f t="shared" si="196"/>
        <v>2003</v>
      </c>
      <c r="P204" s="939">
        <f t="shared" si="196"/>
        <v>2004</v>
      </c>
      <c r="Q204" s="939">
        <f t="shared" si="196"/>
        <v>2005</v>
      </c>
      <c r="R204" s="939">
        <f t="shared" si="196"/>
        <v>2006</v>
      </c>
      <c r="S204" s="939">
        <f t="shared" si="196"/>
        <v>2007</v>
      </c>
      <c r="T204" s="939">
        <f t="shared" si="196"/>
        <v>2008</v>
      </c>
      <c r="U204" s="939">
        <f t="shared" si="196"/>
        <v>2009</v>
      </c>
      <c r="V204" s="939">
        <f t="shared" si="196"/>
        <v>2010</v>
      </c>
      <c r="W204" s="939">
        <f t="shared" si="196"/>
        <v>2011</v>
      </c>
      <c r="X204" s="939">
        <f t="shared" ref="X204:AE204" si="197">+W204+1</f>
        <v>2012</v>
      </c>
      <c r="Y204" s="939">
        <f t="shared" si="197"/>
        <v>2013</v>
      </c>
      <c r="Z204" s="939">
        <f t="shared" si="197"/>
        <v>2014</v>
      </c>
      <c r="AA204" s="939">
        <f t="shared" si="197"/>
        <v>2015</v>
      </c>
      <c r="AB204" s="939">
        <f t="shared" si="197"/>
        <v>2016</v>
      </c>
      <c r="AC204" s="939">
        <f t="shared" si="197"/>
        <v>2017</v>
      </c>
      <c r="AD204" s="939">
        <f t="shared" si="197"/>
        <v>2018</v>
      </c>
      <c r="AE204" s="939">
        <f t="shared" si="197"/>
        <v>2019</v>
      </c>
    </row>
    <row r="205" spans="1:31" s="749" customFormat="1" ht="12.75" customHeight="1">
      <c r="A205" s="714"/>
      <c r="B205" s="714"/>
      <c r="C205" s="839" t="s">
        <v>622</v>
      </c>
      <c r="D205" s="739"/>
      <c r="E205" s="787" t="s">
        <v>5</v>
      </c>
      <c r="F205" s="782" t="s">
        <v>1461</v>
      </c>
      <c r="G205" s="1122"/>
      <c r="H205" s="1122">
        <f t="shared" ref="H205:AC205" si="198">(H198/G198-1)*100</f>
        <v>5.4012536715470461</v>
      </c>
      <c r="I205" s="1122">
        <f t="shared" si="198"/>
        <v>1.779051910219942</v>
      </c>
      <c r="J205" s="1122">
        <f t="shared" si="198"/>
        <v>3.8114627123705613</v>
      </c>
      <c r="K205" s="1122">
        <f t="shared" si="198"/>
        <v>4.2965702621314161</v>
      </c>
      <c r="L205" s="1122">
        <f t="shared" si="198"/>
        <v>4.3927676118611592</v>
      </c>
      <c r="M205" s="1122">
        <f t="shared" si="198"/>
        <v>6.6317958040495562</v>
      </c>
      <c r="N205" s="1122">
        <f t="shared" si="198"/>
        <v>5.2270787981548272</v>
      </c>
      <c r="O205" s="1122">
        <f t="shared" si="198"/>
        <v>6.5208238496073934</v>
      </c>
      <c r="P205" s="1122">
        <f t="shared" si="198"/>
        <v>5.1682151596836645</v>
      </c>
      <c r="Q205" s="1122">
        <f t="shared" si="198"/>
        <v>4.7117997554018576</v>
      </c>
      <c r="R205" s="1122">
        <f t="shared" si="198"/>
        <v>3.7481627977983711</v>
      </c>
      <c r="S205" s="1122">
        <f t="shared" si="198"/>
        <v>4.1951619137206242</v>
      </c>
      <c r="T205" s="1122">
        <f t="shared" si="198"/>
        <v>8.1446790042495554</v>
      </c>
      <c r="U205" s="1122">
        <f t="shared" si="198"/>
        <v>5.6756184551243427</v>
      </c>
      <c r="V205" s="1122">
        <f t="shared" si="198"/>
        <v>4.1742200425880949</v>
      </c>
      <c r="W205" s="1122">
        <f t="shared" si="198"/>
        <v>5.5221592446982992</v>
      </c>
      <c r="X205" s="1122">
        <f t="shared" si="198"/>
        <v>4.3787313865535582</v>
      </c>
      <c r="Y205" s="1122">
        <f t="shared" si="198"/>
        <v>1.4430244614733523</v>
      </c>
      <c r="Z205" s="1122">
        <f t="shared" si="198"/>
        <v>2.792998207984021</v>
      </c>
      <c r="AA205" s="1122">
        <f t="shared" si="198"/>
        <v>1.9066692236916483</v>
      </c>
      <c r="AB205" s="1122">
        <f t="shared" si="198"/>
        <v>2.9532680238310238</v>
      </c>
      <c r="AC205" s="1122">
        <f t="shared" si="198"/>
        <v>3.4691383491779471</v>
      </c>
      <c r="AD205" s="3148">
        <f ca="1">OFFSET('VVP1'!$K$46,0,5*(COLUMN()-7))</f>
        <v>2.2361351404058816</v>
      </c>
      <c r="AE205" s="3148">
        <f ca="1">OFFSET('VVP1'!$K$46,0,5*(COLUMN()-7))</f>
        <v>2.6219559609639509</v>
      </c>
    </row>
    <row r="206" spans="1:31" s="749" customFormat="1" ht="12.75" customHeight="1">
      <c r="A206" s="714"/>
      <c r="B206" s="714"/>
      <c r="C206" s="841" t="s">
        <v>622</v>
      </c>
      <c r="D206" s="741"/>
      <c r="E206" s="842" t="s">
        <v>6</v>
      </c>
      <c r="F206" s="785" t="s">
        <v>1462</v>
      </c>
      <c r="G206" s="3135"/>
      <c r="H206" s="3135">
        <f t="shared" ref="H206:AC206" si="199">(H199/G199-1)*100</f>
        <v>1.2680279170439901</v>
      </c>
      <c r="I206" s="3135">
        <f t="shared" si="199"/>
        <v>2.2661930323410795</v>
      </c>
      <c r="J206" s="3135">
        <f t="shared" si="199"/>
        <v>2.4702389838388461</v>
      </c>
      <c r="K206" s="3135">
        <f t="shared" si="199"/>
        <v>5.9515905803510849</v>
      </c>
      <c r="L206" s="3135">
        <f t="shared" si="199"/>
        <v>5.9713916141128864</v>
      </c>
      <c r="M206" s="3135">
        <f t="shared" si="199"/>
        <v>2.3652373138429938</v>
      </c>
      <c r="N206" s="3135">
        <f t="shared" si="199"/>
        <v>8.7208341651716204</v>
      </c>
      <c r="O206" s="3135">
        <f t="shared" si="199"/>
        <v>2.1839996035981191</v>
      </c>
      <c r="P206" s="3135">
        <f t="shared" si="199"/>
        <v>2.6537720848848423</v>
      </c>
      <c r="Q206" s="3135">
        <f t="shared" si="199"/>
        <v>4.4681223525600888</v>
      </c>
      <c r="R206" s="3135">
        <f t="shared" si="199"/>
        <v>4.0177616397370608</v>
      </c>
      <c r="S206" s="3135">
        <f t="shared" si="199"/>
        <v>3.822133965740715</v>
      </c>
      <c r="T206" s="3135">
        <f t="shared" si="199"/>
        <v>5.9811632641428636</v>
      </c>
      <c r="U206" s="3135">
        <f t="shared" si="199"/>
        <v>3.657086740566462</v>
      </c>
      <c r="V206" s="3135">
        <f t="shared" si="199"/>
        <v>7.4177228487637414E-2</v>
      </c>
      <c r="W206" s="3135">
        <f t="shared" si="199"/>
        <v>3.5366169019205307</v>
      </c>
      <c r="X206" s="3135">
        <f t="shared" si="199"/>
        <v>4.1829362684972615</v>
      </c>
      <c r="Y206" s="3135">
        <f t="shared" si="199"/>
        <v>3.5789891564574239</v>
      </c>
      <c r="Z206" s="3135">
        <f t="shared" si="199"/>
        <v>-1.2548485127121811</v>
      </c>
      <c r="AA206" s="3135">
        <f t="shared" si="199"/>
        <v>-1.3608678549506203</v>
      </c>
      <c r="AB206" s="3135">
        <f t="shared" si="199"/>
        <v>-2.1765432461841483</v>
      </c>
      <c r="AC206" s="3135">
        <f t="shared" si="199"/>
        <v>2.6556906776947331</v>
      </c>
      <c r="AD206" s="3193">
        <f ca="1">OFFSET('VVP1'!$K$47,0,5*(COLUMN()-7))</f>
        <v>2.42</v>
      </c>
      <c r="AE206" s="3193">
        <f ca="1">OFFSET('VVP1'!$K$47,0,5*(COLUMN()-7))</f>
        <v>3.3</v>
      </c>
    </row>
    <row r="207" spans="1:31" s="749" customFormat="1" ht="12.75" customHeight="1">
      <c r="A207" s="714"/>
      <c r="B207" s="714"/>
      <c r="C207" s="822" t="s">
        <v>622</v>
      </c>
      <c r="D207" s="766" t="s">
        <v>2144</v>
      </c>
      <c r="E207" s="771" t="s">
        <v>1043</v>
      </c>
      <c r="F207" s="772" t="s">
        <v>1382</v>
      </c>
      <c r="G207" s="770"/>
      <c r="H207" s="770">
        <f t="shared" ref="H207:AC207" ca="1" si="200">(H200/G200-1)*100</f>
        <v>3.7291845829098502</v>
      </c>
      <c r="I207" s="770">
        <f t="shared" si="200"/>
        <v>1.9714457986993228</v>
      </c>
      <c r="J207" s="770">
        <f t="shared" si="200"/>
        <v>3.2802221588689395</v>
      </c>
      <c r="K207" s="770">
        <f t="shared" si="200"/>
        <v>4.9469603408932805</v>
      </c>
      <c r="L207" s="770">
        <f t="shared" si="200"/>
        <v>5.0190740791252964</v>
      </c>
      <c r="M207" s="770">
        <f t="shared" si="200"/>
        <v>4.9237231064351628</v>
      </c>
      <c r="N207" s="770">
        <f t="shared" si="200"/>
        <v>6.5916617600514815</v>
      </c>
      <c r="O207" s="770">
        <f t="shared" si="200"/>
        <v>4.7931219239503386</v>
      </c>
      <c r="P207" s="770">
        <f t="shared" si="200"/>
        <v>4.1914527858067707</v>
      </c>
      <c r="Q207" s="770">
        <f t="shared" si="200"/>
        <v>4.6185376555148316</v>
      </c>
      <c r="R207" s="770">
        <f t="shared" si="200"/>
        <v>3.8511974000061011</v>
      </c>
      <c r="S207" s="770">
        <f t="shared" si="200"/>
        <v>4.0523703849751902</v>
      </c>
      <c r="T207" s="770">
        <f t="shared" si="200"/>
        <v>7.3183383795827783</v>
      </c>
      <c r="U207" s="770">
        <f t="shared" si="200"/>
        <v>4.9142596678579675</v>
      </c>
      <c r="V207" s="770">
        <f t="shared" si="200"/>
        <v>2.6462787860847881</v>
      </c>
      <c r="W207" s="770">
        <f t="shared" si="200"/>
        <v>4.8007590794766131</v>
      </c>
      <c r="X207" s="770">
        <f t="shared" si="200"/>
        <v>4.3084519153421708</v>
      </c>
      <c r="Y207" s="770">
        <f t="shared" si="200"/>
        <v>2.2087934764803085</v>
      </c>
      <c r="Z207" s="770">
        <f t="shared" si="200"/>
        <v>1.370735509761456</v>
      </c>
      <c r="AA207" s="770">
        <f t="shared" si="200"/>
        <v>0.82676106369130586</v>
      </c>
      <c r="AB207" s="770">
        <f t="shared" si="200"/>
        <v>1.531420076469181</v>
      </c>
      <c r="AC207" s="770">
        <f t="shared" si="200"/>
        <v>2.8712260626695407</v>
      </c>
      <c r="AD207" s="3194">
        <f ca="1">OFFSET('VVP1'!$K$49,0,5*(COLUMN()-7))</f>
        <v>2.1336860000000124</v>
      </c>
      <c r="AE207" s="3194">
        <f ca="1">OFFSET('VVP1'!$K$49,0,5*(COLUMN()-7))</f>
        <v>2.8483000000000036</v>
      </c>
    </row>
    <row r="209" spans="1:31">
      <c r="A209" s="1123"/>
      <c r="B209" s="1123"/>
      <c r="D209" s="745"/>
      <c r="E209" s="746" t="s">
        <v>56</v>
      </c>
      <c r="F209" s="747"/>
      <c r="G209" s="748">
        <f>InputY!$G$3</f>
        <v>1995</v>
      </c>
      <c r="H209" s="748">
        <f t="shared" ref="H209:W209" si="201">+G209+1</f>
        <v>1996</v>
      </c>
      <c r="I209" s="748">
        <f t="shared" si="201"/>
        <v>1997</v>
      </c>
      <c r="J209" s="748">
        <f t="shared" si="201"/>
        <v>1998</v>
      </c>
      <c r="K209" s="748">
        <f t="shared" si="201"/>
        <v>1999</v>
      </c>
      <c r="L209" s="748">
        <f t="shared" si="201"/>
        <v>2000</v>
      </c>
      <c r="M209" s="748">
        <f t="shared" si="201"/>
        <v>2001</v>
      </c>
      <c r="N209" s="748">
        <f t="shared" si="201"/>
        <v>2002</v>
      </c>
      <c r="O209" s="748">
        <f t="shared" si="201"/>
        <v>2003</v>
      </c>
      <c r="P209" s="748">
        <f t="shared" si="201"/>
        <v>2004</v>
      </c>
      <c r="Q209" s="748">
        <f t="shared" si="201"/>
        <v>2005</v>
      </c>
      <c r="R209" s="748">
        <f t="shared" si="201"/>
        <v>2006</v>
      </c>
      <c r="S209" s="748">
        <f t="shared" si="201"/>
        <v>2007</v>
      </c>
      <c r="T209" s="748">
        <f t="shared" si="201"/>
        <v>2008</v>
      </c>
      <c r="U209" s="748">
        <f t="shared" si="201"/>
        <v>2009</v>
      </c>
      <c r="V209" s="748">
        <f t="shared" si="201"/>
        <v>2010</v>
      </c>
      <c r="W209" s="748">
        <f t="shared" si="201"/>
        <v>2011</v>
      </c>
      <c r="X209" s="748">
        <f t="shared" ref="X209:AE209" si="202">+W209+1</f>
        <v>2012</v>
      </c>
      <c r="Y209" s="748">
        <f t="shared" si="202"/>
        <v>2013</v>
      </c>
      <c r="Z209" s="748">
        <f t="shared" si="202"/>
        <v>2014</v>
      </c>
      <c r="AA209" s="748">
        <f t="shared" si="202"/>
        <v>2015</v>
      </c>
      <c r="AB209" s="748">
        <f t="shared" si="202"/>
        <v>2016</v>
      </c>
      <c r="AC209" s="748">
        <f t="shared" si="202"/>
        <v>2017</v>
      </c>
      <c r="AD209" s="748">
        <f t="shared" si="202"/>
        <v>2018</v>
      </c>
      <c r="AE209" s="748">
        <f t="shared" si="202"/>
        <v>2019</v>
      </c>
    </row>
    <row r="210" spans="1:31">
      <c r="A210" s="714"/>
      <c r="B210" s="714"/>
      <c r="C210" s="1112" t="s">
        <v>622</v>
      </c>
      <c r="D210" s="1099" t="s">
        <v>591</v>
      </c>
      <c r="E210" s="1100" t="s">
        <v>1200</v>
      </c>
      <c r="F210" s="1105" t="s">
        <v>1463</v>
      </c>
      <c r="G210" s="1095"/>
      <c r="H210" s="1095"/>
      <c r="I210" s="1095"/>
      <c r="J210" s="1095"/>
      <c r="K210" s="1095"/>
      <c r="L210" s="1095"/>
      <c r="M210" s="1095"/>
      <c r="N210" s="1095"/>
      <c r="O210" s="1095"/>
      <c r="P210" s="1095"/>
      <c r="Q210" s="1095"/>
      <c r="R210" s="1095"/>
      <c r="S210" s="3080"/>
      <c r="T210" s="3080"/>
      <c r="U210" s="3080"/>
      <c r="V210" s="3080"/>
      <c r="W210" s="3080"/>
      <c r="X210" s="3080"/>
      <c r="Y210" s="3080"/>
      <c r="Z210" s="3080"/>
      <c r="AA210" s="3080"/>
      <c r="AB210" s="3080"/>
      <c r="AC210" s="3080"/>
      <c r="AD210" s="3080"/>
      <c r="AE210" s="3080"/>
    </row>
    <row r="211" spans="1:31">
      <c r="A211" s="714"/>
      <c r="B211" s="714"/>
      <c r="C211" s="1113" t="s">
        <v>622</v>
      </c>
      <c r="D211" s="1106" t="s">
        <v>1743</v>
      </c>
      <c r="E211" s="1" t="s">
        <v>1200</v>
      </c>
      <c r="F211" s="1106" t="s">
        <v>57</v>
      </c>
      <c r="G211" s="924"/>
      <c r="H211" s="924"/>
      <c r="I211" s="924"/>
      <c r="J211" s="924"/>
      <c r="K211" s="924"/>
      <c r="L211" s="924"/>
      <c r="M211" s="924"/>
      <c r="N211" s="924"/>
      <c r="O211" s="924"/>
      <c r="P211" s="924"/>
      <c r="Q211" s="924"/>
      <c r="R211" s="924"/>
      <c r="S211" s="3081"/>
      <c r="T211" s="3081"/>
      <c r="U211" s="3081"/>
      <c r="V211" s="3081"/>
      <c r="W211" s="3081"/>
      <c r="X211" s="3081"/>
      <c r="Y211" s="3081"/>
      <c r="Z211" s="3081"/>
      <c r="AA211" s="3081"/>
      <c r="AB211" s="3081"/>
      <c r="AC211" s="3081"/>
      <c r="AD211" s="3081"/>
      <c r="AE211" s="3081"/>
    </row>
    <row r="212" spans="1:31">
      <c r="A212" s="714">
        <f>+ROW(InputY!A69)</f>
        <v>69</v>
      </c>
      <c r="B212" s="1123"/>
      <c r="C212" s="1113" t="s">
        <v>624</v>
      </c>
      <c r="D212" s="3195"/>
      <c r="E212" s="3196" t="s">
        <v>1200</v>
      </c>
      <c r="F212" s="3195" t="s">
        <v>1465</v>
      </c>
      <c r="G212" s="1104">
        <f ca="1">InputY!G69/1000</f>
        <v>10.1982</v>
      </c>
      <c r="H212" s="1104">
        <f>InputY!H69/1000</f>
        <v>10.9178</v>
      </c>
      <c r="I212" s="1104">
        <f>InputY!I69/1000</f>
        <v>11.037100000000001</v>
      </c>
      <c r="J212" s="1104">
        <f>InputY!J69/1000</f>
        <v>11.754200000000001</v>
      </c>
      <c r="K212" s="1104">
        <f>InputY!K69/1000</f>
        <v>11.6897</v>
      </c>
      <c r="L212" s="1104">
        <f>InputY!L69/1000</f>
        <v>11.6738</v>
      </c>
      <c r="M212" s="1104">
        <f>InputY!M69/1000</f>
        <v>11.6904</v>
      </c>
      <c r="N212" s="1104">
        <f>InputY!N69/1000</f>
        <v>10.984999999999999</v>
      </c>
      <c r="O212" s="1104">
        <f>InputY!O69/1000</f>
        <v>11.3817</v>
      </c>
      <c r="P212" s="1104">
        <f>InputY!P69/1000</f>
        <v>12.7782</v>
      </c>
      <c r="Q212" s="1104">
        <f>InputY!Q69/1000</f>
        <v>12.9636</v>
      </c>
      <c r="R212" s="1104">
        <f>InputY!R69/1000</f>
        <v>13.491100000000001</v>
      </c>
      <c r="S212" s="1104">
        <f>InputY!S69/1000</f>
        <v>15.0052</v>
      </c>
      <c r="T212" s="1104">
        <f>InputY!T69/1000</f>
        <v>16.325399999999998</v>
      </c>
      <c r="U212" s="1104">
        <f>InputY!U69/1000</f>
        <v>17.0916</v>
      </c>
      <c r="V212" s="1104">
        <f>InputY!V69/1000</f>
        <v>16.6769</v>
      </c>
      <c r="W212" s="1104">
        <f>InputY!W69/1000</f>
        <v>19.703499999999998</v>
      </c>
      <c r="X212" s="1104">
        <f>InputY!X69/1000</f>
        <v>21.3172</v>
      </c>
      <c r="Y212" s="1104">
        <f>InputY!Y69/1000</f>
        <v>21.042200000000001</v>
      </c>
      <c r="Z212" s="1104">
        <f>InputY!Z69/1000</f>
        <v>20.8461</v>
      </c>
      <c r="AA212" s="1104">
        <f>InputY!AA69/1000</f>
        <v>20.251099999999997</v>
      </c>
      <c r="AB212" s="1104">
        <f>InputY!AB69/1000</f>
        <v>20.7272</v>
      </c>
      <c r="AC212" s="1104">
        <f>InputY!AC69/1000</f>
        <v>22.1343</v>
      </c>
      <c r="AD212" s="3197">
        <f t="shared" ref="AD212:AE214" ca="1" si="203">+AC212*(1+AD226/100)</f>
        <v>23.305757827499995</v>
      </c>
      <c r="AE212" s="3197">
        <f t="shared" ca="1" si="203"/>
        <v>24.434502290601475</v>
      </c>
    </row>
    <row r="213" spans="1:31">
      <c r="A213" s="714">
        <f>+ROW(InputY!A71)</f>
        <v>71</v>
      </c>
      <c r="B213" s="714">
        <v>33</v>
      </c>
      <c r="C213" s="1113" t="s">
        <v>622</v>
      </c>
      <c r="D213" s="3"/>
      <c r="E213" s="1" t="s">
        <v>351</v>
      </c>
      <c r="F213" s="3" t="s">
        <v>1466</v>
      </c>
      <c r="G213" s="3083">
        <f ca="1">InputY!G71/1000</f>
        <v>12.551299999999999</v>
      </c>
      <c r="H213" s="3083">
        <f>InputY!H71/1000</f>
        <v>11.7471</v>
      </c>
      <c r="I213" s="3083">
        <f>InputY!I71/1000</f>
        <v>12.8086</v>
      </c>
      <c r="J213" s="3083">
        <f>InputY!J71/1000</f>
        <v>12.363200000000001</v>
      </c>
      <c r="K213" s="3083">
        <f>InputY!K71/1000</f>
        <v>12.9214</v>
      </c>
      <c r="L213" s="3083">
        <f>InputY!L71/1000</f>
        <v>13.3124</v>
      </c>
      <c r="M213" s="3083">
        <f>InputY!M71/1000</f>
        <v>13.389200000000001</v>
      </c>
      <c r="N213" s="3083">
        <f>InputY!N71/1000</f>
        <v>13.0046</v>
      </c>
      <c r="O213" s="3083">
        <f>InputY!O71/1000</f>
        <v>13.775499999999999</v>
      </c>
      <c r="P213" s="3083">
        <f>InputY!P71/1000</f>
        <v>15.5686</v>
      </c>
      <c r="Q213" s="3083">
        <f>InputY!Q71/1000</f>
        <v>17.950800000000001</v>
      </c>
      <c r="R213" s="3083">
        <f>InputY!R71/1000</f>
        <v>20.279400000000003</v>
      </c>
      <c r="S213" s="3083">
        <f>InputY!S71/1000</f>
        <v>21.810299999999998</v>
      </c>
      <c r="T213" s="3083">
        <f>InputY!T71/1000</f>
        <v>23.168700000000001</v>
      </c>
      <c r="U213" s="3083">
        <f>InputY!U71/1000</f>
        <v>21.4297</v>
      </c>
      <c r="V213" s="3083">
        <f>InputY!V71/1000</f>
        <v>22.3383</v>
      </c>
      <c r="W213" s="3083">
        <f>InputY!W71/1000</f>
        <v>22.138200000000001</v>
      </c>
      <c r="X213" s="3083">
        <f>InputY!X71/1000</f>
        <v>22.8536</v>
      </c>
      <c r="Y213" s="3083">
        <f>InputY!Y71/1000</f>
        <v>22.451499999999999</v>
      </c>
      <c r="Z213" s="3083">
        <f>InputY!Z71/1000</f>
        <v>23.790099999999999</v>
      </c>
      <c r="AA213" s="3083">
        <f>InputY!AA71/1000</f>
        <v>23.9801</v>
      </c>
      <c r="AB213" s="3083">
        <f>InputY!AB71/1000</f>
        <v>24.786200000000001</v>
      </c>
      <c r="AC213" s="3083">
        <f>InputY!AC71/1000</f>
        <v>25.236999999999998</v>
      </c>
      <c r="AD213" s="3197">
        <f t="shared" ca="1" si="203"/>
        <v>25.667795589999997</v>
      </c>
      <c r="AE213" s="3197">
        <f t="shared" ca="1" si="203"/>
        <v>26.157639801039554</v>
      </c>
    </row>
    <row r="214" spans="1:31">
      <c r="A214" s="1123"/>
      <c r="B214" s="1123">
        <v>39</v>
      </c>
      <c r="C214" s="1114" t="s">
        <v>624</v>
      </c>
      <c r="D214" s="3198"/>
      <c r="E214" s="3199" t="s">
        <v>1740</v>
      </c>
      <c r="F214" s="3198" t="s">
        <v>58</v>
      </c>
      <c r="G214" s="1103">
        <f t="shared" ref="G214:V214" ca="1" si="204">+G212+G213</f>
        <v>22.749499999999998</v>
      </c>
      <c r="H214" s="1103">
        <f t="shared" si="204"/>
        <v>22.664899999999999</v>
      </c>
      <c r="I214" s="1103">
        <f t="shared" si="204"/>
        <v>23.845700000000001</v>
      </c>
      <c r="J214" s="1103">
        <f t="shared" si="204"/>
        <v>24.117400000000004</v>
      </c>
      <c r="K214" s="1103">
        <f t="shared" si="204"/>
        <v>24.6111</v>
      </c>
      <c r="L214" s="1103">
        <f t="shared" si="204"/>
        <v>24.9862</v>
      </c>
      <c r="M214" s="1103">
        <f t="shared" si="204"/>
        <v>25.079599999999999</v>
      </c>
      <c r="N214" s="1103">
        <f t="shared" si="204"/>
        <v>23.989599999999999</v>
      </c>
      <c r="O214" s="1103">
        <f t="shared" si="204"/>
        <v>25.1572</v>
      </c>
      <c r="P214" s="1103">
        <f t="shared" si="204"/>
        <v>28.346800000000002</v>
      </c>
      <c r="Q214" s="1103">
        <f t="shared" si="204"/>
        <v>30.914400000000001</v>
      </c>
      <c r="R214" s="1103">
        <f t="shared" si="204"/>
        <v>33.770500000000006</v>
      </c>
      <c r="S214" s="1103">
        <f t="shared" si="204"/>
        <v>36.8155</v>
      </c>
      <c r="T214" s="1103">
        <f t="shared" si="204"/>
        <v>39.494100000000003</v>
      </c>
      <c r="U214" s="1103">
        <f t="shared" si="204"/>
        <v>38.521299999999997</v>
      </c>
      <c r="V214" s="1103">
        <f t="shared" si="204"/>
        <v>39.0152</v>
      </c>
      <c r="W214" s="1103">
        <f t="shared" ref="W214:AB214" si="205">+W212+W213</f>
        <v>41.841700000000003</v>
      </c>
      <c r="X214" s="1103">
        <f t="shared" si="205"/>
        <v>44.1708</v>
      </c>
      <c r="Y214" s="1103">
        <f t="shared" si="205"/>
        <v>43.493700000000004</v>
      </c>
      <c r="Z214" s="1103">
        <f t="shared" si="205"/>
        <v>44.636200000000002</v>
      </c>
      <c r="AA214" s="1103">
        <f t="shared" si="205"/>
        <v>44.231200000000001</v>
      </c>
      <c r="AB214" s="1103">
        <f t="shared" si="205"/>
        <v>45.513400000000004</v>
      </c>
      <c r="AC214" s="1103">
        <f t="shared" ref="AC214" si="206">+AC212+AC213</f>
        <v>47.371299999999998</v>
      </c>
      <c r="AD214" s="3200">
        <f t="shared" ca="1" si="203"/>
        <v>48.9735534175</v>
      </c>
      <c r="AE214" s="3200">
        <f t="shared" ca="1" si="203"/>
        <v>50.59214209164103</v>
      </c>
    </row>
    <row r="215" spans="1:31">
      <c r="A215" s="1123"/>
      <c r="B215" s="1123"/>
      <c r="C215" s="829"/>
      <c r="D215" s="1882"/>
      <c r="E215" s="1882" t="s">
        <v>474</v>
      </c>
      <c r="F215" s="1882"/>
      <c r="G215" s="1043">
        <f t="shared" ref="G215:X215" ca="1" si="207">ABS(G214-G212-G213)</f>
        <v>1.7763568394002505E-15</v>
      </c>
      <c r="H215" s="1043">
        <f t="shared" si="207"/>
        <v>0</v>
      </c>
      <c r="I215" s="1043">
        <f t="shared" si="207"/>
        <v>0</v>
      </c>
      <c r="J215" s="1043">
        <f t="shared" si="207"/>
        <v>1.7763568394002505E-15</v>
      </c>
      <c r="K215" s="1043">
        <f t="shared" si="207"/>
        <v>0</v>
      </c>
      <c r="L215" s="1043">
        <f t="shared" si="207"/>
        <v>0</v>
      </c>
      <c r="M215" s="1043">
        <f t="shared" si="207"/>
        <v>1.7763568394002505E-15</v>
      </c>
      <c r="N215" s="1043">
        <f t="shared" si="207"/>
        <v>0</v>
      </c>
      <c r="O215" s="1043">
        <f t="shared" si="207"/>
        <v>0</v>
      </c>
      <c r="P215" s="1043">
        <f t="shared" si="207"/>
        <v>1.7763568394002505E-15</v>
      </c>
      <c r="Q215" s="1043">
        <f t="shared" si="207"/>
        <v>0</v>
      </c>
      <c r="R215" s="1043">
        <f t="shared" si="207"/>
        <v>0</v>
      </c>
      <c r="S215" s="1043">
        <f t="shared" si="207"/>
        <v>0</v>
      </c>
      <c r="T215" s="2881">
        <f t="shared" si="207"/>
        <v>3.5527136788005009E-15</v>
      </c>
      <c r="U215" s="2881">
        <f t="shared" si="207"/>
        <v>3.5527136788005009E-15</v>
      </c>
      <c r="V215" s="2881">
        <f t="shared" si="207"/>
        <v>0</v>
      </c>
      <c r="W215" s="2881">
        <f t="shared" si="207"/>
        <v>3.5527136788005009E-15</v>
      </c>
      <c r="X215" s="2881">
        <f t="shared" si="207"/>
        <v>0</v>
      </c>
      <c r="Y215" s="2881">
        <f t="shared" ref="Y215" si="208">ABS(Y214-Y212-Y213)</f>
        <v>3.5527136788005009E-15</v>
      </c>
      <c r="Z215" s="2881">
        <f t="shared" ref="Z215:AA215" si="209">ABS(Z214-Z212-Z213)</f>
        <v>3.5527136788005009E-15</v>
      </c>
      <c r="AA215" s="2881">
        <f t="shared" si="209"/>
        <v>3.5527136788005009E-15</v>
      </c>
      <c r="AB215" s="2881">
        <f t="shared" ref="AB215" si="210">ABS(AB214-AB212-AB213)</f>
        <v>3.5527136788005009E-15</v>
      </c>
      <c r="AC215" s="2881">
        <f>ABS(AC214-AC212-AC213)</f>
        <v>0</v>
      </c>
      <c r="AD215" s="2881">
        <f ca="1">ABS(AD214-AD212-AD213)</f>
        <v>7.1054273576010019E-15</v>
      </c>
      <c r="AE215" s="2881">
        <f ca="1">ABS(AE214-AE212-AE213)</f>
        <v>0</v>
      </c>
    </row>
    <row r="216" spans="1:31">
      <c r="A216" s="1123"/>
      <c r="B216" s="1123"/>
      <c r="C216" s="1112" t="s">
        <v>622</v>
      </c>
      <c r="D216" s="1099" t="s">
        <v>591</v>
      </c>
      <c r="E216" s="1080" t="s">
        <v>1741</v>
      </c>
      <c r="F216" s="1099" t="s">
        <v>1782</v>
      </c>
      <c r="G216" s="1095"/>
      <c r="H216" s="1095"/>
      <c r="I216" s="1095"/>
      <c r="J216" s="1095"/>
      <c r="K216" s="1095"/>
      <c r="L216" s="1095"/>
      <c r="M216" s="1095"/>
      <c r="N216" s="1095"/>
      <c r="O216" s="1095"/>
      <c r="P216" s="1095"/>
      <c r="Q216" s="1095"/>
      <c r="R216" s="1095"/>
      <c r="S216" s="3080"/>
      <c r="T216" s="3080"/>
      <c r="U216" s="3080"/>
      <c r="V216" s="3080"/>
      <c r="W216" s="3080"/>
      <c r="X216" s="3080"/>
      <c r="Y216" s="3080"/>
      <c r="Z216" s="3080"/>
      <c r="AA216" s="3080"/>
      <c r="AB216" s="3080"/>
      <c r="AC216" s="3080"/>
      <c r="AD216" s="3080"/>
      <c r="AE216" s="3080"/>
    </row>
    <row r="217" spans="1:31">
      <c r="A217" s="1123"/>
      <c r="B217" s="1123"/>
      <c r="C217" s="1113" t="s">
        <v>622</v>
      </c>
      <c r="D217" s="1106" t="s">
        <v>1743</v>
      </c>
      <c r="E217" s="1" t="s">
        <v>1741</v>
      </c>
      <c r="F217" s="3" t="s">
        <v>59</v>
      </c>
      <c r="G217" s="924"/>
      <c r="H217" s="924"/>
      <c r="I217" s="924"/>
      <c r="J217" s="924"/>
      <c r="K217" s="924"/>
      <c r="L217" s="924"/>
      <c r="M217" s="924"/>
      <c r="N217" s="924"/>
      <c r="O217" s="924"/>
      <c r="P217" s="924"/>
      <c r="Q217" s="924"/>
      <c r="R217" s="924"/>
      <c r="S217" s="3081"/>
      <c r="T217" s="3081"/>
      <c r="U217" s="3081"/>
      <c r="V217" s="3081"/>
      <c r="W217" s="3081"/>
      <c r="X217" s="3081"/>
      <c r="Y217" s="3081"/>
      <c r="Z217" s="3081"/>
      <c r="AA217" s="3081"/>
      <c r="AB217" s="3081"/>
      <c r="AC217" s="3081"/>
      <c r="AD217" s="3081"/>
      <c r="AE217" s="3081"/>
    </row>
    <row r="218" spans="1:31">
      <c r="A218" s="714">
        <f>+ROW(InputY!A74)</f>
        <v>74</v>
      </c>
      <c r="B218" s="1123">
        <v>40</v>
      </c>
      <c r="C218" s="1114" t="s">
        <v>624</v>
      </c>
      <c r="D218" s="3198"/>
      <c r="E218" s="3199" t="s">
        <v>1741</v>
      </c>
      <c r="F218" s="3198" t="s">
        <v>1784</v>
      </c>
      <c r="G218" s="1103">
        <f ca="1">InputY!G74/1000</f>
        <v>17.113099999999999</v>
      </c>
      <c r="H218" s="1103">
        <f>InputY!H74/1000</f>
        <v>17.6906</v>
      </c>
      <c r="I218" s="1103">
        <f>InputY!I74/1000</f>
        <v>19.615099999999998</v>
      </c>
      <c r="J218" s="1103">
        <f>InputY!J74/1000</f>
        <v>20.436299999999999</v>
      </c>
      <c r="K218" s="1103">
        <f>InputY!K74/1000</f>
        <v>22.426500000000001</v>
      </c>
      <c r="L218" s="1103">
        <f>InputY!L74/1000</f>
        <v>25.736499999999999</v>
      </c>
      <c r="M218" s="1103">
        <f>InputY!M74/1000</f>
        <v>26.244799999999998</v>
      </c>
      <c r="N218" s="1103">
        <f>InputY!N74/1000</f>
        <v>24.270199999999999</v>
      </c>
      <c r="O218" s="1103">
        <f>InputY!O74/1000</f>
        <v>23.807099999999998</v>
      </c>
      <c r="P218" s="1103">
        <f>InputY!P74/1000</f>
        <v>25.936199999999999</v>
      </c>
      <c r="Q218" s="1103">
        <f>InputY!Q74/1000</f>
        <v>28.057200000000002</v>
      </c>
      <c r="R218" s="1103">
        <f>InputY!R74/1000</f>
        <v>28.896799999999999</v>
      </c>
      <c r="S218" s="1103">
        <f>InputY!S74/1000</f>
        <v>32.214400000000005</v>
      </c>
      <c r="T218" s="1103">
        <f>InputY!T74/1000</f>
        <v>33.444300000000005</v>
      </c>
      <c r="U218" s="1103">
        <f>InputY!U74/1000</f>
        <v>27.434799999999999</v>
      </c>
      <c r="V218" s="1103">
        <f>InputY!V74/1000</f>
        <v>27.3093</v>
      </c>
      <c r="W218" s="1103">
        <f>InputY!W74/1000</f>
        <v>29.220299999999998</v>
      </c>
      <c r="X218" s="1103">
        <f>InputY!X74/1000</f>
        <v>28.369799999999998</v>
      </c>
      <c r="Y218" s="3901">
        <f>InputY!Y74/1000</f>
        <v>27.9376</v>
      </c>
      <c r="Z218" s="3901">
        <f>InputY!Z74/1000</f>
        <v>30.180299999999999</v>
      </c>
      <c r="AA218" s="3901">
        <f>InputY!AA74/1000</f>
        <v>31.1813</v>
      </c>
      <c r="AB218" s="3901">
        <f>InputY!AB74/1000</f>
        <v>35.422499999999999</v>
      </c>
      <c r="AC218" s="3901">
        <f>InputY!AC74/1000</f>
        <v>35.593400000000003</v>
      </c>
      <c r="AD218" s="3200">
        <f t="shared" ref="AD218:AE220" ca="1" si="211">+AC218*(1+AD231/100)</f>
        <v>37.962496704000003</v>
      </c>
      <c r="AE218" s="3200">
        <f t="shared" ca="1" si="211"/>
        <v>39.801096344368133</v>
      </c>
    </row>
    <row r="219" spans="1:31">
      <c r="A219" s="714">
        <f>+ROW(InputY!A79)</f>
        <v>79</v>
      </c>
      <c r="B219" s="714">
        <v>41</v>
      </c>
      <c r="C219" s="1115" t="s">
        <v>624</v>
      </c>
      <c r="D219" s="3201"/>
      <c r="E219" s="3202" t="s">
        <v>1742</v>
      </c>
      <c r="F219" s="3201" t="s">
        <v>1098</v>
      </c>
      <c r="G219" s="3203">
        <f ca="1">InputY!G78/1000</f>
        <v>5.2808000000000002</v>
      </c>
      <c r="H219" s="3203">
        <f>InputY!H78/1000</f>
        <v>5.6375000000000002</v>
      </c>
      <c r="I219" s="3203">
        <f>InputY!I78/1000</f>
        <v>6.1411000000000007</v>
      </c>
      <c r="J219" s="3203">
        <f>InputY!J78/1000</f>
        <v>6.8843999999999994</v>
      </c>
      <c r="K219" s="3203">
        <f>InputY!K78/1000</f>
        <v>7.3304999999999998</v>
      </c>
      <c r="L219" s="3203">
        <f>InputY!L78/1000</f>
        <v>7.3514999999999997</v>
      </c>
      <c r="M219" s="3203">
        <f>InputY!M78/1000</f>
        <v>8.2527999999999988</v>
      </c>
      <c r="N219" s="3203">
        <f>InputY!N78/1000</f>
        <v>8.5730000000000004</v>
      </c>
      <c r="O219" s="3203">
        <f>InputY!O78/1000</f>
        <v>8.8050999999999995</v>
      </c>
      <c r="P219" s="3203">
        <f>InputY!P78/1000</f>
        <v>9.4976000000000003</v>
      </c>
      <c r="Q219" s="3203">
        <f>InputY!Q78/1000</f>
        <v>10.044600000000001</v>
      </c>
      <c r="R219" s="3203">
        <f>InputY!R78/1000</f>
        <v>10.3256</v>
      </c>
      <c r="S219" s="3203">
        <f>InputY!S78/1000</f>
        <v>11.064200000000001</v>
      </c>
      <c r="T219" s="3203">
        <f>InputY!T78/1000</f>
        <v>11.9476</v>
      </c>
      <c r="U219" s="3203">
        <f>InputY!U78/1000</f>
        <v>12.8241</v>
      </c>
      <c r="V219" s="3203">
        <f>InputY!V78/1000</f>
        <v>13.336499999999999</v>
      </c>
      <c r="W219" s="3203">
        <f>InputY!W78/1000</f>
        <v>14.5473</v>
      </c>
      <c r="X219" s="3203">
        <f>InputY!X78/1000</f>
        <v>15.131500000000001</v>
      </c>
      <c r="Y219" s="3902">
        <f>InputY!Y78/1000</f>
        <v>15.5124</v>
      </c>
      <c r="Z219" s="3902">
        <f>InputY!Z78/1000</f>
        <v>17.497900000000001</v>
      </c>
      <c r="AA219" s="3902">
        <f>InputY!AA78/1000</f>
        <v>19.773599999999998</v>
      </c>
      <c r="AB219" s="3902">
        <f>InputY!AB78/1000</f>
        <v>18.217599999999997</v>
      </c>
      <c r="AC219" s="3902">
        <f>InputY!AC78/1000</f>
        <v>18.947400000000002</v>
      </c>
      <c r="AD219" s="3190">
        <f t="shared" ca="1" si="211"/>
        <v>20.093717700000003</v>
      </c>
      <c r="AE219" s="3190">
        <f t="shared" ca="1" si="211"/>
        <v>20.883883054834801</v>
      </c>
    </row>
    <row r="220" spans="1:31">
      <c r="A220" s="1123"/>
      <c r="B220" s="1123">
        <v>38</v>
      </c>
      <c r="C220" s="3095" t="s">
        <v>1744</v>
      </c>
      <c r="D220" s="1096"/>
      <c r="E220" s="1097" t="s">
        <v>1248</v>
      </c>
      <c r="F220" s="1096" t="s">
        <v>60</v>
      </c>
      <c r="G220" s="1098">
        <f ca="1">InputY!G79/1000</f>
        <v>44.869</v>
      </c>
      <c r="H220" s="1098">
        <f>InputY!H79/1000</f>
        <v>45.993000000000002</v>
      </c>
      <c r="I220" s="1098">
        <f>InputY!I79/1000</f>
        <v>49.601900000000001</v>
      </c>
      <c r="J220" s="1098">
        <f>InputY!J79/1000</f>
        <v>51.438199999999995</v>
      </c>
      <c r="K220" s="1098">
        <f>InputY!K79/1000</f>
        <v>54.368199999999995</v>
      </c>
      <c r="L220" s="1098">
        <f>InputY!L79/1000</f>
        <v>58.074199999999998</v>
      </c>
      <c r="M220" s="1098">
        <f>InputY!M79/1000</f>
        <v>59.577199999999998</v>
      </c>
      <c r="N220" s="1098">
        <f>InputY!N79/1000</f>
        <v>56.832900000000002</v>
      </c>
      <c r="O220" s="1098">
        <f>InputY!O79/1000</f>
        <v>57.769500000000001</v>
      </c>
      <c r="P220" s="1098">
        <f>InputY!P79/1000</f>
        <v>63.780500000000004</v>
      </c>
      <c r="Q220" s="1098">
        <f>InputY!Q79/1000</f>
        <v>69.016300000000001</v>
      </c>
      <c r="R220" s="1098">
        <f>InputY!R79/1000</f>
        <v>72.992899999999992</v>
      </c>
      <c r="S220" s="1098">
        <f>InputY!S79/1000</f>
        <v>80.094200000000001</v>
      </c>
      <c r="T220" s="1098">
        <f>InputY!T79/1000</f>
        <v>84.885800000000003</v>
      </c>
      <c r="U220" s="1098">
        <f>InputY!U79/1000</f>
        <v>78.780299999999997</v>
      </c>
      <c r="V220" s="1098">
        <f>InputY!V79/1000</f>
        <v>79.660899999999998</v>
      </c>
      <c r="W220" s="1098">
        <f>InputY!W79/1000</f>
        <v>85.609399999999994</v>
      </c>
      <c r="X220" s="1098">
        <f>InputY!X79/1000</f>
        <v>87.671800000000005</v>
      </c>
      <c r="Y220" s="3733">
        <f>InputY!Y79/1000</f>
        <v>86.943699999999993</v>
      </c>
      <c r="Z220" s="3733">
        <f>InputY!Z79/1000</f>
        <v>92.314399999999992</v>
      </c>
      <c r="AA220" s="3733">
        <f>InputY!AA79/1000</f>
        <v>95.18610000000001</v>
      </c>
      <c r="AB220" s="3733">
        <f>InputY!AB79/1000</f>
        <v>99.153600000000012</v>
      </c>
      <c r="AC220" s="3733">
        <f>InputY!AC79/1000</f>
        <v>101.91210000000001</v>
      </c>
      <c r="AD220" s="3204">
        <f t="shared" ca="1" si="211"/>
        <v>107.0297678215</v>
      </c>
      <c r="AE220" s="3204">
        <f t="shared" ca="1" si="211"/>
        <v>111.27712149084397</v>
      </c>
    </row>
    <row r="221" spans="1:31">
      <c r="A221" s="1123"/>
      <c r="B221" s="1123"/>
      <c r="C221" s="3095"/>
      <c r="D221" s="1882"/>
      <c r="E221" s="1882" t="s">
        <v>474</v>
      </c>
      <c r="F221" s="1882"/>
      <c r="G221" s="1043">
        <f t="shared" ref="G221:X221" ca="1" si="212">ABS(G220-G219-G218-G214)</f>
        <v>0.27439999999999642</v>
      </c>
      <c r="H221" s="1043">
        <f t="shared" si="212"/>
        <v>0</v>
      </c>
      <c r="I221" s="1043">
        <f t="shared" si="212"/>
        <v>0</v>
      </c>
      <c r="J221" s="1043">
        <f t="shared" si="212"/>
        <v>9.9999999992661515E-5</v>
      </c>
      <c r="K221" s="1043">
        <f t="shared" si="212"/>
        <v>9.9999999992661515E-5</v>
      </c>
      <c r="L221" s="1043">
        <f t="shared" si="212"/>
        <v>3.5527136788005009E-15</v>
      </c>
      <c r="M221" s="1043">
        <f t="shared" si="212"/>
        <v>0</v>
      </c>
      <c r="N221" s="1043">
        <f t="shared" si="212"/>
        <v>1.0000000000331966E-4</v>
      </c>
      <c r="O221" s="1043">
        <f t="shared" si="212"/>
        <v>9.9999999999766942E-5</v>
      </c>
      <c r="P221" s="1043">
        <f t="shared" si="212"/>
        <v>9.9999999996214228E-5</v>
      </c>
      <c r="Q221" s="1043">
        <f t="shared" si="212"/>
        <v>9.9999999996214228E-5</v>
      </c>
      <c r="R221" s="1043">
        <f t="shared" si="212"/>
        <v>1.4210854715202004E-14</v>
      </c>
      <c r="S221" s="1043">
        <f t="shared" si="212"/>
        <v>9.9999999996214228E-5</v>
      </c>
      <c r="T221" s="2881">
        <f t="shared" si="212"/>
        <v>1.9999999999953388E-4</v>
      </c>
      <c r="U221" s="2881">
        <f t="shared" si="212"/>
        <v>1.0000000000331966E-4</v>
      </c>
      <c r="V221" s="2881">
        <f t="shared" si="212"/>
        <v>1.0000000000331966E-4</v>
      </c>
      <c r="W221" s="2881">
        <f t="shared" si="212"/>
        <v>9.9999999989108801E-5</v>
      </c>
      <c r="X221" s="2881">
        <f t="shared" si="212"/>
        <v>2.9999999999574811E-4</v>
      </c>
      <c r="Y221" s="2881">
        <f t="shared" ref="Y221" si="213">ABS(Y220-Y219-Y218-Y214)</f>
        <v>1.4210854715202004E-14</v>
      </c>
      <c r="Z221" s="2881">
        <f t="shared" ref="Z221" si="214">ABS(Z220-Z219-Z218-Z214)</f>
        <v>1.4210854715202004E-14</v>
      </c>
      <c r="AA221" s="2881">
        <f>ABS(AA220-AA219-AA218-AA214)</f>
        <v>7.1054273576010019E-15</v>
      </c>
      <c r="AB221" s="2881">
        <f>ABS(AB220-AB219-AB218-AB214)</f>
        <v>1.0000000000331966E-4</v>
      </c>
      <c r="AC221" s="2881">
        <f>ABS(AC220-AC219-AC218-AC214)</f>
        <v>7.1054273576010019E-15</v>
      </c>
      <c r="AD221" s="2881">
        <f ca="1">ABS(AD220-AD219-AD218-AD214)</f>
        <v>0</v>
      </c>
      <c r="AE221" s="2881">
        <f ca="1">ABS(AE220-AE219-AE218-AE214)</f>
        <v>7.1054273576010019E-15</v>
      </c>
    </row>
    <row r="222" spans="1:31">
      <c r="T222" s="1380"/>
      <c r="U222" s="2940"/>
      <c r="V222" s="3734"/>
      <c r="W222" s="3734"/>
      <c r="X222" s="3734"/>
      <c r="Y222" s="3734"/>
      <c r="Z222" s="3734"/>
    </row>
    <row r="223" spans="1:31" s="749" customFormat="1" ht="12.75" customHeight="1">
      <c r="A223" s="714"/>
      <c r="B223" s="714"/>
      <c r="C223" s="822"/>
      <c r="D223" s="3073"/>
      <c r="E223" s="3074" t="s">
        <v>56</v>
      </c>
      <c r="F223" s="792"/>
      <c r="G223" s="793">
        <f>InputY!$G$3</f>
        <v>1995</v>
      </c>
      <c r="H223" s="793">
        <f t="shared" ref="H223:W223" si="215">+G223+1</f>
        <v>1996</v>
      </c>
      <c r="I223" s="793">
        <f t="shared" si="215"/>
        <v>1997</v>
      </c>
      <c r="J223" s="793">
        <f t="shared" si="215"/>
        <v>1998</v>
      </c>
      <c r="K223" s="793">
        <f t="shared" si="215"/>
        <v>1999</v>
      </c>
      <c r="L223" s="793">
        <f t="shared" si="215"/>
        <v>2000</v>
      </c>
      <c r="M223" s="793">
        <f t="shared" si="215"/>
        <v>2001</v>
      </c>
      <c r="N223" s="793">
        <f t="shared" si="215"/>
        <v>2002</v>
      </c>
      <c r="O223" s="793">
        <f t="shared" si="215"/>
        <v>2003</v>
      </c>
      <c r="P223" s="793">
        <f t="shared" si="215"/>
        <v>2004</v>
      </c>
      <c r="Q223" s="793">
        <f t="shared" si="215"/>
        <v>2005</v>
      </c>
      <c r="R223" s="793">
        <f t="shared" si="215"/>
        <v>2006</v>
      </c>
      <c r="S223" s="793">
        <f t="shared" si="215"/>
        <v>2007</v>
      </c>
      <c r="T223" s="793">
        <f t="shared" si="215"/>
        <v>2008</v>
      </c>
      <c r="U223" s="793">
        <f t="shared" si="215"/>
        <v>2009</v>
      </c>
      <c r="V223" s="793">
        <f t="shared" si="215"/>
        <v>2010</v>
      </c>
      <c r="W223" s="793">
        <f t="shared" si="215"/>
        <v>2011</v>
      </c>
      <c r="X223" s="793">
        <f t="shared" ref="X223:AE223" si="216">+W223+1</f>
        <v>2012</v>
      </c>
      <c r="Y223" s="793">
        <f t="shared" si="216"/>
        <v>2013</v>
      </c>
      <c r="Z223" s="793">
        <f t="shared" si="216"/>
        <v>2014</v>
      </c>
      <c r="AA223" s="793">
        <f t="shared" si="216"/>
        <v>2015</v>
      </c>
      <c r="AB223" s="793">
        <f t="shared" si="216"/>
        <v>2016</v>
      </c>
      <c r="AC223" s="793">
        <f t="shared" si="216"/>
        <v>2017</v>
      </c>
      <c r="AD223" s="793">
        <f t="shared" si="216"/>
        <v>2018</v>
      </c>
      <c r="AE223" s="793">
        <f t="shared" si="216"/>
        <v>2019</v>
      </c>
    </row>
    <row r="224" spans="1:31" s="749" customFormat="1" ht="12.75" customHeight="1">
      <c r="A224" s="714"/>
      <c r="B224" s="714"/>
      <c r="C224" s="839" t="s">
        <v>622</v>
      </c>
      <c r="D224" s="739" t="s">
        <v>591</v>
      </c>
      <c r="E224" s="787" t="s">
        <v>1200</v>
      </c>
      <c r="F224" s="1024" t="s">
        <v>1463</v>
      </c>
      <c r="G224" s="924"/>
      <c r="H224" s="924"/>
      <c r="I224" s="924"/>
      <c r="J224" s="924"/>
      <c r="K224" s="924"/>
      <c r="L224" s="924"/>
      <c r="M224" s="924"/>
      <c r="N224" s="924"/>
      <c r="O224" s="924"/>
      <c r="P224" s="924"/>
      <c r="Q224" s="924"/>
      <c r="R224" s="924"/>
      <c r="S224" s="3081"/>
      <c r="T224" s="3081"/>
      <c r="U224" s="3081"/>
      <c r="V224" s="3081"/>
      <c r="W224" s="3081"/>
      <c r="X224" s="3081"/>
      <c r="Y224" s="3081"/>
      <c r="Z224" s="3081"/>
      <c r="AA224" s="3081"/>
      <c r="AB224" s="3081"/>
      <c r="AC224" s="3081"/>
      <c r="AD224" s="3081"/>
      <c r="AE224" s="3081"/>
    </row>
    <row r="225" spans="1:31">
      <c r="A225" s="714"/>
      <c r="B225" s="714"/>
      <c r="C225" s="3101" t="s">
        <v>622</v>
      </c>
      <c r="D225" s="1106" t="s">
        <v>1743</v>
      </c>
      <c r="E225" s="1" t="s">
        <v>1200</v>
      </c>
      <c r="F225" s="724" t="s">
        <v>57</v>
      </c>
      <c r="G225" s="924"/>
      <c r="H225" s="924"/>
      <c r="I225" s="924"/>
      <c r="J225" s="924"/>
      <c r="K225" s="924"/>
      <c r="L225" s="924"/>
      <c r="M225" s="924"/>
      <c r="N225" s="924"/>
      <c r="O225" s="924"/>
      <c r="P225" s="924"/>
      <c r="Q225" s="924"/>
      <c r="R225" s="924"/>
      <c r="S225" s="3081"/>
      <c r="T225" s="3081"/>
      <c r="U225" s="3081"/>
      <c r="V225" s="3081"/>
      <c r="W225" s="3081"/>
      <c r="X225" s="3081"/>
      <c r="Y225" s="3081"/>
      <c r="Z225" s="3081"/>
      <c r="AA225" s="3081"/>
      <c r="AB225" s="3081"/>
      <c r="AC225" s="3081"/>
      <c r="AD225" s="3081"/>
      <c r="AE225" s="3081"/>
    </row>
    <row r="226" spans="1:31">
      <c r="A226" s="1123"/>
      <c r="B226" s="1123"/>
      <c r="C226" s="3101" t="s">
        <v>624</v>
      </c>
      <c r="D226" s="3102"/>
      <c r="E226" s="3103" t="s">
        <v>1200</v>
      </c>
      <c r="F226" s="3102" t="s">
        <v>1465</v>
      </c>
      <c r="G226" s="3104"/>
      <c r="H226" s="3104">
        <f t="shared" ref="H226:AC226" ca="1" si="217">(H212/G212-1)*100</f>
        <v>7.0561471632248907</v>
      </c>
      <c r="I226" s="3104">
        <f t="shared" si="217"/>
        <v>1.092710985729739</v>
      </c>
      <c r="J226" s="3104">
        <f t="shared" si="217"/>
        <v>6.4971777006641362</v>
      </c>
      <c r="K226" s="3104">
        <f t="shared" si="217"/>
        <v>-0.54874002484218698</v>
      </c>
      <c r="L226" s="3104">
        <f t="shared" si="217"/>
        <v>-0.13601717751524633</v>
      </c>
      <c r="M226" s="3104">
        <f t="shared" si="217"/>
        <v>0.14219876989498559</v>
      </c>
      <c r="N226" s="3104">
        <f t="shared" si="217"/>
        <v>-6.0340108122904361</v>
      </c>
      <c r="O226" s="3104">
        <f t="shared" si="217"/>
        <v>3.6112881201638691</v>
      </c>
      <c r="P226" s="3104">
        <f t="shared" si="217"/>
        <v>12.269696091093586</v>
      </c>
      <c r="Q226" s="3104">
        <f t="shared" si="217"/>
        <v>1.4509085786730491</v>
      </c>
      <c r="R226" s="3104">
        <f t="shared" si="217"/>
        <v>4.0690857477861275</v>
      </c>
      <c r="S226" s="3104">
        <f t="shared" si="217"/>
        <v>11.222954392154815</v>
      </c>
      <c r="T226" s="3104">
        <f t="shared" si="217"/>
        <v>8.7982832618025633</v>
      </c>
      <c r="U226" s="3104">
        <f t="shared" si="217"/>
        <v>4.6933000110257694</v>
      </c>
      <c r="V226" s="3104">
        <f t="shared" si="217"/>
        <v>-2.4263380842051041</v>
      </c>
      <c r="W226" s="3104">
        <f t="shared" si="217"/>
        <v>18.14845684749562</v>
      </c>
      <c r="X226" s="3104">
        <f t="shared" si="217"/>
        <v>8.1899154972466803</v>
      </c>
      <c r="Y226" s="3104">
        <f t="shared" si="217"/>
        <v>-1.2900380913065446</v>
      </c>
      <c r="Z226" s="3104">
        <f t="shared" si="217"/>
        <v>-0.93193677467185987</v>
      </c>
      <c r="AA226" s="3104">
        <f t="shared" si="217"/>
        <v>-2.8542509150392803</v>
      </c>
      <c r="AB226" s="3104">
        <f t="shared" si="217"/>
        <v>2.3509834033706989</v>
      </c>
      <c r="AC226" s="3104">
        <f t="shared" si="217"/>
        <v>6.7886641707514794</v>
      </c>
      <c r="AD226" s="1357">
        <f ca="1">OFFSET('VVP1'!$K$57,0,5*(COLUMN()-7))</f>
        <v>5.2924999999999889</v>
      </c>
      <c r="AE226" s="1357">
        <f ca="1">OFFSET('VVP1'!$K$57,0,5*(COLUMN()-7))</f>
        <v>4.8432000000000031</v>
      </c>
    </row>
    <row r="227" spans="1:31">
      <c r="A227" s="714"/>
      <c r="B227" s="714"/>
      <c r="C227" s="3101" t="s">
        <v>622</v>
      </c>
      <c r="D227" s="3"/>
      <c r="E227" s="1" t="s">
        <v>351</v>
      </c>
      <c r="F227" s="3" t="s">
        <v>1466</v>
      </c>
      <c r="G227" s="3083"/>
      <c r="H227" s="3083">
        <f t="shared" ref="H227:AC227" ca="1" si="218">(H213/G213-1)*100</f>
        <v>-6.4073044226494407</v>
      </c>
      <c r="I227" s="3083">
        <f t="shared" si="218"/>
        <v>9.0362727822185906</v>
      </c>
      <c r="J227" s="3083">
        <f t="shared" si="218"/>
        <v>-3.4773511546929314</v>
      </c>
      <c r="K227" s="3083">
        <f t="shared" si="218"/>
        <v>4.5150122945515569</v>
      </c>
      <c r="L227" s="3083">
        <f t="shared" si="218"/>
        <v>3.025987896048421</v>
      </c>
      <c r="M227" s="3083">
        <f t="shared" si="218"/>
        <v>0.57690574201496592</v>
      </c>
      <c r="N227" s="3083">
        <f t="shared" si="218"/>
        <v>-2.8724643742718103</v>
      </c>
      <c r="O227" s="3083">
        <f t="shared" si="218"/>
        <v>5.927902434523169</v>
      </c>
      <c r="P227" s="3083">
        <f t="shared" si="218"/>
        <v>13.016587419694382</v>
      </c>
      <c r="Q227" s="3083">
        <f t="shared" si="218"/>
        <v>15.301311614403357</v>
      </c>
      <c r="R227" s="3083">
        <f t="shared" si="218"/>
        <v>12.972123805067181</v>
      </c>
      <c r="S227" s="3083">
        <f t="shared" si="218"/>
        <v>7.5490399124234164</v>
      </c>
      <c r="T227" s="3083">
        <f t="shared" si="218"/>
        <v>6.2282499552963611</v>
      </c>
      <c r="U227" s="3083">
        <f t="shared" si="218"/>
        <v>-7.505816036290347</v>
      </c>
      <c r="V227" s="3083">
        <f t="shared" si="218"/>
        <v>4.2399100314050031</v>
      </c>
      <c r="W227" s="3083">
        <f t="shared" si="218"/>
        <v>-0.8957709404923353</v>
      </c>
      <c r="X227" s="3083">
        <f t="shared" si="218"/>
        <v>3.2315183709606066</v>
      </c>
      <c r="Y227" s="3083">
        <f t="shared" si="218"/>
        <v>-1.7594602163335304</v>
      </c>
      <c r="Z227" s="3083">
        <f t="shared" si="218"/>
        <v>5.9621851546667326</v>
      </c>
      <c r="AA227" s="3083">
        <f t="shared" si="218"/>
        <v>0.79865153992628724</v>
      </c>
      <c r="AB227" s="3083">
        <f t="shared" si="218"/>
        <v>3.3615372746569117</v>
      </c>
      <c r="AC227" s="3083">
        <f t="shared" si="218"/>
        <v>1.8187539840717637</v>
      </c>
      <c r="AD227" s="1357">
        <f ca="1">OFFSET('VVP1'!$K$58,0,5*(COLUMN()-7))</f>
        <v>1.7069999999999919</v>
      </c>
      <c r="AE227" s="1357">
        <f ca="1">OFFSET('VVP1'!$K$58,0,5*(COLUMN()-7))</f>
        <v>1.9083999999999879</v>
      </c>
    </row>
    <row r="228" spans="1:31">
      <c r="A228" s="1123"/>
      <c r="B228" s="1123"/>
      <c r="C228" s="1021" t="s">
        <v>624</v>
      </c>
      <c r="D228" s="3105"/>
      <c r="E228" s="3114" t="s">
        <v>1740</v>
      </c>
      <c r="F228" s="3105" t="s">
        <v>58</v>
      </c>
      <c r="G228" s="3107"/>
      <c r="H228" s="3107">
        <f t="shared" ref="H228:AC228" ca="1" si="219">(H214/G214-1)*100</f>
        <v>-0.37187630497372837</v>
      </c>
      <c r="I228" s="3107">
        <f t="shared" si="219"/>
        <v>5.2098178240362891</v>
      </c>
      <c r="J228" s="3107">
        <f t="shared" si="219"/>
        <v>1.1394087822961918</v>
      </c>
      <c r="K228" s="3107">
        <f t="shared" si="219"/>
        <v>2.0470697504705981</v>
      </c>
      <c r="L228" s="3107">
        <f t="shared" si="219"/>
        <v>1.5241090402298152</v>
      </c>
      <c r="M228" s="3107">
        <f t="shared" si="219"/>
        <v>0.37380634110029121</v>
      </c>
      <c r="N228" s="3107">
        <f t="shared" si="219"/>
        <v>-4.3461618207626955</v>
      </c>
      <c r="O228" s="3107">
        <f t="shared" si="219"/>
        <v>4.8671090806015949</v>
      </c>
      <c r="P228" s="3107">
        <f t="shared" si="219"/>
        <v>12.678676482279428</v>
      </c>
      <c r="Q228" s="3107">
        <f t="shared" si="219"/>
        <v>9.0578125220483372</v>
      </c>
      <c r="R228" s="3107">
        <f t="shared" si="219"/>
        <v>9.2387366405299876</v>
      </c>
      <c r="S228" s="3107">
        <f t="shared" si="219"/>
        <v>9.0167453842850733</v>
      </c>
      <c r="T228" s="3107">
        <f t="shared" si="219"/>
        <v>7.2757398378400451</v>
      </c>
      <c r="U228" s="3107">
        <f t="shared" si="219"/>
        <v>-2.4631527240777884</v>
      </c>
      <c r="V228" s="3107">
        <f t="shared" si="219"/>
        <v>1.2821477987503105</v>
      </c>
      <c r="W228" s="3107">
        <f t="shared" si="219"/>
        <v>7.2446123562099007</v>
      </c>
      <c r="X228" s="3107">
        <f t="shared" si="219"/>
        <v>5.5664564298295582</v>
      </c>
      <c r="Y228" s="3107">
        <f t="shared" si="219"/>
        <v>-1.5329131462413992</v>
      </c>
      <c r="Z228" s="3107">
        <f t="shared" si="219"/>
        <v>2.6268172172061677</v>
      </c>
      <c r="AA228" s="3107">
        <f t="shared" si="219"/>
        <v>-0.90733530184021749</v>
      </c>
      <c r="AB228" s="3107">
        <f t="shared" si="219"/>
        <v>2.8988587241585151</v>
      </c>
      <c r="AC228" s="3107">
        <f t="shared" si="219"/>
        <v>4.08209450403616</v>
      </c>
      <c r="AD228" s="3115">
        <f ca="1">OFFSET('VVP1'!$K$59,0,5*(COLUMN()-7))</f>
        <v>3.382329422034025</v>
      </c>
      <c r="AE228" s="3115">
        <f ca="1">OFFSET('VVP1'!$K$59,0,5*(COLUMN()-7))</f>
        <v>3.3050260011613819</v>
      </c>
    </row>
    <row r="229" spans="1:31">
      <c r="A229" s="1123"/>
      <c r="B229" s="1123"/>
      <c r="C229" s="3109" t="s">
        <v>622</v>
      </c>
      <c r="D229" s="3110" t="s">
        <v>591</v>
      </c>
      <c r="E229" s="3111" t="s">
        <v>1741</v>
      </c>
      <c r="F229" s="3110" t="s">
        <v>1782</v>
      </c>
      <c r="G229" s="3112"/>
      <c r="H229" s="3112"/>
      <c r="I229" s="3112"/>
      <c r="J229" s="3112"/>
      <c r="K229" s="3112"/>
      <c r="L229" s="3112"/>
      <c r="M229" s="3112"/>
      <c r="N229" s="3112"/>
      <c r="O229" s="3112"/>
      <c r="P229" s="3112"/>
      <c r="Q229" s="3112"/>
      <c r="R229" s="3112"/>
      <c r="S229" s="3112"/>
      <c r="T229" s="3112"/>
      <c r="U229" s="3112"/>
      <c r="V229" s="3112"/>
      <c r="W229" s="3113"/>
      <c r="X229" s="3113"/>
      <c r="Y229" s="3113"/>
      <c r="Z229" s="3113"/>
      <c r="AA229" s="3113"/>
      <c r="AB229" s="3113"/>
      <c r="AC229" s="3113"/>
      <c r="AD229" s="3113"/>
      <c r="AE229" s="3113"/>
    </row>
    <row r="230" spans="1:31">
      <c r="A230" s="1123"/>
      <c r="B230" s="1123"/>
      <c r="C230" s="3101" t="s">
        <v>622</v>
      </c>
      <c r="D230" s="1106" t="s">
        <v>1743</v>
      </c>
      <c r="E230" s="1" t="s">
        <v>1741</v>
      </c>
      <c r="F230" s="3" t="s">
        <v>59</v>
      </c>
      <c r="G230" s="924"/>
      <c r="H230" s="924"/>
      <c r="I230" s="924"/>
      <c r="J230" s="924"/>
      <c r="K230" s="924"/>
      <c r="L230" s="924"/>
      <c r="M230" s="924"/>
      <c r="N230" s="924"/>
      <c r="O230" s="924"/>
      <c r="P230" s="924"/>
      <c r="Q230" s="924"/>
      <c r="R230" s="924"/>
      <c r="S230" s="924"/>
      <c r="T230" s="924"/>
      <c r="U230" s="924"/>
      <c r="V230" s="924"/>
      <c r="W230" s="3081"/>
      <c r="X230" s="3081"/>
      <c r="Y230" s="3081"/>
      <c r="Z230" s="3081"/>
      <c r="AA230" s="3081"/>
      <c r="AB230" s="3081"/>
      <c r="AC230" s="3081"/>
      <c r="AD230" s="3081"/>
      <c r="AE230" s="3081"/>
    </row>
    <row r="231" spans="1:31">
      <c r="A231" s="1123"/>
      <c r="B231" s="1123"/>
      <c r="C231" s="1021" t="s">
        <v>624</v>
      </c>
      <c r="D231" s="3105"/>
      <c r="E231" s="3114" t="s">
        <v>1741</v>
      </c>
      <c r="F231" s="3105" t="s">
        <v>1784</v>
      </c>
      <c r="G231" s="3107"/>
      <c r="H231" s="3107">
        <f t="shared" ref="H231:AC231" ca="1" si="220">(H218/G218-1)*100</f>
        <v>3.3746077566308985</v>
      </c>
      <c r="I231" s="3107">
        <f t="shared" si="220"/>
        <v>10.878658722711476</v>
      </c>
      <c r="J231" s="3107">
        <f t="shared" si="220"/>
        <v>4.1865705502393658</v>
      </c>
      <c r="K231" s="3107">
        <f t="shared" si="220"/>
        <v>9.7385534563497309</v>
      </c>
      <c r="L231" s="3107">
        <f t="shared" si="220"/>
        <v>14.759324905803407</v>
      </c>
      <c r="M231" s="3107">
        <f t="shared" si="220"/>
        <v>1.9750160278203976</v>
      </c>
      <c r="N231" s="3107">
        <f t="shared" si="220"/>
        <v>-7.5237761385112396</v>
      </c>
      <c r="O231" s="3107">
        <f t="shared" si="220"/>
        <v>-1.9081012929436092</v>
      </c>
      <c r="P231" s="3107">
        <f t="shared" si="220"/>
        <v>8.9431304106758027</v>
      </c>
      <c r="Q231" s="3107">
        <f t="shared" si="220"/>
        <v>8.1777592708261118</v>
      </c>
      <c r="R231" s="3107">
        <f t="shared" si="220"/>
        <v>2.9924582638324537</v>
      </c>
      <c r="S231" s="3107">
        <f t="shared" si="220"/>
        <v>11.480856011738339</v>
      </c>
      <c r="T231" s="3107">
        <f t="shared" si="220"/>
        <v>3.817857852388995</v>
      </c>
      <c r="U231" s="3107">
        <f t="shared" si="220"/>
        <v>-17.968682256767245</v>
      </c>
      <c r="V231" s="3107">
        <f t="shared" si="220"/>
        <v>-0.45744820447023438</v>
      </c>
      <c r="W231" s="3107">
        <f t="shared" si="220"/>
        <v>6.9976161966802453</v>
      </c>
      <c r="X231" s="3107">
        <f t="shared" si="220"/>
        <v>-2.910647734622851</v>
      </c>
      <c r="Y231" s="3107">
        <f t="shared" si="220"/>
        <v>-1.5234509936622675</v>
      </c>
      <c r="Z231" s="3107">
        <f t="shared" si="220"/>
        <v>8.0275327873546622</v>
      </c>
      <c r="AA231" s="3107">
        <f t="shared" si="220"/>
        <v>3.3167331007312839</v>
      </c>
      <c r="AB231" s="3107">
        <f t="shared" si="220"/>
        <v>13.601742069766164</v>
      </c>
      <c r="AC231" s="3107">
        <f t="shared" si="220"/>
        <v>0.48246171218859768</v>
      </c>
      <c r="AD231" s="3115">
        <f ca="1">OFFSET('VVP1'!$K$62,0,5*(COLUMN()-7))</f>
        <v>6.6559999999999953</v>
      </c>
      <c r="AE231" s="3115">
        <f ca="1">OFFSET('VVP1'!$K$62,0,5*(COLUMN()-7))</f>
        <v>4.8432000000000031</v>
      </c>
    </row>
    <row r="232" spans="1:31">
      <c r="A232" s="714"/>
      <c r="B232" s="714"/>
      <c r="C232" s="3116" t="s">
        <v>624</v>
      </c>
      <c r="D232" s="3117"/>
      <c r="E232" s="3118" t="s">
        <v>1742</v>
      </c>
      <c r="F232" s="3117" t="s">
        <v>1098</v>
      </c>
      <c r="G232" s="3119"/>
      <c r="H232" s="3119">
        <f t="shared" ref="H232:AC232" ca="1" si="221">(H219/G219-1)*100</f>
        <v>6.7546583850931707</v>
      </c>
      <c r="I232" s="3119">
        <f t="shared" si="221"/>
        <v>8.9330376940133007</v>
      </c>
      <c r="J232" s="3119">
        <f t="shared" si="221"/>
        <v>12.103694777808505</v>
      </c>
      <c r="K232" s="3119">
        <f t="shared" si="221"/>
        <v>6.4798675265818506</v>
      </c>
      <c r="L232" s="3119">
        <f t="shared" si="221"/>
        <v>0.28647431962349756</v>
      </c>
      <c r="M232" s="3119">
        <f t="shared" si="221"/>
        <v>12.26008297626333</v>
      </c>
      <c r="N232" s="3119">
        <f t="shared" si="221"/>
        <v>3.8798953082590293</v>
      </c>
      <c r="O232" s="3119">
        <f t="shared" si="221"/>
        <v>2.7073369882188114</v>
      </c>
      <c r="P232" s="3119">
        <f t="shared" si="221"/>
        <v>7.8647601957956281</v>
      </c>
      <c r="Q232" s="3119">
        <f t="shared" si="221"/>
        <v>5.7593497304582186</v>
      </c>
      <c r="R232" s="3119">
        <f t="shared" si="221"/>
        <v>2.7975230472094381</v>
      </c>
      <c r="S232" s="3119">
        <f t="shared" si="221"/>
        <v>7.1530952196482644</v>
      </c>
      <c r="T232" s="3119">
        <f t="shared" si="221"/>
        <v>7.9843097557889209</v>
      </c>
      <c r="U232" s="3119">
        <f t="shared" si="221"/>
        <v>7.3362014128360409</v>
      </c>
      <c r="V232" s="3119">
        <f t="shared" si="221"/>
        <v>3.995602030551848</v>
      </c>
      <c r="W232" s="3119">
        <f t="shared" si="221"/>
        <v>9.0788437746035289</v>
      </c>
      <c r="X232" s="3119">
        <f t="shared" si="221"/>
        <v>4.0158654870663391</v>
      </c>
      <c r="Y232" s="3119">
        <f t="shared" si="221"/>
        <v>2.5172653074711615</v>
      </c>
      <c r="Z232" s="3119">
        <f t="shared" si="221"/>
        <v>12.799437869059593</v>
      </c>
      <c r="AA232" s="3119">
        <f t="shared" si="221"/>
        <v>13.005560667280047</v>
      </c>
      <c r="AB232" s="3119">
        <f t="shared" si="221"/>
        <v>-7.8690779625359086</v>
      </c>
      <c r="AC232" s="3119">
        <f t="shared" si="221"/>
        <v>4.006016160196757</v>
      </c>
      <c r="AD232" s="3120">
        <f ca="1">OFFSET('VVP1'!$K$63,0,5*(COLUMN()-7))</f>
        <v>6.05</v>
      </c>
      <c r="AE232" s="3120">
        <f ca="1">OFFSET('VVP1'!$K$63,0,5*(COLUMN()-7))</f>
        <v>3.9323999999999915</v>
      </c>
    </row>
    <row r="233" spans="1:31" ht="12.75" customHeight="1">
      <c r="A233" s="1123"/>
      <c r="B233" s="1123"/>
      <c r="C233" s="3095" t="s">
        <v>1744</v>
      </c>
      <c r="D233" s="3121"/>
      <c r="E233" s="3205" t="s">
        <v>1248</v>
      </c>
      <c r="F233" s="3121" t="s">
        <v>60</v>
      </c>
      <c r="G233" s="3123"/>
      <c r="H233" s="3123">
        <f t="shared" ref="H233:AC233" ca="1" si="222">(H220/G220-1)*100</f>
        <v>2.5050703158082444</v>
      </c>
      <c r="I233" s="3123">
        <f t="shared" si="222"/>
        <v>7.8466288348226776</v>
      </c>
      <c r="J233" s="3123">
        <f t="shared" si="222"/>
        <v>3.7020759285430582</v>
      </c>
      <c r="K233" s="3123">
        <f t="shared" si="222"/>
        <v>5.6961557752798431</v>
      </c>
      <c r="L233" s="3123">
        <f t="shared" si="222"/>
        <v>6.8164846362395837</v>
      </c>
      <c r="M233" s="3123">
        <f t="shared" si="222"/>
        <v>2.5880683677089067</v>
      </c>
      <c r="N233" s="3123">
        <f t="shared" si="222"/>
        <v>-4.6062923400226889</v>
      </c>
      <c r="O233" s="3123">
        <f t="shared" si="222"/>
        <v>1.6479891049022699</v>
      </c>
      <c r="P233" s="3123">
        <f t="shared" si="222"/>
        <v>10.405144583214332</v>
      </c>
      <c r="Q233" s="3123">
        <f t="shared" si="222"/>
        <v>8.2090921206324765</v>
      </c>
      <c r="R233" s="3123">
        <f t="shared" si="222"/>
        <v>5.7618272784834668</v>
      </c>
      <c r="S233" s="3123">
        <f t="shared" si="222"/>
        <v>9.7287544405003867</v>
      </c>
      <c r="T233" s="3123">
        <f t="shared" si="222"/>
        <v>5.9824556584621602</v>
      </c>
      <c r="U233" s="3123">
        <f t="shared" si="222"/>
        <v>-7.1926046523682512</v>
      </c>
      <c r="V233" s="3123">
        <f t="shared" si="222"/>
        <v>1.1177921383899392</v>
      </c>
      <c r="W233" s="3123">
        <f t="shared" si="222"/>
        <v>7.4672769200448297</v>
      </c>
      <c r="X233" s="3123">
        <f t="shared" si="222"/>
        <v>2.4090812457510546</v>
      </c>
      <c r="Y233" s="3123">
        <f t="shared" si="222"/>
        <v>-0.83048369030863656</v>
      </c>
      <c r="Z233" s="3123">
        <f t="shared" si="222"/>
        <v>6.1772158304742142</v>
      </c>
      <c r="AA233" s="3123">
        <f t="shared" si="222"/>
        <v>3.1107822831541121</v>
      </c>
      <c r="AB233" s="3123">
        <f t="shared" si="222"/>
        <v>4.1681506018210746</v>
      </c>
      <c r="AC233" s="3123">
        <f t="shared" si="222"/>
        <v>2.7820472479062719</v>
      </c>
      <c r="AD233" s="3206">
        <f ca="1">OFFSET('VVP1'!$K$64,0,5*(COLUMN()-7))</f>
        <v>5.0216488733918707</v>
      </c>
      <c r="AE233" s="3206">
        <f ca="1">OFFSET('VVP1'!$K$64,0,5*(COLUMN()-7))</f>
        <v>3.968385390153828</v>
      </c>
    </row>
    <row r="235" spans="1:31">
      <c r="A235" s="1123"/>
      <c r="B235" s="1123"/>
      <c r="D235" s="1107"/>
      <c r="E235" s="1108" t="s">
        <v>61</v>
      </c>
      <c r="F235" s="1109"/>
      <c r="G235" s="748">
        <f>InputY!$G$3</f>
        <v>1995</v>
      </c>
      <c r="H235" s="748">
        <f t="shared" ref="H235:W235" si="223">+G235+1</f>
        <v>1996</v>
      </c>
      <c r="I235" s="748">
        <f t="shared" si="223"/>
        <v>1997</v>
      </c>
      <c r="J235" s="748">
        <f t="shared" si="223"/>
        <v>1998</v>
      </c>
      <c r="K235" s="748">
        <f t="shared" si="223"/>
        <v>1999</v>
      </c>
      <c r="L235" s="748">
        <f t="shared" si="223"/>
        <v>2000</v>
      </c>
      <c r="M235" s="748">
        <f t="shared" si="223"/>
        <v>2001</v>
      </c>
      <c r="N235" s="748">
        <f t="shared" si="223"/>
        <v>2002</v>
      </c>
      <c r="O235" s="748">
        <f t="shared" si="223"/>
        <v>2003</v>
      </c>
      <c r="P235" s="748">
        <f t="shared" si="223"/>
        <v>2004</v>
      </c>
      <c r="Q235" s="748">
        <f t="shared" si="223"/>
        <v>2005</v>
      </c>
      <c r="R235" s="748">
        <f t="shared" si="223"/>
        <v>2006</v>
      </c>
      <c r="S235" s="748">
        <f t="shared" si="223"/>
        <v>2007</v>
      </c>
      <c r="T235" s="748">
        <f t="shared" si="223"/>
        <v>2008</v>
      </c>
      <c r="U235" s="748">
        <f t="shared" si="223"/>
        <v>2009</v>
      </c>
      <c r="V235" s="748">
        <f t="shared" si="223"/>
        <v>2010</v>
      </c>
      <c r="W235" s="748">
        <f t="shared" si="223"/>
        <v>2011</v>
      </c>
      <c r="X235" s="748">
        <f t="shared" ref="X235:AE235" si="224">+W235+1</f>
        <v>2012</v>
      </c>
      <c r="Y235" s="748">
        <f t="shared" si="224"/>
        <v>2013</v>
      </c>
      <c r="Z235" s="748">
        <f t="shared" si="224"/>
        <v>2014</v>
      </c>
      <c r="AA235" s="748">
        <f t="shared" si="224"/>
        <v>2015</v>
      </c>
      <c r="AB235" s="748">
        <f t="shared" si="224"/>
        <v>2016</v>
      </c>
      <c r="AC235" s="748">
        <f t="shared" si="224"/>
        <v>2017</v>
      </c>
      <c r="AD235" s="748">
        <f t="shared" si="224"/>
        <v>2018</v>
      </c>
      <c r="AE235" s="748">
        <f t="shared" si="224"/>
        <v>2019</v>
      </c>
    </row>
    <row r="236" spans="1:31">
      <c r="A236" s="714">
        <f>+ROW(InputY!A208)</f>
        <v>208</v>
      </c>
      <c r="B236" s="1123" t="s">
        <v>903</v>
      </c>
      <c r="C236" s="1112" t="s">
        <v>622</v>
      </c>
      <c r="D236" s="1099" t="s">
        <v>589</v>
      </c>
      <c r="E236" s="1080" t="s">
        <v>1248</v>
      </c>
      <c r="F236" s="1099" t="s">
        <v>377</v>
      </c>
      <c r="G236" s="3127">
        <f ca="1">InputY!G208/1000</f>
        <v>14.479299999999999</v>
      </c>
      <c r="H236" s="3127">
        <f>InputY!H208/1000</f>
        <v>13.462299999999999</v>
      </c>
      <c r="I236" s="3127">
        <f>InputY!I208/1000</f>
        <v>14.876299999999999</v>
      </c>
      <c r="J236" s="3127">
        <f>InputY!J208/1000</f>
        <v>14.363</v>
      </c>
      <c r="K236" s="3127">
        <f>InputY!K208/1000</f>
        <v>14.995100000000001</v>
      </c>
      <c r="L236" s="3127">
        <f>InputY!L208/1000</f>
        <v>15.137799999999999</v>
      </c>
      <c r="M236" s="3127">
        <f>InputY!M208/1000</f>
        <v>14.555</v>
      </c>
      <c r="N236" s="3127">
        <f>InputY!N208/1000</f>
        <v>14.399700000000001</v>
      </c>
      <c r="O236" s="3127">
        <f>InputY!O208/1000</f>
        <v>14.9672</v>
      </c>
      <c r="P236" s="3127">
        <f>InputY!P208/1000</f>
        <v>16.460599999999999</v>
      </c>
      <c r="Q236" s="3127">
        <f>InputY!Q208/1000</f>
        <v>19.201000000000001</v>
      </c>
      <c r="R236" s="3127">
        <f>InputY!R208/1000</f>
        <v>21.168200000000002</v>
      </c>
      <c r="S236" s="3127">
        <f>InputY!S208/1000</f>
        <v>23.024699999999999</v>
      </c>
      <c r="T236" s="3127">
        <f>InputY!T208/1000</f>
        <v>24.052599999999998</v>
      </c>
      <c r="U236" s="3127">
        <f>InputY!U208/1000</f>
        <v>21.7988</v>
      </c>
      <c r="V236" s="3127">
        <f>InputY!V208/1000</f>
        <v>22.4406</v>
      </c>
      <c r="W236" s="3127">
        <f>InputY!W208/1000</f>
        <v>22.331299999999999</v>
      </c>
      <c r="X236" s="3127">
        <f>InputY!X208/1000</f>
        <v>22.794700000000002</v>
      </c>
      <c r="Y236" s="3127">
        <f>InputY!Y208/1000</f>
        <v>22.203799999999998</v>
      </c>
      <c r="Z236" s="3127">
        <f>InputY!Z208/1000</f>
        <v>23.541400000000003</v>
      </c>
      <c r="AA236" s="3127">
        <f>InputY!AA208/1000</f>
        <v>23.821900000000003</v>
      </c>
      <c r="AB236" s="3127">
        <f>InputY!AB208/1000</f>
        <v>24.479200000000002</v>
      </c>
      <c r="AC236" s="3207">
        <f t="shared" ref="AC236:AE237" ca="1" si="225">+AB236*(1+AC245/100)</f>
        <v>24.924416425268898</v>
      </c>
      <c r="AD236" s="3207">
        <f t="shared" ca="1" si="225"/>
        <v>25.349876213648237</v>
      </c>
      <c r="AE236" s="3207">
        <f t="shared" ca="1" si="225"/>
        <v>25.833653251309496</v>
      </c>
    </row>
    <row r="237" spans="1:31">
      <c r="A237" s="714">
        <f>+ROW(InputY!A171)</f>
        <v>171</v>
      </c>
      <c r="B237" s="3208">
        <v>126</v>
      </c>
      <c r="C237" s="1113" t="s">
        <v>622</v>
      </c>
      <c r="D237" s="3" t="s">
        <v>591</v>
      </c>
      <c r="E237" s="29" t="s">
        <v>1248</v>
      </c>
      <c r="F237" s="3" t="s">
        <v>213</v>
      </c>
      <c r="G237" s="3083">
        <f>InputY!G171/1000</f>
        <v>4.6926999999999994</v>
      </c>
      <c r="H237" s="3083">
        <f>InputY!H171/1000</f>
        <v>4.6556000000000006</v>
      </c>
      <c r="I237" s="3083">
        <f>InputY!I171/1000</f>
        <v>4.9722</v>
      </c>
      <c r="J237" s="3083">
        <f>InputY!J171/1000</f>
        <v>5.0324</v>
      </c>
      <c r="K237" s="3083">
        <f>InputY!K171/1000</f>
        <v>5.9561999999999999</v>
      </c>
      <c r="L237" s="3083">
        <f>InputY!L171/1000</f>
        <v>6.2696999999999994</v>
      </c>
      <c r="M237" s="3083">
        <f>InputY!M171/1000</f>
        <v>5.7919999999999998</v>
      </c>
      <c r="N237" s="3083">
        <f>InputY!N171/1000</f>
        <v>5.8331</v>
      </c>
      <c r="O237" s="3083">
        <f>InputY!O171/1000</f>
        <v>6.0922999999999998</v>
      </c>
      <c r="P237" s="3083">
        <f>InputY!P171/1000</f>
        <v>6.1935000000000002</v>
      </c>
      <c r="Q237" s="3083">
        <f>InputY!Q171/1000</f>
        <v>6.6242000000000001</v>
      </c>
      <c r="R237" s="3083">
        <f>InputY!R171/1000</f>
        <v>6.4175000000000004</v>
      </c>
      <c r="S237" s="3083">
        <f>InputY!S171/1000</f>
        <v>7.0301</v>
      </c>
      <c r="T237" s="3083">
        <f>InputY!T171/1000</f>
        <v>7.4166999999999996</v>
      </c>
      <c r="U237" s="3083">
        <f>InputY!U171/1000</f>
        <v>8.1306000000000012</v>
      </c>
      <c r="V237" s="3083">
        <f>InputY!V171/1000</f>
        <v>8.3940000000000001</v>
      </c>
      <c r="W237" s="3083">
        <f>InputY!W171/1000</f>
        <v>9.2747000000000011</v>
      </c>
      <c r="X237" s="3776">
        <f>InputY!X171/1000</f>
        <v>9.6434999999999995</v>
      </c>
      <c r="Y237" s="3776">
        <f>InputY!Y171/1000</f>
        <v>9.2502999999999993</v>
      </c>
      <c r="Z237" s="3776">
        <f>InputY!Z171/1000</f>
        <v>9.3675999999999995</v>
      </c>
      <c r="AA237" s="3776">
        <f>InputY!AA171/1000</f>
        <v>9.4318999999999988</v>
      </c>
      <c r="AB237" s="3776">
        <f>InputY!AB171/1000</f>
        <v>9.3502999999999989</v>
      </c>
      <c r="AC237" s="3776">
        <f>InputY!AC171/1000</f>
        <v>9.704600000000001</v>
      </c>
      <c r="AD237" s="3209">
        <f t="shared" ca="1" si="225"/>
        <v>10.871496631360001</v>
      </c>
      <c r="AE237" s="3209">
        <f t="shared" ca="1" si="225"/>
        <v>11.698817525006499</v>
      </c>
    </row>
    <row r="238" spans="1:31">
      <c r="A238" s="3210">
        <f>+ROW(InputY!A282)</f>
        <v>282</v>
      </c>
      <c r="B238" s="3208"/>
      <c r="C238" s="1113"/>
      <c r="D238" s="3195"/>
      <c r="E238" s="3196" t="s">
        <v>62</v>
      </c>
      <c r="F238" s="3195"/>
      <c r="G238" s="1104"/>
      <c r="H238" s="1104"/>
      <c r="I238" s="1104"/>
      <c r="J238" s="1104"/>
      <c r="K238" s="1104"/>
      <c r="L238" s="1104"/>
      <c r="M238" s="1104">
        <f>InputY!M282/1000</f>
        <v>0.31900000000000001</v>
      </c>
      <c r="N238" s="1104">
        <f>InputY!N282/1000</f>
        <v>0.38300000000000001</v>
      </c>
      <c r="O238" s="1104">
        <f>InputY!O282/1000</f>
        <v>0.19500000000000001</v>
      </c>
      <c r="P238" s="1104">
        <f>InputY!P282/1000</f>
        <v>0.65600000000000003</v>
      </c>
      <c r="Q238" s="1104">
        <f>InputY!Q282/1000</f>
        <v>0.17100000000000001</v>
      </c>
      <c r="R238" s="1104">
        <f>InputY!R282/1000</f>
        <v>0.99399999999999999</v>
      </c>
      <c r="S238" s="3211">
        <v>0</v>
      </c>
      <c r="T238" s="3211">
        <v>0</v>
      </c>
      <c r="U238" s="3211">
        <v>0</v>
      </c>
      <c r="V238" s="3211">
        <v>0</v>
      </c>
      <c r="W238" s="3211">
        <v>0</v>
      </c>
      <c r="X238" s="3211">
        <v>0</v>
      </c>
      <c r="Y238" s="3211">
        <v>0</v>
      </c>
      <c r="Z238" s="3211">
        <v>0</v>
      </c>
      <c r="AA238" s="3211">
        <v>1</v>
      </c>
      <c r="AB238" s="3211">
        <v>0</v>
      </c>
      <c r="AC238" s="3211">
        <v>0</v>
      </c>
      <c r="AD238" s="3211">
        <v>0</v>
      </c>
      <c r="AE238" s="3211">
        <v>0</v>
      </c>
    </row>
    <row r="239" spans="1:31">
      <c r="A239" s="3210"/>
      <c r="B239" s="3208"/>
      <c r="C239" s="1113"/>
      <c r="D239" s="3195"/>
      <c r="E239" s="3196" t="s">
        <v>63</v>
      </c>
      <c r="F239" s="3195"/>
      <c r="G239" s="1104">
        <f t="shared" ref="G239:V239" si="226">+G237+G238</f>
        <v>4.6926999999999994</v>
      </c>
      <c r="H239" s="1104">
        <f t="shared" si="226"/>
        <v>4.6556000000000006</v>
      </c>
      <c r="I239" s="1104">
        <f t="shared" si="226"/>
        <v>4.9722</v>
      </c>
      <c r="J239" s="1104">
        <f t="shared" si="226"/>
        <v>5.0324</v>
      </c>
      <c r="K239" s="1104">
        <f t="shared" si="226"/>
        <v>5.9561999999999999</v>
      </c>
      <c r="L239" s="1104">
        <f t="shared" si="226"/>
        <v>6.2696999999999994</v>
      </c>
      <c r="M239" s="1104">
        <f t="shared" si="226"/>
        <v>6.1109999999999998</v>
      </c>
      <c r="N239" s="1104">
        <f t="shared" si="226"/>
        <v>6.2161</v>
      </c>
      <c r="O239" s="1104">
        <f t="shared" si="226"/>
        <v>6.2873000000000001</v>
      </c>
      <c r="P239" s="1104">
        <f t="shared" si="226"/>
        <v>6.8494999999999999</v>
      </c>
      <c r="Q239" s="1104">
        <f t="shared" si="226"/>
        <v>6.7952000000000004</v>
      </c>
      <c r="R239" s="1104">
        <f t="shared" si="226"/>
        <v>7.4115000000000002</v>
      </c>
      <c r="S239" s="1104">
        <f t="shared" si="226"/>
        <v>7.0301</v>
      </c>
      <c r="T239" s="1104">
        <f t="shared" si="226"/>
        <v>7.4166999999999996</v>
      </c>
      <c r="U239" s="1104">
        <f t="shared" si="226"/>
        <v>8.1306000000000012</v>
      </c>
      <c r="V239" s="1104">
        <f t="shared" si="226"/>
        <v>8.3940000000000001</v>
      </c>
      <c r="W239" s="1104">
        <f t="shared" ref="W239:X239" si="227">+W237+W238</f>
        <v>9.2747000000000011</v>
      </c>
      <c r="X239" s="1104">
        <f t="shared" si="227"/>
        <v>9.6434999999999995</v>
      </c>
      <c r="Y239" s="1104">
        <f t="shared" ref="Y239" si="228">+Y237+Y238</f>
        <v>9.2502999999999993</v>
      </c>
      <c r="Z239" s="1104">
        <f t="shared" ref="Z239:AB239" si="229">+Z237+Z238</f>
        <v>9.3675999999999995</v>
      </c>
      <c r="AA239" s="1104">
        <f t="shared" si="229"/>
        <v>10.431899999999999</v>
      </c>
      <c r="AB239" s="1104">
        <f t="shared" si="229"/>
        <v>9.3502999999999989</v>
      </c>
      <c r="AC239" s="3209">
        <f t="shared" ref="AC239:AD239" si="230">+AC237+AC238</f>
        <v>9.704600000000001</v>
      </c>
      <c r="AD239" s="3209">
        <f t="shared" ca="1" si="230"/>
        <v>10.871496631360001</v>
      </c>
      <c r="AE239" s="3209">
        <f t="shared" ref="AE239" ca="1" si="231">+AE237+AE238</f>
        <v>11.698817525006499</v>
      </c>
    </row>
    <row r="240" spans="1:31">
      <c r="A240" s="714">
        <f>+ROW(InputY!A131)</f>
        <v>131</v>
      </c>
      <c r="B240" s="1123" t="s">
        <v>904</v>
      </c>
      <c r="C240" s="1114" t="s">
        <v>622</v>
      </c>
      <c r="D240" s="1110" t="s">
        <v>590</v>
      </c>
      <c r="E240" s="3153" t="s">
        <v>1248</v>
      </c>
      <c r="F240" s="1110" t="s">
        <v>1763</v>
      </c>
      <c r="G240" s="1116">
        <f ca="1">InputY!G131/1000</f>
        <v>25.806999999999999</v>
      </c>
      <c r="H240" s="1116">
        <f>InputY!H131/1000</f>
        <v>27.8751</v>
      </c>
      <c r="I240" s="1116">
        <f>InputY!I131/1000</f>
        <v>29.753400000000003</v>
      </c>
      <c r="J240" s="1116">
        <f>InputY!J131/1000</f>
        <v>32.0428</v>
      </c>
      <c r="K240" s="1116">
        <f>InputY!K131/1000</f>
        <v>33.416899999999998</v>
      </c>
      <c r="L240" s="1116">
        <f>InputY!L131/1000</f>
        <v>36.666699999999999</v>
      </c>
      <c r="M240" s="1116">
        <f>InputY!M131/1000</f>
        <v>39.230199999999996</v>
      </c>
      <c r="N240" s="1116">
        <f>InputY!N131/1000</f>
        <v>36.600099999999998</v>
      </c>
      <c r="O240" s="1116">
        <f>InputY!O131/1000</f>
        <v>36.71</v>
      </c>
      <c r="P240" s="1116">
        <f>InputY!P131/1000</f>
        <v>41.126400000000004</v>
      </c>
      <c r="Q240" s="1116">
        <f>InputY!Q131/1000</f>
        <v>43.191099999999999</v>
      </c>
      <c r="R240" s="1116">
        <f>InputY!R131/1000</f>
        <v>45.407199999999996</v>
      </c>
      <c r="S240" s="1116">
        <f>InputY!S131/1000</f>
        <v>50.039400000000001</v>
      </c>
      <c r="T240" s="1116">
        <f>InputY!T131/1000</f>
        <v>53.416499999999999</v>
      </c>
      <c r="U240" s="1116">
        <f>InputY!U131/1000</f>
        <v>48.850900000000003</v>
      </c>
      <c r="V240" s="1116">
        <f>InputY!V131/1000</f>
        <v>48.826300000000003</v>
      </c>
      <c r="W240" s="1116">
        <f>InputY!W131/1000</f>
        <v>54.003399999999999</v>
      </c>
      <c r="X240" s="1116">
        <f>InputY!X131/1000</f>
        <v>55.233599999999996</v>
      </c>
      <c r="Y240" s="1116">
        <f>InputY!Y131/1000</f>
        <v>55.489599999999996</v>
      </c>
      <c r="Z240" s="1116">
        <f>InputY!Z131/1000</f>
        <v>59.203000000000003</v>
      </c>
      <c r="AA240" s="1116">
        <f>InputY!AA131/1000</f>
        <v>61.737099999999998</v>
      </c>
      <c r="AB240" s="1116">
        <f>InputY!AB131/1000</f>
        <v>65.284700000000001</v>
      </c>
      <c r="AC240" s="3200">
        <f t="shared" ref="AC240:AE241" ca="1" si="232">+AB240*(1+AC249/100)</f>
        <v>67.283083574731108</v>
      </c>
      <c r="AD240" s="3200">
        <f t="shared" ca="1" si="232"/>
        <v>70.808394976491769</v>
      </c>
      <c r="AE240" s="3200">
        <f t="shared" ca="1" si="232"/>
        <v>73.744650714527978</v>
      </c>
    </row>
    <row r="241" spans="1:31">
      <c r="A241" s="714"/>
      <c r="B241" s="714"/>
      <c r="C241" s="744" t="s">
        <v>624</v>
      </c>
      <c r="D241" s="1096"/>
      <c r="E241" s="1097" t="s">
        <v>1248</v>
      </c>
      <c r="F241" s="1096" t="s">
        <v>60</v>
      </c>
      <c r="G241" s="1098">
        <f t="shared" ref="G241:W241" ca="1" si="233">+G236+G237+G240</f>
        <v>44.978999999999999</v>
      </c>
      <c r="H241" s="1098">
        <f t="shared" si="233"/>
        <v>45.992999999999995</v>
      </c>
      <c r="I241" s="1098">
        <f t="shared" si="233"/>
        <v>49.601900000000001</v>
      </c>
      <c r="J241" s="1098">
        <f t="shared" si="233"/>
        <v>51.438199999999995</v>
      </c>
      <c r="K241" s="1098">
        <f t="shared" si="233"/>
        <v>54.368200000000002</v>
      </c>
      <c r="L241" s="1098">
        <f t="shared" si="233"/>
        <v>58.074199999999998</v>
      </c>
      <c r="M241" s="1098">
        <f t="shared" si="233"/>
        <v>59.577199999999998</v>
      </c>
      <c r="N241" s="1098">
        <f t="shared" si="233"/>
        <v>56.832899999999995</v>
      </c>
      <c r="O241" s="1098">
        <f t="shared" si="233"/>
        <v>57.769500000000001</v>
      </c>
      <c r="P241" s="1098">
        <f t="shared" si="233"/>
        <v>63.780500000000004</v>
      </c>
      <c r="Q241" s="1098">
        <f t="shared" si="233"/>
        <v>69.016300000000001</v>
      </c>
      <c r="R241" s="1098">
        <f t="shared" si="233"/>
        <v>72.992899999999992</v>
      </c>
      <c r="S241" s="1098">
        <f t="shared" si="233"/>
        <v>80.094200000000001</v>
      </c>
      <c r="T241" s="1098">
        <f t="shared" si="233"/>
        <v>84.885799999999989</v>
      </c>
      <c r="U241" s="1098">
        <f t="shared" si="233"/>
        <v>78.780300000000011</v>
      </c>
      <c r="V241" s="1098">
        <f t="shared" si="233"/>
        <v>79.660899999999998</v>
      </c>
      <c r="W241" s="1098">
        <f t="shared" si="233"/>
        <v>85.609399999999994</v>
      </c>
      <c r="X241" s="1098">
        <f t="shared" ref="X241:Y241" si="234">+X236+X237+X240</f>
        <v>87.67179999999999</v>
      </c>
      <c r="Y241" s="1098">
        <f t="shared" si="234"/>
        <v>86.943699999999993</v>
      </c>
      <c r="Z241" s="1098">
        <f t="shared" ref="Z241:AC241" si="235">+Z236+Z237+Z240</f>
        <v>92.112000000000009</v>
      </c>
      <c r="AA241" s="1098">
        <f t="shared" si="235"/>
        <v>94.990899999999996</v>
      </c>
      <c r="AB241" s="1098">
        <f t="shared" si="235"/>
        <v>99.114200000000011</v>
      </c>
      <c r="AC241" s="1098">
        <f t="shared" ca="1" si="235"/>
        <v>101.91210000000001</v>
      </c>
      <c r="AD241" s="3204">
        <f t="shared" ca="1" si="232"/>
        <v>107.0297678215</v>
      </c>
      <c r="AE241" s="3204">
        <f t="shared" ca="1" si="232"/>
        <v>111.27712149084397</v>
      </c>
    </row>
    <row r="242" spans="1:31">
      <c r="D242" s="1882"/>
      <c r="E242" s="1882" t="s">
        <v>474</v>
      </c>
      <c r="F242" s="1882"/>
      <c r="G242" s="1043">
        <f t="shared" ref="G242:X242" ca="1" si="236">ABS(G241-G240-G237-G236)</f>
        <v>3.5527136788005009E-15</v>
      </c>
      <c r="H242" s="1043">
        <f t="shared" si="236"/>
        <v>3.5527136788005009E-15</v>
      </c>
      <c r="I242" s="1043">
        <f t="shared" si="236"/>
        <v>1.7763568394002505E-15</v>
      </c>
      <c r="J242" s="1043">
        <f t="shared" si="236"/>
        <v>3.5527136788005009E-15</v>
      </c>
      <c r="K242" s="1043">
        <f t="shared" si="236"/>
        <v>3.5527136788005009E-15</v>
      </c>
      <c r="L242" s="1043">
        <f t="shared" si="236"/>
        <v>0</v>
      </c>
      <c r="M242" s="1043">
        <f t="shared" si="236"/>
        <v>1.7763568394002505E-15</v>
      </c>
      <c r="N242" s="1043">
        <f t="shared" si="236"/>
        <v>3.5527136788005009E-15</v>
      </c>
      <c r="O242" s="1043">
        <f t="shared" si="236"/>
        <v>0</v>
      </c>
      <c r="P242" s="1043">
        <f t="shared" si="236"/>
        <v>0</v>
      </c>
      <c r="Q242" s="1043">
        <f t="shared" si="236"/>
        <v>0</v>
      </c>
      <c r="R242" s="1043">
        <f t="shared" si="236"/>
        <v>7.1054273576010019E-15</v>
      </c>
      <c r="S242" s="1043">
        <f t="shared" si="236"/>
        <v>0</v>
      </c>
      <c r="T242" s="1043">
        <f t="shared" si="236"/>
        <v>7.1054273576010019E-15</v>
      </c>
      <c r="U242" s="2881">
        <f t="shared" si="236"/>
        <v>7.1054273576010019E-15</v>
      </c>
      <c r="V242" s="2881">
        <f>ABS(V241-V240-V237-V236)</f>
        <v>3.5527136788005009E-15</v>
      </c>
      <c r="W242" s="2881">
        <f t="shared" si="236"/>
        <v>7.1054273576010019E-15</v>
      </c>
      <c r="X242" s="2881">
        <f t="shared" si="236"/>
        <v>7.1054273576010019E-15</v>
      </c>
      <c r="Y242" s="2881">
        <f t="shared" ref="Y242" si="237">ABS(Y241-Y240-Y237-Y236)</f>
        <v>0</v>
      </c>
      <c r="Z242" s="2881">
        <f t="shared" ref="Z242" si="238">ABS(Z241-Z240-Z237-Z236)</f>
        <v>3.5527136788005009E-15</v>
      </c>
      <c r="AA242" s="2881">
        <f>ABS(AA241-AA240-AA237-AA236)</f>
        <v>3.5527136788005009E-15</v>
      </c>
      <c r="AB242" s="2881">
        <f>ABS(AB241-AB240-AB237-AB236)</f>
        <v>1.0658141036401503E-14</v>
      </c>
      <c r="AC242" s="2881">
        <f ca="1">ABS(AC241-AC240-AC237-AC236)</f>
        <v>3.5527136788005009E-15</v>
      </c>
      <c r="AD242" s="2881">
        <f ca="1">ABS(AD241-AD240-AD237-AD236)</f>
        <v>7.1054273576010019E-15</v>
      </c>
      <c r="AE242" s="2881">
        <f ca="1">ABS(AE241-AE240-AE237-AE236)</f>
        <v>3.5527136788005009E-15</v>
      </c>
    </row>
    <row r="243" spans="1:31">
      <c r="S243" s="1871"/>
      <c r="T243" s="3212"/>
      <c r="U243" s="1871"/>
    </row>
    <row r="244" spans="1:31" s="749" customFormat="1" ht="12.75" customHeight="1">
      <c r="A244" s="714"/>
      <c r="B244" s="714"/>
      <c r="C244" s="822"/>
      <c r="D244" s="3073"/>
      <c r="E244" s="3074" t="s">
        <v>61</v>
      </c>
      <c r="F244" s="3075"/>
      <c r="G244" s="939">
        <f>InputY!$G$3</f>
        <v>1995</v>
      </c>
      <c r="H244" s="939">
        <f t="shared" ref="H244:W244" si="239">+G244+1</f>
        <v>1996</v>
      </c>
      <c r="I244" s="939">
        <f t="shared" si="239"/>
        <v>1997</v>
      </c>
      <c r="J244" s="939">
        <f t="shared" si="239"/>
        <v>1998</v>
      </c>
      <c r="K244" s="939">
        <f t="shared" si="239"/>
        <v>1999</v>
      </c>
      <c r="L244" s="939">
        <f t="shared" si="239"/>
        <v>2000</v>
      </c>
      <c r="M244" s="939">
        <f t="shared" si="239"/>
        <v>2001</v>
      </c>
      <c r="N244" s="939">
        <f t="shared" si="239"/>
        <v>2002</v>
      </c>
      <c r="O244" s="939">
        <f t="shared" si="239"/>
        <v>2003</v>
      </c>
      <c r="P244" s="939">
        <f t="shared" si="239"/>
        <v>2004</v>
      </c>
      <c r="Q244" s="939">
        <f t="shared" si="239"/>
        <v>2005</v>
      </c>
      <c r="R244" s="939">
        <f t="shared" si="239"/>
        <v>2006</v>
      </c>
      <c r="S244" s="939">
        <f t="shared" si="239"/>
        <v>2007</v>
      </c>
      <c r="T244" s="939">
        <f t="shared" si="239"/>
        <v>2008</v>
      </c>
      <c r="U244" s="939">
        <f t="shared" si="239"/>
        <v>2009</v>
      </c>
      <c r="V244" s="939">
        <f t="shared" si="239"/>
        <v>2010</v>
      </c>
      <c r="W244" s="939">
        <f t="shared" si="239"/>
        <v>2011</v>
      </c>
      <c r="X244" s="939">
        <f t="shared" ref="X244:AE244" si="240">+W244+1</f>
        <v>2012</v>
      </c>
      <c r="Y244" s="939">
        <f t="shared" si="240"/>
        <v>2013</v>
      </c>
      <c r="Z244" s="939">
        <f t="shared" si="240"/>
        <v>2014</v>
      </c>
      <c r="AA244" s="939">
        <f t="shared" si="240"/>
        <v>2015</v>
      </c>
      <c r="AB244" s="939">
        <f t="shared" si="240"/>
        <v>2016</v>
      </c>
      <c r="AC244" s="939">
        <f t="shared" si="240"/>
        <v>2017</v>
      </c>
      <c r="AD244" s="939">
        <f t="shared" si="240"/>
        <v>2018</v>
      </c>
      <c r="AE244" s="939">
        <f t="shared" si="240"/>
        <v>2019</v>
      </c>
    </row>
    <row r="245" spans="1:31" s="749" customFormat="1" ht="12.75" customHeight="1">
      <c r="A245" s="714"/>
      <c r="B245" s="714"/>
      <c r="C245" s="839" t="s">
        <v>622</v>
      </c>
      <c r="D245" s="739" t="s">
        <v>589</v>
      </c>
      <c r="E245" s="787" t="s">
        <v>1248</v>
      </c>
      <c r="F245" s="782" t="s">
        <v>377</v>
      </c>
      <c r="G245" s="1122"/>
      <c r="H245" s="1122">
        <f t="shared" ref="H245:AB245" ca="1" si="241">+(H236/G236-1)*100</f>
        <v>-7.023820212303078</v>
      </c>
      <c r="I245" s="1122">
        <f t="shared" si="241"/>
        <v>10.503405807328603</v>
      </c>
      <c r="J245" s="1122">
        <f t="shared" si="241"/>
        <v>-3.4504547501730931</v>
      </c>
      <c r="K245" s="1122">
        <f t="shared" si="241"/>
        <v>4.4008911787231098</v>
      </c>
      <c r="L245" s="1122">
        <f t="shared" si="241"/>
        <v>0.95164420377322756</v>
      </c>
      <c r="M245" s="1122">
        <f t="shared" si="241"/>
        <v>-3.8499649883074083</v>
      </c>
      <c r="N245" s="1122">
        <f t="shared" si="241"/>
        <v>-1.0669872895911925</v>
      </c>
      <c r="O245" s="1122">
        <f t="shared" si="241"/>
        <v>3.9410543275206988</v>
      </c>
      <c r="P245" s="1122">
        <f t="shared" si="241"/>
        <v>9.9778181623817463</v>
      </c>
      <c r="Q245" s="1122">
        <f t="shared" si="241"/>
        <v>16.648238824830198</v>
      </c>
      <c r="R245" s="1122">
        <f t="shared" si="241"/>
        <v>10.245299723972723</v>
      </c>
      <c r="S245" s="1122">
        <f t="shared" si="241"/>
        <v>8.7702308179249844</v>
      </c>
      <c r="T245" s="1122">
        <f t="shared" si="241"/>
        <v>4.4643361259864456</v>
      </c>
      <c r="U245" s="1122">
        <f t="shared" si="241"/>
        <v>-9.3702967662539489</v>
      </c>
      <c r="V245" s="1122">
        <f t="shared" si="241"/>
        <v>2.9441987632346622</v>
      </c>
      <c r="W245" s="1122">
        <f t="shared" si="241"/>
        <v>-0.48706362574976181</v>
      </c>
      <c r="X245" s="1122">
        <f t="shared" si="241"/>
        <v>2.0751143014513529</v>
      </c>
      <c r="Y245" s="1122">
        <f t="shared" si="241"/>
        <v>-2.5922692555725879</v>
      </c>
      <c r="Z245" s="1122">
        <f t="shared" si="241"/>
        <v>6.0241940568731778</v>
      </c>
      <c r="AA245" s="1122">
        <f t="shared" si="241"/>
        <v>1.1915179216189342</v>
      </c>
      <c r="AB245" s="1122">
        <f t="shared" si="241"/>
        <v>2.7592257544528431</v>
      </c>
      <c r="AC245" s="3148">
        <f ca="1">OFFSET('VVP1'!$K$71,0,5*(COLUMN()-7))</f>
        <v>1.8187539840717637</v>
      </c>
      <c r="AD245" s="3148">
        <f ca="1">OFFSET('VVP1'!$K$71,0,5*(COLUMN()-7))</f>
        <v>1.7069999999999919</v>
      </c>
      <c r="AE245" s="3148">
        <f ca="1">OFFSET('VVP1'!$K$71,0,5*(COLUMN()-7))</f>
        <v>1.9083999999999879</v>
      </c>
    </row>
    <row r="246" spans="1:31" s="749" customFormat="1" ht="12.75" customHeight="1">
      <c r="A246" s="714"/>
      <c r="B246" s="714"/>
      <c r="C246" s="840" t="s">
        <v>622</v>
      </c>
      <c r="D246" s="946" t="s">
        <v>591</v>
      </c>
      <c r="E246" s="3213" t="s">
        <v>1248</v>
      </c>
      <c r="F246" s="754" t="s">
        <v>213</v>
      </c>
      <c r="G246" s="1085"/>
      <c r="H246" s="1085">
        <f t="shared" ref="H246:AC246" si="242">+(H237/G237-1)*100</f>
        <v>-0.79058963922685743</v>
      </c>
      <c r="I246" s="1085">
        <f t="shared" si="242"/>
        <v>6.8004124065641269</v>
      </c>
      <c r="J246" s="1085">
        <f t="shared" si="242"/>
        <v>1.2107316680745051</v>
      </c>
      <c r="K246" s="1085">
        <f t="shared" si="242"/>
        <v>18.357046339718618</v>
      </c>
      <c r="L246" s="1085">
        <f t="shared" si="242"/>
        <v>5.2634229878110173</v>
      </c>
      <c r="M246" s="1085">
        <f t="shared" si="242"/>
        <v>-7.6191843309887153</v>
      </c>
      <c r="N246" s="1085">
        <f t="shared" si="242"/>
        <v>0.70959944751380899</v>
      </c>
      <c r="O246" s="1085">
        <f t="shared" si="242"/>
        <v>4.4436063156811922</v>
      </c>
      <c r="P246" s="1085">
        <f t="shared" si="242"/>
        <v>1.6611132084762836</v>
      </c>
      <c r="Q246" s="1085">
        <f t="shared" si="242"/>
        <v>6.9540647452974946</v>
      </c>
      <c r="R246" s="1085">
        <f t="shared" si="242"/>
        <v>-3.1203768002173837</v>
      </c>
      <c r="S246" s="1085">
        <f t="shared" si="242"/>
        <v>9.5457732761978988</v>
      </c>
      <c r="T246" s="1085">
        <f t="shared" si="242"/>
        <v>5.4992105375456957</v>
      </c>
      <c r="U246" s="1085">
        <f t="shared" si="242"/>
        <v>9.6255747165181482</v>
      </c>
      <c r="V246" s="1085">
        <f t="shared" si="242"/>
        <v>3.2396133126706417</v>
      </c>
      <c r="W246" s="1085">
        <f t="shared" si="242"/>
        <v>10.492018108172507</v>
      </c>
      <c r="X246" s="1085">
        <f t="shared" si="242"/>
        <v>3.9764089404508818</v>
      </c>
      <c r="Y246" s="1085">
        <f t="shared" si="242"/>
        <v>-4.0773578057759163</v>
      </c>
      <c r="Z246" s="1085">
        <f t="shared" si="242"/>
        <v>1.2680669816114154</v>
      </c>
      <c r="AA246" s="1085">
        <f t="shared" si="242"/>
        <v>0.68640847175369668</v>
      </c>
      <c r="AB246" s="1085">
        <f t="shared" si="242"/>
        <v>-0.86514912159798563</v>
      </c>
      <c r="AC246" s="1085">
        <f t="shared" si="242"/>
        <v>3.7891832347625387</v>
      </c>
      <c r="AD246" s="3194">
        <f ca="1">OFFSET('VVP1'!$K$70,0,5*(COLUMN()-7))</f>
        <v>12.024159999999995</v>
      </c>
      <c r="AE246" s="3194">
        <f ca="1">OFFSET('VVP1'!$K$70,0,5*(COLUMN()-7))</f>
        <v>7.6100000000000056</v>
      </c>
    </row>
    <row r="247" spans="1:31" s="749" customFormat="1" ht="12.75" customHeight="1">
      <c r="A247" s="3210"/>
      <c r="B247" s="714"/>
      <c r="C247" s="840"/>
      <c r="D247" s="3102"/>
      <c r="E247" s="3103" t="s">
        <v>62</v>
      </c>
      <c r="F247" s="3102"/>
      <c r="G247" s="3104"/>
      <c r="H247" s="3104" t="e">
        <f t="shared" ref="H247:V247" si="243">+(H238/G238-1)*100</f>
        <v>#DIV/0!</v>
      </c>
      <c r="I247" s="3104" t="e">
        <f t="shared" si="243"/>
        <v>#DIV/0!</v>
      </c>
      <c r="J247" s="3104" t="e">
        <f t="shared" si="243"/>
        <v>#DIV/0!</v>
      </c>
      <c r="K247" s="3104" t="e">
        <f t="shared" si="243"/>
        <v>#DIV/0!</v>
      </c>
      <c r="L247" s="3104" t="e">
        <f t="shared" si="243"/>
        <v>#DIV/0!</v>
      </c>
      <c r="M247" s="3104" t="e">
        <f t="shared" si="243"/>
        <v>#DIV/0!</v>
      </c>
      <c r="N247" s="3104">
        <f t="shared" si="243"/>
        <v>20.062695924764885</v>
      </c>
      <c r="O247" s="3104">
        <f t="shared" si="243"/>
        <v>-49.086161879895563</v>
      </c>
      <c r="P247" s="3104">
        <f t="shared" si="243"/>
        <v>236.41025641025641</v>
      </c>
      <c r="Q247" s="3104">
        <f t="shared" si="243"/>
        <v>-73.932926829268283</v>
      </c>
      <c r="R247" s="3104">
        <f t="shared" si="243"/>
        <v>481.28654970760226</v>
      </c>
      <c r="S247" s="3104">
        <f t="shared" si="243"/>
        <v>-100</v>
      </c>
      <c r="T247" s="2844" t="e">
        <f t="shared" si="243"/>
        <v>#DIV/0!</v>
      </c>
      <c r="U247" s="2844" t="e">
        <f t="shared" si="243"/>
        <v>#DIV/0!</v>
      </c>
      <c r="V247" s="2844" t="e">
        <f t="shared" si="243"/>
        <v>#DIV/0!</v>
      </c>
      <c r="W247" s="2844" t="e">
        <f t="shared" ref="W247:AE248" si="244">+(W238/V238-1)*100</f>
        <v>#DIV/0!</v>
      </c>
      <c r="X247" s="2844" t="e">
        <f t="shared" si="244"/>
        <v>#DIV/0!</v>
      </c>
      <c r="Y247" s="2844" t="e">
        <f t="shared" si="244"/>
        <v>#DIV/0!</v>
      </c>
      <c r="Z247" s="2844" t="e">
        <f t="shared" si="244"/>
        <v>#DIV/0!</v>
      </c>
      <c r="AA247" s="2844" t="e">
        <f t="shared" si="244"/>
        <v>#DIV/0!</v>
      </c>
      <c r="AB247" s="2844">
        <f t="shared" si="244"/>
        <v>-100</v>
      </c>
      <c r="AC247" s="2844" t="e">
        <f t="shared" si="244"/>
        <v>#DIV/0!</v>
      </c>
      <c r="AD247" s="2844" t="e">
        <f t="shared" si="244"/>
        <v>#DIV/0!</v>
      </c>
      <c r="AE247" s="2844" t="e">
        <f t="shared" si="244"/>
        <v>#DIV/0!</v>
      </c>
    </row>
    <row r="248" spans="1:31" s="749" customFormat="1" ht="12.75" customHeight="1">
      <c r="A248" s="3210"/>
      <c r="B248" s="714"/>
      <c r="C248" s="840"/>
      <c r="D248" s="3102"/>
      <c r="E248" s="3103" t="s">
        <v>63</v>
      </c>
      <c r="F248" s="3102"/>
      <c r="G248" s="3104"/>
      <c r="H248" s="3104">
        <f t="shared" ref="H248:V248" si="245">+(H239/G239-1)*100</f>
        <v>-0.79058963922685743</v>
      </c>
      <c r="I248" s="3104">
        <f t="shared" si="245"/>
        <v>6.8004124065641269</v>
      </c>
      <c r="J248" s="3104">
        <f t="shared" si="245"/>
        <v>1.2107316680745051</v>
      </c>
      <c r="K248" s="3104">
        <f t="shared" si="245"/>
        <v>18.357046339718618</v>
      </c>
      <c r="L248" s="3104">
        <f t="shared" si="245"/>
        <v>5.2634229878110173</v>
      </c>
      <c r="M248" s="3104">
        <f t="shared" si="245"/>
        <v>-2.531221589549737</v>
      </c>
      <c r="N248" s="3104">
        <f t="shared" si="245"/>
        <v>1.7198494518082086</v>
      </c>
      <c r="O248" s="3104">
        <f t="shared" si="245"/>
        <v>1.1454127185856144</v>
      </c>
      <c r="P248" s="3104">
        <f t="shared" si="245"/>
        <v>8.9418351279563435</v>
      </c>
      <c r="Q248" s="3104">
        <f t="shared" si="245"/>
        <v>-0.79275859551791727</v>
      </c>
      <c r="R248" s="3104">
        <f t="shared" si="245"/>
        <v>9.0696373910996044</v>
      </c>
      <c r="S248" s="3104">
        <f t="shared" si="245"/>
        <v>-5.1460568036160055</v>
      </c>
      <c r="T248" s="3104">
        <f t="shared" si="245"/>
        <v>5.4992105375456957</v>
      </c>
      <c r="U248" s="3104">
        <f t="shared" si="245"/>
        <v>9.6255747165181482</v>
      </c>
      <c r="V248" s="3104">
        <f t="shared" si="245"/>
        <v>3.2396133126706417</v>
      </c>
      <c r="W248" s="2844">
        <f t="shared" si="244"/>
        <v>10.492018108172507</v>
      </c>
      <c r="X248" s="2844">
        <f t="shared" si="244"/>
        <v>3.9764089404508818</v>
      </c>
      <c r="Y248" s="2844">
        <f t="shared" si="244"/>
        <v>-4.0773578057759163</v>
      </c>
      <c r="Z248" s="2844">
        <f t="shared" si="244"/>
        <v>1.2680669816114154</v>
      </c>
      <c r="AA248" s="2844">
        <f t="shared" si="244"/>
        <v>11.361501345061686</v>
      </c>
      <c r="AB248" s="2844">
        <f t="shared" si="244"/>
        <v>-10.368197547905943</v>
      </c>
      <c r="AC248" s="2844">
        <f t="shared" si="244"/>
        <v>3.7891832347625387</v>
      </c>
      <c r="AD248" s="2844">
        <f t="shared" ca="1" si="244"/>
        <v>12.024159999999995</v>
      </c>
      <c r="AE248" s="2844">
        <f t="shared" ca="1" si="244"/>
        <v>7.6100000000000056</v>
      </c>
    </row>
    <row r="249" spans="1:31" s="749" customFormat="1" ht="12.75" customHeight="1">
      <c r="A249" s="714"/>
      <c r="B249" s="714"/>
      <c r="C249" s="841" t="s">
        <v>622</v>
      </c>
      <c r="D249" s="741" t="s">
        <v>590</v>
      </c>
      <c r="E249" s="842" t="s">
        <v>1248</v>
      </c>
      <c r="F249" s="785" t="s">
        <v>1763</v>
      </c>
      <c r="G249" s="3135"/>
      <c r="H249" s="3135">
        <f t="shared" ref="H249:AB249" ca="1" si="246">+(H240/G240-1)*100</f>
        <v>8.0137172085093198</v>
      </c>
      <c r="I249" s="3135">
        <f t="shared" si="246"/>
        <v>6.7382717909532319</v>
      </c>
      <c r="J249" s="3135">
        <f t="shared" si="246"/>
        <v>7.694582803982053</v>
      </c>
      <c r="K249" s="3135">
        <f t="shared" si="246"/>
        <v>4.2883268628209681</v>
      </c>
      <c r="L249" s="3135">
        <f t="shared" si="246"/>
        <v>9.7250193764233153</v>
      </c>
      <c r="M249" s="3135">
        <f t="shared" si="246"/>
        <v>6.9913572805842872</v>
      </c>
      <c r="N249" s="3135">
        <f t="shared" si="246"/>
        <v>-6.7042737482857611</v>
      </c>
      <c r="O249" s="3135">
        <f t="shared" si="246"/>
        <v>0.30027240362731078</v>
      </c>
      <c r="P249" s="3135">
        <f t="shared" si="246"/>
        <v>12.030509397984201</v>
      </c>
      <c r="Q249" s="3135">
        <f t="shared" si="246"/>
        <v>5.0203762060379686</v>
      </c>
      <c r="R249" s="3135">
        <f t="shared" si="246"/>
        <v>5.1309181752722033</v>
      </c>
      <c r="S249" s="3135">
        <f t="shared" si="246"/>
        <v>10.201465846826064</v>
      </c>
      <c r="T249" s="3135">
        <f t="shared" si="246"/>
        <v>6.7488818810777174</v>
      </c>
      <c r="U249" s="3135">
        <f t="shared" si="246"/>
        <v>-8.5471717540460226</v>
      </c>
      <c r="V249" s="3135">
        <f t="shared" si="246"/>
        <v>-5.0357311738369326E-2</v>
      </c>
      <c r="W249" s="3135">
        <f t="shared" si="246"/>
        <v>10.60309710135725</v>
      </c>
      <c r="X249" s="3135">
        <f t="shared" si="246"/>
        <v>2.278004718221438</v>
      </c>
      <c r="Y249" s="3135">
        <f t="shared" si="246"/>
        <v>0.46348599403260859</v>
      </c>
      <c r="Z249" s="3135">
        <f t="shared" si="246"/>
        <v>6.6920648193535603</v>
      </c>
      <c r="AA249" s="3135">
        <f t="shared" si="246"/>
        <v>4.2803574143202017</v>
      </c>
      <c r="AB249" s="3135">
        <f t="shared" si="246"/>
        <v>5.7463016565403979</v>
      </c>
      <c r="AC249" s="3193">
        <f ca="1">OFFSET('VVP1'!$K$72,0,5*(COLUMN()-7))</f>
        <v>3.0610289619636966</v>
      </c>
      <c r="AD249" s="3193">
        <f ca="1">OFFSET('VVP1'!$K$72,0,5*(COLUMN()-7))</f>
        <v>5.2395211611327319</v>
      </c>
      <c r="AE249" s="3193">
        <f ca="1">OFFSET('VVP1'!$K$72,0,5*(COLUMN()-7))</f>
        <v>4.1467621727777404</v>
      </c>
    </row>
    <row r="250" spans="1:31" s="749" customFormat="1" ht="12.75" customHeight="1">
      <c r="A250" s="714"/>
      <c r="B250" s="714"/>
      <c r="C250" s="822" t="s">
        <v>624</v>
      </c>
      <c r="D250" s="766"/>
      <c r="E250" s="771" t="s">
        <v>1248</v>
      </c>
      <c r="F250" s="772" t="s">
        <v>60</v>
      </c>
      <c r="G250" s="770"/>
      <c r="H250" s="770">
        <f t="shared" ref="H250:AC250" ca="1" si="247">+(H241/G241-1)*100</f>
        <v>2.2543853798439262</v>
      </c>
      <c r="I250" s="770">
        <f t="shared" si="247"/>
        <v>7.8466288348226998</v>
      </c>
      <c r="J250" s="770">
        <f t="shared" si="247"/>
        <v>3.7020759285430582</v>
      </c>
      <c r="K250" s="770">
        <f t="shared" si="247"/>
        <v>5.6961557752798653</v>
      </c>
      <c r="L250" s="770">
        <f t="shared" si="247"/>
        <v>6.8164846362395615</v>
      </c>
      <c r="M250" s="770">
        <f t="shared" si="247"/>
        <v>2.5880683677089067</v>
      </c>
      <c r="N250" s="770">
        <f t="shared" si="247"/>
        <v>-4.6062923400226996</v>
      </c>
      <c r="O250" s="770">
        <f t="shared" si="247"/>
        <v>1.6479891049022699</v>
      </c>
      <c r="P250" s="770">
        <f t="shared" si="247"/>
        <v>10.405144583214332</v>
      </c>
      <c r="Q250" s="770">
        <f t="shared" si="247"/>
        <v>8.2090921206324765</v>
      </c>
      <c r="R250" s="770">
        <f t="shared" si="247"/>
        <v>5.7618272784834668</v>
      </c>
      <c r="S250" s="770">
        <f t="shared" si="247"/>
        <v>9.7287544405003867</v>
      </c>
      <c r="T250" s="770">
        <f t="shared" si="247"/>
        <v>5.982455658462138</v>
      </c>
      <c r="U250" s="770">
        <f t="shared" si="247"/>
        <v>-7.1926046523682174</v>
      </c>
      <c r="V250" s="770">
        <f t="shared" si="247"/>
        <v>1.117792138389917</v>
      </c>
      <c r="W250" s="770">
        <f t="shared" si="247"/>
        <v>7.4672769200448297</v>
      </c>
      <c r="X250" s="770">
        <f t="shared" si="247"/>
        <v>2.4090812457510546</v>
      </c>
      <c r="Y250" s="770">
        <f t="shared" si="247"/>
        <v>-0.83048369030862546</v>
      </c>
      <c r="Z250" s="770">
        <f t="shared" si="247"/>
        <v>5.9444215049509141</v>
      </c>
      <c r="AA250" s="770">
        <f t="shared" si="247"/>
        <v>3.1254342539516866</v>
      </c>
      <c r="AB250" s="770">
        <f t="shared" si="247"/>
        <v>4.3407315858677187</v>
      </c>
      <c r="AC250" s="770">
        <f t="shared" ca="1" si="247"/>
        <v>2.8229052951040279</v>
      </c>
      <c r="AD250" s="3194">
        <f ca="1">OFFSET('VVP1'!$K$73,0,5*(COLUMN()-7))</f>
        <v>5.0216488733918707</v>
      </c>
      <c r="AE250" s="3194">
        <f ca="1">OFFSET('VVP1'!$K$73,0,5*(COLUMN()-7))</f>
        <v>3.968385390153828</v>
      </c>
    </row>
    <row r="252" spans="1:31" s="749" customFormat="1" ht="12.75" customHeight="1">
      <c r="A252" s="714"/>
      <c r="B252" s="714"/>
      <c r="C252" s="822"/>
      <c r="D252" s="1025"/>
      <c r="E252" s="1026" t="s">
        <v>61</v>
      </c>
      <c r="F252" s="1794"/>
      <c r="G252" s="1027">
        <f>InputY!$G$3</f>
        <v>1995</v>
      </c>
      <c r="H252" s="1027">
        <f t="shared" ref="H252:W252" si="248">+G252+1</f>
        <v>1996</v>
      </c>
      <c r="I252" s="1027">
        <f t="shared" si="248"/>
        <v>1997</v>
      </c>
      <c r="J252" s="1027">
        <f t="shared" si="248"/>
        <v>1998</v>
      </c>
      <c r="K252" s="1027">
        <f t="shared" si="248"/>
        <v>1999</v>
      </c>
      <c r="L252" s="1027">
        <f t="shared" si="248"/>
        <v>2000</v>
      </c>
      <c r="M252" s="1027">
        <f t="shared" si="248"/>
        <v>2001</v>
      </c>
      <c r="N252" s="1027">
        <f t="shared" si="248"/>
        <v>2002</v>
      </c>
      <c r="O252" s="1027">
        <f t="shared" si="248"/>
        <v>2003</v>
      </c>
      <c r="P252" s="1027">
        <f t="shared" si="248"/>
        <v>2004</v>
      </c>
      <c r="Q252" s="1027">
        <f t="shared" si="248"/>
        <v>2005</v>
      </c>
      <c r="R252" s="1027">
        <f t="shared" si="248"/>
        <v>2006</v>
      </c>
      <c r="S252" s="1027">
        <f t="shared" si="248"/>
        <v>2007</v>
      </c>
      <c r="T252" s="1027">
        <f t="shared" si="248"/>
        <v>2008</v>
      </c>
      <c r="U252" s="1027">
        <f t="shared" si="248"/>
        <v>2009</v>
      </c>
      <c r="V252" s="1027">
        <f t="shared" si="248"/>
        <v>2010</v>
      </c>
      <c r="W252" s="1027">
        <f t="shared" si="248"/>
        <v>2011</v>
      </c>
      <c r="X252" s="1027">
        <f t="shared" ref="X252:AE252" si="249">+W252+1</f>
        <v>2012</v>
      </c>
      <c r="Y252" s="1027">
        <f t="shared" si="249"/>
        <v>2013</v>
      </c>
      <c r="Z252" s="1027">
        <f t="shared" si="249"/>
        <v>2014</v>
      </c>
      <c r="AA252" s="1027">
        <f t="shared" si="249"/>
        <v>2015</v>
      </c>
      <c r="AB252" s="1027">
        <f t="shared" si="249"/>
        <v>2016</v>
      </c>
      <c r="AC252" s="1027">
        <f t="shared" si="249"/>
        <v>2017</v>
      </c>
      <c r="AD252" s="1027">
        <f t="shared" si="249"/>
        <v>2018</v>
      </c>
      <c r="AE252" s="1027">
        <f t="shared" si="249"/>
        <v>2019</v>
      </c>
    </row>
    <row r="253" spans="1:31" s="749" customFormat="1" ht="12.75" customHeight="1">
      <c r="A253" s="714"/>
      <c r="B253" s="714"/>
      <c r="C253" s="1791" t="s">
        <v>622</v>
      </c>
      <c r="D253" s="903" t="s">
        <v>589</v>
      </c>
      <c r="E253" s="904" t="s">
        <v>1248</v>
      </c>
      <c r="F253" s="905" t="s">
        <v>377</v>
      </c>
      <c r="G253" s="3214">
        <f t="shared" ref="G253:W253" ca="1" si="250">+G236/G$355</f>
        <v>6.8527829891315659E-2</v>
      </c>
      <c r="H253" s="3214">
        <f t="shared" si="250"/>
        <v>6.234208751963486E-2</v>
      </c>
      <c r="I253" s="3214">
        <f t="shared" si="250"/>
        <v>6.5833453925256011E-2</v>
      </c>
      <c r="J253" s="3214">
        <f t="shared" si="250"/>
        <v>6.1252183465705941E-2</v>
      </c>
      <c r="K253" s="3214">
        <f t="shared" si="250"/>
        <v>6.1398458804549888E-2</v>
      </c>
      <c r="L253" s="3214">
        <f t="shared" si="250"/>
        <v>5.8623200192082781E-2</v>
      </c>
      <c r="M253" s="3214">
        <f t="shared" si="250"/>
        <v>5.4761607353819797E-2</v>
      </c>
      <c r="N253" s="3214">
        <f t="shared" si="250"/>
        <v>5.2350152745659129E-2</v>
      </c>
      <c r="O253" s="3214">
        <f t="shared" si="250"/>
        <v>5.2955651517054586E-2</v>
      </c>
      <c r="P253" s="3214">
        <f t="shared" si="250"/>
        <v>5.5105473253729019E-2</v>
      </c>
      <c r="Q253" s="3214">
        <f t="shared" si="250"/>
        <v>6.1644249019522236E-2</v>
      </c>
      <c r="R253" s="3214">
        <f t="shared" si="250"/>
        <v>6.4801518143672021E-2</v>
      </c>
      <c r="S253" s="3214">
        <f t="shared" si="250"/>
        <v>6.6793922471624911E-2</v>
      </c>
      <c r="T253" s="3214">
        <f t="shared" ref="T253:U258" si="251">+T236/T$355</f>
        <v>6.793255153913437E-2</v>
      </c>
      <c r="U253" s="3214">
        <f t="shared" si="251"/>
        <v>6.2499946241353105E-2</v>
      </c>
      <c r="V253" s="3214">
        <f t="shared" ref="V253:V258" si="252">+V236/V$355</f>
        <v>6.1464172193683657E-2</v>
      </c>
      <c r="W253" s="3214">
        <f t="shared" si="250"/>
        <v>5.8905114475807971E-2</v>
      </c>
      <c r="X253" s="3214">
        <f t="shared" ref="X253:Y258" si="253">+X236/X$355</f>
        <v>5.8825017077414957E-2</v>
      </c>
      <c r="Y253" s="3214">
        <f t="shared" si="253"/>
        <v>5.6593289796242952E-2</v>
      </c>
      <c r="Z253" s="3214">
        <f t="shared" ref="Z253" si="254">+Z236/Z$355</f>
        <v>5.8811126583296743E-2</v>
      </c>
      <c r="AA253" s="3214">
        <f t="shared" ref="AA253:AA258" si="255">+AA236/AA$355</f>
        <v>5.8040587162114757E-2</v>
      </c>
      <c r="AB253" s="3214">
        <f t="shared" ref="AB253:AC253" si="256">+AB236/AB$355</f>
        <v>5.7863828346827462E-2</v>
      </c>
      <c r="AC253" s="3214">
        <f t="shared" ca="1" si="256"/>
        <v>5.6842170569431395E-2</v>
      </c>
      <c r="AD253" s="3214">
        <f t="shared" ref="AD253" ca="1" si="257">+AD236/AD$355</f>
        <v>5.591395556612324E-2</v>
      </c>
      <c r="AE253" s="3214">
        <f t="shared" ref="AE253" ca="1" si="258">+AE236/AE$355</f>
        <v>5.5077604632017302E-2</v>
      </c>
    </row>
    <row r="254" spans="1:31" s="749" customFormat="1" ht="12.75" customHeight="1">
      <c r="A254" s="714"/>
      <c r="B254" s="714"/>
      <c r="C254" s="1792" t="s">
        <v>622</v>
      </c>
      <c r="D254" s="724" t="s">
        <v>591</v>
      </c>
      <c r="E254" s="830" t="s">
        <v>1248</v>
      </c>
      <c r="F254" s="754" t="s">
        <v>213</v>
      </c>
      <c r="G254" s="1411">
        <f t="shared" ref="G254:W254" ca="1" si="259">+G237/G$355</f>
        <v>2.2209675007146545E-2</v>
      </c>
      <c r="H254" s="1411">
        <f t="shared" si="259"/>
        <v>2.1559452891141345E-2</v>
      </c>
      <c r="I254" s="1411">
        <f t="shared" si="259"/>
        <v>2.2003932403027497E-2</v>
      </c>
      <c r="J254" s="1411">
        <f t="shared" si="259"/>
        <v>2.146107972379159E-2</v>
      </c>
      <c r="K254" s="1411">
        <f t="shared" si="259"/>
        <v>2.4388066790595596E-2</v>
      </c>
      <c r="L254" s="1411">
        <f t="shared" si="259"/>
        <v>2.4280270464948763E-2</v>
      </c>
      <c r="M254" s="1411">
        <f t="shared" si="259"/>
        <v>2.1791771198442066E-2</v>
      </c>
      <c r="N254" s="1411">
        <f t="shared" si="259"/>
        <v>2.120625262892312E-2</v>
      </c>
      <c r="O254" s="1411">
        <f t="shared" si="259"/>
        <v>2.1555248525933487E-2</v>
      </c>
      <c r="P254" s="1411">
        <f t="shared" si="259"/>
        <v>2.0734101344845917E-2</v>
      </c>
      <c r="Q254" s="1411">
        <f t="shared" si="259"/>
        <v>2.1266800393475296E-2</v>
      </c>
      <c r="R254" s="1411">
        <f t="shared" si="259"/>
        <v>1.9645682801892234E-2</v>
      </c>
      <c r="S254" s="1411">
        <f t="shared" si="259"/>
        <v>2.0394096529716795E-2</v>
      </c>
      <c r="T254" s="1411">
        <f t="shared" si="251"/>
        <v>2.094723044495389E-2</v>
      </c>
      <c r="U254" s="1411">
        <f t="shared" si="251"/>
        <v>2.3311469572175791E-2</v>
      </c>
      <c r="V254" s="1411">
        <f t="shared" si="252"/>
        <v>2.2990929894645448E-2</v>
      </c>
      <c r="W254" s="1411">
        <f t="shared" si="259"/>
        <v>2.4464642238865464E-2</v>
      </c>
      <c r="X254" s="1411">
        <f t="shared" si="253"/>
        <v>2.488644519059479E-2</v>
      </c>
      <c r="Y254" s="1411">
        <f t="shared" si="253"/>
        <v>2.3577266440977948E-2</v>
      </c>
      <c r="Z254" s="1411">
        <f t="shared" ref="Z254" si="260">+Z237/Z$355</f>
        <v>2.3402138759024121E-2</v>
      </c>
      <c r="AA254" s="1411">
        <f t="shared" si="255"/>
        <v>2.2980241460771392E-2</v>
      </c>
      <c r="AB254" s="1411">
        <f t="shared" ref="AB254:AC254" si="261">+AB237/AB$355</f>
        <v>2.2102199180992054E-2</v>
      </c>
      <c r="AC254" s="1411">
        <f t="shared" si="261"/>
        <v>2.2132134173013147E-2</v>
      </c>
      <c r="AD254" s="1411">
        <f t="shared" ref="AD254" ca="1" si="262">+AD237/AD$355</f>
        <v>2.3979145872745859E-2</v>
      </c>
      <c r="AE254" s="1411">
        <f t="shared" ref="AE254" ca="1" si="263">+AE237/AE$355</f>
        <v>2.4941994848202961E-2</v>
      </c>
    </row>
    <row r="255" spans="1:31" s="749" customFormat="1" ht="12.75" customHeight="1">
      <c r="A255" s="3210"/>
      <c r="B255" s="714"/>
      <c r="C255" s="1792"/>
      <c r="D255" s="30"/>
      <c r="E255" s="50" t="s">
        <v>62</v>
      </c>
      <c r="F255" s="30"/>
      <c r="G255" s="3215">
        <f t="shared" ref="G255:W255" ca="1" si="264">+G238/G$355</f>
        <v>0</v>
      </c>
      <c r="H255" s="3215">
        <f t="shared" si="264"/>
        <v>0</v>
      </c>
      <c r="I255" s="3215">
        <f t="shared" si="264"/>
        <v>0</v>
      </c>
      <c r="J255" s="3215">
        <f t="shared" si="264"/>
        <v>0</v>
      </c>
      <c r="K255" s="3215">
        <f t="shared" si="264"/>
        <v>0</v>
      </c>
      <c r="L255" s="3215">
        <f t="shared" si="264"/>
        <v>0</v>
      </c>
      <c r="M255" s="3215">
        <f t="shared" si="264"/>
        <v>1.2002028681462396E-3</v>
      </c>
      <c r="N255" s="3215">
        <f t="shared" si="264"/>
        <v>1.3923976542280355E-3</v>
      </c>
      <c r="O255" s="3215">
        <f t="shared" si="264"/>
        <v>6.8993212129360502E-4</v>
      </c>
      <c r="P255" s="3215">
        <f t="shared" si="264"/>
        <v>2.196104057837882E-3</v>
      </c>
      <c r="Q255" s="3215">
        <f t="shared" si="264"/>
        <v>5.4899049957493368E-4</v>
      </c>
      <c r="R255" s="3215">
        <f t="shared" si="264"/>
        <v>3.0428996813526886E-3</v>
      </c>
      <c r="S255" s="3215">
        <f t="shared" si="264"/>
        <v>0</v>
      </c>
      <c r="T255" s="3215">
        <f t="shared" si="251"/>
        <v>0</v>
      </c>
      <c r="U255" s="3215">
        <f t="shared" si="251"/>
        <v>0</v>
      </c>
      <c r="V255" s="3215">
        <f t="shared" si="252"/>
        <v>0</v>
      </c>
      <c r="W255" s="3216">
        <f t="shared" si="264"/>
        <v>0</v>
      </c>
      <c r="X255" s="3216">
        <f t="shared" si="253"/>
        <v>0</v>
      </c>
      <c r="Y255" s="3216">
        <f t="shared" si="253"/>
        <v>0</v>
      </c>
      <c r="Z255" s="3216">
        <f t="shared" ref="Z255" si="265">+Z238/Z$355</f>
        <v>0</v>
      </c>
      <c r="AA255" s="3216">
        <f t="shared" si="255"/>
        <v>2.4364382002323385E-3</v>
      </c>
      <c r="AB255" s="3216">
        <f t="shared" ref="AB255:AC255" si="266">+AB238/AB$355</f>
        <v>0</v>
      </c>
      <c r="AC255" s="3216">
        <f t="shared" si="266"/>
        <v>0</v>
      </c>
      <c r="AD255" s="3216">
        <f t="shared" ref="AD255" ca="1" si="267">+AD238/AD$355</f>
        <v>0</v>
      </c>
      <c r="AE255" s="3216">
        <f t="shared" ref="AE255" ca="1" si="268">+AE238/AE$355</f>
        <v>0</v>
      </c>
    </row>
    <row r="256" spans="1:31" s="749" customFormat="1" ht="12.75" customHeight="1">
      <c r="A256" s="3210"/>
      <c r="B256" s="714"/>
      <c r="C256" s="1792"/>
      <c r="D256" s="30"/>
      <c r="E256" s="50" t="s">
        <v>63</v>
      </c>
      <c r="F256" s="30"/>
      <c r="G256" s="3215">
        <f t="shared" ref="G256:W256" ca="1" si="269">+G239/G$355</f>
        <v>2.2209675007146545E-2</v>
      </c>
      <c r="H256" s="3215">
        <f t="shared" si="269"/>
        <v>2.1559452891141345E-2</v>
      </c>
      <c r="I256" s="3215">
        <f t="shared" si="269"/>
        <v>2.2003932403027497E-2</v>
      </c>
      <c r="J256" s="3215">
        <f t="shared" si="269"/>
        <v>2.146107972379159E-2</v>
      </c>
      <c r="K256" s="3215">
        <f t="shared" si="269"/>
        <v>2.4388066790595596E-2</v>
      </c>
      <c r="L256" s="3215">
        <f t="shared" si="269"/>
        <v>2.4280270464948763E-2</v>
      </c>
      <c r="M256" s="3215">
        <f t="shared" si="269"/>
        <v>2.2991974066588306E-2</v>
      </c>
      <c r="N256" s="3215">
        <f t="shared" si="269"/>
        <v>2.2598650283151153E-2</v>
      </c>
      <c r="O256" s="3215">
        <f t="shared" si="269"/>
        <v>2.2245180647227091E-2</v>
      </c>
      <c r="P256" s="3215">
        <f t="shared" si="269"/>
        <v>2.2930205402683798E-2</v>
      </c>
      <c r="Q256" s="3215">
        <f t="shared" si="269"/>
        <v>2.1815790893050233E-2</v>
      </c>
      <c r="R256" s="3215">
        <f t="shared" si="269"/>
        <v>2.2688582483244922E-2</v>
      </c>
      <c r="S256" s="3215">
        <f t="shared" si="269"/>
        <v>2.0394096529716795E-2</v>
      </c>
      <c r="T256" s="3215">
        <f t="shared" si="251"/>
        <v>2.094723044495389E-2</v>
      </c>
      <c r="U256" s="3215">
        <f t="shared" si="251"/>
        <v>2.3311469572175791E-2</v>
      </c>
      <c r="V256" s="3215">
        <f t="shared" si="252"/>
        <v>2.2990929894645448E-2</v>
      </c>
      <c r="W256" s="3217">
        <f t="shared" si="269"/>
        <v>2.4464642238865464E-2</v>
      </c>
      <c r="X256" s="3217">
        <f t="shared" si="253"/>
        <v>2.488644519059479E-2</v>
      </c>
      <c r="Y256" s="3217">
        <f t="shared" si="253"/>
        <v>2.3577266440977948E-2</v>
      </c>
      <c r="Z256" s="3217">
        <f t="shared" ref="Z256" si="270">+Z239/Z$355</f>
        <v>2.3402138759024121E-2</v>
      </c>
      <c r="AA256" s="3217">
        <f t="shared" si="255"/>
        <v>2.5416679661003732E-2</v>
      </c>
      <c r="AB256" s="3217">
        <f t="shared" ref="AB256:AC256" si="271">+AB239/AB$355</f>
        <v>2.2102199180992054E-2</v>
      </c>
      <c r="AC256" s="3217">
        <f t="shared" si="271"/>
        <v>2.2132134173013147E-2</v>
      </c>
      <c r="AD256" s="3217">
        <f t="shared" ref="AD256" ca="1" si="272">+AD239/AD$355</f>
        <v>2.3979145872745859E-2</v>
      </c>
      <c r="AE256" s="3217">
        <f t="shared" ref="AE256" ca="1" si="273">+AE239/AE$355</f>
        <v>2.4941994848202961E-2</v>
      </c>
    </row>
    <row r="257" spans="1:31" s="749" customFormat="1" ht="12.75" customHeight="1">
      <c r="A257" s="714"/>
      <c r="B257" s="714"/>
      <c r="C257" s="1793" t="s">
        <v>622</v>
      </c>
      <c r="D257" s="908" t="s">
        <v>590</v>
      </c>
      <c r="E257" s="3218" t="s">
        <v>1248</v>
      </c>
      <c r="F257" s="910" t="s">
        <v>1763</v>
      </c>
      <c r="G257" s="1795">
        <f t="shared" ref="G257:W257" ca="1" si="274">+G240/G$355</f>
        <v>0.12213972402016557</v>
      </c>
      <c r="H257" s="1795">
        <f t="shared" si="274"/>
        <v>0.1290858117720281</v>
      </c>
      <c r="I257" s="1795">
        <f t="shared" si="274"/>
        <v>0.13167044816383863</v>
      </c>
      <c r="J257" s="1795">
        <f t="shared" si="274"/>
        <v>0.13664913070771581</v>
      </c>
      <c r="K257" s="1795">
        <f t="shared" si="274"/>
        <v>0.13682777427464723</v>
      </c>
      <c r="L257" s="1795">
        <f t="shared" si="274"/>
        <v>0.1419968089473399</v>
      </c>
      <c r="M257" s="1795">
        <f t="shared" si="274"/>
        <v>0.14759936852022132</v>
      </c>
      <c r="N257" s="1795">
        <f t="shared" si="274"/>
        <v>0.13305977384989953</v>
      </c>
      <c r="O257" s="1795">
        <f t="shared" si="274"/>
        <v>0.12988414447532431</v>
      </c>
      <c r="P257" s="1795">
        <f t="shared" si="274"/>
        <v>0.13767965537235347</v>
      </c>
      <c r="Q257" s="1795">
        <f t="shared" si="274"/>
        <v>0.13866376354497612</v>
      </c>
      <c r="R257" s="1795">
        <f t="shared" si="274"/>
        <v>0.1390035758663157</v>
      </c>
      <c r="S257" s="1795">
        <f t="shared" si="274"/>
        <v>0.14516270805381298</v>
      </c>
      <c r="T257" s="1795">
        <f t="shared" si="251"/>
        <v>0.15086598285799338</v>
      </c>
      <c r="U257" s="1795">
        <f t="shared" si="251"/>
        <v>0.14006177513632478</v>
      </c>
      <c r="V257" s="1795">
        <f t="shared" si="252"/>
        <v>0.1337338623201009</v>
      </c>
      <c r="W257" s="1795">
        <f t="shared" si="274"/>
        <v>0.14244922862004669</v>
      </c>
      <c r="X257" s="1795">
        <f t="shared" si="253"/>
        <v>0.14253828579657141</v>
      </c>
      <c r="Y257" s="1795">
        <f t="shared" si="253"/>
        <v>0.1414325031516048</v>
      </c>
      <c r="Z257" s="1795">
        <f t="shared" ref="Z257" si="275">+Z240/Z$355</f>
        <v>0.14790093737462159</v>
      </c>
      <c r="AA257" s="1795">
        <f t="shared" si="255"/>
        <v>0.15041862881156393</v>
      </c>
      <c r="AB257" s="1795">
        <f t="shared" ref="AB257:AC257" si="276">+AB240/AB$355</f>
        <v>0.15431969486233726</v>
      </c>
      <c r="AC257" s="1795">
        <f t="shared" ca="1" si="276"/>
        <v>0.15344457610308573</v>
      </c>
      <c r="AD257" s="1795">
        <f t="shared" ref="AD257" ca="1" si="277">+AD240/AD$355</f>
        <v>0.15618133268408091</v>
      </c>
      <c r="AE257" s="1795">
        <f t="shared" ref="AE257" ca="1" si="278">+AE240/AE$355</f>
        <v>0.15722432581520771</v>
      </c>
    </row>
    <row r="258" spans="1:31" s="749" customFormat="1" ht="12.75" customHeight="1">
      <c r="A258" s="714"/>
      <c r="B258" s="714"/>
      <c r="C258" s="822" t="s">
        <v>624</v>
      </c>
      <c r="D258" s="850"/>
      <c r="E258" s="851" t="s">
        <v>1248</v>
      </c>
      <c r="F258" s="852" t="s">
        <v>60</v>
      </c>
      <c r="G258" s="881">
        <f t="shared" ref="G258:W258" ca="1" si="279">+G241/G$355</f>
        <v>0.21287722891862779</v>
      </c>
      <c r="H258" s="881">
        <f t="shared" si="279"/>
        <v>0.21298735218280429</v>
      </c>
      <c r="I258" s="881">
        <f t="shared" si="279"/>
        <v>0.21950783449212213</v>
      </c>
      <c r="J258" s="881">
        <f t="shared" si="279"/>
        <v>0.21936239389721332</v>
      </c>
      <c r="K258" s="881">
        <f t="shared" si="279"/>
        <v>0.22261429986979275</v>
      </c>
      <c r="L258" s="881">
        <f t="shared" si="279"/>
        <v>0.22490027960437145</v>
      </c>
      <c r="M258" s="881">
        <f t="shared" si="279"/>
        <v>0.2241527470724832</v>
      </c>
      <c r="N258" s="881">
        <f t="shared" si="279"/>
        <v>0.20661617922448178</v>
      </c>
      <c r="O258" s="881">
        <f t="shared" si="279"/>
        <v>0.20439504451831239</v>
      </c>
      <c r="P258" s="881">
        <f t="shared" si="279"/>
        <v>0.2135192299709284</v>
      </c>
      <c r="Q258" s="881">
        <f t="shared" si="279"/>
        <v>0.22157481295797365</v>
      </c>
      <c r="R258" s="881">
        <f t="shared" si="279"/>
        <v>0.22345077681187991</v>
      </c>
      <c r="S258" s="881">
        <f t="shared" si="279"/>
        <v>0.23235072705515467</v>
      </c>
      <c r="T258" s="881">
        <f t="shared" si="251"/>
        <v>0.23974576484208163</v>
      </c>
      <c r="U258" s="881">
        <f t="shared" si="251"/>
        <v>0.2258731909498537</v>
      </c>
      <c r="V258" s="881">
        <f t="shared" si="252"/>
        <v>0.21818896440843</v>
      </c>
      <c r="W258" s="881">
        <f t="shared" si="279"/>
        <v>0.22581898533472011</v>
      </c>
      <c r="X258" s="881">
        <f t="shared" si="253"/>
        <v>0.22624974806458115</v>
      </c>
      <c r="Y258" s="881">
        <f t="shared" si="253"/>
        <v>0.22160305938882571</v>
      </c>
      <c r="Z258" s="881">
        <f t="shared" ref="Z258" si="280">+Z241/Z$355</f>
        <v>0.23011420271694247</v>
      </c>
      <c r="AA258" s="881">
        <f t="shared" si="255"/>
        <v>0.23143945743445005</v>
      </c>
      <c r="AB258" s="881">
        <f t="shared" ref="AB258:AC258" si="281">+AB241/AB$355</f>
        <v>0.2342857223901568</v>
      </c>
      <c r="AC258" s="881">
        <f t="shared" ca="1" si="281"/>
        <v>0.23241888084553028</v>
      </c>
      <c r="AD258" s="881">
        <f t="shared" ref="AD258" ca="1" si="282">+AD241/AD$355</f>
        <v>0.23607443412294998</v>
      </c>
      <c r="AE258" s="881">
        <f t="shared" ref="AE258" ca="1" si="283">+AE241/AE$355</f>
        <v>0.23724392529542795</v>
      </c>
    </row>
    <row r="260" spans="1:31">
      <c r="A260" s="1123"/>
      <c r="B260" s="1123"/>
      <c r="D260" s="1107"/>
      <c r="E260" s="1108" t="s">
        <v>1223</v>
      </c>
      <c r="F260" s="1109"/>
      <c r="G260" s="748">
        <f>InputY!$G$3</f>
        <v>1995</v>
      </c>
      <c r="H260" s="748">
        <f t="shared" ref="H260:W260" si="284">+G260+1</f>
        <v>1996</v>
      </c>
      <c r="I260" s="748">
        <f t="shared" si="284"/>
        <v>1997</v>
      </c>
      <c r="J260" s="748">
        <f t="shared" si="284"/>
        <v>1998</v>
      </c>
      <c r="K260" s="748">
        <f t="shared" si="284"/>
        <v>1999</v>
      </c>
      <c r="L260" s="748">
        <f t="shared" si="284"/>
        <v>2000</v>
      </c>
      <c r="M260" s="748">
        <f t="shared" si="284"/>
        <v>2001</v>
      </c>
      <c r="N260" s="748">
        <f t="shared" si="284"/>
        <v>2002</v>
      </c>
      <c r="O260" s="748">
        <f t="shared" si="284"/>
        <v>2003</v>
      </c>
      <c r="P260" s="748">
        <f t="shared" si="284"/>
        <v>2004</v>
      </c>
      <c r="Q260" s="748">
        <f t="shared" si="284"/>
        <v>2005</v>
      </c>
      <c r="R260" s="748">
        <f t="shared" si="284"/>
        <v>2006</v>
      </c>
      <c r="S260" s="748">
        <f t="shared" si="284"/>
        <v>2007</v>
      </c>
      <c r="T260" s="748">
        <f t="shared" si="284"/>
        <v>2008</v>
      </c>
      <c r="U260" s="748">
        <f t="shared" si="284"/>
        <v>2009</v>
      </c>
      <c r="V260" s="748">
        <f t="shared" si="284"/>
        <v>2010</v>
      </c>
      <c r="W260" s="748">
        <f t="shared" si="284"/>
        <v>2011</v>
      </c>
      <c r="X260" s="748">
        <f t="shared" ref="X260:AE260" si="285">+W260+1</f>
        <v>2012</v>
      </c>
      <c r="Y260" s="748">
        <f t="shared" si="285"/>
        <v>2013</v>
      </c>
      <c r="Z260" s="748">
        <f t="shared" si="285"/>
        <v>2014</v>
      </c>
      <c r="AA260" s="748">
        <f t="shared" si="285"/>
        <v>2015</v>
      </c>
      <c r="AB260" s="748">
        <f t="shared" si="285"/>
        <v>2016</v>
      </c>
      <c r="AC260" s="748">
        <f t="shared" si="285"/>
        <v>2017</v>
      </c>
      <c r="AD260" s="748">
        <f t="shared" si="285"/>
        <v>2018</v>
      </c>
      <c r="AE260" s="748">
        <f t="shared" si="285"/>
        <v>2019</v>
      </c>
    </row>
    <row r="261" spans="1:31">
      <c r="A261" s="714"/>
      <c r="B261" s="1123"/>
      <c r="C261" s="1112" t="s">
        <v>622</v>
      </c>
      <c r="D261" s="1099" t="s">
        <v>589</v>
      </c>
      <c r="E261" s="1080" t="s">
        <v>1043</v>
      </c>
      <c r="F261" s="1099" t="s">
        <v>876</v>
      </c>
      <c r="G261" s="3127">
        <f t="shared" ref="G261:Y261" ca="1" si="286">+G192</f>
        <v>112.9679</v>
      </c>
      <c r="H261" s="3127">
        <f t="shared" si="286"/>
        <v>116.6069</v>
      </c>
      <c r="I261" s="3127">
        <f t="shared" si="286"/>
        <v>120.49119999999999</v>
      </c>
      <c r="J261" s="3127">
        <f t="shared" si="286"/>
        <v>125.2568</v>
      </c>
      <c r="K261" s="3127">
        <f t="shared" si="286"/>
        <v>128.14839999999998</v>
      </c>
      <c r="L261" s="3127">
        <f t="shared" si="286"/>
        <v>136.1028</v>
      </c>
      <c r="M261" s="3127">
        <f t="shared" si="286"/>
        <v>140.29089999999999</v>
      </c>
      <c r="N261" s="3127">
        <f t="shared" si="286"/>
        <v>142.79829999999998</v>
      </c>
      <c r="O261" s="3127">
        <f t="shared" si="286"/>
        <v>145.8004</v>
      </c>
      <c r="P261" s="3127">
        <f t="shared" si="286"/>
        <v>151.649</v>
      </c>
      <c r="Q261" s="3127">
        <f t="shared" si="286"/>
        <v>157.66120000000001</v>
      </c>
      <c r="R261" s="3127">
        <f t="shared" si="286"/>
        <v>164.9487</v>
      </c>
      <c r="S261" s="3127">
        <f t="shared" si="286"/>
        <v>172.86610000000002</v>
      </c>
      <c r="T261" s="3127">
        <f t="shared" si="286"/>
        <v>181.39229999999998</v>
      </c>
      <c r="U261" s="3127">
        <f t="shared" si="286"/>
        <v>181.54570000000001</v>
      </c>
      <c r="V261" s="3127">
        <f t="shared" si="286"/>
        <v>189.69289999999998</v>
      </c>
      <c r="W261" s="3127">
        <f t="shared" si="286"/>
        <v>196.06920000000002</v>
      </c>
      <c r="X261" s="3127">
        <f t="shared" si="286"/>
        <v>201.18220000000002</v>
      </c>
      <c r="Y261" s="3127">
        <f t="shared" si="286"/>
        <v>204.38479999999998</v>
      </c>
      <c r="Z261" s="3127">
        <f t="shared" ref="Z261" si="287">+Z192</f>
        <v>206.88900000000001</v>
      </c>
      <c r="AA261" s="3127">
        <f>+AA192</f>
        <v>209.88810000000001</v>
      </c>
      <c r="AB261" s="3127">
        <f>+AB192</f>
        <v>216.57429999999999</v>
      </c>
      <c r="AC261" s="3127">
        <f>+AC192</f>
        <v>222.72300000000001</v>
      </c>
      <c r="AD261" s="3127">
        <f ca="1">+AD192</f>
        <v>230.24669430149996</v>
      </c>
      <c r="AE261" s="3127">
        <f ca="1">+AE192</f>
        <v>237.344923590782</v>
      </c>
    </row>
    <row r="262" spans="1:31">
      <c r="A262" s="714"/>
      <c r="B262" s="3208"/>
      <c r="C262" s="1113" t="s">
        <v>622</v>
      </c>
      <c r="D262" s="3" t="s">
        <v>591</v>
      </c>
      <c r="E262" s="29" t="s">
        <v>1043</v>
      </c>
      <c r="F262" s="3" t="s">
        <v>1382</v>
      </c>
      <c r="G262" s="3083">
        <f t="shared" ref="G262:Y262" ca="1" si="288">+G200</f>
        <v>44.768500000000003</v>
      </c>
      <c r="H262" s="3083">
        <f t="shared" si="288"/>
        <v>46.438000000000002</v>
      </c>
      <c r="I262" s="3083">
        <f t="shared" si="288"/>
        <v>47.353499999999997</v>
      </c>
      <c r="J262" s="3083">
        <f t="shared" si="288"/>
        <v>48.906800000000004</v>
      </c>
      <c r="K262" s="3083">
        <f t="shared" si="288"/>
        <v>51.3262</v>
      </c>
      <c r="L262" s="3083">
        <f t="shared" si="288"/>
        <v>53.902300000000004</v>
      </c>
      <c r="M262" s="3083">
        <f t="shared" si="288"/>
        <v>56.5563</v>
      </c>
      <c r="N262" s="3083">
        <f t="shared" si="288"/>
        <v>60.284300000000002</v>
      </c>
      <c r="O262" s="3083">
        <f t="shared" si="288"/>
        <v>63.1738</v>
      </c>
      <c r="P262" s="3083">
        <f t="shared" si="288"/>
        <v>65.821699999999993</v>
      </c>
      <c r="Q262" s="3083">
        <f t="shared" si="288"/>
        <v>68.861699999999999</v>
      </c>
      <c r="R262" s="3083">
        <f t="shared" si="288"/>
        <v>71.5137</v>
      </c>
      <c r="S262" s="3083">
        <f t="shared" si="288"/>
        <v>74.411699999999996</v>
      </c>
      <c r="T262" s="3083">
        <f t="shared" si="288"/>
        <v>79.857399999999998</v>
      </c>
      <c r="U262" s="3083">
        <f t="shared" si="288"/>
        <v>83.781800000000004</v>
      </c>
      <c r="V262" s="3083">
        <f t="shared" si="288"/>
        <v>85.998899999999992</v>
      </c>
      <c r="W262" s="3083">
        <f t="shared" si="288"/>
        <v>90.127499999999998</v>
      </c>
      <c r="X262" s="3083">
        <f t="shared" si="288"/>
        <v>94.010600000000011</v>
      </c>
      <c r="Y262" s="3083">
        <f t="shared" si="288"/>
        <v>96.087100000000007</v>
      </c>
      <c r="Z262" s="3083">
        <f t="shared" ref="Z262" si="289">+Z200</f>
        <v>97.404200000000003</v>
      </c>
      <c r="AA262" s="3083">
        <f>+AA200</f>
        <v>98.209500000000006</v>
      </c>
      <c r="AB262" s="3083">
        <f>+AB200</f>
        <v>99.713499999999996</v>
      </c>
      <c r="AC262" s="3083">
        <f>+AC200</f>
        <v>102.5765</v>
      </c>
      <c r="AD262" s="3083">
        <f ca="1">+AD200</f>
        <v>104.76516041979002</v>
      </c>
      <c r="AE262" s="3083">
        <f ca="1">+AE200</f>
        <v>107.74918648402686</v>
      </c>
    </row>
    <row r="263" spans="1:31">
      <c r="A263" s="714"/>
      <c r="B263" s="1123"/>
      <c r="C263" s="1114" t="s">
        <v>622</v>
      </c>
      <c r="D263" s="1110"/>
      <c r="E263" s="3153" t="s">
        <v>1248</v>
      </c>
      <c r="F263" s="1110" t="s">
        <v>60</v>
      </c>
      <c r="G263" s="1116">
        <f t="shared" ref="G263:W263" ca="1" si="290">+G220</f>
        <v>44.869</v>
      </c>
      <c r="H263" s="1116">
        <f t="shared" si="290"/>
        <v>45.993000000000002</v>
      </c>
      <c r="I263" s="1116">
        <f t="shared" si="290"/>
        <v>49.601900000000001</v>
      </c>
      <c r="J263" s="1116">
        <f t="shared" si="290"/>
        <v>51.438199999999995</v>
      </c>
      <c r="K263" s="1116">
        <f t="shared" si="290"/>
        <v>54.368199999999995</v>
      </c>
      <c r="L263" s="1116">
        <f t="shared" si="290"/>
        <v>58.074199999999998</v>
      </c>
      <c r="M263" s="1116">
        <f t="shared" si="290"/>
        <v>59.577199999999998</v>
      </c>
      <c r="N263" s="1116">
        <f t="shared" si="290"/>
        <v>56.832900000000002</v>
      </c>
      <c r="O263" s="1116">
        <f t="shared" si="290"/>
        <v>57.769500000000001</v>
      </c>
      <c r="P263" s="1116">
        <f t="shared" si="290"/>
        <v>63.780500000000004</v>
      </c>
      <c r="Q263" s="1116">
        <f t="shared" si="290"/>
        <v>69.016300000000001</v>
      </c>
      <c r="R263" s="1116">
        <f t="shared" si="290"/>
        <v>72.992899999999992</v>
      </c>
      <c r="S263" s="1116">
        <f t="shared" si="290"/>
        <v>80.094200000000001</v>
      </c>
      <c r="T263" s="1116">
        <f t="shared" si="290"/>
        <v>84.885800000000003</v>
      </c>
      <c r="U263" s="1116">
        <f t="shared" si="290"/>
        <v>78.780299999999997</v>
      </c>
      <c r="V263" s="1116">
        <f t="shared" si="290"/>
        <v>79.660899999999998</v>
      </c>
      <c r="W263" s="1116">
        <f t="shared" si="290"/>
        <v>85.609399999999994</v>
      </c>
      <c r="X263" s="1116">
        <f t="shared" ref="X263:AC263" si="291">+X220</f>
        <v>87.671800000000005</v>
      </c>
      <c r="Y263" s="1116">
        <f t="shared" si="291"/>
        <v>86.943699999999993</v>
      </c>
      <c r="Z263" s="1116">
        <f t="shared" ref="Z263" si="292">+Z220</f>
        <v>92.314399999999992</v>
      </c>
      <c r="AA263" s="1116">
        <f t="shared" si="291"/>
        <v>95.18610000000001</v>
      </c>
      <c r="AB263" s="1116">
        <f t="shared" si="291"/>
        <v>99.153600000000012</v>
      </c>
      <c r="AC263" s="1116">
        <f t="shared" si="291"/>
        <v>101.91210000000001</v>
      </c>
      <c r="AD263" s="1116">
        <f t="shared" ref="AD263" ca="1" si="293">+AD220</f>
        <v>107.0297678215</v>
      </c>
      <c r="AE263" s="1116">
        <f t="shared" ref="AE263" ca="1" si="294">+AE220</f>
        <v>111.27712149084397</v>
      </c>
    </row>
    <row r="264" spans="1:31">
      <c r="A264" s="714"/>
      <c r="B264" s="714"/>
      <c r="C264" s="744" t="s">
        <v>624</v>
      </c>
      <c r="D264" s="1096"/>
      <c r="E264" s="1097" t="s">
        <v>1223</v>
      </c>
      <c r="F264" s="1096"/>
      <c r="G264" s="1098">
        <f t="shared" ref="G264:Y264" ca="1" si="295">+G261+G262+G263</f>
        <v>202.6054</v>
      </c>
      <c r="H264" s="1098">
        <f t="shared" si="295"/>
        <v>209.03789999999998</v>
      </c>
      <c r="I264" s="1098">
        <f t="shared" si="295"/>
        <v>217.44659999999999</v>
      </c>
      <c r="J264" s="1098">
        <f t="shared" si="295"/>
        <v>225.6018</v>
      </c>
      <c r="K264" s="1098">
        <f t="shared" si="295"/>
        <v>233.84279999999998</v>
      </c>
      <c r="L264" s="1098">
        <f t="shared" si="295"/>
        <v>248.07929999999999</v>
      </c>
      <c r="M264" s="1098">
        <f t="shared" si="295"/>
        <v>256.42439999999999</v>
      </c>
      <c r="N264" s="1098">
        <f t="shared" si="295"/>
        <v>259.91550000000001</v>
      </c>
      <c r="O264" s="1098">
        <f t="shared" si="295"/>
        <v>266.74369999999999</v>
      </c>
      <c r="P264" s="1098">
        <f t="shared" si="295"/>
        <v>281.25119999999998</v>
      </c>
      <c r="Q264" s="1098">
        <f t="shared" si="295"/>
        <v>295.53919999999999</v>
      </c>
      <c r="R264" s="1098">
        <f t="shared" si="295"/>
        <v>309.45529999999997</v>
      </c>
      <c r="S264" s="1098">
        <f t="shared" si="295"/>
        <v>327.37200000000001</v>
      </c>
      <c r="T264" s="1098">
        <f t="shared" si="295"/>
        <v>346.13549999999998</v>
      </c>
      <c r="U264" s="1098">
        <f t="shared" si="295"/>
        <v>344.1078</v>
      </c>
      <c r="V264" s="1098">
        <f t="shared" si="295"/>
        <v>355.35269999999991</v>
      </c>
      <c r="W264" s="1098">
        <f t="shared" si="295"/>
        <v>371.80610000000001</v>
      </c>
      <c r="X264" s="1098">
        <f t="shared" si="295"/>
        <v>382.86460000000005</v>
      </c>
      <c r="Y264" s="1098">
        <f t="shared" si="295"/>
        <v>387.41559999999998</v>
      </c>
      <c r="Z264" s="1098">
        <f t="shared" ref="Z264" si="296">+Z261+Z262+Z263</f>
        <v>396.60759999999999</v>
      </c>
      <c r="AA264" s="1098">
        <f>+AA261+AA262+AA263</f>
        <v>403.28370000000001</v>
      </c>
      <c r="AB264" s="1098">
        <f>+AB261+AB262+AB263</f>
        <v>415.44140000000004</v>
      </c>
      <c r="AC264" s="1098">
        <f>+AC261+AC262+AC263</f>
        <v>427.21160000000003</v>
      </c>
      <c r="AD264" s="1098">
        <f ca="1">+AD261+AD262+AD263</f>
        <v>442.04162254278998</v>
      </c>
      <c r="AE264" s="1098">
        <f ca="1">+AE261+AE262+AE263</f>
        <v>456.37123156565286</v>
      </c>
    </row>
    <row r="265" spans="1:31">
      <c r="A265" s="714"/>
      <c r="B265" s="714"/>
      <c r="D265" s="1882"/>
      <c r="E265" s="1882" t="s">
        <v>474</v>
      </c>
      <c r="F265" s="1882"/>
      <c r="G265" s="1043">
        <f t="shared" ref="G265:Y265" ca="1" si="297">ABS(G264-G263-G262-G261)</f>
        <v>0</v>
      </c>
      <c r="H265" s="1043">
        <f t="shared" si="297"/>
        <v>1.4210854715202004E-14</v>
      </c>
      <c r="I265" s="1043">
        <f t="shared" si="297"/>
        <v>0</v>
      </c>
      <c r="J265" s="1043">
        <f t="shared" si="297"/>
        <v>0</v>
      </c>
      <c r="K265" s="1043">
        <f t="shared" si="297"/>
        <v>0</v>
      </c>
      <c r="L265" s="1043">
        <f t="shared" si="297"/>
        <v>0</v>
      </c>
      <c r="M265" s="1043">
        <f t="shared" si="297"/>
        <v>0</v>
      </c>
      <c r="N265" s="1043">
        <f t="shared" si="297"/>
        <v>2.8421709430404007E-14</v>
      </c>
      <c r="O265" s="1043">
        <f t="shared" si="297"/>
        <v>0</v>
      </c>
      <c r="P265" s="1043">
        <f t="shared" si="297"/>
        <v>2.8421709430404007E-14</v>
      </c>
      <c r="Q265" s="1043">
        <f t="shared" si="297"/>
        <v>0</v>
      </c>
      <c r="R265" s="1043">
        <f t="shared" si="297"/>
        <v>2.8421709430404007E-14</v>
      </c>
      <c r="S265" s="1043">
        <f t="shared" si="297"/>
        <v>0</v>
      </c>
      <c r="T265" s="2881">
        <f t="shared" si="297"/>
        <v>0</v>
      </c>
      <c r="U265" s="2881">
        <f t="shared" si="297"/>
        <v>2.8421709430404007E-14</v>
      </c>
      <c r="V265" s="2881">
        <f t="shared" si="297"/>
        <v>2.8421709430404007E-14</v>
      </c>
      <c r="W265" s="2881">
        <f t="shared" si="297"/>
        <v>0</v>
      </c>
      <c r="X265" s="2881">
        <f t="shared" si="297"/>
        <v>0</v>
      </c>
      <c r="Y265" s="2881">
        <f t="shared" si="297"/>
        <v>0</v>
      </c>
      <c r="Z265" s="2881">
        <f t="shared" ref="Z265" si="298">ABS(Z264-Z263-Z262-Z261)</f>
        <v>0</v>
      </c>
      <c r="AA265" s="2881">
        <f>ABS(AA264-AA263-AA262-AA261)</f>
        <v>0</v>
      </c>
      <c r="AB265" s="2881">
        <f>ABS(AB264-AB263-AB262-AB261)</f>
        <v>5.6843418860808015E-14</v>
      </c>
      <c r="AC265" s="2881">
        <f>ABS(AC264-AC263-AC262-AC261)</f>
        <v>0</v>
      </c>
      <c r="AD265" s="2881">
        <f ca="1">ABS(AD264-AD263-AD262-AD261)</f>
        <v>0</v>
      </c>
      <c r="AE265" s="2881">
        <f ca="1">ABS(AE264-AE263-AE262-AE261)</f>
        <v>2.8421709430404007E-14</v>
      </c>
    </row>
    <row r="267" spans="1:31" s="749" customFormat="1" ht="12.75" customHeight="1">
      <c r="A267" s="714"/>
      <c r="B267" s="714"/>
      <c r="C267" s="822"/>
      <c r="D267" s="3073"/>
      <c r="E267" s="3074"/>
      <c r="F267" s="3075"/>
      <c r="G267" s="939">
        <f>InputY!$G$3</f>
        <v>1995</v>
      </c>
      <c r="H267" s="939">
        <f t="shared" ref="H267:W267" si="299">+G267+1</f>
        <v>1996</v>
      </c>
      <c r="I267" s="939">
        <f t="shared" si="299"/>
        <v>1997</v>
      </c>
      <c r="J267" s="939">
        <f t="shared" si="299"/>
        <v>1998</v>
      </c>
      <c r="K267" s="939">
        <f t="shared" si="299"/>
        <v>1999</v>
      </c>
      <c r="L267" s="939">
        <f t="shared" si="299"/>
        <v>2000</v>
      </c>
      <c r="M267" s="939">
        <f t="shared" si="299"/>
        <v>2001</v>
      </c>
      <c r="N267" s="939">
        <f t="shared" si="299"/>
        <v>2002</v>
      </c>
      <c r="O267" s="939">
        <f t="shared" si="299"/>
        <v>2003</v>
      </c>
      <c r="P267" s="939">
        <f t="shared" si="299"/>
        <v>2004</v>
      </c>
      <c r="Q267" s="939">
        <f t="shared" si="299"/>
        <v>2005</v>
      </c>
      <c r="R267" s="939">
        <f t="shared" si="299"/>
        <v>2006</v>
      </c>
      <c r="S267" s="939">
        <f t="shared" si="299"/>
        <v>2007</v>
      </c>
      <c r="T267" s="939">
        <f t="shared" si="299"/>
        <v>2008</v>
      </c>
      <c r="U267" s="939">
        <f t="shared" si="299"/>
        <v>2009</v>
      </c>
      <c r="V267" s="939">
        <f t="shared" si="299"/>
        <v>2010</v>
      </c>
      <c r="W267" s="939">
        <f t="shared" si="299"/>
        <v>2011</v>
      </c>
      <c r="X267" s="939">
        <f t="shared" ref="X267:AE267" si="300">+W267+1</f>
        <v>2012</v>
      </c>
      <c r="Y267" s="939">
        <f t="shared" si="300"/>
        <v>2013</v>
      </c>
      <c r="Z267" s="939">
        <f t="shared" si="300"/>
        <v>2014</v>
      </c>
      <c r="AA267" s="939">
        <f t="shared" si="300"/>
        <v>2015</v>
      </c>
      <c r="AB267" s="939">
        <f t="shared" si="300"/>
        <v>2016</v>
      </c>
      <c r="AC267" s="939">
        <f t="shared" si="300"/>
        <v>2017</v>
      </c>
      <c r="AD267" s="939">
        <f t="shared" si="300"/>
        <v>2018</v>
      </c>
      <c r="AE267" s="939">
        <f t="shared" si="300"/>
        <v>2019</v>
      </c>
    </row>
    <row r="268" spans="1:31" s="749" customFormat="1" ht="12.75" customHeight="1">
      <c r="A268" s="714"/>
      <c r="B268" s="714"/>
      <c r="C268" s="839" t="s">
        <v>622</v>
      </c>
      <c r="D268" s="739" t="s">
        <v>589</v>
      </c>
      <c r="E268" s="787" t="s">
        <v>1043</v>
      </c>
      <c r="F268" s="782" t="s">
        <v>876</v>
      </c>
      <c r="G268" s="1122"/>
      <c r="H268" s="1122">
        <f t="shared" ref="H268:AE268" ca="1" si="301">+(H261/G261-1)*100</f>
        <v>3.2212690507657404</v>
      </c>
      <c r="I268" s="1122">
        <f t="shared" si="301"/>
        <v>3.3311064782615807</v>
      </c>
      <c r="J268" s="1122">
        <f t="shared" si="301"/>
        <v>3.9551436121476158</v>
      </c>
      <c r="K268" s="1122">
        <f t="shared" si="301"/>
        <v>2.3085373408868737</v>
      </c>
      <c r="L268" s="1122">
        <f t="shared" si="301"/>
        <v>6.2071785523658773</v>
      </c>
      <c r="M268" s="1122">
        <f t="shared" si="301"/>
        <v>3.0771593236876837</v>
      </c>
      <c r="N268" s="1122">
        <f t="shared" si="301"/>
        <v>1.7872862744483076</v>
      </c>
      <c r="O268" s="1122">
        <f t="shared" si="301"/>
        <v>2.1023359521787022</v>
      </c>
      <c r="P268" s="1122">
        <f t="shared" si="301"/>
        <v>4.0113744543910812</v>
      </c>
      <c r="Q268" s="1122">
        <f t="shared" si="301"/>
        <v>3.9645497167801969</v>
      </c>
      <c r="R268" s="1122">
        <f t="shared" si="301"/>
        <v>4.622253287428979</v>
      </c>
      <c r="S268" s="1122">
        <f t="shared" si="301"/>
        <v>4.7999165801246191</v>
      </c>
      <c r="T268" s="1122">
        <f t="shared" si="301"/>
        <v>4.9322568161137115</v>
      </c>
      <c r="U268" s="1122">
        <f t="shared" si="301"/>
        <v>8.4568088061098834E-2</v>
      </c>
      <c r="V268" s="1122">
        <f t="shared" si="301"/>
        <v>4.4876854698293389</v>
      </c>
      <c r="W268" s="1122">
        <f t="shared" si="301"/>
        <v>3.3613804206694242</v>
      </c>
      <c r="X268" s="1122">
        <f t="shared" si="301"/>
        <v>2.6077527730005601</v>
      </c>
      <c r="Y268" s="1122">
        <f t="shared" si="301"/>
        <v>1.5918903362225789</v>
      </c>
      <c r="Z268" s="1122">
        <f t="shared" si="301"/>
        <v>1.2252378846176581</v>
      </c>
      <c r="AA268" s="1122">
        <f t="shared" si="301"/>
        <v>1.4496179110537577</v>
      </c>
      <c r="AB268" s="1122">
        <f t="shared" si="301"/>
        <v>3.1856022328088152</v>
      </c>
      <c r="AC268" s="1122">
        <f t="shared" si="301"/>
        <v>2.8390718566330353</v>
      </c>
      <c r="AD268" s="1122">
        <f t="shared" ca="1" si="301"/>
        <v>3.3780499999999769</v>
      </c>
      <c r="AE268" s="1122">
        <f t="shared" ca="1" si="301"/>
        <v>3.0828799999999879</v>
      </c>
    </row>
    <row r="269" spans="1:31" s="749" customFormat="1" ht="12.75" customHeight="1">
      <c r="A269" s="714"/>
      <c r="B269" s="714"/>
      <c r="C269" s="840" t="s">
        <v>622</v>
      </c>
      <c r="D269" s="3" t="s">
        <v>591</v>
      </c>
      <c r="E269" s="29" t="s">
        <v>1043</v>
      </c>
      <c r="F269" s="754" t="s">
        <v>1382</v>
      </c>
      <c r="G269" s="1085"/>
      <c r="H269" s="1085">
        <f t="shared" ref="H269:AE269" ca="1" si="302">+(H262/G262-1)*100</f>
        <v>3.7291845829098502</v>
      </c>
      <c r="I269" s="1085">
        <f t="shared" si="302"/>
        <v>1.9714457986993228</v>
      </c>
      <c r="J269" s="1085">
        <f t="shared" si="302"/>
        <v>3.2802221588689395</v>
      </c>
      <c r="K269" s="1085">
        <f t="shared" si="302"/>
        <v>4.9469603408932805</v>
      </c>
      <c r="L269" s="1085">
        <f t="shared" si="302"/>
        <v>5.0190740791252964</v>
      </c>
      <c r="M269" s="1085">
        <f t="shared" si="302"/>
        <v>4.9237231064351628</v>
      </c>
      <c r="N269" s="1085">
        <f t="shared" si="302"/>
        <v>6.5916617600514815</v>
      </c>
      <c r="O269" s="1085">
        <f t="shared" si="302"/>
        <v>4.7931219239503386</v>
      </c>
      <c r="P269" s="1085">
        <f t="shared" si="302"/>
        <v>4.1914527858067707</v>
      </c>
      <c r="Q269" s="1085">
        <f t="shared" si="302"/>
        <v>4.6185376555148316</v>
      </c>
      <c r="R269" s="1085">
        <f t="shared" si="302"/>
        <v>3.8511974000061011</v>
      </c>
      <c r="S269" s="1085">
        <f t="shared" si="302"/>
        <v>4.0523703849751902</v>
      </c>
      <c r="T269" s="1085">
        <f t="shared" si="302"/>
        <v>7.3183383795827783</v>
      </c>
      <c r="U269" s="1085">
        <f t="shared" si="302"/>
        <v>4.9142596678579675</v>
      </c>
      <c r="V269" s="1085">
        <f t="shared" si="302"/>
        <v>2.6462787860847881</v>
      </c>
      <c r="W269" s="1085">
        <f t="shared" si="302"/>
        <v>4.8007590794766131</v>
      </c>
      <c r="X269" s="1085">
        <f t="shared" si="302"/>
        <v>4.3084519153421708</v>
      </c>
      <c r="Y269" s="1085">
        <f t="shared" si="302"/>
        <v>2.2087934764803085</v>
      </c>
      <c r="Z269" s="1085">
        <f t="shared" si="302"/>
        <v>1.370735509761456</v>
      </c>
      <c r="AA269" s="1085">
        <f t="shared" si="302"/>
        <v>0.82676106369130586</v>
      </c>
      <c r="AB269" s="1085">
        <f t="shared" si="302"/>
        <v>1.531420076469181</v>
      </c>
      <c r="AC269" s="1085">
        <f t="shared" si="302"/>
        <v>2.8712260626695407</v>
      </c>
      <c r="AD269" s="1085">
        <f t="shared" ca="1" si="302"/>
        <v>2.1336860000000346</v>
      </c>
      <c r="AE269" s="1085">
        <f t="shared" ca="1" si="302"/>
        <v>2.8482999999999592</v>
      </c>
    </row>
    <row r="270" spans="1:31" s="749" customFormat="1" ht="12.75" customHeight="1">
      <c r="A270" s="714"/>
      <c r="B270" s="714"/>
      <c r="C270" s="841" t="s">
        <v>622</v>
      </c>
      <c r="D270" s="741"/>
      <c r="E270" s="842" t="s">
        <v>1248</v>
      </c>
      <c r="F270" s="785" t="s">
        <v>60</v>
      </c>
      <c r="G270" s="3135"/>
      <c r="H270" s="3135">
        <f t="shared" ref="H270:AE270" ca="1" si="303">+(H263/G263-1)*100</f>
        <v>2.5050703158082444</v>
      </c>
      <c r="I270" s="3135">
        <f t="shared" si="303"/>
        <v>7.8466288348226776</v>
      </c>
      <c r="J270" s="3135">
        <f t="shared" si="303"/>
        <v>3.7020759285430582</v>
      </c>
      <c r="K270" s="3135">
        <f t="shared" si="303"/>
        <v>5.6961557752798431</v>
      </c>
      <c r="L270" s="3135">
        <f t="shared" si="303"/>
        <v>6.8164846362395837</v>
      </c>
      <c r="M270" s="3135">
        <f t="shared" si="303"/>
        <v>2.5880683677089067</v>
      </c>
      <c r="N270" s="3135">
        <f t="shared" si="303"/>
        <v>-4.6062923400226889</v>
      </c>
      <c r="O270" s="3135">
        <f t="shared" si="303"/>
        <v>1.6479891049022699</v>
      </c>
      <c r="P270" s="3135">
        <f t="shared" si="303"/>
        <v>10.405144583214332</v>
      </c>
      <c r="Q270" s="3135">
        <f t="shared" si="303"/>
        <v>8.2090921206324765</v>
      </c>
      <c r="R270" s="3135">
        <f t="shared" si="303"/>
        <v>5.7618272784834668</v>
      </c>
      <c r="S270" s="3135">
        <f t="shared" si="303"/>
        <v>9.7287544405003867</v>
      </c>
      <c r="T270" s="3135">
        <f t="shared" si="303"/>
        <v>5.9824556584621602</v>
      </c>
      <c r="U270" s="3135">
        <f t="shared" si="303"/>
        <v>-7.1926046523682512</v>
      </c>
      <c r="V270" s="3135">
        <f t="shared" si="303"/>
        <v>1.1177921383899392</v>
      </c>
      <c r="W270" s="3135">
        <f t="shared" si="303"/>
        <v>7.4672769200448297</v>
      </c>
      <c r="X270" s="3135">
        <f t="shared" si="303"/>
        <v>2.4090812457510546</v>
      </c>
      <c r="Y270" s="3135">
        <f t="shared" si="303"/>
        <v>-0.83048369030863656</v>
      </c>
      <c r="Z270" s="3135">
        <f t="shared" si="303"/>
        <v>6.1772158304742142</v>
      </c>
      <c r="AA270" s="3135">
        <f t="shared" si="303"/>
        <v>3.1107822831541121</v>
      </c>
      <c r="AB270" s="3135">
        <f t="shared" si="303"/>
        <v>4.1681506018210746</v>
      </c>
      <c r="AC270" s="3135">
        <f t="shared" si="303"/>
        <v>2.7820472479062719</v>
      </c>
      <c r="AD270" s="3135">
        <f t="shared" ca="1" si="303"/>
        <v>5.0216488733918707</v>
      </c>
      <c r="AE270" s="3135">
        <f t="shared" ca="1" si="303"/>
        <v>3.968385390153828</v>
      </c>
    </row>
    <row r="271" spans="1:31" s="749" customFormat="1" ht="12.75" customHeight="1">
      <c r="A271" s="714"/>
      <c r="B271" s="714"/>
      <c r="C271" s="822" t="s">
        <v>624</v>
      </c>
      <c r="D271" s="766"/>
      <c r="E271" s="771" t="s">
        <v>1223</v>
      </c>
      <c r="F271" s="772"/>
      <c r="G271" s="770"/>
      <c r="H271" s="770">
        <f t="shared" ref="H271:AE271" ca="1" si="304">+(H264/G264-1)*100</f>
        <v>3.1748906988658732</v>
      </c>
      <c r="I271" s="770">
        <f t="shared" si="304"/>
        <v>4.0225719833580476</v>
      </c>
      <c r="J271" s="770">
        <f t="shared" si="304"/>
        <v>3.7504380385805058</v>
      </c>
      <c r="K271" s="770">
        <f t="shared" si="304"/>
        <v>3.6528963864649988</v>
      </c>
      <c r="L271" s="770">
        <f t="shared" si="304"/>
        <v>6.0880642893430981</v>
      </c>
      <c r="M271" s="770">
        <f t="shared" si="304"/>
        <v>3.3638840483667831</v>
      </c>
      <c r="N271" s="770">
        <f t="shared" si="304"/>
        <v>1.3614539022027694</v>
      </c>
      <c r="O271" s="770">
        <f t="shared" si="304"/>
        <v>2.6270845717165647</v>
      </c>
      <c r="P271" s="770">
        <f t="shared" si="304"/>
        <v>5.4387413835828236</v>
      </c>
      <c r="Q271" s="770">
        <f t="shared" si="304"/>
        <v>5.080156102445077</v>
      </c>
      <c r="R271" s="770">
        <f t="shared" si="304"/>
        <v>4.7087154597427183</v>
      </c>
      <c r="S271" s="770">
        <f t="shared" si="304"/>
        <v>5.7897538028917506</v>
      </c>
      <c r="T271" s="770">
        <f t="shared" si="304"/>
        <v>5.7315530955609928</v>
      </c>
      <c r="U271" s="770">
        <f t="shared" si="304"/>
        <v>-0.58581104798554051</v>
      </c>
      <c r="V271" s="770">
        <f t="shared" si="304"/>
        <v>3.267842228510931</v>
      </c>
      <c r="W271" s="770">
        <f t="shared" si="304"/>
        <v>4.630160401201433</v>
      </c>
      <c r="X271" s="770">
        <f t="shared" si="304"/>
        <v>2.9742653496002358</v>
      </c>
      <c r="Y271" s="770">
        <f t="shared" si="304"/>
        <v>1.1886708773806598</v>
      </c>
      <c r="Z271" s="770">
        <f t="shared" si="304"/>
        <v>2.3726458098228376</v>
      </c>
      <c r="AA271" s="770">
        <f t="shared" si="304"/>
        <v>1.6833010764292</v>
      </c>
      <c r="AB271" s="770">
        <f t="shared" si="304"/>
        <v>3.0146767647688311</v>
      </c>
      <c r="AC271" s="770">
        <f t="shared" si="304"/>
        <v>2.8331793605548272</v>
      </c>
      <c r="AD271" s="770">
        <f t="shared" ca="1" si="304"/>
        <v>3.4713529648515928</v>
      </c>
      <c r="AE271" s="770">
        <f t="shared" ca="1" si="304"/>
        <v>3.2416877262447796</v>
      </c>
    </row>
    <row r="273" spans="1:31">
      <c r="A273" s="1123"/>
      <c r="B273" s="1123"/>
      <c r="D273" s="1107"/>
      <c r="E273" s="1108" t="s">
        <v>94</v>
      </c>
      <c r="F273" s="1109"/>
      <c r="G273" s="748">
        <f>InputY!$G$3</f>
        <v>1995</v>
      </c>
      <c r="H273" s="748">
        <f t="shared" ref="H273:W273" si="305">+G273+1</f>
        <v>1996</v>
      </c>
      <c r="I273" s="748">
        <f t="shared" si="305"/>
        <v>1997</v>
      </c>
      <c r="J273" s="748">
        <f t="shared" si="305"/>
        <v>1998</v>
      </c>
      <c r="K273" s="748">
        <f t="shared" si="305"/>
        <v>1999</v>
      </c>
      <c r="L273" s="748">
        <f t="shared" si="305"/>
        <v>2000</v>
      </c>
      <c r="M273" s="748">
        <f t="shared" si="305"/>
        <v>2001</v>
      </c>
      <c r="N273" s="748">
        <f t="shared" si="305"/>
        <v>2002</v>
      </c>
      <c r="O273" s="748">
        <f t="shared" si="305"/>
        <v>2003</v>
      </c>
      <c r="P273" s="748">
        <f t="shared" si="305"/>
        <v>2004</v>
      </c>
      <c r="Q273" s="748">
        <f t="shared" si="305"/>
        <v>2005</v>
      </c>
      <c r="R273" s="748">
        <f t="shared" si="305"/>
        <v>2006</v>
      </c>
      <c r="S273" s="748">
        <f t="shared" si="305"/>
        <v>2007</v>
      </c>
      <c r="T273" s="748">
        <f t="shared" si="305"/>
        <v>2008</v>
      </c>
      <c r="U273" s="748">
        <f t="shared" si="305"/>
        <v>2009</v>
      </c>
      <c r="V273" s="748">
        <f t="shared" si="305"/>
        <v>2010</v>
      </c>
      <c r="W273" s="748">
        <f t="shared" si="305"/>
        <v>2011</v>
      </c>
      <c r="X273" s="748">
        <f t="shared" ref="X273:AE273" si="306">+W273+1</f>
        <v>2012</v>
      </c>
      <c r="Y273" s="748">
        <f t="shared" si="306"/>
        <v>2013</v>
      </c>
      <c r="Z273" s="748">
        <f t="shared" si="306"/>
        <v>2014</v>
      </c>
      <c r="AA273" s="748">
        <f t="shared" si="306"/>
        <v>2015</v>
      </c>
      <c r="AB273" s="748">
        <f t="shared" si="306"/>
        <v>2016</v>
      </c>
      <c r="AC273" s="748">
        <f t="shared" si="306"/>
        <v>2017</v>
      </c>
      <c r="AD273" s="748">
        <f t="shared" si="306"/>
        <v>2018</v>
      </c>
      <c r="AE273" s="748">
        <f t="shared" si="306"/>
        <v>2019</v>
      </c>
    </row>
    <row r="274" spans="1:31">
      <c r="A274" s="714">
        <f>+ROW(InputY!A81)</f>
        <v>81</v>
      </c>
      <c r="B274" s="1123">
        <v>42</v>
      </c>
      <c r="C274" s="1115"/>
      <c r="D274" s="1117"/>
      <c r="E274" s="1118" t="s">
        <v>1518</v>
      </c>
      <c r="F274" s="1117" t="s">
        <v>1100</v>
      </c>
      <c r="G274" s="3064">
        <f ca="1">InputY!G81/1000</f>
        <v>1.3454000000000002</v>
      </c>
      <c r="H274" s="3064">
        <f>InputY!H81/1000</f>
        <v>0.80310000000000004</v>
      </c>
      <c r="I274" s="3064">
        <f>InputY!I81/1000</f>
        <v>0.77849999999999997</v>
      </c>
      <c r="J274" s="3064">
        <f>InputY!J81/1000</f>
        <v>1.1260999999999999</v>
      </c>
      <c r="K274" s="3064">
        <f>InputY!K81/1000</f>
        <v>1.1020999999999999</v>
      </c>
      <c r="L274" s="3064">
        <f>InputY!L81/1000</f>
        <v>3.3356999999999997</v>
      </c>
      <c r="M274" s="3064">
        <f>InputY!M81/1000</f>
        <v>0.47</v>
      </c>
      <c r="N274" s="3064">
        <f>InputY!N81/1000</f>
        <v>8.199999999999999E-3</v>
      </c>
      <c r="O274" s="3064">
        <f>InputY!O81/1000</f>
        <v>1.1904000000000001</v>
      </c>
      <c r="P274" s="3064">
        <f>InputY!P81/1000</f>
        <v>3.4138999999999999</v>
      </c>
      <c r="Q274" s="3064">
        <f>InputY!Q81/1000</f>
        <v>4.5220000000000002</v>
      </c>
      <c r="R274" s="3064">
        <f>InputY!R81/1000</f>
        <v>5.0276000000000005</v>
      </c>
      <c r="S274" s="3064">
        <f>InputY!S81/1000</f>
        <v>4.1791999999999998</v>
      </c>
      <c r="T274" s="3064">
        <f>InputY!T81/1000</f>
        <v>6.2169999999999996</v>
      </c>
      <c r="U274" s="3064">
        <f>InputY!U81/1000</f>
        <v>-3.2189000000000001</v>
      </c>
      <c r="V274" s="3064">
        <f>InputY!V81/1000</f>
        <v>3.1879</v>
      </c>
      <c r="W274" s="3064">
        <f>InputY!W81/1000</f>
        <v>5.3386000000000005</v>
      </c>
      <c r="X274" s="3064">
        <f>InputY!X81/1000</f>
        <v>2.2458</v>
      </c>
      <c r="Y274" s="3064">
        <f>InputY!Y81/1000</f>
        <v>5.1499999999999997E-2</v>
      </c>
      <c r="Z274" s="3064">
        <f>InputY!Z81/1000</f>
        <v>1.1437999999999999</v>
      </c>
      <c r="AA274" s="3064">
        <f>InputY!AA81/1000</f>
        <v>1.5740000000000001</v>
      </c>
      <c r="AB274" s="3064">
        <f>InputY!AB81/1000</f>
        <v>1.9818</v>
      </c>
      <c r="AC274" s="3064">
        <f>InputY!AC81/1000</f>
        <v>5.5851000000000006</v>
      </c>
      <c r="AD274" s="3190">
        <f ca="1">+AC274*(1+AD277/100)</f>
        <v>5.5851000000000006</v>
      </c>
      <c r="AE274" s="3190">
        <f ca="1">+AD274*(1+AE277/100)</f>
        <v>5.5851000000000006</v>
      </c>
    </row>
    <row r="275" spans="1:31">
      <c r="T275" s="2940"/>
    </row>
    <row r="276" spans="1:31" s="749" customFormat="1" ht="12.75" customHeight="1">
      <c r="A276" s="714"/>
      <c r="B276" s="714"/>
      <c r="C276" s="822"/>
      <c r="D276" s="3073"/>
      <c r="E276" s="3074" t="s">
        <v>94</v>
      </c>
      <c r="F276" s="3075"/>
      <c r="G276" s="939">
        <f>InputY!$G$3</f>
        <v>1995</v>
      </c>
      <c r="H276" s="939">
        <f t="shared" ref="H276:W276" si="307">+G276+1</f>
        <v>1996</v>
      </c>
      <c r="I276" s="939">
        <f t="shared" si="307"/>
        <v>1997</v>
      </c>
      <c r="J276" s="939">
        <f t="shared" si="307"/>
        <v>1998</v>
      </c>
      <c r="K276" s="939">
        <f t="shared" si="307"/>
        <v>1999</v>
      </c>
      <c r="L276" s="939">
        <f t="shared" si="307"/>
        <v>2000</v>
      </c>
      <c r="M276" s="939">
        <f t="shared" si="307"/>
        <v>2001</v>
      </c>
      <c r="N276" s="939">
        <f t="shared" si="307"/>
        <v>2002</v>
      </c>
      <c r="O276" s="939">
        <f t="shared" si="307"/>
        <v>2003</v>
      </c>
      <c r="P276" s="939">
        <f t="shared" si="307"/>
        <v>2004</v>
      </c>
      <c r="Q276" s="939">
        <f t="shared" si="307"/>
        <v>2005</v>
      </c>
      <c r="R276" s="939">
        <f t="shared" si="307"/>
        <v>2006</v>
      </c>
      <c r="S276" s="939">
        <f t="shared" si="307"/>
        <v>2007</v>
      </c>
      <c r="T276" s="939">
        <f t="shared" si="307"/>
        <v>2008</v>
      </c>
      <c r="U276" s="939">
        <f t="shared" si="307"/>
        <v>2009</v>
      </c>
      <c r="V276" s="939">
        <f t="shared" si="307"/>
        <v>2010</v>
      </c>
      <c r="W276" s="939">
        <f t="shared" si="307"/>
        <v>2011</v>
      </c>
      <c r="X276" s="939">
        <f t="shared" ref="X276:AE276" si="308">+W276+1</f>
        <v>2012</v>
      </c>
      <c r="Y276" s="939">
        <f t="shared" si="308"/>
        <v>2013</v>
      </c>
      <c r="Z276" s="939">
        <f t="shared" si="308"/>
        <v>2014</v>
      </c>
      <c r="AA276" s="939">
        <f t="shared" si="308"/>
        <v>2015</v>
      </c>
      <c r="AB276" s="939">
        <f t="shared" si="308"/>
        <v>2016</v>
      </c>
      <c r="AC276" s="939">
        <f t="shared" si="308"/>
        <v>2017</v>
      </c>
      <c r="AD276" s="939">
        <f t="shared" si="308"/>
        <v>2018</v>
      </c>
      <c r="AE276" s="939">
        <f t="shared" si="308"/>
        <v>2019</v>
      </c>
    </row>
    <row r="277" spans="1:31" s="749" customFormat="1" ht="12.75" customHeight="1">
      <c r="A277" s="714"/>
      <c r="B277" s="714"/>
      <c r="C277" s="3067"/>
      <c r="D277" s="3068"/>
      <c r="E277" s="3069" t="s">
        <v>1518</v>
      </c>
      <c r="F277" s="3187" t="s">
        <v>1100</v>
      </c>
      <c r="G277" s="3071"/>
      <c r="H277" s="3071">
        <f t="shared" ref="H277:AC277" ca="1" si="309">+(H274/G274-1)*100</f>
        <v>-40.307715177642343</v>
      </c>
      <c r="I277" s="3071">
        <f t="shared" si="309"/>
        <v>-3.0631303698169687</v>
      </c>
      <c r="J277" s="3071">
        <f t="shared" si="309"/>
        <v>44.649967886962095</v>
      </c>
      <c r="K277" s="3071">
        <f t="shared" si="309"/>
        <v>-2.1312494449871267</v>
      </c>
      <c r="L277" s="3071">
        <f t="shared" si="309"/>
        <v>202.66763451592414</v>
      </c>
      <c r="M277" s="3071">
        <f t="shared" si="309"/>
        <v>-85.910003897232968</v>
      </c>
      <c r="N277" s="3071">
        <f t="shared" si="309"/>
        <v>-98.255319148936167</v>
      </c>
      <c r="O277" s="3071">
        <f t="shared" si="309"/>
        <v>14417.073170731712</v>
      </c>
      <c r="P277" s="3071">
        <f t="shared" si="309"/>
        <v>186.78595430107526</v>
      </c>
      <c r="Q277" s="3071">
        <f t="shared" si="309"/>
        <v>32.458478572893192</v>
      </c>
      <c r="R277" s="3071">
        <f t="shared" si="309"/>
        <v>11.180893409995573</v>
      </c>
      <c r="S277" s="3071">
        <f t="shared" si="309"/>
        <v>-16.874850823454544</v>
      </c>
      <c r="T277" s="3071">
        <f t="shared" si="309"/>
        <v>48.760528330781014</v>
      </c>
      <c r="U277" s="3071">
        <f t="shared" si="309"/>
        <v>-151.77577609779638</v>
      </c>
      <c r="V277" s="3071">
        <f t="shared" si="309"/>
        <v>-199.03693808443879</v>
      </c>
      <c r="W277" s="3071">
        <f t="shared" si="309"/>
        <v>67.464475046268717</v>
      </c>
      <c r="X277" s="3071">
        <f t="shared" si="309"/>
        <v>-57.932791368523581</v>
      </c>
      <c r="Y277" s="3071">
        <f t="shared" si="309"/>
        <v>-97.706830528096887</v>
      </c>
      <c r="Z277" s="3071">
        <f t="shared" si="309"/>
        <v>2120.9708737864075</v>
      </c>
      <c r="AA277" s="3071">
        <f t="shared" si="309"/>
        <v>37.611470536807154</v>
      </c>
      <c r="AB277" s="3071">
        <f t="shared" si="309"/>
        <v>25.908513341804309</v>
      </c>
      <c r="AC277" s="3071">
        <f t="shared" si="309"/>
        <v>181.81955797759616</v>
      </c>
      <c r="AD277" s="3072">
        <f ca="1">OFFSET('VVP1'!$K$80,0,5*(COLUMN()-7))</f>
        <v>0</v>
      </c>
      <c r="AE277" s="3072">
        <f ca="1">OFFSET('VVP1'!$K$80,0,5*(COLUMN()-7))</f>
        <v>0</v>
      </c>
    </row>
    <row r="279" spans="1:31">
      <c r="A279" s="1123"/>
      <c r="B279" s="1123"/>
      <c r="D279" s="1107"/>
      <c r="E279" s="1108" t="s">
        <v>46</v>
      </c>
      <c r="F279" s="1109"/>
      <c r="G279" s="748">
        <f>InputY!$G$3</f>
        <v>1995</v>
      </c>
      <c r="H279" s="748">
        <f t="shared" ref="H279:W279" si="310">+G279+1</f>
        <v>1996</v>
      </c>
      <c r="I279" s="748">
        <f t="shared" si="310"/>
        <v>1997</v>
      </c>
      <c r="J279" s="748">
        <f t="shared" si="310"/>
        <v>1998</v>
      </c>
      <c r="K279" s="748">
        <f t="shared" si="310"/>
        <v>1999</v>
      </c>
      <c r="L279" s="748">
        <f t="shared" si="310"/>
        <v>2000</v>
      </c>
      <c r="M279" s="748">
        <f t="shared" si="310"/>
        <v>2001</v>
      </c>
      <c r="N279" s="748">
        <f t="shared" si="310"/>
        <v>2002</v>
      </c>
      <c r="O279" s="748">
        <f t="shared" si="310"/>
        <v>2003</v>
      </c>
      <c r="P279" s="748">
        <f t="shared" si="310"/>
        <v>2004</v>
      </c>
      <c r="Q279" s="748">
        <f t="shared" si="310"/>
        <v>2005</v>
      </c>
      <c r="R279" s="748">
        <f t="shared" si="310"/>
        <v>2006</v>
      </c>
      <c r="S279" s="748">
        <f t="shared" si="310"/>
        <v>2007</v>
      </c>
      <c r="T279" s="748">
        <f t="shared" si="310"/>
        <v>2008</v>
      </c>
      <c r="U279" s="748">
        <f t="shared" si="310"/>
        <v>2009</v>
      </c>
      <c r="V279" s="748">
        <f t="shared" si="310"/>
        <v>2010</v>
      </c>
      <c r="W279" s="748">
        <f t="shared" si="310"/>
        <v>2011</v>
      </c>
      <c r="X279" s="748">
        <f t="shared" ref="X279:AE279" si="311">+W279+1</f>
        <v>2012</v>
      </c>
      <c r="Y279" s="748">
        <f t="shared" si="311"/>
        <v>2013</v>
      </c>
      <c r="Z279" s="748">
        <f t="shared" si="311"/>
        <v>2014</v>
      </c>
      <c r="AA279" s="748">
        <f t="shared" si="311"/>
        <v>2015</v>
      </c>
      <c r="AB279" s="748">
        <f t="shared" si="311"/>
        <v>2016</v>
      </c>
      <c r="AC279" s="748">
        <f t="shared" si="311"/>
        <v>2017</v>
      </c>
      <c r="AD279" s="748">
        <f t="shared" si="311"/>
        <v>2018</v>
      </c>
      <c r="AE279" s="748">
        <f t="shared" si="311"/>
        <v>2019</v>
      </c>
    </row>
    <row r="280" spans="1:31">
      <c r="A280" s="714"/>
      <c r="B280" s="1123"/>
      <c r="C280" s="1112" t="s">
        <v>622</v>
      </c>
      <c r="D280" s="1099"/>
      <c r="E280" s="1080" t="s">
        <v>1223</v>
      </c>
      <c r="F280" s="1099"/>
      <c r="G280" s="3127">
        <f t="shared" ref="G280:W280" ca="1" si="312">+G264</f>
        <v>202.6054</v>
      </c>
      <c r="H280" s="3127">
        <f t="shared" si="312"/>
        <v>209.03789999999998</v>
      </c>
      <c r="I280" s="3127">
        <f t="shared" si="312"/>
        <v>217.44659999999999</v>
      </c>
      <c r="J280" s="3127">
        <f t="shared" si="312"/>
        <v>225.6018</v>
      </c>
      <c r="K280" s="3127">
        <f t="shared" si="312"/>
        <v>233.84279999999998</v>
      </c>
      <c r="L280" s="3127">
        <f t="shared" si="312"/>
        <v>248.07929999999999</v>
      </c>
      <c r="M280" s="3127">
        <f t="shared" si="312"/>
        <v>256.42439999999999</v>
      </c>
      <c r="N280" s="3127">
        <f t="shared" si="312"/>
        <v>259.91550000000001</v>
      </c>
      <c r="O280" s="3127">
        <f t="shared" si="312"/>
        <v>266.74369999999999</v>
      </c>
      <c r="P280" s="3127">
        <f t="shared" si="312"/>
        <v>281.25119999999998</v>
      </c>
      <c r="Q280" s="3127">
        <f t="shared" si="312"/>
        <v>295.53919999999999</v>
      </c>
      <c r="R280" s="3127">
        <f t="shared" si="312"/>
        <v>309.45529999999997</v>
      </c>
      <c r="S280" s="3127">
        <f t="shared" si="312"/>
        <v>327.37200000000001</v>
      </c>
      <c r="T280" s="3127">
        <f t="shared" si="312"/>
        <v>346.13549999999998</v>
      </c>
      <c r="U280" s="3127">
        <f t="shared" si="312"/>
        <v>344.1078</v>
      </c>
      <c r="V280" s="3127">
        <f t="shared" si="312"/>
        <v>355.35269999999991</v>
      </c>
      <c r="W280" s="3127">
        <f t="shared" si="312"/>
        <v>371.80610000000001</v>
      </c>
      <c r="X280" s="3127">
        <f t="shared" ref="X280:AC280" si="313">+X264</f>
        <v>382.86460000000005</v>
      </c>
      <c r="Y280" s="3127">
        <f t="shared" si="313"/>
        <v>387.41559999999998</v>
      </c>
      <c r="Z280" s="3127">
        <f t="shared" ref="Z280" si="314">+Z264</f>
        <v>396.60759999999999</v>
      </c>
      <c r="AA280" s="3127">
        <f t="shared" si="313"/>
        <v>403.28370000000001</v>
      </c>
      <c r="AB280" s="3127">
        <f t="shared" si="313"/>
        <v>415.44140000000004</v>
      </c>
      <c r="AC280" s="3127">
        <f t="shared" si="313"/>
        <v>427.21160000000003</v>
      </c>
      <c r="AD280" s="3127">
        <f t="shared" ref="AD280" ca="1" si="315">+AD264</f>
        <v>442.04162254278998</v>
      </c>
      <c r="AE280" s="3127">
        <f t="shared" ref="AE280" ca="1" si="316">+AE264</f>
        <v>456.37123156565286</v>
      </c>
    </row>
    <row r="281" spans="1:31">
      <c r="A281" s="714"/>
      <c r="B281" s="1123"/>
      <c r="C281" s="1114" t="s">
        <v>622</v>
      </c>
      <c r="D281" s="1110"/>
      <c r="E281" s="3153" t="s">
        <v>1518</v>
      </c>
      <c r="F281" s="1110" t="s">
        <v>1100</v>
      </c>
      <c r="G281" s="1116">
        <f t="shared" ref="G281:W281" ca="1" si="317">+G274</f>
        <v>1.3454000000000002</v>
      </c>
      <c r="H281" s="1116">
        <f t="shared" si="317"/>
        <v>0.80310000000000004</v>
      </c>
      <c r="I281" s="1116">
        <f t="shared" si="317"/>
        <v>0.77849999999999997</v>
      </c>
      <c r="J281" s="1116">
        <f t="shared" si="317"/>
        <v>1.1260999999999999</v>
      </c>
      <c r="K281" s="1116">
        <f t="shared" si="317"/>
        <v>1.1020999999999999</v>
      </c>
      <c r="L281" s="1116">
        <f t="shared" si="317"/>
        <v>3.3356999999999997</v>
      </c>
      <c r="M281" s="1116">
        <f t="shared" si="317"/>
        <v>0.47</v>
      </c>
      <c r="N281" s="1116">
        <f t="shared" si="317"/>
        <v>8.199999999999999E-3</v>
      </c>
      <c r="O281" s="1116">
        <f t="shared" si="317"/>
        <v>1.1904000000000001</v>
      </c>
      <c r="P281" s="1116">
        <f t="shared" si="317"/>
        <v>3.4138999999999999</v>
      </c>
      <c r="Q281" s="1116">
        <f t="shared" si="317"/>
        <v>4.5220000000000002</v>
      </c>
      <c r="R281" s="1116">
        <f t="shared" si="317"/>
        <v>5.0276000000000005</v>
      </c>
      <c r="S281" s="1116">
        <f t="shared" si="317"/>
        <v>4.1791999999999998</v>
      </c>
      <c r="T281" s="1116">
        <f t="shared" si="317"/>
        <v>6.2169999999999996</v>
      </c>
      <c r="U281" s="1116">
        <f t="shared" si="317"/>
        <v>-3.2189000000000001</v>
      </c>
      <c r="V281" s="1116">
        <f t="shared" si="317"/>
        <v>3.1879</v>
      </c>
      <c r="W281" s="1116">
        <f t="shared" si="317"/>
        <v>5.3386000000000005</v>
      </c>
      <c r="X281" s="1116">
        <f t="shared" ref="X281:AC281" si="318">+X274</f>
        <v>2.2458</v>
      </c>
      <c r="Y281" s="1116">
        <f t="shared" si="318"/>
        <v>5.1499999999999997E-2</v>
      </c>
      <c r="Z281" s="1116">
        <f t="shared" ref="Z281" si="319">+Z274</f>
        <v>1.1437999999999999</v>
      </c>
      <c r="AA281" s="1116">
        <f t="shared" si="318"/>
        <v>1.5740000000000001</v>
      </c>
      <c r="AB281" s="1116">
        <f t="shared" si="318"/>
        <v>1.9818</v>
      </c>
      <c r="AC281" s="1116">
        <f t="shared" si="318"/>
        <v>5.5851000000000006</v>
      </c>
      <c r="AD281" s="1116">
        <f t="shared" ref="AD281" ca="1" si="320">+AD274</f>
        <v>5.5851000000000006</v>
      </c>
      <c r="AE281" s="1116">
        <f t="shared" ref="AE281" ca="1" si="321">+AE274</f>
        <v>5.5851000000000006</v>
      </c>
    </row>
    <row r="282" spans="1:31">
      <c r="A282" s="714">
        <v>81</v>
      </c>
      <c r="B282" s="714"/>
      <c r="C282" s="744" t="s">
        <v>624</v>
      </c>
      <c r="D282" s="1096"/>
      <c r="E282" s="1097" t="s">
        <v>1223</v>
      </c>
      <c r="F282" s="1096"/>
      <c r="G282" s="1098">
        <f t="shared" ref="G282:Y282" ca="1" si="322">+G280+G281</f>
        <v>203.95080000000002</v>
      </c>
      <c r="H282" s="1098">
        <f t="shared" si="322"/>
        <v>209.84099999999998</v>
      </c>
      <c r="I282" s="1098">
        <f t="shared" si="322"/>
        <v>218.2251</v>
      </c>
      <c r="J282" s="1098">
        <f t="shared" si="322"/>
        <v>226.72790000000001</v>
      </c>
      <c r="K282" s="1098">
        <f t="shared" si="322"/>
        <v>234.94489999999999</v>
      </c>
      <c r="L282" s="1098">
        <f t="shared" si="322"/>
        <v>251.41499999999999</v>
      </c>
      <c r="M282" s="1098">
        <f t="shared" si="322"/>
        <v>256.89440000000002</v>
      </c>
      <c r="N282" s="1098">
        <f t="shared" si="322"/>
        <v>259.9237</v>
      </c>
      <c r="O282" s="1098">
        <f t="shared" si="322"/>
        <v>267.9341</v>
      </c>
      <c r="P282" s="1098">
        <f t="shared" si="322"/>
        <v>284.6651</v>
      </c>
      <c r="Q282" s="1098">
        <f t="shared" si="322"/>
        <v>300.06119999999999</v>
      </c>
      <c r="R282" s="1098">
        <f t="shared" si="322"/>
        <v>314.48289999999997</v>
      </c>
      <c r="S282" s="1098">
        <f t="shared" si="322"/>
        <v>331.55119999999999</v>
      </c>
      <c r="T282" s="1098">
        <f t="shared" si="322"/>
        <v>352.35249999999996</v>
      </c>
      <c r="U282" s="1098">
        <f t="shared" si="322"/>
        <v>340.88889999999998</v>
      </c>
      <c r="V282" s="1098">
        <f t="shared" si="322"/>
        <v>358.54059999999993</v>
      </c>
      <c r="W282" s="1098">
        <f t="shared" si="322"/>
        <v>377.1447</v>
      </c>
      <c r="X282" s="1098">
        <f t="shared" si="322"/>
        <v>385.11040000000003</v>
      </c>
      <c r="Y282" s="1098">
        <f t="shared" si="322"/>
        <v>387.46709999999996</v>
      </c>
      <c r="Z282" s="1098">
        <f t="shared" ref="Z282" si="323">+Z280+Z281</f>
        <v>397.75139999999999</v>
      </c>
      <c r="AA282" s="1098">
        <f>+AA280+AA281</f>
        <v>404.85770000000002</v>
      </c>
      <c r="AB282" s="1098">
        <f>+AB280+AB281</f>
        <v>417.42320000000007</v>
      </c>
      <c r="AC282" s="1098">
        <f>+AC280+AC281</f>
        <v>432.79670000000004</v>
      </c>
      <c r="AD282" s="1098">
        <f ca="1">+AD280+AD281</f>
        <v>447.62672254278999</v>
      </c>
      <c r="AE282" s="1098">
        <f ca="1">+AE280+AE281</f>
        <v>461.95633156565287</v>
      </c>
    </row>
    <row r="283" spans="1:31">
      <c r="A283" s="714"/>
      <c r="B283" s="714"/>
      <c r="D283" s="1882"/>
      <c r="E283" s="1882" t="s">
        <v>474</v>
      </c>
      <c r="F283" s="1882"/>
      <c r="G283" s="1043">
        <f t="shared" ref="G283:Y283" ca="1" si="324">ABS(G282-G281-G280)</f>
        <v>0</v>
      </c>
      <c r="H283" s="1043">
        <f t="shared" si="324"/>
        <v>0</v>
      </c>
      <c r="I283" s="1043">
        <f t="shared" si="324"/>
        <v>0</v>
      </c>
      <c r="J283" s="1043">
        <f t="shared" si="324"/>
        <v>0</v>
      </c>
      <c r="K283" s="1043">
        <f t="shared" si="324"/>
        <v>0</v>
      </c>
      <c r="L283" s="1043">
        <f t="shared" si="324"/>
        <v>0</v>
      </c>
      <c r="M283" s="1043">
        <f t="shared" si="324"/>
        <v>0</v>
      </c>
      <c r="N283" s="1043">
        <f t="shared" si="324"/>
        <v>0</v>
      </c>
      <c r="O283" s="1043">
        <f t="shared" si="324"/>
        <v>0</v>
      </c>
      <c r="P283" s="1043">
        <f t="shared" si="324"/>
        <v>0</v>
      </c>
      <c r="Q283" s="1043">
        <f t="shared" si="324"/>
        <v>0</v>
      </c>
      <c r="R283" s="1043">
        <f t="shared" si="324"/>
        <v>0</v>
      </c>
      <c r="S283" s="1043">
        <f t="shared" si="324"/>
        <v>0</v>
      </c>
      <c r="T283" s="2881">
        <f t="shared" si="324"/>
        <v>0</v>
      </c>
      <c r="U283" s="2881">
        <f t="shared" si="324"/>
        <v>0</v>
      </c>
      <c r="V283" s="2881">
        <f t="shared" si="324"/>
        <v>0</v>
      </c>
      <c r="W283" s="2881">
        <f t="shared" si="324"/>
        <v>0</v>
      </c>
      <c r="X283" s="2881">
        <f t="shared" si="324"/>
        <v>0</v>
      </c>
      <c r="Y283" s="2881">
        <f t="shared" si="324"/>
        <v>0</v>
      </c>
      <c r="Z283" s="2881">
        <f t="shared" ref="Z283" si="325">ABS(Z282-Z281-Z280)</f>
        <v>0</v>
      </c>
      <c r="AA283" s="2881">
        <f>ABS(AA282-AA281-AA280)</f>
        <v>0</v>
      </c>
      <c r="AB283" s="2881">
        <f>ABS(AB282-AB281-AB280)</f>
        <v>0</v>
      </c>
      <c r="AC283" s="2881">
        <f>ABS(AC282-AC281-AC280)</f>
        <v>0</v>
      </c>
      <c r="AD283" s="2881">
        <f ca="1">ABS(AD282-AD281-AD280)</f>
        <v>0</v>
      </c>
      <c r="AE283" s="2881">
        <f ca="1">ABS(AE282-AE281-AE280)</f>
        <v>0</v>
      </c>
    </row>
    <row r="285" spans="1:31" s="749" customFormat="1" ht="12.75" customHeight="1">
      <c r="A285" s="714"/>
      <c r="B285" s="714"/>
      <c r="C285" s="822"/>
      <c r="D285" s="3073"/>
      <c r="E285" s="3074" t="s">
        <v>46</v>
      </c>
      <c r="F285" s="3075"/>
      <c r="G285" s="939">
        <f>InputY!$G$3</f>
        <v>1995</v>
      </c>
      <c r="H285" s="939">
        <f t="shared" ref="H285:W285" si="326">+G285+1</f>
        <v>1996</v>
      </c>
      <c r="I285" s="939">
        <f t="shared" si="326"/>
        <v>1997</v>
      </c>
      <c r="J285" s="939">
        <f t="shared" si="326"/>
        <v>1998</v>
      </c>
      <c r="K285" s="939">
        <f t="shared" si="326"/>
        <v>1999</v>
      </c>
      <c r="L285" s="939">
        <f t="shared" si="326"/>
        <v>2000</v>
      </c>
      <c r="M285" s="939">
        <f t="shared" si="326"/>
        <v>2001</v>
      </c>
      <c r="N285" s="939">
        <f t="shared" si="326"/>
        <v>2002</v>
      </c>
      <c r="O285" s="939">
        <f t="shared" si="326"/>
        <v>2003</v>
      </c>
      <c r="P285" s="939">
        <f t="shared" si="326"/>
        <v>2004</v>
      </c>
      <c r="Q285" s="939">
        <f t="shared" si="326"/>
        <v>2005</v>
      </c>
      <c r="R285" s="939">
        <f t="shared" si="326"/>
        <v>2006</v>
      </c>
      <c r="S285" s="939">
        <f t="shared" si="326"/>
        <v>2007</v>
      </c>
      <c r="T285" s="939">
        <f t="shared" si="326"/>
        <v>2008</v>
      </c>
      <c r="U285" s="939">
        <f t="shared" si="326"/>
        <v>2009</v>
      </c>
      <c r="V285" s="939">
        <f t="shared" si="326"/>
        <v>2010</v>
      </c>
      <c r="W285" s="939">
        <f t="shared" si="326"/>
        <v>2011</v>
      </c>
      <c r="X285" s="939">
        <f t="shared" ref="X285:AE285" si="327">+W285+1</f>
        <v>2012</v>
      </c>
      <c r="Y285" s="939">
        <f t="shared" si="327"/>
        <v>2013</v>
      </c>
      <c r="Z285" s="939">
        <f t="shared" si="327"/>
        <v>2014</v>
      </c>
      <c r="AA285" s="939">
        <f t="shared" si="327"/>
        <v>2015</v>
      </c>
      <c r="AB285" s="939">
        <f t="shared" si="327"/>
        <v>2016</v>
      </c>
      <c r="AC285" s="939">
        <f t="shared" si="327"/>
        <v>2017</v>
      </c>
      <c r="AD285" s="939">
        <f t="shared" si="327"/>
        <v>2018</v>
      </c>
      <c r="AE285" s="939">
        <f t="shared" si="327"/>
        <v>2019</v>
      </c>
    </row>
    <row r="286" spans="1:31" s="749" customFormat="1" ht="12.75" customHeight="1">
      <c r="A286" s="714"/>
      <c r="B286" s="714"/>
      <c r="C286" s="839" t="s">
        <v>622</v>
      </c>
      <c r="D286" s="739"/>
      <c r="E286" s="787" t="s">
        <v>1223</v>
      </c>
      <c r="F286" s="782"/>
      <c r="G286" s="1122"/>
      <c r="H286" s="1122">
        <f t="shared" ref="H286:AE286" ca="1" si="328">+(H280/G280-1)*100</f>
        <v>3.1748906988658732</v>
      </c>
      <c r="I286" s="1122">
        <f t="shared" si="328"/>
        <v>4.0225719833580476</v>
      </c>
      <c r="J286" s="1122">
        <f t="shared" si="328"/>
        <v>3.7504380385805058</v>
      </c>
      <c r="K286" s="1122">
        <f t="shared" si="328"/>
        <v>3.6528963864649988</v>
      </c>
      <c r="L286" s="1122">
        <f t="shared" si="328"/>
        <v>6.0880642893430981</v>
      </c>
      <c r="M286" s="1122">
        <f t="shared" si="328"/>
        <v>3.3638840483667831</v>
      </c>
      <c r="N286" s="1122">
        <f t="shared" si="328"/>
        <v>1.3614539022027694</v>
      </c>
      <c r="O286" s="1122">
        <f t="shared" si="328"/>
        <v>2.6270845717165647</v>
      </c>
      <c r="P286" s="1122">
        <f t="shared" si="328"/>
        <v>5.4387413835828236</v>
      </c>
      <c r="Q286" s="1122">
        <f t="shared" si="328"/>
        <v>5.080156102445077</v>
      </c>
      <c r="R286" s="1122">
        <f t="shared" si="328"/>
        <v>4.7087154597427183</v>
      </c>
      <c r="S286" s="1122">
        <f t="shared" si="328"/>
        <v>5.7897538028917506</v>
      </c>
      <c r="T286" s="1122">
        <f t="shared" si="328"/>
        <v>5.7315530955609928</v>
      </c>
      <c r="U286" s="1122">
        <f t="shared" si="328"/>
        <v>-0.58581104798554051</v>
      </c>
      <c r="V286" s="1122">
        <f t="shared" si="328"/>
        <v>3.267842228510931</v>
      </c>
      <c r="W286" s="1122">
        <f t="shared" si="328"/>
        <v>4.630160401201433</v>
      </c>
      <c r="X286" s="1122">
        <f t="shared" si="328"/>
        <v>2.9742653496002358</v>
      </c>
      <c r="Y286" s="1122">
        <f t="shared" si="328"/>
        <v>1.1886708773806598</v>
      </c>
      <c r="Z286" s="1122">
        <f t="shared" si="328"/>
        <v>2.3726458098228376</v>
      </c>
      <c r="AA286" s="1122">
        <f t="shared" si="328"/>
        <v>1.6833010764292</v>
      </c>
      <c r="AB286" s="1122">
        <f t="shared" si="328"/>
        <v>3.0146767647688311</v>
      </c>
      <c r="AC286" s="1122">
        <f t="shared" si="328"/>
        <v>2.8331793605548272</v>
      </c>
      <c r="AD286" s="1122">
        <f t="shared" ca="1" si="328"/>
        <v>3.4713529648515928</v>
      </c>
      <c r="AE286" s="1122">
        <f t="shared" ca="1" si="328"/>
        <v>3.2416877262447796</v>
      </c>
    </row>
    <row r="287" spans="1:31" s="749" customFormat="1" ht="12.75" customHeight="1">
      <c r="A287" s="714"/>
      <c r="B287" s="714"/>
      <c r="C287" s="841" t="s">
        <v>622</v>
      </c>
      <c r="D287" s="741"/>
      <c r="E287" s="842" t="s">
        <v>1518</v>
      </c>
      <c r="F287" s="785" t="s">
        <v>1100</v>
      </c>
      <c r="G287" s="3135"/>
      <c r="H287" s="3135">
        <f t="shared" ref="H287:AE287" ca="1" si="329">+(H281/G281-1)*100</f>
        <v>-40.307715177642343</v>
      </c>
      <c r="I287" s="3135">
        <f t="shared" si="329"/>
        <v>-3.0631303698169687</v>
      </c>
      <c r="J287" s="3135">
        <f t="shared" si="329"/>
        <v>44.649967886962095</v>
      </c>
      <c r="K287" s="3135">
        <f t="shared" si="329"/>
        <v>-2.1312494449871267</v>
      </c>
      <c r="L287" s="3135">
        <f t="shared" si="329"/>
        <v>202.66763451592414</v>
      </c>
      <c r="M287" s="3135">
        <f t="shared" si="329"/>
        <v>-85.910003897232968</v>
      </c>
      <c r="N287" s="3135">
        <f t="shared" si="329"/>
        <v>-98.255319148936167</v>
      </c>
      <c r="O287" s="3135">
        <f t="shared" si="329"/>
        <v>14417.073170731712</v>
      </c>
      <c r="P287" s="3135">
        <f t="shared" si="329"/>
        <v>186.78595430107526</v>
      </c>
      <c r="Q287" s="3135">
        <f t="shared" si="329"/>
        <v>32.458478572893192</v>
      </c>
      <c r="R287" s="3135">
        <f t="shared" si="329"/>
        <v>11.180893409995573</v>
      </c>
      <c r="S287" s="3135">
        <f t="shared" si="329"/>
        <v>-16.874850823454544</v>
      </c>
      <c r="T287" s="3135">
        <f t="shared" si="329"/>
        <v>48.760528330781014</v>
      </c>
      <c r="U287" s="3135">
        <f t="shared" si="329"/>
        <v>-151.77577609779638</v>
      </c>
      <c r="V287" s="3135">
        <f t="shared" si="329"/>
        <v>-199.03693808443879</v>
      </c>
      <c r="W287" s="3135">
        <f t="shared" si="329"/>
        <v>67.464475046268717</v>
      </c>
      <c r="X287" s="3135">
        <f t="shared" si="329"/>
        <v>-57.932791368523581</v>
      </c>
      <c r="Y287" s="3135">
        <f t="shared" si="329"/>
        <v>-97.706830528096887</v>
      </c>
      <c r="Z287" s="3135">
        <f t="shared" si="329"/>
        <v>2120.9708737864075</v>
      </c>
      <c r="AA287" s="3135">
        <f t="shared" si="329"/>
        <v>37.611470536807154</v>
      </c>
      <c r="AB287" s="3135">
        <f t="shared" si="329"/>
        <v>25.908513341804309</v>
      </c>
      <c r="AC287" s="3135">
        <f t="shared" si="329"/>
        <v>181.81955797759616</v>
      </c>
      <c r="AD287" s="3135">
        <f t="shared" ca="1" si="329"/>
        <v>0</v>
      </c>
      <c r="AE287" s="3135">
        <f t="shared" ca="1" si="329"/>
        <v>0</v>
      </c>
    </row>
    <row r="288" spans="1:31" s="749" customFormat="1" ht="12.75" customHeight="1">
      <c r="A288" s="714"/>
      <c r="B288" s="714"/>
      <c r="C288" s="822" t="s">
        <v>624</v>
      </c>
      <c r="D288" s="766"/>
      <c r="E288" s="771" t="s">
        <v>1223</v>
      </c>
      <c r="F288" s="772"/>
      <c r="G288" s="770"/>
      <c r="H288" s="770">
        <f t="shared" ref="H288:AE288" ca="1" si="330">+(H282/G282-1)*100</f>
        <v>2.8880494707546944</v>
      </c>
      <c r="I288" s="770">
        <f t="shared" si="330"/>
        <v>3.9954537006590796</v>
      </c>
      <c r="J288" s="770">
        <f t="shared" si="330"/>
        <v>3.8963437294793346</v>
      </c>
      <c r="K288" s="770">
        <f t="shared" si="330"/>
        <v>3.6241680004974963</v>
      </c>
      <c r="L288" s="770">
        <f t="shared" si="330"/>
        <v>7.0101968589231012</v>
      </c>
      <c r="M288" s="770">
        <f t="shared" si="330"/>
        <v>2.179424457570156</v>
      </c>
      <c r="N288" s="770">
        <f t="shared" si="330"/>
        <v>1.1792004808201195</v>
      </c>
      <c r="O288" s="770">
        <f t="shared" si="330"/>
        <v>3.0818274747550944</v>
      </c>
      <c r="P288" s="770">
        <f t="shared" si="330"/>
        <v>6.2444459290549315</v>
      </c>
      <c r="Q288" s="770">
        <f t="shared" si="330"/>
        <v>5.4084958078808976</v>
      </c>
      <c r="R288" s="770">
        <f t="shared" si="330"/>
        <v>4.8062528577503372</v>
      </c>
      <c r="S288" s="770">
        <f t="shared" si="330"/>
        <v>5.4274175161829197</v>
      </c>
      <c r="T288" s="770">
        <f t="shared" si="330"/>
        <v>6.2739329551514178</v>
      </c>
      <c r="U288" s="770">
        <f t="shared" si="330"/>
        <v>-3.253446477604105</v>
      </c>
      <c r="V288" s="770">
        <f t="shared" si="330"/>
        <v>5.1781386838937626</v>
      </c>
      <c r="W288" s="770">
        <f t="shared" si="330"/>
        <v>5.188840538561057</v>
      </c>
      <c r="X288" s="770">
        <f t="shared" si="330"/>
        <v>2.1121071037190742</v>
      </c>
      <c r="Y288" s="770">
        <f t="shared" si="330"/>
        <v>0.61195439022159182</v>
      </c>
      <c r="Z288" s="770">
        <f t="shared" si="330"/>
        <v>2.6542382566158595</v>
      </c>
      <c r="AA288" s="770">
        <f t="shared" si="330"/>
        <v>1.7866184757614922</v>
      </c>
      <c r="AB288" s="770">
        <f t="shared" si="330"/>
        <v>3.1036830965546658</v>
      </c>
      <c r="AC288" s="770">
        <f t="shared" si="330"/>
        <v>3.6829529360131286</v>
      </c>
      <c r="AD288" s="770">
        <f t="shared" ca="1" si="330"/>
        <v>3.4265562890821277</v>
      </c>
      <c r="AE288" s="770">
        <f t="shared" ca="1" si="330"/>
        <v>3.2012407439533597</v>
      </c>
    </row>
    <row r="289" spans="1:31">
      <c r="Q289" s="3734">
        <f t="shared" ref="Q289:W289" si="331">(Q291-Q323)/Q355*100</f>
        <v>1.5475111146497633</v>
      </c>
      <c r="R289" s="3734">
        <f t="shared" si="331"/>
        <v>1.4189586119724322</v>
      </c>
      <c r="S289" s="3734">
        <f t="shared" si="331"/>
        <v>1.5878159335678279</v>
      </c>
      <c r="T289" s="3734">
        <f t="shared" si="331"/>
        <v>1.7326717992328562</v>
      </c>
      <c r="U289" s="3734">
        <f t="shared" si="331"/>
        <v>2.2991211393048543</v>
      </c>
      <c r="V289" s="3734">
        <f t="shared" si="331"/>
        <v>2.3750446794786608</v>
      </c>
      <c r="W289" s="3734">
        <f t="shared" si="331"/>
        <v>2.0229154725205034</v>
      </c>
      <c r="X289" s="3734">
        <f>(X291-X323)/X355*100</f>
        <v>1.8866833840817048</v>
      </c>
      <c r="Y289" s="3734">
        <f t="shared" ref="Y289:AA289" si="332">(Y291-Y323)/Y355*100</f>
        <v>1.9217525216661682</v>
      </c>
      <c r="Z289" s="3734">
        <f t="shared" ref="Z289" si="333">(Z291-Z323)/Z355*100</f>
        <v>1.4029641643196031</v>
      </c>
      <c r="AA289" s="3734">
        <f t="shared" si="332"/>
        <v>1.288412884664863</v>
      </c>
      <c r="AB289" s="3734">
        <f t="shared" ref="AB289:AC289" si="334">(AB291-AB323)/AB355*100</f>
        <v>1.0622425235504984</v>
      </c>
      <c r="AC289" s="3734">
        <f t="shared" si="334"/>
        <v>0.41132573413068296</v>
      </c>
      <c r="AD289" s="3734">
        <f t="shared" ref="AD289" ca="1" si="335">(AD291-AD323)/AD355*100</f>
        <v>0.36312670428593513</v>
      </c>
      <c r="AE289" s="3734">
        <f t="shared" ref="AE289" ca="1" si="336">(AE291-AE323)/AE355*100</f>
        <v>0.61617149680122774</v>
      </c>
    </row>
    <row r="290" spans="1:31">
      <c r="A290" s="1123"/>
      <c r="B290" s="1123"/>
      <c r="D290" s="3219"/>
      <c r="E290" s="944" t="s">
        <v>95</v>
      </c>
      <c r="F290" s="3201"/>
      <c r="G290" s="826">
        <f>InputY!$G$3</f>
        <v>1995</v>
      </c>
      <c r="H290" s="826">
        <f t="shared" ref="H290:W290" si="337">+G290+1</f>
        <v>1996</v>
      </c>
      <c r="I290" s="826">
        <f t="shared" si="337"/>
        <v>1997</v>
      </c>
      <c r="J290" s="826">
        <f t="shared" si="337"/>
        <v>1998</v>
      </c>
      <c r="K290" s="826">
        <f t="shared" si="337"/>
        <v>1999</v>
      </c>
      <c r="L290" s="826">
        <f t="shared" si="337"/>
        <v>2000</v>
      </c>
      <c r="M290" s="826">
        <f t="shared" si="337"/>
        <v>2001</v>
      </c>
      <c r="N290" s="826">
        <f t="shared" si="337"/>
        <v>2002</v>
      </c>
      <c r="O290" s="826">
        <f t="shared" si="337"/>
        <v>2003</v>
      </c>
      <c r="P290" s="826">
        <f t="shared" si="337"/>
        <v>2004</v>
      </c>
      <c r="Q290" s="826">
        <f t="shared" si="337"/>
        <v>2005</v>
      </c>
      <c r="R290" s="826">
        <f t="shared" si="337"/>
        <v>2006</v>
      </c>
      <c r="S290" s="826">
        <f t="shared" si="337"/>
        <v>2007</v>
      </c>
      <c r="T290" s="826">
        <f t="shared" si="337"/>
        <v>2008</v>
      </c>
      <c r="U290" s="826">
        <f t="shared" si="337"/>
        <v>2009</v>
      </c>
      <c r="V290" s="826">
        <f t="shared" si="337"/>
        <v>2010</v>
      </c>
      <c r="W290" s="826">
        <f t="shared" si="337"/>
        <v>2011</v>
      </c>
      <c r="X290" s="826">
        <f t="shared" ref="X290:AE290" si="338">+W290+1</f>
        <v>2012</v>
      </c>
      <c r="Y290" s="826">
        <f t="shared" si="338"/>
        <v>2013</v>
      </c>
      <c r="Z290" s="826">
        <f t="shared" si="338"/>
        <v>2014</v>
      </c>
      <c r="AA290" s="826">
        <f t="shared" si="338"/>
        <v>2015</v>
      </c>
      <c r="AB290" s="826">
        <f t="shared" si="338"/>
        <v>2016</v>
      </c>
      <c r="AC290" s="826">
        <f t="shared" si="338"/>
        <v>2017</v>
      </c>
      <c r="AD290" s="826">
        <f t="shared" si="338"/>
        <v>2018</v>
      </c>
      <c r="AE290" s="826">
        <f t="shared" si="338"/>
        <v>2019</v>
      </c>
    </row>
    <row r="291" spans="1:31">
      <c r="A291" s="714">
        <f>+ROW(InputY!A86)</f>
        <v>86</v>
      </c>
      <c r="B291" s="1123">
        <v>44</v>
      </c>
      <c r="C291" s="1112" t="s">
        <v>624</v>
      </c>
      <c r="D291" s="1099"/>
      <c r="E291" s="1080" t="s">
        <v>691</v>
      </c>
      <c r="F291" s="1099" t="s">
        <v>1320</v>
      </c>
      <c r="G291" s="3127">
        <f ca="1">InputY!G86/1000</f>
        <v>25.4572</v>
      </c>
      <c r="H291" s="3127">
        <f>InputY!H86/1000</f>
        <v>26.542300000000001</v>
      </c>
      <c r="I291" s="3127">
        <f>InputY!I86/1000</f>
        <v>29.131799999999998</v>
      </c>
      <c r="J291" s="3127">
        <f>InputY!J86/1000</f>
        <v>30.6873</v>
      </c>
      <c r="K291" s="3127">
        <f>InputY!K86/1000</f>
        <v>33.059400000000004</v>
      </c>
      <c r="L291" s="3127">
        <f>InputY!L86/1000</f>
        <v>39.953900000000004</v>
      </c>
      <c r="M291" s="3127">
        <f>InputY!M86/1000</f>
        <v>42.915099999999995</v>
      </c>
      <c r="N291" s="3127">
        <f>InputY!N86/1000</f>
        <v>42.089300000000001</v>
      </c>
      <c r="O291" s="3127">
        <f>InputY!O86/1000</f>
        <v>41.753599999999999</v>
      </c>
      <c r="P291" s="3127">
        <f>InputY!P86/1000</f>
        <v>44.456400000000002</v>
      </c>
      <c r="Q291" s="3127">
        <f>InputY!Q86/1000</f>
        <v>47.172199999999997</v>
      </c>
      <c r="R291" s="3127">
        <f>InputY!R86/1000</f>
        <v>48.870100000000001</v>
      </c>
      <c r="S291" s="3127">
        <f>InputY!S86/1000</f>
        <v>55.6357</v>
      </c>
      <c r="T291" s="3127">
        <f>InputY!T86/1000</f>
        <v>65.81</v>
      </c>
      <c r="U291" s="3127">
        <f>InputY!U86/1000</f>
        <v>66.076999999999998</v>
      </c>
      <c r="V291" s="3127">
        <f>InputY!V86/1000</f>
        <v>74.564399999999992</v>
      </c>
      <c r="W291" s="3127">
        <f>InputY!W86/1000</f>
        <v>76.008899999999997</v>
      </c>
      <c r="X291" s="3127">
        <f>InputY!X86/1000</f>
        <v>84.00739999999999</v>
      </c>
      <c r="Y291" s="3127">
        <f>InputY!Y86/1000</f>
        <v>85.992199999999997</v>
      </c>
      <c r="Z291" s="3127">
        <f>InputY!Z86/1000</f>
        <v>94.396899999999988</v>
      </c>
      <c r="AA291" s="3127">
        <f>InputY!AA86/1000</f>
        <v>101.57</v>
      </c>
      <c r="AB291" s="3127">
        <f>InputY!AB86/1000</f>
        <v>102.3943</v>
      </c>
      <c r="AC291" s="3127">
        <f>InputY!AC86/1000</f>
        <v>102.97969999999999</v>
      </c>
      <c r="AD291" s="1355">
        <f t="shared" ref="AD291:AE293" ca="1" si="339">+AC291*(1+AD297/100)</f>
        <v>108.585914868</v>
      </c>
      <c r="AE291" s="1355">
        <f t="shared" ca="1" si="339"/>
        <v>114.73057461855039</v>
      </c>
    </row>
    <row r="292" spans="1:31">
      <c r="A292" s="714">
        <f>+ROW(InputY!A85)</f>
        <v>85</v>
      </c>
      <c r="B292" s="1123">
        <v>43</v>
      </c>
      <c r="C292" s="1114" t="s">
        <v>622</v>
      </c>
      <c r="D292" s="1110"/>
      <c r="E292" s="1111" t="s">
        <v>692</v>
      </c>
      <c r="F292" s="1110" t="s">
        <v>83</v>
      </c>
      <c r="G292" s="1116">
        <f ca="1">InputY!G85/1000</f>
        <v>100.4145</v>
      </c>
      <c r="H292" s="1116">
        <f>InputY!H85/1000</f>
        <v>103.97930000000001</v>
      </c>
      <c r="I292" s="1116">
        <f>InputY!I85/1000</f>
        <v>115.25489999999999</v>
      </c>
      <c r="J292" s="1116">
        <f>InputY!J85/1000</f>
        <v>117.9727</v>
      </c>
      <c r="K292" s="1116">
        <f>InputY!K85/1000</f>
        <v>122.99789999999999</v>
      </c>
      <c r="L292" s="1116">
        <f>InputY!L85/1000</f>
        <v>145.59820000000002</v>
      </c>
      <c r="M292" s="1116">
        <f>InputY!M85/1000</f>
        <v>145.84879999999998</v>
      </c>
      <c r="N292" s="1116">
        <f>InputY!N85/1000</f>
        <v>151.32210000000001</v>
      </c>
      <c r="O292" s="1116">
        <f>InputY!O85/1000</f>
        <v>152.124</v>
      </c>
      <c r="P292" s="1116">
        <f>InputY!P85/1000</f>
        <v>165.74629999999999</v>
      </c>
      <c r="Q292" s="1116">
        <f>InputY!Q85/1000</f>
        <v>181.83229999999998</v>
      </c>
      <c r="R292" s="1116">
        <f>InputY!R85/1000</f>
        <v>198.4495</v>
      </c>
      <c r="S292" s="1116">
        <f>InputY!S85/1000</f>
        <v>211.48489999999998</v>
      </c>
      <c r="T292" s="1116">
        <f>InputY!T85/1000</f>
        <v>216.3663</v>
      </c>
      <c r="U292" s="1116">
        <f>InputY!U85/1000</f>
        <v>175.66239999999999</v>
      </c>
      <c r="V292" s="1116">
        <f>InputY!V85/1000</f>
        <v>204.54929999999999</v>
      </c>
      <c r="W292" s="1116">
        <f>InputY!W85/1000</f>
        <v>233.47660000000002</v>
      </c>
      <c r="X292" s="1116">
        <f>InputY!X85/1000</f>
        <v>234.92779999999999</v>
      </c>
      <c r="Y292" s="1116">
        <f>InputY!Y85/1000</f>
        <v>234.66829999999999</v>
      </c>
      <c r="Z292" s="1116">
        <f>InputY!Z85/1000</f>
        <v>236.33960000000002</v>
      </c>
      <c r="AA292" s="1116">
        <f>InputY!AA85/1000</f>
        <v>229.92160000000001</v>
      </c>
      <c r="AB292" s="1116">
        <f>InputY!AB85/1000</f>
        <v>248.1651</v>
      </c>
      <c r="AC292" s="1116">
        <f>InputY!AC85/1000</f>
        <v>268.40609999999998</v>
      </c>
      <c r="AD292" s="1285">
        <f t="shared" ca="1" si="339"/>
        <v>285.1597403559</v>
      </c>
      <c r="AE292" s="1285">
        <f t="shared" ca="1" si="339"/>
        <v>301.4812573188064</v>
      </c>
    </row>
    <row r="293" spans="1:31">
      <c r="A293" s="714">
        <f>+ROW(InputY!A87)</f>
        <v>87</v>
      </c>
      <c r="B293" s="714"/>
      <c r="C293" s="744" t="s">
        <v>624</v>
      </c>
      <c r="D293" s="1096"/>
      <c r="E293" s="1097" t="s">
        <v>824</v>
      </c>
      <c r="F293" s="1096" t="s">
        <v>96</v>
      </c>
      <c r="G293" s="1098">
        <f ca="1">InputY!G87/1000</f>
        <v>125.8717</v>
      </c>
      <c r="H293" s="1098">
        <f>InputY!H87/1000</f>
        <v>130.52160000000001</v>
      </c>
      <c r="I293" s="1098">
        <f>InputY!I87/1000</f>
        <v>144.38670000000002</v>
      </c>
      <c r="J293" s="1098">
        <f>InputY!J87/1000</f>
        <v>148.66</v>
      </c>
      <c r="K293" s="1098">
        <f>InputY!K87/1000</f>
        <v>156.0573</v>
      </c>
      <c r="L293" s="1098">
        <f>InputY!L87/1000</f>
        <v>185.5521</v>
      </c>
      <c r="M293" s="1098">
        <f>InputY!M87/1000</f>
        <v>188.76390000000001</v>
      </c>
      <c r="N293" s="1098">
        <f>InputY!N87/1000</f>
        <v>193.41139999999999</v>
      </c>
      <c r="O293" s="1098">
        <f>InputY!O87/1000</f>
        <v>193.8776</v>
      </c>
      <c r="P293" s="1098">
        <f>InputY!P87/1000</f>
        <v>210.20270000000002</v>
      </c>
      <c r="Q293" s="1098">
        <f>InputY!Q87/1000</f>
        <v>229.00450000000001</v>
      </c>
      <c r="R293" s="1098">
        <f>InputY!R87/1000</f>
        <v>247.31960000000001</v>
      </c>
      <c r="S293" s="1098">
        <f>InputY!S87/1000</f>
        <v>267.12059999999997</v>
      </c>
      <c r="T293" s="1098">
        <f>InputY!T87/1000</f>
        <v>282.17629999999997</v>
      </c>
      <c r="U293" s="1098">
        <f>InputY!U87/1000</f>
        <v>241.73939999999999</v>
      </c>
      <c r="V293" s="1098">
        <f>InputY!V87/1000</f>
        <v>279.11369999999999</v>
      </c>
      <c r="W293" s="1098">
        <f>InputY!W87/1000</f>
        <v>309.4855</v>
      </c>
      <c r="X293" s="1098">
        <f>InputY!X87/1000</f>
        <v>318.93520000000001</v>
      </c>
      <c r="Y293" s="1098">
        <f>InputY!Y87/1000</f>
        <v>320.66050000000001</v>
      </c>
      <c r="Z293" s="1098">
        <f>InputY!Z87/1000</f>
        <v>330.73649999999998</v>
      </c>
      <c r="AA293" s="1098">
        <f>InputY!AA87/1000</f>
        <v>331.49159999999995</v>
      </c>
      <c r="AB293" s="1098">
        <f>InputY!AB87/1000</f>
        <v>350.55940000000004</v>
      </c>
      <c r="AC293" s="1098">
        <f>InputY!AC87/1000</f>
        <v>371.38590000000005</v>
      </c>
      <c r="AD293" s="915">
        <f t="shared" ca="1" si="339"/>
        <v>393.74565522390003</v>
      </c>
      <c r="AE293" s="915">
        <f t="shared" ca="1" si="339"/>
        <v>416.21183193735681</v>
      </c>
    </row>
    <row r="294" spans="1:31">
      <c r="A294" s="714"/>
      <c r="B294" s="714"/>
      <c r="D294" s="1882"/>
      <c r="E294" s="1882" t="s">
        <v>474</v>
      </c>
      <c r="F294" s="1882"/>
      <c r="G294" s="1043">
        <f t="shared" ref="G294:X294" ca="1" si="340">ABS(G293-G292-G291)</f>
        <v>0</v>
      </c>
      <c r="H294" s="1043">
        <f t="shared" si="340"/>
        <v>3.5527136788005009E-15</v>
      </c>
      <c r="I294" s="1043">
        <f t="shared" si="340"/>
        <v>2.8421709430404007E-14</v>
      </c>
      <c r="J294" s="1043">
        <f t="shared" si="340"/>
        <v>7.1054273576010019E-15</v>
      </c>
      <c r="K294" s="1043">
        <f t="shared" si="340"/>
        <v>7.1054273576010019E-15</v>
      </c>
      <c r="L294" s="1043">
        <f t="shared" si="340"/>
        <v>2.8421709430404007E-14</v>
      </c>
      <c r="M294" s="1043">
        <f t="shared" si="340"/>
        <v>2.8421709430404007E-14</v>
      </c>
      <c r="N294" s="1043">
        <f t="shared" si="340"/>
        <v>2.1316282072803006E-14</v>
      </c>
      <c r="O294" s="1043">
        <f t="shared" si="340"/>
        <v>7.1054273576010019E-15</v>
      </c>
      <c r="P294" s="1043">
        <f t="shared" si="340"/>
        <v>2.8421709430404007E-14</v>
      </c>
      <c r="Q294" s="1043">
        <f t="shared" si="340"/>
        <v>3.5527136788005009E-14</v>
      </c>
      <c r="R294" s="1043">
        <f t="shared" si="340"/>
        <v>7.1054273576010019E-15</v>
      </c>
      <c r="S294" s="1043">
        <f t="shared" si="340"/>
        <v>1.4210854715202004E-14</v>
      </c>
      <c r="T294" s="1043">
        <f t="shared" si="340"/>
        <v>2.8421709430404007E-14</v>
      </c>
      <c r="U294" s="2881">
        <f t="shared" si="340"/>
        <v>0</v>
      </c>
      <c r="V294" s="2881">
        <f t="shared" si="340"/>
        <v>1.4210854715202004E-14</v>
      </c>
      <c r="W294" s="2881">
        <f t="shared" si="340"/>
        <v>1.4210854715202004E-14</v>
      </c>
      <c r="X294" s="2881">
        <f t="shared" si="340"/>
        <v>2.8421709430404007E-14</v>
      </c>
      <c r="Y294" s="2881">
        <f t="shared" ref="Y294:Z294" si="341">ABS(Y293-Y292-Y291)</f>
        <v>2.8421709430404007E-14</v>
      </c>
      <c r="Z294" s="2881">
        <f t="shared" si="341"/>
        <v>2.8421709430404007E-14</v>
      </c>
      <c r="AA294" s="2881">
        <f>ABS(AA293-AA292-AA291)</f>
        <v>5.6843418860808015E-14</v>
      </c>
      <c r="AB294" s="2881">
        <f>ABS(AB293-AB292-AB291)</f>
        <v>4.2632564145606011E-14</v>
      </c>
      <c r="AC294" s="2881">
        <f>ABS(AC293-AC292-AC291)</f>
        <v>1.0000000007437393E-4</v>
      </c>
      <c r="AD294" s="2881">
        <f ca="1">ABS(AD293-AD292-AD291)</f>
        <v>2.8421709430404007E-14</v>
      </c>
      <c r="AE294" s="2881">
        <f ca="1">ABS(AE293-AE292-AE291)</f>
        <v>1.4210854715202004E-14</v>
      </c>
    </row>
    <row r="295" spans="1:31">
      <c r="L295" s="1380">
        <f t="shared" ref="L295:T295" si="342">L292-K292</f>
        <v>22.600300000000033</v>
      </c>
      <c r="M295" s="1380">
        <f t="shared" si="342"/>
        <v>0.25059999999996307</v>
      </c>
      <c r="N295" s="1380">
        <f t="shared" si="342"/>
        <v>5.4733000000000231</v>
      </c>
      <c r="O295" s="1380">
        <f t="shared" si="342"/>
        <v>0.80189999999998918</v>
      </c>
      <c r="P295" s="1380">
        <f t="shared" si="342"/>
        <v>13.622299999999996</v>
      </c>
      <c r="Q295" s="1380">
        <f t="shared" si="342"/>
        <v>16.085999999999984</v>
      </c>
      <c r="R295" s="1380">
        <f t="shared" si="342"/>
        <v>16.617200000000025</v>
      </c>
      <c r="S295" s="1380">
        <f t="shared" si="342"/>
        <v>13.035399999999981</v>
      </c>
      <c r="T295" s="1380">
        <f t="shared" si="342"/>
        <v>4.8814000000000135</v>
      </c>
      <c r="U295" s="1380"/>
    </row>
    <row r="296" spans="1:31">
      <c r="A296" s="1123"/>
      <c r="B296" s="1123"/>
      <c r="D296" s="3147"/>
      <c r="E296" s="970" t="s">
        <v>95</v>
      </c>
      <c r="F296" s="3117"/>
      <c r="G296" s="939">
        <f>InputY!$G$3</f>
        <v>1995</v>
      </c>
      <c r="H296" s="939">
        <f t="shared" ref="H296:W296" si="343">+G296+1</f>
        <v>1996</v>
      </c>
      <c r="I296" s="939">
        <f t="shared" si="343"/>
        <v>1997</v>
      </c>
      <c r="J296" s="939">
        <f t="shared" si="343"/>
        <v>1998</v>
      </c>
      <c r="K296" s="939">
        <f t="shared" si="343"/>
        <v>1999</v>
      </c>
      <c r="L296" s="939">
        <f t="shared" si="343"/>
        <v>2000</v>
      </c>
      <c r="M296" s="939">
        <f t="shared" si="343"/>
        <v>2001</v>
      </c>
      <c r="N296" s="939">
        <f t="shared" si="343"/>
        <v>2002</v>
      </c>
      <c r="O296" s="939">
        <f t="shared" si="343"/>
        <v>2003</v>
      </c>
      <c r="P296" s="939">
        <f t="shared" si="343"/>
        <v>2004</v>
      </c>
      <c r="Q296" s="939">
        <f t="shared" si="343"/>
        <v>2005</v>
      </c>
      <c r="R296" s="939">
        <f t="shared" si="343"/>
        <v>2006</v>
      </c>
      <c r="S296" s="939">
        <f t="shared" si="343"/>
        <v>2007</v>
      </c>
      <c r="T296" s="939">
        <f t="shared" si="343"/>
        <v>2008</v>
      </c>
      <c r="U296" s="939">
        <f t="shared" si="343"/>
        <v>2009</v>
      </c>
      <c r="V296" s="939">
        <f t="shared" si="343"/>
        <v>2010</v>
      </c>
      <c r="W296" s="939">
        <f t="shared" si="343"/>
        <v>2011</v>
      </c>
      <c r="X296" s="939">
        <f t="shared" ref="X296:AE296" si="344">+W296+1</f>
        <v>2012</v>
      </c>
      <c r="Y296" s="939">
        <f t="shared" si="344"/>
        <v>2013</v>
      </c>
      <c r="Z296" s="939">
        <f t="shared" si="344"/>
        <v>2014</v>
      </c>
      <c r="AA296" s="939">
        <f t="shared" si="344"/>
        <v>2015</v>
      </c>
      <c r="AB296" s="939">
        <f t="shared" si="344"/>
        <v>2016</v>
      </c>
      <c r="AC296" s="939">
        <f t="shared" si="344"/>
        <v>2017</v>
      </c>
      <c r="AD296" s="939">
        <f t="shared" si="344"/>
        <v>2018</v>
      </c>
      <c r="AE296" s="939">
        <f t="shared" si="344"/>
        <v>2019</v>
      </c>
    </row>
    <row r="297" spans="1:31">
      <c r="A297" s="1123"/>
      <c r="B297" s="1123"/>
      <c r="C297" s="3220" t="s">
        <v>624</v>
      </c>
      <c r="D297" s="1242"/>
      <c r="E297" s="1242" t="s">
        <v>691</v>
      </c>
      <c r="F297" s="3221" t="s">
        <v>1320</v>
      </c>
      <c r="G297" s="3222"/>
      <c r="H297" s="3222">
        <f t="shared" ref="H297:AC297" ca="1" si="345">+(H291/G291-1)*100</f>
        <v>4.2624483446726202</v>
      </c>
      <c r="I297" s="3222">
        <f t="shared" si="345"/>
        <v>9.7561251285683603</v>
      </c>
      <c r="J297" s="3222">
        <f t="shared" si="345"/>
        <v>5.3395258789364242</v>
      </c>
      <c r="K297" s="3222">
        <f t="shared" si="345"/>
        <v>7.729907812026493</v>
      </c>
      <c r="L297" s="3222">
        <f t="shared" si="345"/>
        <v>20.854885448616734</v>
      </c>
      <c r="M297" s="3222">
        <f t="shared" si="345"/>
        <v>7.411541801926691</v>
      </c>
      <c r="N297" s="3222">
        <f t="shared" si="345"/>
        <v>-1.9242644197496772</v>
      </c>
      <c r="O297" s="3222">
        <f t="shared" si="345"/>
        <v>-0.7975898862656372</v>
      </c>
      <c r="P297" s="3222">
        <f t="shared" si="345"/>
        <v>6.4732142857143016</v>
      </c>
      <c r="Q297" s="3222">
        <f t="shared" si="345"/>
        <v>6.1089067040965839</v>
      </c>
      <c r="R297" s="3222">
        <f t="shared" si="345"/>
        <v>3.5993657281195413</v>
      </c>
      <c r="S297" s="3222">
        <f t="shared" si="345"/>
        <v>13.8440477920037</v>
      </c>
      <c r="T297" s="3222">
        <f t="shared" si="345"/>
        <v>18.287358656402276</v>
      </c>
      <c r="U297" s="3222">
        <f t="shared" si="345"/>
        <v>0.40571341741375555</v>
      </c>
      <c r="V297" s="3222">
        <f t="shared" si="345"/>
        <v>12.844711472978476</v>
      </c>
      <c r="W297" s="3222">
        <f t="shared" si="345"/>
        <v>1.937251557043318</v>
      </c>
      <c r="X297" s="3222">
        <f t="shared" si="345"/>
        <v>10.523109793721508</v>
      </c>
      <c r="Y297" s="3222">
        <f t="shared" si="345"/>
        <v>2.3626490047305548</v>
      </c>
      <c r="Z297" s="3222">
        <f t="shared" si="345"/>
        <v>9.7737934370791599</v>
      </c>
      <c r="AA297" s="3222">
        <f t="shared" si="345"/>
        <v>7.5988724205985569</v>
      </c>
      <c r="AB297" s="3222">
        <f t="shared" si="345"/>
        <v>0.81155853106233966</v>
      </c>
      <c r="AC297" s="3222">
        <f t="shared" si="345"/>
        <v>0.57171151128529996</v>
      </c>
      <c r="AD297" s="3148">
        <f ca="1">OFFSET('VVP1'!$K$85,0,5*(COLUMN()-7))</f>
        <v>5.4440000000000044</v>
      </c>
      <c r="AE297" s="3148">
        <f ca="1">OFFSET('VVP1'!$K$85,0,5*(COLUMN()-7))</f>
        <v>5.6588000000000083</v>
      </c>
    </row>
    <row r="298" spans="1:31">
      <c r="A298" s="1123"/>
      <c r="B298" s="1123"/>
      <c r="C298" s="1021" t="s">
        <v>622</v>
      </c>
      <c r="D298" s="3149"/>
      <c r="E298" s="3150" t="s">
        <v>692</v>
      </c>
      <c r="F298" s="3149" t="s">
        <v>83</v>
      </c>
      <c r="G298" s="3151"/>
      <c r="H298" s="3151">
        <f t="shared" ref="H298:AC298" ca="1" si="346">+(H292/G292-1)*100</f>
        <v>3.5500848980973831</v>
      </c>
      <c r="I298" s="3151">
        <f t="shared" si="346"/>
        <v>10.844081466214895</v>
      </c>
      <c r="J298" s="3151">
        <f t="shared" si="346"/>
        <v>2.3580776175242901</v>
      </c>
      <c r="K298" s="3151">
        <f t="shared" si="346"/>
        <v>4.2596295583639199</v>
      </c>
      <c r="L298" s="3151">
        <f t="shared" si="346"/>
        <v>18.374541353958108</v>
      </c>
      <c r="M298" s="3151">
        <f t="shared" si="346"/>
        <v>0.17211751244174955</v>
      </c>
      <c r="N298" s="3151">
        <f t="shared" si="346"/>
        <v>3.7527219970270753</v>
      </c>
      <c r="O298" s="3151">
        <f t="shared" si="346"/>
        <v>0.52992920399597132</v>
      </c>
      <c r="P298" s="3151">
        <f t="shared" si="346"/>
        <v>8.9547342957061247</v>
      </c>
      <c r="Q298" s="3151">
        <f t="shared" si="346"/>
        <v>9.7051940224306641</v>
      </c>
      <c r="R298" s="3151">
        <f t="shared" si="346"/>
        <v>9.1387503760333111</v>
      </c>
      <c r="S298" s="3151">
        <f t="shared" si="346"/>
        <v>6.5686232517592646</v>
      </c>
      <c r="T298" s="3151">
        <f t="shared" si="346"/>
        <v>2.3081553340214889</v>
      </c>
      <c r="U298" s="3151">
        <f t="shared" si="346"/>
        <v>-18.81249529154957</v>
      </c>
      <c r="V298" s="3151">
        <f t="shared" si="346"/>
        <v>16.444555010064764</v>
      </c>
      <c r="W298" s="3151">
        <f t="shared" si="346"/>
        <v>14.141969686525456</v>
      </c>
      <c r="X298" s="3151">
        <f t="shared" si="346"/>
        <v>0.62156121855465596</v>
      </c>
      <c r="Y298" s="3151">
        <f t="shared" si="346"/>
        <v>-0.11045946882404234</v>
      </c>
      <c r="Z298" s="3151">
        <f t="shared" si="346"/>
        <v>0.71219674749423145</v>
      </c>
      <c r="AA298" s="3151">
        <f t="shared" si="346"/>
        <v>-2.7155838462957549</v>
      </c>
      <c r="AB298" s="3151">
        <f t="shared" si="346"/>
        <v>7.9346612062546562</v>
      </c>
      <c r="AC298" s="3151">
        <f t="shared" si="346"/>
        <v>8.1562637131490145</v>
      </c>
      <c r="AD298" s="3115">
        <f ca="1">OFFSET('VVP1'!$K$86,0,5*(COLUMN()-7))</f>
        <v>6.2419000000000002</v>
      </c>
      <c r="AE298" s="3115">
        <f ca="1">OFFSET('VVP1'!$K$86,0,5*(COLUMN()-7))</f>
        <v>5.7236399999999854</v>
      </c>
    </row>
    <row r="299" spans="1:31">
      <c r="A299" s="714"/>
      <c r="B299" s="714"/>
      <c r="C299" s="744" t="s">
        <v>624</v>
      </c>
      <c r="D299" s="3121"/>
      <c r="E299" s="3205" t="s">
        <v>51</v>
      </c>
      <c r="F299" s="3121" t="s">
        <v>96</v>
      </c>
      <c r="G299" s="3123"/>
      <c r="H299" s="3123">
        <f t="shared" ref="H299:AC299" ca="1" si="347">+(H293/G293-1)*100</f>
        <v>3.6941584168641572</v>
      </c>
      <c r="I299" s="3123">
        <f t="shared" si="347"/>
        <v>10.622839438070031</v>
      </c>
      <c r="J299" s="3123">
        <f t="shared" si="347"/>
        <v>2.9596216271997156</v>
      </c>
      <c r="K299" s="3123">
        <f t="shared" si="347"/>
        <v>4.9759854702004613</v>
      </c>
      <c r="L299" s="3123">
        <f t="shared" si="347"/>
        <v>18.899980968528872</v>
      </c>
      <c r="M299" s="3123">
        <f t="shared" si="347"/>
        <v>1.7309424145563579</v>
      </c>
      <c r="N299" s="3123">
        <f t="shared" si="347"/>
        <v>2.4620703428992474</v>
      </c>
      <c r="O299" s="3123">
        <f t="shared" si="347"/>
        <v>0.24104060050236242</v>
      </c>
      <c r="P299" s="3123">
        <f t="shared" si="347"/>
        <v>8.4203126096052507</v>
      </c>
      <c r="Q299" s="3123">
        <f t="shared" si="347"/>
        <v>8.9446044223028487</v>
      </c>
      <c r="R299" s="3123">
        <f t="shared" si="347"/>
        <v>7.9977031019041078</v>
      </c>
      <c r="S299" s="3123">
        <f t="shared" si="347"/>
        <v>8.0062396995628227</v>
      </c>
      <c r="T299" s="3123">
        <f t="shared" si="347"/>
        <v>5.6362931200364175</v>
      </c>
      <c r="U299" s="3123">
        <f t="shared" si="347"/>
        <v>-14.330367220776507</v>
      </c>
      <c r="V299" s="3123">
        <f t="shared" si="347"/>
        <v>15.46057448640974</v>
      </c>
      <c r="W299" s="3123">
        <f t="shared" si="347"/>
        <v>10.881515310785538</v>
      </c>
      <c r="X299" s="3123">
        <f t="shared" si="347"/>
        <v>3.0533579117600018</v>
      </c>
      <c r="Y299" s="3123">
        <f t="shared" si="347"/>
        <v>0.54095628202845969</v>
      </c>
      <c r="Z299" s="3123">
        <f t="shared" si="347"/>
        <v>3.1422641703608534</v>
      </c>
      <c r="AA299" s="3123">
        <f t="shared" si="347"/>
        <v>0.22830863844782723</v>
      </c>
      <c r="AB299" s="3123">
        <f t="shared" si="347"/>
        <v>5.7521216223880511</v>
      </c>
      <c r="AC299" s="3123">
        <f t="shared" si="347"/>
        <v>5.9409332626653377</v>
      </c>
      <c r="AD299" s="3206">
        <f ca="1">OFFSET('VVP1'!$K$87,0,5*(COLUMN()-7))</f>
        <v>6.0206257760189619</v>
      </c>
      <c r="AE299" s="3206">
        <f ca="1">OFFSET('VVP1'!$K$87,0,5*(COLUMN()-7))</f>
        <v>5.7057586326080489</v>
      </c>
    </row>
    <row r="301" spans="1:31">
      <c r="D301" s="3223"/>
      <c r="E301" s="1108" t="s">
        <v>275</v>
      </c>
      <c r="F301" s="3224"/>
      <c r="G301" s="748">
        <f>InputY!$G$3</f>
        <v>1995</v>
      </c>
      <c r="H301" s="748">
        <f t="shared" ref="H301:W301" si="348">+G301+1</f>
        <v>1996</v>
      </c>
      <c r="I301" s="748">
        <f t="shared" si="348"/>
        <v>1997</v>
      </c>
      <c r="J301" s="748">
        <f t="shared" si="348"/>
        <v>1998</v>
      </c>
      <c r="K301" s="748">
        <f t="shared" si="348"/>
        <v>1999</v>
      </c>
      <c r="L301" s="748">
        <f t="shared" si="348"/>
        <v>2000</v>
      </c>
      <c r="M301" s="748">
        <f t="shared" si="348"/>
        <v>2001</v>
      </c>
      <c r="N301" s="748">
        <f t="shared" si="348"/>
        <v>2002</v>
      </c>
      <c r="O301" s="748">
        <f t="shared" si="348"/>
        <v>2003</v>
      </c>
      <c r="P301" s="748">
        <f t="shared" si="348"/>
        <v>2004</v>
      </c>
      <c r="Q301" s="748">
        <f t="shared" si="348"/>
        <v>2005</v>
      </c>
      <c r="R301" s="748">
        <f t="shared" si="348"/>
        <v>2006</v>
      </c>
      <c r="S301" s="748">
        <f t="shared" si="348"/>
        <v>2007</v>
      </c>
      <c r="T301" s="748">
        <f t="shared" si="348"/>
        <v>2008</v>
      </c>
      <c r="U301" s="748">
        <f t="shared" si="348"/>
        <v>2009</v>
      </c>
      <c r="V301" s="748">
        <f t="shared" si="348"/>
        <v>2010</v>
      </c>
      <c r="W301" s="748">
        <f t="shared" si="348"/>
        <v>2011</v>
      </c>
      <c r="X301" s="748">
        <f t="shared" ref="X301:AE301" si="349">+W301+1</f>
        <v>2012</v>
      </c>
      <c r="Y301" s="748">
        <f t="shared" si="349"/>
        <v>2013</v>
      </c>
      <c r="Z301" s="748">
        <f t="shared" si="349"/>
        <v>2014</v>
      </c>
      <c r="AA301" s="748">
        <f t="shared" si="349"/>
        <v>2015</v>
      </c>
      <c r="AB301" s="748">
        <f t="shared" si="349"/>
        <v>2016</v>
      </c>
      <c r="AC301" s="748">
        <f t="shared" si="349"/>
        <v>2017</v>
      </c>
      <c r="AD301" s="748">
        <f t="shared" si="349"/>
        <v>2018</v>
      </c>
      <c r="AE301" s="748">
        <f t="shared" si="349"/>
        <v>2019</v>
      </c>
    </row>
    <row r="302" spans="1:31">
      <c r="A302" s="714">
        <f>+ROW(InputY!A261)</f>
        <v>261</v>
      </c>
      <c r="B302" s="715">
        <v>147</v>
      </c>
      <c r="C302" s="1112" t="s">
        <v>622</v>
      </c>
      <c r="D302" s="1099"/>
      <c r="E302" s="1080" t="s">
        <v>1132</v>
      </c>
      <c r="F302" s="1099" t="s">
        <v>1130</v>
      </c>
      <c r="G302" s="3127">
        <f ca="1">InputY!G261/1000</f>
        <v>101.1867</v>
      </c>
      <c r="H302" s="3127">
        <f ca="1">InputY!H261/1000</f>
        <v>105.7623</v>
      </c>
      <c r="I302" s="3127">
        <f ca="1">InputY!I261/1000</f>
        <v>117.24380000000001</v>
      </c>
      <c r="J302" s="3127">
        <f ca="1">InputY!J261/1000</f>
        <v>127.2176</v>
      </c>
      <c r="K302" s="3127">
        <f ca="1">InputY!K261/1000</f>
        <v>132.40679999999998</v>
      </c>
      <c r="L302" s="3127">
        <f>InputY!L261/1000</f>
        <v>156.69550000000001</v>
      </c>
      <c r="M302" s="3127">
        <f>InputY!M261/1000</f>
        <v>165.80600000000001</v>
      </c>
      <c r="N302" s="3127">
        <f>InputY!N261/1000</f>
        <v>172.62379999999999</v>
      </c>
      <c r="O302" s="3127">
        <f>InputY!O261/1000</f>
        <v>174.60470000000001</v>
      </c>
      <c r="P302" s="3127">
        <f>InputY!P261/1000</f>
        <v>190.27289999999999</v>
      </c>
      <c r="Q302" s="3127">
        <f>InputY!Q261/1000</f>
        <v>206.45600000000002</v>
      </c>
      <c r="R302" s="3127">
        <f>InputY!R261/1000</f>
        <v>223.3871</v>
      </c>
      <c r="S302" s="3127">
        <f>InputY!S261/1000</f>
        <v>239.48610000000005</v>
      </c>
      <c r="T302" s="3127">
        <f>InputY!T261/1000</f>
        <v>246.84370000000001</v>
      </c>
      <c r="U302" s="3127">
        <f>InputY!U261/1000</f>
        <v>201.27879999999999</v>
      </c>
      <c r="V302" s="3127">
        <f>InputY!V261/1000</f>
        <v>224.59620000000004</v>
      </c>
      <c r="W302" s="3127">
        <f>InputY!W261/1000</f>
        <v>246.04180000000002</v>
      </c>
      <c r="X302" s="3127">
        <f>InputY!X261/1000</f>
        <v>243.05099999999996</v>
      </c>
      <c r="Y302" s="3127">
        <f>InputY!Y261/1000</f>
        <v>247.57239999999996</v>
      </c>
      <c r="Z302" s="3127">
        <f>InputY!Z261/1000</f>
        <v>250.59639999999996</v>
      </c>
      <c r="AA302" s="3127">
        <f>InputY!AA261/1000</f>
        <v>256.49360000000001</v>
      </c>
      <c r="AB302" s="3127">
        <f>InputY!AB261/1000</f>
        <v>258.77640000000002</v>
      </c>
      <c r="AC302" s="3127">
        <f>InputY!AC261/1000</f>
        <v>274.46430000000004</v>
      </c>
      <c r="AD302" s="1355">
        <f t="shared" ref="AD302:AE303" ca="1" si="350">+AC302*(1+AD307/100)</f>
        <v>293.98497058950005</v>
      </c>
      <c r="AE302" s="1355">
        <f t="shared" ca="1" si="350"/>
        <v>312.72172305725604</v>
      </c>
    </row>
    <row r="303" spans="1:31">
      <c r="A303" s="714">
        <f>+ROW(InputY!A262)</f>
        <v>262</v>
      </c>
      <c r="B303" s="715">
        <v>149</v>
      </c>
      <c r="C303" s="1114" t="s">
        <v>622</v>
      </c>
      <c r="D303" s="1110"/>
      <c r="E303" s="3153" t="s">
        <v>1133</v>
      </c>
      <c r="F303" s="1110" t="s">
        <v>1131</v>
      </c>
      <c r="G303" s="1116">
        <f ca="1">InputY!G262/1000</f>
        <v>27.167300000000001</v>
      </c>
      <c r="H303" s="1116">
        <f ca="1">InputY!H262/1000</f>
        <v>28.8492</v>
      </c>
      <c r="I303" s="1116">
        <f ca="1">InputY!I262/1000</f>
        <v>35.033499999999997</v>
      </c>
      <c r="J303" s="1116">
        <f ca="1">InputY!J262/1000</f>
        <v>33.698500000000003</v>
      </c>
      <c r="K303" s="1116">
        <f ca="1">InputY!K262/1000</f>
        <v>35.684400000000004</v>
      </c>
      <c r="L303" s="1116">
        <f>InputY!L262/1000</f>
        <v>47.257699999999993</v>
      </c>
      <c r="M303" s="1116">
        <f>InputY!M262/1000</f>
        <v>46.73149999999999</v>
      </c>
      <c r="N303" s="1116">
        <f>InputY!N262/1000</f>
        <v>55.937399999999997</v>
      </c>
      <c r="O303" s="1116">
        <f>InputY!O262/1000</f>
        <v>51.364900000000006</v>
      </c>
      <c r="P303" s="1116">
        <f>InputY!P262/1000</f>
        <v>56.42410000000001</v>
      </c>
      <c r="Q303" s="1116">
        <f>InputY!Q262/1000</f>
        <v>62.332699999999988</v>
      </c>
      <c r="R303" s="1116">
        <f>InputY!R262/1000</f>
        <v>68.699999999999932</v>
      </c>
      <c r="S303" s="1116">
        <f>InputY!S262/1000</f>
        <v>74.962699999999984</v>
      </c>
      <c r="T303" s="1116">
        <f>InputY!T262/1000</f>
        <v>73.961300000000008</v>
      </c>
      <c r="U303" s="1116">
        <f>InputY!U262/1000</f>
        <v>64.7072</v>
      </c>
      <c r="V303" s="1116">
        <f>InputY!V262/1000</f>
        <v>82.933699999999988</v>
      </c>
      <c r="W303" s="1116">
        <f>InputY!W262/1000</f>
        <v>95.676299999999998</v>
      </c>
      <c r="X303" s="1116">
        <f>InputY!X262/1000</f>
        <v>104.03720000000006</v>
      </c>
      <c r="Y303" s="1116">
        <f>InputY!Y262/1000</f>
        <v>105.38320000000003</v>
      </c>
      <c r="Z303" s="1116">
        <f>InputY!Z262/1000</f>
        <v>104.69130000000006</v>
      </c>
      <c r="AA303" s="1116">
        <f>InputY!AA262/1000</f>
        <v>101.25980000000003</v>
      </c>
      <c r="AB303" s="1116">
        <f>InputY!AB262/1000</f>
        <v>100.76729999999998</v>
      </c>
      <c r="AC303" s="1116">
        <f>InputY!AC262/1000</f>
        <v>106.55620000000005</v>
      </c>
      <c r="AD303" s="1285">
        <f t="shared" ca="1" si="350"/>
        <v>110.81844800000005</v>
      </c>
      <c r="AE303" s="1285">
        <f t="shared" ca="1" si="350"/>
        <v>115.25118592000005</v>
      </c>
    </row>
    <row r="304" spans="1:31">
      <c r="A304" s="714"/>
      <c r="B304" s="714"/>
      <c r="C304" s="744" t="s">
        <v>624</v>
      </c>
      <c r="D304" s="819"/>
      <c r="E304" s="818" t="s">
        <v>692</v>
      </c>
      <c r="F304" s="819" t="s">
        <v>1119</v>
      </c>
      <c r="G304" s="3225">
        <f t="shared" ref="G304:W304" ca="1" si="351">+G302+G303</f>
        <v>128.35400000000001</v>
      </c>
      <c r="H304" s="3225">
        <f t="shared" ca="1" si="351"/>
        <v>134.61150000000001</v>
      </c>
      <c r="I304" s="3225">
        <f t="shared" ca="1" si="351"/>
        <v>152.2773</v>
      </c>
      <c r="J304" s="3225">
        <f t="shared" ca="1" si="351"/>
        <v>160.9161</v>
      </c>
      <c r="K304" s="3225">
        <f t="shared" ca="1" si="351"/>
        <v>168.09119999999999</v>
      </c>
      <c r="L304" s="3225">
        <f t="shared" si="351"/>
        <v>203.95320000000001</v>
      </c>
      <c r="M304" s="3225">
        <f t="shared" si="351"/>
        <v>212.53749999999999</v>
      </c>
      <c r="N304" s="3225">
        <f t="shared" si="351"/>
        <v>228.56119999999999</v>
      </c>
      <c r="O304" s="3225">
        <f t="shared" si="351"/>
        <v>225.96960000000001</v>
      </c>
      <c r="P304" s="3225">
        <f t="shared" si="351"/>
        <v>246.697</v>
      </c>
      <c r="Q304" s="3225">
        <f t="shared" si="351"/>
        <v>268.78870000000001</v>
      </c>
      <c r="R304" s="3225">
        <f t="shared" si="351"/>
        <v>292.08709999999996</v>
      </c>
      <c r="S304" s="3225">
        <f t="shared" si="351"/>
        <v>314.44880000000001</v>
      </c>
      <c r="T304" s="3225">
        <f t="shared" si="351"/>
        <v>320.80500000000001</v>
      </c>
      <c r="U304" s="3225">
        <f t="shared" si="351"/>
        <v>265.98599999999999</v>
      </c>
      <c r="V304" s="3225">
        <f t="shared" si="351"/>
        <v>307.5299</v>
      </c>
      <c r="W304" s="3225">
        <f t="shared" si="351"/>
        <v>341.71810000000005</v>
      </c>
      <c r="X304" s="3225">
        <f t="shared" ref="X304" si="352">+X302+X303</f>
        <v>347.08820000000003</v>
      </c>
      <c r="Y304" s="3225">
        <f t="shared" ref="Y304" si="353">+Y302+Y303</f>
        <v>352.9556</v>
      </c>
      <c r="Z304" s="3225">
        <f t="shared" ref="Z304:AA304" si="354">+Z302+Z303</f>
        <v>355.28770000000003</v>
      </c>
      <c r="AA304" s="3225">
        <f t="shared" si="354"/>
        <v>357.75340000000006</v>
      </c>
      <c r="AB304" s="3225">
        <f t="shared" ref="AB304" si="355">+AB302+AB303</f>
        <v>359.5437</v>
      </c>
      <c r="AC304" s="3225">
        <f t="shared" ref="AC304" si="356">+AC302+AC303</f>
        <v>381.02050000000008</v>
      </c>
      <c r="AD304" s="3225">
        <f t="shared" ref="AD304" ca="1" si="357">+AD302+AD303</f>
        <v>404.8034185895001</v>
      </c>
      <c r="AE304" s="3225">
        <f t="shared" ref="AE304" ca="1" si="358">+AE302+AE303</f>
        <v>427.97290897725611</v>
      </c>
    </row>
    <row r="305" spans="1:31">
      <c r="T305" s="1871"/>
    </row>
    <row r="306" spans="1:31" s="749" customFormat="1" ht="12.75" customHeight="1">
      <c r="A306" s="714"/>
      <c r="B306" s="714"/>
      <c r="C306" s="822"/>
      <c r="D306" s="3073"/>
      <c r="E306" s="3074" t="s">
        <v>275</v>
      </c>
      <c r="F306" s="3075"/>
      <c r="G306" s="939">
        <f>InputY!$G$3</f>
        <v>1995</v>
      </c>
      <c r="H306" s="939">
        <f t="shared" ref="H306:W306" si="359">+G306+1</f>
        <v>1996</v>
      </c>
      <c r="I306" s="939">
        <f t="shared" si="359"/>
        <v>1997</v>
      </c>
      <c r="J306" s="939">
        <f t="shared" si="359"/>
        <v>1998</v>
      </c>
      <c r="K306" s="939">
        <f t="shared" si="359"/>
        <v>1999</v>
      </c>
      <c r="L306" s="939">
        <f t="shared" si="359"/>
        <v>2000</v>
      </c>
      <c r="M306" s="939">
        <f t="shared" si="359"/>
        <v>2001</v>
      </c>
      <c r="N306" s="939">
        <f t="shared" si="359"/>
        <v>2002</v>
      </c>
      <c r="O306" s="939">
        <f t="shared" si="359"/>
        <v>2003</v>
      </c>
      <c r="P306" s="939">
        <f t="shared" si="359"/>
        <v>2004</v>
      </c>
      <c r="Q306" s="939">
        <f t="shared" si="359"/>
        <v>2005</v>
      </c>
      <c r="R306" s="939">
        <f t="shared" si="359"/>
        <v>2006</v>
      </c>
      <c r="S306" s="939">
        <f t="shared" si="359"/>
        <v>2007</v>
      </c>
      <c r="T306" s="939">
        <f t="shared" si="359"/>
        <v>2008</v>
      </c>
      <c r="U306" s="939">
        <f t="shared" si="359"/>
        <v>2009</v>
      </c>
      <c r="V306" s="939">
        <f t="shared" si="359"/>
        <v>2010</v>
      </c>
      <c r="W306" s="939">
        <f t="shared" si="359"/>
        <v>2011</v>
      </c>
      <c r="X306" s="939">
        <f t="shared" ref="X306:AE306" si="360">+W306+1</f>
        <v>2012</v>
      </c>
      <c r="Y306" s="939">
        <f t="shared" si="360"/>
        <v>2013</v>
      </c>
      <c r="Z306" s="939">
        <f t="shared" si="360"/>
        <v>2014</v>
      </c>
      <c r="AA306" s="939">
        <f t="shared" si="360"/>
        <v>2015</v>
      </c>
      <c r="AB306" s="939">
        <f t="shared" si="360"/>
        <v>2016</v>
      </c>
      <c r="AC306" s="939">
        <f t="shared" si="360"/>
        <v>2017</v>
      </c>
      <c r="AD306" s="939">
        <f t="shared" si="360"/>
        <v>2018</v>
      </c>
      <c r="AE306" s="939">
        <f t="shared" si="360"/>
        <v>2019</v>
      </c>
    </row>
    <row r="307" spans="1:31" s="749" customFormat="1" ht="12.75" customHeight="1">
      <c r="A307" s="714"/>
      <c r="B307" s="714"/>
      <c r="C307" s="839"/>
      <c r="D307" s="739"/>
      <c r="E307" s="787" t="s">
        <v>1132</v>
      </c>
      <c r="F307" s="782" t="s">
        <v>1130</v>
      </c>
      <c r="G307" s="1122"/>
      <c r="H307" s="1122">
        <f t="shared" ref="H307:AC307" ca="1" si="361">+(H302/G302-1)*100</f>
        <v>4.5219381598569752</v>
      </c>
      <c r="I307" s="1122">
        <f t="shared" ca="1" si="361"/>
        <v>10.85594772428362</v>
      </c>
      <c r="J307" s="1122">
        <f t="shared" ca="1" si="361"/>
        <v>8.5068890636434524</v>
      </c>
      <c r="K307" s="1122">
        <f t="shared" ca="1" si="361"/>
        <v>4.0789953591326755</v>
      </c>
      <c r="L307" s="1122">
        <f t="shared" ca="1" si="361"/>
        <v>18.343997438198056</v>
      </c>
      <c r="M307" s="1122">
        <f t="shared" si="361"/>
        <v>5.8141427162873294</v>
      </c>
      <c r="N307" s="1122">
        <f t="shared" si="361"/>
        <v>4.1119139235009428</v>
      </c>
      <c r="O307" s="1122">
        <f t="shared" si="361"/>
        <v>1.1475242695387466</v>
      </c>
      <c r="P307" s="1122">
        <f t="shared" si="361"/>
        <v>8.9735270585499691</v>
      </c>
      <c r="Q307" s="1122">
        <f t="shared" si="361"/>
        <v>8.5052048925517099</v>
      </c>
      <c r="R307" s="1122">
        <f t="shared" si="361"/>
        <v>8.2008272949199768</v>
      </c>
      <c r="S307" s="1122">
        <f t="shared" si="361"/>
        <v>7.2067724591079907</v>
      </c>
      <c r="T307" s="1122">
        <f t="shared" si="361"/>
        <v>3.0722451115116733</v>
      </c>
      <c r="U307" s="1122">
        <f t="shared" si="361"/>
        <v>-18.459008676340538</v>
      </c>
      <c r="V307" s="1122">
        <f t="shared" si="361"/>
        <v>11.584627889275989</v>
      </c>
      <c r="W307" s="1122">
        <f t="shared" si="361"/>
        <v>9.5485141778890217</v>
      </c>
      <c r="X307" s="1122">
        <f t="shared" si="361"/>
        <v>-1.215565810362329</v>
      </c>
      <c r="Y307" s="1122">
        <f t="shared" si="361"/>
        <v>1.86026800959469</v>
      </c>
      <c r="Z307" s="1122">
        <f t="shared" si="361"/>
        <v>1.2214608736676569</v>
      </c>
      <c r="AA307" s="1122">
        <f t="shared" si="361"/>
        <v>2.3532660485146906</v>
      </c>
      <c r="AB307" s="1122">
        <f t="shared" si="361"/>
        <v>0.89000271351800109</v>
      </c>
      <c r="AC307" s="1122">
        <f t="shared" si="361"/>
        <v>6.0623379875444527</v>
      </c>
      <c r="AD307" s="3226">
        <f ca="1">OFFSET('VVP1'!$K$93,0,5*(COLUMN()-7))</f>
        <v>7.1122803911109811</v>
      </c>
      <c r="AE307" s="3226">
        <f ca="1">OFFSET('VVP1'!$K$93,0,5*(COLUMN()-7))</f>
        <v>6.3733708666075639</v>
      </c>
    </row>
    <row r="308" spans="1:31" s="749" customFormat="1" ht="12.75" customHeight="1">
      <c r="A308" s="714"/>
      <c r="B308" s="714"/>
      <c r="C308" s="841"/>
      <c r="D308" s="741"/>
      <c r="E308" s="842" t="s">
        <v>1133</v>
      </c>
      <c r="F308" s="785" t="s">
        <v>1131</v>
      </c>
      <c r="G308" s="3135"/>
      <c r="H308" s="3135">
        <f t="shared" ref="H308:AC308" ca="1" si="362">+(H303/G303-1)*100</f>
        <v>6.1908986170874591</v>
      </c>
      <c r="I308" s="3135">
        <f t="shared" ca="1" si="362"/>
        <v>21.436642957170381</v>
      </c>
      <c r="J308" s="3135">
        <f t="shared" ca="1" si="362"/>
        <v>-3.8106383889705442</v>
      </c>
      <c r="K308" s="3135">
        <f t="shared" ca="1" si="362"/>
        <v>5.893140644242334</v>
      </c>
      <c r="L308" s="3135">
        <f t="shared" ca="1" si="362"/>
        <v>32.432379415094516</v>
      </c>
      <c r="M308" s="3135">
        <f t="shared" si="362"/>
        <v>-1.1134693393880846</v>
      </c>
      <c r="N308" s="3135">
        <f t="shared" si="362"/>
        <v>19.699560253790295</v>
      </c>
      <c r="O308" s="3135">
        <f t="shared" si="362"/>
        <v>-8.1743162892805028</v>
      </c>
      <c r="P308" s="3135">
        <f t="shared" si="362"/>
        <v>9.8495275956927753</v>
      </c>
      <c r="Q308" s="3135">
        <f t="shared" si="362"/>
        <v>10.471766496940106</v>
      </c>
      <c r="R308" s="3135">
        <f t="shared" si="362"/>
        <v>10.215023575105754</v>
      </c>
      <c r="S308" s="3135">
        <f t="shared" si="362"/>
        <v>9.1160116448326889</v>
      </c>
      <c r="T308" s="3135">
        <f t="shared" si="362"/>
        <v>-1.3358643698799244</v>
      </c>
      <c r="U308" s="3135">
        <f t="shared" si="362"/>
        <v>-12.512084022319792</v>
      </c>
      <c r="V308" s="3135">
        <f t="shared" si="362"/>
        <v>28.16765367687055</v>
      </c>
      <c r="W308" s="3135">
        <f t="shared" si="362"/>
        <v>15.364803451431698</v>
      </c>
      <c r="X308" s="3135">
        <f t="shared" si="362"/>
        <v>8.7387367613505731</v>
      </c>
      <c r="Y308" s="3135">
        <f t="shared" si="362"/>
        <v>1.2937679983697992</v>
      </c>
      <c r="Z308" s="3135">
        <f t="shared" si="362"/>
        <v>-0.65655626323738447</v>
      </c>
      <c r="AA308" s="3135">
        <f t="shared" si="362"/>
        <v>-3.2777317694975827</v>
      </c>
      <c r="AB308" s="3135">
        <f t="shared" si="362"/>
        <v>-0.4863726770150123</v>
      </c>
      <c r="AC308" s="3135">
        <f t="shared" si="362"/>
        <v>5.7448199961694701</v>
      </c>
      <c r="AD308" s="3227">
        <f ca="1">OFFSET('VVP1'!$K$94,0,5*(COLUMN()-7))</f>
        <v>4</v>
      </c>
      <c r="AE308" s="3227">
        <f ca="1">OFFSET('VVP1'!$K$94,0,5*(COLUMN()-7))</f>
        <v>4</v>
      </c>
    </row>
    <row r="309" spans="1:31" s="749" customFormat="1" ht="12.75" customHeight="1">
      <c r="A309" s="714"/>
      <c r="B309" s="714"/>
      <c r="C309" s="822"/>
      <c r="D309" s="766"/>
      <c r="E309" s="771" t="s">
        <v>692</v>
      </c>
      <c r="F309" s="772" t="s">
        <v>1119</v>
      </c>
      <c r="G309" s="770"/>
      <c r="H309" s="770">
        <f t="shared" ref="H309:AC309" ca="1" si="363">+(H304/G304-1)*100</f>
        <v>4.8751889306137608</v>
      </c>
      <c r="I309" s="770">
        <f t="shared" ca="1" si="363"/>
        <v>13.123544422281896</v>
      </c>
      <c r="J309" s="770">
        <f t="shared" ca="1" si="363"/>
        <v>5.6730714295564866</v>
      </c>
      <c r="K309" s="770">
        <f t="shared" ca="1" si="363"/>
        <v>4.4589074679289409</v>
      </c>
      <c r="L309" s="770">
        <f t="shared" ca="1" si="363"/>
        <v>21.334846797452833</v>
      </c>
      <c r="M309" s="770">
        <f t="shared" si="363"/>
        <v>4.2089557800514932</v>
      </c>
      <c r="N309" s="770">
        <f t="shared" si="363"/>
        <v>7.5392342527789147</v>
      </c>
      <c r="O309" s="770">
        <f t="shared" si="363"/>
        <v>-1.133875740939394</v>
      </c>
      <c r="P309" s="770">
        <f t="shared" si="363"/>
        <v>9.1726497723587652</v>
      </c>
      <c r="Q309" s="770">
        <f t="shared" si="363"/>
        <v>8.9549933724366362</v>
      </c>
      <c r="R309" s="770">
        <f t="shared" si="363"/>
        <v>8.6679239119799245</v>
      </c>
      <c r="S309" s="770">
        <f t="shared" si="363"/>
        <v>7.6558327978195617</v>
      </c>
      <c r="T309" s="770">
        <f t="shared" si="363"/>
        <v>2.0213783611195302</v>
      </c>
      <c r="U309" s="770">
        <f t="shared" si="363"/>
        <v>-17.087950624210979</v>
      </c>
      <c r="V309" s="770">
        <f t="shared" si="363"/>
        <v>15.618829562458171</v>
      </c>
      <c r="W309" s="770">
        <f t="shared" si="363"/>
        <v>11.117032847862941</v>
      </c>
      <c r="X309" s="770">
        <f t="shared" si="363"/>
        <v>1.5715000171193649</v>
      </c>
      <c r="Y309" s="770">
        <f t="shared" si="363"/>
        <v>1.6904636919376603</v>
      </c>
      <c r="Z309" s="770">
        <f t="shared" si="363"/>
        <v>0.66073466464338093</v>
      </c>
      <c r="AA309" s="770">
        <f t="shared" si="363"/>
        <v>0.694000946275386</v>
      </c>
      <c r="AB309" s="770">
        <f t="shared" si="363"/>
        <v>0.50042850745790624</v>
      </c>
      <c r="AC309" s="770">
        <f t="shared" si="363"/>
        <v>5.9733489976323106</v>
      </c>
      <c r="AD309" s="3228">
        <f ca="1">OFFSET('VVP1'!$K$95,0,5*(COLUMN()-7))</f>
        <v>6.2419000000000002</v>
      </c>
      <c r="AE309" s="3228">
        <f ca="1">OFFSET('VVP1'!$K$95,0,5*(COLUMN()-7))</f>
        <v>5.7236399999999854</v>
      </c>
    </row>
    <row r="311" spans="1:31">
      <c r="A311" s="1123"/>
      <c r="B311" s="1123"/>
      <c r="D311" s="1107"/>
      <c r="E311" s="1108" t="s">
        <v>825</v>
      </c>
      <c r="F311" s="1109"/>
      <c r="G311" s="748">
        <f>InputY!$G$3</f>
        <v>1995</v>
      </c>
      <c r="H311" s="748">
        <f t="shared" ref="H311:W311" si="364">+G311+1</f>
        <v>1996</v>
      </c>
      <c r="I311" s="748">
        <f t="shared" si="364"/>
        <v>1997</v>
      </c>
      <c r="J311" s="748">
        <f t="shared" si="364"/>
        <v>1998</v>
      </c>
      <c r="K311" s="748">
        <f t="shared" si="364"/>
        <v>1999</v>
      </c>
      <c r="L311" s="748">
        <f t="shared" si="364"/>
        <v>2000</v>
      </c>
      <c r="M311" s="748">
        <f t="shared" si="364"/>
        <v>2001</v>
      </c>
      <c r="N311" s="748">
        <f t="shared" si="364"/>
        <v>2002</v>
      </c>
      <c r="O311" s="748">
        <f t="shared" si="364"/>
        <v>2003</v>
      </c>
      <c r="P311" s="748">
        <f t="shared" si="364"/>
        <v>2004</v>
      </c>
      <c r="Q311" s="748">
        <f t="shared" si="364"/>
        <v>2005</v>
      </c>
      <c r="R311" s="748">
        <f t="shared" si="364"/>
        <v>2006</v>
      </c>
      <c r="S311" s="748">
        <f t="shared" si="364"/>
        <v>2007</v>
      </c>
      <c r="T311" s="748">
        <f t="shared" si="364"/>
        <v>2008</v>
      </c>
      <c r="U311" s="748">
        <f t="shared" si="364"/>
        <v>2009</v>
      </c>
      <c r="V311" s="748">
        <f t="shared" si="364"/>
        <v>2010</v>
      </c>
      <c r="W311" s="748">
        <f t="shared" si="364"/>
        <v>2011</v>
      </c>
      <c r="X311" s="748">
        <f t="shared" ref="X311:AE311" si="365">+W311+1</f>
        <v>2012</v>
      </c>
      <c r="Y311" s="748">
        <f t="shared" si="365"/>
        <v>2013</v>
      </c>
      <c r="Z311" s="748">
        <f t="shared" si="365"/>
        <v>2014</v>
      </c>
      <c r="AA311" s="748">
        <f t="shared" si="365"/>
        <v>2015</v>
      </c>
      <c r="AB311" s="748">
        <f t="shared" si="365"/>
        <v>2016</v>
      </c>
      <c r="AC311" s="748">
        <f t="shared" si="365"/>
        <v>2017</v>
      </c>
      <c r="AD311" s="748">
        <f t="shared" si="365"/>
        <v>2018</v>
      </c>
      <c r="AE311" s="748">
        <f t="shared" si="365"/>
        <v>2019</v>
      </c>
    </row>
    <row r="312" spans="1:31">
      <c r="A312" s="714"/>
      <c r="B312" s="1123"/>
      <c r="C312" s="1112" t="s">
        <v>622</v>
      </c>
      <c r="D312" s="1099"/>
      <c r="E312" s="1080" t="s">
        <v>46</v>
      </c>
      <c r="F312" s="1099"/>
      <c r="G312" s="3127">
        <f t="shared" ref="G312:W312" ca="1" si="366">+G282</f>
        <v>203.95080000000002</v>
      </c>
      <c r="H312" s="3127">
        <f t="shared" si="366"/>
        <v>209.84099999999998</v>
      </c>
      <c r="I312" s="3127">
        <f t="shared" si="366"/>
        <v>218.2251</v>
      </c>
      <c r="J312" s="3127">
        <f t="shared" si="366"/>
        <v>226.72790000000001</v>
      </c>
      <c r="K312" s="3127">
        <f t="shared" si="366"/>
        <v>234.94489999999999</v>
      </c>
      <c r="L312" s="3127">
        <f t="shared" si="366"/>
        <v>251.41499999999999</v>
      </c>
      <c r="M312" s="3127">
        <f t="shared" si="366"/>
        <v>256.89440000000002</v>
      </c>
      <c r="N312" s="3127">
        <f t="shared" si="366"/>
        <v>259.9237</v>
      </c>
      <c r="O312" s="3127">
        <f t="shared" si="366"/>
        <v>267.9341</v>
      </c>
      <c r="P312" s="3127">
        <f t="shared" si="366"/>
        <v>284.6651</v>
      </c>
      <c r="Q312" s="3127">
        <f t="shared" si="366"/>
        <v>300.06119999999999</v>
      </c>
      <c r="R312" s="3127">
        <f t="shared" si="366"/>
        <v>314.48289999999997</v>
      </c>
      <c r="S312" s="3127">
        <f t="shared" si="366"/>
        <v>331.55119999999999</v>
      </c>
      <c r="T312" s="3127">
        <f t="shared" si="366"/>
        <v>352.35249999999996</v>
      </c>
      <c r="U312" s="3127">
        <f t="shared" si="366"/>
        <v>340.88889999999998</v>
      </c>
      <c r="V312" s="3127">
        <f t="shared" si="366"/>
        <v>358.54059999999993</v>
      </c>
      <c r="W312" s="3127">
        <f t="shared" si="366"/>
        <v>377.1447</v>
      </c>
      <c r="X312" s="3127">
        <f t="shared" ref="X312:AC312" si="367">+X282</f>
        <v>385.11040000000003</v>
      </c>
      <c r="Y312" s="3127">
        <f t="shared" si="367"/>
        <v>387.46709999999996</v>
      </c>
      <c r="Z312" s="3127">
        <f t="shared" ref="Z312" si="368">+Z282</f>
        <v>397.75139999999999</v>
      </c>
      <c r="AA312" s="3127">
        <f t="shared" si="367"/>
        <v>404.85770000000002</v>
      </c>
      <c r="AB312" s="3127">
        <f t="shared" si="367"/>
        <v>417.42320000000007</v>
      </c>
      <c r="AC312" s="3127">
        <f t="shared" si="367"/>
        <v>432.79670000000004</v>
      </c>
      <c r="AD312" s="3127">
        <f t="shared" ref="AD312" ca="1" si="369">+AD282</f>
        <v>447.62672254278999</v>
      </c>
      <c r="AE312" s="3127">
        <f t="shared" ref="AE312" ca="1" si="370">+AE282</f>
        <v>461.95633156565287</v>
      </c>
    </row>
    <row r="313" spans="1:31">
      <c r="A313" s="714"/>
      <c r="B313" s="1123"/>
      <c r="C313" s="1114" t="s">
        <v>622</v>
      </c>
      <c r="D313" s="1110"/>
      <c r="E313" s="3153" t="s">
        <v>51</v>
      </c>
      <c r="F313" s="1110" t="s">
        <v>2044</v>
      </c>
      <c r="G313" s="1116">
        <f t="shared" ref="G313:W313" ca="1" si="371">+G293</f>
        <v>125.8717</v>
      </c>
      <c r="H313" s="1116">
        <f t="shared" si="371"/>
        <v>130.52160000000001</v>
      </c>
      <c r="I313" s="1116">
        <f t="shared" si="371"/>
        <v>144.38670000000002</v>
      </c>
      <c r="J313" s="1116">
        <f t="shared" si="371"/>
        <v>148.66</v>
      </c>
      <c r="K313" s="1116">
        <f t="shared" si="371"/>
        <v>156.0573</v>
      </c>
      <c r="L313" s="1116">
        <f t="shared" si="371"/>
        <v>185.5521</v>
      </c>
      <c r="M313" s="1116">
        <f t="shared" si="371"/>
        <v>188.76390000000001</v>
      </c>
      <c r="N313" s="1116">
        <f t="shared" si="371"/>
        <v>193.41139999999999</v>
      </c>
      <c r="O313" s="1116">
        <f t="shared" si="371"/>
        <v>193.8776</v>
      </c>
      <c r="P313" s="1116">
        <f t="shared" si="371"/>
        <v>210.20270000000002</v>
      </c>
      <c r="Q313" s="1116">
        <f t="shared" si="371"/>
        <v>229.00450000000001</v>
      </c>
      <c r="R313" s="1116">
        <f t="shared" si="371"/>
        <v>247.31960000000001</v>
      </c>
      <c r="S313" s="1116">
        <f t="shared" si="371"/>
        <v>267.12059999999997</v>
      </c>
      <c r="T313" s="1116">
        <f t="shared" si="371"/>
        <v>282.17629999999997</v>
      </c>
      <c r="U313" s="1116">
        <f t="shared" si="371"/>
        <v>241.73939999999999</v>
      </c>
      <c r="V313" s="1116">
        <f t="shared" si="371"/>
        <v>279.11369999999999</v>
      </c>
      <c r="W313" s="1116">
        <f t="shared" si="371"/>
        <v>309.4855</v>
      </c>
      <c r="X313" s="1116">
        <f t="shared" ref="X313:AC313" si="372">+X293</f>
        <v>318.93520000000001</v>
      </c>
      <c r="Y313" s="1116">
        <f t="shared" si="372"/>
        <v>320.66050000000001</v>
      </c>
      <c r="Z313" s="1116">
        <f t="shared" ref="Z313" si="373">+Z293</f>
        <v>330.73649999999998</v>
      </c>
      <c r="AA313" s="1116">
        <f t="shared" si="372"/>
        <v>331.49159999999995</v>
      </c>
      <c r="AB313" s="1116">
        <f t="shared" si="372"/>
        <v>350.55940000000004</v>
      </c>
      <c r="AC313" s="1116">
        <f t="shared" si="372"/>
        <v>371.38590000000005</v>
      </c>
      <c r="AD313" s="1116">
        <f t="shared" ref="AD313" ca="1" si="374">+AD293</f>
        <v>393.74565522390003</v>
      </c>
      <c r="AE313" s="1116">
        <f t="shared" ref="AE313" ca="1" si="375">+AE293</f>
        <v>416.21183193735681</v>
      </c>
    </row>
    <row r="314" spans="1:31">
      <c r="A314" s="714"/>
      <c r="B314" s="714"/>
      <c r="C314" s="744" t="s">
        <v>624</v>
      </c>
      <c r="D314" s="1096"/>
      <c r="E314" s="1097" t="s">
        <v>825</v>
      </c>
      <c r="F314" s="1096"/>
      <c r="G314" s="1098">
        <f t="shared" ref="G314:Y314" ca="1" si="376">+G312+G313</f>
        <v>329.82249999999999</v>
      </c>
      <c r="H314" s="1098">
        <f t="shared" si="376"/>
        <v>340.36259999999999</v>
      </c>
      <c r="I314" s="1098">
        <f t="shared" si="376"/>
        <v>362.61180000000002</v>
      </c>
      <c r="J314" s="1098">
        <f t="shared" si="376"/>
        <v>375.3879</v>
      </c>
      <c r="K314" s="1098">
        <f t="shared" si="376"/>
        <v>391.00220000000002</v>
      </c>
      <c r="L314" s="1098">
        <f t="shared" si="376"/>
        <v>436.96709999999996</v>
      </c>
      <c r="M314" s="1098">
        <f t="shared" si="376"/>
        <v>445.65830000000005</v>
      </c>
      <c r="N314" s="1098">
        <f t="shared" si="376"/>
        <v>453.33510000000001</v>
      </c>
      <c r="O314" s="1098">
        <f t="shared" si="376"/>
        <v>461.81169999999997</v>
      </c>
      <c r="P314" s="1098">
        <f t="shared" si="376"/>
        <v>494.86779999999999</v>
      </c>
      <c r="Q314" s="1098">
        <f t="shared" si="376"/>
        <v>529.06569999999999</v>
      </c>
      <c r="R314" s="1098">
        <f t="shared" si="376"/>
        <v>561.80250000000001</v>
      </c>
      <c r="S314" s="1098">
        <f t="shared" si="376"/>
        <v>598.67179999999996</v>
      </c>
      <c r="T314" s="1098">
        <f t="shared" si="376"/>
        <v>634.52879999999993</v>
      </c>
      <c r="U314" s="1098">
        <f t="shared" si="376"/>
        <v>582.62829999999997</v>
      </c>
      <c r="V314" s="1098">
        <f t="shared" si="376"/>
        <v>637.65429999999992</v>
      </c>
      <c r="W314" s="1098">
        <f t="shared" si="376"/>
        <v>686.63020000000006</v>
      </c>
      <c r="X314" s="1098">
        <f t="shared" si="376"/>
        <v>704.04560000000004</v>
      </c>
      <c r="Y314" s="1098">
        <f t="shared" si="376"/>
        <v>708.12760000000003</v>
      </c>
      <c r="Z314" s="1098">
        <f t="shared" ref="Z314" si="377">+Z312+Z313</f>
        <v>728.48789999999997</v>
      </c>
      <c r="AA314" s="1098">
        <f>+AA312+AA313</f>
        <v>736.34929999999997</v>
      </c>
      <c r="AB314" s="1098">
        <f>+AB312+AB313</f>
        <v>767.98260000000005</v>
      </c>
      <c r="AC314" s="1098">
        <f>+AC312+AC313</f>
        <v>804.18260000000009</v>
      </c>
      <c r="AD314" s="1098">
        <f ca="1">+AD312+AD313</f>
        <v>841.37237776669008</v>
      </c>
      <c r="AE314" s="1098">
        <f ca="1">+AE312+AE313</f>
        <v>878.16816350300974</v>
      </c>
    </row>
    <row r="315" spans="1:31">
      <c r="A315" s="714"/>
      <c r="B315" s="714"/>
      <c r="D315" s="1882"/>
      <c r="E315" s="1882" t="s">
        <v>474</v>
      </c>
      <c r="F315" s="1882"/>
      <c r="G315" s="1043">
        <f t="shared" ref="G315:Y315" ca="1" si="378">ABS(G314-G313-G312)</f>
        <v>2.8421709430404007E-14</v>
      </c>
      <c r="H315" s="1043">
        <f t="shared" si="378"/>
        <v>0</v>
      </c>
      <c r="I315" s="1043">
        <f t="shared" si="378"/>
        <v>0</v>
      </c>
      <c r="J315" s="1043">
        <f t="shared" si="378"/>
        <v>0</v>
      </c>
      <c r="K315" s="1043">
        <f t="shared" si="378"/>
        <v>2.8421709430404007E-14</v>
      </c>
      <c r="L315" s="1043">
        <f t="shared" si="378"/>
        <v>2.8421709430404007E-14</v>
      </c>
      <c r="M315" s="1043">
        <f t="shared" si="378"/>
        <v>0</v>
      </c>
      <c r="N315" s="1043">
        <f t="shared" si="378"/>
        <v>5.6843418860808015E-14</v>
      </c>
      <c r="O315" s="1043">
        <f t="shared" si="378"/>
        <v>5.6843418860808015E-14</v>
      </c>
      <c r="P315" s="1043">
        <f t="shared" si="378"/>
        <v>5.6843418860808015E-14</v>
      </c>
      <c r="Q315" s="1043">
        <f t="shared" si="378"/>
        <v>0</v>
      </c>
      <c r="R315" s="1043">
        <f t="shared" si="378"/>
        <v>0</v>
      </c>
      <c r="S315" s="1043">
        <f t="shared" si="378"/>
        <v>0</v>
      </c>
      <c r="T315" s="2881">
        <f t="shared" si="378"/>
        <v>0</v>
      </c>
      <c r="U315" s="2881">
        <f t="shared" si="378"/>
        <v>0</v>
      </c>
      <c r="V315" s="2881">
        <f t="shared" si="378"/>
        <v>0</v>
      </c>
      <c r="W315" s="2881">
        <f t="shared" si="378"/>
        <v>5.6843418860808015E-14</v>
      </c>
      <c r="X315" s="2881">
        <f t="shared" si="378"/>
        <v>0</v>
      </c>
      <c r="Y315" s="2881">
        <f t="shared" si="378"/>
        <v>5.6843418860808015E-14</v>
      </c>
      <c r="Z315" s="2881">
        <f t="shared" ref="Z315" si="379">ABS(Z314-Z313-Z312)</f>
        <v>0</v>
      </c>
      <c r="AA315" s="2881">
        <f>ABS(AA314-AA313-AA312)</f>
        <v>0</v>
      </c>
      <c r="AB315" s="2881">
        <f>ABS(AB314-AB313-AB312)</f>
        <v>5.6843418860808015E-14</v>
      </c>
      <c r="AC315" s="2881">
        <f>ABS(AC314-AC313-AC312)</f>
        <v>0</v>
      </c>
      <c r="AD315" s="2881">
        <f ca="1">ABS(AD314-AD313-AD312)</f>
        <v>5.6843418860808015E-14</v>
      </c>
      <c r="AE315" s="2881">
        <f ca="1">ABS(AE314-AE313-AE312)</f>
        <v>5.6843418860808015E-14</v>
      </c>
    </row>
    <row r="316" spans="1:31">
      <c r="N316" s="1380">
        <f t="shared" ref="N316:S316" si="380">N292-N324</f>
        <v>13.723100000000017</v>
      </c>
      <c r="O316" s="1380">
        <f t="shared" si="380"/>
        <v>12.723700000000008</v>
      </c>
      <c r="P316" s="1380">
        <f t="shared" si="380"/>
        <v>10.364699999999999</v>
      </c>
      <c r="Q316" s="1380">
        <f t="shared" si="380"/>
        <v>6.5993999999999744</v>
      </c>
      <c r="R316" s="1380">
        <f t="shared" si="380"/>
        <v>7.5440000000000111</v>
      </c>
      <c r="S316" s="1380">
        <f t="shared" si="380"/>
        <v>7.6878999999999849</v>
      </c>
      <c r="T316" s="1380">
        <f t="shared" ref="T316:Y316" si="381">T292-T324</f>
        <v>-4.4214000000000055</v>
      </c>
      <c r="U316" s="1380">
        <f t="shared" si="381"/>
        <v>-0.12670000000002801</v>
      </c>
      <c r="V316" s="1380">
        <f t="shared" si="381"/>
        <v>-2.1114000000000317</v>
      </c>
      <c r="W316" s="1380">
        <f t="shared" si="381"/>
        <v>-5.7073999999999785</v>
      </c>
      <c r="X316" s="1380">
        <f t="shared" si="381"/>
        <v>-4.9211999999999989</v>
      </c>
      <c r="Y316" s="1380">
        <f t="shared" si="381"/>
        <v>-2.6671000000000049</v>
      </c>
      <c r="Z316" s="1380">
        <f t="shared" ref="Z316" si="382">Z292-Z324</f>
        <v>-3.0790999999999826</v>
      </c>
      <c r="AA316" s="1380">
        <f>AA292-AA324</f>
        <v>0.28940000000000055</v>
      </c>
      <c r="AB316" s="1380">
        <f>AB292-AB324</f>
        <v>1.1313999999999851</v>
      </c>
      <c r="AC316" s="1380">
        <f>AC292-AC324</f>
        <v>3.8841999999999643</v>
      </c>
      <c r="AD316" s="1380">
        <f ca="1">AD292-AD324</f>
        <v>4.0999311678999675</v>
      </c>
      <c r="AE316" s="1380">
        <f ca="1">AE292-AE324</f>
        <v>4.1945443652799668</v>
      </c>
    </row>
    <row r="317" spans="1:31" s="749" customFormat="1" ht="12.75" customHeight="1">
      <c r="A317" s="714"/>
      <c r="B317" s="714"/>
      <c r="C317" s="822"/>
      <c r="D317" s="3073"/>
      <c r="E317" s="3074" t="s">
        <v>825</v>
      </c>
      <c r="F317" s="3075"/>
      <c r="G317" s="939">
        <f>InputY!$G$3</f>
        <v>1995</v>
      </c>
      <c r="H317" s="939">
        <f t="shared" ref="H317:W317" si="383">+G317+1</f>
        <v>1996</v>
      </c>
      <c r="I317" s="939">
        <f t="shared" si="383"/>
        <v>1997</v>
      </c>
      <c r="J317" s="939">
        <f t="shared" si="383"/>
        <v>1998</v>
      </c>
      <c r="K317" s="939">
        <f t="shared" si="383"/>
        <v>1999</v>
      </c>
      <c r="L317" s="939">
        <f t="shared" si="383"/>
        <v>2000</v>
      </c>
      <c r="M317" s="939">
        <f t="shared" si="383"/>
        <v>2001</v>
      </c>
      <c r="N317" s="939">
        <f t="shared" si="383"/>
        <v>2002</v>
      </c>
      <c r="O317" s="939">
        <f t="shared" si="383"/>
        <v>2003</v>
      </c>
      <c r="P317" s="939">
        <f t="shared" si="383"/>
        <v>2004</v>
      </c>
      <c r="Q317" s="939">
        <f t="shared" si="383"/>
        <v>2005</v>
      </c>
      <c r="R317" s="939">
        <f t="shared" si="383"/>
        <v>2006</v>
      </c>
      <c r="S317" s="939">
        <f t="shared" si="383"/>
        <v>2007</v>
      </c>
      <c r="T317" s="939">
        <f t="shared" si="383"/>
        <v>2008</v>
      </c>
      <c r="U317" s="939">
        <f t="shared" si="383"/>
        <v>2009</v>
      </c>
      <c r="V317" s="939">
        <f t="shared" si="383"/>
        <v>2010</v>
      </c>
      <c r="W317" s="939">
        <f t="shared" si="383"/>
        <v>2011</v>
      </c>
      <c r="X317" s="939">
        <f t="shared" ref="X317:AE317" si="384">+W317+1</f>
        <v>2012</v>
      </c>
      <c r="Y317" s="939">
        <f t="shared" si="384"/>
        <v>2013</v>
      </c>
      <c r="Z317" s="939">
        <f t="shared" si="384"/>
        <v>2014</v>
      </c>
      <c r="AA317" s="939">
        <f t="shared" si="384"/>
        <v>2015</v>
      </c>
      <c r="AB317" s="939">
        <f t="shared" si="384"/>
        <v>2016</v>
      </c>
      <c r="AC317" s="939">
        <f t="shared" si="384"/>
        <v>2017</v>
      </c>
      <c r="AD317" s="939">
        <f t="shared" si="384"/>
        <v>2018</v>
      </c>
      <c r="AE317" s="939">
        <f t="shared" si="384"/>
        <v>2019</v>
      </c>
    </row>
    <row r="318" spans="1:31" s="749" customFormat="1" ht="12.75" customHeight="1">
      <c r="A318" s="714"/>
      <c r="B318" s="714"/>
      <c r="C318" s="839" t="s">
        <v>622</v>
      </c>
      <c r="D318" s="739"/>
      <c r="E318" s="787" t="s">
        <v>46</v>
      </c>
      <c r="F318" s="782"/>
      <c r="G318" s="1122"/>
      <c r="H318" s="1122">
        <f t="shared" ref="H318:AE318" ca="1" si="385">+(H312/G312-1)*100</f>
        <v>2.8880494707546944</v>
      </c>
      <c r="I318" s="1122">
        <f t="shared" si="385"/>
        <v>3.9954537006590796</v>
      </c>
      <c r="J318" s="1122">
        <f t="shared" si="385"/>
        <v>3.8963437294793346</v>
      </c>
      <c r="K318" s="1122">
        <f t="shared" si="385"/>
        <v>3.6241680004974963</v>
      </c>
      <c r="L318" s="1122">
        <f t="shared" si="385"/>
        <v>7.0101968589231012</v>
      </c>
      <c r="M318" s="1122">
        <f t="shared" si="385"/>
        <v>2.179424457570156</v>
      </c>
      <c r="N318" s="1122">
        <f t="shared" si="385"/>
        <v>1.1792004808201195</v>
      </c>
      <c r="O318" s="1122">
        <f t="shared" si="385"/>
        <v>3.0818274747550944</v>
      </c>
      <c r="P318" s="1122">
        <f t="shared" si="385"/>
        <v>6.2444459290549315</v>
      </c>
      <c r="Q318" s="1122">
        <f t="shared" si="385"/>
        <v>5.4084958078808976</v>
      </c>
      <c r="R318" s="1122">
        <f t="shared" si="385"/>
        <v>4.8062528577503372</v>
      </c>
      <c r="S318" s="1122">
        <f t="shared" si="385"/>
        <v>5.4274175161829197</v>
      </c>
      <c r="T318" s="1122">
        <f t="shared" si="385"/>
        <v>6.2739329551514178</v>
      </c>
      <c r="U318" s="1122">
        <f t="shared" si="385"/>
        <v>-3.253446477604105</v>
      </c>
      <c r="V318" s="1122">
        <f t="shared" si="385"/>
        <v>5.1781386838937626</v>
      </c>
      <c r="W318" s="1122">
        <f t="shared" si="385"/>
        <v>5.188840538561057</v>
      </c>
      <c r="X318" s="1122">
        <f t="shared" si="385"/>
        <v>2.1121071037190742</v>
      </c>
      <c r="Y318" s="1122">
        <f t="shared" si="385"/>
        <v>0.61195439022159182</v>
      </c>
      <c r="Z318" s="1122">
        <f t="shared" si="385"/>
        <v>2.6542382566158595</v>
      </c>
      <c r="AA318" s="1122">
        <f t="shared" si="385"/>
        <v>1.7866184757614922</v>
      </c>
      <c r="AB318" s="1122">
        <f t="shared" si="385"/>
        <v>3.1036830965546658</v>
      </c>
      <c r="AC318" s="1122">
        <f t="shared" si="385"/>
        <v>3.6829529360131286</v>
      </c>
      <c r="AD318" s="1122">
        <f t="shared" ca="1" si="385"/>
        <v>3.4265562890821277</v>
      </c>
      <c r="AE318" s="1122">
        <f t="shared" ca="1" si="385"/>
        <v>3.2012407439533597</v>
      </c>
    </row>
    <row r="319" spans="1:31" s="749" customFormat="1" ht="12.75" customHeight="1">
      <c r="A319" s="714"/>
      <c r="B319" s="714"/>
      <c r="C319" s="841" t="s">
        <v>622</v>
      </c>
      <c r="D319" s="741"/>
      <c r="E319" s="842" t="s">
        <v>51</v>
      </c>
      <c r="F319" s="785" t="s">
        <v>2044</v>
      </c>
      <c r="G319" s="3135"/>
      <c r="H319" s="3135">
        <f t="shared" ref="H319:AE319" ca="1" si="386">+(H313/G313-1)*100</f>
        <v>3.6941584168641572</v>
      </c>
      <c r="I319" s="3135">
        <f t="shared" si="386"/>
        <v>10.622839438070031</v>
      </c>
      <c r="J319" s="3135">
        <f t="shared" si="386"/>
        <v>2.9596216271997156</v>
      </c>
      <c r="K319" s="3135">
        <f t="shared" si="386"/>
        <v>4.9759854702004613</v>
      </c>
      <c r="L319" s="3135">
        <f t="shared" si="386"/>
        <v>18.899980968528872</v>
      </c>
      <c r="M319" s="3135">
        <f t="shared" si="386"/>
        <v>1.7309424145563579</v>
      </c>
      <c r="N319" s="3135">
        <f t="shared" si="386"/>
        <v>2.4620703428992474</v>
      </c>
      <c r="O319" s="3135">
        <f t="shared" si="386"/>
        <v>0.24104060050236242</v>
      </c>
      <c r="P319" s="3135">
        <f t="shared" si="386"/>
        <v>8.4203126096052507</v>
      </c>
      <c r="Q319" s="3135">
        <f t="shared" si="386"/>
        <v>8.9446044223028487</v>
      </c>
      <c r="R319" s="3135">
        <f t="shared" si="386"/>
        <v>7.9977031019041078</v>
      </c>
      <c r="S319" s="3135">
        <f t="shared" si="386"/>
        <v>8.0062396995628227</v>
      </c>
      <c r="T319" s="3135">
        <f t="shared" si="386"/>
        <v>5.6362931200364175</v>
      </c>
      <c r="U319" s="3135">
        <f t="shared" si="386"/>
        <v>-14.330367220776507</v>
      </c>
      <c r="V319" s="3135">
        <f t="shared" si="386"/>
        <v>15.46057448640974</v>
      </c>
      <c r="W319" s="3135">
        <f t="shared" si="386"/>
        <v>10.881515310785538</v>
      </c>
      <c r="X319" s="3135">
        <f t="shared" si="386"/>
        <v>3.0533579117600018</v>
      </c>
      <c r="Y319" s="3135">
        <f t="shared" si="386"/>
        <v>0.54095628202845969</v>
      </c>
      <c r="Z319" s="3135">
        <f t="shared" si="386"/>
        <v>3.1422641703608534</v>
      </c>
      <c r="AA319" s="3135">
        <f t="shared" si="386"/>
        <v>0.22830863844782723</v>
      </c>
      <c r="AB319" s="3135">
        <f t="shared" si="386"/>
        <v>5.7521216223880511</v>
      </c>
      <c r="AC319" s="3135">
        <f t="shared" si="386"/>
        <v>5.9409332626653377</v>
      </c>
      <c r="AD319" s="3135">
        <f t="shared" ca="1" si="386"/>
        <v>6.0206257760189619</v>
      </c>
      <c r="AE319" s="3135">
        <f t="shared" ca="1" si="386"/>
        <v>5.7057586326080489</v>
      </c>
    </row>
    <row r="320" spans="1:31" s="749" customFormat="1" ht="12.75" customHeight="1">
      <c r="A320" s="714"/>
      <c r="B320" s="714"/>
      <c r="C320" s="822" t="s">
        <v>624</v>
      </c>
      <c r="D320" s="766"/>
      <c r="E320" s="771" t="s">
        <v>825</v>
      </c>
      <c r="F320" s="772"/>
      <c r="G320" s="770"/>
      <c r="H320" s="770">
        <f t="shared" ref="H320:AE320" ca="1" si="387">+(H314/G314-1)*100</f>
        <v>3.1956885900749743</v>
      </c>
      <c r="I320" s="770">
        <f t="shared" si="387"/>
        <v>6.5369109296967487</v>
      </c>
      <c r="J320" s="770">
        <f t="shared" si="387"/>
        <v>3.523354728114203</v>
      </c>
      <c r="K320" s="770">
        <f t="shared" si="387"/>
        <v>4.1595107354286176</v>
      </c>
      <c r="L320" s="770">
        <f t="shared" si="387"/>
        <v>11.755662755861707</v>
      </c>
      <c r="M320" s="770">
        <f t="shared" si="387"/>
        <v>1.9889826945781675</v>
      </c>
      <c r="N320" s="770">
        <f t="shared" si="387"/>
        <v>1.7225753452813519</v>
      </c>
      <c r="O320" s="770">
        <f t="shared" si="387"/>
        <v>1.8698309484529219</v>
      </c>
      <c r="P320" s="770">
        <f t="shared" si="387"/>
        <v>7.1579173936043627</v>
      </c>
      <c r="Q320" s="770">
        <f t="shared" si="387"/>
        <v>6.910512262062718</v>
      </c>
      <c r="R320" s="770">
        <f t="shared" si="387"/>
        <v>6.1876625152603948</v>
      </c>
      <c r="S320" s="770">
        <f t="shared" si="387"/>
        <v>6.5626799453544438</v>
      </c>
      <c r="T320" s="770">
        <f t="shared" si="387"/>
        <v>5.9894252577121554</v>
      </c>
      <c r="U320" s="770">
        <f t="shared" si="387"/>
        <v>-8.1793765704566859</v>
      </c>
      <c r="V320" s="770">
        <f t="shared" si="387"/>
        <v>9.444443395557677</v>
      </c>
      <c r="W320" s="770">
        <f t="shared" si="387"/>
        <v>7.6806351027508324</v>
      </c>
      <c r="X320" s="770">
        <f t="shared" si="387"/>
        <v>2.5363579988179952</v>
      </c>
      <c r="Y320" s="770">
        <f t="shared" si="387"/>
        <v>0.57979199074604804</v>
      </c>
      <c r="Z320" s="770">
        <f t="shared" si="387"/>
        <v>2.8752303963296866</v>
      </c>
      <c r="AA320" s="770">
        <f t="shared" si="387"/>
        <v>1.0791394064335158</v>
      </c>
      <c r="AB320" s="770">
        <f t="shared" si="387"/>
        <v>4.2959638856178817</v>
      </c>
      <c r="AC320" s="770">
        <f t="shared" si="387"/>
        <v>4.7136484602646078</v>
      </c>
      <c r="AD320" s="770">
        <f t="shared" ca="1" si="387"/>
        <v>4.6245439489352336</v>
      </c>
      <c r="AE320" s="770">
        <f t="shared" ca="1" si="387"/>
        <v>4.3733056502269774</v>
      </c>
    </row>
    <row r="321" spans="1:31">
      <c r="K321" s="1380"/>
      <c r="L321" s="1380">
        <f t="shared" ref="L321:T321" si="388">L295-L327</f>
        <v>-3.081699999999941</v>
      </c>
      <c r="M321" s="1380">
        <f t="shared" si="388"/>
        <v>1.9152999999999452</v>
      </c>
      <c r="N321" s="1380">
        <f t="shared" si="388"/>
        <v>7.3784000000000276</v>
      </c>
      <c r="O321" s="1380">
        <f t="shared" si="388"/>
        <v>-0.9994000000000085</v>
      </c>
      <c r="P321" s="1380">
        <f t="shared" si="388"/>
        <v>-2.3590000000000089</v>
      </c>
      <c r="Q321" s="1380">
        <f t="shared" si="388"/>
        <v>-3.7653000000000247</v>
      </c>
      <c r="R321" s="1380">
        <f t="shared" si="388"/>
        <v>0.94460000000003674</v>
      </c>
      <c r="S321" s="1380">
        <f t="shared" si="388"/>
        <v>0.14389999999997372</v>
      </c>
      <c r="T321" s="1380">
        <f t="shared" si="388"/>
        <v>-12.10929999999999</v>
      </c>
    </row>
    <row r="322" spans="1:31">
      <c r="A322" s="1123"/>
      <c r="B322" s="1123"/>
      <c r="D322" s="3219"/>
      <c r="E322" s="944" t="s">
        <v>1261</v>
      </c>
      <c r="F322" s="3201"/>
      <c r="G322" s="826">
        <f>InputY!$G$3</f>
        <v>1995</v>
      </c>
      <c r="H322" s="826">
        <f t="shared" ref="H322:W322" si="389">+G322+1</f>
        <v>1996</v>
      </c>
      <c r="I322" s="826">
        <f t="shared" si="389"/>
        <v>1997</v>
      </c>
      <c r="J322" s="826">
        <f t="shared" si="389"/>
        <v>1998</v>
      </c>
      <c r="K322" s="826">
        <f t="shared" si="389"/>
        <v>1999</v>
      </c>
      <c r="L322" s="826">
        <f t="shared" si="389"/>
        <v>2000</v>
      </c>
      <c r="M322" s="826">
        <f t="shared" si="389"/>
        <v>2001</v>
      </c>
      <c r="N322" s="826">
        <f t="shared" si="389"/>
        <v>2002</v>
      </c>
      <c r="O322" s="826">
        <f t="shared" si="389"/>
        <v>2003</v>
      </c>
      <c r="P322" s="826">
        <f t="shared" si="389"/>
        <v>2004</v>
      </c>
      <c r="Q322" s="826">
        <f t="shared" si="389"/>
        <v>2005</v>
      </c>
      <c r="R322" s="826">
        <f t="shared" si="389"/>
        <v>2006</v>
      </c>
      <c r="S322" s="826">
        <f t="shared" si="389"/>
        <v>2007</v>
      </c>
      <c r="T322" s="826">
        <f t="shared" si="389"/>
        <v>2008</v>
      </c>
      <c r="U322" s="826">
        <f t="shared" si="389"/>
        <v>2009</v>
      </c>
      <c r="V322" s="826">
        <f t="shared" si="389"/>
        <v>2010</v>
      </c>
      <c r="W322" s="826">
        <f t="shared" si="389"/>
        <v>2011</v>
      </c>
      <c r="X322" s="826">
        <f t="shared" ref="X322:AE322" si="390">+W322+1</f>
        <v>2012</v>
      </c>
      <c r="Y322" s="826">
        <f t="shared" si="390"/>
        <v>2013</v>
      </c>
      <c r="Z322" s="826">
        <f t="shared" si="390"/>
        <v>2014</v>
      </c>
      <c r="AA322" s="826">
        <f t="shared" si="390"/>
        <v>2015</v>
      </c>
      <c r="AB322" s="826">
        <f t="shared" si="390"/>
        <v>2016</v>
      </c>
      <c r="AC322" s="826">
        <f t="shared" si="390"/>
        <v>2017</v>
      </c>
      <c r="AD322" s="826">
        <f t="shared" si="390"/>
        <v>2018</v>
      </c>
      <c r="AE322" s="826">
        <f t="shared" si="390"/>
        <v>2019</v>
      </c>
    </row>
    <row r="323" spans="1:31">
      <c r="A323" s="714">
        <f>+ROW(InputY!A90)</f>
        <v>90</v>
      </c>
      <c r="B323" s="1123">
        <v>46</v>
      </c>
      <c r="C323" s="1112" t="s">
        <v>624</v>
      </c>
      <c r="D323" s="1099"/>
      <c r="E323" s="1080" t="s">
        <v>693</v>
      </c>
      <c r="F323" s="1099" t="s">
        <v>1554</v>
      </c>
      <c r="G323" s="3127">
        <f ca="1">InputY!G90/1000</f>
        <v>23.710900000000002</v>
      </c>
      <c r="H323" s="3127">
        <f>InputY!H90/1000</f>
        <v>24.6249</v>
      </c>
      <c r="I323" s="3127">
        <f>InputY!I90/1000</f>
        <v>26.871200000000002</v>
      </c>
      <c r="J323" s="3127">
        <f>InputY!J90/1000</f>
        <v>28.8932</v>
      </c>
      <c r="K323" s="3127">
        <f>InputY!K90/1000</f>
        <v>31.289400000000001</v>
      </c>
      <c r="L323" s="3127">
        <f>InputY!L90/1000</f>
        <v>37.576300000000003</v>
      </c>
      <c r="M323" s="3127">
        <f>InputY!M90/1000</f>
        <v>40.3658</v>
      </c>
      <c r="N323" s="3127">
        <f>InputY!N90/1000</f>
        <v>40.670999999999999</v>
      </c>
      <c r="O323" s="3127">
        <f>InputY!O90/1000</f>
        <v>39.774900000000002</v>
      </c>
      <c r="P323" s="3127">
        <f>InputY!P90/1000</f>
        <v>40.775400000000005</v>
      </c>
      <c r="Q323" s="3127">
        <f>InputY!Q90/1000</f>
        <v>42.351999999999997</v>
      </c>
      <c r="R323" s="3127">
        <f>InputY!R90/1000</f>
        <v>44.234900000000003</v>
      </c>
      <c r="S323" s="3127">
        <f>InputY!S90/1000</f>
        <v>50.162300000000002</v>
      </c>
      <c r="T323" s="3127">
        <f>InputY!T90/1000</f>
        <v>59.675199999999997</v>
      </c>
      <c r="U323" s="3127">
        <f>InputY!U90/1000</f>
        <v>58.058099999999996</v>
      </c>
      <c r="V323" s="3127">
        <f>InputY!V90/1000</f>
        <v>65.893100000000004</v>
      </c>
      <c r="W323" s="3127">
        <f>InputY!W90/1000</f>
        <v>68.3399</v>
      </c>
      <c r="X323" s="3127">
        <f>InputY!X90/1000</f>
        <v>76.6965</v>
      </c>
      <c r="Y323" s="3127">
        <f>InputY!Y90/1000</f>
        <v>78.452399999999997</v>
      </c>
      <c r="Z323" s="3127">
        <f>InputY!Z90/1000</f>
        <v>88.781000000000006</v>
      </c>
      <c r="AA323" s="3127">
        <f>InputY!AA90/1000</f>
        <v>96.281899999999993</v>
      </c>
      <c r="AB323" s="3127">
        <f>InputY!AB90/1000</f>
        <v>97.900499999999994</v>
      </c>
      <c r="AC323" s="3127">
        <f>InputY!AC90/1000</f>
        <v>101.17610000000001</v>
      </c>
      <c r="AD323" s="1355">
        <f t="shared" ref="AD323:AE325" ca="1" si="391">+AC323*(1+AD329/100)</f>
        <v>106.93959653650001</v>
      </c>
      <c r="AE323" s="1355">
        <f t="shared" ca="1" si="391"/>
        <v>111.84047783637298</v>
      </c>
    </row>
    <row r="324" spans="1:31">
      <c r="A324" s="714">
        <f>+ROW(InputY!A89)</f>
        <v>89</v>
      </c>
      <c r="B324" s="1123">
        <v>45</v>
      </c>
      <c r="C324" s="1114" t="s">
        <v>622</v>
      </c>
      <c r="D324" s="1110"/>
      <c r="E324" s="1111" t="s">
        <v>694</v>
      </c>
      <c r="F324" s="1110" t="s">
        <v>1097</v>
      </c>
      <c r="G324" s="1116">
        <f ca="1">InputY!G89/1000</f>
        <v>94.820800000000006</v>
      </c>
      <c r="H324" s="1116">
        <f>InputY!H89/1000</f>
        <v>99.795299999999997</v>
      </c>
      <c r="I324" s="1116">
        <f>InputY!I89/1000</f>
        <v>109.77189999999999</v>
      </c>
      <c r="J324" s="1116">
        <f>InputY!J89/1000</f>
        <v>112.0051</v>
      </c>
      <c r="K324" s="1116">
        <f>InputY!K89/1000</f>
        <v>115.4868</v>
      </c>
      <c r="L324" s="1116">
        <f>InputY!L89/1000</f>
        <v>141.16879999999998</v>
      </c>
      <c r="M324" s="1116">
        <f>InputY!M89/1000</f>
        <v>139.50409999999999</v>
      </c>
      <c r="N324" s="1116">
        <f>InputY!N89/1000</f>
        <v>137.59899999999999</v>
      </c>
      <c r="O324" s="1116">
        <f>InputY!O89/1000</f>
        <v>139.40029999999999</v>
      </c>
      <c r="P324" s="1116">
        <f>InputY!P89/1000</f>
        <v>155.38159999999999</v>
      </c>
      <c r="Q324" s="1116">
        <f>InputY!Q89/1000</f>
        <v>175.2329</v>
      </c>
      <c r="R324" s="1116">
        <f>InputY!R89/1000</f>
        <v>190.90549999999999</v>
      </c>
      <c r="S324" s="1116">
        <f>InputY!S89/1000</f>
        <v>203.797</v>
      </c>
      <c r="T324" s="1116">
        <f>InputY!T89/1000</f>
        <v>220.7877</v>
      </c>
      <c r="U324" s="1116">
        <f>InputY!U89/1000</f>
        <v>175.78910000000002</v>
      </c>
      <c r="V324" s="1116">
        <f>InputY!V89/1000</f>
        <v>206.66070000000002</v>
      </c>
      <c r="W324" s="1116">
        <f>InputY!W89/1000</f>
        <v>239.184</v>
      </c>
      <c r="X324" s="1116">
        <f>InputY!X89/1000</f>
        <v>239.84899999999999</v>
      </c>
      <c r="Y324" s="1116">
        <f>InputY!Y89/1000</f>
        <v>237.33539999999999</v>
      </c>
      <c r="Z324" s="1116">
        <f>InputY!Z89/1000</f>
        <v>239.4187</v>
      </c>
      <c r="AA324" s="1116">
        <f>InputY!AA89/1000</f>
        <v>229.63220000000001</v>
      </c>
      <c r="AB324" s="1116">
        <f>InputY!AB89/1000</f>
        <v>247.03370000000001</v>
      </c>
      <c r="AC324" s="1116">
        <f>InputY!AC89/1000</f>
        <v>264.52190000000002</v>
      </c>
      <c r="AD324" s="1285">
        <f t="shared" ca="1" si="391"/>
        <v>281.05980918800003</v>
      </c>
      <c r="AE324" s="1285">
        <f t="shared" ca="1" si="391"/>
        <v>297.28671295352643</v>
      </c>
    </row>
    <row r="325" spans="1:31">
      <c r="A325" s="714">
        <f>+ROW(InputY!A91)</f>
        <v>91</v>
      </c>
      <c r="B325" s="714"/>
      <c r="C325" s="744" t="s">
        <v>624</v>
      </c>
      <c r="D325" s="1096"/>
      <c r="E325" s="1097" t="s">
        <v>1792</v>
      </c>
      <c r="F325" s="1096" t="s">
        <v>1262</v>
      </c>
      <c r="G325" s="1098">
        <f ca="1">InputY!G91/1000</f>
        <v>118.5317</v>
      </c>
      <c r="H325" s="1098">
        <f>InputY!H91/1000</f>
        <v>124.42019999999999</v>
      </c>
      <c r="I325" s="1098">
        <f>InputY!I91/1000</f>
        <v>136.6431</v>
      </c>
      <c r="J325" s="1098">
        <f>InputY!J91/1000</f>
        <v>140.89829999999998</v>
      </c>
      <c r="K325" s="1098">
        <f>InputY!K91/1000</f>
        <v>146.77620000000002</v>
      </c>
      <c r="L325" s="1098">
        <f>InputY!L91/1000</f>
        <v>178.74510000000001</v>
      </c>
      <c r="M325" s="1098">
        <f>InputY!M91/1000</f>
        <v>179.8699</v>
      </c>
      <c r="N325" s="1098">
        <f>InputY!N91/1000</f>
        <v>178.27</v>
      </c>
      <c r="O325" s="1098">
        <f>InputY!O91/1000</f>
        <v>179.17520000000002</v>
      </c>
      <c r="P325" s="1098">
        <f>InputY!P91/1000</f>
        <v>196.15700000000001</v>
      </c>
      <c r="Q325" s="1098">
        <f>InputY!Q91/1000</f>
        <v>217.5849</v>
      </c>
      <c r="R325" s="1098">
        <f>InputY!R91/1000</f>
        <v>235.1404</v>
      </c>
      <c r="S325" s="1098">
        <f>InputY!S91/1000</f>
        <v>253.95929999999998</v>
      </c>
      <c r="T325" s="1098">
        <f>InputY!T91/1000</f>
        <v>280.46290000000005</v>
      </c>
      <c r="U325" s="1098">
        <f>InputY!U91/1000</f>
        <v>233.84720000000002</v>
      </c>
      <c r="V325" s="1098">
        <f>InputY!V91/1000</f>
        <v>272.55379999999997</v>
      </c>
      <c r="W325" s="1098">
        <f>InputY!W91/1000</f>
        <v>307.52390000000003</v>
      </c>
      <c r="X325" s="1098">
        <f>InputY!X91/1000</f>
        <v>316.5455</v>
      </c>
      <c r="Y325" s="1098">
        <f>InputY!Y91/1000</f>
        <v>315.7878</v>
      </c>
      <c r="Z325" s="1098">
        <f>InputY!Z91/1000</f>
        <v>328.19970000000001</v>
      </c>
      <c r="AA325" s="1098">
        <f>InputY!AA91/1000</f>
        <v>325.91409999999996</v>
      </c>
      <c r="AB325" s="1098">
        <f>InputY!AB91/1000</f>
        <v>344.93420000000003</v>
      </c>
      <c r="AC325" s="1098">
        <f>InputY!AC91/1000</f>
        <v>365.69799999999998</v>
      </c>
      <c r="AD325" s="915">
        <f t="shared" ca="1" si="391"/>
        <v>387.99940572450009</v>
      </c>
      <c r="AE325" s="915">
        <f t="shared" ca="1" si="391"/>
        <v>409.12719078989949</v>
      </c>
    </row>
    <row r="326" spans="1:31">
      <c r="A326" s="714"/>
      <c r="B326" s="714"/>
      <c r="D326" s="1882"/>
      <c r="E326" s="1882" t="s">
        <v>474</v>
      </c>
      <c r="F326" s="1882"/>
      <c r="G326" s="1043">
        <f t="shared" ref="G326:X326" ca="1" si="392">ABS(G325-G324-G323)</f>
        <v>7.1054273576010019E-15</v>
      </c>
      <c r="H326" s="1043">
        <f t="shared" si="392"/>
        <v>3.5527136788005009E-15</v>
      </c>
      <c r="I326" s="1043">
        <f t="shared" si="392"/>
        <v>1.4210854715202004E-14</v>
      </c>
      <c r="J326" s="1043">
        <f t="shared" si="392"/>
        <v>2.1316282072803006E-14</v>
      </c>
      <c r="K326" s="1043">
        <f t="shared" si="392"/>
        <v>1.4210854715202004E-14</v>
      </c>
      <c r="L326" s="1043">
        <f t="shared" si="392"/>
        <v>2.8421709430404007E-14</v>
      </c>
      <c r="M326" s="1043">
        <f t="shared" si="392"/>
        <v>7.1054273576010019E-15</v>
      </c>
      <c r="N326" s="1043">
        <f t="shared" si="392"/>
        <v>2.1316282072803006E-14</v>
      </c>
      <c r="O326" s="1043">
        <f t="shared" si="392"/>
        <v>2.8421709430404007E-14</v>
      </c>
      <c r="P326" s="1043">
        <f t="shared" si="392"/>
        <v>1.4210854715202004E-14</v>
      </c>
      <c r="Q326" s="1043">
        <f t="shared" si="392"/>
        <v>7.1054273576010019E-15</v>
      </c>
      <c r="R326" s="1043">
        <f t="shared" si="392"/>
        <v>7.1054273576010019E-15</v>
      </c>
      <c r="S326" s="1043">
        <f t="shared" si="392"/>
        <v>1.4210854715202004E-14</v>
      </c>
      <c r="T326" s="2881">
        <f t="shared" si="392"/>
        <v>4.9737991503207013E-14</v>
      </c>
      <c r="U326" s="2881">
        <f t="shared" si="392"/>
        <v>0</v>
      </c>
      <c r="V326" s="2881">
        <f t="shared" si="392"/>
        <v>5.6843418860808015E-14</v>
      </c>
      <c r="W326" s="2881">
        <f t="shared" si="392"/>
        <v>2.8421709430404007E-14</v>
      </c>
      <c r="X326" s="2881">
        <f t="shared" si="392"/>
        <v>1.4210854715202004E-14</v>
      </c>
      <c r="Y326" s="2881">
        <f t="shared" ref="Y326:Z326" si="393">ABS(Y325-Y324-Y323)</f>
        <v>1.4210854715202004E-14</v>
      </c>
      <c r="Z326" s="2881">
        <f t="shared" si="393"/>
        <v>0</v>
      </c>
      <c r="AA326" s="2881">
        <f>ABS(AA325-AA324-AA323)</f>
        <v>4.2632564145606011E-14</v>
      </c>
      <c r="AB326" s="2881">
        <f>ABS(AB325-AB324-AB323)</f>
        <v>2.8421709430404007E-14</v>
      </c>
      <c r="AC326" s="2881">
        <f>ABS(AC325-AC324-AC323)</f>
        <v>4.2632564145606011E-14</v>
      </c>
      <c r="AD326" s="2881">
        <f ca="1">ABS(AD325-AD324-AD323)</f>
        <v>5.6843418860808015E-14</v>
      </c>
      <c r="AE326" s="2881">
        <f ca="1">ABS(AE325-AE324-AE323)</f>
        <v>7.1054273576010019E-14</v>
      </c>
    </row>
    <row r="327" spans="1:31">
      <c r="L327" s="1380">
        <f t="shared" ref="L327:T327" si="394">L324-K324</f>
        <v>25.681999999999974</v>
      </c>
      <c r="M327" s="1380">
        <f t="shared" si="394"/>
        <v>-1.6646999999999821</v>
      </c>
      <c r="N327" s="1380">
        <f t="shared" si="394"/>
        <v>-1.9051000000000045</v>
      </c>
      <c r="O327" s="1380">
        <f t="shared" si="394"/>
        <v>1.8012999999999977</v>
      </c>
      <c r="P327" s="1380">
        <f t="shared" si="394"/>
        <v>15.981300000000005</v>
      </c>
      <c r="Q327" s="1380">
        <f t="shared" si="394"/>
        <v>19.851300000000009</v>
      </c>
      <c r="R327" s="1380">
        <f t="shared" si="394"/>
        <v>15.672599999999989</v>
      </c>
      <c r="S327" s="1380">
        <f t="shared" si="394"/>
        <v>12.891500000000008</v>
      </c>
      <c r="T327" s="1380">
        <f t="shared" si="394"/>
        <v>16.990700000000004</v>
      </c>
    </row>
    <row r="328" spans="1:31">
      <c r="A328" s="1123"/>
      <c r="B328" s="1123"/>
      <c r="D328" s="3154"/>
      <c r="E328" s="973" t="s">
        <v>1261</v>
      </c>
      <c r="F328" s="3155"/>
      <c r="G328" s="939">
        <f>InputY!$G$3</f>
        <v>1995</v>
      </c>
      <c r="H328" s="939">
        <f t="shared" ref="H328:W328" si="395">+G328+1</f>
        <v>1996</v>
      </c>
      <c r="I328" s="939">
        <f t="shared" si="395"/>
        <v>1997</v>
      </c>
      <c r="J328" s="939">
        <f t="shared" si="395"/>
        <v>1998</v>
      </c>
      <c r="K328" s="939">
        <f t="shared" si="395"/>
        <v>1999</v>
      </c>
      <c r="L328" s="939">
        <f t="shared" si="395"/>
        <v>2000</v>
      </c>
      <c r="M328" s="939">
        <f t="shared" si="395"/>
        <v>2001</v>
      </c>
      <c r="N328" s="939">
        <f t="shared" si="395"/>
        <v>2002</v>
      </c>
      <c r="O328" s="939">
        <f t="shared" si="395"/>
        <v>2003</v>
      </c>
      <c r="P328" s="939">
        <f t="shared" si="395"/>
        <v>2004</v>
      </c>
      <c r="Q328" s="939">
        <f t="shared" si="395"/>
        <v>2005</v>
      </c>
      <c r="R328" s="939">
        <f t="shared" si="395"/>
        <v>2006</v>
      </c>
      <c r="S328" s="939">
        <f t="shared" si="395"/>
        <v>2007</v>
      </c>
      <c r="T328" s="939">
        <f t="shared" si="395"/>
        <v>2008</v>
      </c>
      <c r="U328" s="939">
        <f t="shared" si="395"/>
        <v>2009</v>
      </c>
      <c r="V328" s="939">
        <f t="shared" si="395"/>
        <v>2010</v>
      </c>
      <c r="W328" s="939">
        <f t="shared" si="395"/>
        <v>2011</v>
      </c>
      <c r="X328" s="939">
        <f t="shared" ref="X328:AE328" si="396">+W328+1</f>
        <v>2012</v>
      </c>
      <c r="Y328" s="939">
        <f t="shared" si="396"/>
        <v>2013</v>
      </c>
      <c r="Z328" s="939">
        <f t="shared" si="396"/>
        <v>2014</v>
      </c>
      <c r="AA328" s="939">
        <f t="shared" si="396"/>
        <v>2015</v>
      </c>
      <c r="AB328" s="939">
        <f t="shared" si="396"/>
        <v>2016</v>
      </c>
      <c r="AC328" s="939">
        <f t="shared" si="396"/>
        <v>2017</v>
      </c>
      <c r="AD328" s="939">
        <f t="shared" si="396"/>
        <v>2018</v>
      </c>
      <c r="AE328" s="939">
        <f t="shared" si="396"/>
        <v>2019</v>
      </c>
    </row>
    <row r="329" spans="1:31">
      <c r="A329" s="1123"/>
      <c r="B329" s="1123"/>
      <c r="C329" s="3220" t="s">
        <v>624</v>
      </c>
      <c r="D329" s="3222"/>
      <c r="E329" s="3222" t="s">
        <v>693</v>
      </c>
      <c r="F329" s="3229" t="s">
        <v>1554</v>
      </c>
      <c r="G329" s="3222"/>
      <c r="H329" s="3222">
        <f t="shared" ref="H329:AC329" ca="1" si="397">+(H323/G323-1)*100</f>
        <v>3.8547672167652758</v>
      </c>
      <c r="I329" s="3222">
        <f t="shared" si="397"/>
        <v>9.1220675007817285</v>
      </c>
      <c r="J329" s="3222">
        <f t="shared" si="397"/>
        <v>7.5247848998183819</v>
      </c>
      <c r="K329" s="3222">
        <f t="shared" si="397"/>
        <v>8.2933008458737625</v>
      </c>
      <c r="L329" s="3222">
        <f t="shared" si="397"/>
        <v>20.092747064501083</v>
      </c>
      <c r="M329" s="3222">
        <f t="shared" si="397"/>
        <v>7.4235621921264094</v>
      </c>
      <c r="N329" s="3222">
        <f t="shared" si="397"/>
        <v>0.7560855972134739</v>
      </c>
      <c r="O329" s="3222">
        <f t="shared" si="397"/>
        <v>-2.2032898133805379</v>
      </c>
      <c r="P329" s="3222">
        <f t="shared" si="397"/>
        <v>2.5154054441368867</v>
      </c>
      <c r="Q329" s="3222">
        <f t="shared" si="397"/>
        <v>3.8665469866635105</v>
      </c>
      <c r="R329" s="3222">
        <f t="shared" si="397"/>
        <v>4.4458349074424142</v>
      </c>
      <c r="S329" s="3222">
        <f t="shared" si="397"/>
        <v>13.399826833563534</v>
      </c>
      <c r="T329" s="3222">
        <f t="shared" si="397"/>
        <v>18.96424207023999</v>
      </c>
      <c r="U329" s="3222">
        <f t="shared" si="397"/>
        <v>-2.7098359117355253</v>
      </c>
      <c r="V329" s="3222">
        <f t="shared" si="397"/>
        <v>13.495102319917486</v>
      </c>
      <c r="W329" s="3222">
        <f t="shared" si="397"/>
        <v>3.7132871271802204</v>
      </c>
      <c r="X329" s="3222">
        <f t="shared" si="397"/>
        <v>12.227995651149627</v>
      </c>
      <c r="Y329" s="3222">
        <f t="shared" si="397"/>
        <v>2.2894134673681288</v>
      </c>
      <c r="Z329" s="3222">
        <f t="shared" si="397"/>
        <v>13.165435346783539</v>
      </c>
      <c r="AA329" s="3222">
        <f t="shared" si="397"/>
        <v>8.4487671911782858</v>
      </c>
      <c r="AB329" s="3222">
        <f t="shared" si="397"/>
        <v>1.681105171376962</v>
      </c>
      <c r="AC329" s="3222">
        <f t="shared" si="397"/>
        <v>3.3458460375585641</v>
      </c>
      <c r="AD329" s="3148">
        <f ca="1">OFFSET('VVP1'!$K$100,0,5*(COLUMN()-7))</f>
        <v>5.6964999999999932</v>
      </c>
      <c r="AE329" s="3148">
        <f ca="1">OFFSET('VVP1'!$K$100,0,5*(COLUMN()-7))</f>
        <v>4.5828499999999828</v>
      </c>
    </row>
    <row r="330" spans="1:31">
      <c r="A330" s="1123"/>
      <c r="B330" s="1123"/>
      <c r="C330" s="1021" t="s">
        <v>622</v>
      </c>
      <c r="D330" s="3149"/>
      <c r="E330" s="3150" t="s">
        <v>694</v>
      </c>
      <c r="F330" s="3149" t="s">
        <v>1097</v>
      </c>
      <c r="G330" s="3151"/>
      <c r="H330" s="3151">
        <f t="shared" ref="H330:AC330" ca="1" si="398">+(H324/G324-1)*100</f>
        <v>5.2462118016300074</v>
      </c>
      <c r="I330" s="3151">
        <f t="shared" si="398"/>
        <v>9.9970639899874989</v>
      </c>
      <c r="J330" s="3151">
        <f t="shared" si="398"/>
        <v>2.0344004248810554</v>
      </c>
      <c r="K330" s="3151">
        <f t="shared" si="398"/>
        <v>3.1085191656451405</v>
      </c>
      <c r="L330" s="3151">
        <f t="shared" si="398"/>
        <v>22.23803932570647</v>
      </c>
      <c r="M330" s="3151">
        <f t="shared" si="398"/>
        <v>-1.1792265713103656</v>
      </c>
      <c r="N330" s="3151">
        <f t="shared" si="398"/>
        <v>-1.36562294584891</v>
      </c>
      <c r="O330" s="3151">
        <f t="shared" si="398"/>
        <v>1.3090938160887688</v>
      </c>
      <c r="P330" s="3151">
        <f t="shared" si="398"/>
        <v>11.464322530152371</v>
      </c>
      <c r="Q330" s="3151">
        <f t="shared" si="398"/>
        <v>12.775837036045456</v>
      </c>
      <c r="R330" s="3151">
        <f t="shared" si="398"/>
        <v>8.9438684174033547</v>
      </c>
      <c r="S330" s="3151">
        <f t="shared" si="398"/>
        <v>6.7528174934718965</v>
      </c>
      <c r="T330" s="3151">
        <f t="shared" si="398"/>
        <v>8.337070712522765</v>
      </c>
      <c r="U330" s="3151">
        <f t="shared" si="398"/>
        <v>-20.380936075696233</v>
      </c>
      <c r="V330" s="3151">
        <f t="shared" si="398"/>
        <v>17.561725954567152</v>
      </c>
      <c r="W330" s="3151">
        <f t="shared" si="398"/>
        <v>15.737535003026682</v>
      </c>
      <c r="X330" s="3151">
        <f t="shared" si="398"/>
        <v>0.27802863067762917</v>
      </c>
      <c r="Y330" s="3151">
        <f t="shared" si="398"/>
        <v>-1.0479926954041874</v>
      </c>
      <c r="Z330" s="3151">
        <f t="shared" si="398"/>
        <v>0.87778730016676576</v>
      </c>
      <c r="AA330" s="3151">
        <f t="shared" si="398"/>
        <v>-4.0876088626326972</v>
      </c>
      <c r="AB330" s="3151">
        <f t="shared" si="398"/>
        <v>7.5779877560725462</v>
      </c>
      <c r="AC330" s="3151">
        <f t="shared" si="398"/>
        <v>7.0792770379102254</v>
      </c>
      <c r="AD330" s="3115">
        <f ca="1">OFFSET('VVP1'!$K$101,0,5*(COLUMN()-7))</f>
        <v>6.2520000000000131</v>
      </c>
      <c r="AE330" s="3115">
        <f ca="1">OFFSET('VVP1'!$K$101,0,5*(COLUMN()-7))</f>
        <v>5.7734699999999917</v>
      </c>
    </row>
    <row r="331" spans="1:31">
      <c r="A331" s="714"/>
      <c r="B331" s="714"/>
      <c r="C331" s="744" t="s">
        <v>624</v>
      </c>
      <c r="D331" s="3121"/>
      <c r="E331" s="3205" t="s">
        <v>1792</v>
      </c>
      <c r="F331" s="3121" t="s">
        <v>1262</v>
      </c>
      <c r="G331" s="3123"/>
      <c r="H331" s="3123">
        <f t="shared" ref="H331:AC331" ca="1" si="399">+(H325/G325-1)*100</f>
        <v>4.9678693547801966</v>
      </c>
      <c r="I331" s="3123">
        <f t="shared" si="399"/>
        <v>9.8238871180081677</v>
      </c>
      <c r="J331" s="3123">
        <f t="shared" si="399"/>
        <v>3.1140979676251401</v>
      </c>
      <c r="K331" s="3123">
        <f t="shared" si="399"/>
        <v>4.1717323771827131</v>
      </c>
      <c r="L331" s="3123">
        <f t="shared" si="399"/>
        <v>21.780711041708379</v>
      </c>
      <c r="M331" s="3123">
        <f t="shared" si="399"/>
        <v>0.62927599134185996</v>
      </c>
      <c r="N331" s="3123">
        <f t="shared" si="399"/>
        <v>-0.88947622698405393</v>
      </c>
      <c r="O331" s="3123">
        <f t="shared" si="399"/>
        <v>0.5077691142648888</v>
      </c>
      <c r="P331" s="3123">
        <f t="shared" si="399"/>
        <v>9.4777625474954164</v>
      </c>
      <c r="Q331" s="3123">
        <f t="shared" si="399"/>
        <v>10.92385181257869</v>
      </c>
      <c r="R331" s="3123">
        <f t="shared" si="399"/>
        <v>8.0683448162073734</v>
      </c>
      <c r="S331" s="3123">
        <f t="shared" si="399"/>
        <v>8.0032610304311635</v>
      </c>
      <c r="T331" s="3123">
        <f t="shared" si="399"/>
        <v>10.436160439881537</v>
      </c>
      <c r="U331" s="3123">
        <f t="shared" si="399"/>
        <v>-16.620986233829871</v>
      </c>
      <c r="V331" s="3123">
        <f t="shared" si="399"/>
        <v>16.552090424858612</v>
      </c>
      <c r="W331" s="3123">
        <f t="shared" si="399"/>
        <v>12.830531073131279</v>
      </c>
      <c r="X331" s="3123">
        <f t="shared" si="399"/>
        <v>2.9336256466570454</v>
      </c>
      <c r="Y331" s="3123">
        <f t="shared" si="399"/>
        <v>-0.23936527292285348</v>
      </c>
      <c r="Z331" s="3123">
        <f t="shared" si="399"/>
        <v>3.9304558314159133</v>
      </c>
      <c r="AA331" s="3123">
        <f t="shared" si="399"/>
        <v>-0.69640526789026547</v>
      </c>
      <c r="AB331" s="3123">
        <f t="shared" si="399"/>
        <v>5.8359242512060927</v>
      </c>
      <c r="AC331" s="3123">
        <f t="shared" si="399"/>
        <v>6.0196408474427754</v>
      </c>
      <c r="AD331" s="3206">
        <f ca="1">OFFSET('VVP1'!$K$102,0,5*(COLUMN()-7))</f>
        <v>6.0983121932578488</v>
      </c>
      <c r="AE331" s="3206">
        <f ca="1">OFFSET('VVP1'!$K$102,0,5*(COLUMN()-7))</f>
        <v>5.4453137694755238</v>
      </c>
    </row>
    <row r="333" spans="1:31">
      <c r="A333" s="1123"/>
      <c r="D333" s="3223"/>
      <c r="E333" s="1108" t="s">
        <v>562</v>
      </c>
      <c r="F333" s="3224"/>
      <c r="G333" s="748">
        <f>InputY!$G$3</f>
        <v>1995</v>
      </c>
      <c r="H333" s="748">
        <f t="shared" ref="H333:W333" si="400">+G333+1</f>
        <v>1996</v>
      </c>
      <c r="I333" s="748">
        <f t="shared" si="400"/>
        <v>1997</v>
      </c>
      <c r="J333" s="748">
        <f t="shared" si="400"/>
        <v>1998</v>
      </c>
      <c r="K333" s="748">
        <f t="shared" si="400"/>
        <v>1999</v>
      </c>
      <c r="L333" s="748">
        <f t="shared" si="400"/>
        <v>2000</v>
      </c>
      <c r="M333" s="748">
        <f t="shared" si="400"/>
        <v>2001</v>
      </c>
      <c r="N333" s="748">
        <f t="shared" si="400"/>
        <v>2002</v>
      </c>
      <c r="O333" s="748">
        <f t="shared" si="400"/>
        <v>2003</v>
      </c>
      <c r="P333" s="748">
        <f t="shared" si="400"/>
        <v>2004</v>
      </c>
      <c r="Q333" s="748">
        <f t="shared" si="400"/>
        <v>2005</v>
      </c>
      <c r="R333" s="748">
        <f t="shared" si="400"/>
        <v>2006</v>
      </c>
      <c r="S333" s="748">
        <f t="shared" si="400"/>
        <v>2007</v>
      </c>
      <c r="T333" s="748">
        <f t="shared" si="400"/>
        <v>2008</v>
      </c>
      <c r="U333" s="748">
        <f t="shared" si="400"/>
        <v>2009</v>
      </c>
      <c r="V333" s="748">
        <f t="shared" si="400"/>
        <v>2010</v>
      </c>
      <c r="W333" s="748">
        <f t="shared" si="400"/>
        <v>2011</v>
      </c>
      <c r="X333" s="748">
        <f t="shared" ref="X333:AE333" si="401">+W333+1</f>
        <v>2012</v>
      </c>
      <c r="Y333" s="748">
        <f t="shared" si="401"/>
        <v>2013</v>
      </c>
      <c r="Z333" s="748">
        <f t="shared" si="401"/>
        <v>2014</v>
      </c>
      <c r="AA333" s="748">
        <f t="shared" si="401"/>
        <v>2015</v>
      </c>
      <c r="AB333" s="748">
        <f t="shared" si="401"/>
        <v>2016</v>
      </c>
      <c r="AC333" s="748">
        <f t="shared" si="401"/>
        <v>2017</v>
      </c>
      <c r="AD333" s="748">
        <f t="shared" si="401"/>
        <v>2018</v>
      </c>
      <c r="AE333" s="748">
        <f t="shared" si="401"/>
        <v>2019</v>
      </c>
    </row>
    <row r="334" spans="1:31">
      <c r="A334" s="714">
        <f>+ROW(InputY!A263)</f>
        <v>263</v>
      </c>
      <c r="B334" s="715">
        <v>150</v>
      </c>
      <c r="C334" s="1112" t="s">
        <v>622</v>
      </c>
      <c r="D334" s="1099"/>
      <c r="E334" s="1080" t="s">
        <v>800</v>
      </c>
      <c r="F334" s="1099" t="s">
        <v>2011</v>
      </c>
      <c r="G334" s="3127">
        <f ca="1">InputY!G263/1000</f>
        <v>86.559200000000004</v>
      </c>
      <c r="H334" s="3127">
        <f ca="1">InputY!H263/1000</f>
        <v>92.838300000000004</v>
      </c>
      <c r="I334" s="3127">
        <f ca="1">InputY!I263/1000</f>
        <v>101.0364</v>
      </c>
      <c r="J334" s="3127">
        <f ca="1">InputY!J263/1000</f>
        <v>107.7954</v>
      </c>
      <c r="K334" s="3127">
        <f ca="1">InputY!K263/1000</f>
        <v>111.8467</v>
      </c>
      <c r="L334" s="3127">
        <f>InputY!L263/1000</f>
        <v>136.20339999999999</v>
      </c>
      <c r="M334" s="3127">
        <f>InputY!M263/1000</f>
        <v>143.63560000000001</v>
      </c>
      <c r="N334" s="3127">
        <f>InputY!N263/1000</f>
        <v>152.87910000000002</v>
      </c>
      <c r="O334" s="3127">
        <f>InputY!O263/1000</f>
        <v>152.8528</v>
      </c>
      <c r="P334" s="3127">
        <f>InputY!P263/1000</f>
        <v>167.285</v>
      </c>
      <c r="Q334" s="3127">
        <f>InputY!Q263/1000</f>
        <v>184.72590000000002</v>
      </c>
      <c r="R334" s="3127">
        <f>InputY!R263/1000</f>
        <v>200.14849999999998</v>
      </c>
      <c r="S334" s="3127">
        <f>InputY!S263/1000</f>
        <v>211.94280000000001</v>
      </c>
      <c r="T334" s="3127">
        <f>InputY!T263/1000</f>
        <v>221.63839999999996</v>
      </c>
      <c r="U334" s="3127">
        <f>InputY!U263/1000</f>
        <v>178.9665</v>
      </c>
      <c r="V334" s="3127">
        <f>InputY!V263/1000</f>
        <v>203.95889999999997</v>
      </c>
      <c r="W334" s="3127">
        <f>InputY!W263/1000</f>
        <v>227.01139999999998</v>
      </c>
      <c r="X334" s="3127">
        <f>InputY!X263/1000</f>
        <v>230.94420000000002</v>
      </c>
      <c r="Y334" s="3127">
        <f>InputY!Y263/1000</f>
        <v>225.90789999999996</v>
      </c>
      <c r="Z334" s="3127">
        <f>InputY!Z263/1000</f>
        <v>221.79759999999999</v>
      </c>
      <c r="AA334" s="3127">
        <f>InputY!AA263/1000</f>
        <v>212.56850000000003</v>
      </c>
      <c r="AB334" s="3127">
        <f>InputY!AB263/1000</f>
        <v>218.50980000000001</v>
      </c>
      <c r="AC334" s="3127">
        <f>InputY!AC263/1000</f>
        <v>231.54430000000002</v>
      </c>
      <c r="AD334" s="1355">
        <f t="shared" ref="AD334:AE336" ca="1" si="402">+AC334*(1+AD339/100)</f>
        <v>247.63087470000005</v>
      </c>
      <c r="AE334" s="1355">
        <f t="shared" ca="1" si="402"/>
        <v>262.97241452700905</v>
      </c>
    </row>
    <row r="335" spans="1:31">
      <c r="A335" s="714">
        <f>+ROW(InputY!A264)</f>
        <v>264</v>
      </c>
      <c r="B335" s="715">
        <v>152</v>
      </c>
      <c r="C335" s="1114" t="s">
        <v>622</v>
      </c>
      <c r="D335" s="1110"/>
      <c r="E335" s="3153" t="s">
        <v>1155</v>
      </c>
      <c r="F335" s="1110" t="s">
        <v>1115</v>
      </c>
      <c r="G335" s="1116">
        <f ca="1">InputY!G264/1000</f>
        <v>30</v>
      </c>
      <c r="H335" s="1116">
        <f ca="1">InputY!H264/1000</f>
        <v>32.738799999999998</v>
      </c>
      <c r="I335" s="1116">
        <f ca="1">InputY!I264/1000</f>
        <v>38.259</v>
      </c>
      <c r="J335" s="1116">
        <f ca="1">InputY!J264/1000</f>
        <v>40.146000000000001</v>
      </c>
      <c r="K335" s="1116">
        <f ca="1">InputY!K264/1000</f>
        <v>42.788499999999999</v>
      </c>
      <c r="L335" s="1116">
        <f>InputY!L264/1000</f>
        <v>55.991499999999988</v>
      </c>
      <c r="M335" s="1116">
        <f>InputY!M264/1000</f>
        <v>55.855600000000031</v>
      </c>
      <c r="N335" s="1116">
        <f>InputY!N264/1000</f>
        <v>56.840799999999959</v>
      </c>
      <c r="O335" s="1116">
        <f>InputY!O264/1000</f>
        <v>54.842400000000012</v>
      </c>
      <c r="P335" s="1116">
        <f>InputY!P264/1000</f>
        <v>62.332100000000018</v>
      </c>
      <c r="Q335" s="1116">
        <f>InputY!Q264/1000</f>
        <v>71.442999999999984</v>
      </c>
      <c r="R335" s="1116">
        <f>InputY!R264/1000</f>
        <v>79.904699999999991</v>
      </c>
      <c r="S335" s="1116">
        <f>InputY!S264/1000</f>
        <v>88.354799999999969</v>
      </c>
      <c r="T335" s="1116">
        <f>InputY!T264/1000</f>
        <v>95.405000000000044</v>
      </c>
      <c r="U335" s="1116">
        <f>InputY!U264/1000</f>
        <v>75.401000000000025</v>
      </c>
      <c r="V335" s="1116">
        <f>InputY!V264/1000</f>
        <v>91.113300000000024</v>
      </c>
      <c r="W335" s="1116">
        <f>InputY!W264/1000</f>
        <v>108.4361</v>
      </c>
      <c r="X335" s="1116">
        <f>InputY!X264/1000</f>
        <v>110.84309999999998</v>
      </c>
      <c r="Y335" s="1116">
        <f>InputY!Y264/1000</f>
        <v>114.18510000000003</v>
      </c>
      <c r="Z335" s="1116">
        <f>InputY!Z264/1000</f>
        <v>119.62920000000003</v>
      </c>
      <c r="AA335" s="1116">
        <f>InputY!AA264/1000</f>
        <v>126.00220000000003</v>
      </c>
      <c r="AB335" s="1116">
        <f>InputY!AB264/1000</f>
        <v>123.97069999999999</v>
      </c>
      <c r="AC335" s="1116">
        <f>InputY!AC264/1000</f>
        <v>128.62820000000002</v>
      </c>
      <c r="AD335" s="1285">
        <f t="shared" ca="1" si="402"/>
        <v>135.05961000000002</v>
      </c>
      <c r="AE335" s="1285">
        <f t="shared" ca="1" si="402"/>
        <v>141.81259050000003</v>
      </c>
    </row>
    <row r="336" spans="1:31">
      <c r="A336" s="714"/>
      <c r="B336" s="714"/>
      <c r="C336" s="744" t="s">
        <v>624</v>
      </c>
      <c r="D336" s="819"/>
      <c r="E336" s="818" t="s">
        <v>1263</v>
      </c>
      <c r="F336" s="819" t="s">
        <v>1264</v>
      </c>
      <c r="G336" s="3225">
        <f t="shared" ref="G336:W336" ca="1" si="403">+G334+G335</f>
        <v>116.5592</v>
      </c>
      <c r="H336" s="3225">
        <f t="shared" ca="1" si="403"/>
        <v>125.5771</v>
      </c>
      <c r="I336" s="3225">
        <f t="shared" ca="1" si="403"/>
        <v>139.2954</v>
      </c>
      <c r="J336" s="3225">
        <f t="shared" ca="1" si="403"/>
        <v>147.94139999999999</v>
      </c>
      <c r="K336" s="3225">
        <f t="shared" ca="1" si="403"/>
        <v>154.6352</v>
      </c>
      <c r="L336" s="3225">
        <f t="shared" si="403"/>
        <v>192.19489999999996</v>
      </c>
      <c r="M336" s="3225">
        <f t="shared" si="403"/>
        <v>199.49120000000005</v>
      </c>
      <c r="N336" s="3225">
        <f t="shared" si="403"/>
        <v>209.7199</v>
      </c>
      <c r="O336" s="3225">
        <f t="shared" si="403"/>
        <v>207.6952</v>
      </c>
      <c r="P336" s="3225">
        <f t="shared" si="403"/>
        <v>229.61710000000002</v>
      </c>
      <c r="Q336" s="3225">
        <f t="shared" si="403"/>
        <v>256.16890000000001</v>
      </c>
      <c r="R336" s="3225">
        <f t="shared" si="403"/>
        <v>280.05319999999995</v>
      </c>
      <c r="S336" s="3225">
        <f t="shared" si="403"/>
        <v>300.29759999999999</v>
      </c>
      <c r="T336" s="3225">
        <f t="shared" si="403"/>
        <v>317.04340000000002</v>
      </c>
      <c r="U336" s="3225">
        <f t="shared" si="403"/>
        <v>254.36750000000001</v>
      </c>
      <c r="V336" s="3225">
        <f t="shared" si="403"/>
        <v>295.07220000000001</v>
      </c>
      <c r="W336" s="3225">
        <f t="shared" si="403"/>
        <v>335.44749999999999</v>
      </c>
      <c r="X336" s="3225">
        <f t="shared" ref="X336:Y336" si="404">+X334+X335</f>
        <v>341.78730000000002</v>
      </c>
      <c r="Y336" s="3225">
        <f t="shared" si="404"/>
        <v>340.09299999999996</v>
      </c>
      <c r="Z336" s="3225">
        <f t="shared" ref="Z336:AA336" si="405">+Z334+Z335</f>
        <v>341.42680000000001</v>
      </c>
      <c r="AA336" s="3225">
        <f t="shared" si="405"/>
        <v>338.57070000000004</v>
      </c>
      <c r="AB336" s="3225">
        <f t="shared" ref="AB336:AC336" si="406">+AB334+AB335</f>
        <v>342.48050000000001</v>
      </c>
      <c r="AC336" s="3225">
        <f t="shared" si="406"/>
        <v>360.17250000000001</v>
      </c>
      <c r="AD336" s="915">
        <f t="shared" ca="1" si="402"/>
        <v>382.69048470000007</v>
      </c>
      <c r="AE336" s="915">
        <f t="shared" ca="1" si="402"/>
        <v>404.78500502700911</v>
      </c>
    </row>
    <row r="337" spans="1:31">
      <c r="T337" s="1380"/>
    </row>
    <row r="338" spans="1:31" s="749" customFormat="1" ht="12.75" customHeight="1">
      <c r="A338" s="714"/>
      <c r="B338" s="714"/>
      <c r="C338" s="822"/>
      <c r="D338" s="3073"/>
      <c r="E338" s="3074" t="s">
        <v>562</v>
      </c>
      <c r="F338" s="3075"/>
      <c r="G338" s="939">
        <f>InputY!$G$3</f>
        <v>1995</v>
      </c>
      <c r="H338" s="939">
        <f t="shared" ref="H338:W338" si="407">+G338+1</f>
        <v>1996</v>
      </c>
      <c r="I338" s="939">
        <f t="shared" si="407"/>
        <v>1997</v>
      </c>
      <c r="J338" s="939">
        <f t="shared" si="407"/>
        <v>1998</v>
      </c>
      <c r="K338" s="939">
        <f t="shared" si="407"/>
        <v>1999</v>
      </c>
      <c r="L338" s="939">
        <f t="shared" si="407"/>
        <v>2000</v>
      </c>
      <c r="M338" s="939">
        <f t="shared" si="407"/>
        <v>2001</v>
      </c>
      <c r="N338" s="939">
        <f t="shared" si="407"/>
        <v>2002</v>
      </c>
      <c r="O338" s="939">
        <f t="shared" si="407"/>
        <v>2003</v>
      </c>
      <c r="P338" s="939">
        <f t="shared" si="407"/>
        <v>2004</v>
      </c>
      <c r="Q338" s="939">
        <f t="shared" si="407"/>
        <v>2005</v>
      </c>
      <c r="R338" s="939">
        <f t="shared" si="407"/>
        <v>2006</v>
      </c>
      <c r="S338" s="939">
        <f t="shared" si="407"/>
        <v>2007</v>
      </c>
      <c r="T338" s="939">
        <f t="shared" si="407"/>
        <v>2008</v>
      </c>
      <c r="U338" s="939">
        <f t="shared" si="407"/>
        <v>2009</v>
      </c>
      <c r="V338" s="939">
        <f t="shared" si="407"/>
        <v>2010</v>
      </c>
      <c r="W338" s="939">
        <f t="shared" si="407"/>
        <v>2011</v>
      </c>
      <c r="X338" s="939">
        <f t="shared" ref="X338:AE338" si="408">+W338+1</f>
        <v>2012</v>
      </c>
      <c r="Y338" s="939">
        <f t="shared" si="408"/>
        <v>2013</v>
      </c>
      <c r="Z338" s="939">
        <f t="shared" si="408"/>
        <v>2014</v>
      </c>
      <c r="AA338" s="939">
        <f t="shared" si="408"/>
        <v>2015</v>
      </c>
      <c r="AB338" s="939">
        <f t="shared" si="408"/>
        <v>2016</v>
      </c>
      <c r="AC338" s="939">
        <f t="shared" si="408"/>
        <v>2017</v>
      </c>
      <c r="AD338" s="939">
        <f t="shared" si="408"/>
        <v>2018</v>
      </c>
      <c r="AE338" s="939">
        <f t="shared" si="408"/>
        <v>2019</v>
      </c>
    </row>
    <row r="339" spans="1:31" s="749" customFormat="1" ht="12.75" customHeight="1">
      <c r="A339" s="714"/>
      <c r="B339" s="714"/>
      <c r="C339" s="839"/>
      <c r="D339" s="739"/>
      <c r="E339" s="787" t="s">
        <v>800</v>
      </c>
      <c r="F339" s="782" t="s">
        <v>2011</v>
      </c>
      <c r="G339" s="1122"/>
      <c r="H339" s="1122">
        <f t="shared" ref="H339:AC339" ca="1" si="409">+(H334/G334-1)*100</f>
        <v>7.2541104816125745</v>
      </c>
      <c r="I339" s="1122">
        <f t="shared" ca="1" si="409"/>
        <v>8.8305149921961146</v>
      </c>
      <c r="J339" s="1122">
        <f t="shared" ca="1" si="409"/>
        <v>6.6896682779671535</v>
      </c>
      <c r="K339" s="1122">
        <f t="shared" ca="1" si="409"/>
        <v>3.758323639042116</v>
      </c>
      <c r="L339" s="1122">
        <f t="shared" ca="1" si="409"/>
        <v>21.776860649442487</v>
      </c>
      <c r="M339" s="1122">
        <f t="shared" si="409"/>
        <v>5.4566919768522792</v>
      </c>
      <c r="N339" s="1122">
        <f t="shared" si="409"/>
        <v>6.4353823146907851</v>
      </c>
      <c r="O339" s="1122">
        <f t="shared" si="409"/>
        <v>-1.7203136334542624E-2</v>
      </c>
      <c r="P339" s="1122">
        <f t="shared" si="409"/>
        <v>9.4418944239163416</v>
      </c>
      <c r="Q339" s="1122">
        <f t="shared" si="409"/>
        <v>10.425860059180447</v>
      </c>
      <c r="R339" s="1122">
        <f t="shared" si="409"/>
        <v>8.3489104668051262</v>
      </c>
      <c r="S339" s="1122">
        <f t="shared" si="409"/>
        <v>5.892774614848495</v>
      </c>
      <c r="T339" s="1122">
        <f t="shared" si="409"/>
        <v>4.5746305135158982</v>
      </c>
      <c r="U339" s="1122">
        <f t="shared" si="409"/>
        <v>-19.252936314284874</v>
      </c>
      <c r="V339" s="1122">
        <f t="shared" si="409"/>
        <v>13.964848169908883</v>
      </c>
      <c r="W339" s="1122">
        <f t="shared" si="409"/>
        <v>11.302522223840207</v>
      </c>
      <c r="X339" s="1122">
        <f t="shared" si="409"/>
        <v>1.7324240104241717</v>
      </c>
      <c r="Y339" s="1122">
        <f t="shared" si="409"/>
        <v>-2.1807432271518712</v>
      </c>
      <c r="Z339" s="1122">
        <f t="shared" si="409"/>
        <v>-1.8194582836633777</v>
      </c>
      <c r="AA339" s="1122">
        <f t="shared" si="409"/>
        <v>-4.1610459265564508</v>
      </c>
      <c r="AB339" s="1122">
        <f t="shared" si="409"/>
        <v>2.7950049043014236</v>
      </c>
      <c r="AC339" s="1122">
        <f t="shared" si="409"/>
        <v>5.9651786784848948</v>
      </c>
      <c r="AD339" s="3226">
        <f ca="1">OFFSET('VVP1'!$K$108,0,5*(COLUMN()-7))</f>
        <v>6.947514881601502</v>
      </c>
      <c r="AE339" s="3226">
        <f ca="1">OFFSET('VVP1'!$K$108,0,5*(COLUMN()-7))</f>
        <v>6.1953259445515219</v>
      </c>
    </row>
    <row r="340" spans="1:31" s="749" customFormat="1" ht="12.75" customHeight="1">
      <c r="A340" s="714"/>
      <c r="B340" s="714"/>
      <c r="C340" s="841"/>
      <c r="D340" s="741"/>
      <c r="E340" s="842" t="s">
        <v>1155</v>
      </c>
      <c r="F340" s="785" t="s">
        <v>1115</v>
      </c>
      <c r="G340" s="3135"/>
      <c r="H340" s="3135">
        <f t="shared" ref="H340:AC340" ca="1" si="410">+(H335/G335-1)*100</f>
        <v>9.1293333333333226</v>
      </c>
      <c r="I340" s="3135">
        <f t="shared" ca="1" si="410"/>
        <v>16.861338839542086</v>
      </c>
      <c r="J340" s="3135">
        <f t="shared" ca="1" si="410"/>
        <v>4.9321728220810712</v>
      </c>
      <c r="K340" s="3135">
        <f t="shared" ca="1" si="410"/>
        <v>6.5822248791909566</v>
      </c>
      <c r="L340" s="3135">
        <f t="shared" ca="1" si="410"/>
        <v>30.856421702092817</v>
      </c>
      <c r="M340" s="3135">
        <f t="shared" si="410"/>
        <v>-0.24271541216069892</v>
      </c>
      <c r="N340" s="3135">
        <f t="shared" si="410"/>
        <v>1.7638338859486291</v>
      </c>
      <c r="O340" s="3135">
        <f t="shared" si="410"/>
        <v>-3.5157844365314106</v>
      </c>
      <c r="P340" s="3135">
        <f t="shared" si="410"/>
        <v>13.656769215059894</v>
      </c>
      <c r="Q340" s="3135">
        <f t="shared" si="410"/>
        <v>14.616706319857609</v>
      </c>
      <c r="R340" s="3135">
        <f t="shared" si="410"/>
        <v>11.84398751452207</v>
      </c>
      <c r="S340" s="3135">
        <f t="shared" si="410"/>
        <v>10.575222734081958</v>
      </c>
      <c r="T340" s="3135">
        <f t="shared" si="410"/>
        <v>7.9794193411111491</v>
      </c>
      <c r="U340" s="3135">
        <f t="shared" si="410"/>
        <v>-20.9674545359258</v>
      </c>
      <c r="V340" s="3135">
        <f t="shared" si="410"/>
        <v>20.838317794193696</v>
      </c>
      <c r="W340" s="3135">
        <f t="shared" si="410"/>
        <v>19.012372507636055</v>
      </c>
      <c r="X340" s="3135">
        <f t="shared" si="410"/>
        <v>2.2197404738827586</v>
      </c>
      <c r="Y340" s="3135">
        <f t="shared" si="410"/>
        <v>3.015072656755402</v>
      </c>
      <c r="Z340" s="3135">
        <f t="shared" si="410"/>
        <v>4.7677849386653648</v>
      </c>
      <c r="AA340" s="3135">
        <f t="shared" si="410"/>
        <v>5.3272946738756044</v>
      </c>
      <c r="AB340" s="3135">
        <f t="shared" si="410"/>
        <v>-1.6122734364955815</v>
      </c>
      <c r="AC340" s="3135">
        <f t="shared" si="410"/>
        <v>3.7569361147432589</v>
      </c>
      <c r="AD340" s="3227">
        <f ca="1">OFFSET('VVP1'!$K$109,0,5*(COLUMN()-7))</f>
        <v>5</v>
      </c>
      <c r="AE340" s="3227">
        <f ca="1">OFFSET('VVP1'!$K$109,0,5*(COLUMN()-7))</f>
        <v>5</v>
      </c>
    </row>
    <row r="341" spans="1:31" s="749" customFormat="1" ht="12.75" customHeight="1">
      <c r="A341" s="714"/>
      <c r="B341" s="714"/>
      <c r="C341" s="822"/>
      <c r="D341" s="766"/>
      <c r="E341" s="771" t="s">
        <v>1263</v>
      </c>
      <c r="F341" s="772" t="s">
        <v>1264</v>
      </c>
      <c r="G341" s="770"/>
      <c r="H341" s="770">
        <f t="shared" ref="H341:AC341" ca="1" si="411">+(H336/G336-1)*100</f>
        <v>7.7367552282445295</v>
      </c>
      <c r="I341" s="770">
        <f t="shared" ca="1" si="411"/>
        <v>10.924205129756936</v>
      </c>
      <c r="J341" s="770">
        <f t="shared" ca="1" si="411"/>
        <v>6.2069529934225987</v>
      </c>
      <c r="K341" s="770">
        <f t="shared" ca="1" si="411"/>
        <v>4.5246293464844989</v>
      </c>
      <c r="L341" s="770">
        <f t="shared" ca="1" si="411"/>
        <v>24.289230395149342</v>
      </c>
      <c r="M341" s="770">
        <f t="shared" si="411"/>
        <v>3.796302607405333</v>
      </c>
      <c r="N341" s="770">
        <f t="shared" si="411"/>
        <v>5.1273940905663729</v>
      </c>
      <c r="O341" s="770">
        <f t="shared" si="411"/>
        <v>-0.96543055761517671</v>
      </c>
      <c r="P341" s="770">
        <f t="shared" si="411"/>
        <v>10.554841902942403</v>
      </c>
      <c r="Q341" s="770">
        <f t="shared" si="411"/>
        <v>11.563511602576625</v>
      </c>
      <c r="R341" s="770">
        <f t="shared" si="411"/>
        <v>9.3236532615785563</v>
      </c>
      <c r="S341" s="770">
        <f t="shared" si="411"/>
        <v>7.2287693909586004</v>
      </c>
      <c r="T341" s="770">
        <f t="shared" si="411"/>
        <v>5.5764015430026959</v>
      </c>
      <c r="U341" s="770">
        <f t="shared" si="411"/>
        <v>-19.768870760280777</v>
      </c>
      <c r="V341" s="770">
        <f t="shared" si="411"/>
        <v>16.002319478706983</v>
      </c>
      <c r="W341" s="770">
        <f t="shared" si="411"/>
        <v>13.683193469259392</v>
      </c>
      <c r="X341" s="770">
        <f t="shared" si="411"/>
        <v>1.8899529732670617</v>
      </c>
      <c r="Y341" s="770">
        <f t="shared" si="411"/>
        <v>-0.49571765832143733</v>
      </c>
      <c r="Z341" s="770">
        <f t="shared" si="411"/>
        <v>0.39218684301061124</v>
      </c>
      <c r="AA341" s="770">
        <f t="shared" si="411"/>
        <v>-0.8365189844499521</v>
      </c>
      <c r="AB341" s="770">
        <f t="shared" si="411"/>
        <v>1.1547957339486103</v>
      </c>
      <c r="AC341" s="770">
        <f t="shared" si="411"/>
        <v>5.1658415588624829</v>
      </c>
      <c r="AD341" s="3228">
        <f ca="1">OFFSET('VVP1'!$K$110,0,5*(COLUMN()-7))</f>
        <v>6.2520000000000131</v>
      </c>
      <c r="AE341" s="3228">
        <f ca="1">OFFSET('VVP1'!$K$110,0,5*(COLUMN()-7))</f>
        <v>5.7734699999999917</v>
      </c>
    </row>
    <row r="343" spans="1:31">
      <c r="A343" s="1123"/>
      <c r="B343" s="1123"/>
      <c r="D343" s="1107"/>
      <c r="E343" s="1108" t="s">
        <v>1265</v>
      </c>
      <c r="F343" s="3201"/>
      <c r="G343" s="826">
        <f>InputY!$G$3</f>
        <v>1995</v>
      </c>
      <c r="H343" s="826">
        <f t="shared" ref="H343:W343" si="412">+G343+1</f>
        <v>1996</v>
      </c>
      <c r="I343" s="826">
        <f t="shared" si="412"/>
        <v>1997</v>
      </c>
      <c r="J343" s="826">
        <f t="shared" si="412"/>
        <v>1998</v>
      </c>
      <c r="K343" s="826">
        <f t="shared" si="412"/>
        <v>1999</v>
      </c>
      <c r="L343" s="826">
        <f t="shared" si="412"/>
        <v>2000</v>
      </c>
      <c r="M343" s="826">
        <f t="shared" si="412"/>
        <v>2001</v>
      </c>
      <c r="N343" s="826">
        <f t="shared" si="412"/>
        <v>2002</v>
      </c>
      <c r="O343" s="826">
        <f t="shared" si="412"/>
        <v>2003</v>
      </c>
      <c r="P343" s="826">
        <f t="shared" si="412"/>
        <v>2004</v>
      </c>
      <c r="Q343" s="826">
        <f t="shared" si="412"/>
        <v>2005</v>
      </c>
      <c r="R343" s="826">
        <f t="shared" si="412"/>
        <v>2006</v>
      </c>
      <c r="S343" s="826">
        <f t="shared" si="412"/>
        <v>2007</v>
      </c>
      <c r="T343" s="826">
        <f t="shared" si="412"/>
        <v>2008</v>
      </c>
      <c r="U343" s="826">
        <f t="shared" si="412"/>
        <v>2009</v>
      </c>
      <c r="V343" s="826">
        <f t="shared" si="412"/>
        <v>2010</v>
      </c>
      <c r="W343" s="826">
        <f t="shared" si="412"/>
        <v>2011</v>
      </c>
      <c r="X343" s="826">
        <f t="shared" ref="X343:AE343" si="413">+W343+1</f>
        <v>2012</v>
      </c>
      <c r="Y343" s="826">
        <f t="shared" si="413"/>
        <v>2013</v>
      </c>
      <c r="Z343" s="826">
        <f t="shared" si="413"/>
        <v>2014</v>
      </c>
      <c r="AA343" s="826">
        <f t="shared" si="413"/>
        <v>2015</v>
      </c>
      <c r="AB343" s="826">
        <f t="shared" si="413"/>
        <v>2016</v>
      </c>
      <c r="AC343" s="826">
        <f t="shared" si="413"/>
        <v>2017</v>
      </c>
      <c r="AD343" s="826">
        <f t="shared" si="413"/>
        <v>2018</v>
      </c>
      <c r="AE343" s="826">
        <f t="shared" si="413"/>
        <v>2019</v>
      </c>
    </row>
    <row r="344" spans="1:31">
      <c r="A344" s="714"/>
      <c r="B344" s="714"/>
      <c r="C344" s="1120"/>
      <c r="D344" s="1121"/>
      <c r="E344" s="1080" t="s">
        <v>36</v>
      </c>
      <c r="F344" s="175" t="s">
        <v>1266</v>
      </c>
      <c r="G344" s="1085">
        <f t="shared" ref="G344:W344" ca="1" si="414">+G292-G324</f>
        <v>5.5936999999999983</v>
      </c>
      <c r="H344" s="1085">
        <f t="shared" si="414"/>
        <v>4.1840000000000117</v>
      </c>
      <c r="I344" s="1085">
        <f t="shared" si="414"/>
        <v>5.4830000000000041</v>
      </c>
      <c r="J344" s="1085">
        <f t="shared" si="414"/>
        <v>5.9676000000000045</v>
      </c>
      <c r="K344" s="1085">
        <f t="shared" si="414"/>
        <v>7.5110999999999848</v>
      </c>
      <c r="L344" s="1085">
        <f t="shared" si="414"/>
        <v>4.4294000000000437</v>
      </c>
      <c r="M344" s="1085">
        <f t="shared" si="414"/>
        <v>6.3446999999999889</v>
      </c>
      <c r="N344" s="1085">
        <f t="shared" si="414"/>
        <v>13.723100000000017</v>
      </c>
      <c r="O344" s="1085">
        <f t="shared" si="414"/>
        <v>12.723700000000008</v>
      </c>
      <c r="P344" s="1085">
        <f t="shared" si="414"/>
        <v>10.364699999999999</v>
      </c>
      <c r="Q344" s="1085">
        <f t="shared" si="414"/>
        <v>6.5993999999999744</v>
      </c>
      <c r="R344" s="1085">
        <f t="shared" si="414"/>
        <v>7.5440000000000111</v>
      </c>
      <c r="S344" s="1085">
        <f t="shared" si="414"/>
        <v>7.6878999999999849</v>
      </c>
      <c r="T344" s="1085">
        <f t="shared" ref="T344:V345" si="415">+T292-T324</f>
        <v>-4.4214000000000055</v>
      </c>
      <c r="U344" s="1085">
        <f t="shared" si="415"/>
        <v>-0.12670000000002801</v>
      </c>
      <c r="V344" s="1085">
        <f t="shared" si="415"/>
        <v>-2.1114000000000317</v>
      </c>
      <c r="W344" s="1257">
        <f t="shared" si="414"/>
        <v>-5.7073999999999785</v>
      </c>
      <c r="X344" s="1257">
        <f t="shared" ref="X344:Y345" si="416">+X292-X324</f>
        <v>-4.9211999999999989</v>
      </c>
      <c r="Y344" s="1257">
        <f t="shared" si="416"/>
        <v>-2.6671000000000049</v>
      </c>
      <c r="Z344" s="1257">
        <f t="shared" ref="Z344" si="417">+Z292-Z324</f>
        <v>-3.0790999999999826</v>
      </c>
      <c r="AA344" s="1257">
        <f t="shared" ref="AA344:AC345" si="418">+AA292-AA324</f>
        <v>0.28940000000000055</v>
      </c>
      <c r="AB344" s="1257">
        <f t="shared" si="418"/>
        <v>1.1313999999999851</v>
      </c>
      <c r="AC344" s="1257">
        <f t="shared" si="418"/>
        <v>3.8841999999999643</v>
      </c>
      <c r="AD344" s="1257">
        <f t="shared" ref="AD344" ca="1" si="419">+AD292-AD324</f>
        <v>4.0999311678999675</v>
      </c>
      <c r="AE344" s="1257">
        <f t="shared" ref="AE344" ca="1" si="420">+AE292-AE324</f>
        <v>4.1945443652799668</v>
      </c>
    </row>
    <row r="345" spans="1:31">
      <c r="A345" s="1123"/>
      <c r="B345" s="1123"/>
      <c r="C345" s="1114"/>
      <c r="D345" s="1110"/>
      <c r="E345" s="1111" t="s">
        <v>1201</v>
      </c>
      <c r="F345" s="1110" t="s">
        <v>1267</v>
      </c>
      <c r="G345" s="1116">
        <f t="shared" ref="G345:W345" ca="1" si="421">+G293-G325</f>
        <v>7.3400000000000034</v>
      </c>
      <c r="H345" s="1116">
        <f t="shared" si="421"/>
        <v>6.1014000000000124</v>
      </c>
      <c r="I345" s="1116">
        <f t="shared" si="421"/>
        <v>7.7436000000000149</v>
      </c>
      <c r="J345" s="1116">
        <f t="shared" si="421"/>
        <v>7.7617000000000189</v>
      </c>
      <c r="K345" s="1116">
        <f t="shared" si="421"/>
        <v>9.2810999999999808</v>
      </c>
      <c r="L345" s="1116">
        <f t="shared" si="421"/>
        <v>6.8069999999999879</v>
      </c>
      <c r="M345" s="1116">
        <f t="shared" si="421"/>
        <v>8.8940000000000055</v>
      </c>
      <c r="N345" s="1116">
        <f t="shared" si="421"/>
        <v>15.141399999999976</v>
      </c>
      <c r="O345" s="1116">
        <f t="shared" si="421"/>
        <v>14.702399999999983</v>
      </c>
      <c r="P345" s="1116">
        <f t="shared" si="421"/>
        <v>14.045700000000011</v>
      </c>
      <c r="Q345" s="1116">
        <f t="shared" si="421"/>
        <v>11.419600000000003</v>
      </c>
      <c r="R345" s="1116">
        <f t="shared" si="421"/>
        <v>12.179200000000009</v>
      </c>
      <c r="S345" s="1116">
        <f t="shared" si="421"/>
        <v>13.161299999999983</v>
      </c>
      <c r="T345" s="1116">
        <f t="shared" si="415"/>
        <v>1.7133999999999219</v>
      </c>
      <c r="U345" s="1116">
        <f t="shared" si="415"/>
        <v>7.8921999999999741</v>
      </c>
      <c r="V345" s="1116">
        <f t="shared" si="415"/>
        <v>6.5599000000000274</v>
      </c>
      <c r="W345" s="980">
        <f t="shared" si="421"/>
        <v>1.9615999999999758</v>
      </c>
      <c r="X345" s="980">
        <f t="shared" si="416"/>
        <v>2.3897000000000048</v>
      </c>
      <c r="Y345" s="980">
        <f t="shared" si="416"/>
        <v>4.8727000000000089</v>
      </c>
      <c r="Z345" s="980">
        <f t="shared" ref="Z345" si="422">+Z293-Z325</f>
        <v>2.5367999999999711</v>
      </c>
      <c r="AA345" s="980">
        <f t="shared" si="418"/>
        <v>5.5774999999999864</v>
      </c>
      <c r="AB345" s="980">
        <f t="shared" si="418"/>
        <v>5.6252000000000066</v>
      </c>
      <c r="AC345" s="980">
        <f t="shared" si="418"/>
        <v>5.6879000000000701</v>
      </c>
      <c r="AD345" s="980">
        <f t="shared" ref="AD345" ca="1" si="423">+AD293-AD325</f>
        <v>5.7462494993999371</v>
      </c>
      <c r="AE345" s="980">
        <f t="shared" ref="AE345" ca="1" si="424">+AE293-AE325</f>
        <v>7.0846411474573188</v>
      </c>
    </row>
    <row r="346" spans="1:31">
      <c r="K346" s="1380"/>
      <c r="L346" s="1380">
        <f t="shared" ref="L346:T346" si="425">L344-K344</f>
        <v>-3.081699999999941</v>
      </c>
      <c r="M346" s="1380">
        <f t="shared" si="425"/>
        <v>1.9152999999999452</v>
      </c>
      <c r="N346" s="1380">
        <f t="shared" si="425"/>
        <v>7.3784000000000276</v>
      </c>
      <c r="O346" s="1380">
        <f t="shared" si="425"/>
        <v>-0.9994000000000085</v>
      </c>
      <c r="P346" s="1380">
        <f t="shared" si="425"/>
        <v>-2.3590000000000089</v>
      </c>
      <c r="Q346" s="1380">
        <f t="shared" si="425"/>
        <v>-3.7653000000000247</v>
      </c>
      <c r="R346" s="1380">
        <f t="shared" si="425"/>
        <v>0.94460000000003674</v>
      </c>
      <c r="S346" s="1380">
        <f t="shared" si="425"/>
        <v>0.14389999999997372</v>
      </c>
      <c r="T346" s="1380">
        <f t="shared" si="425"/>
        <v>-12.10929999999999</v>
      </c>
      <c r="U346" s="1380"/>
    </row>
    <row r="347" spans="1:31">
      <c r="A347" s="1123"/>
      <c r="B347" s="1123"/>
      <c r="D347" s="3154"/>
      <c r="E347" s="973" t="s">
        <v>1265</v>
      </c>
      <c r="F347" s="3155"/>
      <c r="G347" s="939">
        <f>InputY!$G$3</f>
        <v>1995</v>
      </c>
      <c r="H347" s="939">
        <f t="shared" ref="H347:W347" si="426">+G347+1</f>
        <v>1996</v>
      </c>
      <c r="I347" s="939">
        <f t="shared" si="426"/>
        <v>1997</v>
      </c>
      <c r="J347" s="939">
        <f t="shared" si="426"/>
        <v>1998</v>
      </c>
      <c r="K347" s="939">
        <f t="shared" si="426"/>
        <v>1999</v>
      </c>
      <c r="L347" s="939">
        <f t="shared" si="426"/>
        <v>2000</v>
      </c>
      <c r="M347" s="939">
        <f t="shared" si="426"/>
        <v>2001</v>
      </c>
      <c r="N347" s="939">
        <f t="shared" si="426"/>
        <v>2002</v>
      </c>
      <c r="O347" s="939">
        <f t="shared" si="426"/>
        <v>2003</v>
      </c>
      <c r="P347" s="939">
        <f t="shared" si="426"/>
        <v>2004</v>
      </c>
      <c r="Q347" s="939">
        <f t="shared" si="426"/>
        <v>2005</v>
      </c>
      <c r="R347" s="939">
        <f t="shared" si="426"/>
        <v>2006</v>
      </c>
      <c r="S347" s="939">
        <f t="shared" si="426"/>
        <v>2007</v>
      </c>
      <c r="T347" s="939">
        <f t="shared" si="426"/>
        <v>2008</v>
      </c>
      <c r="U347" s="939">
        <f t="shared" si="426"/>
        <v>2009</v>
      </c>
      <c r="V347" s="939">
        <f t="shared" si="426"/>
        <v>2010</v>
      </c>
      <c r="W347" s="939">
        <f t="shared" si="426"/>
        <v>2011</v>
      </c>
      <c r="X347" s="939">
        <f t="shared" ref="X347:AE347" si="427">+W347+1</f>
        <v>2012</v>
      </c>
      <c r="Y347" s="939">
        <f t="shared" si="427"/>
        <v>2013</v>
      </c>
      <c r="Z347" s="939">
        <f t="shared" si="427"/>
        <v>2014</v>
      </c>
      <c r="AA347" s="939">
        <f t="shared" si="427"/>
        <v>2015</v>
      </c>
      <c r="AB347" s="939">
        <f t="shared" si="427"/>
        <v>2016</v>
      </c>
      <c r="AC347" s="939">
        <f t="shared" si="427"/>
        <v>2017</v>
      </c>
      <c r="AD347" s="939">
        <f t="shared" si="427"/>
        <v>2018</v>
      </c>
      <c r="AE347" s="939">
        <f t="shared" si="427"/>
        <v>2019</v>
      </c>
    </row>
    <row r="348" spans="1:31">
      <c r="A348" s="714"/>
      <c r="B348" s="714"/>
      <c r="C348" s="3158"/>
      <c r="D348" s="3159"/>
      <c r="E348" s="3111" t="s">
        <v>36</v>
      </c>
      <c r="F348" s="3159" t="s">
        <v>1266</v>
      </c>
      <c r="G348" s="1122"/>
      <c r="H348" s="1122">
        <f t="shared" ref="H348:AE348" ca="1" si="428">+(H344/G344-1)*100</f>
        <v>-25.20156604751751</v>
      </c>
      <c r="I348" s="1122">
        <f t="shared" si="428"/>
        <v>31.046845124282708</v>
      </c>
      <c r="J348" s="1122">
        <f t="shared" si="428"/>
        <v>8.8382272478570112</v>
      </c>
      <c r="K348" s="1122">
        <f t="shared" si="428"/>
        <v>25.86466921375392</v>
      </c>
      <c r="L348" s="1122">
        <f t="shared" si="428"/>
        <v>-41.028610989068802</v>
      </c>
      <c r="M348" s="1122">
        <f t="shared" si="428"/>
        <v>43.24061949699567</v>
      </c>
      <c r="N348" s="1122">
        <f t="shared" si="428"/>
        <v>116.29233848724195</v>
      </c>
      <c r="O348" s="1122">
        <f t="shared" si="428"/>
        <v>-7.2826110718424264</v>
      </c>
      <c r="P348" s="1122">
        <f t="shared" si="428"/>
        <v>-18.540204500263346</v>
      </c>
      <c r="Q348" s="1122">
        <f t="shared" si="428"/>
        <v>-36.328113693594844</v>
      </c>
      <c r="R348" s="1122">
        <f t="shared" si="428"/>
        <v>14.313422432342948</v>
      </c>
      <c r="S348" s="1122">
        <f t="shared" si="428"/>
        <v>1.9074761399784368</v>
      </c>
      <c r="T348" s="1122">
        <f t="shared" ref="T348:V349" si="429">+(T344/S344-1)*100</f>
        <v>-157.51115389117984</v>
      </c>
      <c r="U348" s="1122">
        <f t="shared" si="429"/>
        <v>-97.134391821594335</v>
      </c>
      <c r="V348" s="1122">
        <f t="shared" si="429"/>
        <v>1566.4561957376204</v>
      </c>
      <c r="W348" s="3134">
        <f t="shared" si="428"/>
        <v>170.31353604243122</v>
      </c>
      <c r="X348" s="3134">
        <f t="shared" si="428"/>
        <v>-13.775098994287816</v>
      </c>
      <c r="Y348" s="3134">
        <f t="shared" si="428"/>
        <v>-45.803868975046626</v>
      </c>
      <c r="Z348" s="3134">
        <f t="shared" si="428"/>
        <v>15.447489782909418</v>
      </c>
      <c r="AA348" s="3134">
        <f t="shared" si="428"/>
        <v>-109.39885031340333</v>
      </c>
      <c r="AB348" s="3134">
        <f t="shared" si="428"/>
        <v>290.946786454728</v>
      </c>
      <c r="AC348" s="3134">
        <f t="shared" si="428"/>
        <v>243.30917447410428</v>
      </c>
      <c r="AD348" s="3134">
        <f t="shared" ca="1" si="428"/>
        <v>5.5540695098091009</v>
      </c>
      <c r="AE348" s="3134">
        <f t="shared" ca="1" si="428"/>
        <v>2.3076777025127893</v>
      </c>
    </row>
    <row r="349" spans="1:31">
      <c r="A349" s="1123"/>
      <c r="B349" s="1123"/>
      <c r="C349" s="1021"/>
      <c r="D349" s="3149"/>
      <c r="E349" s="3150" t="s">
        <v>1201</v>
      </c>
      <c r="F349" s="3149" t="s">
        <v>1267</v>
      </c>
      <c r="G349" s="3160"/>
      <c r="H349" s="3160">
        <f t="shared" ref="H349:AE349" ca="1" si="430">+(H345/G345-1)*100</f>
        <v>-16.874659400544832</v>
      </c>
      <c r="I349" s="3160">
        <f t="shared" si="430"/>
        <v>26.915134231487837</v>
      </c>
      <c r="J349" s="3160">
        <f t="shared" si="430"/>
        <v>0.23374141226308875</v>
      </c>
      <c r="K349" s="3160">
        <f t="shared" si="430"/>
        <v>19.575608436295646</v>
      </c>
      <c r="L349" s="3160">
        <f t="shared" si="430"/>
        <v>-26.657400523644803</v>
      </c>
      <c r="M349" s="3160">
        <f t="shared" si="430"/>
        <v>30.659615102101089</v>
      </c>
      <c r="N349" s="3160">
        <f t="shared" si="430"/>
        <v>70.242860355295321</v>
      </c>
      <c r="O349" s="3160">
        <f t="shared" si="430"/>
        <v>-2.8993355964441414</v>
      </c>
      <c r="P349" s="3160">
        <f t="shared" si="430"/>
        <v>-4.4666176950700081</v>
      </c>
      <c r="Q349" s="3160">
        <f t="shared" si="430"/>
        <v>-18.69682536292251</v>
      </c>
      <c r="R349" s="3160">
        <f t="shared" si="430"/>
        <v>6.6517216014571945</v>
      </c>
      <c r="S349" s="3160">
        <f t="shared" si="430"/>
        <v>8.0637480294269981</v>
      </c>
      <c r="T349" s="3160">
        <f t="shared" si="429"/>
        <v>-86.981529180248728</v>
      </c>
      <c r="U349" s="3160">
        <f t="shared" si="429"/>
        <v>360.61631843120898</v>
      </c>
      <c r="V349" s="3160">
        <f t="shared" si="429"/>
        <v>-16.881224500138757</v>
      </c>
      <c r="W349" s="3161">
        <f t="shared" si="430"/>
        <v>-70.097105138798341</v>
      </c>
      <c r="X349" s="3161">
        <f t="shared" si="430"/>
        <v>21.824021207179566</v>
      </c>
      <c r="Y349" s="3161">
        <f t="shared" si="430"/>
        <v>103.90425576432185</v>
      </c>
      <c r="Z349" s="3161">
        <f t="shared" si="430"/>
        <v>-47.938514581239012</v>
      </c>
      <c r="AA349" s="3161">
        <f t="shared" si="430"/>
        <v>119.86360769473548</v>
      </c>
      <c r="AB349" s="3161">
        <f t="shared" si="430"/>
        <v>0.85522187359965418</v>
      </c>
      <c r="AC349" s="3161">
        <f t="shared" si="430"/>
        <v>1.1146270354843058</v>
      </c>
      <c r="AD349" s="3161">
        <f t="shared" ca="1" si="430"/>
        <v>1.0258531162619988</v>
      </c>
      <c r="AE349" s="3161">
        <f t="shared" ca="1" si="430"/>
        <v>23.291568669218865</v>
      </c>
    </row>
    <row r="350" spans="1:31">
      <c r="P350" s="1871">
        <f t="shared" ref="P350:W350" si="431">P345/P355</f>
        <v>4.7021065190813359E-2</v>
      </c>
      <c r="Q350" s="1871">
        <f t="shared" si="431"/>
        <v>3.6662291865180788E-2</v>
      </c>
      <c r="R350" s="1871">
        <f t="shared" si="431"/>
        <v>3.7283786518240131E-2</v>
      </c>
      <c r="S350" s="1871">
        <f t="shared" si="431"/>
        <v>3.8180512746128971E-2</v>
      </c>
      <c r="T350" s="1871">
        <f t="shared" si="431"/>
        <v>4.8392121353678002E-3</v>
      </c>
      <c r="U350" s="1871">
        <f t="shared" si="431"/>
        <v>2.2627946296401882E-2</v>
      </c>
      <c r="V350" s="1871">
        <f t="shared" si="431"/>
        <v>1.7967381583974897E-2</v>
      </c>
      <c r="W350" s="2964">
        <f t="shared" si="431"/>
        <v>5.1742743394134465E-3</v>
      </c>
      <c r="X350" s="1871">
        <f t="shared" ref="X350:AC350" si="432">X345/X355</f>
        <v>6.1669661504603615E-3</v>
      </c>
      <c r="Y350" s="1871">
        <f t="shared" si="432"/>
        <v>1.2419591384814922E-2</v>
      </c>
      <c r="Z350" s="1871">
        <f t="shared" ref="Z350" si="433">Z345/Z355</f>
        <v>6.3374338788901871E-3</v>
      </c>
      <c r="AA350" s="1871">
        <f t="shared" si="432"/>
        <v>1.3589234061795836E-2</v>
      </c>
      <c r="AB350" s="1871">
        <f t="shared" si="432"/>
        <v>1.3296823720406475E-2</v>
      </c>
      <c r="AC350" s="1871">
        <f t="shared" si="432"/>
        <v>1.2971721241749586E-2</v>
      </c>
      <c r="AD350" s="1871">
        <f t="shared" ref="AD350" ca="1" si="434">AD345/AD355</f>
        <v>1.2674442134290273E-2</v>
      </c>
      <c r="AE350" s="1871">
        <f t="shared" ref="AE350" ca="1" si="435">AE345/AE355</f>
        <v>1.5104525104655738E-2</v>
      </c>
    </row>
    <row r="351" spans="1:31">
      <c r="A351" s="1123"/>
      <c r="B351" s="1123"/>
      <c r="D351" s="1107"/>
      <c r="E351" s="1108" t="s">
        <v>1268</v>
      </c>
      <c r="F351" s="1109"/>
      <c r="G351" s="748">
        <f>InputY!$G$3</f>
        <v>1995</v>
      </c>
      <c r="H351" s="748">
        <f t="shared" ref="H351:W351" si="436">+G351+1</f>
        <v>1996</v>
      </c>
      <c r="I351" s="748">
        <f t="shared" si="436"/>
        <v>1997</v>
      </c>
      <c r="J351" s="748">
        <f t="shared" si="436"/>
        <v>1998</v>
      </c>
      <c r="K351" s="748">
        <f t="shared" si="436"/>
        <v>1999</v>
      </c>
      <c r="L351" s="748">
        <f t="shared" si="436"/>
        <v>2000</v>
      </c>
      <c r="M351" s="748">
        <f t="shared" si="436"/>
        <v>2001</v>
      </c>
      <c r="N351" s="748">
        <f t="shared" si="436"/>
        <v>2002</v>
      </c>
      <c r="O351" s="748">
        <f t="shared" si="436"/>
        <v>2003</v>
      </c>
      <c r="P351" s="748">
        <f t="shared" si="436"/>
        <v>2004</v>
      </c>
      <c r="Q351" s="748">
        <f t="shared" si="436"/>
        <v>2005</v>
      </c>
      <c r="R351" s="748">
        <f t="shared" si="436"/>
        <v>2006</v>
      </c>
      <c r="S351" s="748">
        <f t="shared" si="436"/>
        <v>2007</v>
      </c>
      <c r="T351" s="748">
        <f t="shared" si="436"/>
        <v>2008</v>
      </c>
      <c r="U351" s="748">
        <f t="shared" si="436"/>
        <v>2009</v>
      </c>
      <c r="V351" s="748">
        <f t="shared" si="436"/>
        <v>2010</v>
      </c>
      <c r="W351" s="748">
        <f t="shared" si="436"/>
        <v>2011</v>
      </c>
      <c r="X351" s="748">
        <f t="shared" ref="X351:AE351" si="437">+W351+1</f>
        <v>2012</v>
      </c>
      <c r="Y351" s="748">
        <f t="shared" si="437"/>
        <v>2013</v>
      </c>
      <c r="Z351" s="748">
        <f t="shared" si="437"/>
        <v>2014</v>
      </c>
      <c r="AA351" s="748">
        <f t="shared" si="437"/>
        <v>2015</v>
      </c>
      <c r="AB351" s="748">
        <f t="shared" si="437"/>
        <v>2016</v>
      </c>
      <c r="AC351" s="748">
        <f t="shared" si="437"/>
        <v>2017</v>
      </c>
      <c r="AD351" s="748">
        <f t="shared" si="437"/>
        <v>2018</v>
      </c>
      <c r="AE351" s="748">
        <f t="shared" si="437"/>
        <v>2019</v>
      </c>
    </row>
    <row r="352" spans="1:31">
      <c r="A352" s="714"/>
      <c r="B352" s="714"/>
      <c r="C352" s="1120" t="s">
        <v>622</v>
      </c>
      <c r="D352" s="1121"/>
      <c r="E352" s="1080" t="s">
        <v>825</v>
      </c>
      <c r="F352" s="175"/>
      <c r="G352" s="1085">
        <f t="shared" ref="G352:W352" ca="1" si="438">+G314</f>
        <v>329.82249999999999</v>
      </c>
      <c r="H352" s="1085">
        <f t="shared" si="438"/>
        <v>340.36259999999999</v>
      </c>
      <c r="I352" s="1085">
        <f t="shared" si="438"/>
        <v>362.61180000000002</v>
      </c>
      <c r="J352" s="1085">
        <f t="shared" si="438"/>
        <v>375.3879</v>
      </c>
      <c r="K352" s="1085">
        <f t="shared" si="438"/>
        <v>391.00220000000002</v>
      </c>
      <c r="L352" s="1085">
        <f t="shared" si="438"/>
        <v>436.96709999999996</v>
      </c>
      <c r="M352" s="1085">
        <f t="shared" si="438"/>
        <v>445.65830000000005</v>
      </c>
      <c r="N352" s="1085">
        <f t="shared" si="438"/>
        <v>453.33510000000001</v>
      </c>
      <c r="O352" s="1085">
        <f t="shared" si="438"/>
        <v>461.81169999999997</v>
      </c>
      <c r="P352" s="1085">
        <f t="shared" si="438"/>
        <v>494.86779999999999</v>
      </c>
      <c r="Q352" s="1085">
        <f t="shared" si="438"/>
        <v>529.06569999999999</v>
      </c>
      <c r="R352" s="1085">
        <f t="shared" si="438"/>
        <v>561.80250000000001</v>
      </c>
      <c r="S352" s="1085">
        <f t="shared" si="438"/>
        <v>598.67179999999996</v>
      </c>
      <c r="T352" s="1085">
        <f>+T314</f>
        <v>634.52879999999993</v>
      </c>
      <c r="U352" s="1085">
        <f>+U314</f>
        <v>582.62829999999997</v>
      </c>
      <c r="V352" s="1085">
        <f>+V314</f>
        <v>637.65429999999992</v>
      </c>
      <c r="W352" s="1257">
        <f t="shared" si="438"/>
        <v>686.63020000000006</v>
      </c>
      <c r="X352" s="1257">
        <f t="shared" ref="X352:Y352" si="439">+X314</f>
        <v>704.04560000000004</v>
      </c>
      <c r="Y352" s="1257">
        <f t="shared" si="439"/>
        <v>708.12760000000003</v>
      </c>
      <c r="Z352" s="1257">
        <f t="shared" ref="Z352" si="440">+Z314</f>
        <v>728.48789999999997</v>
      </c>
      <c r="AA352" s="1257">
        <f>+AA314</f>
        <v>736.34929999999997</v>
      </c>
      <c r="AB352" s="1257">
        <f>+AB314</f>
        <v>767.98260000000005</v>
      </c>
      <c r="AC352" s="1257">
        <f>+AC314</f>
        <v>804.18260000000009</v>
      </c>
      <c r="AD352" s="1257">
        <f ca="1">+AD314</f>
        <v>841.37237776669008</v>
      </c>
      <c r="AE352" s="1257">
        <f ca="1">+AE314</f>
        <v>878.16816350300974</v>
      </c>
    </row>
    <row r="353" spans="1:31">
      <c r="A353" s="1123"/>
      <c r="B353" s="1123"/>
      <c r="C353" s="1114" t="s">
        <v>2133</v>
      </c>
      <c r="D353" s="1110"/>
      <c r="E353" s="1111" t="s">
        <v>1792</v>
      </c>
      <c r="F353" s="1110"/>
      <c r="G353" s="1116">
        <f t="shared" ref="G353:W353" ca="1" si="441">+G325</f>
        <v>118.5317</v>
      </c>
      <c r="H353" s="1116">
        <f t="shared" si="441"/>
        <v>124.42019999999999</v>
      </c>
      <c r="I353" s="1116">
        <f t="shared" si="441"/>
        <v>136.6431</v>
      </c>
      <c r="J353" s="1116">
        <f t="shared" si="441"/>
        <v>140.89829999999998</v>
      </c>
      <c r="K353" s="1116">
        <f t="shared" si="441"/>
        <v>146.77620000000002</v>
      </c>
      <c r="L353" s="1116">
        <f t="shared" si="441"/>
        <v>178.74510000000001</v>
      </c>
      <c r="M353" s="1116">
        <f t="shared" si="441"/>
        <v>179.8699</v>
      </c>
      <c r="N353" s="1116">
        <f t="shared" si="441"/>
        <v>178.27</v>
      </c>
      <c r="O353" s="1116">
        <f t="shared" si="441"/>
        <v>179.17520000000002</v>
      </c>
      <c r="P353" s="1116">
        <f t="shared" si="441"/>
        <v>196.15700000000001</v>
      </c>
      <c r="Q353" s="1116">
        <f t="shared" si="441"/>
        <v>217.5849</v>
      </c>
      <c r="R353" s="1116">
        <f t="shared" si="441"/>
        <v>235.1404</v>
      </c>
      <c r="S353" s="1116">
        <f t="shared" si="441"/>
        <v>253.95929999999998</v>
      </c>
      <c r="T353" s="1116">
        <f>+T325</f>
        <v>280.46290000000005</v>
      </c>
      <c r="U353" s="1116">
        <f>+U325</f>
        <v>233.84720000000002</v>
      </c>
      <c r="V353" s="1116">
        <f>+V325</f>
        <v>272.55379999999997</v>
      </c>
      <c r="W353" s="980">
        <f t="shared" si="441"/>
        <v>307.52390000000003</v>
      </c>
      <c r="X353" s="980">
        <f t="shared" ref="X353:Y353" si="442">+X325</f>
        <v>316.5455</v>
      </c>
      <c r="Y353" s="980">
        <f t="shared" si="442"/>
        <v>315.7878</v>
      </c>
      <c r="Z353" s="980">
        <f t="shared" ref="Z353" si="443">+Z325</f>
        <v>328.19970000000001</v>
      </c>
      <c r="AA353" s="980">
        <f>+AA325</f>
        <v>325.91409999999996</v>
      </c>
      <c r="AB353" s="980">
        <f>+AB325</f>
        <v>344.93420000000003</v>
      </c>
      <c r="AC353" s="980">
        <f>+AC325</f>
        <v>365.69799999999998</v>
      </c>
      <c r="AD353" s="980">
        <f ca="1">+AD325</f>
        <v>387.99940572450009</v>
      </c>
      <c r="AE353" s="980">
        <f ca="1">+AE325</f>
        <v>409.12719078989949</v>
      </c>
    </row>
    <row r="354" spans="1:31">
      <c r="A354" s="1123"/>
      <c r="B354" s="1123"/>
      <c r="C354" s="1115"/>
      <c r="D354" s="1117"/>
      <c r="E354" s="1118" t="s">
        <v>1353</v>
      </c>
      <c r="F354" s="1117"/>
      <c r="G354" s="3064">
        <f t="shared" ref="G354:S354" ca="1" si="444">+G355-G352+G353</f>
        <v>0</v>
      </c>
      <c r="H354" s="3064">
        <f t="shared" si="444"/>
        <v>0</v>
      </c>
      <c r="I354" s="3064">
        <f t="shared" si="444"/>
        <v>0</v>
      </c>
      <c r="J354" s="3064">
        <f t="shared" si="444"/>
        <v>0</v>
      </c>
      <c r="K354" s="3064">
        <f t="shared" si="444"/>
        <v>0</v>
      </c>
      <c r="L354" s="3064">
        <f t="shared" si="444"/>
        <v>0</v>
      </c>
      <c r="M354" s="3064">
        <f t="shared" si="444"/>
        <v>0</v>
      </c>
      <c r="N354" s="3064">
        <f t="shared" si="444"/>
        <v>0</v>
      </c>
      <c r="O354" s="3064">
        <f t="shared" si="444"/>
        <v>0</v>
      </c>
      <c r="P354" s="3064">
        <f t="shared" si="444"/>
        <v>0</v>
      </c>
      <c r="Q354" s="3064">
        <f t="shared" si="444"/>
        <v>0</v>
      </c>
      <c r="R354" s="3064">
        <f t="shared" si="444"/>
        <v>0</v>
      </c>
      <c r="S354" s="3064">
        <f t="shared" si="444"/>
        <v>0</v>
      </c>
      <c r="T354" s="3064">
        <f t="shared" ref="T354:X354" si="445">+T355-T352+T353</f>
        <v>0</v>
      </c>
      <c r="U354" s="3064">
        <f t="shared" si="445"/>
        <v>0</v>
      </c>
      <c r="V354" s="3064">
        <f t="shared" si="445"/>
        <v>0</v>
      </c>
      <c r="W354" s="3064">
        <f t="shared" si="445"/>
        <v>0</v>
      </c>
      <c r="X354" s="3064">
        <f t="shared" si="445"/>
        <v>0</v>
      </c>
      <c r="Y354" s="3064">
        <f t="shared" ref="Y354" si="446">+Y355-Y352+Y353</f>
        <v>0</v>
      </c>
      <c r="Z354" s="3064">
        <f t="shared" ref="Z354:AA354" si="447">+Z355-Z352+Z353</f>
        <v>0</v>
      </c>
      <c r="AA354" s="3064">
        <f t="shared" si="447"/>
        <v>0</v>
      </c>
      <c r="AB354" s="3064">
        <f t="shared" ref="AB354:AC354" si="448">+AB355-AB352+AB353</f>
        <v>0</v>
      </c>
      <c r="AC354" s="3064">
        <f t="shared" si="448"/>
        <v>0</v>
      </c>
      <c r="AD354" s="3190">
        <f t="shared" ref="AD354:AE356" ca="1" si="449">+AC354*(1+AD361/100)</f>
        <v>0</v>
      </c>
      <c r="AE354" s="3190">
        <f t="shared" ca="1" si="449"/>
        <v>0</v>
      </c>
    </row>
    <row r="355" spans="1:31">
      <c r="A355" s="714">
        <f>+ROW(InputY!A96)</f>
        <v>96</v>
      </c>
      <c r="B355" s="714" t="s">
        <v>1269</v>
      </c>
      <c r="D355" s="1096"/>
      <c r="E355" s="1097" t="s">
        <v>398</v>
      </c>
      <c r="F355" s="1096" t="s">
        <v>1983</v>
      </c>
      <c r="G355" s="1098">
        <f ca="1">InputY!G96/1000</f>
        <v>211.29079999999999</v>
      </c>
      <c r="H355" s="1098">
        <f>InputY!H96/1000</f>
        <v>215.94239999999999</v>
      </c>
      <c r="I355" s="1098">
        <f>InputY!I96/1000</f>
        <v>225.96870000000001</v>
      </c>
      <c r="J355" s="1098">
        <f>InputY!J96/1000</f>
        <v>234.4896</v>
      </c>
      <c r="K355" s="1098">
        <f>InputY!K96/1000</f>
        <v>244.226</v>
      </c>
      <c r="L355" s="1098">
        <f>InputY!L96/1000</f>
        <v>258.22199999999998</v>
      </c>
      <c r="M355" s="1098">
        <f>InputY!M96/1000</f>
        <v>265.78840000000002</v>
      </c>
      <c r="N355" s="1098">
        <f>InputY!N96/1000</f>
        <v>275.06509999999997</v>
      </c>
      <c r="O355" s="1098">
        <f>InputY!O96/1000</f>
        <v>282.63650000000001</v>
      </c>
      <c r="P355" s="1098">
        <f>InputY!P96/1000</f>
        <v>298.71080000000001</v>
      </c>
      <c r="Q355" s="1098">
        <f>InputY!Q96/1000</f>
        <v>311.48079999999999</v>
      </c>
      <c r="R355" s="1098">
        <f>InputY!R96/1000</f>
        <v>326.66209999999995</v>
      </c>
      <c r="S355" s="1098">
        <f>InputY!S96/1000</f>
        <v>344.71249999999998</v>
      </c>
      <c r="T355" s="1098">
        <f>InputY!T96/1000</f>
        <v>354.0659</v>
      </c>
      <c r="U355" s="3733">
        <f>InputY!U96/1000</f>
        <v>348.78109999999998</v>
      </c>
      <c r="V355" s="3733">
        <f>InputY!V96/1000</f>
        <v>365.10050000000001</v>
      </c>
      <c r="W355" s="3733">
        <f>InputY!W96/1000</f>
        <v>379.10629999999998</v>
      </c>
      <c r="X355" s="3733">
        <f>InputY!X96/1000</f>
        <v>387.50009999999997</v>
      </c>
      <c r="Y355" s="3733">
        <f>InputY!Y96/1000</f>
        <v>392.33979999999997</v>
      </c>
      <c r="Z355" s="3733">
        <f>InputY!Z96/1000</f>
        <v>400.28820000000002</v>
      </c>
      <c r="AA355" s="3733">
        <f>InputY!AA96/1000</f>
        <v>410.43520000000001</v>
      </c>
      <c r="AB355" s="3733">
        <f>InputY!AB96/1000</f>
        <v>423.04840000000002</v>
      </c>
      <c r="AC355" s="3733">
        <f>InputY!AC96/1000</f>
        <v>438.4846</v>
      </c>
      <c r="AD355" s="3204">
        <f t="shared" ca="1" si="449"/>
        <v>453.37297204218987</v>
      </c>
      <c r="AE355" s="3204">
        <f t="shared" ca="1" si="449"/>
        <v>469.04097271311014</v>
      </c>
    </row>
    <row r="356" spans="1:31">
      <c r="A356" s="714">
        <f>+ROW(InputY!A274)</f>
        <v>274</v>
      </c>
      <c r="B356" s="714">
        <v>136</v>
      </c>
      <c r="D356" s="1096"/>
      <c r="E356" s="1097" t="s">
        <v>330</v>
      </c>
      <c r="F356" s="1096"/>
      <c r="G356" s="1098" t="e">
        <f>InputY!G274/1000</f>
        <v>#VALUE!</v>
      </c>
      <c r="H356" s="1098" t="e">
        <f>InputY!H270/1000</f>
        <v>#VALUE!</v>
      </c>
      <c r="I356" s="1098" t="e">
        <f>InputY!I270/1000</f>
        <v>#VALUE!</v>
      </c>
      <c r="J356" s="1098" t="e">
        <f>InputY!J270/1000</f>
        <v>#VALUE!</v>
      </c>
      <c r="K356" s="1098" t="e">
        <f>InputY!K270/1000</f>
        <v>#VALUE!</v>
      </c>
      <c r="L356" s="1098" t="e">
        <f>InputY!L270/1000</f>
        <v>#VALUE!</v>
      </c>
      <c r="M356" s="1098" t="e">
        <f>InputY!M270/1000</f>
        <v>#VALUE!</v>
      </c>
      <c r="N356" s="1098" t="e">
        <f>InputY!N270/1000</f>
        <v>#VALUE!</v>
      </c>
      <c r="O356" s="1098" t="e">
        <f>InputY!O270/1000</f>
        <v>#VALUE!</v>
      </c>
      <c r="P356" s="1098" t="e">
        <f>InputY!P270/1000</f>
        <v>#VALUE!</v>
      </c>
      <c r="Q356" s="1098" t="e">
        <f>InputY!Q270/1000</f>
        <v>#VALUE!</v>
      </c>
      <c r="R356" s="1098" t="e">
        <f>InputY!R270/1000</f>
        <v>#VALUE!</v>
      </c>
      <c r="S356" s="1098" t="e">
        <f>InputY!S270/1000</f>
        <v>#VALUE!</v>
      </c>
      <c r="T356" s="1098" t="e">
        <f>InputY!T270/1000</f>
        <v>#VALUE!</v>
      </c>
      <c r="U356" s="1098" t="e">
        <f>InputY!U270/1000</f>
        <v>#VALUE!</v>
      </c>
      <c r="V356" s="1098" t="e">
        <f>InputY!V270/1000</f>
        <v>#VALUE!</v>
      </c>
      <c r="W356" s="1098" t="e">
        <f>InputY!W270/1000</f>
        <v>#VALUE!</v>
      </c>
      <c r="X356" s="1098" t="e">
        <f>InputY!X270/1000</f>
        <v>#VALUE!</v>
      </c>
      <c r="Y356" s="1098" t="e">
        <f>InputY!Y270/1000</f>
        <v>#VALUE!</v>
      </c>
      <c r="Z356" s="1098" t="e">
        <f>InputY!Z270/1000</f>
        <v>#VALUE!</v>
      </c>
      <c r="AA356" s="1098" t="e">
        <f>InputY!AA270/1000</f>
        <v>#VALUE!</v>
      </c>
      <c r="AB356" s="1098" t="e">
        <f>InputY!AB270/1000</f>
        <v>#VALUE!</v>
      </c>
      <c r="AC356" s="1098" t="e">
        <f>InputY!AC270/1000</f>
        <v>#VALUE!</v>
      </c>
      <c r="AD356" s="3204" t="e">
        <f t="shared" ca="1" si="449"/>
        <v>#VALUE!</v>
      </c>
      <c r="AE356" s="3204" t="e">
        <f t="shared" ca="1" si="449"/>
        <v>#VALUE!</v>
      </c>
    </row>
    <row r="357" spans="1:31">
      <c r="S357" s="1871"/>
      <c r="T357" s="1871"/>
      <c r="U357" s="1871"/>
    </row>
    <row r="358" spans="1:31" s="749" customFormat="1" ht="12.75" customHeight="1">
      <c r="A358" s="714"/>
      <c r="B358" s="714"/>
      <c r="C358" s="822"/>
      <c r="D358" s="3073"/>
      <c r="E358" s="3074" t="s">
        <v>1268</v>
      </c>
      <c r="F358" s="3075"/>
      <c r="G358" s="939">
        <f>InputY!$G$3</f>
        <v>1995</v>
      </c>
      <c r="H358" s="939">
        <f t="shared" ref="H358:W358" si="450">+G358+1</f>
        <v>1996</v>
      </c>
      <c r="I358" s="939">
        <f t="shared" si="450"/>
        <v>1997</v>
      </c>
      <c r="J358" s="939">
        <f t="shared" si="450"/>
        <v>1998</v>
      </c>
      <c r="K358" s="939">
        <f t="shared" si="450"/>
        <v>1999</v>
      </c>
      <c r="L358" s="939">
        <f t="shared" si="450"/>
        <v>2000</v>
      </c>
      <c r="M358" s="939">
        <f t="shared" si="450"/>
        <v>2001</v>
      </c>
      <c r="N358" s="939">
        <f t="shared" si="450"/>
        <v>2002</v>
      </c>
      <c r="O358" s="939">
        <f t="shared" si="450"/>
        <v>2003</v>
      </c>
      <c r="P358" s="939">
        <f t="shared" si="450"/>
        <v>2004</v>
      </c>
      <c r="Q358" s="939">
        <f t="shared" si="450"/>
        <v>2005</v>
      </c>
      <c r="R358" s="939">
        <f t="shared" si="450"/>
        <v>2006</v>
      </c>
      <c r="S358" s="939">
        <f t="shared" si="450"/>
        <v>2007</v>
      </c>
      <c r="T358" s="939">
        <f t="shared" si="450"/>
        <v>2008</v>
      </c>
      <c r="U358" s="939">
        <f t="shared" si="450"/>
        <v>2009</v>
      </c>
      <c r="V358" s="939">
        <f t="shared" si="450"/>
        <v>2010</v>
      </c>
      <c r="W358" s="939">
        <f t="shared" si="450"/>
        <v>2011</v>
      </c>
      <c r="X358" s="939">
        <f t="shared" ref="X358:AE358" si="451">+W358+1</f>
        <v>2012</v>
      </c>
      <c r="Y358" s="939">
        <f t="shared" si="451"/>
        <v>2013</v>
      </c>
      <c r="Z358" s="939">
        <f t="shared" si="451"/>
        <v>2014</v>
      </c>
      <c r="AA358" s="939">
        <f t="shared" si="451"/>
        <v>2015</v>
      </c>
      <c r="AB358" s="939">
        <f t="shared" si="451"/>
        <v>2016</v>
      </c>
      <c r="AC358" s="939">
        <f t="shared" si="451"/>
        <v>2017</v>
      </c>
      <c r="AD358" s="939">
        <f t="shared" si="451"/>
        <v>2018</v>
      </c>
      <c r="AE358" s="939">
        <f t="shared" si="451"/>
        <v>2019</v>
      </c>
    </row>
    <row r="359" spans="1:31">
      <c r="A359" s="714"/>
      <c r="B359" s="714"/>
      <c r="C359" s="3158" t="s">
        <v>622</v>
      </c>
      <c r="D359" s="3159"/>
      <c r="E359" s="3111" t="s">
        <v>825</v>
      </c>
      <c r="F359" s="3159"/>
      <c r="G359" s="1122"/>
      <c r="H359" s="1122">
        <f t="shared" ref="H359:AE359" ca="1" si="452">+(H352/G352-1)*100</f>
        <v>3.1956885900749743</v>
      </c>
      <c r="I359" s="1122">
        <f t="shared" si="452"/>
        <v>6.5369109296967487</v>
      </c>
      <c r="J359" s="1122">
        <f t="shared" si="452"/>
        <v>3.523354728114203</v>
      </c>
      <c r="K359" s="1122">
        <f t="shared" si="452"/>
        <v>4.1595107354286176</v>
      </c>
      <c r="L359" s="1122">
        <f t="shared" si="452"/>
        <v>11.755662755861707</v>
      </c>
      <c r="M359" s="1122">
        <f t="shared" si="452"/>
        <v>1.9889826945781675</v>
      </c>
      <c r="N359" s="1122">
        <f t="shared" si="452"/>
        <v>1.7225753452813519</v>
      </c>
      <c r="O359" s="1122">
        <f t="shared" si="452"/>
        <v>1.8698309484529219</v>
      </c>
      <c r="P359" s="1122">
        <f t="shared" si="452"/>
        <v>7.1579173936043627</v>
      </c>
      <c r="Q359" s="1122">
        <f t="shared" si="452"/>
        <v>6.910512262062718</v>
      </c>
      <c r="R359" s="1122">
        <f t="shared" si="452"/>
        <v>6.1876625152603948</v>
      </c>
      <c r="S359" s="1122">
        <f t="shared" si="452"/>
        <v>6.5626799453544438</v>
      </c>
      <c r="T359" s="1122">
        <f t="shared" si="452"/>
        <v>5.9894252577121554</v>
      </c>
      <c r="U359" s="1122">
        <f t="shared" si="452"/>
        <v>-8.1793765704566859</v>
      </c>
      <c r="V359" s="3134">
        <f t="shared" si="452"/>
        <v>9.444443395557677</v>
      </c>
      <c r="W359" s="3134">
        <f t="shared" si="452"/>
        <v>7.6806351027508324</v>
      </c>
      <c r="X359" s="3134">
        <f t="shared" si="452"/>
        <v>2.5363579988179952</v>
      </c>
      <c r="Y359" s="3134">
        <f t="shared" si="452"/>
        <v>0.57979199074604804</v>
      </c>
      <c r="Z359" s="3134">
        <f t="shared" si="452"/>
        <v>2.8752303963296866</v>
      </c>
      <c r="AA359" s="3134">
        <f t="shared" si="452"/>
        <v>1.0791394064335158</v>
      </c>
      <c r="AB359" s="3134">
        <f t="shared" si="452"/>
        <v>4.2959638856178817</v>
      </c>
      <c r="AC359" s="3134">
        <f t="shared" si="452"/>
        <v>4.7136484602646078</v>
      </c>
      <c r="AD359" s="3134">
        <f t="shared" ca="1" si="452"/>
        <v>4.6245439489352336</v>
      </c>
      <c r="AE359" s="3134">
        <f t="shared" ca="1" si="452"/>
        <v>4.3733056502269774</v>
      </c>
    </row>
    <row r="360" spans="1:31">
      <c r="A360" s="1123"/>
      <c r="B360" s="1123"/>
      <c r="C360" s="1021" t="s">
        <v>2133</v>
      </c>
      <c r="D360" s="3149"/>
      <c r="E360" s="3150" t="s">
        <v>1792</v>
      </c>
      <c r="F360" s="3149"/>
      <c r="G360" s="3160"/>
      <c r="H360" s="3160">
        <f t="shared" ref="H360:AE360" ca="1" si="453">+(H353/G353-1)*100</f>
        <v>4.9678693547801966</v>
      </c>
      <c r="I360" s="3160">
        <f t="shared" si="453"/>
        <v>9.8238871180081677</v>
      </c>
      <c r="J360" s="3160">
        <f t="shared" si="453"/>
        <v>3.1140979676251401</v>
      </c>
      <c r="K360" s="3160">
        <f t="shared" si="453"/>
        <v>4.1717323771827131</v>
      </c>
      <c r="L360" s="3160">
        <f t="shared" si="453"/>
        <v>21.780711041708379</v>
      </c>
      <c r="M360" s="3160">
        <f t="shared" si="453"/>
        <v>0.62927599134185996</v>
      </c>
      <c r="N360" s="3160">
        <f t="shared" si="453"/>
        <v>-0.88947622698405393</v>
      </c>
      <c r="O360" s="3160">
        <f t="shared" si="453"/>
        <v>0.5077691142648888</v>
      </c>
      <c r="P360" s="3160">
        <f t="shared" si="453"/>
        <v>9.4777625474954164</v>
      </c>
      <c r="Q360" s="3160">
        <f t="shared" si="453"/>
        <v>10.92385181257869</v>
      </c>
      <c r="R360" s="3160">
        <f t="shared" si="453"/>
        <v>8.0683448162073734</v>
      </c>
      <c r="S360" s="3160">
        <f t="shared" si="453"/>
        <v>8.0032610304311635</v>
      </c>
      <c r="T360" s="3160">
        <f t="shared" si="453"/>
        <v>10.436160439881537</v>
      </c>
      <c r="U360" s="3160">
        <f t="shared" si="453"/>
        <v>-16.620986233829871</v>
      </c>
      <c r="V360" s="3161">
        <f t="shared" si="453"/>
        <v>16.552090424858612</v>
      </c>
      <c r="W360" s="3161">
        <f t="shared" si="453"/>
        <v>12.830531073131279</v>
      </c>
      <c r="X360" s="3161">
        <f t="shared" si="453"/>
        <v>2.9336256466570454</v>
      </c>
      <c r="Y360" s="3161">
        <f t="shared" si="453"/>
        <v>-0.23936527292285348</v>
      </c>
      <c r="Z360" s="3161">
        <f t="shared" si="453"/>
        <v>3.9304558314159133</v>
      </c>
      <c r="AA360" s="3161">
        <f t="shared" si="453"/>
        <v>-0.69640526789026547</v>
      </c>
      <c r="AB360" s="3161">
        <f t="shared" si="453"/>
        <v>5.8359242512060927</v>
      </c>
      <c r="AC360" s="3161">
        <f t="shared" si="453"/>
        <v>6.0196408474427754</v>
      </c>
      <c r="AD360" s="3161">
        <f t="shared" ca="1" si="453"/>
        <v>6.0983121932578488</v>
      </c>
      <c r="AE360" s="3161">
        <f t="shared" ca="1" si="453"/>
        <v>5.4453137694755238</v>
      </c>
    </row>
    <row r="361" spans="1:31">
      <c r="A361" s="1123"/>
      <c r="B361" s="1123"/>
      <c r="C361" s="3067"/>
      <c r="D361" s="3068"/>
      <c r="E361" s="3069" t="s">
        <v>1353</v>
      </c>
      <c r="F361" s="3187"/>
      <c r="G361" s="3071"/>
      <c r="H361" s="3071" t="e">
        <f t="shared" ref="H361:AC361" ca="1" si="454">+(H354/G354-1)*100</f>
        <v>#DIV/0!</v>
      </c>
      <c r="I361" s="3071" t="e">
        <f t="shared" si="454"/>
        <v>#DIV/0!</v>
      </c>
      <c r="J361" s="3071" t="e">
        <f t="shared" si="454"/>
        <v>#DIV/0!</v>
      </c>
      <c r="K361" s="3071" t="e">
        <f t="shared" si="454"/>
        <v>#DIV/0!</v>
      </c>
      <c r="L361" s="3071" t="e">
        <f t="shared" si="454"/>
        <v>#DIV/0!</v>
      </c>
      <c r="M361" s="3071" t="e">
        <f t="shared" si="454"/>
        <v>#DIV/0!</v>
      </c>
      <c r="N361" s="3071" t="e">
        <f t="shared" si="454"/>
        <v>#DIV/0!</v>
      </c>
      <c r="O361" s="3071" t="e">
        <f t="shared" si="454"/>
        <v>#DIV/0!</v>
      </c>
      <c r="P361" s="3071" t="e">
        <f t="shared" si="454"/>
        <v>#DIV/0!</v>
      </c>
      <c r="Q361" s="3071" t="e">
        <f t="shared" si="454"/>
        <v>#DIV/0!</v>
      </c>
      <c r="R361" s="3071" t="e">
        <f t="shared" si="454"/>
        <v>#DIV/0!</v>
      </c>
      <c r="S361" s="3071" t="e">
        <f t="shared" si="454"/>
        <v>#DIV/0!</v>
      </c>
      <c r="T361" s="3071" t="e">
        <f t="shared" si="454"/>
        <v>#DIV/0!</v>
      </c>
      <c r="U361" s="3071" t="e">
        <f t="shared" si="454"/>
        <v>#DIV/0!</v>
      </c>
      <c r="V361" s="3071" t="e">
        <f t="shared" si="454"/>
        <v>#DIV/0!</v>
      </c>
      <c r="W361" s="3071" t="e">
        <f t="shared" si="454"/>
        <v>#DIV/0!</v>
      </c>
      <c r="X361" s="3071" t="e">
        <f t="shared" si="454"/>
        <v>#DIV/0!</v>
      </c>
      <c r="Y361" s="3071" t="e">
        <f t="shared" si="454"/>
        <v>#DIV/0!</v>
      </c>
      <c r="Z361" s="3071" t="e">
        <f t="shared" si="454"/>
        <v>#DIV/0!</v>
      </c>
      <c r="AA361" s="3071" t="e">
        <f t="shared" si="454"/>
        <v>#DIV/0!</v>
      </c>
      <c r="AB361" s="3071" t="e">
        <f t="shared" si="454"/>
        <v>#DIV/0!</v>
      </c>
      <c r="AC361" s="3071" t="e">
        <f t="shared" si="454"/>
        <v>#DIV/0!</v>
      </c>
      <c r="AD361" s="3072">
        <f ca="1">OFFSET('VVP1'!$K$16,0,5*(COLUMN()-7))</f>
        <v>3.3954150367401459</v>
      </c>
      <c r="AE361" s="3072">
        <f ca="1">OFFSET('VVP1'!$K$16,0,5*(COLUMN()-7))</f>
        <v>3.4558744427010568</v>
      </c>
    </row>
    <row r="362" spans="1:31" s="749" customFormat="1" ht="12.75" customHeight="1">
      <c r="A362" s="714"/>
      <c r="B362" s="714"/>
      <c r="C362" s="822"/>
      <c r="D362" s="766"/>
      <c r="E362" s="771" t="s">
        <v>398</v>
      </c>
      <c r="F362" s="772" t="s">
        <v>1983</v>
      </c>
      <c r="G362" s="770"/>
      <c r="H362" s="770">
        <f t="shared" ref="H362:AC362" ca="1" si="455">(+H355/G355-1)*100</f>
        <v>2.2015156362700239</v>
      </c>
      <c r="I362" s="770">
        <f t="shared" si="455"/>
        <v>4.6430437005423819</v>
      </c>
      <c r="J362" s="770">
        <f t="shared" si="455"/>
        <v>3.7708319780571209</v>
      </c>
      <c r="K362" s="770">
        <f t="shared" si="455"/>
        <v>4.1521670897131546</v>
      </c>
      <c r="L362" s="770">
        <f t="shared" si="455"/>
        <v>5.7307575769983465</v>
      </c>
      <c r="M362" s="770">
        <f t="shared" si="455"/>
        <v>2.9301918504232916</v>
      </c>
      <c r="N362" s="770">
        <f t="shared" si="455"/>
        <v>3.4902576636151039</v>
      </c>
      <c r="O362" s="770">
        <f t="shared" si="455"/>
        <v>2.7525847517551494</v>
      </c>
      <c r="P362" s="770">
        <f t="shared" si="455"/>
        <v>5.6872696909280984</v>
      </c>
      <c r="Q362" s="770">
        <f t="shared" si="455"/>
        <v>4.2750379296630614</v>
      </c>
      <c r="R362" s="770">
        <f t="shared" si="455"/>
        <v>4.8739119714601875</v>
      </c>
      <c r="S362" s="770">
        <f t="shared" si="455"/>
        <v>5.5257099002302468</v>
      </c>
      <c r="T362" s="770">
        <f t="shared" si="455"/>
        <v>2.7133915944446585</v>
      </c>
      <c r="U362" s="770">
        <f t="shared" si="455"/>
        <v>-1.4926034955639711</v>
      </c>
      <c r="V362" s="770">
        <f t="shared" si="455"/>
        <v>4.6789805984326582</v>
      </c>
      <c r="W362" s="770">
        <f t="shared" si="455"/>
        <v>3.8361492246655304</v>
      </c>
      <c r="X362" s="770">
        <f t="shared" si="455"/>
        <v>2.2141019550453223</v>
      </c>
      <c r="Y362" s="770">
        <f t="shared" si="455"/>
        <v>1.2489545163988369</v>
      </c>
      <c r="Z362" s="770">
        <f t="shared" si="455"/>
        <v>2.0258969393367909</v>
      </c>
      <c r="AA362" s="770">
        <f t="shared" si="455"/>
        <v>2.5349235875551601</v>
      </c>
      <c r="AB362" s="770">
        <f t="shared" si="455"/>
        <v>3.0731282307170593</v>
      </c>
      <c r="AC362" s="770">
        <f t="shared" si="455"/>
        <v>3.6488023592572416</v>
      </c>
      <c r="AD362" s="3228">
        <f ca="1">OFFSET('VVP1'!$K$16,0,5*(COLUMN()-7))</f>
        <v>3.3954150367401459</v>
      </c>
      <c r="AE362" s="3228">
        <f ca="1">OFFSET('VVP1'!$K$16,0,5*(COLUMN()-7))</f>
        <v>3.4558744427010568</v>
      </c>
    </row>
    <row r="363" spans="1:31">
      <c r="D363" s="766"/>
      <c r="E363" s="771" t="s">
        <v>330</v>
      </c>
      <c r="F363" s="772"/>
      <c r="G363" s="770"/>
      <c r="H363" s="770" t="e">
        <f t="shared" ref="H363:AC363" si="456">(+H356/G356-1)*100</f>
        <v>#VALUE!</v>
      </c>
      <c r="I363" s="770" t="e">
        <f t="shared" si="456"/>
        <v>#VALUE!</v>
      </c>
      <c r="J363" s="770" t="e">
        <f t="shared" si="456"/>
        <v>#VALUE!</v>
      </c>
      <c r="K363" s="770" t="e">
        <f t="shared" si="456"/>
        <v>#VALUE!</v>
      </c>
      <c r="L363" s="770" t="e">
        <f t="shared" si="456"/>
        <v>#VALUE!</v>
      </c>
      <c r="M363" s="770" t="e">
        <f t="shared" si="456"/>
        <v>#VALUE!</v>
      </c>
      <c r="N363" s="770" t="e">
        <f t="shared" si="456"/>
        <v>#VALUE!</v>
      </c>
      <c r="O363" s="770" t="e">
        <f t="shared" si="456"/>
        <v>#VALUE!</v>
      </c>
      <c r="P363" s="770" t="e">
        <f t="shared" si="456"/>
        <v>#VALUE!</v>
      </c>
      <c r="Q363" s="770" t="e">
        <f t="shared" si="456"/>
        <v>#VALUE!</v>
      </c>
      <c r="R363" s="770" t="e">
        <f t="shared" si="456"/>
        <v>#VALUE!</v>
      </c>
      <c r="S363" s="770" t="e">
        <f t="shared" si="456"/>
        <v>#VALUE!</v>
      </c>
      <c r="T363" s="770" t="e">
        <f t="shared" si="456"/>
        <v>#VALUE!</v>
      </c>
      <c r="U363" s="770" t="e">
        <f t="shared" si="456"/>
        <v>#VALUE!</v>
      </c>
      <c r="V363" s="770" t="e">
        <f t="shared" si="456"/>
        <v>#VALUE!</v>
      </c>
      <c r="W363" s="770" t="e">
        <f t="shared" si="456"/>
        <v>#VALUE!</v>
      </c>
      <c r="X363" s="770" t="e">
        <f t="shared" si="456"/>
        <v>#VALUE!</v>
      </c>
      <c r="Y363" s="770" t="e">
        <f t="shared" si="456"/>
        <v>#VALUE!</v>
      </c>
      <c r="Z363" s="770" t="e">
        <f t="shared" si="456"/>
        <v>#VALUE!</v>
      </c>
      <c r="AA363" s="770" t="e">
        <f t="shared" si="456"/>
        <v>#VALUE!</v>
      </c>
      <c r="AB363" s="770" t="e">
        <f t="shared" si="456"/>
        <v>#VALUE!</v>
      </c>
      <c r="AC363" s="770" t="e">
        <f t="shared" si="456"/>
        <v>#VALUE!</v>
      </c>
      <c r="AD363" s="3228">
        <f ca="1">+AD362</f>
        <v>3.3954150367401459</v>
      </c>
      <c r="AE363" s="3228">
        <f ca="1">+AE362</f>
        <v>3.4558744427010568</v>
      </c>
    </row>
    <row r="365" spans="1:31" s="749" customFormat="1" ht="12.75" customHeight="1">
      <c r="A365" s="714"/>
      <c r="B365" s="714"/>
      <c r="C365" s="822"/>
      <c r="D365" s="823"/>
      <c r="E365" s="824" t="s">
        <v>1270</v>
      </c>
      <c r="F365" s="825"/>
      <c r="G365" s="826">
        <f>InputY!$G$3</f>
        <v>1995</v>
      </c>
      <c r="H365" s="826">
        <f t="shared" ref="H365:W365" si="457">+G365+1</f>
        <v>1996</v>
      </c>
      <c r="I365" s="826">
        <f t="shared" si="457"/>
        <v>1997</v>
      </c>
      <c r="J365" s="826">
        <f t="shared" si="457"/>
        <v>1998</v>
      </c>
      <c r="K365" s="826">
        <f t="shared" si="457"/>
        <v>1999</v>
      </c>
      <c r="L365" s="826">
        <f t="shared" si="457"/>
        <v>2000</v>
      </c>
      <c r="M365" s="826">
        <f t="shared" si="457"/>
        <v>2001</v>
      </c>
      <c r="N365" s="826">
        <f t="shared" si="457"/>
        <v>2002</v>
      </c>
      <c r="O365" s="826">
        <f t="shared" si="457"/>
        <v>2003</v>
      </c>
      <c r="P365" s="826">
        <f t="shared" si="457"/>
        <v>2004</v>
      </c>
      <c r="Q365" s="826">
        <f t="shared" si="457"/>
        <v>2005</v>
      </c>
      <c r="R365" s="826">
        <f t="shared" si="457"/>
        <v>2006</v>
      </c>
      <c r="S365" s="826">
        <f t="shared" si="457"/>
        <v>2007</v>
      </c>
      <c r="T365" s="826">
        <f t="shared" si="457"/>
        <v>2008</v>
      </c>
      <c r="U365" s="826">
        <f t="shared" si="457"/>
        <v>2009</v>
      </c>
      <c r="V365" s="826">
        <f t="shared" si="457"/>
        <v>2010</v>
      </c>
      <c r="W365" s="826">
        <f t="shared" si="457"/>
        <v>2011</v>
      </c>
      <c r="X365" s="826">
        <f t="shared" ref="X365:AE365" si="458">+W365+1</f>
        <v>2012</v>
      </c>
      <c r="Y365" s="826">
        <f t="shared" si="458"/>
        <v>2013</v>
      </c>
      <c r="Z365" s="826">
        <f t="shared" si="458"/>
        <v>2014</v>
      </c>
      <c r="AA365" s="826">
        <f t="shared" si="458"/>
        <v>2015</v>
      </c>
      <c r="AB365" s="826">
        <f t="shared" si="458"/>
        <v>2016</v>
      </c>
      <c r="AC365" s="826">
        <f t="shared" si="458"/>
        <v>2017</v>
      </c>
      <c r="AD365" s="826">
        <f t="shared" si="458"/>
        <v>2018</v>
      </c>
      <c r="AE365" s="826">
        <f t="shared" si="458"/>
        <v>2019</v>
      </c>
    </row>
    <row r="366" spans="1:31" s="749" customFormat="1" ht="12.75" customHeight="1">
      <c r="A366" s="714"/>
      <c r="B366" s="3188"/>
      <c r="C366" s="3230"/>
      <c r="D366" s="728"/>
      <c r="E366" s="3231" t="s">
        <v>1211</v>
      </c>
      <c r="F366" s="3232" t="s">
        <v>1271</v>
      </c>
      <c r="G366" s="1256">
        <f ca="1">+Sector1!G179</f>
        <v>190.70060000000001</v>
      </c>
      <c r="H366" s="1256">
        <f>+Sector1!H179</f>
        <v>194.04660000000001</v>
      </c>
      <c r="I366" s="1256">
        <f>+Sector1!I179</f>
        <v>202.52360000000002</v>
      </c>
      <c r="J366" s="1256">
        <f>+Sector1!J179</f>
        <v>210.1371</v>
      </c>
      <c r="K366" s="1256">
        <f>+Sector1!K179</f>
        <v>218.14260000000002</v>
      </c>
      <c r="L366" s="1256">
        <f>+Sector1!L179</f>
        <v>230.4889</v>
      </c>
      <c r="M366" s="1256">
        <f>+Sector1!M179</f>
        <v>238.59870000000001</v>
      </c>
      <c r="N366" s="1256">
        <f>+Sector1!N179</f>
        <v>246.59059999999999</v>
      </c>
      <c r="O366" s="1256">
        <f>+Sector1!O179</f>
        <v>253.81270000000001</v>
      </c>
      <c r="P366" s="1256">
        <f>+Sector1!P179</f>
        <v>267.04419999999999</v>
      </c>
      <c r="Q366" s="1256">
        <f>+Sector1!Q179</f>
        <v>278.4948</v>
      </c>
      <c r="R366" s="1256">
        <f>+Sector1!R179</f>
        <v>291.82580000000002</v>
      </c>
      <c r="S366" s="1256">
        <f>+Sector1!S179</f>
        <v>307.9599</v>
      </c>
      <c r="T366" s="1256">
        <f>+Sector1!T179</f>
        <v>317.00880000000001</v>
      </c>
      <c r="U366" s="1256">
        <f>+Sector1!U179</f>
        <v>312.59640000000002</v>
      </c>
      <c r="V366" s="1256">
        <f>+Sector1!V179</f>
        <v>326.53370000000001</v>
      </c>
      <c r="W366" s="1329">
        <f>+Sector1!W179</f>
        <v>339.64429999999999</v>
      </c>
      <c r="X366" s="1329">
        <f>+Sector1!X179</f>
        <v>346.69840000000005</v>
      </c>
      <c r="Y366" s="1329">
        <f>+Sector1!Y179</f>
        <v>350.8766</v>
      </c>
      <c r="Z366" s="1329">
        <f>+Sector1!Z179</f>
        <v>358.05099999999999</v>
      </c>
      <c r="AA366" s="1329">
        <f>+Sector1!AA179</f>
        <v>367.47159999999997</v>
      </c>
      <c r="AB366" s="1329">
        <f>+Sector1!AB179</f>
        <v>377.63559999999995</v>
      </c>
      <c r="AC366" s="1329">
        <f>+Sector1!AC179</f>
        <v>390.74629999999996</v>
      </c>
      <c r="AD366" s="1329">
        <f ca="1">+Sector1!AE179</f>
        <v>418.11690562576013</v>
      </c>
      <c r="AE366" s="1329">
        <f>+Sector1!AF179</f>
        <v>0</v>
      </c>
    </row>
    <row r="367" spans="1:31">
      <c r="V367" s="577"/>
      <c r="W367" s="577"/>
      <c r="X367" s="577"/>
      <c r="Y367" s="577"/>
      <c r="Z367" s="577"/>
      <c r="AA367" s="577"/>
      <c r="AB367" s="577"/>
      <c r="AC367" s="577"/>
      <c r="AD367" s="577"/>
      <c r="AE367" s="577"/>
    </row>
    <row r="368" spans="1:31" s="749" customFormat="1" ht="12.75" customHeight="1">
      <c r="A368" s="714"/>
      <c r="B368" s="714"/>
      <c r="C368" s="822"/>
      <c r="D368" s="790"/>
      <c r="E368" s="791" t="s">
        <v>1270</v>
      </c>
      <c r="F368" s="792"/>
      <c r="G368" s="793">
        <f>InputY!$G$3</f>
        <v>1995</v>
      </c>
      <c r="H368" s="793">
        <f t="shared" ref="H368:W368" si="459">+G368+1</f>
        <v>1996</v>
      </c>
      <c r="I368" s="793">
        <f t="shared" si="459"/>
        <v>1997</v>
      </c>
      <c r="J368" s="793">
        <f t="shared" si="459"/>
        <v>1998</v>
      </c>
      <c r="K368" s="793">
        <f t="shared" si="459"/>
        <v>1999</v>
      </c>
      <c r="L368" s="793">
        <f t="shared" si="459"/>
        <v>2000</v>
      </c>
      <c r="M368" s="793">
        <f t="shared" si="459"/>
        <v>2001</v>
      </c>
      <c r="N368" s="793">
        <f t="shared" si="459"/>
        <v>2002</v>
      </c>
      <c r="O368" s="793">
        <f t="shared" si="459"/>
        <v>2003</v>
      </c>
      <c r="P368" s="793">
        <f t="shared" si="459"/>
        <v>2004</v>
      </c>
      <c r="Q368" s="793">
        <f t="shared" si="459"/>
        <v>2005</v>
      </c>
      <c r="R368" s="793">
        <f t="shared" si="459"/>
        <v>2006</v>
      </c>
      <c r="S368" s="793">
        <f t="shared" si="459"/>
        <v>2007</v>
      </c>
      <c r="T368" s="793">
        <f t="shared" si="459"/>
        <v>2008</v>
      </c>
      <c r="U368" s="793">
        <f t="shared" si="459"/>
        <v>2009</v>
      </c>
      <c r="V368" s="793">
        <f t="shared" si="459"/>
        <v>2010</v>
      </c>
      <c r="W368" s="793">
        <f t="shared" si="459"/>
        <v>2011</v>
      </c>
      <c r="X368" s="793">
        <f t="shared" ref="X368:AE368" si="460">+W368+1</f>
        <v>2012</v>
      </c>
      <c r="Y368" s="793">
        <f t="shared" si="460"/>
        <v>2013</v>
      </c>
      <c r="Z368" s="793">
        <f t="shared" si="460"/>
        <v>2014</v>
      </c>
      <c r="AA368" s="793">
        <f t="shared" si="460"/>
        <v>2015</v>
      </c>
      <c r="AB368" s="793">
        <f t="shared" si="460"/>
        <v>2016</v>
      </c>
      <c r="AC368" s="793">
        <f t="shared" si="460"/>
        <v>2017</v>
      </c>
      <c r="AD368" s="793">
        <f t="shared" si="460"/>
        <v>2018</v>
      </c>
      <c r="AE368" s="793">
        <f t="shared" si="460"/>
        <v>2019</v>
      </c>
    </row>
    <row r="369" spans="1:31" s="749" customFormat="1" ht="12.75" customHeight="1">
      <c r="A369" s="714"/>
      <c r="B369" s="714"/>
      <c r="C369" s="3067"/>
      <c r="D369" s="3068"/>
      <c r="E369" s="3069" t="s">
        <v>1211</v>
      </c>
      <c r="F369" s="3187" t="s">
        <v>1271</v>
      </c>
      <c r="G369" s="3233"/>
      <c r="H369" s="3233">
        <f t="shared" ref="H369:AE369" ca="1" si="461">(+H366/G366-1)*100</f>
        <v>1.7545828382291351</v>
      </c>
      <c r="I369" s="3233">
        <f t="shared" si="461"/>
        <v>4.3685382789494964</v>
      </c>
      <c r="J369" s="3233">
        <f t="shared" si="461"/>
        <v>3.7593149637869194</v>
      </c>
      <c r="K369" s="3233">
        <f t="shared" si="461"/>
        <v>3.8096556962097683</v>
      </c>
      <c r="L369" s="3233">
        <f t="shared" si="461"/>
        <v>5.6597381712696126</v>
      </c>
      <c r="M369" s="3233">
        <f t="shared" si="461"/>
        <v>3.5185208485094099</v>
      </c>
      <c r="N369" s="3233">
        <f t="shared" si="461"/>
        <v>3.3495153158839441</v>
      </c>
      <c r="O369" s="3233">
        <f t="shared" si="461"/>
        <v>2.9287815512837989</v>
      </c>
      <c r="P369" s="3233">
        <f t="shared" si="461"/>
        <v>5.2130961137878407</v>
      </c>
      <c r="Q369" s="3233">
        <f t="shared" si="461"/>
        <v>4.2879043993466315</v>
      </c>
      <c r="R369" s="3233">
        <f t="shared" si="461"/>
        <v>4.7868039187805467</v>
      </c>
      <c r="S369" s="3233">
        <f t="shared" si="461"/>
        <v>5.5286749835004256</v>
      </c>
      <c r="T369" s="3233">
        <f t="shared" si="461"/>
        <v>2.9383371016810989</v>
      </c>
      <c r="U369" s="3233">
        <f t="shared" si="461"/>
        <v>-1.3918856511238809</v>
      </c>
      <c r="V369" s="3233">
        <f t="shared" si="461"/>
        <v>4.4585606232189434</v>
      </c>
      <c r="W369" s="3234">
        <f t="shared" si="461"/>
        <v>4.0150832823687033</v>
      </c>
      <c r="X369" s="3234">
        <f t="shared" si="461"/>
        <v>2.0769081065102668</v>
      </c>
      <c r="Y369" s="3234">
        <f t="shared" si="461"/>
        <v>1.2051396833674399</v>
      </c>
      <c r="Z369" s="3234">
        <f t="shared" si="461"/>
        <v>2.0447074555556055</v>
      </c>
      <c r="AA369" s="3234">
        <f t="shared" si="461"/>
        <v>2.6310776956355308</v>
      </c>
      <c r="AB369" s="3234">
        <f t="shared" si="461"/>
        <v>2.7659280336221892</v>
      </c>
      <c r="AC369" s="3234">
        <f t="shared" si="461"/>
        <v>3.4717860286477276</v>
      </c>
      <c r="AD369" s="3234">
        <f t="shared" ca="1" si="461"/>
        <v>7.0046998847487885</v>
      </c>
      <c r="AE369" s="3234">
        <f t="shared" ca="1" si="461"/>
        <v>-100</v>
      </c>
    </row>
    <row r="372" spans="1:31" s="218" customFormat="1" ht="22.5" customHeight="1">
      <c r="A372" s="1363"/>
      <c r="B372" s="715"/>
      <c r="C372" s="4124" t="s">
        <v>1272</v>
      </c>
      <c r="D372" s="4124"/>
      <c r="E372" s="4124"/>
      <c r="F372" s="4124"/>
      <c r="Q372" s="577"/>
      <c r="R372" s="577"/>
      <c r="S372" s="577"/>
      <c r="T372" s="577"/>
      <c r="U372" s="577"/>
    </row>
    <row r="374" spans="1:31" s="749" customFormat="1" ht="12.75" customHeight="1">
      <c r="A374" s="1363"/>
      <c r="B374" s="714"/>
      <c r="C374" s="822"/>
      <c r="D374" s="3235"/>
      <c r="E374" s="3236" t="s">
        <v>1273</v>
      </c>
      <c r="F374" s="3237"/>
      <c r="G374" s="3238">
        <f>InputY!$G$3</f>
        <v>1995</v>
      </c>
      <c r="H374" s="3238">
        <f t="shared" ref="H374:W374" si="462">+G374+1</f>
        <v>1996</v>
      </c>
      <c r="I374" s="3238">
        <f t="shared" si="462"/>
        <v>1997</v>
      </c>
      <c r="J374" s="3238">
        <f t="shared" si="462"/>
        <v>1998</v>
      </c>
      <c r="K374" s="3238">
        <f t="shared" si="462"/>
        <v>1999</v>
      </c>
      <c r="L374" s="3238">
        <f t="shared" si="462"/>
        <v>2000</v>
      </c>
      <c r="M374" s="3238">
        <f t="shared" si="462"/>
        <v>2001</v>
      </c>
      <c r="N374" s="3238">
        <f t="shared" si="462"/>
        <v>2002</v>
      </c>
      <c r="O374" s="3238">
        <f t="shared" si="462"/>
        <v>2003</v>
      </c>
      <c r="P374" s="3238">
        <f t="shared" si="462"/>
        <v>2004</v>
      </c>
      <c r="Q374" s="3238">
        <f t="shared" si="462"/>
        <v>2005</v>
      </c>
      <c r="R374" s="3238">
        <f t="shared" si="462"/>
        <v>2006</v>
      </c>
      <c r="S374" s="3238">
        <f t="shared" si="462"/>
        <v>2007</v>
      </c>
      <c r="T374" s="3238">
        <f t="shared" si="462"/>
        <v>2008</v>
      </c>
      <c r="U374" s="3238">
        <f t="shared" si="462"/>
        <v>2009</v>
      </c>
      <c r="V374" s="3238">
        <f t="shared" si="462"/>
        <v>2010</v>
      </c>
      <c r="W374" s="3238">
        <f t="shared" si="462"/>
        <v>2011</v>
      </c>
      <c r="X374" s="3238">
        <f t="shared" ref="X374:AE374" si="463">+W374+1</f>
        <v>2012</v>
      </c>
      <c r="Y374" s="3238">
        <f t="shared" si="463"/>
        <v>2013</v>
      </c>
      <c r="Z374" s="3238">
        <f t="shared" si="463"/>
        <v>2014</v>
      </c>
      <c r="AA374" s="3238">
        <f t="shared" si="463"/>
        <v>2015</v>
      </c>
      <c r="AB374" s="3238">
        <f t="shared" si="463"/>
        <v>2016</v>
      </c>
      <c r="AC374" s="3238">
        <f t="shared" si="463"/>
        <v>2017</v>
      </c>
      <c r="AD374" s="3238">
        <f t="shared" si="463"/>
        <v>2018</v>
      </c>
      <c r="AE374" s="3238">
        <f t="shared" si="463"/>
        <v>2019</v>
      </c>
    </row>
    <row r="375" spans="1:31" s="749" customFormat="1" ht="12.75" customHeight="1">
      <c r="A375" s="1363"/>
      <c r="B375" s="714"/>
      <c r="C375" s="827"/>
      <c r="D375" s="1038"/>
      <c r="E375" s="1038" t="s">
        <v>1274</v>
      </c>
      <c r="F375" s="1163" t="s">
        <v>1275</v>
      </c>
      <c r="G375" s="3239">
        <f t="shared" ref="G375:Y375" ca="1" si="464">+G192/G7*100</f>
        <v>72.52396699414443</v>
      </c>
      <c r="H375" s="3239">
        <f t="shared" si="464"/>
        <v>76.452977939375842</v>
      </c>
      <c r="I375" s="3239">
        <f t="shared" si="464"/>
        <v>77.612833629926186</v>
      </c>
      <c r="J375" s="3239">
        <f t="shared" si="464"/>
        <v>78.545717051484246</v>
      </c>
      <c r="K375" s="3239">
        <f t="shared" si="464"/>
        <v>79.034361349981708</v>
      </c>
      <c r="L375" s="1038">
        <f t="shared" si="464"/>
        <v>81.571833519688084</v>
      </c>
      <c r="M375" s="1038">
        <f t="shared" si="464"/>
        <v>83.237887360144754</v>
      </c>
      <c r="N375" s="1038">
        <f t="shared" si="464"/>
        <v>84.39002365667271</v>
      </c>
      <c r="O375" s="1038">
        <f t="shared" si="464"/>
        <v>85.721036878347064</v>
      </c>
      <c r="P375" s="1038">
        <f t="shared" si="464"/>
        <v>87.790036109643282</v>
      </c>
      <c r="Q375" s="1038">
        <f t="shared" si="464"/>
        <v>90.161564450788376</v>
      </c>
      <c r="R375" s="1038">
        <f t="shared" si="464"/>
        <v>92.961955238367153</v>
      </c>
      <c r="S375" s="1038">
        <f t="shared" si="464"/>
        <v>95.651258279274344</v>
      </c>
      <c r="T375" s="1038">
        <f t="shared" si="464"/>
        <v>98.695966357502286</v>
      </c>
      <c r="U375" s="1038">
        <f t="shared" si="464"/>
        <v>98.294923048493658</v>
      </c>
      <c r="V375" s="1038">
        <f t="shared" si="464"/>
        <v>100</v>
      </c>
      <c r="W375" s="1038">
        <f t="shared" si="464"/>
        <v>103.00692991969767</v>
      </c>
      <c r="X375" s="1038">
        <f t="shared" si="464"/>
        <v>105.07901967642933</v>
      </c>
      <c r="Y375" s="1038">
        <f t="shared" si="464"/>
        <v>105.96100376173985</v>
      </c>
      <c r="Z375" s="1038">
        <f t="shared" ref="Z375:AA375" si="465">+Z192/Z7*100</f>
        <v>106.60817762722101</v>
      </c>
      <c r="AA375" s="1038">
        <f t="shared" si="465"/>
        <v>107.19462801380688</v>
      </c>
      <c r="AB375" s="1038">
        <f t="shared" ref="AB375:AC375" si="466">+AB192/AB7*100</f>
        <v>108.80677853223639</v>
      </c>
      <c r="AC375" s="1038">
        <f t="shared" si="466"/>
        <v>110.64975650624919</v>
      </c>
      <c r="AD375" s="3240">
        <f t="shared" ref="AD375:AE377" ca="1" si="467">+AC375*(1+AD380/100)</f>
        <v>112.53080236685541</v>
      </c>
      <c r="AE375" s="3240">
        <f t="shared" ca="1" si="467"/>
        <v>113.99370279762452</v>
      </c>
    </row>
    <row r="376" spans="1:31" s="749" customFormat="1" ht="12.75" customHeight="1">
      <c r="A376" s="714">
        <f>+ROW(InputY!A268)</f>
        <v>268</v>
      </c>
      <c r="B376" s="714">
        <v>55</v>
      </c>
      <c r="C376" s="829"/>
      <c r="D376" s="1085"/>
      <c r="E376" s="1085" t="s">
        <v>1276</v>
      </c>
      <c r="F376" s="1084" t="s">
        <v>2079</v>
      </c>
      <c r="G376" s="3241">
        <f ca="1">InputY!G268</f>
        <v>85.252397999999985</v>
      </c>
      <c r="H376" s="3241">
        <f ca="1">InputY!H268</f>
        <v>87.012175249999999</v>
      </c>
      <c r="I376" s="3241">
        <f ca="1">InputY!I268</f>
        <v>88.428263000000001</v>
      </c>
      <c r="J376" s="3241">
        <f ca="1">InputY!J268</f>
        <v>89.271534916666667</v>
      </c>
      <c r="K376" s="3241">
        <f ca="1">InputY!K268</f>
        <v>90.270699749999991</v>
      </c>
      <c r="L376" s="1085">
        <f ca="1">InputY!L268</f>
        <v>92.569213916666669</v>
      </c>
      <c r="M376" s="1085">
        <f ca="1">InputY!M268</f>
        <v>94.856851833333323</v>
      </c>
      <c r="N376" s="1085">
        <f ca="1">InputY!N268</f>
        <v>96.415780999999981</v>
      </c>
      <c r="O376" s="1085">
        <f ca="1">InputY!O268</f>
        <v>97.950057333333334</v>
      </c>
      <c r="P376" s="1085">
        <f ca="1">InputY!P268</f>
        <v>100.00349333333332</v>
      </c>
      <c r="Q376" s="1085">
        <f ca="1">InputY!Q268</f>
        <v>102.78583333333334</v>
      </c>
      <c r="R376" s="1085">
        <f ca="1">InputY!R268</f>
        <v>85.479166666666671</v>
      </c>
      <c r="S376" s="1085">
        <f ca="1">InputY!S268</f>
        <v>87.03749999999998</v>
      </c>
      <c r="T376" s="1085">
        <f ca="1">InputY!T268</f>
        <v>90.945000000000007</v>
      </c>
      <c r="U376" s="1085">
        <f ca="1">InputY!U268</f>
        <v>90.89666666666669</v>
      </c>
      <c r="V376" s="1085">
        <f ca="1">InputY!V268</f>
        <v>92.88666666666667</v>
      </c>
      <c r="W376" s="1085">
        <f ca="1">InputY!W268</f>
        <v>96.167500000000004</v>
      </c>
      <c r="X376" s="1085">
        <f ca="1">InputY!X268</f>
        <v>98.898333333333355</v>
      </c>
      <c r="Y376" s="1085">
        <f ca="1">InputY!Y268</f>
        <v>99.999166666666667</v>
      </c>
      <c r="Z376" s="1085">
        <f ca="1">InputY!Z268</f>
        <v>100.33916666666666</v>
      </c>
      <c r="AA376" s="1085">
        <f ca="1">InputY!AA268</f>
        <v>100.90249999999999</v>
      </c>
      <c r="AB376" s="1085">
        <f ca="1">InputY!AB268</f>
        <v>102.89416666666665</v>
      </c>
      <c r="AC376" s="1085">
        <f ca="1">InputY!AC268</f>
        <v>105.08166666666666</v>
      </c>
      <c r="AD376" s="3242">
        <f t="shared" ca="1" si="467"/>
        <v>106.73192808087634</v>
      </c>
      <c r="AE376" s="3242">
        <f t="shared" ca="1" si="467"/>
        <v>108.4762060778417</v>
      </c>
    </row>
    <row r="377" spans="1:31" s="749" customFormat="1" ht="12.75" customHeight="1">
      <c r="A377" s="714">
        <f>+ROW(InputY!A269)</f>
        <v>269</v>
      </c>
      <c r="B377" s="714">
        <v>54</v>
      </c>
      <c r="C377" s="882"/>
      <c r="D377" s="1368"/>
      <c r="E377" s="1368" t="s">
        <v>1277</v>
      </c>
      <c r="F377" s="1369" t="s">
        <v>1139</v>
      </c>
      <c r="G377" s="3243">
        <f ca="1">InputY!G269</f>
        <v>83.762500000000003</v>
      </c>
      <c r="H377" s="3243">
        <f ca="1">InputY!H269</f>
        <v>85.254166666666663</v>
      </c>
      <c r="I377" s="3243">
        <f ca="1">InputY!I269</f>
        <v>86.53083333333332</v>
      </c>
      <c r="J377" s="3243">
        <f ca="1">InputY!J269</f>
        <v>87.32</v>
      </c>
      <c r="K377" s="3243">
        <f ca="1">InputY!K269</f>
        <v>88.306666666666672</v>
      </c>
      <c r="L377" s="1368">
        <f ca="1">InputY!L269</f>
        <v>90.671666666666667</v>
      </c>
      <c r="M377" s="1368">
        <f ca="1">InputY!M269</f>
        <v>92.881666666666675</v>
      </c>
      <c r="N377" s="1368">
        <f ca="1">InputY!N269</f>
        <v>94.32416666666667</v>
      </c>
      <c r="O377" s="1368">
        <f ca="1">InputY!O269</f>
        <v>95.746666666666655</v>
      </c>
      <c r="P377" s="1368">
        <f ca="1">InputY!P269</f>
        <v>97.527500000000018</v>
      </c>
      <c r="Q377" s="1368">
        <f ca="1">InputY!Q269</f>
        <v>99.999166666666667</v>
      </c>
      <c r="R377" s="1368">
        <f ca="1">InputY!R269</f>
        <v>84.594999999999999</v>
      </c>
      <c r="S377" s="1368">
        <f ca="1">InputY!S269</f>
        <v>86.131666666666661</v>
      </c>
      <c r="T377" s="1368">
        <f ca="1">InputY!T269</f>
        <v>89.998333333333335</v>
      </c>
      <c r="U377" s="1368">
        <f ca="1">InputY!U269</f>
        <v>89.992499999999993</v>
      </c>
      <c r="V377" s="1368">
        <f ca="1">InputY!V269</f>
        <v>92.092499999999987</v>
      </c>
      <c r="W377" s="1368">
        <f ca="1">InputY!W269</f>
        <v>95.18</v>
      </c>
      <c r="X377" s="1368">
        <f ca="1">InputY!X269</f>
        <v>97.679166666666674</v>
      </c>
      <c r="Y377" s="1368">
        <f ca="1">InputY!Y269</f>
        <v>98.898333333333312</v>
      </c>
      <c r="Z377" s="1368">
        <f ca="1">InputY!Z269</f>
        <v>99.38333333333334</v>
      </c>
      <c r="AA377" s="1368">
        <f>InputY!AA269</f>
        <v>99.999166666666696</v>
      </c>
      <c r="AB377" s="1368">
        <f>InputY!AB269</f>
        <v>101.769166666667</v>
      </c>
      <c r="AC377" s="1368">
        <f>InputY!AC269</f>
        <v>104.0325</v>
      </c>
      <c r="AD377" s="3244">
        <f t="shared" ca="1" si="467"/>
        <v>105.66628471259277</v>
      </c>
      <c r="AE377" s="3244">
        <f t="shared" ca="1" si="467"/>
        <v>107.3931473183689</v>
      </c>
    </row>
    <row r="378" spans="1:31">
      <c r="V378" s="577"/>
      <c r="W378" s="577"/>
      <c r="X378" s="577"/>
      <c r="Y378" s="577"/>
      <c r="Z378" s="577"/>
      <c r="AA378" s="577"/>
      <c r="AB378" s="577"/>
      <c r="AC378" s="577"/>
      <c r="AD378" s="577"/>
      <c r="AE378" s="577"/>
    </row>
    <row r="379" spans="1:31" s="749" customFormat="1" ht="12.75" customHeight="1">
      <c r="A379" s="1363"/>
      <c r="B379" s="714"/>
      <c r="C379" s="822"/>
      <c r="D379" s="790"/>
      <c r="E379" s="791" t="s">
        <v>1273</v>
      </c>
      <c r="F379" s="792"/>
      <c r="G379" s="939">
        <f>InputY!$G$3</f>
        <v>1995</v>
      </c>
      <c r="H379" s="939">
        <f t="shared" ref="H379:W379" si="468">+G379+1</f>
        <v>1996</v>
      </c>
      <c r="I379" s="939">
        <f t="shared" si="468"/>
        <v>1997</v>
      </c>
      <c r="J379" s="939">
        <f t="shared" si="468"/>
        <v>1998</v>
      </c>
      <c r="K379" s="939">
        <f t="shared" si="468"/>
        <v>1999</v>
      </c>
      <c r="L379" s="939">
        <f t="shared" si="468"/>
        <v>2000</v>
      </c>
      <c r="M379" s="939">
        <f t="shared" si="468"/>
        <v>2001</v>
      </c>
      <c r="N379" s="939">
        <f t="shared" si="468"/>
        <v>2002</v>
      </c>
      <c r="O379" s="939">
        <f t="shared" si="468"/>
        <v>2003</v>
      </c>
      <c r="P379" s="939">
        <f t="shared" si="468"/>
        <v>2004</v>
      </c>
      <c r="Q379" s="939">
        <f t="shared" si="468"/>
        <v>2005</v>
      </c>
      <c r="R379" s="939">
        <f t="shared" si="468"/>
        <v>2006</v>
      </c>
      <c r="S379" s="939">
        <f t="shared" si="468"/>
        <v>2007</v>
      </c>
      <c r="T379" s="939">
        <f t="shared" si="468"/>
        <v>2008</v>
      </c>
      <c r="U379" s="939">
        <f t="shared" si="468"/>
        <v>2009</v>
      </c>
      <c r="V379" s="939">
        <f t="shared" si="468"/>
        <v>2010</v>
      </c>
      <c r="W379" s="939">
        <f t="shared" si="468"/>
        <v>2011</v>
      </c>
      <c r="X379" s="939">
        <f t="shared" ref="X379:AE379" si="469">+W379+1</f>
        <v>2012</v>
      </c>
      <c r="Y379" s="939">
        <f t="shared" si="469"/>
        <v>2013</v>
      </c>
      <c r="Z379" s="939">
        <f t="shared" si="469"/>
        <v>2014</v>
      </c>
      <c r="AA379" s="939">
        <f t="shared" si="469"/>
        <v>2015</v>
      </c>
      <c r="AB379" s="939">
        <f t="shared" si="469"/>
        <v>2016</v>
      </c>
      <c r="AC379" s="939">
        <f t="shared" si="469"/>
        <v>2017</v>
      </c>
      <c r="AD379" s="939">
        <f t="shared" si="469"/>
        <v>2018</v>
      </c>
      <c r="AE379" s="939">
        <f t="shared" si="469"/>
        <v>2019</v>
      </c>
    </row>
    <row r="380" spans="1:31" s="749" customFormat="1" ht="12.75" customHeight="1">
      <c r="A380" s="1363"/>
      <c r="B380" s="714"/>
      <c r="C380" s="839" t="s">
        <v>622</v>
      </c>
      <c r="D380" s="1085"/>
      <c r="E380" s="1085" t="s">
        <v>1274</v>
      </c>
      <c r="F380" s="1084" t="s">
        <v>1275</v>
      </c>
      <c r="G380" s="1122"/>
      <c r="H380" s="1122">
        <f t="shared" ref="H380:AC380" ca="1" si="470">(H375/G375-1)*100</f>
        <v>5.4175345173115508</v>
      </c>
      <c r="I380" s="1122">
        <f t="shared" si="470"/>
        <v>1.5170837314800956</v>
      </c>
      <c r="J380" s="1122">
        <f t="shared" si="470"/>
        <v>1.2019705735861086</v>
      </c>
      <c r="K380" s="1122">
        <f t="shared" si="470"/>
        <v>0.62211450457212436</v>
      </c>
      <c r="L380" s="1122">
        <f t="shared" si="470"/>
        <v>3.2105936283458814</v>
      </c>
      <c r="M380" s="1122">
        <f t="shared" si="470"/>
        <v>2.0424376510484565</v>
      </c>
      <c r="N380" s="1122">
        <f t="shared" si="470"/>
        <v>1.3841488930912194</v>
      </c>
      <c r="O380" s="1122">
        <f t="shared" si="470"/>
        <v>1.5772163153898067</v>
      </c>
      <c r="P380" s="1122">
        <f t="shared" si="470"/>
        <v>2.4136423293998233</v>
      </c>
      <c r="Q380" s="1122">
        <f t="shared" si="470"/>
        <v>2.701363897587683</v>
      </c>
      <c r="R380" s="1122">
        <f t="shared" si="470"/>
        <v>3.1059696053824304</v>
      </c>
      <c r="S380" s="1122">
        <f t="shared" si="470"/>
        <v>2.8929071403580586</v>
      </c>
      <c r="T380" s="1122">
        <f t="shared" si="470"/>
        <v>3.1831343706302917</v>
      </c>
      <c r="U380" s="1122">
        <f t="shared" si="470"/>
        <v>-0.40634214731324336</v>
      </c>
      <c r="V380" s="1122">
        <f t="shared" si="470"/>
        <v>1.7346541394260395</v>
      </c>
      <c r="W380" s="1122">
        <f t="shared" si="470"/>
        <v>3.0069299196976651</v>
      </c>
      <c r="X380" s="1122">
        <f t="shared" si="470"/>
        <v>2.0116022857365135</v>
      </c>
      <c r="Y380" s="1122">
        <f t="shared" si="470"/>
        <v>0.8393531725233272</v>
      </c>
      <c r="Z380" s="1122">
        <f t="shared" si="470"/>
        <v>0.61076607667513994</v>
      </c>
      <c r="AA380" s="1122">
        <f t="shared" si="470"/>
        <v>0.55009887575090399</v>
      </c>
      <c r="AB380" s="1122">
        <f t="shared" si="470"/>
        <v>1.5039471177808128</v>
      </c>
      <c r="AC380" s="1122">
        <f t="shared" si="470"/>
        <v>1.6938080502647779</v>
      </c>
      <c r="AD380" s="1701">
        <f ca="1">OFFSET('VVP1'!$I$34,0,5*(COLUMN()-7))</f>
        <v>1.7</v>
      </c>
      <c r="AE380" s="1701">
        <f ca="1">OFFSET('VVP1'!$I$34,0,5*(COLUMN()-7))</f>
        <v>1.3</v>
      </c>
    </row>
    <row r="381" spans="1:31" s="749" customFormat="1" ht="12.75" customHeight="1">
      <c r="A381" s="1363"/>
      <c r="B381" s="714"/>
      <c r="C381" s="840" t="s">
        <v>622</v>
      </c>
      <c r="D381" s="1085"/>
      <c r="E381" s="1085" t="s">
        <v>1276</v>
      </c>
      <c r="F381" s="1084" t="s">
        <v>2079</v>
      </c>
      <c r="G381" s="1085"/>
      <c r="H381" s="1085">
        <f t="shared" ref="H381:AC381" ca="1" si="471">(H376/G376-1)*100</f>
        <v>2.064196774852034</v>
      </c>
      <c r="I381" s="1085">
        <f t="shared" ca="1" si="471"/>
        <v>1.6274593135171544</v>
      </c>
      <c r="J381" s="1085">
        <f t="shared" ca="1" si="471"/>
        <v>0.95362261799336601</v>
      </c>
      <c r="K381" s="1085">
        <f t="shared" ca="1" si="471"/>
        <v>1.1192423590185019</v>
      </c>
      <c r="L381" s="1085">
        <f t="shared" ca="1" si="471"/>
        <v>2.5462460942833998</v>
      </c>
      <c r="M381" s="1085">
        <f t="shared" ca="1" si="471"/>
        <v>2.4712729209584117</v>
      </c>
      <c r="N381" s="1085">
        <f t="shared" ca="1" si="471"/>
        <v>1.6434544648453508</v>
      </c>
      <c r="O381" s="1085">
        <f t="shared" ca="1" si="471"/>
        <v>1.5913124567578318</v>
      </c>
      <c r="P381" s="1085">
        <f t="shared" ca="1" si="471"/>
        <v>2.0964112282364056</v>
      </c>
      <c r="Q381" s="1085">
        <f t="shared" ca="1" si="471"/>
        <v>2.782242806984625</v>
      </c>
      <c r="R381" s="1085">
        <f t="shared" ca="1" si="471"/>
        <v>-16.837599215196654</v>
      </c>
      <c r="S381" s="1085">
        <f t="shared" ca="1" si="471"/>
        <v>1.8230563002680666</v>
      </c>
      <c r="T381" s="1085">
        <f t="shared" ca="1" si="471"/>
        <v>4.4894442050840588</v>
      </c>
      <c r="U381" s="1085">
        <f t="shared" ca="1" si="471"/>
        <v>-5.3145674125365527E-2</v>
      </c>
      <c r="V381" s="1085">
        <f t="shared" ca="1" si="471"/>
        <v>2.1892992042245485</v>
      </c>
      <c r="W381" s="1085">
        <f t="shared" ca="1" si="471"/>
        <v>3.5320821072274411</v>
      </c>
      <c r="X381" s="1085">
        <f t="shared" ca="1" si="471"/>
        <v>2.8396634344589833</v>
      </c>
      <c r="Y381" s="1085">
        <f t="shared" ca="1" si="471"/>
        <v>1.1130959402753549</v>
      </c>
      <c r="Z381" s="1085">
        <f t="shared" ca="1" si="471"/>
        <v>0.34000283335693382</v>
      </c>
      <c r="AA381" s="1085">
        <f t="shared" ca="1" si="471"/>
        <v>0.56142915279011607</v>
      </c>
      <c r="AB381" s="1085">
        <f t="shared" ca="1" si="471"/>
        <v>1.9738526465317152</v>
      </c>
      <c r="AC381" s="1085">
        <f t="shared" ca="1" si="471"/>
        <v>2.1259708600260829</v>
      </c>
      <c r="AD381" s="3228">
        <f ca="1">OFFSET('VVP1'!$I$41,0,5*(COLUMN()-7))</f>
        <v>1.5704560715091702</v>
      </c>
      <c r="AE381" s="3228">
        <f ca="1">OFFSET('VVP1'!$I$41,0,5*(COLUMN()-7))</f>
        <v>1.6342607393390551</v>
      </c>
    </row>
    <row r="382" spans="1:31" s="749" customFormat="1" ht="12.75" customHeight="1">
      <c r="A382" s="1363"/>
      <c r="B382" s="714"/>
      <c r="C382" s="841" t="s">
        <v>2133</v>
      </c>
      <c r="D382" s="3135"/>
      <c r="E382" s="3135" t="s">
        <v>1277</v>
      </c>
      <c r="F382" s="3245" t="s">
        <v>1139</v>
      </c>
      <c r="G382" s="3135"/>
      <c r="H382" s="3135">
        <f t="shared" ref="H382:AC382" ca="1" si="472">(H377/G377-1)*100</f>
        <v>1.7808287320300265</v>
      </c>
      <c r="I382" s="3135">
        <f t="shared" ca="1" si="472"/>
        <v>1.4974830164703468</v>
      </c>
      <c r="J382" s="3135">
        <f t="shared" ca="1" si="472"/>
        <v>0.91200631759393858</v>
      </c>
      <c r="K382" s="3135">
        <f t="shared" ca="1" si="472"/>
        <v>1.1299435028248705</v>
      </c>
      <c r="L382" s="3135">
        <f t="shared" ca="1" si="472"/>
        <v>2.6781669938094499</v>
      </c>
      <c r="M382" s="3135">
        <f t="shared" ca="1" si="472"/>
        <v>2.4373655864566413</v>
      </c>
      <c r="N382" s="3135">
        <f t="shared" ca="1" si="472"/>
        <v>1.5530513736115692</v>
      </c>
      <c r="O382" s="3135">
        <f t="shared" ca="1" si="472"/>
        <v>1.5080970765710244</v>
      </c>
      <c r="P382" s="3135">
        <f t="shared" ca="1" si="472"/>
        <v>1.8599429048879346</v>
      </c>
      <c r="Q382" s="3135">
        <f t="shared" ca="1" si="472"/>
        <v>2.5343279246024419</v>
      </c>
      <c r="R382" s="3135">
        <f t="shared" ca="1" si="472"/>
        <v>-15.404295035791971</v>
      </c>
      <c r="S382" s="3135">
        <f t="shared" ca="1" si="472"/>
        <v>1.8164982169946997</v>
      </c>
      <c r="T382" s="3135">
        <f t="shared" ca="1" si="472"/>
        <v>4.4892509529983249</v>
      </c>
      <c r="U382" s="3135">
        <f t="shared" ca="1" si="472"/>
        <v>-6.4816015111435199E-3</v>
      </c>
      <c r="V382" s="3135">
        <f t="shared" ca="1" si="472"/>
        <v>2.3335277939828147</v>
      </c>
      <c r="W382" s="3135">
        <f t="shared" ca="1" si="472"/>
        <v>3.3526074327442812</v>
      </c>
      <c r="X382" s="3135">
        <f t="shared" ca="1" si="472"/>
        <v>2.6257266932828927</v>
      </c>
      <c r="Y382" s="3135">
        <f t="shared" ca="1" si="472"/>
        <v>1.2481337712749729</v>
      </c>
      <c r="Z382" s="3135">
        <f t="shared" ca="1" si="472"/>
        <v>0.49040260199870733</v>
      </c>
      <c r="AA382" s="3135">
        <f t="shared" ca="1" si="472"/>
        <v>0.61965453630725698</v>
      </c>
      <c r="AB382" s="3135">
        <f t="shared" si="472"/>
        <v>1.7700147501232166</v>
      </c>
      <c r="AC382" s="3135">
        <f t="shared" si="472"/>
        <v>2.2239872915008618</v>
      </c>
      <c r="AD382" s="3227">
        <f ca="1">OFFSET('VVP1'!$I$40,0,5*(COLUMN()-7))</f>
        <v>1.5704560715091702</v>
      </c>
      <c r="AE382" s="3227">
        <f ca="1">OFFSET('VVP1'!$I$40,0,5*(COLUMN()-7))</f>
        <v>1.6342607393390551</v>
      </c>
    </row>
    <row r="383" spans="1:31">
      <c r="H383" s="1380"/>
      <c r="I383" s="1380"/>
      <c r="J383" s="1380"/>
      <c r="K383" s="1380"/>
      <c r="L383" s="1380"/>
      <c r="M383" s="1380"/>
      <c r="N383" s="1380"/>
      <c r="O383" s="1380"/>
      <c r="P383" s="1380"/>
      <c r="Q383" s="1380"/>
      <c r="R383" s="1380"/>
      <c r="S383" s="1380"/>
      <c r="T383" s="1380"/>
      <c r="U383" s="1380"/>
      <c r="V383" s="1380"/>
      <c r="X383" s="1380"/>
      <c r="Y383" s="1380"/>
      <c r="Z383" s="1380"/>
      <c r="AA383" s="1380"/>
      <c r="AB383" s="1380"/>
      <c r="AC383" s="1380"/>
      <c r="AD383" s="1380"/>
      <c r="AE383" s="1380"/>
    </row>
    <row r="384" spans="1:31">
      <c r="D384" s="1388"/>
      <c r="E384" s="3166" t="s">
        <v>1278</v>
      </c>
      <c r="F384" s="3167"/>
      <c r="G384" s="3246">
        <f>InputY!$G$3</f>
        <v>1995</v>
      </c>
      <c r="H384" s="861">
        <f t="shared" ref="H384:W384" si="473">+G384+1</f>
        <v>1996</v>
      </c>
      <c r="I384" s="861">
        <f t="shared" si="473"/>
        <v>1997</v>
      </c>
      <c r="J384" s="861">
        <f t="shared" si="473"/>
        <v>1998</v>
      </c>
      <c r="K384" s="861">
        <f t="shared" si="473"/>
        <v>1999</v>
      </c>
      <c r="L384" s="861">
        <f t="shared" si="473"/>
        <v>2000</v>
      </c>
      <c r="M384" s="861">
        <f t="shared" si="473"/>
        <v>2001</v>
      </c>
      <c r="N384" s="861">
        <f t="shared" si="473"/>
        <v>2002</v>
      </c>
      <c r="O384" s="861">
        <f t="shared" si="473"/>
        <v>2003</v>
      </c>
      <c r="P384" s="861">
        <f t="shared" si="473"/>
        <v>2004</v>
      </c>
      <c r="Q384" s="861">
        <f t="shared" si="473"/>
        <v>2005</v>
      </c>
      <c r="R384" s="861">
        <f t="shared" si="473"/>
        <v>2006</v>
      </c>
      <c r="S384" s="861">
        <f t="shared" si="473"/>
        <v>2007</v>
      </c>
      <c r="T384" s="861">
        <f t="shared" si="473"/>
        <v>2008</v>
      </c>
      <c r="U384" s="861">
        <f t="shared" si="473"/>
        <v>2009</v>
      </c>
      <c r="V384" s="861">
        <f t="shared" si="473"/>
        <v>2010</v>
      </c>
      <c r="W384" s="861">
        <f t="shared" si="473"/>
        <v>2011</v>
      </c>
      <c r="X384" s="861">
        <f t="shared" ref="X384:AE384" si="474">+W384+1</f>
        <v>2012</v>
      </c>
      <c r="Y384" s="861">
        <f t="shared" si="474"/>
        <v>2013</v>
      </c>
      <c r="Z384" s="861">
        <f t="shared" si="474"/>
        <v>2014</v>
      </c>
      <c r="AA384" s="861">
        <f t="shared" si="474"/>
        <v>2015</v>
      </c>
      <c r="AB384" s="861">
        <f t="shared" si="474"/>
        <v>2016</v>
      </c>
      <c r="AC384" s="861">
        <f t="shared" si="474"/>
        <v>2017</v>
      </c>
      <c r="AD384" s="861">
        <f t="shared" si="474"/>
        <v>2018</v>
      </c>
      <c r="AE384" s="861">
        <f t="shared" si="474"/>
        <v>2019</v>
      </c>
    </row>
    <row r="385" spans="1:31">
      <c r="B385" s="715">
        <v>161</v>
      </c>
      <c r="C385" s="1390"/>
      <c r="D385" s="23"/>
      <c r="E385" s="23" t="s">
        <v>609</v>
      </c>
      <c r="F385" s="1404"/>
      <c r="G385" s="3177"/>
      <c r="H385" s="3177">
        <f ca="1">OFFSET('Q1'!$F272,0,4*(COLUMN()-6))</f>
        <v>329.57</v>
      </c>
      <c r="I385" s="3177">
        <f ca="1">OFFSET('Q1'!$F272,0,4*(COLUMN()-6))</f>
        <v>327.76</v>
      </c>
      <c r="J385" s="3177">
        <f ca="1">OFFSET('Q1'!$F272,0,4*(COLUMN()-6))</f>
        <v>325.05</v>
      </c>
      <c r="K385" s="3177">
        <f ca="1">OFFSET('Q1'!$F272,0,4*(COLUMN()-6))</f>
        <v>347.22</v>
      </c>
      <c r="L385" s="3177">
        <f ca="1">OFFSET('Q1'!$F272,0,4*(COLUMN()-6))</f>
        <v>340.45</v>
      </c>
      <c r="M385" s="3177">
        <f ca="1">OFFSET('Q1'!$F272,0,4*(COLUMN()-6))</f>
        <v>322.93</v>
      </c>
      <c r="N385" s="3177">
        <f ca="1">OFFSET('Q1'!$F272,0,4*(COLUMN()-6))</f>
        <v>324.37</v>
      </c>
      <c r="O385" s="3177">
        <f ca="1">OFFSET('Q1'!$F272,0,4*(COLUMN()-6))</f>
        <v>323.68</v>
      </c>
      <c r="P385" s="3177">
        <f ca="1">OFFSET('Q1'!$F272,0,4*(COLUMN()-6))</f>
        <v>327.79</v>
      </c>
      <c r="Q385" s="3177">
        <f ca="1">OFFSET('Q1'!$F272,0,4*(COLUMN()-6))</f>
        <v>321.18</v>
      </c>
      <c r="R385" s="3177">
        <f ca="1">OFFSET('Q1'!$F272,0,4*(COLUMN()-6))</f>
        <v>322.2</v>
      </c>
      <c r="S385" s="3177">
        <f ca="1">OFFSET('Q1'!$F272,0,4*(COLUMN()-6))</f>
        <v>318.17</v>
      </c>
      <c r="T385" s="3177">
        <f ca="1">OFFSET('Q1'!$F272,0,4*(COLUMN()-6))</f>
        <v>312.81</v>
      </c>
      <c r="U385" s="3177">
        <f ca="1">OFFSET('Q1'!$F272,0,4*(COLUMN()-6))</f>
        <v>309.31</v>
      </c>
      <c r="V385" s="3177">
        <f ca="1">OFFSET('Q1'!$F272,0,4*(COLUMN()-6))</f>
        <v>300.01</v>
      </c>
      <c r="W385" s="3177">
        <f ca="1">OFFSET('Q1'!$F272,0,4*(COLUMN()-6))</f>
        <v>285.27</v>
      </c>
      <c r="X385" s="3177">
        <f ca="1">OFFSET('Q1'!$F272,0,4*(COLUMN()-6))</f>
        <v>280.51</v>
      </c>
      <c r="Y385" s="3177">
        <f ca="1">OFFSET('Q1'!$F272,0,4*(COLUMN()-6))</f>
        <v>279.17</v>
      </c>
      <c r="Z385" s="3177">
        <f ca="1">OFFSET('Q1'!$F272,0,4*(COLUMN()-6))</f>
        <v>278.89</v>
      </c>
      <c r="AA385" s="3177">
        <f ca="1">OFFSET('Q1'!$F272,0,4*(COLUMN()-6))</f>
        <v>274.16000000000003</v>
      </c>
      <c r="AB385" s="3177">
        <f ca="1">OFFSET('Q1'!$F272,0,4*(COLUMN()-6))</f>
        <v>275.66000000000003</v>
      </c>
      <c r="AC385" s="3177">
        <f ca="1">OFFSET('Q1'!$F272,0,4*(COLUMN()-6))</f>
        <v>272.94</v>
      </c>
      <c r="AD385" s="3177">
        <f ca="1">OFFSET('Q1'!$F272,0,4*(COLUMN()-6))</f>
        <v>272.94</v>
      </c>
      <c r="AE385" s="3177">
        <f ca="1">OFFSET('Q1'!$F272,0,4*(COLUMN()-6))</f>
        <v>272.94</v>
      </c>
    </row>
    <row r="386" spans="1:31">
      <c r="B386" s="715">
        <v>162</v>
      </c>
      <c r="C386" s="1391"/>
      <c r="D386" s="1"/>
      <c r="E386" s="1" t="s">
        <v>610</v>
      </c>
      <c r="F386" s="1392"/>
      <c r="G386" s="3083"/>
      <c r="H386" s="3083">
        <f ca="1">OFFSET('Q1'!$F273,0,4*(COLUMN()-6))</f>
        <v>106.83</v>
      </c>
      <c r="I386" s="3083">
        <f ca="1">OFFSET('Q1'!$F273,0,4*(COLUMN()-6))</f>
        <v>109.39</v>
      </c>
      <c r="J386" s="3083">
        <f ca="1">OFFSET('Q1'!$F273,0,4*(COLUMN()-6))</f>
        <v>108.11</v>
      </c>
      <c r="K386" s="3083">
        <f ca="1">OFFSET('Q1'!$F273,0,4*(COLUMN()-6))</f>
        <v>100.72</v>
      </c>
      <c r="L386" s="3083">
        <f ca="1">OFFSET('Q1'!$F273,0,4*(COLUMN()-6))</f>
        <v>117.97</v>
      </c>
      <c r="M386" s="3083">
        <f ca="1">OFFSET('Q1'!$F273,0,4*(COLUMN()-6))</f>
        <v>109.95</v>
      </c>
      <c r="N386" s="3083">
        <f ca="1">OFFSET('Q1'!$F273,0,4*(COLUMN()-6))</f>
        <v>100.27</v>
      </c>
      <c r="O386" s="3083">
        <f ca="1">OFFSET('Q1'!$F273,0,4*(COLUMN()-6))</f>
        <v>100.02</v>
      </c>
      <c r="P386" s="3083">
        <f ca="1">OFFSET('Q1'!$F273,0,4*(COLUMN()-6))</f>
        <v>94.45</v>
      </c>
      <c r="Q386" s="3083">
        <f ca="1">OFFSET('Q1'!$F273,0,4*(COLUMN()-6))</f>
        <v>102.03</v>
      </c>
      <c r="R386" s="3083">
        <f ca="1">OFFSET('Q1'!$F273,0,4*(COLUMN()-6))</f>
        <v>101.74</v>
      </c>
      <c r="S386" s="3083">
        <f ca="1">OFFSET('Q1'!$F273,0,4*(COLUMN()-6))</f>
        <v>103.27</v>
      </c>
      <c r="T386" s="3083">
        <f ca="1">OFFSET('Q1'!$F273,0,4*(COLUMN()-6))</f>
        <v>108.69</v>
      </c>
      <c r="U386" s="3083">
        <f ca="1">OFFSET('Q1'!$F273,0,4*(COLUMN()-6))</f>
        <v>109.04</v>
      </c>
      <c r="V386" s="3083">
        <f ca="1">OFFSET('Q1'!$F273,0,4*(COLUMN()-6))</f>
        <v>112.37</v>
      </c>
      <c r="W386" s="3083">
        <f ca="1">OFFSET('Q1'!$F273,0,4*(COLUMN()-6))</f>
        <v>110.23</v>
      </c>
      <c r="X386" s="3083">
        <f ca="1">OFFSET('Q1'!$F273,0,4*(COLUMN()-6))</f>
        <v>117.07</v>
      </c>
      <c r="Y386" s="3083">
        <f ca="1">OFFSET('Q1'!$F273,0,4*(COLUMN()-6))</f>
        <v>112.92</v>
      </c>
      <c r="Z386" s="3083">
        <f ca="1">OFFSET('Q1'!$F273,0,4*(COLUMN()-6))</f>
        <v>109.15</v>
      </c>
      <c r="AA386" s="3083">
        <f ca="1">OFFSET('Q1'!$F273,0,4*(COLUMN()-6))</f>
        <v>110.21</v>
      </c>
      <c r="AB386" s="3083">
        <f ca="1">OFFSET('Q1'!$F273,0,4*(COLUMN()-6))</f>
        <v>92.18</v>
      </c>
      <c r="AC386" s="3083">
        <f ca="1">OFFSET('Q1'!$F273,0,4*(COLUMN()-6))</f>
        <v>90.37</v>
      </c>
      <c r="AD386" s="3083">
        <f ca="1">OFFSET('Q1'!$F273,0,4*(COLUMN()-6))</f>
        <v>90.37</v>
      </c>
      <c r="AE386" s="3083">
        <f ca="1">OFFSET('Q1'!$F273,0,4*(COLUMN()-6))</f>
        <v>90.37</v>
      </c>
    </row>
    <row r="387" spans="1:31">
      <c r="B387" s="715">
        <v>164</v>
      </c>
      <c r="C387" s="1391"/>
      <c r="D387" s="1"/>
      <c r="E387" s="1" t="s">
        <v>612</v>
      </c>
      <c r="F387" s="3"/>
      <c r="G387" s="3083"/>
      <c r="H387" s="3083">
        <f ca="1">OFFSET('Q1'!$F274,0,4*(COLUMN()-6))</f>
        <v>101.79</v>
      </c>
      <c r="I387" s="3083">
        <f ca="1">OFFSET('Q1'!$F274,0,4*(COLUMN()-6))</f>
        <v>99.97</v>
      </c>
      <c r="J387" s="3083">
        <f ca="1">OFFSET('Q1'!$F274,0,4*(COLUMN()-6))</f>
        <v>102.17</v>
      </c>
      <c r="K387" s="3083">
        <f ca="1">OFFSET('Q1'!$F274,0,4*(COLUMN()-6))</f>
        <v>104.03</v>
      </c>
      <c r="L387" s="3083">
        <f ca="1">OFFSET('Q1'!$F274,0,4*(COLUMN()-6))</f>
        <v>88.59</v>
      </c>
      <c r="M387" s="3083">
        <f ca="1">OFFSET('Q1'!$F274,0,4*(COLUMN()-6))</f>
        <v>79.22</v>
      </c>
      <c r="N387" s="3083">
        <f ca="1">OFFSET('Q1'!$F274,0,4*(COLUMN()-6))</f>
        <v>82.48</v>
      </c>
      <c r="O387" s="3083">
        <f ca="1">OFFSET('Q1'!$F274,0,4*(COLUMN()-6))</f>
        <v>81.84</v>
      </c>
      <c r="P387" s="3083">
        <f ca="1">OFFSET('Q1'!$F274,0,4*(COLUMN()-6))</f>
        <v>81.59</v>
      </c>
      <c r="Q387" s="3083">
        <f ca="1">OFFSET('Q1'!$F274,0,4*(COLUMN()-6))</f>
        <v>81.48</v>
      </c>
      <c r="R387" s="3083">
        <f ca="1">OFFSET('Q1'!$F274,0,4*(COLUMN()-6))</f>
        <v>80.819999999999993</v>
      </c>
      <c r="S387" s="3083">
        <f ca="1">OFFSET('Q1'!$F274,0,4*(COLUMN()-6))</f>
        <v>83.01</v>
      </c>
      <c r="T387" s="3083">
        <f ca="1">OFFSET('Q1'!$F274,0,4*(COLUMN()-6))</f>
        <v>82.57</v>
      </c>
      <c r="U387" s="3083">
        <f ca="1">OFFSET('Q1'!$F274,0,4*(COLUMN()-6))</f>
        <v>82.13</v>
      </c>
      <c r="V387" s="3083">
        <f ca="1">OFFSET('Q1'!$F274,0,4*(COLUMN()-6))</f>
        <v>77.95</v>
      </c>
      <c r="W387" s="3083">
        <f ca="1">OFFSET('Q1'!$F274,0,4*(COLUMN()-6))</f>
        <v>83.07</v>
      </c>
      <c r="X387" s="3083">
        <f ca="1">OFFSET('Q1'!$F274,0,4*(COLUMN()-6))</f>
        <v>78.78</v>
      </c>
      <c r="Y387" s="3083">
        <f ca="1">OFFSET('Q1'!$F274,0,4*(COLUMN()-6))</f>
        <v>80.5</v>
      </c>
      <c r="Z387" s="3083">
        <f ca="1">OFFSET('Q1'!$F274,0,4*(COLUMN()-6))</f>
        <v>82</v>
      </c>
      <c r="AA387" s="3083">
        <f ca="1">OFFSET('Q1'!$F274,0,4*(COLUMN()-6))</f>
        <v>76.42</v>
      </c>
      <c r="AB387" s="3083">
        <f ca="1">OFFSET('Q1'!$F274,0,4*(COLUMN()-6))</f>
        <v>76.900000000000006</v>
      </c>
      <c r="AC387" s="3083">
        <f ca="1">OFFSET('Q1'!$F274,0,4*(COLUMN()-6))</f>
        <v>79.38</v>
      </c>
      <c r="AD387" s="3083">
        <f ca="1">OFFSET('Q1'!$F274,0,4*(COLUMN()-6))</f>
        <v>79.38</v>
      </c>
      <c r="AE387" s="3083">
        <f ca="1">OFFSET('Q1'!$F274,0,4*(COLUMN()-6))</f>
        <v>79.38</v>
      </c>
    </row>
    <row r="388" spans="1:31">
      <c r="B388" s="715">
        <v>163</v>
      </c>
      <c r="C388" s="1391"/>
      <c r="D388" s="1"/>
      <c r="E388" s="1" t="s">
        <v>611</v>
      </c>
      <c r="F388" s="1392"/>
      <c r="G388" s="3083"/>
      <c r="H388" s="3083">
        <f ca="1">OFFSET('Q1'!$F275,0,4*(COLUMN()-6))</f>
        <v>140.63</v>
      </c>
      <c r="I388" s="3083">
        <f ca="1">OFFSET('Q1'!$F275,0,4*(COLUMN()-6))</f>
        <v>140.75</v>
      </c>
      <c r="J388" s="3083">
        <f ca="1">OFFSET('Q1'!$F275,0,4*(COLUMN()-6))</f>
        <v>143</v>
      </c>
      <c r="K388" s="3083">
        <f ca="1">OFFSET('Q1'!$F275,0,4*(COLUMN()-6))</f>
        <v>142.37</v>
      </c>
      <c r="L388" s="3083">
        <f ca="1">OFFSET('Q1'!$F275,0,4*(COLUMN()-6))</f>
        <v>128.38</v>
      </c>
      <c r="M388" s="3083">
        <f ca="1">OFFSET('Q1'!$F275,0,4*(COLUMN()-6))</f>
        <v>118.77</v>
      </c>
      <c r="N388" s="3083">
        <f ca="1">OFFSET('Q1'!$F275,0,4*(COLUMN()-6))</f>
        <v>119.11</v>
      </c>
      <c r="O388" s="3083">
        <f ca="1">OFFSET('Q1'!$F275,0,4*(COLUMN()-6))</f>
        <v>119.27</v>
      </c>
      <c r="P388" s="3083">
        <f ca="1">OFFSET('Q1'!$F275,0,4*(COLUMN()-6))</f>
        <v>120.1</v>
      </c>
      <c r="Q388" s="3083">
        <f ca="1">OFFSET('Q1'!$F275,0,4*(COLUMN()-6))</f>
        <v>120.22</v>
      </c>
      <c r="R388" s="3083">
        <f ca="1">OFFSET('Q1'!$F275,0,4*(COLUMN()-6))</f>
        <v>117.69</v>
      </c>
      <c r="S388" s="3083">
        <f ca="1">OFFSET('Q1'!$F275,0,4*(COLUMN()-6))</f>
        <v>118.97</v>
      </c>
      <c r="T388" s="3083">
        <f ca="1">OFFSET('Q1'!$F275,0,4*(COLUMN()-6))</f>
        <v>124.06</v>
      </c>
      <c r="U388" s="3083">
        <f ca="1">OFFSET('Q1'!$F275,0,4*(COLUMN()-6))</f>
        <v>126.19</v>
      </c>
      <c r="V388" s="3083">
        <f ca="1">OFFSET('Q1'!$F275,0,4*(COLUMN()-6))</f>
        <v>130.6</v>
      </c>
      <c r="W388" s="3083">
        <f ca="1">OFFSET('Q1'!$F275,0,4*(COLUMN()-6))</f>
        <v>135.63</v>
      </c>
      <c r="X388" s="3083">
        <f ca="1">OFFSET('Q1'!$F275,0,4*(COLUMN()-6))</f>
        <v>131.79</v>
      </c>
      <c r="Y388" s="3083">
        <f ca="1">OFFSET('Q1'!$F275,0,4*(COLUMN()-6))</f>
        <v>131.94</v>
      </c>
      <c r="Z388" s="3083">
        <f ca="1">OFFSET('Q1'!$F275,0,4*(COLUMN()-6))</f>
        <v>134.52000000000001</v>
      </c>
      <c r="AA388" s="3083">
        <f ca="1">OFFSET('Q1'!$F275,0,4*(COLUMN()-6))</f>
        <v>131.02000000000001</v>
      </c>
      <c r="AB388" s="3083">
        <f ca="1">OFFSET('Q1'!$F275,0,4*(COLUMN()-6))</f>
        <v>131.13</v>
      </c>
      <c r="AC388" s="3083">
        <f ca="1">OFFSET('Q1'!$F275,0,4*(COLUMN()-6))</f>
        <v>134.72</v>
      </c>
      <c r="AD388" s="3083">
        <f ca="1">OFFSET('Q1'!$F275,0,4*(COLUMN()-6))</f>
        <v>134.72</v>
      </c>
      <c r="AE388" s="3083">
        <f ca="1">OFFSET('Q1'!$F275,0,4*(COLUMN()-6))</f>
        <v>134.72</v>
      </c>
    </row>
    <row r="389" spans="1:31">
      <c r="B389" s="715">
        <v>165</v>
      </c>
      <c r="C389" s="1395"/>
      <c r="D389" s="113"/>
      <c r="E389" s="113" t="s">
        <v>92</v>
      </c>
      <c r="F389" s="1393"/>
      <c r="G389" s="1420"/>
      <c r="H389" s="1420">
        <f ca="1">OFFSET('Q1'!$F276,0,4*(COLUMN()-6))</f>
        <v>302.12</v>
      </c>
      <c r="I389" s="1420">
        <f ca="1">OFFSET('Q1'!$F276,0,4*(COLUMN()-6))</f>
        <v>303.13</v>
      </c>
      <c r="J389" s="1420">
        <f ca="1">OFFSET('Q1'!$F276,0,4*(COLUMN()-6))</f>
        <v>302.78000000000003</v>
      </c>
      <c r="K389" s="1420">
        <f ca="1">OFFSET('Q1'!$F276,0,4*(COLUMN()-6))</f>
        <v>305.66000000000003</v>
      </c>
      <c r="L389" s="1420">
        <f ca="1">OFFSET('Q1'!$F276,0,4*(COLUMN()-6))</f>
        <v>324.62</v>
      </c>
      <c r="M389" s="1420">
        <f ca="1">OFFSET('Q1'!$F276,0,4*(COLUMN()-6))</f>
        <v>369.13</v>
      </c>
      <c r="N389" s="1420">
        <f ca="1">OFFSET('Q1'!$F276,0,4*(COLUMN()-6))</f>
        <v>373.76</v>
      </c>
      <c r="O389" s="1420">
        <f ca="1">OFFSET('Q1'!$F276,0,4*(COLUMN()-6))</f>
        <v>375.19</v>
      </c>
      <c r="P389" s="1420">
        <f ca="1">OFFSET('Q1'!$F276,0,4*(COLUMN()-6))</f>
        <v>376.07</v>
      </c>
      <c r="Q389" s="1420">
        <f ca="1">OFFSET('Q1'!$F276,0,4*(COLUMN()-6))</f>
        <v>375.09</v>
      </c>
      <c r="R389" s="1420">
        <f ca="1">OFFSET('Q1'!$F276,0,4*(COLUMN()-6))</f>
        <v>377.54</v>
      </c>
      <c r="S389" s="1420">
        <f ca="1">OFFSET('Q1'!$F276,0,4*(COLUMN()-6))</f>
        <v>376.58</v>
      </c>
      <c r="T389" s="1420">
        <f ca="1">OFFSET('Q1'!$F276,0,4*(COLUMN()-6))</f>
        <v>371.87</v>
      </c>
      <c r="U389" s="1420">
        <f ca="1">OFFSET('Q1'!$F276,0,4*(COLUMN()-6))</f>
        <v>373.33</v>
      </c>
      <c r="V389" s="1420">
        <f ca="1">OFFSET('Q1'!$F276,0,4*(COLUMN()-6))</f>
        <v>379.08</v>
      </c>
      <c r="W389" s="1420">
        <f ca="1">OFFSET('Q1'!$F276,0,4*(COLUMN()-6))</f>
        <v>385.8</v>
      </c>
      <c r="X389" s="1420">
        <f ca="1">OFFSET('Q1'!$F276,0,4*(COLUMN()-6))</f>
        <v>391.84</v>
      </c>
      <c r="Y389" s="1420">
        <f ca="1">OFFSET('Q1'!$F276,0,4*(COLUMN()-6))</f>
        <v>395.47</v>
      </c>
      <c r="Z389" s="1420">
        <f ca="1">OFFSET('Q1'!$F276,0,4*(COLUMN()-6))</f>
        <v>395.44</v>
      </c>
      <c r="AA389" s="1420">
        <f ca="1">OFFSET('Q1'!$F276,0,4*(COLUMN()-6))</f>
        <v>408.18</v>
      </c>
      <c r="AB389" s="1420">
        <f ca="1">OFFSET('Q1'!$F276,0,4*(COLUMN()-6))</f>
        <v>424.13</v>
      </c>
      <c r="AC389" s="1420">
        <f ca="1">OFFSET('Q1'!$F276,0,4*(COLUMN()-6))</f>
        <v>422.6</v>
      </c>
      <c r="AD389" s="1420">
        <f ca="1">OFFSET('Q1'!$F276,0,4*(COLUMN()-6))</f>
        <v>422.6</v>
      </c>
      <c r="AE389" s="1420">
        <f ca="1">OFFSET('Q1'!$F276,0,4*(COLUMN()-6))</f>
        <v>422.6</v>
      </c>
    </row>
    <row r="390" spans="1:31">
      <c r="V390" s="577"/>
      <c r="W390" s="577"/>
      <c r="X390" s="577"/>
      <c r="Y390" s="577"/>
      <c r="Z390" s="577"/>
      <c r="AA390" s="577"/>
      <c r="AB390" s="577"/>
      <c r="AC390" s="577"/>
      <c r="AD390" s="577"/>
      <c r="AE390" s="577"/>
    </row>
    <row r="391" spans="1:31">
      <c r="A391" s="714"/>
      <c r="D391" s="1388"/>
      <c r="E391" s="3166" t="s">
        <v>1227</v>
      </c>
      <c r="F391" s="3167"/>
      <c r="G391" s="3246">
        <f>InputY!$G$3</f>
        <v>1995</v>
      </c>
      <c r="H391" s="861">
        <f t="shared" ref="H391:W391" si="475">+G391+1</f>
        <v>1996</v>
      </c>
      <c r="I391" s="861">
        <f t="shared" si="475"/>
        <v>1997</v>
      </c>
      <c r="J391" s="861">
        <f t="shared" si="475"/>
        <v>1998</v>
      </c>
      <c r="K391" s="861">
        <f t="shared" si="475"/>
        <v>1999</v>
      </c>
      <c r="L391" s="861">
        <f t="shared" si="475"/>
        <v>2000</v>
      </c>
      <c r="M391" s="861">
        <f t="shared" si="475"/>
        <v>2001</v>
      </c>
      <c r="N391" s="861">
        <f t="shared" si="475"/>
        <v>2002</v>
      </c>
      <c r="O391" s="861">
        <f t="shared" si="475"/>
        <v>2003</v>
      </c>
      <c r="P391" s="861">
        <f t="shared" si="475"/>
        <v>2004</v>
      </c>
      <c r="Q391" s="861">
        <f t="shared" si="475"/>
        <v>2005</v>
      </c>
      <c r="R391" s="861">
        <f t="shared" si="475"/>
        <v>2006</v>
      </c>
      <c r="S391" s="861">
        <f t="shared" si="475"/>
        <v>2007</v>
      </c>
      <c r="T391" s="861">
        <f t="shared" si="475"/>
        <v>2008</v>
      </c>
      <c r="U391" s="861">
        <f t="shared" si="475"/>
        <v>2009</v>
      </c>
      <c r="V391" s="861">
        <f t="shared" si="475"/>
        <v>2010</v>
      </c>
      <c r="W391" s="861">
        <f t="shared" si="475"/>
        <v>2011</v>
      </c>
      <c r="X391" s="861">
        <f t="shared" ref="X391:AE391" si="476">+W391+1</f>
        <v>2012</v>
      </c>
      <c r="Y391" s="861">
        <f t="shared" si="476"/>
        <v>2013</v>
      </c>
      <c r="Z391" s="861">
        <f t="shared" si="476"/>
        <v>2014</v>
      </c>
      <c r="AA391" s="861">
        <f t="shared" si="476"/>
        <v>2015</v>
      </c>
      <c r="AB391" s="861">
        <f t="shared" si="476"/>
        <v>2016</v>
      </c>
      <c r="AC391" s="861">
        <f t="shared" si="476"/>
        <v>2017</v>
      </c>
      <c r="AD391" s="861">
        <f t="shared" si="476"/>
        <v>2018</v>
      </c>
      <c r="AE391" s="861">
        <f t="shared" si="476"/>
        <v>2019</v>
      </c>
    </row>
    <row r="392" spans="1:31">
      <c r="A392" s="714"/>
      <c r="B392" s="715">
        <v>172</v>
      </c>
      <c r="C392" s="1390"/>
      <c r="D392" s="23"/>
      <c r="E392" s="23" t="s">
        <v>609</v>
      </c>
      <c r="F392" s="1404"/>
      <c r="G392" s="3177"/>
      <c r="H392" s="3177">
        <f ca="1">OFFSET('Q1'!$F259,0,4*(COLUMN()-6))</f>
        <v>85.460000000000008</v>
      </c>
      <c r="I392" s="3177">
        <f ca="1">OFFSET('Q1'!$F259,0,4*(COLUMN()-6))</f>
        <v>85.563333333333347</v>
      </c>
      <c r="J392" s="3177">
        <f ca="1">OFFSET('Q1'!$F259,0,4*(COLUMN()-6))</f>
        <v>86.139166666666668</v>
      </c>
      <c r="K392" s="3177">
        <f ca="1">OFFSET('Q1'!$F259,0,4*(COLUMN()-6))</f>
        <v>86.84416666666668</v>
      </c>
      <c r="L392" s="3177">
        <f ca="1">OFFSET('Q1'!$F259,0,4*(COLUMN()-6))</f>
        <v>86.867499999999993</v>
      </c>
      <c r="M392" s="3177">
        <f ca="1">OFFSET('Q1'!$F259,0,4*(COLUMN()-6))</f>
        <v>88.589166666666671</v>
      </c>
      <c r="N392" s="3177">
        <f ca="1">OFFSET('Q1'!$F259,0,4*(COLUMN()-6))</f>
        <v>90.06</v>
      </c>
      <c r="O392" s="3177">
        <f ca="1">OFFSET('Q1'!$F259,0,4*(COLUMN()-6))</f>
        <v>90.953333333333319</v>
      </c>
      <c r="P392" s="3177">
        <f ca="1">OFFSET('Q1'!$F259,0,4*(COLUMN()-6))</f>
        <v>91.232500000000016</v>
      </c>
      <c r="Q392" s="3177">
        <f ca="1">OFFSET('Q1'!$F259,0,4*(COLUMN()-6))</f>
        <v>91.477499999999992</v>
      </c>
      <c r="R392" s="3177">
        <f ca="1">OFFSET('Q1'!$F259,0,4*(COLUMN()-6))</f>
        <v>92.31583333333333</v>
      </c>
      <c r="S392" s="3177">
        <f ca="1">OFFSET('Q1'!$F259,0,4*(COLUMN()-6))</f>
        <v>93.11666666666666</v>
      </c>
      <c r="T392" s="3177">
        <f ca="1">OFFSET('Q1'!$F259,0,4*(COLUMN()-6))</f>
        <v>94.330000000000013</v>
      </c>
      <c r="U392" s="3177">
        <f ca="1">OFFSET('Q1'!$F259,0,4*(COLUMN()-6))</f>
        <v>95.689166666666651</v>
      </c>
      <c r="V392" s="3177">
        <f ca="1">OFFSET('Q1'!$F259,0,4*(COLUMN()-6))</f>
        <v>96.45</v>
      </c>
      <c r="W392" s="3177">
        <f ca="1">OFFSET('Q1'!$F259,0,4*(COLUMN()-6))</f>
        <v>97.374166666666667</v>
      </c>
      <c r="X392" s="3177">
        <f ca="1">OFFSET('Q1'!$F259,0,4*(COLUMN()-6))</f>
        <v>98.243333333333325</v>
      </c>
      <c r="Y392" s="3177">
        <f ca="1">OFFSET('Q1'!$F259,0,4*(COLUMN()-6))</f>
        <v>99.20750000000001</v>
      </c>
      <c r="Z392" s="3177">
        <f ca="1">OFFSET('Q1'!$F259,0,4*(COLUMN()-6))</f>
        <v>99.54</v>
      </c>
      <c r="AA392" s="3177">
        <f ca="1">OFFSET('Q1'!$F259,0,4*(COLUMN()-6))</f>
        <v>99.999166666666667</v>
      </c>
      <c r="AB392" s="3177">
        <f ca="1">OFFSET('Q1'!$F259,0,4*(COLUMN()-6))</f>
        <v>101.00833333333334</v>
      </c>
      <c r="AC392" s="3177">
        <f ca="1">OFFSET('Q1'!$F259,0,4*(COLUMN()-6))</f>
        <v>101.82583333333334</v>
      </c>
      <c r="AD392" s="3177">
        <f ca="1">OFFSET('Q1'!$F259,0,4*(COLUMN()-6))</f>
        <v>102.85087796505539</v>
      </c>
      <c r="AE392" s="3177">
        <f ca="1">OFFSET('Q1'!$F259,0,4*(COLUMN()-6))</f>
        <v>103.93770724032156</v>
      </c>
    </row>
    <row r="393" spans="1:31">
      <c r="A393" s="714"/>
      <c r="B393" s="715">
        <v>173</v>
      </c>
      <c r="C393" s="1391"/>
      <c r="D393" s="1"/>
      <c r="E393" s="1" t="s">
        <v>610</v>
      </c>
      <c r="F393" s="1392"/>
      <c r="G393" s="3083"/>
      <c r="H393" s="3083">
        <f ca="1">OFFSET('Q1'!$F260,0,4*(COLUMN()-6))</f>
        <v>57.81583333333333</v>
      </c>
      <c r="I393" s="3083">
        <f ca="1">OFFSET('Q1'!$F260,0,4*(COLUMN()-6))</f>
        <v>59.640833333333333</v>
      </c>
      <c r="J393" s="3083">
        <f ca="1">OFFSET('Q1'!$F260,0,4*(COLUMN()-6))</f>
        <v>57.514166666666661</v>
      </c>
      <c r="K393" s="3083">
        <f ca="1">OFFSET('Q1'!$F260,0,4*(COLUMN()-6))</f>
        <v>58.657499999999999</v>
      </c>
      <c r="L393" s="3083">
        <f ca="1">OFFSET('Q1'!$F260,0,4*(COLUMN()-6))</f>
        <v>68.230833333333337</v>
      </c>
      <c r="M393" s="3083">
        <f ca="1">OFFSET('Q1'!$F260,0,4*(COLUMN()-6))</f>
        <v>69.169999999999987</v>
      </c>
      <c r="N393" s="3083">
        <f ca="1">OFFSET('Q1'!$F260,0,4*(COLUMN()-6))</f>
        <v>66.656666666666666</v>
      </c>
      <c r="O393" s="3083">
        <f ca="1">OFFSET('Q1'!$F260,0,4*(COLUMN()-6))</f>
        <v>66.774166666666659</v>
      </c>
      <c r="P393" s="3083">
        <f ca="1">OFFSET('Q1'!$F260,0,4*(COLUMN()-6))</f>
        <v>71.180000000000007</v>
      </c>
      <c r="Q393" s="3083">
        <f ca="1">OFFSET('Q1'!$F260,0,4*(COLUMN()-6))</f>
        <v>80.22</v>
      </c>
      <c r="R393" s="3083">
        <f ca="1">OFFSET('Q1'!$F260,0,4*(COLUMN()-6))</f>
        <v>86.054166666666674</v>
      </c>
      <c r="S393" s="3083">
        <f ca="1">OFFSET('Q1'!$F260,0,4*(COLUMN()-6))</f>
        <v>86.242499999999993</v>
      </c>
      <c r="T393" s="3083">
        <f ca="1">OFFSET('Q1'!$F260,0,4*(COLUMN()-6))</f>
        <v>103.35416666666667</v>
      </c>
      <c r="U393" s="3083">
        <f ca="1">OFFSET('Q1'!$F260,0,4*(COLUMN()-6))</f>
        <v>88.90583333333332</v>
      </c>
      <c r="V393" s="3083">
        <f ca="1">OFFSET('Q1'!$F260,0,4*(COLUMN()-6))</f>
        <v>97.773333333333326</v>
      </c>
      <c r="W393" s="3083">
        <f ca="1">OFFSET('Q1'!$F260,0,4*(COLUMN()-6))</f>
        <v>114.41250000000001</v>
      </c>
      <c r="X393" s="3083">
        <f ca="1">OFFSET('Q1'!$F260,0,4*(COLUMN()-6))</f>
        <v>121.27083333333334</v>
      </c>
      <c r="Y393" s="3083">
        <f ca="1">OFFSET('Q1'!$F260,0,4*(COLUMN()-6))</f>
        <v>115.69166666666666</v>
      </c>
      <c r="Z393" s="3083">
        <f ca="1">OFFSET('Q1'!$F260,0,4*(COLUMN()-6))</f>
        <v>108.69666666666666</v>
      </c>
      <c r="AA393" s="3083">
        <f ca="1">OFFSET('Q1'!$F260,0,4*(COLUMN()-6))</f>
        <v>99.999166666666667</v>
      </c>
      <c r="AB393" s="3083">
        <f ca="1">OFFSET('Q1'!$F260,0,4*(COLUMN()-6))</f>
        <v>99.400833333333338</v>
      </c>
      <c r="AC393" s="3083">
        <f ca="1">OFFSET('Q1'!$F260,0,4*(COLUMN()-6))</f>
        <v>109.19333333333333</v>
      </c>
      <c r="AD393" s="3083">
        <f ca="1">OFFSET('Q1'!$F260,0,4*(COLUMN()-6))</f>
        <v>107.67070494304062</v>
      </c>
      <c r="AE393" s="3083">
        <f ca="1">OFFSET('Q1'!$F260,0,4*(COLUMN()-6))</f>
        <v>106.22689860195854</v>
      </c>
    </row>
    <row r="394" spans="1:31">
      <c r="A394" s="714"/>
      <c r="B394" s="715">
        <v>174</v>
      </c>
      <c r="C394" s="1391"/>
      <c r="D394" s="1"/>
      <c r="E394" s="1" t="s">
        <v>612</v>
      </c>
      <c r="F394" s="3"/>
      <c r="G394" s="3083"/>
      <c r="H394" s="3083">
        <f ca="1">OFFSET('Q1'!$F261,0,4*(COLUMN()-6))</f>
        <v>66.68416666666667</v>
      </c>
      <c r="I394" s="3083">
        <f ca="1">OFFSET('Q1'!$F261,0,4*(COLUMN()-6))</f>
        <v>68.476666666666659</v>
      </c>
      <c r="J394" s="3083">
        <f ca="1">OFFSET('Q1'!$F261,0,4*(COLUMN()-6))</f>
        <v>69.972500000000011</v>
      </c>
      <c r="K394" s="3083">
        <f ca="1">OFFSET('Q1'!$F261,0,4*(COLUMN()-6))</f>
        <v>69.990833333333342</v>
      </c>
      <c r="L394" s="3083">
        <f ca="1">OFFSET('Q1'!$F261,0,4*(COLUMN()-6))</f>
        <v>70.15666666666668</v>
      </c>
      <c r="M394" s="3083">
        <f ca="1">OFFSET('Q1'!$F261,0,4*(COLUMN()-6))</f>
        <v>75.017500000000013</v>
      </c>
      <c r="N394" s="3083">
        <f ca="1">OFFSET('Q1'!$F261,0,4*(COLUMN()-6))</f>
        <v>77.424999999999997</v>
      </c>
      <c r="O394" s="3083">
        <f ca="1">OFFSET('Q1'!$F261,0,4*(COLUMN()-6))</f>
        <v>78.75</v>
      </c>
      <c r="P394" s="3083">
        <f ca="1">OFFSET('Q1'!$F261,0,4*(COLUMN()-6))</f>
        <v>79.470833333333331</v>
      </c>
      <c r="Q394" s="3083">
        <f ca="1">OFFSET('Q1'!$F261,0,4*(COLUMN()-6))</f>
        <v>80.811666666666653</v>
      </c>
      <c r="R394" s="3083">
        <f ca="1">OFFSET('Q1'!$F261,0,4*(COLUMN()-6))</f>
        <v>83.431666666666658</v>
      </c>
      <c r="S394" s="3083">
        <f ca="1">OFFSET('Q1'!$F261,0,4*(COLUMN()-6))</f>
        <v>85.944166666666661</v>
      </c>
      <c r="T394" s="3083">
        <f ca="1">OFFSET('Q1'!$F261,0,4*(COLUMN()-6))</f>
        <v>88.325833333333321</v>
      </c>
      <c r="U394" s="3083">
        <f ca="1">OFFSET('Q1'!$F261,0,4*(COLUMN()-6))</f>
        <v>88.641666666666652</v>
      </c>
      <c r="V394" s="3083">
        <f ca="1">OFFSET('Q1'!$F261,0,4*(COLUMN()-6))</f>
        <v>91.767499999999998</v>
      </c>
      <c r="W394" s="3083">
        <f ca="1">OFFSET('Q1'!$F261,0,4*(COLUMN()-6))</f>
        <v>91.975833333333341</v>
      </c>
      <c r="X394" s="3083">
        <f ca="1">OFFSET('Q1'!$F261,0,4*(COLUMN()-6))</f>
        <v>95.099166666666676</v>
      </c>
      <c r="Y394" s="3083">
        <f ca="1">OFFSET('Q1'!$F261,0,4*(COLUMN()-6))</f>
        <v>99.246666666666655</v>
      </c>
      <c r="Z394" s="3083">
        <f ca="1">OFFSET('Q1'!$F261,0,4*(COLUMN()-6))</f>
        <v>97.932500000000005</v>
      </c>
      <c r="AA394" s="3083">
        <f ca="1">OFFSET('Q1'!$F261,0,4*(COLUMN()-6))</f>
        <v>100.00083333333333</v>
      </c>
      <c r="AB394" s="3083">
        <f ca="1">OFFSET('Q1'!$F261,0,4*(COLUMN()-6))</f>
        <v>102.56333333333332</v>
      </c>
      <c r="AC394" s="3083">
        <f ca="1">OFFSET('Q1'!$F261,0,4*(COLUMN()-6))</f>
        <v>102.63416666666667</v>
      </c>
      <c r="AD394" s="3083">
        <f ca="1">OFFSET('Q1'!$F261,0,4*(COLUMN()-6))</f>
        <v>105.0082543117322</v>
      </c>
      <c r="AE394" s="3083">
        <f ca="1">OFFSET('Q1'!$F261,0,4*(COLUMN()-6))</f>
        <v>107.55464510727879</v>
      </c>
    </row>
    <row r="395" spans="1:31">
      <c r="A395" s="714"/>
      <c r="B395" s="715">
        <v>175</v>
      </c>
      <c r="C395" s="1391"/>
      <c r="D395" s="1"/>
      <c r="E395" s="1" t="s">
        <v>611</v>
      </c>
      <c r="F395" s="1392"/>
      <c r="G395" s="3083"/>
      <c r="H395" s="3083">
        <f ca="1">OFFSET('Q1'!$F262,0,4*(COLUMN()-6))</f>
        <v>63.280833333333334</v>
      </c>
      <c r="I395" s="3083">
        <f ca="1">OFFSET('Q1'!$F262,0,4*(COLUMN()-6))</f>
        <v>64.704999999999998</v>
      </c>
      <c r="J395" s="3083">
        <f ca="1">OFFSET('Q1'!$F262,0,4*(COLUMN()-6))</f>
        <v>65.61333333333333</v>
      </c>
      <c r="K395" s="3083">
        <f ca="1">OFFSET('Q1'!$F262,0,4*(COLUMN()-6))</f>
        <v>66.025000000000006</v>
      </c>
      <c r="L395" s="3083">
        <f ca="1">OFFSET('Q1'!$F262,0,4*(COLUMN()-6))</f>
        <v>66.880833333333328</v>
      </c>
      <c r="M395" s="3083">
        <f ca="1">OFFSET('Q1'!$F262,0,4*(COLUMN()-6))</f>
        <v>68.331666666666678</v>
      </c>
      <c r="N395" s="3083">
        <f ca="1">OFFSET('Q1'!$F262,0,4*(COLUMN()-6))</f>
        <v>69.346666666666664</v>
      </c>
      <c r="O395" s="3083">
        <f ca="1">OFFSET('Q1'!$F262,0,4*(COLUMN()-6))</f>
        <v>71.254999999999995</v>
      </c>
      <c r="P395" s="3083">
        <f ca="1">OFFSET('Q1'!$F262,0,4*(COLUMN()-6))</f>
        <v>72.836666666666673</v>
      </c>
      <c r="Q395" s="3083">
        <f ca="1">OFFSET('Q1'!$F262,0,4*(COLUMN()-6))</f>
        <v>74.315000000000012</v>
      </c>
      <c r="R395" s="3083">
        <f ca="1">OFFSET('Q1'!$F262,0,4*(COLUMN()-6))</f>
        <v>75.84</v>
      </c>
      <c r="S395" s="3083">
        <f ca="1">OFFSET('Q1'!$F262,0,4*(COLUMN()-6))</f>
        <v>79.374166666666667</v>
      </c>
      <c r="T395" s="3083">
        <f ca="1">OFFSET('Q1'!$F262,0,4*(COLUMN()-6))</f>
        <v>85.537500000000009</v>
      </c>
      <c r="U395" s="3083">
        <f ca="1">OFFSET('Q1'!$F262,0,4*(COLUMN()-6))</f>
        <v>86.963333333333338</v>
      </c>
      <c r="V395" s="3083">
        <f ca="1">OFFSET('Q1'!$F262,0,4*(COLUMN()-6))</f>
        <v>87.870833333333337</v>
      </c>
      <c r="W395" s="3083">
        <f ca="1">OFFSET('Q1'!$F262,0,4*(COLUMN()-6))</f>
        <v>90.589166666666685</v>
      </c>
      <c r="X395" s="3083">
        <f ca="1">OFFSET('Q1'!$F262,0,4*(COLUMN()-6))</f>
        <v>93.366666666666674</v>
      </c>
      <c r="Y395" s="3083">
        <f ca="1">OFFSET('Q1'!$F262,0,4*(COLUMN()-6))</f>
        <v>96.367500000000007</v>
      </c>
      <c r="Z395" s="3083">
        <f ca="1">OFFSET('Q1'!$F262,0,4*(COLUMN()-6))</f>
        <v>98.431666666666672</v>
      </c>
      <c r="AA395" s="3083">
        <f ca="1">OFFSET('Q1'!$F262,0,4*(COLUMN()-6))</f>
        <v>99.999166666666667</v>
      </c>
      <c r="AB395" s="3083">
        <f ca="1">OFFSET('Q1'!$F262,0,4*(COLUMN()-6))</f>
        <v>103.45166666666667</v>
      </c>
      <c r="AC395" s="3083">
        <f ca="1">OFFSET('Q1'!$F262,0,4*(COLUMN()-6))</f>
        <v>105.66916666666667</v>
      </c>
      <c r="AD395" s="3083">
        <f ca="1">OFFSET('Q1'!$F262,0,4*(COLUMN()-6))</f>
        <v>108.77943178536566</v>
      </c>
      <c r="AE395" s="3083">
        <f ca="1">OFFSET('Q1'!$F262,0,4*(COLUMN()-6))</f>
        <v>111.48702968513636</v>
      </c>
    </row>
    <row r="396" spans="1:31">
      <c r="A396" s="714"/>
      <c r="B396" s="715">
        <v>176</v>
      </c>
      <c r="C396" s="1395"/>
      <c r="D396" s="113"/>
      <c r="E396" s="113" t="s">
        <v>92</v>
      </c>
      <c r="F396" s="1393"/>
      <c r="G396" s="1420"/>
      <c r="H396" s="1420">
        <f ca="1">OFFSET('Q1'!$F263,0,4*(COLUMN()-6))</f>
        <v>67.873333333333335</v>
      </c>
      <c r="I396" s="1420">
        <f ca="1">OFFSET('Q1'!$F263,0,4*(COLUMN()-6))</f>
        <v>69.010000000000005</v>
      </c>
      <c r="J396" s="1420">
        <f ca="1">OFFSET('Q1'!$F263,0,4*(COLUMN()-6))</f>
        <v>70.149166666666673</v>
      </c>
      <c r="K396" s="1420">
        <f ca="1">OFFSET('Q1'!$F263,0,4*(COLUMN()-6))</f>
        <v>71.216666666666669</v>
      </c>
      <c r="L396" s="1420">
        <f ca="1">OFFSET('Q1'!$F263,0,4*(COLUMN()-6))</f>
        <v>72.830833333333331</v>
      </c>
      <c r="M396" s="1420">
        <f ca="1">OFFSET('Q1'!$F263,0,4*(COLUMN()-6))</f>
        <v>74.323333333333323</v>
      </c>
      <c r="N396" s="1420">
        <f ca="1">OFFSET('Q1'!$F263,0,4*(COLUMN()-6))</f>
        <v>76.248333333333335</v>
      </c>
      <c r="O396" s="1420">
        <f ca="1">OFFSET('Q1'!$F263,0,4*(COLUMN()-6))</f>
        <v>77.691666666666663</v>
      </c>
      <c r="P396" s="1420">
        <f ca="1">OFFSET('Q1'!$F263,0,4*(COLUMN()-6))</f>
        <v>79.337500000000006</v>
      </c>
      <c r="Q396" s="1420">
        <f ca="1">OFFSET('Q1'!$F263,0,4*(COLUMN()-6))</f>
        <v>81.018333333333345</v>
      </c>
      <c r="R396" s="1420">
        <f ca="1">OFFSET('Q1'!$F263,0,4*(COLUMN()-6))</f>
        <v>82.69583333333334</v>
      </c>
      <c r="S396" s="1420">
        <f ca="1">OFFSET('Q1'!$F263,0,4*(COLUMN()-6))</f>
        <v>84.271666666666675</v>
      </c>
      <c r="T396" s="1420">
        <f ca="1">OFFSET('Q1'!$F263,0,4*(COLUMN()-6))</f>
        <v>86.17916666666666</v>
      </c>
      <c r="U396" s="1420">
        <f ca="1">OFFSET('Q1'!$F263,0,4*(COLUMN()-6))</f>
        <v>88.45</v>
      </c>
      <c r="V396" s="1420">
        <f ca="1">OFFSET('Q1'!$F263,0,4*(COLUMN()-6))</f>
        <v>89.685833333333349</v>
      </c>
      <c r="W396" s="1420">
        <f ca="1">OFFSET('Q1'!$F263,0,4*(COLUMN()-6))</f>
        <v>91.410833333333329</v>
      </c>
      <c r="X396" s="1420">
        <f ca="1">OFFSET('Q1'!$F263,0,4*(COLUMN()-6))</f>
        <v>93.730833333333322</v>
      </c>
      <c r="Y396" s="1420">
        <f ca="1">OFFSET('Q1'!$F263,0,4*(COLUMN()-6))</f>
        <v>95.493333333333325</v>
      </c>
      <c r="Z396" s="1420">
        <f ca="1">OFFSET('Q1'!$F263,0,4*(COLUMN()-6))</f>
        <v>97.64166666666668</v>
      </c>
      <c r="AA396" s="1420">
        <f ca="1">OFFSET('Q1'!$F263,0,4*(COLUMN()-6))</f>
        <v>100</v>
      </c>
      <c r="AB396" s="1420">
        <f ca="1">OFFSET('Q1'!$F263,0,4*(COLUMN()-6))</f>
        <v>102.23166666666665</v>
      </c>
      <c r="AC396" s="1420">
        <f ca="1">OFFSET('Q1'!$F263,0,4*(COLUMN()-6))</f>
        <v>104.18166666666667</v>
      </c>
      <c r="AD396" s="1420">
        <f ca="1">OFFSET('Q1'!$F263,0,4*(COLUMN()-6))</f>
        <v>106.22235858090809</v>
      </c>
      <c r="AE396" s="1420">
        <f ca="1">OFFSET('Q1'!$F263,0,4*(COLUMN()-6))</f>
        <v>108.55515362208634</v>
      </c>
    </row>
    <row r="397" spans="1:31">
      <c r="A397" s="714"/>
      <c r="C397" s="3"/>
      <c r="D397" s="1880"/>
      <c r="E397" s="45" t="s">
        <v>1139</v>
      </c>
      <c r="F397" s="1387"/>
      <c r="G397" s="30"/>
      <c r="H397" s="1428">
        <f ca="1">OFFSET('Q1'!$F265,0,4*(COLUMN()-6))</f>
        <v>70.475833333333327</v>
      </c>
      <c r="I397" s="1428">
        <f ca="1">OFFSET('Q1'!$F265,0,4*(COLUMN()-6))</f>
        <v>71.534999999999997</v>
      </c>
      <c r="J397" s="1428">
        <f ca="1">OFFSET('Q1'!$F265,0,4*(COLUMN()-6))</f>
        <v>72.18416666666667</v>
      </c>
      <c r="K397" s="1428">
        <f ca="1">OFFSET('Q1'!$F265,0,4*(COLUMN()-6))</f>
        <v>73.00333333333333</v>
      </c>
      <c r="L397" s="1428">
        <f ca="1">OFFSET('Q1'!$F265,0,4*(COLUMN()-6))</f>
        <v>74.959166666666675</v>
      </c>
      <c r="M397" s="1428">
        <f ca="1">OFFSET('Q1'!$F265,0,4*(COLUMN()-6))</f>
        <v>76.784166666666664</v>
      </c>
      <c r="N397" s="1428">
        <f ca="1">OFFSET('Q1'!$F265,0,4*(COLUMN()-6))</f>
        <v>77.972500000000011</v>
      </c>
      <c r="O397" s="1428">
        <f ca="1">OFFSET('Q1'!$F265,0,4*(COLUMN()-6))</f>
        <v>79.155000000000001</v>
      </c>
      <c r="P397" s="1428">
        <f ca="1">OFFSET('Q1'!$F265,0,4*(COLUMN()-6))</f>
        <v>80.625</v>
      </c>
      <c r="Q397" s="1428">
        <f ca="1">OFFSET('Q1'!$F265,0,4*(COLUMN()-6))</f>
        <v>82.670833333333334</v>
      </c>
      <c r="R397" s="1428">
        <f ca="1">OFFSET('Q1'!$F265,0,4*(COLUMN()-6))</f>
        <v>84.595000000000013</v>
      </c>
      <c r="S397" s="1428">
        <f ca="1">OFFSET('Q1'!$F265,0,4*(COLUMN()-6))</f>
        <v>86.131666666666661</v>
      </c>
      <c r="T397" s="1428">
        <f ca="1">OFFSET('Q1'!$F265,0,4*(COLUMN()-6))</f>
        <v>89.998333333333335</v>
      </c>
      <c r="U397" s="1428">
        <f ca="1">OFFSET('Q1'!$F265,0,4*(COLUMN()-6))</f>
        <v>89.992500000000007</v>
      </c>
      <c r="V397" s="1428">
        <f ca="1">OFFSET('Q1'!$F265,0,4*(COLUMN()-6))</f>
        <v>92.096643568921706</v>
      </c>
      <c r="W397" s="1428">
        <f ca="1">OFFSET('Q1'!$F265,0,4*(COLUMN()-6))</f>
        <v>95.216275181566672</v>
      </c>
      <c r="X397" s="1428">
        <f ca="1">OFFSET('Q1'!$F265,0,4*(COLUMN()-6))</f>
        <v>97.722450885236256</v>
      </c>
      <c r="Y397" s="1428">
        <f ca="1">OFFSET('Q1'!$F265,0,4*(COLUMN()-6))</f>
        <v>98.951829637314617</v>
      </c>
      <c r="Z397" s="1428">
        <f ca="1">OFFSET('Q1'!$F265,0,4*(COLUMN()-6))</f>
        <v>99.440370292367717</v>
      </c>
      <c r="AA397" s="1428">
        <f ca="1">OFFSET('Q1'!$F265,0,4*(COLUMN()-6))</f>
        <v>100.03488170946527</v>
      </c>
      <c r="AB397" s="1428">
        <f ca="1">OFFSET('Q1'!$F265,0,4*(COLUMN()-6))</f>
        <v>101.83647270347551</v>
      </c>
      <c r="AC397" s="1428">
        <f ca="1">OFFSET('Q1'!$F265,0,4*(COLUMN()-6))</f>
        <v>104.08314754622047</v>
      </c>
      <c r="AD397" s="1428">
        <f ca="1">OFFSET('Q1'!$F265,0,4*(COLUMN()-6))</f>
        <v>105.71772765627794</v>
      </c>
      <c r="AE397" s="1428">
        <f ca="1">OFFSET('Q1'!$F265,0,4*(COLUMN()-6))</f>
        <v>107.44543097388588</v>
      </c>
    </row>
    <row r="398" spans="1:31">
      <c r="A398" s="714"/>
      <c r="C398" s="3"/>
      <c r="D398" s="1880"/>
      <c r="E398" s="45" t="s">
        <v>703</v>
      </c>
      <c r="F398" s="1387"/>
      <c r="G398" s="30"/>
      <c r="H398" s="1428">
        <f ca="1">OFFSET('Q1'!$F268,0,4*(COLUMN()-6))</f>
        <v>73.316666666666663</v>
      </c>
      <c r="I398" s="1428">
        <f ca="1">OFFSET('Q1'!$F268,0,4*(COLUMN()-6))</f>
        <v>74.138333333333335</v>
      </c>
      <c r="J398" s="1428">
        <f ca="1">OFFSET('Q1'!$F268,0,4*(COLUMN()-6))</f>
        <v>75.019166666666678</v>
      </c>
      <c r="K398" s="1428">
        <f ca="1">OFFSET('Q1'!$F268,0,4*(COLUMN()-6))</f>
        <v>75.807500000000005</v>
      </c>
      <c r="L398" s="1428">
        <f ca="1">OFFSET('Q1'!$F268,0,4*(COLUMN()-6))</f>
        <v>76.67</v>
      </c>
      <c r="M398" s="1428">
        <f ca="1">OFFSET('Q1'!$F268,0,4*(COLUMN()-6))</f>
        <v>78.260000000000005</v>
      </c>
      <c r="N398" s="1428">
        <f ca="1">OFFSET('Q1'!$F268,0,4*(COLUMN()-6))</f>
        <v>79.872500000000016</v>
      </c>
      <c r="O398" s="1428">
        <f ca="1">OFFSET('Q1'!$F268,0,4*(COLUMN()-6))</f>
        <v>81.2</v>
      </c>
      <c r="P398" s="1428">
        <f ca="1">OFFSET('Q1'!$F268,0,4*(COLUMN()-6))</f>
        <v>82.347499999999997</v>
      </c>
      <c r="Q398" s="1428">
        <f ca="1">OFFSET('Q1'!$F268,0,4*(COLUMN()-6))</f>
        <v>83.480833333333337</v>
      </c>
      <c r="R398" s="1428">
        <f ca="1">OFFSET('Q1'!$F268,0,4*(COLUMN()-6))</f>
        <v>84.827500000000001</v>
      </c>
      <c r="S398" s="1428">
        <f ca="1">OFFSET('Q1'!$F268,0,4*(COLUMN()-6))</f>
        <v>86.440833333333345</v>
      </c>
      <c r="T398" s="1428">
        <f ca="1">OFFSET('Q1'!$F268,0,4*(COLUMN()-6))</f>
        <v>88.787499999999994</v>
      </c>
      <c r="U398" s="1428">
        <f ca="1">OFFSET('Q1'!$F268,0,4*(COLUMN()-6))</f>
        <v>90.586666666666659</v>
      </c>
      <c r="V398" s="1428">
        <f ca="1">OFFSET('Q1'!$F268,0,4*(COLUMN()-6))</f>
        <v>91.616294665506075</v>
      </c>
      <c r="W398" s="1428">
        <f ca="1">OFFSET('Q1'!$F268,0,4*(COLUMN()-6))</f>
        <v>93.258054906776891</v>
      </c>
      <c r="X398" s="1428">
        <f ca="1">OFFSET('Q1'!$F268,0,4*(COLUMN()-6))</f>
        <v>95.183011608385485</v>
      </c>
      <c r="Y398" s="1428">
        <f ca="1">OFFSET('Q1'!$F268,0,4*(COLUMN()-6))</f>
        <v>96.885181272857466</v>
      </c>
      <c r="Z398" s="1428">
        <f ca="1">OFFSET('Q1'!$F268,0,4*(COLUMN()-6))</f>
        <v>98.406975892572191</v>
      </c>
      <c r="AA398" s="1428">
        <f ca="1">OFFSET('Q1'!$F268,0,4*(COLUMN()-6))</f>
        <v>100.00708265702174</v>
      </c>
      <c r="AB398" s="1428">
        <f ca="1">OFFSET('Q1'!$F268,0,4*(COLUMN()-6))</f>
        <v>102.02900166525791</v>
      </c>
      <c r="AC398" s="1428">
        <f ca="1">OFFSET('Q1'!$F268,0,4*(COLUMN()-6))</f>
        <v>103.64917402484051</v>
      </c>
      <c r="AD398" s="1428">
        <f ca="1">OFFSET('Q1'!$F268,0,4*(COLUMN()-6))</f>
        <v>105.52166758961401</v>
      </c>
      <c r="AE398" s="1428">
        <f ca="1">OFFSET('Q1'!$F268,0,4*(COLUMN()-6))</f>
        <v>107.49474248580444</v>
      </c>
    </row>
    <row r="399" spans="1:31">
      <c r="E399" s="1"/>
    </row>
    <row r="401" spans="1:31" s="749" customFormat="1" ht="12.75" customHeight="1">
      <c r="A401" s="714"/>
      <c r="B401" s="714"/>
      <c r="C401" s="822"/>
      <c r="D401" s="3235"/>
      <c r="E401" s="3236" t="s">
        <v>1228</v>
      </c>
      <c r="F401" s="3237"/>
      <c r="G401" s="3238">
        <f>InputY!$G$3</f>
        <v>1995</v>
      </c>
      <c r="H401" s="3238">
        <f t="shared" ref="H401:W401" si="477">+G401+1</f>
        <v>1996</v>
      </c>
      <c r="I401" s="3238">
        <f t="shared" si="477"/>
        <v>1997</v>
      </c>
      <c r="J401" s="3238">
        <f t="shared" si="477"/>
        <v>1998</v>
      </c>
      <c r="K401" s="3238">
        <f t="shared" si="477"/>
        <v>1999</v>
      </c>
      <c r="L401" s="3238">
        <f t="shared" si="477"/>
        <v>2000</v>
      </c>
      <c r="M401" s="3238">
        <f t="shared" si="477"/>
        <v>2001</v>
      </c>
      <c r="N401" s="3238">
        <f t="shared" si="477"/>
        <v>2002</v>
      </c>
      <c r="O401" s="3238">
        <f t="shared" si="477"/>
        <v>2003</v>
      </c>
      <c r="P401" s="3238">
        <f t="shared" si="477"/>
        <v>2004</v>
      </c>
      <c r="Q401" s="3238">
        <f t="shared" si="477"/>
        <v>2005</v>
      </c>
      <c r="R401" s="3238">
        <f t="shared" si="477"/>
        <v>2006</v>
      </c>
      <c r="S401" s="3238">
        <f t="shared" si="477"/>
        <v>2007</v>
      </c>
      <c r="T401" s="3238">
        <f t="shared" si="477"/>
        <v>2008</v>
      </c>
      <c r="U401" s="3238">
        <f t="shared" si="477"/>
        <v>2009</v>
      </c>
      <c r="V401" s="3238">
        <f t="shared" si="477"/>
        <v>2010</v>
      </c>
      <c r="W401" s="3238">
        <f t="shared" si="477"/>
        <v>2011</v>
      </c>
      <c r="X401" s="3238">
        <f t="shared" ref="X401:AE401" si="478">+W401+1</f>
        <v>2012</v>
      </c>
      <c r="Y401" s="3238">
        <f t="shared" si="478"/>
        <v>2013</v>
      </c>
      <c r="Z401" s="3238">
        <f t="shared" si="478"/>
        <v>2014</v>
      </c>
      <c r="AA401" s="3238">
        <f t="shared" si="478"/>
        <v>2015</v>
      </c>
      <c r="AB401" s="3238">
        <f t="shared" si="478"/>
        <v>2016</v>
      </c>
      <c r="AC401" s="3238">
        <f t="shared" si="478"/>
        <v>2017</v>
      </c>
      <c r="AD401" s="3238">
        <f t="shared" si="478"/>
        <v>2018</v>
      </c>
      <c r="AE401" s="3238">
        <f t="shared" si="478"/>
        <v>2019</v>
      </c>
    </row>
    <row r="402" spans="1:31" s="749" customFormat="1" ht="12.75" customHeight="1">
      <c r="A402" s="714"/>
      <c r="B402" s="714"/>
      <c r="C402" s="1115" t="s">
        <v>624</v>
      </c>
      <c r="D402" s="1117"/>
      <c r="E402" s="1118" t="s">
        <v>1043</v>
      </c>
      <c r="F402" s="1119" t="s">
        <v>1275</v>
      </c>
      <c r="G402" s="3064">
        <f ca="1">+$G$192/$G$7*100</f>
        <v>72.52396699414443</v>
      </c>
      <c r="H402" s="3064">
        <f t="shared" ref="H402:AB402" si="479">+H192/H7*100</f>
        <v>76.452977939375842</v>
      </c>
      <c r="I402" s="3064">
        <f t="shared" si="479"/>
        <v>77.612833629926186</v>
      </c>
      <c r="J402" s="3064">
        <f t="shared" si="479"/>
        <v>78.545717051484246</v>
      </c>
      <c r="K402" s="3064">
        <f t="shared" si="479"/>
        <v>79.034361349981708</v>
      </c>
      <c r="L402" s="3064">
        <f t="shared" si="479"/>
        <v>81.571833519688084</v>
      </c>
      <c r="M402" s="3064">
        <f t="shared" si="479"/>
        <v>83.237887360144754</v>
      </c>
      <c r="N402" s="3064">
        <f t="shared" si="479"/>
        <v>84.39002365667271</v>
      </c>
      <c r="O402" s="3064">
        <f t="shared" si="479"/>
        <v>85.721036878347064</v>
      </c>
      <c r="P402" s="3064">
        <f t="shared" si="479"/>
        <v>87.790036109643282</v>
      </c>
      <c r="Q402" s="3064">
        <f t="shared" si="479"/>
        <v>90.161564450788376</v>
      </c>
      <c r="R402" s="3064">
        <f t="shared" si="479"/>
        <v>92.961955238367153</v>
      </c>
      <c r="S402" s="3064">
        <f t="shared" si="479"/>
        <v>95.651258279274344</v>
      </c>
      <c r="T402" s="3064">
        <f t="shared" si="479"/>
        <v>98.695966357502286</v>
      </c>
      <c r="U402" s="3064">
        <f t="shared" si="479"/>
        <v>98.294923048493658</v>
      </c>
      <c r="V402" s="3064">
        <f t="shared" si="479"/>
        <v>100</v>
      </c>
      <c r="W402" s="3064">
        <f t="shared" si="479"/>
        <v>103.00692991969767</v>
      </c>
      <c r="X402" s="3064">
        <f t="shared" si="479"/>
        <v>105.07901967642933</v>
      </c>
      <c r="Y402" s="3064">
        <f t="shared" si="479"/>
        <v>105.96100376173985</v>
      </c>
      <c r="Z402" s="3064">
        <f t="shared" ref="Z402" si="480">+Z192/Z7*100</f>
        <v>106.60817762722101</v>
      </c>
      <c r="AA402" s="3064">
        <f t="shared" si="479"/>
        <v>107.19462801380688</v>
      </c>
      <c r="AB402" s="3064">
        <f t="shared" si="479"/>
        <v>108.80677853223639</v>
      </c>
      <c r="AC402" s="3064">
        <f t="shared" ref="AC402:AD402" si="481">+AC192/AC7*100</f>
        <v>110.64975650624919</v>
      </c>
      <c r="AD402" s="3064">
        <f t="shared" ca="1" si="481"/>
        <v>112.53080236685543</v>
      </c>
      <c r="AE402" s="3064">
        <f t="shared" ref="AE402" ca="1" si="482">+AE192/AE7*100</f>
        <v>113.99370279762454</v>
      </c>
    </row>
    <row r="404" spans="1:31" s="749" customFormat="1" ht="12.75" customHeight="1">
      <c r="A404" s="714"/>
      <c r="B404" s="714"/>
      <c r="C404" s="822"/>
      <c r="D404" s="790"/>
      <c r="E404" s="791" t="s">
        <v>1228</v>
      </c>
      <c r="F404" s="792"/>
      <c r="G404" s="939">
        <f>InputY!$G$3</f>
        <v>1995</v>
      </c>
      <c r="H404" s="939">
        <f t="shared" ref="H404:W404" si="483">+G404+1</f>
        <v>1996</v>
      </c>
      <c r="I404" s="939">
        <f t="shared" si="483"/>
        <v>1997</v>
      </c>
      <c r="J404" s="939">
        <f t="shared" si="483"/>
        <v>1998</v>
      </c>
      <c r="K404" s="939">
        <f t="shared" si="483"/>
        <v>1999</v>
      </c>
      <c r="L404" s="939">
        <f t="shared" si="483"/>
        <v>2000</v>
      </c>
      <c r="M404" s="939">
        <f t="shared" si="483"/>
        <v>2001</v>
      </c>
      <c r="N404" s="939">
        <f t="shared" si="483"/>
        <v>2002</v>
      </c>
      <c r="O404" s="939">
        <f t="shared" si="483"/>
        <v>2003</v>
      </c>
      <c r="P404" s="939">
        <f t="shared" si="483"/>
        <v>2004</v>
      </c>
      <c r="Q404" s="939">
        <f t="shared" si="483"/>
        <v>2005</v>
      </c>
      <c r="R404" s="939">
        <f t="shared" si="483"/>
        <v>2006</v>
      </c>
      <c r="S404" s="939">
        <f t="shared" si="483"/>
        <v>2007</v>
      </c>
      <c r="T404" s="939">
        <f t="shared" si="483"/>
        <v>2008</v>
      </c>
      <c r="U404" s="939">
        <f t="shared" si="483"/>
        <v>2009</v>
      </c>
      <c r="V404" s="939">
        <f t="shared" si="483"/>
        <v>2010</v>
      </c>
      <c r="W404" s="939">
        <f t="shared" si="483"/>
        <v>2011</v>
      </c>
      <c r="X404" s="939">
        <f t="shared" ref="X404:AE404" si="484">+W404+1</f>
        <v>2012</v>
      </c>
      <c r="Y404" s="939">
        <f t="shared" si="484"/>
        <v>2013</v>
      </c>
      <c r="Z404" s="939">
        <f t="shared" si="484"/>
        <v>2014</v>
      </c>
      <c r="AA404" s="939">
        <f t="shared" si="484"/>
        <v>2015</v>
      </c>
      <c r="AB404" s="939">
        <f t="shared" si="484"/>
        <v>2016</v>
      </c>
      <c r="AC404" s="939">
        <f t="shared" si="484"/>
        <v>2017</v>
      </c>
      <c r="AD404" s="939">
        <f t="shared" si="484"/>
        <v>2018</v>
      </c>
      <c r="AE404" s="939">
        <f t="shared" si="484"/>
        <v>2019</v>
      </c>
    </row>
    <row r="405" spans="1:31" s="749" customFormat="1" ht="12.75" customHeight="1">
      <c r="A405" s="714"/>
      <c r="B405" s="714"/>
      <c r="C405" s="3067" t="s">
        <v>624</v>
      </c>
      <c r="D405" s="3068"/>
      <c r="E405" s="3069" t="s">
        <v>1043</v>
      </c>
      <c r="F405" s="3070" t="s">
        <v>1275</v>
      </c>
      <c r="G405" s="3071"/>
      <c r="H405" s="3071">
        <f t="shared" ref="H405:AE405" ca="1" si="485">+(H402/G402-1)*100</f>
        <v>5.4175345173115508</v>
      </c>
      <c r="I405" s="3071">
        <f t="shared" si="485"/>
        <v>1.5170837314800956</v>
      </c>
      <c r="J405" s="3071">
        <f t="shared" si="485"/>
        <v>1.2019705735861086</v>
      </c>
      <c r="K405" s="3071">
        <f t="shared" si="485"/>
        <v>0.62211450457212436</v>
      </c>
      <c r="L405" s="3071">
        <f t="shared" si="485"/>
        <v>3.2105936283458814</v>
      </c>
      <c r="M405" s="3071">
        <f t="shared" si="485"/>
        <v>2.0424376510484565</v>
      </c>
      <c r="N405" s="3071">
        <f t="shared" si="485"/>
        <v>1.3841488930912194</v>
      </c>
      <c r="O405" s="3071">
        <f t="shared" si="485"/>
        <v>1.5772163153898067</v>
      </c>
      <c r="P405" s="3071">
        <f t="shared" si="485"/>
        <v>2.4136423293998233</v>
      </c>
      <c r="Q405" s="3071">
        <f t="shared" si="485"/>
        <v>2.701363897587683</v>
      </c>
      <c r="R405" s="3071">
        <f t="shared" si="485"/>
        <v>3.1059696053824304</v>
      </c>
      <c r="S405" s="3071">
        <f t="shared" si="485"/>
        <v>2.8929071403580586</v>
      </c>
      <c r="T405" s="3071">
        <f t="shared" si="485"/>
        <v>3.1831343706302917</v>
      </c>
      <c r="U405" s="3071">
        <f t="shared" si="485"/>
        <v>-0.40634214731324336</v>
      </c>
      <c r="V405" s="3071">
        <f t="shared" si="485"/>
        <v>1.7346541394260395</v>
      </c>
      <c r="W405" s="3071">
        <f t="shared" si="485"/>
        <v>3.0069299196976651</v>
      </c>
      <c r="X405" s="3071">
        <f t="shared" si="485"/>
        <v>2.0116022857365135</v>
      </c>
      <c r="Y405" s="3071">
        <f t="shared" si="485"/>
        <v>0.8393531725233272</v>
      </c>
      <c r="Z405" s="3071">
        <f t="shared" si="485"/>
        <v>0.61076607667513994</v>
      </c>
      <c r="AA405" s="3071">
        <f t="shared" si="485"/>
        <v>0.55009887575090399</v>
      </c>
      <c r="AB405" s="3071">
        <f t="shared" si="485"/>
        <v>1.5039471177808128</v>
      </c>
      <c r="AC405" s="3071">
        <f t="shared" si="485"/>
        <v>1.6938080502647779</v>
      </c>
      <c r="AD405" s="3071">
        <f t="shared" ca="1" si="485"/>
        <v>1.6999999999999904</v>
      </c>
      <c r="AE405" s="3071">
        <f t="shared" ca="1" si="485"/>
        <v>1.2999999999999901</v>
      </c>
    </row>
    <row r="407" spans="1:31" s="749" customFormat="1" ht="12.75" customHeight="1">
      <c r="A407" s="714"/>
      <c r="B407" s="714"/>
      <c r="C407" s="822"/>
      <c r="D407" s="3235"/>
      <c r="E407" s="3236" t="s">
        <v>1229</v>
      </c>
      <c r="F407" s="3237"/>
      <c r="G407" s="3238">
        <f>InputY!$G$3</f>
        <v>1995</v>
      </c>
      <c r="H407" s="3238">
        <f t="shared" ref="H407:W407" si="486">+G407+1</f>
        <v>1996</v>
      </c>
      <c r="I407" s="3238">
        <f t="shared" si="486"/>
        <v>1997</v>
      </c>
      <c r="J407" s="3238">
        <f t="shared" si="486"/>
        <v>1998</v>
      </c>
      <c r="K407" s="3238">
        <f t="shared" si="486"/>
        <v>1999</v>
      </c>
      <c r="L407" s="3238">
        <f t="shared" si="486"/>
        <v>2000</v>
      </c>
      <c r="M407" s="3238">
        <f t="shared" si="486"/>
        <v>2001</v>
      </c>
      <c r="N407" s="3238">
        <f t="shared" si="486"/>
        <v>2002</v>
      </c>
      <c r="O407" s="3238">
        <f t="shared" si="486"/>
        <v>2003</v>
      </c>
      <c r="P407" s="3238">
        <f t="shared" si="486"/>
        <v>2004</v>
      </c>
      <c r="Q407" s="3238">
        <f t="shared" si="486"/>
        <v>2005</v>
      </c>
      <c r="R407" s="3238">
        <f t="shared" si="486"/>
        <v>2006</v>
      </c>
      <c r="S407" s="3238">
        <f t="shared" si="486"/>
        <v>2007</v>
      </c>
      <c r="T407" s="3238">
        <f t="shared" si="486"/>
        <v>2008</v>
      </c>
      <c r="U407" s="3238">
        <f t="shared" si="486"/>
        <v>2009</v>
      </c>
      <c r="V407" s="3238">
        <f t="shared" si="486"/>
        <v>2010</v>
      </c>
      <c r="W407" s="3238">
        <f t="shared" si="486"/>
        <v>2011</v>
      </c>
      <c r="X407" s="3238">
        <f t="shared" ref="X407:AE407" si="487">+W407+1</f>
        <v>2012</v>
      </c>
      <c r="Y407" s="3238">
        <f t="shared" si="487"/>
        <v>2013</v>
      </c>
      <c r="Z407" s="3238">
        <f t="shared" si="487"/>
        <v>2014</v>
      </c>
      <c r="AA407" s="3238">
        <f t="shared" si="487"/>
        <v>2015</v>
      </c>
      <c r="AB407" s="3238">
        <f t="shared" si="487"/>
        <v>2016</v>
      </c>
      <c r="AC407" s="3238">
        <f t="shared" si="487"/>
        <v>2017</v>
      </c>
      <c r="AD407" s="3238">
        <f t="shared" si="487"/>
        <v>2018</v>
      </c>
      <c r="AE407" s="3238">
        <f t="shared" si="487"/>
        <v>2019</v>
      </c>
    </row>
    <row r="408" spans="1:31" s="749" customFormat="1" ht="12.75" customHeight="1">
      <c r="A408" s="714"/>
      <c r="B408" s="714"/>
      <c r="C408" s="1115" t="s">
        <v>622</v>
      </c>
      <c r="D408" s="1117"/>
      <c r="E408" s="1118" t="s">
        <v>1043</v>
      </c>
      <c r="F408" s="1119" t="s">
        <v>1230</v>
      </c>
      <c r="G408" s="3064">
        <f t="shared" ref="G408:AB408" ca="1" si="488">+G200/G13*100</f>
        <v>62.696063053878127</v>
      </c>
      <c r="H408" s="3064">
        <f t="shared" si="488"/>
        <v>67.985093582349478</v>
      </c>
      <c r="I408" s="3064">
        <f t="shared" si="488"/>
        <v>68.883519232355368</v>
      </c>
      <c r="J408" s="3064">
        <f t="shared" si="488"/>
        <v>69.852178206551159</v>
      </c>
      <c r="K408" s="3064">
        <f t="shared" si="488"/>
        <v>71.395197152549301</v>
      </c>
      <c r="L408" s="3064">
        <f t="shared" si="488"/>
        <v>72.805910561147542</v>
      </c>
      <c r="M408" s="3064">
        <f t="shared" si="488"/>
        <v>75.630855556476789</v>
      </c>
      <c r="N408" s="3064">
        <f t="shared" si="488"/>
        <v>78.523473235734812</v>
      </c>
      <c r="O408" s="3064">
        <f t="shared" si="488"/>
        <v>81.154068095947451</v>
      </c>
      <c r="P408" s="3064">
        <f t="shared" si="488"/>
        <v>83.228920531584123</v>
      </c>
      <c r="Q408" s="3064">
        <f t="shared" si="488"/>
        <v>86.513846899146898</v>
      </c>
      <c r="R408" s="3064">
        <f t="shared" si="488"/>
        <v>88.99932647261312</v>
      </c>
      <c r="S408" s="3064">
        <f t="shared" si="488"/>
        <v>90.859893971942128</v>
      </c>
      <c r="T408" s="3064">
        <f t="shared" si="488"/>
        <v>94.797078265097639</v>
      </c>
      <c r="U408" s="3064">
        <f t="shared" si="488"/>
        <v>98.356260133453119</v>
      </c>
      <c r="V408" s="3064">
        <f t="shared" si="488"/>
        <v>100</v>
      </c>
      <c r="W408" s="3064">
        <f t="shared" si="488"/>
        <v>103.5235510263623</v>
      </c>
      <c r="X408" s="3064">
        <f t="shared" si="488"/>
        <v>106.48198278810889</v>
      </c>
      <c r="Y408" s="3064">
        <f t="shared" si="488"/>
        <v>108.49311399651963</v>
      </c>
      <c r="Z408" s="3064">
        <f t="shared" ref="Z408" si="489">+Z200/Z13*100</f>
        <v>109.25825035280256</v>
      </c>
      <c r="AA408" s="3064">
        <f t="shared" si="488"/>
        <v>109.64210117357057</v>
      </c>
      <c r="AB408" s="3064">
        <f t="shared" si="488"/>
        <v>110.74036067372552</v>
      </c>
      <c r="AC408" s="3064">
        <f t="shared" ref="AC408:AD408" si="490">+AC200/AC13*100</f>
        <v>112.72607387667072</v>
      </c>
      <c r="AD408" s="3064">
        <f t="shared" ca="1" si="490"/>
        <v>114.91295970987817</v>
      </c>
      <c r="AE408" s="3064">
        <f t="shared" ref="AE408" ca="1" si="491">+AE200/AE13*100</f>
        <v>117.01586687256891</v>
      </c>
    </row>
    <row r="410" spans="1:31" s="749" customFormat="1" ht="12.75" customHeight="1">
      <c r="A410" s="714"/>
      <c r="B410" s="714"/>
      <c r="C410" s="822"/>
      <c r="D410" s="3073"/>
      <c r="E410" s="3074" t="s">
        <v>1229</v>
      </c>
      <c r="F410" s="3075"/>
      <c r="G410" s="939">
        <f>InputY!$G$3</f>
        <v>1995</v>
      </c>
      <c r="H410" s="939">
        <f t="shared" ref="H410:W410" si="492">+G410+1</f>
        <v>1996</v>
      </c>
      <c r="I410" s="939">
        <f t="shared" si="492"/>
        <v>1997</v>
      </c>
      <c r="J410" s="939">
        <f t="shared" si="492"/>
        <v>1998</v>
      </c>
      <c r="K410" s="939">
        <f t="shared" si="492"/>
        <v>1999</v>
      </c>
      <c r="L410" s="939">
        <f t="shared" si="492"/>
        <v>2000</v>
      </c>
      <c r="M410" s="939">
        <f t="shared" si="492"/>
        <v>2001</v>
      </c>
      <c r="N410" s="939">
        <f t="shared" si="492"/>
        <v>2002</v>
      </c>
      <c r="O410" s="939">
        <f t="shared" si="492"/>
        <v>2003</v>
      </c>
      <c r="P410" s="939">
        <f t="shared" si="492"/>
        <v>2004</v>
      </c>
      <c r="Q410" s="939">
        <f t="shared" si="492"/>
        <v>2005</v>
      </c>
      <c r="R410" s="939">
        <f t="shared" si="492"/>
        <v>2006</v>
      </c>
      <c r="S410" s="939">
        <f t="shared" si="492"/>
        <v>2007</v>
      </c>
      <c r="T410" s="939">
        <f t="shared" si="492"/>
        <v>2008</v>
      </c>
      <c r="U410" s="939">
        <f t="shared" si="492"/>
        <v>2009</v>
      </c>
      <c r="V410" s="939">
        <f t="shared" si="492"/>
        <v>2010</v>
      </c>
      <c r="W410" s="939">
        <f t="shared" si="492"/>
        <v>2011</v>
      </c>
      <c r="X410" s="939">
        <f t="shared" ref="X410:AE410" si="493">+W410+1</f>
        <v>2012</v>
      </c>
      <c r="Y410" s="939">
        <f t="shared" si="493"/>
        <v>2013</v>
      </c>
      <c r="Z410" s="939">
        <f t="shared" si="493"/>
        <v>2014</v>
      </c>
      <c r="AA410" s="939">
        <f t="shared" si="493"/>
        <v>2015</v>
      </c>
      <c r="AB410" s="939">
        <f t="shared" si="493"/>
        <v>2016</v>
      </c>
      <c r="AC410" s="939">
        <f t="shared" si="493"/>
        <v>2017</v>
      </c>
      <c r="AD410" s="939">
        <f t="shared" si="493"/>
        <v>2018</v>
      </c>
      <c r="AE410" s="939">
        <f t="shared" si="493"/>
        <v>2019</v>
      </c>
    </row>
    <row r="411" spans="1:31" s="749" customFormat="1" ht="12.75" customHeight="1">
      <c r="A411" s="714"/>
      <c r="B411" s="714"/>
      <c r="C411" s="3067" t="s">
        <v>622</v>
      </c>
      <c r="D411" s="3068"/>
      <c r="E411" s="3069" t="s">
        <v>1043</v>
      </c>
      <c r="F411" s="3070" t="s">
        <v>1230</v>
      </c>
      <c r="G411" s="3071"/>
      <c r="H411" s="3071">
        <f t="shared" ref="H411:AE411" ca="1" si="494">(H408/G408-1)*100</f>
        <v>8.4359850855805654</v>
      </c>
      <c r="I411" s="3071">
        <f t="shared" si="494"/>
        <v>1.3215038807259161</v>
      </c>
      <c r="J411" s="3071">
        <f t="shared" si="494"/>
        <v>1.4062274764568006</v>
      </c>
      <c r="K411" s="3071">
        <f t="shared" si="494"/>
        <v>2.2089775660759869</v>
      </c>
      <c r="L411" s="3071">
        <f t="shared" si="494"/>
        <v>1.9759220015654444</v>
      </c>
      <c r="M411" s="3071">
        <f t="shared" si="494"/>
        <v>3.8801039277664984</v>
      </c>
      <c r="N411" s="3071">
        <f t="shared" si="494"/>
        <v>3.8246528589088724</v>
      </c>
      <c r="O411" s="3071">
        <f t="shared" si="494"/>
        <v>3.3500745086954442</v>
      </c>
      <c r="P411" s="3071">
        <f t="shared" si="494"/>
        <v>2.5566832129519268</v>
      </c>
      <c r="Q411" s="3071">
        <f t="shared" si="494"/>
        <v>3.9468568696817252</v>
      </c>
      <c r="R411" s="3071">
        <f t="shared" si="494"/>
        <v>2.8729268926899643</v>
      </c>
      <c r="S411" s="3071">
        <f t="shared" si="494"/>
        <v>2.0905411007818619</v>
      </c>
      <c r="T411" s="3071">
        <f t="shared" si="494"/>
        <v>4.3332477301496031</v>
      </c>
      <c r="U411" s="3071">
        <f t="shared" si="494"/>
        <v>3.7545269680172133</v>
      </c>
      <c r="V411" s="3071">
        <f t="shared" si="494"/>
        <v>1.671210215106389</v>
      </c>
      <c r="W411" s="3071">
        <f t="shared" si="494"/>
        <v>3.5235510263623038</v>
      </c>
      <c r="X411" s="3071">
        <f t="shared" si="494"/>
        <v>2.8577379083463139</v>
      </c>
      <c r="Y411" s="3071">
        <f t="shared" si="494"/>
        <v>1.8887056342787423</v>
      </c>
      <c r="Z411" s="3071">
        <f t="shared" si="494"/>
        <v>0.70523955677728178</v>
      </c>
      <c r="AA411" s="3071">
        <f t="shared" si="494"/>
        <v>0.35132433434410526</v>
      </c>
      <c r="AB411" s="3071">
        <f t="shared" si="494"/>
        <v>1.001676808816665</v>
      </c>
      <c r="AC411" s="3071">
        <f t="shared" si="494"/>
        <v>1.7931250998863169</v>
      </c>
      <c r="AD411" s="3071">
        <f t="shared" ca="1" si="494"/>
        <v>1.9400000000000306</v>
      </c>
      <c r="AE411" s="3071">
        <f t="shared" ca="1" si="494"/>
        <v>1.8299999999999761</v>
      </c>
    </row>
    <row r="413" spans="1:31">
      <c r="A413" s="1123"/>
      <c r="D413" s="3058"/>
      <c r="E413" s="3247" t="s">
        <v>1231</v>
      </c>
      <c r="F413" s="1125"/>
      <c r="G413" s="3248">
        <f>InputY!$G$3</f>
        <v>1995</v>
      </c>
      <c r="H413" s="3248">
        <f t="shared" ref="H413:W413" si="495">+G413+1</f>
        <v>1996</v>
      </c>
      <c r="I413" s="3248">
        <f t="shared" si="495"/>
        <v>1997</v>
      </c>
      <c r="J413" s="3248">
        <f t="shared" si="495"/>
        <v>1998</v>
      </c>
      <c r="K413" s="3248">
        <f t="shared" si="495"/>
        <v>1999</v>
      </c>
      <c r="L413" s="3248">
        <f t="shared" si="495"/>
        <v>2000</v>
      </c>
      <c r="M413" s="3248">
        <f t="shared" si="495"/>
        <v>2001</v>
      </c>
      <c r="N413" s="3248">
        <f t="shared" si="495"/>
        <v>2002</v>
      </c>
      <c r="O413" s="3248">
        <f t="shared" si="495"/>
        <v>2003</v>
      </c>
      <c r="P413" s="3248">
        <f t="shared" si="495"/>
        <v>2004</v>
      </c>
      <c r="Q413" s="3248">
        <f t="shared" si="495"/>
        <v>2005</v>
      </c>
      <c r="R413" s="3248">
        <f t="shared" si="495"/>
        <v>2006</v>
      </c>
      <c r="S413" s="3248">
        <f t="shared" si="495"/>
        <v>2007</v>
      </c>
      <c r="T413" s="3248">
        <f t="shared" si="495"/>
        <v>2008</v>
      </c>
      <c r="U413" s="3248">
        <f t="shared" si="495"/>
        <v>2009</v>
      </c>
      <c r="V413" s="3248">
        <f t="shared" si="495"/>
        <v>2010</v>
      </c>
      <c r="W413" s="3248">
        <f t="shared" si="495"/>
        <v>2011</v>
      </c>
      <c r="X413" s="3248">
        <f t="shared" ref="X413:AE413" si="496">+W413+1</f>
        <v>2012</v>
      </c>
      <c r="Y413" s="3248">
        <f t="shared" si="496"/>
        <v>2013</v>
      </c>
      <c r="Z413" s="3248">
        <f t="shared" si="496"/>
        <v>2014</v>
      </c>
      <c r="AA413" s="3248">
        <f t="shared" si="496"/>
        <v>2015</v>
      </c>
      <c r="AB413" s="3248">
        <f t="shared" si="496"/>
        <v>2016</v>
      </c>
      <c r="AC413" s="3248">
        <f t="shared" si="496"/>
        <v>2017</v>
      </c>
      <c r="AD413" s="3248">
        <f t="shared" si="496"/>
        <v>2018</v>
      </c>
      <c r="AE413" s="3248">
        <f t="shared" si="496"/>
        <v>2019</v>
      </c>
    </row>
    <row r="414" spans="1:31">
      <c r="A414" s="714"/>
      <c r="B414" s="714"/>
      <c r="C414" s="1112" t="s">
        <v>622</v>
      </c>
      <c r="D414" s="1099" t="s">
        <v>591</v>
      </c>
      <c r="E414" s="1100" t="s">
        <v>1200</v>
      </c>
      <c r="F414" s="1105" t="s">
        <v>1232</v>
      </c>
      <c r="G414" s="1095"/>
      <c r="H414" s="1095"/>
      <c r="I414" s="1095"/>
      <c r="J414" s="1095"/>
      <c r="K414" s="1095"/>
      <c r="L414" s="1095"/>
      <c r="M414" s="1095"/>
      <c r="N414" s="1095"/>
      <c r="O414" s="1095"/>
      <c r="P414" s="1095"/>
      <c r="Q414" s="1095"/>
      <c r="R414" s="1095"/>
      <c r="S414" s="3080"/>
      <c r="T414" s="3080"/>
      <c r="U414" s="3080"/>
      <c r="V414" s="3080"/>
      <c r="W414" s="3080"/>
      <c r="X414" s="3080"/>
      <c r="Y414" s="3080"/>
      <c r="Z414" s="3080"/>
      <c r="AA414" s="3080"/>
      <c r="AB414" s="3080"/>
      <c r="AC414" s="3080"/>
      <c r="AD414" s="3080"/>
      <c r="AE414" s="3080"/>
    </row>
    <row r="415" spans="1:31">
      <c r="A415" s="714"/>
      <c r="B415" s="714"/>
      <c r="C415" s="1113" t="s">
        <v>622</v>
      </c>
      <c r="D415" s="1106" t="s">
        <v>1743</v>
      </c>
      <c r="E415" s="1" t="s">
        <v>1200</v>
      </c>
      <c r="F415" s="1106" t="s">
        <v>1233</v>
      </c>
      <c r="G415" s="924"/>
      <c r="H415" s="924"/>
      <c r="I415" s="924"/>
      <c r="J415" s="924"/>
      <c r="K415" s="924"/>
      <c r="L415" s="924"/>
      <c r="M415" s="924"/>
      <c r="N415" s="924"/>
      <c r="O415" s="924"/>
      <c r="P415" s="924"/>
      <c r="Q415" s="924"/>
      <c r="R415" s="924"/>
      <c r="S415" s="3081"/>
      <c r="T415" s="3081"/>
      <c r="U415" s="3081"/>
      <c r="V415" s="3081"/>
      <c r="W415" s="3081"/>
      <c r="X415" s="3081"/>
      <c r="Y415" s="3081"/>
      <c r="Z415" s="3081"/>
      <c r="AA415" s="3081"/>
      <c r="AB415" s="3081"/>
      <c r="AC415" s="3081"/>
      <c r="AD415" s="3081"/>
      <c r="AE415" s="3081"/>
    </row>
    <row r="416" spans="1:31">
      <c r="A416" s="1123"/>
      <c r="C416" s="1113" t="s">
        <v>624</v>
      </c>
      <c r="D416" s="3195"/>
      <c r="E416" s="3196" t="s">
        <v>1200</v>
      </c>
      <c r="F416" s="3195" t="s">
        <v>1234</v>
      </c>
      <c r="G416" s="1104">
        <f t="shared" ref="G416:AB416" ca="1" si="497">+G212/G21*100</f>
        <v>69.285486204998946</v>
      </c>
      <c r="H416" s="1104">
        <f t="shared" si="497"/>
        <v>76.42269707484283</v>
      </c>
      <c r="I416" s="1104">
        <f t="shared" si="497"/>
        <v>77.454202994559935</v>
      </c>
      <c r="J416" s="1104">
        <f t="shared" si="497"/>
        <v>78.855282824948816</v>
      </c>
      <c r="K416" s="1104">
        <f t="shared" si="497"/>
        <v>81.369747635935866</v>
      </c>
      <c r="L416" s="1104">
        <f t="shared" si="497"/>
        <v>82.469055913056309</v>
      </c>
      <c r="M416" s="1104">
        <f t="shared" si="497"/>
        <v>82.7897417884097</v>
      </c>
      <c r="N416" s="1104">
        <f t="shared" si="497"/>
        <v>82.740740908121992</v>
      </c>
      <c r="O416" s="1104">
        <f t="shared" si="497"/>
        <v>85.659581866061373</v>
      </c>
      <c r="P416" s="1104">
        <f t="shared" si="497"/>
        <v>87.282190695418748</v>
      </c>
      <c r="Q416" s="1104">
        <f t="shared" si="497"/>
        <v>88.839303764548021</v>
      </c>
      <c r="R416" s="1104">
        <f t="shared" si="497"/>
        <v>93.431517303851379</v>
      </c>
      <c r="S416" s="1104">
        <f t="shared" si="497"/>
        <v>96.641331797053979</v>
      </c>
      <c r="T416" s="1104">
        <f t="shared" si="497"/>
        <v>99.486218830192598</v>
      </c>
      <c r="U416" s="3249">
        <f t="shared" si="497"/>
        <v>96.454377794883484</v>
      </c>
      <c r="V416" s="3249">
        <f t="shared" si="497"/>
        <v>100</v>
      </c>
      <c r="W416" s="3249">
        <f t="shared" si="497"/>
        <v>104.44224760077283</v>
      </c>
      <c r="X416" s="3249">
        <f t="shared" si="497"/>
        <v>105.5787784535531</v>
      </c>
      <c r="Y416" s="3249">
        <f t="shared" si="497"/>
        <v>105.12311707412604</v>
      </c>
      <c r="Z416" s="3249">
        <f t="shared" ref="Z416" si="498">+Z212/Z21*100</f>
        <v>105.04067875523914</v>
      </c>
      <c r="AA416" s="3249">
        <f t="shared" si="497"/>
        <v>103.52042334230632</v>
      </c>
      <c r="AB416" s="3249">
        <f t="shared" si="497"/>
        <v>104.20516863106289</v>
      </c>
      <c r="AC416" s="3249">
        <f t="shared" ref="AC416:AD416" si="499">+AC212/AC21*100</f>
        <v>106.27597866058744</v>
      </c>
      <c r="AD416" s="3249">
        <f t="shared" ca="1" si="499"/>
        <v>107.33873844719331</v>
      </c>
      <c r="AE416" s="3249">
        <f t="shared" ref="AE416" ca="1" si="500">+AE212/AE21*100</f>
        <v>108.62680330855963</v>
      </c>
    </row>
    <row r="417" spans="1:31" ht="12.75" customHeight="1">
      <c r="A417" s="714"/>
      <c r="B417" s="714"/>
      <c r="C417" s="1113" t="s">
        <v>622</v>
      </c>
      <c r="D417" s="3"/>
      <c r="E417" s="1" t="s">
        <v>351</v>
      </c>
      <c r="F417" s="3" t="s">
        <v>1235</v>
      </c>
      <c r="G417" s="3083">
        <f t="shared" ref="G417:AB417" ca="1" si="501">+G213/G22*100</f>
        <v>58.815563188551131</v>
      </c>
      <c r="H417" s="3083">
        <f t="shared" si="501"/>
        <v>64.208820370426039</v>
      </c>
      <c r="I417" s="3083">
        <f t="shared" si="501"/>
        <v>64.99943417415561</v>
      </c>
      <c r="J417" s="3083">
        <f t="shared" si="501"/>
        <v>65.752014197908082</v>
      </c>
      <c r="K417" s="3083">
        <f t="shared" si="501"/>
        <v>66.988508464418544</v>
      </c>
      <c r="L417" s="3083">
        <f t="shared" si="501"/>
        <v>68.986138410682159</v>
      </c>
      <c r="M417" s="3083">
        <f t="shared" si="501"/>
        <v>70.90396572258318</v>
      </c>
      <c r="N417" s="3083">
        <f t="shared" si="501"/>
        <v>72.437483498450945</v>
      </c>
      <c r="O417" s="3083">
        <f t="shared" si="501"/>
        <v>74.294096867356814</v>
      </c>
      <c r="P417" s="3083">
        <f t="shared" si="501"/>
        <v>78.123855259658484</v>
      </c>
      <c r="Q417" s="3083">
        <f t="shared" si="501"/>
        <v>81.774821766166326</v>
      </c>
      <c r="R417" s="3083">
        <f t="shared" si="501"/>
        <v>86.392262296031774</v>
      </c>
      <c r="S417" s="3083">
        <f t="shared" si="501"/>
        <v>90.25914073321195</v>
      </c>
      <c r="T417" s="3083">
        <f t="shared" si="501"/>
        <v>97.260271672374444</v>
      </c>
      <c r="U417" s="1284">
        <f t="shared" si="501"/>
        <v>98.466103614625027</v>
      </c>
      <c r="V417" s="1284">
        <f t="shared" si="501"/>
        <v>100</v>
      </c>
      <c r="W417" s="1284">
        <f t="shared" si="501"/>
        <v>101.49392499841834</v>
      </c>
      <c r="X417" s="1284">
        <f t="shared" si="501"/>
        <v>104.54509689826735</v>
      </c>
      <c r="Y417" s="1284">
        <f t="shared" si="501"/>
        <v>106.25263247563925</v>
      </c>
      <c r="Z417" s="1284">
        <f t="shared" ref="Z417" si="502">+Z213/Z22*100</f>
        <v>106.65767021891854</v>
      </c>
      <c r="AA417" s="1284">
        <f t="shared" si="501"/>
        <v>106.92890149517018</v>
      </c>
      <c r="AB417" s="1284">
        <f t="shared" si="501"/>
        <v>107.21569750416018</v>
      </c>
      <c r="AC417" s="1284">
        <f t="shared" ref="AC417:AD417" si="503">+AC213/AC22*100</f>
        <v>108.67201565338635</v>
      </c>
      <c r="AD417" s="1284">
        <f t="shared" ca="1" si="503"/>
        <v>109.75873580992021</v>
      </c>
      <c r="AE417" s="1284">
        <f t="shared" ref="AE417" ca="1" si="504">+AE213/AE22*100</f>
        <v>111.07584063963924</v>
      </c>
    </row>
    <row r="418" spans="1:31">
      <c r="A418" s="1123"/>
      <c r="C418" s="1114" t="s">
        <v>624</v>
      </c>
      <c r="D418" s="3250"/>
      <c r="E418" s="3251" t="s">
        <v>1740</v>
      </c>
      <c r="F418" s="3250" t="s">
        <v>1236</v>
      </c>
      <c r="G418" s="3252">
        <f t="shared" ref="G418:AB418" ca="1" si="505">+G214/G23*100</f>
        <v>63.089308692372533</v>
      </c>
      <c r="H418" s="3252">
        <f t="shared" si="505"/>
        <v>69.320074388778139</v>
      </c>
      <c r="I418" s="3252">
        <f t="shared" si="505"/>
        <v>70.211595640249314</v>
      </c>
      <c r="J418" s="3252">
        <f t="shared" si="505"/>
        <v>71.246588745788173</v>
      </c>
      <c r="K418" s="3252">
        <f t="shared" si="505"/>
        <v>73.02613602087888</v>
      </c>
      <c r="L418" s="3252">
        <f t="shared" si="505"/>
        <v>74.642586480294042</v>
      </c>
      <c r="M418" s="3252">
        <f t="shared" si="505"/>
        <v>75.875236873682056</v>
      </c>
      <c r="N418" s="3252">
        <f t="shared" si="505"/>
        <v>76.735057273727492</v>
      </c>
      <c r="O418" s="3252">
        <f t="shared" si="505"/>
        <v>79.034994889416751</v>
      </c>
      <c r="P418" s="3252">
        <f t="shared" si="505"/>
        <v>81.927341003465543</v>
      </c>
      <c r="Q418" s="3252">
        <f t="shared" si="505"/>
        <v>84.747257050802091</v>
      </c>
      <c r="R418" s="3252">
        <f t="shared" si="505"/>
        <v>89.370466371280486</v>
      </c>
      <c r="S418" s="3252">
        <f t="shared" si="505"/>
        <v>92.989398216207903</v>
      </c>
      <c r="T418" s="3252">
        <f t="shared" si="505"/>
        <v>98.302511604368192</v>
      </c>
      <c r="U418" s="3253">
        <f t="shared" si="505"/>
        <v>97.606199005975625</v>
      </c>
      <c r="V418" s="3253">
        <f t="shared" si="505"/>
        <v>100</v>
      </c>
      <c r="W418" s="3253">
        <f t="shared" si="505"/>
        <v>102.86129113700622</v>
      </c>
      <c r="X418" s="3253">
        <f t="shared" si="505"/>
        <v>104.99214397972689</v>
      </c>
      <c r="Y418" s="3253">
        <f t="shared" si="505"/>
        <v>105.64700478083833</v>
      </c>
      <c r="Z418" s="3253">
        <f t="shared" ref="Z418" si="506">+Z214/Z23*100</f>
        <v>105.82240321432567</v>
      </c>
      <c r="AA418" s="3253">
        <f t="shared" si="505"/>
        <v>105.25942017635455</v>
      </c>
      <c r="AB418" s="3253">
        <f t="shared" si="505"/>
        <v>105.72984389875744</v>
      </c>
      <c r="AC418" s="3253">
        <f t="shared" ref="AC418:AD418" si="507">+AC214/AC23*100</f>
        <v>107.4756655033088</v>
      </c>
      <c r="AD418" s="3253">
        <f t="shared" ca="1" si="507"/>
        <v>108.55042215834192</v>
      </c>
      <c r="AE418" s="3253">
        <f t="shared" ref="AE418" ca="1" si="508">+AE214/AE23*100</f>
        <v>109.85302722424204</v>
      </c>
    </row>
    <row r="419" spans="1:31">
      <c r="A419" s="1123"/>
      <c r="C419" s="1112" t="s">
        <v>622</v>
      </c>
      <c r="D419" s="1099" t="s">
        <v>591</v>
      </c>
      <c r="E419" s="1080" t="s">
        <v>1741</v>
      </c>
      <c r="F419" s="1099" t="s">
        <v>1237</v>
      </c>
      <c r="G419" s="1095"/>
      <c r="H419" s="1095"/>
      <c r="I419" s="1095"/>
      <c r="J419" s="1095"/>
      <c r="K419" s="1095"/>
      <c r="L419" s="1095"/>
      <c r="M419" s="1095"/>
      <c r="N419" s="1095"/>
      <c r="O419" s="1095"/>
      <c r="P419" s="1095"/>
      <c r="Q419" s="1095"/>
      <c r="R419" s="1095"/>
      <c r="S419" s="1095"/>
      <c r="T419" s="1095"/>
      <c r="U419" s="3080"/>
      <c r="V419" s="3080"/>
      <c r="W419" s="3080"/>
      <c r="X419" s="3080"/>
      <c r="Y419" s="3080"/>
      <c r="Z419" s="3080"/>
      <c r="AA419" s="3080"/>
      <c r="AB419" s="3080"/>
      <c r="AC419" s="3080"/>
      <c r="AD419" s="3080"/>
      <c r="AE419" s="3080"/>
    </row>
    <row r="420" spans="1:31">
      <c r="A420" s="1123"/>
      <c r="C420" s="1113" t="s">
        <v>622</v>
      </c>
      <c r="D420" s="1106" t="s">
        <v>1743</v>
      </c>
      <c r="E420" s="1" t="s">
        <v>1741</v>
      </c>
      <c r="F420" s="3" t="s">
        <v>1238</v>
      </c>
      <c r="G420" s="924"/>
      <c r="H420" s="924"/>
      <c r="I420" s="924"/>
      <c r="J420" s="924"/>
      <c r="K420" s="924"/>
      <c r="L420" s="924"/>
      <c r="M420" s="924"/>
      <c r="N420" s="924"/>
      <c r="O420" s="924"/>
      <c r="P420" s="924"/>
      <c r="Q420" s="924"/>
      <c r="R420" s="924"/>
      <c r="S420" s="924"/>
      <c r="T420" s="924"/>
      <c r="U420" s="3081"/>
      <c r="V420" s="3081"/>
      <c r="W420" s="3081"/>
      <c r="X420" s="3081"/>
      <c r="Y420" s="3081"/>
      <c r="Z420" s="3081"/>
      <c r="AA420" s="3081"/>
      <c r="AB420" s="3081"/>
      <c r="AC420" s="3081"/>
      <c r="AD420" s="3081"/>
      <c r="AE420" s="3081"/>
    </row>
    <row r="421" spans="1:31">
      <c r="A421" s="1123"/>
      <c r="C421" s="1114" t="s">
        <v>624</v>
      </c>
      <c r="D421" s="3254"/>
      <c r="E421" s="3255" t="s">
        <v>1741</v>
      </c>
      <c r="F421" s="3254" t="s">
        <v>1238</v>
      </c>
      <c r="G421" s="3256">
        <f t="shared" ref="G421:AB421" ca="1" si="509">+G218/G27*100</f>
        <v>83.013660088868193</v>
      </c>
      <c r="H421" s="3256">
        <f t="shared" si="509"/>
        <v>88.933999536493118</v>
      </c>
      <c r="I421" s="3256">
        <f t="shared" si="509"/>
        <v>89.449687714331588</v>
      </c>
      <c r="J421" s="3256">
        <f t="shared" si="509"/>
        <v>90.221152479279368</v>
      </c>
      <c r="K421" s="3256">
        <f t="shared" si="509"/>
        <v>91.323670978240159</v>
      </c>
      <c r="L421" s="3256">
        <f t="shared" si="509"/>
        <v>93.602453343342219</v>
      </c>
      <c r="M421" s="3256">
        <f t="shared" si="509"/>
        <v>93.632545914903432</v>
      </c>
      <c r="N421" s="3256">
        <f t="shared" si="509"/>
        <v>91.663799442619194</v>
      </c>
      <c r="O421" s="3256">
        <f t="shared" si="509"/>
        <v>94.071582930388416</v>
      </c>
      <c r="P421" s="3256">
        <f t="shared" si="509"/>
        <v>93.860297031387006</v>
      </c>
      <c r="Q421" s="3256">
        <f t="shared" si="509"/>
        <v>94.539703056403653</v>
      </c>
      <c r="R421" s="3256">
        <f t="shared" si="509"/>
        <v>96.70060486401016</v>
      </c>
      <c r="S421" s="3256">
        <f t="shared" si="509"/>
        <v>98.053145398949681</v>
      </c>
      <c r="T421" s="3256">
        <f t="shared" si="509"/>
        <v>100.36280811681884</v>
      </c>
      <c r="U421" s="3257">
        <f t="shared" si="509"/>
        <v>98.832375322959237</v>
      </c>
      <c r="V421" s="3257">
        <f t="shared" si="509"/>
        <v>100</v>
      </c>
      <c r="W421" s="3257">
        <f t="shared" si="509"/>
        <v>103.3436746681153</v>
      </c>
      <c r="X421" s="3257">
        <f t="shared" si="509"/>
        <v>105.39196838441553</v>
      </c>
      <c r="Y421" s="3257">
        <f t="shared" si="509"/>
        <v>105.48441479249615</v>
      </c>
      <c r="Z421" s="3257">
        <f t="shared" ref="Z421" si="510">+Z218/Z27*100</f>
        <v>105.57114893009705</v>
      </c>
      <c r="AA421" s="3257">
        <f t="shared" si="509"/>
        <v>107.33448098644469</v>
      </c>
      <c r="AB421" s="3257">
        <f t="shared" si="509"/>
        <v>107.82517482304617</v>
      </c>
      <c r="AC421" s="3257">
        <f t="shared" ref="AC421:AD421" si="511">+AC218/AC27*100</f>
        <v>109.63352204473631</v>
      </c>
      <c r="AD421" s="3257">
        <f t="shared" ca="1" si="511"/>
        <v>110.72985726518367</v>
      </c>
      <c r="AE421" s="3257">
        <f t="shared" ref="AE421" ca="1" si="512">+AE218/AE27*100</f>
        <v>112.05861555236586</v>
      </c>
    </row>
    <row r="422" spans="1:31">
      <c r="A422" s="714"/>
      <c r="B422" s="714"/>
      <c r="C422" s="1115" t="s">
        <v>624</v>
      </c>
      <c r="D422" s="3258"/>
      <c r="E422" s="3259" t="s">
        <v>1742</v>
      </c>
      <c r="F422" s="3258" t="s">
        <v>1239</v>
      </c>
      <c r="G422" s="3260">
        <f t="shared" ref="G422:AB422" ca="1" si="513">+G219/G28*100</f>
        <v>72.893919525157017</v>
      </c>
      <c r="H422" s="3260">
        <f t="shared" si="513"/>
        <v>81.26792774991037</v>
      </c>
      <c r="I422" s="3260">
        <f t="shared" si="513"/>
        <v>83.128071974542863</v>
      </c>
      <c r="J422" s="3260">
        <f t="shared" si="513"/>
        <v>84.267021288953231</v>
      </c>
      <c r="K422" s="3260">
        <f t="shared" si="513"/>
        <v>85.653369840882135</v>
      </c>
      <c r="L422" s="3260">
        <f t="shared" si="513"/>
        <v>87.621244474231446</v>
      </c>
      <c r="M422" s="3260">
        <f t="shared" si="513"/>
        <v>89.121389319178149</v>
      </c>
      <c r="N422" s="3260">
        <f t="shared" si="513"/>
        <v>89.922431492478083</v>
      </c>
      <c r="O422" s="3260">
        <f t="shared" si="513"/>
        <v>88.151710684906163</v>
      </c>
      <c r="P422" s="3260">
        <f t="shared" si="513"/>
        <v>87.567250929097639</v>
      </c>
      <c r="Q422" s="3260">
        <f t="shared" si="513"/>
        <v>88.733111764452332</v>
      </c>
      <c r="R422" s="3260">
        <f t="shared" si="513"/>
        <v>90.772967022390134</v>
      </c>
      <c r="S422" s="3260">
        <f t="shared" si="513"/>
        <v>93.236894711421357</v>
      </c>
      <c r="T422" s="3260">
        <f t="shared" si="513"/>
        <v>96.195218329381944</v>
      </c>
      <c r="U422" s="3261">
        <f t="shared" si="513"/>
        <v>97.89074299071639</v>
      </c>
      <c r="V422" s="3261">
        <f t="shared" si="513"/>
        <v>100</v>
      </c>
      <c r="W422" s="3261">
        <f t="shared" si="513"/>
        <v>103.39195667392795</v>
      </c>
      <c r="X422" s="3261">
        <f t="shared" si="513"/>
        <v>106.53386181666862</v>
      </c>
      <c r="Y422" s="3261">
        <f t="shared" si="513"/>
        <v>108.51534779795406</v>
      </c>
      <c r="Z422" s="3261">
        <f t="shared" ref="Z422" si="514">+Z219/Z28*100</f>
        <v>109.06056560483822</v>
      </c>
      <c r="AA422" s="3261">
        <f t="shared" si="513"/>
        <v>109.75663456753209</v>
      </c>
      <c r="AB422" s="3261">
        <f t="shared" si="513"/>
        <v>110.82063722082962</v>
      </c>
      <c r="AC422" s="3261">
        <f t="shared" ref="AC422:AD422" si="515">+AC219/AC28*100</f>
        <v>113.34044452891131</v>
      </c>
      <c r="AD422" s="3261">
        <f t="shared" ca="1" si="515"/>
        <v>114.47384897420041</v>
      </c>
      <c r="AE422" s="3261">
        <f t="shared" ref="AE422" ca="1" si="516">+AE219/AE28*100</f>
        <v>115.84753516189082</v>
      </c>
    </row>
    <row r="423" spans="1:31">
      <c r="A423" s="1123"/>
      <c r="C423" s="3095" t="s">
        <v>1744</v>
      </c>
      <c r="D423" s="3262"/>
      <c r="E423" s="3263" t="s">
        <v>1248</v>
      </c>
      <c r="F423" s="3262" t="s">
        <v>1240</v>
      </c>
      <c r="G423" s="3264">
        <f t="shared" ref="G423:AB423" ca="1" si="517">+G220/G29*100</f>
        <v>71.997638001222725</v>
      </c>
      <c r="H423" s="3264">
        <f t="shared" si="517"/>
        <v>78.479424255573363</v>
      </c>
      <c r="I423" s="3264">
        <f t="shared" si="517"/>
        <v>79.364576498201018</v>
      </c>
      <c r="J423" s="3264">
        <f t="shared" si="517"/>
        <v>80.330127147488852</v>
      </c>
      <c r="K423" s="3264">
        <f t="shared" si="517"/>
        <v>81.819465099389035</v>
      </c>
      <c r="L423" s="3264">
        <f t="shared" si="517"/>
        <v>83.742413871020631</v>
      </c>
      <c r="M423" s="3264">
        <f t="shared" si="517"/>
        <v>84.531882347315786</v>
      </c>
      <c r="N423" s="3264">
        <f t="shared" si="517"/>
        <v>84.27300926481297</v>
      </c>
      <c r="O423" s="3264">
        <f t="shared" si="517"/>
        <v>86.00872868857364</v>
      </c>
      <c r="P423" s="3264">
        <f t="shared" si="517"/>
        <v>87.211643551933676</v>
      </c>
      <c r="Q423" s="3264">
        <f t="shared" si="517"/>
        <v>88.97004879692561</v>
      </c>
      <c r="R423" s="3264">
        <f t="shared" si="517"/>
        <v>92.290269244487661</v>
      </c>
      <c r="S423" s="3264">
        <f t="shared" si="517"/>
        <v>94.861127346842963</v>
      </c>
      <c r="T423" s="3264">
        <f t="shared" si="517"/>
        <v>98.66889780144264</v>
      </c>
      <c r="U423" s="3265">
        <f t="shared" si="517"/>
        <v>98.074654222179944</v>
      </c>
      <c r="V423" s="3265">
        <f t="shared" si="517"/>
        <v>100</v>
      </c>
      <c r="W423" s="3265">
        <f t="shared" si="517"/>
        <v>103.1164984904005</v>
      </c>
      <c r="X423" s="3265">
        <f t="shared" si="517"/>
        <v>105.39327944405615</v>
      </c>
      <c r="Y423" s="3265">
        <f t="shared" si="517"/>
        <v>106.0976977388875</v>
      </c>
      <c r="Z423" s="3265">
        <f t="shared" ref="Z423" si="518">+Z220/Z29*100</f>
        <v>106.31219747352714</v>
      </c>
      <c r="AA423" s="3265">
        <f t="shared" si="517"/>
        <v>106.76190950472291</v>
      </c>
      <c r="AB423" s="3265">
        <f t="shared" si="517"/>
        <v>107.34511658079188</v>
      </c>
      <c r="AC423" s="3265">
        <f t="shared" ref="AC423:AD423" si="519">+AC220/AC29*100</f>
        <v>109.25090968187962</v>
      </c>
      <c r="AD423" s="3265">
        <f t="shared" ca="1" si="519"/>
        <v>110.34341877869839</v>
      </c>
      <c r="AE423" s="3265">
        <f t="shared" ref="AE423" ca="1" si="520">+AE220/AE29*100</f>
        <v>111.66753980404278</v>
      </c>
    </row>
    <row r="425" spans="1:31" s="749" customFormat="1" ht="12.75" customHeight="1">
      <c r="A425" s="714"/>
      <c r="B425" s="714"/>
      <c r="C425" s="822"/>
      <c r="D425" s="3073"/>
      <c r="E425" s="3074" t="s">
        <v>1231</v>
      </c>
      <c r="F425" s="792"/>
      <c r="G425" s="793">
        <f>InputY!$G$3</f>
        <v>1995</v>
      </c>
      <c r="H425" s="793">
        <f t="shared" ref="H425:W425" si="521">+G425+1</f>
        <v>1996</v>
      </c>
      <c r="I425" s="793">
        <f t="shared" si="521"/>
        <v>1997</v>
      </c>
      <c r="J425" s="793">
        <f t="shared" si="521"/>
        <v>1998</v>
      </c>
      <c r="K425" s="793">
        <f t="shared" si="521"/>
        <v>1999</v>
      </c>
      <c r="L425" s="793">
        <f t="shared" si="521"/>
        <v>2000</v>
      </c>
      <c r="M425" s="793">
        <f t="shared" si="521"/>
        <v>2001</v>
      </c>
      <c r="N425" s="793">
        <f t="shared" si="521"/>
        <v>2002</v>
      </c>
      <c r="O425" s="793">
        <f t="shared" si="521"/>
        <v>2003</v>
      </c>
      <c r="P425" s="793">
        <f t="shared" si="521"/>
        <v>2004</v>
      </c>
      <c r="Q425" s="793">
        <f t="shared" si="521"/>
        <v>2005</v>
      </c>
      <c r="R425" s="793">
        <f t="shared" si="521"/>
        <v>2006</v>
      </c>
      <c r="S425" s="793">
        <f t="shared" si="521"/>
        <v>2007</v>
      </c>
      <c r="T425" s="793">
        <f t="shared" si="521"/>
        <v>2008</v>
      </c>
      <c r="U425" s="793">
        <f t="shared" si="521"/>
        <v>2009</v>
      </c>
      <c r="V425" s="793">
        <f t="shared" si="521"/>
        <v>2010</v>
      </c>
      <c r="W425" s="793">
        <f t="shared" si="521"/>
        <v>2011</v>
      </c>
      <c r="X425" s="793">
        <f t="shared" ref="X425:AE425" si="522">+W425+1</f>
        <v>2012</v>
      </c>
      <c r="Y425" s="793">
        <f t="shared" si="522"/>
        <v>2013</v>
      </c>
      <c r="Z425" s="793">
        <f t="shared" si="522"/>
        <v>2014</v>
      </c>
      <c r="AA425" s="793">
        <f t="shared" si="522"/>
        <v>2015</v>
      </c>
      <c r="AB425" s="793">
        <f t="shared" si="522"/>
        <v>2016</v>
      </c>
      <c r="AC425" s="793">
        <f t="shared" si="522"/>
        <v>2017</v>
      </c>
      <c r="AD425" s="793">
        <f t="shared" si="522"/>
        <v>2018</v>
      </c>
      <c r="AE425" s="793">
        <f t="shared" si="522"/>
        <v>2019</v>
      </c>
    </row>
    <row r="426" spans="1:31" s="749" customFormat="1" ht="12.75" customHeight="1">
      <c r="A426" s="714"/>
      <c r="B426" s="714"/>
      <c r="C426" s="839" t="s">
        <v>622</v>
      </c>
      <c r="D426" s="739" t="s">
        <v>591</v>
      </c>
      <c r="E426" s="787" t="s">
        <v>1200</v>
      </c>
      <c r="F426" s="754" t="s">
        <v>1232</v>
      </c>
      <c r="G426" s="924"/>
      <c r="H426" s="924"/>
      <c r="I426" s="924"/>
      <c r="J426" s="924"/>
      <c r="K426" s="924"/>
      <c r="L426" s="924"/>
      <c r="M426" s="924"/>
      <c r="N426" s="924"/>
      <c r="O426" s="924"/>
      <c r="P426" s="924"/>
      <c r="Q426" s="924"/>
      <c r="R426" s="924"/>
      <c r="S426" s="3081"/>
      <c r="T426" s="3081"/>
      <c r="U426" s="3081"/>
      <c r="V426" s="3081"/>
      <c r="W426" s="3081"/>
      <c r="X426" s="3081"/>
      <c r="Y426" s="3081"/>
      <c r="Z426" s="3081"/>
      <c r="AA426" s="3081"/>
      <c r="AB426" s="3081"/>
      <c r="AC426" s="3081"/>
      <c r="AD426" s="3081"/>
      <c r="AE426" s="3081"/>
    </row>
    <row r="427" spans="1:31">
      <c r="A427" s="714"/>
      <c r="B427" s="714"/>
      <c r="C427" s="3101" t="s">
        <v>622</v>
      </c>
      <c r="D427" s="1106" t="s">
        <v>1743</v>
      </c>
      <c r="E427" s="1" t="s">
        <v>1200</v>
      </c>
      <c r="F427" s="1106" t="s">
        <v>1233</v>
      </c>
      <c r="G427" s="924"/>
      <c r="H427" s="924"/>
      <c r="I427" s="924"/>
      <c r="J427" s="924"/>
      <c r="K427" s="924"/>
      <c r="L427" s="924"/>
      <c r="M427" s="924"/>
      <c r="N427" s="924"/>
      <c r="O427" s="924"/>
      <c r="P427" s="924"/>
      <c r="Q427" s="924"/>
      <c r="R427" s="924"/>
      <c r="S427" s="3081"/>
      <c r="T427" s="3081"/>
      <c r="U427" s="3081"/>
      <c r="V427" s="3081"/>
      <c r="W427" s="3081"/>
      <c r="X427" s="3081"/>
      <c r="Y427" s="3081"/>
      <c r="Z427" s="3081"/>
      <c r="AA427" s="3081"/>
      <c r="AB427" s="3081"/>
      <c r="AC427" s="3081"/>
      <c r="AD427" s="3081"/>
      <c r="AE427" s="3081"/>
    </row>
    <row r="428" spans="1:31">
      <c r="A428" s="1123"/>
      <c r="C428" s="3101" t="s">
        <v>624</v>
      </c>
      <c r="D428" s="3102"/>
      <c r="E428" s="3103" t="s">
        <v>1200</v>
      </c>
      <c r="F428" s="3102" t="s">
        <v>1234</v>
      </c>
      <c r="G428" s="3104"/>
      <c r="H428" s="3104">
        <f t="shared" ref="H428:AE428" ca="1" si="523">(H416/G416-1)*100</f>
        <v>10.301163000756919</v>
      </c>
      <c r="I428" s="3104">
        <f t="shared" si="523"/>
        <v>1.3497376554336027</v>
      </c>
      <c r="J428" s="3104">
        <f t="shared" si="523"/>
        <v>1.8089138822941386</v>
      </c>
      <c r="K428" s="3104">
        <f t="shared" si="523"/>
        <v>3.1887081257053085</v>
      </c>
      <c r="L428" s="3104">
        <f t="shared" si="523"/>
        <v>1.3510036703554329</v>
      </c>
      <c r="M428" s="3104">
        <f t="shared" si="523"/>
        <v>0.3888560039919442</v>
      </c>
      <c r="N428" s="3104">
        <f t="shared" si="523"/>
        <v>-5.918713989100377E-2</v>
      </c>
      <c r="O428" s="3104">
        <f t="shared" si="523"/>
        <v>3.5276949733633156</v>
      </c>
      <c r="P428" s="3104">
        <f t="shared" si="523"/>
        <v>1.8942525681417743</v>
      </c>
      <c r="Q428" s="3104">
        <f t="shared" si="523"/>
        <v>1.7839986103957983</v>
      </c>
      <c r="R428" s="3104">
        <f t="shared" si="523"/>
        <v>5.1691237377030408</v>
      </c>
      <c r="S428" s="3104">
        <f t="shared" si="523"/>
        <v>3.4354729387128247</v>
      </c>
      <c r="T428" s="981">
        <f t="shared" si="523"/>
        <v>2.9437581004293945</v>
      </c>
      <c r="U428" s="981">
        <f t="shared" si="523"/>
        <v>-3.0474985087974749</v>
      </c>
      <c r="V428" s="981">
        <f t="shared" si="523"/>
        <v>3.6759577804301502</v>
      </c>
      <c r="W428" s="981">
        <f t="shared" si="523"/>
        <v>4.4422476007728307</v>
      </c>
      <c r="X428" s="981">
        <f t="shared" si="523"/>
        <v>1.0881907263472712</v>
      </c>
      <c r="Y428" s="981">
        <f t="shared" si="523"/>
        <v>-0.43158425026438296</v>
      </c>
      <c r="Z428" s="981">
        <f t="shared" si="523"/>
        <v>-7.8420732928585757E-2</v>
      </c>
      <c r="AA428" s="981">
        <f t="shared" si="523"/>
        <v>-1.4473015892016994</v>
      </c>
      <c r="AB428" s="981">
        <f t="shared" si="523"/>
        <v>0.66145912724135947</v>
      </c>
      <c r="AC428" s="981">
        <f t="shared" si="523"/>
        <v>1.9872431058158169</v>
      </c>
      <c r="AD428" s="981">
        <f t="shared" ca="1" si="523"/>
        <v>1.0000000000000009</v>
      </c>
      <c r="AE428" s="981">
        <f t="shared" ca="1" si="523"/>
        <v>1.2000000000000011</v>
      </c>
    </row>
    <row r="429" spans="1:31">
      <c r="A429" s="714"/>
      <c r="B429" s="714"/>
      <c r="C429" s="3101" t="s">
        <v>622</v>
      </c>
      <c r="D429" s="3"/>
      <c r="E429" s="1" t="s">
        <v>351</v>
      </c>
      <c r="F429" s="3" t="s">
        <v>1235</v>
      </c>
      <c r="G429" s="3083"/>
      <c r="H429" s="3083">
        <f t="shared" ref="H429:AE429" ca="1" si="524">(H417/G417-1)*100</f>
        <v>9.1697790337995855</v>
      </c>
      <c r="I429" s="3083">
        <f t="shared" si="524"/>
        <v>1.231316506312452</v>
      </c>
      <c r="J429" s="3083">
        <f t="shared" si="524"/>
        <v>1.1578255000436632</v>
      </c>
      <c r="K429" s="3083">
        <f t="shared" si="524"/>
        <v>1.8805420360032077</v>
      </c>
      <c r="L429" s="3083">
        <f t="shared" si="524"/>
        <v>2.9820487006732899</v>
      </c>
      <c r="M429" s="3083">
        <f t="shared" si="524"/>
        <v>2.7800183574328896</v>
      </c>
      <c r="N429" s="3083">
        <f t="shared" si="524"/>
        <v>2.1628095977984652</v>
      </c>
      <c r="O429" s="3083">
        <f t="shared" si="524"/>
        <v>2.5630561406037478</v>
      </c>
      <c r="P429" s="3083">
        <f t="shared" si="524"/>
        <v>5.1548623023700557</v>
      </c>
      <c r="Q429" s="3083">
        <f t="shared" si="524"/>
        <v>4.6733056047646437</v>
      </c>
      <c r="R429" s="3083">
        <f t="shared" si="524"/>
        <v>5.6465308393687907</v>
      </c>
      <c r="S429" s="3083">
        <f t="shared" si="524"/>
        <v>4.4759545987231197</v>
      </c>
      <c r="T429" s="1284">
        <f t="shared" si="524"/>
        <v>7.756700188246235</v>
      </c>
      <c r="U429" s="1284">
        <f t="shared" si="524"/>
        <v>1.2397990685369287</v>
      </c>
      <c r="V429" s="1284">
        <f t="shared" si="524"/>
        <v>1.5577912896587387</v>
      </c>
      <c r="W429" s="1284">
        <f t="shared" si="524"/>
        <v>1.4939249984183389</v>
      </c>
      <c r="X429" s="1284">
        <f t="shared" si="524"/>
        <v>3.0062606209155351</v>
      </c>
      <c r="Y429" s="1284">
        <f t="shared" si="524"/>
        <v>1.6333004875718871</v>
      </c>
      <c r="Z429" s="1284">
        <f t="shared" si="524"/>
        <v>0.3812025489082993</v>
      </c>
      <c r="AA429" s="1284">
        <f t="shared" si="524"/>
        <v>0.25430076964454429</v>
      </c>
      <c r="AB429" s="1284">
        <f t="shared" si="524"/>
        <v>0.26821187254313372</v>
      </c>
      <c r="AC429" s="1284">
        <f t="shared" si="524"/>
        <v>1.3583068367108098</v>
      </c>
      <c r="AD429" s="1284">
        <f t="shared" ca="1" si="524"/>
        <v>1.0000000000000009</v>
      </c>
      <c r="AE429" s="1284">
        <f t="shared" ca="1" si="524"/>
        <v>1.1999999999999789</v>
      </c>
    </row>
    <row r="430" spans="1:31">
      <c r="A430" s="1123"/>
      <c r="C430" s="1021" t="s">
        <v>624</v>
      </c>
      <c r="D430" s="3105"/>
      <c r="E430" s="3114" t="s">
        <v>1740</v>
      </c>
      <c r="F430" s="3105" t="s">
        <v>1236</v>
      </c>
      <c r="G430" s="3107"/>
      <c r="H430" s="3107">
        <f t="shared" ref="H430:AE430" ca="1" si="525">(H418/G418-1)*100</f>
        <v>9.8761039319470214</v>
      </c>
      <c r="I430" s="3107">
        <f t="shared" si="525"/>
        <v>1.2860939047340425</v>
      </c>
      <c r="J430" s="3107">
        <f t="shared" si="525"/>
        <v>1.474105660327063</v>
      </c>
      <c r="K430" s="3107">
        <f t="shared" si="525"/>
        <v>2.4977297950926847</v>
      </c>
      <c r="L430" s="3107">
        <f t="shared" si="525"/>
        <v>2.2135231952475243</v>
      </c>
      <c r="M430" s="3107">
        <f t="shared" si="525"/>
        <v>1.6514036443705526</v>
      </c>
      <c r="N430" s="3107">
        <f t="shared" si="525"/>
        <v>1.1332029203109828</v>
      </c>
      <c r="O430" s="3107">
        <f t="shared" si="525"/>
        <v>2.9972449326322703</v>
      </c>
      <c r="P430" s="3107">
        <f t="shared" si="525"/>
        <v>3.659576518092611</v>
      </c>
      <c r="Q430" s="3107">
        <f t="shared" si="525"/>
        <v>3.4419718897227058</v>
      </c>
      <c r="R430" s="3107">
        <f t="shared" si="525"/>
        <v>5.4552908039336323</v>
      </c>
      <c r="S430" s="3107">
        <f t="shared" si="525"/>
        <v>4.0493599192969798</v>
      </c>
      <c r="T430" s="3266">
        <f t="shared" si="525"/>
        <v>5.7136764943965579</v>
      </c>
      <c r="U430" s="3266">
        <f t="shared" si="525"/>
        <v>-0.70833652877047015</v>
      </c>
      <c r="V430" s="3266">
        <f t="shared" si="525"/>
        <v>2.4525091832310997</v>
      </c>
      <c r="W430" s="3266">
        <f t="shared" si="525"/>
        <v>2.8612911370062166</v>
      </c>
      <c r="X430" s="3266">
        <f t="shared" si="525"/>
        <v>2.071578938166807</v>
      </c>
      <c r="Y430" s="3266">
        <f t="shared" si="525"/>
        <v>0.62372361996712034</v>
      </c>
      <c r="Z430" s="3266">
        <f t="shared" si="525"/>
        <v>0.16602310103461804</v>
      </c>
      <c r="AA430" s="3266">
        <f t="shared" si="525"/>
        <v>-0.53200742080190544</v>
      </c>
      <c r="AB430" s="3266">
        <f t="shared" si="525"/>
        <v>0.44691840560657781</v>
      </c>
      <c r="AC430" s="3266">
        <f t="shared" si="525"/>
        <v>1.6512098572878831</v>
      </c>
      <c r="AD430" s="3266">
        <f t="shared" ca="1" si="525"/>
        <v>1.0000000000000231</v>
      </c>
      <c r="AE430" s="3266">
        <f t="shared" ca="1" si="525"/>
        <v>1.2000000000000233</v>
      </c>
    </row>
    <row r="431" spans="1:31">
      <c r="A431" s="1123"/>
      <c r="C431" s="3109" t="s">
        <v>622</v>
      </c>
      <c r="D431" s="3110" t="s">
        <v>591</v>
      </c>
      <c r="E431" s="3111" t="s">
        <v>1741</v>
      </c>
      <c r="F431" s="3110" t="s">
        <v>1237</v>
      </c>
      <c r="G431" s="3112"/>
      <c r="H431" s="3112"/>
      <c r="I431" s="3112"/>
      <c r="J431" s="3112"/>
      <c r="K431" s="3112"/>
      <c r="L431" s="3112"/>
      <c r="M431" s="3112"/>
      <c r="N431" s="3112"/>
      <c r="O431" s="3112"/>
      <c r="P431" s="3112"/>
      <c r="Q431" s="3112"/>
      <c r="R431" s="3112"/>
      <c r="S431" s="3112"/>
      <c r="T431" s="3113"/>
      <c r="U431" s="3113"/>
      <c r="V431" s="3113"/>
      <c r="W431" s="3113"/>
      <c r="X431" s="3113"/>
      <c r="Y431" s="3113"/>
      <c r="Z431" s="3113"/>
      <c r="AA431" s="3113"/>
      <c r="AB431" s="3113"/>
      <c r="AC431" s="3113"/>
      <c r="AD431" s="3113"/>
      <c r="AE431" s="3113"/>
    </row>
    <row r="432" spans="1:31">
      <c r="A432" s="1123"/>
      <c r="C432" s="3101" t="s">
        <v>622</v>
      </c>
      <c r="D432" s="1106" t="s">
        <v>1743</v>
      </c>
      <c r="E432" s="1" t="s">
        <v>1741</v>
      </c>
      <c r="F432" s="3" t="s">
        <v>1238</v>
      </c>
      <c r="G432" s="924"/>
      <c r="H432" s="924"/>
      <c r="I432" s="924"/>
      <c r="J432" s="924"/>
      <c r="K432" s="924"/>
      <c r="L432" s="924"/>
      <c r="M432" s="924"/>
      <c r="N432" s="924"/>
      <c r="O432" s="924"/>
      <c r="P432" s="924"/>
      <c r="Q432" s="924"/>
      <c r="R432" s="924"/>
      <c r="S432" s="924"/>
      <c r="T432" s="3081"/>
      <c r="U432" s="3081"/>
      <c r="V432" s="3081"/>
      <c r="W432" s="3081"/>
      <c r="X432" s="3081"/>
      <c r="Y432" s="3081"/>
      <c r="Z432" s="3081"/>
      <c r="AA432" s="3081"/>
      <c r="AB432" s="3081"/>
      <c r="AC432" s="3081"/>
      <c r="AD432" s="3081"/>
      <c r="AE432" s="3081"/>
    </row>
    <row r="433" spans="1:31">
      <c r="A433" s="1123"/>
      <c r="C433" s="1021" t="s">
        <v>624</v>
      </c>
      <c r="D433" s="3105"/>
      <c r="E433" s="3114" t="s">
        <v>1741</v>
      </c>
      <c r="F433" s="3105" t="s">
        <v>1238</v>
      </c>
      <c r="G433" s="3107"/>
      <c r="H433" s="3107">
        <f t="shared" ref="H433:AE433" ca="1" si="526">(H421/G421-1)*100</f>
        <v>7.1317653519758828</v>
      </c>
      <c r="I433" s="3107">
        <f t="shared" si="526"/>
        <v>0.57985492671659422</v>
      </c>
      <c r="J433" s="3107">
        <f t="shared" si="526"/>
        <v>0.86245663306454556</v>
      </c>
      <c r="K433" s="3107">
        <f t="shared" si="526"/>
        <v>1.2220177515621877</v>
      </c>
      <c r="L433" s="3107">
        <f t="shared" si="526"/>
        <v>2.4952811693750521</v>
      </c>
      <c r="M433" s="3107">
        <f t="shared" si="526"/>
        <v>3.214934062767405E-2</v>
      </c>
      <c r="N433" s="3107">
        <f t="shared" si="526"/>
        <v>-2.1026305042196602</v>
      </c>
      <c r="O433" s="3107">
        <f t="shared" si="526"/>
        <v>2.6267550575147958</v>
      </c>
      <c r="P433" s="3107">
        <f t="shared" si="526"/>
        <v>-0.22460119455814942</v>
      </c>
      <c r="Q433" s="3107">
        <f t="shared" si="526"/>
        <v>0.72384815146009363</v>
      </c>
      <c r="R433" s="3107">
        <f t="shared" si="526"/>
        <v>2.285708266205666</v>
      </c>
      <c r="S433" s="3107">
        <f t="shared" si="526"/>
        <v>1.3986888053509006</v>
      </c>
      <c r="T433" s="3266">
        <f t="shared" si="526"/>
        <v>2.3555212925315372</v>
      </c>
      <c r="U433" s="3266">
        <f t="shared" si="526"/>
        <v>-1.5249003316828658</v>
      </c>
      <c r="V433" s="3266">
        <f t="shared" si="526"/>
        <v>1.1814192193856154</v>
      </c>
      <c r="W433" s="3266">
        <f t="shared" si="526"/>
        <v>3.3436746681152929</v>
      </c>
      <c r="X433" s="3266">
        <f t="shared" si="526"/>
        <v>1.9820213698402478</v>
      </c>
      <c r="Y433" s="3266">
        <f t="shared" si="526"/>
        <v>8.77167487217001E-2</v>
      </c>
      <c r="Z433" s="3266">
        <f t="shared" si="526"/>
        <v>8.2224599502711548E-2</v>
      </c>
      <c r="AA433" s="3266">
        <f t="shared" si="526"/>
        <v>1.6702783612928318</v>
      </c>
      <c r="AB433" s="3266">
        <f t="shared" si="526"/>
        <v>0.45716328256475425</v>
      </c>
      <c r="AC433" s="3266">
        <f t="shared" si="526"/>
        <v>1.6771104008482807</v>
      </c>
      <c r="AD433" s="3266">
        <f t="shared" ca="1" si="526"/>
        <v>1.0000000000000009</v>
      </c>
      <c r="AE433" s="3266">
        <f t="shared" ca="1" si="526"/>
        <v>1.2000000000000011</v>
      </c>
    </row>
    <row r="434" spans="1:31">
      <c r="A434" s="714"/>
      <c r="B434" s="714"/>
      <c r="C434" s="3116" t="s">
        <v>624</v>
      </c>
      <c r="D434" s="3117"/>
      <c r="E434" s="3118" t="s">
        <v>1742</v>
      </c>
      <c r="F434" s="3117" t="s">
        <v>1239</v>
      </c>
      <c r="G434" s="3119"/>
      <c r="H434" s="3119">
        <f t="shared" ref="H434:AE434" ca="1" si="527">(H422/G422-1)*100</f>
        <v>11.48793792308469</v>
      </c>
      <c r="I434" s="3119">
        <f t="shared" si="527"/>
        <v>2.2889032317358948</v>
      </c>
      <c r="J434" s="3119">
        <f t="shared" si="527"/>
        <v>1.3701139547169561</v>
      </c>
      <c r="K434" s="3119">
        <f t="shared" si="527"/>
        <v>1.6451851871862155</v>
      </c>
      <c r="L434" s="3119">
        <f t="shared" si="527"/>
        <v>2.2974865285569246</v>
      </c>
      <c r="M434" s="3119">
        <f t="shared" si="527"/>
        <v>1.7120789072881504</v>
      </c>
      <c r="N434" s="3119">
        <f t="shared" si="527"/>
        <v>0.89882146072823854</v>
      </c>
      <c r="O434" s="3119">
        <f t="shared" si="527"/>
        <v>-1.9691647325173145</v>
      </c>
      <c r="P434" s="3119">
        <f t="shared" si="527"/>
        <v>-0.66301578411523954</v>
      </c>
      <c r="Q434" s="3119">
        <f t="shared" si="527"/>
        <v>1.3313891015017454</v>
      </c>
      <c r="R434" s="3119">
        <f t="shared" si="527"/>
        <v>2.2988659107918252</v>
      </c>
      <c r="S434" s="3119">
        <f t="shared" si="527"/>
        <v>2.7143848767480216</v>
      </c>
      <c r="T434" s="3267">
        <f t="shared" si="527"/>
        <v>3.172910924497141</v>
      </c>
      <c r="U434" s="3267">
        <f t="shared" si="527"/>
        <v>1.762587258265591</v>
      </c>
      <c r="V434" s="3267">
        <f t="shared" si="527"/>
        <v>2.1547052814622658</v>
      </c>
      <c r="W434" s="3267">
        <f t="shared" si="527"/>
        <v>3.3919566739279539</v>
      </c>
      <c r="X434" s="3267">
        <f t="shared" si="527"/>
        <v>3.038829367210294</v>
      </c>
      <c r="Y434" s="3267">
        <f t="shared" si="527"/>
        <v>1.8599588407818501</v>
      </c>
      <c r="Z434" s="3267">
        <f t="shared" si="527"/>
        <v>0.50243381968355649</v>
      </c>
      <c r="AA434" s="3267">
        <f t="shared" si="527"/>
        <v>0.63824074158569388</v>
      </c>
      <c r="AB434" s="3267">
        <f t="shared" si="527"/>
        <v>0.96941989656476046</v>
      </c>
      <c r="AC434" s="3267">
        <f t="shared" si="527"/>
        <v>2.2737708167662962</v>
      </c>
      <c r="AD434" s="3267">
        <f t="shared" ca="1" si="527"/>
        <v>1.0000000000000009</v>
      </c>
      <c r="AE434" s="3267">
        <f t="shared" ca="1" si="527"/>
        <v>1.2000000000000011</v>
      </c>
    </row>
    <row r="435" spans="1:31">
      <c r="A435" s="1123"/>
      <c r="C435" s="3095" t="s">
        <v>1744</v>
      </c>
      <c r="D435" s="3121"/>
      <c r="E435" s="3205" t="s">
        <v>1248</v>
      </c>
      <c r="F435" s="3121" t="s">
        <v>1240</v>
      </c>
      <c r="G435" s="3123"/>
      <c r="H435" s="3123">
        <f t="shared" ref="H435:AE435" ca="1" si="528">(H423/G423-1)*100</f>
        <v>9.0027762497438601</v>
      </c>
      <c r="I435" s="3123">
        <f t="shared" si="528"/>
        <v>1.1278781043870811</v>
      </c>
      <c r="J435" s="3123">
        <f t="shared" si="528"/>
        <v>1.2166015266391828</v>
      </c>
      <c r="K435" s="3123">
        <f t="shared" si="528"/>
        <v>1.854021653875515</v>
      </c>
      <c r="L435" s="3123">
        <f t="shared" si="528"/>
        <v>2.3502338585270843</v>
      </c>
      <c r="M435" s="3123">
        <f t="shared" si="528"/>
        <v>0.94273432040195004</v>
      </c>
      <c r="N435" s="3123">
        <f t="shared" si="528"/>
        <v>-0.3062431301827484</v>
      </c>
      <c r="O435" s="3123">
        <f t="shared" si="528"/>
        <v>2.0596385947325935</v>
      </c>
      <c r="P435" s="3123">
        <f t="shared" si="528"/>
        <v>1.3985962607535152</v>
      </c>
      <c r="Q435" s="3123">
        <f t="shared" si="528"/>
        <v>2.0162505525364027</v>
      </c>
      <c r="R435" s="3123">
        <f t="shared" si="528"/>
        <v>3.7318406502625079</v>
      </c>
      <c r="S435" s="3123">
        <f t="shared" si="528"/>
        <v>2.7856220633020401</v>
      </c>
      <c r="T435" s="3268">
        <f t="shared" si="528"/>
        <v>4.0140472299862395</v>
      </c>
      <c r="U435" s="3268">
        <f t="shared" si="528"/>
        <v>-0.60226027907854807</v>
      </c>
      <c r="V435" s="3268">
        <f t="shared" si="528"/>
        <v>1.96314307003147</v>
      </c>
      <c r="W435" s="3268">
        <f t="shared" si="528"/>
        <v>3.1164984904004989</v>
      </c>
      <c r="X435" s="3268">
        <f t="shared" si="528"/>
        <v>2.2079696139678306</v>
      </c>
      <c r="Y435" s="3268">
        <f t="shared" si="528"/>
        <v>0.6683711699143613</v>
      </c>
      <c r="Z435" s="3268">
        <f t="shared" si="528"/>
        <v>0.20217190307703081</v>
      </c>
      <c r="AA435" s="3268">
        <f t="shared" si="528"/>
        <v>0.42301075688682133</v>
      </c>
      <c r="AB435" s="3268">
        <f t="shared" si="528"/>
        <v>0.54626886946338438</v>
      </c>
      <c r="AC435" s="3268">
        <f t="shared" si="528"/>
        <v>1.7753887291680925</v>
      </c>
      <c r="AD435" s="3268">
        <f t="shared" ca="1" si="528"/>
        <v>0.99999999999997868</v>
      </c>
      <c r="AE435" s="3268">
        <f t="shared" ca="1" si="528"/>
        <v>1.2000000000000011</v>
      </c>
    </row>
    <row r="437" spans="1:31">
      <c r="A437" s="1123"/>
      <c r="D437" s="3269"/>
      <c r="E437" s="1126" t="s">
        <v>1241</v>
      </c>
      <c r="F437" s="3270"/>
      <c r="G437" s="3248">
        <f>InputY!$G$3</f>
        <v>1995</v>
      </c>
      <c r="H437" s="3248">
        <f t="shared" ref="H437:W437" si="529">+G437+1</f>
        <v>1996</v>
      </c>
      <c r="I437" s="3248">
        <f t="shared" si="529"/>
        <v>1997</v>
      </c>
      <c r="J437" s="3248">
        <f t="shared" si="529"/>
        <v>1998</v>
      </c>
      <c r="K437" s="3248">
        <f t="shared" si="529"/>
        <v>1999</v>
      </c>
      <c r="L437" s="3248">
        <f t="shared" si="529"/>
        <v>2000</v>
      </c>
      <c r="M437" s="3248">
        <f t="shared" si="529"/>
        <v>2001</v>
      </c>
      <c r="N437" s="3248">
        <f t="shared" si="529"/>
        <v>2002</v>
      </c>
      <c r="O437" s="3248">
        <f t="shared" si="529"/>
        <v>2003</v>
      </c>
      <c r="P437" s="3248">
        <f t="shared" si="529"/>
        <v>2004</v>
      </c>
      <c r="Q437" s="3248">
        <f t="shared" si="529"/>
        <v>2005</v>
      </c>
      <c r="R437" s="3248">
        <f t="shared" si="529"/>
        <v>2006</v>
      </c>
      <c r="S437" s="3248">
        <f t="shared" si="529"/>
        <v>2007</v>
      </c>
      <c r="T437" s="3248">
        <f t="shared" si="529"/>
        <v>2008</v>
      </c>
      <c r="U437" s="3248">
        <f t="shared" si="529"/>
        <v>2009</v>
      </c>
      <c r="V437" s="3248">
        <f t="shared" si="529"/>
        <v>2010</v>
      </c>
      <c r="W437" s="3248">
        <f t="shared" si="529"/>
        <v>2011</v>
      </c>
      <c r="X437" s="3248">
        <f t="shared" ref="X437:AE437" si="530">+W437+1</f>
        <v>2012</v>
      </c>
      <c r="Y437" s="3248">
        <f t="shared" si="530"/>
        <v>2013</v>
      </c>
      <c r="Z437" s="3248">
        <f t="shared" si="530"/>
        <v>2014</v>
      </c>
      <c r="AA437" s="3248">
        <f t="shared" si="530"/>
        <v>2015</v>
      </c>
      <c r="AB437" s="3248">
        <f t="shared" si="530"/>
        <v>2016</v>
      </c>
      <c r="AC437" s="3248">
        <f t="shared" si="530"/>
        <v>2017</v>
      </c>
      <c r="AD437" s="3248">
        <f t="shared" si="530"/>
        <v>2018</v>
      </c>
      <c r="AE437" s="3248">
        <f t="shared" si="530"/>
        <v>2019</v>
      </c>
    </row>
    <row r="438" spans="1:31">
      <c r="A438" s="1123"/>
      <c r="C438" s="1115" t="s">
        <v>622</v>
      </c>
      <c r="D438" s="1117" t="s">
        <v>591</v>
      </c>
      <c r="E438" s="1118" t="s">
        <v>1248</v>
      </c>
      <c r="F438" s="1119" t="s">
        <v>1242</v>
      </c>
      <c r="G438" s="3064">
        <f t="shared" ref="G438:AB438" si="531">+G237/G47*100</f>
        <v>96.621232086970849</v>
      </c>
      <c r="H438" s="3064">
        <f t="shared" si="531"/>
        <v>100</v>
      </c>
      <c r="I438" s="3064">
        <f t="shared" si="531"/>
        <v>100</v>
      </c>
      <c r="J438" s="3064">
        <f t="shared" si="531"/>
        <v>100</v>
      </c>
      <c r="K438" s="3064">
        <f t="shared" si="531"/>
        <v>100</v>
      </c>
      <c r="L438" s="3064">
        <f t="shared" si="531"/>
        <v>100</v>
      </c>
      <c r="M438" s="3064">
        <f t="shared" si="531"/>
        <v>100</v>
      </c>
      <c r="N438" s="3064">
        <f t="shared" si="531"/>
        <v>100</v>
      </c>
      <c r="O438" s="3064">
        <f t="shared" si="531"/>
        <v>100</v>
      </c>
      <c r="P438" s="3064">
        <f t="shared" si="531"/>
        <v>100</v>
      </c>
      <c r="Q438" s="3064">
        <f t="shared" si="531"/>
        <v>100</v>
      </c>
      <c r="R438" s="3064">
        <f t="shared" si="531"/>
        <v>100</v>
      </c>
      <c r="S438" s="3064">
        <f t="shared" si="531"/>
        <v>100</v>
      </c>
      <c r="T438" s="3064">
        <f t="shared" si="531"/>
        <v>100</v>
      </c>
      <c r="U438" s="3064">
        <f t="shared" si="531"/>
        <v>100</v>
      </c>
      <c r="V438" s="3064">
        <f t="shared" si="531"/>
        <v>100</v>
      </c>
      <c r="W438" s="3064">
        <f t="shared" si="531"/>
        <v>100</v>
      </c>
      <c r="X438" s="3064">
        <f t="shared" si="531"/>
        <v>100</v>
      </c>
      <c r="Y438" s="3064">
        <f t="shared" si="531"/>
        <v>100</v>
      </c>
      <c r="Z438" s="3064">
        <f t="shared" ref="Z438" si="532">+Z237/Z47*100</f>
        <v>97.885057471264361</v>
      </c>
      <c r="AA438" s="3064">
        <f t="shared" si="531"/>
        <v>97.972390439488507</v>
      </c>
      <c r="AB438" s="3064">
        <f t="shared" si="531"/>
        <v>99.580391279806562</v>
      </c>
      <c r="AC438" s="3064">
        <f t="shared" ref="AC438:AD438" ca="1" si="533">+AC237/AC47*100</f>
        <v>100.58751802558825</v>
      </c>
      <c r="AD438" s="3064">
        <f t="shared" ca="1" si="533"/>
        <v>102.19691831399768</v>
      </c>
      <c r="AE438" s="3064">
        <f t="shared" ref="AE438" ca="1" si="534">+AE237/AE47*100</f>
        <v>104.24085668027764</v>
      </c>
    </row>
    <row r="440" spans="1:31" s="749" customFormat="1" ht="12.75" customHeight="1">
      <c r="A440" s="714"/>
      <c r="B440" s="714"/>
      <c r="C440" s="822"/>
      <c r="D440" s="3073"/>
      <c r="E440" s="3074" t="s">
        <v>1241</v>
      </c>
      <c r="F440" s="3075"/>
      <c r="G440" s="939">
        <f>InputY!$G$3</f>
        <v>1995</v>
      </c>
      <c r="H440" s="939">
        <f t="shared" ref="H440:W440" si="535">+G440+1</f>
        <v>1996</v>
      </c>
      <c r="I440" s="939">
        <f t="shared" si="535"/>
        <v>1997</v>
      </c>
      <c r="J440" s="939">
        <f t="shared" si="535"/>
        <v>1998</v>
      </c>
      <c r="K440" s="939">
        <f t="shared" si="535"/>
        <v>1999</v>
      </c>
      <c r="L440" s="939">
        <f t="shared" si="535"/>
        <v>2000</v>
      </c>
      <c r="M440" s="939">
        <f t="shared" si="535"/>
        <v>2001</v>
      </c>
      <c r="N440" s="939">
        <f t="shared" si="535"/>
        <v>2002</v>
      </c>
      <c r="O440" s="939">
        <f t="shared" si="535"/>
        <v>2003</v>
      </c>
      <c r="P440" s="939">
        <f t="shared" si="535"/>
        <v>2004</v>
      </c>
      <c r="Q440" s="939">
        <f t="shared" si="535"/>
        <v>2005</v>
      </c>
      <c r="R440" s="939">
        <f t="shared" si="535"/>
        <v>2006</v>
      </c>
      <c r="S440" s="939">
        <f t="shared" si="535"/>
        <v>2007</v>
      </c>
      <c r="T440" s="939">
        <f t="shared" si="535"/>
        <v>2008</v>
      </c>
      <c r="U440" s="939">
        <f t="shared" si="535"/>
        <v>2009</v>
      </c>
      <c r="V440" s="939">
        <f t="shared" si="535"/>
        <v>2010</v>
      </c>
      <c r="W440" s="939">
        <f t="shared" si="535"/>
        <v>2011</v>
      </c>
      <c r="X440" s="939">
        <f t="shared" ref="X440:AE440" si="536">+W440+1</f>
        <v>2012</v>
      </c>
      <c r="Y440" s="939">
        <f t="shared" si="536"/>
        <v>2013</v>
      </c>
      <c r="Z440" s="939">
        <f t="shared" si="536"/>
        <v>2014</v>
      </c>
      <c r="AA440" s="939">
        <f t="shared" si="536"/>
        <v>2015</v>
      </c>
      <c r="AB440" s="939">
        <f t="shared" si="536"/>
        <v>2016</v>
      </c>
      <c r="AC440" s="939">
        <f t="shared" si="536"/>
        <v>2017</v>
      </c>
      <c r="AD440" s="939">
        <f t="shared" si="536"/>
        <v>2018</v>
      </c>
      <c r="AE440" s="939">
        <f t="shared" si="536"/>
        <v>2019</v>
      </c>
    </row>
    <row r="441" spans="1:31" s="749" customFormat="1" ht="12.75" customHeight="1">
      <c r="A441" s="714"/>
      <c r="B441" s="714"/>
      <c r="C441" s="3067" t="s">
        <v>622</v>
      </c>
      <c r="D441" s="3068" t="s">
        <v>591</v>
      </c>
      <c r="E441" s="3069" t="s">
        <v>1248</v>
      </c>
      <c r="F441" s="3070" t="s">
        <v>1242</v>
      </c>
      <c r="G441" s="3071"/>
      <c r="H441" s="3071">
        <f t="shared" ref="H441:AE441" si="537">+(H438/G438-1)*100</f>
        <v>3.496920749248833</v>
      </c>
      <c r="I441" s="3071">
        <f t="shared" si="537"/>
        <v>0</v>
      </c>
      <c r="J441" s="3071">
        <f t="shared" si="537"/>
        <v>0</v>
      </c>
      <c r="K441" s="3071">
        <f t="shared" si="537"/>
        <v>0</v>
      </c>
      <c r="L441" s="3071">
        <f t="shared" si="537"/>
        <v>0</v>
      </c>
      <c r="M441" s="3071">
        <f t="shared" si="537"/>
        <v>0</v>
      </c>
      <c r="N441" s="3071">
        <f t="shared" si="537"/>
        <v>0</v>
      </c>
      <c r="O441" s="3071">
        <f t="shared" si="537"/>
        <v>0</v>
      </c>
      <c r="P441" s="3071">
        <f t="shared" si="537"/>
        <v>0</v>
      </c>
      <c r="Q441" s="3071">
        <f t="shared" si="537"/>
        <v>0</v>
      </c>
      <c r="R441" s="3071">
        <f t="shared" si="537"/>
        <v>0</v>
      </c>
      <c r="S441" s="3071">
        <f t="shared" si="537"/>
        <v>0</v>
      </c>
      <c r="T441" s="3071">
        <f t="shared" si="537"/>
        <v>0</v>
      </c>
      <c r="U441" s="3071">
        <f t="shared" si="537"/>
        <v>0</v>
      </c>
      <c r="V441" s="3071">
        <f t="shared" si="537"/>
        <v>0</v>
      </c>
      <c r="W441" s="3071">
        <f t="shared" si="537"/>
        <v>0</v>
      </c>
      <c r="X441" s="3071">
        <f t="shared" si="537"/>
        <v>0</v>
      </c>
      <c r="Y441" s="3071">
        <f t="shared" si="537"/>
        <v>0</v>
      </c>
      <c r="Z441" s="3071">
        <f t="shared" si="537"/>
        <v>-2.1149425287356416</v>
      </c>
      <c r="AA441" s="3071">
        <f t="shared" si="537"/>
        <v>8.9219918218663707E-2</v>
      </c>
      <c r="AB441" s="3071">
        <f t="shared" si="537"/>
        <v>1.6412795820381909</v>
      </c>
      <c r="AC441" s="3071">
        <f t="shared" ca="1" si="537"/>
        <v>1.011370544781065</v>
      </c>
      <c r="AD441" s="3071">
        <f t="shared" ca="1" si="537"/>
        <v>1.6000000000000236</v>
      </c>
      <c r="AE441" s="3071">
        <f t="shared" ca="1" si="537"/>
        <v>2.0000000000000018</v>
      </c>
    </row>
    <row r="443" spans="1:31">
      <c r="A443" s="1123"/>
      <c r="D443" s="3269"/>
      <c r="E443" s="1126" t="s">
        <v>1243</v>
      </c>
      <c r="F443" s="3270"/>
      <c r="G443" s="3248">
        <f>InputY!$G$3</f>
        <v>1995</v>
      </c>
      <c r="H443" s="3248">
        <f t="shared" ref="H443:W443" si="538">+G443+1</f>
        <v>1996</v>
      </c>
      <c r="I443" s="3248">
        <f t="shared" si="538"/>
        <v>1997</v>
      </c>
      <c r="J443" s="3248">
        <f t="shared" si="538"/>
        <v>1998</v>
      </c>
      <c r="K443" s="3248">
        <f t="shared" si="538"/>
        <v>1999</v>
      </c>
      <c r="L443" s="3248">
        <f t="shared" si="538"/>
        <v>2000</v>
      </c>
      <c r="M443" s="3248">
        <f t="shared" si="538"/>
        <v>2001</v>
      </c>
      <c r="N443" s="3248">
        <f t="shared" si="538"/>
        <v>2002</v>
      </c>
      <c r="O443" s="3248">
        <f t="shared" si="538"/>
        <v>2003</v>
      </c>
      <c r="P443" s="3248">
        <f t="shared" si="538"/>
        <v>2004</v>
      </c>
      <c r="Q443" s="3248">
        <f t="shared" si="538"/>
        <v>2005</v>
      </c>
      <c r="R443" s="3248">
        <f t="shared" si="538"/>
        <v>2006</v>
      </c>
      <c r="S443" s="3248">
        <f t="shared" si="538"/>
        <v>2007</v>
      </c>
      <c r="T443" s="3248">
        <f t="shared" si="538"/>
        <v>2008</v>
      </c>
      <c r="U443" s="3248">
        <f t="shared" si="538"/>
        <v>2009</v>
      </c>
      <c r="V443" s="3248">
        <f t="shared" si="538"/>
        <v>2010</v>
      </c>
      <c r="W443" s="3248">
        <f t="shared" si="538"/>
        <v>2011</v>
      </c>
      <c r="X443" s="3248">
        <f t="shared" ref="X443:AE443" si="539">+W443+1</f>
        <v>2012</v>
      </c>
      <c r="Y443" s="3248">
        <f t="shared" si="539"/>
        <v>2013</v>
      </c>
      <c r="Z443" s="3248">
        <f t="shared" si="539"/>
        <v>2014</v>
      </c>
      <c r="AA443" s="3248">
        <f t="shared" si="539"/>
        <v>2015</v>
      </c>
      <c r="AB443" s="3248">
        <f t="shared" si="539"/>
        <v>2016</v>
      </c>
      <c r="AC443" s="3248">
        <f t="shared" si="539"/>
        <v>2017</v>
      </c>
      <c r="AD443" s="3248">
        <f t="shared" si="539"/>
        <v>2018</v>
      </c>
      <c r="AE443" s="3248">
        <f t="shared" si="539"/>
        <v>2019</v>
      </c>
    </row>
    <row r="444" spans="1:31">
      <c r="A444" s="1123"/>
      <c r="C444" s="1115"/>
      <c r="D444" s="1117"/>
      <c r="E444" s="1118" t="s">
        <v>1518</v>
      </c>
      <c r="F444" s="1119" t="s">
        <v>1244</v>
      </c>
      <c r="G444" s="3064">
        <f t="shared" ref="G444:Y444" ca="1" si="540">+G274/G71*100</f>
        <v>63.884140550807231</v>
      </c>
      <c r="H444" s="3064">
        <f t="shared" si="540"/>
        <v>-3.9574130906553604</v>
      </c>
      <c r="I444" s="3064">
        <f t="shared" si="540"/>
        <v>-4.5046791378096209</v>
      </c>
      <c r="J444" s="3064">
        <f t="shared" si="540"/>
        <v>-5.9515567276743946</v>
      </c>
      <c r="K444" s="3064">
        <f t="shared" si="540"/>
        <v>-6.2054271728003974</v>
      </c>
      <c r="L444" s="3064">
        <f t="shared" si="540"/>
        <v>-29.97657195698298</v>
      </c>
      <c r="M444" s="3064">
        <f t="shared" si="540"/>
        <v>-1.8125632227836881</v>
      </c>
      <c r="N444" s="3064">
        <f t="shared" si="540"/>
        <v>-3.1557493134321005E-2</v>
      </c>
      <c r="O444" s="3064">
        <f t="shared" si="540"/>
        <v>-5.0014011822028435</v>
      </c>
      <c r="P444" s="3064">
        <f t="shared" si="540"/>
        <v>-18.994233128493018</v>
      </c>
      <c r="Q444" s="3064">
        <f t="shared" si="540"/>
        <v>-48.56266538369016</v>
      </c>
      <c r="R444" s="3064">
        <f t="shared" si="540"/>
        <v>-210.65686763344132</v>
      </c>
      <c r="S444" s="3064">
        <f t="shared" si="540"/>
        <v>75.1600604273074</v>
      </c>
      <c r="T444" s="3064">
        <f t="shared" si="540"/>
        <v>74.436369296344623</v>
      </c>
      <c r="U444" s="3271">
        <f t="shared" si="540"/>
        <v>49.65101302627621</v>
      </c>
      <c r="V444" s="3271">
        <f t="shared" si="540"/>
        <v>100</v>
      </c>
      <c r="W444" s="3271">
        <f t="shared" si="540"/>
        <v>34.136060842064616</v>
      </c>
      <c r="X444" s="3271">
        <f t="shared" si="540"/>
        <v>49.027655282621794</v>
      </c>
      <c r="Y444" s="3271">
        <f t="shared" si="540"/>
        <v>-2.4255383282153695</v>
      </c>
      <c r="Z444" s="3271">
        <f t="shared" ref="Z444" si="541">+Z274/Z71*100</f>
        <v>33.098171758618889</v>
      </c>
      <c r="AA444" s="3271">
        <f>+AA274/AA71*100</f>
        <v>23.164602603442315</v>
      </c>
      <c r="AB444" s="3271">
        <f>+AB274/AB71*100</f>
        <v>17.987714113521008</v>
      </c>
      <c r="AC444" s="3271">
        <f ca="1">+AC274/AC71*100</f>
        <v>34.176529566775578</v>
      </c>
      <c r="AD444" s="3271">
        <f ca="1">+AD274/AD71*100</f>
        <v>34.176529566775578</v>
      </c>
      <c r="AE444" s="3271">
        <f ca="1">+AE274/AE71*100</f>
        <v>34.176529566775578</v>
      </c>
    </row>
    <row r="445" spans="1:31">
      <c r="V445" s="577"/>
      <c r="W445" s="577"/>
      <c r="X445" s="577"/>
      <c r="Y445" s="577"/>
      <c r="Z445" s="577"/>
      <c r="AA445" s="577"/>
      <c r="AB445" s="577"/>
      <c r="AC445" s="577"/>
      <c r="AD445" s="577"/>
      <c r="AE445" s="577"/>
    </row>
    <row r="446" spans="1:31" s="749" customFormat="1" ht="12.75" customHeight="1">
      <c r="A446" s="714"/>
      <c r="B446" s="714"/>
      <c r="C446" s="822"/>
      <c r="D446" s="3073"/>
      <c r="E446" s="3074" t="s">
        <v>1243</v>
      </c>
      <c r="F446" s="3075"/>
      <c r="G446" s="939">
        <f>InputY!$G$3</f>
        <v>1995</v>
      </c>
      <c r="H446" s="939">
        <f t="shared" ref="H446:W446" si="542">+G446+1</f>
        <v>1996</v>
      </c>
      <c r="I446" s="939">
        <f t="shared" si="542"/>
        <v>1997</v>
      </c>
      <c r="J446" s="939">
        <f t="shared" si="542"/>
        <v>1998</v>
      </c>
      <c r="K446" s="939">
        <f t="shared" si="542"/>
        <v>1999</v>
      </c>
      <c r="L446" s="939">
        <f t="shared" si="542"/>
        <v>2000</v>
      </c>
      <c r="M446" s="939">
        <f t="shared" si="542"/>
        <v>2001</v>
      </c>
      <c r="N446" s="939">
        <f t="shared" si="542"/>
        <v>2002</v>
      </c>
      <c r="O446" s="939">
        <f t="shared" si="542"/>
        <v>2003</v>
      </c>
      <c r="P446" s="939">
        <f t="shared" si="542"/>
        <v>2004</v>
      </c>
      <c r="Q446" s="939">
        <f t="shared" si="542"/>
        <v>2005</v>
      </c>
      <c r="R446" s="939">
        <f t="shared" si="542"/>
        <v>2006</v>
      </c>
      <c r="S446" s="939">
        <f t="shared" si="542"/>
        <v>2007</v>
      </c>
      <c r="T446" s="939">
        <f t="shared" si="542"/>
        <v>2008</v>
      </c>
      <c r="U446" s="939">
        <f t="shared" si="542"/>
        <v>2009</v>
      </c>
      <c r="V446" s="939">
        <f t="shared" si="542"/>
        <v>2010</v>
      </c>
      <c r="W446" s="939">
        <f t="shared" si="542"/>
        <v>2011</v>
      </c>
      <c r="X446" s="939">
        <f t="shared" ref="X446:AE446" si="543">+W446+1</f>
        <v>2012</v>
      </c>
      <c r="Y446" s="939">
        <f t="shared" si="543"/>
        <v>2013</v>
      </c>
      <c r="Z446" s="939">
        <f t="shared" si="543"/>
        <v>2014</v>
      </c>
      <c r="AA446" s="939">
        <f t="shared" si="543"/>
        <v>2015</v>
      </c>
      <c r="AB446" s="939">
        <f t="shared" si="543"/>
        <v>2016</v>
      </c>
      <c r="AC446" s="939">
        <f t="shared" si="543"/>
        <v>2017</v>
      </c>
      <c r="AD446" s="939">
        <f t="shared" si="543"/>
        <v>2018</v>
      </c>
      <c r="AE446" s="939">
        <f t="shared" si="543"/>
        <v>2019</v>
      </c>
    </row>
    <row r="447" spans="1:31" s="749" customFormat="1" ht="12.75" customHeight="1">
      <c r="A447" s="714"/>
      <c r="B447" s="714"/>
      <c r="C447" s="3067"/>
      <c r="D447" s="3068"/>
      <c r="E447" s="3069" t="s">
        <v>1518</v>
      </c>
      <c r="F447" s="3070" t="s">
        <v>1244</v>
      </c>
      <c r="G447" s="3071"/>
      <c r="H447" s="3071">
        <f t="shared" ref="H447:AE447" ca="1" si="544">+(H444/G444-1)*100</f>
        <v>-106.19467219334039</v>
      </c>
      <c r="I447" s="3071">
        <f t="shared" si="544"/>
        <v>13.828883531176462</v>
      </c>
      <c r="J447" s="3071">
        <f t="shared" si="544"/>
        <v>32.119437269583443</v>
      </c>
      <c r="K447" s="3071">
        <f t="shared" si="544"/>
        <v>4.2656141366429479</v>
      </c>
      <c r="L447" s="3071">
        <f t="shared" si="544"/>
        <v>383.0702403273084</v>
      </c>
      <c r="M447" s="3071">
        <f t="shared" si="544"/>
        <v>-93.953400591019033</v>
      </c>
      <c r="N447" s="3071">
        <f t="shared" si="544"/>
        <v>-98.258957660750951</v>
      </c>
      <c r="O447" s="3071">
        <f t="shared" si="544"/>
        <v>15748.537654480122</v>
      </c>
      <c r="P447" s="3071">
        <f t="shared" si="544"/>
        <v>279.77823486911518</v>
      </c>
      <c r="Q447" s="3071">
        <f t="shared" si="544"/>
        <v>155.67057672279435</v>
      </c>
      <c r="R447" s="3071">
        <f t="shared" si="544"/>
        <v>333.78357832927088</v>
      </c>
      <c r="S447" s="3071">
        <f t="shared" si="544"/>
        <v>-135.67890345644537</v>
      </c>
      <c r="T447" s="3071">
        <f t="shared" si="544"/>
        <v>-0.9628666167222022</v>
      </c>
      <c r="U447" s="3272">
        <f t="shared" si="544"/>
        <v>-33.297373991191634</v>
      </c>
      <c r="V447" s="3272">
        <f t="shared" si="544"/>
        <v>101.40575973158535</v>
      </c>
      <c r="W447" s="3272">
        <f t="shared" si="544"/>
        <v>-65.863939157935377</v>
      </c>
      <c r="X447" s="3272">
        <f t="shared" si="544"/>
        <v>43.624232185005994</v>
      </c>
      <c r="Y447" s="3272">
        <f t="shared" si="544"/>
        <v>-104.94728600467076</v>
      </c>
      <c r="Z447" s="3272">
        <f t="shared" si="544"/>
        <v>-1464.5701398984456</v>
      </c>
      <c r="AA447" s="3272">
        <f t="shared" si="544"/>
        <v>-30.012440649655623</v>
      </c>
      <c r="AB447" s="3272">
        <f t="shared" si="544"/>
        <v>-22.348272398819436</v>
      </c>
      <c r="AC447" s="3272">
        <f t="shared" ca="1" si="544"/>
        <v>89.999292578737155</v>
      </c>
      <c r="AD447" s="3272">
        <f t="shared" ca="1" si="544"/>
        <v>0</v>
      </c>
      <c r="AE447" s="3272">
        <f t="shared" ca="1" si="544"/>
        <v>0</v>
      </c>
    </row>
    <row r="449" spans="1:31">
      <c r="A449" s="1123"/>
      <c r="D449" s="3273"/>
      <c r="E449" s="3274" t="s">
        <v>1521</v>
      </c>
      <c r="F449" s="3275"/>
      <c r="G449" s="3238">
        <f>InputY!$G$3</f>
        <v>1995</v>
      </c>
      <c r="H449" s="3238">
        <f t="shared" ref="H449:W449" si="545">+G449+1</f>
        <v>1996</v>
      </c>
      <c r="I449" s="3238">
        <f t="shared" si="545"/>
        <v>1997</v>
      </c>
      <c r="J449" s="3238">
        <f t="shared" si="545"/>
        <v>1998</v>
      </c>
      <c r="K449" s="3238">
        <f t="shared" si="545"/>
        <v>1999</v>
      </c>
      <c r="L449" s="3238">
        <f t="shared" si="545"/>
        <v>2000</v>
      </c>
      <c r="M449" s="3238">
        <f t="shared" si="545"/>
        <v>2001</v>
      </c>
      <c r="N449" s="3238">
        <f t="shared" si="545"/>
        <v>2002</v>
      </c>
      <c r="O449" s="3238">
        <f t="shared" si="545"/>
        <v>2003</v>
      </c>
      <c r="P449" s="3238">
        <f t="shared" si="545"/>
        <v>2004</v>
      </c>
      <c r="Q449" s="3238">
        <f t="shared" si="545"/>
        <v>2005</v>
      </c>
      <c r="R449" s="3238">
        <f t="shared" si="545"/>
        <v>2006</v>
      </c>
      <c r="S449" s="3238">
        <f t="shared" si="545"/>
        <v>2007</v>
      </c>
      <c r="T449" s="3238">
        <f t="shared" si="545"/>
        <v>2008</v>
      </c>
      <c r="U449" s="3238">
        <f t="shared" si="545"/>
        <v>2009</v>
      </c>
      <c r="V449" s="3238">
        <f t="shared" si="545"/>
        <v>2010</v>
      </c>
      <c r="W449" s="3238">
        <f t="shared" si="545"/>
        <v>2011</v>
      </c>
      <c r="X449" s="3238">
        <f t="shared" ref="X449:AE449" si="546">+W449+1</f>
        <v>2012</v>
      </c>
      <c r="Y449" s="3238">
        <f t="shared" si="546"/>
        <v>2013</v>
      </c>
      <c r="Z449" s="3238">
        <f t="shared" si="546"/>
        <v>2014</v>
      </c>
      <c r="AA449" s="3238">
        <f t="shared" si="546"/>
        <v>2015</v>
      </c>
      <c r="AB449" s="3238">
        <f t="shared" si="546"/>
        <v>2016</v>
      </c>
      <c r="AC449" s="3238">
        <f t="shared" si="546"/>
        <v>2017</v>
      </c>
      <c r="AD449" s="3238">
        <f t="shared" si="546"/>
        <v>2018</v>
      </c>
      <c r="AE449" s="3238">
        <f t="shared" si="546"/>
        <v>2019</v>
      </c>
    </row>
    <row r="450" spans="1:31">
      <c r="A450" s="1123"/>
      <c r="C450" s="1120" t="s">
        <v>624</v>
      </c>
      <c r="D450" s="1121"/>
      <c r="E450" s="1080" t="s">
        <v>691</v>
      </c>
      <c r="F450" s="175" t="s">
        <v>1522</v>
      </c>
      <c r="G450" s="1085">
        <f t="shared" ref="G450:Y450" ca="1" si="547">+G291/G88*100</f>
        <v>75.237737205222416</v>
      </c>
      <c r="H450" s="1085">
        <f t="shared" si="547"/>
        <v>76.050191068859576</v>
      </c>
      <c r="I450" s="1085">
        <f t="shared" si="547"/>
        <v>76.903745057530372</v>
      </c>
      <c r="J450" s="1085">
        <f t="shared" si="547"/>
        <v>75.748984926131442</v>
      </c>
      <c r="K450" s="1085">
        <f t="shared" si="547"/>
        <v>75.645677089149117</v>
      </c>
      <c r="L450" s="1085">
        <f t="shared" si="547"/>
        <v>81.90908466563549</v>
      </c>
      <c r="M450" s="1085">
        <f t="shared" si="547"/>
        <v>83.435241455174094</v>
      </c>
      <c r="N450" s="1085">
        <f t="shared" si="547"/>
        <v>83.837816045338911</v>
      </c>
      <c r="O450" s="1085">
        <f t="shared" si="547"/>
        <v>84.914418730078594</v>
      </c>
      <c r="P450" s="1085">
        <f t="shared" si="547"/>
        <v>88.9117330592033</v>
      </c>
      <c r="Q450" s="1085">
        <f t="shared" si="547"/>
        <v>89.105983951848359</v>
      </c>
      <c r="R450" s="1085">
        <f t="shared" si="547"/>
        <v>89.772578436953694</v>
      </c>
      <c r="S450" s="1085">
        <f t="shared" si="547"/>
        <v>93.109560801527081</v>
      </c>
      <c r="T450" s="1085">
        <f t="shared" si="547"/>
        <v>97.691027076936336</v>
      </c>
      <c r="U450" s="1085">
        <f t="shared" si="547"/>
        <v>96.156028971520342</v>
      </c>
      <c r="V450" s="1085">
        <f t="shared" si="547"/>
        <v>100</v>
      </c>
      <c r="W450" s="1085">
        <f t="shared" si="547"/>
        <v>101.95870592529369</v>
      </c>
      <c r="X450" s="1085">
        <f t="shared" si="547"/>
        <v>104.29528359921115</v>
      </c>
      <c r="Y450" s="1085">
        <f t="shared" si="547"/>
        <v>105.04677020901441</v>
      </c>
      <c r="Z450" s="1085">
        <f t="shared" ref="Z450" si="548">+Z291/Z88*100</f>
        <v>105.17666694892969</v>
      </c>
      <c r="AA450" s="1085">
        <f t="shared" ref="AA450:AA452" si="549">+AA291/AA88*100</f>
        <v>103.88174275047189</v>
      </c>
      <c r="AB450" s="1085">
        <f t="shared" ref="AB450:AC450" si="550">+AB291/AB88*100</f>
        <v>104.50564851814173</v>
      </c>
      <c r="AC450" s="1085">
        <f t="shared" si="550"/>
        <v>106.04265732263856</v>
      </c>
      <c r="AD450" s="1085">
        <f t="shared" ref="AD450" ca="1" si="551">+AD291/AD88*100</f>
        <v>107.10308389586494</v>
      </c>
      <c r="AE450" s="1085">
        <f t="shared" ref="AE450" ca="1" si="552">+AE291/AE88*100</f>
        <v>108.60252707040705</v>
      </c>
    </row>
    <row r="451" spans="1:31">
      <c r="A451" s="1123"/>
      <c r="C451" s="1114" t="s">
        <v>622</v>
      </c>
      <c r="D451" s="1110"/>
      <c r="E451" s="1111" t="s">
        <v>692</v>
      </c>
      <c r="F451" s="1110" t="s">
        <v>1523</v>
      </c>
      <c r="G451" s="1116">
        <f t="shared" ref="G451:Y451" ca="1" si="553">+G292/G89*100</f>
        <v>88.172459392962338</v>
      </c>
      <c r="H451" s="1116">
        <f t="shared" si="553"/>
        <v>86.535687139843134</v>
      </c>
      <c r="I451" s="1116">
        <f t="shared" si="553"/>
        <v>87.481626793059903</v>
      </c>
      <c r="J451" s="1116">
        <f t="shared" si="553"/>
        <v>86.429995393973513</v>
      </c>
      <c r="K451" s="1116">
        <f t="shared" si="553"/>
        <v>86.437080707117985</v>
      </c>
      <c r="L451" s="1116">
        <f t="shared" si="553"/>
        <v>90.852443574069511</v>
      </c>
      <c r="M451" s="1116">
        <f t="shared" si="553"/>
        <v>91.988060942575999</v>
      </c>
      <c r="N451" s="1116">
        <f t="shared" si="553"/>
        <v>90.525521716969891</v>
      </c>
      <c r="O451" s="1116">
        <f t="shared" si="553"/>
        <v>88.729792805166582</v>
      </c>
      <c r="P451" s="1116">
        <f t="shared" si="553"/>
        <v>89.977743108053176</v>
      </c>
      <c r="Q451" s="1116">
        <f t="shared" si="553"/>
        <v>94.170503683339192</v>
      </c>
      <c r="R451" s="1116">
        <f t="shared" si="553"/>
        <v>97.041609757368946</v>
      </c>
      <c r="S451" s="1116">
        <f t="shared" si="553"/>
        <v>98.778012396848411</v>
      </c>
      <c r="T451" s="1116">
        <f t="shared" si="553"/>
        <v>102.2757342712149</v>
      </c>
      <c r="U451" s="1116">
        <f t="shared" si="553"/>
        <v>95.341476959656873</v>
      </c>
      <c r="V451" s="1116">
        <f t="shared" si="553"/>
        <v>100</v>
      </c>
      <c r="W451" s="1116">
        <f t="shared" si="553"/>
        <v>104.55001128223358</v>
      </c>
      <c r="X451" s="1116">
        <f t="shared" si="553"/>
        <v>107.53529523344984</v>
      </c>
      <c r="Y451" s="1116">
        <f t="shared" si="553"/>
        <v>106.75067461711043</v>
      </c>
      <c r="Z451" s="1116">
        <f t="shared" ref="Z451" si="554">+Z292/Z89*100</f>
        <v>103.82275649841107</v>
      </c>
      <c r="AA451" s="1116">
        <f t="shared" si="549"/>
        <v>99.982349272286896</v>
      </c>
      <c r="AB451" s="1116">
        <f t="shared" ref="AB451:AC451" si="555">+AB292/AB89*100</f>
        <v>97.444815880162921</v>
      </c>
      <c r="AC451" s="1116">
        <f t="shared" si="555"/>
        <v>98.741054416451959</v>
      </c>
      <c r="AD451" s="1116">
        <f t="shared" ref="AD451" ca="1" si="556">+AD292/AD89*100</f>
        <v>99.728464960616463</v>
      </c>
      <c r="AE451" s="1116">
        <f t="shared" ref="AE451" ca="1" si="557">+AE292/AE89*100</f>
        <v>100.92520654014388</v>
      </c>
    </row>
    <row r="452" spans="1:31">
      <c r="A452" s="714"/>
      <c r="B452" s="714"/>
      <c r="C452" s="744" t="s">
        <v>624</v>
      </c>
      <c r="D452" s="3276"/>
      <c r="E452" s="3277" t="s">
        <v>51</v>
      </c>
      <c r="F452" s="3276" t="s">
        <v>1524</v>
      </c>
      <c r="G452" s="3278">
        <f t="shared" ref="G452:Y452" ca="1" si="558">+G293/G90*100</f>
        <v>79.829839860472489</v>
      </c>
      <c r="H452" s="3278">
        <f t="shared" si="558"/>
        <v>83.925040913920398</v>
      </c>
      <c r="I452" s="3278">
        <f t="shared" si="558"/>
        <v>84.847347676754964</v>
      </c>
      <c r="J452" s="3278">
        <f t="shared" si="558"/>
        <v>83.774852238765433</v>
      </c>
      <c r="K452" s="3278">
        <f t="shared" si="558"/>
        <v>83.755998229533077</v>
      </c>
      <c r="L452" s="3278">
        <f t="shared" si="558"/>
        <v>88.593184795127414</v>
      </c>
      <c r="M452" s="3278">
        <f t="shared" si="558"/>
        <v>89.823544350695926</v>
      </c>
      <c r="N452" s="3278">
        <f t="shared" si="558"/>
        <v>88.793897363242948</v>
      </c>
      <c r="O452" s="3278">
        <f t="shared" si="558"/>
        <v>87.641520227617647</v>
      </c>
      <c r="P452" s="3278">
        <f t="shared" si="558"/>
        <v>89.470724890844565</v>
      </c>
      <c r="Q452" s="3278">
        <f t="shared" si="558"/>
        <v>92.792731611171902</v>
      </c>
      <c r="R452" s="3278">
        <f t="shared" si="558"/>
        <v>95.192285301732369</v>
      </c>
      <c r="S452" s="3279">
        <f t="shared" si="558"/>
        <v>97.272168533048529</v>
      </c>
      <c r="T452" s="3279">
        <f t="shared" si="558"/>
        <v>101.02640637472165</v>
      </c>
      <c r="U452" s="3279">
        <f t="shared" si="558"/>
        <v>95.559043135919268</v>
      </c>
      <c r="V452" s="3279">
        <f t="shared" si="558"/>
        <v>100</v>
      </c>
      <c r="W452" s="3279">
        <f t="shared" si="558"/>
        <v>103.90145235856605</v>
      </c>
      <c r="X452" s="3279">
        <f t="shared" si="558"/>
        <v>106.71332759908698</v>
      </c>
      <c r="Y452" s="3279">
        <f t="shared" si="558"/>
        <v>106.34533000264852</v>
      </c>
      <c r="Z452" s="3279">
        <f t="shared" ref="Z452" si="559">+Z293/Z90*100</f>
        <v>104.28061411255702</v>
      </c>
      <c r="AA452" s="3279">
        <f t="shared" si="549"/>
        <v>101.1980071760516</v>
      </c>
      <c r="AB452" s="3279">
        <f t="shared" ref="AB452:AC452" si="560">+AB293/AB90*100</f>
        <v>99.536663647189656</v>
      </c>
      <c r="AC452" s="3279">
        <f t="shared" si="560"/>
        <v>100.89950679622287</v>
      </c>
      <c r="AD452" s="3279">
        <f t="shared" ref="AD452" ca="1" si="561">+AD293/AD90*100</f>
        <v>101.9085018641851</v>
      </c>
      <c r="AE452" s="3279">
        <f t="shared" ref="AE452" ca="1" si="562">+AE293/AE90*100</f>
        <v>103.18750660504479</v>
      </c>
    </row>
    <row r="454" spans="1:31">
      <c r="A454" s="1123"/>
      <c r="D454" s="3147"/>
      <c r="E454" s="970" t="s">
        <v>1525</v>
      </c>
      <c r="F454" s="3117"/>
      <c r="G454" s="939">
        <f>InputY!$G$3</f>
        <v>1995</v>
      </c>
      <c r="H454" s="939">
        <f t="shared" ref="H454:W454" si="563">+G454+1</f>
        <v>1996</v>
      </c>
      <c r="I454" s="939">
        <f t="shared" si="563"/>
        <v>1997</v>
      </c>
      <c r="J454" s="939">
        <f t="shared" si="563"/>
        <v>1998</v>
      </c>
      <c r="K454" s="939">
        <f t="shared" si="563"/>
        <v>1999</v>
      </c>
      <c r="L454" s="939">
        <f t="shared" si="563"/>
        <v>2000</v>
      </c>
      <c r="M454" s="939">
        <f t="shared" si="563"/>
        <v>2001</v>
      </c>
      <c r="N454" s="939">
        <f t="shared" si="563"/>
        <v>2002</v>
      </c>
      <c r="O454" s="939">
        <f t="shared" si="563"/>
        <v>2003</v>
      </c>
      <c r="P454" s="939">
        <f t="shared" si="563"/>
        <v>2004</v>
      </c>
      <c r="Q454" s="939">
        <f t="shared" si="563"/>
        <v>2005</v>
      </c>
      <c r="R454" s="939">
        <f t="shared" si="563"/>
        <v>2006</v>
      </c>
      <c r="S454" s="939">
        <f t="shared" si="563"/>
        <v>2007</v>
      </c>
      <c r="T454" s="939">
        <f t="shared" si="563"/>
        <v>2008</v>
      </c>
      <c r="U454" s="939">
        <f t="shared" si="563"/>
        <v>2009</v>
      </c>
      <c r="V454" s="939">
        <f t="shared" si="563"/>
        <v>2010</v>
      </c>
      <c r="W454" s="939">
        <f t="shared" si="563"/>
        <v>2011</v>
      </c>
      <c r="X454" s="939">
        <f t="shared" ref="X454:AE454" si="564">+W454+1</f>
        <v>2012</v>
      </c>
      <c r="Y454" s="939">
        <f t="shared" si="564"/>
        <v>2013</v>
      </c>
      <c r="Z454" s="939">
        <f t="shared" si="564"/>
        <v>2014</v>
      </c>
      <c r="AA454" s="939">
        <f t="shared" si="564"/>
        <v>2015</v>
      </c>
      <c r="AB454" s="939">
        <f t="shared" si="564"/>
        <v>2016</v>
      </c>
      <c r="AC454" s="939">
        <f t="shared" si="564"/>
        <v>2017</v>
      </c>
      <c r="AD454" s="939">
        <f t="shared" si="564"/>
        <v>2018</v>
      </c>
      <c r="AE454" s="939">
        <f t="shared" si="564"/>
        <v>2019</v>
      </c>
    </row>
    <row r="455" spans="1:31">
      <c r="A455" s="1123"/>
      <c r="C455" s="3158" t="s">
        <v>624</v>
      </c>
      <c r="D455" s="3159"/>
      <c r="E455" s="3111" t="s">
        <v>691</v>
      </c>
      <c r="F455" s="3159" t="s">
        <v>1522</v>
      </c>
      <c r="G455" s="1122"/>
      <c r="H455" s="1122">
        <f t="shared" ref="H455:AE455" ca="1" si="565">+(H450/G450-1)*100</f>
        <v>1.0798488814476981</v>
      </c>
      <c r="I455" s="1122">
        <f t="shared" si="565"/>
        <v>1.1223561396419779</v>
      </c>
      <c r="J455" s="1122">
        <f t="shared" si="565"/>
        <v>-1.501565535638183</v>
      </c>
      <c r="K455" s="1122">
        <f t="shared" si="565"/>
        <v>-0.13638181037418651</v>
      </c>
      <c r="L455" s="1122">
        <f t="shared" si="565"/>
        <v>8.2799279714356864</v>
      </c>
      <c r="M455" s="1122">
        <f t="shared" si="565"/>
        <v>1.8632326264767629</v>
      </c>
      <c r="N455" s="1122">
        <f t="shared" si="565"/>
        <v>0.48249946083167572</v>
      </c>
      <c r="O455" s="1122">
        <f t="shared" si="565"/>
        <v>1.284149248541322</v>
      </c>
      <c r="P455" s="1122">
        <f t="shared" si="565"/>
        <v>4.7074623943798688</v>
      </c>
      <c r="Q455" s="1122">
        <f t="shared" si="565"/>
        <v>0.21847610654008864</v>
      </c>
      <c r="R455" s="1122">
        <f t="shared" si="565"/>
        <v>0.7480917167870027</v>
      </c>
      <c r="S455" s="1122">
        <f t="shared" si="565"/>
        <v>3.7171510751659032</v>
      </c>
      <c r="T455" s="1122">
        <f t="shared" si="565"/>
        <v>4.9205111010835356</v>
      </c>
      <c r="U455" s="1122">
        <f t="shared" si="565"/>
        <v>-1.5712785005393637</v>
      </c>
      <c r="V455" s="1122">
        <f t="shared" si="565"/>
        <v>3.9976391179987081</v>
      </c>
      <c r="W455" s="1122">
        <f t="shared" si="565"/>
        <v>1.95870592529368</v>
      </c>
      <c r="X455" s="1122">
        <f t="shared" si="565"/>
        <v>2.2916902021387964</v>
      </c>
      <c r="Y455" s="1122">
        <f t="shared" si="565"/>
        <v>0.7205374815328236</v>
      </c>
      <c r="Z455" s="1122">
        <f t="shared" si="565"/>
        <v>0.12365610066527033</v>
      </c>
      <c r="AA455" s="1122">
        <f t="shared" si="565"/>
        <v>-1.23118961269858</v>
      </c>
      <c r="AB455" s="1122">
        <f t="shared" si="565"/>
        <v>0.60059231887212849</v>
      </c>
      <c r="AC455" s="1122">
        <f t="shared" si="565"/>
        <v>1.4707423247366513</v>
      </c>
      <c r="AD455" s="1122">
        <f t="shared" ca="1" si="565"/>
        <v>1.0000000000000009</v>
      </c>
      <c r="AE455" s="1122">
        <f t="shared" ca="1" si="565"/>
        <v>1.4000000000000012</v>
      </c>
    </row>
    <row r="456" spans="1:31">
      <c r="A456" s="1123"/>
      <c r="C456" s="1021" t="s">
        <v>622</v>
      </c>
      <c r="D456" s="3149"/>
      <c r="E456" s="3150" t="s">
        <v>692</v>
      </c>
      <c r="F456" s="3149" t="s">
        <v>1523</v>
      </c>
      <c r="G456" s="3160"/>
      <c r="H456" s="3160">
        <f t="shared" ref="H456:AE456" ca="1" si="566">+(H451/G451-1)*100</f>
        <v>-1.8563304963792882</v>
      </c>
      <c r="I456" s="3160">
        <f t="shared" si="566"/>
        <v>1.0931208666409731</v>
      </c>
      <c r="J456" s="3160">
        <f t="shared" si="566"/>
        <v>-1.2021168760087741</v>
      </c>
      <c r="K456" s="3160">
        <f t="shared" si="566"/>
        <v>8.1977479139849763E-3</v>
      </c>
      <c r="L456" s="3160">
        <f t="shared" si="566"/>
        <v>5.1081813856167502</v>
      </c>
      <c r="M456" s="3160">
        <f t="shared" si="566"/>
        <v>1.2499579800301586</v>
      </c>
      <c r="N456" s="3160">
        <f t="shared" si="566"/>
        <v>-1.5899228776211527</v>
      </c>
      <c r="O456" s="3160">
        <f t="shared" si="566"/>
        <v>-1.9836714307128744</v>
      </c>
      <c r="P456" s="3160">
        <f t="shared" si="566"/>
        <v>1.4064614189135405</v>
      </c>
      <c r="Q456" s="3160">
        <f t="shared" si="566"/>
        <v>4.6597752182458985</v>
      </c>
      <c r="R456" s="3160">
        <f t="shared" si="566"/>
        <v>3.0488379712656499</v>
      </c>
      <c r="S456" s="3160">
        <f t="shared" si="566"/>
        <v>1.7893382476042552</v>
      </c>
      <c r="T456" s="3160">
        <f t="shared" si="566"/>
        <v>3.540992362059403</v>
      </c>
      <c r="U456" s="3160">
        <f t="shared" si="566"/>
        <v>-6.7799633617586679</v>
      </c>
      <c r="V456" s="3160">
        <f t="shared" si="566"/>
        <v>4.886145242237383</v>
      </c>
      <c r="W456" s="3160">
        <f t="shared" si="566"/>
        <v>4.5500112822335792</v>
      </c>
      <c r="X456" s="3160">
        <f t="shared" si="566"/>
        <v>2.8553645423886831</v>
      </c>
      <c r="Y456" s="3160">
        <f t="shared" si="566"/>
        <v>-0.72964008201777952</v>
      </c>
      <c r="Z456" s="3160">
        <f t="shared" si="566"/>
        <v>-2.7427631059017799</v>
      </c>
      <c r="AA456" s="3160">
        <f t="shared" si="566"/>
        <v>-3.6990033357310659</v>
      </c>
      <c r="AB456" s="3160">
        <f t="shared" si="566"/>
        <v>-2.5379813643039983</v>
      </c>
      <c r="AC456" s="3160">
        <f t="shared" si="566"/>
        <v>1.3302283190551156</v>
      </c>
      <c r="AD456" s="3160">
        <f t="shared" ca="1" si="566"/>
        <v>0.99999999999997868</v>
      </c>
      <c r="AE456" s="3160">
        <f t="shared" ca="1" si="566"/>
        <v>1.2000000000000233</v>
      </c>
    </row>
    <row r="457" spans="1:31" ht="12.75" customHeight="1">
      <c r="A457" s="714"/>
      <c r="B457" s="714"/>
      <c r="C457" s="744" t="s">
        <v>624</v>
      </c>
      <c r="D457" s="3121"/>
      <c r="E457" s="3205" t="s">
        <v>51</v>
      </c>
      <c r="F457" s="3121" t="s">
        <v>1524</v>
      </c>
      <c r="G457" s="3123"/>
      <c r="H457" s="3123">
        <f t="shared" ref="H457:AE457" ca="1" si="567">+(H452/G452-1)*100</f>
        <v>5.1299126499634085</v>
      </c>
      <c r="I457" s="3123">
        <f t="shared" si="567"/>
        <v>1.0989649248792643</v>
      </c>
      <c r="J457" s="3123">
        <f t="shared" si="567"/>
        <v>-1.2640294214916969</v>
      </c>
      <c r="K457" s="3123">
        <f t="shared" si="567"/>
        <v>-2.2505571455522233E-2</v>
      </c>
      <c r="L457" s="3123">
        <f t="shared" si="567"/>
        <v>5.7753315199444488</v>
      </c>
      <c r="M457" s="3123">
        <f t="shared" si="567"/>
        <v>1.388774495931866</v>
      </c>
      <c r="N457" s="3123">
        <f t="shared" si="567"/>
        <v>-1.1462996644097556</v>
      </c>
      <c r="O457" s="3123">
        <f t="shared" si="567"/>
        <v>-1.2978111895585509</v>
      </c>
      <c r="P457" s="3123">
        <f t="shared" si="567"/>
        <v>2.0871439227391431</v>
      </c>
      <c r="Q457" s="3123">
        <f t="shared" si="567"/>
        <v>3.7129538453837485</v>
      </c>
      <c r="R457" s="3123">
        <f t="shared" si="567"/>
        <v>2.5859284977354458</v>
      </c>
      <c r="S457" s="3123">
        <f t="shared" si="567"/>
        <v>2.1849283528843966</v>
      </c>
      <c r="T457" s="3123">
        <f t="shared" si="567"/>
        <v>3.8595190158607462</v>
      </c>
      <c r="U457" s="3268">
        <f t="shared" si="567"/>
        <v>-5.4118160142439748</v>
      </c>
      <c r="V457" s="3268">
        <f t="shared" si="567"/>
        <v>4.6473433788617013</v>
      </c>
      <c r="W457" s="3268">
        <f t="shared" si="567"/>
        <v>3.9014523585660488</v>
      </c>
      <c r="X457" s="3268">
        <f t="shared" si="567"/>
        <v>2.7062906019995614</v>
      </c>
      <c r="Y457" s="3268">
        <f t="shared" si="567"/>
        <v>-0.34484689468310403</v>
      </c>
      <c r="Z457" s="3268">
        <f t="shared" si="567"/>
        <v>-1.9415200366956209</v>
      </c>
      <c r="AA457" s="3268">
        <f t="shared" si="567"/>
        <v>-2.9560690284947455</v>
      </c>
      <c r="AB457" s="3268">
        <f t="shared" si="567"/>
        <v>-1.6416761310049877</v>
      </c>
      <c r="AC457" s="3268">
        <f t="shared" si="567"/>
        <v>1.3691870905617742</v>
      </c>
      <c r="AD457" s="3268">
        <f t="shared" ca="1" si="567"/>
        <v>1.0000000000000009</v>
      </c>
      <c r="AE457" s="3268">
        <f t="shared" ca="1" si="567"/>
        <v>1.2550520491060091</v>
      </c>
    </row>
    <row r="459" spans="1:31">
      <c r="A459" s="1123"/>
      <c r="D459" s="3273"/>
      <c r="E459" s="3274" t="s">
        <v>1526</v>
      </c>
      <c r="F459" s="3275"/>
      <c r="G459" s="3238">
        <f>InputY!$G$3</f>
        <v>1995</v>
      </c>
      <c r="H459" s="3238">
        <f t="shared" ref="H459:W459" si="568">+G459+1</f>
        <v>1996</v>
      </c>
      <c r="I459" s="3238">
        <f t="shared" si="568"/>
        <v>1997</v>
      </c>
      <c r="J459" s="3238">
        <f t="shared" si="568"/>
        <v>1998</v>
      </c>
      <c r="K459" s="3238">
        <f t="shared" si="568"/>
        <v>1999</v>
      </c>
      <c r="L459" s="3238">
        <f t="shared" si="568"/>
        <v>2000</v>
      </c>
      <c r="M459" s="3238">
        <f t="shared" si="568"/>
        <v>2001</v>
      </c>
      <c r="N459" s="3238">
        <f t="shared" si="568"/>
        <v>2002</v>
      </c>
      <c r="O459" s="3238">
        <f t="shared" si="568"/>
        <v>2003</v>
      </c>
      <c r="P459" s="3238">
        <f t="shared" si="568"/>
        <v>2004</v>
      </c>
      <c r="Q459" s="3238">
        <f t="shared" si="568"/>
        <v>2005</v>
      </c>
      <c r="R459" s="3238">
        <f t="shared" si="568"/>
        <v>2006</v>
      </c>
      <c r="S459" s="3238">
        <f t="shared" si="568"/>
        <v>2007</v>
      </c>
      <c r="T459" s="3238">
        <f t="shared" si="568"/>
        <v>2008</v>
      </c>
      <c r="U459" s="3238">
        <f t="shared" si="568"/>
        <v>2009</v>
      </c>
      <c r="V459" s="3238">
        <f t="shared" si="568"/>
        <v>2010</v>
      </c>
      <c r="W459" s="3238">
        <f t="shared" si="568"/>
        <v>2011</v>
      </c>
      <c r="X459" s="3238">
        <f t="shared" ref="X459:AE459" si="569">+W459+1</f>
        <v>2012</v>
      </c>
      <c r="Y459" s="3238">
        <f t="shared" si="569"/>
        <v>2013</v>
      </c>
      <c r="Z459" s="3238">
        <f t="shared" si="569"/>
        <v>2014</v>
      </c>
      <c r="AA459" s="3238">
        <f t="shared" si="569"/>
        <v>2015</v>
      </c>
      <c r="AB459" s="3238">
        <f t="shared" si="569"/>
        <v>2016</v>
      </c>
      <c r="AC459" s="3238">
        <f t="shared" si="569"/>
        <v>2017</v>
      </c>
      <c r="AD459" s="3238">
        <f t="shared" si="569"/>
        <v>2018</v>
      </c>
      <c r="AE459" s="3238">
        <f t="shared" si="569"/>
        <v>2019</v>
      </c>
    </row>
    <row r="460" spans="1:31">
      <c r="A460" s="1123"/>
      <c r="C460" s="1120" t="s">
        <v>624</v>
      </c>
      <c r="D460" s="1121"/>
      <c r="E460" s="1080" t="s">
        <v>693</v>
      </c>
      <c r="F460" s="175" t="s">
        <v>1554</v>
      </c>
      <c r="G460" s="1085">
        <f t="shared" ref="G460:Y460" ca="1" si="570">+G323/G110*100</f>
        <v>77.661161263781793</v>
      </c>
      <c r="H460" s="1085">
        <f t="shared" si="570"/>
        <v>78.291200573809277</v>
      </c>
      <c r="I460" s="1085">
        <f t="shared" si="570"/>
        <v>78.914546147089311</v>
      </c>
      <c r="J460" s="1085">
        <f t="shared" si="570"/>
        <v>79.249101243571161</v>
      </c>
      <c r="K460" s="1085">
        <f t="shared" si="570"/>
        <v>77.743183178527261</v>
      </c>
      <c r="L460" s="1085">
        <f t="shared" si="570"/>
        <v>82.680329847347579</v>
      </c>
      <c r="M460" s="1085">
        <f t="shared" si="570"/>
        <v>83.008540877991493</v>
      </c>
      <c r="N460" s="1085">
        <f t="shared" si="570"/>
        <v>84.518984093074579</v>
      </c>
      <c r="O460" s="1085">
        <f t="shared" si="570"/>
        <v>84.59046097929523</v>
      </c>
      <c r="P460" s="1085">
        <f t="shared" si="570"/>
        <v>86.737807634341252</v>
      </c>
      <c r="Q460" s="1085">
        <f t="shared" si="570"/>
        <v>88.959913426242167</v>
      </c>
      <c r="R460" s="1085">
        <f t="shared" si="570"/>
        <v>90.771325102232126</v>
      </c>
      <c r="S460" s="1085">
        <f t="shared" si="570"/>
        <v>94.584208706250678</v>
      </c>
      <c r="T460" s="1085">
        <f t="shared" si="570"/>
        <v>100.58896813679176</v>
      </c>
      <c r="U460" s="1085">
        <f t="shared" si="570"/>
        <v>96.622592053255659</v>
      </c>
      <c r="V460" s="1085">
        <f t="shared" si="570"/>
        <v>100</v>
      </c>
      <c r="W460" s="1085">
        <f t="shared" si="570"/>
        <v>99.9631244650963</v>
      </c>
      <c r="X460" s="1085">
        <f t="shared" si="570"/>
        <v>100.95183364274003</v>
      </c>
      <c r="Y460" s="1085">
        <f t="shared" si="570"/>
        <v>100.72977743059485</v>
      </c>
      <c r="Z460" s="1085">
        <f t="shared" ref="Z460" si="571">+Z323/Z110*100</f>
        <v>100.82941996252386</v>
      </c>
      <c r="AA460" s="1085">
        <f t="shared" ref="AA460:AA462" si="572">+AA323/AA110*100</f>
        <v>100.91800238705983</v>
      </c>
      <c r="AB460" s="1085">
        <f t="shared" ref="AB460:AC460" si="573">+AB323/AB110*100</f>
        <v>100.84208375144645</v>
      </c>
      <c r="AC460" s="1085">
        <f t="shared" si="573"/>
        <v>102.63521351290623</v>
      </c>
      <c r="AD460" s="1085">
        <f t="shared" ref="AD460" ca="1" si="574">+AD323/AD110*100</f>
        <v>103.66156564803531</v>
      </c>
      <c r="AE460" s="1085">
        <f t="shared" ref="AE460" ca="1" si="575">+AE323/AE110*100</f>
        <v>104.59451973886762</v>
      </c>
    </row>
    <row r="461" spans="1:31">
      <c r="A461" s="1123"/>
      <c r="C461" s="1114" t="s">
        <v>622</v>
      </c>
      <c r="D461" s="1110"/>
      <c r="E461" s="1111" t="s">
        <v>694</v>
      </c>
      <c r="F461" s="1110" t="s">
        <v>1097</v>
      </c>
      <c r="G461" s="1116">
        <f t="shared" ref="G461:Y461" ca="1" si="576">+G324/G111*100</f>
        <v>80.548930981480709</v>
      </c>
      <c r="H461" s="1116">
        <f t="shared" si="576"/>
        <v>79.908208528929507</v>
      </c>
      <c r="I461" s="1116">
        <f t="shared" si="576"/>
        <v>81.229970817063744</v>
      </c>
      <c r="J461" s="1116">
        <f t="shared" si="576"/>
        <v>79.325270145133857</v>
      </c>
      <c r="K461" s="1116">
        <f t="shared" si="576"/>
        <v>80.645224363200015</v>
      </c>
      <c r="L461" s="1116">
        <f t="shared" si="576"/>
        <v>87.086993347970292</v>
      </c>
      <c r="M461" s="1116">
        <f t="shared" si="576"/>
        <v>88.480354925816627</v>
      </c>
      <c r="N461" s="1116">
        <f t="shared" si="576"/>
        <v>86.000589758330335</v>
      </c>
      <c r="O461" s="1116">
        <f t="shared" si="576"/>
        <v>84.92554683496752</v>
      </c>
      <c r="P461" s="1116">
        <f t="shared" si="576"/>
        <v>87.586813658577071</v>
      </c>
      <c r="Q461" s="1116">
        <f t="shared" si="576"/>
        <v>91.881092533734801</v>
      </c>
      <c r="R461" s="1116">
        <f t="shared" si="576"/>
        <v>95.204053211996936</v>
      </c>
      <c r="S461" s="1116">
        <f t="shared" si="576"/>
        <v>96.641387316546414</v>
      </c>
      <c r="T461" s="1116">
        <f t="shared" si="576"/>
        <v>103.13960335287784</v>
      </c>
      <c r="U461" s="1116">
        <f t="shared" si="576"/>
        <v>93.238184178259971</v>
      </c>
      <c r="V461" s="1116">
        <f t="shared" si="576"/>
        <v>100</v>
      </c>
      <c r="W461" s="1116">
        <f t="shared" si="576"/>
        <v>106.72401354111342</v>
      </c>
      <c r="X461" s="1116">
        <f t="shared" si="576"/>
        <v>110.39543639886882</v>
      </c>
      <c r="Y461" s="1116">
        <f t="shared" si="576"/>
        <v>109.62485024675308</v>
      </c>
      <c r="Z461" s="1116">
        <f t="shared" ref="Z461" si="577">+Z324/Z111*100</f>
        <v>106.39339712113245</v>
      </c>
      <c r="AA461" s="1116">
        <f t="shared" si="572"/>
        <v>100.63935597039024</v>
      </c>
      <c r="AB461" s="1116">
        <f t="shared" ref="AB461:AC461" si="578">+AB324/AB111*100</f>
        <v>97.418897310946676</v>
      </c>
      <c r="AC461" s="1116">
        <f t="shared" si="578"/>
        <v>99.252635126903215</v>
      </c>
      <c r="AD461" s="1116">
        <f t="shared" ref="AD461" ca="1" si="579">+AD324/AD111*100</f>
        <v>100.24516147817226</v>
      </c>
      <c r="AE461" s="1116">
        <f t="shared" ref="AE461" ca="1" si="580">+AE324/AE111*100</f>
        <v>101.14736793147581</v>
      </c>
    </row>
    <row r="462" spans="1:31">
      <c r="A462" s="714"/>
      <c r="B462" s="714"/>
      <c r="C462" s="744" t="s">
        <v>624</v>
      </c>
      <c r="D462" s="3276"/>
      <c r="E462" s="3277" t="s">
        <v>1792</v>
      </c>
      <c r="F462" s="3276" t="s">
        <v>1262</v>
      </c>
      <c r="G462" s="3278">
        <f t="shared" ref="G462:Y462" ca="1" si="581">+G325/G112*100</f>
        <v>74.878221192386832</v>
      </c>
      <c r="H462" s="3278">
        <f t="shared" si="581"/>
        <v>79.466196487104128</v>
      </c>
      <c r="I462" s="3278">
        <f t="shared" si="581"/>
        <v>80.645672472799092</v>
      </c>
      <c r="J462" s="3278">
        <f t="shared" si="581"/>
        <v>79.202477083141616</v>
      </c>
      <c r="K462" s="3278">
        <f t="shared" si="581"/>
        <v>79.901515756515423</v>
      </c>
      <c r="L462" s="3278">
        <f t="shared" si="581"/>
        <v>86.005536454451942</v>
      </c>
      <c r="M462" s="3278">
        <f t="shared" si="581"/>
        <v>87.147286942643078</v>
      </c>
      <c r="N462" s="3278">
        <f t="shared" si="581"/>
        <v>85.591310064615271</v>
      </c>
      <c r="O462" s="3278">
        <f t="shared" si="581"/>
        <v>84.772296212689838</v>
      </c>
      <c r="P462" s="3278">
        <f t="shared" si="581"/>
        <v>87.32339679141262</v>
      </c>
      <c r="Q462" s="3278">
        <f t="shared" si="581"/>
        <v>91.199626994464893</v>
      </c>
      <c r="R462" s="3278">
        <f t="shared" si="581"/>
        <v>94.223346136450672</v>
      </c>
      <c r="S462" s="3278">
        <f t="shared" si="581"/>
        <v>96.136284347352614</v>
      </c>
      <c r="T462" s="3278">
        <f t="shared" si="581"/>
        <v>102.5235235792893</v>
      </c>
      <c r="U462" s="3279">
        <f t="shared" si="581"/>
        <v>94.056453854269279</v>
      </c>
      <c r="V462" s="3279">
        <f t="shared" si="581"/>
        <v>100</v>
      </c>
      <c r="W462" s="3279">
        <f t="shared" si="581"/>
        <v>105.14369838337119</v>
      </c>
      <c r="X462" s="3279">
        <f t="shared" si="581"/>
        <v>108.12497190521128</v>
      </c>
      <c r="Y462" s="3279">
        <f t="shared" si="581"/>
        <v>107.49815675069061</v>
      </c>
      <c r="Z462" s="3279">
        <f t="shared" ref="Z462" si="582">+Z325/Z112*100</f>
        <v>105.195509013071</v>
      </c>
      <c r="AA462" s="3279">
        <f t="shared" si="572"/>
        <v>101.14711193884634</v>
      </c>
      <c r="AB462" s="3279">
        <f t="shared" ref="AB462:AC462" si="583">+AB325/AB112*100</f>
        <v>98.787194531105783</v>
      </c>
      <c r="AC462" s="3279">
        <f t="shared" si="583"/>
        <v>100.6181847796898</v>
      </c>
      <c r="AD462" s="3279">
        <f t="shared" ref="AD462" ca="1" si="584">+AD325/AD112*100</f>
        <v>101.62436662748672</v>
      </c>
      <c r="AE462" s="3279">
        <f t="shared" ref="AE462" ca="1" si="585">+AE325/AE112*100</f>
        <v>102.53898592713411</v>
      </c>
    </row>
    <row r="463" spans="1:31">
      <c r="T463" s="1871"/>
    </row>
    <row r="464" spans="1:31">
      <c r="A464" s="1123"/>
      <c r="D464" s="3154"/>
      <c r="E464" s="973" t="s">
        <v>1526</v>
      </c>
      <c r="F464" s="3155"/>
      <c r="G464" s="939">
        <f>InputY!$G$3</f>
        <v>1995</v>
      </c>
      <c r="H464" s="939">
        <f t="shared" ref="H464:W464" si="586">+G464+1</f>
        <v>1996</v>
      </c>
      <c r="I464" s="939">
        <f t="shared" si="586"/>
        <v>1997</v>
      </c>
      <c r="J464" s="939">
        <f t="shared" si="586"/>
        <v>1998</v>
      </c>
      <c r="K464" s="939">
        <f t="shared" si="586"/>
        <v>1999</v>
      </c>
      <c r="L464" s="939">
        <f t="shared" si="586"/>
        <v>2000</v>
      </c>
      <c r="M464" s="939">
        <f t="shared" si="586"/>
        <v>2001</v>
      </c>
      <c r="N464" s="939">
        <f t="shared" si="586"/>
        <v>2002</v>
      </c>
      <c r="O464" s="939">
        <f t="shared" si="586"/>
        <v>2003</v>
      </c>
      <c r="P464" s="939">
        <f t="shared" si="586"/>
        <v>2004</v>
      </c>
      <c r="Q464" s="939">
        <f t="shared" si="586"/>
        <v>2005</v>
      </c>
      <c r="R464" s="939">
        <f t="shared" si="586"/>
        <v>2006</v>
      </c>
      <c r="S464" s="939">
        <f t="shared" si="586"/>
        <v>2007</v>
      </c>
      <c r="T464" s="939">
        <f t="shared" si="586"/>
        <v>2008</v>
      </c>
      <c r="U464" s="939">
        <f t="shared" si="586"/>
        <v>2009</v>
      </c>
      <c r="V464" s="939">
        <f t="shared" si="586"/>
        <v>2010</v>
      </c>
      <c r="W464" s="939">
        <f t="shared" si="586"/>
        <v>2011</v>
      </c>
      <c r="X464" s="939">
        <f t="shared" ref="X464:AE464" si="587">+W464+1</f>
        <v>2012</v>
      </c>
      <c r="Y464" s="939">
        <f t="shared" si="587"/>
        <v>2013</v>
      </c>
      <c r="Z464" s="939">
        <f t="shared" si="587"/>
        <v>2014</v>
      </c>
      <c r="AA464" s="939">
        <f t="shared" si="587"/>
        <v>2015</v>
      </c>
      <c r="AB464" s="939">
        <f t="shared" si="587"/>
        <v>2016</v>
      </c>
      <c r="AC464" s="939">
        <f t="shared" si="587"/>
        <v>2017</v>
      </c>
      <c r="AD464" s="939">
        <f t="shared" si="587"/>
        <v>2018</v>
      </c>
      <c r="AE464" s="939">
        <f t="shared" si="587"/>
        <v>2019</v>
      </c>
    </row>
    <row r="465" spans="1:31">
      <c r="A465" s="1123"/>
      <c r="C465" s="3158" t="s">
        <v>624</v>
      </c>
      <c r="D465" s="3159"/>
      <c r="E465" s="3111" t="s">
        <v>693</v>
      </c>
      <c r="F465" s="3159" t="s">
        <v>1554</v>
      </c>
      <c r="G465" s="1122"/>
      <c r="H465" s="1122">
        <f t="shared" ref="H465:AE465" ca="1" si="588">+(H460/G460-1)*100</f>
        <v>0.81126691872082102</v>
      </c>
      <c r="I465" s="1122">
        <f t="shared" si="588"/>
        <v>0.79618854828056307</v>
      </c>
      <c r="J465" s="1122">
        <f t="shared" si="588"/>
        <v>0.42394604393753976</v>
      </c>
      <c r="K465" s="1122">
        <f t="shared" si="588"/>
        <v>-1.9002336195781955</v>
      </c>
      <c r="L465" s="1122">
        <f t="shared" si="588"/>
        <v>6.3505846647451847</v>
      </c>
      <c r="M465" s="1122">
        <f t="shared" si="588"/>
        <v>0.39696386220264834</v>
      </c>
      <c r="N465" s="1122">
        <f t="shared" si="588"/>
        <v>1.8196238593124692</v>
      </c>
      <c r="O465" s="1122">
        <f t="shared" si="588"/>
        <v>8.456903142841643E-2</v>
      </c>
      <c r="P465" s="1122">
        <f t="shared" si="588"/>
        <v>2.5385210462106622</v>
      </c>
      <c r="Q465" s="1122">
        <f t="shared" si="588"/>
        <v>2.5618652955451626</v>
      </c>
      <c r="R465" s="1122">
        <f t="shared" si="588"/>
        <v>2.0362111497464808</v>
      </c>
      <c r="S465" s="1122">
        <f t="shared" si="588"/>
        <v>4.2005375593275218</v>
      </c>
      <c r="T465" s="1122">
        <f t="shared" si="588"/>
        <v>6.3485855754103815</v>
      </c>
      <c r="U465" s="1122">
        <f t="shared" si="588"/>
        <v>-3.9431521736481012</v>
      </c>
      <c r="V465" s="1122">
        <f t="shared" si="588"/>
        <v>3.4954640265527193</v>
      </c>
      <c r="W465" s="1122">
        <f t="shared" si="588"/>
        <v>-3.687553490370199E-2</v>
      </c>
      <c r="X465" s="1122">
        <f t="shared" si="588"/>
        <v>0.98907390393638828</v>
      </c>
      <c r="Y465" s="1122">
        <f t="shared" si="588"/>
        <v>-0.21996253473811622</v>
      </c>
      <c r="Z465" s="1122">
        <f t="shared" si="588"/>
        <v>9.8920631486221211E-2</v>
      </c>
      <c r="AA465" s="1122">
        <f t="shared" si="588"/>
        <v>8.7853748012123312E-2</v>
      </c>
      <c r="AB465" s="1122">
        <f t="shared" si="588"/>
        <v>-7.5228040406705166E-2</v>
      </c>
      <c r="AC465" s="1122">
        <f t="shared" si="588"/>
        <v>1.7781561970490856</v>
      </c>
      <c r="AD465" s="1122">
        <f t="shared" ca="1" si="588"/>
        <v>1.0000000000000009</v>
      </c>
      <c r="AE465" s="1122">
        <f t="shared" ca="1" si="588"/>
        <v>0.8999999999999897</v>
      </c>
    </row>
    <row r="466" spans="1:31">
      <c r="A466" s="1123"/>
      <c r="C466" s="1021" t="s">
        <v>622</v>
      </c>
      <c r="D466" s="3149"/>
      <c r="E466" s="3150" t="s">
        <v>694</v>
      </c>
      <c r="F466" s="3149" t="s">
        <v>1097</v>
      </c>
      <c r="G466" s="3160"/>
      <c r="H466" s="3160">
        <f t="shared" ref="H466:AE466" ca="1" si="589">+(H461/G461-1)*100</f>
        <v>-0.79544501055950345</v>
      </c>
      <c r="I466" s="3160">
        <f t="shared" si="589"/>
        <v>1.6541007644486516</v>
      </c>
      <c r="J466" s="3160">
        <f t="shared" si="589"/>
        <v>-2.3448250107333202</v>
      </c>
      <c r="K466" s="3160">
        <f t="shared" si="589"/>
        <v>1.6639769592352582</v>
      </c>
      <c r="L466" s="3160">
        <f t="shared" si="589"/>
        <v>7.9877872938373118</v>
      </c>
      <c r="M466" s="3160">
        <f t="shared" si="589"/>
        <v>1.599965189151642</v>
      </c>
      <c r="N466" s="3160">
        <f t="shared" si="589"/>
        <v>-2.8026166594442015</v>
      </c>
      <c r="O466" s="3160">
        <f t="shared" si="589"/>
        <v>-1.2500413385347575</v>
      </c>
      <c r="P466" s="3160">
        <f t="shared" si="589"/>
        <v>3.1336469681862544</v>
      </c>
      <c r="Q466" s="3160">
        <f t="shared" si="589"/>
        <v>4.9028828607663444</v>
      </c>
      <c r="R466" s="3160">
        <f t="shared" si="589"/>
        <v>3.6165881212634643</v>
      </c>
      <c r="S466" s="3160">
        <f t="shared" si="589"/>
        <v>1.5097404533280567</v>
      </c>
      <c r="T466" s="3160">
        <f t="shared" si="589"/>
        <v>6.7240508614044181</v>
      </c>
      <c r="U466" s="3160">
        <f t="shared" si="589"/>
        <v>-9.6000167275624886</v>
      </c>
      <c r="V466" s="3160">
        <f t="shared" si="589"/>
        <v>7.2521959552668491</v>
      </c>
      <c r="W466" s="3160">
        <f t="shared" si="589"/>
        <v>6.7240135411134272</v>
      </c>
      <c r="X466" s="3160">
        <f t="shared" si="589"/>
        <v>3.4401094336103277</v>
      </c>
      <c r="Y466" s="3160">
        <f t="shared" si="589"/>
        <v>-0.698023557179972</v>
      </c>
      <c r="Z466" s="3160">
        <f t="shared" si="589"/>
        <v>-2.9477377787490711</v>
      </c>
      <c r="AA466" s="3160">
        <f t="shared" si="589"/>
        <v>-5.4082690340181987</v>
      </c>
      <c r="AB466" s="3160">
        <f t="shared" si="589"/>
        <v>-3.1999992730389448</v>
      </c>
      <c r="AC466" s="3160">
        <f t="shared" si="589"/>
        <v>1.8823224924251702</v>
      </c>
      <c r="AD466" s="3160">
        <f t="shared" ca="1" si="589"/>
        <v>1.0000000000000231</v>
      </c>
      <c r="AE466" s="3160">
        <f t="shared" ca="1" si="589"/>
        <v>0.8999999999999897</v>
      </c>
    </row>
    <row r="467" spans="1:31">
      <c r="A467" s="714"/>
      <c r="B467" s="714"/>
      <c r="C467" s="744" t="s">
        <v>624</v>
      </c>
      <c r="D467" s="3121"/>
      <c r="E467" s="3205" t="s">
        <v>1792</v>
      </c>
      <c r="F467" s="3121" t="s">
        <v>1262</v>
      </c>
      <c r="G467" s="3123"/>
      <c r="H467" s="3123">
        <f t="shared" ref="H467:AE467" ca="1" si="590">+(H462/G462-1)*100</f>
        <v>6.127249314495975</v>
      </c>
      <c r="I467" s="3123">
        <f t="shared" si="590"/>
        <v>1.4842486967227231</v>
      </c>
      <c r="J467" s="3123">
        <f t="shared" si="590"/>
        <v>-1.7895509398154652</v>
      </c>
      <c r="K467" s="3123">
        <f t="shared" si="590"/>
        <v>0.8825969832231495</v>
      </c>
      <c r="L467" s="3123">
        <f t="shared" si="590"/>
        <v>7.639430416485915</v>
      </c>
      <c r="M467" s="3123">
        <f t="shared" si="590"/>
        <v>1.3275313837450398</v>
      </c>
      <c r="N467" s="3123">
        <f t="shared" si="590"/>
        <v>-1.7854564756007663</v>
      </c>
      <c r="O467" s="3123">
        <f t="shared" si="590"/>
        <v>-0.95688902448991531</v>
      </c>
      <c r="P467" s="3123">
        <f t="shared" si="590"/>
        <v>3.0093564674975815</v>
      </c>
      <c r="Q467" s="3123">
        <f t="shared" si="590"/>
        <v>4.4389365799767599</v>
      </c>
      <c r="R467" s="3123">
        <f t="shared" si="590"/>
        <v>3.3154950756205448</v>
      </c>
      <c r="S467" s="3123">
        <f t="shared" si="590"/>
        <v>2.0302168086152372</v>
      </c>
      <c r="T467" s="3123">
        <f t="shared" si="590"/>
        <v>6.6439422693504335</v>
      </c>
      <c r="U467" s="3268">
        <f t="shared" si="590"/>
        <v>-8.2586604804621206</v>
      </c>
      <c r="V467" s="3268">
        <f t="shared" si="590"/>
        <v>6.319126335487435</v>
      </c>
      <c r="W467" s="3268">
        <f t="shared" si="590"/>
        <v>5.1436983833711869</v>
      </c>
      <c r="X467" s="3268">
        <f t="shared" si="590"/>
        <v>2.8354276743908002</v>
      </c>
      <c r="Y467" s="3268">
        <f t="shared" si="590"/>
        <v>-0.57971358833754927</v>
      </c>
      <c r="Z467" s="3268">
        <f t="shared" si="590"/>
        <v>-2.1420346238679278</v>
      </c>
      <c r="AA467" s="3268">
        <f t="shared" si="590"/>
        <v>-3.8484504825406884</v>
      </c>
      <c r="AB467" s="3268">
        <f t="shared" si="590"/>
        <v>-2.3331535251024937</v>
      </c>
      <c r="AC467" s="3268">
        <f t="shared" si="590"/>
        <v>1.8534692247055062</v>
      </c>
      <c r="AD467" s="3268">
        <f t="shared" ca="1" si="590"/>
        <v>1.0000000000000231</v>
      </c>
      <c r="AE467" s="3268">
        <f t="shared" ca="1" si="590"/>
        <v>0.9000000000000119</v>
      </c>
    </row>
    <row r="469" spans="1:31">
      <c r="A469" s="1123"/>
      <c r="D469" s="3280"/>
      <c r="E469" s="3281" t="s">
        <v>1527</v>
      </c>
      <c r="F469" s="3282"/>
      <c r="G469" s="3283">
        <f>InputY!$G$3</f>
        <v>1995</v>
      </c>
      <c r="H469" s="3283">
        <f t="shared" ref="H469:W469" si="591">+G469+1</f>
        <v>1996</v>
      </c>
      <c r="I469" s="3283">
        <f t="shared" si="591"/>
        <v>1997</v>
      </c>
      <c r="J469" s="3283">
        <f t="shared" si="591"/>
        <v>1998</v>
      </c>
      <c r="K469" s="3283">
        <f t="shared" si="591"/>
        <v>1999</v>
      </c>
      <c r="L469" s="3283">
        <f t="shared" si="591"/>
        <v>2000</v>
      </c>
      <c r="M469" s="3283">
        <f t="shared" si="591"/>
        <v>2001</v>
      </c>
      <c r="N469" s="3283">
        <f t="shared" si="591"/>
        <v>2002</v>
      </c>
      <c r="O469" s="3283">
        <f t="shared" si="591"/>
        <v>2003</v>
      </c>
      <c r="P469" s="3283">
        <f t="shared" si="591"/>
        <v>2004</v>
      </c>
      <c r="Q469" s="3283">
        <f t="shared" si="591"/>
        <v>2005</v>
      </c>
      <c r="R469" s="3283">
        <f t="shared" si="591"/>
        <v>2006</v>
      </c>
      <c r="S469" s="3238">
        <f t="shared" si="591"/>
        <v>2007</v>
      </c>
      <c r="T469" s="3238">
        <f t="shared" si="591"/>
        <v>2008</v>
      </c>
      <c r="U469" s="3238">
        <f t="shared" si="591"/>
        <v>2009</v>
      </c>
      <c r="V469" s="3238">
        <f t="shared" si="591"/>
        <v>2010</v>
      </c>
      <c r="W469" s="3238">
        <f t="shared" si="591"/>
        <v>2011</v>
      </c>
      <c r="X469" s="3238">
        <f t="shared" ref="X469:AE469" si="592">+W469+1</f>
        <v>2012</v>
      </c>
      <c r="Y469" s="3238">
        <f t="shared" si="592"/>
        <v>2013</v>
      </c>
      <c r="Z469" s="3238">
        <f t="shared" si="592"/>
        <v>2014</v>
      </c>
      <c r="AA469" s="3238">
        <f t="shared" si="592"/>
        <v>2015</v>
      </c>
      <c r="AB469" s="3238">
        <f t="shared" si="592"/>
        <v>2016</v>
      </c>
      <c r="AC469" s="3238">
        <f t="shared" si="592"/>
        <v>2017</v>
      </c>
      <c r="AD469" s="3238">
        <f t="shared" si="592"/>
        <v>2018</v>
      </c>
      <c r="AE469" s="3238">
        <f t="shared" si="592"/>
        <v>2019</v>
      </c>
    </row>
    <row r="470" spans="1:31">
      <c r="A470" s="1123"/>
      <c r="C470" s="1115"/>
      <c r="D470" s="1117"/>
      <c r="E470" s="1118" t="s">
        <v>398</v>
      </c>
      <c r="F470" s="1117" t="s">
        <v>1983</v>
      </c>
      <c r="G470" s="3064">
        <f t="shared" ref="G470:Y470" ca="1" si="593">+G355/G132*100</f>
        <v>74.185486538241406</v>
      </c>
      <c r="H470" s="3064">
        <f t="shared" si="593"/>
        <v>78.832635764378381</v>
      </c>
      <c r="I470" s="3064">
        <f t="shared" si="593"/>
        <v>79.541522518754519</v>
      </c>
      <c r="J470" s="3064">
        <f t="shared" si="593"/>
        <v>80.942073591793118</v>
      </c>
      <c r="K470" s="3064">
        <f t="shared" si="593"/>
        <v>81.402306433124025</v>
      </c>
      <c r="L470" s="3064">
        <f t="shared" si="593"/>
        <v>83.049543258387658</v>
      </c>
      <c r="M470" s="3064">
        <f t="shared" si="593"/>
        <v>84.794904937349372</v>
      </c>
      <c r="N470" s="3064">
        <f t="shared" si="593"/>
        <v>86.219325409134555</v>
      </c>
      <c r="O470" s="3064">
        <f t="shared" si="593"/>
        <v>87.911794985811682</v>
      </c>
      <c r="P470" s="3064">
        <f t="shared" si="593"/>
        <v>89.652828896183962</v>
      </c>
      <c r="Q470" s="3064">
        <f t="shared" si="593"/>
        <v>91.567842754417597</v>
      </c>
      <c r="R470" s="3064">
        <f t="shared" si="593"/>
        <v>93.682951524560764</v>
      </c>
      <c r="S470" s="3064">
        <f t="shared" si="593"/>
        <v>95.563635061173187</v>
      </c>
      <c r="T470" s="3064">
        <f t="shared" si="593"/>
        <v>97.393889027281062</v>
      </c>
      <c r="U470" s="3064">
        <f t="shared" si="593"/>
        <v>98.151712667128322</v>
      </c>
      <c r="V470" s="3064">
        <f t="shared" si="593"/>
        <v>100</v>
      </c>
      <c r="W470" s="3271">
        <f t="shared" si="593"/>
        <v>102.00184784133263</v>
      </c>
      <c r="X470" s="3271">
        <f t="shared" si="593"/>
        <v>104.01604643726074</v>
      </c>
      <c r="Y470" s="3271">
        <f t="shared" si="593"/>
        <v>105.10426756387261</v>
      </c>
      <c r="Z470" s="3271">
        <f t="shared" ref="Z470" si="594">+Z355/Z132*100</f>
        <v>105.80370378857941</v>
      </c>
      <c r="AA470" s="3271">
        <f>+AA355/AA132*100</f>
        <v>106.9831734644637</v>
      </c>
      <c r="AB470" s="3271">
        <f>+AB355/AB132*100</f>
        <v>108.67768314795676</v>
      </c>
      <c r="AC470" s="3271">
        <f>+AC355/AC132*100</f>
        <v>110.77488986353443</v>
      </c>
      <c r="AD470" s="3271">
        <f ca="1">+AD355/AD132*100</f>
        <v>112.50175431795061</v>
      </c>
      <c r="AE470" s="3271">
        <f ca="1">+AE355/AE132*100</f>
        <v>114.40708305341767</v>
      </c>
    </row>
    <row r="472" spans="1:31" s="749" customFormat="1" ht="12.75" customHeight="1">
      <c r="A472" s="714"/>
      <c r="B472" s="714"/>
      <c r="C472" s="822"/>
      <c r="D472" s="3073"/>
      <c r="E472" s="3074" t="s">
        <v>1527</v>
      </c>
      <c r="F472" s="3075"/>
      <c r="G472" s="939">
        <f>InputY!$G$3</f>
        <v>1995</v>
      </c>
      <c r="H472" s="939">
        <f t="shared" ref="H472:W472" si="595">+G472+1</f>
        <v>1996</v>
      </c>
      <c r="I472" s="939">
        <f t="shared" si="595"/>
        <v>1997</v>
      </c>
      <c r="J472" s="939">
        <f t="shared" si="595"/>
        <v>1998</v>
      </c>
      <c r="K472" s="939">
        <f t="shared" si="595"/>
        <v>1999</v>
      </c>
      <c r="L472" s="939">
        <f t="shared" si="595"/>
        <v>2000</v>
      </c>
      <c r="M472" s="939">
        <f t="shared" si="595"/>
        <v>2001</v>
      </c>
      <c r="N472" s="939">
        <f t="shared" si="595"/>
        <v>2002</v>
      </c>
      <c r="O472" s="939">
        <f t="shared" si="595"/>
        <v>2003</v>
      </c>
      <c r="P472" s="939">
        <f t="shared" si="595"/>
        <v>2004</v>
      </c>
      <c r="Q472" s="939">
        <f t="shared" si="595"/>
        <v>2005</v>
      </c>
      <c r="R472" s="939">
        <f t="shared" si="595"/>
        <v>2006</v>
      </c>
      <c r="S472" s="939">
        <f t="shared" si="595"/>
        <v>2007</v>
      </c>
      <c r="T472" s="939">
        <f t="shared" si="595"/>
        <v>2008</v>
      </c>
      <c r="U472" s="939">
        <f t="shared" si="595"/>
        <v>2009</v>
      </c>
      <c r="V472" s="939">
        <f t="shared" si="595"/>
        <v>2010</v>
      </c>
      <c r="W472" s="939">
        <f t="shared" si="595"/>
        <v>2011</v>
      </c>
      <c r="X472" s="939">
        <f t="shared" ref="X472:AE472" si="596">+W472+1</f>
        <v>2012</v>
      </c>
      <c r="Y472" s="939">
        <f t="shared" si="596"/>
        <v>2013</v>
      </c>
      <c r="Z472" s="939">
        <f t="shared" si="596"/>
        <v>2014</v>
      </c>
      <c r="AA472" s="939">
        <f t="shared" si="596"/>
        <v>2015</v>
      </c>
      <c r="AB472" s="939">
        <f t="shared" si="596"/>
        <v>2016</v>
      </c>
      <c r="AC472" s="939">
        <f t="shared" si="596"/>
        <v>2017</v>
      </c>
      <c r="AD472" s="939">
        <f t="shared" si="596"/>
        <v>2018</v>
      </c>
      <c r="AE472" s="939">
        <f t="shared" si="596"/>
        <v>2019</v>
      </c>
    </row>
    <row r="473" spans="1:31" s="749" customFormat="1" ht="12.75" customHeight="1">
      <c r="A473" s="714"/>
      <c r="B473" s="714"/>
      <c r="C473" s="3067"/>
      <c r="D473" s="3068"/>
      <c r="E473" s="3069" t="s">
        <v>398</v>
      </c>
      <c r="F473" s="3187" t="s">
        <v>1983</v>
      </c>
      <c r="G473" s="3071"/>
      <c r="H473" s="3071">
        <f t="shared" ref="H473:AE473" ca="1" si="597">+(H470/G470-1)*100</f>
        <v>6.264229626291451</v>
      </c>
      <c r="I473" s="3071">
        <f t="shared" si="597"/>
        <v>0.8992300555507482</v>
      </c>
      <c r="J473" s="3071">
        <f t="shared" si="597"/>
        <v>1.7607798149807508</v>
      </c>
      <c r="K473" s="3071">
        <f t="shared" si="597"/>
        <v>0.56859531873614255</v>
      </c>
      <c r="L473" s="3071">
        <f t="shared" si="597"/>
        <v>2.0235751263594892</v>
      </c>
      <c r="M473" s="3071">
        <f t="shared" si="597"/>
        <v>2.1015909425672108</v>
      </c>
      <c r="N473" s="3071">
        <f t="shared" si="597"/>
        <v>1.6798420528186364</v>
      </c>
      <c r="O473" s="3071">
        <f t="shared" si="597"/>
        <v>1.9629816965580416</v>
      </c>
      <c r="P473" s="3071">
        <f t="shared" si="597"/>
        <v>1.9804326719222054</v>
      </c>
      <c r="Q473" s="3071">
        <f t="shared" si="597"/>
        <v>2.1360328299859566</v>
      </c>
      <c r="R473" s="3071">
        <f t="shared" si="597"/>
        <v>2.3098816205770367</v>
      </c>
      <c r="S473" s="3071">
        <f t="shared" si="597"/>
        <v>2.0074981690978877</v>
      </c>
      <c r="T473" s="3071">
        <f t="shared" si="597"/>
        <v>1.9152201200135055</v>
      </c>
      <c r="U473" s="3071">
        <f t="shared" si="597"/>
        <v>0.77810183720561366</v>
      </c>
      <c r="V473" s="3071">
        <f t="shared" si="597"/>
        <v>1.883092289117716</v>
      </c>
      <c r="W473" s="3071">
        <f t="shared" si="597"/>
        <v>2.0018478413326379</v>
      </c>
      <c r="X473" s="3272">
        <f t="shared" si="597"/>
        <v>1.9746687325324253</v>
      </c>
      <c r="Y473" s="3272">
        <f t="shared" si="597"/>
        <v>1.0462050461303107</v>
      </c>
      <c r="Z473" s="3272">
        <f t="shared" si="597"/>
        <v>0.66546891093812732</v>
      </c>
      <c r="AA473" s="3272">
        <f t="shared" si="597"/>
        <v>1.1147716324195533</v>
      </c>
      <c r="AB473" s="3272">
        <f t="shared" si="597"/>
        <v>1.5839029901799639</v>
      </c>
      <c r="AC473" s="3272">
        <f t="shared" si="597"/>
        <v>1.9297491948944812</v>
      </c>
      <c r="AD473" s="3272">
        <f t="shared" ca="1" si="597"/>
        <v>1.5588952122123967</v>
      </c>
      <c r="AE473" s="3272">
        <f t="shared" ca="1" si="597"/>
        <v>1.6935991327586164</v>
      </c>
    </row>
    <row r="474" spans="1:31">
      <c r="A474" s="3284"/>
      <c r="B474" s="3284"/>
    </row>
    <row r="475" spans="1:31">
      <c r="A475" s="714"/>
      <c r="B475" s="714"/>
    </row>
    <row r="477" spans="1:31">
      <c r="AC477" s="3734">
        <f ca="1">AC236</f>
        <v>24.924416425268898</v>
      </c>
      <c r="AD477" s="3734">
        <f ca="1">AD236</f>
        <v>25.349876213648237</v>
      </c>
      <c r="AE477" s="3734">
        <f ca="1">AE236</f>
        <v>25.833653251309496</v>
      </c>
    </row>
  </sheetData>
  <mergeCells count="4">
    <mergeCell ref="C4:F4"/>
    <mergeCell ref="C189:F189"/>
    <mergeCell ref="C372:F372"/>
    <mergeCell ref="C2:E2"/>
  </mergeCells>
  <phoneticPr fontId="76" type="noConversion"/>
  <conditionalFormatting sqref="G2:Y2">
    <cfRule type="cellIs" dxfId="100" priority="26" stopIfTrue="1" operator="notEqual">
      <formula>"ok"</formula>
    </cfRule>
  </conditionalFormatting>
  <conditionalFormatting sqref="G91:Y91 G283:Y283 G315:Y315 G62:Y62 G265:Y265 G202:Y202 G294:Y294 G326:Y326 H24:Y24 G30:Y30 G80:Y80 G102:Y102 G113:Y113 G215:Y215 G221:Y221 G242:Y242 AA202">
    <cfRule type="cellIs" dxfId="99" priority="27" stopIfTrue="1" operator="notBetween">
      <formula>-0.001</formula>
      <formula>0.001</formula>
    </cfRule>
  </conditionalFormatting>
  <conditionalFormatting sqref="AA2">
    <cfRule type="cellIs" dxfId="98" priority="24" stopIfTrue="1" operator="notEqual">
      <formula>"ok"</formula>
    </cfRule>
  </conditionalFormatting>
  <conditionalFormatting sqref="AA91 AA294 AA283 AA242 AA315 AA80 AA62 AA102 AA113 AA326 AA265 AA24:AB24 AA30:AB30 AA221:AB221">
    <cfRule type="cellIs" dxfId="97" priority="25" stopIfTrue="1" operator="notBetween">
      <formula>-0.001</formula>
      <formula>0.001</formula>
    </cfRule>
  </conditionalFormatting>
  <conditionalFormatting sqref="AB202">
    <cfRule type="cellIs" dxfId="96" priority="23" stopIfTrue="1" operator="notBetween">
      <formula>-0.001</formula>
      <formula>0.001</formula>
    </cfRule>
  </conditionalFormatting>
  <conditionalFormatting sqref="AB91 AB294 AB283 AB242 AB315 AB80 AB62 AB102 AB113 AB326 AB265">
    <cfRule type="cellIs" dxfId="95" priority="22" stopIfTrue="1" operator="notBetween">
      <formula>-0.001</formula>
      <formula>0.001</formula>
    </cfRule>
  </conditionalFormatting>
  <conditionalFormatting sqref="G49:Y49 AA49:AB49">
    <cfRule type="cellIs" dxfId="94" priority="17" stopIfTrue="1" operator="notBetween">
      <formula>-0.001</formula>
      <formula>0.001</formula>
    </cfRule>
  </conditionalFormatting>
  <conditionalFormatting sqref="AC202">
    <cfRule type="cellIs" dxfId="93" priority="16" stopIfTrue="1" operator="notBetween">
      <formula>-0.001</formula>
      <formula>0.001</formula>
    </cfRule>
  </conditionalFormatting>
  <conditionalFormatting sqref="AC2">
    <cfRule type="cellIs" dxfId="92" priority="14" stopIfTrue="1" operator="notEqual">
      <formula>"ok"</formula>
    </cfRule>
  </conditionalFormatting>
  <conditionalFormatting sqref="AC91 AC294 AC283 AC242 AC24 AC315 AC80 AC30 AC62 AC102 AC113 AC221 AC326 AC265 AC215">
    <cfRule type="cellIs" dxfId="91" priority="15" stopIfTrue="1" operator="notBetween">
      <formula>-0.001</formula>
      <formula>0.001</formula>
    </cfRule>
  </conditionalFormatting>
  <conditionalFormatting sqref="AC49">
    <cfRule type="cellIs" dxfId="90" priority="13" stopIfTrue="1" operator="notBetween">
      <formula>-0.001</formula>
      <formula>0.001</formula>
    </cfRule>
  </conditionalFormatting>
  <conditionalFormatting sqref="Z2">
    <cfRule type="cellIs" dxfId="89" priority="11" stopIfTrue="1" operator="notEqual">
      <formula>"ok"</formula>
    </cfRule>
  </conditionalFormatting>
  <conditionalFormatting sqref="Z91 Z283 Z315 Z62 Z265 Z202 Z294 Z326 Z24 Z30 Z80 Z102 Z113 Z221 Z242 Z215:AB215">
    <cfRule type="cellIs" dxfId="88" priority="12" stopIfTrue="1" operator="notBetween">
      <formula>-0.001</formula>
      <formula>0.001</formula>
    </cfRule>
  </conditionalFormatting>
  <conditionalFormatting sqref="Z49:AA49">
    <cfRule type="cellIs" dxfId="87" priority="10" stopIfTrue="1" operator="notBetween">
      <formula>-0.001</formula>
      <formula>0.001</formula>
    </cfRule>
  </conditionalFormatting>
  <conditionalFormatting sqref="AD202">
    <cfRule type="cellIs" dxfId="86" priority="9" stopIfTrue="1" operator="notBetween">
      <formula>-0.001</formula>
      <formula>0.001</formula>
    </cfRule>
  </conditionalFormatting>
  <conditionalFormatting sqref="AD2">
    <cfRule type="cellIs" dxfId="85" priority="7" stopIfTrue="1" operator="notEqual">
      <formula>"ok"</formula>
    </cfRule>
  </conditionalFormatting>
  <conditionalFormatting sqref="AD91 AD294 AD283 AD242 AD24 AD315 AD80 AD30 AD62 AD102 AD113 AD221 AD326 AD265 AD215">
    <cfRule type="cellIs" dxfId="84" priority="8" stopIfTrue="1" operator="notBetween">
      <formula>-0.001</formula>
      <formula>0.001</formula>
    </cfRule>
  </conditionalFormatting>
  <conditionalFormatting sqref="AD49">
    <cfRule type="cellIs" dxfId="83" priority="6" stopIfTrue="1" operator="notBetween">
      <formula>-0.001</formula>
      <formula>0.001</formula>
    </cfRule>
  </conditionalFormatting>
  <conditionalFormatting sqref="AB2">
    <cfRule type="cellIs" dxfId="82" priority="5" stopIfTrue="1" operator="notEqual">
      <formula>"ok"</formula>
    </cfRule>
  </conditionalFormatting>
  <conditionalFormatting sqref="AE49">
    <cfRule type="cellIs" dxfId="81" priority="1" stopIfTrue="1" operator="notBetween">
      <formula>-0.001</formula>
      <formula>0.001</formula>
    </cfRule>
  </conditionalFormatting>
  <conditionalFormatting sqref="AE202">
    <cfRule type="cellIs" dxfId="80" priority="4" stopIfTrue="1" operator="notBetween">
      <formula>-0.001</formula>
      <formula>0.001</formula>
    </cfRule>
  </conditionalFormatting>
  <conditionalFormatting sqref="AE2">
    <cfRule type="cellIs" dxfId="79" priority="2" stopIfTrue="1" operator="notEqual">
      <formula>"ok"</formula>
    </cfRule>
  </conditionalFormatting>
  <conditionalFormatting sqref="AE91 AE294 AE283 AE242 AE24 AE315 AE80 AE30 AE62 AE102 AE113 AE221 AE326 AE265 AE215">
    <cfRule type="cellIs" dxfId="78" priority="3" stopIfTrue="1" operator="notBetween">
      <formula>-0.001</formula>
      <formula>0.001</formula>
    </cfRule>
  </conditionalFormatting>
  <pageMargins left="0.75" right="0.75" top="1" bottom="1" header="0.5" footer="0.5"/>
  <pageSetup paperSize="9"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9" enableFormatConditionsCalculation="0">
    <tabColor indexed="42"/>
  </sheetPr>
  <dimension ref="A1:N302"/>
  <sheetViews>
    <sheetView showGridLines="0" topLeftCell="A25" zoomScale="80" workbookViewId="0">
      <selection activeCell="E14" sqref="E14"/>
    </sheetView>
  </sheetViews>
  <sheetFormatPr defaultRowHeight="13.2"/>
  <sheetData>
    <row r="1" spans="1:14">
      <c r="A1" s="1412"/>
      <c r="B1" s="1412"/>
      <c r="C1" s="1412"/>
      <c r="D1" s="1412"/>
      <c r="E1" s="1412"/>
      <c r="F1" s="1412"/>
      <c r="G1" s="1412"/>
      <c r="H1" s="1412"/>
      <c r="I1" s="1412"/>
      <c r="J1" s="1412"/>
      <c r="K1" s="1412"/>
      <c r="L1" s="1412"/>
      <c r="M1" s="1412"/>
      <c r="N1" s="1412"/>
    </row>
    <row r="2" spans="1:14" ht="17.399999999999999">
      <c r="A2" s="1413" t="s">
        <v>1364</v>
      </c>
      <c r="B2" s="1412"/>
      <c r="C2" s="1412"/>
      <c r="D2" s="1412"/>
      <c r="E2" s="1412"/>
      <c r="F2" s="1412"/>
      <c r="G2" s="1412"/>
      <c r="H2" s="1412"/>
      <c r="I2" s="1412"/>
      <c r="J2" s="1412"/>
      <c r="K2" s="1412"/>
      <c r="L2" s="1412"/>
      <c r="M2" s="1412"/>
      <c r="N2" s="1412"/>
    </row>
    <row r="3" spans="1:14">
      <c r="A3" s="1412"/>
      <c r="B3" s="1412"/>
      <c r="C3" s="1412"/>
      <c r="D3" s="1412"/>
      <c r="E3" s="1412"/>
      <c r="F3" s="1412"/>
      <c r="G3" s="1412"/>
      <c r="H3" s="1412"/>
      <c r="I3" s="1412"/>
      <c r="J3" s="1412"/>
      <c r="K3" s="1412"/>
      <c r="L3" s="1412"/>
      <c r="M3" s="1412"/>
      <c r="N3" s="1412"/>
    </row>
    <row r="29" spans="1:14" ht="15.75" customHeight="1">
      <c r="A29" s="1412"/>
      <c r="B29" s="1412"/>
      <c r="C29" s="1412"/>
      <c r="D29" s="1412"/>
      <c r="E29" s="1412"/>
      <c r="F29" s="1412"/>
      <c r="G29" s="1412"/>
      <c r="H29" s="1412"/>
      <c r="I29" s="1412"/>
      <c r="J29" s="1412"/>
      <c r="K29" s="1412"/>
      <c r="L29" s="1412"/>
      <c r="M29" s="1412"/>
      <c r="N29" s="1412"/>
    </row>
    <row r="30" spans="1:14" ht="17.399999999999999">
      <c r="A30" s="1413" t="s">
        <v>1407</v>
      </c>
      <c r="B30" s="1412"/>
      <c r="C30" s="1412"/>
      <c r="D30" s="1412"/>
      <c r="E30" s="1412"/>
      <c r="F30" s="1412"/>
      <c r="G30" s="1412"/>
      <c r="H30" s="1412"/>
      <c r="I30" s="1412"/>
      <c r="J30" s="1412"/>
      <c r="K30" s="1412"/>
      <c r="L30" s="1412"/>
      <c r="M30" s="1412"/>
      <c r="N30" s="1412"/>
    </row>
    <row r="31" spans="1:14">
      <c r="A31" s="1412"/>
      <c r="B31" s="1412"/>
      <c r="C31" s="1412"/>
      <c r="D31" s="1412"/>
      <c r="E31" s="1412"/>
      <c r="F31" s="1412"/>
      <c r="G31" s="1412"/>
      <c r="H31" s="1412"/>
      <c r="I31" s="1412"/>
      <c r="J31" s="1412"/>
      <c r="K31" s="1412"/>
      <c r="L31" s="1412"/>
      <c r="M31" s="1412"/>
      <c r="N31" s="1412"/>
    </row>
    <row r="53" ht="25.5" customHeight="1"/>
    <row r="75" spans="1:14" ht="12.75" customHeight="1">
      <c r="A75" s="1412"/>
      <c r="B75" s="1412"/>
      <c r="C75" s="1412"/>
      <c r="D75" s="1412"/>
      <c r="E75" s="1412"/>
      <c r="F75" s="1412"/>
      <c r="G75" s="1412"/>
      <c r="H75" s="1412"/>
      <c r="I75" s="1412"/>
      <c r="J75" s="1412"/>
      <c r="K75" s="1412"/>
      <c r="L75" s="1412"/>
      <c r="M75" s="1412"/>
      <c r="N75" s="1412"/>
    </row>
    <row r="76" spans="1:14" ht="17.399999999999999">
      <c r="A76" s="1413" t="s">
        <v>832</v>
      </c>
      <c r="B76" s="1412"/>
      <c r="C76" s="1412"/>
      <c r="D76" s="1412"/>
      <c r="E76" s="1412"/>
      <c r="F76" s="1412"/>
      <c r="G76" s="1412"/>
      <c r="H76" s="1412"/>
      <c r="I76" s="1412"/>
      <c r="J76" s="1412"/>
      <c r="K76" s="1412"/>
      <c r="L76" s="1412"/>
      <c r="M76" s="1412"/>
      <c r="N76" s="1412"/>
    </row>
    <row r="77" spans="1:14">
      <c r="A77" s="1412"/>
      <c r="B77" s="1412"/>
      <c r="C77" s="1412"/>
      <c r="D77" s="1412"/>
      <c r="E77" s="1412"/>
      <c r="F77" s="1412"/>
      <c r="G77" s="1412"/>
      <c r="H77" s="1412"/>
      <c r="I77" s="1412"/>
      <c r="J77" s="1412"/>
      <c r="K77" s="1412"/>
      <c r="L77" s="1412"/>
      <c r="M77" s="1412"/>
      <c r="N77" s="1412"/>
    </row>
    <row r="162" spans="1:14">
      <c r="A162" s="1412"/>
      <c r="B162" s="1412"/>
      <c r="C162" s="1412"/>
      <c r="D162" s="1412"/>
      <c r="E162" s="1412"/>
      <c r="F162" s="1412"/>
      <c r="G162" s="1412"/>
      <c r="H162" s="1412"/>
      <c r="I162" s="1412"/>
      <c r="J162" s="1412"/>
      <c r="K162" s="1412"/>
      <c r="L162" s="1412"/>
      <c r="M162" s="1412"/>
      <c r="N162" s="1412"/>
    </row>
    <row r="163" spans="1:14" ht="17.399999999999999">
      <c r="A163" s="1413" t="s">
        <v>1558</v>
      </c>
      <c r="B163" s="1412"/>
      <c r="C163" s="1412"/>
      <c r="D163" s="1412"/>
      <c r="E163" s="1412"/>
      <c r="F163" s="1412"/>
      <c r="G163" s="1412"/>
      <c r="H163" s="1412"/>
      <c r="I163" s="1412"/>
      <c r="J163" s="1412"/>
      <c r="K163" s="1412"/>
      <c r="L163" s="1412"/>
      <c r="M163" s="1412"/>
      <c r="N163" s="1412"/>
    </row>
    <row r="164" spans="1:14">
      <c r="A164" s="1412"/>
      <c r="B164" s="1412"/>
      <c r="C164" s="1412"/>
      <c r="D164" s="1412"/>
      <c r="E164" s="1412"/>
      <c r="F164" s="1412"/>
      <c r="G164" s="1412"/>
      <c r="H164" s="1412"/>
      <c r="I164" s="1412"/>
      <c r="J164" s="1412"/>
      <c r="K164" s="1412"/>
      <c r="L164" s="1412"/>
      <c r="M164" s="1412"/>
      <c r="N164" s="1412"/>
    </row>
    <row r="186" spans="1:14">
      <c r="A186" s="1412"/>
      <c r="B186" s="1412"/>
      <c r="C186" s="1412"/>
      <c r="D186" s="1412"/>
      <c r="E186" s="1412"/>
      <c r="F186" s="1412"/>
      <c r="G186" s="1412"/>
      <c r="H186" s="1412"/>
      <c r="I186" s="1412"/>
      <c r="J186" s="1412"/>
      <c r="K186" s="1412"/>
      <c r="L186" s="1412"/>
      <c r="M186" s="1412"/>
      <c r="N186" s="1412"/>
    </row>
    <row r="187" spans="1:14" ht="17.399999999999999">
      <c r="A187" s="1413" t="s">
        <v>1362</v>
      </c>
      <c r="B187" s="1412"/>
      <c r="C187" s="1412"/>
      <c r="D187" s="1412"/>
      <c r="E187" s="1412"/>
      <c r="F187" s="1412"/>
      <c r="G187" s="1412"/>
      <c r="H187" s="1412"/>
      <c r="I187" s="1412"/>
      <c r="J187" s="1412"/>
      <c r="K187" s="1412"/>
      <c r="L187" s="1412"/>
      <c r="M187" s="1412"/>
      <c r="N187" s="1412"/>
    </row>
    <row r="188" spans="1:14">
      <c r="A188" s="1412"/>
      <c r="B188" s="1412"/>
      <c r="C188" s="1412"/>
      <c r="D188" s="1412"/>
      <c r="E188" s="1412"/>
      <c r="F188" s="1412"/>
      <c r="G188" s="1412"/>
      <c r="H188" s="1412"/>
      <c r="I188" s="1412"/>
      <c r="J188" s="1412"/>
      <c r="K188" s="1412"/>
      <c r="L188" s="1412"/>
      <c r="M188" s="1412"/>
      <c r="N188" s="1412"/>
    </row>
    <row r="231" spans="1:14">
      <c r="A231" s="1412"/>
      <c r="B231" s="1412"/>
      <c r="C231" s="1412"/>
      <c r="D231" s="1412"/>
      <c r="E231" s="1412"/>
      <c r="F231" s="1412"/>
      <c r="G231" s="1412"/>
      <c r="H231" s="1412"/>
      <c r="I231" s="1412"/>
      <c r="J231" s="1412"/>
      <c r="K231" s="1412"/>
      <c r="L231" s="1412"/>
      <c r="M231" s="1412"/>
      <c r="N231" s="1412"/>
    </row>
    <row r="232" spans="1:14" ht="17.399999999999999">
      <c r="A232" s="1413" t="s">
        <v>1363</v>
      </c>
      <c r="B232" s="1412"/>
      <c r="C232" s="1412"/>
      <c r="D232" s="1412"/>
      <c r="E232" s="1412"/>
      <c r="F232" s="1412"/>
      <c r="G232" s="1412"/>
      <c r="H232" s="1412"/>
      <c r="I232" s="1412"/>
      <c r="J232" s="1412"/>
      <c r="K232" s="1412"/>
      <c r="L232" s="1412"/>
      <c r="M232" s="1412"/>
      <c r="N232" s="1412"/>
    </row>
    <row r="233" spans="1:14">
      <c r="A233" s="1412"/>
      <c r="B233" s="1412"/>
      <c r="C233" s="1412"/>
      <c r="D233" s="1412"/>
      <c r="E233" s="1412"/>
      <c r="F233" s="1412"/>
      <c r="G233" s="1412"/>
      <c r="H233" s="1412"/>
      <c r="I233" s="1412"/>
      <c r="J233" s="1412"/>
      <c r="K233" s="1412"/>
      <c r="L233" s="1412"/>
      <c r="M233" s="1412"/>
      <c r="N233" s="1412"/>
    </row>
    <row r="276" spans="1:14">
      <c r="A276" s="1412"/>
      <c r="B276" s="1412"/>
      <c r="C276" s="1412"/>
      <c r="D276" s="1412"/>
      <c r="E276" s="1412"/>
      <c r="F276" s="1412"/>
      <c r="G276" s="1412"/>
      <c r="H276" s="1412"/>
      <c r="I276" s="1412"/>
      <c r="J276" s="1412"/>
      <c r="K276" s="1412"/>
      <c r="L276" s="1412"/>
      <c r="M276" s="1412"/>
      <c r="N276" s="1412"/>
    </row>
    <row r="277" spans="1:14" ht="17.399999999999999">
      <c r="A277" s="1413" t="s">
        <v>440</v>
      </c>
      <c r="B277" s="1412"/>
      <c r="C277" s="1412"/>
      <c r="D277" s="1412"/>
      <c r="E277" s="1412"/>
      <c r="F277" s="1412"/>
      <c r="G277" s="1412"/>
      <c r="H277" s="1412"/>
      <c r="I277" s="1412"/>
      <c r="J277" s="1412"/>
      <c r="K277" s="1412"/>
      <c r="L277" s="1412"/>
      <c r="M277" s="1412"/>
      <c r="N277" s="1412"/>
    </row>
    <row r="278" spans="1:14">
      <c r="A278" s="1412"/>
      <c r="B278" s="1412"/>
      <c r="C278" s="1412"/>
      <c r="D278" s="1412"/>
      <c r="E278" s="1412"/>
      <c r="F278" s="1412"/>
      <c r="G278" s="1412"/>
      <c r="H278" s="1412"/>
      <c r="I278" s="1412"/>
      <c r="J278" s="1412"/>
      <c r="K278" s="1412"/>
      <c r="L278" s="1412"/>
      <c r="M278" s="1412"/>
      <c r="N278" s="1412"/>
    </row>
    <row r="300" spans="1:14">
      <c r="A300" s="1412"/>
      <c r="B300" s="1412"/>
      <c r="C300" s="1412"/>
      <c r="D300" s="1412"/>
      <c r="E300" s="1412"/>
      <c r="F300" s="1412"/>
      <c r="G300" s="1412"/>
      <c r="H300" s="1412"/>
      <c r="I300" s="1412"/>
      <c r="J300" s="1412"/>
      <c r="K300" s="1412"/>
      <c r="L300" s="1412"/>
      <c r="M300" s="1412"/>
      <c r="N300" s="1412"/>
    </row>
    <row r="301" spans="1:14" ht="17.399999999999999">
      <c r="A301" s="1413" t="s">
        <v>441</v>
      </c>
      <c r="B301" s="1412"/>
      <c r="C301" s="1412"/>
      <c r="D301" s="1412"/>
      <c r="E301" s="1412"/>
      <c r="F301" s="1412"/>
      <c r="G301" s="1412"/>
      <c r="H301" s="1412"/>
      <c r="I301" s="1412"/>
      <c r="J301" s="1412"/>
      <c r="K301" s="1412"/>
      <c r="L301" s="1412"/>
      <c r="M301" s="1412"/>
      <c r="N301" s="1412"/>
    </row>
    <row r="302" spans="1:14">
      <c r="A302" s="1412"/>
      <c r="B302" s="1412"/>
      <c r="C302" s="1412"/>
      <c r="D302" s="1412"/>
      <c r="E302" s="1412"/>
      <c r="F302" s="1412"/>
      <c r="G302" s="1412"/>
      <c r="H302" s="1412"/>
      <c r="I302" s="1412"/>
      <c r="J302" s="1412"/>
      <c r="K302" s="1412"/>
      <c r="L302" s="1412"/>
      <c r="M302" s="1412"/>
      <c r="N302" s="1412"/>
    </row>
  </sheetData>
  <phoneticPr fontId="76" type="noConversion"/>
  <pageMargins left="0.75" right="0.75" top="1" bottom="1" header="0.5" footer="0.5"/>
  <pageSetup paperSize="9"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6" enableFormatConditionsCalculation="0">
    <tabColor indexed="42"/>
  </sheetPr>
  <dimension ref="A1:N354"/>
  <sheetViews>
    <sheetView showGridLines="0" zoomScale="70" zoomScaleNormal="70" workbookViewId="0">
      <selection activeCell="P82" sqref="P82"/>
    </sheetView>
  </sheetViews>
  <sheetFormatPr defaultRowHeight="13.2"/>
  <sheetData>
    <row r="1" spans="1:14">
      <c r="A1" s="1412"/>
      <c r="B1" s="1412"/>
      <c r="C1" s="1412"/>
      <c r="D1" s="1412"/>
      <c r="E1" s="1412"/>
      <c r="F1" s="1412"/>
      <c r="G1" s="1412"/>
      <c r="H1" s="1412"/>
      <c r="I1" s="1412"/>
      <c r="J1" s="1412"/>
      <c r="K1" s="1412"/>
      <c r="L1" s="1412"/>
      <c r="M1" s="1412"/>
      <c r="N1" s="1412"/>
    </row>
    <row r="2" spans="1:14" ht="17.399999999999999">
      <c r="A2" s="1413" t="s">
        <v>380</v>
      </c>
      <c r="B2" s="1412"/>
      <c r="C2" s="1412"/>
      <c r="D2" s="1412"/>
      <c r="E2" s="1412"/>
      <c r="F2" s="1412"/>
      <c r="G2" s="1412"/>
      <c r="H2" s="1412"/>
      <c r="I2" s="1412"/>
      <c r="J2" s="1412"/>
      <c r="K2" s="1412"/>
      <c r="L2" s="1412"/>
      <c r="M2" s="1412"/>
      <c r="N2" s="1412"/>
    </row>
    <row r="3" spans="1:14">
      <c r="A3" s="1412"/>
      <c r="B3" s="1412"/>
      <c r="C3" s="1412"/>
      <c r="D3" s="1412"/>
      <c r="E3" s="1412"/>
      <c r="F3" s="1412"/>
      <c r="G3" s="1412"/>
      <c r="H3" s="1412"/>
      <c r="I3" s="1412"/>
      <c r="J3" s="1412"/>
      <c r="K3" s="1412"/>
      <c r="L3" s="1412"/>
      <c r="M3" s="1412"/>
      <c r="N3" s="1412"/>
    </row>
    <row r="40" spans="1:14">
      <c r="A40" s="1412"/>
      <c r="B40" s="1412"/>
      <c r="C40" s="1412"/>
      <c r="D40" s="1412"/>
      <c r="E40" s="1412"/>
      <c r="F40" s="1412"/>
      <c r="G40" s="1412"/>
      <c r="H40" s="1412"/>
      <c r="I40" s="1412"/>
      <c r="J40" s="1412"/>
      <c r="K40" s="1412"/>
      <c r="L40" s="1412"/>
      <c r="M40" s="1412"/>
      <c r="N40" s="1412"/>
    </row>
    <row r="41" spans="1:14" ht="17.399999999999999">
      <c r="A41" s="1413" t="s">
        <v>381</v>
      </c>
      <c r="B41" s="1412"/>
      <c r="C41" s="1412"/>
      <c r="D41" s="1412"/>
      <c r="E41" s="1412"/>
      <c r="F41" s="1412"/>
      <c r="G41" s="1412"/>
      <c r="H41" s="1412"/>
      <c r="I41" s="1412"/>
      <c r="J41" s="1412"/>
      <c r="K41" s="1412"/>
      <c r="L41" s="1412"/>
      <c r="M41" s="1412"/>
      <c r="N41" s="1412"/>
    </row>
    <row r="42" spans="1:14">
      <c r="A42" s="1412"/>
      <c r="B42" s="1412"/>
      <c r="C42" s="1412"/>
      <c r="D42" s="1412"/>
      <c r="E42" s="1412"/>
      <c r="F42" s="1412"/>
      <c r="G42" s="1412"/>
      <c r="H42" s="1412"/>
      <c r="I42" s="1412"/>
      <c r="J42" s="1412"/>
      <c r="K42" s="1412"/>
      <c r="L42" s="1412"/>
      <c r="M42" s="1412"/>
      <c r="N42" s="1412"/>
    </row>
    <row r="79" spans="1:14">
      <c r="A79" s="1412"/>
      <c r="B79" s="1412"/>
      <c r="C79" s="1412"/>
      <c r="D79" s="1412"/>
      <c r="E79" s="1412"/>
      <c r="F79" s="1412"/>
      <c r="G79" s="1412"/>
      <c r="H79" s="1412"/>
      <c r="I79" s="1412"/>
      <c r="J79" s="1412"/>
      <c r="K79" s="1412"/>
      <c r="L79" s="1412"/>
      <c r="M79" s="1412"/>
      <c r="N79" s="1412"/>
    </row>
    <row r="80" spans="1:14" ht="17.399999999999999">
      <c r="A80" s="1413" t="s">
        <v>832</v>
      </c>
      <c r="B80" s="1412"/>
      <c r="C80" s="1412"/>
      <c r="D80" s="1412"/>
      <c r="E80" s="1412"/>
      <c r="F80" s="1412"/>
      <c r="G80" s="1412"/>
      <c r="H80" s="1412"/>
      <c r="I80" s="1412"/>
      <c r="J80" s="1412"/>
      <c r="K80" s="1412"/>
      <c r="L80" s="1412"/>
      <c r="M80" s="1412"/>
      <c r="N80" s="1412"/>
    </row>
    <row r="81" spans="1:14">
      <c r="A81" s="1412"/>
      <c r="B81" s="1412"/>
      <c r="C81" s="1412"/>
      <c r="D81" s="1412"/>
      <c r="E81" s="1412"/>
      <c r="F81" s="1412"/>
      <c r="G81" s="1412"/>
      <c r="H81" s="1412"/>
      <c r="I81" s="1412"/>
      <c r="J81" s="1412"/>
      <c r="K81" s="1412"/>
      <c r="L81" s="1412"/>
      <c r="M81" s="1412"/>
      <c r="N81" s="1412"/>
    </row>
    <row r="118" spans="1:14">
      <c r="A118" s="1412"/>
      <c r="B118" s="1412"/>
      <c r="C118" s="1412"/>
      <c r="D118" s="1412"/>
      <c r="E118" s="1412"/>
      <c r="F118" s="1412"/>
      <c r="G118" s="1412"/>
      <c r="H118" s="1412"/>
      <c r="I118" s="1412"/>
      <c r="J118" s="1412"/>
      <c r="K118" s="1412"/>
      <c r="L118" s="1412"/>
      <c r="M118" s="1412"/>
      <c r="N118" s="1412"/>
    </row>
    <row r="119" spans="1:14" ht="17.399999999999999">
      <c r="A119" s="1413" t="s">
        <v>382</v>
      </c>
      <c r="B119" s="1412"/>
      <c r="C119" s="1412"/>
      <c r="D119" s="1412"/>
      <c r="E119" s="1412"/>
      <c r="F119" s="1412"/>
      <c r="G119" s="1412"/>
      <c r="H119" s="1412"/>
      <c r="I119" s="1412"/>
      <c r="J119" s="1412"/>
      <c r="K119" s="1412"/>
      <c r="L119" s="1412"/>
      <c r="M119" s="1412"/>
      <c r="N119" s="1412"/>
    </row>
    <row r="120" spans="1:14">
      <c r="A120" s="1412"/>
      <c r="B120" s="1412"/>
      <c r="C120" s="1412"/>
      <c r="D120" s="1412"/>
      <c r="E120" s="1412"/>
      <c r="F120" s="1412"/>
      <c r="G120" s="1412"/>
      <c r="H120" s="1412"/>
      <c r="I120" s="1412"/>
      <c r="J120" s="1412"/>
      <c r="K120" s="1412"/>
      <c r="L120" s="1412"/>
      <c r="M120" s="1412"/>
      <c r="N120" s="1412"/>
    </row>
    <row r="157" spans="1:14">
      <c r="A157" s="1412"/>
      <c r="B157" s="1412"/>
      <c r="C157" s="1412"/>
      <c r="D157" s="1412"/>
      <c r="E157" s="1412"/>
      <c r="F157" s="1412"/>
      <c r="G157" s="1412"/>
      <c r="H157" s="1412"/>
      <c r="I157" s="1412"/>
      <c r="J157" s="1412"/>
      <c r="K157" s="1412"/>
      <c r="L157" s="1412"/>
      <c r="M157" s="1412"/>
      <c r="N157" s="1412"/>
    </row>
    <row r="158" spans="1:14" ht="17.399999999999999">
      <c r="A158" s="1413" t="s">
        <v>383</v>
      </c>
      <c r="B158" s="1412"/>
      <c r="C158" s="1412"/>
      <c r="D158" s="1412"/>
      <c r="E158" s="1412"/>
      <c r="F158" s="1412"/>
      <c r="G158" s="1412"/>
      <c r="H158" s="1412"/>
      <c r="I158" s="1412"/>
      <c r="J158" s="1412"/>
      <c r="K158" s="1412"/>
      <c r="L158" s="1412"/>
      <c r="M158" s="1412"/>
      <c r="N158" s="1412"/>
    </row>
    <row r="159" spans="1:14">
      <c r="A159" s="1412"/>
      <c r="B159" s="1412"/>
      <c r="C159" s="1412"/>
      <c r="D159" s="1412"/>
      <c r="E159" s="1412"/>
      <c r="F159" s="1412"/>
      <c r="G159" s="1412"/>
      <c r="H159" s="1412"/>
      <c r="I159" s="1412"/>
      <c r="J159" s="1412"/>
      <c r="K159" s="1412"/>
      <c r="L159" s="1412"/>
      <c r="M159" s="1412"/>
      <c r="N159" s="1412"/>
    </row>
    <row r="196" spans="1:14">
      <c r="A196" s="1412"/>
      <c r="B196" s="1412"/>
      <c r="C196" s="1412"/>
      <c r="D196" s="1412"/>
      <c r="E196" s="1412"/>
      <c r="F196" s="1412"/>
      <c r="G196" s="1412"/>
      <c r="H196" s="1412"/>
      <c r="I196" s="1412"/>
      <c r="J196" s="1412"/>
      <c r="K196" s="1412"/>
      <c r="L196" s="1412"/>
      <c r="M196" s="1412"/>
      <c r="N196" s="1412"/>
    </row>
    <row r="197" spans="1:14" ht="17.399999999999999">
      <c r="A197" s="1413" t="s">
        <v>1362</v>
      </c>
      <c r="B197" s="1412"/>
      <c r="C197" s="1412"/>
      <c r="D197" s="1412"/>
      <c r="E197" s="1412"/>
      <c r="F197" s="1412"/>
      <c r="G197" s="1412"/>
      <c r="H197" s="1412"/>
      <c r="I197" s="1412"/>
      <c r="J197" s="1412"/>
      <c r="K197" s="1412"/>
      <c r="L197" s="1412"/>
      <c r="M197" s="1412"/>
      <c r="N197" s="1412"/>
    </row>
    <row r="198" spans="1:14">
      <c r="A198" s="1412"/>
      <c r="B198" s="1412"/>
      <c r="C198" s="1412"/>
      <c r="D198" s="1412"/>
      <c r="E198" s="1412"/>
      <c r="F198" s="1412"/>
      <c r="G198" s="1412"/>
      <c r="H198" s="1412"/>
      <c r="I198" s="1412"/>
      <c r="J198" s="1412"/>
      <c r="K198" s="1412"/>
      <c r="L198" s="1412"/>
      <c r="M198" s="1412"/>
      <c r="N198" s="1412"/>
    </row>
    <row r="235" spans="1:14">
      <c r="A235" s="1412"/>
      <c r="B235" s="1412"/>
      <c r="C235" s="1412"/>
      <c r="D235" s="1412"/>
      <c r="E235" s="1412"/>
      <c r="F235" s="1412"/>
      <c r="G235" s="1412"/>
      <c r="H235" s="1412"/>
      <c r="I235" s="1412"/>
      <c r="J235" s="1412"/>
      <c r="K235" s="1412"/>
      <c r="L235" s="1412"/>
      <c r="M235" s="1412"/>
      <c r="N235" s="1412"/>
    </row>
    <row r="236" spans="1:14" ht="17.399999999999999">
      <c r="A236" s="1413" t="s">
        <v>384</v>
      </c>
      <c r="B236" s="1412"/>
      <c r="C236" s="1412"/>
      <c r="D236" s="1412"/>
      <c r="E236" s="1412"/>
      <c r="F236" s="1412"/>
      <c r="G236" s="1412"/>
      <c r="H236" s="1412"/>
      <c r="I236" s="1412"/>
      <c r="J236" s="1412"/>
      <c r="K236" s="1412"/>
      <c r="L236" s="1412"/>
      <c r="M236" s="1412"/>
      <c r="N236" s="1412"/>
    </row>
    <row r="237" spans="1:14">
      <c r="A237" s="1412"/>
      <c r="B237" s="1412"/>
      <c r="C237" s="1412"/>
      <c r="D237" s="1412"/>
      <c r="E237" s="1412"/>
      <c r="F237" s="1412"/>
      <c r="G237" s="1412"/>
      <c r="H237" s="1412"/>
      <c r="I237" s="1412"/>
      <c r="J237" s="1412"/>
      <c r="K237" s="1412"/>
      <c r="L237" s="1412"/>
      <c r="M237" s="1412"/>
      <c r="N237" s="1412"/>
    </row>
    <row r="274" spans="1:14">
      <c r="A274" s="1412"/>
      <c r="B274" s="1412"/>
      <c r="C274" s="1412"/>
      <c r="D274" s="1412"/>
      <c r="E274" s="1412"/>
      <c r="F274" s="1412"/>
      <c r="G274" s="1412"/>
      <c r="H274" s="1412"/>
      <c r="I274" s="1412"/>
      <c r="J274" s="1412"/>
      <c r="K274" s="1412"/>
      <c r="L274" s="1412"/>
      <c r="M274" s="1412"/>
      <c r="N274" s="1412"/>
    </row>
    <row r="275" spans="1:14" ht="17.399999999999999">
      <c r="A275" s="1413" t="s">
        <v>1363</v>
      </c>
      <c r="B275" s="1412"/>
      <c r="C275" s="1412"/>
      <c r="D275" s="1412"/>
      <c r="E275" s="1412"/>
      <c r="F275" s="1412"/>
      <c r="G275" s="1412"/>
      <c r="H275" s="1412"/>
      <c r="I275" s="1412"/>
      <c r="J275" s="1412"/>
      <c r="K275" s="1412"/>
      <c r="L275" s="1412"/>
      <c r="M275" s="1412"/>
      <c r="N275" s="1412"/>
    </row>
    <row r="276" spans="1:14">
      <c r="A276" s="1412"/>
      <c r="B276" s="1412"/>
      <c r="C276" s="1412"/>
      <c r="D276" s="1412"/>
      <c r="E276" s="1412"/>
      <c r="F276" s="1412"/>
      <c r="G276" s="1412"/>
      <c r="H276" s="1412"/>
      <c r="I276" s="1412"/>
      <c r="J276" s="1412"/>
      <c r="K276" s="1412"/>
      <c r="L276" s="1412"/>
      <c r="M276" s="1412"/>
      <c r="N276" s="1412"/>
    </row>
    <row r="277" spans="1:14" ht="19.5" customHeight="1"/>
    <row r="278" spans="1:14" ht="19.5" customHeight="1"/>
    <row r="279" spans="1:14" ht="19.5" customHeight="1"/>
    <row r="280" spans="1:14" ht="19.5" customHeight="1"/>
    <row r="281" spans="1:14" ht="19.5" customHeight="1"/>
    <row r="282" spans="1:14" ht="19.5" customHeight="1"/>
    <row r="283" spans="1:14" ht="19.5" customHeight="1"/>
    <row r="284" spans="1:14" ht="19.5" customHeight="1"/>
    <row r="285" spans="1:14" ht="19.5" customHeight="1"/>
    <row r="286" spans="1:14" ht="19.5" customHeight="1"/>
    <row r="287" spans="1:14" ht="19.5" customHeight="1"/>
    <row r="288" spans="1:14" ht="19.5" customHeight="1"/>
    <row r="289" ht="19.5" customHeight="1"/>
    <row r="290" ht="19.5" customHeight="1"/>
    <row r="291" ht="19.5" customHeight="1"/>
    <row r="292" ht="19.5" customHeight="1"/>
    <row r="293" ht="19.5" customHeight="1"/>
    <row r="294" ht="19.5" customHeight="1"/>
    <row r="313" spans="1:14">
      <c r="A313" s="1412"/>
      <c r="B313" s="1412"/>
      <c r="C313" s="1412"/>
      <c r="D313" s="1412"/>
      <c r="E313" s="1412"/>
      <c r="F313" s="1412"/>
      <c r="G313" s="1412"/>
      <c r="H313" s="1412"/>
      <c r="I313" s="1412"/>
      <c r="J313" s="1412"/>
      <c r="K313" s="1412"/>
      <c r="L313" s="1412"/>
      <c r="M313" s="1412"/>
      <c r="N313" s="1412"/>
    </row>
    <row r="314" spans="1:14" ht="17.399999999999999">
      <c r="A314" s="1413" t="s">
        <v>1364</v>
      </c>
      <c r="B314" s="1412"/>
      <c r="C314" s="1412"/>
      <c r="D314" s="1412"/>
      <c r="E314" s="1412"/>
      <c r="F314" s="1412"/>
      <c r="G314" s="1412"/>
      <c r="H314" s="1412"/>
      <c r="I314" s="1412"/>
      <c r="J314" s="1412"/>
      <c r="K314" s="1412"/>
      <c r="L314" s="1412"/>
      <c r="M314" s="1412"/>
      <c r="N314" s="1412"/>
    </row>
    <row r="315" spans="1:14">
      <c r="A315" s="1412"/>
      <c r="B315" s="1412"/>
      <c r="C315" s="1412"/>
      <c r="D315" s="1412"/>
      <c r="E315" s="1412"/>
      <c r="F315" s="1412"/>
      <c r="G315" s="1412"/>
      <c r="H315" s="1412"/>
      <c r="I315" s="1412"/>
      <c r="J315" s="1412"/>
      <c r="K315" s="1412"/>
      <c r="L315" s="1412"/>
      <c r="M315" s="1412"/>
      <c r="N315" s="1412"/>
    </row>
    <row r="352" spans="1:14">
      <c r="A352" s="1412"/>
      <c r="B352" s="1412"/>
      <c r="C352" s="1412"/>
      <c r="D352" s="1412"/>
      <c r="E352" s="1412"/>
      <c r="F352" s="1412"/>
      <c r="G352" s="1412"/>
      <c r="H352" s="1412"/>
      <c r="I352" s="1412"/>
      <c r="J352" s="1412"/>
      <c r="K352" s="1412"/>
      <c r="L352" s="1412"/>
      <c r="M352" s="1412"/>
      <c r="N352" s="1412"/>
    </row>
    <row r="353" spans="1:14" ht="17.399999999999999">
      <c r="A353" s="1413" t="s">
        <v>385</v>
      </c>
      <c r="B353" s="1412"/>
      <c r="C353" s="1412"/>
      <c r="D353" s="1412"/>
      <c r="E353" s="1412"/>
      <c r="F353" s="1412"/>
      <c r="G353" s="1412"/>
      <c r="H353" s="1412"/>
      <c r="I353" s="1412"/>
      <c r="J353" s="1412"/>
      <c r="K353" s="1412"/>
      <c r="L353" s="1412"/>
      <c r="M353" s="1412"/>
      <c r="N353" s="1412"/>
    </row>
    <row r="354" spans="1:14">
      <c r="A354" s="1412"/>
      <c r="B354" s="1412"/>
      <c r="C354" s="1412"/>
      <c r="D354" s="1412"/>
      <c r="E354" s="1412"/>
      <c r="F354" s="1412"/>
      <c r="G354" s="1412"/>
      <c r="H354" s="1412"/>
      <c r="I354" s="1412"/>
      <c r="J354" s="1412"/>
      <c r="K354" s="1412"/>
      <c r="L354" s="1412"/>
      <c r="M354" s="1412"/>
      <c r="N354" s="1412"/>
    </row>
  </sheetData>
  <phoneticPr fontId="76" type="noConversion"/>
  <pageMargins left="0.75" right="0.75" top="1" bottom="1" header="0.5" footer="0.5"/>
  <headerFooter alignWithMargins="0"/>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tabColor indexed="43"/>
  </sheetPr>
  <dimension ref="A1:AX262"/>
  <sheetViews>
    <sheetView showGridLines="0" topLeftCell="A217" zoomScale="85" zoomScaleNormal="85" workbookViewId="0">
      <pane xSplit="6" topLeftCell="U1" activePane="topRight" state="frozen"/>
      <selection pane="topRight" activeCell="AD48" sqref="AD48"/>
    </sheetView>
  </sheetViews>
  <sheetFormatPr defaultColWidth="9.109375" defaultRowHeight="13.2"/>
  <cols>
    <col min="1" max="2" width="3.6640625" style="715" customWidth="1"/>
    <col min="3" max="4" width="3.6640625" style="720" customWidth="1"/>
    <col min="5" max="5" width="44.88671875" style="218" customWidth="1"/>
    <col min="6" max="6" width="11.88671875" style="744" customWidth="1"/>
    <col min="7" max="16" width="9.33203125" style="218" bestFit="1" customWidth="1"/>
    <col min="17" max="17" width="9.33203125" style="577" bestFit="1" customWidth="1"/>
    <col min="18" max="18" width="9.33203125" style="2121" bestFit="1" customWidth="1"/>
    <col min="19" max="21" width="9.109375" style="2121"/>
    <col min="22" max="23" width="9.109375" style="2840"/>
    <col min="24" max="24" width="9.6640625" style="2840" bestFit="1" customWidth="1"/>
    <col min="25" max="25" width="10.44140625" style="218" customWidth="1"/>
    <col min="26" max="27" width="9.109375" style="218"/>
    <col min="28" max="28" width="8.109375" style="218" customWidth="1"/>
    <col min="29" max="31" width="8.6640625" style="218" customWidth="1"/>
    <col min="32" max="35" width="9.109375" style="218"/>
    <col min="36" max="36" width="10.33203125" style="218" bestFit="1" customWidth="1"/>
    <col min="37" max="38" width="9" style="218" customWidth="1"/>
    <col min="39" max="39" width="9.109375" style="218"/>
    <col min="40" max="40" width="9.109375" style="218" customWidth="1"/>
    <col min="41" max="16384" width="9.109375" style="218"/>
  </cols>
  <sheetData>
    <row r="1" spans="1:43" ht="13.8">
      <c r="G1" s="2930"/>
      <c r="H1" s="2930"/>
      <c r="I1" s="2930"/>
      <c r="J1" s="2930"/>
      <c r="K1" s="2930"/>
      <c r="L1" s="2930"/>
      <c r="M1" s="2930"/>
      <c r="N1" s="2930"/>
      <c r="O1" s="2930"/>
      <c r="P1" s="2930"/>
      <c r="Q1" s="2930"/>
      <c r="R1" s="2930"/>
      <c r="S1" s="2930"/>
      <c r="T1" s="2930"/>
      <c r="U1" s="2930"/>
      <c r="V1" s="2930"/>
      <c r="W1" s="2930"/>
      <c r="X1" s="2930"/>
      <c r="Y1" s="2930"/>
      <c r="Z1" s="2930"/>
      <c r="AA1" s="2930"/>
      <c r="AB1" s="2930"/>
      <c r="AC1" s="2930"/>
      <c r="AD1" s="2930"/>
      <c r="AE1" s="2930"/>
      <c r="AH1" s="3936"/>
      <c r="AI1" s="3936"/>
      <c r="AJ1" s="3936"/>
      <c r="AK1" s="3936"/>
      <c r="AL1" s="3936"/>
      <c r="AM1" s="3936"/>
      <c r="AN1" s="3936"/>
      <c r="AO1" s="2976"/>
    </row>
    <row r="2" spans="1:43" ht="22.5" customHeight="1">
      <c r="C2" s="4124" t="s">
        <v>1071</v>
      </c>
      <c r="D2" s="4124"/>
      <c r="E2" s="4124"/>
      <c r="F2" s="4124"/>
      <c r="G2" s="3741">
        <f t="shared" ref="G2:Q2" si="0">G11/G8</f>
        <v>0.56469381225284798</v>
      </c>
      <c r="H2" s="3741">
        <f t="shared" si="0"/>
        <v>0.5648410642733146</v>
      </c>
      <c r="I2" s="3741">
        <f t="shared" si="0"/>
        <v>0.56642895893243783</v>
      </c>
      <c r="J2" s="3741">
        <f t="shared" si="0"/>
        <v>0.57649154710203299</v>
      </c>
      <c r="K2" s="3741">
        <f t="shared" si="0"/>
        <v>0.57916047457792286</v>
      </c>
      <c r="L2" s="3741">
        <f t="shared" si="0"/>
        <v>0.58111188949419212</v>
      </c>
      <c r="M2" s="3741">
        <f t="shared" si="0"/>
        <v>0.58553083494311642</v>
      </c>
      <c r="N2" s="3741">
        <f t="shared" si="0"/>
        <v>0.58834566131081845</v>
      </c>
      <c r="O2" s="3741">
        <f t="shared" si="0"/>
        <v>0.59005169193037788</v>
      </c>
      <c r="P2" s="3741">
        <f t="shared" si="0"/>
        <v>0.59544093026397682</v>
      </c>
      <c r="Q2" s="3741">
        <f t="shared" si="0"/>
        <v>0.60210658831850439</v>
      </c>
      <c r="R2" s="3741">
        <f t="shared" ref="R2:T2" si="1">R11/R8</f>
        <v>0.60421135811518234</v>
      </c>
      <c r="S2" s="3741">
        <f t="shared" si="1"/>
        <v>0.60570573796493965</v>
      </c>
      <c r="T2" s="3741">
        <f t="shared" si="1"/>
        <v>0.60900983720108648</v>
      </c>
      <c r="U2" s="3741">
        <f t="shared" ref="U2:V2" si="2">U11/U8</f>
        <v>0.60985335524125839</v>
      </c>
      <c r="V2" s="3741">
        <f t="shared" si="2"/>
        <v>0.61051314694283609</v>
      </c>
      <c r="W2" s="3741">
        <f>W11/W8</f>
        <v>0.60486733315903252</v>
      </c>
      <c r="X2" s="3741">
        <f t="shared" ref="X2:AA2" si="3">X11/X8</f>
        <v>0.6068014737092311</v>
      </c>
      <c r="Y2" s="3741">
        <f t="shared" si="3"/>
        <v>0.60847142924633224</v>
      </c>
      <c r="Z2" s="3741">
        <f t="shared" si="3"/>
        <v>0.6095753520966446</v>
      </c>
      <c r="AA2" s="3741">
        <f t="shared" si="3"/>
        <v>0.61087266376872396</v>
      </c>
      <c r="AB2" s="3741">
        <f t="shared" ref="AB2:AC2" si="4">AB11/AB8</f>
        <v>0.61034065008174054</v>
      </c>
      <c r="AC2" s="3741">
        <f t="shared" si="4"/>
        <v>0.60996503481939879</v>
      </c>
      <c r="AD2" s="3741">
        <f t="shared" ref="AD2:AE2" si="5">AD11/AD8</f>
        <v>0.61045310589579549</v>
      </c>
      <c r="AE2" s="3741">
        <f t="shared" si="5"/>
        <v>0.61167467694804234</v>
      </c>
      <c r="AG2" s="3741"/>
      <c r="AH2" s="3741"/>
      <c r="AI2" s="3741"/>
      <c r="AJ2" s="3741"/>
      <c r="AK2" s="3741"/>
      <c r="AL2" s="3741"/>
      <c r="AM2" s="3741"/>
      <c r="AN2" s="3741"/>
    </row>
    <row r="3" spans="1:43">
      <c r="S3" s="2134"/>
      <c r="U3" s="3027"/>
      <c r="V3" s="3027"/>
      <c r="W3" s="3027"/>
      <c r="X3" s="3027"/>
      <c r="Y3" s="3027"/>
      <c r="Z3" s="3027"/>
      <c r="AA3" s="3027"/>
      <c r="AB3" s="3027"/>
      <c r="AC3" s="3027"/>
      <c r="AD3" s="3027"/>
      <c r="AE3" s="3027"/>
      <c r="AG3" s="3380" t="s">
        <v>2570</v>
      </c>
      <c r="AH3" s="1232"/>
    </row>
    <row r="4" spans="1:43" s="749" customFormat="1" ht="12.75" customHeight="1">
      <c r="A4" s="714"/>
      <c r="B4" s="714"/>
      <c r="C4" s="716"/>
      <c r="D4" s="745"/>
      <c r="E4" s="746" t="s">
        <v>1306</v>
      </c>
      <c r="F4" s="747"/>
      <c r="G4" s="748">
        <f>+InputY!$G$3</f>
        <v>1995</v>
      </c>
      <c r="H4" s="748">
        <f>+G4+1</f>
        <v>1996</v>
      </c>
      <c r="I4" s="748">
        <f t="shared" ref="I4:S4" si="6">+H4+1</f>
        <v>1997</v>
      </c>
      <c r="J4" s="748">
        <f t="shared" si="6"/>
        <v>1998</v>
      </c>
      <c r="K4" s="748">
        <f t="shared" si="6"/>
        <v>1999</v>
      </c>
      <c r="L4" s="748">
        <f t="shared" si="6"/>
        <v>2000</v>
      </c>
      <c r="M4" s="748">
        <f t="shared" si="6"/>
        <v>2001</v>
      </c>
      <c r="N4" s="748">
        <f t="shared" si="6"/>
        <v>2002</v>
      </c>
      <c r="O4" s="748">
        <f t="shared" si="6"/>
        <v>2003</v>
      </c>
      <c r="P4" s="748">
        <f>+O4+1</f>
        <v>2004</v>
      </c>
      <c r="Q4" s="748">
        <f>+P4+1</f>
        <v>2005</v>
      </c>
      <c r="R4" s="748">
        <f>+Q4+1</f>
        <v>2006</v>
      </c>
      <c r="S4" s="2122">
        <f t="shared" si="6"/>
        <v>2007</v>
      </c>
      <c r="T4" s="2122">
        <f t="shared" ref="T4:AE4" si="7">+S4+1</f>
        <v>2008</v>
      </c>
      <c r="U4" s="2122">
        <f t="shared" si="7"/>
        <v>2009</v>
      </c>
      <c r="V4" s="2122">
        <f t="shared" si="7"/>
        <v>2010</v>
      </c>
      <c r="W4" s="2122">
        <f t="shared" si="7"/>
        <v>2011</v>
      </c>
      <c r="X4" s="2122">
        <f t="shared" si="7"/>
        <v>2012</v>
      </c>
      <c r="Y4" s="2122">
        <f t="shared" si="7"/>
        <v>2013</v>
      </c>
      <c r="Z4" s="2122">
        <f t="shared" si="7"/>
        <v>2014</v>
      </c>
      <c r="AA4" s="2122">
        <f t="shared" si="7"/>
        <v>2015</v>
      </c>
      <c r="AB4" s="2122">
        <f t="shared" si="7"/>
        <v>2016</v>
      </c>
      <c r="AC4" s="2122">
        <f t="shared" si="7"/>
        <v>2017</v>
      </c>
      <c r="AD4" s="2122">
        <f t="shared" si="7"/>
        <v>2018</v>
      </c>
      <c r="AE4" s="2122">
        <f t="shared" si="7"/>
        <v>2019</v>
      </c>
      <c r="AG4" s="3381">
        <v>2010</v>
      </c>
      <c r="AH4" s="3381">
        <v>2011</v>
      </c>
      <c r="AI4" s="3381">
        <v>2012</v>
      </c>
      <c r="AJ4" s="3381">
        <v>2013</v>
      </c>
      <c r="AK4" s="3381">
        <v>2014</v>
      </c>
      <c r="AL4" s="3381">
        <v>2015</v>
      </c>
      <c r="AM4" s="3381">
        <v>2016</v>
      </c>
      <c r="AN4" s="3381">
        <v>2017</v>
      </c>
      <c r="AO4" s="3381">
        <v>2018</v>
      </c>
      <c r="AP4" s="3381">
        <v>2019</v>
      </c>
    </row>
    <row r="5" spans="1:43" s="749" customFormat="1" ht="12.75" customHeight="1">
      <c r="A5" s="714">
        <f>+ROW(InputY!A4)</f>
        <v>4</v>
      </c>
      <c r="B5" s="714">
        <v>75</v>
      </c>
      <c r="C5" s="717" t="s">
        <v>622</v>
      </c>
      <c r="D5" s="718"/>
      <c r="E5" s="750" t="s">
        <v>395</v>
      </c>
      <c r="F5" s="751" t="str">
        <f>+InputY!B4</f>
        <v>Lpop</v>
      </c>
      <c r="G5" s="752">
        <f ca="1">+InputY!G4</f>
        <v>10137</v>
      </c>
      <c r="H5" s="752">
        <f>+InputY!H4</f>
        <v>10157</v>
      </c>
      <c r="I5" s="752">
        <f>+InputY!I4</f>
        <v>10181</v>
      </c>
      <c r="J5" s="752">
        <f>+InputY!J4</f>
        <v>10203</v>
      </c>
      <c r="K5" s="752">
        <f>+InputY!K4</f>
        <v>10226</v>
      </c>
      <c r="L5" s="752">
        <f>+InputY!L4</f>
        <v>10251</v>
      </c>
      <c r="M5" s="752">
        <f>+InputY!M4</f>
        <v>10287</v>
      </c>
      <c r="N5" s="752">
        <f>+InputY!N4</f>
        <v>10333</v>
      </c>
      <c r="O5" s="752">
        <f>+InputY!O4</f>
        <v>10376</v>
      </c>
      <c r="P5" s="752">
        <f>+InputY!P4</f>
        <v>10421</v>
      </c>
      <c r="Q5" s="752">
        <f>+InputY!Q4</f>
        <v>10479</v>
      </c>
      <c r="R5" s="752">
        <f>+InputY!R4</f>
        <v>10548</v>
      </c>
      <c r="S5" s="752">
        <f>+InputY!S4</f>
        <v>10626</v>
      </c>
      <c r="T5" s="752">
        <f>+InputY!T4</f>
        <v>10710</v>
      </c>
      <c r="U5" s="752">
        <f>+InputY!U4</f>
        <v>10796</v>
      </c>
      <c r="V5" s="752">
        <f>+InputY!V4</f>
        <v>10896</v>
      </c>
      <c r="W5" s="752">
        <f>+InputY!W4</f>
        <v>10994</v>
      </c>
      <c r="X5" s="752">
        <f>+InputY!X4</f>
        <v>11068</v>
      </c>
      <c r="Y5" s="752">
        <f>+InputY!Y4</f>
        <v>11125</v>
      </c>
      <c r="Z5" s="752">
        <f>+InputY!Z4</f>
        <v>11180</v>
      </c>
      <c r="AA5" s="752">
        <f>+InputY!AA4</f>
        <v>11238</v>
      </c>
      <c r="AB5" s="752">
        <f>+InputY!AB4</f>
        <v>11295</v>
      </c>
      <c r="AC5" s="752">
        <f>+InputY!AC4</f>
        <v>11348</v>
      </c>
      <c r="AD5" s="4015">
        <f t="shared" ref="AD5:AE5" si="8">AC5*(1+AD14%)</f>
        <v>11406.019729489513</v>
      </c>
      <c r="AE5" s="4015">
        <f t="shared" si="8"/>
        <v>11464.336100590768</v>
      </c>
      <c r="AG5" s="2976">
        <v>10895.585500000001</v>
      </c>
      <c r="AH5" s="2976">
        <v>10993.6</v>
      </c>
      <c r="AI5" s="2976">
        <v>11067.8</v>
      </c>
      <c r="AJ5" s="2976">
        <v>11125</v>
      </c>
      <c r="AK5" s="2976">
        <v>11179.8</v>
      </c>
      <c r="AL5" s="3906">
        <v>11238.5</v>
      </c>
      <c r="AM5" s="3906">
        <v>11300.3</v>
      </c>
      <c r="AN5" s="3906">
        <v>11322.088</v>
      </c>
      <c r="AO5" s="3906">
        <v>11383.07</v>
      </c>
      <c r="AP5" s="2976">
        <v>11495.772999999999</v>
      </c>
      <c r="AQ5" s="559" t="s">
        <v>2732</v>
      </c>
    </row>
    <row r="6" spans="1:43" s="26" customFormat="1">
      <c r="A6" s="714"/>
      <c r="B6" s="723"/>
      <c r="C6" s="721" t="s">
        <v>1307</v>
      </c>
      <c r="D6" s="729"/>
      <c r="E6" s="730" t="s">
        <v>2155</v>
      </c>
      <c r="F6" s="731" t="s">
        <v>1309</v>
      </c>
      <c r="G6" s="732">
        <f ca="1">+G7/G5</f>
        <v>0.66132159416000791</v>
      </c>
      <c r="H6" s="732">
        <f t="shared" ref="H6:R6" si="9">+H7/H5</f>
        <v>0.6599568278034853</v>
      </c>
      <c r="I6" s="732">
        <f t="shared" si="9"/>
        <v>0.6586925645810825</v>
      </c>
      <c r="J6" s="732">
        <f t="shared" si="9"/>
        <v>0.657523228462217</v>
      </c>
      <c r="K6" s="732">
        <f t="shared" si="9"/>
        <v>0.65667201251711316</v>
      </c>
      <c r="L6" s="732">
        <f t="shared" si="9"/>
        <v>0.65592605599453713</v>
      </c>
      <c r="M6" s="732">
        <f t="shared" si="9"/>
        <v>0.65552041411490225</v>
      </c>
      <c r="N6" s="732">
        <f t="shared" si="9"/>
        <v>0.65561032613955295</v>
      </c>
      <c r="O6" s="732">
        <f t="shared" si="9"/>
        <v>0.65582194487278334</v>
      </c>
      <c r="P6" s="732">
        <f t="shared" si="9"/>
        <v>0.65590423183955471</v>
      </c>
      <c r="Q6" s="732">
        <f t="shared" si="9"/>
        <v>0.65644417406241051</v>
      </c>
      <c r="R6" s="732">
        <f t="shared" si="9"/>
        <v>0.65808712552142579</v>
      </c>
      <c r="S6" s="732">
        <f t="shared" ref="S6:Y6" si="10">+S7/S5</f>
        <v>0.6598639186900056</v>
      </c>
      <c r="T6" s="732">
        <f t="shared" si="10"/>
        <v>0.66050938375350143</v>
      </c>
      <c r="U6" s="732">
        <f t="shared" si="10"/>
        <v>0.65991746943312335</v>
      </c>
      <c r="V6" s="732">
        <f t="shared" si="10"/>
        <v>0.66068607745961827</v>
      </c>
      <c r="W6" s="2123">
        <f t="shared" si="10"/>
        <v>0.66038016190649451</v>
      </c>
      <c r="X6" s="2123">
        <f t="shared" si="10"/>
        <v>0.65762477412359954</v>
      </c>
      <c r="Y6" s="2123">
        <f t="shared" si="10"/>
        <v>0.65497761797752807</v>
      </c>
      <c r="Z6" s="2123">
        <f t="shared" ref="Z6:AE6" si="11">+Z7/Z5</f>
        <v>0.6521437388193202</v>
      </c>
      <c r="AA6" s="2123">
        <f t="shared" si="11"/>
        <v>0.65058093077059975</v>
      </c>
      <c r="AB6" s="2123">
        <f t="shared" si="11"/>
        <v>0.64876215139442228</v>
      </c>
      <c r="AC6" s="2123">
        <f t="shared" si="11"/>
        <v>0.64724380835750062</v>
      </c>
      <c r="AD6" s="2123">
        <f t="shared" si="11"/>
        <v>0.64466383567220553</v>
      </c>
      <c r="AE6" s="2123">
        <f t="shared" si="11"/>
        <v>0.64169959624203399</v>
      </c>
      <c r="AF6" s="3723"/>
      <c r="AH6" s="3425"/>
      <c r="AI6" s="3425"/>
      <c r="AJ6" s="3425"/>
      <c r="AK6" s="3425"/>
      <c r="AL6" s="3769"/>
      <c r="AM6" s="3793"/>
      <c r="AN6" s="3793"/>
    </row>
    <row r="7" spans="1:43">
      <c r="A7" s="714">
        <f>+ROW(InputY!A5)</f>
        <v>5</v>
      </c>
      <c r="B7" s="715">
        <v>76</v>
      </c>
      <c r="C7" s="721" t="s">
        <v>624</v>
      </c>
      <c r="D7" s="724"/>
      <c r="E7" s="221" t="s">
        <v>2151</v>
      </c>
      <c r="F7" s="754" t="str">
        <f>+InputY!B5</f>
        <v>Lage</v>
      </c>
      <c r="G7" s="755">
        <f>+InputY!G5</f>
        <v>6703.817</v>
      </c>
      <c r="H7" s="755">
        <f>+InputY!H5</f>
        <v>6703.1814999999997</v>
      </c>
      <c r="I7" s="755">
        <f>+InputY!I5</f>
        <v>6706.1490000000003</v>
      </c>
      <c r="J7" s="755">
        <f>+InputY!J5</f>
        <v>6708.7094999999999</v>
      </c>
      <c r="K7" s="755">
        <f>+InputY!K5</f>
        <v>6715.1279999999997</v>
      </c>
      <c r="L7" s="755">
        <f>+InputY!L5</f>
        <v>6723.8980000000001</v>
      </c>
      <c r="M7" s="755">
        <f>+InputY!M5</f>
        <v>6743.3384999999998</v>
      </c>
      <c r="N7" s="755">
        <f>+InputY!N5</f>
        <v>6774.4215000000004</v>
      </c>
      <c r="O7" s="755">
        <f>+InputY!O5</f>
        <v>6804.8085000000001</v>
      </c>
      <c r="P7" s="755">
        <f>+InputY!P5</f>
        <v>6835.1779999999999</v>
      </c>
      <c r="Q7" s="755">
        <f>+InputY!Q5</f>
        <v>6878.8784999999998</v>
      </c>
      <c r="R7" s="755">
        <f>+InputY!R5</f>
        <v>6941.5029999999997</v>
      </c>
      <c r="S7" s="755">
        <f>+InputY!S5</f>
        <v>7011.7139999999999</v>
      </c>
      <c r="T7" s="755">
        <f>+InputY!T5</f>
        <v>7074.0555000000004</v>
      </c>
      <c r="U7" s="755">
        <f>+InputY!U5</f>
        <v>7124.4690000000001</v>
      </c>
      <c r="V7" s="755">
        <f>+InputY!V5</f>
        <v>7198.8355000000001</v>
      </c>
      <c r="W7" s="755">
        <f>+InputY!W5</f>
        <v>7260.2195000000002</v>
      </c>
      <c r="X7" s="755">
        <f>+InputY!X5</f>
        <v>7278.5910000000003</v>
      </c>
      <c r="Y7" s="755">
        <f>+InputY!Y5</f>
        <v>7286.6260000000002</v>
      </c>
      <c r="Z7" s="755">
        <f>+InputY!Z5</f>
        <v>7290.9669999999996</v>
      </c>
      <c r="AA7" s="755">
        <f>+InputY!AA5</f>
        <v>7311.2285000000002</v>
      </c>
      <c r="AB7" s="755">
        <f>+InputY!AB5</f>
        <v>7327.7685000000001</v>
      </c>
      <c r="AC7" s="4015">
        <f>AB7*(1+AC15%)</f>
        <v>7344.9227372409168</v>
      </c>
      <c r="AD7" s="4015">
        <f t="shared" ref="AD7:AE7" si="12">AC7*(1+AD15%)</f>
        <v>7353.0484285655621</v>
      </c>
      <c r="AE7" s="4015">
        <f t="shared" si="12"/>
        <v>7356.6598469320697</v>
      </c>
      <c r="AG7" s="3362">
        <v>7179.7219999999998</v>
      </c>
      <c r="AH7" s="3362">
        <v>7225</v>
      </c>
      <c r="AI7" s="3362">
        <v>7246.9</v>
      </c>
      <c r="AJ7" s="3362">
        <v>7259</v>
      </c>
      <c r="AK7" s="3362">
        <v>7268.2</v>
      </c>
      <c r="AL7" s="3451">
        <v>7283.8</v>
      </c>
      <c r="AM7" s="4021">
        <v>7304.6</v>
      </c>
      <c r="AN7" s="4021">
        <v>7306.741</v>
      </c>
      <c r="AO7" s="4022">
        <v>7320.93</v>
      </c>
      <c r="AP7" s="3892">
        <v>7328.1850000000004</v>
      </c>
      <c r="AQ7" s="559" t="s">
        <v>2654</v>
      </c>
    </row>
    <row r="8" spans="1:43">
      <c r="A8" s="714"/>
      <c r="B8" s="715">
        <v>77</v>
      </c>
      <c r="C8" s="721"/>
      <c r="D8" s="724"/>
      <c r="E8" s="221" t="s">
        <v>2152</v>
      </c>
      <c r="F8" s="754"/>
      <c r="G8" s="755">
        <f>+InputY!G6</f>
        <v>7680.6224999999995</v>
      </c>
      <c r="H8" s="755">
        <f>+InputY!H6</f>
        <v>7684.2855</v>
      </c>
      <c r="I8" s="755">
        <f>+InputY!I6</f>
        <v>7691.1674999999996</v>
      </c>
      <c r="J8" s="755">
        <f>+InputY!J6</f>
        <v>7693.7815000000001</v>
      </c>
      <c r="K8" s="755">
        <f>+InputY!K6</f>
        <v>7696.3125</v>
      </c>
      <c r="L8" s="755">
        <f>+InputY!L6</f>
        <v>7699.7219999999998</v>
      </c>
      <c r="M8" s="755">
        <f>+InputY!M6</f>
        <v>7713.5135</v>
      </c>
      <c r="N8" s="755">
        <f>+InputY!N6</f>
        <v>7741.5375000000004</v>
      </c>
      <c r="O8" s="755">
        <f>+InputY!O6</f>
        <v>7771.5225</v>
      </c>
      <c r="P8" s="755">
        <f>+InputY!P6</f>
        <v>7801.6135000000004</v>
      </c>
      <c r="Q8" s="755">
        <f>+InputY!Q6</f>
        <v>7836.9844999999996</v>
      </c>
      <c r="R8" s="755">
        <f>+InputY!R6</f>
        <v>7880.1895000000004</v>
      </c>
      <c r="S8" s="755">
        <f>+InputY!S6</f>
        <v>7931.2439999999997</v>
      </c>
      <c r="T8" s="755">
        <f>+InputY!T6</f>
        <v>7986.5704999999998</v>
      </c>
      <c r="U8" s="755">
        <f>+InputY!U6</f>
        <v>8040.6215000000002</v>
      </c>
      <c r="V8" s="755">
        <f>+InputY!V6</f>
        <v>8122.8389999999999</v>
      </c>
      <c r="W8" s="755">
        <f>+InputY!W6</f>
        <v>8202.2945</v>
      </c>
      <c r="X8" s="755">
        <f>+InputY!X6</f>
        <v>8245.86</v>
      </c>
      <c r="Y8" s="755">
        <f>+InputY!Y6</f>
        <v>8276.3130000000001</v>
      </c>
      <c r="Z8" s="755">
        <f>+InputY!Z6</f>
        <v>8302.3369999999995</v>
      </c>
      <c r="AA8" s="755">
        <f>+InputY!AA6</f>
        <v>8348.2209999999995</v>
      </c>
      <c r="AB8" s="755">
        <f>+InputY!AB6</f>
        <v>8397.6054999999997</v>
      </c>
      <c r="AC8" s="4016">
        <f>AB8*(1+AC16%)</f>
        <v>8451.3041006134317</v>
      </c>
      <c r="AD8" s="4016">
        <f t="shared" ref="AD8" si="13">AC8*(1+AD16%)</f>
        <v>8490.1476459761216</v>
      </c>
      <c r="AE8" s="4016">
        <f>AD8*(1+AE16%)</f>
        <v>8518.9472707934674</v>
      </c>
      <c r="AG8" s="3362">
        <v>8103.58</v>
      </c>
      <c r="AH8" s="3362">
        <v>8166.8564999999999</v>
      </c>
      <c r="AI8" s="3362">
        <v>8213.9209999999985</v>
      </c>
      <c r="AJ8" s="3362">
        <v>8248.3495000000003</v>
      </c>
      <c r="AK8" s="3362">
        <v>8279.2469999999994</v>
      </c>
      <c r="AL8" s="3451">
        <v>8317.1179999999986</v>
      </c>
      <c r="AM8" s="4021">
        <v>8374.6795000000002</v>
      </c>
      <c r="AN8" s="4021">
        <v>8394.6</v>
      </c>
      <c r="AO8" s="4021">
        <v>8443.3179999999993</v>
      </c>
      <c r="AP8" s="4021">
        <v>8475.759</v>
      </c>
      <c r="AQ8" s="559" t="s">
        <v>2654</v>
      </c>
    </row>
    <row r="9" spans="1:43">
      <c r="A9" s="714"/>
      <c r="C9" s="721"/>
      <c r="D9" s="724"/>
      <c r="E9" s="730" t="s">
        <v>2154</v>
      </c>
      <c r="F9" s="730"/>
      <c r="G9" s="732">
        <f ca="1">+G8/G5</f>
        <v>0.75768200651080198</v>
      </c>
      <c r="H9" s="732">
        <f t="shared" ref="H9:Z9" si="14">+H8/H5</f>
        <v>0.75655070394801616</v>
      </c>
      <c r="I9" s="732">
        <f t="shared" si="14"/>
        <v>0.75544322758078775</v>
      </c>
      <c r="J9" s="732">
        <f t="shared" si="14"/>
        <v>0.75407051847495832</v>
      </c>
      <c r="K9" s="732">
        <f t="shared" si="14"/>
        <v>0.7526219929591238</v>
      </c>
      <c r="L9" s="732">
        <f t="shared" si="14"/>
        <v>0.75111911033069945</v>
      </c>
      <c r="M9" s="732">
        <f t="shared" si="14"/>
        <v>0.74983119471177218</v>
      </c>
      <c r="N9" s="732">
        <f t="shared" si="14"/>
        <v>0.74920521629729997</v>
      </c>
      <c r="O9" s="732">
        <f t="shared" si="14"/>
        <v>0.74899021781033159</v>
      </c>
      <c r="P9" s="732">
        <f t="shared" si="14"/>
        <v>0.74864346032050666</v>
      </c>
      <c r="Q9" s="732">
        <f t="shared" si="14"/>
        <v>0.74787522664376371</v>
      </c>
      <c r="R9" s="732">
        <f t="shared" si="14"/>
        <v>0.74707901971937807</v>
      </c>
      <c r="S9" s="732">
        <f t="shared" si="14"/>
        <v>0.74639977413890457</v>
      </c>
      <c r="T9" s="732">
        <f t="shared" si="14"/>
        <v>0.74571153127917833</v>
      </c>
      <c r="U9" s="732">
        <f t="shared" si="14"/>
        <v>0.74477783438310485</v>
      </c>
      <c r="V9" s="732">
        <f t="shared" si="14"/>
        <v>0.74548816079295155</v>
      </c>
      <c r="W9" s="732">
        <f t="shared" si="14"/>
        <v>0.74607008368200833</v>
      </c>
      <c r="X9" s="732">
        <f t="shared" si="14"/>
        <v>0.7450180701120348</v>
      </c>
      <c r="Y9" s="732">
        <f t="shared" si="14"/>
        <v>0.7439382471910112</v>
      </c>
      <c r="Z9" s="732">
        <f t="shared" si="14"/>
        <v>0.74260617173524146</v>
      </c>
      <c r="AA9" s="732">
        <f>+AA8/AA5</f>
        <v>0.7428564691226196</v>
      </c>
      <c r="AB9" s="732">
        <f>+AB8/AB5</f>
        <v>0.7434799026117751</v>
      </c>
      <c r="AC9" s="732">
        <f>+AC8/AC5</f>
        <v>0.74473952243685515</v>
      </c>
      <c r="AD9" s="732">
        <f>+AD8/AD5</f>
        <v>0.74435673857598228</v>
      </c>
      <c r="AE9" s="732">
        <f>+AE8/AE5</f>
        <v>0.74308247734942789</v>
      </c>
      <c r="AF9" s="3723"/>
      <c r="AI9" s="26"/>
      <c r="AJ9" s="26"/>
      <c r="AK9" s="26"/>
      <c r="AL9" s="26"/>
    </row>
    <row r="10" spans="1:43" s="26" customFormat="1">
      <c r="A10" s="1821"/>
      <c r="B10" s="723"/>
      <c r="C10" s="722" t="s">
        <v>1307</v>
      </c>
      <c r="D10" s="733"/>
      <c r="E10" s="734" t="s">
        <v>843</v>
      </c>
      <c r="F10" s="735" t="s">
        <v>844</v>
      </c>
      <c r="G10" s="736">
        <f>+G11/G7</f>
        <v>0.64697470112922228</v>
      </c>
      <c r="H10" s="736">
        <f t="shared" ref="H10:R10" si="15">+H11/H7</f>
        <v>0.64751342329011974</v>
      </c>
      <c r="I10" s="736">
        <f t="shared" si="15"/>
        <v>0.64962767752401562</v>
      </c>
      <c r="J10" s="736">
        <f t="shared" si="15"/>
        <v>0.66114056660226528</v>
      </c>
      <c r="K10" s="736">
        <f t="shared" si="15"/>
        <v>0.66378481541975076</v>
      </c>
      <c r="L10" s="736">
        <f t="shared" si="15"/>
        <v>0.66544733426949654</v>
      </c>
      <c r="M10" s="736">
        <f t="shared" si="15"/>
        <v>0.66977210175642232</v>
      </c>
      <c r="N10" s="736">
        <f t="shared" si="15"/>
        <v>0.67233785202175578</v>
      </c>
      <c r="O10" s="736">
        <f t="shared" si="15"/>
        <v>0.67387642135704484</v>
      </c>
      <c r="P10" s="736">
        <f t="shared" si="15"/>
        <v>0.6796311668840227</v>
      </c>
      <c r="Q10" s="736">
        <f t="shared" si="15"/>
        <v>0.68596937713029815</v>
      </c>
      <c r="R10" s="736">
        <f t="shared" si="15"/>
        <v>0.68591773280224766</v>
      </c>
      <c r="S10" s="736">
        <f t="shared" ref="S10:Y10" si="16">+S11/S7</f>
        <v>0.68513918280180852</v>
      </c>
      <c r="T10" s="736">
        <f t="shared" si="16"/>
        <v>0.68756882102494099</v>
      </c>
      <c r="U10" s="736">
        <f t="shared" si="16"/>
        <v>0.68827585606730834</v>
      </c>
      <c r="V10" s="736">
        <f t="shared" si="16"/>
        <v>0.68887530490174409</v>
      </c>
      <c r="W10" s="736">
        <f t="shared" si="16"/>
        <v>0.68335399501351168</v>
      </c>
      <c r="X10" s="736">
        <f t="shared" si="16"/>
        <v>0.68744074230850449</v>
      </c>
      <c r="Y10" s="2125">
        <f t="shared" si="16"/>
        <v>0.69111547649076532</v>
      </c>
      <c r="Z10" s="2125">
        <f t="shared" ref="Z10:AE10" si="17">+Z11/Z7</f>
        <v>0.6941328907400075</v>
      </c>
      <c r="AA10" s="2125">
        <f t="shared" si="17"/>
        <v>0.6975161561425689</v>
      </c>
      <c r="AB10" s="2125">
        <f t="shared" si="17"/>
        <v>0.69944895229700554</v>
      </c>
      <c r="AC10" s="2125">
        <f t="shared" si="17"/>
        <v>0.70184536780252771</v>
      </c>
      <c r="AD10" s="2125">
        <f t="shared" si="17"/>
        <v>0.70485555077611151</v>
      </c>
      <c r="AE10" s="2125">
        <f t="shared" si="17"/>
        <v>0.70831388540725559</v>
      </c>
      <c r="AF10" s="3426"/>
      <c r="AH10" s="3791">
        <f>AG11*AH7/AG7</f>
        <v>5239.8372806078005</v>
      </c>
      <c r="AI10" s="3791">
        <f t="shared" ref="AI10:AP10" si="18">AH11*AI7/AH7</f>
        <v>5257.8892456747399</v>
      </c>
      <c r="AJ10" s="3791">
        <f t="shared" si="18"/>
        <v>5275.9945355945301</v>
      </c>
      <c r="AK10" s="3791">
        <f t="shared" si="18"/>
        <v>5273.5752279928365</v>
      </c>
      <c r="AL10" s="3791">
        <f t="shared" si="18"/>
        <v>5294.7399521201951</v>
      </c>
      <c r="AM10" s="3791">
        <f>AL11*AM7/AL7</f>
        <v>5311.4243911145286</v>
      </c>
      <c r="AN10" s="3791">
        <f t="shared" si="18"/>
        <v>5315.2574612846693</v>
      </c>
      <c r="AO10" s="3791">
        <f t="shared" si="18"/>
        <v>5343.957346784292</v>
      </c>
      <c r="AP10" s="3791">
        <f t="shared" si="18"/>
        <v>5363.1095493332132</v>
      </c>
    </row>
    <row r="11" spans="1:43" s="749" customFormat="1" ht="12.75" customHeight="1">
      <c r="A11" s="714"/>
      <c r="B11" s="714"/>
      <c r="C11" s="719" t="s">
        <v>624</v>
      </c>
      <c r="D11" s="800"/>
      <c r="E11" s="801" t="s">
        <v>1071</v>
      </c>
      <c r="F11" s="802" t="s">
        <v>1072</v>
      </c>
      <c r="G11" s="803">
        <f t="shared" ref="G11:Q11" si="19">+G36+G34</f>
        <v>4337.2</v>
      </c>
      <c r="H11" s="803">
        <f t="shared" si="19"/>
        <v>4340.3999999999996</v>
      </c>
      <c r="I11" s="803">
        <f t="shared" si="19"/>
        <v>4356.5</v>
      </c>
      <c r="J11" s="803">
        <f t="shared" si="19"/>
        <v>4435.3999999999996</v>
      </c>
      <c r="K11" s="803">
        <f t="shared" si="19"/>
        <v>4457.3999999999996</v>
      </c>
      <c r="L11" s="803">
        <f t="shared" si="19"/>
        <v>4474.3999999999996</v>
      </c>
      <c r="M11" s="803">
        <f t="shared" si="19"/>
        <v>4516.5</v>
      </c>
      <c r="N11" s="803">
        <f t="shared" si="19"/>
        <v>4554.7000000000007</v>
      </c>
      <c r="O11" s="803">
        <f t="shared" si="19"/>
        <v>4585.6000000000004</v>
      </c>
      <c r="P11" s="803">
        <f t="shared" si="19"/>
        <v>4645.4000000000005</v>
      </c>
      <c r="Q11" s="803">
        <f t="shared" si="19"/>
        <v>4718.7</v>
      </c>
      <c r="R11" s="803">
        <f t="shared" ref="R11:W11" si="20">+R36+R34</f>
        <v>4761.3</v>
      </c>
      <c r="S11" s="803">
        <f t="shared" si="20"/>
        <v>4804</v>
      </c>
      <c r="T11" s="803">
        <f t="shared" si="20"/>
        <v>4863.8999999999996</v>
      </c>
      <c r="U11" s="803">
        <f t="shared" si="20"/>
        <v>4903.6000000000004</v>
      </c>
      <c r="V11" s="803">
        <f t="shared" si="20"/>
        <v>4959.0999999999995</v>
      </c>
      <c r="W11" s="803">
        <f t="shared" si="20"/>
        <v>4961.3</v>
      </c>
      <c r="X11" s="803">
        <f t="shared" ref="X11:AC11" si="21">+X36+X34</f>
        <v>5003.6000000000004</v>
      </c>
      <c r="Y11" s="3825">
        <f t="shared" si="21"/>
        <v>5035.8999999999996</v>
      </c>
      <c r="Z11" s="3825">
        <f t="shared" si="21"/>
        <v>5060.8999999999996</v>
      </c>
      <c r="AA11" s="3825">
        <f t="shared" si="21"/>
        <v>5099.7</v>
      </c>
      <c r="AB11" s="3825">
        <f t="shared" si="21"/>
        <v>5125.3999999999996</v>
      </c>
      <c r="AC11" s="3825">
        <f t="shared" si="21"/>
        <v>5155</v>
      </c>
      <c r="AD11" s="3826">
        <f>+AC11*(1+AD17/100)</f>
        <v>5182.8370000000004</v>
      </c>
      <c r="AE11" s="3826">
        <f>+AD11*(1+AE17/100)</f>
        <v>5210.8243198000009</v>
      </c>
      <c r="AG11" s="2976">
        <v>5207</v>
      </c>
      <c r="AH11" s="3941">
        <v>5242</v>
      </c>
      <c r="AI11" s="3941">
        <v>5267.2</v>
      </c>
      <c r="AJ11" s="3941">
        <v>5266.9</v>
      </c>
      <c r="AK11" s="3941">
        <v>5283.4</v>
      </c>
      <c r="AL11" s="3941">
        <v>5296.3</v>
      </c>
      <c r="AM11" s="3941">
        <v>5313.7</v>
      </c>
      <c r="AN11" s="3941">
        <v>5333.6</v>
      </c>
      <c r="AO11" s="3941">
        <v>5357.8</v>
      </c>
      <c r="AP11" s="2976">
        <v>5382.9</v>
      </c>
      <c r="AQ11" s="4020" t="s">
        <v>2653</v>
      </c>
    </row>
    <row r="12" spans="1:43">
      <c r="A12" s="1123"/>
      <c r="Q12" s="218"/>
      <c r="R12" s="218"/>
      <c r="V12" s="2121"/>
      <c r="W12" s="2121"/>
      <c r="X12" s="2134"/>
      <c r="Y12" s="2134"/>
      <c r="Z12" s="3896"/>
      <c r="AA12" s="3896"/>
      <c r="AB12" s="3896"/>
      <c r="AC12" s="3896"/>
      <c r="AD12" s="3896"/>
      <c r="AE12" s="3896"/>
      <c r="AG12" s="2976"/>
      <c r="AH12" s="2976"/>
      <c r="AI12" s="2976"/>
      <c r="AJ12" s="2976"/>
      <c r="AK12" s="2976"/>
      <c r="AL12" s="2976"/>
      <c r="AM12" s="3790"/>
      <c r="AN12" s="2976"/>
      <c r="AO12" s="2976"/>
    </row>
    <row r="13" spans="1:43" s="749" customFormat="1" ht="12.75" customHeight="1">
      <c r="A13" s="714"/>
      <c r="B13" s="714"/>
      <c r="C13" s="716"/>
      <c r="D13" s="790"/>
      <c r="E13" s="791" t="s">
        <v>1804</v>
      </c>
      <c r="F13" s="792"/>
      <c r="G13" s="793">
        <f>+InputY!$G$3</f>
        <v>1995</v>
      </c>
      <c r="H13" s="793">
        <f>+G13+1</f>
        <v>1996</v>
      </c>
      <c r="I13" s="793">
        <f t="shared" ref="I13:S13" si="22">+H13+1</f>
        <v>1997</v>
      </c>
      <c r="J13" s="793">
        <f t="shared" si="22"/>
        <v>1998</v>
      </c>
      <c r="K13" s="793">
        <f t="shared" si="22"/>
        <v>1999</v>
      </c>
      <c r="L13" s="793">
        <f t="shared" si="22"/>
        <v>2000</v>
      </c>
      <c r="M13" s="793">
        <f t="shared" si="22"/>
        <v>2001</v>
      </c>
      <c r="N13" s="793">
        <f t="shared" si="22"/>
        <v>2002</v>
      </c>
      <c r="O13" s="793">
        <f t="shared" si="22"/>
        <v>2003</v>
      </c>
      <c r="P13" s="793">
        <f>+O13+1</f>
        <v>2004</v>
      </c>
      <c r="Q13" s="793">
        <f>+P13+1</f>
        <v>2005</v>
      </c>
      <c r="R13" s="793">
        <f>+Q13+1</f>
        <v>2006</v>
      </c>
      <c r="S13" s="2126">
        <f t="shared" si="22"/>
        <v>2007</v>
      </c>
      <c r="T13" s="2126">
        <f t="shared" ref="T13:AE13" si="23">+S13+1</f>
        <v>2008</v>
      </c>
      <c r="U13" s="2126">
        <f t="shared" si="23"/>
        <v>2009</v>
      </c>
      <c r="V13" s="2126">
        <f t="shared" si="23"/>
        <v>2010</v>
      </c>
      <c r="W13" s="2126">
        <f t="shared" si="23"/>
        <v>2011</v>
      </c>
      <c r="X13" s="2126">
        <f t="shared" si="23"/>
        <v>2012</v>
      </c>
      <c r="Y13" s="2126">
        <f t="shared" si="23"/>
        <v>2013</v>
      </c>
      <c r="Z13" s="2126">
        <f t="shared" si="23"/>
        <v>2014</v>
      </c>
      <c r="AA13" s="2126">
        <f t="shared" si="23"/>
        <v>2015</v>
      </c>
      <c r="AB13" s="2126">
        <f t="shared" si="23"/>
        <v>2016</v>
      </c>
      <c r="AC13" s="2126">
        <f t="shared" si="23"/>
        <v>2017</v>
      </c>
      <c r="AD13" s="2126">
        <f t="shared" si="23"/>
        <v>2018</v>
      </c>
      <c r="AE13" s="2126">
        <f t="shared" si="23"/>
        <v>2019</v>
      </c>
      <c r="AL13" s="927"/>
    </row>
    <row r="14" spans="1:43" s="749" customFormat="1" ht="12.75" customHeight="1">
      <c r="A14" s="714"/>
      <c r="B14" s="714"/>
      <c r="C14" s="738"/>
      <c r="D14" s="739"/>
      <c r="E14" s="787" t="s">
        <v>395</v>
      </c>
      <c r="F14" s="782" t="str">
        <f>+F5</f>
        <v>Lpop</v>
      </c>
      <c r="G14" s="783"/>
      <c r="H14" s="788">
        <f ca="1">(H5/G5-1)*100</f>
        <v>0.1972970306796773</v>
      </c>
      <c r="I14" s="788">
        <f t="shared" ref="I14:AC14" si="24">(I5/H5-1)*100</f>
        <v>0.23629024318203573</v>
      </c>
      <c r="J14" s="788">
        <f t="shared" si="24"/>
        <v>0.21608879284942262</v>
      </c>
      <c r="K14" s="788">
        <f t="shared" si="24"/>
        <v>0.22542389493285242</v>
      </c>
      <c r="L14" s="788">
        <f t="shared" si="24"/>
        <v>0.24447486798357954</v>
      </c>
      <c r="M14" s="788">
        <f t="shared" si="24"/>
        <v>0.35118525021948788</v>
      </c>
      <c r="N14" s="788">
        <f t="shared" si="24"/>
        <v>0.44716632643142518</v>
      </c>
      <c r="O14" s="788">
        <f t="shared" si="24"/>
        <v>0.41614245620826829</v>
      </c>
      <c r="P14" s="788">
        <f t="shared" si="24"/>
        <v>0.43369313801080445</v>
      </c>
      <c r="Q14" s="788">
        <f t="shared" si="24"/>
        <v>0.55656846751750422</v>
      </c>
      <c r="R14" s="788">
        <f t="shared" si="24"/>
        <v>0.65845977669625189</v>
      </c>
      <c r="S14" s="788">
        <f t="shared" si="24"/>
        <v>0.73947667804323824</v>
      </c>
      <c r="T14" s="788">
        <f t="shared" si="24"/>
        <v>0.7905138339920903</v>
      </c>
      <c r="U14" s="788">
        <f t="shared" si="24"/>
        <v>0.80298786181138837</v>
      </c>
      <c r="V14" s="788">
        <f t="shared" si="24"/>
        <v>0.9262689885142672</v>
      </c>
      <c r="W14" s="788">
        <f t="shared" si="24"/>
        <v>0.89941262848751702</v>
      </c>
      <c r="X14" s="788">
        <f t="shared" si="24"/>
        <v>0.67309441513552226</v>
      </c>
      <c r="Y14" s="788">
        <f t="shared" si="24"/>
        <v>0.51499819298879146</v>
      </c>
      <c r="Z14" s="788">
        <f t="shared" si="24"/>
        <v>0.49438202247191754</v>
      </c>
      <c r="AA14" s="788">
        <f t="shared" si="24"/>
        <v>0.51878354203935828</v>
      </c>
      <c r="AB14" s="788">
        <f t="shared" si="24"/>
        <v>0.50720768820073925</v>
      </c>
      <c r="AC14" s="788">
        <f t="shared" si="24"/>
        <v>0.4692341744134465</v>
      </c>
      <c r="AD14" s="4014">
        <v>0.51127713684802067</v>
      </c>
      <c r="AE14" s="4014">
        <v>0.51127713684802067</v>
      </c>
      <c r="AF14" s="3807"/>
      <c r="AG14" s="3352"/>
      <c r="AH14" s="3808">
        <f t="shared" ref="AH14:AP14" si="25">(AH5/AG5-1)*100</f>
        <v>0.89957992620037786</v>
      </c>
      <c r="AI14" s="3808">
        <f t="shared" si="25"/>
        <v>0.67493814583028389</v>
      </c>
      <c r="AJ14" s="3808">
        <f t="shared" si="25"/>
        <v>0.51681454308896146</v>
      </c>
      <c r="AK14" s="3808">
        <f t="shared" si="25"/>
        <v>0.49258426966292124</v>
      </c>
      <c r="AL14" s="3808">
        <f t="shared" si="25"/>
        <v>0.52505411545824554</v>
      </c>
      <c r="AM14" s="3808">
        <f t="shared" si="25"/>
        <v>0.54989544868087048</v>
      </c>
      <c r="AN14" s="3808">
        <f t="shared" si="25"/>
        <v>0.19280904046796721</v>
      </c>
      <c r="AO14" s="3808">
        <f t="shared" si="25"/>
        <v>0.53861089933235906</v>
      </c>
      <c r="AP14" s="3808">
        <f t="shared" si="25"/>
        <v>0.99009318224345666</v>
      </c>
    </row>
    <row r="15" spans="1:43">
      <c r="A15" s="1123"/>
      <c r="C15" s="3373"/>
      <c r="D15" s="872"/>
      <c r="E15" s="784" t="s">
        <v>2151</v>
      </c>
      <c r="F15" s="785" t="str">
        <f>+F7</f>
        <v>Lage</v>
      </c>
      <c r="G15" s="786"/>
      <c r="H15" s="789">
        <f t="shared" ref="H15:V15" si="26">(H7/G7-1)*100</f>
        <v>-9.479674042423003E-3</v>
      </c>
      <c r="I15" s="789">
        <f t="shared" si="26"/>
        <v>4.4270023122616742E-2</v>
      </c>
      <c r="J15" s="789">
        <f t="shared" si="26"/>
        <v>3.8181376524737409E-2</v>
      </c>
      <c r="K15" s="789">
        <f t="shared" si="26"/>
        <v>9.5674138222845428E-2</v>
      </c>
      <c r="L15" s="789">
        <f t="shared" si="26"/>
        <v>0.13060063784340326</v>
      </c>
      <c r="M15" s="789">
        <f t="shared" si="26"/>
        <v>0.28912544479406943</v>
      </c>
      <c r="N15" s="789">
        <f t="shared" si="26"/>
        <v>0.46094378919285806</v>
      </c>
      <c r="O15" s="789">
        <f t="shared" si="26"/>
        <v>0.44855490612740745</v>
      </c>
      <c r="P15" s="789">
        <f t="shared" si="26"/>
        <v>0.44629470469301769</v>
      </c>
      <c r="Q15" s="789">
        <f t="shared" si="26"/>
        <v>0.63934691971445634</v>
      </c>
      <c r="R15" s="789">
        <f t="shared" si="26"/>
        <v>0.91038822680178377</v>
      </c>
      <c r="S15" s="789">
        <f t="shared" si="26"/>
        <v>1.0114668249801229</v>
      </c>
      <c r="T15" s="789">
        <f t="shared" si="26"/>
        <v>0.8891050034271375</v>
      </c>
      <c r="U15" s="789">
        <f t="shared" si="26"/>
        <v>0.71265344186230983</v>
      </c>
      <c r="V15" s="789">
        <f t="shared" si="26"/>
        <v>1.0438181427977256</v>
      </c>
      <c r="W15" s="789">
        <f t="shared" ref="W15:W16" si="27">(W7/V7-1)*100</f>
        <v>0.85269346688086056</v>
      </c>
      <c r="X15" s="789">
        <f t="shared" ref="X15:AB16" si="28">(X7/W7-1)*100</f>
        <v>0.25304331363535937</v>
      </c>
      <c r="Y15" s="789">
        <f t="shared" si="28"/>
        <v>0.11039224487265908</v>
      </c>
      <c r="Z15" s="789">
        <f t="shared" si="28"/>
        <v>5.9574897901981672E-2</v>
      </c>
      <c r="AA15" s="789">
        <f t="shared" si="28"/>
        <v>0.27789866556795495</v>
      </c>
      <c r="AB15" s="789">
        <f t="shared" si="28"/>
        <v>0.22622737068058729</v>
      </c>
      <c r="AC15" s="3809">
        <v>0.2340990608657556</v>
      </c>
      <c r="AD15" s="3809">
        <v>0.1106300449349229</v>
      </c>
      <c r="AE15" s="3809">
        <v>4.9114573385344862E-2</v>
      </c>
      <c r="AF15" s="3925"/>
      <c r="AG15" s="3811"/>
      <c r="AH15" s="3808">
        <f t="shared" ref="AH15:AJ16" si="29">(AH7/AG7-1)*100</f>
        <v>0.63063723080085676</v>
      </c>
      <c r="AI15" s="3808">
        <f t="shared" si="29"/>
        <v>0.3031141868512055</v>
      </c>
      <c r="AJ15" s="3808">
        <f t="shared" si="29"/>
        <v>0.16696794491437572</v>
      </c>
      <c r="AK15" s="3808">
        <f>(AK7/AJ7-1)*100</f>
        <v>0.12673922027828244</v>
      </c>
      <c r="AL15" s="3808">
        <f t="shared" ref="AL15:AM15" si="30">(AL7/AK7-1)*100</f>
        <v>0.21463360942186593</v>
      </c>
      <c r="AM15" s="3808">
        <f t="shared" si="30"/>
        <v>0.28556522694198616</v>
      </c>
      <c r="AN15" s="3808">
        <f t="shared" ref="AN15:AP15" si="31">(AN7/AM7-1)*100</f>
        <v>2.9310297620677161E-2</v>
      </c>
      <c r="AO15" s="3808">
        <f t="shared" si="31"/>
        <v>0.19419054267832969</v>
      </c>
      <c r="AP15" s="3808">
        <f t="shared" si="31"/>
        <v>9.9099431356397538E-2</v>
      </c>
    </row>
    <row r="16" spans="1:43">
      <c r="C16" s="3374"/>
      <c r="D16" s="3375"/>
      <c r="E16" s="784" t="s">
        <v>2152</v>
      </c>
      <c r="F16" s="784"/>
      <c r="H16" s="789">
        <f>(H8/G8-1)*100</f>
        <v>4.7691446884678967E-2</v>
      </c>
      <c r="I16" s="789">
        <f t="shared" ref="I16:V16" si="32">(I8/H8-1)*100</f>
        <v>8.9559400155025948E-2</v>
      </c>
      <c r="J16" s="789">
        <f t="shared" si="32"/>
        <v>3.3987037728677727E-2</v>
      </c>
      <c r="K16" s="789">
        <f t="shared" si="32"/>
        <v>3.2896697157314136E-2</v>
      </c>
      <c r="L16" s="789">
        <f t="shared" si="32"/>
        <v>4.4300436085453754E-2</v>
      </c>
      <c r="M16" s="789">
        <f t="shared" si="32"/>
        <v>0.17911685642677533</v>
      </c>
      <c r="N16" s="789">
        <f t="shared" si="32"/>
        <v>0.36331044212212227</v>
      </c>
      <c r="O16" s="789">
        <f t="shared" si="32"/>
        <v>0.38732616098546835</v>
      </c>
      <c r="P16" s="789">
        <f t="shared" si="32"/>
        <v>0.38719568784624236</v>
      </c>
      <c r="Q16" s="789">
        <f t="shared" si="32"/>
        <v>0.45338057313399904</v>
      </c>
      <c r="R16" s="789">
        <f t="shared" si="32"/>
        <v>0.55129622879821483</v>
      </c>
      <c r="S16" s="789">
        <f t="shared" si="32"/>
        <v>0.64788416572976182</v>
      </c>
      <c r="T16" s="789">
        <f t="shared" si="32"/>
        <v>0.69757657184674748</v>
      </c>
      <c r="U16" s="789">
        <f t="shared" si="32"/>
        <v>0.67677359136817383</v>
      </c>
      <c r="V16" s="789">
        <f t="shared" si="32"/>
        <v>1.022526679063307</v>
      </c>
      <c r="W16" s="789">
        <f t="shared" si="27"/>
        <v>0.97817401034292484</v>
      </c>
      <c r="X16" s="789">
        <f t="shared" si="28"/>
        <v>0.53113796389534507</v>
      </c>
      <c r="Y16" s="789">
        <f t="shared" si="28"/>
        <v>0.36931260050496739</v>
      </c>
      <c r="Z16" s="789">
        <f t="shared" si="28"/>
        <v>0.31443953364256316</v>
      </c>
      <c r="AA16" s="789">
        <f t="shared" si="28"/>
        <v>0.55266366566426584</v>
      </c>
      <c r="AB16" s="789">
        <f t="shared" si="28"/>
        <v>0.59155717128236418</v>
      </c>
      <c r="AC16" s="3809">
        <v>0.63945133661531539</v>
      </c>
      <c r="AD16" s="3809">
        <v>0.45961599417385646</v>
      </c>
      <c r="AE16" s="3809">
        <v>0.33921229663178565</v>
      </c>
      <c r="AF16" s="3810"/>
      <c r="AG16" s="3811"/>
      <c r="AH16" s="3808">
        <f t="shared" si="29"/>
        <v>0.78084624326533181</v>
      </c>
      <c r="AI16" s="3808">
        <f t="shared" si="29"/>
        <v>0.57628660427666567</v>
      </c>
      <c r="AJ16" s="3808">
        <f t="shared" si="29"/>
        <v>0.41914817539641103</v>
      </c>
      <c r="AK16" s="3808">
        <f>(AK8/AJ8-1)*100</f>
        <v>0.37459009223601569</v>
      </c>
      <c r="AL16" s="3808">
        <f t="shared" ref="AL16:AM16" si="33">(AL8/AK8-1)*100</f>
        <v>0.45742082583113408</v>
      </c>
      <c r="AM16" s="3808">
        <f t="shared" si="33"/>
        <v>0.69208468606556384</v>
      </c>
      <c r="AN16" s="3808">
        <f>(AN8/AM8-1)*100</f>
        <v>0.23786581922329297</v>
      </c>
      <c r="AO16" s="3808">
        <f>(AO8/AN8-1)*100</f>
        <v>0.58034927215113719</v>
      </c>
      <c r="AP16" s="3808">
        <f>(AP8/AO8-1)*100</f>
        <v>0.38422098989994158</v>
      </c>
    </row>
    <row r="17" spans="1:43" s="749" customFormat="1" ht="12.75" customHeight="1">
      <c r="A17" s="714"/>
      <c r="B17" s="714"/>
      <c r="C17" s="716"/>
      <c r="D17" s="766"/>
      <c r="E17" s="771" t="s">
        <v>1071</v>
      </c>
      <c r="F17" s="772" t="str">
        <f>+F11</f>
        <v>L</v>
      </c>
      <c r="G17" s="770"/>
      <c r="H17" s="770">
        <f t="shared" ref="H17:AC17" si="34">(H11/G11-1)*100</f>
        <v>7.378031909988092E-2</v>
      </c>
      <c r="I17" s="770">
        <f t="shared" si="34"/>
        <v>0.37093355451112142</v>
      </c>
      <c r="J17" s="770">
        <f t="shared" si="34"/>
        <v>1.8110868816710646</v>
      </c>
      <c r="K17" s="770">
        <f t="shared" si="34"/>
        <v>0.49600937908644838</v>
      </c>
      <c r="L17" s="770">
        <f t="shared" si="34"/>
        <v>0.38138825324181003</v>
      </c>
      <c r="M17" s="770">
        <f t="shared" si="34"/>
        <v>0.94090827820489942</v>
      </c>
      <c r="N17" s="770">
        <f t="shared" si="34"/>
        <v>0.84578766744161094</v>
      </c>
      <c r="O17" s="770">
        <f t="shared" si="34"/>
        <v>0.67842009352974131</v>
      </c>
      <c r="P17" s="770">
        <f t="shared" si="34"/>
        <v>1.3040823447313388</v>
      </c>
      <c r="Q17" s="770">
        <f t="shared" si="34"/>
        <v>1.5779050243251325</v>
      </c>
      <c r="R17" s="770">
        <f t="shared" si="34"/>
        <v>0.9027910229512548</v>
      </c>
      <c r="S17" s="770">
        <f t="shared" si="34"/>
        <v>0.89681389536471201</v>
      </c>
      <c r="T17" s="770">
        <f t="shared" si="34"/>
        <v>1.2468776019983308</v>
      </c>
      <c r="U17" s="770">
        <f t="shared" si="34"/>
        <v>0.81621743868089958</v>
      </c>
      <c r="V17" s="770">
        <f t="shared" si="34"/>
        <v>1.1318215188840686</v>
      </c>
      <c r="W17" s="770">
        <f t="shared" si="34"/>
        <v>4.4362888427351699E-2</v>
      </c>
      <c r="X17" s="770">
        <f t="shared" si="34"/>
        <v>0.85259911716688563</v>
      </c>
      <c r="Y17" s="770">
        <f t="shared" si="34"/>
        <v>0.64553521464543184</v>
      </c>
      <c r="Z17" s="770">
        <f t="shared" si="34"/>
        <v>0.49643559244623159</v>
      </c>
      <c r="AA17" s="770">
        <f t="shared" si="34"/>
        <v>0.76666205615603111</v>
      </c>
      <c r="AB17" s="770">
        <f t="shared" si="34"/>
        <v>0.50395121281643362</v>
      </c>
      <c r="AC17" s="770">
        <f t="shared" si="34"/>
        <v>0.57751590119796692</v>
      </c>
      <c r="AD17" s="3481">
        <v>0.54</v>
      </c>
      <c r="AE17" s="3812">
        <v>0.54</v>
      </c>
      <c r="AF17" s="3810"/>
      <c r="AG17" s="3352"/>
      <c r="AH17" s="3808">
        <f>+(AH11/AG11-1)*100</f>
        <v>0.67217207605145823</v>
      </c>
      <c r="AI17" s="3808">
        <f>+(AI11/AH11-1)*100</f>
        <v>0.48073254483020911</v>
      </c>
      <c r="AJ17" s="3808">
        <f>+(AJ11/AI11-1)*100</f>
        <v>-5.6956257594165116E-3</v>
      </c>
      <c r="AK17" s="3808">
        <f>+(AK11/AJ11-1)*100</f>
        <v>0.31327725986822763</v>
      </c>
      <c r="AL17" s="3808">
        <f t="shared" ref="AL17:AM17" si="35">+(AL11/AK11-1)*100</f>
        <v>0.24416095695953821</v>
      </c>
      <c r="AM17" s="3808">
        <f t="shared" si="35"/>
        <v>0.32853123878933133</v>
      </c>
      <c r="AN17" s="3808">
        <f t="shared" ref="AN17:AP17" si="36">+(AN11/AM11-1)*100</f>
        <v>0.37450364153039928</v>
      </c>
      <c r="AO17" s="3808">
        <f t="shared" si="36"/>
        <v>0.45372731363431118</v>
      </c>
      <c r="AP17" s="3808">
        <f t="shared" si="36"/>
        <v>0.46847586696030508</v>
      </c>
    </row>
    <row r="18" spans="1:43">
      <c r="A18" s="1123"/>
      <c r="Q18" s="218"/>
      <c r="R18" s="218"/>
      <c r="V18" s="2121"/>
      <c r="W18" s="2121"/>
      <c r="X18" s="2121"/>
      <c r="Y18" s="2121"/>
      <c r="Z18" s="3836"/>
      <c r="AA18" s="2121"/>
      <c r="AB18" s="2121"/>
      <c r="AC18" s="2121"/>
      <c r="AD18" s="2121"/>
      <c r="AE18" s="2121"/>
      <c r="AH18" s="1602"/>
      <c r="AI18" s="1602"/>
      <c r="AJ18" s="1602"/>
      <c r="AK18" s="1602"/>
      <c r="AL18" s="1602"/>
    </row>
    <row r="19" spans="1:43" s="749" customFormat="1" ht="12.75" customHeight="1">
      <c r="A19" s="714"/>
      <c r="B19" s="714"/>
      <c r="C19" s="716"/>
      <c r="D19" s="898"/>
      <c r="E19" s="899" t="s">
        <v>1308</v>
      </c>
      <c r="F19" s="900"/>
      <c r="G19" s="901">
        <f>+InputY!$G$3</f>
        <v>1995</v>
      </c>
      <c r="H19" s="901">
        <f>+G19+1</f>
        <v>1996</v>
      </c>
      <c r="I19" s="901">
        <f t="shared" ref="I19:S19" si="37">+H19+1</f>
        <v>1997</v>
      </c>
      <c r="J19" s="901">
        <f t="shared" si="37"/>
        <v>1998</v>
      </c>
      <c r="K19" s="901">
        <f t="shared" si="37"/>
        <v>1999</v>
      </c>
      <c r="L19" s="901">
        <f t="shared" si="37"/>
        <v>2000</v>
      </c>
      <c r="M19" s="901">
        <f t="shared" si="37"/>
        <v>2001</v>
      </c>
      <c r="N19" s="901">
        <f t="shared" si="37"/>
        <v>2002</v>
      </c>
      <c r="O19" s="901">
        <f t="shared" si="37"/>
        <v>2003</v>
      </c>
      <c r="P19" s="901">
        <f>+O19+1</f>
        <v>2004</v>
      </c>
      <c r="Q19" s="901">
        <f>+P19+1</f>
        <v>2005</v>
      </c>
      <c r="R19" s="901">
        <f>+Q19+1</f>
        <v>2006</v>
      </c>
      <c r="S19" s="2130">
        <f t="shared" si="37"/>
        <v>2007</v>
      </c>
      <c r="T19" s="2130">
        <f t="shared" ref="T19:AE19" si="38">+S19+1</f>
        <v>2008</v>
      </c>
      <c r="U19" s="2130">
        <f t="shared" si="38"/>
        <v>2009</v>
      </c>
      <c r="V19" s="2130">
        <f t="shared" si="38"/>
        <v>2010</v>
      </c>
      <c r="W19" s="2130">
        <f t="shared" si="38"/>
        <v>2011</v>
      </c>
      <c r="X19" s="2130">
        <f t="shared" si="38"/>
        <v>2012</v>
      </c>
      <c r="Y19" s="2130">
        <f t="shared" si="38"/>
        <v>2013</v>
      </c>
      <c r="Z19" s="2130">
        <f t="shared" si="38"/>
        <v>2014</v>
      </c>
      <c r="AA19" s="2130">
        <f t="shared" si="38"/>
        <v>2015</v>
      </c>
      <c r="AB19" s="2130">
        <f t="shared" si="38"/>
        <v>2016</v>
      </c>
      <c r="AC19" s="2130">
        <f t="shared" si="38"/>
        <v>2017</v>
      </c>
      <c r="AD19" s="2130">
        <f t="shared" si="38"/>
        <v>2018</v>
      </c>
      <c r="AE19" s="2130">
        <f t="shared" si="38"/>
        <v>2019</v>
      </c>
      <c r="AF19"/>
      <c r="AG19"/>
      <c r="AH19"/>
      <c r="AI19"/>
      <c r="AJ19"/>
      <c r="AK19"/>
      <c r="AL19"/>
      <c r="AM19"/>
      <c r="AN19"/>
      <c r="AO19"/>
    </row>
    <row r="20" spans="1:43" s="749" customFormat="1" ht="12.75" customHeight="1">
      <c r="A20" s="714"/>
      <c r="B20" s="714"/>
      <c r="C20" s="902"/>
      <c r="D20" s="903"/>
      <c r="E20" s="904" t="s">
        <v>395</v>
      </c>
      <c r="F20" s="905" t="str">
        <f>+F5</f>
        <v>Lpop</v>
      </c>
      <c r="G20" s="906"/>
      <c r="H20" s="906">
        <f t="shared" ref="H20:AE20" ca="1" si="39">+H5-G5</f>
        <v>20</v>
      </c>
      <c r="I20" s="906">
        <f t="shared" si="39"/>
        <v>24</v>
      </c>
      <c r="J20" s="906">
        <f t="shared" si="39"/>
        <v>22</v>
      </c>
      <c r="K20" s="906">
        <f t="shared" si="39"/>
        <v>23</v>
      </c>
      <c r="L20" s="906">
        <f t="shared" si="39"/>
        <v>25</v>
      </c>
      <c r="M20" s="906">
        <f t="shared" si="39"/>
        <v>36</v>
      </c>
      <c r="N20" s="906">
        <f t="shared" si="39"/>
        <v>46</v>
      </c>
      <c r="O20" s="906">
        <f t="shared" si="39"/>
        <v>43</v>
      </c>
      <c r="P20" s="906">
        <f t="shared" si="39"/>
        <v>45</v>
      </c>
      <c r="Q20" s="906">
        <f t="shared" si="39"/>
        <v>58</v>
      </c>
      <c r="R20" s="906">
        <f t="shared" si="39"/>
        <v>69</v>
      </c>
      <c r="S20" s="906">
        <f t="shared" si="39"/>
        <v>78</v>
      </c>
      <c r="T20" s="906">
        <f t="shared" si="39"/>
        <v>84</v>
      </c>
      <c r="U20" s="906">
        <f t="shared" si="39"/>
        <v>86</v>
      </c>
      <c r="V20" s="906">
        <f t="shared" si="39"/>
        <v>100</v>
      </c>
      <c r="W20" s="906">
        <f t="shared" si="39"/>
        <v>98</v>
      </c>
      <c r="X20" s="906">
        <f t="shared" si="39"/>
        <v>74</v>
      </c>
      <c r="Y20" s="906">
        <f t="shared" si="39"/>
        <v>57</v>
      </c>
      <c r="Z20" s="906">
        <f t="shared" si="39"/>
        <v>55</v>
      </c>
      <c r="AA20" s="906">
        <f t="shared" ref="AA20" si="40">+AA5-Z5</f>
        <v>58</v>
      </c>
      <c r="AB20" s="906">
        <f t="shared" ref="AB20:AC20" si="41">+AB5-AA5</f>
        <v>57</v>
      </c>
      <c r="AC20" s="906">
        <f t="shared" si="41"/>
        <v>53</v>
      </c>
      <c r="AD20" s="2131">
        <f t="shared" si="39"/>
        <v>58.019729489513338</v>
      </c>
      <c r="AE20" s="2131">
        <f t="shared" si="39"/>
        <v>58.316371101254845</v>
      </c>
      <c r="AG20" s="3827"/>
      <c r="AI20" s="3827"/>
      <c r="AK20" s="3827"/>
      <c r="AM20" s="3827"/>
      <c r="AO20" s="3827"/>
    </row>
    <row r="21" spans="1:43">
      <c r="A21" s="1123"/>
      <c r="C21" s="907"/>
      <c r="D21" s="908"/>
      <c r="E21" s="909" t="s">
        <v>396</v>
      </c>
      <c r="F21" s="910" t="str">
        <f>+F7</f>
        <v>Lage</v>
      </c>
      <c r="G21" s="911"/>
      <c r="H21" s="911">
        <f t="shared" ref="H21:AE21" si="42">+H7-G7</f>
        <v>-0.63550000000032014</v>
      </c>
      <c r="I21" s="911">
        <f t="shared" si="42"/>
        <v>2.9675000000006548</v>
      </c>
      <c r="J21" s="911">
        <f t="shared" si="42"/>
        <v>2.5604999999995925</v>
      </c>
      <c r="K21" s="911">
        <f t="shared" si="42"/>
        <v>6.4184999999997672</v>
      </c>
      <c r="L21" s="911">
        <f t="shared" si="42"/>
        <v>8.7700000000004366</v>
      </c>
      <c r="M21" s="911">
        <f t="shared" si="42"/>
        <v>19.440499999999702</v>
      </c>
      <c r="N21" s="911">
        <f t="shared" si="42"/>
        <v>31.083000000000538</v>
      </c>
      <c r="O21" s="911">
        <f t="shared" si="42"/>
        <v>30.386999999999716</v>
      </c>
      <c r="P21" s="911">
        <f t="shared" si="42"/>
        <v>30.369499999999789</v>
      </c>
      <c r="Q21" s="911">
        <f t="shared" si="42"/>
        <v>43.70049999999992</v>
      </c>
      <c r="R21" s="911">
        <f t="shared" si="42"/>
        <v>62.624499999999898</v>
      </c>
      <c r="S21" s="911">
        <f t="shared" si="42"/>
        <v>70.21100000000024</v>
      </c>
      <c r="T21" s="911">
        <f t="shared" si="42"/>
        <v>62.341500000000451</v>
      </c>
      <c r="U21" s="911">
        <f t="shared" si="42"/>
        <v>50.413499999999658</v>
      </c>
      <c r="V21" s="911">
        <f t="shared" si="42"/>
        <v>74.366500000000087</v>
      </c>
      <c r="W21" s="911">
        <f t="shared" si="42"/>
        <v>61.384000000000015</v>
      </c>
      <c r="X21" s="911">
        <f t="shared" si="42"/>
        <v>18.371500000000196</v>
      </c>
      <c r="Y21" s="911">
        <f t="shared" si="42"/>
        <v>8.0349999999998545</v>
      </c>
      <c r="Z21" s="911">
        <f t="shared" si="42"/>
        <v>4.3409999999994398</v>
      </c>
      <c r="AA21" s="911">
        <f t="shared" si="42"/>
        <v>20.261500000000524</v>
      </c>
      <c r="AB21" s="911">
        <f t="shared" si="42"/>
        <v>16.539999999999964</v>
      </c>
      <c r="AC21" s="2132">
        <f t="shared" si="42"/>
        <v>17.1542372409167</v>
      </c>
      <c r="AD21" s="2132">
        <f t="shared" si="42"/>
        <v>8.1256913246452314</v>
      </c>
      <c r="AE21" s="2132">
        <f t="shared" si="42"/>
        <v>3.611418366507678</v>
      </c>
    </row>
    <row r="22" spans="1:43" s="749" customFormat="1" ht="12.75" customHeight="1">
      <c r="A22" s="714"/>
      <c r="B22" s="714"/>
      <c r="C22" s="716"/>
      <c r="D22" s="850"/>
      <c r="E22" s="851" t="s">
        <v>1071</v>
      </c>
      <c r="F22" s="852" t="str">
        <f>+F11</f>
        <v>L</v>
      </c>
      <c r="G22" s="853"/>
      <c r="H22" s="897">
        <f t="shared" ref="H22:AE22" si="43">+H11-G11</f>
        <v>3.1999999999998181</v>
      </c>
      <c r="I22" s="897">
        <f t="shared" si="43"/>
        <v>16.100000000000364</v>
      </c>
      <c r="J22" s="897">
        <f t="shared" si="43"/>
        <v>78.899999999999636</v>
      </c>
      <c r="K22" s="897">
        <f t="shared" si="43"/>
        <v>22</v>
      </c>
      <c r="L22" s="897">
        <f t="shared" si="43"/>
        <v>17</v>
      </c>
      <c r="M22" s="897">
        <f t="shared" si="43"/>
        <v>42.100000000000364</v>
      </c>
      <c r="N22" s="897">
        <f t="shared" si="43"/>
        <v>38.200000000000728</v>
      </c>
      <c r="O22" s="897">
        <f t="shared" si="43"/>
        <v>30.899999999999636</v>
      </c>
      <c r="P22" s="897">
        <f t="shared" si="43"/>
        <v>59.800000000000182</v>
      </c>
      <c r="Q22" s="897">
        <f t="shared" si="43"/>
        <v>73.299999999999272</v>
      </c>
      <c r="R22" s="897">
        <f t="shared" si="43"/>
        <v>42.600000000000364</v>
      </c>
      <c r="S22" s="897">
        <f t="shared" si="43"/>
        <v>42.699999999999818</v>
      </c>
      <c r="T22" s="897">
        <f t="shared" si="43"/>
        <v>59.899999999999636</v>
      </c>
      <c r="U22" s="897">
        <f t="shared" si="43"/>
        <v>39.700000000000728</v>
      </c>
      <c r="V22" s="897">
        <f t="shared" si="43"/>
        <v>55.499999999999091</v>
      </c>
      <c r="W22" s="897">
        <f t="shared" si="43"/>
        <v>2.2000000000007276</v>
      </c>
      <c r="X22" s="2133">
        <f t="shared" si="43"/>
        <v>42.300000000000182</v>
      </c>
      <c r="Y22" s="2133">
        <f t="shared" si="43"/>
        <v>32.299999999999272</v>
      </c>
      <c r="Z22" s="2133">
        <f t="shared" si="43"/>
        <v>25</v>
      </c>
      <c r="AA22" s="2133">
        <f t="shared" si="43"/>
        <v>38.800000000000182</v>
      </c>
      <c r="AB22" s="2133">
        <f t="shared" si="43"/>
        <v>25.699999999999818</v>
      </c>
      <c r="AC22" s="2133">
        <f t="shared" si="43"/>
        <v>29.600000000000364</v>
      </c>
      <c r="AD22" s="2133">
        <f t="shared" si="43"/>
        <v>27.837000000000444</v>
      </c>
      <c r="AE22" s="2133">
        <f t="shared" si="43"/>
        <v>27.987319800000478</v>
      </c>
      <c r="AH22" s="559"/>
    </row>
    <row r="23" spans="1:43" ht="30" customHeight="1">
      <c r="A23" s="1123"/>
      <c r="Q23" s="3752"/>
      <c r="R23" s="3741">
        <f t="shared" ref="R23:X23" si="44">R34/R7</f>
        <v>0.63071355007697905</v>
      </c>
      <c r="S23" s="3741">
        <f t="shared" si="44"/>
        <v>0.63479485900309107</v>
      </c>
      <c r="T23" s="3741">
        <f t="shared" si="44"/>
        <v>0.64043885434599712</v>
      </c>
      <c r="U23" s="3741">
        <f t="shared" si="44"/>
        <v>0.63499469223601079</v>
      </c>
      <c r="V23" s="3741">
        <f t="shared" si="44"/>
        <v>0.63249118555355233</v>
      </c>
      <c r="W23" s="3741">
        <f t="shared" si="44"/>
        <v>0.63555929679536549</v>
      </c>
      <c r="X23" s="3741">
        <f t="shared" si="44"/>
        <v>0.63674411709628964</v>
      </c>
      <c r="Y23" s="3741">
        <f>Y34/Y7</f>
        <v>0.63388734374455336</v>
      </c>
      <c r="Z23" s="3741">
        <f t="shared" ref="Z23:AB23" si="45">Z34/Z7</f>
        <v>0.63611589518921152</v>
      </c>
      <c r="AA23" s="3741">
        <f t="shared" si="45"/>
        <v>0.63979671815755723</v>
      </c>
      <c r="AB23" s="3741">
        <f t="shared" si="45"/>
        <v>0.6462267469284817</v>
      </c>
      <c r="AC23" s="3741">
        <f t="shared" ref="AC23:AD23" si="46">AC34/AC7</f>
        <v>0.65364880908243173</v>
      </c>
      <c r="AD23" s="3741">
        <f t="shared" si="46"/>
        <v>0.66085352180224299</v>
      </c>
      <c r="AE23" s="3741">
        <f t="shared" ref="AE23" si="47">AE34/AE7</f>
        <v>0.66723030683102946</v>
      </c>
      <c r="AH23" s="646"/>
    </row>
    <row r="24" spans="1:43" ht="30" customHeight="1">
      <c r="A24" s="1123"/>
      <c r="M24" s="2121"/>
      <c r="N24" s="2121"/>
      <c r="O24" s="2121"/>
      <c r="P24" s="2121"/>
      <c r="Q24" s="2121"/>
      <c r="R24" s="3741">
        <f t="shared" ref="R24:Z24" si="48">R34/R8</f>
        <v>0.55558308591436789</v>
      </c>
      <c r="S24" s="3741">
        <f t="shared" si="48"/>
        <v>0.56119821808533443</v>
      </c>
      <c r="T24" s="3741">
        <f t="shared" si="48"/>
        <v>0.56726476026224271</v>
      </c>
      <c r="U24" s="3741">
        <f t="shared" si="48"/>
        <v>0.56264307429469229</v>
      </c>
      <c r="V24" s="3741">
        <f t="shared" si="48"/>
        <v>0.56054293332663618</v>
      </c>
      <c r="W24" s="3741">
        <f t="shared" si="48"/>
        <v>0.56256209771546239</v>
      </c>
      <c r="X24" s="3741">
        <f t="shared" si="48"/>
        <v>0.56205174475433728</v>
      </c>
      <c r="Y24" s="3741">
        <f t="shared" si="48"/>
        <v>0.55808667458565175</v>
      </c>
      <c r="Z24" s="3741">
        <f t="shared" si="48"/>
        <v>0.55862584233812718</v>
      </c>
      <c r="AA24" s="3741">
        <f t="shared" ref="AA24:AB24" si="49">AA34/AA8</f>
        <v>0.56032297180441204</v>
      </c>
      <c r="AB24" s="3741">
        <f t="shared" si="49"/>
        <v>0.56389883997289458</v>
      </c>
      <c r="AC24" s="3741">
        <f t="shared" ref="AC24:AD24" si="50">AC34/AC8</f>
        <v>0.56807800818000653</v>
      </c>
      <c r="AD24" s="3741">
        <f t="shared" si="50"/>
        <v>0.57234433988942979</v>
      </c>
      <c r="AE24" s="3741">
        <f t="shared" ref="AE24" si="51">AE34/AE8</f>
        <v>0.57619635981885886</v>
      </c>
      <c r="AK24" s="1602"/>
      <c r="AL24" s="1602"/>
      <c r="AM24" s="1602"/>
      <c r="AN24" s="1602"/>
    </row>
    <row r="25" spans="1:43" ht="22.5" customHeight="1">
      <c r="A25" s="1123"/>
      <c r="C25" s="4124" t="s">
        <v>632</v>
      </c>
      <c r="D25" s="4124"/>
      <c r="E25" s="4124"/>
      <c r="F25" s="4124"/>
      <c r="H25" s="3740"/>
      <c r="I25" s="3740"/>
      <c r="J25" s="3740"/>
      <c r="K25" s="3740"/>
      <c r="L25" s="3740"/>
      <c r="M25" s="3740"/>
      <c r="N25" s="3740"/>
      <c r="O25" s="3740"/>
      <c r="P25" s="3740"/>
      <c r="Q25" s="3740"/>
      <c r="R25" s="3740"/>
      <c r="S25" s="3740"/>
      <c r="T25" s="3740"/>
      <c r="U25" s="3740"/>
      <c r="V25" s="3740"/>
      <c r="W25" s="3740"/>
      <c r="X25" s="3740"/>
      <c r="Y25" s="3740"/>
      <c r="Z25" s="3740"/>
      <c r="AA25" s="3740"/>
      <c r="AB25" s="3937"/>
      <c r="AC25" s="3740"/>
      <c r="AD25" s="3740"/>
      <c r="AE25" s="3740"/>
      <c r="AG25" s="3362">
        <f t="shared" ref="AG25:AP25" si="52">(V11-U11)*1000</f>
        <v>55499.999999999091</v>
      </c>
      <c r="AH25" s="3362">
        <f t="shared" si="52"/>
        <v>2200.0000000007276</v>
      </c>
      <c r="AI25" s="3362">
        <f t="shared" si="52"/>
        <v>42300.000000000182</v>
      </c>
      <c r="AJ25" s="3362">
        <f t="shared" si="52"/>
        <v>32299.999999999272</v>
      </c>
      <c r="AK25" s="3362">
        <f t="shared" si="52"/>
        <v>25000</v>
      </c>
      <c r="AL25" s="3362">
        <f t="shared" si="52"/>
        <v>38800.000000000182</v>
      </c>
      <c r="AM25" s="3362">
        <f t="shared" si="52"/>
        <v>25699.999999999818</v>
      </c>
      <c r="AN25" s="3362">
        <f t="shared" si="52"/>
        <v>29600.000000000364</v>
      </c>
      <c r="AO25" s="3362">
        <f t="shared" si="52"/>
        <v>27837.000000000444</v>
      </c>
      <c r="AP25" s="3362">
        <f t="shared" si="52"/>
        <v>27987.319800000478</v>
      </c>
      <c r="AQ25" s="26" t="s">
        <v>2557</v>
      </c>
    </row>
    <row r="26" spans="1:43">
      <c r="A26" s="1123"/>
      <c r="O26" s="3383"/>
      <c r="P26" s="3383"/>
      <c r="Q26" s="3383"/>
      <c r="R26" s="3383"/>
      <c r="S26" s="3383"/>
      <c r="T26" s="3383"/>
      <c r="U26" s="3383"/>
      <c r="V26" s="3383"/>
      <c r="W26" s="3383"/>
      <c r="X26" s="1602"/>
      <c r="Y26" s="1602"/>
      <c r="Z26" s="1602"/>
      <c r="AA26" s="1602"/>
      <c r="AB26" s="1602"/>
      <c r="AC26" s="1602"/>
      <c r="AD26" s="1602"/>
      <c r="AE26" s="1602"/>
    </row>
    <row r="27" spans="1:43" s="749" customFormat="1" ht="12.75" customHeight="1">
      <c r="A27" s="714"/>
      <c r="B27" s="714"/>
      <c r="C27" s="716"/>
      <c r="D27" s="745"/>
      <c r="E27" s="746" t="s">
        <v>1306</v>
      </c>
      <c r="F27" s="747"/>
      <c r="G27" s="748">
        <f>+InputY!$G$3</f>
        <v>1995</v>
      </c>
      <c r="H27" s="748">
        <f>+G27+1</f>
        <v>1996</v>
      </c>
      <c r="I27" s="748">
        <f t="shared" ref="I27:S27" si="53">+H27+1</f>
        <v>1997</v>
      </c>
      <c r="J27" s="748">
        <f t="shared" si="53"/>
        <v>1998</v>
      </c>
      <c r="K27" s="748">
        <f t="shared" si="53"/>
        <v>1999</v>
      </c>
      <c r="L27" s="748">
        <f t="shared" si="53"/>
        <v>2000</v>
      </c>
      <c r="M27" s="748">
        <f t="shared" si="53"/>
        <v>2001</v>
      </c>
      <c r="N27" s="748">
        <f t="shared" si="53"/>
        <v>2002</v>
      </c>
      <c r="O27" s="748">
        <f t="shared" si="53"/>
        <v>2003</v>
      </c>
      <c r="P27" s="748">
        <f>+O27+1</f>
        <v>2004</v>
      </c>
      <c r="Q27" s="748">
        <f>+P27+1</f>
        <v>2005</v>
      </c>
      <c r="R27" s="748">
        <f>+Q27+1</f>
        <v>2006</v>
      </c>
      <c r="S27" s="2122">
        <f t="shared" si="53"/>
        <v>2007</v>
      </c>
      <c r="T27" s="2122">
        <f t="shared" ref="T27:AE27" si="54">+S27+1</f>
        <v>2008</v>
      </c>
      <c r="U27" s="2122">
        <f t="shared" si="54"/>
        <v>2009</v>
      </c>
      <c r="V27" s="2122">
        <f t="shared" si="54"/>
        <v>2010</v>
      </c>
      <c r="W27" s="2122">
        <f t="shared" si="54"/>
        <v>2011</v>
      </c>
      <c r="X27" s="2122">
        <f t="shared" si="54"/>
        <v>2012</v>
      </c>
      <c r="Y27" s="2122">
        <f t="shared" si="54"/>
        <v>2013</v>
      </c>
      <c r="Z27" s="2122">
        <f t="shared" si="54"/>
        <v>2014</v>
      </c>
      <c r="AA27" s="2122">
        <f t="shared" si="54"/>
        <v>2015</v>
      </c>
      <c r="AB27" s="2122">
        <f t="shared" si="54"/>
        <v>2016</v>
      </c>
      <c r="AC27" s="2122">
        <f t="shared" si="54"/>
        <v>2017</v>
      </c>
      <c r="AD27" s="2122">
        <f t="shared" si="54"/>
        <v>2018</v>
      </c>
      <c r="AE27" s="2122">
        <f t="shared" si="54"/>
        <v>2019</v>
      </c>
      <c r="AG27" s="1442">
        <v>2010</v>
      </c>
      <c r="AH27" s="3830">
        <v>2011</v>
      </c>
      <c r="AI27" s="1442">
        <v>2012</v>
      </c>
      <c r="AJ27" s="1442">
        <v>2013</v>
      </c>
      <c r="AK27" s="1442">
        <v>2014</v>
      </c>
      <c r="AL27" s="1442">
        <v>2015</v>
      </c>
      <c r="AM27" s="1442">
        <v>2016</v>
      </c>
      <c r="AN27" s="1442">
        <v>2017</v>
      </c>
      <c r="AO27" s="1442">
        <v>2018</v>
      </c>
      <c r="AP27" s="1442">
        <v>2019</v>
      </c>
    </row>
    <row r="28" spans="1:43">
      <c r="A28" s="1123"/>
      <c r="C28" s="1028" t="s">
        <v>622</v>
      </c>
      <c r="D28" s="821"/>
      <c r="E28" s="1029" t="s">
        <v>469</v>
      </c>
      <c r="F28" s="1030" t="s">
        <v>2106</v>
      </c>
      <c r="G28" s="932" t="e">
        <f>+G30-G29</f>
        <v>#VALUE!</v>
      </c>
      <c r="H28" s="932">
        <f t="shared" ref="H28:P28" si="55">+H30-H29</f>
        <v>2459.2999999999997</v>
      </c>
      <c r="I28" s="932">
        <f t="shared" si="55"/>
        <v>2488.7000000000003</v>
      </c>
      <c r="J28" s="932">
        <f t="shared" si="55"/>
        <v>2550.1</v>
      </c>
      <c r="K28" s="932">
        <f t="shared" si="55"/>
        <v>2592.8000000000002</v>
      </c>
      <c r="L28" s="932">
        <f t="shared" si="55"/>
        <v>2672.6</v>
      </c>
      <c r="M28" s="932">
        <f t="shared" si="55"/>
        <v>2728</v>
      </c>
      <c r="N28" s="932">
        <f t="shared" si="55"/>
        <v>2711.7</v>
      </c>
      <c r="O28" s="932">
        <f t="shared" si="55"/>
        <v>2699.6</v>
      </c>
      <c r="P28" s="932">
        <f t="shared" si="55"/>
        <v>2724.9</v>
      </c>
      <c r="Q28" s="932">
        <f t="shared" ref="Q28:W28" si="56">+Q30-Q29</f>
        <v>2768.2</v>
      </c>
      <c r="R28" s="932">
        <f t="shared" si="56"/>
        <v>2803.4</v>
      </c>
      <c r="S28" s="932">
        <f t="shared" si="56"/>
        <v>2860.5</v>
      </c>
      <c r="T28" s="932">
        <f t="shared" si="56"/>
        <v>2918.8</v>
      </c>
      <c r="U28" s="932">
        <f t="shared" si="56"/>
        <v>2888.6000000000004</v>
      </c>
      <c r="V28" s="932">
        <f t="shared" si="56"/>
        <v>2905.3</v>
      </c>
      <c r="W28" s="932">
        <f t="shared" si="56"/>
        <v>2954.9</v>
      </c>
      <c r="X28" s="932">
        <f t="shared" ref="X28:Z28" si="57">+X30-X29</f>
        <v>2966.6000000000004</v>
      </c>
      <c r="Y28" s="932">
        <f t="shared" si="57"/>
        <v>2945.5</v>
      </c>
      <c r="Z28" s="932">
        <f t="shared" si="57"/>
        <v>2955.5</v>
      </c>
      <c r="AA28" s="932">
        <f t="shared" ref="AA28:AC28" si="58">+AA30-AA29</f>
        <v>2982.2000000000003</v>
      </c>
      <c r="AB28" s="932">
        <f t="shared" si="58"/>
        <v>3023.4</v>
      </c>
      <c r="AC28" s="932">
        <f t="shared" si="58"/>
        <v>3076</v>
      </c>
      <c r="AD28" s="2200">
        <f t="shared" ref="AD28:AE29" si="59">+AC28*(1+AD46/100)</f>
        <v>3123.9856</v>
      </c>
      <c r="AE28" s="2200">
        <f t="shared" si="59"/>
        <v>3163.6602171199997</v>
      </c>
      <c r="AF28" s="749"/>
      <c r="AG28" s="3362">
        <f t="shared" ref="AG28:AP28" si="60">(V28-U28)*1000</f>
        <v>16699.999999999818</v>
      </c>
      <c r="AH28" s="3362">
        <f t="shared" si="60"/>
        <v>49599.999999999913</v>
      </c>
      <c r="AI28" s="3362">
        <f t="shared" si="60"/>
        <v>11700.000000000273</v>
      </c>
      <c r="AJ28" s="3362">
        <f t="shared" si="60"/>
        <v>-21100.000000000364</v>
      </c>
      <c r="AK28" s="3362">
        <f t="shared" si="60"/>
        <v>10000</v>
      </c>
      <c r="AL28" s="3362">
        <f t="shared" si="60"/>
        <v>26700.000000000273</v>
      </c>
      <c r="AM28" s="3362">
        <f t="shared" si="60"/>
        <v>41199.999999999818</v>
      </c>
      <c r="AN28" s="3362">
        <f t="shared" si="60"/>
        <v>52599.999999999913</v>
      </c>
      <c r="AO28" s="3362">
        <f t="shared" si="60"/>
        <v>47985.599999999977</v>
      </c>
      <c r="AP28" s="3362">
        <f t="shared" si="60"/>
        <v>39674.617119999763</v>
      </c>
    </row>
    <row r="29" spans="1:43">
      <c r="A29" s="714">
        <f>+ROW(InputY!A280)</f>
        <v>280</v>
      </c>
      <c r="C29" s="721" t="s">
        <v>622</v>
      </c>
      <c r="D29" s="724"/>
      <c r="E29" s="221" t="s">
        <v>1402</v>
      </c>
      <c r="F29" s="774" t="s">
        <v>2107</v>
      </c>
      <c r="G29" s="1462" t="str">
        <f>+InputY!G280</f>
        <v>:</v>
      </c>
      <c r="H29" s="1462">
        <f>+InputY!H280</f>
        <v>714.4</v>
      </c>
      <c r="I29" s="1462">
        <f>+InputY!I280</f>
        <v>710.1</v>
      </c>
      <c r="J29" s="1462">
        <f>+InputY!J280</f>
        <v>718</v>
      </c>
      <c r="K29" s="1462">
        <f>+InputY!K280</f>
        <v>730</v>
      </c>
      <c r="L29" s="1462">
        <f>+InputY!L280</f>
        <v>734.5</v>
      </c>
      <c r="M29" s="1462">
        <f>+InputY!M280</f>
        <v>741.4</v>
      </c>
      <c r="N29" s="1462">
        <f>+InputY!N280</f>
        <v>756.5</v>
      </c>
      <c r="O29" s="1462">
        <f>+InputY!O280</f>
        <v>765.5</v>
      </c>
      <c r="P29" s="1462">
        <f>+InputY!P280</f>
        <v>778.1</v>
      </c>
      <c r="Q29" s="1085">
        <f>+InputY!Q280</f>
        <v>792.4</v>
      </c>
      <c r="R29" s="1085">
        <f>+InputY!R280</f>
        <v>800.4</v>
      </c>
      <c r="S29" s="1085">
        <f>+InputY!S280</f>
        <v>807.8</v>
      </c>
      <c r="T29" s="1085">
        <f>+InputY!T280</f>
        <v>818.5</v>
      </c>
      <c r="U29" s="1085">
        <f>+InputY!U280</f>
        <v>835.3</v>
      </c>
      <c r="V29" s="1085">
        <f>+InputY!V280</f>
        <v>841.8</v>
      </c>
      <c r="W29" s="1085">
        <f>+InputY!W280</f>
        <v>845.5</v>
      </c>
      <c r="X29" s="1085">
        <f>+InputY!X280</f>
        <v>845.7</v>
      </c>
      <c r="Y29" s="1085">
        <f>+InputY!Y280</f>
        <v>846</v>
      </c>
      <c r="Z29" s="1085">
        <f>+InputY!Z280</f>
        <v>849.7</v>
      </c>
      <c r="AA29" s="1085">
        <f>+InputY!AA280</f>
        <v>853.1</v>
      </c>
      <c r="AB29" s="1085">
        <f>+InputY!AB280</f>
        <v>856.4</v>
      </c>
      <c r="AC29" s="1085">
        <f>+InputY!AC280</f>
        <v>858.5</v>
      </c>
      <c r="AD29" s="2135">
        <f t="shared" si="59"/>
        <v>858.92924999999991</v>
      </c>
      <c r="AE29" s="2135">
        <f t="shared" si="59"/>
        <v>858.92924999999991</v>
      </c>
      <c r="AF29" s="749"/>
      <c r="AG29" s="3362">
        <f t="shared" ref="AG29:AG34" si="61">(V29-U29)*1000</f>
        <v>6500</v>
      </c>
      <c r="AH29" s="3362">
        <f t="shared" ref="AH29:AP33" si="62">(W29-V29)*1000</f>
        <v>3700.0000000000455</v>
      </c>
      <c r="AI29" s="3362">
        <f t="shared" si="62"/>
        <v>200.00000000004547</v>
      </c>
      <c r="AJ29" s="3362">
        <f t="shared" si="62"/>
        <v>299.99999999995453</v>
      </c>
      <c r="AK29" s="3362">
        <f t="shared" si="62"/>
        <v>3700.0000000000455</v>
      </c>
      <c r="AL29" s="3362">
        <f t="shared" si="62"/>
        <v>3399.9999999999773</v>
      </c>
      <c r="AM29" s="3362">
        <f t="shared" si="62"/>
        <v>3299.9999999999545</v>
      </c>
      <c r="AN29" s="3362">
        <f t="shared" si="62"/>
        <v>2100.0000000000227</v>
      </c>
      <c r="AO29" s="3362">
        <f t="shared" si="62"/>
        <v>429.24999999991087</v>
      </c>
      <c r="AP29" s="3362">
        <f t="shared" si="62"/>
        <v>0</v>
      </c>
    </row>
    <row r="30" spans="1:43">
      <c r="A30" s="714">
        <f>+ROW(InputY!A9)</f>
        <v>9</v>
      </c>
      <c r="B30" s="715">
        <v>63</v>
      </c>
      <c r="C30" s="721" t="s">
        <v>624</v>
      </c>
      <c r="D30" s="794"/>
      <c r="E30" s="798" t="s">
        <v>1559</v>
      </c>
      <c r="F30" s="799" t="str">
        <f>+InputY!B9</f>
        <v>LEmpD</v>
      </c>
      <c r="G30" s="797">
        <f>+InputY!G9</f>
        <v>3169.6</v>
      </c>
      <c r="H30" s="797">
        <f>+InputY!H9</f>
        <v>3173.7</v>
      </c>
      <c r="I30" s="797">
        <f>+InputY!I9</f>
        <v>3198.8</v>
      </c>
      <c r="J30" s="797">
        <f>+InputY!J9</f>
        <v>3268.1</v>
      </c>
      <c r="K30" s="797">
        <f>+InputY!K9</f>
        <v>3322.8</v>
      </c>
      <c r="L30" s="797">
        <f>+InputY!L9</f>
        <v>3407.1</v>
      </c>
      <c r="M30" s="797">
        <f>+InputY!M9</f>
        <v>3469.4</v>
      </c>
      <c r="N30" s="797">
        <f>+InputY!N9</f>
        <v>3468.2</v>
      </c>
      <c r="O30" s="797">
        <f>+InputY!O9</f>
        <v>3465.1</v>
      </c>
      <c r="P30" s="797">
        <f>+InputY!P9</f>
        <v>3503</v>
      </c>
      <c r="Q30" s="797">
        <f>+InputY!Q9</f>
        <v>3560.6</v>
      </c>
      <c r="R30" s="797">
        <f>+InputY!R9</f>
        <v>3603.8</v>
      </c>
      <c r="S30" s="797">
        <f>+InputY!S9</f>
        <v>3668.3</v>
      </c>
      <c r="T30" s="797">
        <f>+InputY!T9</f>
        <v>3737.3</v>
      </c>
      <c r="U30" s="797">
        <f>+InputY!U9</f>
        <v>3723.9</v>
      </c>
      <c r="V30" s="797">
        <f>+InputY!V9</f>
        <v>3747.1</v>
      </c>
      <c r="W30" s="797">
        <f>+InputY!W9</f>
        <v>3800.4</v>
      </c>
      <c r="X30" s="797">
        <f>+InputY!X9</f>
        <v>3812.3</v>
      </c>
      <c r="Y30" s="797">
        <f>+InputY!Y9</f>
        <v>3791.5</v>
      </c>
      <c r="Z30" s="797">
        <f>+InputY!Z9</f>
        <v>3805.2</v>
      </c>
      <c r="AA30" s="797">
        <f>+InputY!AA9</f>
        <v>3835.3</v>
      </c>
      <c r="AB30" s="797">
        <f>+InputY!AB9</f>
        <v>3879.8</v>
      </c>
      <c r="AC30" s="797">
        <f>+InputY!AC9</f>
        <v>3934.5</v>
      </c>
      <c r="AD30" s="2124">
        <f>+AD28+AD29</f>
        <v>3982.9148500000001</v>
      </c>
      <c r="AE30" s="2124">
        <f>+AE28+AE29</f>
        <v>4022.5894671199994</v>
      </c>
      <c r="AF30" s="749"/>
      <c r="AG30" s="3829">
        <f t="shared" si="61"/>
        <v>23199.999999999818</v>
      </c>
      <c r="AH30" s="3829">
        <f t="shared" si="62"/>
        <v>53300.000000000182</v>
      </c>
      <c r="AI30" s="3829">
        <f t="shared" si="62"/>
        <v>11900.000000000091</v>
      </c>
      <c r="AJ30" s="3829">
        <f t="shared" si="62"/>
        <v>-20800.000000000182</v>
      </c>
      <c r="AK30" s="3829">
        <f t="shared" si="62"/>
        <v>13699.999999999818</v>
      </c>
      <c r="AL30" s="3829">
        <f t="shared" si="62"/>
        <v>30100.000000000364</v>
      </c>
      <c r="AM30" s="3829">
        <f t="shared" si="62"/>
        <v>44500</v>
      </c>
      <c r="AN30" s="3829">
        <f t="shared" si="62"/>
        <v>54699.999999999818</v>
      </c>
      <c r="AO30" s="3829">
        <f t="shared" si="62"/>
        <v>48414.850000000115</v>
      </c>
      <c r="AP30" s="3829">
        <f t="shared" si="62"/>
        <v>39674.617119999311</v>
      </c>
    </row>
    <row r="31" spans="1:43">
      <c r="A31" s="1123"/>
      <c r="C31" s="721" t="s">
        <v>622</v>
      </c>
      <c r="D31" s="724"/>
      <c r="E31" s="221" t="s">
        <v>819</v>
      </c>
      <c r="F31" s="759" t="s">
        <v>1074</v>
      </c>
      <c r="G31" s="755">
        <f>+G32-G30</f>
        <v>698.30000000000018</v>
      </c>
      <c r="H31" s="755">
        <f t="shared" ref="H31:W31" si="63">+H32-H30</f>
        <v>704.40000000000009</v>
      </c>
      <c r="I31" s="755">
        <f t="shared" si="63"/>
        <v>705.69999999999982</v>
      </c>
      <c r="J31" s="755">
        <f t="shared" si="63"/>
        <v>704.90000000000009</v>
      </c>
      <c r="K31" s="755">
        <f t="shared" si="63"/>
        <v>705</v>
      </c>
      <c r="L31" s="755">
        <f t="shared" si="63"/>
        <v>701.79999999999973</v>
      </c>
      <c r="M31" s="755">
        <f t="shared" si="63"/>
        <v>695.79999999999973</v>
      </c>
      <c r="N31" s="755">
        <f t="shared" si="63"/>
        <v>689.10000000000036</v>
      </c>
      <c r="O31" s="755">
        <f t="shared" si="63"/>
        <v>688.79999999999973</v>
      </c>
      <c r="P31" s="755">
        <f t="shared" si="63"/>
        <v>691.69999999999982</v>
      </c>
      <c r="Q31" s="755">
        <f t="shared" si="63"/>
        <v>694.59999999999991</v>
      </c>
      <c r="R31" s="755">
        <f t="shared" si="63"/>
        <v>699.09999999999945</v>
      </c>
      <c r="S31" s="755">
        <f t="shared" si="63"/>
        <v>705.59999999999945</v>
      </c>
      <c r="T31" s="755">
        <f t="shared" si="63"/>
        <v>715.59999999999945</v>
      </c>
      <c r="U31" s="755">
        <f t="shared" si="63"/>
        <v>721.59999999999991</v>
      </c>
      <c r="V31" s="755">
        <f t="shared" si="63"/>
        <v>726.90000000000009</v>
      </c>
      <c r="W31" s="755">
        <f t="shared" si="63"/>
        <v>734.90000000000009</v>
      </c>
      <c r="X31" s="755">
        <f t="shared" ref="X31:Z31" si="64">+X32-X30</f>
        <v>742.69999999999982</v>
      </c>
      <c r="Y31" s="755">
        <f t="shared" si="64"/>
        <v>748.60000000000036</v>
      </c>
      <c r="Z31" s="755">
        <f t="shared" si="64"/>
        <v>754.69999999999982</v>
      </c>
      <c r="AA31" s="755">
        <f t="shared" ref="AA31:AC31" si="65">+AA32-AA30</f>
        <v>765.09999999999945</v>
      </c>
      <c r="AB31" s="755">
        <f t="shared" si="65"/>
        <v>778.30000000000018</v>
      </c>
      <c r="AC31" s="755">
        <f t="shared" si="65"/>
        <v>789.19999999999982</v>
      </c>
      <c r="AD31" s="2136">
        <f>+AC31*(1+AD49/100)</f>
        <v>799.45959999999968</v>
      </c>
      <c r="AE31" s="2136">
        <f>+AD31*(1+AE49/100)</f>
        <v>809.85257479999962</v>
      </c>
      <c r="AF31" s="749"/>
      <c r="AG31" s="3362">
        <f t="shared" si="61"/>
        <v>5300.0000000001819</v>
      </c>
      <c r="AH31" s="3362">
        <f t="shared" si="62"/>
        <v>8000</v>
      </c>
      <c r="AI31" s="3362">
        <f t="shared" si="62"/>
        <v>7799.9999999997272</v>
      </c>
      <c r="AJ31" s="3362">
        <f t="shared" si="62"/>
        <v>5900.0000000005457</v>
      </c>
      <c r="AK31" s="3362">
        <f t="shared" si="62"/>
        <v>6099.9999999994543</v>
      </c>
      <c r="AL31" s="3362">
        <f t="shared" si="62"/>
        <v>10399.999999999636</v>
      </c>
      <c r="AM31" s="3362">
        <f t="shared" si="62"/>
        <v>13200.000000000728</v>
      </c>
      <c r="AN31" s="3362">
        <f t="shared" si="62"/>
        <v>10899.999999999636</v>
      </c>
      <c r="AO31" s="3362">
        <f t="shared" si="62"/>
        <v>10259.599999999864</v>
      </c>
      <c r="AP31" s="3362">
        <f t="shared" si="62"/>
        <v>10392.974799999934</v>
      </c>
    </row>
    <row r="32" spans="1:43">
      <c r="A32" s="714">
        <f>+ROW(InputY!A8)</f>
        <v>8</v>
      </c>
      <c r="B32" s="715">
        <v>59</v>
      </c>
      <c r="C32" s="721" t="s">
        <v>624</v>
      </c>
      <c r="D32" s="794"/>
      <c r="E32" s="798" t="s">
        <v>1612</v>
      </c>
      <c r="F32" s="799" t="str">
        <f>+InputY!B8</f>
        <v>LEmpTotD</v>
      </c>
      <c r="G32" s="797">
        <f>+InputY!G8</f>
        <v>3867.9</v>
      </c>
      <c r="H32" s="797">
        <f>+InputY!H8</f>
        <v>3878.1</v>
      </c>
      <c r="I32" s="797">
        <f>+InputY!I8</f>
        <v>3904.5</v>
      </c>
      <c r="J32" s="797">
        <f>+InputY!J8</f>
        <v>3973</v>
      </c>
      <c r="K32" s="797">
        <f>+InputY!K8</f>
        <v>4027.8</v>
      </c>
      <c r="L32" s="797">
        <f>+InputY!L8</f>
        <v>4108.8999999999996</v>
      </c>
      <c r="M32" s="797">
        <f>+InputY!M8</f>
        <v>4165.2</v>
      </c>
      <c r="N32" s="797">
        <f>+InputY!N8</f>
        <v>4157.3</v>
      </c>
      <c r="O32" s="797">
        <f>+InputY!O8</f>
        <v>4153.8999999999996</v>
      </c>
      <c r="P32" s="797">
        <f>+InputY!P8</f>
        <v>4194.7</v>
      </c>
      <c r="Q32" s="797">
        <f>+InputY!Q8</f>
        <v>4255.2</v>
      </c>
      <c r="R32" s="797">
        <f>+InputY!R8</f>
        <v>4302.8999999999996</v>
      </c>
      <c r="S32" s="797">
        <f>+InputY!S8</f>
        <v>4373.8999999999996</v>
      </c>
      <c r="T32" s="797">
        <f>+InputY!T8</f>
        <v>4452.8999999999996</v>
      </c>
      <c r="U32" s="797">
        <f>+InputY!U8</f>
        <v>4445.5</v>
      </c>
      <c r="V32" s="797">
        <f>+InputY!V8</f>
        <v>4474</v>
      </c>
      <c r="W32" s="797">
        <f>+InputY!W8</f>
        <v>4535.3</v>
      </c>
      <c r="X32" s="797">
        <f>+InputY!X8</f>
        <v>4555</v>
      </c>
      <c r="Y32" s="797">
        <f>+InputY!Y8</f>
        <v>4540.1000000000004</v>
      </c>
      <c r="Z32" s="797">
        <f>+InputY!Z8</f>
        <v>4559.8999999999996</v>
      </c>
      <c r="AA32" s="797">
        <f>+InputY!AA8</f>
        <v>4600.3999999999996</v>
      </c>
      <c r="AB32" s="797">
        <f>+InputY!AB8</f>
        <v>4658.1000000000004</v>
      </c>
      <c r="AC32" s="797">
        <f>+InputY!AC8</f>
        <v>4723.7</v>
      </c>
      <c r="AD32" s="2124">
        <f>+AD30+AD31</f>
        <v>4782.3744499999993</v>
      </c>
      <c r="AE32" s="2124">
        <f>+AE30+AE31</f>
        <v>4832.4420419199987</v>
      </c>
      <c r="AF32" s="749"/>
      <c r="AG32" s="3829">
        <f t="shared" si="61"/>
        <v>28500</v>
      </c>
      <c r="AH32" s="3829">
        <f t="shared" si="62"/>
        <v>61300.000000000182</v>
      </c>
      <c r="AI32" s="3829">
        <f t="shared" si="62"/>
        <v>19699.999999999818</v>
      </c>
      <c r="AJ32" s="3829">
        <f t="shared" si="62"/>
        <v>-14899.999999999636</v>
      </c>
      <c r="AK32" s="3829">
        <f t="shared" si="62"/>
        <v>19799.999999999272</v>
      </c>
      <c r="AL32" s="3829">
        <f t="shared" si="62"/>
        <v>40500</v>
      </c>
      <c r="AM32" s="3829">
        <f t="shared" si="62"/>
        <v>57700.000000000728</v>
      </c>
      <c r="AN32" s="3829">
        <f t="shared" si="62"/>
        <v>65599.999999999447</v>
      </c>
      <c r="AO32" s="3829">
        <f t="shared" si="62"/>
        <v>58674.449999999524</v>
      </c>
      <c r="AP32" s="3829">
        <f t="shared" si="62"/>
        <v>50067.591919999359</v>
      </c>
    </row>
    <row r="33" spans="1:50">
      <c r="A33" s="714"/>
      <c r="C33" s="721" t="s">
        <v>622</v>
      </c>
      <c r="D33" s="724"/>
      <c r="E33" s="221" t="s">
        <v>1076</v>
      </c>
      <c r="F33" s="759" t="s">
        <v>422</v>
      </c>
      <c r="G33" s="920">
        <f>+G34-G32</f>
        <v>62.599999999999909</v>
      </c>
      <c r="H33" s="920">
        <f t="shared" ref="H33:W33" si="66">+H34-H32</f>
        <v>61.599999999999909</v>
      </c>
      <c r="I33" s="920">
        <f t="shared" si="66"/>
        <v>61.900000000000091</v>
      </c>
      <c r="J33" s="920">
        <f t="shared" si="66"/>
        <v>62.699999999999818</v>
      </c>
      <c r="K33" s="920">
        <f t="shared" si="66"/>
        <v>62.599999999999909</v>
      </c>
      <c r="L33" s="920">
        <f t="shared" si="66"/>
        <v>63.600000000000364</v>
      </c>
      <c r="M33" s="920">
        <f t="shared" si="66"/>
        <v>65.699999999999818</v>
      </c>
      <c r="N33" s="920">
        <f t="shared" si="66"/>
        <v>66.800000000000182</v>
      </c>
      <c r="O33" s="920">
        <f t="shared" si="66"/>
        <v>69.400000000000546</v>
      </c>
      <c r="P33" s="920">
        <f t="shared" si="66"/>
        <v>71.600000000000364</v>
      </c>
      <c r="Q33" s="920">
        <f t="shared" si="66"/>
        <v>73.100000000000364</v>
      </c>
      <c r="R33" s="920">
        <f t="shared" si="66"/>
        <v>75.200000000000728</v>
      </c>
      <c r="S33" s="920">
        <f t="shared" si="66"/>
        <v>77.100000000000364</v>
      </c>
      <c r="T33" s="920">
        <f t="shared" si="66"/>
        <v>77.600000000000364</v>
      </c>
      <c r="U33" s="920">
        <f t="shared" si="66"/>
        <v>78.5</v>
      </c>
      <c r="V33" s="920">
        <f t="shared" si="66"/>
        <v>79.199999999999818</v>
      </c>
      <c r="W33" s="920">
        <f t="shared" si="66"/>
        <v>79</v>
      </c>
      <c r="X33" s="920">
        <f t="shared" ref="X33:Y33" si="67">+X34-X32</f>
        <v>79.600000000000364</v>
      </c>
      <c r="Y33" s="920">
        <f t="shared" si="67"/>
        <v>78.799999999999272</v>
      </c>
      <c r="Z33" s="920">
        <f t="shared" ref="Z33:AC33" si="68">+Z34-Z32</f>
        <v>78</v>
      </c>
      <c r="AA33" s="920">
        <f t="shared" si="68"/>
        <v>77.300000000000182</v>
      </c>
      <c r="AB33" s="920">
        <f t="shared" si="68"/>
        <v>77.299999999999272</v>
      </c>
      <c r="AC33" s="920">
        <f t="shared" si="68"/>
        <v>77.300000000000182</v>
      </c>
      <c r="AD33" s="2124">
        <f>+AC33*(1+AD51/100)</f>
        <v>76.913500000000184</v>
      </c>
      <c r="AE33" s="2124">
        <f>+AD33*(1+AE51/100)</f>
        <v>76.144365000000178</v>
      </c>
      <c r="AF33" s="749"/>
      <c r="AG33" s="3362">
        <f t="shared" si="61"/>
        <v>699.9999999998181</v>
      </c>
      <c r="AH33" s="3362">
        <f t="shared" si="62"/>
        <v>-199.9999999998181</v>
      </c>
      <c r="AI33" s="3362">
        <f t="shared" si="62"/>
        <v>600.0000000003638</v>
      </c>
      <c r="AJ33" s="3362">
        <f t="shared" si="62"/>
        <v>-800.00000000109139</v>
      </c>
      <c r="AK33" s="3362">
        <f t="shared" si="62"/>
        <v>-799.9999999992724</v>
      </c>
      <c r="AL33" s="3362">
        <f t="shared" si="62"/>
        <v>-699.9999999998181</v>
      </c>
      <c r="AM33" s="3362">
        <f t="shared" si="62"/>
        <v>-9.0949470177292824E-10</v>
      </c>
      <c r="AN33" s="3362">
        <f t="shared" si="62"/>
        <v>9.0949470177292824E-10</v>
      </c>
      <c r="AO33" s="3362">
        <f t="shared" si="62"/>
        <v>-386.49999999999807</v>
      </c>
      <c r="AP33" s="3362">
        <f t="shared" si="62"/>
        <v>-769.13500000000568</v>
      </c>
    </row>
    <row r="34" spans="1:50" s="749" customFormat="1" ht="12.75" customHeight="1">
      <c r="A34" s="714">
        <f>+ROW(InputY!A224)</f>
        <v>224</v>
      </c>
      <c r="B34" s="714">
        <v>79</v>
      </c>
      <c r="C34" s="921" t="s">
        <v>624</v>
      </c>
      <c r="D34" s="794"/>
      <c r="E34" s="795" t="s">
        <v>1613</v>
      </c>
      <c r="F34" s="796" t="str">
        <f>+InputY!B224</f>
        <v>LEmpTot</v>
      </c>
      <c r="G34" s="797">
        <f>+InputY!G224</f>
        <v>3930.5</v>
      </c>
      <c r="H34" s="797">
        <f>+InputY!H224</f>
        <v>3939.7</v>
      </c>
      <c r="I34" s="797">
        <f>+InputY!I224</f>
        <v>3966.4</v>
      </c>
      <c r="J34" s="797">
        <f>+InputY!J224</f>
        <v>4035.7</v>
      </c>
      <c r="K34" s="797">
        <f>+InputY!K224</f>
        <v>4090.4</v>
      </c>
      <c r="L34" s="797">
        <f>+InputY!L224</f>
        <v>4172.5</v>
      </c>
      <c r="M34" s="797">
        <f>+InputY!M224</f>
        <v>4230.8999999999996</v>
      </c>
      <c r="N34" s="797">
        <f>+InputY!N224</f>
        <v>4224.1000000000004</v>
      </c>
      <c r="O34" s="797">
        <f>+InputY!O224</f>
        <v>4223.3</v>
      </c>
      <c r="P34" s="797">
        <f>+InputY!P224</f>
        <v>4266.3</v>
      </c>
      <c r="Q34" s="797">
        <f>+InputY!Q224</f>
        <v>4328.3</v>
      </c>
      <c r="R34" s="797">
        <f>+InputY!R224</f>
        <v>4378.1000000000004</v>
      </c>
      <c r="S34" s="797">
        <f>+InputY!S224</f>
        <v>4451</v>
      </c>
      <c r="T34" s="797">
        <f>+InputY!T224</f>
        <v>4530.5</v>
      </c>
      <c r="U34" s="797">
        <f>+InputY!U224</f>
        <v>4524</v>
      </c>
      <c r="V34" s="797">
        <f>+InputY!V224</f>
        <v>4553.2</v>
      </c>
      <c r="W34" s="797">
        <f>+InputY!W224</f>
        <v>4614.3</v>
      </c>
      <c r="X34" s="797">
        <f>+InputY!X224</f>
        <v>4634.6000000000004</v>
      </c>
      <c r="Y34" s="797">
        <f>+InputY!Y224</f>
        <v>4618.8999999999996</v>
      </c>
      <c r="Z34" s="797">
        <f>+InputY!Z224</f>
        <v>4637.8999999999996</v>
      </c>
      <c r="AA34" s="797">
        <f>+InputY!AA224</f>
        <v>4677.7</v>
      </c>
      <c r="AB34" s="797">
        <f>+InputY!AB224</f>
        <v>4735.3999999999996</v>
      </c>
      <c r="AC34" s="797">
        <f>+InputY!AC224</f>
        <v>4801</v>
      </c>
      <c r="AD34" s="2124">
        <f>+AD32+AD33</f>
        <v>4859.2879499999999</v>
      </c>
      <c r="AE34" s="2124">
        <f>+AE32+AE33</f>
        <v>4908.5864069199988</v>
      </c>
      <c r="AG34" s="3362">
        <f t="shared" si="61"/>
        <v>29199.999999999818</v>
      </c>
      <c r="AH34" s="3362">
        <f t="shared" ref="AH34" si="69">(W34-V34)*1000</f>
        <v>61100.000000000364</v>
      </c>
      <c r="AI34" s="3362">
        <f t="shared" ref="AI34" si="70">(X34-W34)*1000</f>
        <v>20300.000000000182</v>
      </c>
      <c r="AJ34" s="3362">
        <f t="shared" ref="AJ34" si="71">(Y34-X34)*1000</f>
        <v>-15700.000000000728</v>
      </c>
      <c r="AK34" s="3362">
        <f>(Z34-Y34)*1000</f>
        <v>19000</v>
      </c>
      <c r="AL34" s="3362">
        <f t="shared" ref="AL34" si="72">(AA34-Z34)*1000</f>
        <v>39800.000000000182</v>
      </c>
      <c r="AM34" s="3362">
        <f>(AB34-AA34)*1000</f>
        <v>57699.999999999818</v>
      </c>
      <c r="AN34" s="3362">
        <f>(AC34-AB34)*1000</f>
        <v>65600.000000000364</v>
      </c>
      <c r="AO34" s="3362">
        <f>(AD34-AC34)*1000</f>
        <v>58287.94999999991</v>
      </c>
      <c r="AP34" s="3362">
        <f>(AE34-AD34)*1000</f>
        <v>49298.456919998898</v>
      </c>
    </row>
    <row r="35" spans="1:50" s="26" customFormat="1">
      <c r="A35" s="714"/>
      <c r="B35" s="723"/>
      <c r="C35" s="922"/>
      <c r="D35" s="729"/>
      <c r="E35" s="730" t="s">
        <v>2110</v>
      </c>
      <c r="F35" s="729" t="s">
        <v>635</v>
      </c>
      <c r="G35" s="732">
        <f t="shared" ref="G35:Y35" si="73">+G34/G7</f>
        <v>0.58630777063276041</v>
      </c>
      <c r="H35" s="732">
        <f t="shared" si="73"/>
        <v>0.58773583857157974</v>
      </c>
      <c r="I35" s="732">
        <f t="shared" si="73"/>
        <v>0.59145718354900856</v>
      </c>
      <c r="J35" s="732">
        <f t="shared" si="73"/>
        <v>0.6015612987863016</v>
      </c>
      <c r="K35" s="732">
        <f t="shared" si="73"/>
        <v>0.60913209696077275</v>
      </c>
      <c r="L35" s="732">
        <f t="shared" si="73"/>
        <v>0.62054778344347283</v>
      </c>
      <c r="M35" s="732">
        <f t="shared" si="73"/>
        <v>0.62741919303027716</v>
      </c>
      <c r="N35" s="732">
        <f t="shared" si="73"/>
        <v>0.62353663703978268</v>
      </c>
      <c r="O35" s="732">
        <f t="shared" si="73"/>
        <v>0.62063465856533662</v>
      </c>
      <c r="P35" s="732">
        <f t="shared" si="73"/>
        <v>0.62416809042866184</v>
      </c>
      <c r="Q35" s="732">
        <f t="shared" si="73"/>
        <v>0.6292159397785555</v>
      </c>
      <c r="R35" s="732">
        <f t="shared" si="73"/>
        <v>0.63071355007697905</v>
      </c>
      <c r="S35" s="732">
        <f t="shared" si="73"/>
        <v>0.63479485900309107</v>
      </c>
      <c r="T35" s="732">
        <f t="shared" si="73"/>
        <v>0.64043885434599712</v>
      </c>
      <c r="U35" s="732">
        <f t="shared" si="73"/>
        <v>0.63499469223601079</v>
      </c>
      <c r="V35" s="732">
        <f t="shared" si="73"/>
        <v>0.63249118555355233</v>
      </c>
      <c r="W35" s="732">
        <f t="shared" si="73"/>
        <v>0.63555929679536549</v>
      </c>
      <c r="X35" s="732">
        <f t="shared" ref="X35" si="74">+X34/X7</f>
        <v>0.63674411709628964</v>
      </c>
      <c r="Y35" s="2123">
        <f t="shared" si="73"/>
        <v>0.63388734374455336</v>
      </c>
      <c r="Z35" s="2123">
        <f t="shared" ref="Z35:AE35" si="75">+Z34/Z7</f>
        <v>0.63611589518921152</v>
      </c>
      <c r="AA35" s="2123">
        <f t="shared" si="75"/>
        <v>0.63979671815755723</v>
      </c>
      <c r="AB35" s="2123">
        <f t="shared" si="75"/>
        <v>0.6462267469284817</v>
      </c>
      <c r="AC35" s="2123">
        <f t="shared" si="75"/>
        <v>0.65364880908243173</v>
      </c>
      <c r="AD35" s="2123">
        <f t="shared" si="75"/>
        <v>0.66085352180224299</v>
      </c>
      <c r="AE35" s="2123">
        <f t="shared" si="75"/>
        <v>0.66723030683102946</v>
      </c>
      <c r="AF35" s="749"/>
      <c r="AM35" s="3362"/>
    </row>
    <row r="36" spans="1:50">
      <c r="A36" s="714">
        <f>+ROW(InputY!A18)</f>
        <v>18</v>
      </c>
      <c r="B36" s="1123">
        <v>78</v>
      </c>
      <c r="C36" s="721" t="s">
        <v>622</v>
      </c>
      <c r="D36" s="724"/>
      <c r="E36" s="221" t="s">
        <v>1002</v>
      </c>
      <c r="F36" s="774" t="s">
        <v>978</v>
      </c>
      <c r="G36" s="755">
        <f>+InputY!G18</f>
        <v>406.70000000000005</v>
      </c>
      <c r="H36" s="755">
        <f>+InputY!H18</f>
        <v>400.70000000000005</v>
      </c>
      <c r="I36" s="755">
        <f>+InputY!I18</f>
        <v>390.1</v>
      </c>
      <c r="J36" s="755">
        <f>+InputY!J18</f>
        <v>399.70000000000005</v>
      </c>
      <c r="K36" s="755">
        <f>+InputY!K18</f>
        <v>367</v>
      </c>
      <c r="L36" s="755">
        <f>+InputY!L18</f>
        <v>301.90000000000003</v>
      </c>
      <c r="M36" s="755">
        <f>+InputY!M18</f>
        <v>285.60000000000002</v>
      </c>
      <c r="N36" s="755">
        <f>+InputY!N18</f>
        <v>330.6</v>
      </c>
      <c r="O36" s="755">
        <f>+InputY!O18</f>
        <v>362.3</v>
      </c>
      <c r="P36" s="755">
        <f>+InputY!P18</f>
        <v>379.1</v>
      </c>
      <c r="Q36" s="755">
        <f>+InputY!Q18</f>
        <v>390.40000000000003</v>
      </c>
      <c r="R36" s="755">
        <f>+InputY!R18</f>
        <v>383.20000000000005</v>
      </c>
      <c r="S36" s="755">
        <f>+InputY!S18</f>
        <v>353</v>
      </c>
      <c r="T36" s="755">
        <f>+InputY!T18</f>
        <v>333.40000000000003</v>
      </c>
      <c r="U36" s="755">
        <f>+InputY!U18</f>
        <v>379.6</v>
      </c>
      <c r="V36" s="755">
        <f>+InputY!V18</f>
        <v>405.90000000000003</v>
      </c>
      <c r="W36" s="755">
        <f>+InputY!W18</f>
        <v>347</v>
      </c>
      <c r="X36" s="755">
        <f>+InputY!X18</f>
        <v>369</v>
      </c>
      <c r="Y36" s="755">
        <f>+InputY!Y18</f>
        <v>417</v>
      </c>
      <c r="Z36" s="755">
        <f>+InputY!Z18</f>
        <v>423</v>
      </c>
      <c r="AA36" s="755">
        <f>+InputY!AA18</f>
        <v>422</v>
      </c>
      <c r="AB36" s="755">
        <f>+InputY!AB18</f>
        <v>390</v>
      </c>
      <c r="AC36" s="755">
        <f>+InputY!AC18</f>
        <v>354</v>
      </c>
      <c r="AD36" s="2124">
        <f>+AD11-AD34</f>
        <v>323.54905000000053</v>
      </c>
      <c r="AE36" s="2124">
        <f>+AE11-AE34</f>
        <v>302.23791288000211</v>
      </c>
      <c r="AF36" s="749"/>
      <c r="AG36" s="3362">
        <f t="shared" ref="AG36" si="76">(V36-U36)*1000</f>
        <v>26300.000000000011</v>
      </c>
      <c r="AH36" s="3362">
        <f t="shared" ref="AH36" si="77">(W36-V36)*1000</f>
        <v>-58900.000000000036</v>
      </c>
      <c r="AI36" s="3362">
        <f t="shared" ref="AI36" si="78">(X36-W36)*1000</f>
        <v>22000</v>
      </c>
      <c r="AJ36" s="3362">
        <f t="shared" ref="AJ36" si="79">(Y36-X36)*1000</f>
        <v>48000</v>
      </c>
      <c r="AK36" s="3362">
        <f t="shared" ref="AK36" si="80">(Z36-Y36)*1000</f>
        <v>6000</v>
      </c>
      <c r="AL36" s="3362">
        <f t="shared" ref="AL36" si="81">(AA36-Z36)*1000</f>
        <v>-1000</v>
      </c>
      <c r="AM36" s="3362">
        <f t="shared" ref="AM36" si="82">(AB36-AA36)*1000</f>
        <v>-32000</v>
      </c>
      <c r="AN36" s="3362">
        <f t="shared" ref="AN36" si="83">(AC36-AB36)*1000</f>
        <v>-36000</v>
      </c>
      <c r="AO36" s="3362">
        <f t="shared" ref="AO36:AP36" si="84">(AD36-AC36)*1000</f>
        <v>-30450.949999999466</v>
      </c>
      <c r="AP36" s="3362">
        <f t="shared" si="84"/>
        <v>-21311.137119998421</v>
      </c>
    </row>
    <row r="37" spans="1:50" s="26" customFormat="1">
      <c r="A37" s="1821"/>
      <c r="B37" s="723"/>
      <c r="C37" s="922"/>
      <c r="D37" s="729"/>
      <c r="E37" s="730" t="s">
        <v>1251</v>
      </c>
      <c r="F37" s="1825" t="s">
        <v>634</v>
      </c>
      <c r="G37" s="1826">
        <f t="shared" ref="G37:Z37" si="85">+G36/G11</f>
        <v>9.3770174306003887E-2</v>
      </c>
      <c r="H37" s="1826">
        <f t="shared" si="85"/>
        <v>9.2318680305962603E-2</v>
      </c>
      <c r="I37" s="1826">
        <f t="shared" si="85"/>
        <v>8.9544359003787447E-2</v>
      </c>
      <c r="J37" s="1826">
        <f t="shared" si="85"/>
        <v>9.0115885827659309E-2</v>
      </c>
      <c r="K37" s="1826">
        <f t="shared" si="85"/>
        <v>8.23349934939651E-2</v>
      </c>
      <c r="L37" s="1826">
        <f t="shared" si="85"/>
        <v>6.7472733774360819E-2</v>
      </c>
      <c r="M37" s="1826">
        <f t="shared" si="85"/>
        <v>6.3234805712387918E-2</v>
      </c>
      <c r="N37" s="1826">
        <f t="shared" si="85"/>
        <v>7.2584363404834554E-2</v>
      </c>
      <c r="O37" s="1826">
        <f t="shared" si="85"/>
        <v>7.9008199581297969E-2</v>
      </c>
      <c r="P37" s="1826">
        <f t="shared" si="85"/>
        <v>8.1607611831058677E-2</v>
      </c>
      <c r="Q37" s="1826">
        <f t="shared" si="85"/>
        <v>8.2734651492995956E-2</v>
      </c>
      <c r="R37" s="1826">
        <f t="shared" si="85"/>
        <v>8.0482221242097751E-2</v>
      </c>
      <c r="S37" s="1826">
        <f t="shared" si="85"/>
        <v>7.3480432972522894E-2</v>
      </c>
      <c r="T37" s="1826">
        <f t="shared" si="85"/>
        <v>6.8545817142622187E-2</v>
      </c>
      <c r="U37" s="3295">
        <f t="shared" si="85"/>
        <v>7.7412513255567333E-2</v>
      </c>
      <c r="V37" s="3295">
        <f t="shared" si="85"/>
        <v>8.1849529148434214E-2</v>
      </c>
      <c r="W37" s="3295">
        <f t="shared" si="85"/>
        <v>6.9941346018180722E-2</v>
      </c>
      <c r="X37" s="3295">
        <f t="shared" ref="X37" si="86">+X36/X11</f>
        <v>7.374690223039411E-2</v>
      </c>
      <c r="Y37" s="3287">
        <f t="shared" si="85"/>
        <v>8.2805456820032181E-2</v>
      </c>
      <c r="Z37" s="3287">
        <f t="shared" si="85"/>
        <v>8.3581971586081535E-2</v>
      </c>
      <c r="AA37" s="3828">
        <f>+AA36/AA11</f>
        <v>8.2749965684255938E-2</v>
      </c>
      <c r="AB37" s="3828">
        <f>+AB36/AB11</f>
        <v>7.6091622117298169E-2</v>
      </c>
      <c r="AC37" s="3828">
        <f>+AC36/AC11</f>
        <v>6.8671193016488843E-2</v>
      </c>
      <c r="AD37" s="3828">
        <f>+AD36/AD11</f>
        <v>6.2427016323299479E-2</v>
      </c>
      <c r="AE37" s="3828">
        <f>+AE36/AE11</f>
        <v>5.8001938720436935E-2</v>
      </c>
      <c r="AF37" s="749"/>
    </row>
    <row r="38" spans="1:50" s="26" customFormat="1">
      <c r="A38" s="1821"/>
      <c r="B38" s="723"/>
      <c r="C38" s="922"/>
      <c r="D38" s="729"/>
      <c r="E38" s="730" t="s">
        <v>979</v>
      </c>
      <c r="F38" s="1825" t="s">
        <v>1252</v>
      </c>
      <c r="G38" s="1826">
        <f>InputY!G19/100</f>
        <v>9.6999999999999989E-2</v>
      </c>
      <c r="H38" s="1826">
        <f>InputY!H19/100</f>
        <v>9.5000000000000001E-2</v>
      </c>
      <c r="I38" s="1826">
        <f>InputY!I19/100</f>
        <v>9.1999999999999998E-2</v>
      </c>
      <c r="J38" s="1826">
        <f>InputY!J19/100</f>
        <v>9.3000000000000013E-2</v>
      </c>
      <c r="K38" s="1826">
        <f>InputY!K19/100</f>
        <v>8.4000000000000005E-2</v>
      </c>
      <c r="L38" s="1826">
        <f>InputY!L19/100</f>
        <v>6.9000000000000006E-2</v>
      </c>
      <c r="M38" s="1826">
        <f>InputY!M19/100</f>
        <v>6.6000000000000003E-2</v>
      </c>
      <c r="N38" s="1826">
        <f>InputY!N19/100</f>
        <v>7.4999999999999997E-2</v>
      </c>
      <c r="O38" s="1826">
        <f>InputY!O19/100</f>
        <v>8.199999999999999E-2</v>
      </c>
      <c r="P38" s="1826">
        <f>InputY!P19/100</f>
        <v>8.4000000000000005E-2</v>
      </c>
      <c r="Q38" s="1826">
        <f>InputY!Q19/100</f>
        <v>8.5000000000000006E-2</v>
      </c>
      <c r="R38" s="1826">
        <f>InputY!R19/100</f>
        <v>8.3000000000000004E-2</v>
      </c>
      <c r="S38" s="1826">
        <f>InputY!S19/100</f>
        <v>7.4999999999999997E-2</v>
      </c>
      <c r="T38" s="1826">
        <f>InputY!T19/100</f>
        <v>7.0000000000000007E-2</v>
      </c>
      <c r="U38" s="3295">
        <f>InputY!U19/100</f>
        <v>7.9000000000000001E-2</v>
      </c>
      <c r="V38" s="3295">
        <f>InputY!V19/100</f>
        <v>8.3000000000000004E-2</v>
      </c>
      <c r="W38" s="3295">
        <f>InputY!W19/100</f>
        <v>7.2000000000000008E-2</v>
      </c>
      <c r="X38" s="1826">
        <f>InputY!X19/100</f>
        <v>7.5999999999999998E-2</v>
      </c>
      <c r="Y38" s="1826">
        <f>InputY!Y19/100</f>
        <v>8.4000000000000005E-2</v>
      </c>
      <c r="Z38" s="1826">
        <f>InputY!Z19/100</f>
        <v>8.5000000000000006E-2</v>
      </c>
      <c r="AA38" s="1826">
        <f>InputY!AA19/100</f>
        <v>8.5000000000000006E-2</v>
      </c>
      <c r="AB38" s="1826">
        <f>InputY!AB19/100</f>
        <v>7.8E-2</v>
      </c>
      <c r="AC38" s="1826">
        <f>AC37+($AB38-ROUND($AB37,3))</f>
        <v>7.0671193016488845E-2</v>
      </c>
      <c r="AD38" s="1826">
        <f>AD37+($AA38-ROUND($AA37,3))</f>
        <v>6.4427016323299474E-2</v>
      </c>
      <c r="AE38" s="1826">
        <f>AE37+($AA38-ROUND($AA37,3))</f>
        <v>6.0001938720436937E-2</v>
      </c>
      <c r="AF38" s="749"/>
      <c r="AG38" s="3793"/>
      <c r="AH38" s="3793"/>
      <c r="AI38" s="3793"/>
    </row>
    <row r="39" spans="1:50" s="1044" customFormat="1">
      <c r="A39" s="1039">
        <f>+ROW(InputY!A225)</f>
        <v>225</v>
      </c>
      <c r="B39" s="723"/>
      <c r="C39" s="922"/>
      <c r="D39" s="1828"/>
      <c r="E39" s="1829" t="s">
        <v>1061</v>
      </c>
      <c r="F39" s="1830" t="str">
        <f>+InputY!B225</f>
        <v>LUemp</v>
      </c>
      <c r="G39" s="1831">
        <f>+InputY!G225</f>
        <v>596.87199999999996</v>
      </c>
      <c r="H39" s="1831">
        <f>+InputY!H225</f>
        <v>588.25099999999998</v>
      </c>
      <c r="I39" s="1831">
        <f>+InputY!I225</f>
        <v>570.04600000000005</v>
      </c>
      <c r="J39" s="1831">
        <f>+InputY!J225</f>
        <v>541.04700000000003</v>
      </c>
      <c r="K39" s="1831">
        <f>+InputY!K225</f>
        <v>507.63200000000001</v>
      </c>
      <c r="L39" s="1831">
        <f>+InputY!L225</f>
        <v>474.42700000000002</v>
      </c>
      <c r="M39" s="1831">
        <f>+InputY!M225</f>
        <v>469.74</v>
      </c>
      <c r="N39" s="1831">
        <f>+InputY!N225</f>
        <v>491.48099999999999</v>
      </c>
      <c r="O39" s="1831">
        <f>+InputY!O225</f>
        <v>538.14099999999996</v>
      </c>
      <c r="P39" s="1831">
        <f>+InputY!P225</f>
        <v>576.61199999999997</v>
      </c>
      <c r="Q39" s="1831">
        <f>+InputY!Q225</f>
        <v>596.39700000000005</v>
      </c>
      <c r="R39" s="1831">
        <f>+InputY!R225</f>
        <v>588.26099999999997</v>
      </c>
      <c r="S39" s="1831">
        <f>+InputY!S225</f>
        <v>532.45899999999995</v>
      </c>
      <c r="T39" s="1831">
        <f>+InputY!T225</f>
        <v>504.86500000000001</v>
      </c>
      <c r="U39" s="1831">
        <f>+InputY!U225</f>
        <v>554.529</v>
      </c>
      <c r="V39" s="1831">
        <f>+InputY!V225</f>
        <v>567.19200000000001</v>
      </c>
      <c r="W39" s="1831">
        <f>+InputY!W225</f>
        <v>546.47299999999996</v>
      </c>
      <c r="X39" s="1831">
        <f>+InputY!X225</f>
        <v>560.36699999999996</v>
      </c>
      <c r="Y39" s="1831">
        <f>+InputY!Y225</f>
        <v>584.30200000000002</v>
      </c>
      <c r="Z39" s="1831">
        <f>+InputY!Z225</f>
        <v>597.774</v>
      </c>
      <c r="AA39" s="1831">
        <f>+InputY!AA225</f>
        <v>578.52599999999995</v>
      </c>
      <c r="AB39" s="1831">
        <f>+InputY!AB225</f>
        <v>552.89300000000003</v>
      </c>
      <c r="AC39" s="2137">
        <f t="shared" ref="AC39:AE39" si="87">+AC64+AB39</f>
        <v>516.89300000000003</v>
      </c>
      <c r="AD39" s="2137">
        <f t="shared" si="87"/>
        <v>486.44205000000056</v>
      </c>
      <c r="AE39" s="2137">
        <f t="shared" si="87"/>
        <v>465.13091288000214</v>
      </c>
      <c r="AF39" s="749"/>
    </row>
    <row r="40" spans="1:50" s="1044" customFormat="1">
      <c r="A40" s="1039"/>
      <c r="B40" s="723"/>
      <c r="C40" s="922"/>
      <c r="D40" s="1828"/>
      <c r="E40" s="1829" t="s">
        <v>982</v>
      </c>
      <c r="F40" s="1830"/>
      <c r="G40" s="1831">
        <f>+G39-G36</f>
        <v>190.17199999999991</v>
      </c>
      <c r="H40" s="1831">
        <f t="shared" ref="H40:U40" si="88">+H39-H36</f>
        <v>187.55099999999993</v>
      </c>
      <c r="I40" s="1831">
        <f t="shared" si="88"/>
        <v>179.94600000000003</v>
      </c>
      <c r="J40" s="1831">
        <f t="shared" si="88"/>
        <v>141.34699999999998</v>
      </c>
      <c r="K40" s="1831">
        <f t="shared" si="88"/>
        <v>140.63200000000001</v>
      </c>
      <c r="L40" s="1831">
        <f t="shared" si="88"/>
        <v>172.52699999999999</v>
      </c>
      <c r="M40" s="1831">
        <f t="shared" si="88"/>
        <v>184.14</v>
      </c>
      <c r="N40" s="1831">
        <f t="shared" si="88"/>
        <v>160.88099999999997</v>
      </c>
      <c r="O40" s="1831">
        <f t="shared" si="88"/>
        <v>175.84099999999995</v>
      </c>
      <c r="P40" s="1831">
        <f t="shared" si="88"/>
        <v>197.51199999999994</v>
      </c>
      <c r="Q40" s="1831">
        <f t="shared" si="88"/>
        <v>205.99700000000001</v>
      </c>
      <c r="R40" s="1831">
        <f t="shared" si="88"/>
        <v>205.06099999999992</v>
      </c>
      <c r="S40" s="1831">
        <f t="shared" si="88"/>
        <v>179.45899999999995</v>
      </c>
      <c r="T40" s="1831">
        <f t="shared" si="88"/>
        <v>171.46499999999997</v>
      </c>
      <c r="U40" s="1831">
        <f t="shared" si="88"/>
        <v>174.92899999999997</v>
      </c>
      <c r="V40" s="1831">
        <f t="shared" ref="V40:AA40" si="89">+V39-V36</f>
        <v>161.29199999999997</v>
      </c>
      <c r="W40" s="1831">
        <f t="shared" si="89"/>
        <v>199.47299999999996</v>
      </c>
      <c r="X40" s="1831">
        <f t="shared" ref="X40:Y40" si="90">+X39-X36</f>
        <v>191.36699999999996</v>
      </c>
      <c r="Y40" s="1831">
        <f t="shared" si="90"/>
        <v>167.30200000000002</v>
      </c>
      <c r="Z40" s="2137">
        <f t="shared" si="89"/>
        <v>174.774</v>
      </c>
      <c r="AA40" s="2137">
        <f t="shared" si="89"/>
        <v>156.52599999999995</v>
      </c>
      <c r="AB40" s="2137">
        <f t="shared" ref="AB40:AC40" si="91">+AB39-AB36</f>
        <v>162.89300000000003</v>
      </c>
      <c r="AC40" s="2137">
        <f t="shared" si="91"/>
        <v>162.89300000000003</v>
      </c>
      <c r="AD40" s="2137">
        <f t="shared" ref="AD40:AE40" si="92">+AD39-AD36</f>
        <v>162.89300000000003</v>
      </c>
      <c r="AE40" s="2137">
        <f t="shared" si="92"/>
        <v>162.89300000000003</v>
      </c>
      <c r="AF40" s="749"/>
    </row>
    <row r="41" spans="1:50" s="1044" customFormat="1">
      <c r="A41" s="1039"/>
      <c r="B41" s="723"/>
      <c r="C41" s="737"/>
      <c r="D41" s="1827"/>
      <c r="E41" s="1832" t="s">
        <v>1158</v>
      </c>
      <c r="F41" s="1827" t="s">
        <v>634</v>
      </c>
      <c r="G41" s="3797">
        <f t="shared" ref="G41:Z41" si="93">+G39/G11</f>
        <v>0.13761689569307387</v>
      </c>
      <c r="H41" s="3797">
        <f t="shared" si="93"/>
        <v>0.13552921389733666</v>
      </c>
      <c r="I41" s="3797">
        <f t="shared" si="93"/>
        <v>0.13084953517732126</v>
      </c>
      <c r="J41" s="3797">
        <f t="shared" si="93"/>
        <v>0.1219838120575371</v>
      </c>
      <c r="K41" s="3797">
        <f t="shared" si="93"/>
        <v>0.11388522457037736</v>
      </c>
      <c r="L41" s="3797">
        <f t="shared" si="93"/>
        <v>0.10603142320758092</v>
      </c>
      <c r="M41" s="3797">
        <f t="shared" si="93"/>
        <v>0.10400531384921953</v>
      </c>
      <c r="N41" s="3797">
        <f t="shared" si="93"/>
        <v>0.10790633850747577</v>
      </c>
      <c r="O41" s="3797">
        <f t="shared" si="93"/>
        <v>0.11735454466154918</v>
      </c>
      <c r="P41" s="3797">
        <f t="shared" si="93"/>
        <v>0.12412537133508415</v>
      </c>
      <c r="Q41" s="3797">
        <f t="shared" si="93"/>
        <v>0.12639010744484711</v>
      </c>
      <c r="R41" s="3797">
        <f t="shared" si="93"/>
        <v>0.12355050091361602</v>
      </c>
      <c r="S41" s="3797">
        <f t="shared" si="93"/>
        <v>0.1108365945045795</v>
      </c>
      <c r="T41" s="3797">
        <f t="shared" si="93"/>
        <v>0.10379839223668251</v>
      </c>
      <c r="U41" s="3797">
        <f t="shared" si="93"/>
        <v>0.11308610000815726</v>
      </c>
      <c r="V41" s="3797">
        <f t="shared" si="93"/>
        <v>0.11437397914944246</v>
      </c>
      <c r="W41" s="3797">
        <f t="shared" si="93"/>
        <v>0.11014713885473564</v>
      </c>
      <c r="X41" s="3797">
        <f t="shared" ref="X41:Y41" si="94">+X39/X11</f>
        <v>0.11199276520904947</v>
      </c>
      <c r="Y41" s="3797">
        <f t="shared" si="94"/>
        <v>0.11602732381500826</v>
      </c>
      <c r="Z41" s="3798">
        <f t="shared" si="93"/>
        <v>0.11811614534964138</v>
      </c>
      <c r="AA41" s="3798">
        <f>+AA39/AA11</f>
        <v>0.11344314371433613</v>
      </c>
      <c r="AB41" s="3798">
        <f>+AB39/AB11</f>
        <v>0.10787314160845984</v>
      </c>
      <c r="AC41" s="3798">
        <f>+AC39/AC11</f>
        <v>0.1002702230843841</v>
      </c>
      <c r="AD41" s="3798">
        <f>+AD39/AD11</f>
        <v>9.3856328107559728E-2</v>
      </c>
      <c r="AE41" s="3798">
        <f>+AE39/AE11</f>
        <v>8.9262443777389636E-2</v>
      </c>
      <c r="AF41" s="749"/>
    </row>
    <row r="42" spans="1:50" s="749" customFormat="1" ht="12.75" customHeight="1">
      <c r="A42" s="714"/>
      <c r="B42" s="714"/>
      <c r="C42" s="719" t="s">
        <v>624</v>
      </c>
      <c r="D42" s="800"/>
      <c r="E42" s="801" t="s">
        <v>1673</v>
      </c>
      <c r="F42" s="802" t="s">
        <v>1072</v>
      </c>
      <c r="G42" s="803">
        <f t="shared" ref="G42:Z42" si="95">+G11</f>
        <v>4337.2</v>
      </c>
      <c r="H42" s="803">
        <f t="shared" si="95"/>
        <v>4340.3999999999996</v>
      </c>
      <c r="I42" s="803">
        <f t="shared" si="95"/>
        <v>4356.5</v>
      </c>
      <c r="J42" s="803">
        <f t="shared" si="95"/>
        <v>4435.3999999999996</v>
      </c>
      <c r="K42" s="803">
        <f t="shared" si="95"/>
        <v>4457.3999999999996</v>
      </c>
      <c r="L42" s="803">
        <f t="shared" si="95"/>
        <v>4474.3999999999996</v>
      </c>
      <c r="M42" s="803">
        <f t="shared" si="95"/>
        <v>4516.5</v>
      </c>
      <c r="N42" s="803">
        <f t="shared" si="95"/>
        <v>4554.7000000000007</v>
      </c>
      <c r="O42" s="803">
        <f t="shared" si="95"/>
        <v>4585.6000000000004</v>
      </c>
      <c r="P42" s="803">
        <f t="shared" si="95"/>
        <v>4645.4000000000005</v>
      </c>
      <c r="Q42" s="803">
        <f t="shared" si="95"/>
        <v>4718.7</v>
      </c>
      <c r="R42" s="803">
        <f t="shared" si="95"/>
        <v>4761.3</v>
      </c>
      <c r="S42" s="803">
        <f t="shared" si="95"/>
        <v>4804</v>
      </c>
      <c r="T42" s="803">
        <f t="shared" si="95"/>
        <v>4863.8999999999996</v>
      </c>
      <c r="U42" s="803">
        <f t="shared" si="95"/>
        <v>4903.6000000000004</v>
      </c>
      <c r="V42" s="803">
        <f t="shared" si="95"/>
        <v>4959.0999999999995</v>
      </c>
      <c r="W42" s="803">
        <f t="shared" si="95"/>
        <v>4961.3</v>
      </c>
      <c r="X42" s="3724">
        <f t="shared" ref="X42:Y42" si="96">+X11</f>
        <v>5003.6000000000004</v>
      </c>
      <c r="Y42" s="3724">
        <f t="shared" si="96"/>
        <v>5035.8999999999996</v>
      </c>
      <c r="Z42" s="2122">
        <f t="shared" si="95"/>
        <v>5060.8999999999996</v>
      </c>
      <c r="AA42" s="2122">
        <f>+AA11</f>
        <v>5099.7</v>
      </c>
      <c r="AB42" s="2122">
        <f>+AB11</f>
        <v>5125.3999999999996</v>
      </c>
      <c r="AC42" s="2122">
        <f>+AC11</f>
        <v>5155</v>
      </c>
      <c r="AD42" s="2122">
        <f>+AD11</f>
        <v>5182.8370000000004</v>
      </c>
      <c r="AE42" s="2122">
        <f>+AE11</f>
        <v>5210.8243198000009</v>
      </c>
      <c r="AJ42" s="3362"/>
      <c r="AK42" s="3362"/>
      <c r="AL42" s="3362"/>
      <c r="AM42" s="3362"/>
      <c r="AN42" s="3362"/>
      <c r="AO42" s="3362"/>
      <c r="AP42" s="3386"/>
      <c r="AQ42" s="3386"/>
      <c r="AR42" s="3386"/>
    </row>
    <row r="43" spans="1:50">
      <c r="A43" s="1123"/>
      <c r="G43" s="755"/>
      <c r="H43" s="755"/>
      <c r="I43" s="755"/>
      <c r="J43" s="3725"/>
      <c r="K43" s="3725"/>
      <c r="L43" s="3725"/>
      <c r="M43" s="3725"/>
      <c r="N43" s="3725"/>
      <c r="O43" s="3725"/>
      <c r="P43" s="3725"/>
      <c r="Q43" s="3725"/>
      <c r="R43" s="3725"/>
      <c r="S43" s="3725"/>
      <c r="T43" s="3725"/>
      <c r="U43" s="3725"/>
      <c r="V43" s="3725"/>
      <c r="W43" s="3725"/>
      <c r="X43" s="3725"/>
      <c r="Y43" s="3725"/>
      <c r="Z43" s="3725"/>
      <c r="AA43" s="3725"/>
      <c r="AB43" s="3725"/>
      <c r="AC43" s="3725"/>
      <c r="AD43" s="3725"/>
      <c r="AE43" s="3725"/>
    </row>
    <row r="44" spans="1:50">
      <c r="A44" s="1123"/>
      <c r="G44" s="755"/>
      <c r="H44" s="3377"/>
      <c r="I44" s="3377"/>
      <c r="J44" s="3794"/>
      <c r="K44" s="3794"/>
      <c r="L44" s="3794"/>
      <c r="M44" s="3794"/>
      <c r="N44" s="3794"/>
      <c r="O44" s="3794"/>
      <c r="P44" s="3794"/>
      <c r="Q44" s="3794"/>
      <c r="R44" s="3794"/>
      <c r="S44" s="3794"/>
      <c r="T44" s="3794"/>
      <c r="U44" s="3794"/>
      <c r="V44" s="3794"/>
      <c r="W44" s="3794"/>
      <c r="X44" s="3794"/>
      <c r="Y44" s="3794"/>
      <c r="Z44" s="3794"/>
      <c r="AA44" s="3794"/>
      <c r="AB44" s="3794"/>
      <c r="AC44" s="3794">
        <f>+AC135</f>
        <v>157.89510000000001</v>
      </c>
      <c r="AD44" s="3794"/>
      <c r="AE44" s="3794"/>
      <c r="AG44" s="3380" t="s">
        <v>2570</v>
      </c>
    </row>
    <row r="45" spans="1:50" s="749" customFormat="1" ht="12.75" customHeight="1">
      <c r="A45" s="714"/>
      <c r="B45" s="714"/>
      <c r="C45" s="716"/>
      <c r="D45" s="777"/>
      <c r="E45" s="778" t="s">
        <v>1804</v>
      </c>
      <c r="F45" s="779"/>
      <c r="G45" s="780">
        <f>+InputY!$G$3</f>
        <v>1995</v>
      </c>
      <c r="H45" s="780">
        <f>+G45+1</f>
        <v>1996</v>
      </c>
      <c r="I45" s="780">
        <f t="shared" ref="I45:S45" si="97">+H45+1</f>
        <v>1997</v>
      </c>
      <c r="J45" s="780">
        <f t="shared" si="97"/>
        <v>1998</v>
      </c>
      <c r="K45" s="780">
        <f t="shared" si="97"/>
        <v>1999</v>
      </c>
      <c r="L45" s="780">
        <f t="shared" si="97"/>
        <v>2000</v>
      </c>
      <c r="M45" s="780">
        <f t="shared" si="97"/>
        <v>2001</v>
      </c>
      <c r="N45" s="780">
        <f t="shared" si="97"/>
        <v>2002</v>
      </c>
      <c r="O45" s="780">
        <f t="shared" si="97"/>
        <v>2003</v>
      </c>
      <c r="P45" s="780">
        <f>+O45+1</f>
        <v>2004</v>
      </c>
      <c r="Q45" s="780">
        <f>+P45+1</f>
        <v>2005</v>
      </c>
      <c r="R45" s="780">
        <f>+Q45+1</f>
        <v>2006</v>
      </c>
      <c r="S45" s="2140">
        <f t="shared" si="97"/>
        <v>2007</v>
      </c>
      <c r="T45" s="2140">
        <f t="shared" ref="T45:AE45" si="98">+S45+1</f>
        <v>2008</v>
      </c>
      <c r="U45" s="2140">
        <f t="shared" si="98"/>
        <v>2009</v>
      </c>
      <c r="V45" s="2140">
        <f t="shared" si="98"/>
        <v>2010</v>
      </c>
      <c r="W45" s="2140">
        <f t="shared" si="98"/>
        <v>2011</v>
      </c>
      <c r="X45" s="2140">
        <f t="shared" si="98"/>
        <v>2012</v>
      </c>
      <c r="Y45" s="2140">
        <f t="shared" si="98"/>
        <v>2013</v>
      </c>
      <c r="Z45" s="2140">
        <f t="shared" si="98"/>
        <v>2014</v>
      </c>
      <c r="AA45" s="2140">
        <f t="shared" si="98"/>
        <v>2015</v>
      </c>
      <c r="AB45" s="4000">
        <f t="shared" si="98"/>
        <v>2016</v>
      </c>
      <c r="AC45" s="4000">
        <f t="shared" si="98"/>
        <v>2017</v>
      </c>
      <c r="AD45" s="4000">
        <f t="shared" si="98"/>
        <v>2018</v>
      </c>
      <c r="AE45" s="4000">
        <f t="shared" si="98"/>
        <v>2019</v>
      </c>
      <c r="AG45" s="3381">
        <v>2012</v>
      </c>
      <c r="AH45" s="3381">
        <v>2013</v>
      </c>
      <c r="AI45" s="3381">
        <v>2014</v>
      </c>
      <c r="AJ45" s="3381">
        <v>2015</v>
      </c>
      <c r="AK45" s="3381">
        <v>2016</v>
      </c>
      <c r="AL45" s="3381">
        <v>2017</v>
      </c>
      <c r="AM45" s="3381">
        <v>2018</v>
      </c>
      <c r="AO45" s="3905">
        <v>42614</v>
      </c>
      <c r="AP45" s="3380">
        <v>2010</v>
      </c>
      <c r="AQ45" s="3380">
        <v>2011</v>
      </c>
      <c r="AR45" s="3380">
        <v>2012</v>
      </c>
      <c r="AS45" s="3380">
        <v>2013</v>
      </c>
      <c r="AT45" s="3380">
        <v>2014</v>
      </c>
      <c r="AU45" s="3380">
        <v>2015</v>
      </c>
      <c r="AV45" s="3380">
        <v>2016</v>
      </c>
      <c r="AW45" s="3380">
        <v>2017</v>
      </c>
      <c r="AX45" s="3380">
        <v>2018</v>
      </c>
    </row>
    <row r="46" spans="1:50">
      <c r="A46" s="1123"/>
      <c r="C46" s="810" t="s">
        <v>624</v>
      </c>
      <c r="D46" s="1031"/>
      <c r="E46" s="1032" t="s">
        <v>469</v>
      </c>
      <c r="F46" s="1033" t="s">
        <v>410</v>
      </c>
      <c r="G46" s="1596"/>
      <c r="H46" s="1122" t="e">
        <f t="shared" ref="H46:P47" si="99">(H28/G28-1)*100</f>
        <v>#VALUE!</v>
      </c>
      <c r="I46" s="1122">
        <f t="shared" si="99"/>
        <v>1.1954621233684515</v>
      </c>
      <c r="J46" s="1122">
        <f t="shared" si="99"/>
        <v>2.4671515248924969</v>
      </c>
      <c r="K46" s="1122">
        <f t="shared" si="99"/>
        <v>1.6744441394455301</v>
      </c>
      <c r="L46" s="1122">
        <f t="shared" si="99"/>
        <v>3.0777537796976118</v>
      </c>
      <c r="M46" s="1122">
        <f t="shared" si="99"/>
        <v>2.0728878245902971</v>
      </c>
      <c r="N46" s="1122">
        <f t="shared" si="99"/>
        <v>-0.5975073313783108</v>
      </c>
      <c r="O46" s="1122">
        <f t="shared" si="99"/>
        <v>-0.44621455175719582</v>
      </c>
      <c r="P46" s="1122">
        <f t="shared" si="99"/>
        <v>0.93717587790784762</v>
      </c>
      <c r="Q46" s="1122">
        <f t="shared" ref="Q46:Q52" si="100">(Q28/P28-1)*100</f>
        <v>1.5890491394179529</v>
      </c>
      <c r="R46" s="1122">
        <f t="shared" ref="R46:S52" si="101">(R28/Q28-1)*100</f>
        <v>1.2715844230908324</v>
      </c>
      <c r="S46" s="1122">
        <f t="shared" si="101"/>
        <v>2.0368124420346634</v>
      </c>
      <c r="T46" s="1122">
        <f t="shared" ref="T46:T52" si="102">(T28/S28-1)*100</f>
        <v>2.0381052263590327</v>
      </c>
      <c r="U46" s="1122">
        <f t="shared" ref="U46:AC51" si="103">(U28/T28-1)*100</f>
        <v>-1.0346717829244789</v>
      </c>
      <c r="V46" s="1122">
        <f t="shared" si="103"/>
        <v>0.5781347365505729</v>
      </c>
      <c r="W46" s="1122">
        <f t="shared" si="103"/>
        <v>1.707224727222667</v>
      </c>
      <c r="X46" s="1122">
        <f t="shared" si="103"/>
        <v>0.3959524857017227</v>
      </c>
      <c r="Y46" s="1122">
        <f t="shared" si="103"/>
        <v>-0.71125193824581601</v>
      </c>
      <c r="Z46" s="1122">
        <f t="shared" si="103"/>
        <v>0.33950093362755673</v>
      </c>
      <c r="AA46" s="1122">
        <f t="shared" si="103"/>
        <v>0.9034004398579043</v>
      </c>
      <c r="AB46" s="1122">
        <f t="shared" si="103"/>
        <v>1.3815304137884787</v>
      </c>
      <c r="AC46" s="1122">
        <f t="shared" si="103"/>
        <v>1.7397631805252445</v>
      </c>
      <c r="AD46" s="3739">
        <v>1.56</v>
      </c>
      <c r="AE46" s="3739">
        <v>1.27</v>
      </c>
      <c r="AG46" s="3363">
        <f t="shared" ref="AG46:AM47" si="104">(AR46/AQ46-1)*100</f>
        <v>0.3959524857017005</v>
      </c>
      <c r="AH46" s="3363">
        <f t="shared" si="104"/>
        <v>-0.7112519382458049</v>
      </c>
      <c r="AI46" s="3363">
        <f t="shared" si="104"/>
        <v>0.34289594296383896</v>
      </c>
      <c r="AJ46" s="3363">
        <f t="shared" si="104"/>
        <v>1.0082555149546701</v>
      </c>
      <c r="AK46" s="3363">
        <f t="shared" si="104"/>
        <v>1.4336437328331231</v>
      </c>
      <c r="AL46" s="3363">
        <f t="shared" si="104"/>
        <v>1.5025427646786937</v>
      </c>
      <c r="AM46" s="3363">
        <f t="shared" si="104"/>
        <v>1.3924586003839057</v>
      </c>
      <c r="AO46" s="3757" t="s">
        <v>2546</v>
      </c>
      <c r="AP46" s="3890">
        <v>2905.3</v>
      </c>
      <c r="AQ46" s="3890">
        <v>2954.9</v>
      </c>
      <c r="AR46" s="3891">
        <v>2966.6</v>
      </c>
      <c r="AS46" s="3891">
        <v>2945.5</v>
      </c>
      <c r="AT46" s="3891">
        <v>2955.6</v>
      </c>
      <c r="AU46" s="3891">
        <v>2985.4</v>
      </c>
      <c r="AV46" s="3362">
        <v>3028.2</v>
      </c>
      <c r="AW46" s="3362">
        <v>3073.7</v>
      </c>
      <c r="AX46" s="3362">
        <v>3116.5</v>
      </c>
    </row>
    <row r="47" spans="1:50">
      <c r="A47" s="1123"/>
      <c r="C47" s="975" t="s">
        <v>622</v>
      </c>
      <c r="D47" s="724"/>
      <c r="E47" s="221" t="s">
        <v>1402</v>
      </c>
      <c r="F47" s="754" t="s">
        <v>1403</v>
      </c>
      <c r="G47" s="1462"/>
      <c r="H47" s="1085" t="e">
        <f t="shared" si="99"/>
        <v>#VALUE!</v>
      </c>
      <c r="I47" s="1085">
        <f t="shared" si="99"/>
        <v>-0.60190369540872313</v>
      </c>
      <c r="J47" s="1085">
        <f t="shared" si="99"/>
        <v>1.1125193634699215</v>
      </c>
      <c r="K47" s="1085">
        <f t="shared" si="99"/>
        <v>1.6713091922005541</v>
      </c>
      <c r="L47" s="1085">
        <f t="shared" si="99"/>
        <v>0.6164383561643838</v>
      </c>
      <c r="M47" s="1085">
        <f t="shared" si="99"/>
        <v>0.93941456773314336</v>
      </c>
      <c r="N47" s="1085">
        <f t="shared" si="99"/>
        <v>2.0366873482600578</v>
      </c>
      <c r="O47" s="1085">
        <f t="shared" si="99"/>
        <v>1.189689358889634</v>
      </c>
      <c r="P47" s="1085">
        <f t="shared" si="99"/>
        <v>1.6459830176355439</v>
      </c>
      <c r="Q47" s="1085">
        <f t="shared" si="100"/>
        <v>1.8378100501220906</v>
      </c>
      <c r="R47" s="1085">
        <f t="shared" si="101"/>
        <v>1.009591115598174</v>
      </c>
      <c r="S47" s="1085">
        <f t="shared" si="101"/>
        <v>0.92453773113443383</v>
      </c>
      <c r="T47" s="1085">
        <f t="shared" si="102"/>
        <v>1.3245852933894575</v>
      </c>
      <c r="U47" s="1085">
        <f t="shared" si="103"/>
        <v>2.0525351252290713</v>
      </c>
      <c r="V47" s="1085">
        <f t="shared" si="103"/>
        <v>0.77816353405961713</v>
      </c>
      <c r="W47" s="1085">
        <f t="shared" si="103"/>
        <v>0.43953433119505725</v>
      </c>
      <c r="X47" s="1085">
        <f t="shared" si="103"/>
        <v>2.3654642223536193E-2</v>
      </c>
      <c r="Y47" s="3753">
        <f t="shared" si="103"/>
        <v>3.5473572188715607E-2</v>
      </c>
      <c r="Z47" s="3753">
        <f t="shared" si="103"/>
        <v>0.43735224586289867</v>
      </c>
      <c r="AA47" s="3753">
        <f t="shared" si="103"/>
        <v>0.40014122631517601</v>
      </c>
      <c r="AB47" s="1085">
        <f t="shared" si="103"/>
        <v>0.38682452233032016</v>
      </c>
      <c r="AC47" s="3753">
        <f t="shared" si="103"/>
        <v>0.24521251751519202</v>
      </c>
      <c r="AD47" s="4061">
        <v>0.05</v>
      </c>
      <c r="AE47" s="3750">
        <v>0</v>
      </c>
      <c r="AF47" s="3759" t="s">
        <v>2731</v>
      </c>
      <c r="AG47" s="3363">
        <f t="shared" si="104"/>
        <v>2.3654642223536193E-2</v>
      </c>
      <c r="AH47" s="3363">
        <f t="shared" si="104"/>
        <v>3.5473572188715607E-2</v>
      </c>
      <c r="AI47" s="3363">
        <f t="shared" si="104"/>
        <v>0.21276595744679216</v>
      </c>
      <c r="AJ47" s="3363">
        <f t="shared" si="104"/>
        <v>0.11795234725171522</v>
      </c>
      <c r="AK47" s="3363">
        <f t="shared" si="104"/>
        <v>0.2827521206409056</v>
      </c>
      <c r="AL47" s="3363">
        <f t="shared" si="104"/>
        <v>3.5244360902253469E-2</v>
      </c>
      <c r="AM47" s="3363">
        <f t="shared" si="104"/>
        <v>-0.35231943628890594</v>
      </c>
      <c r="AO47" s="3757" t="s">
        <v>2547</v>
      </c>
      <c r="AP47" s="3890">
        <v>841.8</v>
      </c>
      <c r="AQ47" s="3890">
        <v>845.5</v>
      </c>
      <c r="AR47" s="3891">
        <v>845.7</v>
      </c>
      <c r="AS47" s="3891">
        <v>846</v>
      </c>
      <c r="AT47" s="3891">
        <v>847.8</v>
      </c>
      <c r="AU47" s="3891">
        <v>848.8</v>
      </c>
      <c r="AV47" s="3362">
        <v>851.2</v>
      </c>
      <c r="AW47" s="3362">
        <v>851.5</v>
      </c>
      <c r="AX47" s="3362">
        <v>848.5</v>
      </c>
    </row>
    <row r="48" spans="1:50" s="749" customFormat="1" ht="12.75" customHeight="1">
      <c r="A48" s="714"/>
      <c r="B48" s="714"/>
      <c r="C48" s="984" t="s">
        <v>624</v>
      </c>
      <c r="D48" s="766"/>
      <c r="E48" s="767" t="s">
        <v>1073</v>
      </c>
      <c r="F48" s="772" t="s">
        <v>936</v>
      </c>
      <c r="G48" s="769"/>
      <c r="H48" s="770">
        <f>(H30/G30-1)*100</f>
        <v>0.12935386168602125</v>
      </c>
      <c r="I48" s="770">
        <f t="shared" ref="I48:P48" si="105">(I30/H30-1)*100</f>
        <v>0.7908750039386403</v>
      </c>
      <c r="J48" s="770">
        <f t="shared" si="105"/>
        <v>2.1664374140302423</v>
      </c>
      <c r="K48" s="770">
        <f t="shared" si="105"/>
        <v>1.6737553930418425</v>
      </c>
      <c r="L48" s="770">
        <f t="shared" si="105"/>
        <v>2.5370169736366854</v>
      </c>
      <c r="M48" s="770">
        <f t="shared" si="105"/>
        <v>1.8285345308326706</v>
      </c>
      <c r="N48" s="770">
        <f t="shared" si="105"/>
        <v>-3.4588113218436689E-2</v>
      </c>
      <c r="O48" s="770">
        <f t="shared" si="105"/>
        <v>-8.9383541894927365E-2</v>
      </c>
      <c r="P48" s="770">
        <f t="shared" si="105"/>
        <v>1.0937635277481261</v>
      </c>
      <c r="Q48" s="770">
        <f t="shared" si="100"/>
        <v>1.644304881530112</v>
      </c>
      <c r="R48" s="770">
        <f t="shared" si="101"/>
        <v>1.2132786608998636</v>
      </c>
      <c r="S48" s="770">
        <f t="shared" si="101"/>
        <v>1.7897774571285829</v>
      </c>
      <c r="T48" s="770">
        <f t="shared" si="102"/>
        <v>1.8809802905978223</v>
      </c>
      <c r="U48" s="770">
        <f t="shared" si="103"/>
        <v>-0.35854761458807838</v>
      </c>
      <c r="V48" s="770">
        <f t="shared" si="103"/>
        <v>0.62300276591744641</v>
      </c>
      <c r="W48" s="770">
        <f t="shared" si="103"/>
        <v>1.4224333484561535</v>
      </c>
      <c r="X48" s="770">
        <f t="shared" si="103"/>
        <v>0.31312493421744581</v>
      </c>
      <c r="Y48" s="770">
        <f t="shared" si="103"/>
        <v>-0.54560239225664997</v>
      </c>
      <c r="Z48" s="770">
        <f t="shared" si="103"/>
        <v>0.36133456415665677</v>
      </c>
      <c r="AA48" s="770">
        <f t="shared" si="103"/>
        <v>0.79102281089036275</v>
      </c>
      <c r="AB48" s="770">
        <f t="shared" si="103"/>
        <v>1.1602742940578281</v>
      </c>
      <c r="AC48" s="2223">
        <f>(AC30/AB30-1)*100</f>
        <v>1.409866487963285</v>
      </c>
      <c r="AD48" s="2223">
        <f>(AD30/AC30-1)*100</f>
        <v>1.2305210318973137</v>
      </c>
      <c r="AE48" s="2223">
        <f>(AE30/AD30-1)*100</f>
        <v>0.99612014351748712</v>
      </c>
      <c r="AG48" s="3795"/>
      <c r="AH48" s="2935"/>
      <c r="AI48" s="2935"/>
      <c r="AJ48" s="927"/>
      <c r="AK48" s="927"/>
      <c r="AO48" s="559"/>
      <c r="AP48" s="3892"/>
      <c r="AQ48" s="3892"/>
      <c r="AR48" s="3892"/>
      <c r="AS48" s="3892"/>
      <c r="AT48" s="3892"/>
      <c r="AU48" s="3892"/>
      <c r="AV48" s="2976"/>
      <c r="AW48" s="2976"/>
      <c r="AX48" s="2976"/>
    </row>
    <row r="49" spans="1:50" s="749" customFormat="1" ht="12.75" customHeight="1">
      <c r="A49" s="714"/>
      <c r="B49" s="714"/>
      <c r="C49" s="742" t="s">
        <v>622</v>
      </c>
      <c r="D49" s="724"/>
      <c r="E49" s="221" t="s">
        <v>819</v>
      </c>
      <c r="F49" s="759" t="s">
        <v>1074</v>
      </c>
      <c r="G49" s="755"/>
      <c r="H49" s="756">
        <f>(H31/G31-1)*100</f>
        <v>0.8735500501217075</v>
      </c>
      <c r="I49" s="756">
        <f t="shared" ref="I49:P49" si="106">(I31/H31-1)*100</f>
        <v>0.18455423055079301</v>
      </c>
      <c r="J49" s="756">
        <f t="shared" si="106"/>
        <v>-0.11336261867644915</v>
      </c>
      <c r="K49" s="756">
        <f t="shared" si="106"/>
        <v>1.4186409419769674E-2</v>
      </c>
      <c r="L49" s="756">
        <f t="shared" si="106"/>
        <v>-0.453900709219901</v>
      </c>
      <c r="M49" s="756">
        <f t="shared" si="106"/>
        <v>-0.8549444286121366</v>
      </c>
      <c r="N49" s="756">
        <f t="shared" si="106"/>
        <v>-0.96292037941928532</v>
      </c>
      <c r="O49" s="756">
        <f t="shared" si="106"/>
        <v>-4.3535045711895481E-2</v>
      </c>
      <c r="P49" s="756">
        <f t="shared" si="106"/>
        <v>0.4210220673635412</v>
      </c>
      <c r="Q49" s="756">
        <f t="shared" si="100"/>
        <v>0.41925690328177279</v>
      </c>
      <c r="R49" s="756">
        <f t="shared" si="101"/>
        <v>0.64785488050669304</v>
      </c>
      <c r="S49" s="756">
        <f t="shared" si="101"/>
        <v>0.92976684308396784</v>
      </c>
      <c r="T49" s="756">
        <f t="shared" si="102"/>
        <v>1.4172335600907138</v>
      </c>
      <c r="U49" s="756">
        <f t="shared" si="103"/>
        <v>0.83845723868090083</v>
      </c>
      <c r="V49" s="756">
        <f t="shared" si="103"/>
        <v>0.73447893569846823</v>
      </c>
      <c r="W49" s="756">
        <f t="shared" si="103"/>
        <v>1.1005640390700178</v>
      </c>
      <c r="X49" s="756">
        <f t="shared" si="103"/>
        <v>1.0613688937270105</v>
      </c>
      <c r="Y49" s="756">
        <f t="shared" si="103"/>
        <v>0.79439881513403421</v>
      </c>
      <c r="Z49" s="756">
        <f t="shared" si="103"/>
        <v>0.81485439487034572</v>
      </c>
      <c r="AA49" s="756">
        <f t="shared" si="103"/>
        <v>1.3780310056975775</v>
      </c>
      <c r="AB49" s="756">
        <f t="shared" si="103"/>
        <v>1.7252646712848874</v>
      </c>
      <c r="AC49" s="756">
        <f t="shared" si="103"/>
        <v>1.4004882436078114</v>
      </c>
      <c r="AD49" s="3739">
        <v>1.3</v>
      </c>
      <c r="AE49" s="3739">
        <v>1.3</v>
      </c>
      <c r="AG49" s="3363">
        <f t="shared" ref="AG49:AM51" si="107">(AR49/AQ49-1)*100</f>
        <v>1.0477616002177337</v>
      </c>
      <c r="AH49" s="3363">
        <f t="shared" si="107"/>
        <v>0.80797199030433475</v>
      </c>
      <c r="AI49" s="3363">
        <f t="shared" si="107"/>
        <v>0.93507881378573909</v>
      </c>
      <c r="AJ49" s="3363">
        <f t="shared" si="107"/>
        <v>1.4955002646902971</v>
      </c>
      <c r="AK49" s="3363">
        <f t="shared" si="107"/>
        <v>1.838570869735312</v>
      </c>
      <c r="AL49" s="3363">
        <f t="shared" si="107"/>
        <v>1.2804097311139628</v>
      </c>
      <c r="AM49" s="3363">
        <f t="shared" si="107"/>
        <v>1.0745891276864761</v>
      </c>
      <c r="AO49" s="559" t="s">
        <v>2549</v>
      </c>
      <c r="AP49" s="3892">
        <v>726.8</v>
      </c>
      <c r="AQ49" s="3892">
        <v>734.9</v>
      </c>
      <c r="AR49" s="3893">
        <v>742.6</v>
      </c>
      <c r="AS49" s="3893">
        <v>748.6</v>
      </c>
      <c r="AT49" s="3893">
        <v>755.6</v>
      </c>
      <c r="AU49" s="3893">
        <v>766.9</v>
      </c>
      <c r="AV49" s="2976">
        <v>781</v>
      </c>
      <c r="AW49" s="2976">
        <v>791</v>
      </c>
      <c r="AX49" s="2976">
        <v>799.5</v>
      </c>
    </row>
    <row r="50" spans="1:50">
      <c r="A50" s="1123"/>
      <c r="C50" s="743" t="s">
        <v>624</v>
      </c>
      <c r="D50" s="766"/>
      <c r="E50" s="767" t="s">
        <v>1612</v>
      </c>
      <c r="F50" s="768" t="s">
        <v>932</v>
      </c>
      <c r="G50" s="769"/>
      <c r="H50" s="770">
        <f t="shared" ref="H50:AE52" si="108">(H32/G32-1)*100</f>
        <v>0.26370898937406739</v>
      </c>
      <c r="I50" s="770">
        <f t="shared" si="108"/>
        <v>0.68074572599985395</v>
      </c>
      <c r="J50" s="770">
        <f t="shared" si="108"/>
        <v>1.7543859649122862</v>
      </c>
      <c r="K50" s="770">
        <f t="shared" si="108"/>
        <v>1.379310344827589</v>
      </c>
      <c r="L50" s="770">
        <f t="shared" si="108"/>
        <v>2.0135061323799386</v>
      </c>
      <c r="M50" s="770">
        <f t="shared" si="108"/>
        <v>1.3701964029302349</v>
      </c>
      <c r="N50" s="770">
        <f t="shared" si="108"/>
        <v>-0.18966676270045779</v>
      </c>
      <c r="O50" s="770">
        <f t="shared" si="108"/>
        <v>-8.1783850095029642E-2</v>
      </c>
      <c r="P50" s="770">
        <f t="shared" si="108"/>
        <v>0.98220948987699508</v>
      </c>
      <c r="Q50" s="770">
        <f t="shared" si="100"/>
        <v>1.4422962309581067</v>
      </c>
      <c r="R50" s="770">
        <f>(R32/Q32-1)*100</f>
        <v>1.1209813874788477</v>
      </c>
      <c r="S50" s="770">
        <f t="shared" si="101"/>
        <v>1.6500499663018031</v>
      </c>
      <c r="T50" s="770">
        <f t="shared" si="102"/>
        <v>1.8061684080568741</v>
      </c>
      <c r="U50" s="770">
        <f t="shared" si="103"/>
        <v>-0.16618383525341951</v>
      </c>
      <c r="V50" s="770">
        <f t="shared" si="103"/>
        <v>0.64109773928691105</v>
      </c>
      <c r="W50" s="770">
        <f t="shared" si="103"/>
        <v>1.3701385784532949</v>
      </c>
      <c r="X50" s="770">
        <f t="shared" si="103"/>
        <v>0.43437038343658863</v>
      </c>
      <c r="Y50" s="770">
        <f t="shared" si="103"/>
        <v>-0.32711306256859585</v>
      </c>
      <c r="Z50" s="770">
        <f t="shared" si="103"/>
        <v>0.43611374198804231</v>
      </c>
      <c r="AA50" s="770">
        <f t="shared" si="103"/>
        <v>0.88817737231079441</v>
      </c>
      <c r="AB50" s="770">
        <f t="shared" si="103"/>
        <v>1.2542387618468043</v>
      </c>
      <c r="AC50" s="2223">
        <f>(AC32/AB32-1)*100</f>
        <v>1.4082995212640226</v>
      </c>
      <c r="AD50" s="2223">
        <f>(AD32/AC32-1)*100</f>
        <v>1.2421290513792149</v>
      </c>
      <c r="AE50" s="2223">
        <f>(AE32/AD32-1)*100</f>
        <v>1.0469191077248086</v>
      </c>
      <c r="AG50" s="3363">
        <f t="shared" si="107"/>
        <v>0.43658493561475886</v>
      </c>
      <c r="AH50" s="3363">
        <f t="shared" si="107"/>
        <v>-0.3293084522502765</v>
      </c>
      <c r="AI50" s="3363">
        <f t="shared" si="107"/>
        <v>0.42070484581497869</v>
      </c>
      <c r="AJ50" s="3363">
        <f t="shared" si="107"/>
        <v>0.92123445416858463</v>
      </c>
      <c r="AK50" s="3363">
        <f t="shared" si="107"/>
        <v>1.2888222381604253</v>
      </c>
      <c r="AL50" s="3363">
        <f t="shared" si="107"/>
        <v>1.1973221182731031</v>
      </c>
      <c r="AM50" s="3363">
        <f t="shared" si="107"/>
        <v>1.0241295958610674</v>
      </c>
      <c r="AO50" s="3757" t="s">
        <v>2545</v>
      </c>
      <c r="AP50" s="3891">
        <v>4474</v>
      </c>
      <c r="AQ50" s="3891">
        <v>4535.2</v>
      </c>
      <c r="AR50" s="3891">
        <v>4555</v>
      </c>
      <c r="AS50" s="3891">
        <v>4540</v>
      </c>
      <c r="AT50" s="3891">
        <v>4559.1000000000004</v>
      </c>
      <c r="AU50" s="3891">
        <v>4601.1000000000004</v>
      </c>
      <c r="AV50" s="3891">
        <v>4660.3999999999996</v>
      </c>
      <c r="AW50" s="3891">
        <v>4716.2</v>
      </c>
      <c r="AX50" s="3362">
        <v>4764.5</v>
      </c>
    </row>
    <row r="51" spans="1:50">
      <c r="A51" s="1123"/>
      <c r="C51" s="743" t="s">
        <v>622</v>
      </c>
      <c r="D51" s="724"/>
      <c r="E51" s="221" t="s">
        <v>1076</v>
      </c>
      <c r="F51" s="754" t="s">
        <v>422</v>
      </c>
      <c r="G51" s="755"/>
      <c r="H51" s="756">
        <f t="shared" si="108"/>
        <v>-1.5974440894568676</v>
      </c>
      <c r="I51" s="756">
        <f t="shared" si="108"/>
        <v>0.48701298701328</v>
      </c>
      <c r="J51" s="756">
        <f t="shared" si="108"/>
        <v>1.2924071082386579</v>
      </c>
      <c r="K51" s="756">
        <f t="shared" si="108"/>
        <v>-0.1594896331737039</v>
      </c>
      <c r="L51" s="756">
        <f t="shared" si="108"/>
        <v>1.5974440894575892</v>
      </c>
      <c r="M51" s="756">
        <f t="shared" si="108"/>
        <v>3.3018867924519579</v>
      </c>
      <c r="N51" s="756">
        <f t="shared" si="108"/>
        <v>1.6742770167433196</v>
      </c>
      <c r="O51" s="756">
        <f t="shared" si="108"/>
        <v>3.8922155688628113</v>
      </c>
      <c r="P51" s="756">
        <f t="shared" si="108"/>
        <v>3.1700288184435266</v>
      </c>
      <c r="Q51" s="756">
        <f t="shared" si="100"/>
        <v>2.0949720670391025</v>
      </c>
      <c r="R51" s="756">
        <f t="shared" si="101"/>
        <v>2.8727770177843448</v>
      </c>
      <c r="S51" s="756">
        <f>(S33/R33-1)*100</f>
        <v>2.5265957446803489</v>
      </c>
      <c r="T51" s="756">
        <f t="shared" si="102"/>
        <v>0.64850843060959562</v>
      </c>
      <c r="U51" s="756">
        <f t="shared" si="103"/>
        <v>1.1597938144325193</v>
      </c>
      <c r="V51" s="756">
        <f t="shared" si="103"/>
        <v>0.89171974522270769</v>
      </c>
      <c r="W51" s="756">
        <f t="shared" si="103"/>
        <v>-0.25252525252502656</v>
      </c>
      <c r="X51" s="756">
        <f t="shared" si="103"/>
        <v>0.75949367088654629</v>
      </c>
      <c r="Y51" s="756">
        <f t="shared" si="103"/>
        <v>-1.0050251256295106</v>
      </c>
      <c r="Z51" s="756">
        <f t="shared" si="103"/>
        <v>-1.0152284263950206</v>
      </c>
      <c r="AA51" s="756">
        <f t="shared" si="103"/>
        <v>-0.8974358974356611</v>
      </c>
      <c r="AB51" s="756">
        <f t="shared" si="103"/>
        <v>-1.1768364061026659E-12</v>
      </c>
      <c r="AC51" s="756">
        <f t="shared" si="103"/>
        <v>1.1768364061026659E-12</v>
      </c>
      <c r="AD51" s="3739">
        <v>-0.5</v>
      </c>
      <c r="AE51" s="3739">
        <v>-1</v>
      </c>
      <c r="AF51" s="3427"/>
      <c r="AG51" s="3363">
        <f t="shared" si="107"/>
        <v>0.63291139240506666</v>
      </c>
      <c r="AH51" s="3363">
        <f t="shared" si="107"/>
        <v>-1.0062893081761004</v>
      </c>
      <c r="AI51" s="3363">
        <f t="shared" si="107"/>
        <v>-0.88945362134689177</v>
      </c>
      <c r="AJ51" s="3363">
        <f t="shared" si="107"/>
        <v>-0.7692307692307665</v>
      </c>
      <c r="AK51" s="3363">
        <f t="shared" si="107"/>
        <v>-0.12919896640828377</v>
      </c>
      <c r="AL51" s="3363">
        <f t="shared" si="107"/>
        <v>0</v>
      </c>
      <c r="AM51" s="3363">
        <f t="shared" si="107"/>
        <v>0</v>
      </c>
      <c r="AO51" s="646" t="s">
        <v>2548</v>
      </c>
      <c r="AP51" s="3890">
        <v>79.2</v>
      </c>
      <c r="AQ51" s="3890">
        <v>79</v>
      </c>
      <c r="AR51" s="3894">
        <v>79.5</v>
      </c>
      <c r="AS51" s="3894">
        <v>78.7</v>
      </c>
      <c r="AT51" s="3894">
        <v>78</v>
      </c>
      <c r="AU51" s="3890">
        <v>77.400000000000006</v>
      </c>
      <c r="AV51" s="3362">
        <v>77.3</v>
      </c>
      <c r="AW51" s="3362">
        <v>77.3</v>
      </c>
      <c r="AX51" s="3362">
        <v>77.3</v>
      </c>
    </row>
    <row r="52" spans="1:50" s="749" customFormat="1" ht="12.75" customHeight="1">
      <c r="A52" s="714"/>
      <c r="B52" s="714"/>
      <c r="C52" s="742" t="s">
        <v>624</v>
      </c>
      <c r="D52" s="766"/>
      <c r="E52" s="771" t="s">
        <v>1613</v>
      </c>
      <c r="F52" s="772" t="s">
        <v>327</v>
      </c>
      <c r="G52" s="770"/>
      <c r="H52" s="770">
        <f t="shared" si="108"/>
        <v>0.23406691260652313</v>
      </c>
      <c r="I52" s="770">
        <f t="shared" si="108"/>
        <v>0.67771657740438584</v>
      </c>
      <c r="J52" s="770">
        <f t="shared" si="108"/>
        <v>1.7471762807583557</v>
      </c>
      <c r="K52" s="770">
        <f t="shared" si="108"/>
        <v>1.3554030279753215</v>
      </c>
      <c r="L52" s="770">
        <f t="shared" si="108"/>
        <v>2.0071386661451251</v>
      </c>
      <c r="M52" s="770">
        <f t="shared" si="108"/>
        <v>1.399640503295374</v>
      </c>
      <c r="N52" s="770">
        <f t="shared" si="108"/>
        <v>-0.1607223049469253</v>
      </c>
      <c r="O52" s="770">
        <f t="shared" si="108"/>
        <v>-1.8938945574209498E-2</v>
      </c>
      <c r="P52" s="770">
        <f t="shared" si="108"/>
        <v>1.0181611536002722</v>
      </c>
      <c r="Q52" s="770">
        <f t="shared" si="100"/>
        <v>1.4532498886623113</v>
      </c>
      <c r="R52" s="770">
        <f t="shared" si="101"/>
        <v>1.1505671972829923</v>
      </c>
      <c r="S52" s="770">
        <f t="shared" si="101"/>
        <v>1.6651058678422093</v>
      </c>
      <c r="T52" s="770">
        <f t="shared" si="102"/>
        <v>1.7861154796674938</v>
      </c>
      <c r="U52" s="770">
        <f t="shared" ref="U52:AC52" si="109">(U34/T34-1)*100</f>
        <v>-0.14347202295552641</v>
      </c>
      <c r="V52" s="770">
        <f t="shared" si="109"/>
        <v>0.64544650751547916</v>
      </c>
      <c r="W52" s="770">
        <f t="shared" si="109"/>
        <v>1.3419133796011673</v>
      </c>
      <c r="X52" s="770">
        <f t="shared" si="109"/>
        <v>0.43993671846218607</v>
      </c>
      <c r="Y52" s="770">
        <f t="shared" si="109"/>
        <v>-0.3387563112242864</v>
      </c>
      <c r="Z52" s="770">
        <f t="shared" si="109"/>
        <v>0.41135335252981964</v>
      </c>
      <c r="AA52" s="770">
        <f t="shared" si="109"/>
        <v>0.85814700618815909</v>
      </c>
      <c r="AB52" s="770">
        <f t="shared" si="109"/>
        <v>1.2335121961647877</v>
      </c>
      <c r="AC52" s="770">
        <f t="shared" si="109"/>
        <v>1.385310639016768</v>
      </c>
      <c r="AD52" s="2223">
        <f t="shared" si="108"/>
        <v>1.2140793584669796</v>
      </c>
      <c r="AE52" s="2223">
        <f t="shared" si="108"/>
        <v>1.0145201812952642</v>
      </c>
    </row>
    <row r="53" spans="1:50">
      <c r="A53" s="1123"/>
      <c r="C53" s="923" t="s">
        <v>622</v>
      </c>
      <c r="D53" s="741"/>
      <c r="E53" s="784" t="s">
        <v>633</v>
      </c>
      <c r="F53" s="812" t="s">
        <v>196</v>
      </c>
      <c r="G53" s="813"/>
      <c r="H53" s="789">
        <f>(H36/G36-1)*100</f>
        <v>-1.4752889107450207</v>
      </c>
      <c r="I53" s="789">
        <f>(I36/H36-1)*100</f>
        <v>-2.645370601447472</v>
      </c>
      <c r="J53" s="789">
        <f t="shared" ref="J53:AE53" si="110">(J36/I36-1)*100</f>
        <v>2.4609074596257496</v>
      </c>
      <c r="K53" s="789">
        <f t="shared" si="110"/>
        <v>-8.1811358518889321</v>
      </c>
      <c r="L53" s="789">
        <f t="shared" si="110"/>
        <v>-17.738419618528599</v>
      </c>
      <c r="M53" s="789">
        <f t="shared" si="110"/>
        <v>-5.3991387876780372</v>
      </c>
      <c r="N53" s="789">
        <f t="shared" si="110"/>
        <v>15.756302521008392</v>
      </c>
      <c r="O53" s="789">
        <f t="shared" si="110"/>
        <v>9.5886267392619509</v>
      </c>
      <c r="P53" s="789">
        <f t="shared" si="110"/>
        <v>4.6370411261385636</v>
      </c>
      <c r="Q53" s="789">
        <f t="shared" ref="Q53:AC53" si="111">(Q36/P36-1)*100</f>
        <v>2.9807438670535591</v>
      </c>
      <c r="R53" s="789">
        <f t="shared" si="111"/>
        <v>-1.8442622950819665</v>
      </c>
      <c r="S53" s="789">
        <f t="shared" si="111"/>
        <v>-7.8810020876826865</v>
      </c>
      <c r="T53" s="789">
        <f t="shared" si="111"/>
        <v>-5.5524079320113273</v>
      </c>
      <c r="U53" s="789">
        <f t="shared" si="111"/>
        <v>13.857228554289147</v>
      </c>
      <c r="V53" s="789">
        <f t="shared" si="111"/>
        <v>6.9283456269757737</v>
      </c>
      <c r="W53" s="789">
        <f t="shared" si="111"/>
        <v>-14.510963291451107</v>
      </c>
      <c r="X53" s="789">
        <f t="shared" si="111"/>
        <v>6.3400576368876083</v>
      </c>
      <c r="Y53" s="789">
        <f t="shared" si="111"/>
        <v>13.008130081300816</v>
      </c>
      <c r="Z53" s="789">
        <f t="shared" si="111"/>
        <v>1.4388489208633004</v>
      </c>
      <c r="AA53" s="789">
        <f t="shared" si="111"/>
        <v>-0.23640661938534313</v>
      </c>
      <c r="AB53" s="789">
        <f t="shared" si="111"/>
        <v>-7.5829383886255926</v>
      </c>
      <c r="AC53" s="789">
        <f t="shared" si="111"/>
        <v>-9.2307692307692317</v>
      </c>
      <c r="AD53" s="3742">
        <f t="shared" si="110"/>
        <v>-8.6019632768360115</v>
      </c>
      <c r="AE53" s="3742">
        <f t="shared" si="110"/>
        <v>-6.5866789347699743</v>
      </c>
    </row>
    <row r="54" spans="1:50" s="749" customFormat="1" ht="12.75" customHeight="1">
      <c r="A54" s="714"/>
      <c r="B54" s="714"/>
      <c r="C54" s="716" t="s">
        <v>624</v>
      </c>
      <c r="D54" s="766"/>
      <c r="E54" s="771" t="s">
        <v>1673</v>
      </c>
      <c r="F54" s="772" t="s">
        <v>1072</v>
      </c>
      <c r="G54" s="770"/>
      <c r="H54" s="770">
        <f>(H42/G42-1)*100</f>
        <v>7.378031909988092E-2</v>
      </c>
      <c r="I54" s="770">
        <f t="shared" ref="I54:AE54" si="112">(I42/H42-1)*100</f>
        <v>0.37093355451112142</v>
      </c>
      <c r="J54" s="770">
        <f t="shared" si="112"/>
        <v>1.8110868816710646</v>
      </c>
      <c r="K54" s="770">
        <f t="shared" si="112"/>
        <v>0.49600937908644838</v>
      </c>
      <c r="L54" s="770">
        <f t="shared" si="112"/>
        <v>0.38138825324181003</v>
      </c>
      <c r="M54" s="770">
        <f t="shared" si="112"/>
        <v>0.94090827820489942</v>
      </c>
      <c r="N54" s="770">
        <f t="shared" si="112"/>
        <v>0.84578766744161094</v>
      </c>
      <c r="O54" s="770">
        <f t="shared" si="112"/>
        <v>0.67842009352974131</v>
      </c>
      <c r="P54" s="770">
        <f t="shared" si="112"/>
        <v>1.3040823447313388</v>
      </c>
      <c r="Q54" s="770">
        <f t="shared" ref="Q54:Y54" si="113">(Q42/P42-1)*100</f>
        <v>1.5779050243251325</v>
      </c>
      <c r="R54" s="770">
        <f t="shared" si="113"/>
        <v>0.9027910229512548</v>
      </c>
      <c r="S54" s="770">
        <f t="shared" si="113"/>
        <v>0.89681389536471201</v>
      </c>
      <c r="T54" s="770">
        <f t="shared" si="113"/>
        <v>1.2468776019983308</v>
      </c>
      <c r="U54" s="770">
        <f t="shared" si="113"/>
        <v>0.81621743868089958</v>
      </c>
      <c r="V54" s="770">
        <f t="shared" si="113"/>
        <v>1.1318215188840686</v>
      </c>
      <c r="W54" s="770">
        <f t="shared" si="113"/>
        <v>4.4362888427351699E-2</v>
      </c>
      <c r="X54" s="770">
        <f t="shared" si="113"/>
        <v>0.85259911716688563</v>
      </c>
      <c r="Y54" s="770">
        <f t="shared" si="113"/>
        <v>0.64553521464543184</v>
      </c>
      <c r="Z54" s="2223">
        <f t="shared" si="112"/>
        <v>0.49643559244623159</v>
      </c>
      <c r="AA54" s="2223">
        <f t="shared" si="112"/>
        <v>0.76666205615603111</v>
      </c>
      <c r="AB54" s="2223">
        <f t="shared" si="112"/>
        <v>0.50395121281643362</v>
      </c>
      <c r="AC54" s="2223">
        <f t="shared" si="112"/>
        <v>0.57751590119796692</v>
      </c>
      <c r="AD54" s="2223">
        <f t="shared" si="112"/>
        <v>0.54000000000000714</v>
      </c>
      <c r="AE54" s="2223">
        <f t="shared" si="112"/>
        <v>0.54000000000000714</v>
      </c>
    </row>
    <row r="55" spans="1:50" ht="13.8">
      <c r="A55" s="1123"/>
      <c r="G55" s="755"/>
      <c r="H55" s="879"/>
      <c r="I55" s="879"/>
      <c r="J55" s="879"/>
      <c r="K55" s="879"/>
      <c r="L55" s="879"/>
      <c r="M55" s="879"/>
      <c r="N55" s="879"/>
      <c r="O55" s="879"/>
      <c r="P55" s="879"/>
      <c r="Q55" s="879"/>
      <c r="AG55" s="3747"/>
      <c r="AH55" s="3747"/>
      <c r="AI55" s="3747"/>
    </row>
    <row r="56" spans="1:50" s="749" customFormat="1" ht="12.75" customHeight="1">
      <c r="A56" s="714"/>
      <c r="B56" s="714"/>
      <c r="C56" s="716"/>
      <c r="D56" s="898"/>
      <c r="E56" s="899" t="str">
        <f>+E19</f>
        <v>Growth (1000 persons)</v>
      </c>
      <c r="F56" s="900"/>
      <c r="G56" s="901">
        <f>+InputY!$G$3</f>
        <v>1995</v>
      </c>
      <c r="H56" s="901">
        <f>+G56+1</f>
        <v>1996</v>
      </c>
      <c r="I56" s="901">
        <f t="shared" ref="I56:S56" si="114">+H56+1</f>
        <v>1997</v>
      </c>
      <c r="J56" s="901">
        <f t="shared" si="114"/>
        <v>1998</v>
      </c>
      <c r="K56" s="901">
        <f t="shared" si="114"/>
        <v>1999</v>
      </c>
      <c r="L56" s="901">
        <f t="shared" si="114"/>
        <v>2000</v>
      </c>
      <c r="M56" s="901">
        <f t="shared" si="114"/>
        <v>2001</v>
      </c>
      <c r="N56" s="901">
        <f t="shared" si="114"/>
        <v>2002</v>
      </c>
      <c r="O56" s="901">
        <f t="shared" si="114"/>
        <v>2003</v>
      </c>
      <c r="P56" s="901">
        <f>+O56+1</f>
        <v>2004</v>
      </c>
      <c r="Q56" s="901">
        <f>+P56+1</f>
        <v>2005</v>
      </c>
      <c r="R56" s="901">
        <f>+Q56+1</f>
        <v>2006</v>
      </c>
      <c r="S56" s="2130">
        <f t="shared" si="114"/>
        <v>2007</v>
      </c>
      <c r="T56" s="2130">
        <f t="shared" ref="T56:AE56" si="115">+S56+1</f>
        <v>2008</v>
      </c>
      <c r="U56" s="2130">
        <f t="shared" si="115"/>
        <v>2009</v>
      </c>
      <c r="V56" s="2130">
        <f t="shared" si="115"/>
        <v>2010</v>
      </c>
      <c r="W56" s="2130">
        <f t="shared" si="115"/>
        <v>2011</v>
      </c>
      <c r="X56" s="2130">
        <f t="shared" si="115"/>
        <v>2012</v>
      </c>
      <c r="Y56" s="2130">
        <f t="shared" si="115"/>
        <v>2013</v>
      </c>
      <c r="Z56" s="2130">
        <f t="shared" si="115"/>
        <v>2014</v>
      </c>
      <c r="AA56" s="2130">
        <f t="shared" si="115"/>
        <v>2015</v>
      </c>
      <c r="AB56" s="2130">
        <f t="shared" si="115"/>
        <v>2016</v>
      </c>
      <c r="AC56" s="2130">
        <f t="shared" si="115"/>
        <v>2017</v>
      </c>
      <c r="AD56" s="2130">
        <f t="shared" si="115"/>
        <v>2018</v>
      </c>
      <c r="AE56" s="2130">
        <f t="shared" si="115"/>
        <v>2019</v>
      </c>
      <c r="AH56" s="3340"/>
      <c r="AI56" s="3340"/>
    </row>
    <row r="57" spans="1:50">
      <c r="A57" s="1123"/>
      <c r="C57" s="1034" t="s">
        <v>624</v>
      </c>
      <c r="D57" s="1035"/>
      <c r="E57" s="1036" t="s">
        <v>469</v>
      </c>
      <c r="F57" s="1037" t="s">
        <v>410</v>
      </c>
      <c r="G57" s="1597"/>
      <c r="H57" s="1597" t="e">
        <f t="shared" ref="H57:AE58" si="116">+H28-G28</f>
        <v>#VALUE!</v>
      </c>
      <c r="I57" s="1597">
        <f t="shared" si="116"/>
        <v>29.400000000000546</v>
      </c>
      <c r="J57" s="1597">
        <f t="shared" si="116"/>
        <v>61.399999999999636</v>
      </c>
      <c r="K57" s="1597">
        <f t="shared" si="116"/>
        <v>42.700000000000273</v>
      </c>
      <c r="L57" s="1597">
        <f t="shared" si="116"/>
        <v>79.799999999999727</v>
      </c>
      <c r="M57" s="1597">
        <f t="shared" si="116"/>
        <v>55.400000000000091</v>
      </c>
      <c r="N57" s="1597">
        <f t="shared" si="116"/>
        <v>-16.300000000000182</v>
      </c>
      <c r="O57" s="1597">
        <f t="shared" si="116"/>
        <v>-12.099999999999909</v>
      </c>
      <c r="P57" s="1597">
        <f t="shared" si="116"/>
        <v>25.300000000000182</v>
      </c>
      <c r="Q57" s="1597">
        <f t="shared" ref="Q57:Q63" si="117">+Q28-P28</f>
        <v>43.299999999999727</v>
      </c>
      <c r="R57" s="1597">
        <f t="shared" ref="R57:AC63" si="118">+R28-Q28</f>
        <v>35.200000000000273</v>
      </c>
      <c r="S57" s="2954">
        <f t="shared" si="118"/>
        <v>57.099999999999909</v>
      </c>
      <c r="T57" s="2954">
        <f t="shared" si="118"/>
        <v>58.300000000000182</v>
      </c>
      <c r="U57" s="2954">
        <f t="shared" si="118"/>
        <v>-30.199999999999818</v>
      </c>
      <c r="V57" s="2954">
        <f t="shared" si="118"/>
        <v>16.699999999999818</v>
      </c>
      <c r="W57" s="2954">
        <f t="shared" si="118"/>
        <v>49.599999999999909</v>
      </c>
      <c r="X57" s="2954">
        <f t="shared" si="118"/>
        <v>11.700000000000273</v>
      </c>
      <c r="Y57" s="2954">
        <f t="shared" si="118"/>
        <v>-21.100000000000364</v>
      </c>
      <c r="Z57" s="2954">
        <f t="shared" si="118"/>
        <v>10</v>
      </c>
      <c r="AA57" s="2954">
        <f t="shared" si="118"/>
        <v>26.700000000000273</v>
      </c>
      <c r="AB57" s="2954">
        <f t="shared" si="118"/>
        <v>41.199999999999818</v>
      </c>
      <c r="AC57" s="2954">
        <f t="shared" si="118"/>
        <v>52.599999999999909</v>
      </c>
      <c r="AD57" s="2131">
        <f t="shared" si="116"/>
        <v>47.985599999999977</v>
      </c>
      <c r="AE57" s="2131">
        <f t="shared" si="116"/>
        <v>39.674617119999766</v>
      </c>
    </row>
    <row r="58" spans="1:50">
      <c r="A58" s="1123"/>
      <c r="C58" s="985" t="s">
        <v>622</v>
      </c>
      <c r="D58" s="724"/>
      <c r="E58" s="221" t="s">
        <v>1402</v>
      </c>
      <c r="F58" s="754" t="s">
        <v>1403</v>
      </c>
      <c r="G58" s="1462"/>
      <c r="H58" s="1462" t="e">
        <f t="shared" si="116"/>
        <v>#VALUE!</v>
      </c>
      <c r="I58" s="1462">
        <f t="shared" si="116"/>
        <v>-4.2999999999999545</v>
      </c>
      <c r="J58" s="1462">
        <f t="shared" si="116"/>
        <v>7.8999999999999773</v>
      </c>
      <c r="K58" s="1462">
        <f t="shared" si="116"/>
        <v>12</v>
      </c>
      <c r="L58" s="1462">
        <f t="shared" si="116"/>
        <v>4.5</v>
      </c>
      <c r="M58" s="1462">
        <f t="shared" si="116"/>
        <v>6.8999999999999773</v>
      </c>
      <c r="N58" s="1462">
        <f t="shared" si="116"/>
        <v>15.100000000000023</v>
      </c>
      <c r="O58" s="1462">
        <f t="shared" si="116"/>
        <v>9</v>
      </c>
      <c r="P58" s="1462">
        <f t="shared" si="116"/>
        <v>12.600000000000023</v>
      </c>
      <c r="Q58" s="1462">
        <f t="shared" si="117"/>
        <v>14.299999999999955</v>
      </c>
      <c r="R58" s="1462">
        <f t="shared" si="118"/>
        <v>8</v>
      </c>
      <c r="S58" s="1085">
        <f t="shared" si="118"/>
        <v>7.3999999999999773</v>
      </c>
      <c r="T58" s="1085">
        <f t="shared" si="118"/>
        <v>10.700000000000045</v>
      </c>
      <c r="U58" s="1085">
        <f t="shared" si="118"/>
        <v>16.799999999999955</v>
      </c>
      <c r="V58" s="1085">
        <f t="shared" si="118"/>
        <v>6.5</v>
      </c>
      <c r="W58" s="1085">
        <f t="shared" si="118"/>
        <v>3.7000000000000455</v>
      </c>
      <c r="X58" s="1085">
        <f t="shared" si="118"/>
        <v>0.20000000000004547</v>
      </c>
      <c r="Y58" s="1085">
        <f t="shared" si="118"/>
        <v>0.29999999999995453</v>
      </c>
      <c r="Z58" s="1085">
        <f t="shared" si="118"/>
        <v>3.7000000000000455</v>
      </c>
      <c r="AA58" s="1085">
        <f t="shared" si="118"/>
        <v>3.3999999999999773</v>
      </c>
      <c r="AB58" s="1085">
        <f t="shared" si="118"/>
        <v>3.2999999999999545</v>
      </c>
      <c r="AC58" s="1085">
        <f t="shared" si="118"/>
        <v>2.1000000000000227</v>
      </c>
      <c r="AD58" s="2133">
        <f t="shared" si="116"/>
        <v>0.42924999999991087</v>
      </c>
      <c r="AE58" s="2133">
        <f t="shared" si="116"/>
        <v>0</v>
      </c>
    </row>
    <row r="59" spans="1:50" s="749" customFormat="1" ht="12.75" customHeight="1">
      <c r="A59" s="714"/>
      <c r="B59" s="714"/>
      <c r="C59" s="986" t="s">
        <v>624</v>
      </c>
      <c r="D59" s="850"/>
      <c r="E59" s="335" t="s">
        <v>1073</v>
      </c>
      <c r="F59" s="852" t="s">
        <v>936</v>
      </c>
      <c r="G59" s="897"/>
      <c r="H59" s="897">
        <f>+H30-G30</f>
        <v>4.0999999999999091</v>
      </c>
      <c r="I59" s="897">
        <f t="shared" ref="I59:P59" si="119">+I30-H30</f>
        <v>25.100000000000364</v>
      </c>
      <c r="J59" s="897">
        <f t="shared" si="119"/>
        <v>69.299999999999727</v>
      </c>
      <c r="K59" s="897">
        <f t="shared" si="119"/>
        <v>54.700000000000273</v>
      </c>
      <c r="L59" s="897">
        <f t="shared" si="119"/>
        <v>84.299999999999727</v>
      </c>
      <c r="M59" s="897">
        <f t="shared" si="119"/>
        <v>62.300000000000182</v>
      </c>
      <c r="N59" s="897">
        <f t="shared" si="119"/>
        <v>-1.2000000000002728</v>
      </c>
      <c r="O59" s="897">
        <f t="shared" si="119"/>
        <v>-3.0999999999999091</v>
      </c>
      <c r="P59" s="897">
        <f t="shared" si="119"/>
        <v>37.900000000000091</v>
      </c>
      <c r="Q59" s="897">
        <f t="shared" si="117"/>
        <v>57.599999999999909</v>
      </c>
      <c r="R59" s="897">
        <f t="shared" si="118"/>
        <v>43.200000000000273</v>
      </c>
      <c r="S59" s="897">
        <f t="shared" si="118"/>
        <v>64.5</v>
      </c>
      <c r="T59" s="897">
        <f t="shared" si="118"/>
        <v>69</v>
      </c>
      <c r="U59" s="897">
        <f t="shared" si="118"/>
        <v>-13.400000000000091</v>
      </c>
      <c r="V59" s="897">
        <f t="shared" si="118"/>
        <v>23.199999999999818</v>
      </c>
      <c r="W59" s="897">
        <f t="shared" si="118"/>
        <v>53.300000000000182</v>
      </c>
      <c r="X59" s="897">
        <f t="shared" si="118"/>
        <v>11.900000000000091</v>
      </c>
      <c r="Y59" s="897">
        <f t="shared" si="118"/>
        <v>-20.800000000000182</v>
      </c>
      <c r="Z59" s="897">
        <f t="shared" si="118"/>
        <v>13.699999999999818</v>
      </c>
      <c r="AA59" s="897">
        <f t="shared" si="118"/>
        <v>30.100000000000364</v>
      </c>
      <c r="AB59" s="897">
        <f t="shared" si="118"/>
        <v>44.5</v>
      </c>
      <c r="AC59" s="897">
        <f t="shared" si="118"/>
        <v>54.699999999999818</v>
      </c>
      <c r="AD59" s="2144">
        <f t="shared" ref="AD59:AE60" si="120">+AD30-AC30</f>
        <v>48.414850000000115</v>
      </c>
      <c r="AE59" s="2144">
        <f t="shared" si="120"/>
        <v>39.674617119999311</v>
      </c>
    </row>
    <row r="60" spans="1:50" s="749" customFormat="1" ht="12.75" customHeight="1">
      <c r="A60" s="714"/>
      <c r="B60" s="714"/>
      <c r="C60" s="986" t="s">
        <v>622</v>
      </c>
      <c r="D60" s="724"/>
      <c r="E60" s="221" t="s">
        <v>819</v>
      </c>
      <c r="F60" s="759" t="s">
        <v>1074</v>
      </c>
      <c r="G60" s="755"/>
      <c r="H60" s="755">
        <f>+H31-G31</f>
        <v>6.0999999999999091</v>
      </c>
      <c r="I60" s="755">
        <f t="shared" ref="I60:P60" si="121">+I31-H31</f>
        <v>1.2999999999997272</v>
      </c>
      <c r="J60" s="755">
        <f t="shared" si="121"/>
        <v>-0.79999999999972715</v>
      </c>
      <c r="K60" s="755">
        <f t="shared" si="121"/>
        <v>9.9999999999909051E-2</v>
      </c>
      <c r="L60" s="755">
        <f t="shared" si="121"/>
        <v>-3.2000000000002728</v>
      </c>
      <c r="M60" s="755">
        <f t="shared" si="121"/>
        <v>-6</v>
      </c>
      <c r="N60" s="755">
        <f t="shared" si="121"/>
        <v>-6.6999999999993634</v>
      </c>
      <c r="O60" s="755">
        <f t="shared" si="121"/>
        <v>-0.30000000000063665</v>
      </c>
      <c r="P60" s="755">
        <f t="shared" si="121"/>
        <v>2.9000000000000909</v>
      </c>
      <c r="Q60" s="755">
        <f t="shared" si="117"/>
        <v>2.9000000000000909</v>
      </c>
      <c r="R60" s="755">
        <f t="shared" si="118"/>
        <v>4.4999999999995453</v>
      </c>
      <c r="S60" s="756">
        <f t="shared" si="118"/>
        <v>6.5</v>
      </c>
      <c r="T60" s="756">
        <f t="shared" si="118"/>
        <v>10</v>
      </c>
      <c r="U60" s="756">
        <f t="shared" si="118"/>
        <v>6.0000000000004547</v>
      </c>
      <c r="V60" s="756">
        <f t="shared" si="118"/>
        <v>5.3000000000001819</v>
      </c>
      <c r="W60" s="756">
        <f t="shared" si="118"/>
        <v>8</v>
      </c>
      <c r="X60" s="756">
        <f t="shared" si="118"/>
        <v>7.7999999999997272</v>
      </c>
      <c r="Y60" s="756">
        <f t="shared" si="118"/>
        <v>5.9000000000005457</v>
      </c>
      <c r="Z60" s="756">
        <f t="shared" si="118"/>
        <v>6.0999999999994543</v>
      </c>
      <c r="AA60" s="756">
        <f t="shared" si="118"/>
        <v>10.399999999999636</v>
      </c>
      <c r="AB60" s="756">
        <f t="shared" si="118"/>
        <v>13.200000000000728</v>
      </c>
      <c r="AC60" s="756">
        <f t="shared" si="118"/>
        <v>10.899999999999636</v>
      </c>
      <c r="AD60" s="2953">
        <f t="shared" si="120"/>
        <v>10.259599999999864</v>
      </c>
      <c r="AE60" s="2953">
        <f t="shared" si="120"/>
        <v>10.392974799999934</v>
      </c>
    </row>
    <row r="61" spans="1:50">
      <c r="A61" s="1123"/>
      <c r="C61" s="985" t="s">
        <v>624</v>
      </c>
      <c r="D61" s="850"/>
      <c r="E61" s="335" t="s">
        <v>1612</v>
      </c>
      <c r="F61" s="916" t="s">
        <v>932</v>
      </c>
      <c r="G61" s="897"/>
      <c r="H61" s="897">
        <f t="shared" ref="H61:AE63" si="122">+H32-G32</f>
        <v>10.199999999999818</v>
      </c>
      <c r="I61" s="897">
        <f t="shared" si="122"/>
        <v>26.400000000000091</v>
      </c>
      <c r="J61" s="897">
        <f t="shared" si="122"/>
        <v>68.5</v>
      </c>
      <c r="K61" s="897">
        <f t="shared" si="122"/>
        <v>54.800000000000182</v>
      </c>
      <c r="L61" s="897">
        <f t="shared" si="122"/>
        <v>81.099999999999454</v>
      </c>
      <c r="M61" s="897">
        <f t="shared" si="122"/>
        <v>56.300000000000182</v>
      </c>
      <c r="N61" s="897">
        <f t="shared" si="122"/>
        <v>-7.8999999999996362</v>
      </c>
      <c r="O61" s="897">
        <f t="shared" si="122"/>
        <v>-3.4000000000005457</v>
      </c>
      <c r="P61" s="897">
        <f t="shared" si="122"/>
        <v>40.800000000000182</v>
      </c>
      <c r="Q61" s="897">
        <f t="shared" si="117"/>
        <v>60.5</v>
      </c>
      <c r="R61" s="897">
        <f t="shared" si="118"/>
        <v>47.699999999999818</v>
      </c>
      <c r="S61" s="897">
        <f t="shared" si="118"/>
        <v>71</v>
      </c>
      <c r="T61" s="897">
        <f t="shared" si="118"/>
        <v>79</v>
      </c>
      <c r="U61" s="897">
        <f t="shared" si="118"/>
        <v>-7.3999999999996362</v>
      </c>
      <c r="V61" s="897">
        <f t="shared" si="118"/>
        <v>28.5</v>
      </c>
      <c r="W61" s="897">
        <f t="shared" si="118"/>
        <v>61.300000000000182</v>
      </c>
      <c r="X61" s="897">
        <f t="shared" si="118"/>
        <v>19.699999999999818</v>
      </c>
      <c r="Y61" s="897">
        <f t="shared" si="118"/>
        <v>-14.899999999999636</v>
      </c>
      <c r="Z61" s="897">
        <f t="shared" si="118"/>
        <v>19.799999999999272</v>
      </c>
      <c r="AA61" s="897">
        <f t="shared" si="118"/>
        <v>40.5</v>
      </c>
      <c r="AB61" s="897">
        <f t="shared" si="118"/>
        <v>57.700000000000728</v>
      </c>
      <c r="AC61" s="897">
        <f t="shared" si="118"/>
        <v>65.599999999999454</v>
      </c>
      <c r="AD61" s="2143">
        <f t="shared" si="122"/>
        <v>58.674449999999524</v>
      </c>
      <c r="AE61" s="2143">
        <f t="shared" si="122"/>
        <v>50.067591919999359</v>
      </c>
    </row>
    <row r="62" spans="1:50">
      <c r="A62" s="1123"/>
      <c r="C62" s="918" t="s">
        <v>622</v>
      </c>
      <c r="D62" s="724"/>
      <c r="E62" s="221" t="s">
        <v>1076</v>
      </c>
      <c r="F62" s="754" t="s">
        <v>422</v>
      </c>
      <c r="G62" s="755"/>
      <c r="H62" s="755">
        <f t="shared" si="122"/>
        <v>-1</v>
      </c>
      <c r="I62" s="755">
        <f t="shared" si="122"/>
        <v>0.3000000000001819</v>
      </c>
      <c r="J62" s="755">
        <f t="shared" si="122"/>
        <v>0.79999999999972715</v>
      </c>
      <c r="K62" s="755">
        <f t="shared" si="122"/>
        <v>-9.9999999999909051E-2</v>
      </c>
      <c r="L62" s="755">
        <f t="shared" si="122"/>
        <v>1.0000000000004547</v>
      </c>
      <c r="M62" s="755">
        <f t="shared" si="122"/>
        <v>2.0999999999994543</v>
      </c>
      <c r="N62" s="755">
        <f t="shared" si="122"/>
        <v>1.1000000000003638</v>
      </c>
      <c r="O62" s="755">
        <f t="shared" si="122"/>
        <v>2.6000000000003638</v>
      </c>
      <c r="P62" s="755">
        <f t="shared" si="122"/>
        <v>2.1999999999998181</v>
      </c>
      <c r="Q62" s="755">
        <f t="shared" si="117"/>
        <v>1.5</v>
      </c>
      <c r="R62" s="755">
        <f t="shared" si="118"/>
        <v>2.1000000000003638</v>
      </c>
      <c r="S62" s="755">
        <f t="shared" si="118"/>
        <v>1.8999999999996362</v>
      </c>
      <c r="T62" s="755">
        <f t="shared" si="118"/>
        <v>0.5</v>
      </c>
      <c r="U62" s="755">
        <f t="shared" si="118"/>
        <v>0.8999999999996362</v>
      </c>
      <c r="V62" s="755">
        <f t="shared" si="118"/>
        <v>0.6999999999998181</v>
      </c>
      <c r="W62" s="755">
        <f t="shared" si="118"/>
        <v>-0.1999999999998181</v>
      </c>
      <c r="X62" s="755">
        <f t="shared" si="118"/>
        <v>0.6000000000003638</v>
      </c>
      <c r="Y62" s="755">
        <f t="shared" si="118"/>
        <v>-0.80000000000109139</v>
      </c>
      <c r="Z62" s="755">
        <f t="shared" si="118"/>
        <v>-0.7999999999992724</v>
      </c>
      <c r="AA62" s="755">
        <f t="shared" si="118"/>
        <v>-0.6999999999998181</v>
      </c>
      <c r="AB62" s="755">
        <f t="shared" si="118"/>
        <v>-9.0949470177292824E-13</v>
      </c>
      <c r="AC62" s="755">
        <f t="shared" si="118"/>
        <v>9.0949470177292824E-13</v>
      </c>
      <c r="AD62" s="2133">
        <f t="shared" si="122"/>
        <v>-0.38649999999999807</v>
      </c>
      <c r="AE62" s="2133">
        <f t="shared" si="122"/>
        <v>-0.76913500000000568</v>
      </c>
    </row>
    <row r="63" spans="1:50" s="749" customFormat="1" ht="12.75" customHeight="1">
      <c r="A63" s="714"/>
      <c r="B63" s="714"/>
      <c r="C63" s="917" t="s">
        <v>624</v>
      </c>
      <c r="D63" s="850"/>
      <c r="E63" s="851" t="s">
        <v>1613</v>
      </c>
      <c r="F63" s="852" t="s">
        <v>327</v>
      </c>
      <c r="G63" s="853"/>
      <c r="H63" s="897">
        <f t="shared" si="122"/>
        <v>9.1999999999998181</v>
      </c>
      <c r="I63" s="897">
        <f t="shared" si="122"/>
        <v>26.700000000000273</v>
      </c>
      <c r="J63" s="897">
        <f t="shared" si="122"/>
        <v>69.299999999999727</v>
      </c>
      <c r="K63" s="897">
        <f t="shared" si="122"/>
        <v>54.700000000000273</v>
      </c>
      <c r="L63" s="897">
        <f t="shared" si="122"/>
        <v>82.099999999999909</v>
      </c>
      <c r="M63" s="897">
        <f t="shared" si="122"/>
        <v>58.399999999999636</v>
      </c>
      <c r="N63" s="897">
        <f t="shared" si="122"/>
        <v>-6.7999999999992724</v>
      </c>
      <c r="O63" s="897">
        <f t="shared" si="122"/>
        <v>-0.8000000000001819</v>
      </c>
      <c r="P63" s="897">
        <f t="shared" si="122"/>
        <v>43</v>
      </c>
      <c r="Q63" s="897">
        <f t="shared" si="117"/>
        <v>62</v>
      </c>
      <c r="R63" s="897">
        <f t="shared" si="118"/>
        <v>49.800000000000182</v>
      </c>
      <c r="S63" s="897">
        <f t="shared" si="118"/>
        <v>72.899999999999636</v>
      </c>
      <c r="T63" s="897">
        <f t="shared" si="118"/>
        <v>79.5</v>
      </c>
      <c r="U63" s="897">
        <f t="shared" si="118"/>
        <v>-6.5</v>
      </c>
      <c r="V63" s="897">
        <f t="shared" si="118"/>
        <v>29.199999999999818</v>
      </c>
      <c r="W63" s="897">
        <f t="shared" si="118"/>
        <v>61.100000000000364</v>
      </c>
      <c r="X63" s="897">
        <f t="shared" si="118"/>
        <v>20.300000000000182</v>
      </c>
      <c r="Y63" s="897">
        <f t="shared" si="118"/>
        <v>-15.700000000000728</v>
      </c>
      <c r="Z63" s="897">
        <f t="shared" si="118"/>
        <v>19</v>
      </c>
      <c r="AA63" s="897">
        <f t="shared" si="118"/>
        <v>39.800000000000182</v>
      </c>
      <c r="AB63" s="897">
        <f t="shared" si="118"/>
        <v>57.699999999999818</v>
      </c>
      <c r="AC63" s="897">
        <f t="shared" si="118"/>
        <v>65.600000000000364</v>
      </c>
      <c r="AD63" s="2133">
        <f t="shared" si="122"/>
        <v>58.28794999999991</v>
      </c>
      <c r="AE63" s="2133">
        <f t="shared" si="122"/>
        <v>49.298456919998898</v>
      </c>
    </row>
    <row r="64" spans="1:50">
      <c r="A64" s="1123"/>
      <c r="C64" s="304" t="s">
        <v>622</v>
      </c>
      <c r="D64" s="872"/>
      <c r="E64" s="116" t="s">
        <v>633</v>
      </c>
      <c r="F64" s="925" t="s">
        <v>196</v>
      </c>
      <c r="G64" s="926"/>
      <c r="H64" s="919">
        <f>+H36-G36</f>
        <v>-6</v>
      </c>
      <c r="I64" s="919">
        <f t="shared" ref="I64:AE64" si="123">+I36-H36</f>
        <v>-10.600000000000023</v>
      </c>
      <c r="J64" s="919">
        <f t="shared" si="123"/>
        <v>9.6000000000000227</v>
      </c>
      <c r="K64" s="919">
        <f t="shared" si="123"/>
        <v>-32.700000000000045</v>
      </c>
      <c r="L64" s="919">
        <f t="shared" si="123"/>
        <v>-65.099999999999966</v>
      </c>
      <c r="M64" s="919">
        <f t="shared" si="123"/>
        <v>-16.300000000000011</v>
      </c>
      <c r="N64" s="919">
        <f t="shared" si="123"/>
        <v>45</v>
      </c>
      <c r="O64" s="919">
        <f t="shared" si="123"/>
        <v>31.699999999999989</v>
      </c>
      <c r="P64" s="919">
        <f t="shared" si="123"/>
        <v>16.800000000000011</v>
      </c>
      <c r="Q64" s="919">
        <f t="shared" ref="Q64:AC64" si="124">+Q36-P36</f>
        <v>11.300000000000011</v>
      </c>
      <c r="R64" s="919">
        <f t="shared" si="124"/>
        <v>-7.1999999999999886</v>
      </c>
      <c r="S64" s="919">
        <f t="shared" si="124"/>
        <v>-30.200000000000045</v>
      </c>
      <c r="T64" s="919">
        <f t="shared" si="124"/>
        <v>-19.599999999999966</v>
      </c>
      <c r="U64" s="919">
        <f t="shared" si="124"/>
        <v>46.199999999999989</v>
      </c>
      <c r="V64" s="919">
        <f t="shared" si="124"/>
        <v>26.300000000000011</v>
      </c>
      <c r="W64" s="919">
        <f t="shared" si="124"/>
        <v>-58.900000000000034</v>
      </c>
      <c r="X64" s="919">
        <f t="shared" si="124"/>
        <v>22</v>
      </c>
      <c r="Y64" s="919">
        <f t="shared" si="124"/>
        <v>48</v>
      </c>
      <c r="Z64" s="919">
        <f t="shared" si="124"/>
        <v>6</v>
      </c>
      <c r="AA64" s="919">
        <f t="shared" si="124"/>
        <v>-1</v>
      </c>
      <c r="AB64" s="919">
        <f t="shared" si="124"/>
        <v>-32</v>
      </c>
      <c r="AC64" s="919">
        <f t="shared" si="124"/>
        <v>-36</v>
      </c>
      <c r="AD64" s="2145">
        <f t="shared" si="123"/>
        <v>-30.450949999999466</v>
      </c>
      <c r="AE64" s="2145">
        <f t="shared" si="123"/>
        <v>-21.311137119998421</v>
      </c>
    </row>
    <row r="65" spans="1:31" s="749" customFormat="1" ht="12.75" customHeight="1">
      <c r="A65" s="714"/>
      <c r="B65" s="714"/>
      <c r="C65" s="716" t="s">
        <v>624</v>
      </c>
      <c r="D65" s="850"/>
      <c r="E65" s="851" t="s">
        <v>1673</v>
      </c>
      <c r="F65" s="852" t="s">
        <v>1072</v>
      </c>
      <c r="G65" s="853"/>
      <c r="H65" s="897">
        <f t="shared" ref="H65:P65" si="125">+H42-G42</f>
        <v>3.1999999999998181</v>
      </c>
      <c r="I65" s="897">
        <f t="shared" si="125"/>
        <v>16.100000000000364</v>
      </c>
      <c r="J65" s="897">
        <f t="shared" si="125"/>
        <v>78.899999999999636</v>
      </c>
      <c r="K65" s="897">
        <f t="shared" si="125"/>
        <v>22</v>
      </c>
      <c r="L65" s="897">
        <f t="shared" si="125"/>
        <v>17</v>
      </c>
      <c r="M65" s="897">
        <f t="shared" si="125"/>
        <v>42.100000000000364</v>
      </c>
      <c r="N65" s="897">
        <f t="shared" si="125"/>
        <v>38.200000000000728</v>
      </c>
      <c r="O65" s="897">
        <f t="shared" si="125"/>
        <v>30.899999999999636</v>
      </c>
      <c r="P65" s="897">
        <f t="shared" si="125"/>
        <v>59.800000000000182</v>
      </c>
      <c r="Q65" s="897">
        <f t="shared" ref="Q65:AE65" si="126">+Q42-P42</f>
        <v>73.299999999999272</v>
      </c>
      <c r="R65" s="897">
        <f t="shared" si="126"/>
        <v>42.600000000000364</v>
      </c>
      <c r="S65" s="897">
        <f t="shared" si="126"/>
        <v>42.699999999999818</v>
      </c>
      <c r="T65" s="897">
        <f t="shared" si="126"/>
        <v>59.899999999999636</v>
      </c>
      <c r="U65" s="897">
        <f t="shared" si="126"/>
        <v>39.700000000000728</v>
      </c>
      <c r="V65" s="897">
        <f t="shared" si="126"/>
        <v>55.499999999999091</v>
      </c>
      <c r="W65" s="897">
        <f t="shared" si="126"/>
        <v>2.2000000000007276</v>
      </c>
      <c r="X65" s="2143">
        <f t="shared" si="126"/>
        <v>42.300000000000182</v>
      </c>
      <c r="Y65" s="2143">
        <f t="shared" si="126"/>
        <v>32.299999999999272</v>
      </c>
      <c r="Z65" s="2143">
        <f t="shared" si="126"/>
        <v>25</v>
      </c>
      <c r="AA65" s="2143">
        <f t="shared" si="126"/>
        <v>38.800000000000182</v>
      </c>
      <c r="AB65" s="2143">
        <f t="shared" si="126"/>
        <v>25.699999999999818</v>
      </c>
      <c r="AC65" s="2143">
        <f t="shared" si="126"/>
        <v>29.600000000000364</v>
      </c>
      <c r="AD65" s="2143">
        <f t="shared" si="126"/>
        <v>27.837000000000444</v>
      </c>
      <c r="AE65" s="2143">
        <f t="shared" si="126"/>
        <v>27.987319800000478</v>
      </c>
    </row>
    <row r="66" spans="1:31">
      <c r="A66" s="1123"/>
      <c r="G66" s="755"/>
      <c r="H66" s="879"/>
      <c r="I66" s="879"/>
      <c r="J66" s="879"/>
      <c r="K66" s="879"/>
      <c r="L66" s="879"/>
      <c r="M66" s="879"/>
      <c r="N66" s="879"/>
      <c r="O66" s="879"/>
      <c r="P66" s="879"/>
      <c r="Q66" s="879"/>
      <c r="R66" s="879"/>
      <c r="S66" s="879"/>
      <c r="T66" s="879"/>
      <c r="U66" s="879"/>
      <c r="V66" s="879"/>
      <c r="W66" s="879"/>
      <c r="X66" s="879"/>
      <c r="Y66" s="879"/>
      <c r="Z66" s="879"/>
      <c r="AA66" s="879"/>
      <c r="AB66" s="879"/>
      <c r="AC66" s="879"/>
      <c r="AD66" s="879"/>
      <c r="AE66" s="879"/>
    </row>
    <row r="67" spans="1:31" s="749" customFormat="1" ht="12.75" customHeight="1">
      <c r="A67" s="714"/>
      <c r="B67" s="714"/>
      <c r="C67" s="716"/>
      <c r="D67" s="898"/>
      <c r="E67" s="899" t="s">
        <v>534</v>
      </c>
      <c r="F67" s="900"/>
      <c r="G67" s="901">
        <f>+InputY!$G$3</f>
        <v>1995</v>
      </c>
      <c r="H67" s="901">
        <f>+G67+1</f>
        <v>1996</v>
      </c>
      <c r="I67" s="901">
        <f t="shared" ref="I67:O67" si="127">+H67+1</f>
        <v>1997</v>
      </c>
      <c r="J67" s="901">
        <f t="shared" si="127"/>
        <v>1998</v>
      </c>
      <c r="K67" s="901">
        <f t="shared" si="127"/>
        <v>1999</v>
      </c>
      <c r="L67" s="901">
        <f t="shared" si="127"/>
        <v>2000</v>
      </c>
      <c r="M67" s="901">
        <f t="shared" si="127"/>
        <v>2001</v>
      </c>
      <c r="N67" s="901">
        <f t="shared" si="127"/>
        <v>2002</v>
      </c>
      <c r="O67" s="901">
        <f t="shared" si="127"/>
        <v>2003</v>
      </c>
      <c r="P67" s="901">
        <f t="shared" ref="P67:W67" si="128">+O67+1</f>
        <v>2004</v>
      </c>
      <c r="Q67" s="901">
        <f t="shared" si="128"/>
        <v>2005</v>
      </c>
      <c r="R67" s="901">
        <f t="shared" si="128"/>
        <v>2006</v>
      </c>
      <c r="S67" s="901">
        <f t="shared" si="128"/>
        <v>2007</v>
      </c>
      <c r="T67" s="901">
        <f t="shared" si="128"/>
        <v>2008</v>
      </c>
      <c r="U67" s="2130">
        <f t="shared" si="128"/>
        <v>2009</v>
      </c>
      <c r="V67" s="2130">
        <f>+U67+1</f>
        <v>2010</v>
      </c>
      <c r="W67" s="2130">
        <f t="shared" si="128"/>
        <v>2011</v>
      </c>
      <c r="X67" s="2130">
        <f t="shared" ref="X67:AE67" si="129">+W67+1</f>
        <v>2012</v>
      </c>
      <c r="Y67" s="2130">
        <f t="shared" si="129"/>
        <v>2013</v>
      </c>
      <c r="Z67" s="2130">
        <f t="shared" si="129"/>
        <v>2014</v>
      </c>
      <c r="AA67" s="2130">
        <f t="shared" si="129"/>
        <v>2015</v>
      </c>
      <c r="AB67" s="2130">
        <f t="shared" si="129"/>
        <v>2016</v>
      </c>
      <c r="AC67" s="2130">
        <f t="shared" si="129"/>
        <v>2017</v>
      </c>
      <c r="AD67" s="2130">
        <f t="shared" si="129"/>
        <v>2018</v>
      </c>
      <c r="AE67" s="2130">
        <f t="shared" si="129"/>
        <v>2019</v>
      </c>
    </row>
    <row r="68" spans="1:31">
      <c r="A68" s="1123"/>
      <c r="C68" s="1034"/>
      <c r="D68" s="1035"/>
      <c r="E68" s="1036" t="s">
        <v>469</v>
      </c>
      <c r="F68" s="1037" t="s">
        <v>410</v>
      </c>
      <c r="G68" s="1597"/>
      <c r="H68" s="1834" t="e">
        <f ca="1">+H46/'VVP2'!H$138</f>
        <v>#VALUE!</v>
      </c>
      <c r="I68" s="1834">
        <f>+I46/'VVP2'!I$138</f>
        <v>0.32218806609088119</v>
      </c>
      <c r="J68" s="1834">
        <f>+J46/'VVP2'!J$138</f>
        <v>1.2490186459168069</v>
      </c>
      <c r="K68" s="1834">
        <f>+K46/'VVP2'!K$138</f>
        <v>0.4699124387784111</v>
      </c>
      <c r="L68" s="1834">
        <f>+L46/'VVP2'!L$138</f>
        <v>0.84701373116746503</v>
      </c>
      <c r="M68" s="1834">
        <f>+M46/'VVP2'!M$138</f>
        <v>2.5542470775678274</v>
      </c>
      <c r="N68" s="1834">
        <f>+N46/'VVP2'!N$138</f>
        <v>-0.3355828944339469</v>
      </c>
      <c r="O68" s="1834">
        <f>+O46/'VVP2'!O$138</f>
        <v>-0.57620554877665109</v>
      </c>
      <c r="P68" s="1834">
        <f>+P46/'VVP2'!P$138</f>
        <v>0.25783060066763513</v>
      </c>
      <c r="Q68" s="1834">
        <f>+Q46/'VVP2'!Q$138</f>
        <v>0.75876011280455613</v>
      </c>
      <c r="R68" s="1834">
        <f>+R46/'VVP2'!R$138</f>
        <v>0.50738733163662575</v>
      </c>
      <c r="S68" s="1834">
        <f>+S46/'VVP2'!S$138</f>
        <v>0.59055610443540429</v>
      </c>
      <c r="T68" s="1834">
        <f>+T46/'VVP2'!T$138</f>
        <v>2.6023724152779009</v>
      </c>
      <c r="U68" s="1834">
        <f>+U46/'VVP2'!U$138</f>
        <v>0.45920647123537545</v>
      </c>
      <c r="V68" s="1834">
        <f>+V46/'VVP2'!V$138</f>
        <v>0.21067420512931376</v>
      </c>
      <c r="W68" s="1834">
        <f>+W46/'VVP2'!W$138</f>
        <v>0.94935368004093867</v>
      </c>
      <c r="X68" s="1834">
        <f>+X46/'VVP2'!X$138</f>
        <v>1.6863626166615571</v>
      </c>
      <c r="Y68" s="1834">
        <f>+Y46/'VVP2'!Y$138</f>
        <v>-3.5447347456081926</v>
      </c>
      <c r="Z68" s="1834">
        <f>+Z46/'VVP2'!Z$138</f>
        <v>0.25121520555223908</v>
      </c>
      <c r="AA68" s="1834">
        <f>+AA46/'VVP2'!AA$138</f>
        <v>0.64322081055147784</v>
      </c>
      <c r="AB68" s="1834">
        <f>+AB46/'VVP2'!AB$138</f>
        <v>0.94237760489242717</v>
      </c>
      <c r="AC68" s="1834">
        <f>+AC46/'VVP2'!AC$138</f>
        <v>1.0315773143362179</v>
      </c>
      <c r="AD68" s="2146">
        <f ca="1">+AD46/'VVP2'!AD$138</f>
        <v>0.86267446947811655</v>
      </c>
      <c r="AE68" s="2146">
        <f ca="1">+AE46/'VVP2'!AE$138</f>
        <v>0.73286432698657833</v>
      </c>
    </row>
    <row r="69" spans="1:31">
      <c r="A69" s="1123"/>
      <c r="C69" s="985"/>
      <c r="D69" s="850"/>
      <c r="E69" s="335" t="s">
        <v>870</v>
      </c>
      <c r="F69" s="916"/>
      <c r="G69" s="897"/>
      <c r="H69" s="1835"/>
      <c r="I69" s="1835"/>
      <c r="J69" s="1835"/>
      <c r="K69" s="1835" t="e">
        <f ca="1">AVERAGE(H68:K68)</f>
        <v>#VALUE!</v>
      </c>
      <c r="L69" s="1835">
        <f t="shared" ref="L69:AE69" si="130">AVERAGE(I68:L68)</f>
        <v>0.72203322048839103</v>
      </c>
      <c r="M69" s="1835">
        <f t="shared" si="130"/>
        <v>1.2800479733576275</v>
      </c>
      <c r="N69" s="1835">
        <f t="shared" si="130"/>
        <v>0.88389758826993914</v>
      </c>
      <c r="O69" s="1835">
        <f t="shared" si="130"/>
        <v>0.62236809138117366</v>
      </c>
      <c r="P69" s="1835">
        <f t="shared" si="130"/>
        <v>0.47507230875621614</v>
      </c>
      <c r="Q69" s="1835">
        <f t="shared" ref="Q69:Y69" si="131">AVERAGE(N68:Q68)</f>
        <v>2.6200567565398319E-2</v>
      </c>
      <c r="R69" s="1835">
        <f t="shared" si="131"/>
        <v>0.23694312408304147</v>
      </c>
      <c r="S69" s="1835">
        <f t="shared" si="131"/>
        <v>0.52863353738605534</v>
      </c>
      <c r="T69" s="1835">
        <f t="shared" si="131"/>
        <v>1.1147689910386216</v>
      </c>
      <c r="U69" s="1835">
        <f t="shared" si="131"/>
        <v>1.0398805806463265</v>
      </c>
      <c r="V69" s="1835">
        <f t="shared" si="131"/>
        <v>0.96570229901949856</v>
      </c>
      <c r="W69" s="1835">
        <f t="shared" si="131"/>
        <v>1.0554016929208823</v>
      </c>
      <c r="X69" s="1835">
        <f t="shared" si="131"/>
        <v>0.82639924326679615</v>
      </c>
      <c r="Y69" s="1835">
        <f t="shared" si="131"/>
        <v>-0.17458606094409579</v>
      </c>
      <c r="Z69" s="2147">
        <f t="shared" si="130"/>
        <v>-0.16445081083836441</v>
      </c>
      <c r="AA69" s="2147">
        <f t="shared" si="130"/>
        <v>-0.24098402821072962</v>
      </c>
      <c r="AB69" s="2147">
        <f t="shared" si="130"/>
        <v>-0.42698028115301212</v>
      </c>
      <c r="AC69" s="2147">
        <f t="shared" si="130"/>
        <v>0.7170977338330905</v>
      </c>
      <c r="AD69" s="2147">
        <f t="shared" ca="1" si="130"/>
        <v>0.86996254981455989</v>
      </c>
      <c r="AE69" s="2147">
        <f t="shared" ca="1" si="130"/>
        <v>0.89237342892333504</v>
      </c>
    </row>
    <row r="70" spans="1:31">
      <c r="A70" s="1123"/>
      <c r="C70" s="985"/>
      <c r="D70" s="724"/>
      <c r="E70" s="221" t="s">
        <v>1402</v>
      </c>
      <c r="F70" s="754" t="s">
        <v>1403</v>
      </c>
      <c r="G70" s="1462"/>
      <c r="H70" s="1837" t="e">
        <f ca="1">+H47/'VVP2'!H$138</f>
        <v>#VALUE!</v>
      </c>
      <c r="I70" s="1837">
        <f>+I47/'VVP2'!I$138</f>
        <v>-0.16221859631174751</v>
      </c>
      <c r="J70" s="1837">
        <f>+J47/'VVP2'!J$138</f>
        <v>0.56322338328124277</v>
      </c>
      <c r="K70" s="1837">
        <f>+K47/'VVP2'!K$138</f>
        <v>0.46903265385717979</v>
      </c>
      <c r="L70" s="1837">
        <f>+L47/'VVP2'!L$138</f>
        <v>0.169647018398214</v>
      </c>
      <c r="M70" s="1837">
        <f>+M47/'VVP2'!M$138</f>
        <v>1.1575623561449988</v>
      </c>
      <c r="N70" s="1837">
        <f>+N47/'VVP2'!N$138</f>
        <v>1.1438812538240934</v>
      </c>
      <c r="O70" s="1837">
        <f>+O47/'VVP2'!O$138</f>
        <v>1.5362690598350461</v>
      </c>
      <c r="P70" s="1837">
        <f>+P47/'VVP2'!P$138</f>
        <v>0.45283366775625505</v>
      </c>
      <c r="Q70" s="1837">
        <f>+Q47/'VVP2'!Q$138</f>
        <v>0.87754174893216652</v>
      </c>
      <c r="R70" s="1837">
        <f>+R47/'VVP2'!R$138</f>
        <v>0.40284682077362172</v>
      </c>
      <c r="S70" s="1837">
        <f>+S47/'VVP2'!S$138</f>
        <v>0.26806169759886339</v>
      </c>
      <c r="T70" s="1837">
        <f>+T47/'VVP2'!T$138</f>
        <v>1.6913082723199271</v>
      </c>
      <c r="U70" s="1837">
        <f>+U47/'VVP2'!U$138</f>
        <v>-0.91095304568859337</v>
      </c>
      <c r="V70" s="1837">
        <f>+V47/'VVP2'!V$138</f>
        <v>0.28356535878948486</v>
      </c>
      <c r="W70" s="1837">
        <f>+W47/'VVP2'!W$138</f>
        <v>0.24441629046879246</v>
      </c>
      <c r="X70" s="1837">
        <f>+X47/'VVP2'!X$138</f>
        <v>0.10074517977979168</v>
      </c>
      <c r="Y70" s="1837">
        <f>+Y47/'VVP2'!Y$138</f>
        <v>0.17679305619652613</v>
      </c>
      <c r="Z70" s="1837">
        <f>+Z47/'VVP2'!Z$138</f>
        <v>0.32362071340785137</v>
      </c>
      <c r="AA70" s="1837">
        <f>+AA47/'VVP2'!AA$138</f>
        <v>0.28490041909431985</v>
      </c>
      <c r="AB70" s="1837">
        <f>+AB47/'VVP2'!AB$138</f>
        <v>0.26386300527953266</v>
      </c>
      <c r="AC70" s="1837">
        <f>+AC47/'VVP2'!AC$138</f>
        <v>0.14539661092469827</v>
      </c>
      <c r="AD70" s="2147">
        <f ca="1">+AD47/'VVP2'!AD$138</f>
        <v>2.7649822739683225E-2</v>
      </c>
      <c r="AE70" s="2147">
        <f ca="1">+AE47/'VVP2'!AE$138</f>
        <v>0</v>
      </c>
    </row>
    <row r="71" spans="1:31">
      <c r="A71" s="1123"/>
      <c r="C71" s="985"/>
      <c r="D71" s="850"/>
      <c r="E71" s="335" t="s">
        <v>870</v>
      </c>
      <c r="F71" s="852"/>
      <c r="G71" s="897"/>
      <c r="H71" s="1835"/>
      <c r="I71" s="1835"/>
      <c r="J71" s="1835"/>
      <c r="K71" s="1835" t="e">
        <f t="shared" ref="K71:AE71" ca="1" si="132">AVERAGE(H70:K70)</f>
        <v>#VALUE!</v>
      </c>
      <c r="L71" s="1835">
        <f t="shared" si="132"/>
        <v>0.25992111480622226</v>
      </c>
      <c r="M71" s="1835">
        <f t="shared" si="132"/>
        <v>0.5898663529204089</v>
      </c>
      <c r="N71" s="1835">
        <f t="shared" si="132"/>
        <v>0.73503082055612157</v>
      </c>
      <c r="O71" s="1835">
        <f t="shared" si="132"/>
        <v>1.001839922050588</v>
      </c>
      <c r="P71" s="1835">
        <f t="shared" si="132"/>
        <v>1.0726365843900982</v>
      </c>
      <c r="Q71" s="1835">
        <f t="shared" ref="Q71:Y71" si="133">AVERAGE(N70:Q70)</f>
        <v>1.0026314325868904</v>
      </c>
      <c r="R71" s="1835">
        <f t="shared" si="133"/>
        <v>0.81737282432427238</v>
      </c>
      <c r="S71" s="1835">
        <f t="shared" si="133"/>
        <v>0.50032098376522671</v>
      </c>
      <c r="T71" s="1835">
        <f t="shared" si="133"/>
        <v>0.80993963490614473</v>
      </c>
      <c r="U71" s="1835">
        <f t="shared" si="133"/>
        <v>0.36281593625095465</v>
      </c>
      <c r="V71" s="1835">
        <f t="shared" si="133"/>
        <v>0.33299557075492053</v>
      </c>
      <c r="W71" s="1835">
        <f t="shared" si="133"/>
        <v>0.32708421897240275</v>
      </c>
      <c r="X71" s="1835">
        <f t="shared" si="133"/>
        <v>-7.0556554162631097E-2</v>
      </c>
      <c r="Y71" s="1835">
        <f t="shared" si="133"/>
        <v>0.20137997130864876</v>
      </c>
      <c r="Z71" s="2147">
        <f t="shared" si="132"/>
        <v>0.21139380996324039</v>
      </c>
      <c r="AA71" s="2147">
        <f t="shared" si="132"/>
        <v>0.22151484211962225</v>
      </c>
      <c r="AB71" s="2147">
        <f t="shared" si="132"/>
        <v>0.26229429849455754</v>
      </c>
      <c r="AC71" s="2147">
        <f t="shared" si="132"/>
        <v>0.25444518717660053</v>
      </c>
      <c r="AD71" s="2147">
        <f t="shared" ca="1" si="132"/>
        <v>0.18045246450955849</v>
      </c>
      <c r="AE71" s="2147">
        <f t="shared" ca="1" si="132"/>
        <v>0.10922735973597854</v>
      </c>
    </row>
    <row r="72" spans="1:31" s="749" customFormat="1" ht="12.75" customHeight="1">
      <c r="A72" s="714"/>
      <c r="B72" s="714"/>
      <c r="C72" s="986"/>
      <c r="D72" s="1082"/>
      <c r="E72" s="1083" t="s">
        <v>1073</v>
      </c>
      <c r="F72" s="1084" t="s">
        <v>936</v>
      </c>
      <c r="G72" s="1085"/>
      <c r="H72" s="1837">
        <f ca="1">+H48/'VVP2'!H$138</f>
        <v>-3.3833758652497256E-2</v>
      </c>
      <c r="I72" s="1837">
        <f>+I48/'VVP2'!I$138</f>
        <v>0.21314810654195343</v>
      </c>
      <c r="J72" s="1837">
        <f>+J48/'VVP2'!J$138</f>
        <v>1.0967793011632996</v>
      </c>
      <c r="K72" s="1837">
        <f>+K48/'VVP2'!K$138</f>
        <v>0.4697191504538667</v>
      </c>
      <c r="L72" s="1837">
        <f>+L48/'VVP2'!L$138</f>
        <v>0.69820017021840086</v>
      </c>
      <c r="M72" s="1837">
        <f>+M48/'VVP2'!M$138</f>
        <v>2.2531508585296116</v>
      </c>
      <c r="N72" s="1837">
        <f>+N48/'VVP2'!N$138</f>
        <v>-1.9426002891172856E-2</v>
      </c>
      <c r="O72" s="1837">
        <f>+O48/'VVP2'!O$138</f>
        <v>-0.11542271000877739</v>
      </c>
      <c r="P72" s="1837">
        <f>+P48/'VVP2'!P$138</f>
        <v>0.30091012156352209</v>
      </c>
      <c r="Q72" s="1837">
        <f>+Q48/'VVP2'!Q$138</f>
        <v>0.78514435233378699</v>
      </c>
      <c r="R72" s="1837">
        <f>+R48/'VVP2'!R$138</f>
        <v>0.48412217946905939</v>
      </c>
      <c r="S72" s="1837">
        <f>+S48/'VVP2'!S$138</f>
        <v>0.51893045283654637</v>
      </c>
      <c r="T72" s="1837">
        <f>+T48/'VVP2'!T$138</f>
        <v>2.4017460720994577</v>
      </c>
      <c r="U72" s="1837">
        <f>+U48/'VVP2'!U$138</f>
        <v>0.15913006190183362</v>
      </c>
      <c r="V72" s="1837">
        <f>+V48/'VVP2'!V$138</f>
        <v>0.22702426303966025</v>
      </c>
      <c r="W72" s="1837">
        <f>+W48/'VVP2'!W$138</f>
        <v>0.79098686449243161</v>
      </c>
      <c r="X72" s="1837">
        <f>+X48/'VVP2'!X$138</f>
        <v>1.3335998698760345</v>
      </c>
      <c r="Y72" s="1837">
        <f>+Y48/'VVP2'!Y$138</f>
        <v>-2.7191711588006693</v>
      </c>
      <c r="Z72" s="1837">
        <f>+Z48/'VVP2'!Z$138</f>
        <v>0.26737109626721622</v>
      </c>
      <c r="AA72" s="1837">
        <f>+AA48/'VVP2'!AA$138</f>
        <v>0.56320797637162645</v>
      </c>
      <c r="AB72" s="1837">
        <f>+AB48/'VVP2'!AB$138</f>
        <v>0.79145308662012348</v>
      </c>
      <c r="AC72" s="1837">
        <f>+AC48/'VVP2'!AC$138</f>
        <v>0.83596796478168578</v>
      </c>
      <c r="AD72" s="2147">
        <f ca="1">+AD48/'VVP2'!AD$138</f>
        <v>0.68047376818825611</v>
      </c>
      <c r="AE72" s="2147">
        <f ca="1">+AE48/'VVP2'!AE$138</f>
        <v>0.57481962092654881</v>
      </c>
    </row>
    <row r="73" spans="1:31">
      <c r="A73" s="1123"/>
      <c r="C73" s="907"/>
      <c r="D73" s="1838"/>
      <c r="E73" s="1839" t="s">
        <v>870</v>
      </c>
      <c r="F73" s="1840"/>
      <c r="G73" s="1841"/>
      <c r="H73" s="1836"/>
      <c r="I73" s="1836"/>
      <c r="J73" s="1836"/>
      <c r="K73" s="1836">
        <f t="shared" ref="K73:AE73" ca="1" si="134">AVERAGE(H72:K72)</f>
        <v>0.4364531998766556</v>
      </c>
      <c r="L73" s="1836">
        <f t="shared" si="134"/>
        <v>0.61946168209438013</v>
      </c>
      <c r="M73" s="1836">
        <f t="shared" si="134"/>
        <v>1.1294623700912947</v>
      </c>
      <c r="N73" s="1836">
        <f t="shared" si="134"/>
        <v>0.85041104407767665</v>
      </c>
      <c r="O73" s="1836">
        <f t="shared" si="134"/>
        <v>0.70412557896201566</v>
      </c>
      <c r="P73" s="1836">
        <f t="shared" si="134"/>
        <v>0.60480306679829587</v>
      </c>
      <c r="Q73" s="1836">
        <f t="shared" ref="Q73:Y73" si="135">AVERAGE(N72:Q72)</f>
        <v>0.23780144024933969</v>
      </c>
      <c r="R73" s="1836">
        <f t="shared" si="135"/>
        <v>0.36368848583939778</v>
      </c>
      <c r="S73" s="1836">
        <f t="shared" si="135"/>
        <v>0.52227677655072868</v>
      </c>
      <c r="T73" s="1836">
        <f t="shared" si="135"/>
        <v>1.0474857641847126</v>
      </c>
      <c r="U73" s="1836">
        <f t="shared" si="135"/>
        <v>0.89098219157672431</v>
      </c>
      <c r="V73" s="1836">
        <f t="shared" si="135"/>
        <v>0.82670771246937458</v>
      </c>
      <c r="W73" s="1836">
        <f t="shared" si="135"/>
        <v>0.89472181538334583</v>
      </c>
      <c r="X73" s="1836">
        <f t="shared" si="135"/>
        <v>0.62768526482748999</v>
      </c>
      <c r="Y73" s="1836">
        <f t="shared" si="135"/>
        <v>-9.1890040348135749E-2</v>
      </c>
      <c r="Z73" s="2148">
        <f t="shared" si="134"/>
        <v>-8.1803332041246679E-2</v>
      </c>
      <c r="AA73" s="2148">
        <f t="shared" si="134"/>
        <v>-0.13874805407144802</v>
      </c>
      <c r="AB73" s="2148">
        <f t="shared" si="134"/>
        <v>-0.27428474988542578</v>
      </c>
      <c r="AC73" s="2148">
        <f t="shared" si="134"/>
        <v>0.61450003101016293</v>
      </c>
      <c r="AD73" s="2148">
        <f t="shared" ca="1" si="134"/>
        <v>0.71777569899042293</v>
      </c>
      <c r="AE73" s="2148">
        <f t="shared" ca="1" si="134"/>
        <v>0.72067861012915357</v>
      </c>
    </row>
    <row r="74" spans="1:31" ht="30" customHeight="1">
      <c r="A74" s="1123"/>
      <c r="G74" s="755"/>
      <c r="H74" s="755"/>
      <c r="I74" s="755"/>
      <c r="J74" s="755"/>
      <c r="K74" s="755"/>
      <c r="L74" s="755"/>
      <c r="M74" s="755"/>
      <c r="N74" s="755"/>
      <c r="O74" s="755"/>
      <c r="P74" s="755"/>
      <c r="Q74" s="913"/>
      <c r="R74" s="2142"/>
      <c r="S74" s="2142"/>
      <c r="T74" s="2142"/>
      <c r="U74" s="2142"/>
      <c r="Y74" s="2840"/>
      <c r="Z74" s="2840"/>
      <c r="AA74" s="2840"/>
      <c r="AB74" s="2840"/>
      <c r="AC74" s="2840"/>
      <c r="AD74" s="2840"/>
      <c r="AE74" s="2840"/>
    </row>
    <row r="75" spans="1:31" s="749" customFormat="1" ht="12.75" customHeight="1">
      <c r="A75" s="714"/>
      <c r="B75" s="714"/>
      <c r="C75" s="716"/>
      <c r="D75" s="745"/>
      <c r="E75" s="746" t="s">
        <v>1306</v>
      </c>
      <c r="F75" s="747"/>
      <c r="G75" s="748">
        <f>+InputY!$G$3</f>
        <v>1995</v>
      </c>
      <c r="H75" s="748">
        <f>+G75+1</f>
        <v>1996</v>
      </c>
      <c r="I75" s="748">
        <f t="shared" ref="I75:S75" si="136">+H75+1</f>
        <v>1997</v>
      </c>
      <c r="J75" s="748">
        <f t="shared" si="136"/>
        <v>1998</v>
      </c>
      <c r="K75" s="748">
        <f t="shared" si="136"/>
        <v>1999</v>
      </c>
      <c r="L75" s="748">
        <f t="shared" si="136"/>
        <v>2000</v>
      </c>
      <c r="M75" s="748">
        <f t="shared" si="136"/>
        <v>2001</v>
      </c>
      <c r="N75" s="748">
        <f t="shared" si="136"/>
        <v>2002</v>
      </c>
      <c r="O75" s="748">
        <f t="shared" si="136"/>
        <v>2003</v>
      </c>
      <c r="P75" s="748">
        <f>+O75+1</f>
        <v>2004</v>
      </c>
      <c r="Q75" s="748">
        <f>+P75+1</f>
        <v>2005</v>
      </c>
      <c r="R75" s="748">
        <f>+Q75+1</f>
        <v>2006</v>
      </c>
      <c r="S75" s="2122">
        <f t="shared" si="136"/>
        <v>2007</v>
      </c>
      <c r="T75" s="2122">
        <f t="shared" ref="T75:AE75" si="137">+S75+1</f>
        <v>2008</v>
      </c>
      <c r="U75" s="2122">
        <f t="shared" si="137"/>
        <v>2009</v>
      </c>
      <c r="V75" s="2122">
        <f t="shared" si="137"/>
        <v>2010</v>
      </c>
      <c r="W75" s="2122">
        <f t="shared" si="137"/>
        <v>2011</v>
      </c>
      <c r="X75" s="2122">
        <f t="shared" si="137"/>
        <v>2012</v>
      </c>
      <c r="Y75" s="2122">
        <f t="shared" si="137"/>
        <v>2013</v>
      </c>
      <c r="Z75" s="2122">
        <f t="shared" si="137"/>
        <v>2014</v>
      </c>
      <c r="AA75" s="2122">
        <f t="shared" si="137"/>
        <v>2015</v>
      </c>
      <c r="AB75" s="2122">
        <f t="shared" si="137"/>
        <v>2016</v>
      </c>
      <c r="AC75" s="2122">
        <f t="shared" si="137"/>
        <v>2017</v>
      </c>
      <c r="AD75" s="2122">
        <f t="shared" si="137"/>
        <v>2018</v>
      </c>
      <c r="AE75" s="2122">
        <f t="shared" si="137"/>
        <v>2019</v>
      </c>
    </row>
    <row r="76" spans="1:31" s="928" customFormat="1" ht="12.75" customHeight="1">
      <c r="A76" s="714"/>
      <c r="B76" s="714"/>
      <c r="C76" s="717" t="s">
        <v>622</v>
      </c>
      <c r="D76" s="821"/>
      <c r="E76" s="930" t="s">
        <v>1073</v>
      </c>
      <c r="F76" s="931" t="s">
        <v>423</v>
      </c>
      <c r="G76" s="932">
        <f>+G30</f>
        <v>3169.6</v>
      </c>
      <c r="H76" s="932">
        <f>+H30</f>
        <v>3173.7</v>
      </c>
      <c r="I76" s="932">
        <f t="shared" ref="I76:O76" si="138">+I30</f>
        <v>3198.8</v>
      </c>
      <c r="J76" s="932">
        <f t="shared" si="138"/>
        <v>3268.1</v>
      </c>
      <c r="K76" s="932">
        <f t="shared" si="138"/>
        <v>3322.8</v>
      </c>
      <c r="L76" s="932">
        <f t="shared" si="138"/>
        <v>3407.1</v>
      </c>
      <c r="M76" s="932">
        <f t="shared" si="138"/>
        <v>3469.4</v>
      </c>
      <c r="N76" s="932">
        <f t="shared" si="138"/>
        <v>3468.2</v>
      </c>
      <c r="O76" s="932">
        <f t="shared" si="138"/>
        <v>3465.1</v>
      </c>
      <c r="P76" s="932">
        <f t="shared" ref="P76:W76" si="139">+P30</f>
        <v>3503</v>
      </c>
      <c r="Q76" s="932">
        <f t="shared" si="139"/>
        <v>3560.6</v>
      </c>
      <c r="R76" s="932">
        <f t="shared" si="139"/>
        <v>3603.8</v>
      </c>
      <c r="S76" s="932">
        <f t="shared" si="139"/>
        <v>3668.3</v>
      </c>
      <c r="T76" s="932">
        <f t="shared" si="139"/>
        <v>3737.3</v>
      </c>
      <c r="U76" s="932">
        <f>+U30</f>
        <v>3723.9</v>
      </c>
      <c r="V76" s="932">
        <f>+V30</f>
        <v>3747.1</v>
      </c>
      <c r="W76" s="2149">
        <f t="shared" si="139"/>
        <v>3800.4</v>
      </c>
      <c r="X76" s="2149">
        <f t="shared" ref="X76:AC76" si="140">+X30</f>
        <v>3812.3</v>
      </c>
      <c r="Y76" s="2149">
        <f t="shared" si="140"/>
        <v>3791.5</v>
      </c>
      <c r="Z76" s="2149">
        <f t="shared" si="140"/>
        <v>3805.2</v>
      </c>
      <c r="AA76" s="2149">
        <f t="shared" si="140"/>
        <v>3835.3</v>
      </c>
      <c r="AB76" s="2149">
        <f t="shared" si="140"/>
        <v>3879.8</v>
      </c>
      <c r="AC76" s="2149">
        <f t="shared" si="140"/>
        <v>3934.5</v>
      </c>
      <c r="AD76" s="2149">
        <f t="shared" ref="AD76:AE76" si="141">+AD30</f>
        <v>3982.9148500000001</v>
      </c>
      <c r="AE76" s="2149">
        <f t="shared" si="141"/>
        <v>4022.5894671199994</v>
      </c>
    </row>
    <row r="77" spans="1:31" s="927" customFormat="1" ht="12.75" customHeight="1">
      <c r="A77" s="714"/>
      <c r="B77" s="714"/>
      <c r="C77" s="929" t="s">
        <v>622</v>
      </c>
      <c r="D77" s="933"/>
      <c r="E77" s="934" t="str">
        <f>+E33</f>
        <v>Frontier workers</v>
      </c>
      <c r="F77" s="935" t="s">
        <v>422</v>
      </c>
      <c r="G77" s="936">
        <f>+G33</f>
        <v>62.599999999999909</v>
      </c>
      <c r="H77" s="936">
        <f>+H33</f>
        <v>61.599999999999909</v>
      </c>
      <c r="I77" s="936">
        <f t="shared" ref="I77:O77" si="142">+I33</f>
        <v>61.900000000000091</v>
      </c>
      <c r="J77" s="936">
        <f t="shared" si="142"/>
        <v>62.699999999999818</v>
      </c>
      <c r="K77" s="936">
        <f t="shared" si="142"/>
        <v>62.599999999999909</v>
      </c>
      <c r="L77" s="936">
        <f t="shared" si="142"/>
        <v>63.600000000000364</v>
      </c>
      <c r="M77" s="936">
        <f t="shared" si="142"/>
        <v>65.699999999999818</v>
      </c>
      <c r="N77" s="936">
        <f t="shared" si="142"/>
        <v>66.800000000000182</v>
      </c>
      <c r="O77" s="936">
        <f t="shared" si="142"/>
        <v>69.400000000000546</v>
      </c>
      <c r="P77" s="936">
        <f>+P33</f>
        <v>71.600000000000364</v>
      </c>
      <c r="Q77" s="936">
        <f>+Q33</f>
        <v>73.100000000000364</v>
      </c>
      <c r="R77" s="936">
        <f>+R33</f>
        <v>75.200000000000728</v>
      </c>
      <c r="S77" s="936">
        <f>+S33</f>
        <v>77.100000000000364</v>
      </c>
      <c r="T77" s="936">
        <f t="shared" ref="T77:Y77" si="143">+T33</f>
        <v>77.600000000000364</v>
      </c>
      <c r="U77" s="936">
        <f t="shared" si="143"/>
        <v>78.5</v>
      </c>
      <c r="V77" s="936">
        <f t="shared" si="143"/>
        <v>79.199999999999818</v>
      </c>
      <c r="W77" s="2150">
        <f t="shared" si="143"/>
        <v>79</v>
      </c>
      <c r="X77" s="2150">
        <f t="shared" si="143"/>
        <v>79.600000000000364</v>
      </c>
      <c r="Y77" s="2150">
        <f t="shared" si="143"/>
        <v>78.799999999999272</v>
      </c>
      <c r="Z77" s="2150">
        <f t="shared" ref="Z77:AE77" si="144">+Z33</f>
        <v>78</v>
      </c>
      <c r="AA77" s="2150">
        <f t="shared" si="144"/>
        <v>77.300000000000182</v>
      </c>
      <c r="AB77" s="2150">
        <f t="shared" si="144"/>
        <v>77.299999999999272</v>
      </c>
      <c r="AC77" s="2150">
        <f t="shared" si="144"/>
        <v>77.300000000000182</v>
      </c>
      <c r="AD77" s="2150">
        <f t="shared" si="144"/>
        <v>76.913500000000184</v>
      </c>
      <c r="AE77" s="2150">
        <f t="shared" si="144"/>
        <v>76.144365000000178</v>
      </c>
    </row>
    <row r="78" spans="1:31" s="749" customFormat="1" ht="12.75" customHeight="1">
      <c r="A78" s="714"/>
      <c r="B78" s="714">
        <v>83</v>
      </c>
      <c r="C78" s="716" t="s">
        <v>624</v>
      </c>
      <c r="D78" s="794"/>
      <c r="E78" s="937" t="s">
        <v>723</v>
      </c>
      <c r="F78" s="938" t="s">
        <v>1077</v>
      </c>
      <c r="G78" s="797">
        <f>+G76+G77</f>
        <v>3232.2</v>
      </c>
      <c r="H78" s="797">
        <f>+H76+H77</f>
        <v>3235.2999999999997</v>
      </c>
      <c r="I78" s="797">
        <f t="shared" ref="I78:Y78" si="145">+I76+I77</f>
        <v>3260.7000000000003</v>
      </c>
      <c r="J78" s="797">
        <f t="shared" si="145"/>
        <v>3330.7999999999997</v>
      </c>
      <c r="K78" s="797">
        <f t="shared" si="145"/>
        <v>3385.4</v>
      </c>
      <c r="L78" s="797">
        <f t="shared" si="145"/>
        <v>3470.7000000000003</v>
      </c>
      <c r="M78" s="797">
        <f t="shared" si="145"/>
        <v>3535.1</v>
      </c>
      <c r="N78" s="797">
        <f t="shared" si="145"/>
        <v>3535</v>
      </c>
      <c r="O78" s="797">
        <f t="shared" si="145"/>
        <v>3534.5000000000005</v>
      </c>
      <c r="P78" s="797">
        <f t="shared" si="145"/>
        <v>3574.6000000000004</v>
      </c>
      <c r="Q78" s="797">
        <f t="shared" ref="Q78:V78" si="146">+Q76+Q77</f>
        <v>3633.7000000000003</v>
      </c>
      <c r="R78" s="797">
        <f t="shared" si="146"/>
        <v>3679.0000000000009</v>
      </c>
      <c r="S78" s="797">
        <f t="shared" si="146"/>
        <v>3745.4000000000005</v>
      </c>
      <c r="T78" s="797">
        <f t="shared" si="146"/>
        <v>3814.9000000000005</v>
      </c>
      <c r="U78" s="797">
        <f t="shared" si="146"/>
        <v>3802.4</v>
      </c>
      <c r="V78" s="797">
        <f t="shared" si="146"/>
        <v>3826.2999999999997</v>
      </c>
      <c r="W78" s="2151">
        <f t="shared" si="145"/>
        <v>3879.4</v>
      </c>
      <c r="X78" s="2151">
        <f t="shared" si="145"/>
        <v>3891.9000000000005</v>
      </c>
      <c r="Y78" s="2151">
        <f t="shared" si="145"/>
        <v>3870.2999999999993</v>
      </c>
      <c r="Z78" s="2151">
        <f t="shared" ref="Z78:AE78" si="147">+Z76+Z77</f>
        <v>3883.2</v>
      </c>
      <c r="AA78" s="2151">
        <f t="shared" si="147"/>
        <v>3912.6000000000004</v>
      </c>
      <c r="AB78" s="2151">
        <f t="shared" si="147"/>
        <v>3957.0999999999995</v>
      </c>
      <c r="AC78" s="2151">
        <f t="shared" si="147"/>
        <v>4011.8</v>
      </c>
      <c r="AD78" s="2151">
        <f t="shared" si="147"/>
        <v>4059.8283500000002</v>
      </c>
      <c r="AE78" s="2151">
        <f t="shared" si="147"/>
        <v>4098.7338321199995</v>
      </c>
    </row>
    <row r="79" spans="1:31">
      <c r="A79" s="1123"/>
      <c r="Q79" s="218"/>
      <c r="R79" s="218"/>
      <c r="S79" s="218"/>
      <c r="V79" s="2121"/>
      <c r="W79" s="2121"/>
      <c r="X79" s="2121"/>
      <c r="Y79" s="2121"/>
      <c r="Z79" s="2121"/>
      <c r="AA79" s="2121"/>
      <c r="AB79" s="2121"/>
      <c r="AC79" s="2121"/>
      <c r="AD79" s="2121"/>
      <c r="AE79" s="2121"/>
    </row>
    <row r="80" spans="1:31" s="749" customFormat="1" ht="12.75" customHeight="1">
      <c r="A80" s="714"/>
      <c r="B80" s="714"/>
      <c r="C80" s="716"/>
      <c r="D80" s="790"/>
      <c r="E80" s="791" t="s">
        <v>1306</v>
      </c>
      <c r="F80" s="792"/>
      <c r="G80" s="793">
        <f>+InputY!$G$3</f>
        <v>1995</v>
      </c>
      <c r="H80" s="793">
        <f>+G80+1</f>
        <v>1996</v>
      </c>
      <c r="I80" s="793">
        <f t="shared" ref="I80:O80" si="148">+H80+1</f>
        <v>1997</v>
      </c>
      <c r="J80" s="793">
        <f t="shared" si="148"/>
        <v>1998</v>
      </c>
      <c r="K80" s="793">
        <f t="shared" si="148"/>
        <v>1999</v>
      </c>
      <c r="L80" s="793">
        <f t="shared" si="148"/>
        <v>2000</v>
      </c>
      <c r="M80" s="793">
        <f t="shared" si="148"/>
        <v>2001</v>
      </c>
      <c r="N80" s="793">
        <f t="shared" si="148"/>
        <v>2002</v>
      </c>
      <c r="O80" s="793">
        <f t="shared" si="148"/>
        <v>2003</v>
      </c>
      <c r="P80" s="793">
        <f t="shared" ref="P80:U80" si="149">+O80+1</f>
        <v>2004</v>
      </c>
      <c r="Q80" s="793">
        <f t="shared" si="149"/>
        <v>2005</v>
      </c>
      <c r="R80" s="793">
        <f t="shared" si="149"/>
        <v>2006</v>
      </c>
      <c r="S80" s="793">
        <f t="shared" si="149"/>
        <v>2007</v>
      </c>
      <c r="T80" s="2126">
        <f t="shared" si="149"/>
        <v>2008</v>
      </c>
      <c r="U80" s="2126">
        <f t="shared" si="149"/>
        <v>2009</v>
      </c>
      <c r="V80" s="2126">
        <f t="shared" ref="V80:AE80" si="150">+U80+1</f>
        <v>2010</v>
      </c>
      <c r="W80" s="2126">
        <f t="shared" si="150"/>
        <v>2011</v>
      </c>
      <c r="X80" s="2126">
        <f t="shared" si="150"/>
        <v>2012</v>
      </c>
      <c r="Y80" s="2126">
        <f t="shared" si="150"/>
        <v>2013</v>
      </c>
      <c r="Z80" s="2126">
        <f t="shared" si="150"/>
        <v>2014</v>
      </c>
      <c r="AA80" s="2126">
        <f t="shared" si="150"/>
        <v>2015</v>
      </c>
      <c r="AB80" s="2126">
        <f t="shared" si="150"/>
        <v>2016</v>
      </c>
      <c r="AC80" s="2126">
        <f t="shared" si="150"/>
        <v>2017</v>
      </c>
      <c r="AD80" s="2126">
        <f t="shared" si="150"/>
        <v>2018</v>
      </c>
      <c r="AE80" s="2126">
        <f t="shared" si="150"/>
        <v>2019</v>
      </c>
    </row>
    <row r="81" spans="1:32" s="749" customFormat="1" ht="12.75" customHeight="1">
      <c r="A81" s="714"/>
      <c r="B81" s="714"/>
      <c r="C81" s="738" t="s">
        <v>622</v>
      </c>
      <c r="D81" s="739"/>
      <c r="E81" s="787" t="s">
        <v>1073</v>
      </c>
      <c r="F81" s="782" t="s">
        <v>423</v>
      </c>
      <c r="G81" s="783"/>
      <c r="H81" s="788">
        <f>(H76/G76-1)*100</f>
        <v>0.12935386168602125</v>
      </c>
      <c r="I81" s="788">
        <f t="shared" ref="I81:AE81" si="151">(I76/H76-1)*100</f>
        <v>0.7908750039386403</v>
      </c>
      <c r="J81" s="788">
        <f t="shared" si="151"/>
        <v>2.1664374140302423</v>
      </c>
      <c r="K81" s="788">
        <f t="shared" si="151"/>
        <v>1.6737553930418425</v>
      </c>
      <c r="L81" s="788">
        <f t="shared" si="151"/>
        <v>2.5370169736366854</v>
      </c>
      <c r="M81" s="788">
        <f t="shared" si="151"/>
        <v>1.8285345308326706</v>
      </c>
      <c r="N81" s="788">
        <f t="shared" si="151"/>
        <v>-3.4588113218436689E-2</v>
      </c>
      <c r="O81" s="788">
        <f t="shared" si="151"/>
        <v>-8.9383541894927365E-2</v>
      </c>
      <c r="P81" s="788">
        <f t="shared" si="151"/>
        <v>1.0937635277481261</v>
      </c>
      <c r="Q81" s="788">
        <f t="shared" ref="Q81:V83" si="152">(Q76/P76-1)*100</f>
        <v>1.644304881530112</v>
      </c>
      <c r="R81" s="788">
        <f t="shared" si="152"/>
        <v>1.2132786608998636</v>
      </c>
      <c r="S81" s="788">
        <f t="shared" si="152"/>
        <v>1.7897774571285829</v>
      </c>
      <c r="T81" s="788">
        <f t="shared" si="152"/>
        <v>1.8809802905978223</v>
      </c>
      <c r="U81" s="788">
        <f t="shared" si="152"/>
        <v>-0.35854761458807838</v>
      </c>
      <c r="V81" s="788">
        <f t="shared" si="152"/>
        <v>0.62300276591744641</v>
      </c>
      <c r="W81" s="2152">
        <f t="shared" si="151"/>
        <v>1.4224333484561535</v>
      </c>
      <c r="X81" s="2152">
        <f t="shared" si="151"/>
        <v>0.31312493421744581</v>
      </c>
      <c r="Y81" s="2152">
        <f t="shared" si="151"/>
        <v>-0.54560239225664997</v>
      </c>
      <c r="Z81" s="2152">
        <f t="shared" si="151"/>
        <v>0.36133456415665677</v>
      </c>
      <c r="AA81" s="2152">
        <f t="shared" si="151"/>
        <v>0.79102281089036275</v>
      </c>
      <c r="AB81" s="2152">
        <f t="shared" si="151"/>
        <v>1.1602742940578281</v>
      </c>
      <c r="AC81" s="2152">
        <f t="shared" si="151"/>
        <v>1.409866487963285</v>
      </c>
      <c r="AD81" s="2152">
        <f t="shared" si="151"/>
        <v>1.2305210318973137</v>
      </c>
      <c r="AE81" s="2152">
        <f t="shared" si="151"/>
        <v>0.99612014351748712</v>
      </c>
    </row>
    <row r="82" spans="1:32">
      <c r="A82" s="1123"/>
      <c r="C82" s="740" t="s">
        <v>622</v>
      </c>
      <c r="D82" s="741"/>
      <c r="E82" s="784" t="s">
        <v>1076</v>
      </c>
      <c r="F82" s="785" t="s">
        <v>422</v>
      </c>
      <c r="G82" s="786"/>
      <c r="H82" s="789">
        <f>(H77/G77-1)*100</f>
        <v>-1.5974440894568676</v>
      </c>
      <c r="I82" s="789">
        <f t="shared" ref="I82:AE82" si="153">(I77/H77-1)*100</f>
        <v>0.48701298701328</v>
      </c>
      <c r="J82" s="789">
        <f t="shared" si="153"/>
        <v>1.2924071082386579</v>
      </c>
      <c r="K82" s="789">
        <f t="shared" si="153"/>
        <v>-0.1594896331737039</v>
      </c>
      <c r="L82" s="789">
        <f t="shared" si="153"/>
        <v>1.5974440894575892</v>
      </c>
      <c r="M82" s="789">
        <f t="shared" si="153"/>
        <v>3.3018867924519579</v>
      </c>
      <c r="N82" s="789">
        <f t="shared" si="153"/>
        <v>1.6742770167433196</v>
      </c>
      <c r="O82" s="789">
        <f t="shared" si="153"/>
        <v>3.8922155688628113</v>
      </c>
      <c r="P82" s="789">
        <f t="shared" si="153"/>
        <v>3.1700288184435266</v>
      </c>
      <c r="Q82" s="789">
        <f t="shared" si="152"/>
        <v>2.0949720670391025</v>
      </c>
      <c r="R82" s="789">
        <f t="shared" si="152"/>
        <v>2.8727770177843448</v>
      </c>
      <c r="S82" s="789">
        <f t="shared" si="152"/>
        <v>2.5265957446803489</v>
      </c>
      <c r="T82" s="789">
        <f t="shared" si="152"/>
        <v>0.64850843060959562</v>
      </c>
      <c r="U82" s="789">
        <f t="shared" si="152"/>
        <v>1.1597938144325193</v>
      </c>
      <c r="V82" s="789">
        <f t="shared" si="152"/>
        <v>0.89171974522270769</v>
      </c>
      <c r="W82" s="2153">
        <f t="shared" si="153"/>
        <v>-0.25252525252502656</v>
      </c>
      <c r="X82" s="2153">
        <f t="shared" si="153"/>
        <v>0.75949367088654629</v>
      </c>
      <c r="Y82" s="2153">
        <f t="shared" si="153"/>
        <v>-1.0050251256295106</v>
      </c>
      <c r="Z82" s="2153">
        <f t="shared" si="153"/>
        <v>-1.0152284263950206</v>
      </c>
      <c r="AA82" s="2153">
        <f t="shared" si="153"/>
        <v>-0.8974358974356611</v>
      </c>
      <c r="AB82" s="2153">
        <f t="shared" si="153"/>
        <v>-1.1768364061026659E-12</v>
      </c>
      <c r="AC82" s="2153">
        <f t="shared" si="153"/>
        <v>1.1768364061026659E-12</v>
      </c>
      <c r="AD82" s="2153">
        <f t="shared" si="153"/>
        <v>-0.50000000000000044</v>
      </c>
      <c r="AE82" s="2153">
        <f t="shared" si="153"/>
        <v>-1.0000000000000009</v>
      </c>
    </row>
    <row r="83" spans="1:32" s="749" customFormat="1" ht="12.75" customHeight="1">
      <c r="A83" s="714"/>
      <c r="B83" s="714"/>
      <c r="C83" s="716" t="s">
        <v>624</v>
      </c>
      <c r="D83" s="766"/>
      <c r="E83" s="771" t="s">
        <v>723</v>
      </c>
      <c r="F83" s="772" t="s">
        <v>1077</v>
      </c>
      <c r="G83" s="770"/>
      <c r="H83" s="770">
        <f>(H78/G78-1)*100</f>
        <v>9.5909906565183611E-2</v>
      </c>
      <c r="I83" s="770">
        <f t="shared" ref="I83:AE83" si="154">(I78/H78-1)*100</f>
        <v>0.78508948165549874</v>
      </c>
      <c r="J83" s="770">
        <f t="shared" si="154"/>
        <v>2.1498451252798256</v>
      </c>
      <c r="K83" s="770">
        <f t="shared" si="154"/>
        <v>1.6392458268283949</v>
      </c>
      <c r="L83" s="770">
        <f t="shared" si="154"/>
        <v>2.519643173627939</v>
      </c>
      <c r="M83" s="770">
        <f t="shared" si="154"/>
        <v>1.8555334658714173</v>
      </c>
      <c r="N83" s="770">
        <f t="shared" si="154"/>
        <v>-2.82877429209627E-3</v>
      </c>
      <c r="O83" s="770">
        <f t="shared" si="154"/>
        <v>-1.4144271570004641E-2</v>
      </c>
      <c r="P83" s="770">
        <f t="shared" si="154"/>
        <v>1.134531051068044</v>
      </c>
      <c r="Q83" s="770">
        <f t="shared" si="152"/>
        <v>1.653331841324901</v>
      </c>
      <c r="R83" s="770">
        <f t="shared" si="152"/>
        <v>1.2466631807799278</v>
      </c>
      <c r="S83" s="770">
        <f t="shared" si="152"/>
        <v>1.80483827126936</v>
      </c>
      <c r="T83" s="770">
        <f t="shared" si="152"/>
        <v>1.8556095477118673</v>
      </c>
      <c r="U83" s="770">
        <f t="shared" si="152"/>
        <v>-0.32766258617527022</v>
      </c>
      <c r="V83" s="770">
        <f t="shared" si="152"/>
        <v>0.62855038922784434</v>
      </c>
      <c r="W83" s="2141">
        <f t="shared" si="154"/>
        <v>1.3877636358884615</v>
      </c>
      <c r="X83" s="2141">
        <f t="shared" si="154"/>
        <v>0.32221477548075583</v>
      </c>
      <c r="Y83" s="2141">
        <f t="shared" si="154"/>
        <v>-0.55499884375244113</v>
      </c>
      <c r="Z83" s="2141">
        <f t="shared" si="154"/>
        <v>0.33330749554298933</v>
      </c>
      <c r="AA83" s="2141">
        <f t="shared" si="154"/>
        <v>0.75710754017306314</v>
      </c>
      <c r="AB83" s="2141">
        <f t="shared" si="154"/>
        <v>1.1373511220160282</v>
      </c>
      <c r="AC83" s="2141">
        <f t="shared" si="154"/>
        <v>1.3823254403477536</v>
      </c>
      <c r="AD83" s="2141">
        <f t="shared" si="154"/>
        <v>1.1971770776210144</v>
      </c>
      <c r="AE83" s="2141">
        <f t="shared" si="154"/>
        <v>0.95830362187601104</v>
      </c>
    </row>
    <row r="84" spans="1:32" ht="30" customHeight="1">
      <c r="A84" s="1123"/>
      <c r="Z84" s="2826"/>
      <c r="AA84" s="2826"/>
      <c r="AB84" s="2826"/>
      <c r="AC84" s="2826"/>
      <c r="AD84" s="2826"/>
      <c r="AE84" s="2826"/>
    </row>
    <row r="85" spans="1:32" ht="30" customHeight="1">
      <c r="A85" s="1123"/>
      <c r="N85" s="3383"/>
      <c r="O85" s="3383"/>
      <c r="P85" s="3383"/>
      <c r="Q85" s="3383"/>
      <c r="R85" s="3383"/>
      <c r="S85" s="3383"/>
      <c r="T85" s="3383"/>
      <c r="U85" s="3383"/>
      <c r="V85" s="3383"/>
      <c r="W85" s="3383"/>
      <c r="X85" s="3383"/>
      <c r="Y85" s="3383"/>
      <c r="Z85" s="3383"/>
      <c r="AA85" s="3383"/>
      <c r="AB85" s="3383"/>
      <c r="AC85" s="3383"/>
      <c r="AD85" s="3383"/>
      <c r="AE85" s="3383"/>
    </row>
    <row r="86" spans="1:32" ht="22.5" customHeight="1">
      <c r="C86" s="4124" t="s">
        <v>403</v>
      </c>
      <c r="D86" s="4124"/>
      <c r="E86" s="4124"/>
      <c r="F86" s="4124"/>
      <c r="N86" s="3383"/>
      <c r="O86" s="3383"/>
      <c r="P86" s="3383"/>
      <c r="Q86" s="3383"/>
      <c r="R86" s="3383"/>
      <c r="S86" s="3383"/>
      <c r="T86" s="3735"/>
      <c r="U86" s="3735"/>
      <c r="V86" s="3735"/>
      <c r="W86" s="3786"/>
      <c r="X86" s="3786"/>
      <c r="Y86" s="3786"/>
      <c r="Z86" s="3786"/>
      <c r="AA86" s="3786"/>
      <c r="AB86" s="3786"/>
      <c r="AC86" s="3786"/>
      <c r="AD86" s="3786"/>
      <c r="AE86" s="3786"/>
      <c r="AF86" s="3736"/>
    </row>
    <row r="87" spans="1:32">
      <c r="T87" s="1602"/>
      <c r="U87" s="1602"/>
      <c r="V87" s="1602"/>
      <c r="W87" s="1602"/>
      <c r="X87" s="1602"/>
      <c r="Y87" s="1602"/>
      <c r="Z87" s="1602"/>
      <c r="AA87" s="1602"/>
      <c r="AB87" s="1602"/>
      <c r="AC87" s="1602"/>
      <c r="AD87" s="1602"/>
      <c r="AE87" s="1602"/>
      <c r="AF87" s="3736"/>
    </row>
    <row r="88" spans="1:32" s="749" customFormat="1" ht="12.75" customHeight="1">
      <c r="A88" s="714"/>
      <c r="B88" s="714"/>
      <c r="C88" s="716"/>
      <c r="D88" s="745"/>
      <c r="E88" s="746" t="s">
        <v>402</v>
      </c>
      <c r="F88" s="747"/>
      <c r="G88" s="748">
        <f>+InputY!$G$3</f>
        <v>1995</v>
      </c>
      <c r="H88" s="748">
        <f>+G88+1</f>
        <v>1996</v>
      </c>
      <c r="I88" s="748">
        <f t="shared" ref="I88:S88" si="155">+H88+1</f>
        <v>1997</v>
      </c>
      <c r="J88" s="748">
        <f t="shared" si="155"/>
        <v>1998</v>
      </c>
      <c r="K88" s="748">
        <f t="shared" si="155"/>
        <v>1999</v>
      </c>
      <c r="L88" s="748">
        <f t="shared" si="155"/>
        <v>2000</v>
      </c>
      <c r="M88" s="748">
        <f t="shared" si="155"/>
        <v>2001</v>
      </c>
      <c r="N88" s="748">
        <f t="shared" si="155"/>
        <v>2002</v>
      </c>
      <c r="O88" s="748">
        <f t="shared" si="155"/>
        <v>2003</v>
      </c>
      <c r="P88" s="748">
        <f>+O88+1</f>
        <v>2004</v>
      </c>
      <c r="Q88" s="748">
        <f>+P88+1</f>
        <v>2005</v>
      </c>
      <c r="R88" s="748">
        <f>+Q88+1</f>
        <v>2006</v>
      </c>
      <c r="S88" s="2122">
        <f t="shared" si="155"/>
        <v>2007</v>
      </c>
      <c r="T88" s="2122">
        <f t="shared" ref="T88:AE88" si="156">+S88+1</f>
        <v>2008</v>
      </c>
      <c r="U88" s="2122">
        <f t="shared" si="156"/>
        <v>2009</v>
      </c>
      <c r="V88" s="2122">
        <f t="shared" si="156"/>
        <v>2010</v>
      </c>
      <c r="W88" s="2122">
        <f t="shared" si="156"/>
        <v>2011</v>
      </c>
      <c r="X88" s="2122">
        <f t="shared" si="156"/>
        <v>2012</v>
      </c>
      <c r="Y88" s="2122">
        <f t="shared" si="156"/>
        <v>2013</v>
      </c>
      <c r="Z88" s="2122">
        <f t="shared" si="156"/>
        <v>2014</v>
      </c>
      <c r="AA88" s="2122">
        <f t="shared" si="156"/>
        <v>2015</v>
      </c>
      <c r="AB88" s="2122">
        <f t="shared" si="156"/>
        <v>2016</v>
      </c>
      <c r="AC88" s="2122">
        <f t="shared" si="156"/>
        <v>2017</v>
      </c>
      <c r="AD88" s="2122">
        <f t="shared" si="156"/>
        <v>2018</v>
      </c>
      <c r="AE88" s="2122">
        <f t="shared" si="156"/>
        <v>2019</v>
      </c>
    </row>
    <row r="89" spans="1:32">
      <c r="A89" s="714">
        <f>+ROW(InputY!A226)</f>
        <v>226</v>
      </c>
      <c r="B89" s="715">
        <v>85</v>
      </c>
      <c r="C89" s="727"/>
      <c r="D89" s="728"/>
      <c r="E89" s="775" t="s">
        <v>400</v>
      </c>
      <c r="F89" s="776" t="str">
        <f>+InputY!B226</f>
        <v>AvHoursWorked</v>
      </c>
      <c r="G89" s="776">
        <f>+InputY!G226</f>
        <v>1585.4917446001759</v>
      </c>
      <c r="H89" s="776">
        <f>+InputY!H226</f>
        <v>1559.4836782399757</v>
      </c>
      <c r="I89" s="776">
        <f>+InputY!I226</f>
        <v>1572.4877114534327</v>
      </c>
      <c r="J89" s="776">
        <f>+InputY!J226</f>
        <v>1583.4911242111666</v>
      </c>
      <c r="K89" s="776">
        <f>+InputY!K226</f>
        <v>1582.4908138437856</v>
      </c>
      <c r="L89" s="776">
        <f>+InputY!L226</f>
        <v>1594.8504222541314</v>
      </c>
      <c r="M89" s="776">
        <f>+InputY!M226</f>
        <v>1588.3749159704219</v>
      </c>
      <c r="N89" s="776">
        <f>+InputY!N226</f>
        <v>1582.7155365261106</v>
      </c>
      <c r="O89" s="776">
        <f>+InputY!O226</f>
        <v>1577.7916656635932</v>
      </c>
      <c r="P89" s="776">
        <f>+InputY!P226</f>
        <v>1572.9612367988177</v>
      </c>
      <c r="Q89" s="776">
        <f>+InputY!Q226</f>
        <v>1565.4303910509498</v>
      </c>
      <c r="R89" s="776">
        <f>+InputY!R226</f>
        <v>1572.2457877245581</v>
      </c>
      <c r="S89" s="776">
        <f>+InputY!S226</f>
        <v>1576.6563936075358</v>
      </c>
      <c r="T89" s="776">
        <f>+InputY!T226</f>
        <v>1569.9796761660944</v>
      </c>
      <c r="U89" s="776">
        <f>+InputY!U226</f>
        <v>1548.1160499381397</v>
      </c>
      <c r="V89" s="776">
        <f>+InputY!V226</f>
        <v>1545.848033080018</v>
      </c>
      <c r="W89" s="776">
        <f>+InputY!W226</f>
        <v>1559.6238617070533</v>
      </c>
      <c r="X89" s="776">
        <f>+InputY!X226</f>
        <v>1559.9050713501645</v>
      </c>
      <c r="Y89" s="776">
        <f>+InputY!Y226</f>
        <v>1558.0079513667099</v>
      </c>
      <c r="Z89" s="776">
        <f>+InputY!Z226</f>
        <v>1555.2024386499704</v>
      </c>
      <c r="AA89" s="776">
        <f>+InputY!AA226</f>
        <v>1544.6099252238939</v>
      </c>
      <c r="AB89" s="776">
        <f>+InputY!AB226</f>
        <v>1545.8149889439901</v>
      </c>
      <c r="AC89" s="2154">
        <f>+AB89*(1+AC92/100)</f>
        <v>1545.8149889439901</v>
      </c>
      <c r="AD89" s="2154">
        <f>+AC89*(1+AD92/100)</f>
        <v>1545.8149889439901</v>
      </c>
      <c r="AE89" s="2154">
        <f>+AD89*(1+AE92/100)</f>
        <v>1545.8149889439901</v>
      </c>
    </row>
    <row r="90" spans="1:32">
      <c r="Q90" s="218"/>
      <c r="R90" s="218"/>
      <c r="V90" s="2121"/>
      <c r="W90" s="2121"/>
      <c r="X90" s="2121"/>
      <c r="Y90" s="2121"/>
      <c r="Z90" s="2121"/>
      <c r="AA90" s="2121"/>
      <c r="AB90" s="2121"/>
      <c r="AC90" s="2121"/>
      <c r="AD90" s="2121"/>
      <c r="AE90" s="2121"/>
    </row>
    <row r="91" spans="1:32" s="749" customFormat="1" ht="12.75" customHeight="1">
      <c r="A91" s="714"/>
      <c r="B91" s="714"/>
      <c r="C91" s="716"/>
      <c r="D91" s="762"/>
      <c r="E91" s="763" t="s">
        <v>401</v>
      </c>
      <c r="F91" s="764"/>
      <c r="G91" s="765">
        <f>+InputY!$G$3</f>
        <v>1995</v>
      </c>
      <c r="H91" s="765">
        <f>+G91+1</f>
        <v>1996</v>
      </c>
      <c r="I91" s="765">
        <f t="shared" ref="I91:S91" si="157">+H91+1</f>
        <v>1997</v>
      </c>
      <c r="J91" s="765">
        <f t="shared" si="157"/>
        <v>1998</v>
      </c>
      <c r="K91" s="765">
        <f t="shared" si="157"/>
        <v>1999</v>
      </c>
      <c r="L91" s="765">
        <f t="shared" si="157"/>
        <v>2000</v>
      </c>
      <c r="M91" s="765">
        <f t="shared" si="157"/>
        <v>2001</v>
      </c>
      <c r="N91" s="765">
        <f t="shared" si="157"/>
        <v>2002</v>
      </c>
      <c r="O91" s="765">
        <f t="shared" si="157"/>
        <v>2003</v>
      </c>
      <c r="P91" s="765">
        <f>+O91+1</f>
        <v>2004</v>
      </c>
      <c r="Q91" s="765">
        <f>+P91+1</f>
        <v>2005</v>
      </c>
      <c r="R91" s="765">
        <f>+Q91+1</f>
        <v>2006</v>
      </c>
      <c r="S91" s="2155">
        <f t="shared" si="157"/>
        <v>2007</v>
      </c>
      <c r="T91" s="2155">
        <f t="shared" ref="T91:AE91" si="158">+S91+1</f>
        <v>2008</v>
      </c>
      <c r="U91" s="2155">
        <f t="shared" si="158"/>
        <v>2009</v>
      </c>
      <c r="V91" s="2155">
        <f t="shared" si="158"/>
        <v>2010</v>
      </c>
      <c r="W91" s="2155">
        <f t="shared" si="158"/>
        <v>2011</v>
      </c>
      <c r="X91" s="2155">
        <f t="shared" si="158"/>
        <v>2012</v>
      </c>
      <c r="Y91" s="2155">
        <f t="shared" si="158"/>
        <v>2013</v>
      </c>
      <c r="Z91" s="2155">
        <f t="shared" si="158"/>
        <v>2014</v>
      </c>
      <c r="AA91" s="2155">
        <f t="shared" si="158"/>
        <v>2015</v>
      </c>
      <c r="AB91" s="2155">
        <f t="shared" si="158"/>
        <v>2016</v>
      </c>
      <c r="AC91" s="2155">
        <f t="shared" si="158"/>
        <v>2017</v>
      </c>
      <c r="AD91" s="2155">
        <f t="shared" si="158"/>
        <v>2018</v>
      </c>
      <c r="AE91" s="2155">
        <f t="shared" si="158"/>
        <v>2019</v>
      </c>
    </row>
    <row r="92" spans="1:32" s="749" customFormat="1" ht="12.75" customHeight="1">
      <c r="A92" s="714"/>
      <c r="B92" s="714"/>
      <c r="C92" s="804" t="s">
        <v>622</v>
      </c>
      <c r="D92" s="805"/>
      <c r="E92" s="806" t="str">
        <f>+E89</f>
        <v>Avg. ann. hours worked / person</v>
      </c>
      <c r="F92" s="807" t="str">
        <f>+F89</f>
        <v>AvHoursWorked</v>
      </c>
      <c r="G92" s="808"/>
      <c r="H92" s="809">
        <f t="shared" ref="H92:P92" si="159">(H89/G89-1)*100</f>
        <v>-1.6403785417854033</v>
      </c>
      <c r="I92" s="809">
        <f t="shared" si="159"/>
        <v>0.83386786247954259</v>
      </c>
      <c r="J92" s="809">
        <f t="shared" si="159"/>
        <v>0.69974554825382729</v>
      </c>
      <c r="K92" s="809">
        <f t="shared" si="159"/>
        <v>-6.3171201409750743E-2</v>
      </c>
      <c r="L92" s="809">
        <f t="shared" si="159"/>
        <v>0.78102244273539068</v>
      </c>
      <c r="M92" s="809">
        <f t="shared" si="159"/>
        <v>-0.40602593154518418</v>
      </c>
      <c r="N92" s="809">
        <f t="shared" si="159"/>
        <v>-0.35629997599487817</v>
      </c>
      <c r="O92" s="809">
        <f t="shared" si="159"/>
        <v>-0.31110270600646084</v>
      </c>
      <c r="P92" s="809">
        <f t="shared" si="159"/>
        <v>-0.30615124733491816</v>
      </c>
      <c r="Q92" s="809">
        <f t="shared" ref="Q92:AB92" si="160">(Q89/P89-1)*100</f>
        <v>-0.47876867984326665</v>
      </c>
      <c r="R92" s="809">
        <f t="shared" si="160"/>
        <v>0.43536887443669237</v>
      </c>
      <c r="S92" s="809">
        <f t="shared" si="160"/>
        <v>0.28052903161921439</v>
      </c>
      <c r="T92" s="809">
        <f t="shared" si="160"/>
        <v>-0.42347321004829741</v>
      </c>
      <c r="U92" s="809">
        <f t="shared" si="160"/>
        <v>-1.3926056852752278</v>
      </c>
      <c r="V92" s="809">
        <f t="shared" si="160"/>
        <v>-0.14650173404069378</v>
      </c>
      <c r="W92" s="809">
        <f t="shared" si="160"/>
        <v>0.89115025101060841</v>
      </c>
      <c r="X92" s="809">
        <f t="shared" si="160"/>
        <v>1.8030606610719424E-2</v>
      </c>
      <c r="Y92" s="809">
        <f t="shared" si="160"/>
        <v>-0.12161765599060237</v>
      </c>
      <c r="Z92" s="809">
        <f t="shared" si="160"/>
        <v>-0.18007050055671714</v>
      </c>
      <c r="AA92" s="809">
        <f t="shared" si="160"/>
        <v>-0.68110190434574891</v>
      </c>
      <c r="AB92" s="809">
        <f t="shared" si="160"/>
        <v>7.801734926191628E-2</v>
      </c>
      <c r="AC92" s="3737">
        <v>0</v>
      </c>
      <c r="AD92" s="3737">
        <v>0</v>
      </c>
      <c r="AE92" s="3737">
        <v>0</v>
      </c>
    </row>
    <row r="93" spans="1:32" ht="30" customHeight="1">
      <c r="E93" s="166"/>
      <c r="F93" s="2929"/>
      <c r="G93" s="3792">
        <f t="shared" ref="G93" si="161">G89/AVERAGE($G$89:$Y$89)</f>
        <v>1.0089895335195211</v>
      </c>
      <c r="H93" s="3792">
        <f>H89/AVERAGE($G$89:$Y$89)</f>
        <v>0.99243828572280635</v>
      </c>
      <c r="I93" s="3792">
        <f t="shared" ref="I93:AB93" si="162">I89/AVERAGE($G$89:$Y$89)</f>
        <v>1.0007139096423918</v>
      </c>
      <c r="J93" s="3792">
        <f t="shared" si="162"/>
        <v>1.0077163606758712</v>
      </c>
      <c r="K93" s="3792">
        <f t="shared" si="162"/>
        <v>1.0070797741440296</v>
      </c>
      <c r="L93" s="3792">
        <f t="shared" si="162"/>
        <v>1.0149452931963434</v>
      </c>
      <c r="M93" s="3792">
        <f t="shared" si="162"/>
        <v>1.0108243521149689</v>
      </c>
      <c r="N93" s="3792">
        <f t="shared" si="162"/>
        <v>1.0072227851910329</v>
      </c>
      <c r="O93" s="3792">
        <f t="shared" si="162"/>
        <v>1.0040892878507901</v>
      </c>
      <c r="P93" s="3792">
        <f t="shared" si="162"/>
        <v>1.0010152559716785</v>
      </c>
      <c r="Q93" s="3792">
        <f t="shared" si="162"/>
        <v>0.99622270844563321</v>
      </c>
      <c r="R93" s="3792">
        <f t="shared" si="162"/>
        <v>1.0005599520382757</v>
      </c>
      <c r="S93" s="3792">
        <f t="shared" si="162"/>
        <v>1.0033668131824984</v>
      </c>
      <c r="T93" s="3792">
        <f t="shared" si="162"/>
        <v>0.99911782353015521</v>
      </c>
      <c r="U93" s="3792">
        <f t="shared" si="162"/>
        <v>0.98520405191707616</v>
      </c>
      <c r="V93" s="3792">
        <f t="shared" si="162"/>
        <v>0.98376071089717843</v>
      </c>
      <c r="W93" s="3792">
        <f t="shared" si="162"/>
        <v>0.99252749694168241</v>
      </c>
      <c r="X93" s="3792">
        <f t="shared" si="162"/>
        <v>0.99270645567015914</v>
      </c>
      <c r="Y93" s="3792">
        <f t="shared" si="162"/>
        <v>0.99149914934790573</v>
      </c>
      <c r="Z93" s="3792">
        <f t="shared" si="162"/>
        <v>0.98971375186665944</v>
      </c>
      <c r="AA93" s="3792">
        <f t="shared" si="162"/>
        <v>0.98297279265512383</v>
      </c>
      <c r="AB93" s="3792">
        <f t="shared" si="162"/>
        <v>0.98373968197191919</v>
      </c>
      <c r="AC93" s="3792">
        <f t="shared" ref="AC93:AD93" si="163">AC89/AVERAGE($G$89:$Y$89)</f>
        <v>0.98373968197191919</v>
      </c>
      <c r="AD93" s="3792">
        <f t="shared" si="163"/>
        <v>0.98373968197191919</v>
      </c>
      <c r="AE93" s="3792">
        <f t="shared" ref="AE93" si="164">AE89/AVERAGE($G$89:$Y$89)</f>
        <v>0.98373968197191919</v>
      </c>
    </row>
    <row r="94" spans="1:32" ht="30" customHeight="1">
      <c r="S94" s="2840"/>
      <c r="T94" s="2826"/>
      <c r="U94" s="2826"/>
      <c r="V94" s="2826"/>
      <c r="W94" s="2826"/>
      <c r="X94" s="2826"/>
      <c r="Y94" s="2826"/>
      <c r="Z94" s="2826"/>
      <c r="AA94" s="2826"/>
      <c r="AB94" s="2840"/>
      <c r="AC94" s="2840"/>
      <c r="AD94" s="2840"/>
      <c r="AE94" s="2840"/>
    </row>
    <row r="95" spans="1:32" ht="22.5" customHeight="1">
      <c r="C95" s="4124" t="s">
        <v>640</v>
      </c>
      <c r="D95" s="4124"/>
      <c r="E95" s="4124"/>
      <c r="F95" s="4124"/>
      <c r="T95" s="2826"/>
      <c r="U95" s="2826"/>
      <c r="V95" s="2826"/>
      <c r="W95" s="2826"/>
      <c r="X95" s="2826"/>
      <c r="Y95" s="2826"/>
      <c r="Z95" s="2826"/>
      <c r="AA95" s="2826"/>
      <c r="AB95" s="2826"/>
      <c r="AC95" s="2826"/>
      <c r="AD95" s="2826"/>
      <c r="AE95" s="2826"/>
    </row>
    <row r="96" spans="1:32">
      <c r="Y96" s="2840"/>
      <c r="Z96" s="2840"/>
      <c r="AA96" s="2840"/>
      <c r="AB96" s="2840"/>
      <c r="AC96" s="2840"/>
      <c r="AD96" s="2840"/>
      <c r="AE96" s="2840"/>
    </row>
    <row r="97" spans="1:35" s="749" customFormat="1" ht="12.75" customHeight="1">
      <c r="A97" s="714"/>
      <c r="B97" s="714"/>
      <c r="C97" s="716"/>
      <c r="D97" s="745"/>
      <c r="E97" s="746" t="s">
        <v>1306</v>
      </c>
      <c r="F97" s="747"/>
      <c r="G97" s="748">
        <f>+InputY!$G$3</f>
        <v>1995</v>
      </c>
      <c r="H97" s="748">
        <f>+G97+1</f>
        <v>1996</v>
      </c>
      <c r="I97" s="748">
        <f t="shared" ref="I97:S97" si="165">+H97+1</f>
        <v>1997</v>
      </c>
      <c r="J97" s="748">
        <f t="shared" si="165"/>
        <v>1998</v>
      </c>
      <c r="K97" s="748">
        <f t="shared" si="165"/>
        <v>1999</v>
      </c>
      <c r="L97" s="748">
        <f t="shared" si="165"/>
        <v>2000</v>
      </c>
      <c r="M97" s="748">
        <f t="shared" si="165"/>
        <v>2001</v>
      </c>
      <c r="N97" s="748">
        <f t="shared" si="165"/>
        <v>2002</v>
      </c>
      <c r="O97" s="748">
        <f t="shared" si="165"/>
        <v>2003</v>
      </c>
      <c r="P97" s="748">
        <f>+O97+1</f>
        <v>2004</v>
      </c>
      <c r="Q97" s="748">
        <f>+P97+1</f>
        <v>2005</v>
      </c>
      <c r="R97" s="748">
        <f>+Q97+1</f>
        <v>2006</v>
      </c>
      <c r="S97" s="2122">
        <f t="shared" si="165"/>
        <v>2007</v>
      </c>
      <c r="T97" s="2122">
        <f t="shared" ref="T97:AE97" si="166">+S97+1</f>
        <v>2008</v>
      </c>
      <c r="U97" s="2122">
        <f t="shared" si="166"/>
        <v>2009</v>
      </c>
      <c r="V97" s="2122">
        <f t="shared" si="166"/>
        <v>2010</v>
      </c>
      <c r="W97" s="2122">
        <f t="shared" si="166"/>
        <v>2011</v>
      </c>
      <c r="X97" s="2122">
        <f t="shared" si="166"/>
        <v>2012</v>
      </c>
      <c r="Y97" s="2122">
        <f t="shared" si="166"/>
        <v>2013</v>
      </c>
      <c r="Z97" s="2122">
        <f t="shared" si="166"/>
        <v>2014</v>
      </c>
      <c r="AA97" s="2122">
        <f t="shared" si="166"/>
        <v>2015</v>
      </c>
      <c r="AB97" s="2122">
        <f t="shared" si="166"/>
        <v>2016</v>
      </c>
      <c r="AC97" s="2122">
        <f t="shared" si="166"/>
        <v>2017</v>
      </c>
      <c r="AD97" s="2122">
        <f t="shared" si="166"/>
        <v>2018</v>
      </c>
      <c r="AE97" s="2122">
        <f t="shared" si="166"/>
        <v>2019</v>
      </c>
    </row>
    <row r="98" spans="1:35">
      <c r="A98" s="714">
        <f>+ROW(InputY!A10)</f>
        <v>10</v>
      </c>
      <c r="B98" s="715">
        <v>60</v>
      </c>
      <c r="C98" s="725"/>
      <c r="D98" s="718"/>
      <c r="E98" s="757" t="s">
        <v>121</v>
      </c>
      <c r="F98" s="758" t="str">
        <f>+InputY!B10</f>
        <v>LEmpTotDFTE</v>
      </c>
      <c r="G98" s="1779">
        <f>+InputY!G10</f>
        <v>0</v>
      </c>
      <c r="H98" s="1779">
        <f>+InputY!H10</f>
        <v>0</v>
      </c>
      <c r="I98" s="1779">
        <f>+InputY!I10</f>
        <v>0</v>
      </c>
      <c r="J98" s="1779">
        <f>+InputY!J10</f>
        <v>0</v>
      </c>
      <c r="K98" s="1779">
        <f>+InputY!K10</f>
        <v>0</v>
      </c>
      <c r="L98" s="1779">
        <f>+InputY!L10</f>
        <v>0</v>
      </c>
      <c r="M98" s="1779">
        <f>+InputY!M10</f>
        <v>0</v>
      </c>
      <c r="N98" s="1779">
        <f>+InputY!N10</f>
        <v>0</v>
      </c>
      <c r="O98" s="1779">
        <f>+InputY!O10</f>
        <v>0</v>
      </c>
      <c r="P98" s="1779">
        <f>+InputY!P10</f>
        <v>0</v>
      </c>
      <c r="Q98" s="1779">
        <f>+InputY!Q10</f>
        <v>0</v>
      </c>
      <c r="R98" s="1779">
        <f>+InputY!R10</f>
        <v>0</v>
      </c>
      <c r="S98" s="2156">
        <f t="shared" ref="S98:X98" si="167">+R98*(1+S104/100)</f>
        <v>0</v>
      </c>
      <c r="T98" s="2156">
        <f t="shared" si="167"/>
        <v>0</v>
      </c>
      <c r="U98" s="2156">
        <f t="shared" si="167"/>
        <v>0</v>
      </c>
      <c r="V98" s="2156">
        <f t="shared" si="167"/>
        <v>0</v>
      </c>
      <c r="W98" s="2156">
        <f t="shared" si="167"/>
        <v>0</v>
      </c>
      <c r="X98" s="2156">
        <f t="shared" si="167"/>
        <v>0</v>
      </c>
      <c r="Y98" s="2156">
        <f t="shared" ref="Y98:AE98" si="168">+X98*(1+Y104/100)</f>
        <v>0</v>
      </c>
      <c r="Z98" s="2156">
        <f t="shared" si="168"/>
        <v>0</v>
      </c>
      <c r="AA98" s="2156">
        <f t="shared" si="168"/>
        <v>0</v>
      </c>
      <c r="AB98" s="2156">
        <f t="shared" si="168"/>
        <v>0</v>
      </c>
      <c r="AC98" s="2156">
        <f t="shared" si="168"/>
        <v>0</v>
      </c>
      <c r="AD98" s="2156">
        <f t="shared" si="168"/>
        <v>0</v>
      </c>
      <c r="AE98" s="2156">
        <f t="shared" si="168"/>
        <v>0</v>
      </c>
    </row>
    <row r="99" spans="1:35" s="26" customFormat="1">
      <c r="A99" s="723"/>
      <c r="B99" s="1770"/>
      <c r="C99" s="1768"/>
      <c r="D99" s="729"/>
      <c r="E99" s="730" t="s">
        <v>642</v>
      </c>
      <c r="F99" s="1769"/>
      <c r="G99" s="1780">
        <f t="shared" ref="G99:Y99" si="169">+G98/G32</f>
        <v>0</v>
      </c>
      <c r="H99" s="1780">
        <f t="shared" si="169"/>
        <v>0</v>
      </c>
      <c r="I99" s="1780">
        <f t="shared" si="169"/>
        <v>0</v>
      </c>
      <c r="J99" s="1780">
        <f t="shared" si="169"/>
        <v>0</v>
      </c>
      <c r="K99" s="1780">
        <f t="shared" si="169"/>
        <v>0</v>
      </c>
      <c r="L99" s="1780">
        <f t="shared" si="169"/>
        <v>0</v>
      </c>
      <c r="M99" s="1780">
        <f t="shared" si="169"/>
        <v>0</v>
      </c>
      <c r="N99" s="1780">
        <f t="shared" si="169"/>
        <v>0</v>
      </c>
      <c r="O99" s="1780">
        <f t="shared" si="169"/>
        <v>0</v>
      </c>
      <c r="P99" s="1780">
        <f t="shared" si="169"/>
        <v>0</v>
      </c>
      <c r="Q99" s="1780">
        <f>+Q98/Q32</f>
        <v>0</v>
      </c>
      <c r="R99" s="1780">
        <f>+R98/R32</f>
        <v>0</v>
      </c>
      <c r="S99" s="2157">
        <f t="shared" si="169"/>
        <v>0</v>
      </c>
      <c r="T99" s="2157">
        <f t="shared" si="169"/>
        <v>0</v>
      </c>
      <c r="U99" s="2157">
        <f t="shared" si="169"/>
        <v>0</v>
      </c>
      <c r="V99" s="2157">
        <f t="shared" si="169"/>
        <v>0</v>
      </c>
      <c r="W99" s="2157">
        <f t="shared" si="169"/>
        <v>0</v>
      </c>
      <c r="X99" s="2157">
        <f t="shared" si="169"/>
        <v>0</v>
      </c>
      <c r="Y99" s="2157">
        <f t="shared" si="169"/>
        <v>0</v>
      </c>
      <c r="Z99" s="2157">
        <f t="shared" ref="Z99:AE99" si="170">+Z98/Z32</f>
        <v>0</v>
      </c>
      <c r="AA99" s="2157">
        <f t="shared" si="170"/>
        <v>0</v>
      </c>
      <c r="AB99" s="2157">
        <f t="shared" si="170"/>
        <v>0</v>
      </c>
      <c r="AC99" s="2157">
        <f t="shared" si="170"/>
        <v>0</v>
      </c>
      <c r="AD99" s="2157">
        <f t="shared" si="170"/>
        <v>0</v>
      </c>
      <c r="AE99" s="2157">
        <f t="shared" si="170"/>
        <v>0</v>
      </c>
    </row>
    <row r="100" spans="1:35">
      <c r="A100" s="714">
        <f>+ROW(InputY!A11)</f>
        <v>11</v>
      </c>
      <c r="B100" s="715">
        <v>64</v>
      </c>
      <c r="C100" s="721"/>
      <c r="D100" s="724"/>
      <c r="E100" s="221" t="s">
        <v>156</v>
      </c>
      <c r="F100" s="774" t="str">
        <f>+InputY!B11</f>
        <v>LEmpDFTE</v>
      </c>
      <c r="G100" s="1781">
        <f>+InputY!G11</f>
        <v>0</v>
      </c>
      <c r="H100" s="1781">
        <f>+InputY!H11</f>
        <v>0</v>
      </c>
      <c r="I100" s="1781">
        <f>+InputY!I11</f>
        <v>0</v>
      </c>
      <c r="J100" s="1781">
        <f>+InputY!J11</f>
        <v>0</v>
      </c>
      <c r="K100" s="1781">
        <f>+InputY!K11</f>
        <v>0</v>
      </c>
      <c r="L100" s="1781">
        <f>+InputY!L11</f>
        <v>0</v>
      </c>
      <c r="M100" s="1781">
        <f>+InputY!M11</f>
        <v>0</v>
      </c>
      <c r="N100" s="1781">
        <f>+InputY!N11</f>
        <v>0</v>
      </c>
      <c r="O100" s="1781">
        <f>+InputY!O11</f>
        <v>0</v>
      </c>
      <c r="P100" s="1781">
        <f>+InputY!P11</f>
        <v>0</v>
      </c>
      <c r="Q100" s="1781">
        <f>+InputY!Q11</f>
        <v>0</v>
      </c>
      <c r="R100" s="1781">
        <f>+InputY!R11</f>
        <v>0</v>
      </c>
      <c r="S100" s="2158">
        <f t="shared" ref="S100:X100" si="171">+R100*(1+S105/100)</f>
        <v>0</v>
      </c>
      <c r="T100" s="2158">
        <f t="shared" si="171"/>
        <v>0</v>
      </c>
      <c r="U100" s="2158">
        <f t="shared" si="171"/>
        <v>0</v>
      </c>
      <c r="V100" s="2158">
        <f t="shared" si="171"/>
        <v>0</v>
      </c>
      <c r="W100" s="2158">
        <f t="shared" si="171"/>
        <v>0</v>
      </c>
      <c r="X100" s="2158">
        <f t="shared" si="171"/>
        <v>0</v>
      </c>
      <c r="Y100" s="2158">
        <f t="shared" ref="Y100:AE100" si="172">+X100*(1+Y105/100)</f>
        <v>0</v>
      </c>
      <c r="Z100" s="2158">
        <f t="shared" si="172"/>
        <v>0</v>
      </c>
      <c r="AA100" s="2158">
        <f t="shared" si="172"/>
        <v>0</v>
      </c>
      <c r="AB100" s="2158">
        <f t="shared" si="172"/>
        <v>0</v>
      </c>
      <c r="AC100" s="2158">
        <f t="shared" si="172"/>
        <v>0</v>
      </c>
      <c r="AD100" s="2158">
        <f t="shared" si="172"/>
        <v>0</v>
      </c>
      <c r="AE100" s="2158">
        <f t="shared" si="172"/>
        <v>0</v>
      </c>
    </row>
    <row r="101" spans="1:35" s="26" customFormat="1">
      <c r="A101" s="723"/>
      <c r="B101" s="723"/>
      <c r="C101" s="737"/>
      <c r="D101" s="733"/>
      <c r="E101" s="734" t="s">
        <v>641</v>
      </c>
      <c r="F101" s="815"/>
      <c r="G101" s="1782">
        <f t="shared" ref="G101:Y101" si="173">+G100/G76</f>
        <v>0</v>
      </c>
      <c r="H101" s="1782">
        <f t="shared" si="173"/>
        <v>0</v>
      </c>
      <c r="I101" s="1782">
        <f t="shared" si="173"/>
        <v>0</v>
      </c>
      <c r="J101" s="1782">
        <f t="shared" si="173"/>
        <v>0</v>
      </c>
      <c r="K101" s="1782">
        <f t="shared" si="173"/>
        <v>0</v>
      </c>
      <c r="L101" s="1782">
        <f t="shared" si="173"/>
        <v>0</v>
      </c>
      <c r="M101" s="1782">
        <f t="shared" si="173"/>
        <v>0</v>
      </c>
      <c r="N101" s="1782">
        <f t="shared" si="173"/>
        <v>0</v>
      </c>
      <c r="O101" s="1782">
        <f t="shared" si="173"/>
        <v>0</v>
      </c>
      <c r="P101" s="1782">
        <f t="shared" si="173"/>
        <v>0</v>
      </c>
      <c r="Q101" s="1782">
        <f>+Q100/Q76</f>
        <v>0</v>
      </c>
      <c r="R101" s="1782">
        <f>+R100/R76</f>
        <v>0</v>
      </c>
      <c r="S101" s="2159">
        <f t="shared" si="173"/>
        <v>0</v>
      </c>
      <c r="T101" s="2159">
        <f t="shared" si="173"/>
        <v>0</v>
      </c>
      <c r="U101" s="2159">
        <f t="shared" si="173"/>
        <v>0</v>
      </c>
      <c r="V101" s="2159">
        <f t="shared" si="173"/>
        <v>0</v>
      </c>
      <c r="W101" s="2159">
        <f t="shared" si="173"/>
        <v>0</v>
      </c>
      <c r="X101" s="2159">
        <f t="shared" si="173"/>
        <v>0</v>
      </c>
      <c r="Y101" s="2159">
        <f t="shared" si="173"/>
        <v>0</v>
      </c>
      <c r="Z101" s="2159">
        <f t="shared" ref="Z101:AE101" si="174">+Z100/Z76</f>
        <v>0</v>
      </c>
      <c r="AA101" s="2159">
        <f t="shared" si="174"/>
        <v>0</v>
      </c>
      <c r="AB101" s="2159">
        <f t="shared" si="174"/>
        <v>0</v>
      </c>
      <c r="AC101" s="2159">
        <f t="shared" si="174"/>
        <v>0</v>
      </c>
      <c r="AD101" s="2159">
        <f t="shared" si="174"/>
        <v>0</v>
      </c>
      <c r="AE101" s="2159">
        <f t="shared" si="174"/>
        <v>0</v>
      </c>
    </row>
    <row r="102" spans="1:35">
      <c r="Q102" s="218"/>
      <c r="R102" s="218"/>
      <c r="V102" s="2121"/>
      <c r="W102" s="2121"/>
      <c r="X102" s="2121"/>
      <c r="Y102" s="2121"/>
      <c r="Z102" s="2121"/>
      <c r="AA102" s="2121"/>
      <c r="AB102" s="2121"/>
      <c r="AC102" s="2121"/>
      <c r="AD102" s="2121"/>
      <c r="AE102" s="2121"/>
    </row>
    <row r="103" spans="1:35" s="749" customFormat="1" ht="12.75" customHeight="1">
      <c r="A103" s="714"/>
      <c r="B103" s="714"/>
      <c r="C103" s="716"/>
      <c r="D103" s="762"/>
      <c r="E103" s="763" t="s">
        <v>401</v>
      </c>
      <c r="F103" s="764"/>
      <c r="G103" s="765">
        <f>+InputY!$G$3</f>
        <v>1995</v>
      </c>
      <c r="H103" s="765">
        <f>+G103+1</f>
        <v>1996</v>
      </c>
      <c r="I103" s="765">
        <f t="shared" ref="I103:S103" si="175">+H103+1</f>
        <v>1997</v>
      </c>
      <c r="J103" s="765">
        <f t="shared" si="175"/>
        <v>1998</v>
      </c>
      <c r="K103" s="765">
        <f t="shared" si="175"/>
        <v>1999</v>
      </c>
      <c r="L103" s="765">
        <f t="shared" si="175"/>
        <v>2000</v>
      </c>
      <c r="M103" s="765">
        <f t="shared" si="175"/>
        <v>2001</v>
      </c>
      <c r="N103" s="765">
        <f t="shared" si="175"/>
        <v>2002</v>
      </c>
      <c r="O103" s="765">
        <f t="shared" si="175"/>
        <v>2003</v>
      </c>
      <c r="P103" s="765">
        <f>+O103+1</f>
        <v>2004</v>
      </c>
      <c r="Q103" s="765">
        <f>+P103+1</f>
        <v>2005</v>
      </c>
      <c r="R103" s="765">
        <f>+Q103+1</f>
        <v>2006</v>
      </c>
      <c r="S103" s="2155">
        <f t="shared" si="175"/>
        <v>2007</v>
      </c>
      <c r="T103" s="2155">
        <f t="shared" ref="T103:AE103" si="176">+S103+1</f>
        <v>2008</v>
      </c>
      <c r="U103" s="2155">
        <f t="shared" si="176"/>
        <v>2009</v>
      </c>
      <c r="V103" s="2155">
        <f t="shared" si="176"/>
        <v>2010</v>
      </c>
      <c r="W103" s="2155">
        <f t="shared" si="176"/>
        <v>2011</v>
      </c>
      <c r="X103" s="2155">
        <f t="shared" si="176"/>
        <v>2012</v>
      </c>
      <c r="Y103" s="2155">
        <f t="shared" si="176"/>
        <v>2013</v>
      </c>
      <c r="Z103" s="2155">
        <f t="shared" si="176"/>
        <v>2014</v>
      </c>
      <c r="AA103" s="2155">
        <f t="shared" si="176"/>
        <v>2015</v>
      </c>
      <c r="AB103" s="2155">
        <f t="shared" si="176"/>
        <v>2016</v>
      </c>
      <c r="AC103" s="2155">
        <f t="shared" si="176"/>
        <v>2017</v>
      </c>
      <c r="AD103" s="2155">
        <f t="shared" si="176"/>
        <v>2018</v>
      </c>
      <c r="AE103" s="2155">
        <f t="shared" si="176"/>
        <v>2019</v>
      </c>
    </row>
    <row r="104" spans="1:35" s="749" customFormat="1" ht="12.75" customHeight="1">
      <c r="A104" s="714"/>
      <c r="B104" s="714"/>
      <c r="C104" s="1482" t="s">
        <v>622</v>
      </c>
      <c r="D104" s="1775"/>
      <c r="E104" s="1776" t="str">
        <f>+E98</f>
        <v>Total employment (domestic - full time equivalent)</v>
      </c>
      <c r="F104" s="1777" t="str">
        <f>+F98</f>
        <v>LEmpTotDFTE</v>
      </c>
      <c r="G104" s="1783"/>
      <c r="H104" s="1784" t="e">
        <f>(H98/G98-1)*100</f>
        <v>#DIV/0!</v>
      </c>
      <c r="I104" s="1784" t="e">
        <f t="shared" ref="I104:P104" si="177">(I98/H98-1)*100</f>
        <v>#DIV/0!</v>
      </c>
      <c r="J104" s="1784" t="e">
        <f t="shared" si="177"/>
        <v>#DIV/0!</v>
      </c>
      <c r="K104" s="1784" t="e">
        <f t="shared" si="177"/>
        <v>#DIV/0!</v>
      </c>
      <c r="L104" s="1784" t="e">
        <f t="shared" si="177"/>
        <v>#DIV/0!</v>
      </c>
      <c r="M104" s="1784" t="e">
        <f t="shared" si="177"/>
        <v>#DIV/0!</v>
      </c>
      <c r="N104" s="1784" t="e">
        <f t="shared" si="177"/>
        <v>#DIV/0!</v>
      </c>
      <c r="O104" s="1784" t="e">
        <f t="shared" si="177"/>
        <v>#DIV/0!</v>
      </c>
      <c r="P104" s="1784" t="e">
        <f t="shared" si="177"/>
        <v>#DIV/0!</v>
      </c>
      <c r="Q104" s="1784" t="e">
        <f>(Q98/P98-1)*100</f>
        <v>#DIV/0!</v>
      </c>
      <c r="R104" s="1784" t="e">
        <f>(R98/Q98-1)*100</f>
        <v>#DIV/0!</v>
      </c>
      <c r="S104" s="2160"/>
      <c r="T104" s="2160"/>
      <c r="U104" s="2160"/>
      <c r="V104" s="2160"/>
      <c r="W104" s="2160"/>
      <c r="X104" s="2160"/>
      <c r="Y104" s="2160"/>
      <c r="Z104" s="2160"/>
      <c r="AA104" s="2160"/>
      <c r="AB104" s="2160"/>
      <c r="AC104" s="2160"/>
      <c r="AD104" s="2160"/>
      <c r="AE104" s="2160"/>
    </row>
    <row r="105" spans="1:35" s="749" customFormat="1" ht="12.75" customHeight="1">
      <c r="A105" s="714"/>
      <c r="B105" s="714"/>
      <c r="C105" s="1771" t="s">
        <v>622</v>
      </c>
      <c r="D105" s="1772"/>
      <c r="E105" s="1773" t="str">
        <f>+E100</f>
        <v>Wage and salary earners (domestic - full time equivalent)</v>
      </c>
      <c r="F105" s="1774" t="str">
        <f>+F100</f>
        <v>LEmpDFTE</v>
      </c>
      <c r="G105" s="1785"/>
      <c r="H105" s="1786" t="e">
        <f>(H100/G100-1)*100</f>
        <v>#DIV/0!</v>
      </c>
      <c r="I105" s="1786" t="e">
        <f t="shared" ref="I105:P105" si="178">(I100/H100-1)*100</f>
        <v>#DIV/0!</v>
      </c>
      <c r="J105" s="1786" t="e">
        <f t="shared" si="178"/>
        <v>#DIV/0!</v>
      </c>
      <c r="K105" s="1786" t="e">
        <f t="shared" si="178"/>
        <v>#DIV/0!</v>
      </c>
      <c r="L105" s="1786" t="e">
        <f t="shared" si="178"/>
        <v>#DIV/0!</v>
      </c>
      <c r="M105" s="1786" t="e">
        <f t="shared" si="178"/>
        <v>#DIV/0!</v>
      </c>
      <c r="N105" s="1786" t="e">
        <f t="shared" si="178"/>
        <v>#DIV/0!</v>
      </c>
      <c r="O105" s="1786" t="e">
        <f t="shared" si="178"/>
        <v>#DIV/0!</v>
      </c>
      <c r="P105" s="1786" t="e">
        <f t="shared" si="178"/>
        <v>#DIV/0!</v>
      </c>
      <c r="Q105" s="1786" t="e">
        <f>(Q100/P100-1)*100</f>
        <v>#DIV/0!</v>
      </c>
      <c r="R105" s="1786" t="e">
        <f>(R100/Q100-1)*100</f>
        <v>#DIV/0!</v>
      </c>
      <c r="S105" s="2161"/>
      <c r="T105" s="2161"/>
      <c r="U105" s="2161"/>
      <c r="V105" s="2161"/>
      <c r="W105" s="2161"/>
      <c r="X105" s="2161"/>
      <c r="Y105" s="2161"/>
      <c r="Z105" s="2161"/>
      <c r="AA105" s="2161"/>
      <c r="AB105" s="2161"/>
      <c r="AC105" s="2161"/>
      <c r="AD105" s="2161"/>
      <c r="AE105" s="2161"/>
    </row>
    <row r="106" spans="1:35" s="749" customFormat="1" ht="30" customHeight="1">
      <c r="A106" s="713"/>
      <c r="B106" s="713"/>
      <c r="C106" s="744"/>
      <c r="D106" s="720"/>
      <c r="F106" s="744"/>
      <c r="P106" s="883"/>
      <c r="Q106" s="883"/>
      <c r="R106" s="883"/>
      <c r="S106" s="883"/>
      <c r="T106" s="835"/>
      <c r="U106" s="835"/>
      <c r="V106" s="835"/>
      <c r="W106" s="835"/>
      <c r="X106" s="835"/>
      <c r="Y106" s="835"/>
      <c r="Z106" s="835"/>
      <c r="AA106" s="2827"/>
      <c r="AB106" s="2827"/>
      <c r="AC106" s="2827"/>
      <c r="AD106" s="2827"/>
      <c r="AE106" s="2827"/>
    </row>
    <row r="107" spans="1:35" s="749" customFormat="1" ht="30" customHeight="1">
      <c r="A107" s="713"/>
      <c r="B107" s="713"/>
      <c r="C107" s="744"/>
      <c r="D107" s="720"/>
      <c r="F107" s="744"/>
      <c r="Q107" s="883"/>
      <c r="R107" s="2234"/>
      <c r="S107" s="2928"/>
      <c r="T107" s="2162"/>
      <c r="U107" s="2218"/>
      <c r="V107" s="2218"/>
      <c r="W107" s="2218"/>
      <c r="X107" s="2218"/>
      <c r="Y107" s="2218"/>
      <c r="Z107" s="2218"/>
      <c r="AA107" s="2949"/>
      <c r="AB107" s="2949"/>
      <c r="AC107" s="2949"/>
      <c r="AD107" s="2949"/>
      <c r="AE107" s="2949"/>
    </row>
    <row r="108" spans="1:35" s="749" customFormat="1" ht="22.5" customHeight="1">
      <c r="A108" s="713"/>
      <c r="B108" s="713"/>
      <c r="C108" s="4124" t="s">
        <v>79</v>
      </c>
      <c r="D108" s="4124"/>
      <c r="E108" s="4124"/>
      <c r="F108" s="4124"/>
      <c r="P108" s="2162"/>
      <c r="Q108" s="2162"/>
      <c r="R108" s="2162"/>
      <c r="S108" s="2234"/>
      <c r="T108" s="753"/>
      <c r="U108" s="2218"/>
      <c r="V108" s="2218">
        <v>1.1679999999999999</v>
      </c>
      <c r="W108" s="2218">
        <v>2.7090000000000001</v>
      </c>
      <c r="X108" s="2218">
        <v>3.22</v>
      </c>
      <c r="Y108" s="2218">
        <v>2.242</v>
      </c>
      <c r="Z108" s="2218">
        <v>0.68200000000000005</v>
      </c>
      <c r="AA108" s="2935">
        <v>0.29299999999999998</v>
      </c>
      <c r="AB108" s="3908">
        <v>1.4570000000000001</v>
      </c>
      <c r="AC108" s="3908">
        <v>1.907</v>
      </c>
      <c r="AD108" s="3908">
        <v>2.4700000000000002</v>
      </c>
      <c r="AE108" s="3908">
        <v>2.5</v>
      </c>
      <c r="AG108" s="4007" t="s">
        <v>2620</v>
      </c>
      <c r="AH108" s="4007"/>
      <c r="AI108" s="4006"/>
    </row>
    <row r="109" spans="1:35" s="749" customFormat="1">
      <c r="A109" s="713"/>
      <c r="B109" s="713"/>
      <c r="C109" s="744"/>
      <c r="D109" s="720"/>
      <c r="F109" s="744"/>
      <c r="Q109" s="883"/>
      <c r="R109" s="2162"/>
      <c r="S109" s="2162"/>
      <c r="T109" s="2218"/>
      <c r="U109" s="2218"/>
      <c r="V109" s="2218">
        <f>V108+V92</f>
        <v>1.0214982659593062</v>
      </c>
      <c r="W109" s="2218">
        <f t="shared" ref="W109:Y109" si="179">W108+W92</f>
        <v>3.6001502510106085</v>
      </c>
      <c r="X109" s="2218">
        <f t="shared" si="179"/>
        <v>3.2380306066107196</v>
      </c>
      <c r="Y109" s="2218">
        <f t="shared" si="179"/>
        <v>2.1203823440093976</v>
      </c>
      <c r="Z109" s="2218">
        <f t="shared" ref="Z109" si="180">Z108+Z92</f>
        <v>0.50192949944328291</v>
      </c>
      <c r="AA109" s="3950">
        <f t="shared" ref="AA109" si="181">AA108+AA92</f>
        <v>-0.38810190434574893</v>
      </c>
      <c r="AB109" s="3907">
        <f t="shared" ref="AB109:AC109" si="182">AB108+AB92</f>
        <v>1.5350173492619164</v>
      </c>
      <c r="AC109" s="3907">
        <f t="shared" si="182"/>
        <v>1.907</v>
      </c>
      <c r="AD109" s="3907">
        <f t="shared" ref="AD109:AE109" si="183">AD108+AD92</f>
        <v>2.4700000000000002</v>
      </c>
      <c r="AE109" s="3907">
        <f t="shared" si="183"/>
        <v>2.5</v>
      </c>
    </row>
    <row r="110" spans="1:35">
      <c r="D110" s="943"/>
      <c r="E110" s="944" t="s">
        <v>553</v>
      </c>
      <c r="F110" s="945"/>
      <c r="G110" s="826">
        <f>+InputY!$G$3</f>
        <v>1995</v>
      </c>
      <c r="H110" s="826">
        <f>+G110+1</f>
        <v>1996</v>
      </c>
      <c r="I110" s="826">
        <f>+H110+1</f>
        <v>1997</v>
      </c>
      <c r="J110" s="826">
        <f t="shared" ref="J110:P110" si="184">+I110+1</f>
        <v>1998</v>
      </c>
      <c r="K110" s="826">
        <f t="shared" si="184"/>
        <v>1999</v>
      </c>
      <c r="L110" s="826">
        <f t="shared" si="184"/>
        <v>2000</v>
      </c>
      <c r="M110" s="826">
        <f t="shared" si="184"/>
        <v>2001</v>
      </c>
      <c r="N110" s="826">
        <f t="shared" si="184"/>
        <v>2002</v>
      </c>
      <c r="O110" s="826">
        <f t="shared" si="184"/>
        <v>2003</v>
      </c>
      <c r="P110" s="826">
        <f t="shared" si="184"/>
        <v>2004</v>
      </c>
      <c r="Q110" s="826">
        <f t="shared" ref="Q110:V110" si="185">+P110+1</f>
        <v>2005</v>
      </c>
      <c r="R110" s="826">
        <f t="shared" si="185"/>
        <v>2006</v>
      </c>
      <c r="S110" s="2163">
        <f t="shared" si="185"/>
        <v>2007</v>
      </c>
      <c r="T110" s="2163">
        <f t="shared" si="185"/>
        <v>2008</v>
      </c>
      <c r="U110" s="2163">
        <f t="shared" si="185"/>
        <v>2009</v>
      </c>
      <c r="V110" s="2163">
        <f t="shared" si="185"/>
        <v>2010</v>
      </c>
      <c r="W110" s="2163">
        <f t="shared" ref="W110:AE110" si="186">+V110+1</f>
        <v>2011</v>
      </c>
      <c r="X110" s="2163">
        <f t="shared" si="186"/>
        <v>2012</v>
      </c>
      <c r="Y110" s="2163">
        <f t="shared" si="186"/>
        <v>2013</v>
      </c>
      <c r="Z110" s="2163">
        <f t="shared" si="186"/>
        <v>2014</v>
      </c>
      <c r="AA110" s="2163">
        <f t="shared" si="186"/>
        <v>2015</v>
      </c>
      <c r="AB110" s="2163">
        <f t="shared" si="186"/>
        <v>2016</v>
      </c>
      <c r="AC110" s="2163">
        <f t="shared" si="186"/>
        <v>2017</v>
      </c>
      <c r="AD110" s="2163">
        <f t="shared" si="186"/>
        <v>2018</v>
      </c>
      <c r="AE110" s="2163">
        <f t="shared" si="186"/>
        <v>2019</v>
      </c>
    </row>
    <row r="111" spans="1:35">
      <c r="C111" s="725"/>
      <c r="D111" s="718"/>
      <c r="E111" s="757" t="s">
        <v>424</v>
      </c>
      <c r="F111" s="773" t="s">
        <v>1398</v>
      </c>
      <c r="G111" s="1085" t="e">
        <f t="shared" ref="G111:P111" ca="1" si="187">+G133/G28*1000</f>
        <v>#VALUE!</v>
      </c>
      <c r="H111" s="1085">
        <f t="shared" si="187"/>
        <v>22.476477046313992</v>
      </c>
      <c r="I111" s="1085">
        <f t="shared" si="187"/>
        <v>23.019126451561053</v>
      </c>
      <c r="J111" s="1085">
        <f t="shared" si="187"/>
        <v>23.114309242774798</v>
      </c>
      <c r="K111" s="1085">
        <f t="shared" si="187"/>
        <v>24.156587473002158</v>
      </c>
      <c r="L111" s="1085">
        <f t="shared" si="187"/>
        <v>24.894035770410834</v>
      </c>
      <c r="M111" s="1085">
        <f t="shared" si="187"/>
        <v>25.894721407624637</v>
      </c>
      <c r="N111" s="1085">
        <f t="shared" si="187"/>
        <v>26.342810782903712</v>
      </c>
      <c r="O111" s="1085">
        <f t="shared" si="187"/>
        <v>26.59145799377686</v>
      </c>
      <c r="P111" s="1085">
        <f t="shared" si="187"/>
        <v>27.144335571947593</v>
      </c>
      <c r="Q111" s="1085">
        <f t="shared" ref="Q111:W113" si="188">+Q133/Q28*1000</f>
        <v>27.537208294198397</v>
      </c>
      <c r="R111" s="1085">
        <f t="shared" si="188"/>
        <v>28.534779196689726</v>
      </c>
      <c r="S111" s="1085">
        <f t="shared" si="188"/>
        <v>29.320818038804404</v>
      </c>
      <c r="T111" s="1085">
        <f t="shared" si="188"/>
        <v>30.240955187063168</v>
      </c>
      <c r="U111" s="1085">
        <f t="shared" si="188"/>
        <v>29.944402132520942</v>
      </c>
      <c r="V111" s="1085">
        <f t="shared" si="188"/>
        <v>30.187175162633803</v>
      </c>
      <c r="W111" s="1085">
        <f t="shared" si="188"/>
        <v>31.174659040915088</v>
      </c>
      <c r="X111" s="1085">
        <f t="shared" ref="X111" si="189">+X133/X28*1000</f>
        <v>31.923885930020898</v>
      </c>
      <c r="Y111" s="1085">
        <f t="shared" ref="Y111:Z111" si="190">+Y133/Y28*1000</f>
        <v>32.533593617382444</v>
      </c>
      <c r="Z111" s="1085">
        <f t="shared" si="190"/>
        <v>32.903332769412955</v>
      </c>
      <c r="AA111" s="1085">
        <f t="shared" ref="AA111:AC111" si="191">+AA133/AA28*1000</f>
        <v>32.839547984709277</v>
      </c>
      <c r="AB111" s="1085">
        <f t="shared" si="191"/>
        <v>33.146854534629881</v>
      </c>
      <c r="AC111" s="1085">
        <f t="shared" si="191"/>
        <v>33.843711417634772</v>
      </c>
      <c r="AD111" s="3889">
        <f t="shared" ref="AD111:AE112" si="192">+AC111*(1+AD118/100)</f>
        <v>34.679651089650349</v>
      </c>
      <c r="AE111" s="3889">
        <f t="shared" si="192"/>
        <v>35.539706436673676</v>
      </c>
    </row>
    <row r="112" spans="1:35">
      <c r="C112" s="721"/>
      <c r="D112" s="724"/>
      <c r="E112" s="221" t="s">
        <v>722</v>
      </c>
      <c r="F112" s="759" t="s">
        <v>1399</v>
      </c>
      <c r="G112" s="1085" t="e">
        <f t="shared" ref="G112:P112" si="193">+G134/G29*1000</f>
        <v>#VALUE!</v>
      </c>
      <c r="H112" s="1085">
        <f t="shared" si="193"/>
        <v>34.932810750279955</v>
      </c>
      <c r="I112" s="1085">
        <f t="shared" si="193"/>
        <v>36.327559498662161</v>
      </c>
      <c r="J112" s="1085">
        <f t="shared" si="193"/>
        <v>37.006963788300837</v>
      </c>
      <c r="K112" s="1085">
        <f t="shared" si="193"/>
        <v>38.044931506849316</v>
      </c>
      <c r="L112" s="1085">
        <f t="shared" si="193"/>
        <v>39.178624914908106</v>
      </c>
      <c r="M112" s="1085">
        <f t="shared" si="193"/>
        <v>40.545319665497708</v>
      </c>
      <c r="N112" s="1085">
        <f t="shared" si="193"/>
        <v>42.663714474553863</v>
      </c>
      <c r="O112" s="1085">
        <f t="shared" si="193"/>
        <v>43.898367080339646</v>
      </c>
      <c r="P112" s="1085">
        <f t="shared" si="193"/>
        <v>44.482842822259343</v>
      </c>
      <c r="Q112" s="1085">
        <f t="shared" si="188"/>
        <v>45.95873296314992</v>
      </c>
      <c r="R112" s="1085">
        <f t="shared" si="188"/>
        <v>47.491004497751128</v>
      </c>
      <c r="S112" s="1085">
        <f t="shared" si="188"/>
        <v>49.061277543946517</v>
      </c>
      <c r="T112" s="1085">
        <f t="shared" si="188"/>
        <v>51.18704948075748</v>
      </c>
      <c r="U112" s="1085">
        <f t="shared" si="188"/>
        <v>52.373757931282185</v>
      </c>
      <c r="V112" s="1085">
        <f t="shared" si="188"/>
        <v>53.348301259206465</v>
      </c>
      <c r="W112" s="1085">
        <f t="shared" si="188"/>
        <v>55.317445298639861</v>
      </c>
      <c r="X112" s="1085">
        <f t="shared" ref="X112" si="194">+X134/X29*1000</f>
        <v>57.532458318552663</v>
      </c>
      <c r="Y112" s="1085">
        <f t="shared" ref="Y112:Z112" si="195">+Y134/Y29*1000</f>
        <v>59.330614657210404</v>
      </c>
      <c r="Z112" s="1085">
        <f t="shared" si="195"/>
        <v>59.86877721548781</v>
      </c>
      <c r="AA112" s="1085">
        <f t="shared" ref="AA112:AB112" si="196">+AA134/AA29*1000</f>
        <v>59.981244871644591</v>
      </c>
      <c r="AB112" s="1085">
        <f t="shared" si="196"/>
        <v>61.429355441382533</v>
      </c>
      <c r="AC112" s="2164">
        <f t="shared" ref="AC112:AD112" si="197">+AB112*(1+AC119/100)</f>
        <v>62.657942550210187</v>
      </c>
      <c r="AD112" s="2164">
        <f t="shared" si="197"/>
        <v>64.161733171415236</v>
      </c>
      <c r="AE112" s="2164">
        <f t="shared" si="192"/>
        <v>65.444967834843538</v>
      </c>
    </row>
    <row r="113" spans="1:38">
      <c r="C113" s="721"/>
      <c r="D113" s="794"/>
      <c r="E113" s="798" t="s">
        <v>1396</v>
      </c>
      <c r="F113" s="938" t="s">
        <v>539</v>
      </c>
      <c r="G113" s="965">
        <f t="shared" ref="G113:P113" ca="1" si="198">+G135/G30*1000</f>
        <v>24.874873801110549</v>
      </c>
      <c r="H113" s="965">
        <f t="shared" si="198"/>
        <v>25.280398273308755</v>
      </c>
      <c r="I113" s="965">
        <f t="shared" si="198"/>
        <v>25.973458797048895</v>
      </c>
      <c r="J113" s="965">
        <f t="shared" si="198"/>
        <v>26.16651877237539</v>
      </c>
      <c r="K113" s="965">
        <f t="shared" si="198"/>
        <v>27.207776573973756</v>
      </c>
      <c r="L113" s="965">
        <f t="shared" si="198"/>
        <v>27.97349652196883</v>
      </c>
      <c r="M113" s="965">
        <f t="shared" si="198"/>
        <v>29.02550873349859</v>
      </c>
      <c r="N113" s="965">
        <f t="shared" si="198"/>
        <v>29.902802606539414</v>
      </c>
      <c r="O113" s="965">
        <f t="shared" si="198"/>
        <v>30.414850942252752</v>
      </c>
      <c r="P113" s="965">
        <f t="shared" si="198"/>
        <v>30.995632315158431</v>
      </c>
      <c r="Q113" s="965">
        <f t="shared" si="188"/>
        <v>31.63685895635567</v>
      </c>
      <c r="R113" s="965">
        <f t="shared" si="188"/>
        <v>32.744935900993397</v>
      </c>
      <c r="S113" s="965">
        <f t="shared" si="188"/>
        <v>33.667884306081831</v>
      </c>
      <c r="T113" s="965">
        <f t="shared" si="188"/>
        <v>34.82832526155245</v>
      </c>
      <c r="U113" s="965">
        <f t="shared" si="188"/>
        <v>34.975482692875751</v>
      </c>
      <c r="V113" s="965">
        <f t="shared" si="188"/>
        <v>35.390408582637242</v>
      </c>
      <c r="W113" s="965">
        <f t="shared" si="188"/>
        <v>36.545863593305974</v>
      </c>
      <c r="X113" s="965">
        <f t="shared" ref="X113:AE113" si="199">+X135/X30*1000</f>
        <v>37.604753036224857</v>
      </c>
      <c r="Y113" s="965">
        <f t="shared" si="199"/>
        <v>38.512831333245416</v>
      </c>
      <c r="Z113" s="965">
        <f t="shared" ref="Z113" si="200">+Z135/Z30*1000</f>
        <v>38.924708293913589</v>
      </c>
      <c r="AA113" s="965">
        <f t="shared" ref="AA113:AC113" si="201">+AA135/AA30*1000</f>
        <v>38.876776262613099</v>
      </c>
      <c r="AB113" s="965">
        <f t="shared" si="201"/>
        <v>39.389736584360016</v>
      </c>
      <c r="AC113" s="965">
        <f t="shared" si="201"/>
        <v>40.130918795272592</v>
      </c>
      <c r="AD113" s="2165">
        <f t="shared" si="199"/>
        <v>41.037563223003829</v>
      </c>
      <c r="AE113" s="2165">
        <f t="shared" si="199"/>
        <v>41.925270748851524</v>
      </c>
    </row>
    <row r="114" spans="1:38">
      <c r="C114" s="722"/>
      <c r="D114" s="726"/>
      <c r="E114" s="760" t="s">
        <v>2056</v>
      </c>
      <c r="F114" s="942" t="s">
        <v>540</v>
      </c>
      <c r="G114" s="966">
        <f t="shared" ref="G114:P114" ca="1" si="202">+G136/G33*1000</f>
        <v>33.067092651757356</v>
      </c>
      <c r="H114" s="966">
        <f t="shared" si="202"/>
        <v>34.051948051948102</v>
      </c>
      <c r="I114" s="966">
        <f t="shared" si="202"/>
        <v>33.924071082390988</v>
      </c>
      <c r="J114" s="966">
        <f t="shared" si="202"/>
        <v>35.574162679425811</v>
      </c>
      <c r="K114" s="966">
        <f t="shared" si="202"/>
        <v>38.790734824281095</v>
      </c>
      <c r="L114" s="966">
        <f t="shared" si="202"/>
        <v>40.515723270440112</v>
      </c>
      <c r="M114" s="966">
        <f t="shared" si="202"/>
        <v>42.694063926940643</v>
      </c>
      <c r="N114" s="966">
        <f t="shared" si="202"/>
        <v>46.173652694610681</v>
      </c>
      <c r="O114" s="966">
        <f t="shared" si="202"/>
        <v>48.095100864552961</v>
      </c>
      <c r="P114" s="966">
        <f t="shared" si="202"/>
        <v>50.696927374301509</v>
      </c>
      <c r="Q114" s="966">
        <f t="shared" ref="Q114:V114" si="203">+Q136/Q33*1000</f>
        <v>51.647058823529413</v>
      </c>
      <c r="R114" s="966">
        <f t="shared" si="203"/>
        <v>53.199468085105941</v>
      </c>
      <c r="S114" s="3020">
        <f t="shared" si="203"/>
        <v>53.557717250324195</v>
      </c>
      <c r="T114" s="3020">
        <f t="shared" si="203"/>
        <v>54.234536082474207</v>
      </c>
      <c r="U114" s="3020">
        <f t="shared" si="203"/>
        <v>55.01783439490427</v>
      </c>
      <c r="V114" s="3020">
        <f t="shared" si="203"/>
        <v>57.845959595959393</v>
      </c>
      <c r="W114" s="3020">
        <f t="shared" ref="W114:AB114" si="204">+W136/W33*1000</f>
        <v>58.141772151898685</v>
      </c>
      <c r="X114" s="3020">
        <f t="shared" si="204"/>
        <v>59.320351758793763</v>
      </c>
      <c r="Y114" s="3020">
        <f t="shared" si="204"/>
        <v>60.861675126903975</v>
      </c>
      <c r="Z114" s="3020">
        <f t="shared" si="204"/>
        <v>63.788461538461306</v>
      </c>
      <c r="AA114" s="3020">
        <f t="shared" si="204"/>
        <v>67.645536869339878</v>
      </c>
      <c r="AB114" s="3020">
        <f t="shared" si="204"/>
        <v>68.935316946960526</v>
      </c>
      <c r="AC114" s="2166">
        <f>+AB114*(1+AC121/100)</f>
        <v>70.384566076962457</v>
      </c>
      <c r="AD114" s="2166">
        <f>+AC114*(1+AD121/100)</f>
        <v>72.123064859063433</v>
      </c>
      <c r="AE114" s="2166">
        <f>+AD114*(1+AE121/100)</f>
        <v>73.911716867568202</v>
      </c>
    </row>
    <row r="115" spans="1:38" s="221" customFormat="1">
      <c r="A115" s="946"/>
      <c r="B115" s="946"/>
      <c r="C115" s="724"/>
      <c r="D115" s="794"/>
      <c r="E115" s="798" t="s">
        <v>1397</v>
      </c>
      <c r="F115" s="938" t="s">
        <v>541</v>
      </c>
      <c r="G115" s="965">
        <f ca="1">+G137/G78*1000</f>
        <v>25.033537528618279</v>
      </c>
      <c r="H115" s="965">
        <f>+H137/H78*1000</f>
        <v>25.447408277439497</v>
      </c>
      <c r="I115" s="965">
        <f>+I137/I78*1000</f>
        <v>26.124390468304352</v>
      </c>
      <c r="J115" s="965">
        <f t="shared" ref="J115:P115" si="205">+J137/J78*1000</f>
        <v>26.343611144469801</v>
      </c>
      <c r="K115" s="965">
        <f t="shared" si="205"/>
        <v>27.421959000413541</v>
      </c>
      <c r="L115" s="965">
        <f t="shared" si="205"/>
        <v>28.203330740196499</v>
      </c>
      <c r="M115" s="965">
        <f t="shared" si="205"/>
        <v>29.279539475545249</v>
      </c>
      <c r="N115" s="965">
        <f t="shared" si="205"/>
        <v>30.21026874115983</v>
      </c>
      <c r="O115" s="965">
        <f t="shared" si="205"/>
        <v>30.76200311217994</v>
      </c>
      <c r="P115" s="965">
        <f t="shared" si="205"/>
        <v>31.390253454932015</v>
      </c>
      <c r="Q115" s="965">
        <f t="shared" ref="Q115:X115" si="206">+Q137/Q78*1000</f>
        <v>32.039408866995075</v>
      </c>
      <c r="R115" s="965">
        <f t="shared" si="206"/>
        <v>33.163033432998091</v>
      </c>
      <c r="S115" s="965">
        <f t="shared" si="206"/>
        <v>34.077321514390981</v>
      </c>
      <c r="T115" s="965">
        <f t="shared" si="206"/>
        <v>35.223072688668111</v>
      </c>
      <c r="U115" s="965">
        <f t="shared" si="206"/>
        <v>35.389254155270351</v>
      </c>
      <c r="V115" s="965">
        <f t="shared" si="206"/>
        <v>35.855212607479807</v>
      </c>
      <c r="W115" s="2167">
        <f t="shared" si="206"/>
        <v>36.985642109604576</v>
      </c>
      <c r="X115" s="2167">
        <f t="shared" si="206"/>
        <v>38.048896425910222</v>
      </c>
      <c r="Y115" s="2167">
        <f t="shared" ref="Y115:Z115" si="207">+Y137/Y78*1000</f>
        <v>38.967857788801908</v>
      </c>
      <c r="Z115" s="2167">
        <f t="shared" si="207"/>
        <v>39.4241347342398</v>
      </c>
      <c r="AA115" s="2167">
        <f>+AA137/AA78*1000</f>
        <v>39.445151561621429</v>
      </c>
      <c r="AB115" s="2167">
        <f>+AB137/AB78*1000</f>
        <v>39.966894948320743</v>
      </c>
      <c r="AC115" s="2167">
        <f t="shared" ref="AC115:AD115" si="208">+AC137/AC78*1000</f>
        <v>40.713850879343241</v>
      </c>
      <c r="AD115" s="2167">
        <f t="shared" si="208"/>
        <v>41.626478448960391</v>
      </c>
      <c r="AE115" s="2167">
        <f>+AE137/AE78*1000</f>
        <v>42.519500022592055</v>
      </c>
    </row>
    <row r="116" spans="1:38" s="221" customFormat="1">
      <c r="A116" s="946"/>
      <c r="B116" s="946"/>
      <c r="C116" s="724"/>
      <c r="D116" s="724"/>
      <c r="F116" s="759"/>
      <c r="R116" s="1842"/>
      <c r="S116" s="3392"/>
      <c r="T116" s="3392"/>
      <c r="U116" s="3392"/>
      <c r="V116" s="3392"/>
      <c r="W116" s="3392"/>
      <c r="X116" s="3392"/>
      <c r="Y116" s="3392"/>
      <c r="Z116" s="3392"/>
      <c r="AA116" s="2168"/>
      <c r="AB116" s="2168"/>
      <c r="AC116" s="2168"/>
      <c r="AD116" s="2168"/>
      <c r="AE116" s="2168"/>
      <c r="AF116" s="166"/>
    </row>
    <row r="117" spans="1:38">
      <c r="D117" s="972"/>
      <c r="E117" s="3327" t="s">
        <v>2146</v>
      </c>
      <c r="F117" s="974"/>
      <c r="G117" s="939">
        <f>+InputY!$G$3</f>
        <v>1995</v>
      </c>
      <c r="H117" s="939">
        <f>+G117+1</f>
        <v>1996</v>
      </c>
      <c r="I117" s="939">
        <f>+H117+1</f>
        <v>1997</v>
      </c>
      <c r="J117" s="939">
        <f t="shared" ref="J117:S117" si="209">+I117+1</f>
        <v>1998</v>
      </c>
      <c r="K117" s="939">
        <f t="shared" si="209"/>
        <v>1999</v>
      </c>
      <c r="L117" s="939">
        <f t="shared" si="209"/>
        <v>2000</v>
      </c>
      <c r="M117" s="939">
        <f t="shared" si="209"/>
        <v>2001</v>
      </c>
      <c r="N117" s="939">
        <f t="shared" si="209"/>
        <v>2002</v>
      </c>
      <c r="O117" s="939">
        <f t="shared" si="209"/>
        <v>2003</v>
      </c>
      <c r="P117" s="793">
        <f t="shared" si="209"/>
        <v>2004</v>
      </c>
      <c r="Q117" s="939">
        <f>+P117+1</f>
        <v>2005</v>
      </c>
      <c r="R117" s="793">
        <f>+Q117+1</f>
        <v>2006</v>
      </c>
      <c r="S117" s="2126">
        <f t="shared" si="209"/>
        <v>2007</v>
      </c>
      <c r="T117" s="2126">
        <f t="shared" ref="T117:AE117" si="210">+S117+1</f>
        <v>2008</v>
      </c>
      <c r="U117" s="2126">
        <f t="shared" si="210"/>
        <v>2009</v>
      </c>
      <c r="V117" s="2126">
        <f t="shared" si="210"/>
        <v>2010</v>
      </c>
      <c r="W117" s="2126">
        <f t="shared" si="210"/>
        <v>2011</v>
      </c>
      <c r="X117" s="2126">
        <f t="shared" si="210"/>
        <v>2012</v>
      </c>
      <c r="Y117" s="2126">
        <f t="shared" si="210"/>
        <v>2013</v>
      </c>
      <c r="Z117" s="2126">
        <f t="shared" si="210"/>
        <v>2014</v>
      </c>
      <c r="AA117" s="2126">
        <f t="shared" si="210"/>
        <v>2015</v>
      </c>
      <c r="AB117" s="2126">
        <f t="shared" si="210"/>
        <v>2016</v>
      </c>
      <c r="AC117" s="2126">
        <f t="shared" si="210"/>
        <v>2017</v>
      </c>
      <c r="AD117" s="2126">
        <f t="shared" si="210"/>
        <v>2018</v>
      </c>
      <c r="AE117" s="2126">
        <f t="shared" si="210"/>
        <v>2019</v>
      </c>
      <c r="AF117" s="2804"/>
      <c r="AK117" s="646"/>
    </row>
    <row r="118" spans="1:38">
      <c r="C118" s="810"/>
      <c r="D118" s="739"/>
      <c r="E118" s="781" t="s">
        <v>424</v>
      </c>
      <c r="F118" s="811" t="s">
        <v>1398</v>
      </c>
      <c r="G118" s="1598"/>
      <c r="H118" s="1599" t="e">
        <f t="shared" ref="H118:I122" ca="1" si="211">(H111/G111-1)*100</f>
        <v>#VALUE!</v>
      </c>
      <c r="I118" s="1599">
        <f t="shared" si="211"/>
        <v>2.4142991987974982</v>
      </c>
      <c r="J118" s="1599">
        <f t="shared" ref="J118:P118" si="212">(J111/I111-1)*100</f>
        <v>0.41349436701707543</v>
      </c>
      <c r="K118" s="1599">
        <f t="shared" si="212"/>
        <v>4.509233736038043</v>
      </c>
      <c r="L118" s="1599">
        <f t="shared" si="212"/>
        <v>3.0527834208075255</v>
      </c>
      <c r="M118" s="1599">
        <f t="shared" si="212"/>
        <v>4.0197806673163861</v>
      </c>
      <c r="N118" s="1599">
        <f t="shared" si="212"/>
        <v>1.730427480664587</v>
      </c>
      <c r="O118" s="1599">
        <f t="shared" si="212"/>
        <v>0.94389020565155413</v>
      </c>
      <c r="P118" s="1600">
        <f t="shared" si="212"/>
        <v>2.0791548109175606</v>
      </c>
      <c r="Q118" s="1599">
        <f t="shared" ref="Q118:AC122" si="213">(Q111/P111-1)*100</f>
        <v>1.4473469840861286</v>
      </c>
      <c r="R118" s="1600">
        <f t="shared" si="213"/>
        <v>3.6226290328112087</v>
      </c>
      <c r="S118" s="1600">
        <f t="shared" si="213"/>
        <v>2.7546694393411064</v>
      </c>
      <c r="T118" s="1600">
        <f t="shared" si="213"/>
        <v>3.1381701119014282</v>
      </c>
      <c r="U118" s="1600">
        <f t="shared" si="213"/>
        <v>-0.98063388774535243</v>
      </c>
      <c r="V118" s="1600">
        <f t="shared" si="213"/>
        <v>0.81074595858836584</v>
      </c>
      <c r="W118" s="1600">
        <f t="shared" si="213"/>
        <v>3.2712033271122598</v>
      </c>
      <c r="X118" s="1600">
        <f t="shared" si="213"/>
        <v>2.4033202355877803</v>
      </c>
      <c r="Y118" s="1600">
        <f t="shared" si="213"/>
        <v>1.9098792944507448</v>
      </c>
      <c r="Z118" s="1600">
        <f t="shared" si="213"/>
        <v>1.1364842026949207</v>
      </c>
      <c r="AA118" s="1600">
        <f t="shared" si="213"/>
        <v>-0.19385508802614027</v>
      </c>
      <c r="AB118" s="1600">
        <f t="shared" si="213"/>
        <v>0.93578191168675051</v>
      </c>
      <c r="AC118" s="1600">
        <f t="shared" si="213"/>
        <v>2.1023318585986939</v>
      </c>
      <c r="AD118" s="3382">
        <f>AD109</f>
        <v>2.4700000000000002</v>
      </c>
      <c r="AE118" s="3382">
        <v>2.48</v>
      </c>
      <c r="AF118" s="3758"/>
      <c r="AG118" s="3759" t="s">
        <v>2739</v>
      </c>
      <c r="AH118" s="3759"/>
      <c r="AI118" s="3760"/>
    </row>
    <row r="119" spans="1:38">
      <c r="C119" s="975"/>
      <c r="D119" s="724"/>
      <c r="E119" s="221" t="s">
        <v>722</v>
      </c>
      <c r="F119" s="759" t="s">
        <v>1399</v>
      </c>
      <c r="G119" s="1462"/>
      <c r="H119" s="1085" t="e">
        <f t="shared" si="211"/>
        <v>#VALUE!</v>
      </c>
      <c r="I119" s="1085">
        <f t="shared" si="211"/>
        <v>3.9926611069251772</v>
      </c>
      <c r="J119" s="1085">
        <f t="shared" ref="J119:P122" si="214">(J112/I112-1)*100</f>
        <v>1.8702172648390913</v>
      </c>
      <c r="K119" s="1085">
        <f t="shared" si="214"/>
        <v>2.8047902672756253</v>
      </c>
      <c r="L119" s="1085">
        <f t="shared" si="214"/>
        <v>2.979880270923041</v>
      </c>
      <c r="M119" s="1085">
        <f t="shared" si="214"/>
        <v>3.4883683476842897</v>
      </c>
      <c r="N119" s="1085">
        <f t="shared" si="214"/>
        <v>5.2247579413187362</v>
      </c>
      <c r="O119" s="1085">
        <f t="shared" si="214"/>
        <v>2.893917280742575</v>
      </c>
      <c r="P119" s="1085">
        <f t="shared" si="214"/>
        <v>1.3314293464493421</v>
      </c>
      <c r="Q119" s="1085">
        <f t="shared" si="213"/>
        <v>3.3178862843541879</v>
      </c>
      <c r="R119" s="1085">
        <f t="shared" si="213"/>
        <v>3.3340160526831752</v>
      </c>
      <c r="S119" s="1085">
        <f t="shared" si="213"/>
        <v>3.3064641668502759</v>
      </c>
      <c r="T119" s="1085">
        <f t="shared" si="213"/>
        <v>4.3328915251071631</v>
      </c>
      <c r="U119" s="1085">
        <f t="shared" si="213"/>
        <v>2.3183763521490208</v>
      </c>
      <c r="V119" s="1085">
        <f t="shared" si="213"/>
        <v>1.8607473788742501</v>
      </c>
      <c r="W119" s="1085">
        <f t="shared" si="213"/>
        <v>3.6911091692794606</v>
      </c>
      <c r="X119" s="1085">
        <f t="shared" si="213"/>
        <v>4.0041853125261095</v>
      </c>
      <c r="Y119" s="1085">
        <f t="shared" si="213"/>
        <v>3.1254641140162853</v>
      </c>
      <c r="Z119" s="1085">
        <f t="shared" si="213"/>
        <v>0.90705710936369588</v>
      </c>
      <c r="AA119" s="1085">
        <f t="shared" si="213"/>
        <v>0.18785694545251364</v>
      </c>
      <c r="AB119" s="1085">
        <f t="shared" si="213"/>
        <v>2.4142722826723473</v>
      </c>
      <c r="AC119" s="4061">
        <v>2</v>
      </c>
      <c r="AD119" s="4061">
        <v>2.4</v>
      </c>
      <c r="AE119" s="3750">
        <v>2</v>
      </c>
      <c r="AF119" s="3760"/>
      <c r="AG119" s="3759" t="s">
        <v>2731</v>
      </c>
      <c r="AH119" s="3760"/>
      <c r="AI119" s="3760"/>
      <c r="AK119" s="646"/>
    </row>
    <row r="120" spans="1:38">
      <c r="C120" s="975"/>
      <c r="D120" s="766"/>
      <c r="E120" s="767" t="s">
        <v>1396</v>
      </c>
      <c r="F120" s="967" t="s">
        <v>539</v>
      </c>
      <c r="G120" s="968"/>
      <c r="H120" s="968">
        <f t="shared" ca="1" si="211"/>
        <v>1.6302574052862173</v>
      </c>
      <c r="I120" s="968">
        <f t="shared" si="211"/>
        <v>2.7414936910700405</v>
      </c>
      <c r="J120" s="968">
        <f t="shared" si="214"/>
        <v>0.74329713587637514</v>
      </c>
      <c r="K120" s="968">
        <f t="shared" si="214"/>
        <v>3.9793516694228703</v>
      </c>
      <c r="L120" s="968">
        <f t="shared" si="214"/>
        <v>2.8143422374599325</v>
      </c>
      <c r="M120" s="968">
        <f t="shared" si="214"/>
        <v>3.7607462145590853</v>
      </c>
      <c r="N120" s="968">
        <f t="shared" si="214"/>
        <v>3.0224926670392227</v>
      </c>
      <c r="O120" s="968">
        <f t="shared" si="214"/>
        <v>1.7123757343111334</v>
      </c>
      <c r="P120" s="968">
        <f t="shared" si="214"/>
        <v>1.9095322019114347</v>
      </c>
      <c r="Q120" s="968">
        <f t="shared" si="213"/>
        <v>2.0687645106812314</v>
      </c>
      <c r="R120" s="968">
        <f t="shared" si="213"/>
        <v>3.5024872291094411</v>
      </c>
      <c r="S120" s="968">
        <f t="shared" si="213"/>
        <v>2.8185989060385719</v>
      </c>
      <c r="T120" s="968">
        <f t="shared" si="213"/>
        <v>3.4467296635595002</v>
      </c>
      <c r="U120" s="968">
        <f t="shared" si="213"/>
        <v>0.42252227236936335</v>
      </c>
      <c r="V120" s="968">
        <f t="shared" si="213"/>
        <v>1.1863335622985138</v>
      </c>
      <c r="W120" s="968">
        <f t="shared" si="213"/>
        <v>3.2648818053929052</v>
      </c>
      <c r="X120" s="968">
        <f t="shared" si="213"/>
        <v>2.8974262441915144</v>
      </c>
      <c r="Y120" s="968">
        <f t="shared" si="213"/>
        <v>2.4147965980412245</v>
      </c>
      <c r="Z120" s="968">
        <f t="shared" si="213"/>
        <v>1.0694538583888358</v>
      </c>
      <c r="AA120" s="968">
        <f t="shared" si="213"/>
        <v>-0.12314037381748744</v>
      </c>
      <c r="AB120" s="2169">
        <f>(AB113/AA113-1)*100</f>
        <v>1.3194517937440642</v>
      </c>
      <c r="AC120" s="2169">
        <f>(AC113/AB113-1)*100</f>
        <v>1.8816632838485781</v>
      </c>
      <c r="AD120" s="2169">
        <f>(AD113/AC113-1)*100</f>
        <v>2.2592167210436331</v>
      </c>
      <c r="AE120" s="2169">
        <f>(AE113/AD113-1)*100</f>
        <v>2.1631584726991893</v>
      </c>
      <c r="AF120" s="3760"/>
      <c r="AG120" s="3760"/>
      <c r="AH120" s="3760"/>
      <c r="AI120" s="3760"/>
      <c r="AL120" s="646"/>
    </row>
    <row r="121" spans="1:38">
      <c r="C121" s="740"/>
      <c r="D121" s="741"/>
      <c r="E121" s="784" t="s">
        <v>2056</v>
      </c>
      <c r="F121" s="976" t="s">
        <v>540</v>
      </c>
      <c r="G121" s="977"/>
      <c r="H121" s="977">
        <f t="shared" ca="1" si="211"/>
        <v>2.9783549783546137</v>
      </c>
      <c r="I121" s="977">
        <f t="shared" si="211"/>
        <v>-0.3755349601791691</v>
      </c>
      <c r="J121" s="977">
        <f t="shared" si="214"/>
        <v>4.8640730442618851</v>
      </c>
      <c r="K121" s="977">
        <f t="shared" si="214"/>
        <v>9.0418773137155952</v>
      </c>
      <c r="L121" s="977">
        <f t="shared" si="214"/>
        <v>4.4469084021560246</v>
      </c>
      <c r="M121" s="977">
        <f t="shared" si="214"/>
        <v>5.376531579999777</v>
      </c>
      <c r="N121" s="977">
        <f t="shared" si="214"/>
        <v>8.1500528355052282</v>
      </c>
      <c r="O121" s="977">
        <f t="shared" si="214"/>
        <v>4.1613518918475201</v>
      </c>
      <c r="P121" s="977">
        <f t="shared" si="214"/>
        <v>5.4097537233072757</v>
      </c>
      <c r="Q121" s="977">
        <f t="shared" si="213"/>
        <v>1.8741401075709652</v>
      </c>
      <c r="R121" s="977">
        <f t="shared" si="213"/>
        <v>3.0058038094306294</v>
      </c>
      <c r="S121" s="977">
        <f t="shared" si="213"/>
        <v>0.67340741949739602</v>
      </c>
      <c r="T121" s="977">
        <f t="shared" si="213"/>
        <v>1.2637185953736862</v>
      </c>
      <c r="U121" s="977">
        <f t="shared" si="213"/>
        <v>1.4442795477016768</v>
      </c>
      <c r="V121" s="977">
        <f t="shared" si="213"/>
        <v>5.1403789919383991</v>
      </c>
      <c r="W121" s="977">
        <f t="shared" si="213"/>
        <v>0.51137980596307475</v>
      </c>
      <c r="X121" s="977">
        <f t="shared" si="213"/>
        <v>2.0270789198099548</v>
      </c>
      <c r="Y121" s="977">
        <f t="shared" si="213"/>
        <v>2.5983044982226033</v>
      </c>
      <c r="Z121" s="977">
        <f t="shared" si="213"/>
        <v>4.8089153074650337</v>
      </c>
      <c r="AA121" s="977">
        <f t="shared" si="213"/>
        <v>6.0466661804548183</v>
      </c>
      <c r="AB121" s="977">
        <f t="shared" si="213"/>
        <v>1.9066743163143274</v>
      </c>
      <c r="AC121" s="2170">
        <f t="shared" ref="AC121:AD121" si="215">AC118</f>
        <v>2.1023318585986939</v>
      </c>
      <c r="AD121" s="2170">
        <f t="shared" si="215"/>
        <v>2.4700000000000002</v>
      </c>
      <c r="AE121" s="2170">
        <f t="shared" ref="AE121" si="216">AE118</f>
        <v>2.48</v>
      </c>
      <c r="AF121" s="3760"/>
      <c r="AG121" s="3760"/>
      <c r="AH121" s="3760"/>
      <c r="AI121" s="3760"/>
      <c r="AL121" s="646"/>
    </row>
    <row r="122" spans="1:38" s="221" customFormat="1">
      <c r="A122" s="946"/>
      <c r="B122" s="946"/>
      <c r="C122" s="724"/>
      <c r="D122" s="766"/>
      <c r="E122" s="767" t="s">
        <v>1397</v>
      </c>
      <c r="F122" s="967" t="s">
        <v>541</v>
      </c>
      <c r="G122" s="968"/>
      <c r="H122" s="968">
        <f t="shared" ca="1" si="211"/>
        <v>1.6532651382094254</v>
      </c>
      <c r="I122" s="968">
        <f t="shared" si="211"/>
        <v>2.6603188170837733</v>
      </c>
      <c r="J122" s="968">
        <f t="shared" si="214"/>
        <v>0.83914178373432069</v>
      </c>
      <c r="K122" s="968">
        <f t="shared" si="214"/>
        <v>4.0933942200635398</v>
      </c>
      <c r="L122" s="968">
        <f t="shared" si="214"/>
        <v>2.8494380717700496</v>
      </c>
      <c r="M122" s="968">
        <f t="shared" si="214"/>
        <v>3.8158923329395744</v>
      </c>
      <c r="N122" s="968">
        <f t="shared" si="214"/>
        <v>3.1787701660811241</v>
      </c>
      <c r="O122" s="968">
        <f t="shared" si="214"/>
        <v>1.8263140117929622</v>
      </c>
      <c r="P122" s="968">
        <f t="shared" si="214"/>
        <v>2.0422933463111415</v>
      </c>
      <c r="Q122" s="968">
        <f t="shared" si="213"/>
        <v>2.0680158348994393</v>
      </c>
      <c r="R122" s="968">
        <f t="shared" si="213"/>
        <v>3.5070077936441013</v>
      </c>
      <c r="S122" s="968">
        <f t="shared" si="213"/>
        <v>2.7569494908844749</v>
      </c>
      <c r="T122" s="968">
        <f t="shared" si="213"/>
        <v>3.3622101836650264</v>
      </c>
      <c r="U122" s="968">
        <f t="shared" si="213"/>
        <v>0.47179718836880546</v>
      </c>
      <c r="V122" s="968">
        <f t="shared" si="213"/>
        <v>1.3166664947643847</v>
      </c>
      <c r="W122" s="2169">
        <f t="shared" ref="W122:AE122" si="217">(W115/V115-1)*100</f>
        <v>3.1527619554233111</v>
      </c>
      <c r="X122" s="2169">
        <f t="shared" si="217"/>
        <v>2.8747758742561746</v>
      </c>
      <c r="Y122" s="2169">
        <f t="shared" si="217"/>
        <v>2.4152116072041929</v>
      </c>
      <c r="Z122" s="2169">
        <f t="shared" si="217"/>
        <v>1.17090589867892</v>
      </c>
      <c r="AA122" s="2169">
        <f t="shared" si="217"/>
        <v>5.3309546356072879E-2</v>
      </c>
      <c r="AB122" s="2169">
        <f t="shared" si="217"/>
        <v>1.3227060007216407</v>
      </c>
      <c r="AC122" s="2169">
        <f t="shared" ref="AC122" si="218">(AC115/AB115-1)*100</f>
        <v>1.8689366086315884</v>
      </c>
      <c r="AD122" s="2169">
        <f t="shared" ref="AD122" si="219">(AD115/AC115-1)*100</f>
        <v>2.2415653393282664</v>
      </c>
      <c r="AE122" s="2169">
        <f t="shared" si="217"/>
        <v>2.1453209757501535</v>
      </c>
      <c r="AF122" s="3761"/>
      <c r="AG122" s="3761"/>
      <c r="AH122" s="3761"/>
      <c r="AI122" s="3761"/>
    </row>
    <row r="123" spans="1:38" s="1848" customFormat="1">
      <c r="A123" s="1846"/>
      <c r="B123" s="1846"/>
      <c r="C123" s="1768"/>
      <c r="D123" s="1768"/>
      <c r="E123" s="1848" t="s">
        <v>2565</v>
      </c>
      <c r="F123" s="3388"/>
      <c r="H123" s="1848">
        <v>1.3</v>
      </c>
      <c r="I123" s="1848">
        <v>1.2</v>
      </c>
      <c r="J123" s="1848">
        <v>1.5</v>
      </c>
      <c r="K123" s="1848">
        <v>1.2</v>
      </c>
      <c r="L123" s="1848">
        <v>1.5</v>
      </c>
      <c r="M123" s="1848">
        <v>2.2999999999999998</v>
      </c>
      <c r="N123" s="1848">
        <v>2.7</v>
      </c>
      <c r="O123" s="1848">
        <v>1.3</v>
      </c>
      <c r="P123" s="1848">
        <v>1.3</v>
      </c>
      <c r="Q123" s="1848">
        <v>2.2999999999999998</v>
      </c>
      <c r="R123" s="1848">
        <v>1.7</v>
      </c>
      <c r="S123" s="3389">
        <v>1.7</v>
      </c>
      <c r="T123" s="3389">
        <v>3.5</v>
      </c>
      <c r="U123" s="3389">
        <v>2.5</v>
      </c>
      <c r="V123" s="3390">
        <v>0.5</v>
      </c>
      <c r="W123" s="3390">
        <v>2.7</v>
      </c>
      <c r="X123" s="3390">
        <v>2.5</v>
      </c>
      <c r="Y123" s="3390">
        <v>2.2999999999999998</v>
      </c>
      <c r="Z123" s="3390">
        <v>2.2999999999999998</v>
      </c>
      <c r="AA123" s="3389">
        <v>0</v>
      </c>
      <c r="AB123" s="3390"/>
      <c r="AC123" s="3390"/>
      <c r="AD123" s="3390"/>
      <c r="AE123" s="3390"/>
      <c r="AK123" s="4009"/>
    </row>
    <row r="124" spans="1:38" s="1848" customFormat="1">
      <c r="A124" s="1846"/>
      <c r="B124" s="1846"/>
      <c r="C124" s="1768"/>
      <c r="D124" s="1768"/>
      <c r="E124" s="1848" t="s">
        <v>2564</v>
      </c>
      <c r="F124" s="3388"/>
      <c r="H124" s="1848">
        <v>1.3</v>
      </c>
      <c r="I124" s="1848">
        <v>1.2</v>
      </c>
      <c r="J124" s="1848">
        <v>1.5</v>
      </c>
      <c r="K124" s="1848">
        <v>1.2</v>
      </c>
      <c r="L124" s="1848">
        <v>1.5</v>
      </c>
      <c r="M124" s="1848">
        <v>2.5</v>
      </c>
      <c r="N124" s="1848">
        <v>2.7</v>
      </c>
      <c r="O124" s="1848">
        <v>1.3</v>
      </c>
      <c r="P124" s="1848">
        <v>1.3</v>
      </c>
      <c r="Q124" s="1848">
        <v>2.2999999999999998</v>
      </c>
      <c r="R124" s="1848">
        <v>1.7</v>
      </c>
      <c r="S124" s="3389">
        <v>1.5</v>
      </c>
      <c r="T124" s="3389">
        <v>4.0999999999999996</v>
      </c>
      <c r="U124" s="3389">
        <v>2</v>
      </c>
      <c r="V124" s="3390">
        <v>0.7</v>
      </c>
      <c r="W124" s="3390">
        <v>2.7</v>
      </c>
      <c r="X124" s="3390">
        <v>2.7</v>
      </c>
      <c r="Y124" s="3390">
        <v>2</v>
      </c>
      <c r="Z124" s="3390">
        <v>2</v>
      </c>
      <c r="AA124" s="3389">
        <v>0</v>
      </c>
      <c r="AB124" s="3390"/>
      <c r="AC124" s="3390"/>
      <c r="AD124" s="3390"/>
      <c r="AE124" s="3390"/>
      <c r="AL124" s="646"/>
    </row>
    <row r="125" spans="1:38" s="359" customFormat="1">
      <c r="A125" s="946"/>
      <c r="B125" s="946"/>
      <c r="C125" s="946"/>
      <c r="D125" s="1851"/>
      <c r="E125" s="1852" t="s">
        <v>1541</v>
      </c>
      <c r="F125" s="1853"/>
      <c r="G125" s="1854"/>
      <c r="H125" s="1855" t="str">
        <f>CONCATENATE(G117,"-",H117)</f>
        <v>1995-1996</v>
      </c>
      <c r="I125" s="1855" t="str">
        <f>CONCATENATE(H117,"-",I117)</f>
        <v>1996-1997</v>
      </c>
      <c r="J125" s="1855" t="str">
        <f>CONCATENATE(I117,"-",J117)</f>
        <v>1997-1998</v>
      </c>
      <c r="K125" s="1855" t="str">
        <f t="shared" ref="K125:AE125" si="220">CONCATENATE(J117,"-",K117)</f>
        <v>1998-1999</v>
      </c>
      <c r="L125" s="1855" t="str">
        <f t="shared" si="220"/>
        <v>1999-2000</v>
      </c>
      <c r="M125" s="1855" t="str">
        <f t="shared" si="220"/>
        <v>2000-2001</v>
      </c>
      <c r="N125" s="1855" t="str">
        <f t="shared" si="220"/>
        <v>2001-2002</v>
      </c>
      <c r="O125" s="1855" t="str">
        <f t="shared" si="220"/>
        <v>2002-2003</v>
      </c>
      <c r="P125" s="1855" t="str">
        <f t="shared" si="220"/>
        <v>2003-2004</v>
      </c>
      <c r="Q125" s="1855" t="str">
        <f>CONCATENATE(P117,"-",Q117)</f>
        <v>2004-2005</v>
      </c>
      <c r="R125" s="1855" t="str">
        <f>CONCATENATE(Q117,"-",R117)</f>
        <v>2005-2006</v>
      </c>
      <c r="S125" s="2171" t="str">
        <f t="shared" si="220"/>
        <v>2006-2007</v>
      </c>
      <c r="T125" s="2171" t="str">
        <f t="shared" si="220"/>
        <v>2007-2008</v>
      </c>
      <c r="U125" s="2171" t="str">
        <f t="shared" si="220"/>
        <v>2008-2009</v>
      </c>
      <c r="V125" s="2171" t="str">
        <f t="shared" si="220"/>
        <v>2009-2010</v>
      </c>
      <c r="W125" s="2171" t="str">
        <f t="shared" si="220"/>
        <v>2010-2011</v>
      </c>
      <c r="X125" s="2171" t="str">
        <f t="shared" si="220"/>
        <v>2011-2012</v>
      </c>
      <c r="Y125" s="2171" t="str">
        <f t="shared" si="220"/>
        <v>2012-2013</v>
      </c>
      <c r="Z125" s="2171" t="str">
        <f t="shared" si="220"/>
        <v>2013-2014</v>
      </c>
      <c r="AA125" s="2171" t="str">
        <f t="shared" si="220"/>
        <v>2014-2015</v>
      </c>
      <c r="AB125" s="2171" t="str">
        <f t="shared" si="220"/>
        <v>2015-2016</v>
      </c>
      <c r="AC125" s="2171" t="str">
        <f t="shared" si="220"/>
        <v>2016-2017</v>
      </c>
      <c r="AD125" s="2171" t="str">
        <f t="shared" si="220"/>
        <v>2017-2018</v>
      </c>
      <c r="AE125" s="2171" t="str">
        <f t="shared" si="220"/>
        <v>2018-2019</v>
      </c>
      <c r="AL125" s="646"/>
    </row>
    <row r="126" spans="1:38" s="221" customFormat="1">
      <c r="A126" s="946"/>
      <c r="B126" s="946"/>
      <c r="C126" s="1843"/>
      <c r="D126" s="867"/>
      <c r="E126" s="219" t="s">
        <v>722</v>
      </c>
      <c r="F126" s="1844"/>
      <c r="G126" s="219"/>
      <c r="H126" s="1845" t="e">
        <f>AVERAGE(G112:H112)</f>
        <v>#VALUE!</v>
      </c>
      <c r="I126" s="1845">
        <f>AVERAGE(H112:I112)</f>
        <v>35.630185124471055</v>
      </c>
      <c r="J126" s="1845">
        <f t="shared" ref="J126:AE126" si="221">AVERAGE(I112:J112)</f>
        <v>36.667261643481496</v>
      </c>
      <c r="K126" s="1845">
        <f t="shared" si="221"/>
        <v>37.52594764757508</v>
      </c>
      <c r="L126" s="1845">
        <f t="shared" si="221"/>
        <v>38.611778210878711</v>
      </c>
      <c r="M126" s="1845">
        <f t="shared" si="221"/>
        <v>39.861972290202907</v>
      </c>
      <c r="N126" s="1845">
        <f t="shared" si="221"/>
        <v>41.604517070025786</v>
      </c>
      <c r="O126" s="1845">
        <f t="shared" si="221"/>
        <v>43.281040777446755</v>
      </c>
      <c r="P126" s="1845">
        <f t="shared" si="221"/>
        <v>44.190604951299491</v>
      </c>
      <c r="Q126" s="1845">
        <f>AVERAGE(P112:Q112)</f>
        <v>45.220787892704635</v>
      </c>
      <c r="R126" s="1845">
        <f>AVERAGE(Q112:R112)</f>
        <v>46.724868730450524</v>
      </c>
      <c r="S126" s="2172">
        <f t="shared" si="221"/>
        <v>48.276141020848826</v>
      </c>
      <c r="T126" s="2172">
        <f t="shared" si="221"/>
        <v>50.124163512351998</v>
      </c>
      <c r="U126" s="2172">
        <f t="shared" si="221"/>
        <v>51.780403706019833</v>
      </c>
      <c r="V126" s="2172">
        <f t="shared" si="221"/>
        <v>52.861029595244325</v>
      </c>
      <c r="W126" s="2172">
        <f t="shared" si="221"/>
        <v>54.332873278923159</v>
      </c>
      <c r="X126" s="2172">
        <f t="shared" si="221"/>
        <v>56.424951808596262</v>
      </c>
      <c r="Y126" s="2172">
        <f t="shared" si="221"/>
        <v>58.43153648788153</v>
      </c>
      <c r="Z126" s="2172">
        <f t="shared" si="221"/>
        <v>59.599695936349107</v>
      </c>
      <c r="AA126" s="2172">
        <f t="shared" si="221"/>
        <v>59.925011043566201</v>
      </c>
      <c r="AB126" s="2172">
        <f t="shared" si="221"/>
        <v>60.705300156513559</v>
      </c>
      <c r="AC126" s="2172">
        <f t="shared" si="221"/>
        <v>62.04364899579636</v>
      </c>
      <c r="AD126" s="2172">
        <f t="shared" si="221"/>
        <v>63.409837860812715</v>
      </c>
      <c r="AE126" s="2172">
        <f t="shared" si="221"/>
        <v>64.803350503129394</v>
      </c>
    </row>
    <row r="127" spans="1:38" s="1848" customFormat="1">
      <c r="A127" s="1846"/>
      <c r="B127" s="1846"/>
      <c r="C127" s="1847"/>
      <c r="D127" s="1856"/>
      <c r="E127" s="1857" t="s">
        <v>220</v>
      </c>
      <c r="F127" s="1858"/>
      <c r="G127" s="1857"/>
      <c r="H127" s="1857"/>
      <c r="I127" s="1859" t="e">
        <f>+I126/H126-1</f>
        <v>#VALUE!</v>
      </c>
      <c r="J127" s="1859">
        <f t="shared" ref="J127:AE127" si="222">+J126/I126-1</f>
        <v>2.9106683431127323E-2</v>
      </c>
      <c r="K127" s="1859">
        <f t="shared" si="222"/>
        <v>2.341832920174558E-2</v>
      </c>
      <c r="L127" s="1859">
        <f t="shared" si="222"/>
        <v>2.8935460164822624E-2</v>
      </c>
      <c r="M127" s="1859">
        <f t="shared" si="222"/>
        <v>3.2378567816696791E-2</v>
      </c>
      <c r="N127" s="1859">
        <f t="shared" si="222"/>
        <v>4.3714464681697596E-2</v>
      </c>
      <c r="O127" s="1859">
        <f t="shared" si="222"/>
        <v>4.0296675108598468E-2</v>
      </c>
      <c r="P127" s="1859">
        <f t="shared" si="222"/>
        <v>2.1015302717181772E-2</v>
      </c>
      <c r="Q127" s="1859">
        <f>+Q126/P126-1</f>
        <v>2.3312261566467818E-2</v>
      </c>
      <c r="R127" s="1859">
        <f>+R126/Q126-1</f>
        <v>3.3260827770507317E-2</v>
      </c>
      <c r="S127" s="2173">
        <f t="shared" si="222"/>
        <v>3.3200142291407664E-2</v>
      </c>
      <c r="T127" s="2173">
        <f t="shared" si="222"/>
        <v>3.828024470110547E-2</v>
      </c>
      <c r="U127" s="2173">
        <f t="shared" si="222"/>
        <v>3.3042749795908044E-2</v>
      </c>
      <c r="V127" s="2173">
        <f t="shared" si="222"/>
        <v>2.0869398689119523E-2</v>
      </c>
      <c r="W127" s="2173">
        <f t="shared" si="222"/>
        <v>2.7843643889434277E-2</v>
      </c>
      <c r="X127" s="2173">
        <f t="shared" si="222"/>
        <v>3.8504838846515899E-2</v>
      </c>
      <c r="Y127" s="2173">
        <f t="shared" si="222"/>
        <v>3.5562009624606761E-2</v>
      </c>
      <c r="Z127" s="2173">
        <f t="shared" si="222"/>
        <v>1.9991934470349637E-2</v>
      </c>
      <c r="AA127" s="2173">
        <f t="shared" si="222"/>
        <v>5.4583350150732013E-3</v>
      </c>
      <c r="AB127" s="2173">
        <f t="shared" si="222"/>
        <v>1.302109251811534E-2</v>
      </c>
      <c r="AC127" s="2173">
        <f t="shared" si="222"/>
        <v>2.2046655495190803E-2</v>
      </c>
      <c r="AD127" s="2173">
        <f t="shared" si="222"/>
        <v>2.2019801980198039E-2</v>
      </c>
      <c r="AE127" s="2173">
        <f t="shared" si="222"/>
        <v>2.1976284584980244E-2</v>
      </c>
    </row>
    <row r="128" spans="1:38" s="221" customFormat="1">
      <c r="A128" s="946"/>
      <c r="B128" s="946"/>
      <c r="C128" s="918"/>
      <c r="D128" s="724"/>
      <c r="E128" s="166" t="s">
        <v>1219</v>
      </c>
      <c r="F128" s="759"/>
      <c r="H128" s="1842"/>
      <c r="I128" s="1842">
        <f ca="1">OFFSET('Q1'!$G265,0,4*COLUMN()-27)</f>
        <v>71.028333333333336</v>
      </c>
      <c r="J128" s="1842">
        <f ca="1">OFFSET('Q1'!$G265,0,4*COLUMN()-27)</f>
        <v>71.89166666666668</v>
      </c>
      <c r="K128" s="1842">
        <f ca="1">OFFSET('Q1'!$G265,0,4*COLUMN()-27)</f>
        <v>72.532499999999999</v>
      </c>
      <c r="L128" s="1842">
        <f ca="1">OFFSET('Q1'!$G265,0,4*COLUMN()-27)</f>
        <v>73.772499999999994</v>
      </c>
      <c r="M128" s="1842">
        <f ca="1">OFFSET('Q1'!$G265,0,4*COLUMN()-27)</f>
        <v>75.975833333333341</v>
      </c>
      <c r="N128" s="1842">
        <f ca="1">OFFSET('Q1'!$G265,0,4*COLUMN()-27)</f>
        <v>77.510000000000005</v>
      </c>
      <c r="O128" s="1842">
        <f ca="1">OFFSET('Q1'!$G265,0,4*COLUMN()-27)</f>
        <v>78.523333333333341</v>
      </c>
      <c r="P128" s="1842">
        <f ca="1">OFFSET('Q1'!$G265,0,4*COLUMN()-27)</f>
        <v>79.779166666666654</v>
      </c>
      <c r="Q128" s="1842">
        <f ca="1">OFFSET('Q1'!$G265,0,4*COLUMN()-27)</f>
        <v>81.594166666666666</v>
      </c>
      <c r="R128" s="1842">
        <f ca="1">OFFSET('Q1'!$G265,0,4*COLUMN()-27)</f>
        <v>83.733333333333334</v>
      </c>
      <c r="S128" s="1842">
        <f ca="1">OFFSET('Q1'!$G265,0,4*COLUMN()-27)</f>
        <v>85.274999999999991</v>
      </c>
      <c r="T128" s="2819">
        <f ca="1">OFFSET('Q1'!$G251,0,4*COLUMN()-23)</f>
        <v>90.255517525628235</v>
      </c>
      <c r="U128" s="2819">
        <f ca="1">OFFSET('Q1'!$G251,0,4*COLUMN()-27)</f>
        <v>90.255517525628235</v>
      </c>
      <c r="V128" s="2819">
        <f ca="1">OFFSET('Q1'!$G251,0,4*COLUMN()-27)</f>
        <v>92.394173504034171</v>
      </c>
      <c r="W128" s="2819">
        <f ca="1">OFFSET('Q1'!$G251,0,4*COLUMN()-27)</f>
        <v>95.320338064327487</v>
      </c>
      <c r="X128" s="2819">
        <f ca="1">OFFSET('Q1'!$G251,0,4*COLUMN()-27)</f>
        <v>97.767532197385961</v>
      </c>
      <c r="Y128" s="2819">
        <f ca="1">OFFSET('Q1'!$G251,0,4*COLUMN()-27)</f>
        <v>99.09961573928986</v>
      </c>
      <c r="Z128" s="2819">
        <f ca="1">OFFSET('Q1'!$G251,0,4*COLUMN()-27)</f>
        <v>99.770394939811212</v>
      </c>
      <c r="AA128" s="2819">
        <f ca="1">OFFSET('Q1'!$G251,0,4*COLUMN()-27)</f>
        <v>100.43595118132905</v>
      </c>
      <c r="AB128" s="2819">
        <f ca="1">OFFSET('Q1'!$G251,0,4*COLUMN()-27)</f>
        <v>102.12402091431748</v>
      </c>
      <c r="AC128" s="2819">
        <f ca="1">OFFSET('Q1'!$G251,0,4*COLUMN()-27)</f>
        <v>104.18123175561091</v>
      </c>
      <c r="AD128" s="2819">
        <f ca="1">OFFSET('Q1'!$G251,0,4*COLUMN()-27)</f>
        <v>105.8923456996642</v>
      </c>
      <c r="AE128" s="2819">
        <f ca="1">OFFSET('Q1'!$G251,0,4*COLUMN()-27)</f>
        <v>107.62878749114131</v>
      </c>
    </row>
    <row r="129" spans="1:49" s="1848" customFormat="1">
      <c r="A129" s="1846"/>
      <c r="B129" s="1846"/>
      <c r="C129" s="1849"/>
      <c r="D129" s="1860"/>
      <c r="E129" s="1861" t="s">
        <v>220</v>
      </c>
      <c r="F129" s="1862"/>
      <c r="G129" s="1861"/>
      <c r="H129" s="1861"/>
      <c r="I129" s="1863" t="e">
        <f ca="1">+I128/H128-1</f>
        <v>#DIV/0!</v>
      </c>
      <c r="J129" s="1863">
        <f t="shared" ref="J129:AE129" ca="1" si="223">+J128/I128-1</f>
        <v>1.2154773916512429E-2</v>
      </c>
      <c r="K129" s="1863">
        <f t="shared" ca="1" si="223"/>
        <v>8.913875043468078E-3</v>
      </c>
      <c r="L129" s="1863">
        <f t="shared" ca="1" si="223"/>
        <v>1.7095784648261114E-2</v>
      </c>
      <c r="M129" s="1863">
        <f t="shared" ca="1" si="223"/>
        <v>2.9866594372338628E-2</v>
      </c>
      <c r="N129" s="1863">
        <f t="shared" ca="1" si="223"/>
        <v>2.0192824472694104E-2</v>
      </c>
      <c r="O129" s="1863">
        <f t="shared" ca="1" si="223"/>
        <v>1.3073581903410236E-2</v>
      </c>
      <c r="P129" s="1863">
        <f t="shared" ca="1" si="223"/>
        <v>1.5993123063208214E-2</v>
      </c>
      <c r="Q129" s="1863">
        <f ca="1">+Q128/P128-1</f>
        <v>2.2750300308142402E-2</v>
      </c>
      <c r="R129" s="1863">
        <f ca="1">+R128/Q128-1</f>
        <v>2.6217151961435148E-2</v>
      </c>
      <c r="S129" s="2174">
        <f t="shared" ca="1" si="223"/>
        <v>1.8411624203821475E-2</v>
      </c>
      <c r="T129" s="2174">
        <f ca="1">+T128/S128-1</f>
        <v>5.8405365296138934E-2</v>
      </c>
      <c r="U129" s="2174">
        <f ca="1">+U128/T128-1</f>
        <v>0</v>
      </c>
      <c r="V129" s="2174">
        <f t="shared" ca="1" si="223"/>
        <v>2.3695570498486918E-2</v>
      </c>
      <c r="W129" s="2174">
        <f t="shared" ca="1" si="223"/>
        <v>3.167044467544855E-2</v>
      </c>
      <c r="X129" s="2174">
        <f t="shared" ca="1" si="223"/>
        <v>2.5673368168364741E-2</v>
      </c>
      <c r="Y129" s="2174">
        <f t="shared" ca="1" si="223"/>
        <v>1.3625009366243557E-2</v>
      </c>
      <c r="Z129" s="2174">
        <f t="shared" ca="1" si="223"/>
        <v>6.768736644610529E-3</v>
      </c>
      <c r="AA129" s="2174">
        <f t="shared" ca="1" si="223"/>
        <v>6.6708790911307325E-3</v>
      </c>
      <c r="AB129" s="2174">
        <f t="shared" ca="1" si="223"/>
        <v>1.6807425161342593E-2</v>
      </c>
      <c r="AC129" s="2174">
        <f t="shared" ca="1" si="223"/>
        <v>2.0144240531024815E-2</v>
      </c>
      <c r="AD129" s="2174">
        <f t="shared" ca="1" si="223"/>
        <v>1.6424397323955953E-2</v>
      </c>
      <c r="AE129" s="2174">
        <f t="shared" ca="1" si="223"/>
        <v>1.6398180435081455E-2</v>
      </c>
    </row>
    <row r="130" spans="1:49" s="221" customFormat="1">
      <c r="A130" s="946"/>
      <c r="B130" s="946"/>
      <c r="C130" s="724"/>
      <c r="D130" s="1864"/>
      <c r="E130" s="1865" t="s">
        <v>1628</v>
      </c>
      <c r="F130" s="1866"/>
      <c r="G130" s="1865"/>
      <c r="H130" s="1865"/>
      <c r="I130" s="1867" t="e">
        <f t="shared" ref="I130:N130" ca="1" si="224">+(1+I127)/(1+I129)-1</f>
        <v>#VALUE!</v>
      </c>
      <c r="J130" s="1867">
        <f t="shared" ca="1" si="224"/>
        <v>1.6748337261721202E-2</v>
      </c>
      <c r="K130" s="1867">
        <f t="shared" ca="1" si="224"/>
        <v>1.4376305566867753E-2</v>
      </c>
      <c r="L130" s="1867">
        <f t="shared" ca="1" si="224"/>
        <v>1.1640669143718751E-2</v>
      </c>
      <c r="M130" s="1867">
        <f t="shared" ca="1" si="224"/>
        <v>2.4391250848263546E-3</v>
      </c>
      <c r="N130" s="1867">
        <f t="shared" ca="1" si="224"/>
        <v>2.305607297440182E-2</v>
      </c>
      <c r="O130" s="1867">
        <f t="shared" ref="O130:Y130" ca="1" si="225">+(1+O127)/(1+O129)-1</f>
        <v>2.687178275248292E-2</v>
      </c>
      <c r="P130" s="1867">
        <f t="shared" ca="1" si="225"/>
        <v>4.9431236688215474E-3</v>
      </c>
      <c r="Q130" s="1867">
        <f ca="1">+(1+Q127)/(1+Q129)-1</f>
        <v>5.494608587806038E-4</v>
      </c>
      <c r="R130" s="1867">
        <f ca="1">+(1+R127)/(1+R129)-1</f>
        <v>6.8637283986234809E-3</v>
      </c>
      <c r="S130" s="2175">
        <f t="shared" ca="1" si="225"/>
        <v>1.4521159947626927E-2</v>
      </c>
      <c r="T130" s="2175">
        <f t="shared" ca="1" si="225"/>
        <v>-1.9014567815803241E-2</v>
      </c>
      <c r="U130" s="2175">
        <f t="shared" ca="1" si="225"/>
        <v>3.3042749795908044E-2</v>
      </c>
      <c r="V130" s="2175">
        <f t="shared" ca="1" si="225"/>
        <v>-2.7607541644349975E-3</v>
      </c>
      <c r="W130" s="2175">
        <f t="shared" ca="1" si="225"/>
        <v>-3.709324819533899E-3</v>
      </c>
      <c r="X130" s="2175">
        <f t="shared" ca="1" si="225"/>
        <v>1.2510289412179576E-2</v>
      </c>
      <c r="Y130" s="2175">
        <f t="shared" ca="1" si="225"/>
        <v>2.1642126087712654E-2</v>
      </c>
      <c r="Z130" s="2175">
        <f t="shared" ref="Z130" ca="1" si="226">+(1+Z127)/(1+Z129)-1</f>
        <v>1.3134295240245342E-2</v>
      </c>
      <c r="AA130" s="2175">
        <f ca="1">+(1+AA127)/(1+AA129)-1</f>
        <v>-1.2045089425376521E-3</v>
      </c>
      <c r="AB130" s="2175">
        <f ca="1">+(1+AB127)/(1+AB129)-1</f>
        <v>-3.7237460600039185E-3</v>
      </c>
      <c r="AC130" s="2175">
        <f ca="1">+(1+AC127)/(1+AC129)-1</f>
        <v>1.8648489974082416E-3</v>
      </c>
      <c r="AD130" s="2175">
        <f ca="1">+(1+AD127)/(1+AD129)-1</f>
        <v>5.5049885372426832E-3</v>
      </c>
      <c r="AE130" s="2175">
        <f ca="1">+(1+AE127)/(1+AE129)-1</f>
        <v>5.4881091458771625E-3</v>
      </c>
    </row>
    <row r="131" spans="1:49" s="221" customFormat="1" ht="30" customHeight="1">
      <c r="A131" s="946"/>
      <c r="B131" s="946"/>
      <c r="C131" s="724"/>
      <c r="D131" s="724"/>
      <c r="F131" s="759"/>
      <c r="Q131" s="359"/>
      <c r="R131" s="2168"/>
      <c r="S131" s="2168"/>
      <c r="T131" s="3928"/>
      <c r="U131" s="3928"/>
      <c r="V131" s="2842"/>
      <c r="W131" s="2842"/>
      <c r="X131" s="3912"/>
      <c r="Y131" s="3912"/>
      <c r="Z131" s="3912"/>
      <c r="AA131" s="3912"/>
      <c r="AB131" s="2842"/>
      <c r="AC131" s="2842"/>
      <c r="AD131" s="2842"/>
      <c r="AE131" s="2842"/>
    </row>
    <row r="132" spans="1:49">
      <c r="D132" s="943"/>
      <c r="E132" s="944" t="s">
        <v>981</v>
      </c>
      <c r="F132" s="945"/>
      <c r="G132" s="748">
        <f>+InputY!$G$3</f>
        <v>1995</v>
      </c>
      <c r="H132" s="748">
        <f>+G132+1</f>
        <v>1996</v>
      </c>
      <c r="I132" s="748">
        <f>+H132+1</f>
        <v>1997</v>
      </c>
      <c r="J132" s="748">
        <f t="shared" ref="J132:P132" si="227">+I132+1</f>
        <v>1998</v>
      </c>
      <c r="K132" s="748">
        <f t="shared" si="227"/>
        <v>1999</v>
      </c>
      <c r="L132" s="748">
        <f t="shared" si="227"/>
        <v>2000</v>
      </c>
      <c r="M132" s="748">
        <f t="shared" si="227"/>
        <v>2001</v>
      </c>
      <c r="N132" s="748">
        <f t="shared" si="227"/>
        <v>2002</v>
      </c>
      <c r="O132" s="748">
        <f t="shared" si="227"/>
        <v>2003</v>
      </c>
      <c r="P132" s="748">
        <f t="shared" si="227"/>
        <v>2004</v>
      </c>
      <c r="Q132" s="748">
        <f t="shared" ref="Q132:V132" si="228">+P132+1</f>
        <v>2005</v>
      </c>
      <c r="R132" s="748">
        <f t="shared" si="228"/>
        <v>2006</v>
      </c>
      <c r="S132" s="2122">
        <f t="shared" si="228"/>
        <v>2007</v>
      </c>
      <c r="T132" s="2122">
        <f t="shared" ref="T132" si="229">+S132+1</f>
        <v>2008</v>
      </c>
      <c r="U132" s="2122">
        <f t="shared" ref="U132" si="230">+T132+1</f>
        <v>2009</v>
      </c>
      <c r="V132" s="2122">
        <f t="shared" si="228"/>
        <v>2010</v>
      </c>
      <c r="W132" s="2122">
        <f t="shared" ref="W132:AE132" si="231">+V132+1</f>
        <v>2011</v>
      </c>
      <c r="X132" s="2122">
        <f t="shared" si="231"/>
        <v>2012</v>
      </c>
      <c r="Y132" s="2122">
        <f t="shared" si="231"/>
        <v>2013</v>
      </c>
      <c r="Z132" s="2122">
        <f t="shared" si="231"/>
        <v>2014</v>
      </c>
      <c r="AA132" s="2122">
        <f t="shared" si="231"/>
        <v>2015</v>
      </c>
      <c r="AB132" s="2122">
        <f t="shared" si="231"/>
        <v>2016</v>
      </c>
      <c r="AC132" s="2122">
        <f t="shared" si="231"/>
        <v>2017</v>
      </c>
      <c r="AD132" s="2122">
        <f t="shared" si="231"/>
        <v>2018</v>
      </c>
      <c r="AE132" s="2122">
        <f t="shared" si="231"/>
        <v>2019</v>
      </c>
    </row>
    <row r="133" spans="1:49" s="941" customFormat="1" ht="20.399999999999999">
      <c r="A133" s="940"/>
      <c r="B133" s="940"/>
      <c r="C133" s="947" t="s">
        <v>622</v>
      </c>
      <c r="D133" s="948"/>
      <c r="E133" s="949" t="s">
        <v>1430</v>
      </c>
      <c r="F133" s="960" t="s">
        <v>1715</v>
      </c>
      <c r="G133" s="1375">
        <f t="shared" ref="G133:Q133" ca="1" si="232">+G135-G134</f>
        <v>54.415099999999988</v>
      </c>
      <c r="H133" s="1375">
        <f t="shared" si="232"/>
        <v>55.276399999999995</v>
      </c>
      <c r="I133" s="1375">
        <f t="shared" si="232"/>
        <v>57.287700000000001</v>
      </c>
      <c r="J133" s="1375">
        <f t="shared" si="232"/>
        <v>58.94380000000001</v>
      </c>
      <c r="K133" s="1375">
        <f t="shared" si="232"/>
        <v>62.633200000000002</v>
      </c>
      <c r="L133" s="1375">
        <f t="shared" si="232"/>
        <v>66.53179999999999</v>
      </c>
      <c r="M133" s="1375">
        <f t="shared" si="232"/>
        <v>70.640800000000013</v>
      </c>
      <c r="N133" s="1375">
        <f t="shared" si="232"/>
        <v>71.433799999999991</v>
      </c>
      <c r="O133" s="1375">
        <f t="shared" si="232"/>
        <v>71.786300000000011</v>
      </c>
      <c r="P133" s="1375">
        <f t="shared" si="232"/>
        <v>73.965599999999995</v>
      </c>
      <c r="Q133" s="1375">
        <f t="shared" si="232"/>
        <v>76.228499999999997</v>
      </c>
      <c r="R133" s="1375">
        <f t="shared" ref="R133:X133" si="233">+R135-R134</f>
        <v>79.994399999999985</v>
      </c>
      <c r="S133" s="1375">
        <f t="shared" si="233"/>
        <v>83.872199999999992</v>
      </c>
      <c r="T133" s="1375">
        <f t="shared" si="233"/>
        <v>88.267299999999977</v>
      </c>
      <c r="U133" s="1375">
        <f t="shared" si="233"/>
        <v>86.497399999999999</v>
      </c>
      <c r="V133" s="1375">
        <f t="shared" si="233"/>
        <v>87.702799999999996</v>
      </c>
      <c r="W133" s="1375">
        <f t="shared" si="233"/>
        <v>92.117999999999995</v>
      </c>
      <c r="X133" s="1375">
        <f t="shared" si="233"/>
        <v>94.705400000000012</v>
      </c>
      <c r="Y133" s="1375">
        <f t="shared" ref="Y133:AC133" si="234">+Y135-Y134</f>
        <v>95.827699999999993</v>
      </c>
      <c r="Z133" s="1375">
        <f t="shared" si="234"/>
        <v>97.245800000000003</v>
      </c>
      <c r="AA133" s="1375">
        <f t="shared" si="234"/>
        <v>97.934100000000015</v>
      </c>
      <c r="AB133" s="1375">
        <f t="shared" si="234"/>
        <v>100.21619999999999</v>
      </c>
      <c r="AC133" s="4049">
        <f t="shared" si="234"/>
        <v>104.10325632064456</v>
      </c>
      <c r="AD133" s="2176">
        <f t="shared" ref="AD133" si="235">+AD111*AD28/1000</f>
        <v>108.33873061709201</v>
      </c>
      <c r="AE133" s="2176">
        <f t="shared" ref="AE133" si="236">+AE111*AE28/1000</f>
        <v>112.4355553818281</v>
      </c>
    </row>
    <row r="134" spans="1:49" s="941" customFormat="1" ht="20.399999999999999">
      <c r="A134" s="1820">
        <v>241</v>
      </c>
      <c r="B134" s="940"/>
      <c r="C134" s="950" t="s">
        <v>622</v>
      </c>
      <c r="D134" s="951"/>
      <c r="E134" s="952" t="s">
        <v>1433</v>
      </c>
      <c r="F134" s="961" t="s">
        <v>1714</v>
      </c>
      <c r="G134" s="1085">
        <f>+InputY!G281/1000</f>
        <v>24.4283</v>
      </c>
      <c r="H134" s="1085">
        <f>+InputY!H281/1000</f>
        <v>24.956</v>
      </c>
      <c r="I134" s="1085">
        <f>+InputY!I281/1000</f>
        <v>25.796200000000002</v>
      </c>
      <c r="J134" s="1085">
        <f>+InputY!J281/1000</f>
        <v>26.571000000000002</v>
      </c>
      <c r="K134" s="1085">
        <f>+InputY!K281/1000</f>
        <v>27.7728</v>
      </c>
      <c r="L134" s="1085">
        <f>+InputY!L281/1000</f>
        <v>28.776700000000002</v>
      </c>
      <c r="M134" s="1085">
        <f>+InputY!M281/1000</f>
        <v>30.060299999999998</v>
      </c>
      <c r="N134" s="1085">
        <f>+InputY!N281/1000</f>
        <v>32.275100000000002</v>
      </c>
      <c r="O134" s="1085">
        <f>+InputY!O281/1000</f>
        <v>33.604199999999999</v>
      </c>
      <c r="P134" s="1085">
        <f>+InputY!P281/1000</f>
        <v>34.612099999999998</v>
      </c>
      <c r="Q134" s="1085">
        <f>+InputY!Q281/1000</f>
        <v>36.417699999999996</v>
      </c>
      <c r="R134" s="1085">
        <f>+InputY!R281/1000</f>
        <v>38.011800000000001</v>
      </c>
      <c r="S134" s="1085">
        <f>+InputY!S281/1000</f>
        <v>39.631699999999995</v>
      </c>
      <c r="T134" s="1085">
        <f>+InputY!T281/1000</f>
        <v>41.896599999999999</v>
      </c>
      <c r="U134" s="1085">
        <f>+InputY!U281/1000</f>
        <v>43.747800000000005</v>
      </c>
      <c r="V134" s="1085">
        <f>+InputY!V281/1000</f>
        <v>44.9086</v>
      </c>
      <c r="W134" s="1085">
        <f>+InputY!W281/1000</f>
        <v>46.770900000000005</v>
      </c>
      <c r="X134" s="1085">
        <f>+InputY!X281/1000</f>
        <v>48.655199999999994</v>
      </c>
      <c r="Y134" s="1085">
        <f>+InputY!Y281/1000</f>
        <v>50.1937</v>
      </c>
      <c r="Z134" s="1085">
        <f>+InputY!Z281/1000</f>
        <v>50.8705</v>
      </c>
      <c r="AA134" s="1085">
        <f>+InputY!AA281/1000</f>
        <v>51.17</v>
      </c>
      <c r="AB134" s="1085">
        <f>+InputY!AB281/1000</f>
        <v>52.6081</v>
      </c>
      <c r="AC134" s="2240">
        <f t="shared" ref="AC134:AD134" si="237">+AC112*AC29/1000</f>
        <v>53.791843679355445</v>
      </c>
      <c r="AD134" s="2135">
        <f t="shared" si="237"/>
        <v>55.110389351623802</v>
      </c>
      <c r="AE134" s="2135">
        <f t="shared" ref="AE134" si="238">+AE112*AE29/1000</f>
        <v>56.212597138656278</v>
      </c>
    </row>
    <row r="135" spans="1:49" s="941" customFormat="1">
      <c r="A135" s="714">
        <f>+ROW(InputY!A230)</f>
        <v>230</v>
      </c>
      <c r="B135" s="940">
        <v>62</v>
      </c>
      <c r="C135" s="950" t="s">
        <v>624</v>
      </c>
      <c r="D135" s="953"/>
      <c r="E135" s="954" t="s">
        <v>1434</v>
      </c>
      <c r="F135" s="959" t="s">
        <v>1048</v>
      </c>
      <c r="G135" s="963">
        <f ca="1">+InputY!G230/1000</f>
        <v>78.843399999999988</v>
      </c>
      <c r="H135" s="963">
        <f>+InputY!H230/1000</f>
        <v>80.232399999999998</v>
      </c>
      <c r="I135" s="963">
        <f>+InputY!I230/1000</f>
        <v>83.0839</v>
      </c>
      <c r="J135" s="963">
        <f>+InputY!J230/1000</f>
        <v>85.514800000000008</v>
      </c>
      <c r="K135" s="963">
        <f>+InputY!K230/1000</f>
        <v>90.406000000000006</v>
      </c>
      <c r="L135" s="963">
        <f>+InputY!L230/1000</f>
        <v>95.308499999999995</v>
      </c>
      <c r="M135" s="963">
        <f>+InputY!M230/1000</f>
        <v>100.70110000000001</v>
      </c>
      <c r="N135" s="963">
        <f>+InputY!N230/1000</f>
        <v>103.7089</v>
      </c>
      <c r="O135" s="963">
        <f>+InputY!O230/1000</f>
        <v>105.3905</v>
      </c>
      <c r="P135" s="963">
        <f>+InputY!P230/1000</f>
        <v>108.57769999999999</v>
      </c>
      <c r="Q135" s="963">
        <f>+InputY!Q230/1000</f>
        <v>112.64619999999999</v>
      </c>
      <c r="R135" s="963">
        <f>+InputY!R230/1000</f>
        <v>118.00619999999999</v>
      </c>
      <c r="S135" s="963">
        <f>+InputY!S230/1000</f>
        <v>123.50389999999999</v>
      </c>
      <c r="T135" s="963">
        <f>+InputY!T230/1000</f>
        <v>130.16389999999998</v>
      </c>
      <c r="U135" s="963">
        <f>+InputY!U230/1000</f>
        <v>130.24520000000001</v>
      </c>
      <c r="V135" s="963">
        <f>+InputY!V230/1000</f>
        <v>132.6114</v>
      </c>
      <c r="W135" s="963">
        <f>+InputY!W230/1000</f>
        <v>138.88890000000001</v>
      </c>
      <c r="X135" s="963">
        <f>+InputY!X230/1000</f>
        <v>143.36060000000001</v>
      </c>
      <c r="Y135" s="963">
        <f>+InputY!Y230/1000</f>
        <v>146.0214</v>
      </c>
      <c r="Z135" s="963">
        <f>+InputY!Z230/1000</f>
        <v>148.1163</v>
      </c>
      <c r="AA135" s="963">
        <f>+InputY!AA230/1000</f>
        <v>149.10410000000002</v>
      </c>
      <c r="AB135" s="963">
        <f>+InputY!AB230/1000</f>
        <v>152.82429999999999</v>
      </c>
      <c r="AC135" s="4050">
        <f>+InputY!AC230/1000</f>
        <v>157.89510000000001</v>
      </c>
      <c r="AD135" s="2177">
        <f>+AD133+AD134</f>
        <v>163.44911996871582</v>
      </c>
      <c r="AE135" s="2177">
        <f>+AE133+AE134</f>
        <v>168.64815252048436</v>
      </c>
      <c r="AG135" s="3939"/>
      <c r="AH135" s="3939"/>
      <c r="AI135" s="3939"/>
      <c r="AJ135" s="3939"/>
      <c r="AK135" s="3939"/>
      <c r="AL135" s="3939"/>
      <c r="AM135" s="3938"/>
    </row>
    <row r="136" spans="1:49" s="941" customFormat="1" ht="20.399999999999999">
      <c r="A136" s="1820"/>
      <c r="B136" s="940"/>
      <c r="C136" s="955" t="s">
        <v>622</v>
      </c>
      <c r="D136" s="956"/>
      <c r="E136" s="957" t="s">
        <v>567</v>
      </c>
      <c r="F136" s="962" t="s">
        <v>1693</v>
      </c>
      <c r="G136" s="964">
        <f t="shared" ref="G136:X136" ca="1" si="239">+G137-G135</f>
        <v>2.0700000000000074</v>
      </c>
      <c r="H136" s="964">
        <f t="shared" si="239"/>
        <v>2.0975999999999999</v>
      </c>
      <c r="I136" s="964">
        <f t="shared" si="239"/>
        <v>2.0999000000000052</v>
      </c>
      <c r="J136" s="964">
        <f t="shared" si="239"/>
        <v>2.2304999999999922</v>
      </c>
      <c r="K136" s="964">
        <f t="shared" si="239"/>
        <v>2.428299999999993</v>
      </c>
      <c r="L136" s="964">
        <f t="shared" si="239"/>
        <v>2.5768000000000058</v>
      </c>
      <c r="M136" s="964">
        <f t="shared" si="239"/>
        <v>2.8049999999999926</v>
      </c>
      <c r="N136" s="964">
        <f t="shared" si="239"/>
        <v>3.0844000000000023</v>
      </c>
      <c r="O136" s="964">
        <f t="shared" si="239"/>
        <v>3.3378000000000014</v>
      </c>
      <c r="P136" s="964">
        <f t="shared" si="239"/>
        <v>3.6299000000000063</v>
      </c>
      <c r="Q136" s="964">
        <f t="shared" si="239"/>
        <v>3.775400000000019</v>
      </c>
      <c r="R136" s="964">
        <f t="shared" si="239"/>
        <v>4.0006000000000057</v>
      </c>
      <c r="S136" s="964">
        <f t="shared" si="239"/>
        <v>4.1293000000000148</v>
      </c>
      <c r="T136" s="964">
        <f t="shared" si="239"/>
        <v>4.2086000000000183</v>
      </c>
      <c r="U136" s="964">
        <f t="shared" si="239"/>
        <v>4.3188999999999851</v>
      </c>
      <c r="V136" s="964">
        <f t="shared" si="239"/>
        <v>4.5813999999999737</v>
      </c>
      <c r="W136" s="964">
        <f t="shared" si="239"/>
        <v>4.593199999999996</v>
      </c>
      <c r="X136" s="964">
        <f t="shared" si="239"/>
        <v>4.7219000000000051</v>
      </c>
      <c r="Y136" s="964">
        <f t="shared" ref="Y136:AB136" si="240">+Y137-Y135</f>
        <v>4.7958999999999889</v>
      </c>
      <c r="Z136" s="964">
        <f t="shared" si="240"/>
        <v>4.9754999999999825</v>
      </c>
      <c r="AA136" s="964">
        <f t="shared" si="240"/>
        <v>5.228999999999985</v>
      </c>
      <c r="AB136" s="964">
        <f t="shared" si="240"/>
        <v>5.3286999999999978</v>
      </c>
      <c r="AC136" s="2178">
        <f>+AC114*AC33/1000</f>
        <v>5.4407269577492103</v>
      </c>
      <c r="AD136" s="2178">
        <f>+AD114*AD33/1000</f>
        <v>5.5472373490375881</v>
      </c>
      <c r="AE136" s="2178">
        <f>+AE114*AE33/1000</f>
        <v>5.6279607469407829</v>
      </c>
    </row>
    <row r="137" spans="1:49" s="952" customFormat="1">
      <c r="A137" s="714">
        <f>+ROW(InputY!A185)</f>
        <v>185</v>
      </c>
      <c r="B137" s="958">
        <v>88</v>
      </c>
      <c r="C137" s="951" t="s">
        <v>624</v>
      </c>
      <c r="D137" s="953"/>
      <c r="E137" s="954" t="s">
        <v>593</v>
      </c>
      <c r="F137" s="959" t="s">
        <v>217</v>
      </c>
      <c r="G137" s="963">
        <f ca="1">+InputY!G185/1000</f>
        <v>80.913399999999996</v>
      </c>
      <c r="H137" s="963">
        <f>+InputY!H185/1000</f>
        <v>82.33</v>
      </c>
      <c r="I137" s="963">
        <f>+InputY!I185/1000</f>
        <v>85.183800000000005</v>
      </c>
      <c r="J137" s="963">
        <f>+InputY!J185/1000</f>
        <v>87.7453</v>
      </c>
      <c r="K137" s="963">
        <f>+InputY!K185/1000</f>
        <v>92.834299999999999</v>
      </c>
      <c r="L137" s="963">
        <f>+InputY!L185/1000</f>
        <v>97.885300000000001</v>
      </c>
      <c r="M137" s="963">
        <f>+InputY!M185/1000</f>
        <v>103.5061</v>
      </c>
      <c r="N137" s="963">
        <f>+InputY!N185/1000</f>
        <v>106.7933</v>
      </c>
      <c r="O137" s="963">
        <f>+InputY!O185/1000</f>
        <v>108.7283</v>
      </c>
      <c r="P137" s="963">
        <f>+InputY!P185/1000</f>
        <v>112.2076</v>
      </c>
      <c r="Q137" s="963">
        <f>+InputY!Q185/1000</f>
        <v>116.42160000000001</v>
      </c>
      <c r="R137" s="963">
        <f>+InputY!R185/1000</f>
        <v>122.0068</v>
      </c>
      <c r="S137" s="963">
        <f>+InputY!S185/1000</f>
        <v>127.6332</v>
      </c>
      <c r="T137" s="963">
        <f>+InputY!T185/1000</f>
        <v>134.3725</v>
      </c>
      <c r="U137" s="963">
        <f>+InputY!U185/1000</f>
        <v>134.5641</v>
      </c>
      <c r="V137" s="963">
        <f>+InputY!V185/1000</f>
        <v>137.19279999999998</v>
      </c>
      <c r="W137" s="963">
        <f>+InputY!W185/1000</f>
        <v>143.4821</v>
      </c>
      <c r="X137" s="963">
        <f>+InputY!X185/1000</f>
        <v>148.08250000000001</v>
      </c>
      <c r="Y137" s="963">
        <f>+InputY!Y185/1000</f>
        <v>150.81729999999999</v>
      </c>
      <c r="Z137" s="963">
        <f>+InputY!Z185/1000</f>
        <v>153.09179999999998</v>
      </c>
      <c r="AA137" s="963">
        <f>+InputY!AA185/1000</f>
        <v>154.3331</v>
      </c>
      <c r="AB137" s="963">
        <f>+InputY!AB185/1000</f>
        <v>158.15299999999999</v>
      </c>
      <c r="AC137" s="2177">
        <f>+AC135+AC136</f>
        <v>163.33582695774922</v>
      </c>
      <c r="AD137" s="2177">
        <f>+AD135+AD136</f>
        <v>168.99635731775342</v>
      </c>
      <c r="AE137" s="2177">
        <f>+AE135+AE136</f>
        <v>174.27611326742513</v>
      </c>
    </row>
    <row r="138" spans="1:49" s="749" customFormat="1" ht="30" customHeight="1">
      <c r="A138" s="713"/>
      <c r="B138" s="713"/>
      <c r="C138" s="744"/>
      <c r="D138" s="720"/>
      <c r="F138" s="744"/>
      <c r="Q138" s="883"/>
      <c r="R138" s="2162"/>
      <c r="S138" s="2234">
        <f t="shared" ref="S138:AE138" si="241">S137/R137-1</f>
        <v>4.611546241684894E-2</v>
      </c>
      <c r="T138" s="2234">
        <f t="shared" si="241"/>
        <v>5.2802092245591181E-2</v>
      </c>
      <c r="U138" s="2234">
        <f t="shared" si="241"/>
        <v>1.4258869932464169E-3</v>
      </c>
      <c r="V138" s="2234">
        <f t="shared" si="241"/>
        <v>1.9534927963698934E-2</v>
      </c>
      <c r="W138" s="2234">
        <f t="shared" si="241"/>
        <v>4.5842784752552879E-2</v>
      </c>
      <c r="X138" s="2234">
        <f t="shared" si="241"/>
        <v>3.2062536023657273E-2</v>
      </c>
      <c r="Y138" s="2234">
        <f t="shared" si="241"/>
        <v>1.8468083669575863E-2</v>
      </c>
      <c r="Z138" s="2234">
        <f t="shared" si="241"/>
        <v>1.5081161113479569E-2</v>
      </c>
      <c r="AA138" s="2234">
        <f t="shared" si="241"/>
        <v>8.108206971242149E-3</v>
      </c>
      <c r="AB138" s="2234">
        <f t="shared" si="241"/>
        <v>2.475100934277874E-2</v>
      </c>
      <c r="AC138" s="2234">
        <f t="shared" si="241"/>
        <v>3.2770968351844232E-2</v>
      </c>
      <c r="AD138" s="2234">
        <f t="shared" si="241"/>
        <v>3.46557792337161E-2</v>
      </c>
      <c r="AE138" s="2234">
        <f t="shared" si="241"/>
        <v>3.1241832862376473E-2</v>
      </c>
      <c r="AG138" s="2976"/>
      <c r="AH138" s="2976"/>
      <c r="AI138" s="2976"/>
      <c r="AJ138" s="2976"/>
      <c r="AK138" s="2976"/>
      <c r="AL138" s="2976"/>
      <c r="AM138" s="2976"/>
      <c r="AN138" s="2976"/>
      <c r="AO138" s="2976"/>
    </row>
    <row r="139" spans="1:49" s="749" customFormat="1" ht="30" customHeight="1">
      <c r="A139" s="713"/>
      <c r="B139" s="713"/>
      <c r="C139" s="744"/>
      <c r="D139" s="720"/>
      <c r="F139" s="744"/>
      <c r="P139" s="2828"/>
      <c r="Q139" s="2828"/>
      <c r="R139" s="2828"/>
      <c r="S139" s="2828"/>
      <c r="T139" s="2828"/>
      <c r="U139" s="2828"/>
      <c r="V139" s="2828"/>
      <c r="W139" s="2828"/>
      <c r="X139" s="2828"/>
      <c r="Y139" s="2828"/>
      <c r="Z139" s="2828"/>
      <c r="AA139" s="2828"/>
      <c r="AB139" s="3926"/>
      <c r="AC139" s="2828"/>
      <c r="AD139" s="2828"/>
      <c r="AE139" s="2828"/>
    </row>
    <row r="140" spans="1:49" s="749" customFormat="1" ht="22.5" customHeight="1">
      <c r="A140" s="713"/>
      <c r="B140" s="713"/>
      <c r="C140" s="4124" t="s">
        <v>2038</v>
      </c>
      <c r="D140" s="4124"/>
      <c r="E140" s="4124"/>
      <c r="F140" s="4124"/>
      <c r="Q140" s="3927">
        <f t="shared" ref="Q140:AB140" si="242">Q166/Q135</f>
        <v>0.3569361416541349</v>
      </c>
      <c r="R140" s="3927">
        <f t="shared" si="242"/>
        <v>0.35789475468238124</v>
      </c>
      <c r="S140" s="3927">
        <f t="shared" si="242"/>
        <v>0.36752928450032779</v>
      </c>
      <c r="T140" s="3927">
        <f t="shared" si="242"/>
        <v>0.37028239012506559</v>
      </c>
      <c r="U140" s="3927">
        <f t="shared" si="242"/>
        <v>0.37911646648014657</v>
      </c>
      <c r="V140" s="3927">
        <f t="shared" si="242"/>
        <v>0.38169870765258501</v>
      </c>
      <c r="W140" s="3927">
        <f t="shared" si="242"/>
        <v>0.37970780962337525</v>
      </c>
      <c r="X140" s="3927">
        <f t="shared" si="242"/>
        <v>0.38326360241237822</v>
      </c>
      <c r="Y140" s="3927">
        <f t="shared" si="242"/>
        <v>0.38521750921440284</v>
      </c>
      <c r="Z140" s="3927">
        <f t="shared" si="242"/>
        <v>0.38303279247456234</v>
      </c>
      <c r="AA140" s="3927">
        <f t="shared" si="242"/>
        <v>0.38521878338690868</v>
      </c>
      <c r="AB140" s="3927">
        <f t="shared" si="242"/>
        <v>0.36853236036415687</v>
      </c>
      <c r="AC140" s="3927">
        <f>AC166/AC135</f>
        <v>0.36636159070167451</v>
      </c>
      <c r="AD140" s="3927">
        <f>AD166/AD135</f>
        <v>0.36344526118072601</v>
      </c>
      <c r="AE140" s="3927">
        <f>AE166/AE135</f>
        <v>0.36374082979372097</v>
      </c>
    </row>
    <row r="141" spans="1:49" s="749" customFormat="1">
      <c r="A141" s="713"/>
      <c r="B141" s="713"/>
      <c r="C141" s="744"/>
      <c r="D141" s="720"/>
      <c r="F141" s="744"/>
      <c r="L141" s="3813"/>
      <c r="M141" s="3813"/>
      <c r="N141" s="3813"/>
      <c r="O141" s="3813"/>
      <c r="P141" s="3813"/>
      <c r="Q141" s="3927"/>
      <c r="R141" s="3927"/>
      <c r="S141" s="3927"/>
      <c r="T141" s="3927"/>
      <c r="U141" s="3927"/>
      <c r="V141" s="3927"/>
      <c r="W141" s="3927"/>
      <c r="X141" s="3927"/>
      <c r="Y141" s="3927"/>
      <c r="Z141" s="3927"/>
      <c r="AA141" s="3927"/>
      <c r="AB141" s="3927"/>
      <c r="AC141" s="3927"/>
      <c r="AD141" s="3927"/>
      <c r="AE141" s="3927"/>
      <c r="AH141" s="4126" t="s">
        <v>2660</v>
      </c>
      <c r="AI141" s="4127"/>
      <c r="AJ141" s="4127"/>
      <c r="AK141" s="4127"/>
      <c r="AL141" s="4127"/>
      <c r="AM141" s="4127"/>
      <c r="AN141" s="4127"/>
      <c r="AO141" s="4128"/>
    </row>
    <row r="142" spans="1:49">
      <c r="D142" s="943"/>
      <c r="E142" s="944" t="s">
        <v>1414</v>
      </c>
      <c r="F142" s="945"/>
      <c r="G142" s="748">
        <f>+InputY!$G$3</f>
        <v>1995</v>
      </c>
      <c r="H142" s="748">
        <f>+G142+1</f>
        <v>1996</v>
      </c>
      <c r="I142" s="748">
        <f t="shared" ref="I142:S142" si="243">+H142+1</f>
        <v>1997</v>
      </c>
      <c r="J142" s="748">
        <f t="shared" si="243"/>
        <v>1998</v>
      </c>
      <c r="K142" s="748">
        <f t="shared" si="243"/>
        <v>1999</v>
      </c>
      <c r="L142" s="748">
        <f t="shared" si="243"/>
        <v>2000</v>
      </c>
      <c r="M142" s="748">
        <f t="shared" si="243"/>
        <v>2001</v>
      </c>
      <c r="N142" s="748">
        <f t="shared" si="243"/>
        <v>2002</v>
      </c>
      <c r="O142" s="826">
        <f t="shared" si="243"/>
        <v>2003</v>
      </c>
      <c r="P142" s="826">
        <f t="shared" si="243"/>
        <v>2004</v>
      </c>
      <c r="Q142" s="826">
        <f>+P142+1</f>
        <v>2005</v>
      </c>
      <c r="R142" s="826">
        <f>+Q142+1</f>
        <v>2006</v>
      </c>
      <c r="S142" s="2163">
        <f t="shared" si="243"/>
        <v>2007</v>
      </c>
      <c r="T142" s="2163">
        <f t="shared" ref="T142:AE142" si="244">+S142+1</f>
        <v>2008</v>
      </c>
      <c r="U142" s="2163">
        <f t="shared" si="244"/>
        <v>2009</v>
      </c>
      <c r="V142" s="2163">
        <f>+U142+1</f>
        <v>2010</v>
      </c>
      <c r="W142" s="2163">
        <f t="shared" si="244"/>
        <v>2011</v>
      </c>
      <c r="X142" s="2163">
        <f t="shared" si="244"/>
        <v>2012</v>
      </c>
      <c r="Y142" s="2163">
        <f t="shared" si="244"/>
        <v>2013</v>
      </c>
      <c r="Z142" s="2163">
        <f t="shared" si="244"/>
        <v>2014</v>
      </c>
      <c r="AA142" s="2163">
        <f t="shared" si="244"/>
        <v>2015</v>
      </c>
      <c r="AB142" s="2163">
        <f t="shared" si="244"/>
        <v>2016</v>
      </c>
      <c r="AC142" s="2163">
        <f t="shared" si="244"/>
        <v>2017</v>
      </c>
      <c r="AD142" s="2163">
        <f t="shared" si="244"/>
        <v>2018</v>
      </c>
      <c r="AE142" s="2163">
        <f t="shared" si="244"/>
        <v>2019</v>
      </c>
      <c r="AG142" s="749"/>
      <c r="AH142" s="4026"/>
      <c r="AI142" s="219"/>
      <c r="AJ142" s="4027"/>
      <c r="AK142" s="4031">
        <v>2016</v>
      </c>
      <c r="AL142" s="4031">
        <v>2017</v>
      </c>
      <c r="AM142" s="4031">
        <v>2018</v>
      </c>
      <c r="AN142" s="4031">
        <v>2019</v>
      </c>
      <c r="AO142" s="4032">
        <v>2020</v>
      </c>
      <c r="AP142" s="749"/>
      <c r="AQ142" s="749"/>
      <c r="AR142" s="749"/>
      <c r="AS142" s="749"/>
      <c r="AT142" s="749"/>
      <c r="AU142" s="749"/>
      <c r="AV142" s="749"/>
      <c r="AW142" s="749"/>
    </row>
    <row r="143" spans="1:49">
      <c r="C143" s="725"/>
      <c r="D143" s="718"/>
      <c r="E143" s="757" t="s">
        <v>17</v>
      </c>
      <c r="F143" s="773" t="s">
        <v>1049</v>
      </c>
      <c r="G143" s="1375" t="e">
        <f t="shared" ref="G143:Q143" ca="1" si="245">+G164/G28*1000</f>
        <v>#VALUE!</v>
      </c>
      <c r="H143" s="1375">
        <f t="shared" si="245"/>
        <v>11.550725816289189</v>
      </c>
      <c r="I143" s="1375">
        <f t="shared" si="245"/>
        <v>11.965725077349617</v>
      </c>
      <c r="J143" s="1375">
        <f t="shared" si="245"/>
        <v>12.298066742480685</v>
      </c>
      <c r="K143" s="1375">
        <f t="shared" si="245"/>
        <v>12.557004011107683</v>
      </c>
      <c r="L143" s="1375">
        <f t="shared" si="245"/>
        <v>12.427187008905188</v>
      </c>
      <c r="M143" s="1375">
        <f t="shared" si="245"/>
        <v>12.816422287390033</v>
      </c>
      <c r="N143" s="1375">
        <f t="shared" si="245"/>
        <v>13.719659254342295</v>
      </c>
      <c r="O143" s="1600">
        <f t="shared" si="245"/>
        <v>14.141687657430726</v>
      </c>
      <c r="P143" s="1600">
        <f t="shared" si="245"/>
        <v>14.36981173621051</v>
      </c>
      <c r="Q143" s="1600">
        <f t="shared" si="245"/>
        <v>14.524781446427287</v>
      </c>
      <c r="R143" s="1600">
        <f t="shared" ref="R143:X145" si="246">+R164/R28*1000</f>
        <v>15.065206534921886</v>
      </c>
      <c r="S143" s="1600">
        <f t="shared" si="246"/>
        <v>15.868309736060141</v>
      </c>
      <c r="T143" s="1600">
        <f t="shared" si="246"/>
        <v>16.512744963683708</v>
      </c>
      <c r="U143" s="1600">
        <f t="shared" si="246"/>
        <v>17.094128643633589</v>
      </c>
      <c r="V143" s="1600">
        <f t="shared" si="246"/>
        <v>17.422503700134243</v>
      </c>
      <c r="W143" s="1600">
        <f t="shared" si="246"/>
        <v>17.847372161494466</v>
      </c>
      <c r="X143" s="1600">
        <f t="shared" si="246"/>
        <v>18.52116901503404</v>
      </c>
      <c r="Y143" s="1600">
        <f t="shared" ref="Y143" si="247">+Y164/Y28*1000</f>
        <v>19.096961466644036</v>
      </c>
      <c r="Z143" s="1600">
        <f t="shared" ref="Z143:AB143" si="248">+Z164/Z28*1000</f>
        <v>19.192556251057354</v>
      </c>
      <c r="AA143" s="1600">
        <f t="shared" si="248"/>
        <v>19.285996915029163</v>
      </c>
      <c r="AB143" s="1600">
        <f t="shared" si="248"/>
        <v>18.734074221075616</v>
      </c>
      <c r="AC143" s="3428">
        <f t="shared" ref="AC143:AE144" si="249">+AB143*(1+AC150/100)</f>
        <v>18.837111629291535</v>
      </c>
      <c r="AD143" s="3428">
        <f t="shared" si="249"/>
        <v>19.125050721342674</v>
      </c>
      <c r="AE143" s="3428">
        <f t="shared" si="249"/>
        <v>19.501680301872991</v>
      </c>
      <c r="AG143" s="749"/>
      <c r="AH143" s="1582"/>
      <c r="AI143" s="221"/>
      <c r="AJ143" s="3919" t="s">
        <v>2656</v>
      </c>
      <c r="AK143" s="221">
        <v>1352</v>
      </c>
      <c r="AL143" s="221">
        <v>255</v>
      </c>
      <c r="AM143" s="221">
        <v>490</v>
      </c>
      <c r="AN143" s="221">
        <v>283</v>
      </c>
      <c r="AO143" s="222">
        <v>946</v>
      </c>
      <c r="AP143" s="749"/>
      <c r="AQ143" s="749"/>
      <c r="AR143" s="749"/>
      <c r="AS143" s="749"/>
      <c r="AT143" s="749"/>
      <c r="AU143" s="749"/>
      <c r="AV143" s="749"/>
      <c r="AW143" s="749"/>
    </row>
    <row r="144" spans="1:49">
      <c r="C144" s="721"/>
      <c r="D144" s="724"/>
      <c r="E144" s="221" t="s">
        <v>1281</v>
      </c>
      <c r="F144" s="759" t="s">
        <v>1050</v>
      </c>
      <c r="G144" s="1085" t="e">
        <f t="shared" ref="G144:Q144" si="250">+G165/G29*1000</f>
        <v>#VALUE!</v>
      </c>
      <c r="H144" s="1085">
        <f t="shared" si="250"/>
        <v>-1.3997760358310042E-4</v>
      </c>
      <c r="I144" s="1085">
        <f t="shared" si="250"/>
        <v>0</v>
      </c>
      <c r="J144" s="1085">
        <f t="shared" si="250"/>
        <v>-1.3927576601638851E-4</v>
      </c>
      <c r="K144" s="1085">
        <f t="shared" si="250"/>
        <v>0</v>
      </c>
      <c r="L144" s="1085">
        <f t="shared" si="250"/>
        <v>0</v>
      </c>
      <c r="M144" s="1085">
        <f t="shared" si="250"/>
        <v>-1.3487995683330757E-4</v>
      </c>
      <c r="N144" s="1085">
        <f t="shared" si="250"/>
        <v>0</v>
      </c>
      <c r="O144" s="1085">
        <f t="shared" si="250"/>
        <v>0</v>
      </c>
      <c r="P144" s="1085">
        <f t="shared" si="250"/>
        <v>0</v>
      </c>
      <c r="Q144" s="1085">
        <f t="shared" si="250"/>
        <v>0</v>
      </c>
      <c r="R144" s="1085">
        <f t="shared" si="246"/>
        <v>0</v>
      </c>
      <c r="S144" s="1085">
        <f t="shared" si="246"/>
        <v>0</v>
      </c>
      <c r="T144" s="1085">
        <f t="shared" si="246"/>
        <v>0</v>
      </c>
      <c r="U144" s="1085">
        <f t="shared" si="246"/>
        <v>0</v>
      </c>
      <c r="V144" s="1085">
        <f t="shared" si="246"/>
        <v>0</v>
      </c>
      <c r="W144" s="1085">
        <f t="shared" si="246"/>
        <v>0</v>
      </c>
      <c r="X144" s="1085">
        <f t="shared" ref="X144:Y145" si="251">+X165/X29*1000</f>
        <v>0</v>
      </c>
      <c r="Y144" s="1085">
        <f t="shared" si="251"/>
        <v>-1.1820330969659535E-4</v>
      </c>
      <c r="Z144" s="1085">
        <f t="shared" ref="Z144:AB144" si="252">+Z165/Z29*1000</f>
        <v>1.1533482405561471E-2</v>
      </c>
      <c r="AA144" s="1085">
        <f t="shared" si="252"/>
        <v>-9.025905521040696E-2</v>
      </c>
      <c r="AB144" s="1085">
        <f t="shared" si="252"/>
        <v>-0.37354040168146202</v>
      </c>
      <c r="AC144" s="2165">
        <f t="shared" si="249"/>
        <v>-0.38541898645493256</v>
      </c>
      <c r="AD144" s="2165">
        <f t="shared" si="249"/>
        <v>-0.39767531022419944</v>
      </c>
      <c r="AE144" s="2165">
        <f t="shared" si="249"/>
        <v>-0.41036115262035144</v>
      </c>
      <c r="AG144" s="749"/>
      <c r="AH144" s="1582"/>
      <c r="AI144" s="221"/>
      <c r="AJ144" s="3919" t="s">
        <v>2657</v>
      </c>
      <c r="AK144" s="221">
        <v>150</v>
      </c>
      <c r="AL144" s="221">
        <v>0</v>
      </c>
      <c r="AM144" s="221">
        <v>0</v>
      </c>
      <c r="AN144" s="221">
        <v>0</v>
      </c>
      <c r="AO144" s="222">
        <v>0</v>
      </c>
      <c r="AP144" s="749"/>
      <c r="AQ144" s="749"/>
      <c r="AR144" s="749"/>
      <c r="AS144" s="749"/>
      <c r="AT144" s="749"/>
      <c r="AU144" s="749"/>
      <c r="AV144" s="749"/>
      <c r="AW144" s="749"/>
    </row>
    <row r="145" spans="1:49" ht="12.75" customHeight="1">
      <c r="C145" s="721"/>
      <c r="D145" s="794"/>
      <c r="E145" s="798" t="s">
        <v>849</v>
      </c>
      <c r="F145" s="938" t="s">
        <v>1051</v>
      </c>
      <c r="G145" s="965">
        <f t="shared" ref="G145:Q145" ca="1" si="253">+G166/G30*1000</f>
        <v>8.6511547198384697</v>
      </c>
      <c r="H145" s="965">
        <f t="shared" si="253"/>
        <v>8.9506254529413614</v>
      </c>
      <c r="I145" s="965">
        <f t="shared" si="253"/>
        <v>9.3094597974240347</v>
      </c>
      <c r="J145" s="965">
        <f t="shared" si="253"/>
        <v>9.5961567883479688</v>
      </c>
      <c r="K145" s="965">
        <f t="shared" si="253"/>
        <v>9.7983026363308046</v>
      </c>
      <c r="L145" s="965">
        <f t="shared" si="253"/>
        <v>9.7481435825188587</v>
      </c>
      <c r="M145" s="965">
        <f t="shared" si="253"/>
        <v>10.077563843892319</v>
      </c>
      <c r="N145" s="965">
        <f t="shared" si="253"/>
        <v>10.727063029813735</v>
      </c>
      <c r="O145" s="965">
        <f t="shared" si="253"/>
        <v>11.01754639115754</v>
      </c>
      <c r="P145" s="965">
        <f t="shared" si="253"/>
        <v>11.177933200114191</v>
      </c>
      <c r="Q145" s="965">
        <f t="shared" si="253"/>
        <v>11.292338369937655</v>
      </c>
      <c r="R145" s="965">
        <f t="shared" si="246"/>
        <v>11.719240801376328</v>
      </c>
      <c r="S145" s="965">
        <f t="shared" si="246"/>
        <v>12.373933429654072</v>
      </c>
      <c r="T145" s="965">
        <f t="shared" si="246"/>
        <v>12.89631552190084</v>
      </c>
      <c r="U145" s="965">
        <f t="shared" si="246"/>
        <v>13.259781411960574</v>
      </c>
      <c r="V145" s="965">
        <f t="shared" si="246"/>
        <v>13.508473219289586</v>
      </c>
      <c r="W145" s="965">
        <f t="shared" si="246"/>
        <v>13.876749815808862</v>
      </c>
      <c r="X145" s="965">
        <f t="shared" si="251"/>
        <v>14.412533116491353</v>
      </c>
      <c r="Y145" s="965">
        <f t="shared" si="251"/>
        <v>14.835816958987209</v>
      </c>
      <c r="Z145" s="965">
        <f t="shared" ref="Z145" si="254">+Z166/Z30*1000</f>
        <v>14.90943971407548</v>
      </c>
      <c r="AA145" s="965">
        <f t="shared" ref="AA145:AB145" si="255">+AA166/AA30*1000</f>
        <v>14.976064453888869</v>
      </c>
      <c r="AB145" s="965">
        <f t="shared" si="255"/>
        <v>14.516392597556578</v>
      </c>
      <c r="AC145" s="2165">
        <f>+AC166/AC30*1000</f>
        <v>14.702427246155795</v>
      </c>
      <c r="AD145" s="2165">
        <f>+AD166/AD30*1000</f>
        <v>14.914907883805181</v>
      </c>
      <c r="AE145" s="2165">
        <f>+AE166/AE30*1000</f>
        <v>15.249932771513672</v>
      </c>
      <c r="AG145" s="749"/>
      <c r="AH145" s="1582"/>
      <c r="AI145" s="221"/>
      <c r="AJ145" s="3919" t="s">
        <v>2658</v>
      </c>
      <c r="AK145" s="221">
        <v>57</v>
      </c>
      <c r="AL145" s="221">
        <v>57</v>
      </c>
      <c r="AM145" s="221">
        <v>57</v>
      </c>
      <c r="AN145" s="221">
        <v>0</v>
      </c>
      <c r="AO145" s="222">
        <v>0</v>
      </c>
      <c r="AP145" s="749"/>
      <c r="AQ145" s="749"/>
      <c r="AR145" s="749"/>
      <c r="AS145" s="749"/>
      <c r="AT145" s="749"/>
      <c r="AU145" s="749"/>
      <c r="AV145" s="749"/>
      <c r="AW145" s="749"/>
    </row>
    <row r="146" spans="1:49">
      <c r="C146" s="722"/>
      <c r="D146" s="726"/>
      <c r="E146" s="760" t="s">
        <v>842</v>
      </c>
      <c r="F146" s="942" t="s">
        <v>1052</v>
      </c>
      <c r="G146" s="966">
        <f t="shared" ref="G146:Q146" ca="1" si="256">+G167/G33*1000</f>
        <v>6.4616613418530244</v>
      </c>
      <c r="H146" s="966">
        <f t="shared" si="256"/>
        <v>3.7987012987014483</v>
      </c>
      <c r="I146" s="966">
        <f t="shared" si="256"/>
        <v>3.6203554119546451</v>
      </c>
      <c r="J146" s="966">
        <f t="shared" si="256"/>
        <v>4.486443381180262</v>
      </c>
      <c r="K146" s="966">
        <f t="shared" si="256"/>
        <v>4.6996805111821729</v>
      </c>
      <c r="L146" s="966">
        <f t="shared" si="256"/>
        <v>4.816037735849144</v>
      </c>
      <c r="M146" s="966">
        <f t="shared" si="256"/>
        <v>5.2389649923894597</v>
      </c>
      <c r="N146" s="966">
        <f t="shared" si="256"/>
        <v>5.5179640718562837</v>
      </c>
      <c r="O146" s="966">
        <f t="shared" si="256"/>
        <v>5.9682997118156322</v>
      </c>
      <c r="P146" s="966">
        <f t="shared" si="256"/>
        <v>6.3100558659218358</v>
      </c>
      <c r="Q146" s="966">
        <f t="shared" si="256"/>
        <v>6.3734610123115472</v>
      </c>
      <c r="R146" s="966">
        <f t="shared" ref="R146:X146" si="257">+R167/R33*1000</f>
        <v>6.5279255319147813</v>
      </c>
      <c r="S146" s="966">
        <f t="shared" si="257"/>
        <v>6.9727626459141492</v>
      </c>
      <c r="T146" s="966">
        <f t="shared" si="257"/>
        <v>6.8324742268038259</v>
      </c>
      <c r="U146" s="966">
        <f t="shared" si="257"/>
        <v>7.4254777070066691</v>
      </c>
      <c r="V146" s="966">
        <f t="shared" si="257"/>
        <v>7.4318181818183726</v>
      </c>
      <c r="W146" s="966">
        <f t="shared" si="257"/>
        <v>8.0594936708859546</v>
      </c>
      <c r="X146" s="966">
        <f t="shared" si="257"/>
        <v>7.967336683416959</v>
      </c>
      <c r="Y146" s="966">
        <f t="shared" ref="Y146:Z146" si="258">+Y167/Y33*1000</f>
        <v>8.1738578680204927</v>
      </c>
      <c r="Z146" s="966">
        <f t="shared" si="258"/>
        <v>9.0782051282051501</v>
      </c>
      <c r="AA146" s="966">
        <f t="shared" ref="AA146:AB146" si="259">+AA167/AA33*1000</f>
        <v>9.2302716688228816</v>
      </c>
      <c r="AB146" s="966">
        <f t="shared" si="259"/>
        <v>9.7335058214747932</v>
      </c>
      <c r="AC146" s="2166">
        <f>+AB146*(1+AC153/100)</f>
        <v>9.8795084087969141</v>
      </c>
      <c r="AD146" s="2166">
        <f>+AC146*(1+AD153/100)</f>
        <v>9.9783034928848835</v>
      </c>
      <c r="AE146" s="2166">
        <f>+AD146*(1+AE153/100)</f>
        <v>10.078086527813733</v>
      </c>
      <c r="AG146" s="749"/>
      <c r="AH146" s="1582"/>
      <c r="AI146" s="221"/>
      <c r="AJ146" s="3919" t="s">
        <v>2659</v>
      </c>
      <c r="AK146" s="221">
        <v>49</v>
      </c>
      <c r="AL146" s="221">
        <v>39</v>
      </c>
      <c r="AM146" s="221">
        <v>7</v>
      </c>
      <c r="AN146" s="221">
        <v>26</v>
      </c>
      <c r="AO146" s="222">
        <v>32</v>
      </c>
      <c r="AP146" s="749"/>
      <c r="AQ146" s="749"/>
      <c r="AR146" s="749"/>
      <c r="AS146" s="749"/>
      <c r="AT146" s="749"/>
      <c r="AU146" s="749"/>
      <c r="AV146" s="749"/>
      <c r="AW146" s="749"/>
    </row>
    <row r="147" spans="1:49" s="221" customFormat="1" ht="12.75" customHeight="1">
      <c r="A147" s="946"/>
      <c r="B147" s="946"/>
      <c r="C147" s="724"/>
      <c r="D147" s="794"/>
      <c r="E147" s="798" t="s">
        <v>980</v>
      </c>
      <c r="F147" s="938" t="s">
        <v>1053</v>
      </c>
      <c r="G147" s="965">
        <f t="shared" ref="G147:O147" ca="1" si="260">+G168/G78*1000</f>
        <v>8.6087494585731132</v>
      </c>
      <c r="H147" s="965">
        <f t="shared" si="260"/>
        <v>8.8525329953945562</v>
      </c>
      <c r="I147" s="965">
        <f t="shared" si="260"/>
        <v>9.2014598092434099</v>
      </c>
      <c r="J147" s="965">
        <f t="shared" si="260"/>
        <v>9.4999699771826602</v>
      </c>
      <c r="K147" s="965">
        <f t="shared" si="260"/>
        <v>9.7040231582678569</v>
      </c>
      <c r="L147" s="965">
        <f t="shared" si="260"/>
        <v>9.6577635635462613</v>
      </c>
      <c r="M147" s="965">
        <f t="shared" si="260"/>
        <v>9.9876382563435264</v>
      </c>
      <c r="N147" s="965">
        <f t="shared" si="260"/>
        <v>10.628628005657708</v>
      </c>
      <c r="O147" s="965">
        <f t="shared" si="260"/>
        <v>10.918404300466825</v>
      </c>
      <c r="P147" s="965">
        <f>+P168/P78*1000</f>
        <v>11.080428579421479</v>
      </c>
      <c r="Q147" s="965">
        <f>+Q168/Q78*1000</f>
        <v>11.193384153892723</v>
      </c>
      <c r="R147" s="965">
        <f>+R168/R78*1000</f>
        <v>11.61312856754553</v>
      </c>
      <c r="S147" s="965">
        <f>+S168/S78*1000</f>
        <v>12.26274897207241</v>
      </c>
      <c r="T147" s="965">
        <f t="shared" ref="T147:V147" si="261">+T168/T78*1000</f>
        <v>12.772969147290883</v>
      </c>
      <c r="U147" s="965">
        <f t="shared" si="261"/>
        <v>13.139333052808755</v>
      </c>
      <c r="V147" s="965">
        <f t="shared" si="261"/>
        <v>13.382693463659418</v>
      </c>
      <c r="W147" s="965">
        <f t="shared" ref="W147:AB147" si="262">+W168/W78*1000</f>
        <v>13.758287364025364</v>
      </c>
      <c r="X147" s="965">
        <f t="shared" si="262"/>
        <v>14.280711220740505</v>
      </c>
      <c r="Y147" s="965">
        <f t="shared" si="262"/>
        <v>14.700178280753436</v>
      </c>
      <c r="Z147" s="965">
        <f t="shared" ref="Z147" si="263">+Z168/Z78*1000</f>
        <v>14.792310465595392</v>
      </c>
      <c r="AA147" s="2167">
        <f t="shared" si="262"/>
        <v>14.862546644175225</v>
      </c>
      <c r="AB147" s="2167">
        <f t="shared" si="262"/>
        <v>14.422961259508231</v>
      </c>
      <c r="AC147" s="2167">
        <f t="shared" ref="AC147:AD147" si="264">+AC168/AC78*1000</f>
        <v>14.609498479485511</v>
      </c>
      <c r="AD147" s="2167">
        <f t="shared" si="264"/>
        <v>14.821383850499428</v>
      </c>
      <c r="AE147" s="2167">
        <f t="shared" ref="AE147" si="265">+AE168/AE78*1000</f>
        <v>15.153852624757601</v>
      </c>
      <c r="AG147" s="749"/>
      <c r="AH147" s="1582"/>
      <c r="AK147" s="4023">
        <f>SUM(AK143:AK146)*1000</f>
        <v>1608000</v>
      </c>
      <c r="AL147" s="4024">
        <f t="shared" ref="AL147:AO147" si="266">SUM(AL143:AL146)*1000</f>
        <v>351000</v>
      </c>
      <c r="AM147" s="4024">
        <f t="shared" si="266"/>
        <v>554000</v>
      </c>
      <c r="AN147" s="4024">
        <f t="shared" si="266"/>
        <v>309000</v>
      </c>
      <c r="AO147" s="4025">
        <f t="shared" si="266"/>
        <v>978000</v>
      </c>
      <c r="AP147" s="749"/>
      <c r="AQ147" s="749"/>
      <c r="AR147" s="749"/>
      <c r="AS147" s="749"/>
      <c r="AT147" s="749"/>
      <c r="AU147" s="749"/>
      <c r="AV147" s="749"/>
      <c r="AW147" s="749"/>
    </row>
    <row r="148" spans="1:49" s="221" customFormat="1">
      <c r="A148" s="946"/>
      <c r="B148" s="946"/>
      <c r="C148" s="724"/>
      <c r="D148" s="724"/>
      <c r="F148" s="759"/>
      <c r="J148" s="2179">
        <f t="shared" ref="J148:O148" si="267">J150/J118</f>
        <v>6.7170127638037007</v>
      </c>
      <c r="K148" s="2179">
        <f t="shared" si="267"/>
        <v>0.46693343120036379</v>
      </c>
      <c r="L148" s="2179">
        <f t="shared" si="267"/>
        <v>-0.33864880586493307</v>
      </c>
      <c r="M148" s="2179">
        <f t="shared" si="267"/>
        <v>0.77917857959748615</v>
      </c>
      <c r="N148" s="2179">
        <f t="shared" si="267"/>
        <v>4.072691289582977</v>
      </c>
      <c r="O148" s="2179">
        <f t="shared" si="267"/>
        <v>3.2589438338734338</v>
      </c>
      <c r="P148" s="2179"/>
      <c r="Q148" s="2179"/>
      <c r="R148" s="2179"/>
      <c r="S148" s="2179"/>
      <c r="T148" s="3472" t="e">
        <f t="shared" ref="T148:Y148" si="268">T151/T119</f>
        <v>#DIV/0!</v>
      </c>
      <c r="U148" s="3472" t="e">
        <f t="shared" si="268"/>
        <v>#DIV/0!</v>
      </c>
      <c r="V148" s="3472" t="e">
        <f t="shared" si="268"/>
        <v>#DIV/0!</v>
      </c>
      <c r="W148" s="3472" t="e">
        <f t="shared" si="268"/>
        <v>#DIV/0!</v>
      </c>
      <c r="X148" s="3472" t="e">
        <f t="shared" si="268"/>
        <v>#DIV/0!</v>
      </c>
      <c r="Y148" s="3472" t="e">
        <f t="shared" si="268"/>
        <v>#DIV/0!</v>
      </c>
      <c r="Z148" s="3472">
        <f t="shared" ref="Z148" si="269">Z151/Z119</f>
        <v>-10867.37098802527</v>
      </c>
      <c r="AA148" s="2179"/>
      <c r="AB148" s="2179"/>
      <c r="AC148" s="2179"/>
      <c r="AD148" s="2179"/>
      <c r="AE148" s="2179"/>
      <c r="AG148" s="749"/>
      <c r="AH148" s="4028"/>
      <c r="AI148" s="116"/>
      <c r="AJ148" s="116"/>
      <c r="AK148" s="4029">
        <f>AK147/(AB28)/(AA143*1000)*100</f>
        <v>2.7577084046628624</v>
      </c>
      <c r="AL148" s="4029">
        <f>AL147/(AC28)/(AB143*1000)*100</f>
        <v>0.60909992894903442</v>
      </c>
      <c r="AM148" s="4029">
        <f>AM147/(AD28)/(AC143*1000)*100</f>
        <v>0.94142652378087344</v>
      </c>
      <c r="AN148" s="4029">
        <f>AN147/(AE28)/(AD143*1000)*100</f>
        <v>0.51070022653580505</v>
      </c>
      <c r="AO148" s="4030" t="e">
        <f>AO147/(AF28)/(AE143*1000)*100</f>
        <v>#DIV/0!</v>
      </c>
      <c r="AP148" s="749"/>
      <c r="AQ148" s="749"/>
      <c r="AR148" s="749"/>
      <c r="AS148" s="749"/>
      <c r="AT148" s="749"/>
      <c r="AU148" s="749"/>
      <c r="AV148" s="749"/>
      <c r="AW148" s="749"/>
    </row>
    <row r="149" spans="1:49" ht="12.75" customHeight="1">
      <c r="D149" s="972"/>
      <c r="E149" s="3327" t="s">
        <v>2148</v>
      </c>
      <c r="F149" s="974"/>
      <c r="G149" s="939">
        <f>+InputY!$G$3</f>
        <v>1995</v>
      </c>
      <c r="H149" s="939">
        <f>+G149+1</f>
        <v>1996</v>
      </c>
      <c r="I149" s="939">
        <f t="shared" ref="I149:S149" si="270">+H149+1</f>
        <v>1997</v>
      </c>
      <c r="J149" s="939">
        <f t="shared" si="270"/>
        <v>1998</v>
      </c>
      <c r="K149" s="939">
        <f t="shared" si="270"/>
        <v>1999</v>
      </c>
      <c r="L149" s="939">
        <f t="shared" si="270"/>
        <v>2000</v>
      </c>
      <c r="M149" s="939">
        <f t="shared" si="270"/>
        <v>2001</v>
      </c>
      <c r="N149" s="939">
        <f t="shared" si="270"/>
        <v>2002</v>
      </c>
      <c r="O149" s="939">
        <f t="shared" si="270"/>
        <v>2003</v>
      </c>
      <c r="P149" s="793">
        <f>+O149+1</f>
        <v>2004</v>
      </c>
      <c r="Q149" s="793">
        <f>+P149+1</f>
        <v>2005</v>
      </c>
      <c r="R149" s="793">
        <f>+Q149+1</f>
        <v>2006</v>
      </c>
      <c r="S149" s="2126">
        <f t="shared" si="270"/>
        <v>2007</v>
      </c>
      <c r="T149" s="2126">
        <f t="shared" ref="T149:AE149" si="271">+S149+1</f>
        <v>2008</v>
      </c>
      <c r="U149" s="2126">
        <f t="shared" si="271"/>
        <v>2009</v>
      </c>
      <c r="V149" s="2126">
        <f t="shared" si="271"/>
        <v>2010</v>
      </c>
      <c r="W149" s="2126">
        <f t="shared" si="271"/>
        <v>2011</v>
      </c>
      <c r="X149" s="2126">
        <f t="shared" si="271"/>
        <v>2012</v>
      </c>
      <c r="Y149" s="2126">
        <f t="shared" si="271"/>
        <v>2013</v>
      </c>
      <c r="Z149" s="2126">
        <f t="shared" si="271"/>
        <v>2014</v>
      </c>
      <c r="AA149" s="2126">
        <f t="shared" si="271"/>
        <v>2015</v>
      </c>
      <c r="AB149" s="2126">
        <f t="shared" si="271"/>
        <v>2016</v>
      </c>
      <c r="AC149" s="2126">
        <f t="shared" si="271"/>
        <v>2017</v>
      </c>
      <c r="AD149" s="2126">
        <f t="shared" si="271"/>
        <v>2018</v>
      </c>
      <c r="AE149" s="2126">
        <f t="shared" si="271"/>
        <v>2019</v>
      </c>
      <c r="AG149" s="749"/>
      <c r="AH149" s="749"/>
      <c r="AI149" s="749"/>
      <c r="AJ149" s="749"/>
      <c r="AK149" s="749"/>
      <c r="AL149" s="749"/>
      <c r="AM149" s="749"/>
      <c r="AN149" s="749"/>
      <c r="AO149" s="749"/>
      <c r="AP149" s="749"/>
      <c r="AQ149" s="749"/>
      <c r="AR149" s="749"/>
      <c r="AS149" s="749"/>
      <c r="AT149" s="749"/>
      <c r="AU149" s="749"/>
      <c r="AV149" s="749"/>
      <c r="AW149" s="749"/>
    </row>
    <row r="150" spans="1:49">
      <c r="C150" s="810"/>
      <c r="D150" s="739"/>
      <c r="E150" s="781" t="s">
        <v>17</v>
      </c>
      <c r="F150" s="811" t="s">
        <v>1049</v>
      </c>
      <c r="G150" s="1598"/>
      <c r="H150" s="1599" t="e">
        <f t="shared" ref="H150:AB151" ca="1" si="272">(H143/G143-1)*100</f>
        <v>#VALUE!</v>
      </c>
      <c r="I150" s="1599">
        <f t="shared" si="272"/>
        <v>3.5928414167288425</v>
      </c>
      <c r="J150" s="1599">
        <f t="shared" si="272"/>
        <v>2.7774469410146274</v>
      </c>
      <c r="K150" s="1599">
        <f t="shared" si="272"/>
        <v>2.105511980452679</v>
      </c>
      <c r="L150" s="1599">
        <f t="shared" si="272"/>
        <v>-1.0338214600207341</v>
      </c>
      <c r="M150" s="1599">
        <f t="shared" si="272"/>
        <v>3.1321269906530169</v>
      </c>
      <c r="N150" s="1599">
        <f t="shared" si="272"/>
        <v>7.0474969277576793</v>
      </c>
      <c r="O150" s="1599">
        <f t="shared" si="272"/>
        <v>3.0760851655616595</v>
      </c>
      <c r="P150" s="1600">
        <f t="shared" si="272"/>
        <v>1.613131928139544</v>
      </c>
      <c r="Q150" s="1600">
        <f t="shared" si="272"/>
        <v>1.0784393912849133</v>
      </c>
      <c r="R150" s="1600">
        <f t="shared" ref="R150:AB150" si="273">(R143/Q143-1)*100</f>
        <v>3.7207106384897104</v>
      </c>
      <c r="S150" s="1600">
        <f t="shared" si="273"/>
        <v>5.3308476009049199</v>
      </c>
      <c r="T150" s="1600">
        <f t="shared" si="273"/>
        <v>4.0611460095155039</v>
      </c>
      <c r="U150" s="1600">
        <f t="shared" si="273"/>
        <v>3.5208178968942461</v>
      </c>
      <c r="V150" s="1600">
        <f t="shared" si="273"/>
        <v>1.9209815448706813</v>
      </c>
      <c r="W150" s="1600">
        <f t="shared" si="273"/>
        <v>2.438618861403663</v>
      </c>
      <c r="X150" s="1600">
        <f t="shared" si="273"/>
        <v>3.7753280843960013</v>
      </c>
      <c r="Y150" s="1600">
        <f t="shared" si="273"/>
        <v>3.108834281154782</v>
      </c>
      <c r="Z150" s="1600">
        <f t="shared" si="273"/>
        <v>0.50057588784628848</v>
      </c>
      <c r="AA150" s="1600">
        <f t="shared" si="273"/>
        <v>0.48685887773110004</v>
      </c>
      <c r="AB150" s="1600">
        <f t="shared" si="273"/>
        <v>-2.8617794370974114</v>
      </c>
      <c r="AC150" s="4001">
        <v>0.55000000000000004</v>
      </c>
      <c r="AD150" s="3382">
        <f>AD118-AM148</f>
        <v>1.5285734762191268</v>
      </c>
      <c r="AE150" s="3382">
        <f>AE118-AN148</f>
        <v>1.9692997734641948</v>
      </c>
      <c r="AG150" s="749"/>
      <c r="AH150" s="749"/>
      <c r="AI150" s="749"/>
      <c r="AJ150" s="749"/>
      <c r="AK150" s="749"/>
      <c r="AL150" s="749"/>
      <c r="AM150" s="749"/>
      <c r="AN150" s="749"/>
      <c r="AO150" s="749"/>
      <c r="AP150" s="749"/>
      <c r="AQ150" s="749"/>
      <c r="AR150" s="749"/>
      <c r="AS150" s="749"/>
      <c r="AT150" s="749"/>
      <c r="AU150" s="749"/>
      <c r="AV150" s="749"/>
      <c r="AW150" s="749"/>
    </row>
    <row r="151" spans="1:49">
      <c r="C151" s="975"/>
      <c r="D151" s="724"/>
      <c r="E151" s="221" t="s">
        <v>1281</v>
      </c>
      <c r="F151" s="759" t="s">
        <v>1050</v>
      </c>
      <c r="G151" s="1462"/>
      <c r="H151" s="1085" t="e">
        <f t="shared" si="272"/>
        <v>#VALUE!</v>
      </c>
      <c r="I151" s="1085">
        <f t="shared" si="272"/>
        <v>-100</v>
      </c>
      <c r="J151" s="1085" t="e">
        <f t="shared" si="272"/>
        <v>#DIV/0!</v>
      </c>
      <c r="K151" s="1085">
        <f t="shared" si="272"/>
        <v>-100</v>
      </c>
      <c r="L151" s="1085" t="e">
        <f t="shared" si="272"/>
        <v>#DIV/0!</v>
      </c>
      <c r="M151" s="1085" t="e">
        <f t="shared" si="272"/>
        <v>#DIV/0!</v>
      </c>
      <c r="N151" s="1085">
        <f t="shared" si="272"/>
        <v>-100</v>
      </c>
      <c r="O151" s="1085" t="e">
        <f t="shared" si="272"/>
        <v>#DIV/0!</v>
      </c>
      <c r="P151" s="1085" t="e">
        <f t="shared" si="272"/>
        <v>#DIV/0!</v>
      </c>
      <c r="Q151" s="1085" t="e">
        <f t="shared" si="272"/>
        <v>#DIV/0!</v>
      </c>
      <c r="R151" s="1085" t="e">
        <f t="shared" si="272"/>
        <v>#DIV/0!</v>
      </c>
      <c r="S151" s="1085" t="e">
        <f t="shared" si="272"/>
        <v>#DIV/0!</v>
      </c>
      <c r="T151" s="1085" t="e">
        <f t="shared" si="272"/>
        <v>#DIV/0!</v>
      </c>
      <c r="U151" s="1085" t="e">
        <f t="shared" si="272"/>
        <v>#DIV/0!</v>
      </c>
      <c r="V151" s="1085" t="e">
        <f t="shared" si="272"/>
        <v>#DIV/0!</v>
      </c>
      <c r="W151" s="1085" t="e">
        <f t="shared" si="272"/>
        <v>#DIV/0!</v>
      </c>
      <c r="X151" s="1085" t="e">
        <f t="shared" si="272"/>
        <v>#DIV/0!</v>
      </c>
      <c r="Y151" s="3753" t="e">
        <f t="shared" si="272"/>
        <v>#DIV/0!</v>
      </c>
      <c r="Z151" s="3753">
        <f t="shared" si="272"/>
        <v>-9857.3261147810936</v>
      </c>
      <c r="AA151" s="3753">
        <f t="shared" si="272"/>
        <v>-882.5828491044806</v>
      </c>
      <c r="AB151" s="3753">
        <f t="shared" si="272"/>
        <v>313.85365801878288</v>
      </c>
      <c r="AC151" s="3751">
        <v>3.18</v>
      </c>
      <c r="AD151" s="4062">
        <v>3.18</v>
      </c>
      <c r="AE151" s="3751">
        <v>3.19</v>
      </c>
      <c r="AG151" s="3759" t="s">
        <v>2731</v>
      </c>
      <c r="AH151" s="3915"/>
      <c r="AI151" s="3915"/>
      <c r="AJ151" s="749"/>
    </row>
    <row r="152" spans="1:49">
      <c r="C152" s="975"/>
      <c r="D152" s="766"/>
      <c r="E152" s="767" t="s">
        <v>849</v>
      </c>
      <c r="F152" s="967" t="s">
        <v>1051</v>
      </c>
      <c r="G152" s="968"/>
      <c r="H152" s="968">
        <f ca="1">(H145/G145-1)*100</f>
        <v>3.4616272948645443</v>
      </c>
      <c r="I152" s="968">
        <f t="shared" ref="I152:AA152" si="274">(I145/H145-1)*100</f>
        <v>4.009042120791162</v>
      </c>
      <c r="J152" s="968">
        <f t="shared" si="274"/>
        <v>3.0796307966576508</v>
      </c>
      <c r="K152" s="968">
        <f t="shared" si="274"/>
        <v>2.106529232914256</v>
      </c>
      <c r="L152" s="968">
        <f t="shared" si="274"/>
        <v>-0.51191574371221016</v>
      </c>
      <c r="M152" s="968">
        <f t="shared" si="274"/>
        <v>3.3793127746313045</v>
      </c>
      <c r="N152" s="968">
        <f t="shared" si="274"/>
        <v>6.4450019467259922</v>
      </c>
      <c r="O152" s="968">
        <f t="shared" si="274"/>
        <v>2.707948676505989</v>
      </c>
      <c r="P152" s="968">
        <f t="shared" si="274"/>
        <v>1.4557398105023989</v>
      </c>
      <c r="Q152" s="968">
        <f t="shared" si="274"/>
        <v>1.0234912642195226</v>
      </c>
      <c r="R152" s="968">
        <f t="shared" si="274"/>
        <v>3.7804608527775674</v>
      </c>
      <c r="S152" s="968">
        <f t="shared" si="274"/>
        <v>5.5864764567415959</v>
      </c>
      <c r="T152" s="968">
        <f t="shared" si="274"/>
        <v>4.2216332843272086</v>
      </c>
      <c r="U152" s="968">
        <f t="shared" si="274"/>
        <v>2.8183700177192961</v>
      </c>
      <c r="V152" s="968">
        <f t="shared" si="274"/>
        <v>1.8755347437680037</v>
      </c>
      <c r="W152" s="968">
        <f t="shared" si="274"/>
        <v>2.7262636608953894</v>
      </c>
      <c r="X152" s="968">
        <f t="shared" si="274"/>
        <v>3.8610143426532684</v>
      </c>
      <c r="Y152" s="968">
        <f t="shared" si="274"/>
        <v>2.9369149688996732</v>
      </c>
      <c r="Z152" s="968">
        <f t="shared" si="274"/>
        <v>0.49625009051943447</v>
      </c>
      <c r="AA152" s="968">
        <f t="shared" si="274"/>
        <v>0.44686280028678471</v>
      </c>
      <c r="AB152" s="2948">
        <f>(AB145/AA145-1)*100</f>
        <v>-3.0693768563003654</v>
      </c>
      <c r="AC152" s="2948">
        <f>(AC145/AB145-1)*100</f>
        <v>1.2815487549608484</v>
      </c>
      <c r="AD152" s="2948">
        <f>(AD145/AC145-1)*100</f>
        <v>1.4452078836502569</v>
      </c>
      <c r="AE152" s="2948">
        <f>(AE145/AD145-1)*100</f>
        <v>2.2462417489836906</v>
      </c>
      <c r="AI152" s="3760"/>
    </row>
    <row r="153" spans="1:49">
      <c r="C153" s="740"/>
      <c r="D153" s="741"/>
      <c r="E153" s="784" t="s">
        <v>842</v>
      </c>
      <c r="F153" s="976" t="s">
        <v>1052</v>
      </c>
      <c r="G153" s="977"/>
      <c r="H153" s="977">
        <f t="shared" ref="H153:AB153" ca="1" si="275">(H146/G146-1)*100</f>
        <v>-41.21169312763633</v>
      </c>
      <c r="I153" s="977">
        <f t="shared" si="275"/>
        <v>-4.6949173605139505</v>
      </c>
      <c r="J153" s="977">
        <f t="shared" si="275"/>
        <v>23.922733286509356</v>
      </c>
      <c r="K153" s="977">
        <f t="shared" si="275"/>
        <v>4.7529214543617915</v>
      </c>
      <c r="L153" s="977">
        <f t="shared" si="275"/>
        <v>2.4758539307111693</v>
      </c>
      <c r="M153" s="977">
        <f t="shared" si="275"/>
        <v>8.7816433287507536</v>
      </c>
      <c r="N153" s="977">
        <f t="shared" si="275"/>
        <v>5.3254618015604382</v>
      </c>
      <c r="O153" s="977">
        <f t="shared" si="275"/>
        <v>8.1612644463604269</v>
      </c>
      <c r="P153" s="977">
        <f t="shared" si="275"/>
        <v>5.7261895448986522</v>
      </c>
      <c r="Q153" s="977">
        <f t="shared" si="275"/>
        <v>1.0048270211383992</v>
      </c>
      <c r="R153" s="977">
        <f t="shared" si="275"/>
        <v>2.4235579272369634</v>
      </c>
      <c r="S153" s="977">
        <f t="shared" si="275"/>
        <v>6.8143717605934073</v>
      </c>
      <c r="T153" s="977">
        <f t="shared" si="275"/>
        <v>-2.0119488678211117</v>
      </c>
      <c r="U153" s="977">
        <f t="shared" si="275"/>
        <v>8.6791908833916622</v>
      </c>
      <c r="V153" s="977">
        <f t="shared" si="275"/>
        <v>8.5388106488015758E-2</v>
      </c>
      <c r="W153" s="977">
        <f t="shared" si="275"/>
        <v>8.4457863972394076</v>
      </c>
      <c r="X153" s="977">
        <f t="shared" si="275"/>
        <v>-1.1434587733706203</v>
      </c>
      <c r="Y153" s="977">
        <f t="shared" si="275"/>
        <v>2.5920981227438578</v>
      </c>
      <c r="Z153" s="977">
        <f t="shared" si="275"/>
        <v>11.063897547360568</v>
      </c>
      <c r="AA153" s="977">
        <f t="shared" si="275"/>
        <v>1.6750727535917331</v>
      </c>
      <c r="AB153" s="977">
        <f t="shared" si="275"/>
        <v>5.4519971969155367</v>
      </c>
      <c r="AC153" s="2170">
        <v>1.5</v>
      </c>
      <c r="AD153" s="2170">
        <v>1</v>
      </c>
      <c r="AE153" s="2170">
        <v>1</v>
      </c>
    </row>
    <row r="154" spans="1:49" s="221" customFormat="1">
      <c r="A154" s="946"/>
      <c r="B154" s="946"/>
      <c r="C154" s="724"/>
      <c r="D154" s="766"/>
      <c r="E154" s="767" t="s">
        <v>980</v>
      </c>
      <c r="F154" s="967" t="s">
        <v>1053</v>
      </c>
      <c r="G154" s="968"/>
      <c r="H154" s="968">
        <f t="shared" ref="H154:AE154" ca="1" si="276">(H147/G147-1)*100</f>
        <v>2.8318112635821846</v>
      </c>
      <c r="I154" s="968">
        <f t="shared" si="276"/>
        <v>3.9415477358895945</v>
      </c>
      <c r="J154" s="968">
        <f t="shared" si="276"/>
        <v>3.2441609714947583</v>
      </c>
      <c r="K154" s="968">
        <f t="shared" si="276"/>
        <v>2.147935010061075</v>
      </c>
      <c r="L154" s="968">
        <f t="shared" si="276"/>
        <v>-0.47670532074299832</v>
      </c>
      <c r="M154" s="968">
        <f t="shared" si="276"/>
        <v>3.4156426653722871</v>
      </c>
      <c r="N154" s="968">
        <f t="shared" si="276"/>
        <v>6.4178310513705705</v>
      </c>
      <c r="O154" s="968">
        <f t="shared" si="276"/>
        <v>2.7263753577118965</v>
      </c>
      <c r="P154" s="968">
        <f t="shared" si="276"/>
        <v>1.4839556632623152</v>
      </c>
      <c r="Q154" s="968">
        <f t="shared" si="276"/>
        <v>1.0194152117998678</v>
      </c>
      <c r="R154" s="968">
        <f t="shared" si="276"/>
        <v>3.7499330665501374</v>
      </c>
      <c r="S154" s="968">
        <f t="shared" si="276"/>
        <v>5.5938449380671829</v>
      </c>
      <c r="T154" s="968">
        <f t="shared" si="276"/>
        <v>4.1607324457221262</v>
      </c>
      <c r="U154" s="968">
        <f t="shared" si="276"/>
        <v>2.8682751934429929</v>
      </c>
      <c r="V154" s="968">
        <f t="shared" si="276"/>
        <v>1.8521519309432577</v>
      </c>
      <c r="W154" s="2169">
        <f t="shared" si="276"/>
        <v>2.8065643241838245</v>
      </c>
      <c r="X154" s="2169">
        <f t="shared" si="276"/>
        <v>3.797157617750857</v>
      </c>
      <c r="Y154" s="2169">
        <f t="shared" si="276"/>
        <v>2.9372981046190461</v>
      </c>
      <c r="Z154" s="2169">
        <f t="shared" si="276"/>
        <v>0.62674195565766144</v>
      </c>
      <c r="AA154" s="2169">
        <f t="shared" si="276"/>
        <v>0.47481547080283626</v>
      </c>
      <c r="AB154" s="2169">
        <f t="shared" si="276"/>
        <v>-2.9576720274871016</v>
      </c>
      <c r="AC154" s="2169">
        <f t="shared" si="276"/>
        <v>1.2933350968706625</v>
      </c>
      <c r="AD154" s="2169">
        <f t="shared" si="276"/>
        <v>1.4503261101771914</v>
      </c>
      <c r="AE154" s="2169">
        <f t="shared" si="276"/>
        <v>2.243169582622806</v>
      </c>
    </row>
    <row r="155" spans="1:49" s="221" customFormat="1">
      <c r="A155" s="946"/>
      <c r="B155" s="946"/>
      <c r="C155" s="724"/>
      <c r="D155" s="724"/>
      <c r="F155" s="759"/>
      <c r="H155" s="1424"/>
      <c r="I155" s="1424"/>
      <c r="J155" s="1424"/>
      <c r="K155" s="1424"/>
      <c r="L155" s="1424"/>
      <c r="M155" s="1424"/>
      <c r="N155" s="1424"/>
      <c r="O155" s="1424"/>
      <c r="P155" s="1424"/>
      <c r="Q155" s="1424"/>
      <c r="R155" s="1424"/>
      <c r="S155" s="2179"/>
      <c r="T155" s="2179"/>
      <c r="U155" s="2179"/>
      <c r="V155" s="2179"/>
      <c r="W155" s="2179"/>
      <c r="X155" s="2179"/>
      <c r="Y155" s="2179"/>
      <c r="Z155" s="2179"/>
      <c r="AA155" s="2179"/>
      <c r="AB155" s="2179"/>
      <c r="AC155" s="2179"/>
      <c r="AD155" s="2179"/>
      <c r="AE155" s="2179"/>
    </row>
    <row r="156" spans="1:49">
      <c r="D156" s="1802"/>
      <c r="E156" s="1803" t="s">
        <v>302</v>
      </c>
      <c r="F156" s="1804"/>
      <c r="G156" s="1027">
        <f>+InputY!$G$3</f>
        <v>1995</v>
      </c>
      <c r="H156" s="1027">
        <f>+G156+1</f>
        <v>1996</v>
      </c>
      <c r="I156" s="1027">
        <f t="shared" ref="I156:O156" si="277">+H156+1</f>
        <v>1997</v>
      </c>
      <c r="J156" s="1027">
        <f t="shared" si="277"/>
        <v>1998</v>
      </c>
      <c r="K156" s="1027">
        <f t="shared" si="277"/>
        <v>1999</v>
      </c>
      <c r="L156" s="1027">
        <f t="shared" si="277"/>
        <v>2000</v>
      </c>
      <c r="M156" s="1027">
        <f t="shared" si="277"/>
        <v>2001</v>
      </c>
      <c r="N156" s="1027">
        <f t="shared" si="277"/>
        <v>2002</v>
      </c>
      <c r="O156" s="1027">
        <f t="shared" si="277"/>
        <v>2003</v>
      </c>
      <c r="P156" s="1027">
        <f t="shared" ref="P156:U156" si="278">+O156+1</f>
        <v>2004</v>
      </c>
      <c r="Q156" s="1027">
        <f t="shared" si="278"/>
        <v>2005</v>
      </c>
      <c r="R156" s="1027">
        <f>+Q156+1</f>
        <v>2006</v>
      </c>
      <c r="S156" s="2180">
        <f t="shared" si="278"/>
        <v>2007</v>
      </c>
      <c r="T156" s="2180">
        <f t="shared" si="278"/>
        <v>2008</v>
      </c>
      <c r="U156" s="2180">
        <f t="shared" si="278"/>
        <v>2009</v>
      </c>
      <c r="V156" s="2180">
        <f t="shared" ref="V156:AE156" si="279">+U156+1</f>
        <v>2010</v>
      </c>
      <c r="W156" s="2180">
        <f t="shared" si="279"/>
        <v>2011</v>
      </c>
      <c r="X156" s="2180">
        <f t="shared" si="279"/>
        <v>2012</v>
      </c>
      <c r="Y156" s="2180">
        <f t="shared" si="279"/>
        <v>2013</v>
      </c>
      <c r="Z156" s="2180">
        <f t="shared" si="279"/>
        <v>2014</v>
      </c>
      <c r="AA156" s="2180">
        <f t="shared" si="279"/>
        <v>2015</v>
      </c>
      <c r="AB156" s="2180">
        <f t="shared" si="279"/>
        <v>2016</v>
      </c>
      <c r="AC156" s="2180">
        <f t="shared" si="279"/>
        <v>2017</v>
      </c>
      <c r="AD156" s="2180">
        <f t="shared" si="279"/>
        <v>2018</v>
      </c>
      <c r="AE156" s="2180">
        <f t="shared" si="279"/>
        <v>2019</v>
      </c>
    </row>
    <row r="157" spans="1:49">
      <c r="C157" s="1034"/>
      <c r="D157" s="903"/>
      <c r="E157" s="1797" t="s">
        <v>17</v>
      </c>
      <c r="F157" s="1798" t="s">
        <v>1049</v>
      </c>
      <c r="G157" s="1799" t="e">
        <f ca="1">+G143/G111</f>
        <v>#VALUE!</v>
      </c>
      <c r="H157" s="1799">
        <f t="shared" ref="H157:P157" si="280">+H143/H111</f>
        <v>0.51390285908633704</v>
      </c>
      <c r="I157" s="1799">
        <f t="shared" si="280"/>
        <v>0.51981664475969525</v>
      </c>
      <c r="J157" s="1799">
        <f t="shared" si="280"/>
        <v>0.53205426185620863</v>
      </c>
      <c r="K157" s="1799">
        <f t="shared" si="280"/>
        <v>0.51981696608188632</v>
      </c>
      <c r="L157" s="1799">
        <f t="shared" si="280"/>
        <v>0.49920338845484424</v>
      </c>
      <c r="M157" s="1799">
        <f t="shared" si="280"/>
        <v>0.4949434321242116</v>
      </c>
      <c r="N157" s="1799">
        <f t="shared" si="280"/>
        <v>0.5208122765413572</v>
      </c>
      <c r="O157" s="1799">
        <f t="shared" si="280"/>
        <v>0.5318131732656507</v>
      </c>
      <c r="P157" s="1799">
        <f t="shared" si="280"/>
        <v>0.52938528180667799</v>
      </c>
      <c r="Q157" s="1799">
        <f t="shared" ref="Q157:Z157" si="281">+Q143/Q111</f>
        <v>0.52746020189299292</v>
      </c>
      <c r="R157" s="1799">
        <f t="shared" si="281"/>
        <v>0.52795945716200166</v>
      </c>
      <c r="S157" s="1799">
        <f t="shared" si="281"/>
        <v>0.54119601012015939</v>
      </c>
      <c r="T157" s="1799">
        <f t="shared" si="281"/>
        <v>0.54603913340500976</v>
      </c>
      <c r="U157" s="1799">
        <f t="shared" si="281"/>
        <v>0.57086224557038689</v>
      </c>
      <c r="V157" s="2181">
        <f t="shared" si="281"/>
        <v>0.57714919021969679</v>
      </c>
      <c r="W157" s="2181">
        <f t="shared" si="281"/>
        <v>0.57249614624720468</v>
      </c>
      <c r="X157" s="2181">
        <f t="shared" si="281"/>
        <v>0.58016649525792596</v>
      </c>
      <c r="Y157" s="2181">
        <f t="shared" si="281"/>
        <v>0.58699207014255805</v>
      </c>
      <c r="Z157" s="2181">
        <f t="shared" si="281"/>
        <v>0.58330128396290648</v>
      </c>
      <c r="AA157" s="2181">
        <f t="shared" ref="AA157:AB161" si="282">+AA143/AA111</f>
        <v>0.58727960945166158</v>
      </c>
      <c r="AB157" s="2181">
        <f t="shared" si="282"/>
        <v>0.56518407203625787</v>
      </c>
      <c r="AC157" s="2181">
        <f t="shared" ref="AC157:AD157" si="283">+AC143/AC111</f>
        <v>0.55659119051216632</v>
      </c>
      <c r="AD157" s="2181">
        <f t="shared" si="283"/>
        <v>0.55147759912297023</v>
      </c>
      <c r="AE157" s="2181">
        <f t="shared" ref="AE157" si="284">+AE143/AE111</f>
        <v>0.54872935815105861</v>
      </c>
    </row>
    <row r="158" spans="1:49">
      <c r="C158" s="985"/>
      <c r="D158" s="724"/>
      <c r="E158" s="221" t="s">
        <v>1281</v>
      </c>
      <c r="F158" s="759" t="s">
        <v>1050</v>
      </c>
      <c r="G158" s="1411" t="e">
        <f>+G144/G112</f>
        <v>#VALUE!</v>
      </c>
      <c r="H158" s="1411">
        <f t="shared" ref="H158:P158" si="285">+H144/H112</f>
        <v>-4.0070524122362128E-6</v>
      </c>
      <c r="I158" s="1411">
        <f t="shared" si="285"/>
        <v>0</v>
      </c>
      <c r="J158" s="1411">
        <f t="shared" si="285"/>
        <v>-3.7635015618443772E-6</v>
      </c>
      <c r="K158" s="1411">
        <f t="shared" si="285"/>
        <v>0</v>
      </c>
      <c r="L158" s="1411">
        <f t="shared" si="285"/>
        <v>0</v>
      </c>
      <c r="M158" s="1411">
        <f t="shared" si="285"/>
        <v>-3.3266467731930229E-6</v>
      </c>
      <c r="N158" s="1411">
        <f t="shared" si="285"/>
        <v>0</v>
      </c>
      <c r="O158" s="1411">
        <f t="shared" si="285"/>
        <v>0</v>
      </c>
      <c r="P158" s="1411">
        <f t="shared" si="285"/>
        <v>0</v>
      </c>
      <c r="Q158" s="1411">
        <f t="shared" ref="Q158:Z158" si="286">+Q144/Q112</f>
        <v>0</v>
      </c>
      <c r="R158" s="1411">
        <f t="shared" si="286"/>
        <v>0</v>
      </c>
      <c r="S158" s="1411">
        <f t="shared" si="286"/>
        <v>0</v>
      </c>
      <c r="T158" s="1411">
        <f t="shared" si="286"/>
        <v>0</v>
      </c>
      <c r="U158" s="1411">
        <f t="shared" si="286"/>
        <v>0</v>
      </c>
      <c r="V158" s="2182">
        <f t="shared" si="286"/>
        <v>0</v>
      </c>
      <c r="W158" s="2182">
        <f t="shared" si="286"/>
        <v>0</v>
      </c>
      <c r="X158" s="2182">
        <f t="shared" si="286"/>
        <v>0</v>
      </c>
      <c r="Y158" s="2182">
        <f t="shared" si="286"/>
        <v>-1.9922818999858482E-6</v>
      </c>
      <c r="Z158" s="2182">
        <f t="shared" si="286"/>
        <v>1.9264603257301548E-4</v>
      </c>
      <c r="AA158" s="2182">
        <f t="shared" si="282"/>
        <v>-1.5047879616962708E-3</v>
      </c>
      <c r="AB158" s="2182">
        <f t="shared" si="282"/>
        <v>-6.0808126505234759E-3</v>
      </c>
      <c r="AC158" s="2182">
        <f t="shared" ref="AC158:AD158" si="287">+AC144/AC112</f>
        <v>-6.151159306676591E-3</v>
      </c>
      <c r="AD158" s="2182">
        <f t="shared" si="287"/>
        <v>-6.1980138404579164E-3</v>
      </c>
      <c r="AE158" s="2182">
        <f t="shared" ref="AE158" si="288">+AE144/AE112</f>
        <v>-6.2703240019299266E-3</v>
      </c>
    </row>
    <row r="159" spans="1:49">
      <c r="C159" s="985"/>
      <c r="D159" s="850"/>
      <c r="E159" s="335" t="s">
        <v>849</v>
      </c>
      <c r="F159" s="186" t="s">
        <v>1051</v>
      </c>
      <c r="G159" s="1796">
        <f ca="1">+G145/G113</f>
        <v>0.34778687880025488</v>
      </c>
      <c r="H159" s="1796">
        <f t="shared" ref="H159:P159" si="289">+H145/H113</f>
        <v>0.35405397320783127</v>
      </c>
      <c r="I159" s="1796">
        <f t="shared" si="289"/>
        <v>0.35842202881665403</v>
      </c>
      <c r="J159" s="1796">
        <f t="shared" si="289"/>
        <v>0.36673417934673286</v>
      </c>
      <c r="K159" s="1796">
        <f t="shared" si="289"/>
        <v>0.3601287525164259</v>
      </c>
      <c r="L159" s="1796">
        <f t="shared" si="289"/>
        <v>0.3484778377584371</v>
      </c>
      <c r="M159" s="1796">
        <f t="shared" si="289"/>
        <v>0.34719680321267604</v>
      </c>
      <c r="N159" s="1796">
        <f t="shared" si="289"/>
        <v>0.35873102501328236</v>
      </c>
      <c r="O159" s="1796">
        <f t="shared" si="289"/>
        <v>0.36224232734449485</v>
      </c>
      <c r="P159" s="1796">
        <f t="shared" si="289"/>
        <v>0.36062930049172176</v>
      </c>
      <c r="Q159" s="1796">
        <f t="shared" ref="Q159:Z159" si="290">+Q145/Q113</f>
        <v>0.3569361416541349</v>
      </c>
      <c r="R159" s="1796">
        <f t="shared" si="290"/>
        <v>0.35789475468238119</v>
      </c>
      <c r="S159" s="1796">
        <f t="shared" si="290"/>
        <v>0.36752928450032785</v>
      </c>
      <c r="T159" s="1796">
        <f t="shared" si="290"/>
        <v>0.37028239012506553</v>
      </c>
      <c r="U159" s="1796">
        <f t="shared" si="290"/>
        <v>0.37911646648014652</v>
      </c>
      <c r="V159" s="2183">
        <f t="shared" si="290"/>
        <v>0.38169870765258496</v>
      </c>
      <c r="W159" s="2183">
        <f t="shared" si="290"/>
        <v>0.37970780962337519</v>
      </c>
      <c r="X159" s="2183">
        <f t="shared" si="290"/>
        <v>0.38326360241237817</v>
      </c>
      <c r="Y159" s="2183">
        <f t="shared" si="290"/>
        <v>0.38521750921440284</v>
      </c>
      <c r="Z159" s="2183">
        <f t="shared" si="290"/>
        <v>0.38303279247456234</v>
      </c>
      <c r="AA159" s="2183">
        <f t="shared" si="282"/>
        <v>0.38521878338690868</v>
      </c>
      <c r="AB159" s="2183">
        <f t="shared" si="282"/>
        <v>0.36853236036415687</v>
      </c>
      <c r="AC159" s="2183">
        <f t="shared" ref="AC159:AD159" si="291">+AC145/AC113</f>
        <v>0.36636159070167451</v>
      </c>
      <c r="AD159" s="2183">
        <f t="shared" si="291"/>
        <v>0.36344526118072595</v>
      </c>
      <c r="AE159" s="2183">
        <f t="shared" ref="AE159" si="292">+AE145/AE113</f>
        <v>0.36374082979372102</v>
      </c>
    </row>
    <row r="160" spans="1:49">
      <c r="C160" s="907"/>
      <c r="D160" s="908"/>
      <c r="E160" s="909" t="s">
        <v>842</v>
      </c>
      <c r="F160" s="1800" t="s">
        <v>1052</v>
      </c>
      <c r="G160" s="1801">
        <f ca="1">+G146/G114</f>
        <v>0.19541062801932235</v>
      </c>
      <c r="H160" s="1801">
        <f t="shared" ref="H160:P160" si="293">+H146/H114</f>
        <v>0.11155606407323078</v>
      </c>
      <c r="I160" s="1801">
        <f t="shared" si="293"/>
        <v>0.10671936758892914</v>
      </c>
      <c r="J160" s="1801">
        <f t="shared" si="293"/>
        <v>0.12611522080251183</v>
      </c>
      <c r="K160" s="1801">
        <f t="shared" si="293"/>
        <v>0.12115471729193446</v>
      </c>
      <c r="L160" s="1801">
        <f t="shared" si="293"/>
        <v>0.11886836386215717</v>
      </c>
      <c r="M160" s="1801">
        <f t="shared" si="293"/>
        <v>0.1227094474153253</v>
      </c>
      <c r="N160" s="1801">
        <f t="shared" si="293"/>
        <v>0.11950460381273523</v>
      </c>
      <c r="O160" s="1801">
        <f t="shared" si="293"/>
        <v>0.12409371442267599</v>
      </c>
      <c r="P160" s="1801">
        <f t="shared" si="293"/>
        <v>0.12446623873936057</v>
      </c>
      <c r="Q160" s="1801">
        <f t="shared" ref="Q160:Z160" si="294">+Q146/Q114</f>
        <v>0.12340414260739897</v>
      </c>
      <c r="R160" s="1801">
        <f t="shared" si="294"/>
        <v>0.12270659401089727</v>
      </c>
      <c r="S160" s="1801">
        <f t="shared" si="294"/>
        <v>0.13019155789116352</v>
      </c>
      <c r="T160" s="1801">
        <f t="shared" si="294"/>
        <v>0.12598013591217438</v>
      </c>
      <c r="U160" s="1801">
        <f t="shared" si="294"/>
        <v>0.13496492162356746</v>
      </c>
      <c r="V160" s="2184">
        <f t="shared" si="294"/>
        <v>0.12847601169948425</v>
      </c>
      <c r="W160" s="2184">
        <f t="shared" si="294"/>
        <v>0.13861795697988133</v>
      </c>
      <c r="X160" s="2184">
        <f t="shared" si="294"/>
        <v>0.13431034117621976</v>
      </c>
      <c r="Y160" s="2184">
        <f t="shared" si="294"/>
        <v>0.13430221647657589</v>
      </c>
      <c r="Z160" s="2184">
        <f t="shared" si="294"/>
        <v>0.14231735503969536</v>
      </c>
      <c r="AA160" s="2184">
        <f t="shared" si="282"/>
        <v>0.13645056416140994</v>
      </c>
      <c r="AB160" s="2184">
        <f t="shared" si="282"/>
        <v>0.14119766547187768</v>
      </c>
      <c r="AC160" s="2184">
        <f t="shared" ref="AC160:AD160" si="295">+AC146/AC114</f>
        <v>0.14036469867547527</v>
      </c>
      <c r="AD160" s="2184">
        <f t="shared" si="295"/>
        <v>0.13835107413118963</v>
      </c>
      <c r="AE160" s="2184">
        <f t="shared" ref="AE160" si="296">+AE146/AE114</f>
        <v>0.13635302973507177</v>
      </c>
    </row>
    <row r="161" spans="1:34" s="221" customFormat="1">
      <c r="A161" s="946"/>
      <c r="B161" s="946"/>
      <c r="C161" s="724"/>
      <c r="D161" s="850"/>
      <c r="E161" s="335" t="s">
        <v>980</v>
      </c>
      <c r="F161" s="186" t="s">
        <v>1053</v>
      </c>
      <c r="G161" s="1796">
        <f ca="1">+G147/G115</f>
        <v>0.34388865132351398</v>
      </c>
      <c r="H161" s="1796">
        <f t="shared" ref="H161:P161" si="297">+H147/H115</f>
        <v>0.34787562249483794</v>
      </c>
      <c r="I161" s="1796">
        <f t="shared" si="297"/>
        <v>0.35221720561890862</v>
      </c>
      <c r="J161" s="1796">
        <f t="shared" si="297"/>
        <v>0.36061760572930973</v>
      </c>
      <c r="K161" s="1796">
        <f t="shared" si="297"/>
        <v>0.35387782317527039</v>
      </c>
      <c r="L161" s="1796">
        <f t="shared" si="297"/>
        <v>0.34243343995472264</v>
      </c>
      <c r="M161" s="1796">
        <f t="shared" si="297"/>
        <v>0.34111322907538777</v>
      </c>
      <c r="N161" s="1796">
        <f t="shared" si="297"/>
        <v>0.35182169667947333</v>
      </c>
      <c r="O161" s="1796">
        <f t="shared" si="297"/>
        <v>0.35493151277082413</v>
      </c>
      <c r="P161" s="1796">
        <f t="shared" si="297"/>
        <v>0.3529894588245362</v>
      </c>
      <c r="Q161" s="1796">
        <f t="shared" ref="Q161:Z161" si="298">+Q147/Q115</f>
        <v>0.34936300480323224</v>
      </c>
      <c r="R161" s="1796">
        <f t="shared" si="298"/>
        <v>0.35018294062298178</v>
      </c>
      <c r="S161" s="1796">
        <f t="shared" si="298"/>
        <v>0.35985072849384026</v>
      </c>
      <c r="T161" s="1796">
        <f t="shared" si="298"/>
        <v>0.36263074661854172</v>
      </c>
      <c r="U161" s="1796">
        <f t="shared" si="298"/>
        <v>0.37128030433079862</v>
      </c>
      <c r="V161" s="2183">
        <f t="shared" si="298"/>
        <v>0.37324261914619455</v>
      </c>
      <c r="W161" s="2183">
        <f t="shared" si="298"/>
        <v>0.37198995554149261</v>
      </c>
      <c r="X161" s="2183">
        <f t="shared" si="298"/>
        <v>0.37532524099741682</v>
      </c>
      <c r="Y161" s="2183">
        <f t="shared" si="298"/>
        <v>0.37723855287158709</v>
      </c>
      <c r="Z161" s="2183">
        <f t="shared" si="298"/>
        <v>0.37520951481398762</v>
      </c>
      <c r="AA161" s="2183">
        <f t="shared" si="282"/>
        <v>0.37679020249058681</v>
      </c>
      <c r="AB161" s="2183">
        <f t="shared" si="282"/>
        <v>0.36087269922163989</v>
      </c>
      <c r="AC161" s="2183">
        <f t="shared" ref="AC161:AD161" si="299">+AC147/AC115</f>
        <v>0.35883361961464205</v>
      </c>
      <c r="AD161" s="2183">
        <f t="shared" si="299"/>
        <v>0.35605663516966535</v>
      </c>
      <c r="AE161" s="2183">
        <f t="shared" ref="AE161" si="300">+AE147/AE115</f>
        <v>0.35639771438295004</v>
      </c>
    </row>
    <row r="162" spans="1:34" s="221" customFormat="1" ht="30" customHeight="1">
      <c r="A162" s="946"/>
      <c r="B162" s="946"/>
      <c r="C162" s="724"/>
      <c r="D162" s="724"/>
      <c r="F162" s="759"/>
      <c r="Q162" s="359"/>
      <c r="R162" s="2168"/>
      <c r="S162" s="2168"/>
      <c r="T162" s="2168"/>
      <c r="U162" s="3293"/>
      <c r="V162" s="3912"/>
      <c r="W162" s="3912"/>
      <c r="X162" s="3912"/>
      <c r="Y162" s="3912"/>
      <c r="Z162" s="3912"/>
      <c r="AA162" s="3912"/>
      <c r="AB162" s="3912"/>
      <c r="AC162" s="3912"/>
      <c r="AD162" s="3912"/>
      <c r="AE162" s="3912"/>
    </row>
    <row r="163" spans="1:34">
      <c r="D163" s="943"/>
      <c r="E163" s="944" t="s">
        <v>1367</v>
      </c>
      <c r="F163" s="945"/>
      <c r="G163" s="748">
        <f>+InputY!$G$3</f>
        <v>1995</v>
      </c>
      <c r="H163" s="748">
        <f>+G163+1</f>
        <v>1996</v>
      </c>
      <c r="I163" s="748">
        <f t="shared" ref="I163:S163" si="301">+H163+1</f>
        <v>1997</v>
      </c>
      <c r="J163" s="748">
        <f t="shared" si="301"/>
        <v>1998</v>
      </c>
      <c r="K163" s="748">
        <f t="shared" si="301"/>
        <v>1999</v>
      </c>
      <c r="L163" s="748">
        <f t="shared" si="301"/>
        <v>2000</v>
      </c>
      <c r="M163" s="748">
        <f t="shared" si="301"/>
        <v>2001</v>
      </c>
      <c r="N163" s="748">
        <f t="shared" si="301"/>
        <v>2002</v>
      </c>
      <c r="O163" s="748">
        <f t="shared" si="301"/>
        <v>2003</v>
      </c>
      <c r="P163" s="748">
        <f>+O163+1</f>
        <v>2004</v>
      </c>
      <c r="Q163" s="748">
        <f>+P163+1</f>
        <v>2005</v>
      </c>
      <c r="R163" s="748">
        <f>+Q163+1</f>
        <v>2006</v>
      </c>
      <c r="S163" s="2122">
        <f t="shared" si="301"/>
        <v>2007</v>
      </c>
      <c r="T163" s="2122">
        <f t="shared" ref="T163:AE163" si="302">+S163+1</f>
        <v>2008</v>
      </c>
      <c r="U163" s="2122">
        <f t="shared" si="302"/>
        <v>2009</v>
      </c>
      <c r="V163" s="2122">
        <f t="shared" si="302"/>
        <v>2010</v>
      </c>
      <c r="W163" s="2122">
        <f t="shared" si="302"/>
        <v>2011</v>
      </c>
      <c r="X163" s="2122">
        <f t="shared" si="302"/>
        <v>2012</v>
      </c>
      <c r="Y163" s="2122">
        <f t="shared" si="302"/>
        <v>2013</v>
      </c>
      <c r="Z163" s="2122">
        <f t="shared" si="302"/>
        <v>2014</v>
      </c>
      <c r="AA163" s="2122">
        <f t="shared" si="302"/>
        <v>2015</v>
      </c>
      <c r="AB163" s="2122">
        <f t="shared" si="302"/>
        <v>2016</v>
      </c>
      <c r="AC163" s="2122">
        <f t="shared" si="302"/>
        <v>2017</v>
      </c>
      <c r="AD163" s="2122">
        <f t="shared" si="302"/>
        <v>2018</v>
      </c>
      <c r="AE163" s="2122">
        <f t="shared" si="302"/>
        <v>2019</v>
      </c>
    </row>
    <row r="164" spans="1:34" s="941" customFormat="1" ht="20.399999999999999">
      <c r="A164" s="940"/>
      <c r="B164" s="940"/>
      <c r="C164" s="947" t="s">
        <v>622</v>
      </c>
      <c r="D164" s="948"/>
      <c r="E164" s="949" t="s">
        <v>507</v>
      </c>
      <c r="F164" s="960" t="s">
        <v>1054</v>
      </c>
      <c r="G164" s="1375">
        <f ca="1">+G166-G165</f>
        <v>27.673000000000012</v>
      </c>
      <c r="H164" s="1375">
        <f t="shared" ref="H164:P164" si="303">+H166-H165</f>
        <v>28.406699999999997</v>
      </c>
      <c r="I164" s="1375">
        <f t="shared" si="303"/>
        <v>29.7791</v>
      </c>
      <c r="J164" s="1375">
        <f t="shared" si="303"/>
        <v>31.361299999999996</v>
      </c>
      <c r="K164" s="1375">
        <f t="shared" si="303"/>
        <v>32.5578</v>
      </c>
      <c r="L164" s="1375">
        <f t="shared" si="303"/>
        <v>33.212900000000005</v>
      </c>
      <c r="M164" s="1375">
        <f t="shared" si="303"/>
        <v>34.963200000000008</v>
      </c>
      <c r="N164" s="1375">
        <f t="shared" si="303"/>
        <v>37.203599999999994</v>
      </c>
      <c r="O164" s="1375">
        <f t="shared" si="303"/>
        <v>38.176899999999989</v>
      </c>
      <c r="P164" s="1375">
        <f t="shared" si="303"/>
        <v>39.156300000000016</v>
      </c>
      <c r="Q164" s="1375">
        <f t="shared" ref="Q164:X164" si="304">+Q166-Q165</f>
        <v>40.20750000000001</v>
      </c>
      <c r="R164" s="1375">
        <f t="shared" si="304"/>
        <v>42.233800000000016</v>
      </c>
      <c r="S164" s="1375">
        <f t="shared" si="304"/>
        <v>45.39130000000003</v>
      </c>
      <c r="T164" s="1375">
        <f t="shared" si="304"/>
        <v>48.197400000000016</v>
      </c>
      <c r="U164" s="1375">
        <f t="shared" si="304"/>
        <v>49.378099999999989</v>
      </c>
      <c r="V164" s="1375">
        <f t="shared" si="304"/>
        <v>50.61760000000001</v>
      </c>
      <c r="W164" s="1375">
        <f t="shared" si="304"/>
        <v>52.737200000000001</v>
      </c>
      <c r="X164" s="1375">
        <f t="shared" si="304"/>
        <v>54.94489999999999</v>
      </c>
      <c r="Y164" s="1375">
        <f t="shared" ref="Y164:Z164" si="305">+Y166-Y165</f>
        <v>56.250100000000003</v>
      </c>
      <c r="Z164" s="1375">
        <f t="shared" si="305"/>
        <v>56.723600000000012</v>
      </c>
      <c r="AA164" s="1375">
        <f t="shared" ref="AA164:AB164" si="306">+AA166-AA165</f>
        <v>57.514699999999976</v>
      </c>
      <c r="AB164" s="1375">
        <f t="shared" si="306"/>
        <v>56.64060000000002</v>
      </c>
      <c r="AC164" s="2176">
        <f t="shared" ref="AC164" si="307">+AC143*AC28/1000</f>
        <v>57.942955371700755</v>
      </c>
      <c r="AD164" s="2176">
        <f t="shared" ref="AD164:AE164" si="308">+AD143*AD28/1000</f>
        <v>59.746383052744122</v>
      </c>
      <c r="AE164" s="2176">
        <f t="shared" si="308"/>
        <v>61.69669013802833</v>
      </c>
      <c r="AG164" s="3028"/>
      <c r="AH164" s="218"/>
    </row>
    <row r="165" spans="1:34" s="941" customFormat="1" ht="20.399999999999999">
      <c r="A165" s="940"/>
      <c r="B165" s="940"/>
      <c r="C165" s="950" t="s">
        <v>622</v>
      </c>
      <c r="D165" s="951"/>
      <c r="E165" s="952" t="s">
        <v>1044</v>
      </c>
      <c r="F165" s="961" t="s">
        <v>1055</v>
      </c>
      <c r="G165" s="1085">
        <f t="shared" ref="G165:P165" si="309">+G211-G134</f>
        <v>-0.25230000000000175</v>
      </c>
      <c r="H165" s="1085">
        <f t="shared" si="309"/>
        <v>-9.9999999999766942E-5</v>
      </c>
      <c r="I165" s="1085">
        <f t="shared" si="309"/>
        <v>0</v>
      </c>
      <c r="J165" s="1085">
        <f t="shared" si="309"/>
        <v>-9.9999999999766942E-5</v>
      </c>
      <c r="K165" s="1085">
        <f t="shared" si="309"/>
        <v>0</v>
      </c>
      <c r="L165" s="1085">
        <f t="shared" si="309"/>
        <v>0</v>
      </c>
      <c r="M165" s="1085">
        <f t="shared" si="309"/>
        <v>-9.9999999996214228E-5</v>
      </c>
      <c r="N165" s="1085">
        <f t="shared" si="309"/>
        <v>0</v>
      </c>
      <c r="O165" s="1085">
        <f t="shared" si="309"/>
        <v>0</v>
      </c>
      <c r="P165" s="1085">
        <f t="shared" si="309"/>
        <v>0</v>
      </c>
      <c r="Q165" s="1085">
        <f t="shared" ref="Q165:X165" si="310">+Q211-Q134</f>
        <v>0</v>
      </c>
      <c r="R165" s="1085">
        <f t="shared" si="310"/>
        <v>0</v>
      </c>
      <c r="S165" s="1085">
        <f t="shared" si="310"/>
        <v>0</v>
      </c>
      <c r="T165" s="1085">
        <f t="shared" si="310"/>
        <v>0</v>
      </c>
      <c r="U165" s="1085">
        <f t="shared" si="310"/>
        <v>0</v>
      </c>
      <c r="V165" s="1085">
        <f t="shared" si="310"/>
        <v>0</v>
      </c>
      <c r="W165" s="1085">
        <f t="shared" si="310"/>
        <v>0</v>
      </c>
      <c r="X165" s="1085">
        <f t="shared" si="310"/>
        <v>0</v>
      </c>
      <c r="Y165" s="1085">
        <f t="shared" ref="Y165:Z165" si="311">+Y211-Y134</f>
        <v>-1.0000000000331966E-4</v>
      </c>
      <c r="Z165" s="1085">
        <f t="shared" si="311"/>
        <v>9.800000000005582E-3</v>
      </c>
      <c r="AA165" s="1085">
        <f t="shared" ref="AA165:AB165" si="312">+AA211-AA134</f>
        <v>-7.6999999999998181E-2</v>
      </c>
      <c r="AB165" s="1085">
        <f t="shared" si="312"/>
        <v>-0.31990000000000407</v>
      </c>
      <c r="AC165" s="2165">
        <f t="shared" ref="AC165" si="313">+AC144*AC29/1000</f>
        <v>-0.33088219987155959</v>
      </c>
      <c r="AD165" s="2165">
        <f t="shared" ref="AD165:AE165" si="314">+AD144*AD29/1000</f>
        <v>-0.34157495595438891</v>
      </c>
      <c r="AE165" s="2165">
        <f t="shared" si="314"/>
        <v>-0.35247119704933394</v>
      </c>
    </row>
    <row r="166" spans="1:34" s="941" customFormat="1">
      <c r="A166" s="940"/>
      <c r="B166" s="940"/>
      <c r="C166" s="950" t="s">
        <v>624</v>
      </c>
      <c r="D166" s="953"/>
      <c r="E166" s="954" t="s">
        <v>1045</v>
      </c>
      <c r="F166" s="959" t="s">
        <v>818</v>
      </c>
      <c r="G166" s="963">
        <f t="shared" ref="G166:R166" ca="1" si="315">+G214-G135</f>
        <v>27.420700000000011</v>
      </c>
      <c r="H166" s="963">
        <f t="shared" si="315"/>
        <v>28.406599999999997</v>
      </c>
      <c r="I166" s="963">
        <f t="shared" si="315"/>
        <v>29.7791</v>
      </c>
      <c r="J166" s="963">
        <f t="shared" si="315"/>
        <v>31.361199999999997</v>
      </c>
      <c r="K166" s="963">
        <f t="shared" si="315"/>
        <v>32.5578</v>
      </c>
      <c r="L166" s="963">
        <f t="shared" si="315"/>
        <v>33.212900000000005</v>
      </c>
      <c r="M166" s="963">
        <f t="shared" si="315"/>
        <v>34.963100000000011</v>
      </c>
      <c r="N166" s="963">
        <f t="shared" si="315"/>
        <v>37.203599999999994</v>
      </c>
      <c r="O166" s="963">
        <f t="shared" si="315"/>
        <v>38.176899999999989</v>
      </c>
      <c r="P166" s="963">
        <f t="shared" si="315"/>
        <v>39.156300000000016</v>
      </c>
      <c r="Q166" s="963">
        <f t="shared" si="315"/>
        <v>40.20750000000001</v>
      </c>
      <c r="R166" s="963">
        <f t="shared" si="315"/>
        <v>42.233800000000016</v>
      </c>
      <c r="S166" s="963">
        <f t="shared" ref="S166:W166" si="316">+S214-S135</f>
        <v>45.39130000000003</v>
      </c>
      <c r="T166" s="963">
        <f t="shared" si="316"/>
        <v>48.197400000000016</v>
      </c>
      <c r="U166" s="963">
        <f t="shared" si="316"/>
        <v>49.378099999999989</v>
      </c>
      <c r="V166" s="963">
        <f t="shared" si="316"/>
        <v>50.61760000000001</v>
      </c>
      <c r="W166" s="963">
        <f t="shared" si="316"/>
        <v>52.737200000000001</v>
      </c>
      <c r="X166" s="963">
        <f t="shared" ref="X166:AC166" si="317">+X214-X135</f>
        <v>54.94489999999999</v>
      </c>
      <c r="Y166" s="963">
        <f t="shared" si="317"/>
        <v>56.25</v>
      </c>
      <c r="Z166" s="963">
        <f t="shared" si="317"/>
        <v>56.733400000000017</v>
      </c>
      <c r="AA166" s="963">
        <f t="shared" si="317"/>
        <v>57.437699999999978</v>
      </c>
      <c r="AB166" s="963">
        <f t="shared" si="317"/>
        <v>56.320700000000016</v>
      </c>
      <c r="AC166" s="963">
        <f t="shared" si="317"/>
        <v>57.84669999999997</v>
      </c>
      <c r="AD166" s="2177">
        <f>+AD164+AD165</f>
        <v>59.404808096789736</v>
      </c>
      <c r="AE166" s="2177">
        <f>+AE164+AE165</f>
        <v>61.344218940978998</v>
      </c>
    </row>
    <row r="167" spans="1:34" s="941" customFormat="1" ht="20.399999999999999">
      <c r="A167" s="940"/>
      <c r="B167" s="940"/>
      <c r="C167" s="955" t="s">
        <v>622</v>
      </c>
      <c r="D167" s="956"/>
      <c r="E167" s="957" t="s">
        <v>1046</v>
      </c>
      <c r="F167" s="962" t="s">
        <v>2088</v>
      </c>
      <c r="G167" s="964">
        <f ca="1">+G168-G166</f>
        <v>0.40449999999999875</v>
      </c>
      <c r="H167" s="964">
        <f>+H168-H166</f>
        <v>0.23400000000000887</v>
      </c>
      <c r="I167" s="964">
        <f t="shared" ref="I167:V167" si="318">+I168-I166</f>
        <v>0.22409999999999286</v>
      </c>
      <c r="J167" s="964">
        <f t="shared" si="318"/>
        <v>0.28130000000000166</v>
      </c>
      <c r="K167" s="964">
        <f t="shared" si="318"/>
        <v>0.29420000000000357</v>
      </c>
      <c r="L167" s="964">
        <f t="shared" si="318"/>
        <v>0.30630000000000734</v>
      </c>
      <c r="M167" s="964">
        <f t="shared" si="318"/>
        <v>0.34419999999998652</v>
      </c>
      <c r="N167" s="964">
        <f t="shared" si="318"/>
        <v>0.3686000000000007</v>
      </c>
      <c r="O167" s="964">
        <f t="shared" si="318"/>
        <v>0.41420000000000812</v>
      </c>
      <c r="P167" s="964">
        <f t="shared" si="318"/>
        <v>0.45180000000000575</v>
      </c>
      <c r="Q167" s="964">
        <f t="shared" si="318"/>
        <v>0.46589999999997644</v>
      </c>
      <c r="R167" s="964">
        <f t="shared" si="318"/>
        <v>0.49089999999999634</v>
      </c>
      <c r="S167" s="964">
        <f t="shared" si="318"/>
        <v>0.53759999999998342</v>
      </c>
      <c r="T167" s="964">
        <f t="shared" si="318"/>
        <v>0.53019999999997935</v>
      </c>
      <c r="U167" s="964">
        <f t="shared" si="318"/>
        <v>0.58290000000002351</v>
      </c>
      <c r="V167" s="964">
        <f t="shared" si="318"/>
        <v>0.58860000000001378</v>
      </c>
      <c r="W167" s="964">
        <f t="shared" ref="W167:AB167" si="319">+W168-W166</f>
        <v>0.6366999999999905</v>
      </c>
      <c r="X167" s="964">
        <f t="shared" si="319"/>
        <v>0.63419999999999277</v>
      </c>
      <c r="Y167" s="964">
        <f t="shared" si="319"/>
        <v>0.64410000000000878</v>
      </c>
      <c r="Z167" s="964">
        <f t="shared" si="319"/>
        <v>0.70810000000000173</v>
      </c>
      <c r="AA167" s="964">
        <f t="shared" si="319"/>
        <v>0.71350000000001046</v>
      </c>
      <c r="AB167" s="964">
        <f t="shared" si="319"/>
        <v>0.75239999999999441</v>
      </c>
      <c r="AC167" s="2178">
        <f>+AC146*AC33/1000</f>
        <v>0.7636860000000032</v>
      </c>
      <c r="AD167" s="2178">
        <f>+AD146*AD33/1000</f>
        <v>0.76746624570000332</v>
      </c>
      <c r="AE167" s="2178">
        <f>+AE146*AE33/1000</f>
        <v>0.76738949907543341</v>
      </c>
    </row>
    <row r="168" spans="1:34" s="952" customFormat="1">
      <c r="A168" s="958"/>
      <c r="B168" s="958"/>
      <c r="C168" s="951" t="s">
        <v>624</v>
      </c>
      <c r="D168" s="953"/>
      <c r="E168" s="954" t="s">
        <v>1047</v>
      </c>
      <c r="F168" s="959" t="s">
        <v>1761</v>
      </c>
      <c r="G168" s="963">
        <f t="shared" ref="G168:R168" ca="1" si="320">+G217-G137</f>
        <v>27.825200000000009</v>
      </c>
      <c r="H168" s="963">
        <f t="shared" si="320"/>
        <v>28.640600000000006</v>
      </c>
      <c r="I168" s="963">
        <f t="shared" si="320"/>
        <v>30.003199999999993</v>
      </c>
      <c r="J168" s="963">
        <f t="shared" si="320"/>
        <v>31.642499999999998</v>
      </c>
      <c r="K168" s="963">
        <f t="shared" si="320"/>
        <v>32.852000000000004</v>
      </c>
      <c r="L168" s="963">
        <f t="shared" si="320"/>
        <v>33.519200000000012</v>
      </c>
      <c r="M168" s="963">
        <f t="shared" si="320"/>
        <v>35.307299999999998</v>
      </c>
      <c r="N168" s="963">
        <f t="shared" si="320"/>
        <v>37.572199999999995</v>
      </c>
      <c r="O168" s="963">
        <f t="shared" si="320"/>
        <v>38.591099999999997</v>
      </c>
      <c r="P168" s="963">
        <f t="shared" si="320"/>
        <v>39.608100000000022</v>
      </c>
      <c r="Q168" s="963">
        <f t="shared" si="320"/>
        <v>40.673399999999987</v>
      </c>
      <c r="R168" s="963">
        <f t="shared" si="320"/>
        <v>42.724700000000013</v>
      </c>
      <c r="S168" s="963">
        <f t="shared" ref="S168:X168" si="321">+S217-S137</f>
        <v>45.928900000000013</v>
      </c>
      <c r="T168" s="963">
        <f t="shared" si="321"/>
        <v>48.727599999999995</v>
      </c>
      <c r="U168" s="963">
        <f t="shared" si="321"/>
        <v>49.961000000000013</v>
      </c>
      <c r="V168" s="963">
        <f t="shared" si="321"/>
        <v>51.206200000000024</v>
      </c>
      <c r="W168" s="963">
        <f t="shared" si="321"/>
        <v>53.373899999999992</v>
      </c>
      <c r="X168" s="963">
        <f t="shared" si="321"/>
        <v>55.579099999999983</v>
      </c>
      <c r="Y168" s="963">
        <f t="shared" ref="Y168:Z168" si="322">+Y217-Y137</f>
        <v>56.894100000000009</v>
      </c>
      <c r="Z168" s="963">
        <f t="shared" si="322"/>
        <v>57.441500000000019</v>
      </c>
      <c r="AA168" s="963">
        <f t="shared" ref="AA168:AC168" si="323">+AA217-AA137</f>
        <v>58.151199999999989</v>
      </c>
      <c r="AB168" s="963">
        <f t="shared" si="323"/>
        <v>57.073100000000011</v>
      </c>
      <c r="AC168" s="963">
        <f t="shared" si="323"/>
        <v>58.610385999999977</v>
      </c>
      <c r="AD168" s="2177">
        <f>+AD166+AD167</f>
        <v>60.172274342489743</v>
      </c>
      <c r="AE168" s="2177">
        <f>+AE166+AE167</f>
        <v>62.111608440054432</v>
      </c>
    </row>
    <row r="169" spans="1:34" s="749" customFormat="1">
      <c r="A169" s="713"/>
      <c r="B169" s="713"/>
      <c r="C169" s="744"/>
      <c r="D169" s="720"/>
      <c r="F169" s="744"/>
      <c r="S169" s="2162"/>
      <c r="T169" s="2162"/>
      <c r="U169" s="2162"/>
      <c r="V169" s="2162"/>
      <c r="W169" s="2162"/>
      <c r="X169" s="2162"/>
      <c r="Y169" s="2162"/>
      <c r="Z169" s="2162"/>
      <c r="AA169" s="2162"/>
      <c r="AB169" s="2162"/>
      <c r="AC169" s="2162"/>
      <c r="AD169" s="2162"/>
      <c r="AE169" s="2162"/>
    </row>
    <row r="170" spans="1:34">
      <c r="D170" s="969"/>
      <c r="E170" s="970" t="s">
        <v>1436</v>
      </c>
      <c r="F170" s="971"/>
      <c r="G170" s="793">
        <f>+InputY!$G$3</f>
        <v>1995</v>
      </c>
      <c r="H170" s="793">
        <f>+G170+1</f>
        <v>1996</v>
      </c>
      <c r="I170" s="793">
        <f t="shared" ref="I170:S170" si="324">+H170+1</f>
        <v>1997</v>
      </c>
      <c r="J170" s="793">
        <f t="shared" si="324"/>
        <v>1998</v>
      </c>
      <c r="K170" s="793">
        <f t="shared" si="324"/>
        <v>1999</v>
      </c>
      <c r="L170" s="793">
        <f t="shared" si="324"/>
        <v>2000</v>
      </c>
      <c r="M170" s="793">
        <f t="shared" si="324"/>
        <v>2001</v>
      </c>
      <c r="N170" s="793">
        <f t="shared" si="324"/>
        <v>2002</v>
      </c>
      <c r="O170" s="793">
        <f t="shared" si="324"/>
        <v>2003</v>
      </c>
      <c r="P170" s="793">
        <f>+O170+1</f>
        <v>2004</v>
      </c>
      <c r="Q170" s="793">
        <f>+P170+1</f>
        <v>2005</v>
      </c>
      <c r="R170" s="793">
        <f>+Q170+1</f>
        <v>2006</v>
      </c>
      <c r="S170" s="2126">
        <f t="shared" si="324"/>
        <v>2007</v>
      </c>
      <c r="T170" s="2126">
        <f t="shared" ref="T170:AE170" si="325">+S170+1</f>
        <v>2008</v>
      </c>
      <c r="U170" s="2126">
        <f t="shared" si="325"/>
        <v>2009</v>
      </c>
      <c r="V170" s="2126">
        <f t="shared" si="325"/>
        <v>2010</v>
      </c>
      <c r="W170" s="2126">
        <f t="shared" si="325"/>
        <v>2011</v>
      </c>
      <c r="X170" s="2126">
        <f t="shared" si="325"/>
        <v>2012</v>
      </c>
      <c r="Y170" s="2126">
        <f t="shared" si="325"/>
        <v>2013</v>
      </c>
      <c r="Z170" s="2126">
        <f t="shared" si="325"/>
        <v>2014</v>
      </c>
      <c r="AA170" s="2126">
        <f t="shared" si="325"/>
        <v>2015</v>
      </c>
      <c r="AB170" s="2126">
        <f t="shared" si="325"/>
        <v>2016</v>
      </c>
      <c r="AC170" s="2126">
        <f t="shared" si="325"/>
        <v>2017</v>
      </c>
      <c r="AD170" s="2126">
        <f t="shared" si="325"/>
        <v>2018</v>
      </c>
      <c r="AE170" s="2126">
        <f t="shared" si="325"/>
        <v>2019</v>
      </c>
    </row>
    <row r="171" spans="1:34" s="941" customFormat="1" ht="20.399999999999999">
      <c r="A171" s="940"/>
      <c r="B171" s="940"/>
      <c r="C171" s="991" t="s">
        <v>622</v>
      </c>
      <c r="D171" s="992"/>
      <c r="E171" s="993" t="s">
        <v>507</v>
      </c>
      <c r="F171" s="994" t="s">
        <v>1054</v>
      </c>
      <c r="G171" s="1599"/>
      <c r="H171" s="1599">
        <f t="shared" ref="H171:AE172" ca="1" si="326">(H164/G164-1)*100</f>
        <v>2.651320781989619</v>
      </c>
      <c r="I171" s="1599">
        <f t="shared" si="326"/>
        <v>4.8312545983870026</v>
      </c>
      <c r="J171" s="1599">
        <f t="shared" si="326"/>
        <v>5.3131222904654551</v>
      </c>
      <c r="K171" s="1599">
        <f t="shared" si="326"/>
        <v>3.8152117418602138</v>
      </c>
      <c r="L171" s="1599">
        <f t="shared" si="326"/>
        <v>2.0121138406157701</v>
      </c>
      <c r="M171" s="1599">
        <f t="shared" si="326"/>
        <v>5.2699402942832485</v>
      </c>
      <c r="N171" s="1599">
        <f t="shared" si="326"/>
        <v>6.4078802855573436</v>
      </c>
      <c r="O171" s="1599">
        <f t="shared" si="326"/>
        <v>2.6161446741713057</v>
      </c>
      <c r="P171" s="1599">
        <f t="shared" si="326"/>
        <v>2.5654256893567151</v>
      </c>
      <c r="Q171" s="1599">
        <f t="shared" si="326"/>
        <v>2.6846254625692234</v>
      </c>
      <c r="R171" s="1599">
        <f t="shared" si="326"/>
        <v>5.0396070384878477</v>
      </c>
      <c r="S171" s="1599">
        <f t="shared" si="326"/>
        <v>7.4762394101407281</v>
      </c>
      <c r="T171" s="1599">
        <f t="shared" si="326"/>
        <v>6.1820216649445703</v>
      </c>
      <c r="U171" s="1599">
        <f t="shared" si="326"/>
        <v>2.4497172046624272</v>
      </c>
      <c r="V171" s="2185">
        <f t="shared" si="326"/>
        <v>2.5102221430148619</v>
      </c>
      <c r="W171" s="2185">
        <f t="shared" si="326"/>
        <v>4.1874762928309384</v>
      </c>
      <c r="X171" s="2185">
        <f t="shared" si="326"/>
        <v>4.1862290754912879</v>
      </c>
      <c r="Y171" s="2185">
        <f t="shared" si="326"/>
        <v>2.3754706988273977</v>
      </c>
      <c r="Z171" s="2185">
        <f t="shared" si="326"/>
        <v>0.84177628128663251</v>
      </c>
      <c r="AA171" s="2185">
        <f t="shared" si="326"/>
        <v>1.3946576028319058</v>
      </c>
      <c r="AB171" s="2185">
        <f t="shared" si="326"/>
        <v>-1.5197853766079961</v>
      </c>
      <c r="AC171" s="2185">
        <f t="shared" si="326"/>
        <v>2.2993318780181182</v>
      </c>
      <c r="AD171" s="2185">
        <f t="shared" si="326"/>
        <v>3.1124192224481595</v>
      </c>
      <c r="AE171" s="2185">
        <f t="shared" si="326"/>
        <v>3.2643098805872128</v>
      </c>
    </row>
    <row r="172" spans="1:34" s="941" customFormat="1" ht="20.399999999999999">
      <c r="A172" s="940"/>
      <c r="B172" s="940"/>
      <c r="C172" s="995" t="s">
        <v>622</v>
      </c>
      <c r="D172" s="951"/>
      <c r="E172" s="952" t="s">
        <v>1044</v>
      </c>
      <c r="F172" s="961" t="s">
        <v>1055</v>
      </c>
      <c r="G172" s="1085"/>
      <c r="H172" s="1085">
        <f t="shared" ref="H172:AE172" si="327">(H165/G165-1)*100</f>
        <v>-99.960364645263667</v>
      </c>
      <c r="I172" s="1085">
        <f t="shared" si="327"/>
        <v>-100</v>
      </c>
      <c r="J172" s="1085" t="e">
        <f t="shared" si="327"/>
        <v>#DIV/0!</v>
      </c>
      <c r="K172" s="1085">
        <f t="shared" si="327"/>
        <v>-100</v>
      </c>
      <c r="L172" s="1085" t="e">
        <f t="shared" si="327"/>
        <v>#DIV/0!</v>
      </c>
      <c r="M172" s="1085" t="e">
        <f t="shared" si="327"/>
        <v>#DIV/0!</v>
      </c>
      <c r="N172" s="1085">
        <f t="shared" si="327"/>
        <v>-100</v>
      </c>
      <c r="O172" s="1085" t="e">
        <f t="shared" si="327"/>
        <v>#DIV/0!</v>
      </c>
      <c r="P172" s="1085" t="e">
        <f t="shared" si="327"/>
        <v>#DIV/0!</v>
      </c>
      <c r="Q172" s="1085" t="e">
        <f t="shared" si="327"/>
        <v>#DIV/0!</v>
      </c>
      <c r="R172" s="1085" t="e">
        <f t="shared" si="327"/>
        <v>#DIV/0!</v>
      </c>
      <c r="S172" s="1085" t="e">
        <f t="shared" si="327"/>
        <v>#DIV/0!</v>
      </c>
      <c r="T172" s="1085" t="e">
        <f t="shared" si="327"/>
        <v>#DIV/0!</v>
      </c>
      <c r="U172" s="1085" t="e">
        <f t="shared" si="327"/>
        <v>#DIV/0!</v>
      </c>
      <c r="V172" s="1085" t="e">
        <f t="shared" si="326"/>
        <v>#DIV/0!</v>
      </c>
      <c r="W172" s="1085" t="e">
        <f t="shared" si="326"/>
        <v>#DIV/0!</v>
      </c>
      <c r="X172" s="2186" t="e">
        <f t="shared" si="327"/>
        <v>#DIV/0!</v>
      </c>
      <c r="Y172" s="2186" t="e">
        <f t="shared" si="327"/>
        <v>#DIV/0!</v>
      </c>
      <c r="Z172" s="2186">
        <f t="shared" si="327"/>
        <v>-9899.9999996802562</v>
      </c>
      <c r="AA172" s="2186">
        <f t="shared" si="327"/>
        <v>-885.71428571381966</v>
      </c>
      <c r="AB172" s="2186">
        <f t="shared" si="327"/>
        <v>315.4545454545605</v>
      </c>
      <c r="AC172" s="2186">
        <f t="shared" si="327"/>
        <v>3.4330102755721681</v>
      </c>
      <c r="AD172" s="2186">
        <f t="shared" si="327"/>
        <v>3.2315899999999953</v>
      </c>
      <c r="AE172" s="2186">
        <f t="shared" si="327"/>
        <v>3.1900000000000039</v>
      </c>
    </row>
    <row r="173" spans="1:34" s="941" customFormat="1">
      <c r="A173" s="940"/>
      <c r="B173" s="940"/>
      <c r="C173" s="995" t="s">
        <v>624</v>
      </c>
      <c r="D173" s="987"/>
      <c r="E173" s="988" t="s">
        <v>1045</v>
      </c>
      <c r="F173" s="989" t="s">
        <v>818</v>
      </c>
      <c r="G173" s="990"/>
      <c r="H173" s="990">
        <f t="shared" ref="H173:U173" ca="1" si="328">(H166/G166-1)*100</f>
        <v>3.5954589051336638</v>
      </c>
      <c r="I173" s="990">
        <f t="shared" si="328"/>
        <v>4.8316236367604848</v>
      </c>
      <c r="J173" s="990">
        <f t="shared" si="328"/>
        <v>5.3127864844807249</v>
      </c>
      <c r="K173" s="990">
        <f t="shared" si="328"/>
        <v>3.8155427725979907</v>
      </c>
      <c r="L173" s="990">
        <f t="shared" si="328"/>
        <v>2.0121138406157701</v>
      </c>
      <c r="M173" s="990">
        <f t="shared" si="328"/>
        <v>5.2696392064529363</v>
      </c>
      <c r="N173" s="990">
        <f t="shared" si="328"/>
        <v>6.4081846289373079</v>
      </c>
      <c r="O173" s="990">
        <f t="shared" si="328"/>
        <v>2.6161446741713057</v>
      </c>
      <c r="P173" s="990">
        <f t="shared" si="328"/>
        <v>2.5654256893567151</v>
      </c>
      <c r="Q173" s="990">
        <f t="shared" si="328"/>
        <v>2.6846254625692234</v>
      </c>
      <c r="R173" s="990">
        <f t="shared" si="328"/>
        <v>5.0396070384878477</v>
      </c>
      <c r="S173" s="990">
        <f t="shared" si="328"/>
        <v>7.4762394101407281</v>
      </c>
      <c r="T173" s="990">
        <f t="shared" si="328"/>
        <v>6.1820216649445703</v>
      </c>
      <c r="U173" s="990">
        <f t="shared" si="328"/>
        <v>2.4497172046624272</v>
      </c>
      <c r="V173" s="2187">
        <f t="shared" ref="V173:AE173" si="329">(V166/U166-1)*100</f>
        <v>2.5102221430148619</v>
      </c>
      <c r="W173" s="2187">
        <f t="shared" si="329"/>
        <v>4.1874762928309384</v>
      </c>
      <c r="X173" s="2187">
        <f t="shared" si="329"/>
        <v>4.1862290754912879</v>
      </c>
      <c r="Y173" s="2187">
        <f t="shared" si="329"/>
        <v>2.3752886983141375</v>
      </c>
      <c r="Z173" s="2187">
        <f t="shared" si="329"/>
        <v>0.85937777777780333</v>
      </c>
      <c r="AA173" s="2187">
        <f t="shared" si="329"/>
        <v>1.2414203978607929</v>
      </c>
      <c r="AB173" s="2187">
        <f t="shared" si="329"/>
        <v>-1.944715752893944</v>
      </c>
      <c r="AC173" s="2187">
        <f t="shared" si="329"/>
        <v>2.7094833693472431</v>
      </c>
      <c r="AD173" s="2187">
        <f t="shared" si="329"/>
        <v>2.6935125025105533</v>
      </c>
      <c r="AE173" s="2187">
        <f t="shared" si="329"/>
        <v>3.2647371590348806</v>
      </c>
    </row>
    <row r="174" spans="1:34" s="941" customFormat="1" ht="20.399999999999999">
      <c r="A174" s="940"/>
      <c r="B174" s="940"/>
      <c r="C174" s="996" t="s">
        <v>622</v>
      </c>
      <c r="D174" s="997"/>
      <c r="E174" s="998" t="s">
        <v>1046</v>
      </c>
      <c r="F174" s="999" t="s">
        <v>2088</v>
      </c>
      <c r="G174" s="1000"/>
      <c r="H174" s="1000">
        <f t="shared" ref="H174:U174" ca="1" si="330">(H167/G167-1)*100</f>
        <v>-42.150803461060669</v>
      </c>
      <c r="I174" s="1000">
        <f t="shared" si="330"/>
        <v>-4.2307692307759108</v>
      </c>
      <c r="J174" s="1000">
        <f t="shared" si="330"/>
        <v>25.524319500227843</v>
      </c>
      <c r="K174" s="1000">
        <f t="shared" si="330"/>
        <v>4.5858514041954512</v>
      </c>
      <c r="L174" s="1000">
        <f t="shared" si="330"/>
        <v>4.1128484024485434</v>
      </c>
      <c r="M174" s="1000">
        <f t="shared" si="330"/>
        <v>12.373490042434954</v>
      </c>
      <c r="N174" s="1000">
        <f t="shared" si="330"/>
        <v>7.088901801282721</v>
      </c>
      <c r="O174" s="1000">
        <f t="shared" si="330"/>
        <v>12.371134020620534</v>
      </c>
      <c r="P174" s="1000">
        <f t="shared" si="330"/>
        <v>9.0777402221141621</v>
      </c>
      <c r="Q174" s="1000">
        <f t="shared" si="330"/>
        <v>3.1208499335924067</v>
      </c>
      <c r="R174" s="1000">
        <f t="shared" si="330"/>
        <v>5.3659583601676664</v>
      </c>
      <c r="S174" s="1000">
        <f t="shared" si="330"/>
        <v>9.5131391322035963</v>
      </c>
      <c r="T174" s="1000">
        <f t="shared" si="330"/>
        <v>-1.3764880952388925</v>
      </c>
      <c r="U174" s="1000">
        <f t="shared" si="330"/>
        <v>9.9396454168325654</v>
      </c>
      <c r="V174" s="2188">
        <f t="shared" ref="V174:AE175" si="331">(V167/U167-1)*100</f>
        <v>0.9778692743163564</v>
      </c>
      <c r="W174" s="2188">
        <f t="shared" si="331"/>
        <v>8.1719334012870561</v>
      </c>
      <c r="X174" s="2188">
        <f t="shared" si="331"/>
        <v>-0.39264959949705247</v>
      </c>
      <c r="Y174" s="2188">
        <f t="shared" si="331"/>
        <v>1.5610217596997877</v>
      </c>
      <c r="Z174" s="2188">
        <f t="shared" si="331"/>
        <v>9.9363452879975398</v>
      </c>
      <c r="AA174" s="2188">
        <f t="shared" si="331"/>
        <v>0.76260415195716913</v>
      </c>
      <c r="AB174" s="2188">
        <f t="shared" si="331"/>
        <v>5.4519971969142711</v>
      </c>
      <c r="AC174" s="2188">
        <f t="shared" si="331"/>
        <v>1.5000000000011893</v>
      </c>
      <c r="AD174" s="2188">
        <f t="shared" si="331"/>
        <v>0.4950000000000232</v>
      </c>
      <c r="AE174" s="2188">
        <f t="shared" si="331"/>
        <v>-9.9999999999877964E-3</v>
      </c>
    </row>
    <row r="175" spans="1:34" s="952" customFormat="1">
      <c r="A175" s="958"/>
      <c r="B175" s="958"/>
      <c r="C175" s="951" t="s">
        <v>624</v>
      </c>
      <c r="D175" s="987"/>
      <c r="E175" s="988" t="s">
        <v>1047</v>
      </c>
      <c r="F175" s="989" t="s">
        <v>1761</v>
      </c>
      <c r="G175" s="990"/>
      <c r="H175" s="990">
        <f t="shared" ref="H175:U175" ca="1" si="332">(H168/G168-1)*100</f>
        <v>2.9304371576843957</v>
      </c>
      <c r="I175" s="990">
        <f t="shared" si="332"/>
        <v>4.7575818942340087</v>
      </c>
      <c r="J175" s="990">
        <f t="shared" si="332"/>
        <v>5.4637505332764791</v>
      </c>
      <c r="K175" s="990">
        <f t="shared" si="332"/>
        <v>3.8223907719048933</v>
      </c>
      <c r="L175" s="990">
        <f t="shared" si="332"/>
        <v>2.0309265798125198</v>
      </c>
      <c r="M175" s="990">
        <f t="shared" si="332"/>
        <v>5.3345545239742664</v>
      </c>
      <c r="N175" s="990">
        <f t="shared" si="332"/>
        <v>6.4148207311235828</v>
      </c>
      <c r="O175" s="990">
        <f t="shared" si="332"/>
        <v>2.711845460207285</v>
      </c>
      <c r="P175" s="990">
        <f t="shared" si="332"/>
        <v>2.6353226521141471</v>
      </c>
      <c r="Q175" s="990">
        <f t="shared" si="332"/>
        <v>2.6896013694167831</v>
      </c>
      <c r="R175" s="990">
        <f t="shared" si="332"/>
        <v>5.0433452821746494</v>
      </c>
      <c r="S175" s="990">
        <f t="shared" si="332"/>
        <v>7.4996430636142586</v>
      </c>
      <c r="T175" s="990">
        <f t="shared" si="332"/>
        <v>6.0935489419515321</v>
      </c>
      <c r="U175" s="990">
        <f t="shared" si="332"/>
        <v>2.5312143425902711</v>
      </c>
      <c r="V175" s="2187">
        <f t="shared" si="331"/>
        <v>2.4923440283421305</v>
      </c>
      <c r="W175" s="2187">
        <f t="shared" si="331"/>
        <v>4.2332764391811217</v>
      </c>
      <c r="X175" s="2187">
        <f t="shared" si="331"/>
        <v>4.1316073961243038</v>
      </c>
      <c r="Y175" s="2187">
        <f t="shared" si="331"/>
        <v>2.3659972903483872</v>
      </c>
      <c r="Z175" s="2187">
        <f t="shared" si="331"/>
        <v>0.96213842911656577</v>
      </c>
      <c r="AA175" s="2187">
        <f t="shared" si="331"/>
        <v>1.2355178747072593</v>
      </c>
      <c r="AB175" s="2187">
        <f t="shared" si="331"/>
        <v>-1.8539600214612539</v>
      </c>
      <c r="AC175" s="2187">
        <f t="shared" si="331"/>
        <v>2.6935386372914039</v>
      </c>
      <c r="AD175" s="2187">
        <f t="shared" si="331"/>
        <v>2.6648661595400025</v>
      </c>
      <c r="AE175" s="2187">
        <f t="shared" si="331"/>
        <v>3.2229695798539293</v>
      </c>
    </row>
    <row r="176" spans="1:34" s="749" customFormat="1">
      <c r="A176" s="713"/>
      <c r="B176" s="713"/>
      <c r="C176" s="744"/>
      <c r="D176" s="720"/>
      <c r="F176" s="744"/>
      <c r="T176" s="2162"/>
      <c r="U176" s="2162"/>
      <c r="V176" s="2162"/>
      <c r="W176" s="2827"/>
      <c r="X176" s="2827"/>
      <c r="Y176" s="2827"/>
      <c r="Z176" s="2827"/>
      <c r="AA176" s="2827"/>
      <c r="AB176" s="2827"/>
      <c r="AC176" s="2827"/>
      <c r="AD176" s="2827"/>
      <c r="AE176" s="2827"/>
    </row>
    <row r="177" spans="1:32">
      <c r="D177" s="1013"/>
      <c r="E177" s="1014" t="s">
        <v>1437</v>
      </c>
      <c r="F177" s="1015"/>
      <c r="G177" s="1016">
        <f>+InputY!$G$3</f>
        <v>1995</v>
      </c>
      <c r="H177" s="1016">
        <f>+G177+1</f>
        <v>1996</v>
      </c>
      <c r="I177" s="1016">
        <f t="shared" ref="I177:O177" si="333">+H177+1</f>
        <v>1997</v>
      </c>
      <c r="J177" s="1016">
        <f t="shared" si="333"/>
        <v>1998</v>
      </c>
      <c r="K177" s="1016">
        <f t="shared" si="333"/>
        <v>1999</v>
      </c>
      <c r="L177" s="1016">
        <f t="shared" si="333"/>
        <v>2000</v>
      </c>
      <c r="M177" s="1016">
        <f t="shared" si="333"/>
        <v>2001</v>
      </c>
      <c r="N177" s="1016">
        <f t="shared" si="333"/>
        <v>2002</v>
      </c>
      <c r="O177" s="1016">
        <f t="shared" si="333"/>
        <v>2003</v>
      </c>
      <c r="P177" s="1016">
        <f t="shared" ref="P177:V177" si="334">+O177+1</f>
        <v>2004</v>
      </c>
      <c r="Q177" s="1016">
        <f t="shared" si="334"/>
        <v>2005</v>
      </c>
      <c r="R177" s="1016">
        <f t="shared" si="334"/>
        <v>2006</v>
      </c>
      <c r="S177" s="1016">
        <f t="shared" si="334"/>
        <v>2007</v>
      </c>
      <c r="T177" s="2189">
        <f t="shared" si="334"/>
        <v>2008</v>
      </c>
      <c r="U177" s="2189">
        <f t="shared" si="334"/>
        <v>2009</v>
      </c>
      <c r="V177" s="2189">
        <f t="shared" si="334"/>
        <v>2010</v>
      </c>
      <c r="W177" s="2189">
        <f t="shared" ref="W177:AE177" si="335">+V177+1</f>
        <v>2011</v>
      </c>
      <c r="X177" s="2189">
        <f t="shared" si="335"/>
        <v>2012</v>
      </c>
      <c r="Y177" s="2189">
        <f t="shared" si="335"/>
        <v>2013</v>
      </c>
      <c r="Z177" s="2189">
        <f t="shared" si="335"/>
        <v>2014</v>
      </c>
      <c r="AA177" s="2189">
        <f t="shared" si="335"/>
        <v>2015</v>
      </c>
      <c r="AB177" s="2189">
        <f t="shared" si="335"/>
        <v>2016</v>
      </c>
      <c r="AC177" s="2189">
        <f t="shared" si="335"/>
        <v>2017</v>
      </c>
      <c r="AD177" s="2189">
        <f t="shared" si="335"/>
        <v>2018</v>
      </c>
      <c r="AE177" s="2189">
        <f t="shared" si="335"/>
        <v>2019</v>
      </c>
    </row>
    <row r="178" spans="1:32" s="941" customFormat="1" ht="20.399999999999999">
      <c r="A178" s="940"/>
      <c r="B178" s="940"/>
      <c r="C178" s="1004" t="s">
        <v>622</v>
      </c>
      <c r="D178" s="1005"/>
      <c r="E178" s="1006" t="s">
        <v>507</v>
      </c>
      <c r="F178" s="1007" t="s">
        <v>1054</v>
      </c>
      <c r="G178" s="1601">
        <f t="shared" ref="G178:P178" ca="1" si="336">+G164/G210</f>
        <v>0.35467019375940423</v>
      </c>
      <c r="H178" s="1601">
        <f t="shared" si="336"/>
        <v>0.35689678567120969</v>
      </c>
      <c r="I178" s="1601">
        <f t="shared" si="336"/>
        <v>0.35881027544159816</v>
      </c>
      <c r="J178" s="1601">
        <f t="shared" si="336"/>
        <v>0.36348790201069087</v>
      </c>
      <c r="K178" s="1601">
        <f t="shared" si="336"/>
        <v>0.35766679153625852</v>
      </c>
      <c r="L178" s="1601">
        <f t="shared" si="336"/>
        <v>0.34758179127657401</v>
      </c>
      <c r="M178" s="1601">
        <f t="shared" si="336"/>
        <v>0.34511717708931761</v>
      </c>
      <c r="N178" s="1601">
        <f t="shared" si="336"/>
        <v>0.35727346060769016</v>
      </c>
      <c r="O178" s="1601">
        <f t="shared" si="336"/>
        <v>0.36234719058466203</v>
      </c>
      <c r="P178" s="1601">
        <f t="shared" si="336"/>
        <v>0.36129980567689229</v>
      </c>
      <c r="Q178" s="1601">
        <f t="shared" ref="Q178:S179" si="337">+Q164/Q210</f>
        <v>0.36005835081051757</v>
      </c>
      <c r="R178" s="1601">
        <f t="shared" si="337"/>
        <v>0.35967444003396298</v>
      </c>
      <c r="S178" s="1601">
        <f t="shared" si="337"/>
        <v>0.36495576274293529</v>
      </c>
      <c r="T178" s="1601">
        <f t="shared" ref="T178:W179" si="338">+T164/T210</f>
        <v>0.36677647724911944</v>
      </c>
      <c r="U178" s="1601">
        <f>+U164/U210</f>
        <v>0.37753785081099583</v>
      </c>
      <c r="V178" s="2190">
        <f t="shared" si="338"/>
        <v>0.37999318352093669</v>
      </c>
      <c r="W178" s="2190">
        <f t="shared" si="338"/>
        <v>0.37784428177474449</v>
      </c>
      <c r="X178" s="2190">
        <f t="shared" ref="X178:Z179" si="339">+X164/X210</f>
        <v>0.3809649604508491</v>
      </c>
      <c r="Y178" s="2190">
        <f t="shared" si="339"/>
        <v>0.3834880236050946</v>
      </c>
      <c r="Z178" s="2190">
        <f t="shared" si="339"/>
        <v>0.3815844706591468</v>
      </c>
      <c r="AA178" s="2190">
        <f t="shared" ref="AA178:AC179" si="340">+AA164/AA210</f>
        <v>0.38304777482813857</v>
      </c>
      <c r="AB178" s="2190">
        <f t="shared" si="340"/>
        <v>0.37456577216669867</v>
      </c>
      <c r="AC178" s="2190">
        <f t="shared" si="340"/>
        <v>0.37015053033017919</v>
      </c>
      <c r="AD178" s="2190">
        <f t="shared" ref="AD178:AE178" si="341">+AD164/AD210</f>
        <v>0.36750792992092823</v>
      </c>
      <c r="AE178" s="2190">
        <f t="shared" si="341"/>
        <v>0.3660979563007154</v>
      </c>
    </row>
    <row r="179" spans="1:32" s="941" customFormat="1" ht="20.399999999999999">
      <c r="A179" s="940"/>
      <c r="B179" s="940"/>
      <c r="C179" s="1008" t="s">
        <v>622</v>
      </c>
      <c r="D179" s="951"/>
      <c r="E179" s="952" t="s">
        <v>1044</v>
      </c>
      <c r="F179" s="961" t="s">
        <v>1055</v>
      </c>
      <c r="G179" s="1411">
        <f t="shared" ref="G179:P179" si="342">+G165/G211</f>
        <v>-1.0435969556585116E-2</v>
      </c>
      <c r="H179" s="1411">
        <f t="shared" si="342"/>
        <v>-4.0070684687695876E-6</v>
      </c>
      <c r="I179" s="1411">
        <f t="shared" si="342"/>
        <v>0</v>
      </c>
      <c r="J179" s="1411">
        <f t="shared" si="342"/>
        <v>-3.7635157258416893E-6</v>
      </c>
      <c r="K179" s="1411">
        <f t="shared" si="342"/>
        <v>0</v>
      </c>
      <c r="L179" s="1411">
        <f t="shared" si="342"/>
        <v>0</v>
      </c>
      <c r="M179" s="1411">
        <f t="shared" si="342"/>
        <v>-3.3266578398085915E-6</v>
      </c>
      <c r="N179" s="1411">
        <f t="shared" si="342"/>
        <v>0</v>
      </c>
      <c r="O179" s="1411">
        <f t="shared" si="342"/>
        <v>0</v>
      </c>
      <c r="P179" s="1411">
        <f t="shared" si="342"/>
        <v>0</v>
      </c>
      <c r="Q179" s="1411">
        <f t="shared" si="337"/>
        <v>0</v>
      </c>
      <c r="R179" s="1411">
        <f t="shared" si="337"/>
        <v>0</v>
      </c>
      <c r="S179" s="1411">
        <f t="shared" si="337"/>
        <v>0</v>
      </c>
      <c r="T179" s="1411">
        <f t="shared" si="338"/>
        <v>0</v>
      </c>
      <c r="U179" s="1411">
        <f>+U165/U211</f>
        <v>0</v>
      </c>
      <c r="V179" s="1411">
        <f>+V165/V211</f>
        <v>0</v>
      </c>
      <c r="W179" s="1411">
        <f>+W165/W211</f>
        <v>0</v>
      </c>
      <c r="X179" s="2182">
        <f t="shared" si="339"/>
        <v>0</v>
      </c>
      <c r="Y179" s="2182">
        <f t="shared" si="339"/>
        <v>-1.9922858691809248E-6</v>
      </c>
      <c r="Z179" s="2182">
        <f t="shared" si="339"/>
        <v>1.9260892722734694E-4</v>
      </c>
      <c r="AA179" s="2182">
        <f t="shared" si="340"/>
        <v>-1.5070557610631235E-3</v>
      </c>
      <c r="AB179" s="2182">
        <f t="shared" si="340"/>
        <v>-6.1180151544708763E-3</v>
      </c>
      <c r="AC179" s="2182">
        <f t="shared" si="340"/>
        <v>-6.1529372580776207E-3</v>
      </c>
      <c r="AD179" s="2182">
        <f t="shared" ref="AD179:AE179" si="343">+AD165/AD211</f>
        <v>-6.236668799998661E-3</v>
      </c>
      <c r="AE179" s="2182">
        <f t="shared" si="343"/>
        <v>-6.3098890506940071E-3</v>
      </c>
    </row>
    <row r="180" spans="1:32" s="941" customFormat="1">
      <c r="A180" s="940"/>
      <c r="B180" s="940"/>
      <c r="C180" s="1008" t="s">
        <v>624</v>
      </c>
      <c r="D180" s="1001"/>
      <c r="E180" s="1002" t="s">
        <v>1045</v>
      </c>
      <c r="F180" s="1003" t="s">
        <v>818</v>
      </c>
      <c r="G180" s="1017">
        <f t="shared" ref="G180:R180" ca="1" si="344">+G166/G214</f>
        <v>0.25804293265552536</v>
      </c>
      <c r="H180" s="1017">
        <f t="shared" si="344"/>
        <v>0.2614770018133451</v>
      </c>
      <c r="I180" s="1017">
        <f t="shared" si="344"/>
        <v>0.26385174946616696</v>
      </c>
      <c r="J180" s="1017">
        <f t="shared" si="344"/>
        <v>0.26832882713302986</v>
      </c>
      <c r="K180" s="1017">
        <f t="shared" si="344"/>
        <v>0.26477548676927681</v>
      </c>
      <c r="L180" s="1017">
        <f t="shared" si="344"/>
        <v>0.25842311085935887</v>
      </c>
      <c r="M180" s="1017">
        <f t="shared" si="344"/>
        <v>0.25771795359424232</v>
      </c>
      <c r="N180" s="1017">
        <f t="shared" si="344"/>
        <v>0.26401916082675414</v>
      </c>
      <c r="O180" s="1017">
        <f t="shared" si="344"/>
        <v>0.26591621774859747</v>
      </c>
      <c r="P180" s="1017">
        <f t="shared" si="344"/>
        <v>0.26504596098393068</v>
      </c>
      <c r="Q180" s="1017">
        <f t="shared" si="344"/>
        <v>0.26304564429909127</v>
      </c>
      <c r="R180" s="1017">
        <f t="shared" si="344"/>
        <v>0.26356590114827766</v>
      </c>
      <c r="S180" s="1017">
        <f t="shared" ref="S180:X180" si="345">+S166/S214</f>
        <v>0.26875423339443644</v>
      </c>
      <c r="T180" s="1017">
        <f t="shared" si="345"/>
        <v>0.27022341729960486</v>
      </c>
      <c r="U180" s="1017">
        <f t="shared" si="345"/>
        <v>0.27489807836733871</v>
      </c>
      <c r="V180" s="2191">
        <f t="shared" si="345"/>
        <v>0.27625321319223489</v>
      </c>
      <c r="W180" s="2191">
        <f t="shared" si="345"/>
        <v>0.27520885724856897</v>
      </c>
      <c r="X180" s="2191">
        <f t="shared" si="345"/>
        <v>0.2770719924560841</v>
      </c>
      <c r="Y180" s="2191">
        <f t="shared" ref="Y180:AD180" si="346">+Y166/Y214</f>
        <v>0.27809171242202307</v>
      </c>
      <c r="Z180" s="2191">
        <f t="shared" si="346"/>
        <v>0.27695134530341031</v>
      </c>
      <c r="AA180" s="2191">
        <f t="shared" si="346"/>
        <v>0.27809237645842139</v>
      </c>
      <c r="AB180" s="2191">
        <f t="shared" si="346"/>
        <v>0.26929020535991782</v>
      </c>
      <c r="AC180" s="2191">
        <f t="shared" si="346"/>
        <v>0.26812931012905228</v>
      </c>
      <c r="AD180" s="2191">
        <f t="shared" si="346"/>
        <v>0.26656388160826278</v>
      </c>
      <c r="AE180" s="2191">
        <f t="shared" ref="AE180" si="347">+AE166/AE214</f>
        <v>0.26672284194111889</v>
      </c>
    </row>
    <row r="181" spans="1:32" s="941" customFormat="1" ht="20.399999999999999">
      <c r="A181" s="940"/>
      <c r="B181" s="940"/>
      <c r="C181" s="1009" t="s">
        <v>622</v>
      </c>
      <c r="D181" s="1010"/>
      <c r="E181" s="1011" t="s">
        <v>1046</v>
      </c>
      <c r="F181" s="1012" t="s">
        <v>2088</v>
      </c>
      <c r="G181" s="1018">
        <f t="shared" ref="G181:R181" ca="1" si="348">+G167/G216</f>
        <v>0.18104104193707146</v>
      </c>
      <c r="H181" s="1018">
        <f t="shared" si="348"/>
        <v>0.1003559634601402</v>
      </c>
      <c r="I181" s="1018">
        <f t="shared" si="348"/>
        <v>9.6432720857176663E-2</v>
      </c>
      <c r="J181" s="1018">
        <f t="shared" si="348"/>
        <v>0.11198694215534125</v>
      </c>
      <c r="K181" s="1018">
        <f t="shared" si="348"/>
        <v>0.10805847351796209</v>
      </c>
      <c r="L181" s="1018">
        <f t="shared" si="348"/>
        <v>0.10623981131421294</v>
      </c>
      <c r="M181" s="1018">
        <f t="shared" si="348"/>
        <v>0.10929065853812997</v>
      </c>
      <c r="N181" s="1018">
        <f t="shared" si="348"/>
        <v>0.10674775557486266</v>
      </c>
      <c r="O181" s="1018">
        <f t="shared" si="348"/>
        <v>0.11039445628998082</v>
      </c>
      <c r="P181" s="1018">
        <f t="shared" si="348"/>
        <v>0.11068917362863652</v>
      </c>
      <c r="Q181" s="1018">
        <f t="shared" si="348"/>
        <v>0.10984580563021089</v>
      </c>
      <c r="R181" s="1018">
        <f t="shared" si="348"/>
        <v>0.10929533563397446</v>
      </c>
      <c r="S181" s="1018">
        <f t="shared" ref="S181:U182" si="349">+S167/S216</f>
        <v>0.11519424028798204</v>
      </c>
      <c r="T181" s="1018">
        <f t="shared" si="349"/>
        <v>0.11188250437864894</v>
      </c>
      <c r="U181" s="1018">
        <f t="shared" si="349"/>
        <v>0.11891550042841884</v>
      </c>
      <c r="V181" s="2192">
        <f t="shared" ref="V181:X182" si="350">+V167/V216</f>
        <v>0.11384912959381312</v>
      </c>
      <c r="W181" s="2192">
        <f t="shared" si="350"/>
        <v>0.12174228952752261</v>
      </c>
      <c r="X181" s="2192">
        <f t="shared" si="350"/>
        <v>0.118409260642269</v>
      </c>
      <c r="Y181" s="2192">
        <f t="shared" ref="Y181:AA182" si="351">+Y167/Y216</f>
        <v>0.11840073529411928</v>
      </c>
      <c r="Z181" s="2192">
        <f t="shared" si="351"/>
        <v>0.12458652966429758</v>
      </c>
      <c r="AA181" s="2192">
        <f t="shared" si="351"/>
        <v>0.12006731173748598</v>
      </c>
      <c r="AB181" s="2192">
        <f t="shared" ref="AB181:AC181" si="352">+AB167/AB216</f>
        <v>0.12372761506964108</v>
      </c>
      <c r="AC181" s="2192">
        <f t="shared" si="352"/>
        <v>0.12308755158635459</v>
      </c>
      <c r="AD181" s="2192">
        <f t="shared" ref="AD181:AE181" si="353">+AD167/AD216</f>
        <v>0.12153638475439725</v>
      </c>
      <c r="AE181" s="2192">
        <f t="shared" si="353"/>
        <v>0.11999178615017289</v>
      </c>
    </row>
    <row r="182" spans="1:32" s="952" customFormat="1">
      <c r="A182" s="958"/>
      <c r="B182" s="958"/>
      <c r="C182" s="951" t="s">
        <v>624</v>
      </c>
      <c r="D182" s="1001"/>
      <c r="E182" s="1002" t="s">
        <v>1047</v>
      </c>
      <c r="F182" s="1003" t="s">
        <v>1761</v>
      </c>
      <c r="G182" s="1017">
        <f t="shared" ref="G182:R182" ca="1" si="354">+G168/G217</f>
        <v>0.25589073245379296</v>
      </c>
      <c r="H182" s="1017">
        <f t="shared" si="354"/>
        <v>0.25809178286861567</v>
      </c>
      <c r="I182" s="1017">
        <f t="shared" si="354"/>
        <v>0.26047383819354608</v>
      </c>
      <c r="J182" s="1017">
        <f t="shared" si="354"/>
        <v>0.26503964391671508</v>
      </c>
      <c r="K182" s="1017">
        <f t="shared" si="354"/>
        <v>0.26138091422851978</v>
      </c>
      <c r="L182" s="1017">
        <f t="shared" si="354"/>
        <v>0.25508411051371915</v>
      </c>
      <c r="M182" s="1017">
        <f t="shared" si="354"/>
        <v>0.25435080474939736</v>
      </c>
      <c r="N182" s="1017">
        <f t="shared" si="354"/>
        <v>0.26025747148730127</v>
      </c>
      <c r="O182" s="1017">
        <f t="shared" si="354"/>
        <v>0.26195531613623185</v>
      </c>
      <c r="P182" s="1017">
        <f t="shared" si="354"/>
        <v>0.2608959415923387</v>
      </c>
      <c r="Q182" s="1017">
        <f t="shared" si="354"/>
        <v>0.25890957700754313</v>
      </c>
      <c r="R182" s="1017">
        <f t="shared" si="354"/>
        <v>0.25935962460124512</v>
      </c>
      <c r="S182" s="1017">
        <f t="shared" si="349"/>
        <v>0.26462516874363706</v>
      </c>
      <c r="T182" s="1017">
        <f t="shared" si="349"/>
        <v>0.26612546907402013</v>
      </c>
      <c r="U182" s="1017">
        <f t="shared" si="349"/>
        <v>0.2707544935621225</v>
      </c>
      <c r="V182" s="2191">
        <f t="shared" si="350"/>
        <v>0.27179655942972109</v>
      </c>
      <c r="W182" s="2191">
        <f t="shared" si="350"/>
        <v>0.27113169016946392</v>
      </c>
      <c r="X182" s="2191">
        <f t="shared" si="350"/>
        <v>0.27289926034166473</v>
      </c>
      <c r="Y182" s="2191">
        <f t="shared" si="351"/>
        <v>0.27390937618253025</v>
      </c>
      <c r="Z182" s="2191">
        <f t="shared" si="351"/>
        <v>0.27283807359690854</v>
      </c>
      <c r="AA182" s="2191">
        <f t="shared" si="351"/>
        <v>0.27367292548202382</v>
      </c>
      <c r="AB182" s="2191">
        <f t="shared" ref="AB182:AC182" si="355">+AB168/AB217</f>
        <v>0.26517741110395071</v>
      </c>
      <c r="AC182" s="2191">
        <f t="shared" si="355"/>
        <v>0.26407472882250688</v>
      </c>
      <c r="AD182" s="2191">
        <f t="shared" ref="AD182:AE182" si="356">+AD168/AD217</f>
        <v>0.26256767301250422</v>
      </c>
      <c r="AE182" s="2191">
        <f t="shared" si="356"/>
        <v>0.2627531074431822</v>
      </c>
    </row>
    <row r="183" spans="1:32" s="749" customFormat="1" ht="30" customHeight="1">
      <c r="A183" s="713"/>
      <c r="B183" s="713"/>
      <c r="C183" s="744"/>
      <c r="D183" s="720"/>
      <c r="F183" s="744"/>
      <c r="O183" s="2949"/>
      <c r="P183" s="2949"/>
      <c r="Q183" s="2949"/>
      <c r="R183" s="2949"/>
      <c r="S183" s="2949"/>
      <c r="T183" s="2949"/>
      <c r="U183" s="2949"/>
      <c r="V183" s="2949"/>
      <c r="W183" s="2949"/>
      <c r="X183" s="2949"/>
      <c r="Y183" s="2949"/>
      <c r="Z183" s="2949"/>
      <c r="AA183" s="2949"/>
      <c r="AB183" s="2949"/>
      <c r="AC183" s="2949"/>
      <c r="AD183" s="2949"/>
      <c r="AE183" s="2949"/>
    </row>
    <row r="184" spans="1:32" s="749" customFormat="1" ht="30" customHeight="1">
      <c r="A184" s="713"/>
      <c r="B184" s="713"/>
      <c r="C184" s="744"/>
      <c r="D184" s="720"/>
      <c r="F184" s="744"/>
      <c r="Q184" s="883"/>
      <c r="R184" s="2162"/>
      <c r="S184" s="2234"/>
      <c r="T184" s="2162"/>
      <c r="U184" s="2162"/>
      <c r="V184" s="2827"/>
      <c r="W184" s="2827"/>
      <c r="X184" s="2827"/>
      <c r="Y184" s="2827"/>
      <c r="Z184" s="2827"/>
      <c r="AA184" s="2827"/>
      <c r="AB184" s="2827"/>
      <c r="AC184" s="2827"/>
      <c r="AD184" s="2827"/>
      <c r="AE184" s="2827"/>
      <c r="AF184" s="2827"/>
    </row>
    <row r="185" spans="1:32" s="749" customFormat="1" ht="22.5" customHeight="1">
      <c r="A185" s="713"/>
      <c r="B185" s="713"/>
      <c r="C185" s="4124" t="s">
        <v>496</v>
      </c>
      <c r="D185" s="4124"/>
      <c r="E185" s="4124"/>
      <c r="F185" s="4124"/>
      <c r="G185" s="889"/>
      <c r="H185" s="889"/>
      <c r="I185" s="889"/>
      <c r="J185" s="889"/>
      <c r="K185" s="889"/>
      <c r="L185" s="889"/>
      <c r="M185" s="889"/>
      <c r="N185" s="889"/>
      <c r="O185" s="889"/>
      <c r="P185" s="889"/>
      <c r="Q185" s="889"/>
      <c r="R185" s="889"/>
      <c r="S185" s="889"/>
      <c r="T185" s="889"/>
      <c r="U185" s="889"/>
      <c r="V185" s="889"/>
      <c r="W185" s="889"/>
      <c r="X185" s="889"/>
      <c r="Y185" s="889"/>
      <c r="Z185" s="889"/>
      <c r="AA185" s="3951"/>
      <c r="AB185" s="753"/>
      <c r="AC185" s="753"/>
      <c r="AD185" s="753"/>
      <c r="AE185" s="753"/>
    </row>
    <row r="186" spans="1:32" s="749" customFormat="1">
      <c r="A186" s="713"/>
      <c r="B186" s="713"/>
      <c r="C186" s="744"/>
      <c r="D186" s="720"/>
      <c r="F186" s="744"/>
      <c r="Q186" s="883"/>
      <c r="R186" s="2162"/>
      <c r="S186" s="2162"/>
      <c r="T186" s="2162"/>
      <c r="U186" s="2162"/>
      <c r="V186" s="2827"/>
      <c r="W186" s="2827"/>
      <c r="X186" s="2827"/>
      <c r="Y186" s="2827"/>
      <c r="Z186" s="2827"/>
      <c r="AA186" s="2827"/>
      <c r="AB186" s="2827"/>
      <c r="AC186" s="2827"/>
      <c r="AD186" s="2827"/>
      <c r="AE186" s="2827"/>
    </row>
    <row r="187" spans="1:32">
      <c r="D187" s="943"/>
      <c r="E187" s="944" t="s">
        <v>343</v>
      </c>
      <c r="F187" s="945"/>
      <c r="G187" s="826">
        <f>+InputY!$G$3</f>
        <v>1995</v>
      </c>
      <c r="H187" s="826">
        <f>+G187+1</f>
        <v>1996</v>
      </c>
      <c r="I187" s="826">
        <f t="shared" ref="I187:S187" si="357">+H187+1</f>
        <v>1997</v>
      </c>
      <c r="J187" s="826">
        <f t="shared" si="357"/>
        <v>1998</v>
      </c>
      <c r="K187" s="826">
        <f t="shared" si="357"/>
        <v>1999</v>
      </c>
      <c r="L187" s="826">
        <f t="shared" si="357"/>
        <v>2000</v>
      </c>
      <c r="M187" s="826">
        <f t="shared" si="357"/>
        <v>2001</v>
      </c>
      <c r="N187" s="826">
        <f t="shared" si="357"/>
        <v>2002</v>
      </c>
      <c r="O187" s="826">
        <f t="shared" si="357"/>
        <v>2003</v>
      </c>
      <c r="P187" s="826">
        <f>+O187+1</f>
        <v>2004</v>
      </c>
      <c r="Q187" s="826">
        <f>+P187+1</f>
        <v>2005</v>
      </c>
      <c r="R187" s="826">
        <f>+Q187+1</f>
        <v>2006</v>
      </c>
      <c r="S187" s="2163">
        <f t="shared" si="357"/>
        <v>2007</v>
      </c>
      <c r="T187" s="2163">
        <f t="shared" ref="T187:AE187" si="358">+S187+1</f>
        <v>2008</v>
      </c>
      <c r="U187" s="2163">
        <f t="shared" si="358"/>
        <v>2009</v>
      </c>
      <c r="V187" s="2163">
        <f t="shared" si="358"/>
        <v>2010</v>
      </c>
      <c r="W187" s="2163">
        <f t="shared" si="358"/>
        <v>2011</v>
      </c>
      <c r="X187" s="2163">
        <f t="shared" si="358"/>
        <v>2012</v>
      </c>
      <c r="Y187" s="2163">
        <f t="shared" si="358"/>
        <v>2013</v>
      </c>
      <c r="Z187" s="2163">
        <f t="shared" si="358"/>
        <v>2014</v>
      </c>
      <c r="AA187" s="2163">
        <f t="shared" si="358"/>
        <v>2015</v>
      </c>
      <c r="AB187" s="2163">
        <f t="shared" si="358"/>
        <v>2016</v>
      </c>
      <c r="AC187" s="2163">
        <f t="shared" si="358"/>
        <v>2017</v>
      </c>
      <c r="AD187" s="2163">
        <f t="shared" si="358"/>
        <v>2018</v>
      </c>
      <c r="AE187" s="2163">
        <f t="shared" si="358"/>
        <v>2019</v>
      </c>
    </row>
    <row r="188" spans="1:32">
      <c r="C188" s="725"/>
      <c r="D188" s="718"/>
      <c r="E188" s="757" t="s">
        <v>1190</v>
      </c>
      <c r="F188" s="759" t="s">
        <v>638</v>
      </c>
      <c r="G188" s="1602" t="e">
        <f t="shared" ref="G188:Q188" ca="1" si="359">(G210+G209)/G28*1000</f>
        <v>#VALUE!</v>
      </c>
      <c r="H188" s="1602">
        <f t="shared" si="359"/>
        <v>34.027121538649219</v>
      </c>
      <c r="I188" s="1602">
        <f t="shared" si="359"/>
        <v>34.984891710531606</v>
      </c>
      <c r="J188" s="1602">
        <f t="shared" si="359"/>
        <v>35.412297556958549</v>
      </c>
      <c r="K188" s="1602">
        <f t="shared" si="359"/>
        <v>36.713552915766734</v>
      </c>
      <c r="L188" s="1602">
        <f t="shared" si="359"/>
        <v>37.321222779316024</v>
      </c>
      <c r="M188" s="1602">
        <f t="shared" si="359"/>
        <v>38.711033724340176</v>
      </c>
      <c r="N188" s="1602">
        <f t="shared" si="359"/>
        <v>40.062470037246008</v>
      </c>
      <c r="O188" s="1602">
        <f t="shared" si="359"/>
        <v>40.733145651207586</v>
      </c>
      <c r="P188" s="1602">
        <f t="shared" si="359"/>
        <v>41.514147308158094</v>
      </c>
      <c r="Q188" s="1602">
        <f t="shared" si="359"/>
        <v>42.061953616068202</v>
      </c>
      <c r="R188" s="1602">
        <f t="shared" ref="R188:Y188" si="360">(R210+R209)/R28*1000</f>
        <v>43.599985731611611</v>
      </c>
      <c r="S188" s="1602">
        <f t="shared" si="360"/>
        <v>45.189127774864545</v>
      </c>
      <c r="T188" s="1602">
        <f t="shared" si="360"/>
        <v>46.753665890091817</v>
      </c>
      <c r="U188" s="1602">
        <f t="shared" si="360"/>
        <v>47.038530776154538</v>
      </c>
      <c r="V188" s="1602">
        <f t="shared" si="360"/>
        <v>47.60967886276805</v>
      </c>
      <c r="W188" s="1602">
        <f t="shared" si="360"/>
        <v>49.022031202409551</v>
      </c>
      <c r="X188" s="1602">
        <f t="shared" si="360"/>
        <v>50.445088653677608</v>
      </c>
      <c r="Y188" s="1602">
        <f t="shared" si="360"/>
        <v>51.630521133933129</v>
      </c>
      <c r="Z188" s="1602">
        <f t="shared" ref="Z188:AC188" si="361">(Z210+Z209)/Z28*1000</f>
        <v>52.099204872272033</v>
      </c>
      <c r="AA188" s="1602">
        <f t="shared" si="361"/>
        <v>52.099725035208905</v>
      </c>
      <c r="AB188" s="1602">
        <f t="shared" si="361"/>
        <v>51.775120725011575</v>
      </c>
      <c r="AC188" s="1602">
        <f t="shared" si="361"/>
        <v>52.654583875162537</v>
      </c>
      <c r="AD188" s="2193">
        <f>+AD111+AD143</f>
        <v>53.804701810993024</v>
      </c>
      <c r="AE188" s="2193">
        <f>+AE111+AE143</f>
        <v>55.041386738546663</v>
      </c>
    </row>
    <row r="189" spans="1:32">
      <c r="C189" s="721"/>
      <c r="D189" s="724"/>
      <c r="E189" s="221" t="s">
        <v>1088</v>
      </c>
      <c r="F189" s="759" t="s">
        <v>639</v>
      </c>
      <c r="G189" s="1602" t="e">
        <f t="shared" ref="G189:Q189" si="362">+G211/G29*1000</f>
        <v>#VALUE!</v>
      </c>
      <c r="H189" s="1602">
        <f t="shared" si="362"/>
        <v>34.932670772676374</v>
      </c>
      <c r="I189" s="1602">
        <f t="shared" si="362"/>
        <v>36.327559498662161</v>
      </c>
      <c r="J189" s="1602">
        <f t="shared" si="362"/>
        <v>37.00682451253482</v>
      </c>
      <c r="K189" s="1602">
        <f t="shared" si="362"/>
        <v>38.044931506849316</v>
      </c>
      <c r="L189" s="1602">
        <f t="shared" si="362"/>
        <v>39.178624914908106</v>
      </c>
      <c r="M189" s="1602">
        <f t="shared" si="362"/>
        <v>40.545184785540876</v>
      </c>
      <c r="N189" s="1602">
        <f t="shared" si="362"/>
        <v>42.663714474553863</v>
      </c>
      <c r="O189" s="1602">
        <f t="shared" si="362"/>
        <v>43.898367080339646</v>
      </c>
      <c r="P189" s="1602">
        <f t="shared" si="362"/>
        <v>44.482842822259343</v>
      </c>
      <c r="Q189" s="1602">
        <f t="shared" si="362"/>
        <v>45.95873296314992</v>
      </c>
      <c r="R189" s="1602">
        <f t="shared" ref="R189:Y189" si="363">+R211/R29*1000</f>
        <v>47.491004497751128</v>
      </c>
      <c r="S189" s="1602">
        <f t="shared" si="363"/>
        <v>49.061277543946517</v>
      </c>
      <c r="T189" s="1602">
        <f t="shared" si="363"/>
        <v>51.18704948075748</v>
      </c>
      <c r="U189" s="1602">
        <f t="shared" si="363"/>
        <v>52.373757931282185</v>
      </c>
      <c r="V189" s="1602">
        <f t="shared" si="363"/>
        <v>53.348301259206465</v>
      </c>
      <c r="W189" s="1602">
        <f t="shared" si="363"/>
        <v>55.317445298639861</v>
      </c>
      <c r="X189" s="1602">
        <f t="shared" si="363"/>
        <v>57.532458318552663</v>
      </c>
      <c r="Y189" s="1602">
        <f t="shared" si="363"/>
        <v>59.330496453900707</v>
      </c>
      <c r="Z189" s="1602">
        <f t="shared" ref="Z189" si="364">+Z211/Z29*1000</f>
        <v>59.880310697893371</v>
      </c>
      <c r="AA189" s="1602">
        <f t="shared" ref="AA189:AB189" si="365">+AA211/AA29*1000</f>
        <v>59.890985816434188</v>
      </c>
      <c r="AB189" s="1602">
        <f t="shared" si="365"/>
        <v>61.055815039701066</v>
      </c>
      <c r="AC189" s="2194">
        <f t="shared" ref="AC189:AD189" si="366">+AC112+AC144</f>
        <v>62.272523563755257</v>
      </c>
      <c r="AD189" s="2194">
        <f t="shared" si="366"/>
        <v>63.764057861191034</v>
      </c>
      <c r="AE189" s="2194">
        <f t="shared" ref="AE189" si="367">+AE112+AE144</f>
        <v>65.034606682223185</v>
      </c>
    </row>
    <row r="190" spans="1:32">
      <c r="C190" s="721"/>
      <c r="D190" s="794"/>
      <c r="E190" s="798" t="s">
        <v>457</v>
      </c>
      <c r="F190" s="938" t="s">
        <v>407</v>
      </c>
      <c r="G190" s="965">
        <f t="shared" ref="G190:R190" ca="1" si="368">+G214/G30*1000</f>
        <v>33.526028520949019</v>
      </c>
      <c r="H190" s="965">
        <f t="shared" si="368"/>
        <v>34.231023726250122</v>
      </c>
      <c r="I190" s="965">
        <f t="shared" si="368"/>
        <v>35.282918594472925</v>
      </c>
      <c r="J190" s="965">
        <f t="shared" si="368"/>
        <v>35.762675560723359</v>
      </c>
      <c r="K190" s="965">
        <f t="shared" si="368"/>
        <v>37.006079210304563</v>
      </c>
      <c r="L190" s="965">
        <f t="shared" si="368"/>
        <v>37.72164010448769</v>
      </c>
      <c r="M190" s="965">
        <f t="shared" si="368"/>
        <v>39.103072577390911</v>
      </c>
      <c r="N190" s="965">
        <f t="shared" si="368"/>
        <v>40.629865636353152</v>
      </c>
      <c r="O190" s="965">
        <f t="shared" si="368"/>
        <v>41.432397333410286</v>
      </c>
      <c r="P190" s="965">
        <f t="shared" si="368"/>
        <v>42.173565515272628</v>
      </c>
      <c r="Q190" s="965">
        <f t="shared" si="368"/>
        <v>42.92919732629332</v>
      </c>
      <c r="R190" s="965">
        <f t="shared" si="368"/>
        <v>44.46417670236972</v>
      </c>
      <c r="S190" s="965">
        <f t="shared" ref="S190:Y190" si="369">+S214/S30*1000</f>
        <v>46.041817735735904</v>
      </c>
      <c r="T190" s="965">
        <f t="shared" si="369"/>
        <v>47.724640783453296</v>
      </c>
      <c r="U190" s="965">
        <f t="shared" si="369"/>
        <v>48.235264104836325</v>
      </c>
      <c r="V190" s="965">
        <f t="shared" si="369"/>
        <v>48.898881801926827</v>
      </c>
      <c r="W190" s="965">
        <f t="shared" si="369"/>
        <v>50.422613409114831</v>
      </c>
      <c r="X190" s="965">
        <f t="shared" si="369"/>
        <v>52.017286152716203</v>
      </c>
      <c r="Y190" s="965">
        <f t="shared" si="369"/>
        <v>53.348648292232625</v>
      </c>
      <c r="Z190" s="965">
        <f t="shared" ref="Z190" si="370">+Z214/Z30*1000</f>
        <v>53.834148007989072</v>
      </c>
      <c r="AA190" s="965">
        <f t="shared" ref="AA190:AC190" si="371">+AA214/AA30*1000</f>
        <v>53.852840716501966</v>
      </c>
      <c r="AB190" s="965">
        <f t="shared" si="371"/>
        <v>53.906129181916597</v>
      </c>
      <c r="AC190" s="965">
        <f t="shared" si="371"/>
        <v>54.833346041428385</v>
      </c>
      <c r="AD190" s="2165">
        <f t="shared" ref="AD190" si="372">+AD113+AD145</f>
        <v>55.952471106809014</v>
      </c>
      <c r="AE190" s="2165">
        <f t="shared" ref="AE190" si="373">+AE113+AE145</f>
        <v>57.175203520365194</v>
      </c>
    </row>
    <row r="191" spans="1:32">
      <c r="C191" s="722"/>
      <c r="D191" s="726"/>
      <c r="E191" s="760" t="s">
        <v>636</v>
      </c>
      <c r="F191" s="942" t="s">
        <v>2091</v>
      </c>
      <c r="G191" s="966">
        <f t="shared" ref="G191:R191" si="374">+G216/G33*1000</f>
        <v>35.691693290734868</v>
      </c>
      <c r="H191" s="966">
        <f t="shared" si="374"/>
        <v>37.852272727272776</v>
      </c>
      <c r="I191" s="966">
        <f t="shared" si="374"/>
        <v>37.54281098546037</v>
      </c>
      <c r="J191" s="966">
        <f t="shared" si="374"/>
        <v>40.062200956937907</v>
      </c>
      <c r="K191" s="966">
        <f t="shared" si="374"/>
        <v>43.49201277955278</v>
      </c>
      <c r="L191" s="966">
        <f t="shared" si="374"/>
        <v>45.331761006289049</v>
      </c>
      <c r="M191" s="966">
        <f t="shared" si="374"/>
        <v>47.936073059360865</v>
      </c>
      <c r="N191" s="966">
        <f t="shared" si="374"/>
        <v>51.691616766466915</v>
      </c>
      <c r="O191" s="966">
        <f t="shared" si="374"/>
        <v>54.063400576368458</v>
      </c>
      <c r="P191" s="966">
        <f t="shared" si="374"/>
        <v>57.006983240223178</v>
      </c>
      <c r="Q191" s="966">
        <f t="shared" si="374"/>
        <v>58.021887824897107</v>
      </c>
      <c r="R191" s="966">
        <f t="shared" si="374"/>
        <v>59.727393617020702</v>
      </c>
      <c r="S191" s="966">
        <f t="shared" ref="S191:Y191" si="375">+S216/S33*1000</f>
        <v>60.530479896238369</v>
      </c>
      <c r="T191" s="966">
        <f t="shared" si="375"/>
        <v>61.068298969071868</v>
      </c>
      <c r="U191" s="966">
        <f t="shared" si="375"/>
        <v>62.443312101910834</v>
      </c>
      <c r="V191" s="966">
        <f t="shared" si="375"/>
        <v>65.277777777777914</v>
      </c>
      <c r="W191" s="966">
        <f t="shared" si="375"/>
        <v>66.201265822784805</v>
      </c>
      <c r="X191" s="966">
        <f t="shared" si="375"/>
        <v>67.286432160803713</v>
      </c>
      <c r="Y191" s="966">
        <f t="shared" si="375"/>
        <v>69.03553299492448</v>
      </c>
      <c r="Z191" s="966">
        <f t="shared" ref="Z191:AB191" si="376">+Z216/Z33*1000</f>
        <v>72.86666666666666</v>
      </c>
      <c r="AA191" s="966">
        <f t="shared" si="376"/>
        <v>76.875808538162829</v>
      </c>
      <c r="AB191" s="966">
        <f t="shared" si="376"/>
        <v>78.668822768435419</v>
      </c>
      <c r="AC191" s="2166">
        <f t="shared" ref="AC191:AD191" si="377">+AC114+AC146</f>
        <v>80.264074485759366</v>
      </c>
      <c r="AD191" s="2166">
        <f t="shared" si="377"/>
        <v>82.10136835194831</v>
      </c>
      <c r="AE191" s="2166">
        <f t="shared" ref="AE191" si="378">+AE114+AE146</f>
        <v>83.989803395381941</v>
      </c>
    </row>
    <row r="192" spans="1:32" s="221" customFormat="1">
      <c r="A192" s="946"/>
      <c r="B192" s="946"/>
      <c r="C192" s="724"/>
      <c r="D192" s="794"/>
      <c r="E192" s="798" t="s">
        <v>637</v>
      </c>
      <c r="F192" s="938" t="s">
        <v>2105</v>
      </c>
      <c r="G192" s="965">
        <f t="shared" ref="G192:Q192" ca="1" si="379">+G217/G76*1000</f>
        <v>34.306726400807676</v>
      </c>
      <c r="H192" s="965">
        <f t="shared" si="379"/>
        <v>34.965686737876929</v>
      </c>
      <c r="I192" s="965">
        <f t="shared" si="379"/>
        <v>36.009441040390143</v>
      </c>
      <c r="J192" s="965">
        <f t="shared" si="379"/>
        <v>36.531256693491628</v>
      </c>
      <c r="K192" s="965">
        <f t="shared" si="379"/>
        <v>37.825418321897196</v>
      </c>
      <c r="L192" s="965">
        <f t="shared" si="379"/>
        <v>38.567843620674481</v>
      </c>
      <c r="M192" s="965">
        <f t="shared" si="379"/>
        <v>40.010779961953077</v>
      </c>
      <c r="N192" s="965">
        <f t="shared" si="379"/>
        <v>41.625482959460236</v>
      </c>
      <c r="O192" s="965">
        <f t="shared" si="379"/>
        <v>42.515194366684945</v>
      </c>
      <c r="P192" s="965">
        <f t="shared" si="379"/>
        <v>43.338766771338861</v>
      </c>
      <c r="Q192" s="965">
        <f t="shared" si="379"/>
        <v>44.120372970847612</v>
      </c>
      <c r="R192" s="965">
        <f>+R217/R76*1000</f>
        <v>45.710500027748488</v>
      </c>
      <c r="S192" s="965">
        <f t="shared" ref="S192:Y192" si="380">+S217/S76*1000</f>
        <v>47.314041926778074</v>
      </c>
      <c r="T192" s="965">
        <f t="shared" si="380"/>
        <v>48.992614989430869</v>
      </c>
      <c r="U192" s="965">
        <f t="shared" si="380"/>
        <v>49.551572276376916</v>
      </c>
      <c r="V192" s="965">
        <f t="shared" si="380"/>
        <v>50.27861546262443</v>
      </c>
      <c r="W192" s="965">
        <f t="shared" si="380"/>
        <v>51.798758025471002</v>
      </c>
      <c r="X192" s="965">
        <f t="shared" si="380"/>
        <v>53.422238543661301</v>
      </c>
      <c r="Y192" s="965">
        <f t="shared" si="380"/>
        <v>54.783436634577349</v>
      </c>
      <c r="Z192" s="965">
        <f t="shared" ref="Z192:AB192" si="381">+Z217/Z76*1000</f>
        <v>55.32778828970882</v>
      </c>
      <c r="AA192" s="965">
        <f t="shared" si="381"/>
        <v>55.402263186712894</v>
      </c>
      <c r="AB192" s="965">
        <f t="shared" si="381"/>
        <v>55.473503788855091</v>
      </c>
      <c r="AC192" s="965">
        <f>+AC217/AC76*1000</f>
        <v>56.410271434171861</v>
      </c>
      <c r="AD192" s="2165">
        <f t="shared" ref="AD192" si="382">+AD115+AD147</f>
        <v>56.447862299459821</v>
      </c>
      <c r="AE192" s="2165">
        <f t="shared" ref="AE192" si="383">+AE115+AE147</f>
        <v>57.67335264734966</v>
      </c>
    </row>
    <row r="193" spans="1:31" s="221" customFormat="1">
      <c r="A193" s="946"/>
      <c r="B193" s="946"/>
      <c r="C193" s="724"/>
      <c r="D193" s="724"/>
      <c r="F193" s="759"/>
      <c r="S193" s="2168"/>
      <c r="T193" s="2168"/>
      <c r="U193" s="2168"/>
      <c r="V193" s="2168"/>
      <c r="W193" s="2168"/>
      <c r="X193" s="2168"/>
      <c r="Y193" s="2168"/>
      <c r="Z193" s="2168"/>
      <c r="AA193" s="2168"/>
      <c r="AB193" s="2168"/>
      <c r="AC193" s="2168"/>
      <c r="AD193" s="2168"/>
      <c r="AE193" s="2168"/>
    </row>
    <row r="194" spans="1:31">
      <c r="D194" s="972"/>
      <c r="E194" s="973" t="s">
        <v>343</v>
      </c>
      <c r="F194" s="971"/>
      <c r="G194" s="793">
        <f>+InputY!$G$3</f>
        <v>1995</v>
      </c>
      <c r="H194" s="793">
        <f>+G194+1</f>
        <v>1996</v>
      </c>
      <c r="I194" s="793">
        <f t="shared" ref="I194:S194" si="384">+H194+1</f>
        <v>1997</v>
      </c>
      <c r="J194" s="793">
        <f t="shared" si="384"/>
        <v>1998</v>
      </c>
      <c r="K194" s="793">
        <f t="shared" si="384"/>
        <v>1999</v>
      </c>
      <c r="L194" s="793">
        <f t="shared" si="384"/>
        <v>2000</v>
      </c>
      <c r="M194" s="793">
        <f t="shared" si="384"/>
        <v>2001</v>
      </c>
      <c r="N194" s="793">
        <f t="shared" si="384"/>
        <v>2002</v>
      </c>
      <c r="O194" s="793">
        <f t="shared" si="384"/>
        <v>2003</v>
      </c>
      <c r="P194" s="793">
        <f>+O194+1</f>
        <v>2004</v>
      </c>
      <c r="Q194" s="793">
        <f>+P194+1</f>
        <v>2005</v>
      </c>
      <c r="R194" s="793">
        <f>+Q194+1</f>
        <v>2006</v>
      </c>
      <c r="S194" s="2126">
        <f t="shared" si="384"/>
        <v>2007</v>
      </c>
      <c r="T194" s="2126">
        <f t="shared" ref="T194:AE194" si="385">+S194+1</f>
        <v>2008</v>
      </c>
      <c r="U194" s="2126">
        <f t="shared" si="385"/>
        <v>2009</v>
      </c>
      <c r="V194" s="2126">
        <f t="shared" si="385"/>
        <v>2010</v>
      </c>
      <c r="W194" s="2126">
        <f t="shared" si="385"/>
        <v>2011</v>
      </c>
      <c r="X194" s="2126">
        <f t="shared" si="385"/>
        <v>2012</v>
      </c>
      <c r="Y194" s="2126">
        <f t="shared" si="385"/>
        <v>2013</v>
      </c>
      <c r="Z194" s="2126">
        <f t="shared" si="385"/>
        <v>2014</v>
      </c>
      <c r="AA194" s="2126">
        <f t="shared" si="385"/>
        <v>2015</v>
      </c>
      <c r="AB194" s="2126">
        <f t="shared" si="385"/>
        <v>2016</v>
      </c>
      <c r="AC194" s="2126">
        <f t="shared" si="385"/>
        <v>2017</v>
      </c>
      <c r="AD194" s="2126">
        <f t="shared" si="385"/>
        <v>2018</v>
      </c>
      <c r="AE194" s="2126">
        <f t="shared" si="385"/>
        <v>2019</v>
      </c>
    </row>
    <row r="195" spans="1:31">
      <c r="C195" s="810"/>
      <c r="D195" s="739"/>
      <c r="E195" s="781" t="s">
        <v>1190</v>
      </c>
      <c r="F195" s="759" t="s">
        <v>638</v>
      </c>
      <c r="H195" s="1602" t="e">
        <f t="shared" ref="H195:AE196" ca="1" si="386">(H188/G188-1)*100</f>
        <v>#VALUE!</v>
      </c>
      <c r="I195" s="1602">
        <f t="shared" si="386"/>
        <v>2.8147258086303806</v>
      </c>
      <c r="J195" s="1602">
        <f t="shared" si="386"/>
        <v>1.221686921209697</v>
      </c>
      <c r="K195" s="1602">
        <f t="shared" si="386"/>
        <v>3.6745860861334689</v>
      </c>
      <c r="L195" s="1602">
        <f t="shared" si="386"/>
        <v>1.6551649603172125</v>
      </c>
      <c r="M195" s="1602">
        <f t="shared" si="386"/>
        <v>3.7239158889359913</v>
      </c>
      <c r="N195" s="1602">
        <f t="shared" si="386"/>
        <v>3.4910881546831307</v>
      </c>
      <c r="O195" s="1602">
        <f t="shared" si="386"/>
        <v>1.6740745474207008</v>
      </c>
      <c r="P195" s="1602">
        <f t="shared" si="386"/>
        <v>1.9173615110360531</v>
      </c>
      <c r="Q195" s="1602">
        <f t="shared" si="386"/>
        <v>1.3195653612821712</v>
      </c>
      <c r="R195" s="1602">
        <f t="shared" si="386"/>
        <v>3.6565874461804926</v>
      </c>
      <c r="S195" s="1602">
        <f t="shared" si="386"/>
        <v>3.6448223929136381</v>
      </c>
      <c r="T195" s="1602">
        <f t="shared" si="386"/>
        <v>3.4622002952168218</v>
      </c>
      <c r="U195" s="1602">
        <f t="shared" si="386"/>
        <v>0.6092888774377192</v>
      </c>
      <c r="V195" s="2955">
        <f t="shared" si="386"/>
        <v>1.2142132783259596</v>
      </c>
      <c r="W195" s="2955">
        <f t="shared" si="386"/>
        <v>2.9665235586077365</v>
      </c>
      <c r="X195" s="2955">
        <f t="shared" si="386"/>
        <v>2.9028936915982184</v>
      </c>
      <c r="Y195" s="2955">
        <f t="shared" si="386"/>
        <v>2.3499462720621089</v>
      </c>
      <c r="Z195" s="2955">
        <f t="shared" si="386"/>
        <v>0.90776488024031377</v>
      </c>
      <c r="AA195" s="2955">
        <f t="shared" si="386"/>
        <v>9.9840859020261519E-4</v>
      </c>
      <c r="AB195" s="2955">
        <f t="shared" si="386"/>
        <v>-0.62304419068999195</v>
      </c>
      <c r="AC195" s="2955">
        <f t="shared" si="386"/>
        <v>1.6986211482189928</v>
      </c>
      <c r="AD195" s="2955">
        <f t="shared" si="386"/>
        <v>2.1842693478639541</v>
      </c>
      <c r="AE195" s="2955">
        <f t="shared" si="386"/>
        <v>2.2984699959827104</v>
      </c>
    </row>
    <row r="196" spans="1:31">
      <c r="C196" s="975"/>
      <c r="D196" s="724"/>
      <c r="E196" s="221" t="s">
        <v>1088</v>
      </c>
      <c r="F196" s="759" t="s">
        <v>639</v>
      </c>
      <c r="H196" s="1602" t="e">
        <f t="shared" si="386"/>
        <v>#VALUE!</v>
      </c>
      <c r="I196" s="1602">
        <f t="shared" si="386"/>
        <v>3.9930778126384681</v>
      </c>
      <c r="J196" s="1602">
        <f t="shared" si="386"/>
        <v>1.8698338761173217</v>
      </c>
      <c r="K196" s="1602">
        <f t="shared" si="386"/>
        <v>2.8051771747204857</v>
      </c>
      <c r="L196" s="1602">
        <f t="shared" si="386"/>
        <v>2.979880270923041</v>
      </c>
      <c r="M196" s="1602">
        <f t="shared" si="386"/>
        <v>3.4880240784376682</v>
      </c>
      <c r="N196" s="1602">
        <f t="shared" si="386"/>
        <v>5.2251079880846651</v>
      </c>
      <c r="O196" s="1602">
        <f t="shared" si="386"/>
        <v>2.893917280742575</v>
      </c>
      <c r="P196" s="1602">
        <f t="shared" si="386"/>
        <v>1.3314293464493421</v>
      </c>
      <c r="Q196" s="1602">
        <f t="shared" si="386"/>
        <v>3.3178862843541879</v>
      </c>
      <c r="R196" s="1602">
        <f t="shared" si="386"/>
        <v>3.3340160526831752</v>
      </c>
      <c r="S196" s="1602">
        <f t="shared" si="386"/>
        <v>3.3064641668502759</v>
      </c>
      <c r="T196" s="1602">
        <f t="shared" si="386"/>
        <v>4.3328915251071631</v>
      </c>
      <c r="U196" s="1602">
        <f t="shared" si="386"/>
        <v>2.3183763521490208</v>
      </c>
      <c r="V196" s="1602">
        <f>(V189/U189-1)*100</f>
        <v>1.8607473788742501</v>
      </c>
      <c r="W196" s="1602">
        <f>(W189/V189-1)*100</f>
        <v>3.6911091692794606</v>
      </c>
      <c r="X196" s="2955">
        <f t="shared" si="386"/>
        <v>4.0041853125261095</v>
      </c>
      <c r="Y196" s="2955">
        <f t="shared" si="386"/>
        <v>3.1252586590207132</v>
      </c>
      <c r="Z196" s="3896">
        <f t="shared" si="386"/>
        <v>0.92669752800713656</v>
      </c>
      <c r="AA196" s="2955">
        <f t="shared" si="386"/>
        <v>1.7827426772498711E-2</v>
      </c>
      <c r="AB196" s="2955">
        <f t="shared" si="386"/>
        <v>1.9449157621767688</v>
      </c>
      <c r="AC196" s="2955">
        <f t="shared" si="386"/>
        <v>1.9927807421177501</v>
      </c>
      <c r="AD196" s="2955">
        <f t="shared" si="386"/>
        <v>2.395172400406631</v>
      </c>
      <c r="AE196" s="2955">
        <f t="shared" si="386"/>
        <v>1.9925783641280059</v>
      </c>
    </row>
    <row r="197" spans="1:31">
      <c r="C197" s="975"/>
      <c r="D197" s="766"/>
      <c r="E197" s="767" t="s">
        <v>457</v>
      </c>
      <c r="F197" s="967" t="s">
        <v>407</v>
      </c>
      <c r="G197" s="968"/>
      <c r="H197" s="968">
        <f ca="1">(H190/G190-1)*100</f>
        <v>2.1028294623700594</v>
      </c>
      <c r="I197" s="968">
        <f t="shared" ref="I197:U197" si="387">(I190/H190-1)*100</f>
        <v>3.0729284541266999</v>
      </c>
      <c r="J197" s="968">
        <f t="shared" si="387"/>
        <v>1.3597428596102246</v>
      </c>
      <c r="K197" s="968">
        <f t="shared" si="387"/>
        <v>3.4768194216060921</v>
      </c>
      <c r="L197" s="968">
        <f t="shared" si="387"/>
        <v>1.9336306613748855</v>
      </c>
      <c r="M197" s="968">
        <f t="shared" si="387"/>
        <v>3.662174998427159</v>
      </c>
      <c r="N197" s="968">
        <f t="shared" si="387"/>
        <v>3.904534754757405</v>
      </c>
      <c r="O197" s="968">
        <f t="shared" si="387"/>
        <v>1.9752260670512278</v>
      </c>
      <c r="P197" s="968">
        <f t="shared" si="387"/>
        <v>1.788861445544887</v>
      </c>
      <c r="Q197" s="968">
        <f t="shared" si="387"/>
        <v>1.7917190585819753</v>
      </c>
      <c r="R197" s="968">
        <f t="shared" si="387"/>
        <v>3.575606980045376</v>
      </c>
      <c r="S197" s="968">
        <f t="shared" si="387"/>
        <v>3.5481170469577217</v>
      </c>
      <c r="T197" s="968">
        <f t="shared" si="387"/>
        <v>3.6549882921135257</v>
      </c>
      <c r="U197" s="968">
        <f t="shared" si="387"/>
        <v>1.0699364374473497</v>
      </c>
      <c r="V197" s="2948">
        <f t="shared" ref="V197:AE199" si="388">(V190/U190-1)*100</f>
        <v>1.3757936426929573</v>
      </c>
      <c r="W197" s="2948">
        <f t="shared" si="388"/>
        <v>3.1160868122918073</v>
      </c>
      <c r="X197" s="2948">
        <f t="shared" si="388"/>
        <v>3.1626142236274912</v>
      </c>
      <c r="Y197" s="2948">
        <f t="shared" si="388"/>
        <v>2.5594609753529118</v>
      </c>
      <c r="Z197" s="2948">
        <f t="shared" si="388"/>
        <v>0.91005064101528088</v>
      </c>
      <c r="AA197" s="2948">
        <f t="shared" si="388"/>
        <v>3.4722772077899755E-2</v>
      </c>
      <c r="AB197" s="2948">
        <f t="shared" si="388"/>
        <v>9.8952004584407227E-2</v>
      </c>
      <c r="AC197" s="2948">
        <f t="shared" si="388"/>
        <v>1.7200583191249397</v>
      </c>
      <c r="AD197" s="2948">
        <f t="shared" si="388"/>
        <v>2.0409570930344012</v>
      </c>
      <c r="AE197" s="2948">
        <f t="shared" si="388"/>
        <v>2.1853054733222965</v>
      </c>
    </row>
    <row r="198" spans="1:31">
      <c r="C198" s="740"/>
      <c r="D198" s="741"/>
      <c r="E198" s="784" t="s">
        <v>636</v>
      </c>
      <c r="F198" s="976" t="s">
        <v>2091</v>
      </c>
      <c r="G198" s="977"/>
      <c r="H198" s="977">
        <f t="shared" ref="H198:U198" si="389">(H191/G191-1)*100</f>
        <v>6.0534517623986428</v>
      </c>
      <c r="I198" s="977">
        <f t="shared" si="389"/>
        <v>-0.81755128428374624</v>
      </c>
      <c r="J198" s="977">
        <f t="shared" si="389"/>
        <v>6.7107121319531782</v>
      </c>
      <c r="K198" s="977">
        <f t="shared" si="389"/>
        <v>8.5612166598173509</v>
      </c>
      <c r="L198" s="977">
        <f t="shared" si="389"/>
        <v>4.2300829719272182</v>
      </c>
      <c r="M198" s="977">
        <f t="shared" si="389"/>
        <v>5.7450052573746468</v>
      </c>
      <c r="N198" s="977">
        <f t="shared" si="389"/>
        <v>7.8344834430960519</v>
      </c>
      <c r="O198" s="977">
        <f t="shared" si="389"/>
        <v>4.5883335795373181</v>
      </c>
      <c r="P198" s="977">
        <f t="shared" si="389"/>
        <v>5.4446864837824904</v>
      </c>
      <c r="Q198" s="977">
        <f t="shared" si="389"/>
        <v>1.7803162472169287</v>
      </c>
      <c r="R198" s="977">
        <f t="shared" si="389"/>
        <v>2.9394179611504478</v>
      </c>
      <c r="S198" s="977">
        <f t="shared" si="389"/>
        <v>1.3445861782738211</v>
      </c>
      <c r="T198" s="977">
        <f t="shared" si="389"/>
        <v>0.88850951414136681</v>
      </c>
      <c r="U198" s="977">
        <f t="shared" si="389"/>
        <v>2.2515988754416405</v>
      </c>
      <c r="V198" s="2195">
        <f t="shared" si="388"/>
        <v>4.539262221134388</v>
      </c>
      <c r="W198" s="2195">
        <f t="shared" si="388"/>
        <v>1.4147050902233227</v>
      </c>
      <c r="X198" s="2195">
        <f t="shared" si="388"/>
        <v>1.6391927322414235</v>
      </c>
      <c r="Y198" s="2195">
        <f t="shared" si="388"/>
        <v>2.5994851828979426</v>
      </c>
      <c r="Z198" s="2195">
        <f t="shared" si="388"/>
        <v>5.5495098039206159</v>
      </c>
      <c r="AA198" s="2195">
        <f t="shared" si="388"/>
        <v>5.5020245262984879</v>
      </c>
      <c r="AB198" s="2195">
        <f t="shared" si="388"/>
        <v>2.3323517038295494</v>
      </c>
      <c r="AC198" s="2195">
        <f t="shared" si="388"/>
        <v>2.027806774253671</v>
      </c>
      <c r="AD198" s="2195">
        <f t="shared" si="388"/>
        <v>2.2890612991680603</v>
      </c>
      <c r="AE198" s="2195">
        <f t="shared" si="388"/>
        <v>2.3001261505634973</v>
      </c>
    </row>
    <row r="199" spans="1:31" s="221" customFormat="1">
      <c r="A199" s="946"/>
      <c r="B199" s="946"/>
      <c r="C199" s="724"/>
      <c r="D199" s="766"/>
      <c r="E199" s="767" t="s">
        <v>637</v>
      </c>
      <c r="F199" s="967" t="s">
        <v>2105</v>
      </c>
      <c r="G199" s="968"/>
      <c r="H199" s="968">
        <f t="shared" ref="H199:U199" ca="1" si="390">(H192/G192-1)*100</f>
        <v>1.920790486887558</v>
      </c>
      <c r="I199" s="968">
        <f t="shared" si="390"/>
        <v>2.9850816611662889</v>
      </c>
      <c r="J199" s="968">
        <f t="shared" si="390"/>
        <v>1.4491078951105907</v>
      </c>
      <c r="K199" s="968">
        <f t="shared" si="390"/>
        <v>3.542614586911097</v>
      </c>
      <c r="L199" s="968">
        <f t="shared" si="390"/>
        <v>1.9627682434578464</v>
      </c>
      <c r="M199" s="968">
        <f t="shared" si="390"/>
        <v>3.7412937976784022</v>
      </c>
      <c r="N199" s="968">
        <f t="shared" si="390"/>
        <v>4.0356698845726235</v>
      </c>
      <c r="O199" s="968">
        <f t="shared" si="390"/>
        <v>2.1374200224684836</v>
      </c>
      <c r="P199" s="968">
        <f t="shared" si="390"/>
        <v>1.9371248724650458</v>
      </c>
      <c r="Q199" s="968">
        <f t="shared" si="390"/>
        <v>1.8034804811881466</v>
      </c>
      <c r="R199" s="968">
        <f t="shared" si="390"/>
        <v>3.6040653100361197</v>
      </c>
      <c r="S199" s="968">
        <f t="shared" si="390"/>
        <v>3.5080384114287932</v>
      </c>
      <c r="T199" s="968">
        <f t="shared" si="390"/>
        <v>3.5477270473964317</v>
      </c>
      <c r="U199" s="968">
        <f t="shared" si="390"/>
        <v>1.1409011073743036</v>
      </c>
      <c r="V199" s="2169">
        <f t="shared" si="388"/>
        <v>1.4672454431766235</v>
      </c>
      <c r="W199" s="2169">
        <f t="shared" si="388"/>
        <v>3.0234375964004023</v>
      </c>
      <c r="X199" s="2169">
        <f t="shared" si="388"/>
        <v>3.1342074213284832</v>
      </c>
      <c r="Y199" s="2169">
        <f t="shared" si="388"/>
        <v>2.5479989757515753</v>
      </c>
      <c r="Z199" s="2169">
        <f t="shared" si="388"/>
        <v>0.99364276608360225</v>
      </c>
      <c r="AA199" s="2169">
        <f t="shared" si="388"/>
        <v>0.13460667651146174</v>
      </c>
      <c r="AB199" s="2169">
        <f t="shared" si="388"/>
        <v>0.12858789162115691</v>
      </c>
      <c r="AC199" s="2169">
        <f t="shared" si="388"/>
        <v>1.688675820590535</v>
      </c>
      <c r="AD199" s="2169">
        <f t="shared" si="388"/>
        <v>6.6638334353386064E-2</v>
      </c>
      <c r="AE199" s="2169">
        <f t="shared" si="388"/>
        <v>2.1710128567642206</v>
      </c>
    </row>
    <row r="200" spans="1:31" s="749" customFormat="1">
      <c r="A200" s="713"/>
      <c r="B200" s="713"/>
      <c r="C200" s="744"/>
      <c r="D200" s="720"/>
      <c r="F200" s="744"/>
      <c r="T200" s="2168"/>
      <c r="U200" s="2168"/>
      <c r="V200" s="2168"/>
      <c r="W200" s="2168"/>
      <c r="X200" s="2168"/>
      <c r="Y200" s="2168"/>
      <c r="Z200" s="2168"/>
      <c r="AA200" s="2168"/>
      <c r="AB200" s="2168"/>
      <c r="AC200" s="2168"/>
      <c r="AD200" s="2168"/>
      <c r="AE200" s="2168"/>
    </row>
    <row r="201" spans="1:31" s="749" customFormat="1" ht="12.75" customHeight="1">
      <c r="A201" s="714"/>
      <c r="B201" s="714"/>
      <c r="C201" s="822"/>
      <c r="D201" s="858"/>
      <c r="E201" s="859" t="s">
        <v>1692</v>
      </c>
      <c r="F201" s="860"/>
      <c r="G201" s="865">
        <f>+InputY!$G$3</f>
        <v>1995</v>
      </c>
      <c r="H201" s="861">
        <f t="shared" ref="H201:O201" si="391">+G201+1</f>
        <v>1996</v>
      </c>
      <c r="I201" s="861">
        <f t="shared" si="391"/>
        <v>1997</v>
      </c>
      <c r="J201" s="861">
        <f t="shared" si="391"/>
        <v>1998</v>
      </c>
      <c r="K201" s="861">
        <f t="shared" si="391"/>
        <v>1999</v>
      </c>
      <c r="L201" s="861">
        <f t="shared" si="391"/>
        <v>2000</v>
      </c>
      <c r="M201" s="861">
        <f t="shared" si="391"/>
        <v>2001</v>
      </c>
      <c r="N201" s="861">
        <f t="shared" si="391"/>
        <v>2002</v>
      </c>
      <c r="O201" s="861">
        <f t="shared" si="391"/>
        <v>2003</v>
      </c>
      <c r="P201" s="861">
        <f t="shared" ref="P201:U201" si="392">+O201+1</f>
        <v>2004</v>
      </c>
      <c r="Q201" s="861">
        <f t="shared" si="392"/>
        <v>2005</v>
      </c>
      <c r="R201" s="861">
        <f>+Q201+1</f>
        <v>2006</v>
      </c>
      <c r="S201" s="861">
        <f>+R201+1</f>
        <v>2007</v>
      </c>
      <c r="T201" s="2196">
        <f t="shared" si="392"/>
        <v>2008</v>
      </c>
      <c r="U201" s="2196">
        <f t="shared" si="392"/>
        <v>2009</v>
      </c>
      <c r="V201" s="2196">
        <f t="shared" ref="V201:AE201" si="393">+U201+1</f>
        <v>2010</v>
      </c>
      <c r="W201" s="2196">
        <f t="shared" si="393"/>
        <v>2011</v>
      </c>
      <c r="X201" s="2196">
        <f t="shared" si="393"/>
        <v>2012</v>
      </c>
      <c r="Y201" s="2196">
        <f t="shared" si="393"/>
        <v>2013</v>
      </c>
      <c r="Z201" s="2196">
        <f t="shared" si="393"/>
        <v>2014</v>
      </c>
      <c r="AA201" s="2196">
        <f t="shared" si="393"/>
        <v>2015</v>
      </c>
      <c r="AB201" s="2196">
        <f t="shared" si="393"/>
        <v>2016</v>
      </c>
      <c r="AC201" s="2196">
        <f t="shared" si="393"/>
        <v>2017</v>
      </c>
      <c r="AD201" s="2196">
        <f t="shared" si="393"/>
        <v>2018</v>
      </c>
      <c r="AE201" s="2196">
        <f t="shared" si="393"/>
        <v>2019</v>
      </c>
    </row>
    <row r="202" spans="1:31" s="749" customFormat="1" ht="12.75" customHeight="1">
      <c r="A202" s="714"/>
      <c r="B202" s="714"/>
      <c r="C202" s="866" t="s">
        <v>622</v>
      </c>
      <c r="D202" s="867"/>
      <c r="E202" s="868" t="s">
        <v>1190</v>
      </c>
      <c r="F202" s="1571" t="s">
        <v>638</v>
      </c>
      <c r="G202" s="1598"/>
      <c r="H202" s="1599" t="e">
        <f ca="1">+H195-'VVP2'!H$380</f>
        <v>#VALUE!</v>
      </c>
      <c r="I202" s="1599">
        <f>+I195-'VVP2'!I$380</f>
        <v>1.297642077150285</v>
      </c>
      <c r="J202" s="1599">
        <f>+J195-'VVP2'!J$380</f>
        <v>1.9716347623588426E-2</v>
      </c>
      <c r="K202" s="1599">
        <f>+K195-'VVP2'!K$380</f>
        <v>3.0524715815613446</v>
      </c>
      <c r="L202" s="1599">
        <f>+L195-'VVP2'!L$380</f>
        <v>-1.5554286680286689</v>
      </c>
      <c r="M202" s="1599">
        <f>+M195-'VVP2'!M$380</f>
        <v>1.6814782378875348</v>
      </c>
      <c r="N202" s="1599">
        <f>+N195-'VVP2'!N$380</f>
        <v>2.1069392615919114</v>
      </c>
      <c r="O202" s="1599">
        <f>+O195-'VVP2'!O$380</f>
        <v>9.6858232030894165E-2</v>
      </c>
      <c r="P202" s="1599">
        <f>+P195-'VVP2'!P$380</f>
        <v>-0.49628081836377014</v>
      </c>
      <c r="Q202" s="1599">
        <f>+Q195-'VVP2'!Q$380</f>
        <v>-1.3817985363055119</v>
      </c>
      <c r="R202" s="1599">
        <f>+R195-'VVP2'!R$380</f>
        <v>0.5506178407980622</v>
      </c>
      <c r="S202" s="1599">
        <f>+S195-'VVP2'!S$380</f>
        <v>0.75191525255557945</v>
      </c>
      <c r="T202" s="1599">
        <f>+T195-'VVP2'!T$380</f>
        <v>0.27906592458653012</v>
      </c>
      <c r="U202" s="1599">
        <f>+U195-'VVP2'!U$380</f>
        <v>1.0156310247509626</v>
      </c>
      <c r="V202" s="2185">
        <f>+V195-'VVP2'!V$380</f>
        <v>-0.52044086110007992</v>
      </c>
      <c r="W202" s="2185">
        <f>+W195-'VVP2'!W$380</f>
        <v>-4.0406361089928566E-2</v>
      </c>
      <c r="X202" s="2185">
        <f>+X195-'VVP2'!X$380</f>
        <v>0.89129140586170497</v>
      </c>
      <c r="Y202" s="2185">
        <f>+Y195-'VVP2'!Y$380</f>
        <v>1.5105930995387817</v>
      </c>
      <c r="Z202" s="2185">
        <f>+Z195-'VVP2'!Z$380</f>
        <v>0.29699880356517383</v>
      </c>
      <c r="AA202" s="2185">
        <f>+AA195-'VVP2'!AA$380</f>
        <v>-0.54910046716070138</v>
      </c>
      <c r="AB202" s="2185">
        <f>+AB195-'VVP2'!AB$380</f>
        <v>-2.1269913084708048</v>
      </c>
      <c r="AC202" s="2185">
        <f>+AC195-'VVP2'!AC$380</f>
        <v>4.8130979542149177E-3</v>
      </c>
      <c r="AD202" s="2185">
        <f ca="1">+AD195-'VVP2'!AD$380</f>
        <v>0.48426934786395415</v>
      </c>
      <c r="AE202" s="2185">
        <f ca="1">+AE195-'VVP2'!AE$380</f>
        <v>0.99846999598271036</v>
      </c>
    </row>
    <row r="203" spans="1:31" s="749" customFormat="1" ht="12.75" customHeight="1">
      <c r="A203" s="714"/>
      <c r="B203" s="714"/>
      <c r="C203" s="870" t="s">
        <v>622</v>
      </c>
      <c r="D203" s="724"/>
      <c r="E203" s="830" t="s">
        <v>1088</v>
      </c>
      <c r="F203" s="1060" t="s">
        <v>639</v>
      </c>
      <c r="G203" s="1462"/>
      <c r="H203" s="1085" t="e">
        <f ca="1">+H196-'VVP2'!H$380</f>
        <v>#VALUE!</v>
      </c>
      <c r="I203" s="1085">
        <f>+I196-'VVP2'!I$380</f>
        <v>2.4759940811583725</v>
      </c>
      <c r="J203" s="1085">
        <f>+J196-'VVP2'!J$380</f>
        <v>0.66786330253121307</v>
      </c>
      <c r="K203" s="1085">
        <f>+K196-'VVP2'!K$380</f>
        <v>2.1830626701483613</v>
      </c>
      <c r="L203" s="1085">
        <f>+L196-'VVP2'!L$380</f>
        <v>-0.23071335742284038</v>
      </c>
      <c r="M203" s="1085">
        <f>+M196-'VVP2'!M$380</f>
        <v>1.4455864273892116</v>
      </c>
      <c r="N203" s="1085">
        <f>+N196-'VVP2'!N$380</f>
        <v>3.8409590949934458</v>
      </c>
      <c r="O203" s="1085">
        <f>+O196-'VVP2'!O$380</f>
        <v>1.3167009653527684</v>
      </c>
      <c r="P203" s="1085">
        <f>+P196-'VVP2'!P$380</f>
        <v>-1.0822129829504812</v>
      </c>
      <c r="Q203" s="1085">
        <f>+Q196-'VVP2'!Q$380</f>
        <v>0.61652238676650484</v>
      </c>
      <c r="R203" s="1085">
        <f>+R196-'VVP2'!R$380</f>
        <v>0.22804644730074486</v>
      </c>
      <c r="S203" s="1085">
        <f>+S196-'VVP2'!S$380</f>
        <v>0.41355702649221726</v>
      </c>
      <c r="T203" s="1085">
        <f>+T196-'VVP2'!T$380</f>
        <v>1.1497571544768714</v>
      </c>
      <c r="U203" s="1085">
        <f>+U196-'VVP2'!U$380</f>
        <v>2.7247184994622642</v>
      </c>
      <c r="V203" s="2186">
        <f>+V196-'VVP2'!V$380</f>
        <v>0.1260932394482106</v>
      </c>
      <c r="W203" s="2186">
        <f>+W196-'VVP2'!W$380</f>
        <v>0.68417924958179555</v>
      </c>
      <c r="X203" s="2186">
        <f>+X196-'VVP2'!X$380</f>
        <v>1.9925830267895961</v>
      </c>
      <c r="Y203" s="2186">
        <f>+Y196-'VVP2'!Y$380</f>
        <v>2.285905486497386</v>
      </c>
      <c r="Z203" s="2186">
        <f>+Z196-'VVP2'!Z$380</f>
        <v>0.31593145133199663</v>
      </c>
      <c r="AA203" s="2186">
        <f>+AA196-'VVP2'!AA$380</f>
        <v>-0.53227144897840528</v>
      </c>
      <c r="AB203" s="2186">
        <f>+AB196-'VVP2'!AB$380</f>
        <v>0.44096864439595596</v>
      </c>
      <c r="AC203" s="2186">
        <f>+AC196-'VVP2'!AC$380</f>
        <v>0.29897269185297226</v>
      </c>
      <c r="AD203" s="2186">
        <f ca="1">+AD196-'VVP2'!AD$380</f>
        <v>0.69517240040663109</v>
      </c>
      <c r="AE203" s="2186">
        <f ca="1">+AE196-'VVP2'!AE$380</f>
        <v>0.69257836412800589</v>
      </c>
    </row>
    <row r="204" spans="1:31" s="749" customFormat="1" ht="12.75" customHeight="1">
      <c r="A204" s="714"/>
      <c r="B204" s="714"/>
      <c r="C204" s="870" t="s">
        <v>624</v>
      </c>
      <c r="D204" s="850"/>
      <c r="E204" s="851" t="s">
        <v>457</v>
      </c>
      <c r="F204" s="1572" t="s">
        <v>407</v>
      </c>
      <c r="G204" s="881"/>
      <c r="H204" s="1569">
        <f ca="1">+H197-'VVP2'!H$380</f>
        <v>-3.3147050549414914</v>
      </c>
      <c r="I204" s="1569">
        <f>+I197-'VVP2'!I$380</f>
        <v>1.5558447226466043</v>
      </c>
      <c r="J204" s="1569">
        <f>+J197-'VVP2'!J$380</f>
        <v>0.15777228602411597</v>
      </c>
      <c r="K204" s="1569">
        <f>+K197-'VVP2'!K$380</f>
        <v>2.8547049170339678</v>
      </c>
      <c r="L204" s="1569">
        <f>+L197-'VVP2'!L$380</f>
        <v>-1.2769629669709959</v>
      </c>
      <c r="M204" s="1569">
        <f>+M197-'VVP2'!M$380</f>
        <v>1.6197373473787025</v>
      </c>
      <c r="N204" s="1569">
        <f>+N197-'VVP2'!N$380</f>
        <v>2.5203858616661856</v>
      </c>
      <c r="O204" s="1569">
        <f>+O197-'VVP2'!O$380</f>
        <v>0.39800975166142116</v>
      </c>
      <c r="P204" s="1569">
        <f>+P197-'VVP2'!P$380</f>
        <v>-0.62478088385493624</v>
      </c>
      <c r="Q204" s="1569">
        <f>+Q197-'VVP2'!Q$380</f>
        <v>-0.90964483900570769</v>
      </c>
      <c r="R204" s="1569">
        <f>+R197-'VVP2'!R$380</f>
        <v>0.46963737466294564</v>
      </c>
      <c r="S204" s="1569">
        <f>+S197-'VVP2'!S$380</f>
        <v>0.65520990659966305</v>
      </c>
      <c r="T204" s="1569">
        <f>+T197-'VVP2'!T$380</f>
        <v>0.47185392148323402</v>
      </c>
      <c r="U204" s="1569">
        <f>+U197-'VVP2'!U$380</f>
        <v>1.476278584760593</v>
      </c>
      <c r="V204" s="2197">
        <f>+V197-'VVP2'!V$380</f>
        <v>-0.35886049673308218</v>
      </c>
      <c r="W204" s="2197">
        <f>+W197-'VVP2'!W$380</f>
        <v>0.10915689259414219</v>
      </c>
      <c r="X204" s="2197">
        <f>+X197-'VVP2'!X$380</f>
        <v>1.1510119378909778</v>
      </c>
      <c r="Y204" s="2197">
        <f>+Y197-'VVP2'!Y$380</f>
        <v>1.7201078028295846</v>
      </c>
      <c r="Z204" s="2197">
        <f>+Z197-'VVP2'!Z$380</f>
        <v>0.29928456434014095</v>
      </c>
      <c r="AA204" s="2197">
        <f>+AA197-'VVP2'!AA$380</f>
        <v>-0.51537610367300424</v>
      </c>
      <c r="AB204" s="2197">
        <f>+AB197-'VVP2'!AB$380</f>
        <v>-1.4049951131964056</v>
      </c>
      <c r="AC204" s="2197">
        <f>+AC197-'VVP2'!AC$380</f>
        <v>2.6250268860161796E-2</v>
      </c>
      <c r="AD204" s="2197">
        <f ca="1">+AD197-'VVP2'!AD$380</f>
        <v>0.34095709303440125</v>
      </c>
      <c r="AE204" s="2197">
        <f ca="1">+AE197-'VVP2'!AE$380</f>
        <v>0.88530547332229648</v>
      </c>
    </row>
    <row r="205" spans="1:31" s="749" customFormat="1" ht="12.75" customHeight="1">
      <c r="A205" s="714"/>
      <c r="B205" s="714"/>
      <c r="C205" s="871" t="s">
        <v>622</v>
      </c>
      <c r="D205" s="872"/>
      <c r="E205" s="873" t="s">
        <v>636</v>
      </c>
      <c r="F205" s="1573" t="s">
        <v>2091</v>
      </c>
      <c r="G205" s="880"/>
      <c r="H205" s="1570">
        <f ca="1">+H198-'VVP2'!H$380</f>
        <v>0.63591724508709202</v>
      </c>
      <c r="I205" s="1570">
        <f>+I198-'VVP2'!I$380</f>
        <v>-2.3346350157638418</v>
      </c>
      <c r="J205" s="1570">
        <f>+J198-'VVP2'!J$380</f>
        <v>5.5087415583670696</v>
      </c>
      <c r="K205" s="1570">
        <f>+K198-'VVP2'!K$380</f>
        <v>7.9391021552452266</v>
      </c>
      <c r="L205" s="1570">
        <f>+L198-'VVP2'!L$380</f>
        <v>1.0194893435813368</v>
      </c>
      <c r="M205" s="1570">
        <f>+M198-'VVP2'!M$380</f>
        <v>3.7025676063261903</v>
      </c>
      <c r="N205" s="1570">
        <f>+N198-'VVP2'!N$380</f>
        <v>6.4503345500048326</v>
      </c>
      <c r="O205" s="1570">
        <f>+O198-'VVP2'!O$380</f>
        <v>3.0111172641475115</v>
      </c>
      <c r="P205" s="1570">
        <f>+P198-'VVP2'!P$380</f>
        <v>3.0310441543826672</v>
      </c>
      <c r="Q205" s="1570">
        <f>+Q198-'VVP2'!Q$380</f>
        <v>-0.92104765037075431</v>
      </c>
      <c r="R205" s="1570">
        <f>+R198-'VVP2'!R$380</f>
        <v>-0.16655164423198254</v>
      </c>
      <c r="S205" s="1570">
        <f>+S198-'VVP2'!S$380</f>
        <v>-1.5483209620842375</v>
      </c>
      <c r="T205" s="1570">
        <f>+T198-'VVP2'!T$380</f>
        <v>-2.2946248564889249</v>
      </c>
      <c r="U205" s="1570">
        <f>+U198-'VVP2'!U$380</f>
        <v>2.6579410227548839</v>
      </c>
      <c r="V205" s="2198">
        <f>+V198-'VVP2'!V$380</f>
        <v>2.8046080817083485</v>
      </c>
      <c r="W205" s="2198">
        <f>+W198-'VVP2'!W$380</f>
        <v>-1.5922248294743424</v>
      </c>
      <c r="X205" s="2198">
        <f>+X198-'VVP2'!X$380</f>
        <v>-0.37240955349508997</v>
      </c>
      <c r="Y205" s="2198">
        <f>+Y198-'VVP2'!Y$380</f>
        <v>1.7601320103746154</v>
      </c>
      <c r="Z205" s="2198">
        <f>+Z198-'VVP2'!Z$380</f>
        <v>4.9387437272454759</v>
      </c>
      <c r="AA205" s="2198">
        <f>+AA198-'VVP2'!AA$380</f>
        <v>4.9519256505475839</v>
      </c>
      <c r="AB205" s="2198">
        <f>+AB198-'VVP2'!AB$380</f>
        <v>0.82840458604873657</v>
      </c>
      <c r="AC205" s="2198">
        <f>+AC198-'VVP2'!AC$380</f>
        <v>0.33399872398889308</v>
      </c>
      <c r="AD205" s="2198">
        <f ca="1">+AD198-'VVP2'!AD$380</f>
        <v>0.58906129916806038</v>
      </c>
      <c r="AE205" s="2198">
        <f ca="1">+AE198-'VVP2'!AE$380</f>
        <v>1.0001261505634973</v>
      </c>
    </row>
    <row r="206" spans="1:31" s="749" customFormat="1" ht="12.75" customHeight="1">
      <c r="A206" s="714"/>
      <c r="B206" s="714"/>
      <c r="C206" s="822" t="s">
        <v>624</v>
      </c>
      <c r="D206" s="850"/>
      <c r="E206" s="851" t="s">
        <v>637</v>
      </c>
      <c r="F206" s="1572" t="s">
        <v>2105</v>
      </c>
      <c r="G206" s="881"/>
      <c r="H206" s="1569">
        <f ca="1">+H199-'VVP2'!H$380</f>
        <v>-3.4967440304239927</v>
      </c>
      <c r="I206" s="1569">
        <f>+I199-'VVP2'!I$380</f>
        <v>1.4679979296861934</v>
      </c>
      <c r="J206" s="1569">
        <f>+J199-'VVP2'!J$380</f>
        <v>0.24713732152448209</v>
      </c>
      <c r="K206" s="1569">
        <f>+K199-'VVP2'!K$380</f>
        <v>2.9205000823389726</v>
      </c>
      <c r="L206" s="1569">
        <f>+L199-'VVP2'!L$380</f>
        <v>-1.247825384888035</v>
      </c>
      <c r="M206" s="1569">
        <f>+M199-'VVP2'!M$380</f>
        <v>1.6988561466299457</v>
      </c>
      <c r="N206" s="1569">
        <f>+N199-'VVP2'!N$380</f>
        <v>2.6515209914814042</v>
      </c>
      <c r="O206" s="1569">
        <f>+O199-'VVP2'!O$380</f>
        <v>0.56020370707867695</v>
      </c>
      <c r="P206" s="1569">
        <f>+P199-'VVP2'!P$380</f>
        <v>-0.47651745693477743</v>
      </c>
      <c r="Q206" s="1569">
        <f>+Q199-'VVP2'!Q$380</f>
        <v>-0.89788341639953639</v>
      </c>
      <c r="R206" s="1569">
        <f>+R199-'VVP2'!R$380</f>
        <v>0.49809570465368935</v>
      </c>
      <c r="S206" s="1569">
        <f>+S199-'VVP2'!S$380</f>
        <v>0.61513127107073462</v>
      </c>
      <c r="T206" s="1569">
        <f>+T199-'VVP2'!T$380</f>
        <v>0.36459267676614004</v>
      </c>
      <c r="U206" s="1569">
        <f>+U199-'VVP2'!U$380</f>
        <v>1.547243254687547</v>
      </c>
      <c r="V206" s="2197">
        <f>+V199-'VVP2'!V$380</f>
        <v>-0.26740869624941599</v>
      </c>
      <c r="W206" s="2197">
        <f>+W199-'VVP2'!W$380</f>
        <v>1.6507676702737228E-2</v>
      </c>
      <c r="X206" s="2197">
        <f>+X199-'VVP2'!X$380</f>
        <v>1.1226051355919697</v>
      </c>
      <c r="Y206" s="2197">
        <f>+Y199-'VVP2'!Y$380</f>
        <v>1.7086458032282481</v>
      </c>
      <c r="Z206" s="2197">
        <f>+Z199-'VVP2'!Z$380</f>
        <v>0.38287668940846231</v>
      </c>
      <c r="AA206" s="2197">
        <f>+AA199-'VVP2'!AA$380</f>
        <v>-0.41549219923944225</v>
      </c>
      <c r="AB206" s="2197">
        <f>+AB199-'VVP2'!AB$380</f>
        <v>-1.3753592261596559</v>
      </c>
      <c r="AC206" s="2197">
        <f>+AC199-'VVP2'!AC$380</f>
        <v>-5.1322296742428719E-3</v>
      </c>
      <c r="AD206" s="2197">
        <f ca="1">+AD199-'VVP2'!AD$380</f>
        <v>-1.6333616656466139</v>
      </c>
      <c r="AE206" s="2197">
        <f ca="1">+AE199-'VVP2'!AE$380</f>
        <v>0.87101285676422058</v>
      </c>
    </row>
    <row r="207" spans="1:31" s="749" customFormat="1" ht="30" customHeight="1">
      <c r="A207" s="713"/>
      <c r="B207" s="713"/>
      <c r="C207" s="744"/>
      <c r="D207" s="720"/>
      <c r="F207" s="744"/>
      <c r="G207" s="1850"/>
      <c r="H207" s="1850"/>
      <c r="I207" s="1850"/>
      <c r="J207" s="1850"/>
      <c r="K207" s="1850"/>
      <c r="L207" s="1850"/>
      <c r="M207" s="1850"/>
      <c r="N207" s="1850"/>
      <c r="O207" s="1850"/>
      <c r="P207" s="1850"/>
      <c r="Q207" s="1850"/>
      <c r="R207" s="2199"/>
      <c r="S207" s="2199"/>
      <c r="T207" s="2996"/>
      <c r="U207" s="2199"/>
      <c r="V207" s="2827"/>
      <c r="W207" s="2827"/>
      <c r="X207" s="2827"/>
      <c r="Y207" s="2827"/>
      <c r="Z207" s="2827"/>
      <c r="AA207" s="2827"/>
      <c r="AB207" s="2827"/>
      <c r="AC207" s="2827"/>
      <c r="AD207" s="2827"/>
      <c r="AE207" s="2827"/>
    </row>
    <row r="208" spans="1:31" s="749" customFormat="1" ht="12.75" customHeight="1">
      <c r="A208" s="714"/>
      <c r="B208" s="714"/>
      <c r="C208" s="822"/>
      <c r="D208" s="823"/>
      <c r="E208" s="824" t="s">
        <v>1803</v>
      </c>
      <c r="F208" s="825"/>
      <c r="G208" s="826">
        <f>+InputY!$G$3</f>
        <v>1995</v>
      </c>
      <c r="H208" s="826">
        <f t="shared" ref="H208:S208" si="394">+G208+1</f>
        <v>1996</v>
      </c>
      <c r="I208" s="826">
        <f t="shared" si="394"/>
        <v>1997</v>
      </c>
      <c r="J208" s="826">
        <f t="shared" si="394"/>
        <v>1998</v>
      </c>
      <c r="K208" s="826">
        <f t="shared" si="394"/>
        <v>1999</v>
      </c>
      <c r="L208" s="826">
        <f t="shared" si="394"/>
        <v>2000</v>
      </c>
      <c r="M208" s="826">
        <f t="shared" si="394"/>
        <v>2001</v>
      </c>
      <c r="N208" s="826">
        <f t="shared" si="394"/>
        <v>2002</v>
      </c>
      <c r="O208" s="826">
        <f t="shared" si="394"/>
        <v>2003</v>
      </c>
      <c r="P208" s="826">
        <f>+O208+1</f>
        <v>2004</v>
      </c>
      <c r="Q208" s="826">
        <f t="shared" si="394"/>
        <v>2005</v>
      </c>
      <c r="R208" s="2163">
        <f t="shared" si="394"/>
        <v>2006</v>
      </c>
      <c r="S208" s="2163">
        <f t="shared" si="394"/>
        <v>2007</v>
      </c>
      <c r="T208" s="2163">
        <f t="shared" ref="T208:AE208" si="395">+S208+1</f>
        <v>2008</v>
      </c>
      <c r="U208" s="2163">
        <f t="shared" si="395"/>
        <v>2009</v>
      </c>
      <c r="V208" s="2163">
        <f t="shared" si="395"/>
        <v>2010</v>
      </c>
      <c r="W208" s="2163">
        <f t="shared" si="395"/>
        <v>2011</v>
      </c>
      <c r="X208" s="2163">
        <f t="shared" si="395"/>
        <v>2012</v>
      </c>
      <c r="Y208" s="2163">
        <f t="shared" si="395"/>
        <v>2013</v>
      </c>
      <c r="Z208" s="2163">
        <f t="shared" si="395"/>
        <v>2014</v>
      </c>
      <c r="AA208" s="2163">
        <f t="shared" si="395"/>
        <v>2015</v>
      </c>
      <c r="AB208" s="2163">
        <f t="shared" si="395"/>
        <v>2016</v>
      </c>
      <c r="AC208" s="2163">
        <f t="shared" si="395"/>
        <v>2017</v>
      </c>
      <c r="AD208" s="2163">
        <f t="shared" si="395"/>
        <v>2018</v>
      </c>
      <c r="AE208" s="2163">
        <f t="shared" si="395"/>
        <v>2019</v>
      </c>
    </row>
    <row r="209" spans="1:33" s="749" customFormat="1" ht="12.75" customHeight="1">
      <c r="A209" s="714">
        <f>+ROW(InputY!A186)</f>
        <v>186</v>
      </c>
      <c r="B209" s="714"/>
      <c r="C209" s="827" t="s">
        <v>622</v>
      </c>
      <c r="D209" s="718" t="s">
        <v>589</v>
      </c>
      <c r="E209" s="750" t="s">
        <v>829</v>
      </c>
      <c r="F209" s="751" t="str">
        <f>+InputY!B186</f>
        <v>$HComp</v>
      </c>
      <c r="G209" s="828">
        <f ca="1">+InputY!G186/1000</f>
        <v>4.0514000000000001</v>
      </c>
      <c r="H209" s="828">
        <f>+InputY!H186/1000</f>
        <v>4.0893000000000006</v>
      </c>
      <c r="I209" s="828">
        <f>+InputY!I186/1000</f>
        <v>4.0728999999999997</v>
      </c>
      <c r="J209" s="828">
        <f>+InputY!J186/1000</f>
        <v>4.0260999999999996</v>
      </c>
      <c r="K209" s="828">
        <f>+InputY!K186/1000</f>
        <v>4.1626000000000003</v>
      </c>
      <c r="L209" s="828">
        <f>+InputY!L186/1000</f>
        <v>4.1905000000000001</v>
      </c>
      <c r="M209" s="828">
        <f>+InputY!M186/1000</f>
        <v>4.2954999999999997</v>
      </c>
      <c r="N209" s="828">
        <f>+InputY!N186/1000</f>
        <v>4.5053999999999998</v>
      </c>
      <c r="O209" s="828">
        <f>+InputY!O186/1000</f>
        <v>4.6032000000000002</v>
      </c>
      <c r="P209" s="828">
        <f>+InputY!P186/1000</f>
        <v>4.7457000000000003</v>
      </c>
      <c r="Q209" s="828">
        <f>+InputY!Q186/1000</f>
        <v>4.7664999999999997</v>
      </c>
      <c r="R209" s="828">
        <f>+InputY!R186/1000</f>
        <v>4.8058999999999994</v>
      </c>
      <c r="S209" s="2956">
        <f>+InputY!S186/1000</f>
        <v>4.8887</v>
      </c>
      <c r="T209" s="2956">
        <f>+InputY!T186/1000</f>
        <v>5.0564999999999998</v>
      </c>
      <c r="U209" s="752">
        <f>+InputY!U186/1000</f>
        <v>5.0857000000000001</v>
      </c>
      <c r="V209" s="828">
        <f>+InputY!V186/1000</f>
        <v>5.1138000000000003</v>
      </c>
      <c r="W209" s="828">
        <f>+InputY!W186/1000</f>
        <v>5.2812999999999999</v>
      </c>
      <c r="X209" s="828">
        <f>+InputY!X186/1000</f>
        <v>5.4248000000000003</v>
      </c>
      <c r="Y209" s="828">
        <f>+InputY!Y186/1000</f>
        <v>5.3975</v>
      </c>
      <c r="Z209" s="828">
        <f>+InputY!Z186/1000</f>
        <v>5.3263999999999996</v>
      </c>
      <c r="AA209" s="828">
        <f>+InputY!AA186/1000</f>
        <v>5.2216000000000005</v>
      </c>
      <c r="AB209" s="828">
        <f>+InputY!AB186/1000</f>
        <v>5.3201999999999998</v>
      </c>
      <c r="AC209" s="2200">
        <f>+AB209*(1+AC221/100)</f>
        <v>5.4266040000000002</v>
      </c>
      <c r="AD209" s="2200">
        <f>+AC209*(1+AD221/100)</f>
        <v>5.5134296640000002</v>
      </c>
      <c r="AE209" s="2200">
        <f>+AD209*(1+AE221/100)</f>
        <v>5.6071579682879999</v>
      </c>
    </row>
    <row r="210" spans="1:33" s="749" customFormat="1" ht="12.75" customHeight="1">
      <c r="A210" s="714">
        <f>+ROW(InputY!A114)</f>
        <v>114</v>
      </c>
      <c r="B210" s="714">
        <v>103</v>
      </c>
      <c r="C210" s="829" t="s">
        <v>622</v>
      </c>
      <c r="D210" s="875" t="s">
        <v>590</v>
      </c>
      <c r="E210" s="876" t="s">
        <v>829</v>
      </c>
      <c r="F210" s="754" t="str">
        <f>+InputY!B114</f>
        <v>$EComp</v>
      </c>
      <c r="G210" s="756">
        <f ca="1">+InputY!G114/1000</f>
        <v>78.024600000000007</v>
      </c>
      <c r="H210" s="756">
        <f>+InputY!H114/1000</f>
        <v>79.593600000000009</v>
      </c>
      <c r="I210" s="756">
        <f>+InputY!I114/1000</f>
        <v>82.994</v>
      </c>
      <c r="J210" s="756">
        <f>+InputY!J114/1000</f>
        <v>86.278800000000004</v>
      </c>
      <c r="K210" s="756">
        <f>+InputY!K114/1000</f>
        <v>91.028300000000002</v>
      </c>
      <c r="L210" s="756">
        <f>+InputY!L114/1000</f>
        <v>95.554199999999994</v>
      </c>
      <c r="M210" s="756">
        <f>+InputY!M114/1000</f>
        <v>101.3082</v>
      </c>
      <c r="N210" s="756">
        <f>+InputY!N114/1000</f>
        <v>104.13200000000001</v>
      </c>
      <c r="O210" s="756">
        <f>+InputY!O114/1000</f>
        <v>105.36</v>
      </c>
      <c r="P210" s="756">
        <f>+InputY!P114/1000</f>
        <v>108.3762</v>
      </c>
      <c r="Q210" s="756">
        <f>+InputY!Q114/1000</f>
        <v>111.6694</v>
      </c>
      <c r="R210" s="756">
        <f>+InputY!R114/1000</f>
        <v>117.42230000000001</v>
      </c>
      <c r="S210" s="756">
        <f>+InputY!S114/1000</f>
        <v>124.37480000000001</v>
      </c>
      <c r="T210" s="756">
        <f>+InputY!T114/1000</f>
        <v>131.40810000000002</v>
      </c>
      <c r="U210" s="756">
        <f>+InputY!U114/1000</f>
        <v>130.78980000000001</v>
      </c>
      <c r="V210" s="756">
        <f>+InputY!V114/1000</f>
        <v>133.20660000000001</v>
      </c>
      <c r="W210" s="756">
        <f>+InputY!W114/1000</f>
        <v>139.57389999999998</v>
      </c>
      <c r="X210" s="756">
        <f>+InputY!X114/1000</f>
        <v>144.22560000000001</v>
      </c>
      <c r="Y210" s="756">
        <f>+InputY!Y114/1000</f>
        <v>146.68020000000001</v>
      </c>
      <c r="Z210" s="756">
        <f>+InputY!Z114/1000</f>
        <v>148.65279999999998</v>
      </c>
      <c r="AA210" s="756">
        <f>+InputY!AA114/1000</f>
        <v>150.15020000000001</v>
      </c>
      <c r="AB210" s="756">
        <f>+InputY!AB114/1000</f>
        <v>151.2167</v>
      </c>
      <c r="AC210" s="1603">
        <f>+AC214-AC209-AC211</f>
        <v>156.53889599999997</v>
      </c>
      <c r="AD210" s="1603">
        <f>+AD214-AD209-AD211</f>
        <v>162.57168400583615</v>
      </c>
      <c r="AE210" s="1603">
        <f>+AE214-AE209-AE211</f>
        <v>168.52508755156842</v>
      </c>
    </row>
    <row r="211" spans="1:33" s="749" customFormat="1" ht="12.75" customHeight="1">
      <c r="A211" s="714">
        <f>+ROW(InputY!A143)</f>
        <v>143</v>
      </c>
      <c r="B211" s="714">
        <v>120</v>
      </c>
      <c r="C211" s="829" t="s">
        <v>622</v>
      </c>
      <c r="D211" s="724" t="s">
        <v>591</v>
      </c>
      <c r="E211" s="830" t="s">
        <v>829</v>
      </c>
      <c r="F211" s="754" t="str">
        <f>+InputY!B143</f>
        <v>$AComp</v>
      </c>
      <c r="G211" s="756">
        <f>+InputY!G143/1000</f>
        <v>24.175999999999998</v>
      </c>
      <c r="H211" s="756">
        <f>+InputY!H143/1000</f>
        <v>24.9559</v>
      </c>
      <c r="I211" s="756">
        <f>+InputY!I143/1000</f>
        <v>25.796200000000002</v>
      </c>
      <c r="J211" s="756">
        <f>+InputY!J143/1000</f>
        <v>26.570900000000002</v>
      </c>
      <c r="K211" s="756">
        <f>+InputY!K143/1000</f>
        <v>27.7728</v>
      </c>
      <c r="L211" s="756">
        <f>+InputY!L143/1000</f>
        <v>28.776700000000002</v>
      </c>
      <c r="M211" s="756">
        <f>+InputY!M143/1000</f>
        <v>30.060200000000002</v>
      </c>
      <c r="N211" s="756">
        <f>+InputY!N143/1000</f>
        <v>32.275100000000002</v>
      </c>
      <c r="O211" s="756">
        <f>+InputY!O143/1000</f>
        <v>33.604199999999999</v>
      </c>
      <c r="P211" s="756">
        <f>+InputY!P143/1000</f>
        <v>34.612099999999998</v>
      </c>
      <c r="Q211" s="756">
        <f>+InputY!Q143/1000</f>
        <v>36.417699999999996</v>
      </c>
      <c r="R211" s="756">
        <f>+InputY!R143/1000</f>
        <v>38.011800000000001</v>
      </c>
      <c r="S211" s="756">
        <f>+InputY!S143/1000</f>
        <v>39.631699999999995</v>
      </c>
      <c r="T211" s="756">
        <f>+InputY!T143/1000</f>
        <v>41.896599999999999</v>
      </c>
      <c r="U211" s="756">
        <f>+InputY!U143/1000</f>
        <v>43.747800000000005</v>
      </c>
      <c r="V211" s="756">
        <f>+InputY!V143/1000</f>
        <v>44.9086</v>
      </c>
      <c r="W211" s="756">
        <f>+InputY!W143/1000</f>
        <v>46.770900000000005</v>
      </c>
      <c r="X211" s="756">
        <f>+InputY!X143/1000</f>
        <v>48.655199999999994</v>
      </c>
      <c r="Y211" s="756">
        <f>+InputY!Y143/1000</f>
        <v>50.193599999999996</v>
      </c>
      <c r="Z211" s="756">
        <f>+InputY!Z143/1000</f>
        <v>50.880300000000005</v>
      </c>
      <c r="AA211" s="756">
        <f>+InputY!AA143/1000</f>
        <v>51.093000000000004</v>
      </c>
      <c r="AB211" s="756">
        <f>+InputY!AB143/1000</f>
        <v>52.288199999999996</v>
      </c>
      <c r="AC211" s="756">
        <f>+InputY!AC143/1000</f>
        <v>53.776300000000006</v>
      </c>
      <c r="AD211" s="2135">
        <f>+AD189*AD29/1000</f>
        <v>54.768814395669409</v>
      </c>
      <c r="AE211" s="2135">
        <f>+AE189*AE29/1000</f>
        <v>55.860125941606945</v>
      </c>
      <c r="AG211" s="3340"/>
    </row>
    <row r="212" spans="1:33" s="749" customFormat="1" ht="12.75" customHeight="1">
      <c r="A212" s="714"/>
      <c r="B212" s="714"/>
      <c r="C212" s="829"/>
      <c r="D212" s="1054"/>
      <c r="E212" s="2898" t="s">
        <v>862</v>
      </c>
      <c r="F212" s="1882"/>
      <c r="G212" s="1882"/>
      <c r="H212" s="1882"/>
      <c r="I212" s="1882"/>
      <c r="J212" s="1882"/>
      <c r="K212" s="1882"/>
      <c r="L212" s="1882"/>
      <c r="M212" s="1882"/>
      <c r="N212" s="1882"/>
      <c r="O212" s="1882"/>
      <c r="P212" s="1882"/>
      <c r="Q212" s="1882"/>
      <c r="R212" s="1882"/>
      <c r="S212" s="1882"/>
      <c r="T212" s="1882"/>
      <c r="U212" s="1882"/>
      <c r="V212" s="1882"/>
      <c r="W212" s="1882"/>
      <c r="X212" s="1882"/>
      <c r="Y212" s="1882"/>
      <c r="Z212" s="1882"/>
      <c r="AA212" s="1882"/>
      <c r="AB212" s="1882"/>
      <c r="AC212" s="1882"/>
      <c r="AD212" s="1882"/>
      <c r="AE212" s="1882"/>
    </row>
    <row r="213" spans="1:33" s="749" customFormat="1" ht="12.75" customHeight="1">
      <c r="A213" s="714"/>
      <c r="B213" s="714"/>
      <c r="C213" s="829"/>
      <c r="D213" s="1054"/>
      <c r="E213" s="1882" t="s">
        <v>474</v>
      </c>
      <c r="F213" s="1883"/>
      <c r="G213" s="1043" t="e">
        <f>ABS(G189*G29/1000-G211)</f>
        <v>#VALUE!</v>
      </c>
      <c r="H213" s="1043">
        <f t="shared" ref="H213:R213" si="396">ABS(H189*H29/1000-H211)</f>
        <v>0</v>
      </c>
      <c r="I213" s="1043">
        <f t="shared" si="396"/>
        <v>0</v>
      </c>
      <c r="J213" s="1043">
        <f t="shared" si="396"/>
        <v>0</v>
      </c>
      <c r="K213" s="1043">
        <f t="shared" si="396"/>
        <v>0</v>
      </c>
      <c r="L213" s="1043">
        <f t="shared" si="396"/>
        <v>3.5527136788005009E-15</v>
      </c>
      <c r="M213" s="1043">
        <f t="shared" si="396"/>
        <v>3.5527136788005009E-15</v>
      </c>
      <c r="N213" s="1043">
        <f t="shared" si="396"/>
        <v>0</v>
      </c>
      <c r="O213" s="1043">
        <f t="shared" si="396"/>
        <v>0</v>
      </c>
      <c r="P213" s="1043">
        <f t="shared" si="396"/>
        <v>0</v>
      </c>
      <c r="Q213" s="1043">
        <f t="shared" si="396"/>
        <v>0</v>
      </c>
      <c r="R213" s="1043">
        <f t="shared" si="396"/>
        <v>0</v>
      </c>
      <c r="S213" s="2201">
        <f t="shared" ref="S213:X213" si="397">ABS(S189*S29/1000-S211)</f>
        <v>0</v>
      </c>
      <c r="T213" s="2201">
        <f t="shared" si="397"/>
        <v>0</v>
      </c>
      <c r="U213" s="2201">
        <f t="shared" si="397"/>
        <v>7.1054273576010019E-15</v>
      </c>
      <c r="V213" s="2201">
        <f t="shared" si="397"/>
        <v>0</v>
      </c>
      <c r="W213" s="2201">
        <f t="shared" si="397"/>
        <v>0</v>
      </c>
      <c r="X213" s="2201">
        <f t="shared" si="397"/>
        <v>7.1054273576010019E-15</v>
      </c>
      <c r="Y213" s="2201">
        <f t="shared" ref="Y213:Z213" si="398">ABS(Y189*Y29/1000-Y211)</f>
        <v>0</v>
      </c>
      <c r="Z213" s="2201">
        <f t="shared" si="398"/>
        <v>0</v>
      </c>
      <c r="AA213" s="2201">
        <f>ABS(AA189*AA29/1000-AA211)</f>
        <v>7.1054273576010019E-15</v>
      </c>
      <c r="AB213" s="2201">
        <f>ABS(AB189*AB29/1000-AB211)</f>
        <v>7.1054273576010019E-15</v>
      </c>
      <c r="AC213" s="2201">
        <f>ABS(AC189*AC29/1000-AC211)</f>
        <v>0.31533852051612143</v>
      </c>
      <c r="AD213" s="2201">
        <f>ABS(AD189*AD29/1000-AD211)</f>
        <v>0</v>
      </c>
      <c r="AE213" s="2201">
        <f>ABS(AE189*AE29/1000-AE211)</f>
        <v>0</v>
      </c>
    </row>
    <row r="214" spans="1:33" s="749" customFormat="1" ht="12.75" customHeight="1">
      <c r="A214" s="1869">
        <f>+ROW(InputY!A99)</f>
        <v>99</v>
      </c>
      <c r="B214" s="714">
        <v>61</v>
      </c>
      <c r="C214" s="829" t="s">
        <v>624</v>
      </c>
      <c r="D214" s="794"/>
      <c r="E214" s="795" t="s">
        <v>1473</v>
      </c>
      <c r="F214" s="796" t="s">
        <v>1787</v>
      </c>
      <c r="G214" s="843">
        <f ca="1">+InputY!G99/1000</f>
        <v>106.2641</v>
      </c>
      <c r="H214" s="843">
        <f>+InputY!H99/1000</f>
        <v>108.639</v>
      </c>
      <c r="I214" s="843">
        <f>+InputY!I99/1000</f>
        <v>112.863</v>
      </c>
      <c r="J214" s="843">
        <f>+InputY!J99/1000</f>
        <v>116.876</v>
      </c>
      <c r="K214" s="843">
        <f>+InputY!K99/1000</f>
        <v>122.96380000000001</v>
      </c>
      <c r="L214" s="843">
        <f>+InputY!L99/1000</f>
        <v>128.5214</v>
      </c>
      <c r="M214" s="843">
        <f>+InputY!M99/1000</f>
        <v>135.66420000000002</v>
      </c>
      <c r="N214" s="843">
        <f>+InputY!N99/1000</f>
        <v>140.91249999999999</v>
      </c>
      <c r="O214" s="843">
        <f>+InputY!O99/1000</f>
        <v>143.56739999999999</v>
      </c>
      <c r="P214" s="843">
        <f>+InputY!P99/1000</f>
        <v>147.73400000000001</v>
      </c>
      <c r="Q214" s="843">
        <f>+InputY!Q99/1000</f>
        <v>152.8537</v>
      </c>
      <c r="R214" s="843">
        <f>+InputY!R99/1000</f>
        <v>160.24</v>
      </c>
      <c r="S214" s="843">
        <f>+InputY!S99/1000</f>
        <v>168.89520000000002</v>
      </c>
      <c r="T214" s="843">
        <f>+InputY!T99/1000</f>
        <v>178.3613</v>
      </c>
      <c r="U214" s="843">
        <f>+InputY!U99/1000</f>
        <v>179.6233</v>
      </c>
      <c r="V214" s="843">
        <f>+InputY!V99/1000</f>
        <v>183.22900000000001</v>
      </c>
      <c r="W214" s="843">
        <f>+InputY!W99/1000</f>
        <v>191.62610000000001</v>
      </c>
      <c r="X214" s="843">
        <f>+InputY!X99/1000</f>
        <v>198.30549999999999</v>
      </c>
      <c r="Y214" s="843">
        <f>+InputY!Y99/1000</f>
        <v>202.2714</v>
      </c>
      <c r="Z214" s="843">
        <f>+InputY!Z99/1000</f>
        <v>204.84970000000001</v>
      </c>
      <c r="AA214" s="843">
        <f>+InputY!AA99/1000</f>
        <v>206.54179999999999</v>
      </c>
      <c r="AB214" s="843">
        <f>+InputY!AB99/1000</f>
        <v>209.14500000000001</v>
      </c>
      <c r="AC214" s="843">
        <f>+InputY!AC99/1000</f>
        <v>215.74179999999998</v>
      </c>
      <c r="AD214" s="2135">
        <f>+AD135+AD166</f>
        <v>222.85392806550556</v>
      </c>
      <c r="AE214" s="2135">
        <f>+AE135+AE166</f>
        <v>229.99237146146336</v>
      </c>
      <c r="AF214" s="559" t="s">
        <v>2733</v>
      </c>
    </row>
    <row r="215" spans="1:33" s="749" customFormat="1" ht="12.75" customHeight="1">
      <c r="A215" s="714"/>
      <c r="B215" s="714"/>
      <c r="C215" s="829"/>
      <c r="D215" s="1054"/>
      <c r="E215" s="1882" t="s">
        <v>474</v>
      </c>
      <c r="F215" s="1883"/>
      <c r="G215" s="1043">
        <f t="shared" ref="G215:X215" ca="1" si="399">ABS(+G209+G210+G211-G214)</f>
        <v>1.2099999999989564E-2</v>
      </c>
      <c r="H215" s="1043">
        <f t="shared" si="399"/>
        <v>1.9999999999242846E-4</v>
      </c>
      <c r="I215" s="1043">
        <f t="shared" si="399"/>
        <v>1.0000000000331966E-4</v>
      </c>
      <c r="J215" s="1043">
        <f t="shared" si="399"/>
        <v>2.0000000000663931E-4</v>
      </c>
      <c r="K215" s="1043">
        <f t="shared" si="399"/>
        <v>1.0000000000331966E-4</v>
      </c>
      <c r="L215" s="1043">
        <f t="shared" si="399"/>
        <v>0</v>
      </c>
      <c r="M215" s="1043">
        <f t="shared" si="399"/>
        <v>3.0000000000995897E-4</v>
      </c>
      <c r="N215" s="1043">
        <f t="shared" si="399"/>
        <v>0</v>
      </c>
      <c r="O215" s="1043">
        <f t="shared" si="399"/>
        <v>0</v>
      </c>
      <c r="P215" s="1043">
        <f t="shared" si="399"/>
        <v>2.8421709430404007E-14</v>
      </c>
      <c r="Q215" s="1043">
        <f t="shared" si="399"/>
        <v>1.0000000003174137E-4</v>
      </c>
      <c r="R215" s="1043">
        <f t="shared" si="399"/>
        <v>0</v>
      </c>
      <c r="S215" s="1043">
        <f t="shared" si="399"/>
        <v>0</v>
      </c>
      <c r="T215" s="2201">
        <f t="shared" si="399"/>
        <v>9.9999999974897946E-5</v>
      </c>
      <c r="U215" s="2201">
        <f t="shared" si="399"/>
        <v>2.8421709430404007E-14</v>
      </c>
      <c r="V215" s="2201">
        <f t="shared" si="399"/>
        <v>0</v>
      </c>
      <c r="W215" s="2201">
        <f t="shared" si="399"/>
        <v>2.8421709430404007E-14</v>
      </c>
      <c r="X215" s="2201">
        <f t="shared" si="399"/>
        <v>1.0000000003174137E-4</v>
      </c>
      <c r="Y215" s="2201">
        <f t="shared" ref="Y215:Z215" si="400">ABS(+Y209+Y210+Y211-Y214)</f>
        <v>9.9999999974897946E-5</v>
      </c>
      <c r="Z215" s="2201">
        <f t="shared" si="400"/>
        <v>9.7999999999842657E-3</v>
      </c>
      <c r="AA215" s="2201">
        <f>ABS(+AA209+AA210+AA211-AA214)</f>
        <v>7.6999999999969759E-2</v>
      </c>
      <c r="AB215" s="2201">
        <f>ABS(+AB209+AB210+AB211-AB214)</f>
        <v>0.31990000000001828</v>
      </c>
      <c r="AC215" s="2201">
        <f>ABS(+AC209+AC210+AC211-AC214)</f>
        <v>2.8421709430404007E-14</v>
      </c>
      <c r="AD215" s="2201">
        <f>ABS(+AD209+AD210+AD211-AD214)</f>
        <v>0</v>
      </c>
      <c r="AE215" s="2201">
        <f>ABS(+AE209+AE210+AE211-AE214)</f>
        <v>0</v>
      </c>
    </row>
    <row r="216" spans="1:33" s="749" customFormat="1" ht="12.75" customHeight="1">
      <c r="A216" s="1869">
        <f>+ROW(InputY!A233)</f>
        <v>233</v>
      </c>
      <c r="B216" s="714" t="s">
        <v>1985</v>
      </c>
      <c r="C216" s="829" t="s">
        <v>622</v>
      </c>
      <c r="D216" s="724" t="s">
        <v>592</v>
      </c>
      <c r="E216" s="830" t="s">
        <v>1474</v>
      </c>
      <c r="F216" s="754" t="s">
        <v>1475</v>
      </c>
      <c r="G216" s="756">
        <f>+InputY!G233/1000</f>
        <v>2.2342999999999997</v>
      </c>
      <c r="H216" s="756">
        <f>+InputY!H233/1000</f>
        <v>2.3316999999999997</v>
      </c>
      <c r="I216" s="756">
        <f>+InputY!I233/1000</f>
        <v>2.3239000000000001</v>
      </c>
      <c r="J216" s="756">
        <f>+InputY!J233/1000</f>
        <v>2.5118999999999998</v>
      </c>
      <c r="K216" s="756">
        <f>+InputY!K233/1000</f>
        <v>2.7225999999999999</v>
      </c>
      <c r="L216" s="756">
        <f>+InputY!L233/1000</f>
        <v>2.8831000000000002</v>
      </c>
      <c r="M216" s="756">
        <f>+InputY!M233/1000</f>
        <v>3.1494</v>
      </c>
      <c r="N216" s="756">
        <f>+InputY!N233/1000</f>
        <v>3.4529999999999994</v>
      </c>
      <c r="O216" s="756">
        <f>+InputY!O233/1000</f>
        <v>3.7520000000000007</v>
      </c>
      <c r="P216" s="756">
        <f>+InputY!P233/1000</f>
        <v>4.0817000000000005</v>
      </c>
      <c r="Q216" s="756">
        <f>+InputY!Q233/1000</f>
        <v>4.2413999999999996</v>
      </c>
      <c r="R216" s="756">
        <f>+InputY!R233/1000</f>
        <v>4.4915000000000003</v>
      </c>
      <c r="S216" s="1469">
        <f>+InputY!S233/1000</f>
        <v>4.6669</v>
      </c>
      <c r="T216" s="1469">
        <f>+InputY!T233/1000</f>
        <v>4.7388999999999992</v>
      </c>
      <c r="U216" s="1469">
        <f>+InputY!U233/1000</f>
        <v>4.9018000000000006</v>
      </c>
      <c r="V216" s="1469">
        <f>+InputY!V233/1000</f>
        <v>5.17</v>
      </c>
      <c r="W216" s="1469">
        <f>+InputY!W233/1000</f>
        <v>5.2298999999999998</v>
      </c>
      <c r="X216" s="1469">
        <f>+InputY!X233/1000</f>
        <v>5.3559999999999999</v>
      </c>
      <c r="Y216" s="1469">
        <f>+InputY!Y233/1000</f>
        <v>5.4399999999999995</v>
      </c>
      <c r="Z216" s="1469">
        <f>+InputY!Z233/1000</f>
        <v>5.6836000000000002</v>
      </c>
      <c r="AA216" s="1469">
        <f>+InputY!AA233/1000</f>
        <v>5.9424999999999999</v>
      </c>
      <c r="AB216" s="1469">
        <f>+InputY!AB233/1000</f>
        <v>6.0811000000000002</v>
      </c>
      <c r="AC216" s="2135">
        <f>+AC136+AC167</f>
        <v>6.2044129577492138</v>
      </c>
      <c r="AD216" s="2135">
        <f>+AD136+AD167</f>
        <v>6.3147035947375914</v>
      </c>
      <c r="AE216" s="2135">
        <f>+AE136+AE167</f>
        <v>6.3953502460162159</v>
      </c>
    </row>
    <row r="217" spans="1:33" s="749" customFormat="1" ht="12.75" customHeight="1">
      <c r="A217" s="714">
        <f>+ROW(InputY!A184)</f>
        <v>184</v>
      </c>
      <c r="B217" s="714">
        <v>87</v>
      </c>
      <c r="C217" s="831" t="s">
        <v>624</v>
      </c>
      <c r="D217" s="800" t="s">
        <v>589</v>
      </c>
      <c r="E217" s="801" t="s">
        <v>561</v>
      </c>
      <c r="F217" s="802" t="str">
        <f>+InputY!B184</f>
        <v>YHComp</v>
      </c>
      <c r="G217" s="832">
        <f ca="1">+InputY!G184/1000</f>
        <v>108.73860000000001</v>
      </c>
      <c r="H217" s="832">
        <f>+InputY!H184/1000</f>
        <v>110.9706</v>
      </c>
      <c r="I217" s="832">
        <f>+InputY!I184/1000</f>
        <v>115.187</v>
      </c>
      <c r="J217" s="832">
        <f>+InputY!J184/1000</f>
        <v>119.3878</v>
      </c>
      <c r="K217" s="832">
        <f>+InputY!K184/1000</f>
        <v>125.6863</v>
      </c>
      <c r="L217" s="832">
        <f>+InputY!L184/1000</f>
        <v>131.40450000000001</v>
      </c>
      <c r="M217" s="832">
        <f>+InputY!M184/1000</f>
        <v>138.8134</v>
      </c>
      <c r="N217" s="832">
        <f>+InputY!N184/1000</f>
        <v>144.3655</v>
      </c>
      <c r="O217" s="832">
        <f>+InputY!O184/1000</f>
        <v>147.3194</v>
      </c>
      <c r="P217" s="832">
        <f>+InputY!P184/1000</f>
        <v>151.81570000000002</v>
      </c>
      <c r="Q217" s="832">
        <f>+InputY!Q184/1000</f>
        <v>157.095</v>
      </c>
      <c r="R217" s="832">
        <f>+InputY!R184/1000</f>
        <v>164.73150000000001</v>
      </c>
      <c r="S217" s="832">
        <f>+InputY!S184/1000</f>
        <v>173.56210000000002</v>
      </c>
      <c r="T217" s="832">
        <f>+InputY!T184/1000</f>
        <v>183.1001</v>
      </c>
      <c r="U217" s="832">
        <f>+InputY!U184/1000</f>
        <v>184.52510000000001</v>
      </c>
      <c r="V217" s="832">
        <f>+InputY!V184/1000</f>
        <v>188.399</v>
      </c>
      <c r="W217" s="832">
        <f>+InputY!W184/1000</f>
        <v>196.85599999999999</v>
      </c>
      <c r="X217" s="832">
        <f>+InputY!X184/1000</f>
        <v>203.66159999999999</v>
      </c>
      <c r="Y217" s="832">
        <f>+InputY!Y184/1000</f>
        <v>207.7114</v>
      </c>
      <c r="Z217" s="832">
        <f>+InputY!Z184/1000</f>
        <v>210.5333</v>
      </c>
      <c r="AA217" s="832">
        <f>+InputY!AA184/1000</f>
        <v>212.48429999999999</v>
      </c>
      <c r="AB217" s="832">
        <f>+InputY!AB184/1000</f>
        <v>215.2261</v>
      </c>
      <c r="AC217" s="2200">
        <f>+AC214+AC216</f>
        <v>221.9462129577492</v>
      </c>
      <c r="AD217" s="2200">
        <f>+AD214+AD216</f>
        <v>229.16863166024314</v>
      </c>
      <c r="AE217" s="2200">
        <f>+AE214+AE216</f>
        <v>236.38772170747959</v>
      </c>
    </row>
    <row r="218" spans="1:33" s="1881" customFormat="1" ht="12.75" customHeight="1">
      <c r="A218" s="1039"/>
      <c r="B218" s="1039"/>
      <c r="C218" s="1501"/>
      <c r="D218" s="1054"/>
      <c r="E218" s="1882" t="s">
        <v>474</v>
      </c>
      <c r="F218" s="1883"/>
      <c r="G218" s="1043">
        <f ca="1">ABS(+G214+G216-G217)</f>
        <v>0.24020000000000152</v>
      </c>
      <c r="H218" s="1043">
        <f t="shared" ref="H218:X218" si="401">ABS(+H214+H216-H217)</f>
        <v>9.9999999989108801E-5</v>
      </c>
      <c r="I218" s="1043">
        <f t="shared" si="401"/>
        <v>1.0000000000331966E-4</v>
      </c>
      <c r="J218" s="1043">
        <f t="shared" si="401"/>
        <v>1.0000000000331966E-4</v>
      </c>
      <c r="K218" s="1043">
        <f t="shared" si="401"/>
        <v>1.0000000000331966E-4</v>
      </c>
      <c r="L218" s="1043">
        <f t="shared" si="401"/>
        <v>0</v>
      </c>
      <c r="M218" s="1043">
        <f t="shared" si="401"/>
        <v>2.0000000000663931E-4</v>
      </c>
      <c r="N218" s="1043">
        <f t="shared" si="401"/>
        <v>0</v>
      </c>
      <c r="O218" s="1043">
        <f t="shared" si="401"/>
        <v>0</v>
      </c>
      <c r="P218" s="1043">
        <f t="shared" si="401"/>
        <v>0</v>
      </c>
      <c r="Q218" s="1043">
        <f t="shared" si="401"/>
        <v>1.0000000000331966E-4</v>
      </c>
      <c r="R218" s="1043">
        <f t="shared" si="401"/>
        <v>0</v>
      </c>
      <c r="S218" s="2201">
        <f t="shared" si="401"/>
        <v>0</v>
      </c>
      <c r="T218" s="2201">
        <f>ABS(+T214+T216-T217)</f>
        <v>1.0000000000331966E-4</v>
      </c>
      <c r="U218" s="2201">
        <f>ABS(+U214+U216-U217)</f>
        <v>0</v>
      </c>
      <c r="V218" s="2201">
        <f t="shared" si="401"/>
        <v>0</v>
      </c>
      <c r="W218" s="2201">
        <f t="shared" si="401"/>
        <v>0</v>
      </c>
      <c r="X218" s="2201">
        <f t="shared" si="401"/>
        <v>1.0000000000331966E-4</v>
      </c>
      <c r="Y218" s="2201">
        <f t="shared" ref="Y218" si="402">ABS(+Y214+Y216-Y217)</f>
        <v>0</v>
      </c>
      <c r="Z218" s="2201">
        <f t="shared" ref="Z218:AE218" si="403">ABS(+Z214+Z216-Z217)</f>
        <v>2.8421709430404007E-14</v>
      </c>
      <c r="AA218" s="2201">
        <f t="shared" si="403"/>
        <v>0</v>
      </c>
      <c r="AB218" s="2201">
        <f t="shared" si="403"/>
        <v>0</v>
      </c>
      <c r="AC218" s="2201">
        <f t="shared" si="403"/>
        <v>0</v>
      </c>
      <c r="AD218" s="2201">
        <f t="shared" si="403"/>
        <v>0</v>
      </c>
      <c r="AE218" s="2201">
        <f t="shared" si="403"/>
        <v>0</v>
      </c>
    </row>
    <row r="219" spans="1:33" s="749" customFormat="1">
      <c r="A219" s="714"/>
      <c r="B219" s="713"/>
      <c r="C219" s="744"/>
      <c r="D219" s="720"/>
      <c r="F219" s="744"/>
      <c r="N219" s="3392"/>
      <c r="O219" s="3392"/>
      <c r="P219" s="3392"/>
      <c r="Q219" s="3392"/>
      <c r="R219" s="3392"/>
      <c r="S219" s="3392"/>
      <c r="T219" s="3392"/>
      <c r="U219" s="3392"/>
      <c r="V219" s="3392"/>
      <c r="W219" s="3392"/>
      <c r="X219" s="3392"/>
      <c r="Y219" s="3392"/>
      <c r="Z219" s="2168"/>
      <c r="AA219" s="2168"/>
      <c r="AB219" s="2168"/>
      <c r="AC219" s="2168"/>
      <c r="AD219" s="2168"/>
      <c r="AE219" s="2168"/>
    </row>
    <row r="220" spans="1:33" s="749" customFormat="1" ht="12.75" customHeight="1">
      <c r="A220" s="714"/>
      <c r="B220" s="714"/>
      <c r="C220" s="822"/>
      <c r="D220" s="790"/>
      <c r="E220" s="791" t="s">
        <v>1804</v>
      </c>
      <c r="F220" s="792"/>
      <c r="G220" s="793">
        <f>+InputY!$G$3</f>
        <v>1995</v>
      </c>
      <c r="H220" s="793">
        <f t="shared" ref="H220:S220" si="404">+G220+1</f>
        <v>1996</v>
      </c>
      <c r="I220" s="793">
        <f t="shared" si="404"/>
        <v>1997</v>
      </c>
      <c r="J220" s="793">
        <f t="shared" si="404"/>
        <v>1998</v>
      </c>
      <c r="K220" s="793">
        <f t="shared" si="404"/>
        <v>1999</v>
      </c>
      <c r="L220" s="793">
        <f t="shared" si="404"/>
        <v>2000</v>
      </c>
      <c r="M220" s="793">
        <f t="shared" si="404"/>
        <v>2001</v>
      </c>
      <c r="N220" s="793">
        <f t="shared" si="404"/>
        <v>2002</v>
      </c>
      <c r="O220" s="793">
        <f t="shared" si="404"/>
        <v>2003</v>
      </c>
      <c r="P220" s="793">
        <f>+O220+1</f>
        <v>2004</v>
      </c>
      <c r="Q220" s="793">
        <f>+P220+1</f>
        <v>2005</v>
      </c>
      <c r="R220" s="2126">
        <f t="shared" si="404"/>
        <v>2006</v>
      </c>
      <c r="S220" s="2126">
        <f t="shared" si="404"/>
        <v>2007</v>
      </c>
      <c r="T220" s="2126">
        <f t="shared" ref="T220:AE220" si="405">+S220+1</f>
        <v>2008</v>
      </c>
      <c r="U220" s="2126">
        <f t="shared" si="405"/>
        <v>2009</v>
      </c>
      <c r="V220" s="2126">
        <f t="shared" si="405"/>
        <v>2010</v>
      </c>
      <c r="W220" s="2126">
        <f t="shared" si="405"/>
        <v>2011</v>
      </c>
      <c r="X220" s="2126">
        <f t="shared" si="405"/>
        <v>2012</v>
      </c>
      <c r="Y220" s="2126">
        <f t="shared" si="405"/>
        <v>2013</v>
      </c>
      <c r="Z220" s="2126">
        <f t="shared" si="405"/>
        <v>2014</v>
      </c>
      <c r="AA220" s="2126">
        <f t="shared" si="405"/>
        <v>2015</v>
      </c>
      <c r="AB220" s="2126">
        <f t="shared" si="405"/>
        <v>2016</v>
      </c>
      <c r="AC220" s="2126">
        <f t="shared" si="405"/>
        <v>2017</v>
      </c>
      <c r="AD220" s="2126">
        <f t="shared" si="405"/>
        <v>2018</v>
      </c>
      <c r="AE220" s="2126">
        <f t="shared" si="405"/>
        <v>2019</v>
      </c>
    </row>
    <row r="221" spans="1:33" s="749" customFormat="1" ht="12.75" customHeight="1">
      <c r="A221" s="714"/>
      <c r="B221" s="714"/>
      <c r="C221" s="839" t="s">
        <v>622</v>
      </c>
      <c r="D221" s="739" t="s">
        <v>589</v>
      </c>
      <c r="E221" s="787" t="s">
        <v>829</v>
      </c>
      <c r="F221" s="782" t="s">
        <v>1937</v>
      </c>
      <c r="G221" s="788"/>
      <c r="H221" s="788">
        <f t="shared" ref="H221:AB222" ca="1" si="406">(H209/G209-1)*100</f>
        <v>0.93547909364666282</v>
      </c>
      <c r="I221" s="788">
        <f t="shared" si="406"/>
        <v>-0.4010466338982388</v>
      </c>
      <c r="J221" s="788">
        <f t="shared" si="406"/>
        <v>-1.1490584104692059</v>
      </c>
      <c r="K221" s="788">
        <f t="shared" si="406"/>
        <v>3.3903777849531913</v>
      </c>
      <c r="L221" s="788">
        <f t="shared" si="406"/>
        <v>0.67025416806802962</v>
      </c>
      <c r="M221" s="788">
        <f t="shared" si="406"/>
        <v>2.5056675814341789</v>
      </c>
      <c r="N221" s="788">
        <f t="shared" si="406"/>
        <v>4.8865091374694414</v>
      </c>
      <c r="O221" s="788">
        <f t="shared" si="406"/>
        <v>2.1707284591823139</v>
      </c>
      <c r="P221" s="788">
        <f t="shared" si="406"/>
        <v>3.0956725755995951</v>
      </c>
      <c r="Q221" s="788">
        <f t="shared" si="406"/>
        <v>0.43829150599488109</v>
      </c>
      <c r="R221" s="788">
        <f t="shared" si="406"/>
        <v>0.82660232875275685</v>
      </c>
      <c r="S221" s="788">
        <f t="shared" si="406"/>
        <v>1.7228822905179131</v>
      </c>
      <c r="T221" s="788">
        <f t="shared" si="406"/>
        <v>3.4324053429336976</v>
      </c>
      <c r="U221" s="788">
        <f t="shared" si="406"/>
        <v>0.57747453772372115</v>
      </c>
      <c r="V221" s="788">
        <f t="shared" si="406"/>
        <v>0.55252964193719389</v>
      </c>
      <c r="W221" s="788">
        <f t="shared" si="406"/>
        <v>3.2754507411318246</v>
      </c>
      <c r="X221" s="788">
        <f t="shared" si="406"/>
        <v>2.7171340389676946</v>
      </c>
      <c r="Y221" s="788">
        <f t="shared" si="406"/>
        <v>-0.50324435923905231</v>
      </c>
      <c r="Z221" s="788">
        <f t="shared" si="406"/>
        <v>-1.3172765169059852</v>
      </c>
      <c r="AA221" s="788">
        <f t="shared" si="406"/>
        <v>-1.9675578251727055</v>
      </c>
      <c r="AB221" s="788">
        <f t="shared" si="406"/>
        <v>1.8883100965221278</v>
      </c>
      <c r="AC221" s="4044">
        <v>2</v>
      </c>
      <c r="AD221" s="4044">
        <v>1.6</v>
      </c>
      <c r="AE221" s="4044">
        <v>1.7</v>
      </c>
      <c r="AF221" s="559"/>
    </row>
    <row r="222" spans="1:33" s="749" customFormat="1" ht="12.75" customHeight="1">
      <c r="A222" s="714"/>
      <c r="B222" s="714"/>
      <c r="C222" s="840" t="s">
        <v>622</v>
      </c>
      <c r="D222" s="875" t="s">
        <v>590</v>
      </c>
      <c r="E222" s="876" t="s">
        <v>829</v>
      </c>
      <c r="F222" s="754" t="s">
        <v>1468</v>
      </c>
      <c r="G222" s="756"/>
      <c r="H222" s="756">
        <f t="shared" ref="H222:W222" ca="1" si="407">(H210/G210-1)*100</f>
        <v>2.0109042532739707</v>
      </c>
      <c r="I222" s="756">
        <f t="shared" si="407"/>
        <v>4.2722027901740622</v>
      </c>
      <c r="J222" s="756">
        <f t="shared" si="407"/>
        <v>3.9578764729980564</v>
      </c>
      <c r="K222" s="756">
        <f t="shared" si="407"/>
        <v>5.5048285326175117</v>
      </c>
      <c r="L222" s="756">
        <f t="shared" si="407"/>
        <v>4.971970255404079</v>
      </c>
      <c r="M222" s="756">
        <f t="shared" si="407"/>
        <v>6.0217133312821414</v>
      </c>
      <c r="N222" s="756">
        <f t="shared" si="407"/>
        <v>2.7873360695383154</v>
      </c>
      <c r="O222" s="756">
        <f t="shared" si="407"/>
        <v>1.1792724618753025</v>
      </c>
      <c r="P222" s="756">
        <f t="shared" si="407"/>
        <v>2.8627562642369098</v>
      </c>
      <c r="Q222" s="756">
        <f t="shared" si="407"/>
        <v>3.038674542934694</v>
      </c>
      <c r="R222" s="756">
        <f t="shared" si="407"/>
        <v>5.1517246443520071</v>
      </c>
      <c r="S222" s="756">
        <f t="shared" si="407"/>
        <v>5.9209366534295427</v>
      </c>
      <c r="T222" s="756">
        <f t="shared" si="407"/>
        <v>5.654923666208922</v>
      </c>
      <c r="U222" s="756">
        <f t="shared" si="407"/>
        <v>-0.4705189406132515</v>
      </c>
      <c r="V222" s="756">
        <f t="shared" si="407"/>
        <v>1.8478505204534201</v>
      </c>
      <c r="W222" s="756">
        <f t="shared" si="407"/>
        <v>4.7800184074963115</v>
      </c>
      <c r="X222" s="756">
        <f t="shared" si="406"/>
        <v>3.3327864307008959</v>
      </c>
      <c r="Y222" s="756">
        <f t="shared" si="406"/>
        <v>1.7019169967051662</v>
      </c>
      <c r="Z222" s="983">
        <f t="shared" ref="Z222:AE223" si="408">(Z210/Y210-1)*100</f>
        <v>1.3448304542807987</v>
      </c>
      <c r="AA222" s="983">
        <f t="shared" si="408"/>
        <v>1.0073136866577848</v>
      </c>
      <c r="AB222" s="983">
        <f t="shared" si="408"/>
        <v>0.71028876418413045</v>
      </c>
      <c r="AC222" s="983">
        <f t="shared" si="408"/>
        <v>3.5195821625521262</v>
      </c>
      <c r="AD222" s="983">
        <f t="shared" si="408"/>
        <v>3.8538587916425504</v>
      </c>
      <c r="AE222" s="983">
        <f t="shared" si="408"/>
        <v>3.6620175168503133</v>
      </c>
    </row>
    <row r="223" spans="1:33" s="749" customFormat="1" ht="12.75" customHeight="1">
      <c r="A223" s="714"/>
      <c r="B223" s="714"/>
      <c r="C223" s="840" t="s">
        <v>622</v>
      </c>
      <c r="D223" s="724" t="s">
        <v>591</v>
      </c>
      <c r="E223" s="830" t="s">
        <v>829</v>
      </c>
      <c r="F223" s="754" t="s">
        <v>1081</v>
      </c>
      <c r="G223" s="756"/>
      <c r="H223" s="756">
        <f t="shared" ref="H223:Y223" si="409">(H211/G211-1)*100</f>
        <v>3.2259265387160951</v>
      </c>
      <c r="I223" s="756">
        <f t="shared" si="409"/>
        <v>3.3671396343149418</v>
      </c>
      <c r="J223" s="756">
        <f t="shared" si="409"/>
        <v>3.0031555035237689</v>
      </c>
      <c r="K223" s="756">
        <f t="shared" si="409"/>
        <v>4.5233695508996696</v>
      </c>
      <c r="L223" s="756">
        <f t="shared" si="409"/>
        <v>3.6146877520451648</v>
      </c>
      <c r="M223" s="756">
        <f t="shared" si="409"/>
        <v>4.4602056524896794</v>
      </c>
      <c r="N223" s="756">
        <f t="shared" si="409"/>
        <v>7.3682144496709956</v>
      </c>
      <c r="O223" s="756">
        <f t="shared" si="409"/>
        <v>4.1180352655762364</v>
      </c>
      <c r="P223" s="756">
        <f t="shared" si="409"/>
        <v>2.9993274650192525</v>
      </c>
      <c r="Q223" s="756">
        <f t="shared" si="409"/>
        <v>5.2166727820617709</v>
      </c>
      <c r="R223" s="756">
        <f t="shared" si="409"/>
        <v>4.3772670981418571</v>
      </c>
      <c r="S223" s="756">
        <f t="shared" si="409"/>
        <v>4.2615714067736787</v>
      </c>
      <c r="T223" s="756">
        <f t="shared" si="409"/>
        <v>5.7148696624167217</v>
      </c>
      <c r="U223" s="756">
        <f t="shared" si="409"/>
        <v>4.4184969663409568</v>
      </c>
      <c r="V223" s="756">
        <f t="shared" si="409"/>
        <v>2.6533905704972494</v>
      </c>
      <c r="W223" s="756">
        <f t="shared" si="409"/>
        <v>4.1468671924753897</v>
      </c>
      <c r="X223" s="1469">
        <f t="shared" si="409"/>
        <v>4.0287871304593104</v>
      </c>
      <c r="Y223" s="1469">
        <f t="shared" si="409"/>
        <v>3.1618408720959001</v>
      </c>
      <c r="Z223" s="1469">
        <f t="shared" si="408"/>
        <v>1.3681027063211504</v>
      </c>
      <c r="AA223" s="1469">
        <f t="shared" si="408"/>
        <v>0.41803998797176334</v>
      </c>
      <c r="AB223" s="1469">
        <f t="shared" si="408"/>
        <v>2.3392636956138579</v>
      </c>
      <c r="AC223" s="2202">
        <f t="shared" si="408"/>
        <v>2.8459575965514405</v>
      </c>
      <c r="AD223" s="2202">
        <f t="shared" si="408"/>
        <v>1.8456353368852207</v>
      </c>
      <c r="AE223" s="2202">
        <f t="shared" si="408"/>
        <v>1.9925783641280059</v>
      </c>
    </row>
    <row r="224" spans="1:33" s="749" customFormat="1" ht="12.75" customHeight="1">
      <c r="A224" s="714"/>
      <c r="B224" s="714"/>
      <c r="C224" s="840" t="s">
        <v>624</v>
      </c>
      <c r="D224" s="766"/>
      <c r="E224" s="771" t="s">
        <v>1473</v>
      </c>
      <c r="F224" s="772" t="s">
        <v>1787</v>
      </c>
      <c r="G224" s="770"/>
      <c r="H224" s="770">
        <f t="shared" ref="H224:U224" ca="1" si="410">(H214/G214-1)*100</f>
        <v>2.2349034151703195</v>
      </c>
      <c r="I224" s="770">
        <f t="shared" si="410"/>
        <v>3.8881064810979415</v>
      </c>
      <c r="J224" s="770">
        <f t="shared" si="410"/>
        <v>3.5556382516856777</v>
      </c>
      <c r="K224" s="770">
        <f t="shared" si="410"/>
        <v>5.2087682672233848</v>
      </c>
      <c r="L224" s="770">
        <f t="shared" si="410"/>
        <v>4.5197041730980825</v>
      </c>
      <c r="M224" s="770">
        <f t="shared" si="410"/>
        <v>5.5576736636856028</v>
      </c>
      <c r="N224" s="770">
        <f t="shared" si="410"/>
        <v>3.8685961366373478</v>
      </c>
      <c r="O224" s="770">
        <f t="shared" si="410"/>
        <v>1.8840769981371297</v>
      </c>
      <c r="P224" s="770">
        <f t="shared" si="410"/>
        <v>2.902190887346312</v>
      </c>
      <c r="Q224" s="770">
        <f t="shared" si="410"/>
        <v>3.4654852640556566</v>
      </c>
      <c r="R224" s="770">
        <f t="shared" si="410"/>
        <v>4.8322677174317707</v>
      </c>
      <c r="S224" s="770">
        <f t="shared" si="410"/>
        <v>5.4013979031452886</v>
      </c>
      <c r="T224" s="770">
        <f t="shared" si="410"/>
        <v>5.6047181921096589</v>
      </c>
      <c r="U224" s="770">
        <f t="shared" si="410"/>
        <v>0.70755259128520986</v>
      </c>
      <c r="V224" s="770">
        <f t="shared" ref="V224:AE224" si="411">(V214/U214-1)*100</f>
        <v>2.0073676410577113</v>
      </c>
      <c r="W224" s="770">
        <f t="shared" si="411"/>
        <v>4.5828444187328454</v>
      </c>
      <c r="X224" s="2223">
        <f t="shared" si="411"/>
        <v>3.4856420915522435</v>
      </c>
      <c r="Y224" s="2223">
        <f t="shared" si="411"/>
        <v>1.9998941027858486</v>
      </c>
      <c r="Z224" s="2223">
        <f t="shared" si="411"/>
        <v>1.2746735326892633</v>
      </c>
      <c r="AA224" s="2223">
        <f t="shared" si="411"/>
        <v>0.82602024801596841</v>
      </c>
      <c r="AB224" s="2223">
        <f t="shared" si="411"/>
        <v>1.260374413314902</v>
      </c>
      <c r="AC224" s="2223">
        <f t="shared" si="411"/>
        <v>3.1541753329029865</v>
      </c>
      <c r="AD224" s="2223">
        <f t="shared" si="411"/>
        <v>3.2965925312135047</v>
      </c>
      <c r="AE224" s="2223">
        <f t="shared" si="411"/>
        <v>3.2031938848569697</v>
      </c>
    </row>
    <row r="225" spans="1:31" s="749" customFormat="1" ht="12.75" customHeight="1">
      <c r="A225" s="714"/>
      <c r="B225" s="714"/>
      <c r="C225" s="841" t="s">
        <v>622</v>
      </c>
      <c r="D225" s="741" t="s">
        <v>592</v>
      </c>
      <c r="E225" s="842" t="s">
        <v>1474</v>
      </c>
      <c r="F225" s="982" t="s">
        <v>1475</v>
      </c>
      <c r="G225" s="789"/>
      <c r="H225" s="789">
        <f t="shared" ref="H225:U225" si="412">(H216/G216-1)*100</f>
        <v>4.3593071655552151</v>
      </c>
      <c r="I225" s="789">
        <f t="shared" si="412"/>
        <v>-0.33451987820043438</v>
      </c>
      <c r="J225" s="789">
        <f t="shared" si="412"/>
        <v>8.0898489607986512</v>
      </c>
      <c r="K225" s="789">
        <f t="shared" si="412"/>
        <v>8.3880727735976777</v>
      </c>
      <c r="L225" s="789">
        <f t="shared" si="412"/>
        <v>5.8951002717990253</v>
      </c>
      <c r="M225" s="789">
        <f t="shared" si="412"/>
        <v>9.2365856196455098</v>
      </c>
      <c r="N225" s="789">
        <f t="shared" si="412"/>
        <v>9.6399314155076965</v>
      </c>
      <c r="O225" s="789">
        <f t="shared" si="412"/>
        <v>8.6591369823342479</v>
      </c>
      <c r="P225" s="789">
        <f t="shared" si="412"/>
        <v>8.7873134328358091</v>
      </c>
      <c r="Q225" s="789">
        <f t="shared" si="412"/>
        <v>3.9125854423401885</v>
      </c>
      <c r="R225" s="789">
        <f t="shared" si="412"/>
        <v>5.8966379025793492</v>
      </c>
      <c r="S225" s="789">
        <f t="shared" si="412"/>
        <v>3.9051541801179868</v>
      </c>
      <c r="T225" s="789">
        <f t="shared" si="412"/>
        <v>1.542780003856925</v>
      </c>
      <c r="U225" s="789">
        <f t="shared" si="412"/>
        <v>3.4375065943573757</v>
      </c>
      <c r="V225" s="789">
        <f>(V216/U216-1)*100</f>
        <v>5.4714594638703984</v>
      </c>
      <c r="W225" s="789">
        <f>(W216/V216-1)*100</f>
        <v>1.1586073500967187</v>
      </c>
      <c r="X225" s="2203">
        <f t="shared" ref="X225:AE226" si="413">(X216/W216-1)*100</f>
        <v>2.4111359681829425</v>
      </c>
      <c r="Y225" s="2203">
        <f t="shared" si="413"/>
        <v>1.5683345780433067</v>
      </c>
      <c r="Z225" s="2203">
        <f t="shared" si="413"/>
        <v>4.4779411764706012</v>
      </c>
      <c r="AA225" s="2203">
        <f t="shared" si="413"/>
        <v>4.555211485678079</v>
      </c>
      <c r="AB225" s="2203">
        <f t="shared" si="413"/>
        <v>2.3323517038283503</v>
      </c>
      <c r="AC225" s="2203">
        <f t="shared" si="413"/>
        <v>2.0278067742548922</v>
      </c>
      <c r="AD225" s="2203">
        <f t="shared" si="413"/>
        <v>1.7776159926722102</v>
      </c>
      <c r="AE225" s="2203">
        <f t="shared" si="413"/>
        <v>1.2771248890578457</v>
      </c>
    </row>
    <row r="226" spans="1:31" s="749" customFormat="1" ht="12.75" customHeight="1">
      <c r="A226" s="714"/>
      <c r="B226" s="714"/>
      <c r="C226" s="822" t="s">
        <v>624</v>
      </c>
      <c r="D226" s="766" t="s">
        <v>589</v>
      </c>
      <c r="E226" s="771" t="s">
        <v>561</v>
      </c>
      <c r="F226" s="772" t="s">
        <v>729</v>
      </c>
      <c r="G226" s="770"/>
      <c r="H226" s="770">
        <f t="shared" ref="H226:U226" ca="1" si="414">(H217/G217-1)*100</f>
        <v>2.0526289652432528</v>
      </c>
      <c r="I226" s="770">
        <f t="shared" si="414"/>
        <v>3.7995649298102396</v>
      </c>
      <c r="J226" s="770">
        <f t="shared" si="414"/>
        <v>3.646939324750198</v>
      </c>
      <c r="K226" s="770">
        <f t="shared" si="414"/>
        <v>5.2756646826560116</v>
      </c>
      <c r="L226" s="770">
        <f t="shared" si="414"/>
        <v>4.5495809805842002</v>
      </c>
      <c r="M226" s="770">
        <f t="shared" si="414"/>
        <v>5.638239177501525</v>
      </c>
      <c r="N226" s="770">
        <f t="shared" si="414"/>
        <v>3.9996859092854109</v>
      </c>
      <c r="O226" s="770">
        <f t="shared" si="414"/>
        <v>2.0461259788522979</v>
      </c>
      <c r="P226" s="770">
        <f t="shared" si="414"/>
        <v>3.0520759655551233</v>
      </c>
      <c r="Q226" s="770">
        <f t="shared" si="414"/>
        <v>3.4774400803078809</v>
      </c>
      <c r="R226" s="770">
        <f t="shared" si="414"/>
        <v>4.8610713262675631</v>
      </c>
      <c r="S226" s="770">
        <f t="shared" si="414"/>
        <v>5.3606019492325352</v>
      </c>
      <c r="T226" s="770">
        <f t="shared" si="414"/>
        <v>5.4954393845199956</v>
      </c>
      <c r="U226" s="770">
        <f t="shared" si="414"/>
        <v>0.77826281908093264</v>
      </c>
      <c r="V226" s="770">
        <f>(V217/U217-1)*100</f>
        <v>2.0993891887878702</v>
      </c>
      <c r="W226" s="770">
        <f>(W217/V217-1)*100</f>
        <v>4.4888773294974982</v>
      </c>
      <c r="X226" s="2223">
        <f t="shared" si="413"/>
        <v>3.457146340472228</v>
      </c>
      <c r="Y226" s="2223">
        <f t="shared" si="413"/>
        <v>1.9884946401285353</v>
      </c>
      <c r="Z226" s="2223">
        <f t="shared" si="413"/>
        <v>1.3585677049983813</v>
      </c>
      <c r="AA226" s="2223">
        <f t="shared" si="413"/>
        <v>0.92669425691802587</v>
      </c>
      <c r="AB226" s="2223">
        <f t="shared" si="413"/>
        <v>1.2903541579307287</v>
      </c>
      <c r="AC226" s="2223">
        <f t="shared" si="413"/>
        <v>3.1223503830386745</v>
      </c>
      <c r="AD226" s="2223">
        <f t="shared" si="413"/>
        <v>3.2541301814727586</v>
      </c>
      <c r="AE226" s="2223">
        <f t="shared" si="413"/>
        <v>3.150121373478032</v>
      </c>
    </row>
    <row r="227" spans="1:31" s="749" customFormat="1">
      <c r="A227" s="713"/>
      <c r="B227" s="713"/>
      <c r="C227" s="744"/>
      <c r="D227" s="720"/>
      <c r="F227" s="744"/>
      <c r="Q227" s="359"/>
      <c r="R227" s="2168"/>
      <c r="S227" s="2168"/>
      <c r="T227" s="2168"/>
      <c r="U227" s="2168"/>
      <c r="V227" s="2168"/>
      <c r="W227" s="2168"/>
      <c r="X227" s="2168"/>
      <c r="Y227" s="2168"/>
      <c r="Z227" s="2168"/>
      <c r="AA227" s="2168"/>
      <c r="AB227" s="2168"/>
      <c r="AC227" s="2168"/>
      <c r="AD227" s="2168"/>
      <c r="AE227" s="2168"/>
    </row>
    <row r="228" spans="1:31" s="749" customFormat="1" ht="12.75" customHeight="1">
      <c r="A228" s="714"/>
      <c r="B228" s="714"/>
      <c r="C228" s="822"/>
      <c r="D228" s="858"/>
      <c r="E228" s="859" t="s">
        <v>1805</v>
      </c>
      <c r="F228" s="860"/>
      <c r="G228" s="865">
        <f>+InputY!$G$3</f>
        <v>1995</v>
      </c>
      <c r="H228" s="861">
        <f t="shared" ref="H228:R228" si="415">+G228+1</f>
        <v>1996</v>
      </c>
      <c r="I228" s="861">
        <f t="shared" si="415"/>
        <v>1997</v>
      </c>
      <c r="J228" s="861">
        <f t="shared" si="415"/>
        <v>1998</v>
      </c>
      <c r="K228" s="861">
        <f t="shared" si="415"/>
        <v>1999</v>
      </c>
      <c r="L228" s="861">
        <f t="shared" si="415"/>
        <v>2000</v>
      </c>
      <c r="M228" s="861">
        <f t="shared" si="415"/>
        <v>2001</v>
      </c>
      <c r="N228" s="861">
        <f t="shared" si="415"/>
        <v>2002</v>
      </c>
      <c r="O228" s="861">
        <f t="shared" si="415"/>
        <v>2003</v>
      </c>
      <c r="P228" s="861">
        <f>+O228+1</f>
        <v>2004</v>
      </c>
      <c r="Q228" s="861">
        <f>+P228+1</f>
        <v>2005</v>
      </c>
      <c r="R228" s="2196">
        <f t="shared" si="415"/>
        <v>2006</v>
      </c>
      <c r="S228" s="2196">
        <f t="shared" ref="S228:X228" si="416">+R228+1</f>
        <v>2007</v>
      </c>
      <c r="T228" s="2196">
        <f t="shared" si="416"/>
        <v>2008</v>
      </c>
      <c r="U228" s="2196">
        <f t="shared" si="416"/>
        <v>2009</v>
      </c>
      <c r="V228" s="2196">
        <f t="shared" si="416"/>
        <v>2010</v>
      </c>
      <c r="W228" s="2196">
        <f t="shared" si="416"/>
        <v>2011</v>
      </c>
      <c r="X228" s="2196">
        <f t="shared" si="416"/>
        <v>2012</v>
      </c>
      <c r="Y228" s="2196">
        <f t="shared" ref="Y228:AE228" si="417">+X228+1</f>
        <v>2013</v>
      </c>
      <c r="Z228" s="2196">
        <f t="shared" si="417"/>
        <v>2014</v>
      </c>
      <c r="AA228" s="2196">
        <f t="shared" si="417"/>
        <v>2015</v>
      </c>
      <c r="AB228" s="2196">
        <f t="shared" si="417"/>
        <v>2016</v>
      </c>
      <c r="AC228" s="2196">
        <f t="shared" si="417"/>
        <v>2017</v>
      </c>
      <c r="AD228" s="2196">
        <f t="shared" si="417"/>
        <v>2018</v>
      </c>
      <c r="AE228" s="2196">
        <f t="shared" si="417"/>
        <v>2019</v>
      </c>
    </row>
    <row r="229" spans="1:31" s="749" customFormat="1" ht="12.75" customHeight="1">
      <c r="A229" s="714"/>
      <c r="B229" s="714"/>
      <c r="C229" s="866" t="s">
        <v>622</v>
      </c>
      <c r="D229" s="867" t="s">
        <v>589</v>
      </c>
      <c r="E229" s="868" t="s">
        <v>829</v>
      </c>
      <c r="F229" s="869" t="s">
        <v>1937</v>
      </c>
      <c r="G229" s="878">
        <f ca="1">+G209/'VVP2'!G$355</f>
        <v>1.9174521559859683E-2</v>
      </c>
      <c r="H229" s="878">
        <f>+H209/'VVP2'!H$355</f>
        <v>1.8936994309593672E-2</v>
      </c>
      <c r="I229" s="878">
        <f>+I209/'VVP2'!I$355</f>
        <v>1.8024177684785547E-2</v>
      </c>
      <c r="J229" s="878">
        <f>+J209/'VVP2'!J$355</f>
        <v>1.7169631403695516E-2</v>
      </c>
      <c r="K229" s="878">
        <f>+K209/'VVP2'!K$355</f>
        <v>1.7044049364113568E-2</v>
      </c>
      <c r="L229" s="878">
        <f>+L209/'VVP2'!L$355</f>
        <v>1.6228284189573314E-2</v>
      </c>
      <c r="M229" s="878">
        <f>+M209/'VVP2'!M$355</f>
        <v>1.6161352414176086E-2</v>
      </c>
      <c r="N229" s="878">
        <f>+N209/'VVP2'!N$355</f>
        <v>1.6379395277699715E-2</v>
      </c>
      <c r="O229" s="878">
        <f>+O209/'VVP2'!O$355</f>
        <v>1.6286643798660117E-2</v>
      </c>
      <c r="P229" s="878">
        <f>+P209/'VVP2'!P$355</f>
        <v>1.5887272907440912E-2</v>
      </c>
      <c r="Q229" s="878">
        <f>+Q209/'VVP2'!Q$355</f>
        <v>1.5302708866806557E-2</v>
      </c>
      <c r="R229" s="878">
        <f>+R209/'VVP2'!R$355</f>
        <v>1.4712144445284592E-2</v>
      </c>
      <c r="S229" s="878">
        <f>+S209/'VVP2'!S$355</f>
        <v>1.4181963230228089E-2</v>
      </c>
      <c r="T229" s="878">
        <f>+T209/'VVP2'!T$355</f>
        <v>1.428123973531481E-2</v>
      </c>
      <c r="U229" s="878">
        <f>+U209/'VVP2'!U$355</f>
        <v>1.458135202853595E-2</v>
      </c>
      <c r="V229" s="2204">
        <f>+V209/'VVP2'!V$355</f>
        <v>1.4006554359690004E-2</v>
      </c>
      <c r="W229" s="2204">
        <f>+W209/'VVP2'!W$355</f>
        <v>1.393092122183145E-2</v>
      </c>
      <c r="X229" s="2204">
        <f>+X209/'VVP2'!X$355</f>
        <v>1.3999480258198645E-2</v>
      </c>
      <c r="Y229" s="2204">
        <f>+Y209/'VVP2'!Y$355</f>
        <v>1.3757207400319826E-2</v>
      </c>
      <c r="Z229" s="2204">
        <f>+Z209/'VVP2'!Z$355</f>
        <v>1.3306412729628301E-2</v>
      </c>
      <c r="AA229" s="2204">
        <f>+AA209/'VVP2'!AA$355</f>
        <v>1.272210570633318E-2</v>
      </c>
      <c r="AB229" s="2204">
        <f>+AB209/'VVP2'!AB$355</f>
        <v>1.2575866023840298E-2</v>
      </c>
      <c r="AC229" s="2204">
        <f>+AC209/'VVP2'!AC$355</f>
        <v>1.2375814338747588E-2</v>
      </c>
      <c r="AD229" s="2204">
        <f ca="1">+AD209/'VVP2'!AD$355</f>
        <v>1.2160913870019876E-2</v>
      </c>
      <c r="AE229" s="2204">
        <f ca="1">+AE209/'VVP2'!AE$355</f>
        <v>1.1954516331172692E-2</v>
      </c>
    </row>
    <row r="230" spans="1:31" s="749" customFormat="1" ht="12.75" customHeight="1">
      <c r="A230" s="714"/>
      <c r="B230" s="714"/>
      <c r="C230" s="870" t="s">
        <v>622</v>
      </c>
      <c r="D230" s="724" t="s">
        <v>590</v>
      </c>
      <c r="E230" s="830" t="s">
        <v>829</v>
      </c>
      <c r="F230" s="754" t="s">
        <v>1468</v>
      </c>
      <c r="G230" s="879">
        <f ca="1">+G210/'VVP2'!G$355</f>
        <v>0.36927589843003106</v>
      </c>
      <c r="H230" s="879">
        <f>+H210/'VVP2'!H$355</f>
        <v>0.36858717880323649</v>
      </c>
      <c r="I230" s="879">
        <f>+I210/'VVP2'!I$355</f>
        <v>0.3672809552827449</v>
      </c>
      <c r="J230" s="879">
        <f>+J210/'VVP2'!J$355</f>
        <v>0.36794297060509296</v>
      </c>
      <c r="K230" s="879">
        <f>+K210/'VVP2'!K$355</f>
        <v>0.37272157755521523</v>
      </c>
      <c r="L230" s="879">
        <f>+L210/'VVP2'!L$355</f>
        <v>0.37004670399888467</v>
      </c>
      <c r="M230" s="879">
        <f>+M210/'VVP2'!M$355</f>
        <v>0.38116110409634124</v>
      </c>
      <c r="N230" s="879">
        <f>+N210/'VVP2'!N$355</f>
        <v>0.37857219981742507</v>
      </c>
      <c r="O230" s="879">
        <f>+O210/'VVP2'!O$355</f>
        <v>0.37277563230509858</v>
      </c>
      <c r="P230" s="879">
        <f>+P210/'VVP2'!P$355</f>
        <v>0.36281312895281992</v>
      </c>
      <c r="Q230" s="879">
        <f>+Q210/'VVP2'!Q$355</f>
        <v>0.35851134323528128</v>
      </c>
      <c r="R230" s="879">
        <f>+R210/'VVP2'!R$355</f>
        <v>0.35946104552686103</v>
      </c>
      <c r="S230" s="879">
        <f>+S210/'VVP2'!S$355</f>
        <v>0.36080733944954135</v>
      </c>
      <c r="T230" s="879">
        <f>+T210/'VVP2'!T$355</f>
        <v>0.37114023123943879</v>
      </c>
      <c r="U230" s="879">
        <f>+U210/'VVP2'!U$355</f>
        <v>0.37499107606461479</v>
      </c>
      <c r="V230" s="2138">
        <f>+V210/'VVP2'!V$355</f>
        <v>0.36484913058185348</v>
      </c>
      <c r="W230" s="2138">
        <f>+W210/'VVP2'!W$355</f>
        <v>0.36816560421180022</v>
      </c>
      <c r="X230" s="2138">
        <f>+X210/'VVP2'!X$355</f>
        <v>0.37219500072387085</v>
      </c>
      <c r="Y230" s="2138">
        <f>+Y210/'VVP2'!Y$355</f>
        <v>0.37386010799821995</v>
      </c>
      <c r="Z230" s="2138">
        <f>+Z210/'VVP2'!Z$355</f>
        <v>0.37136443192679669</v>
      </c>
      <c r="AA230" s="2138">
        <f>+AA210/'VVP2'!AA$355</f>
        <v>0.36583168305252572</v>
      </c>
      <c r="AB230" s="2138">
        <f>+AB210/'VVP2'!AB$355</f>
        <v>0.35744538922733188</v>
      </c>
      <c r="AC230" s="2138">
        <f>+AC210/'VVP2'!AC$355</f>
        <v>0.35699975780221238</v>
      </c>
      <c r="AD230" s="2138">
        <f ca="1">+AD210/'VVP2'!AD$355</f>
        <v>0.35858265496847391</v>
      </c>
      <c r="AE230" s="2138">
        <f ca="1">+AE210/'VVP2'!AE$355</f>
        <v>0.35929715601764101</v>
      </c>
    </row>
    <row r="231" spans="1:31" s="749" customFormat="1" ht="12.75" customHeight="1">
      <c r="A231" s="714"/>
      <c r="B231" s="714"/>
      <c r="C231" s="870" t="s">
        <v>622</v>
      </c>
      <c r="D231" s="724" t="s">
        <v>591</v>
      </c>
      <c r="E231" s="830" t="s">
        <v>829</v>
      </c>
      <c r="F231" s="754" t="s">
        <v>1081</v>
      </c>
      <c r="G231" s="879">
        <f ca="1">+G211/'VVP2'!G$355</f>
        <v>0.11442050482084407</v>
      </c>
      <c r="H231" s="879">
        <f>+H211/'VVP2'!H$355</f>
        <v>0.11556739204528615</v>
      </c>
      <c r="I231" s="879">
        <f>+I211/'VVP2'!I$355</f>
        <v>0.11415828829390974</v>
      </c>
      <c r="J231" s="879">
        <f>+J211/'VVP2'!J$355</f>
        <v>0.11331376743360901</v>
      </c>
      <c r="K231" s="879">
        <f>+K211/'VVP2'!K$355</f>
        <v>0.11371762220238632</v>
      </c>
      <c r="L231" s="879">
        <f>+L211/'VVP2'!L$355</f>
        <v>0.11144170519940208</v>
      </c>
      <c r="M231" s="879">
        <f>+M211/'VVP2'!M$355</f>
        <v>0.1130982390503122</v>
      </c>
      <c r="N231" s="879">
        <f>+N211/'VVP2'!N$355</f>
        <v>0.11733622331586234</v>
      </c>
      <c r="O231" s="879">
        <f>+O211/'VVP2'!O$355</f>
        <v>0.11889547174551057</v>
      </c>
      <c r="P231" s="879">
        <f>+P211/'VVP2'!P$355</f>
        <v>0.1158716055797112</v>
      </c>
      <c r="Q231" s="879">
        <f>+Q211/'VVP2'!Q$355</f>
        <v>0.1169179609144448</v>
      </c>
      <c r="R231" s="879">
        <f>+R211/'VVP2'!R$355</f>
        <v>0.1163642797863603</v>
      </c>
      <c r="S231" s="879">
        <f>+S211/'VVP2'!S$355</f>
        <v>0.11497030133807157</v>
      </c>
      <c r="T231" s="879">
        <f>+T211/'VVP2'!T$355</f>
        <v>0.11832994931169592</v>
      </c>
      <c r="U231" s="879">
        <f>+U211/'VVP2'!U$355</f>
        <v>0.12543053508346641</v>
      </c>
      <c r="V231" s="879">
        <f>+V211/'VVP2'!V$355</f>
        <v>0.12300339221666362</v>
      </c>
      <c r="W231" s="2138">
        <f>+W211/'VVP2'!W$355</f>
        <v>0.12337146599779536</v>
      </c>
      <c r="X231" s="2138">
        <f>+X211/'VVP2'!X$355</f>
        <v>0.12556177404857444</v>
      </c>
      <c r="Y231" s="2138">
        <f>+Y211/'VVP2'!Y$355</f>
        <v>0.12793400006830813</v>
      </c>
      <c r="Z231" s="2138">
        <f>+Z211/'VVP2'!Z$355</f>
        <v>0.12710916784456799</v>
      </c>
      <c r="AA231" s="2138">
        <f>+AA211/'VVP2'!AA$355</f>
        <v>0.1244849369644709</v>
      </c>
      <c r="AB231" s="2138">
        <f>+AB211/'VVP2'!AB$355</f>
        <v>0.12359862370357622</v>
      </c>
      <c r="AC231" s="2138">
        <f>+AC211/'VVP2'!AC$355</f>
        <v>0.12264125125489016</v>
      </c>
      <c r="AD231" s="2138">
        <f ca="1">+AD211/'VVP2'!AD$355</f>
        <v>0.12080299835468081</v>
      </c>
      <c r="AE231" s="2138">
        <f ca="1">+AE211/'VVP2'!AE$355</f>
        <v>0.11909434184073703</v>
      </c>
    </row>
    <row r="232" spans="1:31" s="749" customFormat="1" ht="12.75" customHeight="1">
      <c r="A232" s="714"/>
      <c r="B232" s="714"/>
      <c r="C232" s="870" t="s">
        <v>624</v>
      </c>
      <c r="D232" s="850"/>
      <c r="E232" s="851" t="s">
        <v>1473</v>
      </c>
      <c r="F232" s="852" t="s">
        <v>1787</v>
      </c>
      <c r="G232" s="881">
        <f ca="1">+G214/'VVP2'!G$355</f>
        <v>0.50292819185691007</v>
      </c>
      <c r="H232" s="881">
        <f>+H214/'VVP2'!H$355</f>
        <v>0.50309249133102163</v>
      </c>
      <c r="I232" s="881">
        <f>+I214/'VVP2'!I$355</f>
        <v>0.49946297872227435</v>
      </c>
      <c r="J232" s="881">
        <f>+J214/'VVP2'!J$355</f>
        <v>0.49842722235868886</v>
      </c>
      <c r="K232" s="881">
        <f>+K214/'VVP2'!K$355</f>
        <v>0.50348365857852972</v>
      </c>
      <c r="L232" s="881">
        <f>+L214/'VVP2'!L$355</f>
        <v>0.49771669338786012</v>
      </c>
      <c r="M232" s="881">
        <f>+M214/'VVP2'!M$355</f>
        <v>0.51042182427826044</v>
      </c>
      <c r="N232" s="881">
        <f>+N214/'VVP2'!N$355</f>
        <v>0.51228781841098714</v>
      </c>
      <c r="O232" s="881">
        <f>+O214/'VVP2'!O$355</f>
        <v>0.50795774784926928</v>
      </c>
      <c r="P232" s="881">
        <f>+P214/'VVP2'!P$355</f>
        <v>0.49457200743997204</v>
      </c>
      <c r="Q232" s="881">
        <f>+Q214/'VVP2'!Q$355</f>
        <v>0.49073233406360844</v>
      </c>
      <c r="R232" s="881">
        <f>+R214/'VVP2'!R$355</f>
        <v>0.49053746975850593</v>
      </c>
      <c r="S232" s="881">
        <f>+S214/'VVP2'!S$355</f>
        <v>0.48995960401784105</v>
      </c>
      <c r="T232" s="881">
        <f>+T214/'VVP2'!T$355</f>
        <v>0.5037517027197479</v>
      </c>
      <c r="U232" s="881">
        <f>+U214/'VVP2'!U$355</f>
        <v>0.51500296317661709</v>
      </c>
      <c r="V232" s="2205">
        <f>+V214/'VVP2'!V$355</f>
        <v>0.5018590771582071</v>
      </c>
      <c r="W232" s="2205">
        <f>+W214/'VVP2'!W$355</f>
        <v>0.50546799143142707</v>
      </c>
      <c r="X232" s="2205">
        <f>+X214/'VVP2'!X$355</f>
        <v>0.51175599696619434</v>
      </c>
      <c r="Y232" s="2205">
        <f>+Y214/'VVP2'!Y$355</f>
        <v>0.51555157034794841</v>
      </c>
      <c r="Z232" s="2205">
        <f>+Z214/'VVP2'!Z$355</f>
        <v>0.51175553014053377</v>
      </c>
      <c r="AA232" s="2205">
        <f>+AA214/'VVP2'!AA$355</f>
        <v>0.5032263314647476</v>
      </c>
      <c r="AB232" s="2205">
        <f>+AB214/'VVP2'!AB$355</f>
        <v>0.49437605720763866</v>
      </c>
      <c r="AC232" s="2205">
        <f>+AC214/'VVP2'!AC$355</f>
        <v>0.49201682339585012</v>
      </c>
      <c r="AD232" s="2205">
        <f ca="1">+AD214/'VVP2'!AD$355</f>
        <v>0.49154656719317463</v>
      </c>
      <c r="AE232" s="2205">
        <f ca="1">+AE214/'VVP2'!AE$355</f>
        <v>0.49034601418955071</v>
      </c>
    </row>
    <row r="233" spans="1:31" s="749" customFormat="1" ht="12.75" customHeight="1">
      <c r="A233" s="714"/>
      <c r="B233" s="714"/>
      <c r="C233" s="871" t="s">
        <v>622</v>
      </c>
      <c r="D233" s="872" t="s">
        <v>592</v>
      </c>
      <c r="E233" s="873" t="s">
        <v>1474</v>
      </c>
      <c r="F233" s="874" t="s">
        <v>1475</v>
      </c>
      <c r="G233" s="880">
        <f ca="1">+G216/'VVP2'!G$355</f>
        <v>1.0574525724735766E-2</v>
      </c>
      <c r="H233" s="880">
        <f>+H216/'VVP2'!H$355</f>
        <v>1.0797786817225333E-2</v>
      </c>
      <c r="I233" s="880">
        <f>+I216/'VVP2'!I$355</f>
        <v>1.0284167674549616E-2</v>
      </c>
      <c r="J233" s="880">
        <f>+J216/'VVP2'!J$355</f>
        <v>1.0712202161631048E-2</v>
      </c>
      <c r="K233" s="880">
        <f>+K216/'VVP2'!K$355</f>
        <v>1.1147871234020947E-2</v>
      </c>
      <c r="L233" s="880">
        <f>+L216/'VVP2'!L$355</f>
        <v>1.1165198937348485E-2</v>
      </c>
      <c r="M233" s="880">
        <f>+M216/'VVP2'!M$355</f>
        <v>1.1849275589152873E-2</v>
      </c>
      <c r="N233" s="880">
        <f>+N216/'VVP2'!N$355</f>
        <v>1.255339190613422E-2</v>
      </c>
      <c r="O233" s="880">
        <f>+O216/'VVP2'!O$355</f>
        <v>1.327500163637747E-2</v>
      </c>
      <c r="P233" s="880">
        <f>+P216/'VVP2'!P$355</f>
        <v>1.3664387092800129E-2</v>
      </c>
      <c r="Q233" s="880">
        <f>+Q216/'VVP2'!Q$355</f>
        <v>1.3616890671913004E-2</v>
      </c>
      <c r="R233" s="880">
        <f>+R216/'VVP2'!R$355</f>
        <v>1.3749682010860766E-2</v>
      </c>
      <c r="S233" s="880">
        <f>+S216/'VVP2'!S$355</f>
        <v>1.3538528483881497E-2</v>
      </c>
      <c r="T233" s="880">
        <f>+T216/'VVP2'!T$355</f>
        <v>1.3384231579488448E-2</v>
      </c>
      <c r="U233" s="880">
        <f>+U216/'VVP2'!U$355</f>
        <v>1.4054087219749009E-2</v>
      </c>
      <c r="V233" s="2206">
        <f>+V216/'VVP2'!V$355</f>
        <v>1.4160484578903617E-2</v>
      </c>
      <c r="W233" s="2206">
        <f>+W216/'VVP2'!W$355</f>
        <v>1.3795339196420635E-2</v>
      </c>
      <c r="X233" s="2206">
        <f>+X216/'VVP2'!X$355</f>
        <v>1.3821931916920795E-2</v>
      </c>
      <c r="Y233" s="2206">
        <f>+Y216/'VVP2'!Y$355</f>
        <v>1.3865531868038879E-2</v>
      </c>
      <c r="Z233" s="2206">
        <f>+Z216/'VVP2'!Z$355</f>
        <v>1.4198769786368921E-2</v>
      </c>
      <c r="AA233" s="2206">
        <f>+AA216/'VVP2'!AA$355</f>
        <v>1.4478534004880672E-2</v>
      </c>
      <c r="AB233" s="2206">
        <f>+AB216/'VVP2'!AB$355</f>
        <v>1.4374478192093388E-2</v>
      </c>
      <c r="AC233" s="2206">
        <f>+AC216/'VVP2'!AC$355</f>
        <v>1.4149671294611518E-2</v>
      </c>
      <c r="AD233" s="2206">
        <f ca="1">+AD216/'VVP2'!AD$355</f>
        <v>1.3928275358571572E-2</v>
      </c>
      <c r="AE233" s="2206">
        <f ca="1">+AE216/'VVP2'!AE$355</f>
        <v>1.3634950074879588E-2</v>
      </c>
    </row>
    <row r="234" spans="1:31" s="749" customFormat="1" ht="12.75" customHeight="1">
      <c r="A234" s="714"/>
      <c r="B234" s="714"/>
      <c r="C234" s="822" t="s">
        <v>624</v>
      </c>
      <c r="D234" s="850" t="s">
        <v>589</v>
      </c>
      <c r="E234" s="851" t="s">
        <v>561</v>
      </c>
      <c r="F234" s="852" t="s">
        <v>729</v>
      </c>
      <c r="G234" s="881">
        <f ca="1">+G217/'VVP2'!G$355</f>
        <v>0.51463953944043006</v>
      </c>
      <c r="H234" s="881">
        <f>+H217/'VVP2'!H$355</f>
        <v>0.51388981506179432</v>
      </c>
      <c r="I234" s="881">
        <f>+I217/'VVP2'!I$355</f>
        <v>0.50974758893598981</v>
      </c>
      <c r="J234" s="881">
        <f>+J217/'VVP2'!J$355</f>
        <v>0.50913899806217422</v>
      </c>
      <c r="K234" s="881">
        <f>+K217/'VVP2'!K$355</f>
        <v>0.5146311203557361</v>
      </c>
      <c r="L234" s="881">
        <f>+L217/'VVP2'!L$355</f>
        <v>0.50888189232520864</v>
      </c>
      <c r="M234" s="881">
        <f>+M217/'VVP2'!M$355</f>
        <v>0.52227034738912603</v>
      </c>
      <c r="N234" s="881">
        <f>+N217/'VVP2'!N$355</f>
        <v>0.52484121031712139</v>
      </c>
      <c r="O234" s="881">
        <f>+O217/'VVP2'!O$355</f>
        <v>0.5212327494856468</v>
      </c>
      <c r="P234" s="881">
        <f>+P217/'VVP2'!P$355</f>
        <v>0.50823639453277225</v>
      </c>
      <c r="Q234" s="881">
        <f>+Q217/'VVP2'!Q$355</f>
        <v>0.50434890368844565</v>
      </c>
      <c r="R234" s="881">
        <f>+R217/'VVP2'!R$355</f>
        <v>0.50428715176936667</v>
      </c>
      <c r="S234" s="881">
        <f>+S217/'VVP2'!S$355</f>
        <v>0.50349813250172248</v>
      </c>
      <c r="T234" s="881">
        <f>+T217/'VVP2'!T$355</f>
        <v>0.51713565186593791</v>
      </c>
      <c r="U234" s="881">
        <f>+U217/'VVP2'!U$355</f>
        <v>0.52905705039636619</v>
      </c>
      <c r="V234" s="2205">
        <f>+V217/'VVP2'!V$355</f>
        <v>0.51601956173711072</v>
      </c>
      <c r="W234" s="2205">
        <f>+W217/'VVP2'!W$355</f>
        <v>0.51926333062784769</v>
      </c>
      <c r="X234" s="2205">
        <f>+X217/'VVP2'!X$355</f>
        <v>0.52557818694756464</v>
      </c>
      <c r="Y234" s="2205">
        <f>+Y217/'VVP2'!Y$355</f>
        <v>0.52941710221598726</v>
      </c>
      <c r="Z234" s="2205">
        <f>+Z217/'VVP2'!Z$355</f>
        <v>0.52595429992690268</v>
      </c>
      <c r="AA234" s="2205">
        <f>+AA217/'VVP2'!AA$355</f>
        <v>0.51770486546962835</v>
      </c>
      <c r="AB234" s="2205">
        <f>+AB217/'VVP2'!AB$355</f>
        <v>0.50875053539973203</v>
      </c>
      <c r="AC234" s="2205">
        <f>+AC217/'VVP2'!AC$355</f>
        <v>0.5061664946904616</v>
      </c>
      <c r="AD234" s="2205">
        <f ca="1">+AD217/'VVP2'!AD$355</f>
        <v>0.50547484255174613</v>
      </c>
      <c r="AE234" s="2205">
        <f ca="1">+AE217/'VVP2'!AE$355</f>
        <v>0.50398096426443029</v>
      </c>
    </row>
    <row r="235" spans="1:31" s="749" customFormat="1">
      <c r="A235" s="713"/>
      <c r="B235" s="713"/>
      <c r="C235" s="744"/>
      <c r="D235" s="720"/>
      <c r="F235" s="744"/>
      <c r="T235" s="2168"/>
      <c r="U235" s="2168"/>
      <c r="V235" s="2827"/>
      <c r="W235" s="2827"/>
      <c r="X235" s="2827"/>
      <c r="Y235" s="2827"/>
      <c r="Z235" s="2827"/>
      <c r="AA235" s="2827"/>
      <c r="AB235" s="2827"/>
      <c r="AC235" s="2827"/>
      <c r="AD235" s="2827"/>
      <c r="AE235" s="2827"/>
    </row>
    <row r="236" spans="1:31" s="749" customFormat="1" ht="12.75" customHeight="1">
      <c r="A236" s="714"/>
      <c r="B236" s="714"/>
      <c r="C236" s="822"/>
      <c r="D236" s="858"/>
      <c r="E236" s="859" t="s">
        <v>1360</v>
      </c>
      <c r="F236" s="860"/>
      <c r="G236" s="865">
        <f>+InputY!$G$3</f>
        <v>1995</v>
      </c>
      <c r="H236" s="861">
        <f t="shared" ref="H236:O236" si="418">+G236+1</f>
        <v>1996</v>
      </c>
      <c r="I236" s="861">
        <f t="shared" si="418"/>
        <v>1997</v>
      </c>
      <c r="J236" s="861">
        <f t="shared" si="418"/>
        <v>1998</v>
      </c>
      <c r="K236" s="861">
        <f t="shared" si="418"/>
        <v>1999</v>
      </c>
      <c r="L236" s="861">
        <f t="shared" si="418"/>
        <v>2000</v>
      </c>
      <c r="M236" s="861">
        <f t="shared" si="418"/>
        <v>2001</v>
      </c>
      <c r="N236" s="861">
        <f t="shared" si="418"/>
        <v>2002</v>
      </c>
      <c r="O236" s="861">
        <f t="shared" si="418"/>
        <v>2003</v>
      </c>
      <c r="P236" s="861">
        <f t="shared" ref="P236:U236" si="419">+O236+1</f>
        <v>2004</v>
      </c>
      <c r="Q236" s="861">
        <f t="shared" si="419"/>
        <v>2005</v>
      </c>
      <c r="R236" s="861">
        <f>+Q236+1</f>
        <v>2006</v>
      </c>
      <c r="S236" s="861">
        <f>+R236+1</f>
        <v>2007</v>
      </c>
      <c r="T236" s="2196">
        <f t="shared" si="419"/>
        <v>2008</v>
      </c>
      <c r="U236" s="2196">
        <f t="shared" si="419"/>
        <v>2009</v>
      </c>
      <c r="V236" s="2196">
        <f t="shared" ref="V236:AE236" si="420">+U236+1</f>
        <v>2010</v>
      </c>
      <c r="W236" s="2196">
        <f t="shared" si="420"/>
        <v>2011</v>
      </c>
      <c r="X236" s="2196">
        <f t="shared" si="420"/>
        <v>2012</v>
      </c>
      <c r="Y236" s="2196">
        <f t="shared" si="420"/>
        <v>2013</v>
      </c>
      <c r="Z236" s="2196">
        <f t="shared" si="420"/>
        <v>2014</v>
      </c>
      <c r="AA236" s="2196">
        <f t="shared" si="420"/>
        <v>2015</v>
      </c>
      <c r="AB236" s="2196">
        <f t="shared" si="420"/>
        <v>2016</v>
      </c>
      <c r="AC236" s="2196">
        <f t="shared" si="420"/>
        <v>2017</v>
      </c>
      <c r="AD236" s="2196">
        <f t="shared" si="420"/>
        <v>2018</v>
      </c>
      <c r="AE236" s="2196">
        <f t="shared" si="420"/>
        <v>2019</v>
      </c>
    </row>
    <row r="237" spans="1:31" s="749" customFormat="1" ht="12.75" customHeight="1">
      <c r="A237" s="714"/>
      <c r="B237" s="714"/>
      <c r="C237" s="854" t="s">
        <v>622</v>
      </c>
      <c r="D237" s="1565" t="s">
        <v>589</v>
      </c>
      <c r="E237" s="1566" t="s">
        <v>561</v>
      </c>
      <c r="F237" s="1567" t="s">
        <v>729</v>
      </c>
      <c r="G237" s="1568">
        <f ca="1">+G217/Sector1!G644</f>
        <v>0.77869998252664718</v>
      </c>
      <c r="H237" s="1568">
        <f>+H217/Sector1!H644</f>
        <v>0.79112479272029368</v>
      </c>
      <c r="I237" s="1568">
        <f>+I217/Sector1!I644</f>
        <v>0.80235858749447098</v>
      </c>
      <c r="J237" s="1568">
        <f>+J217/Sector1!J644</f>
        <v>0.8052042824519019</v>
      </c>
      <c r="K237" s="1568">
        <f>+K217/Sector1!K644</f>
        <v>0.82494709786501164</v>
      </c>
      <c r="L237" s="1568">
        <f>+L217/Sector1!L644</f>
        <v>0.81942366681404144</v>
      </c>
      <c r="M237" s="1568">
        <f>+M217/Sector1!M644</f>
        <v>0.82552039040728475</v>
      </c>
      <c r="N237" s="1568">
        <f>+N217/Sector1!N644</f>
        <v>0.85055871023542073</v>
      </c>
      <c r="O237" s="1568">
        <f>+O217/Sector1!O644</f>
        <v>0.85343132114973863</v>
      </c>
      <c r="P237" s="1568">
        <f>+P217/Sector1!P644</f>
        <v>0.85938117368686207</v>
      </c>
      <c r="Q237" s="1568">
        <f>+Q217/Sector1!Q644</f>
        <v>0.85746707843862879</v>
      </c>
      <c r="R237" s="1568">
        <f>+R217/Sector1!R644</f>
        <v>0.85271107163266835</v>
      </c>
      <c r="S237" s="1568">
        <f>+S217/Sector1!S644</f>
        <v>0.85542733391425707</v>
      </c>
      <c r="T237" s="1568">
        <f>+T217/Sector1!T644</f>
        <v>0.85418935095640225</v>
      </c>
      <c r="U237" s="1568">
        <f>+U217/Sector1!U644</f>
        <v>0.84676003469178929</v>
      </c>
      <c r="V237" s="2207">
        <f>+V217/Sector1!V644</f>
        <v>0.85857460364768534</v>
      </c>
      <c r="W237" s="2207">
        <f>+W217/Sector1!W644</f>
        <v>0.87952111903308794</v>
      </c>
      <c r="X237" s="2207">
        <f>+X217/Sector1!X644</f>
        <v>0.89261488173581227</v>
      </c>
      <c r="Y237" s="2207">
        <f>+Y217/Sector1!Y644</f>
        <v>0.89996819738074685</v>
      </c>
      <c r="Z237" s="2207">
        <f>+Z217/Sector1!Z644</f>
        <v>0.90217859882328233</v>
      </c>
      <c r="AA237" s="2207">
        <f>+AA217/Sector1!AA644</f>
        <v>0.90272762843789389</v>
      </c>
      <c r="AB237" s="2207">
        <f>+AB217/Sector1!AB644</f>
        <v>0.89296617180544013</v>
      </c>
      <c r="AC237" s="2207">
        <f>+AC217/Sector1!AC644</f>
        <v>0.89646816935980345</v>
      </c>
      <c r="AD237" s="2207">
        <f>+AD217/Sector1!AD644</f>
        <v>0.89913919394354169</v>
      </c>
      <c r="AE237" s="2207">
        <f>+AE217/Sector1!AE644</f>
        <v>0.89546240959997336</v>
      </c>
    </row>
    <row r="238" spans="1:31" ht="30" customHeight="1">
      <c r="E238" s="166"/>
      <c r="F238" s="755"/>
      <c r="G238" s="755"/>
      <c r="W238" s="3294"/>
      <c r="X238" s="3294"/>
      <c r="Y238" s="3294"/>
      <c r="Z238" s="3294"/>
      <c r="AA238" s="3294"/>
      <c r="AB238" s="3294"/>
      <c r="AC238" s="3294"/>
      <c r="AD238" s="3294"/>
      <c r="AE238" s="3294"/>
    </row>
    <row r="239" spans="1:31" ht="30" customHeight="1">
      <c r="T239" s="2840"/>
      <c r="U239" s="2840"/>
      <c r="Y239" s="2840"/>
      <c r="Z239" s="2840"/>
      <c r="AA239" s="2840"/>
      <c r="AB239" s="2840"/>
      <c r="AC239" s="2840"/>
      <c r="AD239" s="2840"/>
      <c r="AE239" s="2840"/>
    </row>
    <row r="240" spans="1:31" ht="22.5" customHeight="1">
      <c r="C240" s="4124" t="s">
        <v>951</v>
      </c>
      <c r="D240" s="4124"/>
      <c r="E240" s="4124"/>
      <c r="F240" s="4124"/>
      <c r="Y240" s="2840"/>
      <c r="Z240" s="2930"/>
      <c r="AA240" s="2930"/>
      <c r="AB240" s="2930"/>
      <c r="AC240" s="2930"/>
      <c r="AD240" s="2930"/>
      <c r="AE240" s="2930"/>
    </row>
    <row r="241" spans="1:31">
      <c r="X241" s="2930"/>
      <c r="Y241" s="2930"/>
      <c r="Z241" s="2930"/>
      <c r="AA241" s="2930"/>
      <c r="AB241" s="3028"/>
      <c r="AC241" s="2930"/>
      <c r="AD241" s="2930"/>
      <c r="AE241" s="2930"/>
    </row>
    <row r="242" spans="1:31" s="749" customFormat="1" ht="12.75" customHeight="1">
      <c r="A242" s="714"/>
      <c r="B242" s="714"/>
      <c r="C242" s="716"/>
      <c r="D242" s="745"/>
      <c r="E242" s="746" t="s">
        <v>408</v>
      </c>
      <c r="F242" s="747"/>
      <c r="G242" s="748">
        <f>+InputY!$G$3</f>
        <v>1995</v>
      </c>
      <c r="H242" s="748">
        <f>+G242+1</f>
        <v>1996</v>
      </c>
      <c r="I242" s="748">
        <f t="shared" ref="I242:O242" si="421">+H242+1</f>
        <v>1997</v>
      </c>
      <c r="J242" s="748">
        <f t="shared" si="421"/>
        <v>1998</v>
      </c>
      <c r="K242" s="748">
        <f t="shared" si="421"/>
        <v>1999</v>
      </c>
      <c r="L242" s="748">
        <f t="shared" si="421"/>
        <v>2000</v>
      </c>
      <c r="M242" s="748">
        <f t="shared" si="421"/>
        <v>2001</v>
      </c>
      <c r="N242" s="748">
        <f t="shared" si="421"/>
        <v>2002</v>
      </c>
      <c r="O242" s="748">
        <f t="shared" si="421"/>
        <v>2003</v>
      </c>
      <c r="P242" s="748">
        <f t="shared" ref="P242:U242" si="422">+O242+1</f>
        <v>2004</v>
      </c>
      <c r="Q242" s="748">
        <f t="shared" si="422"/>
        <v>2005</v>
      </c>
      <c r="R242" s="748">
        <f t="shared" si="422"/>
        <v>2006</v>
      </c>
      <c r="S242" s="748">
        <f t="shared" si="422"/>
        <v>2007</v>
      </c>
      <c r="T242" s="748">
        <f t="shared" si="422"/>
        <v>2008</v>
      </c>
      <c r="U242" s="748">
        <f t="shared" si="422"/>
        <v>2009</v>
      </c>
      <c r="V242" s="748">
        <f t="shared" ref="V242:AE242" si="423">+U242+1</f>
        <v>2010</v>
      </c>
      <c r="W242" s="748">
        <f t="shared" si="423"/>
        <v>2011</v>
      </c>
      <c r="X242" s="748">
        <f t="shared" si="423"/>
        <v>2012</v>
      </c>
      <c r="Y242" s="748">
        <f t="shared" si="423"/>
        <v>2013</v>
      </c>
      <c r="Z242" s="748">
        <f t="shared" si="423"/>
        <v>2014</v>
      </c>
      <c r="AA242" s="748">
        <f t="shared" si="423"/>
        <v>2015</v>
      </c>
      <c r="AB242" s="748">
        <f t="shared" si="423"/>
        <v>2016</v>
      </c>
      <c r="AC242" s="748">
        <f t="shared" si="423"/>
        <v>2017</v>
      </c>
      <c r="AD242" s="748">
        <f t="shared" si="423"/>
        <v>2018</v>
      </c>
      <c r="AE242" s="748">
        <f t="shared" si="423"/>
        <v>2019</v>
      </c>
    </row>
    <row r="243" spans="1:31">
      <c r="C243" s="725"/>
      <c r="D243" s="718"/>
      <c r="E243" s="757" t="s">
        <v>404</v>
      </c>
      <c r="F243" s="751" t="str">
        <f>+InputY!B55</f>
        <v>VGrVadd</v>
      </c>
      <c r="G243" s="1375">
        <f ca="1">+'VVP2'!G166</f>
        <v>255.93700000000001</v>
      </c>
      <c r="H243" s="1375">
        <f>+'VVP2'!H166</f>
        <v>245.60226</v>
      </c>
      <c r="I243" s="1375">
        <f>+'VVP2'!I166</f>
        <v>254.17176000000001</v>
      </c>
      <c r="J243" s="1375">
        <f>+'VVP2'!J166</f>
        <v>259.10092000000003</v>
      </c>
      <c r="K243" s="1375">
        <f>+'VVP2'!K166</f>
        <v>267.642</v>
      </c>
      <c r="L243" s="1375">
        <f>+'VVP2'!L166</f>
        <v>276.95648</v>
      </c>
      <c r="M243" s="1375">
        <f>+'VVP2'!M166</f>
        <v>280.6454</v>
      </c>
      <c r="N243" s="1375">
        <f>+'VVP2'!N166</f>
        <v>285.30682000000002</v>
      </c>
      <c r="O243" s="1375">
        <f>+'VVP2'!O166</f>
        <v>287.96696999999995</v>
      </c>
      <c r="P243" s="1375">
        <f>+'VVP2'!P166</f>
        <v>297.05667</v>
      </c>
      <c r="Q243" s="1375">
        <f>+'VVP2'!Q166</f>
        <v>303.45517000000001</v>
      </c>
      <c r="R243" s="1375">
        <f>+'VVP2'!R166</f>
        <v>310.79821000000004</v>
      </c>
      <c r="S243" s="1375">
        <f>+'VVP2'!S166</f>
        <v>321.56130999999999</v>
      </c>
      <c r="T243" s="1375">
        <f>+'VVP2'!T166</f>
        <v>325.70365999999996</v>
      </c>
      <c r="U243" s="1375">
        <f>+'VVP2'!U166</f>
        <v>318.36624</v>
      </c>
      <c r="V243" s="1375">
        <f>+'VVP2'!V166</f>
        <v>326.53370000000001</v>
      </c>
      <c r="W243" s="1375">
        <f>+'VVP2'!W166</f>
        <v>333.53847999999999</v>
      </c>
      <c r="X243" s="1375">
        <f>+'VVP2'!X166</f>
        <v>334.18828000000002</v>
      </c>
      <c r="Y243" s="1375">
        <f>+'VVP2'!Y166</f>
        <v>334.73502000000002</v>
      </c>
      <c r="Z243" s="1375">
        <f>+'VVP2'!Z166</f>
        <v>339.25547999999998</v>
      </c>
      <c r="AA243" s="1375">
        <f>+'VVP2'!AA166</f>
        <v>344.61387000000002</v>
      </c>
      <c r="AB243" s="1375">
        <f>+'VVP2'!AB166</f>
        <v>348.79476</v>
      </c>
      <c r="AC243" s="1375">
        <f>+'VVP2'!AC166</f>
        <v>354.55536000000001</v>
      </c>
      <c r="AD243" s="1375">
        <f ca="1">+'VVP2'!AD166</f>
        <v>361.14815425373763</v>
      </c>
      <c r="AE243" s="1375">
        <f ca="1">+'VVP2'!AE166</f>
        <v>367.34600619534052</v>
      </c>
    </row>
    <row r="244" spans="1:31">
      <c r="C244" s="816" t="s">
        <v>406</v>
      </c>
      <c r="D244" s="726"/>
      <c r="E244" s="760" t="s">
        <v>1075</v>
      </c>
      <c r="F244" s="814" t="s">
        <v>932</v>
      </c>
      <c r="G244" s="761">
        <f t="shared" ref="G244:O244" si="424">+G32</f>
        <v>3867.9</v>
      </c>
      <c r="H244" s="761">
        <f t="shared" si="424"/>
        <v>3878.1</v>
      </c>
      <c r="I244" s="761">
        <f t="shared" si="424"/>
        <v>3904.5</v>
      </c>
      <c r="J244" s="761">
        <f t="shared" si="424"/>
        <v>3973</v>
      </c>
      <c r="K244" s="761">
        <f t="shared" si="424"/>
        <v>4027.8</v>
      </c>
      <c r="L244" s="761">
        <f t="shared" si="424"/>
        <v>4108.8999999999996</v>
      </c>
      <c r="M244" s="761">
        <f t="shared" si="424"/>
        <v>4165.2</v>
      </c>
      <c r="N244" s="761">
        <f t="shared" si="424"/>
        <v>4157.3</v>
      </c>
      <c r="O244" s="761">
        <f t="shared" si="424"/>
        <v>4153.8999999999996</v>
      </c>
      <c r="P244" s="761">
        <f t="shared" ref="P244:U244" si="425">+P32</f>
        <v>4194.7</v>
      </c>
      <c r="Q244" s="761">
        <f t="shared" si="425"/>
        <v>4255.2</v>
      </c>
      <c r="R244" s="761">
        <f t="shared" si="425"/>
        <v>4302.8999999999996</v>
      </c>
      <c r="S244" s="761">
        <f t="shared" si="425"/>
        <v>4373.8999999999996</v>
      </c>
      <c r="T244" s="761">
        <f t="shared" si="425"/>
        <v>4452.8999999999996</v>
      </c>
      <c r="U244" s="761">
        <f t="shared" si="425"/>
        <v>4445.5</v>
      </c>
      <c r="V244" s="761">
        <f t="shared" ref="V244:AA244" si="426">+V32</f>
        <v>4474</v>
      </c>
      <c r="W244" s="761">
        <f t="shared" si="426"/>
        <v>4535.3</v>
      </c>
      <c r="X244" s="761">
        <f t="shared" si="426"/>
        <v>4555</v>
      </c>
      <c r="Y244" s="761">
        <f t="shared" si="426"/>
        <v>4540.1000000000004</v>
      </c>
      <c r="Z244" s="761">
        <f t="shared" si="426"/>
        <v>4559.8999999999996</v>
      </c>
      <c r="AA244" s="761">
        <f t="shared" si="426"/>
        <v>4600.3999999999996</v>
      </c>
      <c r="AB244" s="761">
        <f t="shared" ref="AB244:AC244" si="427">+AB32</f>
        <v>4658.1000000000004</v>
      </c>
      <c r="AC244" s="761">
        <f t="shared" si="427"/>
        <v>4723.7</v>
      </c>
      <c r="AD244" s="761">
        <f t="shared" ref="AD244:AE244" si="428">+AD32</f>
        <v>4782.3744499999993</v>
      </c>
      <c r="AE244" s="761">
        <f t="shared" si="428"/>
        <v>4832.4420419199987</v>
      </c>
    </row>
    <row r="245" spans="1:31">
      <c r="C245" s="720" t="s">
        <v>624</v>
      </c>
      <c r="D245" s="817"/>
      <c r="E245" s="818" t="s">
        <v>1712</v>
      </c>
      <c r="F245" s="819" t="s">
        <v>405</v>
      </c>
      <c r="G245" s="820">
        <f ca="1">+G243/G244*1000</f>
        <v>66.169497660229055</v>
      </c>
      <c r="H245" s="820">
        <f t="shared" ref="H245:Q245" si="429">+H243/H244*1000</f>
        <v>63.330563935948021</v>
      </c>
      <c r="I245" s="820">
        <f t="shared" si="429"/>
        <v>65.097134076066084</v>
      </c>
      <c r="J245" s="820">
        <f t="shared" si="429"/>
        <v>65.215434180719868</v>
      </c>
      <c r="K245" s="820">
        <f t="shared" si="429"/>
        <v>66.448681662445992</v>
      </c>
      <c r="L245" s="820">
        <f t="shared" si="429"/>
        <v>67.404044878191257</v>
      </c>
      <c r="M245" s="820">
        <f t="shared" si="429"/>
        <v>67.3786132718717</v>
      </c>
      <c r="N245" s="820">
        <f t="shared" si="429"/>
        <v>68.627912346955966</v>
      </c>
      <c r="O245" s="820">
        <f t="shared" si="429"/>
        <v>69.324483015960894</v>
      </c>
      <c r="P245" s="820">
        <f t="shared" si="429"/>
        <v>70.817143061482341</v>
      </c>
      <c r="Q245" s="820">
        <f t="shared" si="429"/>
        <v>71.313961740928761</v>
      </c>
      <c r="R245" s="820">
        <f t="shared" ref="R245:Y245" si="430">+R243/R244*1000</f>
        <v>72.229940272839258</v>
      </c>
      <c r="S245" s="820">
        <f t="shared" si="430"/>
        <v>73.518212579162764</v>
      </c>
      <c r="T245" s="820">
        <f t="shared" si="430"/>
        <v>73.144166722809857</v>
      </c>
      <c r="U245" s="820">
        <f t="shared" si="430"/>
        <v>71.615395343605897</v>
      </c>
      <c r="V245" s="820">
        <f t="shared" si="430"/>
        <v>72.984734018775143</v>
      </c>
      <c r="W245" s="820">
        <f t="shared" si="430"/>
        <v>73.542760126121749</v>
      </c>
      <c r="X245" s="820">
        <f t="shared" si="430"/>
        <v>73.367350164654226</v>
      </c>
      <c r="Y245" s="820">
        <f t="shared" si="430"/>
        <v>73.728556639721589</v>
      </c>
      <c r="Z245" s="820">
        <f t="shared" ref="Z245:AE245" si="431">+Z243/Z244*1000</f>
        <v>74.399763152700714</v>
      </c>
      <c r="AA245" s="820">
        <f t="shared" si="431"/>
        <v>74.909544822189375</v>
      </c>
      <c r="AB245" s="820">
        <f t="shared" si="431"/>
        <v>74.879191086494487</v>
      </c>
      <c r="AC245" s="820">
        <f t="shared" si="431"/>
        <v>75.058822533183744</v>
      </c>
      <c r="AD245" s="820">
        <f t="shared" ca="1" si="431"/>
        <v>75.51649458434558</v>
      </c>
      <c r="AE245" s="820">
        <f t="shared" ca="1" si="431"/>
        <v>76.016639829039462</v>
      </c>
    </row>
    <row r="246" spans="1:31">
      <c r="Q246" s="218"/>
      <c r="R246" s="218"/>
      <c r="S246" s="218"/>
      <c r="T246" s="218"/>
      <c r="U246" s="218"/>
      <c r="V246" s="218"/>
      <c r="W246" s="218"/>
      <c r="X246" s="218"/>
    </row>
    <row r="247" spans="1:31" s="749" customFormat="1" ht="12.75" customHeight="1">
      <c r="A247" s="714"/>
      <c r="B247" s="714"/>
      <c r="C247" s="716"/>
      <c r="D247" s="745"/>
      <c r="E247" s="746" t="s">
        <v>952</v>
      </c>
      <c r="F247" s="747"/>
      <c r="G247" s="748">
        <f>+InputY!$G$3</f>
        <v>1995</v>
      </c>
      <c r="H247" s="748">
        <f>+G247+1</f>
        <v>1996</v>
      </c>
      <c r="I247" s="748">
        <f t="shared" ref="I247:O247" si="432">+H247+1</f>
        <v>1997</v>
      </c>
      <c r="J247" s="748">
        <f t="shared" si="432"/>
        <v>1998</v>
      </c>
      <c r="K247" s="748">
        <f t="shared" si="432"/>
        <v>1999</v>
      </c>
      <c r="L247" s="748">
        <f t="shared" si="432"/>
        <v>2000</v>
      </c>
      <c r="M247" s="748">
        <f t="shared" si="432"/>
        <v>2001</v>
      </c>
      <c r="N247" s="748">
        <f t="shared" si="432"/>
        <v>2002</v>
      </c>
      <c r="O247" s="748">
        <f t="shared" si="432"/>
        <v>2003</v>
      </c>
      <c r="P247" s="748">
        <f t="shared" ref="P247:U247" si="433">+O247+1</f>
        <v>2004</v>
      </c>
      <c r="Q247" s="748">
        <f t="shared" si="433"/>
        <v>2005</v>
      </c>
      <c r="R247" s="748">
        <f t="shared" si="433"/>
        <v>2006</v>
      </c>
      <c r="S247" s="748">
        <f t="shared" si="433"/>
        <v>2007</v>
      </c>
      <c r="T247" s="748">
        <f t="shared" si="433"/>
        <v>2008</v>
      </c>
      <c r="U247" s="748">
        <f t="shared" si="433"/>
        <v>2009</v>
      </c>
      <c r="V247" s="748">
        <f t="shared" ref="V247:AE247" si="434">+U247+1</f>
        <v>2010</v>
      </c>
      <c r="W247" s="748">
        <f t="shared" si="434"/>
        <v>2011</v>
      </c>
      <c r="X247" s="748">
        <f t="shared" si="434"/>
        <v>2012</v>
      </c>
      <c r="Y247" s="748">
        <f t="shared" si="434"/>
        <v>2013</v>
      </c>
      <c r="Z247" s="748">
        <f t="shared" si="434"/>
        <v>2014</v>
      </c>
      <c r="AA247" s="748">
        <f t="shared" si="434"/>
        <v>2015</v>
      </c>
      <c r="AB247" s="748">
        <f t="shared" si="434"/>
        <v>2016</v>
      </c>
      <c r="AC247" s="748">
        <f t="shared" si="434"/>
        <v>2017</v>
      </c>
      <c r="AD247" s="748">
        <f t="shared" si="434"/>
        <v>2018</v>
      </c>
      <c r="AE247" s="748">
        <f t="shared" si="434"/>
        <v>2019</v>
      </c>
    </row>
    <row r="248" spans="1:31">
      <c r="C248" s="725"/>
      <c r="D248" s="718"/>
      <c r="E248" s="757" t="str">
        <f>+$E$190</f>
        <v>Total compensation / employee (domestic)</v>
      </c>
      <c r="F248" s="773" t="str">
        <f>+$F$190</f>
        <v>YCompAvD</v>
      </c>
      <c r="G248" s="1019">
        <f t="shared" ref="G248:O248" ca="1" si="435">+G190</f>
        <v>33.526028520949019</v>
      </c>
      <c r="H248" s="1019">
        <f t="shared" si="435"/>
        <v>34.231023726250122</v>
      </c>
      <c r="I248" s="1019">
        <f t="shared" si="435"/>
        <v>35.282918594472925</v>
      </c>
      <c r="J248" s="1019">
        <f t="shared" si="435"/>
        <v>35.762675560723359</v>
      </c>
      <c r="K248" s="1019">
        <f t="shared" si="435"/>
        <v>37.006079210304563</v>
      </c>
      <c r="L248" s="1019">
        <f t="shared" si="435"/>
        <v>37.72164010448769</v>
      </c>
      <c r="M248" s="1019">
        <f t="shared" si="435"/>
        <v>39.103072577390911</v>
      </c>
      <c r="N248" s="1019">
        <f t="shared" si="435"/>
        <v>40.629865636353152</v>
      </c>
      <c r="O248" s="1019">
        <f t="shared" si="435"/>
        <v>41.432397333410286</v>
      </c>
      <c r="P248" s="1019">
        <f t="shared" ref="P248:U248" si="436">+P190</f>
        <v>42.173565515272628</v>
      </c>
      <c r="Q248" s="1019">
        <f t="shared" si="436"/>
        <v>42.92919732629332</v>
      </c>
      <c r="R248" s="1019">
        <f t="shared" si="436"/>
        <v>44.46417670236972</v>
      </c>
      <c r="S248" s="1019">
        <f t="shared" si="436"/>
        <v>46.041817735735904</v>
      </c>
      <c r="T248" s="1019">
        <f t="shared" si="436"/>
        <v>47.724640783453296</v>
      </c>
      <c r="U248" s="1019">
        <f t="shared" si="436"/>
        <v>48.235264104836325</v>
      </c>
      <c r="V248" s="1019">
        <f t="shared" ref="V248:AA248" si="437">+V190</f>
        <v>48.898881801926827</v>
      </c>
      <c r="W248" s="1019">
        <f>+W190</f>
        <v>50.422613409114831</v>
      </c>
      <c r="X248" s="1019">
        <f t="shared" si="437"/>
        <v>52.017286152716203</v>
      </c>
      <c r="Y248" s="1019">
        <f t="shared" si="437"/>
        <v>53.348648292232625</v>
      </c>
      <c r="Z248" s="1019">
        <f t="shared" si="437"/>
        <v>53.834148007989072</v>
      </c>
      <c r="AA248" s="1019">
        <f t="shared" si="437"/>
        <v>53.852840716501966</v>
      </c>
      <c r="AB248" s="1019">
        <f t="shared" ref="AB248:AC248" si="438">+AB190</f>
        <v>53.906129181916597</v>
      </c>
      <c r="AC248" s="1019">
        <f t="shared" si="438"/>
        <v>54.833346041428385</v>
      </c>
      <c r="AD248" s="1019">
        <f t="shared" ref="AD248:AE248" si="439">+AD190</f>
        <v>55.952471106809014</v>
      </c>
      <c r="AE248" s="1019">
        <f t="shared" si="439"/>
        <v>57.175203520365194</v>
      </c>
    </row>
    <row r="249" spans="1:31">
      <c r="A249" s="714"/>
      <c r="B249" s="714"/>
      <c r="C249" s="816" t="s">
        <v>406</v>
      </c>
      <c r="D249" s="726"/>
      <c r="E249" s="760" t="str">
        <f>+$E$245</f>
        <v>Unit labour productivity</v>
      </c>
      <c r="F249" s="942" t="str">
        <f>+$F$245</f>
        <v>ULPdty</v>
      </c>
      <c r="G249" s="966">
        <f ca="1">+G245</f>
        <v>66.169497660229055</v>
      </c>
      <c r="H249" s="966">
        <f t="shared" ref="H249:O249" si="440">+H245</f>
        <v>63.330563935948021</v>
      </c>
      <c r="I249" s="966">
        <f t="shared" si="440"/>
        <v>65.097134076066084</v>
      </c>
      <c r="J249" s="966">
        <f t="shared" si="440"/>
        <v>65.215434180719868</v>
      </c>
      <c r="K249" s="966">
        <f t="shared" si="440"/>
        <v>66.448681662445992</v>
      </c>
      <c r="L249" s="966">
        <f t="shared" si="440"/>
        <v>67.404044878191257</v>
      </c>
      <c r="M249" s="966">
        <f t="shared" si="440"/>
        <v>67.3786132718717</v>
      </c>
      <c r="N249" s="966">
        <f t="shared" si="440"/>
        <v>68.627912346955966</v>
      </c>
      <c r="O249" s="966">
        <f t="shared" si="440"/>
        <v>69.324483015960894</v>
      </c>
      <c r="P249" s="966">
        <f t="shared" ref="P249:U249" si="441">+P245</f>
        <v>70.817143061482341</v>
      </c>
      <c r="Q249" s="966">
        <f t="shared" si="441"/>
        <v>71.313961740928761</v>
      </c>
      <c r="R249" s="966">
        <f t="shared" si="441"/>
        <v>72.229940272839258</v>
      </c>
      <c r="S249" s="966">
        <f t="shared" si="441"/>
        <v>73.518212579162764</v>
      </c>
      <c r="T249" s="966">
        <f t="shared" si="441"/>
        <v>73.144166722809857</v>
      </c>
      <c r="U249" s="966">
        <f t="shared" si="441"/>
        <v>71.615395343605897</v>
      </c>
      <c r="V249" s="966">
        <f t="shared" ref="V249:AA249" si="442">+V245</f>
        <v>72.984734018775143</v>
      </c>
      <c r="W249" s="966">
        <f t="shared" si="442"/>
        <v>73.542760126121749</v>
      </c>
      <c r="X249" s="966">
        <f t="shared" si="442"/>
        <v>73.367350164654226</v>
      </c>
      <c r="Y249" s="966">
        <f t="shared" si="442"/>
        <v>73.728556639721589</v>
      </c>
      <c r="Z249" s="966">
        <f t="shared" si="442"/>
        <v>74.399763152700714</v>
      </c>
      <c r="AA249" s="966">
        <f t="shared" si="442"/>
        <v>74.909544822189375</v>
      </c>
      <c r="AB249" s="966">
        <f t="shared" ref="AB249:AC249" si="443">+AB245</f>
        <v>74.879191086494487</v>
      </c>
      <c r="AC249" s="966">
        <f t="shared" si="443"/>
        <v>75.058822533183744</v>
      </c>
      <c r="AD249" s="966">
        <f t="shared" ref="AD249:AE249" ca="1" si="444">+AD245</f>
        <v>75.51649458434558</v>
      </c>
      <c r="AE249" s="966">
        <f t="shared" ca="1" si="444"/>
        <v>76.016639829039462</v>
      </c>
    </row>
    <row r="250" spans="1:31">
      <c r="C250" s="720" t="s">
        <v>624</v>
      </c>
      <c r="D250" s="817"/>
      <c r="E250" s="818" t="s">
        <v>952</v>
      </c>
      <c r="F250" s="819" t="s">
        <v>1713</v>
      </c>
      <c r="G250" s="820">
        <f ca="1">+G248/G249*100</f>
        <v>50.666892913560261</v>
      </c>
      <c r="H250" s="820">
        <f t="shared" ref="H250:Q250" si="445">+H248/H249*100</f>
        <v>54.0513483519128</v>
      </c>
      <c r="I250" s="820">
        <f t="shared" si="445"/>
        <v>54.2004177222991</v>
      </c>
      <c r="J250" s="820">
        <f t="shared" si="445"/>
        <v>54.837748164982926</v>
      </c>
      <c r="K250" s="820">
        <f t="shared" si="445"/>
        <v>55.691216566631816</v>
      </c>
      <c r="L250" s="820">
        <f t="shared" si="445"/>
        <v>55.963466543671203</v>
      </c>
      <c r="M250" s="820">
        <f t="shared" si="445"/>
        <v>58.034843221855269</v>
      </c>
      <c r="N250" s="820">
        <f t="shared" si="445"/>
        <v>59.203120489727844</v>
      </c>
      <c r="O250" s="820">
        <f t="shared" si="445"/>
        <v>59.765894429924728</v>
      </c>
      <c r="P250" s="820">
        <f t="shared" si="445"/>
        <v>59.552763204042549</v>
      </c>
      <c r="Q250" s="820">
        <f t="shared" si="445"/>
        <v>60.197465234434233</v>
      </c>
      <c r="R250" s="820">
        <f t="shared" ref="R250:Y250" si="446">+R248/R249*100</f>
        <v>61.55920458249313</v>
      </c>
      <c r="S250" s="820">
        <f t="shared" si="446"/>
        <v>62.626410681787327</v>
      </c>
      <c r="T250" s="820">
        <f t="shared" si="446"/>
        <v>65.247364105346307</v>
      </c>
      <c r="U250" s="820">
        <f t="shared" si="446"/>
        <v>67.353205094249276</v>
      </c>
      <c r="V250" s="820">
        <f t="shared" si="446"/>
        <v>66.99878057971371</v>
      </c>
      <c r="W250" s="820">
        <f t="shared" si="446"/>
        <v>68.562307591723311</v>
      </c>
      <c r="X250" s="820">
        <f t="shared" si="446"/>
        <v>70.899774948906739</v>
      </c>
      <c r="Y250" s="820">
        <f t="shared" si="446"/>
        <v>72.358188907621724</v>
      </c>
      <c r="Z250" s="820">
        <f t="shared" ref="Z250:AE250" si="447">+Z248/Z249*100</f>
        <v>72.357956163782347</v>
      </c>
      <c r="AA250" s="820">
        <f t="shared" si="447"/>
        <v>71.890492519118752</v>
      </c>
      <c r="AB250" s="820">
        <f t="shared" si="447"/>
        <v>71.990800648004495</v>
      </c>
      <c r="AC250" s="820">
        <f t="shared" si="447"/>
        <v>73.053831902554009</v>
      </c>
      <c r="AD250" s="820">
        <f t="shared" ca="1" si="447"/>
        <v>74.09304604878713</v>
      </c>
      <c r="AE250" s="820">
        <f t="shared" ca="1" si="447"/>
        <v>75.214063195836545</v>
      </c>
    </row>
    <row r="251" spans="1:31" ht="30" customHeight="1">
      <c r="Q251" s="218"/>
      <c r="R251" s="218"/>
      <c r="S251" s="218"/>
      <c r="T251" s="218"/>
      <c r="U251" s="218"/>
      <c r="Y251" s="2840"/>
      <c r="Z251" s="2840"/>
      <c r="AA251" s="2840"/>
      <c r="AB251" s="2840"/>
      <c r="AC251" s="2840"/>
      <c r="AD251" s="2840"/>
      <c r="AE251" s="2840"/>
    </row>
    <row r="252" spans="1:31" s="749" customFormat="1" ht="12.75" customHeight="1">
      <c r="A252" s="714"/>
      <c r="B252" s="714"/>
      <c r="C252" s="716"/>
      <c r="D252" s="777"/>
      <c r="E252" s="778" t="s">
        <v>401</v>
      </c>
      <c r="F252" s="779"/>
      <c r="G252" s="780">
        <f>+InputY!$G$3</f>
        <v>1995</v>
      </c>
      <c r="H252" s="780">
        <f>+G252+1</f>
        <v>1996</v>
      </c>
      <c r="I252" s="780">
        <f t="shared" ref="I252:O252" si="448">+H252+1</f>
        <v>1997</v>
      </c>
      <c r="J252" s="780">
        <f t="shared" si="448"/>
        <v>1998</v>
      </c>
      <c r="K252" s="780">
        <f t="shared" si="448"/>
        <v>1999</v>
      </c>
      <c r="L252" s="780">
        <f t="shared" si="448"/>
        <v>2000</v>
      </c>
      <c r="M252" s="780">
        <f t="shared" si="448"/>
        <v>2001</v>
      </c>
      <c r="N252" s="780">
        <f t="shared" si="448"/>
        <v>2002</v>
      </c>
      <c r="O252" s="780">
        <f t="shared" si="448"/>
        <v>2003</v>
      </c>
      <c r="P252" s="780">
        <f t="shared" ref="P252:U252" si="449">+O252+1</f>
        <v>2004</v>
      </c>
      <c r="Q252" s="780">
        <f t="shared" si="449"/>
        <v>2005</v>
      </c>
      <c r="R252" s="780">
        <f t="shared" si="449"/>
        <v>2006</v>
      </c>
      <c r="S252" s="780">
        <f t="shared" si="449"/>
        <v>2007</v>
      </c>
      <c r="T252" s="780">
        <f t="shared" si="449"/>
        <v>2008</v>
      </c>
      <c r="U252" s="780">
        <f t="shared" si="449"/>
        <v>2009</v>
      </c>
      <c r="V252" s="780">
        <f t="shared" ref="V252:AE252" si="450">+U252+1</f>
        <v>2010</v>
      </c>
      <c r="W252" s="780">
        <f t="shared" si="450"/>
        <v>2011</v>
      </c>
      <c r="X252" s="780">
        <f t="shared" si="450"/>
        <v>2012</v>
      </c>
      <c r="Y252" s="780">
        <f t="shared" si="450"/>
        <v>2013</v>
      </c>
      <c r="Z252" s="780">
        <f t="shared" si="450"/>
        <v>2014</v>
      </c>
      <c r="AA252" s="780">
        <f t="shared" si="450"/>
        <v>2015</v>
      </c>
      <c r="AB252" s="780">
        <f t="shared" si="450"/>
        <v>2016</v>
      </c>
      <c r="AC252" s="780">
        <f t="shared" si="450"/>
        <v>2017</v>
      </c>
      <c r="AD252" s="780">
        <f t="shared" si="450"/>
        <v>2018</v>
      </c>
      <c r="AE252" s="780">
        <f t="shared" si="450"/>
        <v>2019</v>
      </c>
    </row>
    <row r="253" spans="1:31" s="749" customFormat="1" ht="12.75" customHeight="1">
      <c r="A253" s="714"/>
      <c r="B253" s="714"/>
      <c r="C253" s="738"/>
      <c r="D253" s="739"/>
      <c r="E253" s="781" t="str">
        <f>+$E$245</f>
        <v>Unit labour productivity</v>
      </c>
      <c r="F253" s="782" t="s">
        <v>405</v>
      </c>
      <c r="G253" s="783"/>
      <c r="H253" s="788">
        <f ca="1">(H245/G245-1)*100</f>
        <v>-4.2903963679134405</v>
      </c>
      <c r="I253" s="788">
        <f t="shared" ref="I253:Q253" si="451">(I245/H245-1)*100</f>
        <v>2.7894432487680865</v>
      </c>
      <c r="J253" s="788">
        <f t="shared" si="451"/>
        <v>0.1817285911781541</v>
      </c>
      <c r="K253" s="788">
        <f t="shared" si="451"/>
        <v>1.8910362205189823</v>
      </c>
      <c r="L253" s="788">
        <f t="shared" si="451"/>
        <v>1.437745929405243</v>
      </c>
      <c r="M253" s="788">
        <f t="shared" si="451"/>
        <v>-3.7730089292886682E-2</v>
      </c>
      <c r="N253" s="788">
        <f t="shared" si="451"/>
        <v>1.8541477991590005</v>
      </c>
      <c r="O253" s="788">
        <f t="shared" si="451"/>
        <v>1.014996151250136</v>
      </c>
      <c r="P253" s="788">
        <f t="shared" si="451"/>
        <v>2.1531499126762776</v>
      </c>
      <c r="Q253" s="788">
        <f t="shared" si="451"/>
        <v>0.70155142945416138</v>
      </c>
      <c r="R253" s="788">
        <f t="shared" ref="R253:AE253" si="452">(R245/Q245-1)*100</f>
        <v>1.2844308597495857</v>
      </c>
      <c r="S253" s="788">
        <f t="shared" si="452"/>
        <v>1.7835710530248683</v>
      </c>
      <c r="T253" s="788">
        <f t="shared" si="452"/>
        <v>-0.50877985635211509</v>
      </c>
      <c r="U253" s="788">
        <f t="shared" si="452"/>
        <v>-2.090079698354419</v>
      </c>
      <c r="V253" s="788">
        <f t="shared" si="452"/>
        <v>1.9120730516102746</v>
      </c>
      <c r="W253" s="788">
        <f t="shared" si="452"/>
        <v>0.76457921625507907</v>
      </c>
      <c r="X253" s="788">
        <f t="shared" si="452"/>
        <v>-0.23851424826414336</v>
      </c>
      <c r="Y253" s="788">
        <f t="shared" si="452"/>
        <v>0.49232591098999912</v>
      </c>
      <c r="Z253" s="788">
        <f t="shared" si="452"/>
        <v>0.91037522443171426</v>
      </c>
      <c r="AA253" s="788">
        <f t="shared" si="452"/>
        <v>0.68519259724304504</v>
      </c>
      <c r="AB253" s="788">
        <f t="shared" si="452"/>
        <v>-4.0520518135489514E-2</v>
      </c>
      <c r="AC253" s="788">
        <f t="shared" si="452"/>
        <v>0.23989501500056853</v>
      </c>
      <c r="AD253" s="788">
        <f t="shared" ca="1" si="452"/>
        <v>0.60975117343400331</v>
      </c>
      <c r="AE253" s="788">
        <f t="shared" ca="1" si="452"/>
        <v>0.66229933929899953</v>
      </c>
    </row>
    <row r="254" spans="1:31" s="749" customFormat="1">
      <c r="A254" s="713"/>
      <c r="B254" s="713"/>
      <c r="C254" s="1021"/>
      <c r="D254" s="741"/>
      <c r="E254" s="1022" t="str">
        <f>+$E$250</f>
        <v>Unit labour cost</v>
      </c>
      <c r="F254" s="976" t="str">
        <f>+$F$250</f>
        <v>ULCost</v>
      </c>
      <c r="G254" s="1022"/>
      <c r="H254" s="789">
        <f ca="1">(H250/G250-1)*100</f>
        <v>6.6798164318592645</v>
      </c>
      <c r="I254" s="789">
        <f t="shared" ref="I254:Q254" si="453">(I250/H250-1)*100</f>
        <v>0.27579214012525277</v>
      </c>
      <c r="J254" s="789">
        <f t="shared" si="453"/>
        <v>1.1758773630661912</v>
      </c>
      <c r="K254" s="789">
        <f t="shared" si="453"/>
        <v>1.556352020657692</v>
      </c>
      <c r="L254" s="789">
        <f t="shared" si="453"/>
        <v>0.48885622154375419</v>
      </c>
      <c r="M254" s="789">
        <f t="shared" si="453"/>
        <v>3.7013015921157466</v>
      </c>
      <c r="N254" s="789">
        <f t="shared" si="453"/>
        <v>2.0130618142733425</v>
      </c>
      <c r="O254" s="789">
        <f t="shared" si="453"/>
        <v>0.9505815496575476</v>
      </c>
      <c r="P254" s="789">
        <f t="shared" si="453"/>
        <v>-0.35661011671477283</v>
      </c>
      <c r="Q254" s="789">
        <f t="shared" si="453"/>
        <v>1.0825728240061228</v>
      </c>
      <c r="R254" s="789">
        <f t="shared" ref="R254:AE254" si="454">(R250/Q250-1)*100</f>
        <v>2.2621207433829893</v>
      </c>
      <c r="S254" s="789">
        <f t="shared" si="454"/>
        <v>1.7336255504472486</v>
      </c>
      <c r="T254" s="789">
        <f t="shared" si="454"/>
        <v>4.185060895276882</v>
      </c>
      <c r="U254" s="789">
        <f t="shared" si="454"/>
        <v>3.2274728914764239</v>
      </c>
      <c r="V254" s="789">
        <f t="shared" si="454"/>
        <v>-0.5262177412932445</v>
      </c>
      <c r="W254" s="789">
        <f t="shared" si="454"/>
        <v>2.3336648793918613</v>
      </c>
      <c r="X254" s="789">
        <f t="shared" si="454"/>
        <v>3.409260042854223</v>
      </c>
      <c r="Y254" s="789">
        <f t="shared" si="454"/>
        <v>2.0570078815708159</v>
      </c>
      <c r="Z254" s="789">
        <f t="shared" si="454"/>
        <v>-3.2165514766147041E-4</v>
      </c>
      <c r="AA254" s="789">
        <f t="shared" si="454"/>
        <v>-0.64604318508595382</v>
      </c>
      <c r="AB254" s="789">
        <f t="shared" si="454"/>
        <v>0.13952906061822645</v>
      </c>
      <c r="AC254" s="789">
        <f t="shared" si="454"/>
        <v>1.4766209640411532</v>
      </c>
      <c r="AD254" s="789">
        <f t="shared" ca="1" si="454"/>
        <v>1.4225320139528375</v>
      </c>
      <c r="AE254" s="789">
        <f t="shared" ca="1" si="454"/>
        <v>1.5129856401250752</v>
      </c>
    </row>
    <row r="255" spans="1:31" ht="30" customHeight="1">
      <c r="G255" s="3839" t="s">
        <v>2558</v>
      </c>
      <c r="H255" s="879">
        <f t="shared" ref="H255:J255" ca="1" si="455">H248/G248-1</f>
        <v>2.1028294623700594E-2</v>
      </c>
      <c r="I255" s="879">
        <f t="shared" si="455"/>
        <v>3.0729284541266999E-2</v>
      </c>
      <c r="J255" s="879">
        <f t="shared" si="455"/>
        <v>1.3597428596102246E-2</v>
      </c>
      <c r="K255" s="879">
        <f>K248/J248-1</f>
        <v>3.4768194216060921E-2</v>
      </c>
      <c r="L255" s="879">
        <f t="shared" ref="L255:AE255" si="456">L248/K248-1</f>
        <v>1.9336306613748855E-2</v>
      </c>
      <c r="M255" s="879">
        <f t="shared" si="456"/>
        <v>3.662174998427159E-2</v>
      </c>
      <c r="N255" s="879">
        <f t="shared" si="456"/>
        <v>3.904534754757405E-2</v>
      </c>
      <c r="O255" s="879">
        <f t="shared" si="456"/>
        <v>1.9752260670512278E-2</v>
      </c>
      <c r="P255" s="879">
        <f t="shared" si="456"/>
        <v>1.788861445544887E-2</v>
      </c>
      <c r="Q255" s="879">
        <f t="shared" si="456"/>
        <v>1.7917190585819753E-2</v>
      </c>
      <c r="R255" s="879">
        <f t="shared" si="456"/>
        <v>3.575606980045376E-2</v>
      </c>
      <c r="S255" s="879">
        <f t="shared" si="456"/>
        <v>3.5481170469577217E-2</v>
      </c>
      <c r="T255" s="879">
        <f t="shared" si="456"/>
        <v>3.6549882921135257E-2</v>
      </c>
      <c r="U255" s="879">
        <f t="shared" si="456"/>
        <v>1.0699364374473497E-2</v>
      </c>
      <c r="V255" s="879">
        <f t="shared" si="456"/>
        <v>1.3757936426929573E-2</v>
      </c>
      <c r="W255" s="879">
        <f t="shared" si="456"/>
        <v>3.1160868122918073E-2</v>
      </c>
      <c r="X255" s="879">
        <f t="shared" si="456"/>
        <v>3.1626142236274912E-2</v>
      </c>
      <c r="Y255" s="879">
        <f t="shared" si="456"/>
        <v>2.5594609753529118E-2</v>
      </c>
      <c r="Z255" s="879">
        <f t="shared" si="456"/>
        <v>9.1005064101528088E-3</v>
      </c>
      <c r="AA255" s="879">
        <f t="shared" si="456"/>
        <v>3.4722772077899755E-4</v>
      </c>
      <c r="AB255" s="879">
        <f t="shared" si="456"/>
        <v>9.8952004584407227E-4</v>
      </c>
      <c r="AC255" s="879">
        <f t="shared" si="456"/>
        <v>1.7200583191249397E-2</v>
      </c>
      <c r="AD255" s="879">
        <f t="shared" si="456"/>
        <v>2.0409570930344012E-2</v>
      </c>
      <c r="AE255" s="879">
        <f t="shared" si="456"/>
        <v>2.1853054733222965E-2</v>
      </c>
    </row>
    <row r="256" spans="1:31">
      <c r="C256" s="744"/>
      <c r="E256" s="749"/>
      <c r="G256" s="559" t="s">
        <v>2559</v>
      </c>
      <c r="H256" s="879">
        <f t="shared" ref="H256:J256" ca="1" si="457">-(H249/G249-1)</f>
        <v>4.2903963679134405E-2</v>
      </c>
      <c r="I256" s="879">
        <f t="shared" si="457"/>
        <v>-2.7894432487680865E-2</v>
      </c>
      <c r="J256" s="879">
        <f t="shared" si="457"/>
        <v>-1.817285911781541E-3</v>
      </c>
      <c r="K256" s="879">
        <f>-(K249/J249-1)</f>
        <v>-1.8910362205189823E-2</v>
      </c>
      <c r="L256" s="879">
        <f t="shared" ref="L256:AE256" si="458">-(L249/K249-1)</f>
        <v>-1.437745929405243E-2</v>
      </c>
      <c r="M256" s="879">
        <f t="shared" si="458"/>
        <v>3.7730089292886682E-4</v>
      </c>
      <c r="N256" s="879">
        <f t="shared" si="458"/>
        <v>-1.8541477991590005E-2</v>
      </c>
      <c r="O256" s="879">
        <f t="shared" si="458"/>
        <v>-1.014996151250136E-2</v>
      </c>
      <c r="P256" s="879">
        <f t="shared" si="458"/>
        <v>-2.1531499126762776E-2</v>
      </c>
      <c r="Q256" s="879">
        <f t="shared" si="458"/>
        <v>-7.0155142945416138E-3</v>
      </c>
      <c r="R256" s="879">
        <f t="shared" si="458"/>
        <v>-1.2844308597495857E-2</v>
      </c>
      <c r="S256" s="879">
        <f t="shared" si="458"/>
        <v>-1.7835710530248683E-2</v>
      </c>
      <c r="T256" s="879">
        <f t="shared" si="458"/>
        <v>5.0877985635211509E-3</v>
      </c>
      <c r="U256" s="879">
        <f t="shared" si="458"/>
        <v>2.090079698354419E-2</v>
      </c>
      <c r="V256" s="879">
        <f t="shared" si="458"/>
        <v>-1.9120730516102746E-2</v>
      </c>
      <c r="W256" s="879">
        <f t="shared" si="458"/>
        <v>-7.6457921625507907E-3</v>
      </c>
      <c r="X256" s="879">
        <f t="shared" si="458"/>
        <v>2.3851424826414336E-3</v>
      </c>
      <c r="Y256" s="879">
        <f t="shared" si="458"/>
        <v>-4.9232591098999912E-3</v>
      </c>
      <c r="Z256" s="879">
        <f t="shared" si="458"/>
        <v>-9.1037522443171426E-3</v>
      </c>
      <c r="AA256" s="879">
        <f t="shared" si="458"/>
        <v>-6.8519259724304504E-3</v>
      </c>
      <c r="AB256" s="879">
        <f t="shared" si="458"/>
        <v>4.0520518135489514E-4</v>
      </c>
      <c r="AC256" s="879">
        <f t="shared" si="458"/>
        <v>-2.3989501500056853E-3</v>
      </c>
      <c r="AD256" s="879">
        <f t="shared" ca="1" si="458"/>
        <v>-6.0975117343400331E-3</v>
      </c>
      <c r="AE256" s="879">
        <f t="shared" ca="1" si="458"/>
        <v>-6.6229933929899953E-3</v>
      </c>
    </row>
    <row r="257" spans="3:31">
      <c r="C257" s="744"/>
      <c r="E257" s="749"/>
      <c r="G257" s="559" t="s">
        <v>2560</v>
      </c>
      <c r="H257" s="3838">
        <f t="shared" ref="H257:J257" ca="1" si="459">H255+H256</f>
        <v>6.3932258302834999E-2</v>
      </c>
      <c r="I257" s="3838">
        <f t="shared" si="459"/>
        <v>2.8348520535861343E-3</v>
      </c>
      <c r="J257" s="3838">
        <f t="shared" si="459"/>
        <v>1.1780142684320705E-2</v>
      </c>
      <c r="K257" s="3838">
        <f>K255+K256</f>
        <v>1.5857832010871098E-2</v>
      </c>
      <c r="L257" s="3838">
        <f t="shared" ref="L257:AB257" si="460">L255+L256</f>
        <v>4.9588473196964244E-3</v>
      </c>
      <c r="M257" s="3838">
        <f t="shared" si="460"/>
        <v>3.6999050877200457E-2</v>
      </c>
      <c r="N257" s="3838">
        <f t="shared" si="460"/>
        <v>2.0503869555984044E-2</v>
      </c>
      <c r="O257" s="3838">
        <f t="shared" si="460"/>
        <v>9.6022991580109185E-3</v>
      </c>
      <c r="P257" s="3838">
        <f t="shared" si="460"/>
        <v>-3.6428846713139063E-3</v>
      </c>
      <c r="Q257" s="3838">
        <f t="shared" si="460"/>
        <v>1.090167629127814E-2</v>
      </c>
      <c r="R257" s="3838">
        <f t="shared" si="460"/>
        <v>2.2911761202957903E-2</v>
      </c>
      <c r="S257" s="3838">
        <f t="shared" si="460"/>
        <v>1.7645459939328534E-2</v>
      </c>
      <c r="T257" s="3838">
        <f t="shared" si="460"/>
        <v>4.1637681484656408E-2</v>
      </c>
      <c r="U257" s="3838">
        <f t="shared" si="460"/>
        <v>3.1600161358017687E-2</v>
      </c>
      <c r="V257" s="3838">
        <f t="shared" si="460"/>
        <v>-5.3627940891731729E-3</v>
      </c>
      <c r="W257" s="3838">
        <f t="shared" si="460"/>
        <v>2.3515075960367282E-2</v>
      </c>
      <c r="X257" s="3838">
        <f t="shared" si="460"/>
        <v>3.4011284718916346E-2</v>
      </c>
      <c r="Y257" s="3838">
        <f t="shared" si="460"/>
        <v>2.0671350643629127E-2</v>
      </c>
      <c r="Z257" s="3838">
        <f t="shared" si="460"/>
        <v>-3.2458341643337718E-6</v>
      </c>
      <c r="AA257" s="3838">
        <f t="shared" si="460"/>
        <v>-6.5046982516514529E-3</v>
      </c>
      <c r="AB257" s="3838">
        <f t="shared" si="460"/>
        <v>1.3947252271989674E-3</v>
      </c>
      <c r="AC257" s="3838">
        <f t="shared" ref="AC257:AD257" si="461">AC255+AC256</f>
        <v>1.4801633041243711E-2</v>
      </c>
      <c r="AD257" s="3838">
        <f t="shared" ca="1" si="461"/>
        <v>1.4312059196003979E-2</v>
      </c>
      <c r="AE257" s="3838">
        <f t="shared" ref="AE257" ca="1" si="462">AE255+AE256</f>
        <v>1.523006134023297E-2</v>
      </c>
    </row>
    <row r="258" spans="3:31">
      <c r="C258" s="744"/>
      <c r="E258" s="749"/>
      <c r="G258" s="749"/>
      <c r="H258" s="2930">
        <f t="shared" ref="H258:AA258" ca="1" si="463">((1+H255)*(1+H256)-1)</f>
        <v>6.4834455491604492E-2</v>
      </c>
      <c r="I258" s="2930">
        <f t="shared" si="463"/>
        <v>1.9776761005549925E-3</v>
      </c>
      <c r="J258" s="2930">
        <f t="shared" si="463"/>
        <v>1.1755432268896637E-2</v>
      </c>
      <c r="K258" s="2930">
        <f t="shared" si="463"/>
        <v>1.520035286502508E-2</v>
      </c>
      <c r="L258" s="2930">
        <f t="shared" si="463"/>
        <v>4.6808403584599478E-3</v>
      </c>
      <c r="M258" s="2930">
        <f t="shared" si="463"/>
        <v>3.7012868296170121E-2</v>
      </c>
      <c r="N258" s="2930">
        <f t="shared" si="463"/>
        <v>1.9779911103756653E-2</v>
      </c>
      <c r="O258" s="2930">
        <f t="shared" si="463"/>
        <v>9.4018144724203889E-3</v>
      </c>
      <c r="P258" s="2930">
        <f t="shared" si="463"/>
        <v>-4.0280533578403999E-3</v>
      </c>
      <c r="Q258" s="2930">
        <f t="shared" si="463"/>
        <v>1.0775977984605278E-2</v>
      </c>
      <c r="R258" s="2930">
        <f t="shared" si="463"/>
        <v>2.2452499208207355E-2</v>
      </c>
      <c r="S258" s="2930">
        <f t="shared" si="463"/>
        <v>1.7012628053558743E-2</v>
      </c>
      <c r="T258" s="2930">
        <f t="shared" si="463"/>
        <v>4.1823639926479528E-2</v>
      </c>
      <c r="U258" s="2930">
        <f t="shared" si="463"/>
        <v>3.182378660066143E-2</v>
      </c>
      <c r="V258" s="2930">
        <f t="shared" si="463"/>
        <v>-5.6258558840501793E-3</v>
      </c>
      <c r="W258" s="2930">
        <f t="shared" si="463"/>
        <v>2.3276826439094789E-2</v>
      </c>
      <c r="X258" s="2930">
        <f t="shared" si="463"/>
        <v>3.4086717574326242E-2</v>
      </c>
      <c r="Y258" s="2930">
        <f t="shared" si="463"/>
        <v>2.0545341747995716E-2</v>
      </c>
      <c r="Z258" s="2930">
        <f t="shared" si="463"/>
        <v>-8.6094589820229217E-5</v>
      </c>
      <c r="AA258" s="2930">
        <f t="shared" si="463"/>
        <v>-6.507077430289776E-3</v>
      </c>
      <c r="AB258" s="2930">
        <f>((1+AB255)*(1+AB256)-1)</f>
        <v>1.395126185848472E-3</v>
      </c>
      <c r="AC258" s="2930">
        <f>((1+AC255)*(1+AC256)-1)</f>
        <v>1.4760369699616804E-2</v>
      </c>
      <c r="AD258" s="2930">
        <f ca="1">((1+AD255)*(1+AD256)-1)</f>
        <v>1.4187611597763272E-2</v>
      </c>
      <c r="AE258" s="2930">
        <f ca="1">((1+AE255)*(1+AE256)-1)</f>
        <v>1.5085328703118295E-2</v>
      </c>
    </row>
    <row r="259" spans="3:31">
      <c r="C259" s="744"/>
      <c r="E259" s="749"/>
      <c r="G259" s="749"/>
      <c r="H259" s="749"/>
    </row>
    <row r="260" spans="3:31">
      <c r="C260" s="744"/>
      <c r="E260" s="749"/>
      <c r="G260" s="749"/>
      <c r="H260" s="749"/>
    </row>
    <row r="261" spans="3:31">
      <c r="C261" s="744"/>
      <c r="E261" s="749"/>
      <c r="G261" s="749"/>
      <c r="H261" s="749"/>
    </row>
    <row r="262" spans="3:31">
      <c r="C262" s="744"/>
      <c r="E262" s="749"/>
      <c r="G262" s="749"/>
      <c r="H262" s="749"/>
    </row>
  </sheetData>
  <mergeCells count="9">
    <mergeCell ref="C240:F240"/>
    <mergeCell ref="C185:F185"/>
    <mergeCell ref="C108:F108"/>
    <mergeCell ref="C140:F140"/>
    <mergeCell ref="C2:F2"/>
    <mergeCell ref="C25:F25"/>
    <mergeCell ref="C86:F86"/>
    <mergeCell ref="C95:F95"/>
    <mergeCell ref="AH141:AO141"/>
  </mergeCells>
  <phoneticPr fontId="76" type="noConversion"/>
  <conditionalFormatting sqref="G218:Z218 G215:Z215 G213:Z213">
    <cfRule type="cellIs" dxfId="77" priority="6" stopIfTrue="1" operator="notBetween">
      <formula>-0.001</formula>
      <formula>0.001</formula>
    </cfRule>
  </conditionalFormatting>
  <conditionalFormatting sqref="AA215 AA218 AA213">
    <cfRule type="cellIs" dxfId="76" priority="5" stopIfTrue="1" operator="notBetween">
      <formula>-0.001</formula>
      <formula>0.001</formula>
    </cfRule>
  </conditionalFormatting>
  <conditionalFormatting sqref="AB215 AB218 AB213">
    <cfRule type="cellIs" dxfId="75" priority="4" stopIfTrue="1" operator="notBetween">
      <formula>-0.001</formula>
      <formula>0.001</formula>
    </cfRule>
  </conditionalFormatting>
  <conditionalFormatting sqref="AC215 AC218 AC213">
    <cfRule type="cellIs" dxfId="74" priority="3" stopIfTrue="1" operator="notBetween">
      <formula>-0.001</formula>
      <formula>0.001</formula>
    </cfRule>
  </conditionalFormatting>
  <conditionalFormatting sqref="AD215 AD218 AD213">
    <cfRule type="cellIs" dxfId="73" priority="2" stopIfTrue="1" operator="notBetween">
      <formula>-0.001</formula>
      <formula>0.001</formula>
    </cfRule>
  </conditionalFormatting>
  <conditionalFormatting sqref="AE215 AE218 AE213">
    <cfRule type="cellIs" dxfId="72" priority="1" stopIfTrue="1" operator="notBetween">
      <formula>-0.001</formula>
      <formula>0.001</formula>
    </cfRule>
  </conditionalFormatting>
  <hyperlinks>
    <hyperlink ref="E212" location="Sector1!E416" display="Follow this link to GVT final consumption expenditure"/>
  </hyperlinks>
  <pageMargins left="0.75" right="0.75" top="1" bottom="1" header="0.5" footer="0.5"/>
  <pageSetup orientation="portrait" horizontalDpi="300" verticalDpi="300" r:id="rId1"/>
  <headerFooter alignWithMargins="0"/>
  <ignoredErrors>
    <ignoredError sqref="G32 H7:O7 G7 H32:O32" formula="1"/>
  </ignoredErrors>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42"/>
  </sheetPr>
  <dimension ref="A1:O222"/>
  <sheetViews>
    <sheetView showGridLines="0" workbookViewId="0">
      <selection activeCell="P26" sqref="P26"/>
    </sheetView>
  </sheetViews>
  <sheetFormatPr defaultRowHeight="13.2"/>
  <sheetData>
    <row r="1" spans="1:14">
      <c r="A1" s="1412"/>
      <c r="B1" s="1412"/>
      <c r="C1" s="1412"/>
      <c r="D1" s="1412"/>
      <c r="E1" s="1412"/>
      <c r="F1" s="1412"/>
      <c r="G1" s="1412"/>
      <c r="H1" s="1412"/>
      <c r="I1" s="1412"/>
      <c r="J1" s="1412"/>
      <c r="K1" s="1412"/>
      <c r="L1" s="1412"/>
      <c r="M1" s="1412"/>
      <c r="N1" s="1412"/>
    </row>
    <row r="2" spans="1:14" ht="17.399999999999999">
      <c r="A2" s="1413" t="s">
        <v>1408</v>
      </c>
      <c r="B2" s="1412"/>
      <c r="C2" s="1412"/>
      <c r="D2" s="1412"/>
      <c r="E2" s="1412"/>
      <c r="F2" s="1412"/>
      <c r="G2" s="1412"/>
      <c r="H2" s="1412"/>
      <c r="I2" s="1412"/>
      <c r="J2" s="1412"/>
      <c r="K2" s="1412"/>
      <c r="L2" s="1412"/>
      <c r="M2" s="1412"/>
      <c r="N2" s="1412"/>
    </row>
    <row r="3" spans="1:14">
      <c r="A3" s="1412"/>
      <c r="B3" s="1412"/>
      <c r="C3" s="1412"/>
      <c r="D3" s="1412"/>
      <c r="E3" s="1412"/>
      <c r="F3" s="1412"/>
      <c r="G3" s="1412"/>
      <c r="H3" s="1412"/>
      <c r="I3" s="1412"/>
      <c r="J3" s="1412"/>
      <c r="K3" s="1412"/>
      <c r="L3" s="1412"/>
      <c r="M3" s="1412"/>
      <c r="N3" s="1412"/>
    </row>
    <row r="88" spans="15:15">
      <c r="O88" t="s">
        <v>1864</v>
      </c>
    </row>
    <row r="89" spans="15:15">
      <c r="O89" t="s">
        <v>1865</v>
      </c>
    </row>
    <row r="90" spans="15:15">
      <c r="O90" t="s">
        <v>1866</v>
      </c>
    </row>
    <row r="91" spans="15:15">
      <c r="O91" t="s">
        <v>1867</v>
      </c>
    </row>
    <row r="92" spans="15:15">
      <c r="O92" t="s">
        <v>1868</v>
      </c>
    </row>
    <row r="109" spans="1:14">
      <c r="A109" s="1412"/>
      <c r="B109" s="1412"/>
      <c r="C109" s="1412"/>
      <c r="D109" s="1412"/>
      <c r="E109" s="1412"/>
      <c r="F109" s="1412"/>
      <c r="G109" s="1412"/>
      <c r="H109" s="1412"/>
      <c r="I109" s="1412"/>
      <c r="J109" s="1412"/>
      <c r="K109" s="1412"/>
      <c r="L109" s="1412"/>
      <c r="M109" s="1412"/>
      <c r="N109" s="1412"/>
    </row>
    <row r="110" spans="1:14" ht="17.399999999999999">
      <c r="A110" s="1413" t="s">
        <v>1409</v>
      </c>
      <c r="B110" s="1412"/>
      <c r="C110" s="1412"/>
      <c r="D110" s="1412"/>
      <c r="E110" s="1412"/>
      <c r="F110" s="1412"/>
      <c r="G110" s="1412"/>
      <c r="H110" s="1412"/>
      <c r="I110" s="1412"/>
      <c r="J110" s="1412"/>
      <c r="K110" s="1412"/>
      <c r="L110" s="1412"/>
      <c r="M110" s="1412"/>
      <c r="N110" s="1412"/>
    </row>
    <row r="111" spans="1:14">
      <c r="A111" s="1412"/>
      <c r="B111" s="1412"/>
      <c r="C111" s="1412"/>
      <c r="D111" s="1412"/>
      <c r="E111" s="1412"/>
      <c r="F111" s="1412"/>
      <c r="G111" s="1412"/>
      <c r="H111" s="1412"/>
      <c r="I111" s="1412"/>
      <c r="J111" s="1412"/>
      <c r="K111" s="1412"/>
      <c r="L111" s="1412"/>
      <c r="M111" s="1412"/>
      <c r="N111" s="1412"/>
    </row>
    <row r="133" spans="1:14">
      <c r="A133" s="1412"/>
      <c r="B133" s="1412"/>
      <c r="C133" s="1412"/>
      <c r="D133" s="1412"/>
      <c r="E133" s="1412"/>
      <c r="F133" s="1412"/>
      <c r="G133" s="1412"/>
      <c r="H133" s="1412"/>
      <c r="I133" s="1412"/>
      <c r="J133" s="1412"/>
      <c r="K133" s="1412"/>
      <c r="L133" s="1412"/>
      <c r="M133" s="1412"/>
      <c r="N133" s="1412"/>
    </row>
    <row r="134" spans="1:14" ht="17.399999999999999">
      <c r="A134" s="1413" t="s">
        <v>379</v>
      </c>
      <c r="B134" s="1412"/>
      <c r="C134" s="1412"/>
      <c r="D134" s="1412"/>
      <c r="E134" s="1412"/>
      <c r="F134" s="1412"/>
      <c r="G134" s="1412"/>
      <c r="H134" s="1412"/>
      <c r="I134" s="1412"/>
      <c r="J134" s="1412"/>
      <c r="K134" s="1412"/>
      <c r="L134" s="1412"/>
      <c r="M134" s="1412"/>
      <c r="N134" s="1412"/>
    </row>
    <row r="135" spans="1:14">
      <c r="A135" s="1412"/>
      <c r="B135" s="1412"/>
      <c r="C135" s="1412"/>
      <c r="D135" s="1412"/>
      <c r="E135" s="1412"/>
      <c r="F135" s="1412"/>
      <c r="G135" s="1412"/>
      <c r="H135" s="1412"/>
      <c r="I135" s="1412"/>
      <c r="J135" s="1412"/>
      <c r="K135" s="1412"/>
      <c r="L135" s="1412"/>
      <c r="M135" s="1412"/>
      <c r="N135" s="1412"/>
    </row>
    <row r="220" spans="1:14">
      <c r="A220" s="1412"/>
      <c r="B220" s="1412"/>
      <c r="C220" s="1412"/>
      <c r="D220" s="1412"/>
      <c r="E220" s="1412"/>
      <c r="F220" s="1412"/>
      <c r="G220" s="1412"/>
      <c r="H220" s="1412"/>
      <c r="I220" s="1412"/>
      <c r="J220" s="1412"/>
      <c r="K220" s="1412"/>
      <c r="L220" s="1412"/>
      <c r="M220" s="1412"/>
      <c r="N220" s="1412"/>
    </row>
    <row r="221" spans="1:14" ht="17.399999999999999">
      <c r="A221" s="1413" t="s">
        <v>1090</v>
      </c>
      <c r="B221" s="1412"/>
      <c r="C221" s="1412"/>
      <c r="D221" s="1412"/>
      <c r="E221" s="1412"/>
      <c r="F221" s="1412"/>
      <c r="G221" s="1412"/>
      <c r="H221" s="1412"/>
      <c r="I221" s="1412"/>
      <c r="J221" s="1412"/>
      <c r="K221" s="1412"/>
      <c r="L221" s="1412"/>
      <c r="M221" s="1412"/>
      <c r="N221" s="1412"/>
    </row>
    <row r="222" spans="1:14">
      <c r="A222" s="1412"/>
      <c r="B222" s="1412"/>
      <c r="C222" s="1412"/>
      <c r="D222" s="1412"/>
      <c r="E222" s="1412"/>
      <c r="F222" s="1412"/>
      <c r="G222" s="1412"/>
      <c r="H222" s="1412"/>
      <c r="I222" s="1412"/>
      <c r="J222" s="1412"/>
      <c r="K222" s="1412"/>
      <c r="L222" s="1412"/>
      <c r="M222" s="1412"/>
      <c r="N222" s="1412"/>
    </row>
  </sheetData>
  <phoneticPr fontId="76"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tabColor indexed="43"/>
  </sheetPr>
  <dimension ref="A1:AU1153"/>
  <sheetViews>
    <sheetView showGridLines="0" zoomScaleNormal="100" workbookViewId="0">
      <pane xSplit="6" ySplit="3" topLeftCell="V28" activePane="bottomRight" state="frozen"/>
      <selection pane="topRight" activeCell="G1" sqref="G1"/>
      <selection pane="bottomLeft" activeCell="A4" sqref="A4"/>
      <selection pane="bottomRight" activeCell="AD600" sqref="AD600"/>
    </sheetView>
  </sheetViews>
  <sheetFormatPr defaultColWidth="9.109375" defaultRowHeight="13.2"/>
  <cols>
    <col min="1" max="1" width="4.33203125" style="713" customWidth="1"/>
    <col min="2" max="2" width="7.109375" style="713" customWidth="1"/>
    <col min="3" max="3" width="4" style="744" customWidth="1"/>
    <col min="4" max="4" width="4" style="720" customWidth="1"/>
    <col min="5" max="5" width="34.77734375" style="749" customWidth="1"/>
    <col min="6" max="6" width="12.44140625" style="744" customWidth="1"/>
    <col min="7" max="7" width="9.33203125" style="749" customWidth="1"/>
    <col min="8" max="8" width="9.5546875" style="749" customWidth="1"/>
    <col min="9" max="12" width="13.6640625" style="749" bestFit="1" customWidth="1"/>
    <col min="13" max="13" width="14.33203125" style="749" bestFit="1" customWidth="1"/>
    <col min="14" max="14" width="9.33203125" style="749" customWidth="1"/>
    <col min="15" max="16" width="10" style="749" customWidth="1"/>
    <col min="17" max="17" width="10" style="883" customWidth="1"/>
    <col min="18" max="18" width="9.88671875" style="2162" customWidth="1"/>
    <col min="19" max="19" width="9.5546875" style="2254" customWidth="1"/>
    <col min="20" max="20" width="9.88671875" style="2254" customWidth="1"/>
    <col min="21" max="21" width="9.5546875" style="2254" customWidth="1"/>
    <col min="22" max="22" width="9.5546875" style="2827" customWidth="1"/>
    <col min="23" max="28" width="9.6640625" style="2827" customWidth="1"/>
    <col min="29" max="31" width="11.109375" style="2827" customWidth="1"/>
    <col min="32" max="32" width="9.33203125" style="2827" bestFit="1" customWidth="1"/>
    <col min="33" max="33" width="11.33203125" style="2827" bestFit="1" customWidth="1"/>
    <col min="34" max="36" width="9.109375" style="2827"/>
    <col min="37" max="37" width="13" style="2827" customWidth="1"/>
    <col min="38" max="38" width="9.109375" style="2827"/>
    <col min="39" max="39" width="13" style="2827" customWidth="1"/>
    <col min="40" max="46" width="9.109375" style="2827"/>
    <col min="47" max="16384" width="9.109375" style="749"/>
  </cols>
  <sheetData>
    <row r="1" spans="1:46">
      <c r="G1" s="2976">
        <f t="shared" ref="G1:Z1" si="0">G7</f>
        <v>1995</v>
      </c>
      <c r="H1" s="2976">
        <f t="shared" si="0"/>
        <v>1996</v>
      </c>
      <c r="I1" s="2976">
        <f t="shared" si="0"/>
        <v>1997</v>
      </c>
      <c r="J1" s="2976">
        <f t="shared" si="0"/>
        <v>1998</v>
      </c>
      <c r="K1" s="2976">
        <f t="shared" si="0"/>
        <v>1999</v>
      </c>
      <c r="L1" s="2976">
        <f t="shared" si="0"/>
        <v>2000</v>
      </c>
      <c r="M1" s="2976">
        <f t="shared" si="0"/>
        <v>2001</v>
      </c>
      <c r="N1" s="2976">
        <f t="shared" si="0"/>
        <v>2002</v>
      </c>
      <c r="O1" s="2976">
        <f t="shared" si="0"/>
        <v>2003</v>
      </c>
      <c r="P1" s="2976">
        <f t="shared" si="0"/>
        <v>2004</v>
      </c>
      <c r="Q1" s="2976">
        <f t="shared" si="0"/>
        <v>2005</v>
      </c>
      <c r="R1" s="2976">
        <f t="shared" si="0"/>
        <v>2006</v>
      </c>
      <c r="S1" s="2976">
        <f t="shared" si="0"/>
        <v>2007</v>
      </c>
      <c r="T1" s="2976">
        <f t="shared" si="0"/>
        <v>2008</v>
      </c>
      <c r="U1" s="2976">
        <f t="shared" si="0"/>
        <v>2009</v>
      </c>
      <c r="V1" s="2976">
        <f t="shared" si="0"/>
        <v>2010</v>
      </c>
      <c r="W1" s="2976">
        <f t="shared" si="0"/>
        <v>2011</v>
      </c>
      <c r="X1" s="2976">
        <f t="shared" si="0"/>
        <v>2012</v>
      </c>
      <c r="Y1" s="2976">
        <f t="shared" si="0"/>
        <v>2013</v>
      </c>
      <c r="Z1" s="2976">
        <f t="shared" si="0"/>
        <v>2014</v>
      </c>
      <c r="AA1" s="2976">
        <f>AA7</f>
        <v>2015</v>
      </c>
      <c r="AB1" s="2976">
        <f>AB7</f>
        <v>2016</v>
      </c>
      <c r="AC1" s="2976">
        <f>AC7</f>
        <v>2017</v>
      </c>
      <c r="AD1" s="2976">
        <f>AD7</f>
        <v>2018</v>
      </c>
      <c r="AE1" s="2976">
        <f>AE7</f>
        <v>2019</v>
      </c>
      <c r="AK1" s="2976">
        <v>2014</v>
      </c>
      <c r="AM1" s="2976" t="s">
        <v>2598</v>
      </c>
    </row>
    <row r="2" spans="1:46" ht="22.5" customHeight="1">
      <c r="A2" s="603"/>
      <c r="B2" s="603"/>
      <c r="C2" s="4124" t="s">
        <v>475</v>
      </c>
      <c r="D2" s="4124"/>
      <c r="E2" s="4124"/>
      <c r="F2" s="2268">
        <v>0.05</v>
      </c>
      <c r="G2" s="1886" t="str">
        <f ca="1">IF(G33+G142+G180+G206+G236+G320+G480+G523+G552+G597+G700+G798+G832+G854+G876+G878+G971+G1004+G1125+G1135+G1142&lt;$F$2,"ok","Not ok")</f>
        <v>Not ok</v>
      </c>
      <c r="H2" s="1886" t="str">
        <f t="shared" ref="H2:AD2" si="1">IF(H33+H142+H180+H206+H236+H320+H480+H523+H597+H700+H798+H832+H854+H876+H878+H971+H1004+H1125+H1135+H1142&lt;$F$2,"ok","Not ok")</f>
        <v>ok</v>
      </c>
      <c r="I2" s="1886" t="str">
        <f t="shared" si="1"/>
        <v>ok</v>
      </c>
      <c r="J2" s="1886" t="str">
        <f t="shared" si="1"/>
        <v>ok</v>
      </c>
      <c r="K2" s="1886" t="str">
        <f t="shared" si="1"/>
        <v>ok</v>
      </c>
      <c r="L2" s="1886" t="str">
        <f t="shared" si="1"/>
        <v>ok</v>
      </c>
      <c r="M2" s="1886" t="str">
        <f t="shared" si="1"/>
        <v>ok</v>
      </c>
      <c r="N2" s="1886" t="str">
        <f t="shared" si="1"/>
        <v>ok</v>
      </c>
      <c r="O2" s="1886" t="str">
        <f t="shared" si="1"/>
        <v>ok</v>
      </c>
      <c r="P2" s="1886" t="str">
        <f t="shared" si="1"/>
        <v>ok</v>
      </c>
      <c r="Q2" s="1886" t="str">
        <f t="shared" si="1"/>
        <v>ok</v>
      </c>
      <c r="R2" s="1886" t="str">
        <f t="shared" si="1"/>
        <v>ok</v>
      </c>
      <c r="S2" s="1886" t="str">
        <f t="shared" si="1"/>
        <v>ok</v>
      </c>
      <c r="T2" s="1886" t="str">
        <f t="shared" si="1"/>
        <v>ok</v>
      </c>
      <c r="U2" s="1886" t="str">
        <f t="shared" si="1"/>
        <v>ok</v>
      </c>
      <c r="V2" s="1886" t="str">
        <f t="shared" si="1"/>
        <v>ok</v>
      </c>
      <c r="W2" s="1886" t="str">
        <f t="shared" si="1"/>
        <v>ok</v>
      </c>
      <c r="X2" s="1886" t="str">
        <f t="shared" si="1"/>
        <v>Not ok</v>
      </c>
      <c r="Y2" s="1886" t="str">
        <f t="shared" si="1"/>
        <v>ok</v>
      </c>
      <c r="Z2" s="1886" t="str">
        <f t="shared" si="1"/>
        <v>Not ok</v>
      </c>
      <c r="AA2" s="1886" t="str">
        <f t="shared" si="1"/>
        <v>Not ok</v>
      </c>
      <c r="AB2" s="1886" t="str">
        <f>IF(AB33+AB142+AB180+AB206+AB236+AB320+AB480+AB523+AB597+AB700+AB798+AB832+AB854+AB876+AB878+AB971+AB1004+AB1125+AB1135+AB1142&lt;$F$2,"ok","Not ok")</f>
        <v>Not ok</v>
      </c>
      <c r="AC2" s="1886" t="str">
        <f t="shared" ca="1" si="1"/>
        <v>Not ok</v>
      </c>
      <c r="AD2" s="1886" t="str">
        <f t="shared" ca="1" si="1"/>
        <v>ok</v>
      </c>
      <c r="AE2" s="1886" t="str">
        <f t="shared" ref="AE2" ca="1" si="2">IF(AE33+AE142+AE180+AE206+AE236+AE320+AE480+AE523+AE597+AE700+AE798+AE832+AE854+AE876+AE878+AE971+AE1004+AE1125+AE1135+AE1142&lt;$F$2,"ok","Not ok")</f>
        <v>ok</v>
      </c>
      <c r="AK2" s="1886" t="s">
        <v>2597</v>
      </c>
      <c r="AM2" s="1886"/>
    </row>
    <row r="3" spans="1:46">
      <c r="U3" s="4008">
        <f t="shared" ref="U3:AA3" si="3">U908</f>
        <v>-5.3830611807807328E-2</v>
      </c>
      <c r="V3" s="4008">
        <f t="shared" si="3"/>
        <v>-4.0013913977110349E-2</v>
      </c>
      <c r="W3" s="4008">
        <f t="shared" si="3"/>
        <v>-4.1286045628890863E-2</v>
      </c>
      <c r="X3" s="4008">
        <f t="shared" si="3"/>
        <v>-4.2346827781463793E-2</v>
      </c>
      <c r="Y3" s="4008">
        <f t="shared" si="3"/>
        <v>-3.1376373235649312E-2</v>
      </c>
      <c r="Z3" s="4008">
        <f t="shared" si="3"/>
        <v>-3.0789566117612206E-2</v>
      </c>
      <c r="AA3" s="4008">
        <f t="shared" si="3"/>
        <v>-2.4801479015445049E-2</v>
      </c>
      <c r="AB3" s="3351">
        <f t="shared" ref="AB3:AC3" si="4">AB908</f>
        <v>-2.4801653900593943E-2</v>
      </c>
      <c r="AC3" s="4008">
        <f t="shared" si="4"/>
        <v>-1.0314159265798629E-2</v>
      </c>
      <c r="AD3" s="4008">
        <f t="shared" ref="AD3" ca="1" si="5">AD908</f>
        <v>-1.0901745760132395E-2</v>
      </c>
      <c r="AE3" s="4008">
        <f t="shared" ref="AE3" ca="1" si="6">AE908</f>
        <v>-1.3391420342884945E-2</v>
      </c>
      <c r="AK3" s="3351">
        <v>-3.2460536455614426E-2</v>
      </c>
      <c r="AM3" s="3351">
        <f>Z3-AK3</f>
        <v>1.6709703380022208E-3</v>
      </c>
      <c r="AR3" s="749"/>
      <c r="AS3" s="749"/>
      <c r="AT3" s="749"/>
    </row>
    <row r="4" spans="1:46">
      <c r="Q4" s="888">
        <f>Q33+Q142+Q180+Q206+Q236+Q320+Q480+Q523+Q597+Q700+Q798+Q832+Q854+Q876+Q878+Q971+Q1004+Q1125+Q1135+Q1142</f>
        <v>2.210000000007481E-2</v>
      </c>
      <c r="R4" s="888">
        <f t="shared" ref="R4:AB4" si="7">R33+R142+R180+R206+R236+R320+R480+R523+R597+R700+R798+R832+R854+R876+R878+R971+R1004+R1125+R1135+R1142</f>
        <v>3.1600000000088897E-2</v>
      </c>
      <c r="S4" s="888">
        <f t="shared" si="7"/>
        <v>2.3600000000060906E-2</v>
      </c>
      <c r="T4" s="888">
        <f t="shared" si="7"/>
        <v>2.3300000000098686E-2</v>
      </c>
      <c r="U4" s="888">
        <f t="shared" si="7"/>
        <v>2.3200000000225651E-2</v>
      </c>
      <c r="V4" s="888">
        <f t="shared" si="7"/>
        <v>2.970000000003066E-2</v>
      </c>
      <c r="W4" s="888">
        <f t="shared" si="7"/>
        <v>2.2100000000070119E-2</v>
      </c>
      <c r="X4" s="888">
        <f t="shared" si="7"/>
        <v>6.3800000000200807E-2</v>
      </c>
      <c r="Y4" s="888">
        <f t="shared" si="7"/>
        <v>2.0400000000028069E-2</v>
      </c>
      <c r="Z4" s="888">
        <f t="shared" si="7"/>
        <v>0.41050000000004067</v>
      </c>
      <c r="AA4" s="888">
        <f t="shared" si="7"/>
        <v>0.42400000000006188</v>
      </c>
      <c r="AB4" s="888">
        <f t="shared" si="7"/>
        <v>0.87369999999999404</v>
      </c>
      <c r="AK4" s="2831"/>
      <c r="AM4" s="2831"/>
    </row>
    <row r="5" spans="1:46" ht="22.5" customHeight="1">
      <c r="A5" s="603"/>
      <c r="B5" s="603"/>
      <c r="C5" s="4124" t="s">
        <v>497</v>
      </c>
      <c r="D5" s="4124"/>
      <c r="E5" s="4124"/>
      <c r="F5" s="4124"/>
      <c r="S5" s="2162"/>
      <c r="T5" s="2218"/>
      <c r="U5" s="3009"/>
      <c r="V5" s="2269"/>
      <c r="W5" s="2269"/>
      <c r="X5" s="3379"/>
      <c r="Y5" s="2831"/>
      <c r="Z5" s="2831"/>
      <c r="AK5" s="2831"/>
      <c r="AM5" s="2831"/>
    </row>
    <row r="6" spans="1:46" ht="12.75" customHeight="1">
      <c r="A6" s="714"/>
      <c r="B6" s="714"/>
      <c r="C6" s="822"/>
      <c r="S6" s="2162"/>
      <c r="T6" s="2269"/>
      <c r="U6" s="2269"/>
      <c r="V6" s="2269"/>
      <c r="W6" s="2269"/>
      <c r="X6" s="3379"/>
    </row>
    <row r="7" spans="1:46" ht="12.75" customHeight="1">
      <c r="A7" s="714"/>
      <c r="B7" s="714"/>
      <c r="C7" s="822"/>
      <c r="D7" s="823"/>
      <c r="E7" s="824" t="s">
        <v>1803</v>
      </c>
      <c r="F7" s="825"/>
      <c r="G7" s="826">
        <f>+InputY!$G$3</f>
        <v>1995</v>
      </c>
      <c r="H7" s="826">
        <f t="shared" ref="H7:S7" si="8">+G7+1</f>
        <v>1996</v>
      </c>
      <c r="I7" s="826">
        <f t="shared" si="8"/>
        <v>1997</v>
      </c>
      <c r="J7" s="826">
        <f t="shared" si="8"/>
        <v>1998</v>
      </c>
      <c r="K7" s="826">
        <f t="shared" si="8"/>
        <v>1999</v>
      </c>
      <c r="L7" s="826">
        <f t="shared" si="8"/>
        <v>2000</v>
      </c>
      <c r="M7" s="826">
        <f t="shared" si="8"/>
        <v>2001</v>
      </c>
      <c r="N7" s="826">
        <f t="shared" si="8"/>
        <v>2002</v>
      </c>
      <c r="O7" s="826">
        <f t="shared" si="8"/>
        <v>2003</v>
      </c>
      <c r="P7" s="826">
        <f>+O7+1</f>
        <v>2004</v>
      </c>
      <c r="Q7" s="826">
        <f t="shared" si="8"/>
        <v>2005</v>
      </c>
      <c r="R7" s="2163">
        <f t="shared" si="8"/>
        <v>2006</v>
      </c>
      <c r="S7" s="2163">
        <f t="shared" si="8"/>
        <v>2007</v>
      </c>
      <c r="T7" s="2163">
        <f t="shared" ref="T7:AE7" si="9">+S7+1</f>
        <v>2008</v>
      </c>
      <c r="U7" s="2163">
        <f t="shared" si="9"/>
        <v>2009</v>
      </c>
      <c r="V7" s="2163">
        <f t="shared" si="9"/>
        <v>2010</v>
      </c>
      <c r="W7" s="2163">
        <f t="shared" si="9"/>
        <v>2011</v>
      </c>
      <c r="X7" s="2163">
        <f t="shared" si="9"/>
        <v>2012</v>
      </c>
      <c r="Y7" s="2163">
        <f t="shared" si="9"/>
        <v>2013</v>
      </c>
      <c r="Z7" s="2163">
        <f t="shared" si="9"/>
        <v>2014</v>
      </c>
      <c r="AA7" s="2163">
        <f t="shared" si="9"/>
        <v>2015</v>
      </c>
      <c r="AB7" s="2163">
        <f t="shared" si="9"/>
        <v>2016</v>
      </c>
      <c r="AC7" s="2163">
        <f t="shared" si="9"/>
        <v>2017</v>
      </c>
      <c r="AD7" s="2163">
        <f t="shared" si="9"/>
        <v>2018</v>
      </c>
      <c r="AE7" s="2163">
        <f t="shared" si="9"/>
        <v>2019</v>
      </c>
      <c r="AK7" s="2163">
        <v>2014</v>
      </c>
      <c r="AM7" s="2163"/>
    </row>
    <row r="8" spans="1:46" ht="12.75" customHeight="1">
      <c r="A8" s="714">
        <f>+ROW(InputY!A101)</f>
        <v>101</v>
      </c>
      <c r="B8" s="714">
        <v>50</v>
      </c>
      <c r="C8" s="3037" t="s">
        <v>622</v>
      </c>
      <c r="D8" s="3038" t="s">
        <v>588</v>
      </c>
      <c r="E8" s="3039" t="s">
        <v>621</v>
      </c>
      <c r="F8" s="3040" t="str">
        <f>+InputY!B101</f>
        <v>YATaxProd</v>
      </c>
      <c r="G8" s="3041">
        <f ca="1">+InputY!G101/1000</f>
        <v>22.749400000000001</v>
      </c>
      <c r="H8" s="3041">
        <f>+InputY!H101/1000</f>
        <v>23.991299999999999</v>
      </c>
      <c r="I8" s="3041">
        <f>+InputY!I101/1000</f>
        <v>25.373799999999999</v>
      </c>
      <c r="J8" s="3041">
        <f>+InputY!J101/1000</f>
        <v>26.328599999999998</v>
      </c>
      <c r="K8" s="3041">
        <f>+InputY!K101/1000</f>
        <v>28.1768</v>
      </c>
      <c r="L8" s="3041">
        <f>+InputY!L101/1000</f>
        <v>29.686599999999999</v>
      </c>
      <c r="M8" s="3041">
        <f>+InputY!M101/1000</f>
        <v>29.2758</v>
      </c>
      <c r="N8" s="3041">
        <f>+InputY!N101/1000</f>
        <v>30.504999999999999</v>
      </c>
      <c r="O8" s="3041">
        <f>+InputY!O101/1000</f>
        <v>31.297999999999998</v>
      </c>
      <c r="P8" s="3041">
        <f>+InputY!P101/1000</f>
        <v>33.624699999999997</v>
      </c>
      <c r="Q8" s="3041">
        <f>+InputY!Q101/1000</f>
        <v>35.670300000000005</v>
      </c>
      <c r="R8" s="3041">
        <f>+InputY!R101/1000</f>
        <v>37.2408</v>
      </c>
      <c r="S8" s="3042">
        <f>+InputY!S101/1000</f>
        <v>39.244399999999999</v>
      </c>
      <c r="T8" s="3042">
        <f>+InputY!T101/1000</f>
        <v>39.414199999999994</v>
      </c>
      <c r="U8" s="3042">
        <f>+InputY!U101/1000</f>
        <v>38.091900000000003</v>
      </c>
      <c r="V8" s="3042">
        <f>+InputY!V101/1000</f>
        <v>40.911499999999997</v>
      </c>
      <c r="W8" s="3042">
        <f>+InputY!W101/1000</f>
        <v>41.971699999999998</v>
      </c>
      <c r="X8" s="3042">
        <f>+InputY!X101/1000</f>
        <v>42.977199999999996</v>
      </c>
      <c r="Y8" s="3042">
        <f>+InputY!Y101/1000</f>
        <v>43.547599999999996</v>
      </c>
      <c r="Z8" s="3042">
        <f>+InputY!Z101/1000</f>
        <v>44.171500000000002</v>
      </c>
      <c r="AA8" s="3042">
        <f>+InputY!AA101/1000</f>
        <v>45.102699999999999</v>
      </c>
      <c r="AB8" s="3042">
        <f>+InputY!AB101/1000</f>
        <v>47.467699999999994</v>
      </c>
      <c r="AC8" s="3042">
        <f>+InputY!AC101/1000</f>
        <v>49.843199999999996</v>
      </c>
      <c r="AD8" s="3043">
        <f>+AC8*(1+AD36/100)</f>
        <v>51.238809599999996</v>
      </c>
      <c r="AE8" s="3043">
        <f>+AD8*(1+AE36/100)</f>
        <v>52.9809291264</v>
      </c>
      <c r="AK8" s="3042">
        <v>44.491999999999997</v>
      </c>
      <c r="AM8" s="3042">
        <f t="shared" ref="AM8:AM58" si="10">Z8-AK8</f>
        <v>-0.32049999999999557</v>
      </c>
      <c r="AT8" s="749"/>
    </row>
    <row r="9" spans="1:46" ht="12.75" customHeight="1">
      <c r="A9" s="714"/>
      <c r="B9" s="714"/>
      <c r="C9" s="829"/>
      <c r="D9" s="724"/>
      <c r="E9" s="3035" t="s">
        <v>761</v>
      </c>
      <c r="F9" s="754"/>
      <c r="G9" s="3036">
        <f ca="1">'VVP2'!G192</f>
        <v>112.9679</v>
      </c>
      <c r="H9" s="3036">
        <f>'VVP2'!H192</f>
        <v>116.6069</v>
      </c>
      <c r="I9" s="3036">
        <f>'VVP2'!I192</f>
        <v>120.49119999999999</v>
      </c>
      <c r="J9" s="3036">
        <f>'VVP2'!J192</f>
        <v>125.2568</v>
      </c>
      <c r="K9" s="3036">
        <f>'VVP2'!K192</f>
        <v>128.14839999999998</v>
      </c>
      <c r="L9" s="3036">
        <f>'VVP2'!L192</f>
        <v>136.1028</v>
      </c>
      <c r="M9" s="3036">
        <f>'VVP2'!M192</f>
        <v>140.29089999999999</v>
      </c>
      <c r="N9" s="3036">
        <f>'VVP2'!N192</f>
        <v>142.79829999999998</v>
      </c>
      <c r="O9" s="3036">
        <f>'VVP2'!O192</f>
        <v>145.8004</v>
      </c>
      <c r="P9" s="3036">
        <f>'VVP2'!P192</f>
        <v>151.649</v>
      </c>
      <c r="Q9" s="3036">
        <f>'VVP2'!Q192</f>
        <v>157.66120000000001</v>
      </c>
      <c r="R9" s="3036">
        <f>'VVP2'!R192</f>
        <v>164.9487</v>
      </c>
      <c r="S9" s="3036">
        <f>'VVP2'!S192</f>
        <v>172.86610000000002</v>
      </c>
      <c r="T9" s="3036">
        <f>'VVP2'!T192</f>
        <v>181.39229999999998</v>
      </c>
      <c r="U9" s="3036">
        <f>'VVP2'!U192</f>
        <v>181.54570000000001</v>
      </c>
      <c r="V9" s="3036">
        <f>'VVP2'!V192</f>
        <v>189.69289999999998</v>
      </c>
      <c r="W9" s="3036">
        <f>'VVP2'!W192</f>
        <v>196.06920000000002</v>
      </c>
      <c r="X9" s="3036">
        <f>'VVP2'!X192</f>
        <v>201.18220000000002</v>
      </c>
      <c r="Y9" s="3036">
        <f>'VVP2'!Y192</f>
        <v>204.38479999999998</v>
      </c>
      <c r="Z9" s="3036">
        <f>'VVP2'!Z192</f>
        <v>206.88900000000001</v>
      </c>
      <c r="AA9" s="3036">
        <f>'VVP2'!AA192</f>
        <v>209.88810000000001</v>
      </c>
      <c r="AB9" s="3036">
        <f>'VVP2'!AB192</f>
        <v>216.57429999999999</v>
      </c>
      <c r="AC9" s="3036">
        <f>'VVP2'!AC192</f>
        <v>222.72300000000001</v>
      </c>
      <c r="AD9" s="3036">
        <f ca="1">'VVP2'!AD192</f>
        <v>230.24669430149996</v>
      </c>
      <c r="AE9" s="3036">
        <f ca="1">'VVP2'!AE192</f>
        <v>237.344923590782</v>
      </c>
      <c r="AK9" s="3036">
        <v>207.422</v>
      </c>
      <c r="AM9" s="3036">
        <f t="shared" si="10"/>
        <v>-0.53299999999998704</v>
      </c>
    </row>
    <row r="10" spans="1:46" ht="12.75" customHeight="1">
      <c r="A10" s="714"/>
      <c r="B10" s="714"/>
      <c r="C10" s="829"/>
      <c r="D10" s="724"/>
      <c r="E10" s="3035" t="s">
        <v>762</v>
      </c>
      <c r="F10" s="754"/>
      <c r="G10" s="3036">
        <f ca="1">'VVP2'!G236</f>
        <v>14.479299999999999</v>
      </c>
      <c r="H10" s="3036">
        <f>'VVP2'!H236</f>
        <v>13.462299999999999</v>
      </c>
      <c r="I10" s="3036">
        <f>'VVP2'!I236</f>
        <v>14.876299999999999</v>
      </c>
      <c r="J10" s="3036">
        <f>'VVP2'!J236</f>
        <v>14.363</v>
      </c>
      <c r="K10" s="3036">
        <f>'VVP2'!K236</f>
        <v>14.995100000000001</v>
      </c>
      <c r="L10" s="3036">
        <f>'VVP2'!L236</f>
        <v>15.137799999999999</v>
      </c>
      <c r="M10" s="3036">
        <f>'VVP2'!M236</f>
        <v>14.555</v>
      </c>
      <c r="N10" s="3036">
        <f>'VVP2'!N236</f>
        <v>14.399700000000001</v>
      </c>
      <c r="O10" s="3036">
        <f>'VVP2'!O236</f>
        <v>14.9672</v>
      </c>
      <c r="P10" s="3036">
        <f>'VVP2'!P236</f>
        <v>16.460599999999999</v>
      </c>
      <c r="Q10" s="3036">
        <f>'VVP2'!Q236</f>
        <v>19.201000000000001</v>
      </c>
      <c r="R10" s="3036">
        <f>'VVP2'!R236</f>
        <v>21.168200000000002</v>
      </c>
      <c r="S10" s="3036">
        <f>'VVP2'!S236</f>
        <v>23.024699999999999</v>
      </c>
      <c r="T10" s="3036">
        <f>'VVP2'!T236</f>
        <v>24.052599999999998</v>
      </c>
      <c r="U10" s="3036">
        <f>'VVP2'!U236</f>
        <v>21.7988</v>
      </c>
      <c r="V10" s="3036">
        <f>'VVP2'!V236</f>
        <v>22.4406</v>
      </c>
      <c r="W10" s="3036">
        <f>'VVP2'!W236</f>
        <v>22.331299999999999</v>
      </c>
      <c r="X10" s="3036">
        <f>'VVP2'!X236</f>
        <v>22.794700000000002</v>
      </c>
      <c r="Y10" s="3036">
        <f>'VVP2'!Y236</f>
        <v>22.203799999999998</v>
      </c>
      <c r="Z10" s="3036">
        <f>'VVP2'!Z236</f>
        <v>23.541400000000003</v>
      </c>
      <c r="AA10" s="3036">
        <f>'VVP2'!AA236</f>
        <v>23.821900000000003</v>
      </c>
      <c r="AB10" s="3036">
        <f>'VVP2'!AB236</f>
        <v>24.479200000000002</v>
      </c>
      <c r="AC10" s="3036">
        <f ca="1">'VVP2'!AC236</f>
        <v>24.924416425268898</v>
      </c>
      <c r="AD10" s="3036">
        <f ca="1">'VVP2'!AD236</f>
        <v>25.349876213648237</v>
      </c>
      <c r="AE10" s="3036">
        <f ca="1">'VVP2'!AE236</f>
        <v>25.833653251309496</v>
      </c>
      <c r="AK10" s="3036">
        <v>23.857095172484005</v>
      </c>
      <c r="AM10" s="3036">
        <f t="shared" si="10"/>
        <v>-0.31569517248400203</v>
      </c>
    </row>
    <row r="11" spans="1:46" ht="12.75" customHeight="1">
      <c r="A11" s="714"/>
      <c r="B11" s="714"/>
      <c r="C11" s="829"/>
      <c r="D11" s="724"/>
      <c r="E11" s="3035" t="s">
        <v>2416</v>
      </c>
      <c r="F11" s="754"/>
      <c r="G11" s="3036">
        <f>G689</f>
        <v>7.2478999999999996</v>
      </c>
      <c r="H11" s="3036">
        <f t="shared" ref="H11:AA11" si="11">H689</f>
        <v>7.9761000000000006</v>
      </c>
      <c r="I11" s="3036">
        <f t="shared" si="11"/>
        <v>8.1880000000000006</v>
      </c>
      <c r="J11" s="3036">
        <f t="shared" si="11"/>
        <v>8.5561000000000007</v>
      </c>
      <c r="K11" s="3036">
        <f t="shared" si="11"/>
        <v>9.0108999999999995</v>
      </c>
      <c r="L11" s="3036">
        <f t="shared" si="11"/>
        <v>9.4283999999999999</v>
      </c>
      <c r="M11" s="3036">
        <f t="shared" si="11"/>
        <v>9.9881000000000011</v>
      </c>
      <c r="N11" s="3036">
        <f t="shared" si="11"/>
        <v>11.4903</v>
      </c>
      <c r="O11" s="3036">
        <f t="shared" si="11"/>
        <v>11.7447</v>
      </c>
      <c r="P11" s="3036">
        <f t="shared" si="11"/>
        <v>12.1379</v>
      </c>
      <c r="Q11" s="3036">
        <f t="shared" si="11"/>
        <v>12.4862</v>
      </c>
      <c r="R11" s="3036">
        <f t="shared" si="11"/>
        <v>12.8621</v>
      </c>
      <c r="S11" s="3036">
        <f t="shared" si="11"/>
        <v>12.9176</v>
      </c>
      <c r="T11" s="3036">
        <f t="shared" si="11"/>
        <v>14.008799999999999</v>
      </c>
      <c r="U11" s="3036">
        <f t="shared" si="11"/>
        <v>15.0093</v>
      </c>
      <c r="V11" s="3036">
        <f t="shared" si="11"/>
        <v>15.165799999999999</v>
      </c>
      <c r="W11" s="3036">
        <f t="shared" si="11"/>
        <v>15.870200000000001</v>
      </c>
      <c r="X11" s="3036">
        <f t="shared" si="11"/>
        <v>16.4953</v>
      </c>
      <c r="Y11" s="3036">
        <f t="shared" ref="Y11:Z11" si="12">Y689</f>
        <v>17.093900000000001</v>
      </c>
      <c r="Z11" s="3036">
        <f t="shared" si="12"/>
        <v>16.9955</v>
      </c>
      <c r="AA11" s="3036">
        <f t="shared" si="11"/>
        <v>16.693099999999998</v>
      </c>
      <c r="AB11" s="3036">
        <f t="shared" ref="AB11:AC11" si="13">AB689</f>
        <v>16.758700000000001</v>
      </c>
      <c r="AC11" s="3036">
        <f t="shared" si="13"/>
        <v>17.622599999999998</v>
      </c>
      <c r="AD11" s="3036">
        <f t="shared" ref="AD11" ca="1" si="14">AD689</f>
        <v>18.253139009967271</v>
      </c>
      <c r="AE11" s="3036">
        <f t="shared" ref="AE11" ca="1" si="15">AE689</f>
        <v>19.283382982206994</v>
      </c>
      <c r="AK11" s="3036">
        <v>15.9635</v>
      </c>
      <c r="AM11" s="3036">
        <f t="shared" si="10"/>
        <v>1.032</v>
      </c>
    </row>
    <row r="12" spans="1:46" ht="12.75" customHeight="1">
      <c r="A12" s="714"/>
      <c r="B12" s="714"/>
      <c r="C12" s="829"/>
      <c r="D12" s="724"/>
      <c r="E12" s="3035" t="s">
        <v>763</v>
      </c>
      <c r="F12" s="754"/>
      <c r="G12" s="3036">
        <f>+'VVP2'!G237</f>
        <v>4.6926999999999994</v>
      </c>
      <c r="H12" s="3036">
        <f>+'VVP2'!H237</f>
        <v>4.6556000000000006</v>
      </c>
      <c r="I12" s="3036">
        <f>+'VVP2'!I237</f>
        <v>4.9722</v>
      </c>
      <c r="J12" s="3036">
        <f>+'VVP2'!J237</f>
        <v>5.0324</v>
      </c>
      <c r="K12" s="3036">
        <f>+'VVP2'!K237</f>
        <v>5.9561999999999999</v>
      </c>
      <c r="L12" s="3036">
        <f>+'VVP2'!L237</f>
        <v>6.2696999999999994</v>
      </c>
      <c r="M12" s="3036">
        <f>+'VVP2'!M237</f>
        <v>5.7919999999999998</v>
      </c>
      <c r="N12" s="3036">
        <f>+'VVP2'!N237</f>
        <v>5.8331</v>
      </c>
      <c r="O12" s="3036">
        <f>+'VVP2'!O237</f>
        <v>6.0922999999999998</v>
      </c>
      <c r="P12" s="3036">
        <f>+'VVP2'!P237</f>
        <v>6.1935000000000002</v>
      </c>
      <c r="Q12" s="3036">
        <f>+'VVP2'!Q237</f>
        <v>6.6242000000000001</v>
      </c>
      <c r="R12" s="3036">
        <f>+'VVP2'!R237</f>
        <v>6.4175000000000004</v>
      </c>
      <c r="S12" s="3036">
        <f>+'VVP2'!S237</f>
        <v>7.0301</v>
      </c>
      <c r="T12" s="3036">
        <f>+'VVP2'!T237</f>
        <v>7.4166999999999996</v>
      </c>
      <c r="U12" s="3036">
        <f>+'VVP2'!U237</f>
        <v>8.1306000000000012</v>
      </c>
      <c r="V12" s="3036">
        <f>+'VVP2'!V237</f>
        <v>8.3940000000000001</v>
      </c>
      <c r="W12" s="3036">
        <f>+'VVP2'!W237</f>
        <v>9.2747000000000011</v>
      </c>
      <c r="X12" s="3036">
        <f>+'VVP2'!X237</f>
        <v>9.6434999999999995</v>
      </c>
      <c r="Y12" s="3036">
        <f>+'VVP2'!Y237</f>
        <v>9.2502999999999993</v>
      </c>
      <c r="Z12" s="3036">
        <f>+'VVP2'!Z237</f>
        <v>9.3675999999999995</v>
      </c>
      <c r="AA12" s="3036">
        <f>+'VVP2'!AA237</f>
        <v>9.4318999999999988</v>
      </c>
      <c r="AB12" s="3036">
        <f>+'VVP2'!AB237</f>
        <v>9.3502999999999989</v>
      </c>
      <c r="AC12" s="3036">
        <f>+'VVP2'!AC237</f>
        <v>9.704600000000001</v>
      </c>
      <c r="AD12" s="3036">
        <f ca="1">+'VVP2'!AD237</f>
        <v>10.871496631360001</v>
      </c>
      <c r="AE12" s="3036">
        <f ca="1">+'VVP2'!AE237</f>
        <v>11.698817525006499</v>
      </c>
      <c r="AK12" s="3036">
        <v>9.164299999999999</v>
      </c>
      <c r="AM12" s="3036">
        <f t="shared" si="10"/>
        <v>0.20330000000000048</v>
      </c>
    </row>
    <row r="13" spans="1:46" ht="12.75" customHeight="1">
      <c r="A13" s="714"/>
      <c r="B13" s="714"/>
      <c r="C13" s="829"/>
      <c r="D13" s="724"/>
      <c r="E13" s="3035" t="s">
        <v>2417</v>
      </c>
      <c r="F13" s="754"/>
      <c r="G13" s="3036">
        <f ca="1">SUM(G9:G12)</f>
        <v>139.3878</v>
      </c>
      <c r="H13" s="3036">
        <f t="shared" ref="H13:X13" si="16">SUM(H9:H12)</f>
        <v>142.70089999999999</v>
      </c>
      <c r="I13" s="3036">
        <f t="shared" si="16"/>
        <v>148.52769999999995</v>
      </c>
      <c r="J13" s="3036">
        <f t="shared" si="16"/>
        <v>153.20830000000001</v>
      </c>
      <c r="K13" s="3036">
        <f t="shared" si="16"/>
        <v>158.11059999999998</v>
      </c>
      <c r="L13" s="3036">
        <f t="shared" si="16"/>
        <v>166.93870000000001</v>
      </c>
      <c r="M13" s="3036">
        <f t="shared" si="16"/>
        <v>170.626</v>
      </c>
      <c r="N13" s="3036">
        <f t="shared" si="16"/>
        <v>174.52139999999997</v>
      </c>
      <c r="O13" s="3036">
        <f t="shared" si="16"/>
        <v>178.60459999999998</v>
      </c>
      <c r="P13" s="3036">
        <f t="shared" si="16"/>
        <v>186.441</v>
      </c>
      <c r="Q13" s="3036">
        <f t="shared" si="16"/>
        <v>195.9726</v>
      </c>
      <c r="R13" s="3036">
        <f t="shared" si="16"/>
        <v>205.3965</v>
      </c>
      <c r="S13" s="3036">
        <f t="shared" si="16"/>
        <v>215.83850000000001</v>
      </c>
      <c r="T13" s="3036">
        <f t="shared" si="16"/>
        <v>226.87039999999996</v>
      </c>
      <c r="U13" s="3036">
        <f t="shared" si="16"/>
        <v>226.48439999999999</v>
      </c>
      <c r="V13" s="3036">
        <f t="shared" si="16"/>
        <v>235.69329999999997</v>
      </c>
      <c r="W13" s="3036">
        <f t="shared" si="16"/>
        <v>243.54540000000003</v>
      </c>
      <c r="X13" s="3036">
        <f t="shared" si="16"/>
        <v>250.11570000000003</v>
      </c>
      <c r="Y13" s="3036">
        <f t="shared" ref="Y13:Z13" si="17">SUM(Y9:Y12)</f>
        <v>252.93279999999999</v>
      </c>
      <c r="Z13" s="3036">
        <f t="shared" si="17"/>
        <v>256.79349999999999</v>
      </c>
      <c r="AA13" s="3036">
        <f>SUM(AA9:AA12)</f>
        <v>259.83499999999998</v>
      </c>
      <c r="AB13" s="3036">
        <f>SUM(AB9:AB12)</f>
        <v>267.16249999999997</v>
      </c>
      <c r="AC13" s="3036">
        <f ca="1">SUM(AC9:AC12)</f>
        <v>274.97461642526895</v>
      </c>
      <c r="AD13" s="3036">
        <f ca="1">SUM(AD9:AD12)</f>
        <v>284.72120615647549</v>
      </c>
      <c r="AE13" s="3036">
        <f ca="1">SUM(AE9:AE12)</f>
        <v>294.16077734930502</v>
      </c>
      <c r="AK13" s="3036">
        <v>256.40689517248404</v>
      </c>
      <c r="AM13" s="3036">
        <f t="shared" si="10"/>
        <v>0.38660482751595282</v>
      </c>
    </row>
    <row r="14" spans="1:46" ht="12.75" customHeight="1">
      <c r="A14" s="714"/>
      <c r="B14" s="714"/>
      <c r="C14" s="829"/>
      <c r="D14" s="724"/>
      <c r="E14" s="3035" t="s">
        <v>764</v>
      </c>
      <c r="F14" s="754"/>
      <c r="G14" s="756"/>
      <c r="H14" s="3044">
        <f t="shared" ref="H14:U14" ca="1" si="18">G8/G13</f>
        <v>0.16320940570121634</v>
      </c>
      <c r="I14" s="3044">
        <f t="shared" si="18"/>
        <v>0.16812297609895943</v>
      </c>
      <c r="J14" s="3044">
        <f t="shared" si="18"/>
        <v>0.17083547378704447</v>
      </c>
      <c r="K14" s="3044">
        <f t="shared" si="18"/>
        <v>0.17184839202575838</v>
      </c>
      <c r="L14" s="3044">
        <f t="shared" si="18"/>
        <v>0.17820943061376027</v>
      </c>
      <c r="M14" s="3044">
        <f t="shared" si="18"/>
        <v>0.17782934693992464</v>
      </c>
      <c r="N14" s="3044">
        <f t="shared" si="18"/>
        <v>0.17157877462989227</v>
      </c>
      <c r="O14" s="3044">
        <f t="shared" si="18"/>
        <v>0.17479231773295426</v>
      </c>
      <c r="P14" s="3044">
        <f t="shared" si="18"/>
        <v>0.17523624811455024</v>
      </c>
      <c r="Q14" s="3045">
        <f t="shared" si="18"/>
        <v>0.18035035212211906</v>
      </c>
      <c r="R14" s="3045">
        <f t="shared" si="18"/>
        <v>0.18201677173237485</v>
      </c>
      <c r="S14" s="3045">
        <f t="shared" si="18"/>
        <v>0.18131175555571785</v>
      </c>
      <c r="T14" s="3045">
        <f t="shared" si="18"/>
        <v>0.18182298338804243</v>
      </c>
      <c r="U14" s="3045">
        <f t="shared" si="18"/>
        <v>0.17373002383739791</v>
      </c>
      <c r="V14" s="3044">
        <v>0.155</v>
      </c>
      <c r="W14" s="3045">
        <f t="shared" ref="W14:AE14" si="19">V8/V13</f>
        <v>0.17357939321991758</v>
      </c>
      <c r="X14" s="3045">
        <f t="shared" si="19"/>
        <v>0.17233624613727047</v>
      </c>
      <c r="Y14" s="3045">
        <f t="shared" si="19"/>
        <v>0.17182927741041443</v>
      </c>
      <c r="Z14" s="3045">
        <f t="shared" si="19"/>
        <v>0.17217063188325119</v>
      </c>
      <c r="AA14" s="3045">
        <f t="shared" si="19"/>
        <v>0.17201175263392571</v>
      </c>
      <c r="AB14" s="3045">
        <f t="shared" si="19"/>
        <v>0.1735820809359786</v>
      </c>
      <c r="AC14" s="3045">
        <f t="shared" si="19"/>
        <v>0.177673513311187</v>
      </c>
      <c r="AD14" s="3045">
        <f t="shared" ca="1" si="19"/>
        <v>0.18126473144311522</v>
      </c>
      <c r="AE14" s="3045">
        <f t="shared" ca="1" si="19"/>
        <v>0.17996133934555075</v>
      </c>
      <c r="AK14" s="3045">
        <v>0.17287651456438208</v>
      </c>
      <c r="AM14" s="3045">
        <f t="shared" si="10"/>
        <v>-7.058826811308927E-4</v>
      </c>
    </row>
    <row r="15" spans="1:46" ht="12.75" customHeight="1">
      <c r="A15" s="714"/>
      <c r="B15" s="714"/>
      <c r="C15" s="829"/>
      <c r="D15" s="724"/>
      <c r="E15" s="3035" t="s">
        <v>765</v>
      </c>
      <c r="F15" s="754"/>
      <c r="G15" s="756"/>
      <c r="H15" s="756"/>
      <c r="I15" s="756"/>
      <c r="J15" s="756"/>
      <c r="K15" s="756"/>
      <c r="L15" s="756"/>
      <c r="M15" s="756"/>
      <c r="N15" s="756"/>
      <c r="O15" s="756"/>
      <c r="P15" s="756"/>
      <c r="Q15" s="756"/>
      <c r="R15" s="756"/>
      <c r="S15" s="3328">
        <f t="shared" ref="S15:X15" si="20">S13*S14</f>
        <v>39.134057351512809</v>
      </c>
      <c r="T15" s="3328">
        <f t="shared" si="20"/>
        <v>41.250252970438531</v>
      </c>
      <c r="U15" s="3328">
        <f t="shared" si="20"/>
        <v>39.347140210798763</v>
      </c>
      <c r="V15" s="3328">
        <f t="shared" si="20"/>
        <v>36.532461499999997</v>
      </c>
      <c r="W15" s="3328">
        <f t="shared" si="20"/>
        <v>42.274462753502121</v>
      </c>
      <c r="X15" s="3328">
        <f t="shared" si="20"/>
        <v>43.104000837995706</v>
      </c>
      <c r="Y15" s="3328">
        <f t="shared" ref="Y15:Z15" si="21">Y13*Y14</f>
        <v>43.461260257392865</v>
      </c>
      <c r="Z15" s="3328">
        <f t="shared" si="21"/>
        <v>44.212299158511662</v>
      </c>
      <c r="AA15" s="3328">
        <f>AA13*AA14</f>
        <v>44.694673745636081</v>
      </c>
      <c r="AB15" s="3328">
        <f>AB13*AB14</f>
        <v>46.374622698058374</v>
      </c>
      <c r="AC15" s="3328">
        <f ca="1">AC13*AC14</f>
        <v>48.85570617167356</v>
      </c>
      <c r="AD15" s="3328">
        <f ca="1">AD13*AD14</f>
        <v>51.609912970113378</v>
      </c>
      <c r="AE15" s="3328">
        <f ca="1">AE13*AE14</f>
        <v>52.937567474709283</v>
      </c>
      <c r="AK15" s="3328">
        <v>44.326730347693925</v>
      </c>
      <c r="AM15" s="3328">
        <f t="shared" si="10"/>
        <v>-0.11443118918226247</v>
      </c>
    </row>
    <row r="16" spans="1:46" ht="12.75" customHeight="1">
      <c r="A16" s="714"/>
      <c r="B16" s="714"/>
      <c r="C16" s="829"/>
      <c r="D16" s="724"/>
      <c r="E16" s="3035" t="s">
        <v>2400</v>
      </c>
      <c r="F16" s="754"/>
      <c r="G16" s="756"/>
      <c r="H16" s="756"/>
      <c r="I16" s="756"/>
      <c r="J16" s="756"/>
      <c r="K16" s="756"/>
      <c r="L16" s="756"/>
      <c r="M16" s="756"/>
      <c r="N16" s="756"/>
      <c r="O16" s="756"/>
      <c r="P16" s="756"/>
      <c r="Q16" s="756"/>
      <c r="R16" s="756"/>
      <c r="S16" s="3328"/>
      <c r="T16" s="3328"/>
      <c r="U16" s="3328"/>
      <c r="V16" s="3473" t="s">
        <v>2396</v>
      </c>
      <c r="W16" s="3473" t="s">
        <v>2397</v>
      </c>
      <c r="X16" s="3473" t="s">
        <v>2398</v>
      </c>
      <c r="Y16" s="3473" t="s">
        <v>2555</v>
      </c>
      <c r="Z16" s="3473" t="s">
        <v>2571</v>
      </c>
      <c r="AA16" s="3473" t="s">
        <v>2399</v>
      </c>
      <c r="AB16" s="3473" t="s">
        <v>2399</v>
      </c>
      <c r="AC16" s="3473" t="s">
        <v>2399</v>
      </c>
      <c r="AD16" s="3473" t="s">
        <v>2399</v>
      </c>
      <c r="AE16" s="3473" t="s">
        <v>2399</v>
      </c>
      <c r="AK16" s="3473" t="s">
        <v>2399</v>
      </c>
      <c r="AM16" s="3473">
        <f t="shared" si="10"/>
        <v>559.79999999999995</v>
      </c>
    </row>
    <row r="17" spans="1:46" s="603" customFormat="1" ht="12.75" customHeight="1">
      <c r="A17" s="714"/>
      <c r="B17" s="714"/>
      <c r="C17" s="921"/>
      <c r="D17" s="724"/>
      <c r="E17" s="3035" t="s">
        <v>2395</v>
      </c>
      <c r="F17" s="1024"/>
      <c r="G17" s="3036"/>
      <c r="H17" s="3036"/>
      <c r="I17" s="3036"/>
      <c r="J17" s="3036"/>
      <c r="K17" s="3036"/>
      <c r="L17" s="3036"/>
      <c r="M17" s="3036"/>
      <c r="N17" s="3036"/>
      <c r="O17" s="3036"/>
      <c r="P17" s="3036"/>
      <c r="Q17" s="3036"/>
      <c r="R17" s="3036"/>
      <c r="S17" s="3328">
        <f t="shared" ref="S17:AA17" si="22">S8-S15-(S16/1000)</f>
        <v>0.11034264848719033</v>
      </c>
      <c r="T17" s="3328">
        <f t="shared" si="22"/>
        <v>-1.8360529704385371</v>
      </c>
      <c r="U17" s="3328">
        <f t="shared" si="22"/>
        <v>-1.2552402107987604</v>
      </c>
      <c r="V17" s="3328">
        <f t="shared" si="22"/>
        <v>4.2350384999999999</v>
      </c>
      <c r="W17" s="3328">
        <f t="shared" si="22"/>
        <v>-0.81976275350212247</v>
      </c>
      <c r="X17" s="3328">
        <f t="shared" si="22"/>
        <v>-0.65440083799570958</v>
      </c>
      <c r="Y17" s="3328">
        <f t="shared" ref="Y17:Z17" si="23">Y8-Y15-(Y16/1000)</f>
        <v>-0.44136025739286988</v>
      </c>
      <c r="Z17" s="3328">
        <f t="shared" si="23"/>
        <v>-0.56859915851166043</v>
      </c>
      <c r="AA17" s="3328">
        <f t="shared" si="22"/>
        <v>0.44002625436391796</v>
      </c>
      <c r="AB17" s="3328">
        <f t="shared" ref="AB17:AC17" si="24">AB8-AB15-(AB16/1000)</f>
        <v>1.1250773019416194</v>
      </c>
      <c r="AC17" s="3328">
        <f t="shared" ca="1" si="24"/>
        <v>1.0194938283264356</v>
      </c>
      <c r="AD17" s="3328">
        <f t="shared" ref="AD17" ca="1" si="25">AD8-AD15-(AD16/1000)</f>
        <v>-0.33910337011338143</v>
      </c>
      <c r="AE17" s="3328">
        <f t="shared" ref="AE17" ca="1" si="26">AE8-AE15-(AE16/1000)</f>
        <v>7.5361651690716486E-2</v>
      </c>
      <c r="AF17" s="2835"/>
      <c r="AG17" s="2835"/>
      <c r="AH17" s="2835"/>
      <c r="AI17" s="2835"/>
      <c r="AJ17" s="2835"/>
      <c r="AK17" s="3328">
        <v>0.1972696523060726</v>
      </c>
      <c r="AL17" s="2835"/>
      <c r="AM17" s="3328">
        <f t="shared" si="10"/>
        <v>-0.76586881081773306</v>
      </c>
      <c r="AN17" s="2835"/>
      <c r="AO17" s="2835"/>
      <c r="AP17" s="2835"/>
      <c r="AQ17" s="2835"/>
      <c r="AR17" s="2835"/>
      <c r="AS17" s="2835"/>
      <c r="AT17" s="2835"/>
    </row>
    <row r="18" spans="1:46" ht="12.75" customHeight="1">
      <c r="A18" s="714">
        <f>+ROW(InputY!A181)</f>
        <v>181</v>
      </c>
      <c r="B18" s="714"/>
      <c r="C18" s="829" t="s">
        <v>622</v>
      </c>
      <c r="D18" s="724" t="s">
        <v>589</v>
      </c>
      <c r="E18" s="830" t="s">
        <v>1685</v>
      </c>
      <c r="F18" s="754" t="str">
        <f>+InputY!B181</f>
        <v>$HTaxOth</v>
      </c>
      <c r="G18" s="756">
        <f ca="1">+InputY!G181/1000</f>
        <v>1.6944000000000001</v>
      </c>
      <c r="H18" s="756">
        <f>+InputY!H181/1000</f>
        <v>1.8532999999999999</v>
      </c>
      <c r="I18" s="756">
        <f>+InputY!I181/1000</f>
        <v>1.9424999999999999</v>
      </c>
      <c r="J18" s="756">
        <f>+InputY!J181/1000</f>
        <v>2.0045999999999999</v>
      </c>
      <c r="K18" s="756">
        <f>+InputY!K181/1000</f>
        <v>2.0284</v>
      </c>
      <c r="L18" s="756">
        <f>+InputY!L181/1000</f>
        <v>2.0448</v>
      </c>
      <c r="M18" s="756">
        <f>+InputY!M181/1000</f>
        <v>2.1511999999999998</v>
      </c>
      <c r="N18" s="756">
        <f>+InputY!N181/1000</f>
        <v>2.3986000000000001</v>
      </c>
      <c r="O18" s="756">
        <f>+InputY!O181/1000</f>
        <v>2.5554000000000001</v>
      </c>
      <c r="P18" s="756">
        <f>+InputY!P181/1000</f>
        <v>2.6075999999999997</v>
      </c>
      <c r="Q18" s="756">
        <f>+InputY!Q181/1000</f>
        <v>2.6431</v>
      </c>
      <c r="R18" s="1469">
        <f>+InputY!R181/1000</f>
        <v>2.7179000000000002</v>
      </c>
      <c r="S18" s="1469">
        <f>+InputY!S181/1000</f>
        <v>2.8163</v>
      </c>
      <c r="T18" s="1469">
        <f>+InputY!T181/1000</f>
        <v>2.9158000000000004</v>
      </c>
      <c r="U18" s="1376">
        <f>+InputY!U181/1000</f>
        <v>3.0270000000000001</v>
      </c>
      <c r="V18" s="1376">
        <f>+InputY!V181/1000</f>
        <v>3.1693000000000002</v>
      </c>
      <c r="W18" s="1376">
        <f>+InputY!W181/1000</f>
        <v>3.3418000000000001</v>
      </c>
      <c r="X18" s="1376">
        <f>+InputY!X181/1000</f>
        <v>3.3371999999999997</v>
      </c>
      <c r="Y18" s="1376">
        <f>+InputY!Y181/1000</f>
        <v>3.5458000000000003</v>
      </c>
      <c r="Z18" s="1376">
        <f>+InputY!Z181/1000</f>
        <v>3.6355</v>
      </c>
      <c r="AA18" s="1376">
        <f>+InputY!AA181/1000</f>
        <v>3.6884999999999999</v>
      </c>
      <c r="AB18" s="1376">
        <f>+InputY!AB181/1000</f>
        <v>3.8115999999999999</v>
      </c>
      <c r="AC18" s="3032">
        <f>+AB18*(1+AC37/100)</f>
        <v>3.8212809999999999</v>
      </c>
      <c r="AD18" s="3032">
        <f>+AC18*(1+AD37/100)</f>
        <v>3.9405049671999994</v>
      </c>
      <c r="AE18" s="3032">
        <f>+AD18*(1+AE37/100)</f>
        <v>4.0780285905552791</v>
      </c>
      <c r="AK18" s="1376">
        <v>3.7187997028097821</v>
      </c>
      <c r="AM18" s="1376">
        <f t="shared" si="10"/>
        <v>-8.3299702809782161E-2</v>
      </c>
    </row>
    <row r="19" spans="1:46" ht="12.75" customHeight="1">
      <c r="A19" s="714"/>
      <c r="B19" s="714"/>
      <c r="C19" s="829"/>
      <c r="D19" s="724"/>
      <c r="E19" s="3035" t="s">
        <v>767</v>
      </c>
      <c r="F19" s="754"/>
      <c r="G19" s="3036">
        <f ca="1">Labour1!G217</f>
        <v>108.73860000000001</v>
      </c>
      <c r="H19" s="3036">
        <f>Labour1!H217</f>
        <v>110.9706</v>
      </c>
      <c r="I19" s="3036">
        <f>Labour1!I217</f>
        <v>115.187</v>
      </c>
      <c r="J19" s="3036">
        <f>Labour1!J217</f>
        <v>119.3878</v>
      </c>
      <c r="K19" s="3036">
        <f>Labour1!K217</f>
        <v>125.6863</v>
      </c>
      <c r="L19" s="3036">
        <f>Labour1!L217</f>
        <v>131.40450000000001</v>
      </c>
      <c r="M19" s="3036">
        <f>Labour1!M217</f>
        <v>138.8134</v>
      </c>
      <c r="N19" s="3036">
        <f>Labour1!N217</f>
        <v>144.3655</v>
      </c>
      <c r="O19" s="3036">
        <f>Labour1!O217</f>
        <v>147.3194</v>
      </c>
      <c r="P19" s="3036">
        <f>Labour1!P217</f>
        <v>151.81570000000002</v>
      </c>
      <c r="Q19" s="3036">
        <f>Labour1!Q217</f>
        <v>157.095</v>
      </c>
      <c r="R19" s="3036">
        <f>Labour1!R217</f>
        <v>164.73150000000001</v>
      </c>
      <c r="S19" s="3036">
        <f>Labour1!S217</f>
        <v>173.56210000000002</v>
      </c>
      <c r="T19" s="3036">
        <f>Labour1!T217</f>
        <v>183.1001</v>
      </c>
      <c r="U19" s="3036">
        <f>Labour1!U217</f>
        <v>184.52510000000001</v>
      </c>
      <c r="V19" s="3036">
        <f>Labour1!V217</f>
        <v>188.399</v>
      </c>
      <c r="W19" s="3036">
        <f>Labour1!W217</f>
        <v>196.85599999999999</v>
      </c>
      <c r="X19" s="3036">
        <f>Labour1!X217</f>
        <v>203.66159999999999</v>
      </c>
      <c r="Y19" s="3036">
        <f>Labour1!Y217</f>
        <v>207.7114</v>
      </c>
      <c r="Z19" s="3036">
        <f>Labour1!Z217</f>
        <v>210.5333</v>
      </c>
      <c r="AA19" s="3036">
        <f>Labour1!AA217</f>
        <v>212.48429999999999</v>
      </c>
      <c r="AB19" s="3036">
        <f>Labour1!AB217</f>
        <v>215.2261</v>
      </c>
      <c r="AC19" s="3036">
        <f>Labour1!AC217</f>
        <v>221.9462129577492</v>
      </c>
      <c r="AD19" s="3036">
        <f>Labour1!AD217</f>
        <v>229.16863166024314</v>
      </c>
      <c r="AE19" s="3036">
        <f>Labour1!AE217</f>
        <v>236.38772170747959</v>
      </c>
      <c r="AK19" s="3036">
        <v>209.61145300849302</v>
      </c>
      <c r="AM19" s="3036">
        <f t="shared" si="10"/>
        <v>0.92184699150698179</v>
      </c>
    </row>
    <row r="20" spans="1:46" ht="12.75" customHeight="1">
      <c r="A20" s="714"/>
      <c r="B20" s="714"/>
      <c r="C20" s="829"/>
      <c r="D20" s="724"/>
      <c r="E20" s="3035" t="s">
        <v>764</v>
      </c>
      <c r="F20" s="754"/>
      <c r="G20" s="3036"/>
      <c r="H20" s="3044">
        <f ca="1">G18/G19</f>
        <v>1.5582323112491792E-2</v>
      </c>
      <c r="I20" s="3044">
        <f t="shared" ref="I20:AE20" si="27">H18/H19</f>
        <v>1.6700819856790897E-2</v>
      </c>
      <c r="J20" s="3044">
        <f t="shared" si="27"/>
        <v>1.6863882208929825E-2</v>
      </c>
      <c r="K20" s="3044">
        <f t="shared" si="27"/>
        <v>1.6790660352230296E-2</v>
      </c>
      <c r="L20" s="3044">
        <f t="shared" si="27"/>
        <v>1.6138592670800238E-2</v>
      </c>
      <c r="M20" s="3044">
        <f t="shared" si="27"/>
        <v>1.5561110920858873E-2</v>
      </c>
      <c r="N20" s="3044">
        <f t="shared" si="27"/>
        <v>1.5497062963662009E-2</v>
      </c>
      <c r="O20" s="3044">
        <f t="shared" si="27"/>
        <v>1.6614772920122884E-2</v>
      </c>
      <c r="P20" s="3046">
        <f t="shared" si="27"/>
        <v>1.7345984303492955E-2</v>
      </c>
      <c r="Q20" s="3046">
        <f t="shared" si="27"/>
        <v>1.7176089166008518E-2</v>
      </c>
      <c r="R20" s="3046">
        <f t="shared" si="27"/>
        <v>1.6824851204685062E-2</v>
      </c>
      <c r="S20" s="3046">
        <f t="shared" si="27"/>
        <v>1.6498969535274067E-2</v>
      </c>
      <c r="T20" s="3046">
        <f t="shared" si="27"/>
        <v>1.622646879704728E-2</v>
      </c>
      <c r="U20" s="3046">
        <f t="shared" si="27"/>
        <v>1.5924622651762619E-2</v>
      </c>
      <c r="V20" s="3046">
        <f t="shared" si="27"/>
        <v>1.64042723727016E-2</v>
      </c>
      <c r="W20" s="3046">
        <f t="shared" si="27"/>
        <v>1.6822276126731036E-2</v>
      </c>
      <c r="X20" s="3046">
        <f t="shared" si="27"/>
        <v>1.6975860527492177E-2</v>
      </c>
      <c r="Y20" s="3046">
        <f t="shared" si="27"/>
        <v>1.6386005020092152E-2</v>
      </c>
      <c r="Z20" s="3046">
        <f t="shared" si="27"/>
        <v>1.7070801121171011E-2</v>
      </c>
      <c r="AA20" s="3046">
        <f t="shared" si="27"/>
        <v>1.7268052132370509E-2</v>
      </c>
      <c r="AB20" s="3046">
        <f t="shared" si="27"/>
        <v>1.7358929577385246E-2</v>
      </c>
      <c r="AC20" s="3046">
        <f t="shared" si="27"/>
        <v>1.7709748027771723E-2</v>
      </c>
      <c r="AD20" s="3046">
        <f t="shared" si="27"/>
        <v>1.7217148916739745E-2</v>
      </c>
      <c r="AE20" s="3046">
        <f t="shared" si="27"/>
        <v>1.7194783328994368E-2</v>
      </c>
      <c r="AK20" s="3046">
        <v>1.7157586777034738E-2</v>
      </c>
      <c r="AM20" s="3046">
        <f t="shared" si="10"/>
        <v>-8.6785655863726857E-5</v>
      </c>
    </row>
    <row r="21" spans="1:46" ht="12.75" customHeight="1">
      <c r="A21" s="714"/>
      <c r="B21" s="714"/>
      <c r="C21" s="829"/>
      <c r="D21" s="724"/>
      <c r="E21" s="3035" t="s">
        <v>765</v>
      </c>
      <c r="F21" s="754"/>
      <c r="G21" s="3036"/>
      <c r="H21" s="3036">
        <f ca="1">H19*H20</f>
        <v>1.7291797451870818</v>
      </c>
      <c r="I21" s="3036">
        <f t="shared" ref="I21:X21" si="28">I19*I20</f>
        <v>1.9237173368441731</v>
      </c>
      <c r="J21" s="3036">
        <f t="shared" si="28"/>
        <v>2.0133417963832723</v>
      </c>
      <c r="K21" s="3036">
        <f t="shared" si="28"/>
        <v>2.1103559742285225</v>
      </c>
      <c r="L21" s="3036">
        <f t="shared" si="28"/>
        <v>2.12068370061017</v>
      </c>
      <c r="M21" s="3036">
        <f t="shared" si="28"/>
        <v>2.1600907147015511</v>
      </c>
      <c r="N21" s="3036">
        <f t="shared" si="28"/>
        <v>2.2372412432805477</v>
      </c>
      <c r="O21" s="3036">
        <f t="shared" si="28"/>
        <v>2.4476783777287512</v>
      </c>
      <c r="P21" s="3036">
        <f t="shared" si="28"/>
        <v>2.6333927492237956</v>
      </c>
      <c r="Q21" s="3036">
        <f t="shared" si="28"/>
        <v>2.6982777275341081</v>
      </c>
      <c r="R21" s="3036">
        <f t="shared" si="28"/>
        <v>2.7715829762245776</v>
      </c>
      <c r="S21" s="3036">
        <f t="shared" si="28"/>
        <v>2.8635958003781914</v>
      </c>
      <c r="T21" s="3036">
        <f t="shared" si="28"/>
        <v>2.9710680593862366</v>
      </c>
      <c r="U21" s="3329">
        <f t="shared" si="28"/>
        <v>2.9384925872787626</v>
      </c>
      <c r="V21" s="3329">
        <f t="shared" si="28"/>
        <v>3.0905485107446089</v>
      </c>
      <c r="W21" s="3329">
        <f t="shared" si="28"/>
        <v>3.3115659892037645</v>
      </c>
      <c r="X21" s="3329">
        <f t="shared" si="28"/>
        <v>3.4573309164059007</v>
      </c>
      <c r="Y21" s="3329">
        <f t="shared" ref="Y21:Z21" si="29">Y19*Y20</f>
        <v>3.4035600431303692</v>
      </c>
      <c r="Z21" s="3329">
        <f t="shared" si="29"/>
        <v>3.5939720936838326</v>
      </c>
      <c r="AA21" s="3329">
        <f t="shared" ref="AA21:AB21" si="30">AA19*AA20</f>
        <v>3.669189969710255</v>
      </c>
      <c r="AB21" s="3329">
        <f t="shared" si="30"/>
        <v>3.7360947131152749</v>
      </c>
      <c r="AC21" s="3329">
        <f>AC19*AC20</f>
        <v>3.9306115071999019</v>
      </c>
      <c r="AD21" s="3329">
        <f>AD19*AD20</f>
        <v>3.9456304583398847</v>
      </c>
      <c r="AE21" s="3329">
        <f>AE19*AE20</f>
        <v>4.0646356563947297</v>
      </c>
      <c r="AK21" s="3329">
        <v>3.5964266944535579</v>
      </c>
      <c r="AM21" s="3329">
        <f t="shared" si="10"/>
        <v>-2.454600769725257E-3</v>
      </c>
    </row>
    <row r="22" spans="1:46" ht="12.75" customHeight="1">
      <c r="A22" s="714"/>
      <c r="B22" s="714"/>
      <c r="C22" s="829"/>
      <c r="D22" s="724"/>
      <c r="E22" s="3035" t="s">
        <v>766</v>
      </c>
      <c r="F22" s="754"/>
      <c r="G22" s="3036"/>
      <c r="H22" s="3036"/>
      <c r="I22" s="3036"/>
      <c r="J22" s="3036"/>
      <c r="K22" s="3036"/>
      <c r="L22" s="3036"/>
      <c r="M22" s="3036"/>
      <c r="N22" s="3036"/>
      <c r="O22" s="3036"/>
      <c r="P22" s="3036"/>
      <c r="Q22" s="3036"/>
      <c r="R22" s="3036"/>
      <c r="S22" s="3353"/>
      <c r="T22" s="3353"/>
      <c r="U22" s="3353"/>
      <c r="V22" s="3353"/>
      <c r="W22" s="3353"/>
      <c r="X22" s="3353">
        <v>0.105</v>
      </c>
      <c r="Y22" s="3353">
        <v>1.105</v>
      </c>
      <c r="Z22" s="3353">
        <v>2.105</v>
      </c>
      <c r="AA22" s="3353">
        <v>3.105</v>
      </c>
      <c r="AB22" s="3353">
        <v>4.1050000000000004</v>
      </c>
      <c r="AC22" s="3353"/>
      <c r="AD22" s="3353"/>
      <c r="AE22" s="3353"/>
      <c r="AK22" s="3353"/>
      <c r="AM22" s="3353">
        <f t="shared" si="10"/>
        <v>2.105</v>
      </c>
    </row>
    <row r="23" spans="1:46" ht="12.75" customHeight="1">
      <c r="A23" s="714"/>
      <c r="B23" s="714"/>
      <c r="C23" s="829"/>
      <c r="D23" s="724"/>
      <c r="E23" s="3035" t="s">
        <v>2395</v>
      </c>
      <c r="F23" s="754"/>
      <c r="G23" s="3036"/>
      <c r="H23" s="3036"/>
      <c r="I23" s="3036"/>
      <c r="J23" s="3036"/>
      <c r="K23" s="3036"/>
      <c r="L23" s="3036"/>
      <c r="M23" s="3036"/>
      <c r="N23" s="3036"/>
      <c r="O23" s="3036"/>
      <c r="P23" s="3036"/>
      <c r="Q23" s="3036"/>
      <c r="R23" s="3036"/>
      <c r="S23" s="3480">
        <f t="shared" ref="S23:W23" si="31">S18-S21-S22</f>
        <v>-4.7295800378191366E-2</v>
      </c>
      <c r="T23" s="3480">
        <f t="shared" si="31"/>
        <v>-5.5268059386236246E-2</v>
      </c>
      <c r="U23" s="3480">
        <f t="shared" si="31"/>
        <v>8.8507412721237522E-2</v>
      </c>
      <c r="V23" s="3480">
        <f t="shared" si="31"/>
        <v>7.8751489255391327E-2</v>
      </c>
      <c r="W23" s="3480">
        <f t="shared" si="31"/>
        <v>3.0234010796235555E-2</v>
      </c>
      <c r="X23" s="3480">
        <f>X18-X21-X22</f>
        <v>-0.22513091640590099</v>
      </c>
      <c r="Y23" s="3480">
        <f>Y18-Y21-Y22</f>
        <v>-0.96276004313036889</v>
      </c>
      <c r="Z23" s="3480">
        <f>Z18-Z21-Z22</f>
        <v>-2.0634720936838327</v>
      </c>
      <c r="AA23" s="3480">
        <f>AA18-AA21-AA22</f>
        <v>-3.0856899697102551</v>
      </c>
      <c r="AB23" s="3480">
        <f>AB18-AB21-AB22</f>
        <v>-4.029494713115275</v>
      </c>
      <c r="AC23" s="3480">
        <f t="shared" ref="AC23" si="32">AC18-AC21-AC22</f>
        <v>-0.10933050719990201</v>
      </c>
      <c r="AD23" s="3480">
        <f t="shared" ref="AD23" si="33">AD18-AD21-AD22</f>
        <v>-5.1254911398852521E-3</v>
      </c>
      <c r="AE23" s="3480">
        <f t="shared" ref="AE23" si="34">AE18-AE21-AE22</f>
        <v>1.339293416054943E-2</v>
      </c>
      <c r="AK23" s="3480">
        <v>0.12237300835622422</v>
      </c>
      <c r="AM23" s="3480">
        <f t="shared" si="10"/>
        <v>-2.1858451020400569</v>
      </c>
    </row>
    <row r="24" spans="1:46" ht="12.75" customHeight="1">
      <c r="A24" s="714">
        <f>+ROW(InputY!A112)</f>
        <v>112</v>
      </c>
      <c r="B24" s="714">
        <v>102</v>
      </c>
      <c r="C24" s="829" t="s">
        <v>622</v>
      </c>
      <c r="D24" s="724" t="s">
        <v>590</v>
      </c>
      <c r="E24" s="830" t="s">
        <v>1685</v>
      </c>
      <c r="F24" s="754" t="str">
        <f>+InputY!B112</f>
        <v>$ETaxProd</v>
      </c>
      <c r="G24" s="756">
        <f ca="1">+InputY!G112/1000</f>
        <v>2.2355</v>
      </c>
      <c r="H24" s="756">
        <f>+InputY!H112/1000</f>
        <v>2.3355000000000001</v>
      </c>
      <c r="I24" s="756">
        <f>+InputY!I112/1000</f>
        <v>2.6396999999999999</v>
      </c>
      <c r="J24" s="756">
        <f>+InputY!J112/1000</f>
        <v>2.657</v>
      </c>
      <c r="K24" s="756">
        <f>+InputY!K112/1000</f>
        <v>2.8576999999999999</v>
      </c>
      <c r="L24" s="756">
        <f>+InputY!L112/1000</f>
        <v>2.8219000000000003</v>
      </c>
      <c r="M24" s="756">
        <f>+InputY!M112/1000</f>
        <v>2.8891</v>
      </c>
      <c r="N24" s="756">
        <f>+InputY!N112/1000</f>
        <v>2.6896999999999998</v>
      </c>
      <c r="O24" s="756">
        <f>+InputY!O112/1000</f>
        <v>2.8895999999999997</v>
      </c>
      <c r="P24" s="756">
        <f>+InputY!P112/1000</f>
        <v>2.9779</v>
      </c>
      <c r="Q24" s="756">
        <f>+InputY!Q112/1000</f>
        <v>2.9115000000000002</v>
      </c>
      <c r="R24" s="1469">
        <f>+InputY!R112/1000</f>
        <v>3.1516999999999999</v>
      </c>
      <c r="S24" s="1469">
        <f>+InputY!S112/1000</f>
        <v>3.1391</v>
      </c>
      <c r="T24" s="1469">
        <f>+InputY!T112/1000</f>
        <v>3.5399000000000003</v>
      </c>
      <c r="U24" s="1376">
        <f>+InputY!U112/1000</f>
        <v>3.6158999999999999</v>
      </c>
      <c r="V24" s="1376">
        <f>+InputY!V112/1000</f>
        <v>3.8463000000000003</v>
      </c>
      <c r="W24" s="1376">
        <f>+InputY!W112/1000</f>
        <v>4.2101999999999995</v>
      </c>
      <c r="X24" s="1376">
        <f>+InputY!X112/1000</f>
        <v>5.6295999999999999</v>
      </c>
      <c r="Y24" s="1376">
        <f>+InputY!Y112/1000</f>
        <v>5.3436000000000003</v>
      </c>
      <c r="Z24" s="1376">
        <f>+InputY!Z112/1000</f>
        <v>5.5346000000000002</v>
      </c>
      <c r="AA24" s="1376">
        <f>+InputY!AA112/1000</f>
        <v>5.6438000000000006</v>
      </c>
      <c r="AB24" s="1376">
        <f>+InputY!AB112/1000</f>
        <v>5.8630000000000004</v>
      </c>
      <c r="AC24" s="3032">
        <f>+AB24*(1+AC38/100)</f>
        <v>5.8067709327159749</v>
      </c>
      <c r="AD24" s="3032">
        <f>+AC24*(1+AD38/100)</f>
        <v>5.9229063513702949</v>
      </c>
      <c r="AE24" s="3032">
        <f>+AD24*(1+AE38/100)</f>
        <v>6.0668329757085928</v>
      </c>
      <c r="AK24" s="1376">
        <v>5.0834243268211967</v>
      </c>
      <c r="AM24" s="1376">
        <f t="shared" si="10"/>
        <v>0.45117567317880347</v>
      </c>
    </row>
    <row r="25" spans="1:46" ht="12.75" customHeight="1">
      <c r="A25" s="714"/>
      <c r="B25" s="714"/>
      <c r="C25" s="829"/>
      <c r="D25" s="724"/>
      <c r="E25" s="3035" t="s">
        <v>768</v>
      </c>
      <c r="F25" s="754"/>
      <c r="G25" s="3036">
        <f ca="1">G169</f>
        <v>124.20959999999999</v>
      </c>
      <c r="H25" s="3036">
        <f>H169</f>
        <v>125.80589999999999</v>
      </c>
      <c r="I25" s="3036">
        <f t="shared" ref="I25:W25" si="35">I169</f>
        <v>131.94170000000003</v>
      </c>
      <c r="J25" s="3036">
        <f t="shared" si="35"/>
        <v>137.5197</v>
      </c>
      <c r="K25" s="3036">
        <f t="shared" si="35"/>
        <v>143.27079999999998</v>
      </c>
      <c r="L25" s="3036">
        <f t="shared" si="35"/>
        <v>152.41800000000001</v>
      </c>
      <c r="M25" s="3036">
        <f t="shared" si="35"/>
        <v>157.89570000000001</v>
      </c>
      <c r="N25" s="3036">
        <f t="shared" si="35"/>
        <v>163.6788</v>
      </c>
      <c r="O25" s="3036">
        <f t="shared" si="35"/>
        <v>168.5035</v>
      </c>
      <c r="P25" s="3036">
        <f t="shared" si="35"/>
        <v>179.851</v>
      </c>
      <c r="Q25" s="3036">
        <f t="shared" si="35"/>
        <v>187.38939999999999</v>
      </c>
      <c r="R25" s="3036">
        <f t="shared" si="35"/>
        <v>196.27670000000001</v>
      </c>
      <c r="S25" s="3036">
        <f t="shared" si="35"/>
        <v>208.3862</v>
      </c>
      <c r="T25" s="3036">
        <f t="shared" si="35"/>
        <v>213.5257</v>
      </c>
      <c r="U25" s="3036">
        <f t="shared" si="35"/>
        <v>208.8938</v>
      </c>
      <c r="V25" s="3036">
        <f t="shared" si="35"/>
        <v>220.5377</v>
      </c>
      <c r="W25" s="3036">
        <f t="shared" si="35"/>
        <v>230.0515</v>
      </c>
      <c r="X25" s="3036">
        <f t="shared" ref="X25:AC25" si="36">X169</f>
        <v>234.21439999999998</v>
      </c>
      <c r="Y25" s="3036">
        <f t="shared" si="36"/>
        <v>236.7003</v>
      </c>
      <c r="Z25" s="3036">
        <f t="shared" ref="Z25:AA25" si="37">Z169</f>
        <v>241.48009999999999</v>
      </c>
      <c r="AA25" s="3036">
        <f t="shared" si="37"/>
        <v>249.8425</v>
      </c>
      <c r="AB25" s="3036">
        <f t="shared" si="36"/>
        <v>257.62099999999998</v>
      </c>
      <c r="AC25" s="3036">
        <f t="shared" si="36"/>
        <v>268.26206499999995</v>
      </c>
      <c r="AD25" s="3036">
        <f t="shared" ref="AD25" ca="1" si="38">AD169</f>
        <v>279.56150323352051</v>
      </c>
      <c r="AE25" s="3036">
        <f t="shared" ref="AE25" ca="1" si="39">AE169</f>
        <v>291.01575720878168</v>
      </c>
      <c r="AK25" s="3036">
        <v>240.13421649719021</v>
      </c>
      <c r="AM25" s="3036">
        <f t="shared" si="10"/>
        <v>1.3458835028097837</v>
      </c>
    </row>
    <row r="26" spans="1:46" ht="12.75" customHeight="1">
      <c r="A26" s="714"/>
      <c r="B26" s="714"/>
      <c r="C26" s="829"/>
      <c r="D26" s="724"/>
      <c r="E26" s="3035" t="s">
        <v>764</v>
      </c>
      <c r="F26" s="754"/>
      <c r="G26" s="3036"/>
      <c r="H26" s="3046">
        <f ca="1">G24/G25</f>
        <v>1.7997803712434465E-2</v>
      </c>
      <c r="I26" s="3046">
        <f t="shared" ref="I26:AE26" si="40">H24/H25</f>
        <v>1.8564312166599501E-2</v>
      </c>
      <c r="J26" s="3046">
        <f t="shared" si="40"/>
        <v>2.0006563504941951E-2</v>
      </c>
      <c r="K26" s="3046">
        <f t="shared" si="40"/>
        <v>1.9320868210154617E-2</v>
      </c>
      <c r="L26" s="3046">
        <f t="shared" si="40"/>
        <v>1.994614394559115E-2</v>
      </c>
      <c r="M26" s="3046">
        <f t="shared" si="40"/>
        <v>1.8514217480874964E-2</v>
      </c>
      <c r="N26" s="3046">
        <f t="shared" si="40"/>
        <v>1.8297521718450852E-2</v>
      </c>
      <c r="O26" s="3046">
        <f t="shared" si="40"/>
        <v>1.6432793984315623E-2</v>
      </c>
      <c r="P26" s="3046">
        <f t="shared" si="40"/>
        <v>1.7148605221849991E-2</v>
      </c>
      <c r="Q26" s="3046">
        <f t="shared" si="40"/>
        <v>1.6557594897998899E-2</v>
      </c>
      <c r="R26" s="3046">
        <f t="shared" si="40"/>
        <v>1.5537164855642851E-2</v>
      </c>
      <c r="S26" s="3046">
        <f t="shared" si="40"/>
        <v>1.6057433205265832E-2</v>
      </c>
      <c r="T26" s="3046">
        <f t="shared" si="40"/>
        <v>1.5063857395547305E-2</v>
      </c>
      <c r="U26" s="3046">
        <f t="shared" si="40"/>
        <v>1.657833225696017E-2</v>
      </c>
      <c r="V26" s="3046">
        <f t="shared" si="40"/>
        <v>1.7309752611135418E-2</v>
      </c>
      <c r="W26" s="3046">
        <f t="shared" si="40"/>
        <v>1.7440555514998117E-2</v>
      </c>
      <c r="X26" s="3046">
        <f t="shared" si="40"/>
        <v>1.8301119531930893E-2</v>
      </c>
      <c r="Y26" s="3046">
        <f t="shared" si="40"/>
        <v>2.403609684118483E-2</v>
      </c>
      <c r="Z26" s="3046">
        <f t="shared" si="40"/>
        <v>2.257538330116185E-2</v>
      </c>
      <c r="AA26" s="3046">
        <f t="shared" si="40"/>
        <v>2.2919486947371649E-2</v>
      </c>
      <c r="AB26" s="3046">
        <f t="shared" si="40"/>
        <v>2.2589431341745302E-2</v>
      </c>
      <c r="AC26" s="3046">
        <f t="shared" si="40"/>
        <v>2.2758237876570626E-2</v>
      </c>
      <c r="AD26" s="3046">
        <f t="shared" si="40"/>
        <v>2.1645889189423693E-2</v>
      </c>
      <c r="AE26" s="3046">
        <f t="shared" ca="1" si="40"/>
        <v>2.1186416165543481E-2</v>
      </c>
      <c r="AK26" s="3046">
        <v>2.1527250606837529E-2</v>
      </c>
      <c r="AM26" s="3046">
        <f t="shared" si="10"/>
        <v>1.0481326943243205E-3</v>
      </c>
    </row>
    <row r="27" spans="1:46" ht="12.75" customHeight="1">
      <c r="A27" s="714"/>
      <c r="B27" s="714"/>
      <c r="C27" s="829"/>
      <c r="D27" s="724"/>
      <c r="E27" s="3035" t="s">
        <v>765</v>
      </c>
      <c r="F27" s="754"/>
      <c r="G27" s="3036"/>
      <c r="H27" s="3036">
        <f ca="1">H25*H26</f>
        <v>2.2642298940661592</v>
      </c>
      <c r="I27" s="3036">
        <f t="shared" ref="I27:X27" si="41">I25*I26</f>
        <v>2.4494069065918218</v>
      </c>
      <c r="J27" s="3036">
        <f t="shared" si="41"/>
        <v>2.7512966112305657</v>
      </c>
      <c r="K27" s="3036">
        <f t="shared" si="41"/>
        <v>2.7681162451634198</v>
      </c>
      <c r="L27" s="3036">
        <f t="shared" si="41"/>
        <v>3.0401513678991119</v>
      </c>
      <c r="M27" s="3036">
        <f t="shared" si="41"/>
        <v>2.9233153290949891</v>
      </c>
      <c r="N27" s="3036">
        <f t="shared" si="41"/>
        <v>2.9949163978499733</v>
      </c>
      <c r="O27" s="3036">
        <f t="shared" si="41"/>
        <v>2.7689833011361276</v>
      </c>
      <c r="P27" s="3036">
        <f t="shared" si="41"/>
        <v>3.0841937977549425</v>
      </c>
      <c r="Q27" s="3036">
        <f t="shared" si="41"/>
        <v>3.1027177733790747</v>
      </c>
      <c r="R27" s="3036">
        <f t="shared" si="41"/>
        <v>3.0495834452215553</v>
      </c>
      <c r="S27" s="3036">
        <f t="shared" si="41"/>
        <v>3.3461474873991666</v>
      </c>
      <c r="T27" s="3036">
        <f t="shared" si="41"/>
        <v>3.216520695084415</v>
      </c>
      <c r="U27" s="3036">
        <f t="shared" si="41"/>
        <v>3.4631108228189862</v>
      </c>
      <c r="V27" s="3036">
        <f t="shared" si="41"/>
        <v>3.8174530284287993</v>
      </c>
      <c r="W27" s="3036">
        <f t="shared" si="41"/>
        <v>4.0122259570585896</v>
      </c>
      <c r="X27" s="3036">
        <f t="shared" si="41"/>
        <v>4.2863857304994744</v>
      </c>
      <c r="Y27" s="3036">
        <f t="shared" ref="Y27:Z27" si="42">Y25*Y26</f>
        <v>5.6893513331375019</v>
      </c>
      <c r="Z27" s="3036">
        <f t="shared" si="42"/>
        <v>5.4515058171028938</v>
      </c>
      <c r="AA27" s="3036">
        <f t="shared" ref="AA27" si="43">AA25*AA26</f>
        <v>5.7262619176487011</v>
      </c>
      <c r="AB27" s="3036">
        <f>AB25*AB26</f>
        <v>5.8195118916917661</v>
      </c>
      <c r="AC27" s="3036">
        <f>AC25*AC26</f>
        <v>6.1051718885300499</v>
      </c>
      <c r="AD27" s="3036">
        <f ca="1">AD25*AD26</f>
        <v>6.0513573206214986</v>
      </c>
      <c r="AE27" s="3036">
        <f ca="1">AE25*AE26</f>
        <v>6.1655809429560087</v>
      </c>
      <c r="AK27" s="3036">
        <v>5.1694294578115922</v>
      </c>
      <c r="AM27" s="3036">
        <f t="shared" si="10"/>
        <v>0.28207635929130159</v>
      </c>
    </row>
    <row r="28" spans="1:46" ht="12.75" customHeight="1">
      <c r="A28" s="714"/>
      <c r="B28" s="714"/>
      <c r="C28" s="829"/>
      <c r="D28" s="724"/>
      <c r="E28" s="3035" t="s">
        <v>766</v>
      </c>
      <c r="F28" s="754"/>
      <c r="G28" s="3036"/>
      <c r="H28" s="3036"/>
      <c r="I28" s="3036"/>
      <c r="J28" s="3036"/>
      <c r="K28" s="3036"/>
      <c r="L28" s="3036"/>
      <c r="M28" s="3036"/>
      <c r="N28" s="3036"/>
      <c r="O28" s="3036"/>
      <c r="P28" s="3036"/>
      <c r="Q28" s="3036"/>
      <c r="R28" s="3036"/>
      <c r="S28" s="3353">
        <v>0</v>
      </c>
      <c r="T28" s="3353">
        <v>0.25</v>
      </c>
      <c r="U28" s="3353">
        <v>0</v>
      </c>
      <c r="V28" s="3353">
        <v>0</v>
      </c>
      <c r="W28" s="3353">
        <v>-0.25</v>
      </c>
      <c r="X28" s="3353">
        <v>0.9</v>
      </c>
      <c r="Y28" s="3353">
        <v>1.9</v>
      </c>
      <c r="Z28" s="3353">
        <v>2.9</v>
      </c>
      <c r="AA28" s="3353">
        <v>3.9</v>
      </c>
      <c r="AB28" s="3353">
        <v>0</v>
      </c>
      <c r="AC28" s="3353">
        <v>0</v>
      </c>
      <c r="AD28" s="3353">
        <v>0</v>
      </c>
      <c r="AE28" s="3353">
        <v>0</v>
      </c>
      <c r="AK28" s="3353">
        <v>0</v>
      </c>
      <c r="AM28" s="3353">
        <f t="shared" si="10"/>
        <v>2.9</v>
      </c>
    </row>
    <row r="29" spans="1:46" ht="12.75" customHeight="1">
      <c r="A29" s="714"/>
      <c r="B29" s="714"/>
      <c r="C29" s="829"/>
      <c r="D29" s="724"/>
      <c r="E29" s="3035" t="s">
        <v>2395</v>
      </c>
      <c r="F29" s="754"/>
      <c r="G29" s="3036"/>
      <c r="H29" s="3036"/>
      <c r="I29" s="3036"/>
      <c r="J29" s="3036"/>
      <c r="K29" s="3036"/>
      <c r="L29" s="3036"/>
      <c r="M29" s="3036"/>
      <c r="N29" s="3036"/>
      <c r="O29" s="3036"/>
      <c r="P29" s="3036"/>
      <c r="Q29" s="3036"/>
      <c r="R29" s="3036"/>
      <c r="S29" s="3480">
        <f t="shared" ref="S29:T29" si="44">S24-S27-S28</f>
        <v>-0.20704748739916656</v>
      </c>
      <c r="T29" s="3480">
        <f t="shared" si="44"/>
        <v>7.3379304915585308E-2</v>
      </c>
      <c r="U29" s="3480">
        <f t="shared" ref="U29:Z29" si="45">U24-U27-U28</f>
        <v>0.1527891771810137</v>
      </c>
      <c r="V29" s="3480">
        <f t="shared" si="45"/>
        <v>2.8846971571200974E-2</v>
      </c>
      <c r="W29" s="3480">
        <f t="shared" si="45"/>
        <v>0.44797404294140986</v>
      </c>
      <c r="X29" s="3480">
        <f t="shared" si="45"/>
        <v>0.44321426950052556</v>
      </c>
      <c r="Y29" s="3480">
        <f t="shared" si="45"/>
        <v>-2.2457513331375014</v>
      </c>
      <c r="Z29" s="3480">
        <f t="shared" si="45"/>
        <v>-2.8169058171028936</v>
      </c>
      <c r="AA29" s="3480">
        <f t="shared" ref="AA29" si="46">AA24-AA27-AA28</f>
        <v>-3.9824619176487004</v>
      </c>
      <c r="AB29" s="3480">
        <f t="shared" ref="AB29:AC29" si="47">AB24-AB27-AB28</f>
        <v>4.3488108308234352E-2</v>
      </c>
      <c r="AC29" s="3480">
        <f t="shared" si="47"/>
        <v>-0.298400955814075</v>
      </c>
      <c r="AD29" s="3480">
        <f t="shared" ref="AD29" ca="1" si="48">AD24-AD27-AD28</f>
        <v>-0.12845096925120369</v>
      </c>
      <c r="AE29" s="3480">
        <f t="shared" ref="AE29" ca="1" si="49">AE24-AE27-AE28</f>
        <v>-9.8747967247415858E-2</v>
      </c>
      <c r="AK29" s="3480">
        <v>-8.6005130990395529E-2</v>
      </c>
      <c r="AM29" s="3480">
        <f t="shared" si="10"/>
        <v>-2.730900686112498</v>
      </c>
    </row>
    <row r="30" spans="1:46" ht="12.75" customHeight="1">
      <c r="A30" s="714">
        <f>+ROW(InputY!A146)</f>
        <v>146</v>
      </c>
      <c r="B30" s="714" t="s">
        <v>643</v>
      </c>
      <c r="C30" s="829" t="s">
        <v>622</v>
      </c>
      <c r="D30" s="724" t="s">
        <v>591</v>
      </c>
      <c r="E30" s="830" t="s">
        <v>1685</v>
      </c>
      <c r="F30" s="754" t="s">
        <v>616</v>
      </c>
      <c r="G30" s="756">
        <f>+InputY!G146/1000</f>
        <v>0</v>
      </c>
      <c r="H30" s="756">
        <f>+InputY!H146/1000</f>
        <v>0</v>
      </c>
      <c r="I30" s="756">
        <f>+InputY!I146/1000</f>
        <v>0</v>
      </c>
      <c r="J30" s="756">
        <f>+InputY!J146/1000</f>
        <v>0</v>
      </c>
      <c r="K30" s="756">
        <f>+InputY!K146/1000</f>
        <v>0</v>
      </c>
      <c r="L30" s="756">
        <f>+InputY!L146/1000</f>
        <v>0</v>
      </c>
      <c r="M30" s="756">
        <f>+InputY!M146/1000</f>
        <v>0</v>
      </c>
      <c r="N30" s="756">
        <f>+InputY!N146/1000</f>
        <v>0</v>
      </c>
      <c r="O30" s="756">
        <f>+InputY!O146/1000</f>
        <v>0</v>
      </c>
      <c r="P30" s="756">
        <f>+InputY!P146/1000</f>
        <v>0</v>
      </c>
      <c r="Q30" s="756">
        <f>+InputY!Q146/1000</f>
        <v>0</v>
      </c>
      <c r="R30" s="756">
        <f>+InputY!R146/1000</f>
        <v>0</v>
      </c>
      <c r="S30" s="756">
        <f>+InputY!S146/1000</f>
        <v>0</v>
      </c>
      <c r="T30" s="756">
        <f>+InputY!T146/1000</f>
        <v>0</v>
      </c>
      <c r="U30" s="756">
        <f>+InputY!U146/1000</f>
        <v>0</v>
      </c>
      <c r="V30" s="756">
        <f>+InputY!V146/1000</f>
        <v>0</v>
      </c>
      <c r="W30" s="756">
        <f>+InputY!W146/1000</f>
        <v>0</v>
      </c>
      <c r="X30" s="756">
        <f>+InputY!X146/1000</f>
        <v>0</v>
      </c>
      <c r="Y30" s="756">
        <f>+InputY!Y146/1000</f>
        <v>0</v>
      </c>
      <c r="Z30" s="756">
        <f>+InputY!Z146/1000</f>
        <v>0</v>
      </c>
      <c r="AA30" s="756">
        <f>+InputY!AA146/1000</f>
        <v>0</v>
      </c>
      <c r="AB30" s="756">
        <f>+InputY!AB146/1000</f>
        <v>0</v>
      </c>
      <c r="AC30" s="756">
        <f>+InputY!AC146/1000</f>
        <v>0</v>
      </c>
      <c r="AD30" s="2135">
        <f t="shared" ref="AC30:AE31" si="50">+AC30*(1+AD39/100)</f>
        <v>0</v>
      </c>
      <c r="AE30" s="2135">
        <f t="shared" si="50"/>
        <v>0</v>
      </c>
      <c r="AK30" s="756">
        <v>0</v>
      </c>
      <c r="AM30" s="756">
        <f t="shared" si="10"/>
        <v>0</v>
      </c>
    </row>
    <row r="31" spans="1:46" ht="12.75" customHeight="1">
      <c r="A31" s="1869">
        <f>+ROW(InputY!A235)</f>
        <v>235</v>
      </c>
      <c r="B31" s="714" t="s">
        <v>1992</v>
      </c>
      <c r="C31" s="829" t="s">
        <v>2133</v>
      </c>
      <c r="D31" s="724" t="s">
        <v>592</v>
      </c>
      <c r="E31" s="830" t="s">
        <v>1993</v>
      </c>
      <c r="F31" s="754" t="str">
        <f>+InputY!B235</f>
        <v>TaxToRow</v>
      </c>
      <c r="G31" s="756">
        <f>+InputY!G235/1000</f>
        <v>0.9385</v>
      </c>
      <c r="H31" s="756">
        <f>+InputY!H235/1000</f>
        <v>0.88479999999999992</v>
      </c>
      <c r="I31" s="756">
        <f>+InputY!I235/1000</f>
        <v>0.99670000000000003</v>
      </c>
      <c r="J31" s="756">
        <f>+InputY!J235/1000</f>
        <v>1.012</v>
      </c>
      <c r="K31" s="756">
        <f>+InputY!K235/1000</f>
        <v>0.95420000000000005</v>
      </c>
      <c r="L31" s="756">
        <f>+InputY!L235/1000</f>
        <v>1.0350999999999999</v>
      </c>
      <c r="M31" s="756">
        <f>+InputY!M235/1000</f>
        <v>1.0107999999999999</v>
      </c>
      <c r="N31" s="756">
        <f>+InputY!N235/1000</f>
        <v>1.0299</v>
      </c>
      <c r="O31" s="756">
        <f>+InputY!O235/1000</f>
        <v>1.1445000000000001</v>
      </c>
      <c r="P31" s="756">
        <f>+InputY!P235/1000</f>
        <v>1.1802999999999999</v>
      </c>
      <c r="Q31" s="756">
        <f>+InputY!Q235/1000</f>
        <v>1.2654000000000001</v>
      </c>
      <c r="R31" s="756">
        <f>+InputY!R235/1000</f>
        <v>1.3003</v>
      </c>
      <c r="S31" s="756">
        <f>+InputY!S235/1000</f>
        <v>1.4500999999999999</v>
      </c>
      <c r="T31" s="756">
        <f>+InputY!T235/1000</f>
        <v>1.6195999999999999</v>
      </c>
      <c r="U31" s="756">
        <f>+InputY!U235/1000</f>
        <v>1.2044000000000001</v>
      </c>
      <c r="V31" s="756">
        <f>+InputY!V235/1000</f>
        <v>1.2749999999999999</v>
      </c>
      <c r="W31" s="756">
        <f>+InputY!W235/1000</f>
        <v>1.2932999999999999</v>
      </c>
      <c r="X31" s="756">
        <f>+InputY!X235/1000</f>
        <v>1.2555999999999998</v>
      </c>
      <c r="Y31" s="756">
        <f>+InputY!Y235/1000</f>
        <v>1.1778</v>
      </c>
      <c r="Z31" s="756">
        <f>+InputY!Z235/1000</f>
        <v>1.2410000000000001</v>
      </c>
      <c r="AA31" s="756">
        <f>+InputY!AA235/1000</f>
        <v>1.6069</v>
      </c>
      <c r="AB31" s="756">
        <f>+InputY!AB235/1000</f>
        <v>1.8540999999999999</v>
      </c>
      <c r="AC31" s="2135">
        <f t="shared" si="50"/>
        <v>1.9132457899999999</v>
      </c>
      <c r="AD31" s="2135">
        <f t="shared" si="50"/>
        <v>1.9821226384399999</v>
      </c>
      <c r="AE31" s="2135">
        <f t="shared" si="50"/>
        <v>2.0713181571697996</v>
      </c>
      <c r="AK31" s="756">
        <v>1.5325240296309786</v>
      </c>
      <c r="AM31" s="756">
        <f t="shared" si="10"/>
        <v>-0.29152402963097845</v>
      </c>
    </row>
    <row r="32" spans="1:46" ht="12.75" customHeight="1">
      <c r="A32" s="714">
        <f>+ROW(InputY!A144)</f>
        <v>144</v>
      </c>
      <c r="B32" s="714">
        <v>113</v>
      </c>
      <c r="C32" s="831" t="s">
        <v>624</v>
      </c>
      <c r="D32" s="800" t="s">
        <v>591</v>
      </c>
      <c r="E32" s="801" t="s">
        <v>1415</v>
      </c>
      <c r="F32" s="802" t="str">
        <f>+InputY!B144</f>
        <v>YATaxIndir</v>
      </c>
      <c r="G32" s="832">
        <f>+InputY!G144/1000</f>
        <v>25.7408</v>
      </c>
      <c r="H32" s="832">
        <f>+InputY!H144/1000</f>
        <v>27.295300000000001</v>
      </c>
      <c r="I32" s="832">
        <f>+InputY!I144/1000</f>
        <v>28.959299999999999</v>
      </c>
      <c r="J32" s="832">
        <f>+InputY!J144/1000</f>
        <v>29.978200000000001</v>
      </c>
      <c r="K32" s="832">
        <f>+InputY!K144/1000</f>
        <v>32.108699999999999</v>
      </c>
      <c r="L32" s="832">
        <f>+InputY!L144/1000</f>
        <v>33.5182</v>
      </c>
      <c r="M32" s="832">
        <f>+InputY!M144/1000</f>
        <v>33.305300000000003</v>
      </c>
      <c r="N32" s="832">
        <f>+InputY!N144/1000</f>
        <v>34.563400000000001</v>
      </c>
      <c r="O32" s="832">
        <f>+InputY!O144/1000</f>
        <v>35.598500000000001</v>
      </c>
      <c r="P32" s="832">
        <f>+InputY!P144/1000</f>
        <v>38.029900000000005</v>
      </c>
      <c r="Q32" s="832">
        <f>+InputY!Q144/1000</f>
        <v>39.959499999999998</v>
      </c>
      <c r="R32" s="832">
        <f>+InputY!R144/1000</f>
        <v>41.810099999999998</v>
      </c>
      <c r="S32" s="2009">
        <f>+InputY!S144/1000</f>
        <v>43.749699999999997</v>
      </c>
      <c r="T32" s="832">
        <f>+InputY!T144/1000</f>
        <v>44.250300000000003</v>
      </c>
      <c r="U32" s="832">
        <f>+InputY!U144/1000</f>
        <v>43.5304</v>
      </c>
      <c r="V32" s="832">
        <f>+InputY!V144/1000</f>
        <v>46.652099999999997</v>
      </c>
      <c r="W32" s="832">
        <f>+InputY!W144/1000</f>
        <v>48.230400000000003</v>
      </c>
      <c r="X32" s="832">
        <f>+InputY!X144/1000</f>
        <v>50.688400000000001</v>
      </c>
      <c r="Y32" s="832">
        <f>+InputY!Y144/1000</f>
        <v>51.2592</v>
      </c>
      <c r="Z32" s="832">
        <f>+InputY!Z144/1000</f>
        <v>52.1006</v>
      </c>
      <c r="AA32" s="832">
        <f>+InputY!AA144/1000</f>
        <v>52.859300000000005</v>
      </c>
      <c r="AB32" s="832">
        <f>+InputY!AB144/1000</f>
        <v>55.320900000000002</v>
      </c>
      <c r="AC32" s="832">
        <f>+InputY!AC144/1000</f>
        <v>57.298099999999998</v>
      </c>
      <c r="AD32" s="3366">
        <f>+AD8+AD18+AD24+AD30-AD31</f>
        <v>59.120098280130293</v>
      </c>
      <c r="AE32" s="3366">
        <f>+AE8+AE18+AE24+AE30-AE31</f>
        <v>61.054472535494071</v>
      </c>
      <c r="AK32" s="832">
        <v>51.761699999999998</v>
      </c>
      <c r="AM32" s="832">
        <f t="shared" si="10"/>
        <v>0.33890000000000242</v>
      </c>
    </row>
    <row r="33" spans="1:46" s="1881" customFormat="1" ht="12.75" customHeight="1">
      <c r="A33" s="1039"/>
      <c r="B33" s="1039"/>
      <c r="C33" s="1501"/>
      <c r="D33" s="1054"/>
      <c r="E33" s="1882" t="s">
        <v>474</v>
      </c>
      <c r="F33" s="1883"/>
      <c r="G33" s="1043">
        <f t="shared" ref="G33:AA33" ca="1" si="51">ABS(+G8+G18+G24+G30-G31-G32)</f>
        <v>3.5527136788005009E-15</v>
      </c>
      <c r="H33" s="1043">
        <f t="shared" si="51"/>
        <v>0</v>
      </c>
      <c r="I33" s="1043">
        <f t="shared" si="51"/>
        <v>0</v>
      </c>
      <c r="J33" s="1043">
        <f t="shared" si="51"/>
        <v>3.5527136788005009E-15</v>
      </c>
      <c r="K33" s="1043">
        <f t="shared" si="51"/>
        <v>0</v>
      </c>
      <c r="L33" s="1043">
        <f t="shared" si="51"/>
        <v>0</v>
      </c>
      <c r="M33" s="1043">
        <f t="shared" si="51"/>
        <v>7.1054273576010019E-15</v>
      </c>
      <c r="N33" s="1043">
        <f t="shared" si="51"/>
        <v>0</v>
      </c>
      <c r="O33" s="1043">
        <f t="shared" si="51"/>
        <v>0</v>
      </c>
      <c r="P33" s="1043">
        <f t="shared" si="51"/>
        <v>1.4210854715202004E-14</v>
      </c>
      <c r="Q33" s="1043">
        <f t="shared" si="51"/>
        <v>7.1054273576010019E-15</v>
      </c>
      <c r="R33" s="1043">
        <f t="shared" si="51"/>
        <v>0</v>
      </c>
      <c r="S33" s="1043">
        <f t="shared" si="51"/>
        <v>0</v>
      </c>
      <c r="T33" s="1043">
        <f t="shared" si="51"/>
        <v>7.1054273576010019E-15</v>
      </c>
      <c r="U33" s="1043">
        <f t="shared" si="51"/>
        <v>7.1054273576010019E-15</v>
      </c>
      <c r="V33" s="2879">
        <f t="shared" si="51"/>
        <v>0</v>
      </c>
      <c r="W33" s="2879">
        <f t="shared" si="51"/>
        <v>7.1054273576010019E-15</v>
      </c>
      <c r="X33" s="2879">
        <f t="shared" si="51"/>
        <v>0</v>
      </c>
      <c r="Y33" s="2879">
        <f t="shared" ref="Y33:Z33" si="52">ABS(+Y8+Y18+Y24+Y30-Y31-Y32)</f>
        <v>0</v>
      </c>
      <c r="Z33" s="2879">
        <f t="shared" si="52"/>
        <v>0</v>
      </c>
      <c r="AA33" s="2879">
        <f t="shared" si="51"/>
        <v>3.1200000000012551E-2</v>
      </c>
      <c r="AB33" s="2879">
        <f t="shared" ref="AB33:AC33" si="53">ABS(+AB8+AB18+AB24+AB30-AB31-AB32)</f>
        <v>3.2700000000012608E-2</v>
      </c>
      <c r="AC33" s="2879">
        <f t="shared" si="53"/>
        <v>0.25990614271597678</v>
      </c>
      <c r="AD33" s="2879">
        <f t="shared" ref="AD33" si="54">ABS(+AD8+AD18+AD24+AD30-AD31-AD32)</f>
        <v>0</v>
      </c>
      <c r="AE33" s="2879">
        <f t="shared" ref="AE33" si="55">ABS(+AE8+AE18+AE24+AE30-AE31-AE32)</f>
        <v>0</v>
      </c>
      <c r="AF33" s="2829"/>
      <c r="AG33" s="2829"/>
      <c r="AH33" s="2829"/>
      <c r="AI33" s="2829"/>
      <c r="AJ33" s="2829"/>
      <c r="AK33" s="2879">
        <v>0</v>
      </c>
      <c r="AL33" s="2829"/>
      <c r="AM33" s="2879">
        <f t="shared" si="10"/>
        <v>0</v>
      </c>
      <c r="AN33" s="2829"/>
      <c r="AO33" s="2829"/>
      <c r="AP33" s="2829"/>
      <c r="AQ33" s="2829"/>
      <c r="AR33" s="2829"/>
      <c r="AS33" s="2829"/>
      <c r="AT33" s="2829"/>
    </row>
    <row r="34" spans="1:46" s="1047" customFormat="1" ht="10.199999999999999">
      <c r="A34" s="3345"/>
      <c r="B34" s="3345"/>
      <c r="C34" s="1048"/>
      <c r="D34" s="1048"/>
      <c r="F34" s="1048"/>
      <c r="Q34" s="3346"/>
      <c r="R34" s="3343"/>
      <c r="S34" s="3343"/>
      <c r="T34" s="3337"/>
      <c r="U34" s="3347"/>
      <c r="V34" s="3347"/>
      <c r="W34" s="3347"/>
      <c r="X34" s="3347"/>
      <c r="Y34" s="3347"/>
      <c r="Z34" s="3347"/>
      <c r="AA34" s="3347"/>
      <c r="AB34" s="3347"/>
      <c r="AC34" s="3347"/>
      <c r="AD34" s="3347"/>
      <c r="AE34" s="3347"/>
      <c r="AF34" s="2834"/>
      <c r="AG34" s="2834"/>
      <c r="AH34" s="2834"/>
      <c r="AI34" s="2834"/>
      <c r="AJ34" s="2834"/>
      <c r="AK34" s="3347"/>
      <c r="AL34" s="2834"/>
      <c r="AM34" s="3347"/>
      <c r="AN34" s="2834"/>
      <c r="AO34" s="2834"/>
      <c r="AP34" s="2834"/>
      <c r="AQ34" s="2834"/>
      <c r="AR34" s="2834"/>
      <c r="AS34" s="2834"/>
      <c r="AT34" s="2834"/>
    </row>
    <row r="35" spans="1:46" ht="12.75" customHeight="1">
      <c r="A35" s="714"/>
      <c r="B35" s="714"/>
      <c r="C35" s="822"/>
      <c r="D35" s="790"/>
      <c r="E35" s="791" t="s">
        <v>1804</v>
      </c>
      <c r="F35" s="792"/>
      <c r="G35" s="793">
        <f>+InputY!$G$3</f>
        <v>1995</v>
      </c>
      <c r="H35" s="793">
        <f t="shared" ref="H35:S35" si="56">+G35+1</f>
        <v>1996</v>
      </c>
      <c r="I35" s="793">
        <f t="shared" si="56"/>
        <v>1997</v>
      </c>
      <c r="J35" s="793">
        <f t="shared" si="56"/>
        <v>1998</v>
      </c>
      <c r="K35" s="793">
        <f t="shared" si="56"/>
        <v>1999</v>
      </c>
      <c r="L35" s="793">
        <f t="shared" si="56"/>
        <v>2000</v>
      </c>
      <c r="M35" s="793">
        <f t="shared" si="56"/>
        <v>2001</v>
      </c>
      <c r="N35" s="793">
        <f t="shared" si="56"/>
        <v>2002</v>
      </c>
      <c r="O35" s="793">
        <f t="shared" si="56"/>
        <v>2003</v>
      </c>
      <c r="P35" s="793">
        <f>+O35+1</f>
        <v>2004</v>
      </c>
      <c r="Q35" s="793">
        <f>+P35+1</f>
        <v>2005</v>
      </c>
      <c r="R35" s="2126">
        <f t="shared" si="56"/>
        <v>2006</v>
      </c>
      <c r="S35" s="2126">
        <f t="shared" si="56"/>
        <v>2007</v>
      </c>
      <c r="T35" s="2126">
        <f t="shared" ref="T35:AE35" si="57">+S35+1</f>
        <v>2008</v>
      </c>
      <c r="U35" s="2126">
        <f t="shared" si="57"/>
        <v>2009</v>
      </c>
      <c r="V35" s="2126">
        <f t="shared" si="57"/>
        <v>2010</v>
      </c>
      <c r="W35" s="2126">
        <f t="shared" si="57"/>
        <v>2011</v>
      </c>
      <c r="X35" s="2126">
        <f t="shared" si="57"/>
        <v>2012</v>
      </c>
      <c r="Y35" s="2126">
        <f t="shared" si="57"/>
        <v>2013</v>
      </c>
      <c r="Z35" s="2126">
        <f t="shared" si="57"/>
        <v>2014</v>
      </c>
      <c r="AA35" s="2126">
        <f t="shared" si="57"/>
        <v>2015</v>
      </c>
      <c r="AB35" s="2126">
        <f t="shared" si="57"/>
        <v>2016</v>
      </c>
      <c r="AC35" s="2126">
        <f t="shared" si="57"/>
        <v>2017</v>
      </c>
      <c r="AD35" s="2126">
        <f t="shared" si="57"/>
        <v>2018</v>
      </c>
      <c r="AE35" s="2126">
        <f t="shared" si="57"/>
        <v>2019</v>
      </c>
      <c r="AK35" s="2126">
        <v>2014</v>
      </c>
      <c r="AM35" s="2126"/>
    </row>
    <row r="36" spans="1:46" ht="12.75" customHeight="1">
      <c r="A36" s="714"/>
      <c r="B36" s="714"/>
      <c r="C36" s="839" t="s">
        <v>622</v>
      </c>
      <c r="D36" s="739" t="s">
        <v>588</v>
      </c>
      <c r="E36" s="787" t="s">
        <v>621</v>
      </c>
      <c r="F36" s="782" t="str">
        <f>+$F$8</f>
        <v>YATaxProd</v>
      </c>
      <c r="G36" s="788"/>
      <c r="H36" s="788">
        <f t="shared" ref="H36:AB36" ca="1" si="58">(H8/G8-1)*100</f>
        <v>5.4590450737162177</v>
      </c>
      <c r="I36" s="788">
        <f t="shared" si="58"/>
        <v>5.762505574937582</v>
      </c>
      <c r="J36" s="788">
        <f t="shared" si="58"/>
        <v>3.7629365723699237</v>
      </c>
      <c r="K36" s="788">
        <f t="shared" si="58"/>
        <v>7.019742789210226</v>
      </c>
      <c r="L36" s="788">
        <f t="shared" si="58"/>
        <v>5.3583089634025027</v>
      </c>
      <c r="M36" s="788">
        <f t="shared" si="58"/>
        <v>-1.3837893190867256</v>
      </c>
      <c r="N36" s="788">
        <f t="shared" si="58"/>
        <v>4.1986897027578962</v>
      </c>
      <c r="O36" s="788">
        <f t="shared" si="58"/>
        <v>2.5995738403540303</v>
      </c>
      <c r="P36" s="788">
        <f t="shared" si="58"/>
        <v>7.4340213432168234</v>
      </c>
      <c r="Q36" s="788">
        <f t="shared" si="58"/>
        <v>6.0836230509119904</v>
      </c>
      <c r="R36" s="788">
        <f t="shared" si="58"/>
        <v>4.402822516210958</v>
      </c>
      <c r="S36" s="788">
        <f t="shared" si="58"/>
        <v>5.3801207278039165</v>
      </c>
      <c r="T36" s="788">
        <f t="shared" si="58"/>
        <v>0.43267319668538473</v>
      </c>
      <c r="U36" s="788">
        <f t="shared" si="58"/>
        <v>-3.3548822505594211</v>
      </c>
      <c r="V36" s="788">
        <f t="shared" si="58"/>
        <v>7.4020986088905838</v>
      </c>
      <c r="W36" s="788">
        <f t="shared" si="58"/>
        <v>2.5914473925424453</v>
      </c>
      <c r="X36" s="788">
        <f t="shared" si="58"/>
        <v>2.3956618388104367</v>
      </c>
      <c r="Y36" s="788">
        <f t="shared" si="58"/>
        <v>1.3272153607028825</v>
      </c>
      <c r="Z36" s="788">
        <f t="shared" si="58"/>
        <v>1.4326851537168617</v>
      </c>
      <c r="AA36" s="788">
        <f t="shared" si="58"/>
        <v>2.1081466556490014</v>
      </c>
      <c r="AB36" s="788">
        <f t="shared" si="58"/>
        <v>5.243588521308018</v>
      </c>
      <c r="AC36" s="788">
        <v>5</v>
      </c>
      <c r="AD36" s="4064">
        <v>2.8</v>
      </c>
      <c r="AE36" s="4064">
        <v>3.4</v>
      </c>
      <c r="AK36" s="788">
        <v>2.1301992470847519</v>
      </c>
      <c r="AM36" s="788">
        <f t="shared" si="10"/>
        <v>-0.69751409336789028</v>
      </c>
    </row>
    <row r="37" spans="1:46" ht="12.75" customHeight="1">
      <c r="A37" s="714"/>
      <c r="B37" s="714"/>
      <c r="C37" s="840" t="s">
        <v>622</v>
      </c>
      <c r="D37" s="724" t="s">
        <v>589</v>
      </c>
      <c r="E37" s="830" t="s">
        <v>1685</v>
      </c>
      <c r="F37" s="754" t="str">
        <f>+$F$18</f>
        <v>$HTaxOth</v>
      </c>
      <c r="G37" s="756"/>
      <c r="H37" s="756">
        <f t="shared" ref="H37:AB37" ca="1" si="59">(H18/G18-1)*100</f>
        <v>9.3779508970726955</v>
      </c>
      <c r="I37" s="756">
        <f t="shared" si="59"/>
        <v>4.8130362056871601</v>
      </c>
      <c r="J37" s="756">
        <f t="shared" si="59"/>
        <v>3.1969111969111896</v>
      </c>
      <c r="K37" s="756">
        <f t="shared" si="59"/>
        <v>1.1872692806544904</v>
      </c>
      <c r="L37" s="756">
        <f t="shared" si="59"/>
        <v>0.80851902977716605</v>
      </c>
      <c r="M37" s="756">
        <f t="shared" si="59"/>
        <v>5.2034428794992094</v>
      </c>
      <c r="N37" s="756">
        <f t="shared" si="59"/>
        <v>11.500557828188928</v>
      </c>
      <c r="O37" s="756">
        <f t="shared" si="59"/>
        <v>6.5371466688901814</v>
      </c>
      <c r="P37" s="756">
        <f t="shared" si="59"/>
        <v>2.0427330359239049</v>
      </c>
      <c r="Q37" s="756">
        <f t="shared" si="59"/>
        <v>1.3614051234852154</v>
      </c>
      <c r="R37" s="756">
        <f t="shared" si="59"/>
        <v>2.830010215277512</v>
      </c>
      <c r="S37" s="756">
        <f t="shared" si="59"/>
        <v>3.6204422532101876</v>
      </c>
      <c r="T37" s="756">
        <f t="shared" si="59"/>
        <v>3.533004296417297</v>
      </c>
      <c r="U37" s="756">
        <f t="shared" si="59"/>
        <v>3.8137046436655275</v>
      </c>
      <c r="V37" s="756">
        <f t="shared" si="59"/>
        <v>4.701024116286745</v>
      </c>
      <c r="W37" s="756">
        <f t="shared" si="59"/>
        <v>5.4428422680087074</v>
      </c>
      <c r="X37" s="756">
        <f t="shared" si="59"/>
        <v>-0.1376503680651231</v>
      </c>
      <c r="Y37" s="756">
        <f t="shared" si="59"/>
        <v>6.2507491310080487</v>
      </c>
      <c r="Z37" s="756">
        <f t="shared" si="59"/>
        <v>2.529753511196331</v>
      </c>
      <c r="AA37" s="756">
        <f t="shared" si="59"/>
        <v>1.4578462384816415</v>
      </c>
      <c r="AB37" s="756">
        <f t="shared" si="59"/>
        <v>3.3374000271112925</v>
      </c>
      <c r="AC37" s="4059">
        <v>0.25398782663448305</v>
      </c>
      <c r="AD37" s="4064">
        <v>3.12</v>
      </c>
      <c r="AE37" s="4064">
        <v>3.49</v>
      </c>
      <c r="AK37" s="756">
        <v>4.4489299744349564</v>
      </c>
      <c r="AM37" s="756">
        <f t="shared" si="10"/>
        <v>-1.9191764632386255</v>
      </c>
    </row>
    <row r="38" spans="1:46" ht="12.75" customHeight="1">
      <c r="A38" s="714"/>
      <c r="B38" s="714"/>
      <c r="C38" s="840" t="s">
        <v>622</v>
      </c>
      <c r="D38" s="724" t="s">
        <v>590</v>
      </c>
      <c r="E38" s="830" t="s">
        <v>1685</v>
      </c>
      <c r="F38" s="754" t="str">
        <f>+$F$24</f>
        <v>$ETaxProd</v>
      </c>
      <c r="G38" s="756"/>
      <c r="H38" s="756">
        <f t="shared" ref="H38:AB38" ca="1" si="60">(H24/G24-1)*100</f>
        <v>4.4732721986132873</v>
      </c>
      <c r="I38" s="756">
        <f t="shared" si="60"/>
        <v>13.025048169556829</v>
      </c>
      <c r="J38" s="756">
        <f t="shared" si="60"/>
        <v>0.65537750501951653</v>
      </c>
      <c r="K38" s="756">
        <f t="shared" si="60"/>
        <v>7.553631915694381</v>
      </c>
      <c r="L38" s="756">
        <f t="shared" si="60"/>
        <v>-1.2527557126360223</v>
      </c>
      <c r="M38" s="756">
        <f t="shared" si="60"/>
        <v>2.3813742513908887</v>
      </c>
      <c r="N38" s="756">
        <f t="shared" si="60"/>
        <v>-6.9018033297566834</v>
      </c>
      <c r="O38" s="756">
        <f t="shared" si="60"/>
        <v>7.4320556195858201</v>
      </c>
      <c r="P38" s="756">
        <f t="shared" si="60"/>
        <v>3.0557862679955861</v>
      </c>
      <c r="Q38" s="756">
        <f t="shared" si="60"/>
        <v>-2.2297592263004096</v>
      </c>
      <c r="R38" s="756">
        <f t="shared" si="60"/>
        <v>8.2500429331959335</v>
      </c>
      <c r="S38" s="756">
        <f t="shared" si="60"/>
        <v>-0.39978424342418384</v>
      </c>
      <c r="T38" s="756">
        <f t="shared" si="60"/>
        <v>12.767990825395813</v>
      </c>
      <c r="U38" s="756">
        <f t="shared" si="60"/>
        <v>2.1469533037656419</v>
      </c>
      <c r="V38" s="756">
        <f t="shared" si="60"/>
        <v>6.3718576288061213</v>
      </c>
      <c r="W38" s="756">
        <f t="shared" si="60"/>
        <v>9.4610404804617243</v>
      </c>
      <c r="X38" s="756">
        <f t="shared" si="60"/>
        <v>33.713362785615899</v>
      </c>
      <c r="Y38" s="756">
        <f t="shared" si="60"/>
        <v>-5.0802898962626024</v>
      </c>
      <c r="Z38" s="756">
        <f t="shared" si="60"/>
        <v>3.5743693390223763</v>
      </c>
      <c r="AA38" s="756">
        <f t="shared" si="60"/>
        <v>1.9730423156145038</v>
      </c>
      <c r="AB38" s="756">
        <f t="shared" si="60"/>
        <v>3.8839080052446961</v>
      </c>
      <c r="AC38" s="4059">
        <v>-0.95904941640841956</v>
      </c>
      <c r="AD38" s="4064">
        <v>2</v>
      </c>
      <c r="AE38" s="4064">
        <v>2.4300000000000002</v>
      </c>
      <c r="AK38" s="756">
        <v>-0.52201861370234637</v>
      </c>
      <c r="AM38" s="756">
        <f t="shared" si="10"/>
        <v>4.0963879527247222</v>
      </c>
    </row>
    <row r="39" spans="1:46" ht="12.75" customHeight="1">
      <c r="A39" s="714"/>
      <c r="B39" s="714"/>
      <c r="C39" s="840" t="s">
        <v>622</v>
      </c>
      <c r="D39" s="724" t="s">
        <v>591</v>
      </c>
      <c r="E39" s="830" t="s">
        <v>1685</v>
      </c>
      <c r="F39" s="754" t="s">
        <v>616</v>
      </c>
      <c r="G39" s="756"/>
      <c r="H39" s="756"/>
      <c r="I39" s="756"/>
      <c r="J39" s="756"/>
      <c r="K39" s="756"/>
      <c r="L39" s="756"/>
      <c r="M39" s="756"/>
      <c r="N39" s="756"/>
      <c r="O39" s="756"/>
      <c r="P39" s="756"/>
      <c r="Q39" s="756"/>
      <c r="R39" s="756"/>
      <c r="S39" s="756"/>
      <c r="T39" s="756"/>
      <c r="U39" s="756"/>
      <c r="V39" s="756"/>
      <c r="W39" s="756"/>
      <c r="X39" s="756"/>
      <c r="Y39" s="756"/>
      <c r="Z39" s="756"/>
      <c r="AA39" s="756"/>
      <c r="AB39" s="756"/>
      <c r="AC39" s="756"/>
      <c r="AD39" s="4064">
        <v>0</v>
      </c>
      <c r="AE39" s="4064">
        <v>0</v>
      </c>
      <c r="AK39" s="756"/>
      <c r="AM39" s="756">
        <f t="shared" si="10"/>
        <v>0</v>
      </c>
    </row>
    <row r="40" spans="1:46" ht="12.75" customHeight="1">
      <c r="A40" s="714"/>
      <c r="B40" s="714"/>
      <c r="C40" s="841" t="s">
        <v>2133</v>
      </c>
      <c r="D40" s="741" t="s">
        <v>592</v>
      </c>
      <c r="E40" s="842" t="s">
        <v>1993</v>
      </c>
      <c r="F40" s="785" t="str">
        <f>+$F$31</f>
        <v>TaxToRow</v>
      </c>
      <c r="G40" s="789"/>
      <c r="H40" s="789">
        <f t="shared" ref="H40:AB40" si="61">(H31/G31-1)*100</f>
        <v>-5.7218966435801928</v>
      </c>
      <c r="I40" s="789">
        <f t="shared" si="61"/>
        <v>12.646925858951196</v>
      </c>
      <c r="J40" s="789">
        <f t="shared" si="61"/>
        <v>1.5350657168656578</v>
      </c>
      <c r="K40" s="789">
        <f t="shared" si="61"/>
        <v>-5.7114624505928857</v>
      </c>
      <c r="L40" s="789">
        <f t="shared" si="61"/>
        <v>8.4783064347096815</v>
      </c>
      <c r="M40" s="789">
        <f t="shared" si="61"/>
        <v>-2.3475992657714273</v>
      </c>
      <c r="N40" s="789">
        <f t="shared" si="61"/>
        <v>1.8895924020577937</v>
      </c>
      <c r="O40" s="789">
        <f t="shared" si="61"/>
        <v>11.127293912030289</v>
      </c>
      <c r="P40" s="789">
        <f t="shared" si="61"/>
        <v>3.1280034949759505</v>
      </c>
      <c r="Q40" s="789">
        <f t="shared" si="61"/>
        <v>7.210031347962409</v>
      </c>
      <c r="R40" s="789">
        <f t="shared" si="61"/>
        <v>2.7580211790737996</v>
      </c>
      <c r="S40" s="789">
        <f t="shared" si="61"/>
        <v>11.52041836499269</v>
      </c>
      <c r="T40" s="789">
        <f t="shared" si="61"/>
        <v>11.688849044893445</v>
      </c>
      <c r="U40" s="789">
        <f t="shared" si="61"/>
        <v>-25.635959496171878</v>
      </c>
      <c r="V40" s="789">
        <f t="shared" si="61"/>
        <v>5.8618399202922333</v>
      </c>
      <c r="W40" s="789">
        <f t="shared" si="61"/>
        <v>1.4352941176470679</v>
      </c>
      <c r="X40" s="789">
        <f t="shared" si="61"/>
        <v>-2.9150235830820437</v>
      </c>
      <c r="Y40" s="789">
        <f t="shared" si="61"/>
        <v>-6.1962408410321634</v>
      </c>
      <c r="Z40" s="789">
        <f t="shared" si="61"/>
        <v>5.3659364917643115</v>
      </c>
      <c r="AA40" s="789">
        <f t="shared" si="61"/>
        <v>29.484286865431098</v>
      </c>
      <c r="AB40" s="789">
        <f t="shared" si="61"/>
        <v>15.383657974982867</v>
      </c>
      <c r="AC40" s="4053">
        <v>3.19</v>
      </c>
      <c r="AD40" s="4063">
        <v>3.6</v>
      </c>
      <c r="AE40" s="4063">
        <v>4.5</v>
      </c>
      <c r="AK40" s="789">
        <v>25.288099217705895</v>
      </c>
      <c r="AM40" s="789">
        <f t="shared" si="10"/>
        <v>-19.922162725941583</v>
      </c>
    </row>
    <row r="41" spans="1:46" ht="12.75" customHeight="1">
      <c r="A41" s="714"/>
      <c r="B41" s="714"/>
      <c r="C41" s="822" t="s">
        <v>624</v>
      </c>
      <c r="D41" s="766" t="s">
        <v>591</v>
      </c>
      <c r="E41" s="771" t="s">
        <v>1415</v>
      </c>
      <c r="F41" s="772" t="str">
        <f>+$F$32</f>
        <v>YATaxIndir</v>
      </c>
      <c r="G41" s="770"/>
      <c r="H41" s="770">
        <f t="shared" ref="H41:AB41" si="62">(H32/G32-1)*100</f>
        <v>6.0390508453505687</v>
      </c>
      <c r="I41" s="770">
        <f t="shared" si="62"/>
        <v>6.0962876392638865</v>
      </c>
      <c r="J41" s="770">
        <f t="shared" si="62"/>
        <v>3.5183861488364832</v>
      </c>
      <c r="K41" s="770">
        <f t="shared" si="62"/>
        <v>7.1068309638337102</v>
      </c>
      <c r="L41" s="770">
        <f t="shared" si="62"/>
        <v>4.3897759797189018</v>
      </c>
      <c r="M41" s="770">
        <f t="shared" si="62"/>
        <v>-0.63517730665727523</v>
      </c>
      <c r="N41" s="770">
        <f t="shared" si="62"/>
        <v>3.7774768580375984</v>
      </c>
      <c r="O41" s="770">
        <f t="shared" si="62"/>
        <v>2.9947863925424034</v>
      </c>
      <c r="P41" s="770">
        <f t="shared" si="62"/>
        <v>6.830063064454972</v>
      </c>
      <c r="Q41" s="770">
        <f t="shared" si="62"/>
        <v>5.0739023768140212</v>
      </c>
      <c r="R41" s="770">
        <f t="shared" si="62"/>
        <v>4.6311890789424215</v>
      </c>
      <c r="S41" s="770">
        <f t="shared" si="62"/>
        <v>4.6390704638352931</v>
      </c>
      <c r="T41" s="770">
        <f t="shared" si="62"/>
        <v>1.1442364176211584</v>
      </c>
      <c r="U41" s="770">
        <f t="shared" si="62"/>
        <v>-1.6268816256613028</v>
      </c>
      <c r="V41" s="770">
        <f t="shared" si="62"/>
        <v>7.1713101648503086</v>
      </c>
      <c r="W41" s="770">
        <f t="shared" si="62"/>
        <v>3.3831274476390227</v>
      </c>
      <c r="X41" s="770">
        <f t="shared" si="62"/>
        <v>5.0963707537154956</v>
      </c>
      <c r="Y41" s="770">
        <f t="shared" si="62"/>
        <v>1.1260959114905988</v>
      </c>
      <c r="Z41" s="770">
        <f t="shared" si="62"/>
        <v>1.6414614352155299</v>
      </c>
      <c r="AA41" s="770">
        <f t="shared" si="62"/>
        <v>1.4562212335366587</v>
      </c>
      <c r="AB41" s="770">
        <f t="shared" si="62"/>
        <v>4.6568910295823107</v>
      </c>
      <c r="AC41" s="2223">
        <f>(AC32/AB32-1)*100</f>
        <v>3.5740560981473379</v>
      </c>
      <c r="AD41" s="2223">
        <f>(AD32/AC32-1)*100</f>
        <v>3.1798581107057577</v>
      </c>
      <c r="AE41" s="2223">
        <f>(AE32/AD32-1)*100</f>
        <v>3.2719401889321764</v>
      </c>
      <c r="AK41" s="770">
        <v>1.4624938254180986</v>
      </c>
      <c r="AM41" s="770">
        <f t="shared" si="10"/>
        <v>0.17896760979743132</v>
      </c>
    </row>
    <row r="42" spans="1:46" ht="12.75" customHeight="1">
      <c r="A42" s="714"/>
      <c r="B42" s="714"/>
      <c r="C42" s="822"/>
      <c r="D42" s="850"/>
      <c r="E42" s="851" t="s">
        <v>1903</v>
      </c>
      <c r="F42" s="852" t="s">
        <v>1904</v>
      </c>
      <c r="G42" s="853"/>
      <c r="H42" s="853">
        <f ca="1">+$F$55*'VVP2'!H195</f>
        <v>3.2212690507657404</v>
      </c>
      <c r="I42" s="853">
        <f>+$F$55*'VVP2'!I195</f>
        <v>3.3311064782615807</v>
      </c>
      <c r="J42" s="853">
        <f>+$F$55*'VVP2'!J195</f>
        <v>3.9551436121476158</v>
      </c>
      <c r="K42" s="853">
        <f>+$F$55*'VVP2'!K195</f>
        <v>2.3085373408868737</v>
      </c>
      <c r="L42" s="853">
        <f>+$F$55*'VVP2'!L195</f>
        <v>6.2071785523658773</v>
      </c>
      <c r="M42" s="853">
        <f>+$F$55*'VVP2'!M195</f>
        <v>3.0771593236876837</v>
      </c>
      <c r="N42" s="853">
        <f>+$F$55*'VVP2'!N195</f>
        <v>1.7872862744483076</v>
      </c>
      <c r="O42" s="853">
        <f>+$F$55*'VVP2'!O195</f>
        <v>2.1023359521787022</v>
      </c>
      <c r="P42" s="853">
        <f>+$F$55*'VVP2'!P195</f>
        <v>4.0113744543910812</v>
      </c>
      <c r="Q42" s="853">
        <f>+$F$55*'VVP2'!Q195</f>
        <v>3.9645497167801969</v>
      </c>
      <c r="R42" s="853">
        <f>+$F$55*'VVP2'!R195</f>
        <v>4.622253287428979</v>
      </c>
      <c r="S42" s="853">
        <f>+$F$55*'VVP2'!S195</f>
        <v>4.7999165801246191</v>
      </c>
      <c r="T42" s="853">
        <f>+$F$55*'VVP2'!T195</f>
        <v>4.9322568161137115</v>
      </c>
      <c r="U42" s="853">
        <f>+$F$55*'VVP2'!U195</f>
        <v>8.4568088061098834E-2</v>
      </c>
      <c r="V42" s="853">
        <f>+$F$55*'VVP2'!V195</f>
        <v>4.4876854698293389</v>
      </c>
      <c r="W42" s="853">
        <f>+$F$55*'VVP2'!W195</f>
        <v>3.3613804206694242</v>
      </c>
      <c r="X42" s="853">
        <f>+$F$55*'VVP2'!X195</f>
        <v>2.6077527730005601</v>
      </c>
      <c r="Y42" s="853">
        <f>+$F$55*'VVP2'!Y195</f>
        <v>1.5918903362225789</v>
      </c>
      <c r="Z42" s="853">
        <f>+$F$55*'VVP2'!Z195</f>
        <v>1.2252378846176581</v>
      </c>
      <c r="AA42" s="2217">
        <f>+$F$55*'VVP2'!AA195</f>
        <v>1.4496179110537577</v>
      </c>
      <c r="AB42" s="2217">
        <f>+$F$55*'VVP2'!AB195</f>
        <v>3.1856022328088152</v>
      </c>
      <c r="AC42" s="2217">
        <f>+$F$55*'VVP2'!AC195</f>
        <v>2.8390718566330353</v>
      </c>
      <c r="AD42" s="2217">
        <f ca="1">+$F$55*'VVP2'!AD195</f>
        <v>3.3780499999999769</v>
      </c>
      <c r="AE42" s="2217">
        <f ca="1">+$F$55*'VVP2'!AE195</f>
        <v>3.0828799999999879</v>
      </c>
      <c r="AK42" s="853">
        <v>1.6924057459430264</v>
      </c>
      <c r="AM42" s="853">
        <f t="shared" si="10"/>
        <v>-0.46716786132536825</v>
      </c>
    </row>
    <row r="43" spans="1:46" ht="12.75" customHeight="1">
      <c r="A43" s="714"/>
      <c r="B43" s="714"/>
      <c r="C43" s="822"/>
      <c r="E43" s="833"/>
      <c r="F43" s="834"/>
      <c r="G43" s="753"/>
      <c r="H43" s="835"/>
      <c r="I43" s="753"/>
      <c r="J43" s="753"/>
      <c r="K43" s="753"/>
      <c r="L43" s="753"/>
      <c r="M43" s="753"/>
      <c r="N43" s="753"/>
      <c r="O43" s="753"/>
      <c r="P43" s="753"/>
      <c r="Q43" s="885"/>
      <c r="R43" s="2218"/>
      <c r="S43" s="2218"/>
      <c r="T43" s="2218"/>
      <c r="U43" s="2218"/>
    </row>
    <row r="44" spans="1:46" ht="12.75" customHeight="1">
      <c r="A44" s="714"/>
      <c r="B44" s="714"/>
      <c r="C44" s="822"/>
      <c r="D44" s="862"/>
      <c r="E44" s="863" t="s">
        <v>1805</v>
      </c>
      <c r="F44" s="864"/>
      <c r="G44" s="865">
        <f>+InputY!$G$3</f>
        <v>1995</v>
      </c>
      <c r="H44" s="865">
        <f t="shared" ref="H44:S44" si="63">+G44+1</f>
        <v>1996</v>
      </c>
      <c r="I44" s="865">
        <f t="shared" si="63"/>
        <v>1997</v>
      </c>
      <c r="J44" s="865">
        <f t="shared" si="63"/>
        <v>1998</v>
      </c>
      <c r="K44" s="865">
        <f t="shared" si="63"/>
        <v>1999</v>
      </c>
      <c r="L44" s="865">
        <f t="shared" si="63"/>
        <v>2000</v>
      </c>
      <c r="M44" s="865">
        <f t="shared" si="63"/>
        <v>2001</v>
      </c>
      <c r="N44" s="865">
        <f t="shared" si="63"/>
        <v>2002</v>
      </c>
      <c r="O44" s="865">
        <f t="shared" si="63"/>
        <v>2003</v>
      </c>
      <c r="P44" s="865">
        <f>+O44+1</f>
        <v>2004</v>
      </c>
      <c r="Q44" s="865">
        <f>+P44+1</f>
        <v>2005</v>
      </c>
      <c r="R44" s="865">
        <f>+Q44+1</f>
        <v>2006</v>
      </c>
      <c r="S44" s="2219">
        <f t="shared" si="63"/>
        <v>2007</v>
      </c>
      <c r="T44" s="2219">
        <f t="shared" ref="T44:AE44" si="64">+S44+1</f>
        <v>2008</v>
      </c>
      <c r="U44" s="2219">
        <f t="shared" si="64"/>
        <v>2009</v>
      </c>
      <c r="V44" s="2219">
        <f t="shared" si="64"/>
        <v>2010</v>
      </c>
      <c r="W44" s="2219">
        <f t="shared" si="64"/>
        <v>2011</v>
      </c>
      <c r="X44" s="2219">
        <f t="shared" si="64"/>
        <v>2012</v>
      </c>
      <c r="Y44" s="2219">
        <f t="shared" si="64"/>
        <v>2013</v>
      </c>
      <c r="Z44" s="2219">
        <f t="shared" si="64"/>
        <v>2014</v>
      </c>
      <c r="AA44" s="2219">
        <f t="shared" si="64"/>
        <v>2015</v>
      </c>
      <c r="AB44" s="2219">
        <f t="shared" si="64"/>
        <v>2016</v>
      </c>
      <c r="AC44" s="2219">
        <f t="shared" si="64"/>
        <v>2017</v>
      </c>
      <c r="AD44" s="2219">
        <f t="shared" si="64"/>
        <v>2018</v>
      </c>
      <c r="AE44" s="2219">
        <f t="shared" si="64"/>
        <v>2019</v>
      </c>
      <c r="AK44" s="2219">
        <v>2014</v>
      </c>
      <c r="AM44" s="2219"/>
    </row>
    <row r="45" spans="1:46" ht="12.75" customHeight="1">
      <c r="A45" s="714"/>
      <c r="B45" s="714"/>
      <c r="C45" s="866" t="s">
        <v>622</v>
      </c>
      <c r="D45" s="867" t="s">
        <v>588</v>
      </c>
      <c r="E45" s="868" t="s">
        <v>621</v>
      </c>
      <c r="F45" s="869" t="str">
        <f>+$F$8</f>
        <v>YATaxProd</v>
      </c>
      <c r="G45" s="878">
        <f ca="1">+G8/'VVP2'!G$355</f>
        <v>0.10766867274864785</v>
      </c>
      <c r="H45" s="878">
        <f>+H8/'VVP2'!H$355</f>
        <v>0.11110046012269939</v>
      </c>
      <c r="I45" s="878">
        <f>+I8/'VVP2'!I$355</f>
        <v>0.11228900285747538</v>
      </c>
      <c r="J45" s="878">
        <f>+J8/'VVP2'!J$355</f>
        <v>0.11228045934659787</v>
      </c>
      <c r="K45" s="878">
        <f>+K8/'VVP2'!K$355</f>
        <v>0.11537182773332896</v>
      </c>
      <c r="L45" s="878">
        <f>+L8/'VVP2'!L$355</f>
        <v>0.11496541735405968</v>
      </c>
      <c r="M45" s="878">
        <f>+M8/'VVP2'!M$355</f>
        <v>0.11014701920776075</v>
      </c>
      <c r="N45" s="878">
        <f>+N8/'VVP2'!N$355</f>
        <v>0.11090101943140007</v>
      </c>
      <c r="O45" s="878">
        <f>+O8/'VVP2'!O$355</f>
        <v>0.11073587452434486</v>
      </c>
      <c r="P45" s="878">
        <f>+P8/'VVP2'!P$355</f>
        <v>0.11256606724631314</v>
      </c>
      <c r="Q45" s="878">
        <f>+Q8/'VVP2'!Q$355</f>
        <v>0.11451845507010386</v>
      </c>
      <c r="R45" s="878">
        <f>+R8/'VVP2'!R$355</f>
        <v>0.11400404270957668</v>
      </c>
      <c r="S45" s="878">
        <f>+S8/'VVP2'!S$355</f>
        <v>0.11384675635493346</v>
      </c>
      <c r="T45" s="878">
        <f>+T8/'VVP2'!T$355</f>
        <v>0.11131882511137049</v>
      </c>
      <c r="U45" s="878">
        <f>+U8/'VVP2'!U$355</f>
        <v>0.10921434676362912</v>
      </c>
      <c r="V45" s="878">
        <f>+V8/'VVP2'!V$355</f>
        <v>0.11205544774657936</v>
      </c>
      <c r="W45" s="878">
        <f>+W8/'VVP2'!W$355</f>
        <v>0.11071221976527428</v>
      </c>
      <c r="X45" s="878">
        <f>+X8/'VVP2'!X$355</f>
        <v>0.11090887460416139</v>
      </c>
      <c r="Y45" s="878">
        <f>+Y8/'VVP2'!Y$355</f>
        <v>0.11099460212805329</v>
      </c>
      <c r="Z45" s="2204">
        <f>+Z8/'VVP2'!Z$355</f>
        <v>0.11034924337015181</v>
      </c>
      <c r="AA45" s="2204">
        <f>+AA8/'VVP2'!AA$355</f>
        <v>0.1098899412136191</v>
      </c>
      <c r="AB45" s="2204">
        <f>+AB8/'VVP2'!AB$355</f>
        <v>0.11220394640424119</v>
      </c>
      <c r="AC45" s="2204">
        <f>+AC8/'VVP2'!AC$355</f>
        <v>0.11367149496242285</v>
      </c>
      <c r="AD45" s="2204">
        <f ca="1">+AD8/'VVP2'!AD$355</f>
        <v>0.11301690387320183</v>
      </c>
      <c r="AE45" s="2204">
        <f ca="1">+AE8/'VVP2'!AE$355</f>
        <v>0.11295586571027749</v>
      </c>
      <c r="AK45" s="2204">
        <v>0.11060233176722102</v>
      </c>
      <c r="AM45" s="2204">
        <f t="shared" si="10"/>
        <v>-2.5308839706920938E-4</v>
      </c>
    </row>
    <row r="46" spans="1:46" ht="12.75" customHeight="1">
      <c r="A46" s="714"/>
      <c r="B46" s="714"/>
      <c r="C46" s="870" t="s">
        <v>622</v>
      </c>
      <c r="D46" s="724" t="s">
        <v>589</v>
      </c>
      <c r="E46" s="830" t="s">
        <v>1685</v>
      </c>
      <c r="F46" s="754" t="str">
        <f>+$F$18</f>
        <v>$HTaxOth</v>
      </c>
      <c r="G46" s="879">
        <f ca="1">+G18/'VVP2'!G$355</f>
        <v>8.0192795900247433E-3</v>
      </c>
      <c r="H46" s="879">
        <f>+H18/'VVP2'!H$355</f>
        <v>8.5823812275866163E-3</v>
      </c>
      <c r="I46" s="879">
        <f>+I18/'VVP2'!I$355</f>
        <v>8.5963232961025118E-3</v>
      </c>
      <c r="J46" s="879">
        <f>+J18/'VVP2'!J$355</f>
        <v>8.5487799885368056E-3</v>
      </c>
      <c r="K46" s="879">
        <f>+K18/'VVP2'!K$355</f>
        <v>8.305422027138798E-3</v>
      </c>
      <c r="L46" s="879">
        <f>+L18/'VVP2'!L$355</f>
        <v>7.9187675720891332E-3</v>
      </c>
      <c r="M46" s="879">
        <f>+M18/'VVP2'!M$355</f>
        <v>8.0936564575429162E-3</v>
      </c>
      <c r="N46" s="879">
        <f>+N18/'VVP2'!N$355</f>
        <v>8.7201175285414271E-3</v>
      </c>
      <c r="O46" s="879">
        <f>+O18/'VVP2'!O$355</f>
        <v>9.0412950910445048E-3</v>
      </c>
      <c r="P46" s="879">
        <f>+P18/'VVP2'!P$355</f>
        <v>8.7295136299055803E-3</v>
      </c>
      <c r="Q46" s="879">
        <f>+Q18/'VVP2'!Q$355</f>
        <v>8.4855952598041351E-3</v>
      </c>
      <c r="R46" s="879">
        <f>+R18/'VVP2'!R$355</f>
        <v>8.3202183540729106E-3</v>
      </c>
      <c r="S46" s="879">
        <f>+S18/'VVP2'!S$355</f>
        <v>8.1699967364107784E-3</v>
      </c>
      <c r="T46" s="879">
        <f>+T18/'VVP2'!T$355</f>
        <v>8.2351901157383424E-3</v>
      </c>
      <c r="U46" s="879">
        <f>+U18/'VVP2'!U$355</f>
        <v>8.6787959554001076E-3</v>
      </c>
      <c r="V46" s="879">
        <f>+V18/'VVP2'!V$355</f>
        <v>8.6806235543364085E-3</v>
      </c>
      <c r="W46" s="879">
        <f>+W18/'VVP2'!W$355</f>
        <v>8.8149418777793993E-3</v>
      </c>
      <c r="X46" s="879">
        <f>+X18/'VVP2'!X$355</f>
        <v>8.6121268097737267E-3</v>
      </c>
      <c r="Y46" s="879">
        <f>+Y18/'VVP2'!Y$355</f>
        <v>9.0375740620757834E-3</v>
      </c>
      <c r="Z46" s="2138">
        <f>+Z18/'VVP2'!Z$355</f>
        <v>9.0822062703821895E-3</v>
      </c>
      <c r="AA46" s="2138">
        <f>+AA18/'VVP2'!AA$355</f>
        <v>8.9868023015569811E-3</v>
      </c>
      <c r="AB46" s="2138">
        <f>+AB18/'VVP2'!AB$355</f>
        <v>9.0098437909232124E-3</v>
      </c>
      <c r="AC46" s="2138">
        <f>+AC18/'VVP2'!AC$355</f>
        <v>8.7147439157498341E-3</v>
      </c>
      <c r="AD46" s="2138">
        <f ca="1">+AD18/'VVP2'!AD$355</f>
        <v>8.6915303959348173E-3</v>
      </c>
      <c r="AE46" s="2138">
        <f ca="1">+AE18/'VVP2'!AE$355</f>
        <v>8.6943973507611107E-3</v>
      </c>
      <c r="AK46" s="2138">
        <v>9.2445365123170562E-3</v>
      </c>
      <c r="AM46" s="2138">
        <f t="shared" si="10"/>
        <v>-1.623302419348667E-4</v>
      </c>
    </row>
    <row r="47" spans="1:46" ht="12.75" customHeight="1">
      <c r="A47" s="714"/>
      <c r="B47" s="714"/>
      <c r="C47" s="870" t="s">
        <v>622</v>
      </c>
      <c r="D47" s="724" t="s">
        <v>590</v>
      </c>
      <c r="E47" s="830" t="s">
        <v>1685</v>
      </c>
      <c r="F47" s="754" t="str">
        <f>+$F$24</f>
        <v>$ETaxProd</v>
      </c>
      <c r="G47" s="879">
        <f ca="1">+G24/'VVP2'!G$355</f>
        <v>1.0580205101215955E-2</v>
      </c>
      <c r="H47" s="879">
        <f>+H24/'VVP2'!H$355</f>
        <v>1.0815384102427316E-2</v>
      </c>
      <c r="I47" s="879">
        <f>+I24/'VVP2'!I$355</f>
        <v>1.1681706360217144E-2</v>
      </c>
      <c r="J47" s="879">
        <f>+J24/'VVP2'!J$355</f>
        <v>1.1330992931029777E-2</v>
      </c>
      <c r="K47" s="879">
        <f>+K24/'VVP2'!K$355</f>
        <v>1.1701047390531721E-2</v>
      </c>
      <c r="L47" s="879">
        <f>+L24/'VVP2'!L$355</f>
        <v>1.0928193569873986E-2</v>
      </c>
      <c r="M47" s="879">
        <f>+M24/'VVP2'!M$355</f>
        <v>1.0869925098311287E-2</v>
      </c>
      <c r="N47" s="879">
        <f>+N24/'VVP2'!N$355</f>
        <v>9.7784124558150057E-3</v>
      </c>
      <c r="O47" s="879">
        <f>+O24/'VVP2'!O$355</f>
        <v>1.0223732603538465E-2</v>
      </c>
      <c r="P47" s="879">
        <f>+P24/'VVP2'!P$355</f>
        <v>9.9691741979198601E-3</v>
      </c>
      <c r="Q47" s="879">
        <f>+Q24/'VVP2'!Q$355</f>
        <v>9.3472856111837394E-3</v>
      </c>
      <c r="R47" s="879">
        <f>+R24/'VVP2'!R$355</f>
        <v>9.6481961023332681E-3</v>
      </c>
      <c r="S47" s="879">
        <f>+S24/'VVP2'!S$355</f>
        <v>9.1064292707691199E-3</v>
      </c>
      <c r="T47" s="879">
        <f>+T24/'VVP2'!T$355</f>
        <v>9.9978563312648865E-3</v>
      </c>
      <c r="U47" s="879">
        <f>+U24/'VVP2'!U$355</f>
        <v>1.0367247537208869E-2</v>
      </c>
      <c r="V47" s="879">
        <f>+V24/'VVP2'!V$355</f>
        <v>1.0534907511767309E-2</v>
      </c>
      <c r="W47" s="879">
        <f>+W24/'VVP2'!W$355</f>
        <v>1.1105592283747329E-2</v>
      </c>
      <c r="X47" s="879">
        <f>+X24/'VVP2'!X$355</f>
        <v>1.4527996250839679E-2</v>
      </c>
      <c r="Y47" s="879">
        <f>+Y24/'VVP2'!Y$355</f>
        <v>1.3619826487142016E-2</v>
      </c>
      <c r="Z47" s="2138">
        <f>+Z24/'VVP2'!Z$355</f>
        <v>1.3826537979385852E-2</v>
      </c>
      <c r="AA47" s="2138">
        <f>+AA24/'VVP2'!AA$355</f>
        <v>1.3750769914471274E-2</v>
      </c>
      <c r="AB47" s="2138">
        <f>+AB24/'VVP2'!AB$355</f>
        <v>1.3858934344155421E-2</v>
      </c>
      <c r="AC47" s="2138">
        <f>+AC24/'VVP2'!AC$355</f>
        <v>1.3242816127900443E-2</v>
      </c>
      <c r="AD47" s="2138">
        <f ca="1">+AD24/'VVP2'!AD$355</f>
        <v>1.3064092296219023E-2</v>
      </c>
      <c r="AE47" s="2138">
        <f ca="1">+AE24/'VVP2'!AE$355</f>
        <v>1.2934548000392673E-2</v>
      </c>
      <c r="AK47" s="2138">
        <v>1.2636846711962605E-2</v>
      </c>
      <c r="AM47" s="2138">
        <f t="shared" si="10"/>
        <v>1.1896912674232464E-3</v>
      </c>
    </row>
    <row r="48" spans="1:46" ht="12.75" customHeight="1">
      <c r="A48" s="714"/>
      <c r="B48" s="714"/>
      <c r="C48" s="870" t="s">
        <v>622</v>
      </c>
      <c r="D48" s="724" t="s">
        <v>591</v>
      </c>
      <c r="E48" s="830" t="s">
        <v>1685</v>
      </c>
      <c r="F48" s="754" t="s">
        <v>616</v>
      </c>
      <c r="G48" s="879">
        <f ca="1">+G30/'VVP2'!G$355</f>
        <v>0</v>
      </c>
      <c r="H48" s="879">
        <f>+H30/'VVP2'!H$355</f>
        <v>0</v>
      </c>
      <c r="I48" s="879">
        <f>+I30/'VVP2'!I$355</f>
        <v>0</v>
      </c>
      <c r="J48" s="879">
        <f>+J30/'VVP2'!J$355</f>
        <v>0</v>
      </c>
      <c r="K48" s="879">
        <f>+K30/'VVP2'!K$355</f>
        <v>0</v>
      </c>
      <c r="L48" s="879">
        <f>+L30/'VVP2'!L$355</f>
        <v>0</v>
      </c>
      <c r="M48" s="879">
        <f>+M30/'VVP2'!M$355</f>
        <v>0</v>
      </c>
      <c r="N48" s="879">
        <f>+N30/'VVP2'!N$355</f>
        <v>0</v>
      </c>
      <c r="O48" s="879">
        <f>+O30/'VVP2'!O$355</f>
        <v>0</v>
      </c>
      <c r="P48" s="879">
        <f>+P30/'VVP2'!P$355</f>
        <v>0</v>
      </c>
      <c r="Q48" s="879">
        <f>+Q30/'VVP2'!Q$355</f>
        <v>0</v>
      </c>
      <c r="R48" s="879">
        <f>+R30/'VVP2'!R$355</f>
        <v>0</v>
      </c>
      <c r="S48" s="879">
        <f>+S30/'VVP2'!S$355</f>
        <v>0</v>
      </c>
      <c r="T48" s="879">
        <f>+T30/'VVP2'!T$355</f>
        <v>0</v>
      </c>
      <c r="U48" s="879">
        <f>+U30/'VVP2'!U$355</f>
        <v>0</v>
      </c>
      <c r="V48" s="879">
        <f>+V30/'VVP2'!V$355</f>
        <v>0</v>
      </c>
      <c r="W48" s="879">
        <f>+W30/'VVP2'!W$355</f>
        <v>0</v>
      </c>
      <c r="X48" s="879">
        <f>+X30/'VVP2'!X$355</f>
        <v>0</v>
      </c>
      <c r="Y48" s="879">
        <f>+Y30/'VVP2'!Y$355</f>
        <v>0</v>
      </c>
      <c r="Z48" s="2182">
        <f>+Z30/'VVP2'!Z$355</f>
        <v>0</v>
      </c>
      <c r="AA48" s="2182">
        <f>+AA30/'VVP2'!AA$355</f>
        <v>0</v>
      </c>
      <c r="AB48" s="2182">
        <f>+AB30/'VVP2'!AB$355</f>
        <v>0</v>
      </c>
      <c r="AC48" s="2182">
        <f>+AC30/'VVP2'!AC$355</f>
        <v>0</v>
      </c>
      <c r="AD48" s="2182">
        <f ca="1">+AD30/'VVP2'!AD$355</f>
        <v>0</v>
      </c>
      <c r="AE48" s="2182">
        <f ca="1">+AE30/'VVP2'!AE$355</f>
        <v>0</v>
      </c>
      <c r="AK48" s="2182">
        <v>0</v>
      </c>
      <c r="AM48" s="2182">
        <f t="shared" si="10"/>
        <v>0</v>
      </c>
    </row>
    <row r="49" spans="1:46" ht="12.75" customHeight="1">
      <c r="A49" s="714"/>
      <c r="B49" s="714"/>
      <c r="C49" s="871" t="s">
        <v>2133</v>
      </c>
      <c r="D49" s="872" t="s">
        <v>592</v>
      </c>
      <c r="E49" s="873" t="s">
        <v>1993</v>
      </c>
      <c r="F49" s="874" t="str">
        <f>+$F$31</f>
        <v>TaxToRow</v>
      </c>
      <c r="G49" s="880">
        <f ca="1">+G31/'VVP2'!G$355</f>
        <v>4.44174568887997E-3</v>
      </c>
      <c r="H49" s="880">
        <f>+H31/'VVP2'!H$355</f>
        <v>4.097388933345188E-3</v>
      </c>
      <c r="I49" s="880">
        <f>+I31/'VVP2'!I$355</f>
        <v>4.4107878657530884E-3</v>
      </c>
      <c r="J49" s="880">
        <f>+J31/'VVP2'!J$355</f>
        <v>4.3157564344005021E-3</v>
      </c>
      <c r="K49" s="880">
        <f>+K31/'VVP2'!K$355</f>
        <v>3.9070369248155401E-3</v>
      </c>
      <c r="L49" s="880">
        <f>+L31/'VVP2'!L$355</f>
        <v>4.0085662724322485E-3</v>
      </c>
      <c r="M49" s="880">
        <f>+M31/'VVP2'!M$355</f>
        <v>3.8030252637060152E-3</v>
      </c>
      <c r="N49" s="880">
        <f>+N31/'VVP2'!N$355</f>
        <v>3.7442045537583652E-3</v>
      </c>
      <c r="O49" s="880">
        <f>+O31/'VVP2'!O$355</f>
        <v>4.0493708349770823E-3</v>
      </c>
      <c r="P49" s="880">
        <f>+P31/'VVP2'!P$355</f>
        <v>3.9513134443080059E-3</v>
      </c>
      <c r="Q49" s="880">
        <f>+Q31/'VVP2'!Q$355</f>
        <v>4.0625296968545095E-3</v>
      </c>
      <c r="R49" s="880">
        <f>+R31/'VVP2'!R$355</f>
        <v>3.9805658507675061E-3</v>
      </c>
      <c r="S49" s="880">
        <f>+S31/'VVP2'!S$355</f>
        <v>4.2066939841171993E-3</v>
      </c>
      <c r="T49" s="880">
        <f>+T31/'VVP2'!T$355</f>
        <v>4.5742897014369359E-3</v>
      </c>
      <c r="U49" s="880">
        <f>+U31/'VVP2'!U$355</f>
        <v>3.4531687640184639E-3</v>
      </c>
      <c r="V49" s="880">
        <f>+V31/'VVP2'!V$355</f>
        <v>3.4921891369636576E-3</v>
      </c>
      <c r="W49" s="880">
        <f>+W31/'VVP2'!W$355</f>
        <v>3.4114442308133628E-3</v>
      </c>
      <c r="X49" s="880">
        <f>+X31/'VVP2'!X$355</f>
        <v>3.2402572283207151E-3</v>
      </c>
      <c r="Y49" s="880">
        <f>+Y31/'VVP2'!Y$355</f>
        <v>3.0019896018706237E-3</v>
      </c>
      <c r="Z49" s="2206">
        <f>+Z31/'VVP2'!Z$355</f>
        <v>3.1002662581609951E-3</v>
      </c>
      <c r="AA49" s="2206">
        <f>+AA31/'VVP2'!AA$355</f>
        <v>3.9151125439533451E-3</v>
      </c>
      <c r="AB49" s="2206">
        <f>+AB31/'VVP2'!AB$355</f>
        <v>4.3827136564043257E-3</v>
      </c>
      <c r="AC49" s="2206">
        <f>+AC31/'VVP2'!AC$355</f>
        <v>4.3633135348425008E-3</v>
      </c>
      <c r="AD49" s="2206">
        <f ca="1">+AD31/'VVP2'!AD$355</f>
        <v>4.3719470737561923E-3</v>
      </c>
      <c r="AE49" s="2206">
        <f ca="1">+AE31/'VVP2'!AE$355</f>
        <v>4.4160708289267634E-3</v>
      </c>
      <c r="AK49" s="2206">
        <v>3.8096900828572316E-3</v>
      </c>
      <c r="AM49" s="2206">
        <f t="shared" si="10"/>
        <v>-7.0942382469623647E-4</v>
      </c>
    </row>
    <row r="50" spans="1:46" ht="12.75" customHeight="1">
      <c r="A50" s="714"/>
      <c r="B50" s="714"/>
      <c r="C50" s="822" t="s">
        <v>624</v>
      </c>
      <c r="D50" s="850" t="s">
        <v>591</v>
      </c>
      <c r="E50" s="851" t="s">
        <v>1415</v>
      </c>
      <c r="F50" s="852" t="str">
        <f>+$F$32</f>
        <v>YATaxIndir</v>
      </c>
      <c r="G50" s="881">
        <f ca="1">+G32/'VVP2'!G$355</f>
        <v>0.12182641175100857</v>
      </c>
      <c r="H50" s="881">
        <f>+H32/'VVP2'!H$355</f>
        <v>0.12640083651936815</v>
      </c>
      <c r="I50" s="881">
        <f>+I32/'VVP2'!I$355</f>
        <v>0.12815624464804196</v>
      </c>
      <c r="J50" s="881">
        <f>+J32/'VVP2'!J$355</f>
        <v>0.12784447583176398</v>
      </c>
      <c r="K50" s="881">
        <f>+K32/'VVP2'!K$355</f>
        <v>0.13147126022618394</v>
      </c>
      <c r="L50" s="881">
        <f>+L32/'VVP2'!L$355</f>
        <v>0.12980381222359055</v>
      </c>
      <c r="M50" s="881">
        <f>+M32/'VVP2'!M$355</f>
        <v>0.12530757549990895</v>
      </c>
      <c r="N50" s="881">
        <f>+N32/'VVP2'!N$355</f>
        <v>0.12565534486199814</v>
      </c>
      <c r="O50" s="881">
        <f>+O32/'VVP2'!O$355</f>
        <v>0.12595153138395077</v>
      </c>
      <c r="P50" s="881">
        <f>+P32/'VVP2'!P$355</f>
        <v>0.1273134416298306</v>
      </c>
      <c r="Q50" s="881">
        <f>+Q32/'VVP2'!Q$355</f>
        <v>0.12828880624423719</v>
      </c>
      <c r="R50" s="881">
        <f>+R32/'VVP2'!R$355</f>
        <v>0.12799189131521535</v>
      </c>
      <c r="S50" s="881">
        <f>+S32/'VVP2'!S$355</f>
        <v>0.12691648837799616</v>
      </c>
      <c r="T50" s="881">
        <f>+T32/'VVP2'!T$355</f>
        <v>0.1249775818569368</v>
      </c>
      <c r="U50" s="881">
        <f>+U32/'VVP2'!U$355</f>
        <v>0.12480722149221962</v>
      </c>
      <c r="V50" s="881">
        <f>+V32/'VVP2'!V$355</f>
        <v>0.1277787896757194</v>
      </c>
      <c r="W50" s="881">
        <f>+W32/'VVP2'!W$355</f>
        <v>0.12722130969598766</v>
      </c>
      <c r="X50" s="881">
        <f>+X32/'VVP2'!X$355</f>
        <v>0.1308087404364541</v>
      </c>
      <c r="Y50" s="881">
        <f>+Y32/'VVP2'!Y$355</f>
        <v>0.13065001307540047</v>
      </c>
      <c r="Z50" s="2205">
        <f>+Z32/'VVP2'!Z$355</f>
        <v>0.13015772136175885</v>
      </c>
      <c r="AA50" s="2205">
        <f>+AA32/'VVP2'!AA$355</f>
        <v>0.12878841775754127</v>
      </c>
      <c r="AB50" s="2205">
        <f>+AB32/'VVP2'!AB$355</f>
        <v>0.13076730700317032</v>
      </c>
      <c r="AC50" s="2205">
        <f>+AC32/'VVP2'!AC$355</f>
        <v>0.13067300425146058</v>
      </c>
      <c r="AD50" s="2205">
        <f ca="1">+AD32/'VVP2'!AD$355</f>
        <v>0.1304005794915995</v>
      </c>
      <c r="AE50" s="2205">
        <f ca="1">+AE32/'VVP2'!AE$355</f>
        <v>0.13016874023250452</v>
      </c>
      <c r="AK50" s="2205">
        <v>0.12867402490864344</v>
      </c>
      <c r="AM50" s="2205">
        <f t="shared" si="10"/>
        <v>1.4836964531154129E-3</v>
      </c>
    </row>
    <row r="51" spans="1:46" ht="12.75" customHeight="1">
      <c r="A51" s="714"/>
      <c r="B51" s="714"/>
      <c r="C51" s="822"/>
      <c r="S51" s="2162"/>
      <c r="T51" s="2162"/>
      <c r="U51" s="2162"/>
    </row>
    <row r="52" spans="1:46" ht="12.75" customHeight="1">
      <c r="A52" s="714"/>
      <c r="B52" s="714"/>
      <c r="C52" s="822"/>
      <c r="D52" s="862"/>
      <c r="E52" s="863" t="s">
        <v>1677</v>
      </c>
      <c r="F52" s="864"/>
      <c r="G52" s="865">
        <f>+InputY!$G$3</f>
        <v>1995</v>
      </c>
      <c r="H52" s="865">
        <f t="shared" ref="H52:O52" si="65">+G52+1</f>
        <v>1996</v>
      </c>
      <c r="I52" s="865">
        <f t="shared" si="65"/>
        <v>1997</v>
      </c>
      <c r="J52" s="865">
        <f t="shared" si="65"/>
        <v>1998</v>
      </c>
      <c r="K52" s="865">
        <f t="shared" si="65"/>
        <v>1999</v>
      </c>
      <c r="L52" s="865">
        <f t="shared" si="65"/>
        <v>2000</v>
      </c>
      <c r="M52" s="865">
        <f t="shared" si="65"/>
        <v>2001</v>
      </c>
      <c r="N52" s="865">
        <f t="shared" si="65"/>
        <v>2002</v>
      </c>
      <c r="O52" s="865">
        <f t="shared" si="65"/>
        <v>2003</v>
      </c>
      <c r="P52" s="865">
        <f t="shared" ref="P52:V52" si="66">+O52+1</f>
        <v>2004</v>
      </c>
      <c r="Q52" s="865">
        <f t="shared" si="66"/>
        <v>2005</v>
      </c>
      <c r="R52" s="865">
        <f t="shared" si="66"/>
        <v>2006</v>
      </c>
      <c r="S52" s="865">
        <f t="shared" si="66"/>
        <v>2007</v>
      </c>
      <c r="T52" s="2219">
        <f t="shared" si="66"/>
        <v>2008</v>
      </c>
      <c r="U52" s="2219">
        <f t="shared" si="66"/>
        <v>2009</v>
      </c>
      <c r="V52" s="2219">
        <f t="shared" si="66"/>
        <v>2010</v>
      </c>
      <c r="W52" s="2219">
        <f t="shared" ref="W52:AE52" si="67">+V52+1</f>
        <v>2011</v>
      </c>
      <c r="X52" s="2219">
        <f t="shared" si="67"/>
        <v>2012</v>
      </c>
      <c r="Y52" s="2219">
        <f t="shared" si="67"/>
        <v>2013</v>
      </c>
      <c r="Z52" s="2219">
        <f t="shared" si="67"/>
        <v>2014</v>
      </c>
      <c r="AA52" s="2219">
        <f t="shared" si="67"/>
        <v>2015</v>
      </c>
      <c r="AB52" s="2219">
        <f t="shared" si="67"/>
        <v>2016</v>
      </c>
      <c r="AC52" s="2219">
        <f t="shared" si="67"/>
        <v>2017</v>
      </c>
      <c r="AD52" s="2219">
        <f t="shared" si="67"/>
        <v>2018</v>
      </c>
      <c r="AE52" s="2219">
        <f t="shared" si="67"/>
        <v>2019</v>
      </c>
      <c r="AK52" s="2219">
        <v>2014</v>
      </c>
      <c r="AM52" s="2219"/>
    </row>
    <row r="53" spans="1:46" s="941" customFormat="1" ht="26.4">
      <c r="A53" s="714"/>
      <c r="B53" s="714"/>
      <c r="C53" s="866"/>
      <c r="D53" s="1751" t="s">
        <v>299</v>
      </c>
      <c r="E53" s="1752" t="s">
        <v>871</v>
      </c>
      <c r="F53" s="1753" t="s">
        <v>2055</v>
      </c>
      <c r="G53" s="1754">
        <f>+G32+G31</f>
        <v>26.679300000000001</v>
      </c>
      <c r="H53" s="1754">
        <f t="shared" ref="H53:Q53" si="68">+H32+H31</f>
        <v>28.180099999999999</v>
      </c>
      <c r="I53" s="1754">
        <f t="shared" si="68"/>
        <v>29.956</v>
      </c>
      <c r="J53" s="1754">
        <f t="shared" si="68"/>
        <v>30.990200000000002</v>
      </c>
      <c r="K53" s="1754">
        <f t="shared" si="68"/>
        <v>33.062899999999999</v>
      </c>
      <c r="L53" s="1754">
        <f t="shared" si="68"/>
        <v>34.5533</v>
      </c>
      <c r="M53" s="1754">
        <f t="shared" si="68"/>
        <v>34.316100000000006</v>
      </c>
      <c r="N53" s="1754">
        <f t="shared" si="68"/>
        <v>35.593299999999999</v>
      </c>
      <c r="O53" s="1754">
        <f t="shared" si="68"/>
        <v>36.743000000000002</v>
      </c>
      <c r="P53" s="1754">
        <f t="shared" si="68"/>
        <v>39.210200000000007</v>
      </c>
      <c r="Q53" s="1754">
        <f t="shared" si="68"/>
        <v>41.224899999999998</v>
      </c>
      <c r="R53" s="1754">
        <f t="shared" ref="R53:X53" si="69">+R32+R31</f>
        <v>43.110399999999998</v>
      </c>
      <c r="S53" s="1754">
        <f t="shared" si="69"/>
        <v>45.199799999999996</v>
      </c>
      <c r="T53" s="1754">
        <f t="shared" si="69"/>
        <v>45.869900000000001</v>
      </c>
      <c r="U53" s="1754">
        <f t="shared" si="69"/>
        <v>44.7348</v>
      </c>
      <c r="V53" s="1754">
        <f>+V32+V31</f>
        <v>47.927099999999996</v>
      </c>
      <c r="W53" s="1754">
        <f>+W32+W31</f>
        <v>49.523700000000005</v>
      </c>
      <c r="X53" s="2220">
        <f t="shared" si="69"/>
        <v>51.944000000000003</v>
      </c>
      <c r="Y53" s="2220">
        <f t="shared" ref="Y53" si="70">+Y32+Y31</f>
        <v>52.436999999999998</v>
      </c>
      <c r="Z53" s="2220">
        <f t="shared" ref="Z53:AD53" si="71">+Z32+Z31</f>
        <v>53.3416</v>
      </c>
      <c r="AA53" s="2220">
        <f t="shared" si="71"/>
        <v>54.466200000000008</v>
      </c>
      <c r="AB53" s="2220">
        <f t="shared" si="71"/>
        <v>57.175000000000004</v>
      </c>
      <c r="AC53" s="2220">
        <f t="shared" si="71"/>
        <v>59.211345789999996</v>
      </c>
      <c r="AD53" s="2220">
        <f t="shared" si="71"/>
        <v>61.102220918570296</v>
      </c>
      <c r="AE53" s="2220">
        <f t="shared" ref="AE53" si="72">+AE32+AE31</f>
        <v>63.12579069266387</v>
      </c>
      <c r="AF53" s="2830"/>
      <c r="AG53" s="2830"/>
      <c r="AH53" s="2830"/>
      <c r="AI53" s="2830"/>
      <c r="AJ53" s="2830"/>
      <c r="AK53" s="2220">
        <v>53.294224029630975</v>
      </c>
      <c r="AL53" s="2830"/>
      <c r="AM53" s="2220">
        <f t="shared" si="10"/>
        <v>4.7375970369024856E-2</v>
      </c>
      <c r="AN53" s="2830"/>
      <c r="AO53" s="2830"/>
      <c r="AP53" s="2830"/>
      <c r="AQ53" s="2830"/>
      <c r="AR53" s="2830"/>
      <c r="AS53" s="2830"/>
      <c r="AT53" s="2830"/>
    </row>
    <row r="54" spans="1:46" ht="12.75" customHeight="1" thickBot="1">
      <c r="A54" s="714"/>
      <c r="B54" s="714"/>
      <c r="C54" s="870"/>
      <c r="D54" s="850"/>
      <c r="E54" s="1648" t="s">
        <v>401</v>
      </c>
      <c r="F54" s="186"/>
      <c r="G54" s="1648"/>
      <c r="H54" s="853">
        <f>(H53/G53-1)*100</f>
        <v>5.6253349975448952</v>
      </c>
      <c r="I54" s="853">
        <f t="shared" ref="I54:AE54" si="73">(I53/H53-1)*100</f>
        <v>6.3019648617286705</v>
      </c>
      <c r="J54" s="853">
        <f t="shared" si="73"/>
        <v>3.4523968487114587</v>
      </c>
      <c r="K54" s="853">
        <f t="shared" si="73"/>
        <v>6.6882433801653374</v>
      </c>
      <c r="L54" s="853">
        <f t="shared" si="73"/>
        <v>4.5077715505899452</v>
      </c>
      <c r="M54" s="853">
        <f t="shared" si="73"/>
        <v>-0.68647567670814258</v>
      </c>
      <c r="N54" s="853">
        <f t="shared" si="73"/>
        <v>3.7218681610089455</v>
      </c>
      <c r="O54" s="853">
        <f t="shared" si="73"/>
        <v>3.2301022945329771</v>
      </c>
      <c r="P54" s="853">
        <f t="shared" si="73"/>
        <v>6.7147483874479663</v>
      </c>
      <c r="Q54" s="853">
        <f t="shared" si="73"/>
        <v>5.1382038347164594</v>
      </c>
      <c r="R54" s="853">
        <f t="shared" si="73"/>
        <v>4.5736921132616404</v>
      </c>
      <c r="S54" s="853">
        <f t="shared" si="73"/>
        <v>4.8466263361045092</v>
      </c>
      <c r="T54" s="853">
        <f t="shared" si="73"/>
        <v>1.4825286837552465</v>
      </c>
      <c r="U54" s="853">
        <f t="shared" si="73"/>
        <v>-2.4746075313004878</v>
      </c>
      <c r="V54" s="853">
        <f t="shared" si="73"/>
        <v>7.1360551516939763</v>
      </c>
      <c r="W54" s="2217">
        <f t="shared" si="73"/>
        <v>3.3313094261910425</v>
      </c>
      <c r="X54" s="2217">
        <f t="shared" si="73"/>
        <v>4.8871550389005591</v>
      </c>
      <c r="Y54" s="2217">
        <f t="shared" si="73"/>
        <v>0.9490990297243096</v>
      </c>
      <c r="Z54" s="2217">
        <f t="shared" si="73"/>
        <v>1.725117760360062</v>
      </c>
      <c r="AA54" s="2217">
        <f t="shared" si="73"/>
        <v>2.1082982137768713</v>
      </c>
      <c r="AB54" s="2217">
        <f t="shared" si="73"/>
        <v>4.9733596248682677</v>
      </c>
      <c r="AC54" s="2217">
        <f t="shared" si="73"/>
        <v>3.5616017315259985</v>
      </c>
      <c r="AD54" s="2217">
        <f t="shared" si="73"/>
        <v>3.1934337977665761</v>
      </c>
      <c r="AE54" s="2217">
        <f t="shared" si="73"/>
        <v>3.3117777777510682</v>
      </c>
      <c r="AK54" s="2217">
        <v>2.0203833733374088</v>
      </c>
      <c r="AM54" s="2217">
        <f t="shared" si="10"/>
        <v>-0.29526561297734677</v>
      </c>
    </row>
    <row r="55" spans="1:46" s="927" customFormat="1" ht="12.75" customHeight="1" thickBot="1">
      <c r="A55" s="714"/>
      <c r="B55" s="714"/>
      <c r="C55" s="870"/>
      <c r="D55" s="1082"/>
      <c r="E55" s="1083" t="s">
        <v>776</v>
      </c>
      <c r="F55" s="1414">
        <v>1</v>
      </c>
      <c r="G55" s="1085"/>
      <c r="H55" s="1085">
        <f ca="1">+H54/'VVP2'!H195</f>
        <v>1.7463101991457917</v>
      </c>
      <c r="I55" s="1085">
        <f>+I54/'VVP2'!I195</f>
        <v>1.8918533234691151</v>
      </c>
      <c r="J55" s="1085">
        <f>+J54/'VVP2'!J195</f>
        <v>0.87288786129230611</v>
      </c>
      <c r="K55" s="1085">
        <f>+K54/'VVP2'!K195</f>
        <v>2.897177906421001</v>
      </c>
      <c r="L55" s="1085">
        <f>+L54/'VVP2'!L195</f>
        <v>0.72621908852159567</v>
      </c>
      <c r="M55" s="1085">
        <f>+M54/'VVP2'!M195</f>
        <v>-0.22308746623020695</v>
      </c>
      <c r="N55" s="1085">
        <f>+N54/'VVP2'!N195</f>
        <v>2.0824129934964093</v>
      </c>
      <c r="O55" s="1085">
        <f>+O54/'VVP2'!O195</f>
        <v>1.5364348838659887</v>
      </c>
      <c r="P55" s="1085">
        <f>+P54/'VVP2'!P195</f>
        <v>1.6739270950129366</v>
      </c>
      <c r="Q55" s="1085">
        <f>+Q54/'VVP2'!Q195</f>
        <v>1.2960371799522907</v>
      </c>
      <c r="R55" s="1085">
        <f>+R54/'VVP2'!R195</f>
        <v>0.98949404735144886</v>
      </c>
      <c r="S55" s="1085">
        <f>+S54/'VVP2'!S195</f>
        <v>1.0097313682852957</v>
      </c>
      <c r="T55" s="1085">
        <f>+T54/'VVP2'!T195</f>
        <v>0.30057816107868041</v>
      </c>
      <c r="U55" s="1085">
        <f>+U54/'VVP2'!U195</f>
        <v>-29.261717842227092</v>
      </c>
      <c r="V55" s="1085">
        <f>+V54/'VVP2'!V195</f>
        <v>1.5901415550776894</v>
      </c>
      <c r="W55" s="1085">
        <f>+W54/'VVP2'!W195</f>
        <v>0.99105397464283651</v>
      </c>
      <c r="X55" s="1085">
        <f>+X54/'VVP2'!X195</f>
        <v>1.8740867959186365</v>
      </c>
      <c r="Y55" s="1085">
        <f>+Y54/'VVP2'!Y195</f>
        <v>0.59620880165429069</v>
      </c>
      <c r="Z55" s="1085">
        <f>+Z54/'VVP2'!Z195</f>
        <v>1.4079859772687278</v>
      </c>
      <c r="AA55" s="1085">
        <f>+AA54/'VVP2'!AA195</f>
        <v>1.4543820117704707</v>
      </c>
      <c r="AB55" s="1085">
        <f>+AB54/'VVP2'!AB195</f>
        <v>1.5611991897943729</v>
      </c>
      <c r="AC55" s="1085">
        <f>+AC54/'VVP2'!AC195</f>
        <v>1.2544950995885815</v>
      </c>
      <c r="AD55" s="2221">
        <f ca="1">+AD54/'VVP2'!AD195</f>
        <v>0.94534829199289472</v>
      </c>
      <c r="AE55" s="2221">
        <f ca="1">+AE54/'VVP2'!AE195</f>
        <v>1.074248033576098</v>
      </c>
      <c r="AF55" s="2831"/>
      <c r="AG55" s="2831"/>
      <c r="AH55" s="2831"/>
      <c r="AI55" s="2831"/>
      <c r="AJ55" s="2831"/>
      <c r="AK55" s="1085">
        <v>1.1937937330812061</v>
      </c>
      <c r="AL55" s="2831"/>
      <c r="AM55" s="1085">
        <f t="shared" si="10"/>
        <v>0.2141922441875217</v>
      </c>
      <c r="AN55" s="2831"/>
      <c r="AO55" s="2831"/>
      <c r="AP55" s="2831"/>
      <c r="AQ55" s="2831"/>
      <c r="AR55" s="2831"/>
      <c r="AS55" s="2831"/>
      <c r="AT55" s="2831"/>
    </row>
    <row r="56" spans="1:46" s="927" customFormat="1" ht="12.75" customHeight="1">
      <c r="A56" s="714"/>
      <c r="B56" s="714"/>
      <c r="C56" s="870"/>
      <c r="D56" s="850"/>
      <c r="E56" s="851" t="s">
        <v>870</v>
      </c>
      <c r="F56" s="852"/>
      <c r="G56" s="853"/>
      <c r="H56" s="853"/>
      <c r="I56" s="853"/>
      <c r="J56" s="853"/>
      <c r="K56" s="853">
        <f t="shared" ref="K56:V56" ca="1" si="74">AVERAGE(H55:K55)</f>
        <v>1.8520573225820534</v>
      </c>
      <c r="L56" s="853">
        <f t="shared" si="74"/>
        <v>1.5970345449260046</v>
      </c>
      <c r="M56" s="853">
        <f t="shared" si="74"/>
        <v>1.0682993475011739</v>
      </c>
      <c r="N56" s="853">
        <f t="shared" si="74"/>
        <v>1.3706806305521999</v>
      </c>
      <c r="O56" s="853">
        <f t="shared" si="74"/>
        <v>1.0304948749134466</v>
      </c>
      <c r="P56" s="853">
        <f t="shared" si="74"/>
        <v>1.2674218765362819</v>
      </c>
      <c r="Q56" s="853">
        <f t="shared" si="74"/>
        <v>1.6472030380819063</v>
      </c>
      <c r="R56" s="853">
        <f t="shared" si="74"/>
        <v>1.3739733015456661</v>
      </c>
      <c r="S56" s="853">
        <f t="shared" si="74"/>
        <v>1.242297422650493</v>
      </c>
      <c r="T56" s="853">
        <f t="shared" si="74"/>
        <v>0.89896018916692888</v>
      </c>
      <c r="U56" s="853">
        <f t="shared" si="74"/>
        <v>-6.7404785663779165</v>
      </c>
      <c r="V56" s="853">
        <f t="shared" si="74"/>
        <v>-6.5903166894463565</v>
      </c>
      <c r="W56" s="2217">
        <f t="shared" ref="W56:AE56" si="75">AVERAGE(T55:W55)</f>
        <v>-6.5949860378569722</v>
      </c>
      <c r="X56" s="2217">
        <f t="shared" si="75"/>
        <v>-6.201608879146983</v>
      </c>
      <c r="Y56" s="2217">
        <f t="shared" si="75"/>
        <v>1.2628727818233632</v>
      </c>
      <c r="Z56" s="2217">
        <f t="shared" si="75"/>
        <v>1.2173338873711228</v>
      </c>
      <c r="AA56" s="2217">
        <f t="shared" si="75"/>
        <v>1.3331658966530315</v>
      </c>
      <c r="AB56" s="2217">
        <f t="shared" si="75"/>
        <v>1.2549439951219656</v>
      </c>
      <c r="AC56" s="2217">
        <f t="shared" si="75"/>
        <v>1.4195155696055382</v>
      </c>
      <c r="AD56" s="2217">
        <f t="shared" ca="1" si="75"/>
        <v>1.30385614828658</v>
      </c>
      <c r="AE56" s="2217">
        <f t="shared" ca="1" si="75"/>
        <v>1.2088226537379869</v>
      </c>
      <c r="AF56" s="2831"/>
      <c r="AG56" s="2831"/>
      <c r="AH56" s="2831"/>
      <c r="AI56" s="2831"/>
      <c r="AJ56" s="2831"/>
      <c r="AK56" s="2217">
        <v>1.0127302004980698</v>
      </c>
      <c r="AL56" s="2831"/>
      <c r="AM56" s="2217">
        <f t="shared" si="10"/>
        <v>0.20460368687305297</v>
      </c>
      <c r="AN56" s="2831"/>
      <c r="AO56" s="2831"/>
      <c r="AP56" s="2831"/>
      <c r="AQ56" s="2831"/>
      <c r="AR56" s="2831"/>
      <c r="AS56" s="2831"/>
      <c r="AT56" s="2831"/>
    </row>
    <row r="57" spans="1:46" s="927" customFormat="1" ht="12.75" customHeight="1">
      <c r="A57" s="714"/>
      <c r="B57" s="714"/>
      <c r="C57" s="870"/>
      <c r="D57" s="1082"/>
      <c r="E57" s="1083" t="s">
        <v>1028</v>
      </c>
      <c r="F57" s="1085"/>
      <c r="G57" s="1411">
        <f ca="1">+G53/'VVP2'!G192</f>
        <v>0.23616708817283494</v>
      </c>
      <c r="H57" s="1411">
        <f>+H53/'VVP2'!H192</f>
        <v>0.24166751710233272</v>
      </c>
      <c r="I57" s="1411">
        <f>+I53/'VVP2'!I192</f>
        <v>0.24861566653830322</v>
      </c>
      <c r="J57" s="1411">
        <f>+J53/'VVP2'!J192</f>
        <v>0.24741331408753858</v>
      </c>
      <c r="K57" s="1411">
        <f>+K53/'VVP2'!K192</f>
        <v>0.25800478195591986</v>
      </c>
      <c r="L57" s="1411">
        <f>+L53/'VVP2'!L192</f>
        <v>0.25387648160067244</v>
      </c>
      <c r="M57" s="1411">
        <f>+M53/'VVP2'!M192</f>
        <v>0.24460674213366659</v>
      </c>
      <c r="N57" s="1411">
        <f>+N53/'VVP2'!N192</f>
        <v>0.24925576845102501</v>
      </c>
      <c r="O57" s="1411">
        <f>+O53/'VVP2'!O192</f>
        <v>0.25200891081231602</v>
      </c>
      <c r="P57" s="1411">
        <f>+P53/'VVP2'!P192</f>
        <v>0.25855890905973666</v>
      </c>
      <c r="Q57" s="1411">
        <f>+Q53/'VVP2'!Q192</f>
        <v>0.26147777639647546</v>
      </c>
      <c r="R57" s="1411">
        <f>+R53/'VVP2'!R192</f>
        <v>0.26135640959886314</v>
      </c>
      <c r="S57" s="1411">
        <f>+S53/'VVP2'!S192</f>
        <v>0.26147289723086248</v>
      </c>
      <c r="T57" s="1411">
        <f>+T53/'VVP2'!T192</f>
        <v>0.25287677591606705</v>
      </c>
      <c r="U57" s="1411">
        <f>+U53/'VVP2'!U192</f>
        <v>0.24641068337063338</v>
      </c>
      <c r="V57" s="1411">
        <f>+V53/'VVP2'!V192</f>
        <v>0.25265626705058547</v>
      </c>
      <c r="W57" s="2182">
        <f>+W53/'VVP2'!W192</f>
        <v>0.25258276159641596</v>
      </c>
      <c r="X57" s="2182">
        <f>+X53/'VVP2'!X192</f>
        <v>0.25819381635154598</v>
      </c>
      <c r="Y57" s="2182">
        <f>+Y53/'VVP2'!Y192</f>
        <v>0.25656017472923626</v>
      </c>
      <c r="Z57" s="2182">
        <f>+Z53/'VVP2'!Z192</f>
        <v>0.25782714402409018</v>
      </c>
      <c r="AA57" s="2182">
        <f>+AA53/'VVP2'!AA192</f>
        <v>0.25950113417578224</v>
      </c>
      <c r="AB57" s="2182">
        <f>+AB53/'VVP2'!AB192</f>
        <v>0.26399715940441687</v>
      </c>
      <c r="AC57" s="2182">
        <f>+AC53/'VVP2'!AC192</f>
        <v>0.2658519586661458</v>
      </c>
      <c r="AD57" s="2182">
        <f ca="1">+AD53/'VVP2'!AD192</f>
        <v>0.26537719077329763</v>
      </c>
      <c r="AE57" s="2182">
        <f ca="1">+AE53/'VVP2'!AE192</f>
        <v>0.26596646659905876</v>
      </c>
      <c r="AF57" s="2831"/>
      <c r="AG57" s="2831"/>
      <c r="AH57" s="2831"/>
      <c r="AI57" s="2831"/>
      <c r="AJ57" s="2831"/>
      <c r="AK57" s="2182">
        <v>0.25693621713044412</v>
      </c>
      <c r="AL57" s="2831"/>
      <c r="AM57" s="2182">
        <f t="shared" si="10"/>
        <v>8.9092689364606015E-4</v>
      </c>
      <c r="AN57" s="2831"/>
      <c r="AO57" s="2831"/>
      <c r="AP57" s="2831"/>
      <c r="AQ57" s="2831"/>
      <c r="AR57" s="2831"/>
      <c r="AS57" s="2831"/>
      <c r="AT57" s="2831"/>
    </row>
    <row r="58" spans="1:46" s="927" customFormat="1" ht="12.75" customHeight="1">
      <c r="A58" s="714"/>
      <c r="B58" s="714">
        <v>158</v>
      </c>
      <c r="C58" s="871"/>
      <c r="D58" s="1090"/>
      <c r="E58" s="1091" t="s">
        <v>870</v>
      </c>
      <c r="F58" s="1092"/>
      <c r="G58" s="1409"/>
      <c r="H58" s="1410"/>
      <c r="I58" s="1410"/>
      <c r="J58" s="1410">
        <f t="shared" ref="J58:AE58" ca="1" si="76">AVERAGE(G57:J57)</f>
        <v>0.24346589647525235</v>
      </c>
      <c r="K58" s="1410">
        <f t="shared" si="76"/>
        <v>0.24892531992102362</v>
      </c>
      <c r="L58" s="1410">
        <f t="shared" si="76"/>
        <v>0.25197756104560853</v>
      </c>
      <c r="M58" s="1410">
        <f t="shared" si="76"/>
        <v>0.25097532994444938</v>
      </c>
      <c r="N58" s="1410">
        <f t="shared" si="76"/>
        <v>0.251435943535321</v>
      </c>
      <c r="O58" s="1410">
        <f t="shared" si="76"/>
        <v>0.24993697574942003</v>
      </c>
      <c r="P58" s="1410">
        <f t="shared" si="76"/>
        <v>0.25110758261418609</v>
      </c>
      <c r="Q58" s="1410">
        <f t="shared" si="76"/>
        <v>0.25532534117988831</v>
      </c>
      <c r="R58" s="1410">
        <f t="shared" si="76"/>
        <v>0.25835050146684785</v>
      </c>
      <c r="S58" s="1410">
        <f t="shared" si="76"/>
        <v>0.26071649807148445</v>
      </c>
      <c r="T58" s="1410">
        <f t="shared" si="76"/>
        <v>0.25929596478556705</v>
      </c>
      <c r="U58" s="1410">
        <f t="shared" si="76"/>
        <v>0.25552919152910653</v>
      </c>
      <c r="V58" s="1410">
        <f t="shared" si="76"/>
        <v>0.25335415589203708</v>
      </c>
      <c r="W58" s="2222">
        <f t="shared" si="76"/>
        <v>0.25113162198342548</v>
      </c>
      <c r="X58" s="2222">
        <f t="shared" si="76"/>
        <v>0.25246088209229522</v>
      </c>
      <c r="Y58" s="2222">
        <f t="shared" si="76"/>
        <v>0.25499825493194594</v>
      </c>
      <c r="Z58" s="2222">
        <f t="shared" si="76"/>
        <v>0.25629097417532209</v>
      </c>
      <c r="AA58" s="2222">
        <f t="shared" si="76"/>
        <v>0.25802056732016365</v>
      </c>
      <c r="AB58" s="2222">
        <f t="shared" si="76"/>
        <v>0.2594714030833814</v>
      </c>
      <c r="AC58" s="2222">
        <f t="shared" si="76"/>
        <v>0.26179434906760879</v>
      </c>
      <c r="AD58" s="2222">
        <f t="shared" ca="1" si="76"/>
        <v>0.26368186075491062</v>
      </c>
      <c r="AE58" s="2222">
        <f t="shared" ca="1" si="76"/>
        <v>0.26529819386072973</v>
      </c>
      <c r="AF58" s="2831"/>
      <c r="AG58" s="2831"/>
      <c r="AH58" s="2831"/>
      <c r="AI58" s="2831"/>
      <c r="AJ58" s="2831"/>
      <c r="AK58" s="2222">
        <v>0.25655030009514518</v>
      </c>
      <c r="AL58" s="2831"/>
      <c r="AM58" s="2222">
        <f t="shared" si="10"/>
        <v>-2.5932591982308351E-4</v>
      </c>
      <c r="AN58" s="2831"/>
      <c r="AO58" s="2831"/>
      <c r="AP58" s="2831"/>
      <c r="AQ58" s="2831"/>
      <c r="AR58" s="2831"/>
      <c r="AS58" s="2831"/>
      <c r="AT58" s="2831"/>
    </row>
    <row r="59" spans="1:46" ht="30" customHeight="1">
      <c r="A59" s="714"/>
      <c r="B59" s="714"/>
      <c r="C59" s="822"/>
      <c r="S59" s="2162"/>
      <c r="T59" s="2266"/>
      <c r="U59" s="2162"/>
    </row>
    <row r="60" spans="1:46" ht="12.75" hidden="1" customHeight="1">
      <c r="A60" s="714"/>
      <c r="B60" s="714"/>
      <c r="C60" s="3482"/>
      <c r="D60" s="3483"/>
      <c r="E60" s="3529" t="s">
        <v>2488</v>
      </c>
      <c r="F60" s="3484"/>
      <c r="G60" s="3485">
        <f>+InputY!$G$3</f>
        <v>1995</v>
      </c>
      <c r="H60" s="3485">
        <f t="shared" ref="H60:AE60" si="77">+G60+1</f>
        <v>1996</v>
      </c>
      <c r="I60" s="3485">
        <f t="shared" si="77"/>
        <v>1997</v>
      </c>
      <c r="J60" s="3485">
        <f t="shared" si="77"/>
        <v>1998</v>
      </c>
      <c r="K60" s="3485">
        <f t="shared" si="77"/>
        <v>1999</v>
      </c>
      <c r="L60" s="3485">
        <f t="shared" si="77"/>
        <v>2000</v>
      </c>
      <c r="M60" s="3485">
        <f t="shared" si="77"/>
        <v>2001</v>
      </c>
      <c r="N60" s="3485">
        <f t="shared" si="77"/>
        <v>2002</v>
      </c>
      <c r="O60" s="3485">
        <f t="shared" si="77"/>
        <v>2003</v>
      </c>
      <c r="P60" s="3485">
        <f t="shared" si="77"/>
        <v>2004</v>
      </c>
      <c r="Q60" s="3485">
        <f t="shared" si="77"/>
        <v>2005</v>
      </c>
      <c r="R60" s="3486">
        <f t="shared" si="77"/>
        <v>2006</v>
      </c>
      <c r="S60" s="3486">
        <f t="shared" si="77"/>
        <v>2007</v>
      </c>
      <c r="T60" s="3486">
        <f t="shared" si="77"/>
        <v>2008</v>
      </c>
      <c r="U60" s="3486">
        <f t="shared" si="77"/>
        <v>2009</v>
      </c>
      <c r="V60" s="3486">
        <f t="shared" si="77"/>
        <v>2010</v>
      </c>
      <c r="W60" s="3486">
        <f t="shared" si="77"/>
        <v>2011</v>
      </c>
      <c r="X60" s="3486">
        <f t="shared" si="77"/>
        <v>2012</v>
      </c>
      <c r="Y60" s="3486">
        <f t="shared" si="77"/>
        <v>2013</v>
      </c>
      <c r="Z60" s="3486">
        <f t="shared" si="77"/>
        <v>2014</v>
      </c>
      <c r="AA60" s="3486">
        <f t="shared" si="77"/>
        <v>2015</v>
      </c>
      <c r="AB60" s="3486">
        <f t="shared" si="77"/>
        <v>2016</v>
      </c>
      <c r="AC60" s="3486">
        <f t="shared" si="77"/>
        <v>2017</v>
      </c>
      <c r="AD60" s="3486">
        <f t="shared" si="77"/>
        <v>2018</v>
      </c>
      <c r="AE60" s="3486">
        <f t="shared" si="77"/>
        <v>2019</v>
      </c>
      <c r="AK60" s="3486">
        <v>2014</v>
      </c>
      <c r="AM60" s="3486"/>
    </row>
    <row r="61" spans="1:46" ht="12.75" hidden="1" customHeight="1">
      <c r="A61" s="714"/>
      <c r="B61" s="714"/>
      <c r="C61" s="3487" t="s">
        <v>622</v>
      </c>
      <c r="D61" s="3488" t="s">
        <v>588</v>
      </c>
      <c r="E61" s="3489" t="s">
        <v>2464</v>
      </c>
      <c r="F61" s="3490"/>
      <c r="G61" s="3491">
        <f>('[2]dir&amp;indir taxes'!C7+[2]TaxesEU!C7)/1000</f>
        <v>21.810899999999997</v>
      </c>
      <c r="H61" s="3491">
        <f>('[2]dir&amp;indir taxes'!D7+[2]TaxesEU!D7)/1000</f>
        <v>23.109399999999997</v>
      </c>
      <c r="I61" s="3491">
        <f>('[2]dir&amp;indir taxes'!E7+[2]TaxesEU!E7)/1000</f>
        <v>24.380800000000001</v>
      </c>
      <c r="J61" s="3491">
        <f>('[2]dir&amp;indir taxes'!F7+[2]TaxesEU!F7)/1000</f>
        <v>25.339299999999998</v>
      </c>
      <c r="K61" s="3491">
        <f>('[2]dir&amp;indir taxes'!G7+[2]TaxesEU!G7)/1000</f>
        <v>27.242599999999999</v>
      </c>
      <c r="L61" s="3491">
        <f>('[2]dir&amp;indir taxes'!H7+[2]TaxesEU!H7)/1000</f>
        <v>28.667400000000001</v>
      </c>
      <c r="M61" s="3491">
        <f>('[2]dir&amp;indir taxes'!I7+[2]TaxesEU!I7)/1000</f>
        <v>28.3155</v>
      </c>
      <c r="N61" s="3491">
        <f>('[2]dir&amp;indir taxes'!J7+[2]TaxesEU!J7)/1000</f>
        <v>29.4955</v>
      </c>
      <c r="O61" s="3491">
        <f>('[2]dir&amp;indir taxes'!K7+[2]TaxesEU!K7)/1000</f>
        <v>30.1372</v>
      </c>
      <c r="P61" s="3491">
        <f>('[2]dir&amp;indir taxes'!L7+[2]TaxesEU!L7)/1000</f>
        <v>32.442500000000003</v>
      </c>
      <c r="Q61" s="3491">
        <f>('[2]dir&amp;indir taxes'!M7+[2]TaxesEU!M7)/1000</f>
        <v>34.424399999999999</v>
      </c>
      <c r="R61" s="3491">
        <f>('[2]dir&amp;indir taxes'!N7+[2]TaxesEU!N7)/1000</f>
        <v>35.802</v>
      </c>
      <c r="S61" s="3491">
        <f>('[2]dir&amp;indir taxes'!O7+[2]TaxesEU!O7)/1000</f>
        <v>37.550599999999996</v>
      </c>
      <c r="T61" s="3491">
        <f>('[2]dir&amp;indir taxes'!P7+[2]TaxesEU!P7)/1000</f>
        <v>37.523700000000005</v>
      </c>
      <c r="U61" s="3491">
        <f>('[2]dir&amp;indir taxes'!Q7+[2]TaxesEU!Q7)/1000</f>
        <v>36.750800000000005</v>
      </c>
      <c r="V61" s="3491">
        <f>('[2]dir&amp;indir taxes'!R7+[2]TaxesEU!R7)/1000</f>
        <v>39.442099999999996</v>
      </c>
      <c r="W61" s="3491">
        <f>('[2]dir&amp;indir taxes'!S7+[2]TaxesEU!S7)/1000</f>
        <v>40.538599999999995</v>
      </c>
      <c r="X61" s="3491">
        <f>('[2]dir&amp;indir taxes'!T7+[2]TaxesEU!T7)/1000</f>
        <v>41.583199999999998</v>
      </c>
      <c r="Y61" s="3491">
        <f>('[2]dir&amp;indir taxes'!U7+[2]TaxesEU!U7)/1000</f>
        <v>42.294299999999993</v>
      </c>
      <c r="Z61" s="3492">
        <f t="shared" ref="Z61:AE61" si="78">+Y61*(1+Z74/100)</f>
        <v>43.774600499999991</v>
      </c>
      <c r="AA61" s="3492">
        <f t="shared" si="78"/>
        <v>44.956514713499985</v>
      </c>
      <c r="AB61" s="3492">
        <f t="shared" si="78"/>
        <v>46.170340610764484</v>
      </c>
      <c r="AC61" s="3492">
        <f t="shared" si="78"/>
        <v>47.416939807255119</v>
      </c>
      <c r="AD61" s="3492">
        <f t="shared" si="78"/>
        <v>48.697197182051006</v>
      </c>
      <c r="AE61" s="3492">
        <f t="shared" si="78"/>
        <v>50.012021505966381</v>
      </c>
      <c r="AK61" s="3492">
        <v>43.774600499999991</v>
      </c>
      <c r="AM61" s="3492"/>
      <c r="AT61" s="749"/>
    </row>
    <row r="62" spans="1:46" ht="10.65" hidden="1" customHeight="1">
      <c r="A62" s="714"/>
      <c r="B62" s="714"/>
      <c r="C62" s="3493"/>
      <c r="D62" s="3494"/>
      <c r="E62" s="3495" t="s">
        <v>761</v>
      </c>
      <c r="F62" s="3496"/>
      <c r="G62" s="3497">
        <f ca="1">'VVP2'!G192</f>
        <v>112.9679</v>
      </c>
      <c r="H62" s="3497">
        <f>'VVP2'!H192</f>
        <v>116.6069</v>
      </c>
      <c r="I62" s="3497">
        <f>'VVP2'!I192</f>
        <v>120.49119999999999</v>
      </c>
      <c r="J62" s="3497">
        <f>'VVP2'!J192</f>
        <v>125.2568</v>
      </c>
      <c r="K62" s="3497">
        <f>'VVP2'!K192</f>
        <v>128.14839999999998</v>
      </c>
      <c r="L62" s="3497">
        <f>'VVP2'!L192</f>
        <v>136.1028</v>
      </c>
      <c r="M62" s="3497">
        <f>'VVP2'!M192</f>
        <v>140.29089999999999</v>
      </c>
      <c r="N62" s="3497">
        <f>'VVP2'!N192</f>
        <v>142.79829999999998</v>
      </c>
      <c r="O62" s="3497">
        <f>'VVP2'!O192</f>
        <v>145.8004</v>
      </c>
      <c r="P62" s="3497">
        <f>'VVP2'!P192</f>
        <v>151.649</v>
      </c>
      <c r="Q62" s="3497">
        <f>'VVP2'!Q192</f>
        <v>157.66120000000001</v>
      </c>
      <c r="R62" s="3497">
        <f>'VVP2'!R192</f>
        <v>164.9487</v>
      </c>
      <c r="S62" s="3497">
        <f>'VVP2'!S192</f>
        <v>172.86610000000002</v>
      </c>
      <c r="T62" s="3497">
        <f>'VVP2'!T192</f>
        <v>181.39229999999998</v>
      </c>
      <c r="U62" s="3497">
        <f>'VVP2'!U192</f>
        <v>181.54570000000001</v>
      </c>
      <c r="V62" s="3497">
        <f>'VVP2'!V192</f>
        <v>189.69289999999998</v>
      </c>
      <c r="W62" s="3497">
        <f>'VVP2'!W192</f>
        <v>196.06920000000002</v>
      </c>
      <c r="X62" s="3497">
        <f>'VVP2'!X192</f>
        <v>201.18220000000002</v>
      </c>
      <c r="Y62" s="3497">
        <f>'VVP2'!Y192</f>
        <v>204.38479999999998</v>
      </c>
      <c r="Z62" s="3497">
        <f>'VVP2'!Z192</f>
        <v>206.88900000000001</v>
      </c>
      <c r="AA62" s="3497">
        <f>'VVP2'!AA192</f>
        <v>209.88810000000001</v>
      </c>
      <c r="AB62" s="3497">
        <f>'VVP2'!AB192</f>
        <v>216.57429999999999</v>
      </c>
      <c r="AC62" s="3497">
        <f>'VVP2'!AC192</f>
        <v>222.72300000000001</v>
      </c>
      <c r="AD62" s="3497">
        <f ca="1">'VVP2'!AD192</f>
        <v>230.24669430149996</v>
      </c>
      <c r="AE62" s="3497">
        <f ca="1">'VVP2'!AE192</f>
        <v>237.344923590782</v>
      </c>
      <c r="AK62" s="3497">
        <v>207.422</v>
      </c>
      <c r="AM62" s="3497"/>
    </row>
    <row r="63" spans="1:46" ht="10.65" hidden="1" customHeight="1">
      <c r="A63" s="714"/>
      <c r="B63" s="714"/>
      <c r="C63" s="3493"/>
      <c r="D63" s="3494"/>
      <c r="E63" s="3495" t="s">
        <v>762</v>
      </c>
      <c r="F63" s="3496"/>
      <c r="G63" s="3497">
        <f ca="1">'VVP2'!G236</f>
        <v>14.479299999999999</v>
      </c>
      <c r="H63" s="3497">
        <f>'VVP2'!H236</f>
        <v>13.462299999999999</v>
      </c>
      <c r="I63" s="3497">
        <f>'VVP2'!I236</f>
        <v>14.876299999999999</v>
      </c>
      <c r="J63" s="3497">
        <f>'VVP2'!J236</f>
        <v>14.363</v>
      </c>
      <c r="K63" s="3497">
        <f>'VVP2'!K236</f>
        <v>14.995100000000001</v>
      </c>
      <c r="L63" s="3497">
        <f>'VVP2'!L236</f>
        <v>15.137799999999999</v>
      </c>
      <c r="M63" s="3497">
        <f>'VVP2'!M236</f>
        <v>14.555</v>
      </c>
      <c r="N63" s="3497">
        <f>'VVP2'!N236</f>
        <v>14.399700000000001</v>
      </c>
      <c r="O63" s="3497">
        <f>'VVP2'!O236</f>
        <v>14.9672</v>
      </c>
      <c r="P63" s="3497">
        <f>'VVP2'!P236</f>
        <v>16.460599999999999</v>
      </c>
      <c r="Q63" s="3497">
        <f>'VVP2'!Q236</f>
        <v>19.201000000000001</v>
      </c>
      <c r="R63" s="3497">
        <f>'VVP2'!R236</f>
        <v>21.168200000000002</v>
      </c>
      <c r="S63" s="3497">
        <f>'VVP2'!S236</f>
        <v>23.024699999999999</v>
      </c>
      <c r="T63" s="3497">
        <f>'VVP2'!T236</f>
        <v>24.052599999999998</v>
      </c>
      <c r="U63" s="3497">
        <f>'VVP2'!U236</f>
        <v>21.7988</v>
      </c>
      <c r="V63" s="3497">
        <f>'VVP2'!V236</f>
        <v>22.4406</v>
      </c>
      <c r="W63" s="3497">
        <f>'VVP2'!W236</f>
        <v>22.331299999999999</v>
      </c>
      <c r="X63" s="3497">
        <f>'VVP2'!X236</f>
        <v>22.794700000000002</v>
      </c>
      <c r="Y63" s="3497">
        <f>'VVP2'!Y236</f>
        <v>22.203799999999998</v>
      </c>
      <c r="Z63" s="3497">
        <f>'VVP2'!Z236</f>
        <v>23.541400000000003</v>
      </c>
      <c r="AA63" s="3497">
        <f>'VVP2'!AA236</f>
        <v>23.821900000000003</v>
      </c>
      <c r="AB63" s="3497">
        <f>'VVP2'!AB236</f>
        <v>24.479200000000002</v>
      </c>
      <c r="AC63" s="3497">
        <f ca="1">'VVP2'!AC236</f>
        <v>24.924416425268898</v>
      </c>
      <c r="AD63" s="3497">
        <f ca="1">'VVP2'!AD236</f>
        <v>25.349876213648237</v>
      </c>
      <c r="AE63" s="3497">
        <f ca="1">'VVP2'!AE236</f>
        <v>25.833653251309496</v>
      </c>
      <c r="AK63" s="3497">
        <v>23.857095172484005</v>
      </c>
      <c r="AM63" s="3497"/>
    </row>
    <row r="64" spans="1:46" ht="10.65" hidden="1" customHeight="1">
      <c r="A64" s="714"/>
      <c r="B64" s="714"/>
      <c r="C64" s="3493"/>
      <c r="D64" s="3494"/>
      <c r="E64" s="3495" t="s">
        <v>2416</v>
      </c>
      <c r="F64" s="3496"/>
      <c r="G64" s="3497">
        <f>G689</f>
        <v>7.2478999999999996</v>
      </c>
      <c r="H64" s="3497">
        <f t="shared" ref="H64:AA64" si="79">H689</f>
        <v>7.9761000000000006</v>
      </c>
      <c r="I64" s="3497">
        <f t="shared" si="79"/>
        <v>8.1880000000000006</v>
      </c>
      <c r="J64" s="3497">
        <f t="shared" si="79"/>
        <v>8.5561000000000007</v>
      </c>
      <c r="K64" s="3497">
        <f t="shared" si="79"/>
        <v>9.0108999999999995</v>
      </c>
      <c r="L64" s="3497">
        <f t="shared" si="79"/>
        <v>9.4283999999999999</v>
      </c>
      <c r="M64" s="3497">
        <f t="shared" si="79"/>
        <v>9.9881000000000011</v>
      </c>
      <c r="N64" s="3497">
        <f t="shared" si="79"/>
        <v>11.4903</v>
      </c>
      <c r="O64" s="3497">
        <f t="shared" si="79"/>
        <v>11.7447</v>
      </c>
      <c r="P64" s="3497">
        <f t="shared" si="79"/>
        <v>12.1379</v>
      </c>
      <c r="Q64" s="3497">
        <f t="shared" si="79"/>
        <v>12.4862</v>
      </c>
      <c r="R64" s="3497">
        <f t="shared" si="79"/>
        <v>12.8621</v>
      </c>
      <c r="S64" s="3497">
        <f t="shared" si="79"/>
        <v>12.9176</v>
      </c>
      <c r="T64" s="3497">
        <f t="shared" si="79"/>
        <v>14.008799999999999</v>
      </c>
      <c r="U64" s="3497">
        <f t="shared" si="79"/>
        <v>15.0093</v>
      </c>
      <c r="V64" s="3497">
        <f t="shared" si="79"/>
        <v>15.165799999999999</v>
      </c>
      <c r="W64" s="3497">
        <f t="shared" si="79"/>
        <v>15.870200000000001</v>
      </c>
      <c r="X64" s="3497">
        <f t="shared" si="79"/>
        <v>16.4953</v>
      </c>
      <c r="Y64" s="3497">
        <f t="shared" ref="Y64" si="80">Y689</f>
        <v>17.093900000000001</v>
      </c>
      <c r="Z64" s="3497">
        <f t="shared" si="79"/>
        <v>16.9955</v>
      </c>
      <c r="AA64" s="3497">
        <f t="shared" si="79"/>
        <v>16.693099999999998</v>
      </c>
      <c r="AB64" s="3497">
        <f t="shared" ref="AB64:AC64" si="81">AB689</f>
        <v>16.758700000000001</v>
      </c>
      <c r="AC64" s="3497">
        <f t="shared" si="81"/>
        <v>17.622599999999998</v>
      </c>
      <c r="AD64" s="3497">
        <f t="shared" ref="AD64" ca="1" si="82">AD689</f>
        <v>18.253139009967271</v>
      </c>
      <c r="AE64" s="3497">
        <f t="shared" ref="AE64" ca="1" si="83">AE689</f>
        <v>19.283382982206994</v>
      </c>
      <c r="AK64" s="3497">
        <v>15.9635</v>
      </c>
      <c r="AM64" s="3497"/>
    </row>
    <row r="65" spans="1:46" ht="10.65" hidden="1" customHeight="1">
      <c r="A65" s="714"/>
      <c r="B65" s="714"/>
      <c r="C65" s="3493"/>
      <c r="D65" s="3494"/>
      <c r="E65" s="3495" t="s">
        <v>2419</v>
      </c>
      <c r="F65" s="3496"/>
      <c r="G65" s="3497">
        <f>'VVP2'!G239</f>
        <v>4.6926999999999994</v>
      </c>
      <c r="H65" s="3497">
        <f>'VVP2'!H239</f>
        <v>4.6556000000000006</v>
      </c>
      <c r="I65" s="3497">
        <f>'VVP2'!I239</f>
        <v>4.9722</v>
      </c>
      <c r="J65" s="3497">
        <f>'VVP2'!J239</f>
        <v>5.0324</v>
      </c>
      <c r="K65" s="3497">
        <f>'VVP2'!K239</f>
        <v>5.9561999999999999</v>
      </c>
      <c r="L65" s="3497">
        <f>'VVP2'!L239</f>
        <v>6.2696999999999994</v>
      </c>
      <c r="M65" s="3497">
        <f>'VVP2'!M239</f>
        <v>6.1109999999999998</v>
      </c>
      <c r="N65" s="3497">
        <f>'VVP2'!N239</f>
        <v>6.2161</v>
      </c>
      <c r="O65" s="3497">
        <f>'VVP2'!O239</f>
        <v>6.2873000000000001</v>
      </c>
      <c r="P65" s="3497">
        <f>'VVP2'!P239</f>
        <v>6.8494999999999999</v>
      </c>
      <c r="Q65" s="3497">
        <f>'VVP2'!Q239</f>
        <v>6.7952000000000004</v>
      </c>
      <c r="R65" s="3497">
        <f>'VVP2'!R239</f>
        <v>7.4115000000000002</v>
      </c>
      <c r="S65" s="3497">
        <f>'VVP2'!S239</f>
        <v>7.0301</v>
      </c>
      <c r="T65" s="3497">
        <f>'VVP2'!T239</f>
        <v>7.4166999999999996</v>
      </c>
      <c r="U65" s="3497">
        <f>'VVP2'!U239</f>
        <v>8.1306000000000012</v>
      </c>
      <c r="V65" s="3497">
        <f>'VVP2'!V239</f>
        <v>8.3940000000000001</v>
      </c>
      <c r="W65" s="3497">
        <f>'VVP2'!W239</f>
        <v>9.2747000000000011</v>
      </c>
      <c r="X65" s="3497">
        <f>'VVP2'!X239</f>
        <v>9.6434999999999995</v>
      </c>
      <c r="Y65" s="3497">
        <f>'VVP2'!Y239</f>
        <v>9.2502999999999993</v>
      </c>
      <c r="Z65" s="3497">
        <f>'VVP2'!Z239</f>
        <v>9.3675999999999995</v>
      </c>
      <c r="AA65" s="3497">
        <f>'VVP2'!AA239</f>
        <v>10.431899999999999</v>
      </c>
      <c r="AB65" s="3497">
        <f>'VVP2'!AB239</f>
        <v>9.3502999999999989</v>
      </c>
      <c r="AC65" s="3497">
        <f>'VVP2'!AC239</f>
        <v>9.704600000000001</v>
      </c>
      <c r="AD65" s="3497">
        <f ca="1">'VVP2'!AD239</f>
        <v>10.871496631360001</v>
      </c>
      <c r="AE65" s="3497">
        <f ca="1">'VVP2'!AE239</f>
        <v>11.698817525006499</v>
      </c>
      <c r="AK65" s="3497">
        <v>9.164299999999999</v>
      </c>
      <c r="AM65" s="3497"/>
    </row>
    <row r="66" spans="1:46" ht="10.65" hidden="1" customHeight="1">
      <c r="A66" s="714"/>
      <c r="B66" s="714"/>
      <c r="C66" s="3493"/>
      <c r="D66" s="3494"/>
      <c r="E66" s="3495" t="s">
        <v>2417</v>
      </c>
      <c r="F66" s="3496"/>
      <c r="G66" s="3497">
        <f ca="1">SUM(G62:G65)</f>
        <v>139.3878</v>
      </c>
      <c r="H66" s="3497">
        <f t="shared" ref="H66:X66" si="84">SUM(H62:H65)</f>
        <v>142.70089999999999</v>
      </c>
      <c r="I66" s="3497">
        <f t="shared" si="84"/>
        <v>148.52769999999995</v>
      </c>
      <c r="J66" s="3497">
        <f t="shared" si="84"/>
        <v>153.20830000000001</v>
      </c>
      <c r="K66" s="3497">
        <f t="shared" si="84"/>
        <v>158.11059999999998</v>
      </c>
      <c r="L66" s="3497">
        <f t="shared" si="84"/>
        <v>166.93870000000001</v>
      </c>
      <c r="M66" s="3497">
        <f t="shared" si="84"/>
        <v>170.94499999999999</v>
      </c>
      <c r="N66" s="3497">
        <f t="shared" si="84"/>
        <v>174.90439999999998</v>
      </c>
      <c r="O66" s="3497">
        <f t="shared" si="84"/>
        <v>178.79959999999997</v>
      </c>
      <c r="P66" s="3497">
        <f t="shared" si="84"/>
        <v>187.09700000000001</v>
      </c>
      <c r="Q66" s="3497">
        <f t="shared" si="84"/>
        <v>196.14359999999999</v>
      </c>
      <c r="R66" s="3497">
        <f t="shared" si="84"/>
        <v>206.3905</v>
      </c>
      <c r="S66" s="3497">
        <f t="shared" si="84"/>
        <v>215.83850000000001</v>
      </c>
      <c r="T66" s="3497">
        <f t="shared" si="84"/>
        <v>226.87039999999996</v>
      </c>
      <c r="U66" s="3497">
        <f t="shared" si="84"/>
        <v>226.48439999999999</v>
      </c>
      <c r="V66" s="3497">
        <f t="shared" si="84"/>
        <v>235.69329999999997</v>
      </c>
      <c r="W66" s="3497">
        <f t="shared" si="84"/>
        <v>243.54540000000003</v>
      </c>
      <c r="X66" s="3497">
        <f t="shared" si="84"/>
        <v>250.11570000000003</v>
      </c>
      <c r="Y66" s="3497">
        <f t="shared" ref="Y66" si="85">SUM(Y62:Y65)</f>
        <v>252.93279999999999</v>
      </c>
      <c r="Z66" s="3497">
        <f t="shared" ref="Z66:AD66" si="86">SUM(Z62:Z65)</f>
        <v>256.79349999999999</v>
      </c>
      <c r="AA66" s="3497">
        <f t="shared" si="86"/>
        <v>260.83499999999998</v>
      </c>
      <c r="AB66" s="3497">
        <f t="shared" si="86"/>
        <v>267.16249999999997</v>
      </c>
      <c r="AC66" s="3497">
        <f t="shared" ca="1" si="86"/>
        <v>274.97461642526895</v>
      </c>
      <c r="AD66" s="3497">
        <f t="shared" ca="1" si="86"/>
        <v>284.72120615647549</v>
      </c>
      <c r="AE66" s="3497">
        <f t="shared" ref="AE66" ca="1" si="87">SUM(AE62:AE65)</f>
        <v>294.16077734930502</v>
      </c>
      <c r="AK66" s="3497">
        <v>256.40689517248404</v>
      </c>
      <c r="AM66" s="3497"/>
    </row>
    <row r="67" spans="1:46" ht="10.65" hidden="1" customHeight="1">
      <c r="A67" s="714"/>
      <c r="B67" s="714"/>
      <c r="C67" s="3493"/>
      <c r="D67" s="3494"/>
      <c r="E67" s="3495" t="s">
        <v>2426</v>
      </c>
      <c r="F67" s="3496"/>
      <c r="G67" s="3498">
        <f ca="1">(G61-(G71/1000))/G66</f>
        <v>0.15647639176455899</v>
      </c>
      <c r="H67" s="3498">
        <f t="shared" ref="H67:AA67" si="88">(H61-(H71/1000))/H66</f>
        <v>0.16194291696828822</v>
      </c>
      <c r="I67" s="3498">
        <f t="shared" si="88"/>
        <v>0.16414985218245493</v>
      </c>
      <c r="J67" s="3498">
        <f t="shared" si="88"/>
        <v>0.16539117006062984</v>
      </c>
      <c r="K67" s="3498">
        <f t="shared" si="88"/>
        <v>0.17230090835149575</v>
      </c>
      <c r="L67" s="3498">
        <f t="shared" si="88"/>
        <v>0.17172411190454939</v>
      </c>
      <c r="M67" s="3498">
        <f t="shared" si="88"/>
        <v>0.16564099564187312</v>
      </c>
      <c r="N67" s="3498">
        <f t="shared" si="88"/>
        <v>0.16863783872789936</v>
      </c>
      <c r="O67" s="3498">
        <f t="shared" si="88"/>
        <v>0.16855294978288546</v>
      </c>
      <c r="P67" s="3498">
        <f t="shared" si="88"/>
        <v>0.17339935969042797</v>
      </c>
      <c r="Q67" s="3498">
        <f t="shared" si="88"/>
        <v>0.17550610878968267</v>
      </c>
      <c r="R67" s="3498">
        <f t="shared" si="88"/>
        <v>0.17346728652723842</v>
      </c>
      <c r="S67" s="3498">
        <f t="shared" si="88"/>
        <v>0.1739754492363503</v>
      </c>
      <c r="T67" s="3498">
        <f t="shared" si="88"/>
        <v>0.1653970725136466</v>
      </c>
      <c r="U67" s="3498">
        <f t="shared" si="88"/>
        <v>0.16226636359943558</v>
      </c>
      <c r="V67" s="3498">
        <f t="shared" si="88"/>
        <v>0.16734501998996154</v>
      </c>
      <c r="W67" s="3498">
        <f t="shared" si="88"/>
        <v>0.16645192231099412</v>
      </c>
      <c r="X67" s="3498">
        <f t="shared" si="88"/>
        <v>0.1662558567894778</v>
      </c>
      <c r="Y67" s="3498">
        <f t="shared" ref="Y67" si="89">(Y61-(Y71/1000))/Y66</f>
        <v>0.16721556081299063</v>
      </c>
      <c r="Z67" s="3710">
        <f t="shared" si="88"/>
        <v>0.17046615471185989</v>
      </c>
      <c r="AA67" s="3710">
        <f t="shared" si="88"/>
        <v>0.17235614359077572</v>
      </c>
      <c r="AB67" s="3710">
        <f t="shared" ref="AB67:AC67" si="90">(AB61-(AB71/1000))/AB66</f>
        <v>0.17281744485384173</v>
      </c>
      <c r="AC67" s="3710">
        <f t="shared" ca="1" si="90"/>
        <v>0.17244115265505544</v>
      </c>
      <c r="AD67" s="3710">
        <f t="shared" ref="AD67" ca="1" si="91">(AD61-(AD71/1000))/AD66</f>
        <v>0.17103466875343409</v>
      </c>
      <c r="AE67" s="3710">
        <f t="shared" ref="AE67" ca="1" si="92">(AE61-(AE71/1000))/AE66</f>
        <v>0.17001594147468191</v>
      </c>
      <c r="AK67" s="3710">
        <v>0.17072317993068387</v>
      </c>
      <c r="AM67" s="3710"/>
    </row>
    <row r="68" spans="1:46" ht="6.75" hidden="1" customHeight="1">
      <c r="A68" s="714"/>
      <c r="B68" s="714"/>
      <c r="C68" s="3493"/>
      <c r="D68" s="3494"/>
      <c r="E68" s="3495"/>
      <c r="F68" s="3496"/>
      <c r="G68" s="3498"/>
      <c r="H68" s="3498"/>
      <c r="I68" s="3498"/>
      <c r="J68" s="3498"/>
      <c r="K68" s="3498"/>
      <c r="L68" s="3498"/>
      <c r="M68" s="3498"/>
      <c r="N68" s="3498"/>
      <c r="O68" s="3498"/>
      <c r="P68" s="3498"/>
      <c r="Q68" s="3498"/>
      <c r="R68" s="3498"/>
      <c r="S68" s="3498"/>
      <c r="T68" s="3498"/>
      <c r="U68" s="3498"/>
      <c r="V68" s="3498"/>
      <c r="W68" s="3498"/>
      <c r="X68" s="3498"/>
      <c r="Y68" s="3498"/>
      <c r="Z68" s="3498"/>
      <c r="AA68" s="3498"/>
      <c r="AB68" s="3498"/>
      <c r="AC68" s="3498"/>
      <c r="AD68" s="3498"/>
      <c r="AE68" s="3498"/>
      <c r="AK68" s="3498"/>
      <c r="AM68" s="3498"/>
    </row>
    <row r="69" spans="1:46" ht="10.65" hidden="1" customHeight="1">
      <c r="A69" s="714"/>
      <c r="B69" s="714"/>
      <c r="C69" s="3493"/>
      <c r="D69" s="3494"/>
      <c r="E69" s="3495" t="s">
        <v>2420</v>
      </c>
      <c r="F69" s="3497"/>
      <c r="G69" s="3497"/>
      <c r="H69" s="3497">
        <f t="shared" ref="H69:AE69" ca="1" si="93">H66*G67</f>
        <v>22.329321933555153</v>
      </c>
      <c r="I69" s="3497">
        <f t="shared" si="93"/>
        <v>24.053008988590815</v>
      </c>
      <c r="J69" s="3497">
        <f t="shared" si="93"/>
        <v>25.149119798125209</v>
      </c>
      <c r="K69" s="3497">
        <f t="shared" si="93"/>
        <v>26.150097132988215</v>
      </c>
      <c r="L69" s="3497">
        <f t="shared" si="93"/>
        <v>28.763689649017845</v>
      </c>
      <c r="M69" s="3497">
        <f t="shared" si="93"/>
        <v>29.355378309523196</v>
      </c>
      <c r="N69" s="3497">
        <f t="shared" si="93"/>
        <v>28.971338958144429</v>
      </c>
      <c r="O69" s="3497">
        <f t="shared" si="93"/>
        <v>30.152378109412911</v>
      </c>
      <c r="P69" s="3497">
        <f t="shared" si="93"/>
        <v>31.535751245528523</v>
      </c>
      <c r="Q69" s="3497">
        <f t="shared" si="93"/>
        <v>34.011174647375427</v>
      </c>
      <c r="R69" s="3497">
        <f t="shared" si="93"/>
        <v>36.222793546157</v>
      </c>
      <c r="S69" s="3497">
        <f t="shared" si="93"/>
        <v>37.440918923109351</v>
      </c>
      <c r="T69" s="3497">
        <f t="shared" si="93"/>
        <v>39.46987975843048</v>
      </c>
      <c r="U69" s="3497">
        <f t="shared" si="93"/>
        <v>37.45985673000974</v>
      </c>
      <c r="V69" s="3497">
        <f t="shared" si="93"/>
        <v>38.245094715750845</v>
      </c>
      <c r="W69" s="3497">
        <f t="shared" si="93"/>
        <v>40.756109831463185</v>
      </c>
      <c r="X69" s="3497">
        <f t="shared" si="93"/>
        <v>41.632239065159915</v>
      </c>
      <c r="Y69" s="3497">
        <f t="shared" si="93"/>
        <v>42.051559374161627</v>
      </c>
      <c r="Z69" s="3497">
        <f t="shared" si="93"/>
        <v>42.939869115630707</v>
      </c>
      <c r="AA69" s="3497">
        <f t="shared" si="93"/>
        <v>44.463539464267967</v>
      </c>
      <c r="AB69" s="3497">
        <f t="shared" si="93"/>
        <v>46.047098212070615</v>
      </c>
      <c r="AC69" s="3497">
        <f t="shared" ca="1" si="93"/>
        <v>47.520410610280202</v>
      </c>
      <c r="AD69" s="3497">
        <f t="shared" ca="1" si="93"/>
        <v>49.097652974960297</v>
      </c>
      <c r="AE69" s="3497">
        <f t="shared" ca="1" si="93"/>
        <v>50.311691114191063</v>
      </c>
      <c r="AK69" s="3497">
        <v>42.864698642121212</v>
      </c>
      <c r="AM69" s="3497"/>
    </row>
    <row r="70" spans="1:46" ht="10.65" hidden="1" customHeight="1">
      <c r="A70" s="714"/>
      <c r="B70" s="714"/>
      <c r="C70" s="3493"/>
      <c r="D70" s="3494"/>
      <c r="E70" s="3495" t="s">
        <v>2433</v>
      </c>
      <c r="F70" s="3496"/>
      <c r="G70" s="3499"/>
      <c r="H70" s="3499"/>
      <c r="I70" s="3499"/>
      <c r="J70" s="3499"/>
      <c r="K70" s="3499"/>
      <c r="L70" s="3499"/>
      <c r="M70" s="3499"/>
      <c r="N70" s="3499"/>
      <c r="O70" s="3499"/>
      <c r="P70" s="3499"/>
      <c r="Q70" s="3499"/>
      <c r="R70" s="3499"/>
      <c r="S70" s="3499"/>
      <c r="T70" s="3499"/>
      <c r="U70" s="3500"/>
      <c r="V70" s="3500"/>
      <c r="W70" s="3714"/>
      <c r="X70" s="3714"/>
      <c r="Y70" s="3714"/>
      <c r="Z70" s="3714">
        <v>211</v>
      </c>
      <c r="AA70" s="3714"/>
      <c r="AB70" s="3714"/>
      <c r="AC70" s="3714"/>
      <c r="AD70" s="3714"/>
      <c r="AE70" s="3714"/>
      <c r="AK70" s="3714">
        <v>211</v>
      </c>
      <c r="AM70" s="3714"/>
    </row>
    <row r="71" spans="1:46" ht="10.65" hidden="1" customHeight="1">
      <c r="A71" s="714"/>
      <c r="B71" s="714"/>
      <c r="C71" s="3493"/>
      <c r="D71" s="3494"/>
      <c r="E71" s="3495" t="s">
        <v>2434</v>
      </c>
      <c r="F71" s="3496"/>
      <c r="G71" s="3499"/>
      <c r="H71" s="3499"/>
      <c r="I71" s="3499"/>
      <c r="J71" s="3499"/>
      <c r="K71" s="3499"/>
      <c r="L71" s="3499"/>
      <c r="M71" s="3499"/>
      <c r="N71" s="3499"/>
      <c r="O71" s="3499"/>
      <c r="P71" s="3499"/>
      <c r="Q71" s="3499"/>
      <c r="R71" s="3499"/>
      <c r="S71" s="3499"/>
      <c r="T71" s="3499"/>
      <c r="U71" s="3500"/>
      <c r="V71" s="3500"/>
      <c r="W71" s="3714"/>
      <c r="X71" s="3714"/>
      <c r="Y71" s="3714"/>
      <c r="Z71" s="3714"/>
      <c r="AA71" s="3714"/>
      <c r="AB71" s="3714"/>
      <c r="AC71" s="3714"/>
      <c r="AD71" s="3714"/>
      <c r="AE71" s="3714"/>
      <c r="AK71" s="3714"/>
      <c r="AM71" s="3714"/>
    </row>
    <row r="72" spans="1:46" ht="10.65" hidden="1" customHeight="1">
      <c r="A72" s="714"/>
      <c r="B72" s="714"/>
      <c r="C72" s="3493"/>
      <c r="D72" s="3494"/>
      <c r="E72" s="3495" t="s">
        <v>2422</v>
      </c>
      <c r="F72" s="3496"/>
      <c r="G72" s="3499"/>
      <c r="H72" s="3497">
        <f ca="1">H61-H69-(H70/1000)-(H71/1000)</f>
        <v>0.7800780664448439</v>
      </c>
      <c r="I72" s="3497">
        <f t="shared" ref="I72:AA72" si="94">I61-I69-(I70/1000)-(I71/1000)</f>
        <v>0.32779101140918598</v>
      </c>
      <c r="J72" s="3497">
        <f t="shared" si="94"/>
        <v>0.19018020187478868</v>
      </c>
      <c r="K72" s="3497">
        <f t="shared" si="94"/>
        <v>1.0925028670117847</v>
      </c>
      <c r="L72" s="3497">
        <f t="shared" si="94"/>
        <v>-9.6289649017844425E-2</v>
      </c>
      <c r="M72" s="3497">
        <f t="shared" si="94"/>
        <v>-1.0398783095231963</v>
      </c>
      <c r="N72" s="3497">
        <f t="shared" si="94"/>
        <v>0.52416104185557089</v>
      </c>
      <c r="O72" s="3497">
        <f t="shared" si="94"/>
        <v>-1.5178109412911311E-2</v>
      </c>
      <c r="P72" s="3497">
        <f t="shared" si="94"/>
        <v>0.9067487544714794</v>
      </c>
      <c r="Q72" s="3497">
        <f t="shared" si="94"/>
        <v>0.41322535262457194</v>
      </c>
      <c r="R72" s="3497">
        <f t="shared" si="94"/>
        <v>-0.42079354615700026</v>
      </c>
      <c r="S72" s="3497">
        <f t="shared" si="94"/>
        <v>0.1096810768906451</v>
      </c>
      <c r="T72" s="3497">
        <f t="shared" si="94"/>
        <v>-1.9461797584304747</v>
      </c>
      <c r="U72" s="3497">
        <f t="shared" si="94"/>
        <v>-0.70905673000973479</v>
      </c>
      <c r="V72" s="3497">
        <f t="shared" si="94"/>
        <v>1.1970052842491512</v>
      </c>
      <c r="W72" s="3497">
        <f t="shared" si="94"/>
        <v>-0.21750983146318958</v>
      </c>
      <c r="X72" s="3497">
        <f t="shared" si="94"/>
        <v>-4.9039065159917072E-2</v>
      </c>
      <c r="Y72" s="3497">
        <f t="shared" ref="Y72" si="95">Y61-Y69-(Y70/1000)-(Y71/1000)</f>
        <v>0.24274062583836553</v>
      </c>
      <c r="Z72" s="3497">
        <f t="shared" si="94"/>
        <v>0.62373138436928455</v>
      </c>
      <c r="AA72" s="3497">
        <f t="shared" si="94"/>
        <v>0.49297524923201763</v>
      </c>
      <c r="AB72" s="3497">
        <f t="shared" ref="AB72:AC72" si="96">AB61-AB69-(AB70/1000)-(AB71/1000)</f>
        <v>0.12324239869386844</v>
      </c>
      <c r="AC72" s="3497">
        <f t="shared" ca="1" si="96"/>
        <v>-0.1034708030250826</v>
      </c>
      <c r="AD72" s="3497">
        <f t="shared" ref="AD72" ca="1" si="97">AD61-AD69-(AD70/1000)-(AD71/1000)</f>
        <v>-0.40045579290929112</v>
      </c>
      <c r="AE72" s="3497">
        <f t="shared" ref="AE72" ca="1" si="98">AE61-AE69-(AE70/1000)-(AE71/1000)</f>
        <v>-0.2996696082246828</v>
      </c>
      <c r="AK72" s="3497">
        <v>0.69890185787877923</v>
      </c>
      <c r="AM72" s="3497"/>
    </row>
    <row r="73" spans="1:46" ht="6.75" hidden="1" customHeight="1">
      <c r="A73" s="714"/>
      <c r="B73" s="714"/>
      <c r="C73" s="3493"/>
      <c r="D73" s="3494"/>
      <c r="E73" s="3495"/>
      <c r="F73" s="3496"/>
      <c r="G73" s="3499"/>
      <c r="H73" s="3499"/>
      <c r="I73" s="3499"/>
      <c r="J73" s="3499"/>
      <c r="K73" s="3499"/>
      <c r="L73" s="3499"/>
      <c r="M73" s="3499"/>
      <c r="N73" s="3499"/>
      <c r="O73" s="3499"/>
      <c r="P73" s="3499"/>
      <c r="Q73" s="3499"/>
      <c r="R73" s="3499"/>
      <c r="S73" s="3499"/>
      <c r="T73" s="3499"/>
      <c r="U73" s="3499"/>
      <c r="V73" s="3499"/>
      <c r="W73" s="3499"/>
      <c r="X73" s="3499"/>
      <c r="Y73" s="3499"/>
      <c r="Z73" s="3499"/>
      <c r="AA73" s="3499"/>
      <c r="AB73" s="3499"/>
      <c r="AC73" s="3499"/>
      <c r="AD73" s="3499"/>
      <c r="AE73" s="3499"/>
      <c r="AK73" s="3499"/>
      <c r="AM73" s="3499"/>
    </row>
    <row r="74" spans="1:46" ht="10.65" hidden="1" customHeight="1">
      <c r="A74" s="714"/>
      <c r="B74" s="714"/>
      <c r="C74" s="3493"/>
      <c r="D74" s="3494"/>
      <c r="E74" s="3495" t="s">
        <v>2423</v>
      </c>
      <c r="F74" s="3496"/>
      <c r="G74" s="3499"/>
      <c r="H74" s="3499">
        <f t="shared" ref="H74:Y74" si="99">(H61/G61-1)*100</f>
        <v>5.9534452957007877</v>
      </c>
      <c r="I74" s="3499">
        <f t="shared" si="99"/>
        <v>5.5016573342449471</v>
      </c>
      <c r="J74" s="3499">
        <f t="shared" si="99"/>
        <v>3.9313722273264018</v>
      </c>
      <c r="K74" s="3499">
        <f t="shared" si="99"/>
        <v>7.5112572170501934</v>
      </c>
      <c r="L74" s="3499">
        <f t="shared" si="99"/>
        <v>5.2300441220735294</v>
      </c>
      <c r="M74" s="3499">
        <f t="shared" si="99"/>
        <v>-1.2275267376881116</v>
      </c>
      <c r="N74" s="3499">
        <f t="shared" si="99"/>
        <v>4.1673288481573589</v>
      </c>
      <c r="O74" s="3499">
        <f t="shared" si="99"/>
        <v>2.1755861063551984</v>
      </c>
      <c r="P74" s="3499">
        <f t="shared" si="99"/>
        <v>7.6493503046069389</v>
      </c>
      <c r="Q74" s="3499">
        <f t="shared" si="99"/>
        <v>6.1089620097094732</v>
      </c>
      <c r="R74" s="3499">
        <f t="shared" si="99"/>
        <v>4.0018126677589194</v>
      </c>
      <c r="S74" s="3499">
        <f t="shared" si="99"/>
        <v>4.8840846880062516</v>
      </c>
      <c r="T74" s="3499">
        <f t="shared" si="99"/>
        <v>-7.1636671584451861E-2</v>
      </c>
      <c r="U74" s="3499">
        <f t="shared" si="99"/>
        <v>-2.0597648952528691</v>
      </c>
      <c r="V74" s="3499">
        <f t="shared" si="99"/>
        <v>7.3231058915724123</v>
      </c>
      <c r="W74" s="3499">
        <f t="shared" si="99"/>
        <v>2.7800243901820565</v>
      </c>
      <c r="X74" s="3499">
        <f t="shared" si="99"/>
        <v>2.5768033429866888</v>
      </c>
      <c r="Y74" s="3499">
        <f t="shared" si="99"/>
        <v>1.710065603416755</v>
      </c>
      <c r="Z74" s="3709">
        <v>3.5</v>
      </c>
      <c r="AA74" s="3709">
        <v>2.7</v>
      </c>
      <c r="AB74" s="3709">
        <v>2.7</v>
      </c>
      <c r="AC74" s="3709">
        <v>2.7</v>
      </c>
      <c r="AD74" s="3709">
        <v>2.7</v>
      </c>
      <c r="AE74" s="3709">
        <v>2.7</v>
      </c>
      <c r="AK74" s="3709">
        <v>3.5</v>
      </c>
      <c r="AM74" s="3709"/>
    </row>
    <row r="75" spans="1:46" ht="10.65" hidden="1" customHeight="1">
      <c r="A75" s="714"/>
      <c r="B75" s="714"/>
      <c r="C75" s="3493"/>
      <c r="D75" s="3494"/>
      <c r="E75" s="3503" t="s">
        <v>2430</v>
      </c>
      <c r="F75" s="3496"/>
      <c r="G75" s="3497"/>
      <c r="H75" s="3497">
        <f t="shared" ref="H75:Y75" ca="1" si="100">100*((H69+0.001*H70+0.001*H71)/G61)-100</f>
        <v>2.3768938171059233</v>
      </c>
      <c r="I75" s="3497">
        <f t="shared" si="100"/>
        <v>4.0832258240837831</v>
      </c>
      <c r="J75" s="3497">
        <f t="shared" si="100"/>
        <v>3.1513313678189832</v>
      </c>
      <c r="K75" s="3497">
        <f t="shared" si="100"/>
        <v>3.199761370630668</v>
      </c>
      <c r="L75" s="3497">
        <f t="shared" si="100"/>
        <v>5.5834966156601951</v>
      </c>
      <c r="M75" s="3497">
        <f t="shared" si="100"/>
        <v>2.3998629437032832</v>
      </c>
      <c r="N75" s="3497">
        <f t="shared" si="100"/>
        <v>2.3161835678142069</v>
      </c>
      <c r="O75" s="3497">
        <f t="shared" si="100"/>
        <v>2.2270451743924013</v>
      </c>
      <c r="P75" s="3497">
        <f t="shared" si="100"/>
        <v>4.6406144085333807</v>
      </c>
      <c r="Q75" s="3497">
        <f t="shared" si="100"/>
        <v>4.8352458884963312</v>
      </c>
      <c r="R75" s="3497">
        <f t="shared" si="100"/>
        <v>5.2241826906409585</v>
      </c>
      <c r="S75" s="3497">
        <f t="shared" si="100"/>
        <v>4.577730079630598</v>
      </c>
      <c r="T75" s="3497">
        <f t="shared" si="100"/>
        <v>5.1111826666697198</v>
      </c>
      <c r="U75" s="3497">
        <f t="shared" si="100"/>
        <v>-0.17014119074148937</v>
      </c>
      <c r="V75" s="3497">
        <f t="shared" si="100"/>
        <v>4.0660195580799297</v>
      </c>
      <c r="W75" s="3497">
        <f t="shared" si="100"/>
        <v>3.3314905430065664</v>
      </c>
      <c r="X75" s="3497">
        <f t="shared" si="100"/>
        <v>2.6977721607552354</v>
      </c>
      <c r="Y75" s="3497">
        <f t="shared" si="100"/>
        <v>1.1263187396872496</v>
      </c>
      <c r="Z75" s="3497">
        <f t="shared" ref="Z75:AE75" si="101">100*((Z69+0.001*Z70+0.001*Z71)/Y61)-100</f>
        <v>2.0252589962021119</v>
      </c>
      <c r="AA75" s="3497">
        <f t="shared" si="101"/>
        <v>1.5738326709982857</v>
      </c>
      <c r="AB75" s="3497">
        <f t="shared" si="101"/>
        <v>2.4258630935265444</v>
      </c>
      <c r="AC75" s="3497">
        <f t="shared" ca="1" si="101"/>
        <v>2.9241066486760019</v>
      </c>
      <c r="AD75" s="3497">
        <f t="shared" ca="1" si="101"/>
        <v>3.5445416227557018</v>
      </c>
      <c r="AE75" s="3497">
        <f t="shared" ca="1" si="101"/>
        <v>3.3153734209884362</v>
      </c>
      <c r="AK75" s="3497">
        <v>1.8475270713103527</v>
      </c>
      <c r="AM75" s="3497"/>
    </row>
    <row r="76" spans="1:46" ht="10.65" hidden="1" customHeight="1">
      <c r="A76" s="714"/>
      <c r="B76" s="714"/>
      <c r="C76" s="3493"/>
      <c r="D76" s="3494"/>
      <c r="E76" s="3503" t="s">
        <v>2424</v>
      </c>
      <c r="F76" s="3496"/>
      <c r="G76" s="3497"/>
      <c r="H76" s="3497"/>
      <c r="I76" s="3497"/>
      <c r="J76" s="3497"/>
      <c r="K76" s="3497"/>
      <c r="L76" s="3497"/>
      <c r="M76" s="3497"/>
      <c r="N76" s="3497"/>
      <c r="O76" s="3497"/>
      <c r="P76" s="3497"/>
      <c r="Q76" s="3497"/>
      <c r="R76" s="3497"/>
      <c r="S76" s="3497"/>
      <c r="T76" s="3497"/>
      <c r="U76" s="3497"/>
      <c r="V76" s="3497"/>
      <c r="W76" s="3497"/>
      <c r="X76" s="3711">
        <v>2.48</v>
      </c>
      <c r="Y76" s="3711">
        <v>3.48</v>
      </c>
      <c r="Z76" s="3712">
        <v>4.13</v>
      </c>
      <c r="AA76" s="3497"/>
      <c r="AB76" s="3497"/>
      <c r="AC76" s="3497"/>
      <c r="AD76" s="3497"/>
      <c r="AE76" s="3497"/>
      <c r="AK76" s="3712">
        <v>4.13</v>
      </c>
      <c r="AM76" s="3712"/>
    </row>
    <row r="77" spans="1:46" ht="10.65" hidden="1" customHeight="1">
      <c r="A77" s="714"/>
      <c r="B77" s="714"/>
      <c r="C77" s="3487" t="s">
        <v>622</v>
      </c>
      <c r="D77" s="3488" t="s">
        <v>588</v>
      </c>
      <c r="E77" s="3489" t="s">
        <v>2465</v>
      </c>
      <c r="F77" s="3490"/>
      <c r="G77" s="3491">
        <f>('[2]dir&amp;indir taxes'!C9+[2]TaxesEU!C9)/1000</f>
        <v>13.5258</v>
      </c>
      <c r="H77" s="3491">
        <f>('[2]dir&amp;indir taxes'!D9+[2]TaxesEU!D9)/1000</f>
        <v>14.2255</v>
      </c>
      <c r="I77" s="3491">
        <f>('[2]dir&amp;indir taxes'!E9+[2]TaxesEU!E9)/1000</f>
        <v>15.096299999999999</v>
      </c>
      <c r="J77" s="3491">
        <f>('[2]dir&amp;indir taxes'!F9+[2]TaxesEU!F9)/1000</f>
        <v>15.558200000000001</v>
      </c>
      <c r="K77" s="3491">
        <f>('[2]dir&amp;indir taxes'!G9+[2]TaxesEU!G9)/1000</f>
        <v>17.134900000000002</v>
      </c>
      <c r="L77" s="3491">
        <f>('[2]dir&amp;indir taxes'!H9+[2]TaxesEU!H9)/1000</f>
        <v>18.198499999999999</v>
      </c>
      <c r="M77" s="3491">
        <f>('[2]dir&amp;indir taxes'!I9+[2]TaxesEU!I9)/1000</f>
        <v>17.964200000000002</v>
      </c>
      <c r="N77" s="3491">
        <f>('[2]dir&amp;indir taxes'!J9+[2]TaxesEU!J9)/1000</f>
        <v>18.9999</v>
      </c>
      <c r="O77" s="3491">
        <f>('[2]dir&amp;indir taxes'!K9+[2]TaxesEU!K9)/1000</f>
        <v>19.289200000000001</v>
      </c>
      <c r="P77" s="3491">
        <f>('[2]dir&amp;indir taxes'!L9+[2]TaxesEU!L9)/1000</f>
        <v>20.927499999999998</v>
      </c>
      <c r="Q77" s="3491">
        <f>('[2]dir&amp;indir taxes'!M9+[2]TaxesEU!M9)/1000</f>
        <v>22.1493</v>
      </c>
      <c r="R77" s="3491">
        <f>('[2]dir&amp;indir taxes'!N9+[2]TaxesEU!N9)/1000</f>
        <v>23.410900000000002</v>
      </c>
      <c r="S77" s="3491">
        <f>('[2]dir&amp;indir taxes'!O9+[2]TaxesEU!O9)/1000</f>
        <v>24.8367</v>
      </c>
      <c r="T77" s="3491">
        <f>('[2]dir&amp;indir taxes'!P9+[2]TaxesEU!P9)/1000</f>
        <v>25.084599999999998</v>
      </c>
      <c r="U77" s="3491">
        <f>('[2]dir&amp;indir taxes'!Q9+[2]TaxesEU!Q9)/1000</f>
        <v>24.322299999999998</v>
      </c>
      <c r="V77" s="3491">
        <f>('[2]dir&amp;indir taxes'!R9+[2]TaxesEU!R9)/1000</f>
        <v>26.029499999999999</v>
      </c>
      <c r="W77" s="3491">
        <f>('[2]dir&amp;indir taxes'!S9+[2]TaxesEU!S9)/1000</f>
        <v>26.888300000000001</v>
      </c>
      <c r="X77" s="3491">
        <f>('[2]dir&amp;indir taxes'!T9+[2]TaxesEU!T9)/1000</f>
        <v>27.670200000000001</v>
      </c>
      <c r="Y77" s="3491">
        <f>('[2]dir&amp;indir taxes'!U9+[2]TaxesEU!U9)/1000</f>
        <v>28.090900000000001</v>
      </c>
      <c r="Z77" s="3492">
        <f t="shared" ref="Z77:AE77" si="102">+Y77*(1+Z86/100)</f>
        <v>29.298808699999999</v>
      </c>
      <c r="AA77" s="3492">
        <f t="shared" si="102"/>
        <v>30.705151517600001</v>
      </c>
      <c r="AB77" s="3492">
        <f t="shared" si="102"/>
        <v>32.178998790444801</v>
      </c>
      <c r="AC77" s="3492">
        <f t="shared" si="102"/>
        <v>33.72359073238615</v>
      </c>
      <c r="AD77" s="3492">
        <f t="shared" si="102"/>
        <v>35.342323087540684</v>
      </c>
      <c r="AE77" s="3492">
        <f t="shared" si="102"/>
        <v>37.038754595742638</v>
      </c>
      <c r="AK77" s="3492">
        <v>29.298808699999999</v>
      </c>
      <c r="AM77" s="3492"/>
      <c r="AT77" s="749"/>
    </row>
    <row r="78" spans="1:46" ht="10.65" hidden="1" customHeight="1">
      <c r="A78" s="714"/>
      <c r="B78" s="714"/>
      <c r="C78" s="3493"/>
      <c r="D78" s="3494"/>
      <c r="E78" s="3495" t="s">
        <v>2425</v>
      </c>
      <c r="F78" s="3496"/>
      <c r="G78" s="3497">
        <f ca="1">'VVP2'!G324</f>
        <v>94.820800000000006</v>
      </c>
      <c r="H78" s="3497">
        <f>'VVP2'!H324</f>
        <v>99.795299999999997</v>
      </c>
      <c r="I78" s="3497">
        <f>'VVP2'!I324</f>
        <v>109.77189999999999</v>
      </c>
      <c r="J78" s="3497">
        <f>'VVP2'!J324</f>
        <v>112.0051</v>
      </c>
      <c r="K78" s="3497">
        <f>'VVP2'!K324</f>
        <v>115.4868</v>
      </c>
      <c r="L78" s="3497">
        <f>'VVP2'!L324</f>
        <v>141.16879999999998</v>
      </c>
      <c r="M78" s="3497">
        <f>'VVP2'!M324</f>
        <v>139.50409999999999</v>
      </c>
      <c r="N78" s="3497">
        <f>'VVP2'!N324</f>
        <v>137.59899999999999</v>
      </c>
      <c r="O78" s="3497">
        <f>'VVP2'!O324</f>
        <v>139.40029999999999</v>
      </c>
      <c r="P78" s="3497">
        <f>'VVP2'!P324</f>
        <v>155.38159999999999</v>
      </c>
      <c r="Q78" s="3497">
        <f>'VVP2'!Q324</f>
        <v>175.2329</v>
      </c>
      <c r="R78" s="3497">
        <f>'VVP2'!R324</f>
        <v>190.90549999999999</v>
      </c>
      <c r="S78" s="3497">
        <f>'VVP2'!S324</f>
        <v>203.797</v>
      </c>
      <c r="T78" s="3497">
        <f>'VVP2'!T324</f>
        <v>220.7877</v>
      </c>
      <c r="U78" s="3497">
        <f>'VVP2'!U324</f>
        <v>175.78910000000002</v>
      </c>
      <c r="V78" s="3497">
        <f>'VVP2'!V324</f>
        <v>206.66070000000002</v>
      </c>
      <c r="W78" s="3497">
        <f>'VVP2'!W324</f>
        <v>239.184</v>
      </c>
      <c r="X78" s="3497">
        <f>'VVP2'!X324</f>
        <v>239.84899999999999</v>
      </c>
      <c r="Y78" s="3497">
        <f>'VVP2'!Y324</f>
        <v>237.33539999999999</v>
      </c>
      <c r="Z78" s="3497">
        <f>'VVP2'!Z324</f>
        <v>239.4187</v>
      </c>
      <c r="AA78" s="3497">
        <f>'VVP2'!AA324</f>
        <v>229.63220000000001</v>
      </c>
      <c r="AB78" s="3497">
        <f>'VVP2'!AB324</f>
        <v>247.03370000000001</v>
      </c>
      <c r="AC78" s="3497">
        <f>'VVP2'!AC324</f>
        <v>264.52190000000002</v>
      </c>
      <c r="AD78" s="3497">
        <f ca="1">'VVP2'!AD324</f>
        <v>281.05980918800003</v>
      </c>
      <c r="AE78" s="3497">
        <f ca="1">'VVP2'!AE324</f>
        <v>297.28671295352643</v>
      </c>
      <c r="AK78" s="3497">
        <v>244.80799999999999</v>
      </c>
      <c r="AM78" s="3497"/>
    </row>
    <row r="79" spans="1:46" ht="10.65" hidden="1" customHeight="1">
      <c r="A79" s="714"/>
      <c r="B79" s="714"/>
      <c r="C79" s="3493"/>
      <c r="D79" s="3494"/>
      <c r="E79" s="3495" t="s">
        <v>2426</v>
      </c>
      <c r="F79" s="3496"/>
      <c r="G79" s="3498">
        <f ca="1">(G77-(G83/1000))/G78</f>
        <v>0.14264591735146717</v>
      </c>
      <c r="H79" s="3498">
        <f t="shared" ref="H79:AA79" si="103">(H77-(H83/1000))/H78</f>
        <v>0.14254679328585615</v>
      </c>
      <c r="I79" s="3498">
        <f t="shared" si="103"/>
        <v>0.13752426622842459</v>
      </c>
      <c r="J79" s="3498">
        <f t="shared" si="103"/>
        <v>0.13890617480811143</v>
      </c>
      <c r="K79" s="3498">
        <f t="shared" si="103"/>
        <v>0.14837106924774088</v>
      </c>
      <c r="L79" s="3498">
        <f t="shared" si="103"/>
        <v>0.12891304594216288</v>
      </c>
      <c r="M79" s="3498">
        <f t="shared" si="103"/>
        <v>0.12877184254799681</v>
      </c>
      <c r="N79" s="3498">
        <f t="shared" si="103"/>
        <v>0.13808167210517519</v>
      </c>
      <c r="O79" s="3498">
        <f t="shared" si="103"/>
        <v>0.13837272947045309</v>
      </c>
      <c r="P79" s="3498">
        <f t="shared" si="103"/>
        <v>0.13468454437333635</v>
      </c>
      <c r="Q79" s="3498">
        <f t="shared" si="103"/>
        <v>0.12639920928090559</v>
      </c>
      <c r="R79" s="3498">
        <f t="shared" si="103"/>
        <v>0.12263083043704871</v>
      </c>
      <c r="S79" s="3498">
        <f t="shared" si="103"/>
        <v>0.12186980181258802</v>
      </c>
      <c r="T79" s="3498">
        <f t="shared" si="103"/>
        <v>0.11361411890245697</v>
      </c>
      <c r="U79" s="3498">
        <f t="shared" si="103"/>
        <v>0.13836068334157234</v>
      </c>
      <c r="V79" s="3498">
        <f t="shared" si="103"/>
        <v>0.12595282992847695</v>
      </c>
      <c r="W79" s="3498">
        <f t="shared" si="103"/>
        <v>0.11241680045487994</v>
      </c>
      <c r="X79" s="3498">
        <f t="shared" si="103"/>
        <v>0.11536508386526524</v>
      </c>
      <c r="Y79" s="3498">
        <f t="shared" ref="Y79" si="104">(Y77-(Y83/1000))/Y78</f>
        <v>0.1183595030492712</v>
      </c>
      <c r="Z79" s="3498">
        <f t="shared" si="103"/>
        <v>0.12237477147775006</v>
      </c>
      <c r="AA79" s="3498">
        <f t="shared" si="103"/>
        <v>0.13371448567578936</v>
      </c>
      <c r="AB79" s="3498">
        <f t="shared" ref="AB79:AC79" si="105">(AB77-(AB83/1000))/AB78</f>
        <v>0.13026157479908532</v>
      </c>
      <c r="AC79" s="3498">
        <f t="shared" si="105"/>
        <v>0.12748884206708838</v>
      </c>
      <c r="AD79" s="3498">
        <f t="shared" ref="AD79" ca="1" si="106">(AD77-(AD83/1000))/AD78</f>
        <v>0.12574662734471692</v>
      </c>
      <c r="AE79" s="3498">
        <f t="shared" ref="AE79" ca="1" si="107">(AE77-(AE83/1000))/AE78</f>
        <v>0.12458933743713177</v>
      </c>
      <c r="AK79" s="3498">
        <v>0.11968076492598281</v>
      </c>
      <c r="AM79" s="3498"/>
    </row>
    <row r="80" spans="1:46" ht="10.65" hidden="1" customHeight="1">
      <c r="A80" s="714"/>
      <c r="B80" s="714"/>
      <c r="C80" s="3493"/>
      <c r="D80" s="3494"/>
      <c r="E80" s="3495"/>
      <c r="F80" s="3496"/>
      <c r="G80" s="3498"/>
      <c r="H80" s="3498"/>
      <c r="I80" s="3498"/>
      <c r="J80" s="3498"/>
      <c r="K80" s="3498"/>
      <c r="L80" s="3498"/>
      <c r="M80" s="3498"/>
      <c r="N80" s="3498"/>
      <c r="O80" s="3498"/>
      <c r="P80" s="3498"/>
      <c r="Q80" s="3498"/>
      <c r="R80" s="3498"/>
      <c r="S80" s="3498"/>
      <c r="T80" s="3498"/>
      <c r="U80" s="3498"/>
      <c r="V80" s="3498"/>
      <c r="W80" s="3498"/>
      <c r="X80" s="3498"/>
      <c r="Y80" s="3498"/>
      <c r="Z80" s="3498"/>
      <c r="AA80" s="3498"/>
      <c r="AB80" s="3498"/>
      <c r="AC80" s="3498"/>
      <c r="AD80" s="3498"/>
      <c r="AE80" s="3498"/>
      <c r="AK80" s="3498"/>
      <c r="AM80" s="3498"/>
    </row>
    <row r="81" spans="1:46" ht="10.65" hidden="1" customHeight="1">
      <c r="A81" s="714"/>
      <c r="B81" s="714"/>
      <c r="C81" s="3493"/>
      <c r="D81" s="3494"/>
      <c r="E81" s="3495" t="s">
        <v>2420</v>
      </c>
      <c r="F81" s="3496"/>
      <c r="G81" s="3497"/>
      <c r="H81" s="3497">
        <f t="shared" ref="H81:AE81" ca="1" si="108">H78*G79</f>
        <v>14.235392115864871</v>
      </c>
      <c r="I81" s="3497">
        <f t="shared" si="108"/>
        <v>15.64763233789567</v>
      </c>
      <c r="J81" s="3497">
        <f t="shared" si="108"/>
        <v>15.403419191341319</v>
      </c>
      <c r="K81" s="3497">
        <f t="shared" si="108"/>
        <v>16.041829628829404</v>
      </c>
      <c r="L81" s="3497">
        <f t="shared" si="108"/>
        <v>20.945365800420479</v>
      </c>
      <c r="M81" s="3497">
        <f t="shared" si="108"/>
        <v>17.983898452420085</v>
      </c>
      <c r="N81" s="3497">
        <f t="shared" si="108"/>
        <v>17.718876762761813</v>
      </c>
      <c r="O81" s="3497">
        <f t="shared" si="108"/>
        <v>19.24862651596305</v>
      </c>
      <c r="P81" s="3497">
        <f t="shared" si="108"/>
        <v>21.500576101486153</v>
      </c>
      <c r="Q81" s="3497">
        <f t="shared" si="108"/>
        <v>23.601163295718411</v>
      </c>
      <c r="R81" s="3497">
        <f t="shared" si="108"/>
        <v>24.130304247375921</v>
      </c>
      <c r="S81" s="3497">
        <f t="shared" si="108"/>
        <v>24.991795350579217</v>
      </c>
      <c r="T81" s="3497">
        <f t="shared" si="108"/>
        <v>26.907353241657141</v>
      </c>
      <c r="U81" s="3497">
        <f t="shared" si="108"/>
        <v>19.972123709155902</v>
      </c>
      <c r="V81" s="3497">
        <f t="shared" si="108"/>
        <v>28.593715671847683</v>
      </c>
      <c r="W81" s="3497">
        <f t="shared" si="108"/>
        <v>30.12590167361283</v>
      </c>
      <c r="X81" s="3497">
        <f t="shared" si="108"/>
        <v>26.963057172302495</v>
      </c>
      <c r="Y81" s="3497">
        <f t="shared" si="108"/>
        <v>27.380218325196271</v>
      </c>
      <c r="Z81" s="3497">
        <f t="shared" si="108"/>
        <v>28.337478352702547</v>
      </c>
      <c r="AA81" s="3497">
        <f t="shared" si="108"/>
        <v>28.101187998932996</v>
      </c>
      <c r="AB81" s="3497">
        <f t="shared" si="108"/>
        <v>33.031984140087246</v>
      </c>
      <c r="AC81" s="3497">
        <f t="shared" si="108"/>
        <v>34.457039262846166</v>
      </c>
      <c r="AD81" s="3497">
        <f t="shared" ca="1" si="108"/>
        <v>35.831989624974931</v>
      </c>
      <c r="AE81" s="3497">
        <f t="shared" ca="1" si="108"/>
        <v>37.382801508302919</v>
      </c>
      <c r="AK81" s="3497">
        <v>28.156688805909042</v>
      </c>
      <c r="AM81" s="3497"/>
    </row>
    <row r="82" spans="1:46" ht="10.65" hidden="1" customHeight="1">
      <c r="A82" s="714"/>
      <c r="B82" s="714"/>
      <c r="C82" s="3493"/>
      <c r="D82" s="3494"/>
      <c r="E82" s="3495" t="s">
        <v>2433</v>
      </c>
      <c r="F82" s="3496"/>
      <c r="G82" s="3499"/>
      <c r="H82" s="3499"/>
      <c r="I82" s="3499"/>
      <c r="J82" s="3499"/>
      <c r="K82" s="3499"/>
      <c r="L82" s="3499"/>
      <c r="M82" s="3499"/>
      <c r="N82" s="3499"/>
      <c r="O82" s="3499"/>
      <c r="P82" s="3499"/>
      <c r="Q82" s="3499"/>
      <c r="R82" s="3499"/>
      <c r="S82" s="3499"/>
      <c r="T82" s="3499"/>
      <c r="U82" s="3500"/>
      <c r="V82" s="3500"/>
      <c r="W82" s="3713"/>
      <c r="X82" s="3713"/>
      <c r="Y82" s="3713"/>
      <c r="Z82" s="3713"/>
      <c r="AA82" s="3713"/>
      <c r="AB82" s="3713"/>
      <c r="AC82" s="3713"/>
      <c r="AD82" s="3713"/>
      <c r="AE82" s="3713"/>
      <c r="AK82" s="3713"/>
      <c r="AM82" s="3713"/>
    </row>
    <row r="83" spans="1:46" ht="10.65" hidden="1" customHeight="1">
      <c r="A83" s="714"/>
      <c r="B83" s="714"/>
      <c r="C83" s="3493"/>
      <c r="D83" s="3494"/>
      <c r="E83" s="3495" t="s">
        <v>2434</v>
      </c>
      <c r="F83" s="3496"/>
      <c r="G83" s="3499"/>
      <c r="H83" s="3499"/>
      <c r="I83" s="3499"/>
      <c r="J83" s="3499"/>
      <c r="K83" s="3499"/>
      <c r="L83" s="3499"/>
      <c r="M83" s="3499"/>
      <c r="N83" s="3499"/>
      <c r="O83" s="3499"/>
      <c r="P83" s="3499"/>
      <c r="Q83" s="3499"/>
      <c r="R83" s="3499"/>
      <c r="S83" s="3499"/>
      <c r="T83" s="3499"/>
      <c r="U83" s="3500"/>
      <c r="V83" s="3500"/>
      <c r="W83" s="3713"/>
      <c r="X83" s="3713"/>
      <c r="Y83" s="3713"/>
      <c r="Z83" s="3713"/>
      <c r="AA83" s="3713"/>
      <c r="AB83" s="3713"/>
      <c r="AC83" s="3713"/>
      <c r="AD83" s="3713"/>
      <c r="AE83" s="3713"/>
      <c r="AK83" s="3713"/>
      <c r="AM83" s="3713"/>
    </row>
    <row r="84" spans="1:46" ht="10.65" hidden="1" customHeight="1">
      <c r="A84" s="714"/>
      <c r="B84" s="714"/>
      <c r="C84" s="3493"/>
      <c r="D84" s="3494"/>
      <c r="E84" s="3495" t="s">
        <v>2422</v>
      </c>
      <c r="F84" s="3496"/>
      <c r="G84" s="3499"/>
      <c r="H84" s="3497">
        <f ca="1">H77-H81-(H82/1000)-(H83/1000)</f>
        <v>-9.8921158648703766E-3</v>
      </c>
      <c r="I84" s="3497">
        <f t="shared" ref="I84:AA84" si="109">I77-I81-(I82/1000)-(I83/1000)</f>
        <v>-0.55133233789567093</v>
      </c>
      <c r="J84" s="3497">
        <f t="shared" si="109"/>
        <v>0.15478080865868193</v>
      </c>
      <c r="K84" s="3497">
        <f t="shared" si="109"/>
        <v>1.0930703711705974</v>
      </c>
      <c r="L84" s="3497">
        <f t="shared" si="109"/>
        <v>-2.7468658004204798</v>
      </c>
      <c r="M84" s="3497">
        <f t="shared" si="109"/>
        <v>-1.9698452420083612E-2</v>
      </c>
      <c r="N84" s="3497">
        <f t="shared" si="109"/>
        <v>1.2810232372381876</v>
      </c>
      <c r="O84" s="3497">
        <f t="shared" si="109"/>
        <v>4.0573484036951157E-2</v>
      </c>
      <c r="P84" s="3497">
        <f t="shared" si="109"/>
        <v>-0.57307610148615495</v>
      </c>
      <c r="Q84" s="3497">
        <f t="shared" si="109"/>
        <v>-1.451863295718411</v>
      </c>
      <c r="R84" s="3497">
        <f t="shared" si="109"/>
        <v>-0.71940424737591968</v>
      </c>
      <c r="S84" s="3497">
        <f t="shared" si="109"/>
        <v>-0.15509535057921653</v>
      </c>
      <c r="T84" s="3497">
        <f t="shared" si="109"/>
        <v>-1.8227532416571428</v>
      </c>
      <c r="U84" s="3497">
        <f t="shared" si="109"/>
        <v>4.3501762908440966</v>
      </c>
      <c r="V84" s="3497">
        <f t="shared" si="109"/>
        <v>-2.5642156718476841</v>
      </c>
      <c r="W84" s="3497">
        <f t="shared" si="109"/>
        <v>-3.2376016736128292</v>
      </c>
      <c r="X84" s="3497">
        <f t="shared" si="109"/>
        <v>0.70714282769750625</v>
      </c>
      <c r="Y84" s="3497">
        <f t="shared" ref="Y84" si="110">Y77-Y81-(Y82/1000)-(Y83/1000)</f>
        <v>0.71068167480373035</v>
      </c>
      <c r="Z84" s="3497">
        <f t="shared" si="109"/>
        <v>0.96133034729745148</v>
      </c>
      <c r="AA84" s="3497">
        <f t="shared" si="109"/>
        <v>2.6039635186670047</v>
      </c>
      <c r="AB84" s="3497">
        <f t="shared" ref="AB84:AC84" si="111">AB77-AB81-(AB82/1000)-(AB83/1000)</f>
        <v>-0.8529853496424451</v>
      </c>
      <c r="AC84" s="3497">
        <f t="shared" si="111"/>
        <v>-0.73344853046001646</v>
      </c>
      <c r="AD84" s="3497">
        <f t="shared" ref="AD84" ca="1" si="112">AD77-AD81-(AD82/1000)-(AD83/1000)</f>
        <v>-0.48966653743424615</v>
      </c>
      <c r="AE84" s="3497">
        <f t="shared" ref="AE84" ca="1" si="113">AE77-AE81-(AE82/1000)-(AE83/1000)</f>
        <v>-0.3440469125602803</v>
      </c>
      <c r="AK84" s="3497">
        <v>1.1421198940909569</v>
      </c>
      <c r="AM84" s="3497"/>
    </row>
    <row r="85" spans="1:46" ht="6" hidden="1" customHeight="1">
      <c r="A85" s="714"/>
      <c r="B85" s="714"/>
      <c r="C85" s="3493"/>
      <c r="D85" s="3494"/>
      <c r="E85" s="3495"/>
      <c r="F85" s="3496"/>
      <c r="G85" s="3499"/>
      <c r="H85" s="3499"/>
      <c r="I85" s="3499"/>
      <c r="J85" s="3499"/>
      <c r="K85" s="3499"/>
      <c r="L85" s="3499"/>
      <c r="M85" s="3499"/>
      <c r="N85" s="3499"/>
      <c r="O85" s="3499"/>
      <c r="P85" s="3499"/>
      <c r="Q85" s="3499"/>
      <c r="R85" s="3499"/>
      <c r="S85" s="3499"/>
      <c r="T85" s="3499"/>
      <c r="U85" s="3499"/>
      <c r="V85" s="3499"/>
      <c r="W85" s="3499"/>
      <c r="X85" s="3499"/>
      <c r="Y85" s="3499"/>
      <c r="Z85" s="3499"/>
      <c r="AA85" s="3499"/>
      <c r="AB85" s="3499"/>
      <c r="AC85" s="3499"/>
      <c r="AD85" s="3499"/>
      <c r="AE85" s="3499"/>
      <c r="AK85" s="3499"/>
      <c r="AM85" s="3499"/>
    </row>
    <row r="86" spans="1:46" ht="10.65" hidden="1" customHeight="1">
      <c r="A86" s="714"/>
      <c r="B86" s="714"/>
      <c r="C86" s="3493"/>
      <c r="D86" s="3494"/>
      <c r="E86" s="3495" t="s">
        <v>401</v>
      </c>
      <c r="F86" s="3496"/>
      <c r="G86" s="3499"/>
      <c r="H86" s="3499">
        <f t="shared" ref="H86:Y86" si="114">(H77/G77-1)*100</f>
        <v>5.1730766387200866</v>
      </c>
      <c r="I86" s="3499">
        <f t="shared" si="114"/>
        <v>6.1214017082000582</v>
      </c>
      <c r="J86" s="3499">
        <f t="shared" si="114"/>
        <v>3.0596901227453177</v>
      </c>
      <c r="K86" s="3499">
        <f t="shared" si="114"/>
        <v>10.134205756449987</v>
      </c>
      <c r="L86" s="3499">
        <f t="shared" si="114"/>
        <v>6.2072145154042246</v>
      </c>
      <c r="M86" s="3499">
        <f t="shared" si="114"/>
        <v>-1.2874687474242252</v>
      </c>
      <c r="N86" s="3499">
        <f t="shared" si="114"/>
        <v>5.7653555404638013</v>
      </c>
      <c r="O86" s="3499">
        <f t="shared" si="114"/>
        <v>1.5226395928399583</v>
      </c>
      <c r="P86" s="3499">
        <f t="shared" si="114"/>
        <v>8.493353793832803</v>
      </c>
      <c r="Q86" s="3499">
        <f t="shared" si="114"/>
        <v>5.8382511050053765</v>
      </c>
      <c r="R86" s="3499">
        <f t="shared" si="114"/>
        <v>5.6958910665348306</v>
      </c>
      <c r="S86" s="3499">
        <f t="shared" si="114"/>
        <v>6.0903254466936341</v>
      </c>
      <c r="T86" s="3499">
        <f t="shared" si="114"/>
        <v>0.9981197179979473</v>
      </c>
      <c r="U86" s="3499">
        <f t="shared" si="114"/>
        <v>-3.0389163072163772</v>
      </c>
      <c r="V86" s="3499">
        <f t="shared" si="114"/>
        <v>7.0190730317445382</v>
      </c>
      <c r="W86" s="3499">
        <f t="shared" si="114"/>
        <v>3.2993334485871939</v>
      </c>
      <c r="X86" s="3499">
        <f t="shared" si="114"/>
        <v>2.9079562486285848</v>
      </c>
      <c r="Y86" s="3499">
        <f t="shared" si="114"/>
        <v>1.520408237020332</v>
      </c>
      <c r="Z86" s="3709">
        <v>4.3</v>
      </c>
      <c r="AA86" s="3709">
        <v>4.8</v>
      </c>
      <c r="AB86" s="3709">
        <v>4.8</v>
      </c>
      <c r="AC86" s="3709">
        <v>4.8</v>
      </c>
      <c r="AD86" s="3709">
        <v>4.8</v>
      </c>
      <c r="AE86" s="3709">
        <v>4.8</v>
      </c>
      <c r="AK86" s="3709">
        <v>4.3</v>
      </c>
      <c r="AM86" s="3709"/>
    </row>
    <row r="87" spans="1:46" ht="10.65" hidden="1" customHeight="1">
      <c r="A87" s="714"/>
      <c r="B87" s="714"/>
      <c r="C87" s="3493"/>
      <c r="D87" s="3494"/>
      <c r="E87" s="3503" t="s">
        <v>2430</v>
      </c>
      <c r="F87" s="3496"/>
      <c r="G87" s="3499"/>
      <c r="H87" s="3497">
        <f t="shared" ref="H87:Z87" ca="1" si="115">100*((H81+0.001*H82+0.001*H83)/G77)-100</f>
        <v>5.246211801630011</v>
      </c>
      <c r="I87" s="3497">
        <f t="shared" si="115"/>
        <v>9.9970639899874953</v>
      </c>
      <c r="J87" s="3497">
        <f t="shared" si="115"/>
        <v>2.0344004248810563</v>
      </c>
      <c r="K87" s="3497">
        <f t="shared" si="115"/>
        <v>3.1085191656451343</v>
      </c>
      <c r="L87" s="3497">
        <f t="shared" si="115"/>
        <v>22.238039325706467</v>
      </c>
      <c r="M87" s="3497">
        <f t="shared" si="115"/>
        <v>-1.1792265713103518</v>
      </c>
      <c r="N87" s="3497">
        <f t="shared" si="115"/>
        <v>-1.3656229458489122</v>
      </c>
      <c r="O87" s="3497">
        <f t="shared" si="115"/>
        <v>1.3090938160887617</v>
      </c>
      <c r="P87" s="3497">
        <f t="shared" si="115"/>
        <v>11.464322530152373</v>
      </c>
      <c r="Q87" s="3497">
        <f t="shared" si="115"/>
        <v>12.775837036045459</v>
      </c>
      <c r="R87" s="3497">
        <f t="shared" si="115"/>
        <v>8.9438684174033511</v>
      </c>
      <c r="S87" s="3497">
        <f t="shared" si="115"/>
        <v>6.7528174934719232</v>
      </c>
      <c r="T87" s="3497">
        <f t="shared" si="115"/>
        <v>8.3370707125227597</v>
      </c>
      <c r="U87" s="3497">
        <f t="shared" si="115"/>
        <v>-20.380936075696226</v>
      </c>
      <c r="V87" s="3497">
        <f t="shared" si="115"/>
        <v>17.561725954567152</v>
      </c>
      <c r="W87" s="3497">
        <f t="shared" si="115"/>
        <v>15.737535003026679</v>
      </c>
      <c r="X87" s="3497">
        <f t="shared" si="115"/>
        <v>0.27802863067762473</v>
      </c>
      <c r="Y87" s="3497">
        <f t="shared" si="115"/>
        <v>-1.04799269540419</v>
      </c>
      <c r="Z87" s="3497">
        <f t="shared" si="115"/>
        <v>0.87778730016677287</v>
      </c>
      <c r="AA87" s="3497">
        <f>100*((AA81+0.001*AA82+0.001*AA83)/Z77)-100</f>
        <v>-4.0876088626327061</v>
      </c>
      <c r="AB87" s="3497">
        <f>100*((AB81+0.001*AB82+0.001*AB83)/AA77)-100</f>
        <v>7.5779877560725311</v>
      </c>
      <c r="AC87" s="3497">
        <f>100*((AC81+0.001*AC82+0.001*AC83)/AB77)-100</f>
        <v>7.0792770379102308</v>
      </c>
      <c r="AD87" s="3497">
        <f ca="1">100*((AD81+0.001*AD82+0.001*AD83)/AC77)-100</f>
        <v>6.2519999999999953</v>
      </c>
      <c r="AE87" s="3497">
        <f ca="1">100*((AE81+0.001*AE82+0.001*AE83)/AD77)-100</f>
        <v>5.773469999999989</v>
      </c>
      <c r="AK87" s="3497">
        <v>0.23419970847868399</v>
      </c>
      <c r="AM87" s="3497"/>
    </row>
    <row r="88" spans="1:46" ht="10.65" hidden="1" customHeight="1">
      <c r="A88" s="714"/>
      <c r="B88" s="714"/>
      <c r="C88" s="3493"/>
      <c r="D88" s="3494"/>
      <c r="E88" s="3503" t="s">
        <v>2424</v>
      </c>
      <c r="F88" s="3496"/>
      <c r="G88" s="3499"/>
      <c r="H88" s="3499"/>
      <c r="I88" s="3499"/>
      <c r="J88" s="3499"/>
      <c r="K88" s="3499"/>
      <c r="L88" s="3499"/>
      <c r="M88" s="3499"/>
      <c r="N88" s="3499"/>
      <c r="O88" s="3499"/>
      <c r="P88" s="3499"/>
      <c r="Q88" s="3499"/>
      <c r="R88" s="3499"/>
      <c r="S88" s="3499"/>
      <c r="T88" s="3499"/>
      <c r="U88" s="3499"/>
      <c r="V88" s="3499"/>
      <c r="W88" s="3499"/>
      <c r="X88" s="3711">
        <v>-0.47</v>
      </c>
      <c r="Y88" s="3711">
        <v>0.53</v>
      </c>
      <c r="Z88" s="3711">
        <v>4.28</v>
      </c>
      <c r="AA88" s="3712"/>
      <c r="AB88" s="3712"/>
      <c r="AC88" s="3712"/>
      <c r="AD88" s="3712"/>
      <c r="AE88" s="3712"/>
      <c r="AK88" s="3711">
        <v>4.28</v>
      </c>
      <c r="AM88" s="3711"/>
    </row>
    <row r="89" spans="1:46" ht="10.65" hidden="1" customHeight="1">
      <c r="A89" s="714"/>
      <c r="B89" s="714"/>
      <c r="C89" s="3487" t="s">
        <v>622</v>
      </c>
      <c r="D89" s="3488" t="s">
        <v>588</v>
      </c>
      <c r="E89" s="3489" t="s">
        <v>2466</v>
      </c>
      <c r="F89" s="3490"/>
      <c r="G89" s="3491">
        <f>('[2]dir&amp;indir taxes'!C41+[2]TaxesEU!C41)/1000</f>
        <v>7.6710000000000003</v>
      </c>
      <c r="H89" s="3491">
        <f>('[2]dir&amp;indir taxes'!D41+[2]TaxesEU!D41)/1000</f>
        <v>8.3593999999999991</v>
      </c>
      <c r="I89" s="3491">
        <f>('[2]dir&amp;indir taxes'!E41+[2]TaxesEU!E41)/1000</f>
        <v>8.8204999999999991</v>
      </c>
      <c r="J89" s="3491">
        <f>('[2]dir&amp;indir taxes'!F41+[2]TaxesEU!F41)/1000</f>
        <v>9.3252999999999986</v>
      </c>
      <c r="K89" s="3491">
        <f>('[2]dir&amp;indir taxes'!G41+[2]TaxesEU!G41)/1000</f>
        <v>9.7114999999999991</v>
      </c>
      <c r="L89" s="3491">
        <f>('[2]dir&amp;indir taxes'!H41+[2]TaxesEU!H41)/1000</f>
        <v>9.9819999999999993</v>
      </c>
      <c r="M89" s="3491">
        <f>('[2]dir&amp;indir taxes'!I41+[2]TaxesEU!I41)/1000</f>
        <v>9.9123999999999999</v>
      </c>
      <c r="N89" s="3491">
        <f>('[2]dir&amp;indir taxes'!J41+[2]TaxesEU!J41)/1000</f>
        <v>10.280799999999999</v>
      </c>
      <c r="O89" s="3491">
        <f>('[2]dir&amp;indir taxes'!K41+[2]TaxesEU!K41)/1000</f>
        <v>10.712999999999999</v>
      </c>
      <c r="P89" s="3491">
        <f>('[2]dir&amp;indir taxes'!L41+[2]TaxesEU!L41)/1000</f>
        <v>11.581700000000001</v>
      </c>
      <c r="Q89" s="3491">
        <f>('[2]dir&amp;indir taxes'!M41+[2]TaxesEU!M41)/1000</f>
        <v>12.276999999999999</v>
      </c>
      <c r="R89" s="3491">
        <f>('[2]dir&amp;indir taxes'!N41+[2]TaxesEU!N41)/1000</f>
        <v>12.4163</v>
      </c>
      <c r="S89" s="3491">
        <f>('[2]dir&amp;indir taxes'!O41+[2]TaxesEU!O41)/1000</f>
        <v>12.841200000000001</v>
      </c>
      <c r="T89" s="3491">
        <f>('[2]dir&amp;indir taxes'!P41+[2]TaxesEU!P41)/1000</f>
        <v>12.722199999999999</v>
      </c>
      <c r="U89" s="3491">
        <f>('[2]dir&amp;indir taxes'!Q41+[2]TaxesEU!Q41)/1000</f>
        <v>12.325199999999999</v>
      </c>
      <c r="V89" s="3491">
        <f>('[2]dir&amp;indir taxes'!R41+[2]TaxesEU!R41)/1000</f>
        <v>13.330200000000001</v>
      </c>
      <c r="W89" s="3491">
        <f>('[2]dir&amp;indir taxes'!S41+[2]TaxesEU!S41)/1000</f>
        <v>13.6449</v>
      </c>
      <c r="X89" s="3491">
        <f>('[2]dir&amp;indir taxes'!T41+[2]TaxesEU!T41)/1000</f>
        <v>13.7475</v>
      </c>
      <c r="Y89" s="3491">
        <f>('[2]dir&amp;indir taxes'!U41+[2]TaxesEU!U41)/1000</f>
        <v>13.909699999999999</v>
      </c>
      <c r="Z89" s="3492">
        <f t="shared" ref="Z89:AE89" si="116">+Y89*(1+Z98/100)</f>
        <v>14.271352199999999</v>
      </c>
      <c r="AA89" s="3492">
        <f t="shared" si="116"/>
        <v>14.670950061599999</v>
      </c>
      <c r="AB89" s="3492">
        <f t="shared" si="116"/>
        <v>15.081736663324799</v>
      </c>
      <c r="AC89" s="3492">
        <f t="shared" si="116"/>
        <v>15.504025289897895</v>
      </c>
      <c r="AD89" s="3492">
        <f t="shared" si="116"/>
        <v>15.938137998015035</v>
      </c>
      <c r="AE89" s="3492">
        <f t="shared" si="116"/>
        <v>16.384405861959458</v>
      </c>
      <c r="AK89" s="3492">
        <v>14.271352199999999</v>
      </c>
      <c r="AM89" s="3492"/>
      <c r="AT89" s="749"/>
    </row>
    <row r="90" spans="1:46" ht="10.65" hidden="1" customHeight="1">
      <c r="A90" s="714"/>
      <c r="B90" s="714"/>
      <c r="C90" s="3493"/>
      <c r="D90" s="3494"/>
      <c r="E90" s="3495" t="s">
        <v>761</v>
      </c>
      <c r="F90" s="3496"/>
      <c r="G90" s="3497">
        <f ca="1">'VVP2'!G192</f>
        <v>112.9679</v>
      </c>
      <c r="H90" s="3497">
        <f>'VVP2'!H192</f>
        <v>116.6069</v>
      </c>
      <c r="I90" s="3497">
        <f>'VVP2'!I192</f>
        <v>120.49119999999999</v>
      </c>
      <c r="J90" s="3497">
        <f>'VVP2'!J192</f>
        <v>125.2568</v>
      </c>
      <c r="K90" s="3497">
        <f>'VVP2'!K192</f>
        <v>128.14839999999998</v>
      </c>
      <c r="L90" s="3497">
        <f>'VVP2'!L192</f>
        <v>136.1028</v>
      </c>
      <c r="M90" s="3497">
        <f>'VVP2'!M192</f>
        <v>140.29089999999999</v>
      </c>
      <c r="N90" s="3497">
        <f>'VVP2'!N192</f>
        <v>142.79829999999998</v>
      </c>
      <c r="O90" s="3497">
        <f>'VVP2'!O192</f>
        <v>145.8004</v>
      </c>
      <c r="P90" s="3497">
        <f>'VVP2'!P192</f>
        <v>151.649</v>
      </c>
      <c r="Q90" s="3497">
        <f>'VVP2'!Q192</f>
        <v>157.66120000000001</v>
      </c>
      <c r="R90" s="3497">
        <f>'VVP2'!R192</f>
        <v>164.9487</v>
      </c>
      <c r="S90" s="3497">
        <f>'VVP2'!S192</f>
        <v>172.86610000000002</v>
      </c>
      <c r="T90" s="3497">
        <f>'VVP2'!T192</f>
        <v>181.39229999999998</v>
      </c>
      <c r="U90" s="3497">
        <f>'VVP2'!U192</f>
        <v>181.54570000000001</v>
      </c>
      <c r="V90" s="3497">
        <f>'VVP2'!V192</f>
        <v>189.69289999999998</v>
      </c>
      <c r="W90" s="3497">
        <f>'VVP2'!W192</f>
        <v>196.06920000000002</v>
      </c>
      <c r="X90" s="3497">
        <f>'VVP2'!X192</f>
        <v>201.18220000000002</v>
      </c>
      <c r="Y90" s="3497">
        <f>'VVP2'!Y192</f>
        <v>204.38479999999998</v>
      </c>
      <c r="Z90" s="3497">
        <f>'VVP2'!Z192</f>
        <v>206.88900000000001</v>
      </c>
      <c r="AA90" s="3497">
        <f>'VVP2'!AA192</f>
        <v>209.88810000000001</v>
      </c>
      <c r="AB90" s="3497">
        <f>'VVP2'!AB192</f>
        <v>216.57429999999999</v>
      </c>
      <c r="AC90" s="3497">
        <f>'VVP2'!AC192</f>
        <v>222.72300000000001</v>
      </c>
      <c r="AD90" s="3497">
        <f ca="1">'VVP2'!AD192</f>
        <v>230.24669430149996</v>
      </c>
      <c r="AE90" s="3497">
        <f ca="1">'VVP2'!AE192</f>
        <v>237.344923590782</v>
      </c>
      <c r="AK90" s="3497">
        <v>207.422</v>
      </c>
      <c r="AM90" s="3497"/>
    </row>
    <row r="91" spans="1:46" ht="10.65" hidden="1" customHeight="1">
      <c r="A91" s="714"/>
      <c r="B91" s="714"/>
      <c r="C91" s="3493"/>
      <c r="D91" s="3494"/>
      <c r="E91" s="3495" t="s">
        <v>2426</v>
      </c>
      <c r="F91" s="3496"/>
      <c r="G91" s="3498">
        <f ca="1">(G89-(G95/1000))/G90</f>
        <v>6.7904245365276339E-2</v>
      </c>
      <c r="H91" s="3498">
        <f t="shared" ref="H91:AA91" si="117">(H89-(H95/1000))/H90</f>
        <v>7.168872510974908E-2</v>
      </c>
      <c r="I91" s="3498">
        <f t="shared" si="117"/>
        <v>7.3204516180434748E-2</v>
      </c>
      <c r="J91" s="3498">
        <f t="shared" si="117"/>
        <v>7.4449451047767456E-2</v>
      </c>
      <c r="K91" s="3498">
        <f t="shared" si="117"/>
        <v>7.5783232564745256E-2</v>
      </c>
      <c r="L91" s="3498">
        <f t="shared" si="117"/>
        <v>7.3341621186338551E-2</v>
      </c>
      <c r="M91" s="3498">
        <f t="shared" si="117"/>
        <v>7.0656043977193106E-2</v>
      </c>
      <c r="N91" s="3498">
        <f t="shared" si="117"/>
        <v>7.1995254845470855E-2</v>
      </c>
      <c r="O91" s="3498">
        <f t="shared" si="117"/>
        <v>7.3477164671701858E-2</v>
      </c>
      <c r="P91" s="3498">
        <f t="shared" si="117"/>
        <v>7.6371753193229114E-2</v>
      </c>
      <c r="Q91" s="3498">
        <f t="shared" si="117"/>
        <v>7.7869507526265175E-2</v>
      </c>
      <c r="R91" s="3498">
        <f t="shared" si="117"/>
        <v>7.5273706309901198E-2</v>
      </c>
      <c r="S91" s="3498">
        <f t="shared" si="117"/>
        <v>7.4284084618094576E-2</v>
      </c>
      <c r="T91" s="3498">
        <f t="shared" si="117"/>
        <v>7.0136383958966292E-2</v>
      </c>
      <c r="U91" s="3498">
        <f t="shared" si="117"/>
        <v>6.7890343863831526E-2</v>
      </c>
      <c r="V91" s="3498">
        <f t="shared" si="117"/>
        <v>7.0272529968174888E-2</v>
      </c>
      <c r="W91" s="3498">
        <f t="shared" si="117"/>
        <v>6.9592266403902286E-2</v>
      </c>
      <c r="X91" s="3498">
        <f t="shared" si="117"/>
        <v>6.798563690028242E-2</v>
      </c>
      <c r="Y91" s="3498">
        <f t="shared" ref="Y91" si="118">(Y89-(Y95/1000))/Y90</f>
        <v>6.7709046856713417E-2</v>
      </c>
      <c r="Z91" s="3498">
        <f t="shared" si="117"/>
        <v>6.8980720096283504E-2</v>
      </c>
      <c r="AA91" s="3498">
        <f t="shared" si="117"/>
        <v>6.9898913095120682E-2</v>
      </c>
      <c r="AB91" s="3498">
        <f t="shared" ref="AB91:AC91" si="119">(AB89-(AB95/1000))/AB90</f>
        <v>6.9637702457423609E-2</v>
      </c>
      <c r="AC91" s="3498">
        <f t="shared" si="119"/>
        <v>6.9611244864238961E-2</v>
      </c>
      <c r="AD91" s="3498">
        <f t="shared" ref="AD91" ca="1" si="120">(AD89-(AD95/1000))/AD90</f>
        <v>6.9222005755029875E-2</v>
      </c>
      <c r="AE91" s="3498">
        <f t="shared" ref="AE91" ca="1" si="121">(AE89-(AE95/1000))/AE90</f>
        <v>6.9032046753224913E-2</v>
      </c>
      <c r="AK91" s="3498">
        <v>6.8803464434823686E-2</v>
      </c>
      <c r="AM91" s="3498"/>
    </row>
    <row r="92" spans="1:46" ht="10.65" hidden="1" customHeight="1">
      <c r="A92" s="714"/>
      <c r="B92" s="714"/>
      <c r="C92" s="3493"/>
      <c r="D92" s="3494"/>
      <c r="E92" s="3495"/>
      <c r="F92" s="3496"/>
      <c r="G92" s="3498"/>
      <c r="H92" s="3498"/>
      <c r="I92" s="3498"/>
      <c r="J92" s="3498"/>
      <c r="K92" s="3498"/>
      <c r="L92" s="3498"/>
      <c r="M92" s="3498"/>
      <c r="N92" s="3498"/>
      <c r="O92" s="3498"/>
      <c r="P92" s="3498"/>
      <c r="Q92" s="3498"/>
      <c r="R92" s="3498"/>
      <c r="S92" s="3498"/>
      <c r="T92" s="3498"/>
      <c r="U92" s="3498"/>
      <c r="V92" s="3498"/>
      <c r="W92" s="3498"/>
      <c r="X92" s="3498"/>
      <c r="Y92" s="3498"/>
      <c r="Z92" s="3498"/>
      <c r="AA92" s="3498"/>
      <c r="AB92" s="3498"/>
      <c r="AC92" s="3498"/>
      <c r="AD92" s="3498"/>
      <c r="AE92" s="3498"/>
      <c r="AK92" s="3498"/>
      <c r="AM92" s="3498"/>
    </row>
    <row r="93" spans="1:46" ht="10.65" hidden="1" customHeight="1">
      <c r="A93" s="714"/>
      <c r="B93" s="714"/>
      <c r="C93" s="3493"/>
      <c r="D93" s="3494"/>
      <c r="E93" s="3495" t="s">
        <v>2420</v>
      </c>
      <c r="F93" s="3496"/>
      <c r="G93" s="3499"/>
      <c r="H93" s="3497">
        <f t="shared" ref="H93:AE93" ca="1" si="122">H90*G91</f>
        <v>7.9181035488842415</v>
      </c>
      <c r="I93" s="3497">
        <f t="shared" si="122"/>
        <v>8.6378605149437977</v>
      </c>
      <c r="J93" s="3497">
        <f t="shared" si="122"/>
        <v>9.1693634423094785</v>
      </c>
      <c r="K93" s="3497">
        <f t="shared" si="122"/>
        <v>9.5405780326497212</v>
      </c>
      <c r="L93" s="3497">
        <f t="shared" si="122"/>
        <v>10.31431014511301</v>
      </c>
      <c r="M93" s="3497">
        <f t="shared" si="122"/>
        <v>10.289162043690503</v>
      </c>
      <c r="N93" s="3497">
        <f t="shared" si="122"/>
        <v>10.089562964668414</v>
      </c>
      <c r="O93" s="3497">
        <f t="shared" si="122"/>
        <v>10.496936954571588</v>
      </c>
      <c r="P93" s="3497">
        <f t="shared" si="122"/>
        <v>11.142738545298915</v>
      </c>
      <c r="Q93" s="3497">
        <f t="shared" si="122"/>
        <v>12.040862254548335</v>
      </c>
      <c r="R93" s="3497">
        <f t="shared" si="122"/>
        <v>12.844474036097656</v>
      </c>
      <c r="S93" s="3497">
        <f t="shared" si="122"/>
        <v>13.012272042338013</v>
      </c>
      <c r="T93" s="3497">
        <f t="shared" si="122"/>
        <v>13.474560962270795</v>
      </c>
      <c r="U93" s="3497">
        <f t="shared" si="122"/>
        <v>12.732958921299307</v>
      </c>
      <c r="V93" s="3497">
        <f t="shared" si="122"/>
        <v>12.878316209527405</v>
      </c>
      <c r="W93" s="3497">
        <f t="shared" si="122"/>
        <v>13.778278732836077</v>
      </c>
      <c r="X93" s="3497">
        <f t="shared" si="122"/>
        <v>14.000725258123152</v>
      </c>
      <c r="Y93" s="3497">
        <f t="shared" si="122"/>
        <v>13.895230800736842</v>
      </c>
      <c r="Z93" s="3497">
        <f t="shared" si="122"/>
        <v>14.008256995138582</v>
      </c>
      <c r="AA93" s="3497">
        <f t="shared" si="122"/>
        <v>14.478232277640762</v>
      </c>
      <c r="AB93" s="3497">
        <f t="shared" si="122"/>
        <v>15.138308174336595</v>
      </c>
      <c r="AC93" s="3497">
        <f t="shared" si="122"/>
        <v>15.50991800442476</v>
      </c>
      <c r="AD93" s="3497">
        <f t="shared" ca="1" si="122"/>
        <v>16.027759016203287</v>
      </c>
      <c r="AE93" s="3497">
        <f t="shared" ca="1" si="122"/>
        <v>16.429491666728239</v>
      </c>
      <c r="AK93" s="3497">
        <v>14.072906953963818</v>
      </c>
      <c r="AM93" s="3497"/>
    </row>
    <row r="94" spans="1:46" ht="10.65" hidden="1" customHeight="1">
      <c r="A94" s="714"/>
      <c r="B94" s="714"/>
      <c r="C94" s="3493"/>
      <c r="D94" s="3494"/>
      <c r="E94" s="3495" t="s">
        <v>2433</v>
      </c>
      <c r="F94" s="3496"/>
      <c r="G94" s="3499"/>
      <c r="H94" s="3499"/>
      <c r="I94" s="3499"/>
      <c r="J94" s="3499"/>
      <c r="K94" s="3499"/>
      <c r="L94" s="3499"/>
      <c r="M94" s="3499"/>
      <c r="N94" s="3499"/>
      <c r="O94" s="3499"/>
      <c r="P94" s="3499"/>
      <c r="Q94" s="3499"/>
      <c r="R94" s="3499"/>
      <c r="S94" s="3499"/>
      <c r="T94" s="3499"/>
      <c r="U94" s="3500"/>
      <c r="V94" s="3500"/>
      <c r="W94" s="3713"/>
      <c r="X94" s="3713"/>
      <c r="Y94" s="3713"/>
      <c r="Z94" s="3714">
        <v>179.2</v>
      </c>
      <c r="AA94" s="3713"/>
      <c r="AB94" s="3713"/>
      <c r="AC94" s="3713"/>
      <c r="AD94" s="3713"/>
      <c r="AE94" s="3713"/>
      <c r="AK94" s="3714">
        <v>179.2</v>
      </c>
      <c r="AM94" s="3714"/>
    </row>
    <row r="95" spans="1:46" ht="10.65" hidden="1" customHeight="1">
      <c r="A95" s="714"/>
      <c r="B95" s="714"/>
      <c r="C95" s="3493"/>
      <c r="D95" s="3494"/>
      <c r="E95" s="3495" t="s">
        <v>2434</v>
      </c>
      <c r="F95" s="3496"/>
      <c r="G95" s="3499"/>
      <c r="H95" s="3499"/>
      <c r="I95" s="3499"/>
      <c r="J95" s="3499"/>
      <c r="K95" s="3499"/>
      <c r="L95" s="3499"/>
      <c r="M95" s="3499"/>
      <c r="N95" s="3499"/>
      <c r="O95" s="3499"/>
      <c r="P95" s="3499"/>
      <c r="Q95" s="3499"/>
      <c r="R95" s="3499"/>
      <c r="S95" s="3499"/>
      <c r="T95" s="3499"/>
      <c r="U95" s="3500"/>
      <c r="V95" s="3500"/>
      <c r="W95" s="3713"/>
      <c r="X95" s="3714">
        <v>70</v>
      </c>
      <c r="Y95" s="3714">
        <v>71</v>
      </c>
      <c r="Z95" s="3713"/>
      <c r="AA95" s="3713"/>
      <c r="AB95" s="3713"/>
      <c r="AC95" s="3713"/>
      <c r="AD95" s="3713"/>
      <c r="AE95" s="3713"/>
      <c r="AK95" s="3713"/>
      <c r="AM95" s="3713"/>
    </row>
    <row r="96" spans="1:46" ht="10.65" hidden="1" customHeight="1">
      <c r="A96" s="714"/>
      <c r="B96" s="714"/>
      <c r="C96" s="3493"/>
      <c r="D96" s="3494"/>
      <c r="E96" s="3495" t="s">
        <v>2422</v>
      </c>
      <c r="F96" s="3496"/>
      <c r="G96" s="3499"/>
      <c r="H96" s="3497">
        <f ca="1">H89-H93-(H94/1000)-(H95/1000)</f>
        <v>0.44129645111575755</v>
      </c>
      <c r="I96" s="3497">
        <f t="shared" ref="I96:AA96" si="123">I89-I93-(I94/1000)-(I95/1000)</f>
        <v>0.18263948505620142</v>
      </c>
      <c r="J96" s="3497">
        <f t="shared" si="123"/>
        <v>0.15593655769052006</v>
      </c>
      <c r="K96" s="3497">
        <f t="shared" si="123"/>
        <v>0.17092196735027798</v>
      </c>
      <c r="L96" s="3497">
        <f t="shared" si="123"/>
        <v>-0.33231014511301105</v>
      </c>
      <c r="M96" s="3497">
        <f t="shared" si="123"/>
        <v>-0.37676204369050303</v>
      </c>
      <c r="N96" s="3497">
        <f t="shared" si="123"/>
        <v>0.19123703533158576</v>
      </c>
      <c r="O96" s="3497">
        <f t="shared" si="123"/>
        <v>0.21606304542841137</v>
      </c>
      <c r="P96" s="3497">
        <f t="shared" si="123"/>
        <v>0.4389614547010865</v>
      </c>
      <c r="Q96" s="3497">
        <f t="shared" si="123"/>
        <v>0.23613774545166422</v>
      </c>
      <c r="R96" s="3497">
        <f t="shared" si="123"/>
        <v>-0.4281740360976567</v>
      </c>
      <c r="S96" s="3497">
        <f t="shared" si="123"/>
        <v>-0.17107204233801276</v>
      </c>
      <c r="T96" s="3497">
        <f t="shared" si="123"/>
        <v>-0.75236096227079585</v>
      </c>
      <c r="U96" s="3497">
        <f t="shared" si="123"/>
        <v>-0.40775892129930824</v>
      </c>
      <c r="V96" s="3497">
        <f t="shared" si="123"/>
        <v>0.4518837904725963</v>
      </c>
      <c r="W96" s="3497">
        <f t="shared" si="123"/>
        <v>-0.13337873283607671</v>
      </c>
      <c r="X96" s="3497">
        <f t="shared" si="123"/>
        <v>-0.32322525812315178</v>
      </c>
      <c r="Y96" s="3497">
        <f t="shared" ref="Y96" si="124">Y89-Y93-(Y94/1000)-(Y95/1000)</f>
        <v>-5.6530800736842843E-2</v>
      </c>
      <c r="Z96" s="3497">
        <f t="shared" si="123"/>
        <v>8.3895204861416578E-2</v>
      </c>
      <c r="AA96" s="3497">
        <f t="shared" si="123"/>
        <v>0.19271778395923711</v>
      </c>
      <c r="AB96" s="3497">
        <f t="shared" ref="AB96:AC96" si="125">AB89-AB93-(AB94/1000)-(AB95/1000)</f>
        <v>-5.657151101179636E-2</v>
      </c>
      <c r="AC96" s="3497">
        <f t="shared" si="125"/>
        <v>-5.8927145268654613E-3</v>
      </c>
      <c r="AD96" s="3497">
        <f t="shared" ref="AD96" ca="1" si="126">AD89-AD93-(AD94/1000)-(AD95/1000)</f>
        <v>-8.9621018188251966E-2</v>
      </c>
      <c r="AE96" s="3497">
        <f t="shared" ref="AE96" ca="1" si="127">AE89-AE93-(AE94/1000)-(AE95/1000)</f>
        <v>-4.5085804768781657E-2</v>
      </c>
      <c r="AK96" s="3497">
        <v>1.9245246036181191E-2</v>
      </c>
      <c r="AM96" s="3497"/>
    </row>
    <row r="97" spans="1:46" ht="10.65" hidden="1" customHeight="1">
      <c r="A97" s="714"/>
      <c r="B97" s="714"/>
      <c r="C97" s="3493"/>
      <c r="D97" s="3494"/>
      <c r="E97" s="3495"/>
      <c r="F97" s="3496"/>
      <c r="G97" s="3499"/>
      <c r="H97" s="3499"/>
      <c r="I97" s="3499"/>
      <c r="J97" s="3499"/>
      <c r="K97" s="3499"/>
      <c r="L97" s="3499"/>
      <c r="M97" s="3499"/>
      <c r="N97" s="3499"/>
      <c r="O97" s="3499"/>
      <c r="P97" s="3499"/>
      <c r="Q97" s="3499"/>
      <c r="R97" s="3499"/>
      <c r="S97" s="3499"/>
      <c r="T97" s="3499"/>
      <c r="U97" s="3499"/>
      <c r="V97" s="3499"/>
      <c r="W97" s="3499"/>
      <c r="X97" s="3499"/>
      <c r="Y97" s="3499"/>
      <c r="Z97" s="3499"/>
      <c r="AA97" s="3499"/>
      <c r="AB97" s="3499"/>
      <c r="AC97" s="3499"/>
      <c r="AD97" s="3499"/>
      <c r="AE97" s="3499"/>
      <c r="AK97" s="3499"/>
      <c r="AM97" s="3499"/>
    </row>
    <row r="98" spans="1:46" ht="10.65" hidden="1" customHeight="1">
      <c r="A98" s="714"/>
      <c r="B98" s="714"/>
      <c r="C98" s="3493"/>
      <c r="D98" s="3494"/>
      <c r="E98" s="3495" t="s">
        <v>401</v>
      </c>
      <c r="F98" s="3496"/>
      <c r="G98" s="3499"/>
      <c r="H98" s="3499">
        <f t="shared" ref="H98:Y98" si="128">(H89/G89-1)*100</f>
        <v>8.9740581410507012</v>
      </c>
      <c r="I98" s="3499">
        <f t="shared" si="128"/>
        <v>5.5159461205349647</v>
      </c>
      <c r="J98" s="3499">
        <f t="shared" si="128"/>
        <v>5.723031574173798</v>
      </c>
      <c r="K98" s="3499">
        <f t="shared" si="128"/>
        <v>4.1414217236979134</v>
      </c>
      <c r="L98" s="3499">
        <f t="shared" si="128"/>
        <v>2.7853575657725393</v>
      </c>
      <c r="M98" s="3499">
        <f t="shared" si="128"/>
        <v>-0.69725505910638308</v>
      </c>
      <c r="N98" s="3499">
        <f t="shared" si="128"/>
        <v>3.7165570396674896</v>
      </c>
      <c r="O98" s="3499">
        <f t="shared" si="128"/>
        <v>4.203952999766547</v>
      </c>
      <c r="P98" s="3499">
        <f t="shared" si="128"/>
        <v>8.1088397274339705</v>
      </c>
      <c r="Q98" s="3499">
        <f t="shared" si="128"/>
        <v>6.0034364557879805</v>
      </c>
      <c r="R98" s="3499">
        <f t="shared" si="128"/>
        <v>1.1346420135212254</v>
      </c>
      <c r="S98" s="3499">
        <f t="shared" si="128"/>
        <v>3.4221144785483659</v>
      </c>
      <c r="T98" s="3499">
        <f t="shared" si="128"/>
        <v>-0.92670466934555717</v>
      </c>
      <c r="U98" s="3499">
        <f t="shared" si="128"/>
        <v>-3.1205294681737494</v>
      </c>
      <c r="V98" s="3499">
        <f t="shared" si="128"/>
        <v>8.154025898159901</v>
      </c>
      <c r="W98" s="3499">
        <f t="shared" si="128"/>
        <v>2.3608047891254369</v>
      </c>
      <c r="X98" s="3499">
        <f t="shared" si="128"/>
        <v>0.75192929226304273</v>
      </c>
      <c r="Y98" s="3499">
        <f t="shared" si="128"/>
        <v>1.1798508819785392</v>
      </c>
      <c r="Z98" s="3709">
        <v>2.6</v>
      </c>
      <c r="AA98" s="3709">
        <v>2.8</v>
      </c>
      <c r="AB98" s="3709">
        <v>2.8</v>
      </c>
      <c r="AC98" s="3709">
        <v>2.8</v>
      </c>
      <c r="AD98" s="3709">
        <v>2.8</v>
      </c>
      <c r="AE98" s="3709">
        <v>2.8</v>
      </c>
      <c r="AK98" s="3709">
        <v>2.6</v>
      </c>
      <c r="AM98" s="3709"/>
    </row>
    <row r="99" spans="1:46" ht="10.65" hidden="1" customHeight="1">
      <c r="A99" s="714"/>
      <c r="B99" s="714"/>
      <c r="C99" s="3493"/>
      <c r="D99" s="3494"/>
      <c r="E99" s="3503" t="s">
        <v>2430</v>
      </c>
      <c r="F99" s="3496"/>
      <c r="G99" s="3499"/>
      <c r="H99" s="3497">
        <f t="shared" ref="H99:Z99" ca="1" si="129">100*((H93+0.001*H94+0.001*H95)/G89)-100</f>
        <v>3.2212690507657555</v>
      </c>
      <c r="I99" s="3497">
        <f t="shared" si="129"/>
        <v>3.3311064782615745</v>
      </c>
      <c r="J99" s="3497">
        <f t="shared" si="129"/>
        <v>3.9551436121475945</v>
      </c>
      <c r="K99" s="3497">
        <f t="shared" si="129"/>
        <v>2.3085373408868577</v>
      </c>
      <c r="L99" s="3497">
        <f t="shared" si="129"/>
        <v>6.2071785523658747</v>
      </c>
      <c r="M99" s="3497">
        <f t="shared" si="129"/>
        <v>3.0771593236876811</v>
      </c>
      <c r="N99" s="3497">
        <f t="shared" si="129"/>
        <v>1.7872862744483058</v>
      </c>
      <c r="O99" s="3497">
        <f t="shared" si="129"/>
        <v>2.1023359521787057</v>
      </c>
      <c r="P99" s="3497">
        <f t="shared" si="129"/>
        <v>4.0113744543910741</v>
      </c>
      <c r="Q99" s="3497">
        <f t="shared" si="129"/>
        <v>3.9645497167802262</v>
      </c>
      <c r="R99" s="3497">
        <f t="shared" si="129"/>
        <v>4.6222532874290039</v>
      </c>
      <c r="S99" s="3497">
        <f t="shared" si="129"/>
        <v>4.7999165801246164</v>
      </c>
      <c r="T99" s="3497">
        <f t="shared" si="129"/>
        <v>4.932256816113707</v>
      </c>
      <c r="U99" s="3497">
        <f t="shared" si="129"/>
        <v>8.4568088061104163E-2</v>
      </c>
      <c r="V99" s="3497">
        <f t="shared" si="129"/>
        <v>4.4876854698293442</v>
      </c>
      <c r="W99" s="3497">
        <f t="shared" si="129"/>
        <v>3.3613804206694198</v>
      </c>
      <c r="X99" s="3497">
        <f t="shared" si="129"/>
        <v>3.1207649607043919</v>
      </c>
      <c r="Y99" s="3497">
        <f t="shared" si="129"/>
        <v>1.5910587433121748</v>
      </c>
      <c r="Z99" s="3497">
        <f t="shared" si="129"/>
        <v>1.9968582725621928</v>
      </c>
      <c r="AA99" s="3497">
        <f>100*((AA93+0.001*AA94+0.001*AA95)/Z89)-100</f>
        <v>1.4496179110537639</v>
      </c>
      <c r="AB99" s="3497">
        <f>100*((AB93+0.001*AB94+0.001*AB95)/AA89)-100</f>
        <v>3.1856022328088187</v>
      </c>
      <c r="AC99" s="3497">
        <f>100*((AC93+0.001*AC94+0.001*AC95)/AB89)-100</f>
        <v>2.8390718566330406</v>
      </c>
      <c r="AD99" s="3497">
        <f ca="1">100*((AD93+0.001*AD94+0.001*AD95)/AC89)-100</f>
        <v>3.3780499999999734</v>
      </c>
      <c r="AE99" s="3497">
        <f ca="1">100*((AE93+0.001*AE94+0.001*AE95)/AD89)-100</f>
        <v>3.0828799999999887</v>
      </c>
      <c r="AK99" s="3497">
        <v>2.461641544848689</v>
      </c>
      <c r="AM99" s="3497"/>
    </row>
    <row r="100" spans="1:46" ht="10.65" hidden="1" customHeight="1">
      <c r="A100" s="714"/>
      <c r="B100" s="714"/>
      <c r="C100" s="3493"/>
      <c r="D100" s="3494"/>
      <c r="E100" s="3503" t="s">
        <v>2424</v>
      </c>
      <c r="F100" s="3496"/>
      <c r="G100" s="3499"/>
      <c r="H100" s="3499"/>
      <c r="I100" s="3499"/>
      <c r="J100" s="3499"/>
      <c r="K100" s="3499"/>
      <c r="L100" s="3499"/>
      <c r="M100" s="3499"/>
      <c r="N100" s="3499"/>
      <c r="O100" s="3499"/>
      <c r="P100" s="3499"/>
      <c r="Q100" s="3499"/>
      <c r="R100" s="3499"/>
      <c r="S100" s="3499"/>
      <c r="T100" s="3499"/>
      <c r="U100" s="3499"/>
      <c r="V100" s="3499"/>
      <c r="W100" s="3499"/>
      <c r="X100" s="3707">
        <v>4.3</v>
      </c>
      <c r="Y100" s="3707">
        <v>5.3</v>
      </c>
      <c r="Z100" s="3707">
        <v>2.58</v>
      </c>
      <c r="AA100" s="3707"/>
      <c r="AB100" s="3707"/>
      <c r="AC100" s="3707"/>
      <c r="AD100" s="3707"/>
      <c r="AE100" s="3707"/>
      <c r="AK100" s="3707">
        <v>2.58</v>
      </c>
      <c r="AM100" s="3707"/>
    </row>
    <row r="101" spans="1:46" ht="10.65" hidden="1" customHeight="1">
      <c r="A101" s="714"/>
      <c r="B101" s="714"/>
      <c r="C101" s="3487" t="s">
        <v>622</v>
      </c>
      <c r="D101" s="3488" t="s">
        <v>588</v>
      </c>
      <c r="E101" s="3489" t="s">
        <v>2463</v>
      </c>
      <c r="F101" s="3490"/>
      <c r="G101" s="3491">
        <f>('[2]dir&amp;indir taxes'!C71+[2]TaxesEU!C71)/1000</f>
        <v>0.1391</v>
      </c>
      <c r="H101" s="3491">
        <f>('[2]dir&amp;indir taxes'!D71+[2]TaxesEU!D71)/1000</f>
        <v>0.14510000000000001</v>
      </c>
      <c r="I101" s="3491">
        <f>('[2]dir&amp;indir taxes'!E71+[2]TaxesEU!E71)/1000</f>
        <v>0.15080000000000002</v>
      </c>
      <c r="J101" s="3491">
        <f>('[2]dir&amp;indir taxes'!F71+[2]TaxesEU!F71)/1000</f>
        <v>0.15209999999999999</v>
      </c>
      <c r="K101" s="3491">
        <f>('[2]dir&amp;indir taxes'!G71+[2]TaxesEU!G71)/1000</f>
        <v>0.1741</v>
      </c>
      <c r="L101" s="3491">
        <f>('[2]dir&amp;indir taxes'!H71+[2]TaxesEU!H71)/1000</f>
        <v>0.16119999999999998</v>
      </c>
      <c r="M101" s="3491">
        <f>('[2]dir&amp;indir taxes'!I71+[2]TaxesEU!I71)/1000</f>
        <v>0.15769999999999998</v>
      </c>
      <c r="N101" s="3491">
        <f>('[2]dir&amp;indir taxes'!J71+[2]TaxesEU!J71)/1000</f>
        <v>0.15969999999999998</v>
      </c>
      <c r="O101" s="3491">
        <f>('[2]dir&amp;indir taxes'!K71+[2]TaxesEU!K71)/1000</f>
        <v>0.159</v>
      </c>
      <c r="P101" s="3491">
        <f>('[2]dir&amp;indir taxes'!L71+[2]TaxesEU!L71)/1000</f>
        <v>0.13469999999999999</v>
      </c>
      <c r="Q101" s="3491">
        <f>('[2]dir&amp;indir taxes'!M71+[2]TaxesEU!M71)/1000</f>
        <v>0.1191</v>
      </c>
      <c r="R101" s="3491">
        <f>('[2]dir&amp;indir taxes'!N71+[2]TaxesEU!N71)/1000</f>
        <v>4.5399999999999996E-2</v>
      </c>
      <c r="S101" s="3491">
        <f>('[2]dir&amp;indir taxes'!O71+[2]TaxesEU!O71)/1000</f>
        <v>2.8E-3</v>
      </c>
      <c r="T101" s="3491">
        <f>('[2]dir&amp;indir taxes'!P71+[2]TaxesEU!P71)/1000</f>
        <v>0</v>
      </c>
      <c r="U101" s="3491">
        <f>('[2]dir&amp;indir taxes'!Q71+[2]TaxesEU!Q71)/1000</f>
        <v>0</v>
      </c>
      <c r="V101" s="3491">
        <f>('[2]dir&amp;indir taxes'!R71+[2]TaxesEU!R71)/1000</f>
        <v>0</v>
      </c>
      <c r="W101" s="3491">
        <f>('[2]dir&amp;indir taxes'!S71+[2]TaxesEU!S71)/1000</f>
        <v>0</v>
      </c>
      <c r="X101" s="3491">
        <f>('[2]dir&amp;indir taxes'!T71+[2]TaxesEU!T71)/1000</f>
        <v>0</v>
      </c>
      <c r="Y101" s="3491">
        <f>('[2]dir&amp;indir taxes'!U71+[2]TaxesEU!U71)/1000</f>
        <v>0</v>
      </c>
      <c r="Z101" s="3492">
        <f t="shared" ref="Z101:AE101" si="130">+Y101*(1+Z111/100)</f>
        <v>0</v>
      </c>
      <c r="AA101" s="3492">
        <f t="shared" si="130"/>
        <v>0</v>
      </c>
      <c r="AB101" s="3492">
        <f t="shared" si="130"/>
        <v>0</v>
      </c>
      <c r="AC101" s="3492">
        <f t="shared" si="130"/>
        <v>0</v>
      </c>
      <c r="AD101" s="3492">
        <f t="shared" si="130"/>
        <v>0</v>
      </c>
      <c r="AE101" s="3492">
        <f t="shared" si="130"/>
        <v>0</v>
      </c>
      <c r="AK101" s="3492">
        <v>0</v>
      </c>
      <c r="AM101" s="3492"/>
      <c r="AT101" s="749"/>
    </row>
    <row r="102" spans="1:46" ht="10.65" hidden="1" customHeight="1">
      <c r="A102" s="714"/>
      <c r="B102" s="714"/>
      <c r="C102" s="3493"/>
      <c r="D102" s="3494"/>
      <c r="E102" s="3495" t="s">
        <v>2431</v>
      </c>
      <c r="F102" s="3496"/>
      <c r="G102" s="3497"/>
      <c r="H102" s="3497">
        <f ca="1">'VVP2'!H362</f>
        <v>2.2015156362700239</v>
      </c>
      <c r="I102" s="3497">
        <f>'VVP2'!I362</f>
        <v>4.6430437005423819</v>
      </c>
      <c r="J102" s="3497">
        <f>'VVP2'!J362</f>
        <v>3.7708319780571209</v>
      </c>
      <c r="K102" s="3497">
        <f>'VVP2'!K362</f>
        <v>4.1521670897131546</v>
      </c>
      <c r="L102" s="3497">
        <f>'VVP2'!L362</f>
        <v>5.7307575769983465</v>
      </c>
      <c r="M102" s="3497">
        <f>'VVP2'!M362</f>
        <v>2.9301918504232916</v>
      </c>
      <c r="N102" s="3497">
        <f>'VVP2'!N362</f>
        <v>3.4902576636151039</v>
      </c>
      <c r="O102" s="3497">
        <f>'VVP2'!O362</f>
        <v>2.7525847517551494</v>
      </c>
      <c r="P102" s="3497">
        <f>'VVP2'!P362</f>
        <v>5.6872696909280984</v>
      </c>
      <c r="Q102" s="3497">
        <f>'VVP2'!Q362</f>
        <v>4.2750379296630614</v>
      </c>
      <c r="R102" s="3497">
        <f>'VVP2'!R362</f>
        <v>4.8739119714601875</v>
      </c>
      <c r="S102" s="3497">
        <f>'VVP2'!S362</f>
        <v>5.5257099002302468</v>
      </c>
      <c r="T102" s="3497">
        <f>'VVP2'!T362</f>
        <v>2.7133915944446585</v>
      </c>
      <c r="U102" s="3497">
        <f>'VVP2'!U362</f>
        <v>-1.4926034955639711</v>
      </c>
      <c r="V102" s="3497">
        <f>'VVP2'!V362</f>
        <v>4.6789805984326582</v>
      </c>
      <c r="W102" s="3497">
        <f>'VVP2'!W362</f>
        <v>3.8361492246655304</v>
      </c>
      <c r="X102" s="3497">
        <f>'VVP2'!X362</f>
        <v>2.2141019550453223</v>
      </c>
      <c r="Y102" s="3497">
        <f>'VVP2'!Y362</f>
        <v>1.2489545163988369</v>
      </c>
      <c r="Z102" s="3497">
        <f>'VVP2'!Z362</f>
        <v>2.0258969393367909</v>
      </c>
      <c r="AA102" s="3497">
        <f>'VVP2'!AA362</f>
        <v>2.5349235875551601</v>
      </c>
      <c r="AB102" s="3497">
        <f>'VVP2'!AB362</f>
        <v>3.0731282307170593</v>
      </c>
      <c r="AC102" s="3497">
        <f>'VVP2'!AC362</f>
        <v>3.6488023592572416</v>
      </c>
      <c r="AD102" s="3497">
        <f ca="1">'VVP2'!AD362</f>
        <v>3.3954150367401459</v>
      </c>
      <c r="AE102" s="3497">
        <f ca="1">'VVP2'!AE362</f>
        <v>3.4558744427010568</v>
      </c>
      <c r="AK102" s="3497">
        <v>1.7730011992045824</v>
      </c>
      <c r="AM102" s="3497"/>
    </row>
    <row r="103" spans="1:46" ht="10.65" hidden="1" customHeight="1">
      <c r="A103" s="714"/>
      <c r="B103" s="714"/>
      <c r="C103" s="3493"/>
      <c r="D103" s="3494"/>
      <c r="E103" s="3495" t="s">
        <v>2427</v>
      </c>
      <c r="F103" s="3496"/>
      <c r="G103" s="3498"/>
      <c r="H103" s="3497">
        <f>100*((H101-0.001*H107-0.001*H108)/(G101-0.001*G108)-1)</f>
        <v>4.3134435657800285</v>
      </c>
      <c r="I103" s="3497">
        <f t="shared" ref="I103:AE103" si="131">100*((I101-0.001*I107-0.001*I108)/(H101-0.001*H108)-1)</f>
        <v>3.9283252929014578</v>
      </c>
      <c r="J103" s="3497">
        <f t="shared" si="131"/>
        <v>0.86206896551721535</v>
      </c>
      <c r="K103" s="3497">
        <f t="shared" si="131"/>
        <v>14.464168310322179</v>
      </c>
      <c r="L103" s="3497">
        <f t="shared" si="131"/>
        <v>-7.4095347501436093</v>
      </c>
      <c r="M103" s="3497">
        <f t="shared" si="131"/>
        <v>-2.1712158808933069</v>
      </c>
      <c r="N103" s="3497">
        <f t="shared" si="131"/>
        <v>1.2682308180088864</v>
      </c>
      <c r="O103" s="3497">
        <f t="shared" si="131"/>
        <v>-0.43832185347525421</v>
      </c>
      <c r="P103" s="3497">
        <f t="shared" si="131"/>
        <v>-15.283018867924536</v>
      </c>
      <c r="Q103" s="3497">
        <f t="shared" si="131"/>
        <v>-11.581291759465472</v>
      </c>
      <c r="R103" s="3497">
        <f t="shared" si="131"/>
        <v>-61.880772460117548</v>
      </c>
      <c r="S103" s="3497">
        <f t="shared" si="131"/>
        <v>-93.832599118942724</v>
      </c>
      <c r="T103" s="3497">
        <f t="shared" si="131"/>
        <v>-100</v>
      </c>
      <c r="U103" s="3497" t="e">
        <f t="shared" si="131"/>
        <v>#DIV/0!</v>
      </c>
      <c r="V103" s="3497" t="e">
        <f t="shared" si="131"/>
        <v>#DIV/0!</v>
      </c>
      <c r="W103" s="3497" t="e">
        <f t="shared" si="131"/>
        <v>#DIV/0!</v>
      </c>
      <c r="X103" s="3497" t="e">
        <f t="shared" si="131"/>
        <v>#DIV/0!</v>
      </c>
      <c r="Y103" s="3497" t="e">
        <f t="shared" si="131"/>
        <v>#DIV/0!</v>
      </c>
      <c r="Z103" s="3497" t="e">
        <f t="shared" si="131"/>
        <v>#DIV/0!</v>
      </c>
      <c r="AA103" s="3497" t="e">
        <f t="shared" si="131"/>
        <v>#DIV/0!</v>
      </c>
      <c r="AB103" s="3497" t="e">
        <f t="shared" si="131"/>
        <v>#DIV/0!</v>
      </c>
      <c r="AC103" s="3497" t="e">
        <f t="shared" si="131"/>
        <v>#DIV/0!</v>
      </c>
      <c r="AD103" s="3497" t="e">
        <f t="shared" si="131"/>
        <v>#DIV/0!</v>
      </c>
      <c r="AE103" s="3497" t="e">
        <f t="shared" si="131"/>
        <v>#DIV/0!</v>
      </c>
      <c r="AK103" s="3497" t="e">
        <v>#DIV/0!</v>
      </c>
      <c r="AM103" s="3497"/>
    </row>
    <row r="104" spans="1:46" ht="10.65" hidden="1" customHeight="1">
      <c r="A104" s="714"/>
      <c r="B104" s="714"/>
      <c r="C104" s="3493"/>
      <c r="D104" s="3494"/>
      <c r="E104" s="3495" t="s">
        <v>2428</v>
      </c>
      <c r="F104" s="3496"/>
      <c r="G104" s="3498"/>
      <c r="H104" s="3497">
        <f ca="1">H103/H102</f>
        <v>1.9593063500053964</v>
      </c>
      <c r="I104" s="3497">
        <f t="shared" ref="I104:AA104" si="132">I103/I102</f>
        <v>0.84606683595128918</v>
      </c>
      <c r="J104" s="3497">
        <f t="shared" si="132"/>
        <v>0.22861505644740682</v>
      </c>
      <c r="K104" s="3497">
        <f t="shared" si="132"/>
        <v>3.4835226997864894</v>
      </c>
      <c r="L104" s="3497">
        <f t="shared" si="132"/>
        <v>-1.2929415789429661</v>
      </c>
      <c r="M104" s="3497">
        <f t="shared" si="132"/>
        <v>-0.74098079297424024</v>
      </c>
      <c r="N104" s="3497">
        <f t="shared" si="132"/>
        <v>0.3633630924243258</v>
      </c>
      <c r="O104" s="3497">
        <f t="shared" si="132"/>
        <v>-0.15924009358686014</v>
      </c>
      <c r="P104" s="3497">
        <f t="shared" si="132"/>
        <v>-2.6872330131104647</v>
      </c>
      <c r="Q104" s="3497">
        <f t="shared" si="132"/>
        <v>-2.7090500599086509</v>
      </c>
      <c r="R104" s="3497">
        <f t="shared" si="132"/>
        <v>-12.69632542041553</v>
      </c>
      <c r="S104" s="3497">
        <f t="shared" si="132"/>
        <v>-16.981093979441969</v>
      </c>
      <c r="T104" s="3497">
        <f t="shared" si="132"/>
        <v>-36.854245514999725</v>
      </c>
      <c r="U104" s="3497" t="e">
        <f t="shared" si="132"/>
        <v>#DIV/0!</v>
      </c>
      <c r="V104" s="3497" t="e">
        <f t="shared" si="132"/>
        <v>#DIV/0!</v>
      </c>
      <c r="W104" s="3497" t="e">
        <f t="shared" si="132"/>
        <v>#DIV/0!</v>
      </c>
      <c r="X104" s="3497" t="e">
        <f t="shared" si="132"/>
        <v>#DIV/0!</v>
      </c>
      <c r="Y104" s="3497" t="e">
        <f t="shared" ref="Y104" si="133">Y103/Y102</f>
        <v>#DIV/0!</v>
      </c>
      <c r="Z104" s="3497" t="e">
        <f t="shared" si="132"/>
        <v>#DIV/0!</v>
      </c>
      <c r="AA104" s="3497" t="e">
        <f t="shared" si="132"/>
        <v>#DIV/0!</v>
      </c>
      <c r="AB104" s="3497" t="e">
        <f t="shared" ref="AB104:AC104" si="134">AB103/AB102</f>
        <v>#DIV/0!</v>
      </c>
      <c r="AC104" s="3497" t="e">
        <f t="shared" si="134"/>
        <v>#DIV/0!</v>
      </c>
      <c r="AD104" s="3497" t="e">
        <f t="shared" ref="AD104" ca="1" si="135">AD103/AD102</f>
        <v>#DIV/0!</v>
      </c>
      <c r="AE104" s="3497" t="e">
        <f t="shared" ref="AE104" ca="1" si="136">AE103/AE102</f>
        <v>#DIV/0!</v>
      </c>
      <c r="AK104" s="3497" t="e">
        <v>#DIV/0!</v>
      </c>
      <c r="AM104" s="3497"/>
    </row>
    <row r="105" spans="1:46" ht="6" hidden="1" customHeight="1">
      <c r="A105" s="714"/>
      <c r="B105" s="714"/>
      <c r="C105" s="3493"/>
      <c r="D105" s="3494"/>
      <c r="E105" s="3495"/>
      <c r="F105" s="3496"/>
      <c r="G105" s="3499"/>
      <c r="H105" s="3499"/>
      <c r="I105" s="3499"/>
      <c r="J105" s="3499"/>
      <c r="K105" s="3499"/>
      <c r="L105" s="3499"/>
      <c r="M105" s="3499"/>
      <c r="N105" s="3499"/>
      <c r="O105" s="3499"/>
      <c r="P105" s="3499"/>
      <c r="Q105" s="3499"/>
      <c r="R105" s="3499"/>
      <c r="S105" s="3499"/>
      <c r="T105" s="3499"/>
      <c r="U105" s="3499"/>
      <c r="V105" s="3499"/>
      <c r="W105" s="3499"/>
      <c r="X105" s="3499"/>
      <c r="Y105" s="3499"/>
      <c r="Z105" s="3499"/>
      <c r="AA105" s="3499"/>
      <c r="AB105" s="3499"/>
      <c r="AC105" s="3499"/>
      <c r="AD105" s="3499"/>
      <c r="AE105" s="3499"/>
      <c r="AK105" s="3499"/>
      <c r="AM105" s="3499"/>
    </row>
    <row r="106" spans="1:46" ht="10.65" hidden="1" customHeight="1">
      <c r="A106" s="714"/>
      <c r="B106" s="714"/>
      <c r="C106" s="3493"/>
      <c r="D106" s="3494"/>
      <c r="E106" s="3495" t="s">
        <v>2432</v>
      </c>
      <c r="F106" s="3496"/>
      <c r="G106" s="3499"/>
      <c r="H106" s="3497"/>
      <c r="I106" s="3497"/>
      <c r="J106" s="3497"/>
      <c r="K106" s="3497">
        <f ca="1">(1+AVERAGE(G104:J104)*K102/100)*(J101-J108/1000)</f>
        <v>0.15848699644825828</v>
      </c>
      <c r="L106" s="3497">
        <f t="shared" ref="L106:AE106" ca="1" si="137">(1+AVERAGE(H104:K104)*L102/100)*(K101-K108/1000)</f>
        <v>0.1903567072873846</v>
      </c>
      <c r="M106" s="3497">
        <f t="shared" si="137"/>
        <v>0.16505584236956905</v>
      </c>
      <c r="N106" s="3497">
        <f t="shared" si="137"/>
        <v>0.16000928156891195</v>
      </c>
      <c r="O106" s="3497">
        <f t="shared" si="137"/>
        <v>0.16169239143487635</v>
      </c>
      <c r="P106" s="3497">
        <f t="shared" si="137"/>
        <v>0.15486339140028924</v>
      </c>
      <c r="Q106" s="3497">
        <f t="shared" si="137"/>
        <v>0.13005853754260702</v>
      </c>
      <c r="R106" s="3497">
        <f t="shared" si="137"/>
        <v>0.11156509945208494</v>
      </c>
      <c r="S106" s="3497">
        <f t="shared" si="137"/>
        <v>3.3953023280649267E-2</v>
      </c>
      <c r="T106" s="3497">
        <f t="shared" si="137"/>
        <v>2.1338191736683062E-3</v>
      </c>
      <c r="U106" s="3497">
        <f t="shared" si="137"/>
        <v>0</v>
      </c>
      <c r="V106" s="3497" t="e">
        <f t="shared" si="137"/>
        <v>#DIV/0!</v>
      </c>
      <c r="W106" s="3497" t="e">
        <f t="shared" si="137"/>
        <v>#DIV/0!</v>
      </c>
      <c r="X106" s="3497" t="e">
        <f t="shared" si="137"/>
        <v>#DIV/0!</v>
      </c>
      <c r="Y106" s="3497" t="e">
        <f t="shared" si="137"/>
        <v>#DIV/0!</v>
      </c>
      <c r="Z106" s="3497" t="e">
        <f t="shared" si="137"/>
        <v>#DIV/0!</v>
      </c>
      <c r="AA106" s="3497" t="e">
        <f t="shared" si="137"/>
        <v>#DIV/0!</v>
      </c>
      <c r="AB106" s="3497" t="e">
        <f t="shared" si="137"/>
        <v>#DIV/0!</v>
      </c>
      <c r="AC106" s="3497" t="e">
        <f t="shared" si="137"/>
        <v>#DIV/0!</v>
      </c>
      <c r="AD106" s="3497" t="e">
        <f t="shared" ca="1" si="137"/>
        <v>#DIV/0!</v>
      </c>
      <c r="AE106" s="3497" t="e">
        <f t="shared" ca="1" si="137"/>
        <v>#DIV/0!</v>
      </c>
      <c r="AK106" s="3497" t="e">
        <v>#DIV/0!</v>
      </c>
      <c r="AM106" s="3497"/>
    </row>
    <row r="107" spans="1:46" ht="10.65" hidden="1" customHeight="1">
      <c r="A107" s="714"/>
      <c r="B107" s="714"/>
      <c r="C107" s="3493"/>
      <c r="D107" s="3494"/>
      <c r="E107" s="3495" t="s">
        <v>2433</v>
      </c>
      <c r="F107" s="3496"/>
      <c r="G107" s="3499"/>
      <c r="H107" s="3499"/>
      <c r="I107" s="3499"/>
      <c r="J107" s="3499"/>
      <c r="K107" s="3499"/>
      <c r="L107" s="3499"/>
      <c r="M107" s="3499"/>
      <c r="N107" s="3499"/>
      <c r="O107" s="3499"/>
      <c r="P107" s="3499"/>
      <c r="Q107" s="3499"/>
      <c r="R107" s="3499"/>
      <c r="S107" s="3499"/>
      <c r="T107" s="3499"/>
      <c r="U107" s="3500"/>
      <c r="V107" s="3500"/>
      <c r="W107" s="3713"/>
      <c r="X107" s="3713"/>
      <c r="Y107" s="3713"/>
      <c r="Z107" s="3714">
        <v>70</v>
      </c>
      <c r="AA107" s="3713"/>
      <c r="AB107" s="3713"/>
      <c r="AC107" s="3713"/>
      <c r="AD107" s="3713"/>
      <c r="AE107" s="3713"/>
      <c r="AK107" s="3714">
        <v>70</v>
      </c>
      <c r="AM107" s="3714"/>
    </row>
    <row r="108" spans="1:46" ht="10.65" hidden="1" customHeight="1">
      <c r="A108" s="714"/>
      <c r="B108" s="714"/>
      <c r="C108" s="3493"/>
      <c r="D108" s="3494"/>
      <c r="E108" s="3495" t="s">
        <v>2434</v>
      </c>
      <c r="F108" s="3496"/>
      <c r="G108" s="3499"/>
      <c r="H108" s="3499"/>
      <c r="I108" s="3499"/>
      <c r="J108" s="3499"/>
      <c r="K108" s="3499"/>
      <c r="L108" s="3499"/>
      <c r="M108" s="3499"/>
      <c r="N108" s="3499"/>
      <c r="O108" s="3499"/>
      <c r="P108" s="3499"/>
      <c r="Q108" s="3499"/>
      <c r="R108" s="3499"/>
      <c r="S108" s="3499"/>
      <c r="T108" s="3499"/>
      <c r="U108" s="3500"/>
      <c r="V108" s="3500"/>
      <c r="W108" s="3713"/>
      <c r="X108" s="3713"/>
      <c r="Y108" s="3713"/>
      <c r="Z108" s="3713"/>
      <c r="AA108" s="3713"/>
      <c r="AB108" s="3713"/>
      <c r="AC108" s="3713"/>
      <c r="AD108" s="3713"/>
      <c r="AE108" s="3713"/>
      <c r="AK108" s="3713"/>
      <c r="AM108" s="3713"/>
    </row>
    <row r="109" spans="1:46" ht="10.65" hidden="1" customHeight="1">
      <c r="A109" s="714"/>
      <c r="B109" s="714"/>
      <c r="C109" s="3493"/>
      <c r="D109" s="3494"/>
      <c r="E109" s="3495" t="s">
        <v>2422</v>
      </c>
      <c r="F109" s="3496"/>
      <c r="G109" s="3499"/>
      <c r="H109" s="3497">
        <f>H101-H106-(H107/1000)-(H108/1000)</f>
        <v>0.14510000000000001</v>
      </c>
      <c r="I109" s="3497">
        <f t="shared" ref="I109:AA109" si="138">I101-I106-(I107/1000)-(I108/1000)</f>
        <v>0.15080000000000002</v>
      </c>
      <c r="J109" s="3497">
        <f t="shared" si="138"/>
        <v>0.15209999999999999</v>
      </c>
      <c r="K109" s="3497">
        <f t="shared" ca="1" si="138"/>
        <v>1.5613003551741722E-2</v>
      </c>
      <c r="L109" s="3497">
        <f t="shared" ca="1" si="138"/>
        <v>-2.915670728738462E-2</v>
      </c>
      <c r="M109" s="3497">
        <f t="shared" si="138"/>
        <v>-7.3558423695690711E-3</v>
      </c>
      <c r="N109" s="3497">
        <f t="shared" si="138"/>
        <v>-3.0928156891196767E-4</v>
      </c>
      <c r="O109" s="3497">
        <f t="shared" si="138"/>
        <v>-2.6923914348763456E-3</v>
      </c>
      <c r="P109" s="3497">
        <f t="shared" si="138"/>
        <v>-2.0163391400289249E-2</v>
      </c>
      <c r="Q109" s="3497">
        <f t="shared" si="138"/>
        <v>-1.0958537542607019E-2</v>
      </c>
      <c r="R109" s="3497">
        <f t="shared" si="138"/>
        <v>-6.6165099452084944E-2</v>
      </c>
      <c r="S109" s="3497">
        <f t="shared" si="138"/>
        <v>-3.1153023280649266E-2</v>
      </c>
      <c r="T109" s="3497">
        <f t="shared" si="138"/>
        <v>-2.1338191736683062E-3</v>
      </c>
      <c r="U109" s="3497">
        <f t="shared" si="138"/>
        <v>0</v>
      </c>
      <c r="V109" s="3497" t="e">
        <f t="shared" si="138"/>
        <v>#DIV/0!</v>
      </c>
      <c r="W109" s="3497" t="e">
        <f t="shared" si="138"/>
        <v>#DIV/0!</v>
      </c>
      <c r="X109" s="3497" t="e">
        <f t="shared" si="138"/>
        <v>#DIV/0!</v>
      </c>
      <c r="Y109" s="3497" t="e">
        <f t="shared" ref="Y109" si="139">Y101-Y106-(Y107/1000)-(Y108/1000)</f>
        <v>#DIV/0!</v>
      </c>
      <c r="Z109" s="3497" t="e">
        <f t="shared" si="138"/>
        <v>#DIV/0!</v>
      </c>
      <c r="AA109" s="3497" t="e">
        <f t="shared" si="138"/>
        <v>#DIV/0!</v>
      </c>
      <c r="AB109" s="3497" t="e">
        <f t="shared" ref="AB109:AC109" si="140">AB101-AB106-(AB107/1000)-(AB108/1000)</f>
        <v>#DIV/0!</v>
      </c>
      <c r="AC109" s="3497" t="e">
        <f t="shared" si="140"/>
        <v>#DIV/0!</v>
      </c>
      <c r="AD109" s="3497" t="e">
        <f t="shared" ref="AD109" ca="1" si="141">AD101-AD106-(AD107/1000)-(AD108/1000)</f>
        <v>#DIV/0!</v>
      </c>
      <c r="AE109" s="3497" t="e">
        <f t="shared" ref="AE109" ca="1" si="142">AE101-AE106-(AE107/1000)-(AE108/1000)</f>
        <v>#DIV/0!</v>
      </c>
      <c r="AK109" s="3497" t="e">
        <v>#DIV/0!</v>
      </c>
      <c r="AM109" s="3497"/>
    </row>
    <row r="110" spans="1:46" ht="7.5" hidden="1" customHeight="1">
      <c r="A110" s="714"/>
      <c r="B110" s="714"/>
      <c r="C110" s="3493"/>
      <c r="D110" s="3494"/>
      <c r="E110" s="3495"/>
      <c r="F110" s="3496"/>
      <c r="G110" s="3499"/>
      <c r="H110" s="3499"/>
      <c r="I110" s="3499"/>
      <c r="J110" s="3499"/>
      <c r="K110" s="3499"/>
      <c r="L110" s="3499"/>
      <c r="M110" s="3499"/>
      <c r="N110" s="3499"/>
      <c r="O110" s="3499"/>
      <c r="P110" s="3499"/>
      <c r="Q110" s="3499"/>
      <c r="R110" s="3499"/>
      <c r="S110" s="3499"/>
      <c r="T110" s="3499"/>
      <c r="U110" s="3499"/>
      <c r="V110" s="3499"/>
      <c r="W110" s="3499"/>
      <c r="X110" s="3499"/>
      <c r="Y110" s="3499"/>
      <c r="Z110" s="3499"/>
      <c r="AA110" s="3499"/>
      <c r="AB110" s="3499"/>
      <c r="AC110" s="3499"/>
      <c r="AD110" s="3499"/>
      <c r="AE110" s="3499"/>
      <c r="AK110" s="3499"/>
      <c r="AM110" s="3499"/>
    </row>
    <row r="111" spans="1:46" ht="10.65" hidden="1" customHeight="1">
      <c r="A111" s="714"/>
      <c r="B111" s="714"/>
      <c r="C111" s="3493"/>
      <c r="D111" s="3494"/>
      <c r="E111" s="3495" t="s">
        <v>401</v>
      </c>
      <c r="F111" s="3496"/>
      <c r="G111" s="3499"/>
      <c r="H111" s="3497">
        <f t="shared" ref="H111:Y111" si="143">(H101/G101-1)*100</f>
        <v>4.3134435657800285</v>
      </c>
      <c r="I111" s="3497">
        <f t="shared" si="143"/>
        <v>3.9283252929014578</v>
      </c>
      <c r="J111" s="3497">
        <f t="shared" si="143"/>
        <v>0.86206896551721535</v>
      </c>
      <c r="K111" s="3497">
        <f t="shared" si="143"/>
        <v>14.464168310322179</v>
      </c>
      <c r="L111" s="3497">
        <f t="shared" si="143"/>
        <v>-7.4095347501436093</v>
      </c>
      <c r="M111" s="3497">
        <f t="shared" si="143"/>
        <v>-2.1712158808933069</v>
      </c>
      <c r="N111" s="3497">
        <f t="shared" si="143"/>
        <v>1.2682308180088864</v>
      </c>
      <c r="O111" s="3497">
        <f t="shared" si="143"/>
        <v>-0.43832185347525421</v>
      </c>
      <c r="P111" s="3497">
        <f t="shared" si="143"/>
        <v>-15.283018867924536</v>
      </c>
      <c r="Q111" s="3497">
        <f t="shared" si="143"/>
        <v>-11.581291759465472</v>
      </c>
      <c r="R111" s="3497">
        <f t="shared" si="143"/>
        <v>-61.880772460117548</v>
      </c>
      <c r="S111" s="3497">
        <f t="shared" si="143"/>
        <v>-93.832599118942724</v>
      </c>
      <c r="T111" s="3497">
        <f t="shared" si="143"/>
        <v>-100</v>
      </c>
      <c r="U111" s="3497" t="e">
        <f t="shared" si="143"/>
        <v>#DIV/0!</v>
      </c>
      <c r="V111" s="3497" t="e">
        <f t="shared" si="143"/>
        <v>#DIV/0!</v>
      </c>
      <c r="W111" s="3497" t="e">
        <f t="shared" si="143"/>
        <v>#DIV/0!</v>
      </c>
      <c r="X111" s="3497" t="e">
        <f t="shared" si="143"/>
        <v>#DIV/0!</v>
      </c>
      <c r="Y111" s="3497" t="e">
        <f t="shared" si="143"/>
        <v>#DIV/0!</v>
      </c>
      <c r="Z111" s="3709">
        <v>6</v>
      </c>
      <c r="AA111" s="3709">
        <v>6.5</v>
      </c>
      <c r="AB111" s="3709">
        <v>6.5</v>
      </c>
      <c r="AC111" s="3709">
        <v>6.5</v>
      </c>
      <c r="AD111" s="3709">
        <v>6.5</v>
      </c>
      <c r="AE111" s="3709">
        <v>6.5</v>
      </c>
      <c r="AK111" s="3709">
        <v>6</v>
      </c>
      <c r="AM111" s="3709"/>
    </row>
    <row r="112" spans="1:46" ht="10.65" hidden="1" customHeight="1">
      <c r="A112" s="714"/>
      <c r="B112" s="714"/>
      <c r="C112" s="3493"/>
      <c r="D112" s="3494"/>
      <c r="E112" s="3503" t="s">
        <v>2445</v>
      </c>
      <c r="F112" s="3496"/>
      <c r="G112" s="3499"/>
      <c r="H112" s="3497"/>
      <c r="I112" s="3497"/>
      <c r="J112" s="3497"/>
      <c r="K112" s="3497"/>
      <c r="L112" s="3497">
        <f t="shared" ref="L112:Z112" ca="1" si="144">100*((L106+0.001*L107+0.001*L108)/K101)-100</f>
        <v>9.3375688037820765</v>
      </c>
      <c r="M112" s="3497">
        <f t="shared" si="144"/>
        <v>2.3919617677227336</v>
      </c>
      <c r="N112" s="3497">
        <f t="shared" si="144"/>
        <v>1.4643510265770203</v>
      </c>
      <c r="O112" s="3497">
        <f t="shared" si="144"/>
        <v>1.247583866547501</v>
      </c>
      <c r="P112" s="3497">
        <f t="shared" si="144"/>
        <v>-2.6016406287489104</v>
      </c>
      <c r="Q112" s="3497">
        <f t="shared" si="144"/>
        <v>-3.4457776224149654</v>
      </c>
      <c r="R112" s="3497">
        <f t="shared" si="144"/>
        <v>-6.3265327858228915</v>
      </c>
      <c r="S112" s="3497">
        <f t="shared" si="144"/>
        <v>-25.213605108702055</v>
      </c>
      <c r="T112" s="3497">
        <f t="shared" si="144"/>
        <v>-23.792172368989057</v>
      </c>
      <c r="U112" s="3497" t="e">
        <f t="shared" si="144"/>
        <v>#DIV/0!</v>
      </c>
      <c r="V112" s="3497" t="e">
        <f t="shared" si="144"/>
        <v>#DIV/0!</v>
      </c>
      <c r="W112" s="3497" t="e">
        <f t="shared" si="144"/>
        <v>#DIV/0!</v>
      </c>
      <c r="X112" s="3497" t="e">
        <f t="shared" si="144"/>
        <v>#DIV/0!</v>
      </c>
      <c r="Y112" s="3497" t="e">
        <f t="shared" si="144"/>
        <v>#DIV/0!</v>
      </c>
      <c r="Z112" s="3497" t="e">
        <f t="shared" si="144"/>
        <v>#DIV/0!</v>
      </c>
      <c r="AA112" s="3497" t="e">
        <f>100*((AA106+0.001*AA107+0.001*AA108)/Z101)-100</f>
        <v>#DIV/0!</v>
      </c>
      <c r="AB112" s="3497" t="e">
        <f>100*((AB106+0.001*AB107+0.001*AB108)/AA101)-100</f>
        <v>#DIV/0!</v>
      </c>
      <c r="AC112" s="3497" t="e">
        <f>100*((AC106+0.001*AC107+0.001*AC108)/AB101)-100</f>
        <v>#DIV/0!</v>
      </c>
      <c r="AD112" s="3497" t="e">
        <f ca="1">100*((AD106+0.001*AD107+0.001*AD108)/AC101)-100</f>
        <v>#DIV/0!</v>
      </c>
      <c r="AE112" s="3497" t="e">
        <f ca="1">100*((AE106+0.001*AE107+0.001*AE108)/AD101)-100</f>
        <v>#DIV/0!</v>
      </c>
      <c r="AK112" s="3497" t="e">
        <v>#DIV/0!</v>
      </c>
      <c r="AM112" s="3497"/>
    </row>
    <row r="113" spans="1:46" ht="10.65" hidden="1" customHeight="1">
      <c r="A113" s="714"/>
      <c r="B113" s="714"/>
      <c r="C113" s="3493"/>
      <c r="D113" s="3494"/>
      <c r="E113" s="3503" t="s">
        <v>2424</v>
      </c>
      <c r="F113" s="3496"/>
      <c r="G113" s="3499"/>
      <c r="H113" s="3499"/>
      <c r="I113" s="3499"/>
      <c r="J113" s="3499"/>
      <c r="K113" s="3499"/>
      <c r="L113" s="3499"/>
      <c r="M113" s="3499"/>
      <c r="N113" s="3499"/>
      <c r="O113" s="3499"/>
      <c r="P113" s="3499"/>
      <c r="Q113" s="3499"/>
      <c r="R113" s="3499"/>
      <c r="S113" s="3499"/>
      <c r="T113" s="3499"/>
      <c r="U113" s="3499"/>
      <c r="V113" s="3499"/>
      <c r="W113" s="3499"/>
      <c r="X113" s="3707">
        <v>-0.08</v>
      </c>
      <c r="Y113" s="3707">
        <v>0.92</v>
      </c>
      <c r="Z113" s="3707">
        <v>6.04</v>
      </c>
      <c r="AA113" s="3707"/>
      <c r="AB113" s="3707"/>
      <c r="AC113" s="3707"/>
      <c r="AD113" s="3707"/>
      <c r="AE113" s="3707"/>
      <c r="AK113" s="3707">
        <v>6.04</v>
      </c>
      <c r="AM113" s="3707"/>
    </row>
    <row r="114" spans="1:46" ht="10.65" hidden="1" customHeight="1">
      <c r="A114" s="714"/>
      <c r="B114" s="714"/>
      <c r="C114" s="3487" t="s">
        <v>622</v>
      </c>
      <c r="D114" s="3488" t="s">
        <v>588</v>
      </c>
      <c r="E114" s="3489" t="s">
        <v>2474</v>
      </c>
      <c r="F114" s="3490"/>
      <c r="G114" s="3491">
        <f t="shared" ref="G114:X114" ca="1" si="145">G126-G61-G77-G89-G101</f>
        <v>-20.397399999999994</v>
      </c>
      <c r="H114" s="3491">
        <f t="shared" si="145"/>
        <v>-21.848099999999995</v>
      </c>
      <c r="I114" s="3491">
        <f t="shared" si="145"/>
        <v>-23.0746</v>
      </c>
      <c r="J114" s="3491">
        <f t="shared" si="145"/>
        <v>-24.046299999999999</v>
      </c>
      <c r="K114" s="3491">
        <f t="shared" si="145"/>
        <v>-26.086299999999998</v>
      </c>
      <c r="L114" s="3491">
        <f t="shared" si="145"/>
        <v>-27.322500000000002</v>
      </c>
      <c r="M114" s="3491">
        <f t="shared" si="145"/>
        <v>-27.073999999999998</v>
      </c>
      <c r="N114" s="3491">
        <f t="shared" si="145"/>
        <v>-28.430900000000001</v>
      </c>
      <c r="O114" s="3491">
        <f t="shared" si="145"/>
        <v>-29.000399999999999</v>
      </c>
      <c r="P114" s="3491">
        <f t="shared" si="145"/>
        <v>-31.461700000000004</v>
      </c>
      <c r="Q114" s="3491">
        <f t="shared" si="145"/>
        <v>-33.299499999999995</v>
      </c>
      <c r="R114" s="3491">
        <f t="shared" si="145"/>
        <v>-34.433800000000005</v>
      </c>
      <c r="S114" s="3491">
        <f t="shared" si="145"/>
        <v>-35.986899999999999</v>
      </c>
      <c r="T114" s="3491">
        <f t="shared" si="145"/>
        <v>-35.916300000000007</v>
      </c>
      <c r="U114" s="3491">
        <f t="shared" si="145"/>
        <v>-35.306399999999996</v>
      </c>
      <c r="V114" s="3491">
        <f t="shared" si="145"/>
        <v>-37.890299999999996</v>
      </c>
      <c r="W114" s="3491">
        <f t="shared" si="145"/>
        <v>-39.100099999999998</v>
      </c>
      <c r="X114" s="3491">
        <f t="shared" si="145"/>
        <v>-40.023700000000005</v>
      </c>
      <c r="Y114" s="3491">
        <f t="shared" ref="Y114" si="146">Y126-Y61-Y77-Y89-Y101</f>
        <v>-40.747299999999996</v>
      </c>
      <c r="Z114" s="3492">
        <f t="shared" ref="Z114:AE114" si="147">+Y114*(1+Z123/100)</f>
        <v>-44.088578599999998</v>
      </c>
      <c r="AA114" s="3492">
        <f t="shared" si="147"/>
        <v>-45.323058800799998</v>
      </c>
      <c r="AB114" s="3492">
        <f t="shared" si="147"/>
        <v>-46.592104447222397</v>
      </c>
      <c r="AC114" s="3492">
        <f t="shared" si="147"/>
        <v>-47.896683371744622</v>
      </c>
      <c r="AD114" s="3492">
        <f t="shared" si="147"/>
        <v>-49.237790506153473</v>
      </c>
      <c r="AE114" s="3492">
        <f t="shared" si="147"/>
        <v>-50.616448640325771</v>
      </c>
      <c r="AK114" s="3492">
        <v>-44.070833799999996</v>
      </c>
      <c r="AM114" s="3492"/>
      <c r="AT114" s="749"/>
    </row>
    <row r="115" spans="1:46" ht="10.65" hidden="1" customHeight="1">
      <c r="A115" s="714"/>
      <c r="B115" s="714"/>
      <c r="C115" s="3493"/>
      <c r="D115" s="3494"/>
      <c r="E115" s="3495" t="s">
        <v>761</v>
      </c>
      <c r="F115" s="3496"/>
      <c r="G115" s="3497">
        <f ca="1">'VVP2'!G192</f>
        <v>112.9679</v>
      </c>
      <c r="H115" s="3497">
        <f>'VVP2'!H192</f>
        <v>116.6069</v>
      </c>
      <c r="I115" s="3497">
        <f>'VVP2'!I192</f>
        <v>120.49119999999999</v>
      </c>
      <c r="J115" s="3497">
        <f>'VVP2'!J192</f>
        <v>125.2568</v>
      </c>
      <c r="K115" s="3497">
        <f>'VVP2'!K192</f>
        <v>128.14839999999998</v>
      </c>
      <c r="L115" s="3497">
        <f>'VVP2'!L192</f>
        <v>136.1028</v>
      </c>
      <c r="M115" s="3497">
        <f>'VVP2'!M192</f>
        <v>140.29089999999999</v>
      </c>
      <c r="N115" s="3497">
        <f>'VVP2'!N192</f>
        <v>142.79829999999998</v>
      </c>
      <c r="O115" s="3497">
        <f>'VVP2'!O192</f>
        <v>145.8004</v>
      </c>
      <c r="P115" s="3497">
        <f>'VVP2'!P192</f>
        <v>151.649</v>
      </c>
      <c r="Q115" s="3497">
        <f>'VVP2'!Q192</f>
        <v>157.66120000000001</v>
      </c>
      <c r="R115" s="3497">
        <f>'VVP2'!R192</f>
        <v>164.9487</v>
      </c>
      <c r="S115" s="3497">
        <f>'VVP2'!S192</f>
        <v>172.86610000000002</v>
      </c>
      <c r="T115" s="3497">
        <f>'VVP2'!T192</f>
        <v>181.39229999999998</v>
      </c>
      <c r="U115" s="3497">
        <f>'VVP2'!U192</f>
        <v>181.54570000000001</v>
      </c>
      <c r="V115" s="3497">
        <f>'VVP2'!V192</f>
        <v>189.69289999999998</v>
      </c>
      <c r="W115" s="3497">
        <f>'VVP2'!W192</f>
        <v>196.06920000000002</v>
      </c>
      <c r="X115" s="3497">
        <f>'VVP2'!X192</f>
        <v>201.18220000000002</v>
      </c>
      <c r="Y115" s="3497">
        <f>'VVP2'!Y192</f>
        <v>204.38479999999998</v>
      </c>
      <c r="Z115" s="3497">
        <f>'VVP2'!Z192</f>
        <v>206.88900000000001</v>
      </c>
      <c r="AA115" s="3497">
        <f>'VVP2'!AA192</f>
        <v>209.88810000000001</v>
      </c>
      <c r="AB115" s="3497">
        <f>'VVP2'!AB192</f>
        <v>216.57429999999999</v>
      </c>
      <c r="AC115" s="3497">
        <f>'VVP2'!AC192</f>
        <v>222.72300000000001</v>
      </c>
      <c r="AD115" s="3497">
        <f ca="1">'VVP2'!AD192</f>
        <v>230.24669430149996</v>
      </c>
      <c r="AE115" s="3497">
        <f ca="1">'VVP2'!AE192</f>
        <v>237.344923590782</v>
      </c>
      <c r="AK115" s="3497">
        <v>207.422</v>
      </c>
      <c r="AM115" s="3497"/>
    </row>
    <row r="116" spans="1:46" ht="10.65" hidden="1" customHeight="1">
      <c r="A116" s="714"/>
      <c r="B116" s="714"/>
      <c r="C116" s="3493"/>
      <c r="D116" s="3494"/>
      <c r="E116" s="3495" t="s">
        <v>2426</v>
      </c>
      <c r="F116" s="3496"/>
      <c r="G116" s="3498">
        <f ca="1">(G114-0.001*G120)/G115</f>
        <v>-0.18055925621349067</v>
      </c>
      <c r="H116" s="3498">
        <f t="shared" ref="H116:AA116" si="148">(H114-0.001*H120)/H115</f>
        <v>-0.18736541319596006</v>
      </c>
      <c r="I116" s="3498">
        <f t="shared" si="148"/>
        <v>-0.19150444181815768</v>
      </c>
      <c r="J116" s="3498">
        <f t="shared" si="148"/>
        <v>-0.19197600449636265</v>
      </c>
      <c r="K116" s="3498">
        <f t="shared" si="148"/>
        <v>-0.20356321265033353</v>
      </c>
      <c r="L116" s="3498">
        <f t="shared" si="148"/>
        <v>-0.20074899267318527</v>
      </c>
      <c r="M116" s="3498">
        <f t="shared" si="148"/>
        <v>-0.19298471960761532</v>
      </c>
      <c r="N116" s="3498">
        <f t="shared" si="148"/>
        <v>-0.19909830859330963</v>
      </c>
      <c r="O116" s="3498">
        <f t="shared" si="148"/>
        <v>-0.19890480410204636</v>
      </c>
      <c r="P116" s="3498">
        <f t="shared" si="148"/>
        <v>-0.20746394634979462</v>
      </c>
      <c r="Q116" s="3498">
        <f t="shared" si="148"/>
        <v>-0.21120922585899379</v>
      </c>
      <c r="R116" s="3498">
        <f t="shared" si="148"/>
        <v>-0.20875460067281526</v>
      </c>
      <c r="S116" s="3498">
        <f t="shared" si="148"/>
        <v>-0.208177890286181</v>
      </c>
      <c r="T116" s="3498">
        <f t="shared" si="148"/>
        <v>-0.19800344336556741</v>
      </c>
      <c r="U116" s="3498">
        <f t="shared" si="148"/>
        <v>-0.19447665243517193</v>
      </c>
      <c r="V116" s="3498">
        <f t="shared" si="148"/>
        <v>-0.19974548335757428</v>
      </c>
      <c r="W116" s="3498">
        <f t="shared" si="148"/>
        <v>-0.19941989868883023</v>
      </c>
      <c r="X116" s="3498">
        <f t="shared" si="148"/>
        <v>-0.19894255058350094</v>
      </c>
      <c r="Y116" s="3498">
        <f t="shared" ref="Y116" si="149">(Y114-0.001*Y120)/Y115</f>
        <v>-0.19936560840140755</v>
      </c>
      <c r="Z116" s="3498">
        <f t="shared" si="148"/>
        <v>-0.21310257481064723</v>
      </c>
      <c r="AA116" s="3498">
        <f t="shared" si="148"/>
        <v>-0.21593915424838281</v>
      </c>
      <c r="AB116" s="3498">
        <f t="shared" ref="AB116:AC116" si="150">(AB114-0.001*AB120)/AB115</f>
        <v>-0.2151321945735131</v>
      </c>
      <c r="AC116" s="3498">
        <f t="shared" si="150"/>
        <v>-0.21505045896357636</v>
      </c>
      <c r="AD116" s="3498">
        <f t="shared" ref="AD116" ca="1" si="151">(AD114-0.001*AD120)/AD115</f>
        <v>-0.21384798012204387</v>
      </c>
      <c r="AE116" s="3498">
        <f t="shared" ref="AE116" ca="1" si="152">(AE114-0.001*AE120)/AE115</f>
        <v>-0.21326113857651352</v>
      </c>
      <c r="AK116" s="3498">
        <v>-0.21246942850806566</v>
      </c>
      <c r="AM116" s="3498"/>
    </row>
    <row r="117" spans="1:46" ht="4.5" hidden="1" customHeight="1">
      <c r="A117" s="714"/>
      <c r="B117" s="714"/>
      <c r="C117" s="3493"/>
      <c r="D117" s="3494"/>
      <c r="E117" s="3495"/>
      <c r="F117" s="3496"/>
      <c r="G117" s="3498"/>
      <c r="H117" s="3498"/>
      <c r="I117" s="3498"/>
      <c r="J117" s="3498"/>
      <c r="K117" s="3498"/>
      <c r="L117" s="3498"/>
      <c r="M117" s="3498"/>
      <c r="N117" s="3498"/>
      <c r="O117" s="3498"/>
      <c r="P117" s="3498"/>
      <c r="Q117" s="3498"/>
      <c r="R117" s="3498"/>
      <c r="S117" s="3498"/>
      <c r="T117" s="3498"/>
      <c r="U117" s="3498"/>
      <c r="V117" s="3498"/>
      <c r="W117" s="3498"/>
      <c r="X117" s="3498"/>
      <c r="Y117" s="3498"/>
      <c r="Z117" s="3498"/>
      <c r="AA117" s="3498"/>
      <c r="AB117" s="3498"/>
      <c r="AC117" s="3498"/>
      <c r="AD117" s="3498"/>
      <c r="AE117" s="3498"/>
      <c r="AK117" s="3498"/>
      <c r="AM117" s="3498"/>
    </row>
    <row r="118" spans="1:46" ht="10.65" hidden="1" customHeight="1">
      <c r="A118" s="714"/>
      <c r="B118" s="714"/>
      <c r="C118" s="3493"/>
      <c r="D118" s="3494"/>
      <c r="E118" s="3495" t="s">
        <v>2420</v>
      </c>
      <c r="F118" s="3496"/>
      <c r="G118" s="3499"/>
      <c r="H118" s="3497">
        <f t="shared" ref="H118:AE118" ca="1" si="153">H115*G116</f>
        <v>-21.054455133360886</v>
      </c>
      <c r="I118" s="3497">
        <f t="shared" si="153"/>
        <v>-22.575883474477063</v>
      </c>
      <c r="J118" s="3497">
        <f t="shared" si="153"/>
        <v>-23.987233567928612</v>
      </c>
      <c r="K118" s="3497">
        <f t="shared" si="153"/>
        <v>-24.601417814601675</v>
      </c>
      <c r="L118" s="3497">
        <f t="shared" si="153"/>
        <v>-27.705523218705814</v>
      </c>
      <c r="M118" s="3497">
        <f t="shared" si="153"/>
        <v>-28.163256856214566</v>
      </c>
      <c r="N118" s="3497">
        <f t="shared" si="153"/>
        <v>-27.557889885944132</v>
      </c>
      <c r="O118" s="3497">
        <f t="shared" si="153"/>
        <v>-29.02861303222798</v>
      </c>
      <c r="P118" s="3497">
        <f t="shared" si="153"/>
        <v>-30.16371463727123</v>
      </c>
      <c r="Q118" s="3497">
        <f t="shared" si="153"/>
        <v>-32.709014738244242</v>
      </c>
      <c r="R118" s="3497">
        <f t="shared" si="153"/>
        <v>-34.838687233447409</v>
      </c>
      <c r="S118" s="3497">
        <f t="shared" si="153"/>
        <v>-36.086593675366956</v>
      </c>
      <c r="T118" s="3497">
        <f t="shared" si="153"/>
        <v>-37.761866328158028</v>
      </c>
      <c r="U118" s="3497">
        <f t="shared" si="153"/>
        <v>-35.946673728212296</v>
      </c>
      <c r="V118" s="3497">
        <f t="shared" si="153"/>
        <v>-36.89084018271982</v>
      </c>
      <c r="W118" s="3497">
        <f t="shared" si="153"/>
        <v>-39.163937125532904</v>
      </c>
      <c r="X118" s="3497">
        <f t="shared" si="153"/>
        <v>-40.119733941995982</v>
      </c>
      <c r="Y118" s="3497">
        <f t="shared" si="153"/>
        <v>-40.660833412498718</v>
      </c>
      <c r="Z118" s="3497">
        <f t="shared" si="153"/>
        <v>-41.246551356558811</v>
      </c>
      <c r="AA118" s="3497">
        <f t="shared" si="153"/>
        <v>-44.727694532114612</v>
      </c>
      <c r="AB118" s="3497">
        <f t="shared" si="153"/>
        <v>-46.766871173935535</v>
      </c>
      <c r="AC118" s="3497">
        <f t="shared" si="153"/>
        <v>-47.914887771996561</v>
      </c>
      <c r="AD118" s="3497">
        <f t="shared" ca="1" si="153"/>
        <v>-49.51465728438383</v>
      </c>
      <c r="AE118" s="3497">
        <f t="shared" ca="1" si="153"/>
        <v>-50.755732502109574</v>
      </c>
      <c r="AK118" s="3497">
        <v>-41.420232091974299</v>
      </c>
      <c r="AM118" s="3497"/>
    </row>
    <row r="119" spans="1:46" ht="10.65" hidden="1" customHeight="1">
      <c r="A119" s="714"/>
      <c r="B119" s="714"/>
      <c r="C119" s="3493"/>
      <c r="D119" s="3494"/>
      <c r="E119" s="3495" t="s">
        <v>2433</v>
      </c>
      <c r="F119" s="3496"/>
      <c r="G119" s="3499"/>
      <c r="H119" s="3497"/>
      <c r="I119" s="3497"/>
      <c r="J119" s="3497"/>
      <c r="K119" s="3497"/>
      <c r="L119" s="3497"/>
      <c r="M119" s="3497"/>
      <c r="N119" s="3497"/>
      <c r="O119" s="3497"/>
      <c r="P119" s="3497"/>
      <c r="Q119" s="3497"/>
      <c r="R119" s="3497"/>
      <c r="S119" s="3497"/>
      <c r="T119" s="3497"/>
      <c r="U119" s="3713"/>
      <c r="V119" s="3713"/>
      <c r="W119" s="3713"/>
      <c r="X119" s="3713"/>
      <c r="Y119" s="3713"/>
      <c r="Z119" s="3714">
        <v>171</v>
      </c>
      <c r="AA119" s="3713"/>
      <c r="AB119" s="3713"/>
      <c r="AC119" s="3713"/>
      <c r="AD119" s="3713"/>
      <c r="AE119" s="3713"/>
      <c r="AK119" s="3714">
        <v>171</v>
      </c>
      <c r="AM119" s="3714"/>
    </row>
    <row r="120" spans="1:46" ht="10.65" hidden="1" customHeight="1">
      <c r="A120" s="714"/>
      <c r="B120" s="714"/>
      <c r="C120" s="3493"/>
      <c r="D120" s="3494"/>
      <c r="E120" s="3495" t="s">
        <v>2434</v>
      </c>
      <c r="F120" s="3496"/>
      <c r="G120" s="3499"/>
      <c r="H120" s="3499"/>
      <c r="I120" s="3499"/>
      <c r="J120" s="3499"/>
      <c r="K120" s="3499"/>
      <c r="L120" s="3499"/>
      <c r="M120" s="3499"/>
      <c r="N120" s="3499"/>
      <c r="O120" s="3499"/>
      <c r="P120" s="3499"/>
      <c r="Q120" s="3499"/>
      <c r="R120" s="3499"/>
      <c r="S120" s="3499"/>
      <c r="T120" s="3499"/>
      <c r="U120" s="3713"/>
      <c r="V120" s="3713"/>
      <c r="W120" s="3713"/>
      <c r="X120" s="3713"/>
      <c r="Y120" s="3713"/>
      <c r="Z120" s="3713"/>
      <c r="AA120" s="3713"/>
      <c r="AB120" s="3713"/>
      <c r="AC120" s="3713"/>
      <c r="AD120" s="3713"/>
      <c r="AE120" s="3713"/>
      <c r="AK120" s="3713"/>
      <c r="AM120" s="3713"/>
    </row>
    <row r="121" spans="1:46" ht="10.65" hidden="1" customHeight="1">
      <c r="A121" s="714"/>
      <c r="B121" s="714"/>
      <c r="C121" s="3493"/>
      <c r="D121" s="3494"/>
      <c r="E121" s="3495" t="s">
        <v>2422</v>
      </c>
      <c r="F121" s="3496"/>
      <c r="G121" s="3499"/>
      <c r="H121" s="3497">
        <f ca="1">H114-H118-(H119/1000)-(H120/1000)</f>
        <v>-0.79364486663910938</v>
      </c>
      <c r="I121" s="3497">
        <f t="shared" ref="I121:AA121" si="154">I114-I118-(I119/1000)-(I120/1000)</f>
        <v>-0.4987165255229371</v>
      </c>
      <c r="J121" s="3497">
        <f t="shared" si="154"/>
        <v>-5.9066432071386288E-2</v>
      </c>
      <c r="K121" s="3497">
        <f t="shared" si="154"/>
        <v>-1.4848821853983232</v>
      </c>
      <c r="L121" s="3497">
        <f t="shared" si="154"/>
        <v>0.38302321870581224</v>
      </c>
      <c r="M121" s="3497">
        <f t="shared" si="154"/>
        <v>1.0892568562145684</v>
      </c>
      <c r="N121" s="3497">
        <f t="shared" si="154"/>
        <v>-0.87301011405586948</v>
      </c>
      <c r="O121" s="3497">
        <f t="shared" si="154"/>
        <v>2.8213032227981216E-2</v>
      </c>
      <c r="P121" s="3497">
        <f t="shared" si="154"/>
        <v>-1.2979853627287739</v>
      </c>
      <c r="Q121" s="3497">
        <f t="shared" si="154"/>
        <v>-0.59048526175575233</v>
      </c>
      <c r="R121" s="3497">
        <f t="shared" si="154"/>
        <v>0.40488723344740407</v>
      </c>
      <c r="S121" s="3497">
        <f t="shared" si="154"/>
        <v>9.9693675366957279E-2</v>
      </c>
      <c r="T121" s="3497">
        <f t="shared" si="154"/>
        <v>1.8455663281580215</v>
      </c>
      <c r="U121" s="3497">
        <f t="shared" si="154"/>
        <v>0.64027372821229989</v>
      </c>
      <c r="V121" s="3497">
        <f t="shared" si="154"/>
        <v>-0.99945981728017586</v>
      </c>
      <c r="W121" s="3497">
        <f t="shared" si="154"/>
        <v>6.3837125532906214E-2</v>
      </c>
      <c r="X121" s="3497">
        <f t="shared" si="154"/>
        <v>9.6033941995976591E-2</v>
      </c>
      <c r="Y121" s="3497">
        <f t="shared" ref="Y121" si="155">Y114-Y118-(Y119/1000)-(Y120/1000)</f>
        <v>-8.6466587501277559E-2</v>
      </c>
      <c r="Z121" s="3497">
        <f t="shared" si="154"/>
        <v>-3.0130272434411869</v>
      </c>
      <c r="AA121" s="3497">
        <f t="shared" si="154"/>
        <v>-0.59536426868538683</v>
      </c>
      <c r="AB121" s="3497">
        <f t="shared" ref="AB121:AC121" si="156">AB114-AB118-(AB119/1000)-(AB120/1000)</f>
        <v>0.17476672671313764</v>
      </c>
      <c r="AC121" s="3497">
        <f t="shared" si="156"/>
        <v>1.8204400251939035E-2</v>
      </c>
      <c r="AD121" s="3497">
        <f t="shared" ref="AD121" ca="1" si="157">AD114-AD118-(AD119/1000)-(AD120/1000)</f>
        <v>0.27686677823035666</v>
      </c>
      <c r="AE121" s="3497">
        <f t="shared" ref="AE121" ca="1" si="158">AE114-AE118-(AE119/1000)-(AE120/1000)</f>
        <v>0.13928386178380237</v>
      </c>
      <c r="AK121" s="3497">
        <v>-2.8216017080256965</v>
      </c>
      <c r="AM121" s="3497"/>
    </row>
    <row r="122" spans="1:46" ht="6" hidden="1" customHeight="1">
      <c r="A122" s="714"/>
      <c r="B122" s="714"/>
      <c r="C122" s="3493"/>
      <c r="D122" s="3494"/>
      <c r="E122" s="3495"/>
      <c r="F122" s="3496"/>
      <c r="G122" s="3499"/>
      <c r="H122" s="3499"/>
      <c r="I122" s="3499"/>
      <c r="J122" s="3499"/>
      <c r="K122" s="3499"/>
      <c r="L122" s="3499"/>
      <c r="M122" s="3499"/>
      <c r="N122" s="3499"/>
      <c r="O122" s="3499"/>
      <c r="P122" s="3499"/>
      <c r="Q122" s="3499"/>
      <c r="R122" s="3499"/>
      <c r="S122" s="3499"/>
      <c r="T122" s="3499"/>
      <c r="U122" s="3499"/>
      <c r="V122" s="3499"/>
      <c r="W122" s="3499"/>
      <c r="X122" s="3499"/>
      <c r="Y122" s="3499"/>
      <c r="Z122" s="3499"/>
      <c r="AA122" s="3499"/>
      <c r="AB122" s="3499"/>
      <c r="AC122" s="3499"/>
      <c r="AD122" s="3499"/>
      <c r="AE122" s="3499"/>
      <c r="AK122" s="3499"/>
      <c r="AM122" s="3499"/>
    </row>
    <row r="123" spans="1:46" ht="10.65" hidden="1" customHeight="1">
      <c r="A123" s="714"/>
      <c r="B123" s="714"/>
      <c r="C123" s="3493"/>
      <c r="D123" s="3494"/>
      <c r="E123" s="3495" t="s">
        <v>401</v>
      </c>
      <c r="F123" s="3496"/>
      <c r="G123" s="3499"/>
      <c r="H123" s="3497">
        <f t="shared" ref="H123:Y123" ca="1" si="159">(H114/G114-1)*100</f>
        <v>7.1121809642405553</v>
      </c>
      <c r="I123" s="3497">
        <f t="shared" si="159"/>
        <v>5.613760464296691</v>
      </c>
      <c r="J123" s="3497">
        <f t="shared" si="159"/>
        <v>4.2111239198079131</v>
      </c>
      <c r="K123" s="3497">
        <f t="shared" si="159"/>
        <v>8.4836336567372115</v>
      </c>
      <c r="L123" s="3497">
        <f t="shared" si="159"/>
        <v>4.7388859286292107</v>
      </c>
      <c r="M123" s="3497">
        <f t="shared" si="159"/>
        <v>-0.90950681672615774</v>
      </c>
      <c r="N123" s="3497">
        <f t="shared" si="159"/>
        <v>5.011819457782396</v>
      </c>
      <c r="O123" s="3497">
        <f t="shared" si="159"/>
        <v>2.0031022584582114</v>
      </c>
      <c r="P123" s="3497">
        <f t="shared" si="159"/>
        <v>8.487124315526696</v>
      </c>
      <c r="Q123" s="3497">
        <f t="shared" si="159"/>
        <v>5.8413881004522716</v>
      </c>
      <c r="R123" s="3497">
        <f t="shared" si="159"/>
        <v>3.4063574528146345</v>
      </c>
      <c r="S123" s="3497">
        <f t="shared" si="159"/>
        <v>4.5103938571984248</v>
      </c>
      <c r="T123" s="3497">
        <f t="shared" si="159"/>
        <v>-0.19618249974293622</v>
      </c>
      <c r="U123" s="3497">
        <f t="shared" si="159"/>
        <v>-1.698114783538418</v>
      </c>
      <c r="V123" s="3497">
        <f t="shared" si="159"/>
        <v>7.318503160900014</v>
      </c>
      <c r="W123" s="3497">
        <f t="shared" si="159"/>
        <v>3.1929016133416699</v>
      </c>
      <c r="X123" s="3497">
        <f t="shared" si="159"/>
        <v>2.362142296311287</v>
      </c>
      <c r="Y123" s="3497">
        <f t="shared" si="159"/>
        <v>1.8079288021846773</v>
      </c>
      <c r="Z123" s="3709">
        <v>8.1999999999999993</v>
      </c>
      <c r="AA123" s="3709">
        <v>2.8</v>
      </c>
      <c r="AB123" s="3709">
        <v>2.8</v>
      </c>
      <c r="AC123" s="3709">
        <v>2.8</v>
      </c>
      <c r="AD123" s="3709">
        <v>2.8</v>
      </c>
      <c r="AE123" s="3709">
        <v>2.8</v>
      </c>
      <c r="AK123" s="3709">
        <v>8.1999999999999993</v>
      </c>
      <c r="AM123" s="3709"/>
    </row>
    <row r="124" spans="1:46" ht="10.65" hidden="1" customHeight="1">
      <c r="A124" s="714"/>
      <c r="B124" s="714"/>
      <c r="C124" s="3493"/>
      <c r="D124" s="3494"/>
      <c r="E124" s="3503" t="s">
        <v>2430</v>
      </c>
      <c r="F124" s="3496"/>
      <c r="G124" s="3499"/>
      <c r="H124" s="3499"/>
      <c r="I124" s="3499"/>
      <c r="J124" s="3499"/>
      <c r="K124" s="3499"/>
      <c r="L124" s="3499"/>
      <c r="M124" s="3499"/>
      <c r="N124" s="3499"/>
      <c r="O124" s="3499"/>
      <c r="P124" s="3499"/>
      <c r="Q124" s="3499"/>
      <c r="R124" s="3499"/>
      <c r="S124" s="3499"/>
      <c r="T124" s="3499"/>
      <c r="U124" s="3499"/>
      <c r="V124" s="3499"/>
      <c r="W124" s="3499"/>
      <c r="X124" s="3499"/>
      <c r="Y124" s="3499"/>
      <c r="Z124" s="3497">
        <f t="shared" ref="Z124" si="160">(100*(Z118+0.001*Z119+0.001*Z120)/Y114)-100</f>
        <v>0.80557817710329971</v>
      </c>
      <c r="AA124" s="3497">
        <f>(100*(AA118+0.001*AA119+0.001*AA120)/Z114)-100</f>
        <v>1.4496179110537497</v>
      </c>
      <c r="AB124" s="3497">
        <f>(100*(AB118+0.001*AB119+0.001*AB120)/AA114)-100</f>
        <v>3.1856022328088045</v>
      </c>
      <c r="AC124" s="3497">
        <f>(100*(AC118+0.001*AC119+0.001*AC120)/AB114)-100</f>
        <v>2.8390718566330548</v>
      </c>
      <c r="AD124" s="3497">
        <f ca="1">(100*(AD118+0.001*AD119+0.001*AD120)/AC114)-100</f>
        <v>3.3780499999999734</v>
      </c>
      <c r="AE124" s="3497">
        <f ca="1">(100*(AE118+0.001*AE119+0.001*AE120)/AD114)-100</f>
        <v>3.082880000000003</v>
      </c>
      <c r="AK124" s="3497">
        <v>1.2725770655063116</v>
      </c>
      <c r="AM124" s="3497"/>
    </row>
    <row r="125" spans="1:46" ht="10.65" hidden="1" customHeight="1">
      <c r="A125" s="714"/>
      <c r="B125" s="714"/>
      <c r="C125" s="3493"/>
      <c r="D125" s="3494"/>
      <c r="E125" s="3503" t="s">
        <v>2424</v>
      </c>
      <c r="F125" s="3496"/>
      <c r="G125" s="3499"/>
      <c r="H125" s="3499"/>
      <c r="I125" s="3499"/>
      <c r="J125" s="3499"/>
      <c r="K125" s="3499"/>
      <c r="L125" s="3499"/>
      <c r="M125" s="3499"/>
      <c r="N125" s="3499"/>
      <c r="O125" s="3499"/>
      <c r="P125" s="3499"/>
      <c r="Q125" s="3499"/>
      <c r="R125" s="3499"/>
      <c r="S125" s="3499"/>
      <c r="T125" s="3499"/>
      <c r="U125" s="3499"/>
      <c r="V125" s="3499"/>
      <c r="W125" s="3499"/>
      <c r="X125" s="3499"/>
      <c r="Y125" s="3499"/>
      <c r="Z125" s="3499"/>
      <c r="AA125" s="3499"/>
      <c r="AB125" s="3499"/>
      <c r="AC125" s="3499"/>
      <c r="AD125" s="3499"/>
      <c r="AE125" s="3499"/>
      <c r="AK125" s="3499"/>
      <c r="AM125" s="3499"/>
    </row>
    <row r="126" spans="1:46" ht="12.75" hidden="1" customHeight="1">
      <c r="A126" s="714"/>
      <c r="B126" s="714"/>
      <c r="C126" s="3504" t="s">
        <v>624</v>
      </c>
      <c r="D126" s="3505" t="s">
        <v>588</v>
      </c>
      <c r="E126" s="3506" t="s">
        <v>2421</v>
      </c>
      <c r="F126" s="3507"/>
      <c r="G126" s="3508">
        <f ca="1">G8</f>
        <v>22.749400000000001</v>
      </c>
      <c r="H126" s="3508">
        <f t="shared" ref="H126:X126" si="161">H8</f>
        <v>23.991299999999999</v>
      </c>
      <c r="I126" s="3508">
        <f t="shared" si="161"/>
        <v>25.373799999999999</v>
      </c>
      <c r="J126" s="3508">
        <f t="shared" si="161"/>
        <v>26.328599999999998</v>
      </c>
      <c r="K126" s="3508">
        <f t="shared" si="161"/>
        <v>28.1768</v>
      </c>
      <c r="L126" s="3508">
        <f t="shared" si="161"/>
        <v>29.686599999999999</v>
      </c>
      <c r="M126" s="3508">
        <f t="shared" si="161"/>
        <v>29.2758</v>
      </c>
      <c r="N126" s="3508">
        <f t="shared" si="161"/>
        <v>30.504999999999999</v>
      </c>
      <c r="O126" s="3508">
        <f t="shared" si="161"/>
        <v>31.297999999999998</v>
      </c>
      <c r="P126" s="3508">
        <f t="shared" si="161"/>
        <v>33.624699999999997</v>
      </c>
      <c r="Q126" s="3508">
        <f t="shared" si="161"/>
        <v>35.670300000000005</v>
      </c>
      <c r="R126" s="3508">
        <f t="shared" si="161"/>
        <v>37.2408</v>
      </c>
      <c r="S126" s="3508">
        <f t="shared" si="161"/>
        <v>39.244399999999999</v>
      </c>
      <c r="T126" s="3508">
        <f t="shared" si="161"/>
        <v>39.414199999999994</v>
      </c>
      <c r="U126" s="3508">
        <f t="shared" si="161"/>
        <v>38.091900000000003</v>
      </c>
      <c r="V126" s="3508">
        <f t="shared" si="161"/>
        <v>40.911499999999997</v>
      </c>
      <c r="W126" s="3508">
        <f t="shared" si="161"/>
        <v>41.971699999999998</v>
      </c>
      <c r="X126" s="3508">
        <f t="shared" si="161"/>
        <v>42.977199999999996</v>
      </c>
      <c r="Y126" s="3508">
        <f t="shared" ref="Y126" si="162">Y8</f>
        <v>43.547599999999996</v>
      </c>
      <c r="Z126" s="3509">
        <f t="shared" ref="Z126:AD126" si="163">Z61+Z77+Z89+Z101+Z114</f>
        <v>43.256182799999984</v>
      </c>
      <c r="AA126" s="3509">
        <f t="shared" si="163"/>
        <v>45.009557491899983</v>
      </c>
      <c r="AB126" s="3509">
        <f t="shared" si="163"/>
        <v>46.838971617311685</v>
      </c>
      <c r="AC126" s="3509">
        <f t="shared" si="163"/>
        <v>48.74787245779455</v>
      </c>
      <c r="AD126" s="3509">
        <f t="shared" si="163"/>
        <v>50.739867761453255</v>
      </c>
      <c r="AE126" s="3509">
        <f t="shared" ref="AE126" si="164">AE61+AE77+AE89+AE101+AE114</f>
        <v>52.818733323342698</v>
      </c>
      <c r="AK126" s="3509">
        <v>43.273927599999986</v>
      </c>
      <c r="AM126" s="3509"/>
    </row>
    <row r="127" spans="1:46" s="3380" customFormat="1" ht="12.75" hidden="1" customHeight="1">
      <c r="A127" s="714"/>
      <c r="B127" s="714"/>
      <c r="C127" s="3500"/>
      <c r="D127" s="3510"/>
      <c r="E127" s="3510" t="s">
        <v>401</v>
      </c>
      <c r="F127" s="3510"/>
      <c r="G127" s="3510"/>
      <c r="H127" s="3511">
        <f ca="1">(H126/G126-1)*100</f>
        <v>5.4590450737162177</v>
      </c>
      <c r="I127" s="3511">
        <f t="shared" ref="I127:AE127" si="165">(I126/H126-1)*100</f>
        <v>5.762505574937582</v>
      </c>
      <c r="J127" s="3511">
        <f t="shared" si="165"/>
        <v>3.7629365723699237</v>
      </c>
      <c r="K127" s="3511">
        <f t="shared" si="165"/>
        <v>7.019742789210226</v>
      </c>
      <c r="L127" s="3511">
        <f t="shared" si="165"/>
        <v>5.3583089634025027</v>
      </c>
      <c r="M127" s="3511">
        <f t="shared" si="165"/>
        <v>-1.3837893190867256</v>
      </c>
      <c r="N127" s="3511">
        <f t="shared" si="165"/>
        <v>4.1986897027578962</v>
      </c>
      <c r="O127" s="3511">
        <f t="shared" si="165"/>
        <v>2.5995738403540303</v>
      </c>
      <c r="P127" s="3511">
        <f t="shared" si="165"/>
        <v>7.4340213432168234</v>
      </c>
      <c r="Q127" s="3511">
        <f t="shared" si="165"/>
        <v>6.0836230509119904</v>
      </c>
      <c r="R127" s="3511">
        <f t="shared" si="165"/>
        <v>4.402822516210958</v>
      </c>
      <c r="S127" s="3511">
        <f t="shared" si="165"/>
        <v>5.3801207278039165</v>
      </c>
      <c r="T127" s="3511">
        <f t="shared" si="165"/>
        <v>0.43267319668538473</v>
      </c>
      <c r="U127" s="3511">
        <f t="shared" si="165"/>
        <v>-3.3548822505594211</v>
      </c>
      <c r="V127" s="3511">
        <f t="shared" si="165"/>
        <v>7.4020986088905838</v>
      </c>
      <c r="W127" s="3511">
        <f t="shared" si="165"/>
        <v>2.5914473925424453</v>
      </c>
      <c r="X127" s="3511">
        <f t="shared" si="165"/>
        <v>2.3956618388104367</v>
      </c>
      <c r="Y127" s="3511">
        <f t="shared" si="165"/>
        <v>1.3272153607028825</v>
      </c>
      <c r="Z127" s="3511">
        <f t="shared" si="165"/>
        <v>-0.66919233206884643</v>
      </c>
      <c r="AA127" s="3511">
        <f t="shared" si="165"/>
        <v>4.0534660675143996</v>
      </c>
      <c r="AB127" s="3511">
        <f t="shared" si="165"/>
        <v>4.0645014689178582</v>
      </c>
      <c r="AC127" s="3511">
        <f t="shared" si="165"/>
        <v>4.0754542095397639</v>
      </c>
      <c r="AD127" s="3511">
        <f t="shared" si="165"/>
        <v>4.0863225474780496</v>
      </c>
      <c r="AE127" s="3511">
        <f t="shared" si="165"/>
        <v>4.0971048085165496</v>
      </c>
      <c r="AF127"/>
      <c r="AG127"/>
      <c r="AH127"/>
      <c r="AI127"/>
      <c r="AJ127"/>
      <c r="AK127" s="3511">
        <v>-0.6658534569828567</v>
      </c>
      <c r="AL127"/>
      <c r="AM127" s="3511"/>
      <c r="AN127"/>
      <c r="AO127"/>
      <c r="AP127"/>
      <c r="AQ127"/>
      <c r="AR127"/>
      <c r="AS127"/>
      <c r="AT127"/>
    </row>
    <row r="128" spans="1:46" ht="30" hidden="1" customHeight="1">
      <c r="S128" s="2162"/>
      <c r="T128" s="2162"/>
      <c r="U128" s="2162"/>
    </row>
    <row r="129" spans="1:46" ht="22.5" customHeight="1">
      <c r="A129" s="603"/>
      <c r="B129" s="603"/>
      <c r="C129" s="4124" t="s">
        <v>498</v>
      </c>
      <c r="D129" s="4124"/>
      <c r="E129" s="4124"/>
      <c r="F129" s="4124"/>
      <c r="S129" s="2162"/>
      <c r="T129" s="2233"/>
      <c r="U129" s="2233"/>
      <c r="V129" s="2233"/>
      <c r="W129" s="2233"/>
      <c r="X129" s="2233"/>
      <c r="Y129" s="2233"/>
      <c r="Z129" s="2233"/>
      <c r="AA129" s="2233"/>
      <c r="AB129" s="2233"/>
      <c r="AC129" s="2233"/>
      <c r="AD129" s="2233"/>
      <c r="AE129" s="2233"/>
      <c r="AK129" s="2233"/>
      <c r="AM129" s="2233"/>
    </row>
    <row r="130" spans="1:46" ht="12.75" customHeight="1">
      <c r="A130" s="714"/>
      <c r="B130" s="714"/>
      <c r="C130" s="822"/>
      <c r="S130" s="2162"/>
      <c r="T130" s="3007"/>
      <c r="U130" s="3008"/>
      <c r="V130" s="3008"/>
      <c r="W130" s="3008"/>
      <c r="X130" s="3008"/>
      <c r="Y130" s="3008"/>
      <c r="Z130" s="3008"/>
      <c r="AA130" s="3008"/>
      <c r="AB130" s="3008"/>
      <c r="AC130" s="3008"/>
      <c r="AD130" s="3008"/>
      <c r="AE130" s="3008"/>
      <c r="AK130" s="3008"/>
      <c r="AM130" s="3008"/>
    </row>
    <row r="131" spans="1:46" ht="12.75" customHeight="1">
      <c r="A131" s="714"/>
      <c r="B131" s="714"/>
      <c r="C131" s="822"/>
      <c r="D131" s="823"/>
      <c r="E131" s="824" t="s">
        <v>1803</v>
      </c>
      <c r="F131" s="825"/>
      <c r="G131" s="826">
        <f>+InputY!$G$3</f>
        <v>1995</v>
      </c>
      <c r="H131" s="826">
        <f t="shared" ref="H131:S131" si="166">+G131+1</f>
        <v>1996</v>
      </c>
      <c r="I131" s="826">
        <f t="shared" si="166"/>
        <v>1997</v>
      </c>
      <c r="J131" s="826">
        <f t="shared" si="166"/>
        <v>1998</v>
      </c>
      <c r="K131" s="826">
        <f t="shared" si="166"/>
        <v>1999</v>
      </c>
      <c r="L131" s="826">
        <f t="shared" si="166"/>
        <v>2000</v>
      </c>
      <c r="M131" s="826">
        <f t="shared" si="166"/>
        <v>2001</v>
      </c>
      <c r="N131" s="826">
        <f t="shared" si="166"/>
        <v>2002</v>
      </c>
      <c r="O131" s="826">
        <f t="shared" si="166"/>
        <v>2003</v>
      </c>
      <c r="P131" s="826">
        <f>+O131+1</f>
        <v>2004</v>
      </c>
      <c r="Q131" s="826">
        <f>+P131+1</f>
        <v>2005</v>
      </c>
      <c r="R131" s="826">
        <f>+Q131+1</f>
        <v>2006</v>
      </c>
      <c r="S131" s="2163">
        <f t="shared" si="166"/>
        <v>2007</v>
      </c>
      <c r="T131" s="2163">
        <f t="shared" ref="T131:AE131" si="167">+S131+1</f>
        <v>2008</v>
      </c>
      <c r="U131" s="2163">
        <f t="shared" si="167"/>
        <v>2009</v>
      </c>
      <c r="V131" s="2163">
        <f t="shared" si="167"/>
        <v>2010</v>
      </c>
      <c r="W131" s="2163">
        <f t="shared" si="167"/>
        <v>2011</v>
      </c>
      <c r="X131" s="2163">
        <f t="shared" si="167"/>
        <v>2012</v>
      </c>
      <c r="Y131" s="2163">
        <f t="shared" si="167"/>
        <v>2013</v>
      </c>
      <c r="Z131" s="2163">
        <f t="shared" si="167"/>
        <v>2014</v>
      </c>
      <c r="AA131" s="2163">
        <f t="shared" si="167"/>
        <v>2015</v>
      </c>
      <c r="AB131" s="2163">
        <f t="shared" si="167"/>
        <v>2016</v>
      </c>
      <c r="AC131" s="2163">
        <f t="shared" si="167"/>
        <v>2017</v>
      </c>
      <c r="AD131" s="2163">
        <f t="shared" si="167"/>
        <v>2018</v>
      </c>
      <c r="AE131" s="2163">
        <f t="shared" si="167"/>
        <v>2019</v>
      </c>
      <c r="AK131" s="2163">
        <v>2014</v>
      </c>
      <c r="AM131" s="2163"/>
    </row>
    <row r="132" spans="1:46" ht="12.75" customHeight="1">
      <c r="A132" s="714">
        <f>+ROW(InputY!A102)</f>
        <v>102</v>
      </c>
      <c r="B132" s="714">
        <v>51</v>
      </c>
      <c r="C132" s="827" t="s">
        <v>622</v>
      </c>
      <c r="D132" s="718" t="s">
        <v>588</v>
      </c>
      <c r="E132" s="750" t="s">
        <v>623</v>
      </c>
      <c r="F132" s="751" t="str">
        <f>+InputY!B102</f>
        <v>$ASubProd</v>
      </c>
      <c r="G132" s="828">
        <f ca="1">+InputY!G102/1000</f>
        <v>2.1591999999999998</v>
      </c>
      <c r="H132" s="828">
        <f>+InputY!H102/1000</f>
        <v>2.0954999999999999</v>
      </c>
      <c r="I132" s="828">
        <f>+InputY!I102/1000</f>
        <v>1.9287000000000001</v>
      </c>
      <c r="J132" s="828">
        <f>+InputY!J102/1000</f>
        <v>1.9761</v>
      </c>
      <c r="K132" s="828">
        <f>+InputY!K102/1000</f>
        <v>2.0933999999999999</v>
      </c>
      <c r="L132" s="828">
        <f>+InputY!L102/1000</f>
        <v>1.9535</v>
      </c>
      <c r="M132" s="828">
        <f>+InputY!M102/1000</f>
        <v>2.0861000000000001</v>
      </c>
      <c r="N132" s="828">
        <f>+InputY!N102/1000</f>
        <v>2.0305</v>
      </c>
      <c r="O132" s="828">
        <f>+InputY!O102/1000</f>
        <v>2.4741999999999997</v>
      </c>
      <c r="P132" s="828">
        <f>+InputY!P102/1000</f>
        <v>1.9581</v>
      </c>
      <c r="Q132" s="828">
        <f>+InputY!Q102/1000</f>
        <v>2.6843000000000004</v>
      </c>
      <c r="R132" s="828">
        <f>+InputY!R102/1000</f>
        <v>2.4045000000000001</v>
      </c>
      <c r="S132" s="828">
        <f>+InputY!S102/1000</f>
        <v>2.4918</v>
      </c>
      <c r="T132" s="828">
        <f>+InputY!T102/1000</f>
        <v>2.3571</v>
      </c>
      <c r="U132" s="828">
        <f>+InputY!U102/1000</f>
        <v>1.9072</v>
      </c>
      <c r="V132" s="828">
        <f>+InputY!V102/1000</f>
        <v>2.3447</v>
      </c>
      <c r="W132" s="2847">
        <f>+InputY!W102/1000</f>
        <v>2.5096999999999996</v>
      </c>
      <c r="X132" s="2847">
        <f>+InputY!X102/1000</f>
        <v>2.1755</v>
      </c>
      <c r="Y132" s="2847">
        <f>+InputY!Y102/1000</f>
        <v>2.0844</v>
      </c>
      <c r="Z132" s="2847">
        <f>+InputY!Z102/1000</f>
        <v>1.9342999999999999</v>
      </c>
      <c r="AA132" s="2847">
        <f>+InputY!AA102/1000</f>
        <v>2.1391</v>
      </c>
      <c r="AB132" s="2847">
        <f>+InputY!AB102/1000</f>
        <v>2.0548999999999999</v>
      </c>
      <c r="AC132" s="2847">
        <f>+InputY!AC102/1000</f>
        <v>2.105</v>
      </c>
      <c r="AD132" s="2200">
        <f t="shared" ref="AC132:AE134" si="168">+AC132*(1+AD145/100)</f>
        <v>2.0824764999999998</v>
      </c>
      <c r="AE132" s="2200">
        <f t="shared" si="168"/>
        <v>2.0568620390499999</v>
      </c>
      <c r="AK132" s="2847">
        <v>2.09</v>
      </c>
      <c r="AM132" s="2847">
        <f t="shared" ref="AM132:AM195" si="169">Z132-AK132</f>
        <v>-0.15569999999999995</v>
      </c>
    </row>
    <row r="133" spans="1:46" ht="12.75" customHeight="1">
      <c r="A133" s="714">
        <f>+ROW(InputY!A182)</f>
        <v>182</v>
      </c>
      <c r="B133" s="714"/>
      <c r="C133" s="829" t="s">
        <v>622</v>
      </c>
      <c r="D133" s="724" t="s">
        <v>589</v>
      </c>
      <c r="E133" s="830" t="s">
        <v>828</v>
      </c>
      <c r="F133" s="754" t="str">
        <f>+InputY!B182</f>
        <v>YHSubOth</v>
      </c>
      <c r="G133" s="756">
        <f ca="1">+InputY!G182/1000</f>
        <v>0.1691</v>
      </c>
      <c r="H133" s="756">
        <f>+InputY!H182/1000</f>
        <v>0.23080000000000001</v>
      </c>
      <c r="I133" s="756">
        <f>+InputY!I182/1000</f>
        <v>0.21159999999999998</v>
      </c>
      <c r="J133" s="756">
        <f>+InputY!J182/1000</f>
        <v>0.1913</v>
      </c>
      <c r="K133" s="756">
        <f>+InputY!K182/1000</f>
        <v>0.16719999999999999</v>
      </c>
      <c r="L133" s="756">
        <f>+InputY!L182/1000</f>
        <v>0.1484</v>
      </c>
      <c r="M133" s="756">
        <f>+InputY!M182/1000</f>
        <v>0.12029999999999999</v>
      </c>
      <c r="N133" s="756">
        <f>+InputY!N182/1000</f>
        <v>0.12490000000000001</v>
      </c>
      <c r="O133" s="756">
        <f>+InputY!O182/1000</f>
        <v>0.14780000000000001</v>
      </c>
      <c r="P133" s="756">
        <f>+InputY!P182/1000</f>
        <v>0.16519999999999999</v>
      </c>
      <c r="Q133" s="756">
        <f>+InputY!Q182/1000</f>
        <v>0.37910000000000005</v>
      </c>
      <c r="R133" s="756">
        <f>+InputY!R182/1000</f>
        <v>0.49130000000000001</v>
      </c>
      <c r="S133" s="1376">
        <f>+InputY!S182/1000</f>
        <v>0.53410000000000002</v>
      </c>
      <c r="T133" s="1376">
        <f>+InputY!T182/1000</f>
        <v>0.5968</v>
      </c>
      <c r="U133" s="1376">
        <f>+InputY!U182/1000</f>
        <v>0.62279999999999991</v>
      </c>
      <c r="V133" s="1376">
        <f>+InputY!V182/1000</f>
        <v>0.65529999999999999</v>
      </c>
      <c r="W133" s="1376">
        <f>+InputY!W182/1000</f>
        <v>0.66510000000000002</v>
      </c>
      <c r="X133" s="1376">
        <f>+InputY!X182/1000</f>
        <v>0.66170000000000007</v>
      </c>
      <c r="Y133" s="1376">
        <f>+InputY!Y182/1000</f>
        <v>0.71229999999999993</v>
      </c>
      <c r="Z133" s="1376">
        <f>+InputY!Z182/1000</f>
        <v>0.69</v>
      </c>
      <c r="AA133" s="1376">
        <f>+InputY!AA182/1000</f>
        <v>0.749</v>
      </c>
      <c r="AB133" s="1376">
        <f>+InputY!AB182/1000</f>
        <v>0.65160000000000007</v>
      </c>
      <c r="AC133" s="2135">
        <f t="shared" si="168"/>
        <v>0.66463200000000011</v>
      </c>
      <c r="AD133" s="2135">
        <f t="shared" si="168"/>
        <v>0.68457096000000017</v>
      </c>
      <c r="AE133" s="2135">
        <f t="shared" si="168"/>
        <v>0.7051080888000002</v>
      </c>
      <c r="AK133" s="1376">
        <v>0.53089999999999993</v>
      </c>
      <c r="AM133" s="1376">
        <f t="shared" si="169"/>
        <v>0.15910000000000002</v>
      </c>
    </row>
    <row r="134" spans="1:46" ht="12.75" customHeight="1">
      <c r="A134" s="714">
        <f>+ROW(InputY!A113)</f>
        <v>113</v>
      </c>
      <c r="B134" s="714">
        <v>101</v>
      </c>
      <c r="C134" s="829" t="s">
        <v>622</v>
      </c>
      <c r="D134" s="724" t="s">
        <v>590</v>
      </c>
      <c r="E134" s="830" t="s">
        <v>828</v>
      </c>
      <c r="F134" s="754" t="str">
        <f>+InputY!B113</f>
        <v>YESubProd</v>
      </c>
      <c r="G134" s="756">
        <f ca="1">+InputY!G113/1000</f>
        <v>2.2602999999999995</v>
      </c>
      <c r="H134" s="756">
        <f>+InputY!H113/1000</f>
        <v>2.5741000000000001</v>
      </c>
      <c r="I134" s="756">
        <f>+InputY!I113/1000</f>
        <v>2.3380000000000001</v>
      </c>
      <c r="J134" s="756">
        <f>+InputY!J113/1000</f>
        <v>2.5038</v>
      </c>
      <c r="K134" s="756">
        <f>+InputY!K113/1000</f>
        <v>2.6751999999999998</v>
      </c>
      <c r="L134" s="756">
        <f>+InputY!L113/1000</f>
        <v>2.6964999999999999</v>
      </c>
      <c r="M134" s="756">
        <f>+InputY!M113/1000</f>
        <v>2.8229000000000002</v>
      </c>
      <c r="N134" s="756">
        <f>+InputY!N113/1000</f>
        <v>2.9326999999999996</v>
      </c>
      <c r="O134" s="756">
        <f>+InputY!O113/1000</f>
        <v>3.1064000000000003</v>
      </c>
      <c r="P134" s="756">
        <f>+InputY!P113/1000</f>
        <v>3.4746999999999999</v>
      </c>
      <c r="Q134" s="756">
        <f>+InputY!Q113/1000</f>
        <v>4.18</v>
      </c>
      <c r="R134" s="756">
        <f>+InputY!R113/1000</f>
        <v>5.4753999999999996</v>
      </c>
      <c r="S134" s="1376">
        <f>+InputY!S113/1000</f>
        <v>6.4878999999999998</v>
      </c>
      <c r="T134" s="1376">
        <f>+InputY!T113/1000</f>
        <v>7.5359999999999996</v>
      </c>
      <c r="U134" s="1376">
        <f>+InputY!U113/1000</f>
        <v>8.2514000000000003</v>
      </c>
      <c r="V134" s="1376">
        <f>+InputY!V113/1000</f>
        <v>9.4933999999999994</v>
      </c>
      <c r="W134" s="1376">
        <f>+InputY!W113/1000</f>
        <v>10.234500000000001</v>
      </c>
      <c r="X134" s="1376">
        <f>+InputY!X113/1000</f>
        <v>10.495799999999999</v>
      </c>
      <c r="Y134" s="1376">
        <f>+InputY!Y113/1000</f>
        <v>10.824200000000001</v>
      </c>
      <c r="Z134" s="1376">
        <f>+InputY!Z113/1000</f>
        <v>11.172700000000001</v>
      </c>
      <c r="AA134" s="1376">
        <f>+InputY!AA113/1000</f>
        <v>11.317200000000001</v>
      </c>
      <c r="AB134" s="1376">
        <f>+InputY!AB113/1000</f>
        <v>11.2653</v>
      </c>
      <c r="AC134" s="3032">
        <f t="shared" si="168"/>
        <v>11.62353654</v>
      </c>
      <c r="AD134" s="3032">
        <f t="shared" si="168"/>
        <v>11.616562418075999</v>
      </c>
      <c r="AE134" s="3032">
        <f t="shared" si="168"/>
        <v>11.91626972846236</v>
      </c>
      <c r="AK134" s="1376">
        <v>9.6600999999999999</v>
      </c>
      <c r="AM134" s="1376">
        <f t="shared" si="169"/>
        <v>1.5126000000000008</v>
      </c>
    </row>
    <row r="135" spans="1:46" ht="12.75" hidden="1" customHeight="1">
      <c r="A135" s="714"/>
      <c r="B135" s="714"/>
      <c r="C135" s="829"/>
      <c r="D135" s="724"/>
      <c r="E135" s="3035" t="s">
        <v>768</v>
      </c>
      <c r="F135" s="754"/>
      <c r="G135" s="3036">
        <f ca="1">G169</f>
        <v>124.20959999999999</v>
      </c>
      <c r="H135" s="3036">
        <f>H169</f>
        <v>125.80589999999999</v>
      </c>
      <c r="I135" s="3036">
        <f t="shared" ref="I135:W135" si="170">I169</f>
        <v>131.94170000000003</v>
      </c>
      <c r="J135" s="3036">
        <f t="shared" si="170"/>
        <v>137.5197</v>
      </c>
      <c r="K135" s="3036">
        <f t="shared" si="170"/>
        <v>143.27079999999998</v>
      </c>
      <c r="L135" s="3036">
        <f t="shared" si="170"/>
        <v>152.41800000000001</v>
      </c>
      <c r="M135" s="3036">
        <f t="shared" si="170"/>
        <v>157.89570000000001</v>
      </c>
      <c r="N135" s="3036">
        <f t="shared" si="170"/>
        <v>163.6788</v>
      </c>
      <c r="O135" s="3036">
        <f t="shared" si="170"/>
        <v>168.5035</v>
      </c>
      <c r="P135" s="3036">
        <f t="shared" si="170"/>
        <v>179.851</v>
      </c>
      <c r="Q135" s="3036">
        <f t="shared" si="170"/>
        <v>187.38939999999999</v>
      </c>
      <c r="R135" s="3036">
        <f t="shared" si="170"/>
        <v>196.27670000000001</v>
      </c>
      <c r="S135" s="3036">
        <f t="shared" si="170"/>
        <v>208.3862</v>
      </c>
      <c r="T135" s="3036">
        <f t="shared" si="170"/>
        <v>213.5257</v>
      </c>
      <c r="U135" s="3036">
        <f t="shared" si="170"/>
        <v>208.8938</v>
      </c>
      <c r="V135" s="3036">
        <f t="shared" si="170"/>
        <v>220.5377</v>
      </c>
      <c r="W135" s="3036">
        <f t="shared" si="170"/>
        <v>230.0515</v>
      </c>
      <c r="X135" s="3036">
        <f t="shared" ref="X135:AC135" si="171">X169</f>
        <v>234.21439999999998</v>
      </c>
      <c r="Y135" s="3036">
        <f t="shared" si="171"/>
        <v>236.7003</v>
      </c>
      <c r="Z135" s="3036">
        <f t="shared" si="171"/>
        <v>241.48009999999999</v>
      </c>
      <c r="AA135" s="3036">
        <f t="shared" ref="AA135" si="172">AA169</f>
        <v>249.8425</v>
      </c>
      <c r="AB135" s="3036">
        <f t="shared" si="171"/>
        <v>257.62099999999998</v>
      </c>
      <c r="AC135" s="3036">
        <f t="shared" si="171"/>
        <v>268.26206499999995</v>
      </c>
      <c r="AD135" s="3036">
        <f t="shared" ref="AD135" ca="1" si="173">AD169</f>
        <v>279.56150323352051</v>
      </c>
      <c r="AE135" s="3036">
        <f t="shared" ref="AE135" ca="1" si="174">AE169</f>
        <v>291.01575720878168</v>
      </c>
      <c r="AK135" s="3036">
        <v>240.13421649719021</v>
      </c>
      <c r="AM135" s="3036">
        <f t="shared" si="169"/>
        <v>1.3458835028097837</v>
      </c>
    </row>
    <row r="136" spans="1:46" ht="12.75" hidden="1" customHeight="1">
      <c r="A136" s="714"/>
      <c r="B136" s="714"/>
      <c r="C136" s="829"/>
      <c r="D136" s="724"/>
      <c r="E136" s="3035" t="s">
        <v>764</v>
      </c>
      <c r="F136" s="754"/>
      <c r="G136" s="3036"/>
      <c r="H136" s="3044">
        <f ca="1">G134/G135</f>
        <v>1.8197466218392133E-2</v>
      </c>
      <c r="I136" s="3044">
        <f t="shared" ref="I136:AE136" si="175">H134/H135</f>
        <v>2.0460884584904207E-2</v>
      </c>
      <c r="J136" s="3044">
        <f t="shared" si="175"/>
        <v>1.7719947522276881E-2</v>
      </c>
      <c r="K136" s="3044">
        <f t="shared" si="175"/>
        <v>1.8206846000972953E-2</v>
      </c>
      <c r="L136" s="3044">
        <f t="shared" si="175"/>
        <v>1.8672332394319011E-2</v>
      </c>
      <c r="M136" s="3044">
        <f t="shared" si="175"/>
        <v>1.769148000892283E-2</v>
      </c>
      <c r="N136" s="3044">
        <f t="shared" si="175"/>
        <v>1.7878257609295251E-2</v>
      </c>
      <c r="O136" s="3044">
        <f t="shared" si="175"/>
        <v>1.7917408974161587E-2</v>
      </c>
      <c r="P136" s="3044">
        <f t="shared" si="175"/>
        <v>1.8435225381075171E-2</v>
      </c>
      <c r="Q136" s="3044">
        <f t="shared" si="175"/>
        <v>1.9319881457428648E-2</v>
      </c>
      <c r="R136" s="3044">
        <f t="shared" si="175"/>
        <v>2.2306491188935979E-2</v>
      </c>
      <c r="S136" s="3044">
        <f t="shared" si="175"/>
        <v>2.7896332065904916E-2</v>
      </c>
      <c r="T136" s="3044">
        <f t="shared" si="175"/>
        <v>3.1134019431229131E-2</v>
      </c>
      <c r="U136" s="3044">
        <f t="shared" si="175"/>
        <v>3.5293175481920909E-2</v>
      </c>
      <c r="V136" s="3044">
        <f t="shared" si="175"/>
        <v>3.9500454297829807E-2</v>
      </c>
      <c r="W136" s="3044">
        <f t="shared" si="175"/>
        <v>4.3046608357664017E-2</v>
      </c>
      <c r="X136" s="3044">
        <f t="shared" si="175"/>
        <v>4.4487864673779569E-2</v>
      </c>
      <c r="Y136" s="3044">
        <f t="shared" si="175"/>
        <v>4.4812786916602905E-2</v>
      </c>
      <c r="Z136" s="3044">
        <f t="shared" si="175"/>
        <v>4.5729557588224438E-2</v>
      </c>
      <c r="AA136" s="3044">
        <f t="shared" si="175"/>
        <v>4.6267580641220545E-2</v>
      </c>
      <c r="AB136" s="3044">
        <f t="shared" si="175"/>
        <v>4.529733732251319E-2</v>
      </c>
      <c r="AC136" s="3044">
        <f t="shared" si="175"/>
        <v>4.3728189860298659E-2</v>
      </c>
      <c r="AD136" s="3044">
        <f t="shared" si="175"/>
        <v>4.3329035508617303E-2</v>
      </c>
      <c r="AE136" s="3044">
        <f t="shared" ca="1" si="175"/>
        <v>4.1552797090136435E-2</v>
      </c>
      <c r="AK136" s="3044">
        <v>4.0312884670959677E-2</v>
      </c>
      <c r="AM136" s="3044">
        <f t="shared" si="169"/>
        <v>5.4166729172647615E-3</v>
      </c>
    </row>
    <row r="137" spans="1:46" ht="12.75" hidden="1" customHeight="1">
      <c r="A137" s="714"/>
      <c r="B137" s="714"/>
      <c r="C137" s="829"/>
      <c r="D137" s="724"/>
      <c r="E137" s="3035" t="s">
        <v>765</v>
      </c>
      <c r="F137" s="754"/>
      <c r="G137" s="3036"/>
      <c r="H137" s="3036">
        <f ca="1">H135*H136</f>
        <v>2.2893486153244189</v>
      </c>
      <c r="I137" s="3036">
        <f t="shared" ref="I137:X137" si="176">I135*I136</f>
        <v>2.699643895636056</v>
      </c>
      <c r="J137" s="3036">
        <f t="shared" si="176"/>
        <v>2.4368418672792602</v>
      </c>
      <c r="K137" s="3036">
        <f t="shared" si="176"/>
        <v>2.6085093920361953</v>
      </c>
      <c r="L137" s="3036">
        <f t="shared" si="176"/>
        <v>2.845999558877315</v>
      </c>
      <c r="M137" s="3036">
        <f t="shared" si="176"/>
        <v>2.7934086200448767</v>
      </c>
      <c r="N137" s="3036">
        <f t="shared" si="176"/>
        <v>2.9262917515803153</v>
      </c>
      <c r="O137" s="3036">
        <f t="shared" si="176"/>
        <v>3.0191461230776371</v>
      </c>
      <c r="P137" s="3036">
        <f t="shared" si="176"/>
        <v>3.3155937200117505</v>
      </c>
      <c r="Q137" s="3036">
        <f t="shared" si="176"/>
        <v>3.6203409943786795</v>
      </c>
      <c r="R137" s="3036">
        <f t="shared" si="176"/>
        <v>4.3782444791434303</v>
      </c>
      <c r="S137" s="3036">
        <f t="shared" si="176"/>
        <v>5.8132106331520754</v>
      </c>
      <c r="T137" s="3036">
        <f t="shared" si="176"/>
        <v>6.6479132928668019</v>
      </c>
      <c r="U137" s="3036">
        <f t="shared" si="176"/>
        <v>7.3725255404852899</v>
      </c>
      <c r="V137" s="3036">
        <f t="shared" si="176"/>
        <v>8.7113393397985011</v>
      </c>
      <c r="W137" s="3036">
        <f t="shared" si="176"/>
        <v>9.9029368225931442</v>
      </c>
      <c r="X137" s="3036">
        <f t="shared" si="176"/>
        <v>10.419698531850477</v>
      </c>
      <c r="Y137" s="3036">
        <f t="shared" ref="Y137" si="177">Y135*Y136</f>
        <v>10.607200106995982</v>
      </c>
      <c r="Z137" s="3036">
        <f t="shared" ref="Z137:AD137" si="178">Z135*Z136</f>
        <v>11.042778139360196</v>
      </c>
      <c r="AA137" s="3036">
        <f t="shared" si="178"/>
        <v>11.559608016354144</v>
      </c>
      <c r="AB137" s="3036">
        <f t="shared" si="178"/>
        <v>11.66954533836317</v>
      </c>
      <c r="AC137" s="3036">
        <f t="shared" si="178"/>
        <v>11.730614510635778</v>
      </c>
      <c r="AD137" s="3036">
        <f t="shared" ca="1" si="178"/>
        <v>12.113130300447642</v>
      </c>
      <c r="AE137" s="3036">
        <f t="shared" ref="AE137" ca="1" si="179">AE135*AE136</f>
        <v>12.092518709328914</v>
      </c>
      <c r="AK137" s="3036">
        <v>9.6805029752024918</v>
      </c>
      <c r="AM137" s="3036">
        <f t="shared" si="169"/>
        <v>1.3622751641577047</v>
      </c>
    </row>
    <row r="138" spans="1:46" ht="12.75" hidden="1" customHeight="1">
      <c r="A138" s="714"/>
      <c r="B138" s="714"/>
      <c r="C138" s="829"/>
      <c r="D138" s="724"/>
      <c r="E138" s="3035" t="s">
        <v>766</v>
      </c>
      <c r="F138" s="754"/>
      <c r="G138" s="3036"/>
      <c r="H138" s="3036"/>
      <c r="I138" s="3036"/>
      <c r="J138" s="3036"/>
      <c r="K138" s="3036"/>
      <c r="L138" s="3036"/>
      <c r="M138" s="3036"/>
      <c r="N138" s="3036"/>
      <c r="O138" s="3036"/>
      <c r="P138" s="3036"/>
      <c r="Q138" s="3036"/>
      <c r="R138" s="3036"/>
      <c r="S138" s="3036"/>
      <c r="T138" s="3036"/>
      <c r="U138" s="3036"/>
      <c r="V138" s="3036"/>
      <c r="W138" s="3036"/>
      <c r="X138" s="3353"/>
      <c r="Y138" s="3353"/>
      <c r="Z138" s="3353"/>
      <c r="AA138" s="3353"/>
      <c r="AB138" s="3353"/>
      <c r="AC138" s="3353"/>
      <c r="AD138" s="3353"/>
      <c r="AE138" s="3353"/>
      <c r="AK138" s="3353">
        <v>-2.0402975202491902E-2</v>
      </c>
      <c r="AM138" s="3353">
        <f t="shared" si="169"/>
        <v>2.0402975202491902E-2</v>
      </c>
    </row>
    <row r="139" spans="1:46" ht="12.75" customHeight="1">
      <c r="A139" s="714">
        <f>+ROW(InputY!A147)</f>
        <v>147</v>
      </c>
      <c r="B139" s="714" t="s">
        <v>1989</v>
      </c>
      <c r="C139" s="829" t="s">
        <v>622</v>
      </c>
      <c r="D139" s="724" t="s">
        <v>591</v>
      </c>
      <c r="E139" s="830" t="s">
        <v>828</v>
      </c>
      <c r="F139" s="754" t="s">
        <v>157</v>
      </c>
      <c r="G139" s="756">
        <f>+InputY!G147/1000</f>
        <v>0</v>
      </c>
      <c r="H139" s="756">
        <f>+InputY!H147/1000</f>
        <v>0.18809999999999999</v>
      </c>
      <c r="I139" s="756">
        <f>+InputY!I147/1000</f>
        <v>0.19080000000000003</v>
      </c>
      <c r="J139" s="756">
        <f>+InputY!J147/1000</f>
        <v>0.2147</v>
      </c>
      <c r="K139" s="756">
        <f>+InputY!K147/1000</f>
        <v>0.22159999999999999</v>
      </c>
      <c r="L139" s="756">
        <f>+InputY!L147/1000</f>
        <v>0.2253</v>
      </c>
      <c r="M139" s="756">
        <f>+InputY!M147/1000</f>
        <v>0.2283</v>
      </c>
      <c r="N139" s="756">
        <f>+InputY!N147/1000</f>
        <v>0.24930000000000002</v>
      </c>
      <c r="O139" s="756">
        <f>+InputY!O147/1000</f>
        <v>0.27089999999999997</v>
      </c>
      <c r="P139" s="756">
        <f>+InputY!P147/1000</f>
        <v>0.3115</v>
      </c>
      <c r="Q139" s="756">
        <f>+InputY!Q147/1000</f>
        <v>0.38250000000000001</v>
      </c>
      <c r="R139" s="756">
        <f>+InputY!R147/1000</f>
        <v>0.39050000000000001</v>
      </c>
      <c r="S139" s="756">
        <f>+InputY!S147/1000</f>
        <v>0.43460000000000004</v>
      </c>
      <c r="T139" s="756">
        <f>+InputY!T147/1000</f>
        <v>0.47320000000000001</v>
      </c>
      <c r="U139" s="756">
        <f>+InputY!U147/1000</f>
        <v>0.54530000000000001</v>
      </c>
      <c r="V139" s="756">
        <f>+InputY!V147/1000</f>
        <v>0.57020000000000004</v>
      </c>
      <c r="W139" s="756">
        <f>+InputY!W147/1000</f>
        <v>0.58739999999999992</v>
      </c>
      <c r="X139" s="756">
        <f>+InputY!X147/1000</f>
        <v>0.6177999999999999</v>
      </c>
      <c r="Y139" s="756">
        <f>+InputY!Y147/1000</f>
        <v>0.63449999999999995</v>
      </c>
      <c r="Z139" s="756">
        <f>+InputY!Z147/1000</f>
        <v>0.63</v>
      </c>
      <c r="AA139" s="756">
        <f>+InputY!AA147/1000</f>
        <v>0.54889999999999994</v>
      </c>
      <c r="AB139" s="756">
        <f>+InputY!AB147/1000</f>
        <v>0.52639999999999998</v>
      </c>
      <c r="AC139" s="756">
        <f>+InputY!AC147/1000</f>
        <v>0.53149999999999997</v>
      </c>
      <c r="AD139" s="3032">
        <f t="shared" ref="AC139:AE140" si="180">+AC139*(1+AD148/100)</f>
        <v>0.56652585</v>
      </c>
      <c r="AE139" s="3032">
        <f t="shared" si="180"/>
        <v>0.58782722196000003</v>
      </c>
      <c r="AK139" s="756">
        <v>0</v>
      </c>
      <c r="AM139" s="756">
        <f t="shared" si="169"/>
        <v>0.63</v>
      </c>
    </row>
    <row r="140" spans="1:46" ht="12.75" customHeight="1">
      <c r="A140" s="1869">
        <f>+ROW(InputY!A237)</f>
        <v>237</v>
      </c>
      <c r="B140" s="714" t="s">
        <v>241</v>
      </c>
      <c r="C140" s="829" t="s">
        <v>2133</v>
      </c>
      <c r="D140" s="724" t="s">
        <v>592</v>
      </c>
      <c r="E140" s="830" t="s">
        <v>880</v>
      </c>
      <c r="F140" s="754" t="str">
        <f>+InputY!B237</f>
        <v>SubFrRow</v>
      </c>
      <c r="G140" s="756">
        <f>+InputY!G237/1000</f>
        <v>1.0211000000000001</v>
      </c>
      <c r="H140" s="756">
        <f>+InputY!H237/1000</f>
        <v>0.84229999999999994</v>
      </c>
      <c r="I140" s="756">
        <f>+InputY!I237/1000</f>
        <v>0.82810000000000006</v>
      </c>
      <c r="J140" s="756">
        <f>+InputY!J237/1000</f>
        <v>0.74320000000000008</v>
      </c>
      <c r="K140" s="756">
        <f>+InputY!K237/1000</f>
        <v>0.85760000000000003</v>
      </c>
      <c r="L140" s="756">
        <f>+InputY!L237/1000</f>
        <v>0.69420000000000004</v>
      </c>
      <c r="M140" s="756">
        <f>+InputY!M237/1000</f>
        <v>0.73360000000000003</v>
      </c>
      <c r="N140" s="756">
        <f>+InputY!N237/1000</f>
        <v>0.71060000000000001</v>
      </c>
      <c r="O140" s="756">
        <f>+InputY!O237/1000</f>
        <v>0.8657999999999999</v>
      </c>
      <c r="P140" s="756">
        <f>+InputY!P237/1000</f>
        <v>0.8115</v>
      </c>
      <c r="Q140" s="756">
        <f>+InputY!Q237/1000</f>
        <v>0.89119999999999999</v>
      </c>
      <c r="R140" s="756">
        <f>+InputY!R237/1000</f>
        <v>0.79239999999999999</v>
      </c>
      <c r="S140" s="1376">
        <f>+InputY!S237/1000</f>
        <v>0.67600000000000005</v>
      </c>
      <c r="T140" s="1376">
        <f>+InputY!T237/1000</f>
        <v>0.67179999999999995</v>
      </c>
      <c r="U140" s="1376">
        <f>+InputY!U237/1000</f>
        <v>0.63179999999999992</v>
      </c>
      <c r="V140" s="1376">
        <f>+InputY!V237/1000</f>
        <v>0.69210000000000005</v>
      </c>
      <c r="W140" s="1376">
        <f>+InputY!W237/1000</f>
        <v>0.62160000000000004</v>
      </c>
      <c r="X140" s="1376">
        <f>+InputY!X237/1000</f>
        <v>0.64260000000000006</v>
      </c>
      <c r="Y140" s="1376">
        <f>+InputY!Y237/1000</f>
        <v>0.66489999999999994</v>
      </c>
      <c r="Z140" s="1376">
        <f>+InputY!Z237/1000</f>
        <v>0.68379999999999996</v>
      </c>
      <c r="AA140" s="1376">
        <f>+InputY!AA237/1000</f>
        <v>0.93070000000000008</v>
      </c>
      <c r="AB140" s="1376">
        <f>+InputY!AB237/1000</f>
        <v>0.75009999999999999</v>
      </c>
      <c r="AC140" s="2135">
        <f t="shared" si="180"/>
        <v>0.75009999999999999</v>
      </c>
      <c r="AD140" s="2135">
        <f t="shared" si="180"/>
        <v>0.75009999999999999</v>
      </c>
      <c r="AE140" s="2135">
        <f t="shared" si="180"/>
        <v>0.75009999999999999</v>
      </c>
      <c r="AK140" s="1376">
        <v>0.60150000000000003</v>
      </c>
      <c r="AM140" s="1376">
        <f t="shared" si="169"/>
        <v>8.2299999999999929E-2</v>
      </c>
    </row>
    <row r="141" spans="1:46" ht="12.75" customHeight="1">
      <c r="A141" s="714">
        <f>+ROW(InputY!A145)</f>
        <v>145</v>
      </c>
      <c r="B141" s="714">
        <v>123</v>
      </c>
      <c r="C141" s="831" t="s">
        <v>624</v>
      </c>
      <c r="D141" s="800" t="s">
        <v>591</v>
      </c>
      <c r="E141" s="801" t="s">
        <v>1645</v>
      </c>
      <c r="F141" s="802" t="str">
        <f>+InputY!B145</f>
        <v>$ATE</v>
      </c>
      <c r="G141" s="832">
        <f>+InputY!G145/1000</f>
        <v>3.0030999999999999</v>
      </c>
      <c r="H141" s="832">
        <f>+InputY!H145/1000</f>
        <v>4.2462</v>
      </c>
      <c r="I141" s="832">
        <f>+InputY!I145/1000</f>
        <v>3.8410000000000002</v>
      </c>
      <c r="J141" s="832">
        <f>+InputY!J145/1000</f>
        <v>4.1426999999999996</v>
      </c>
      <c r="K141" s="832">
        <f>+InputY!K145/1000</f>
        <v>4.2998000000000003</v>
      </c>
      <c r="L141" s="832">
        <f>+InputY!L145/1000</f>
        <v>4.3295000000000003</v>
      </c>
      <c r="M141" s="832">
        <f>+InputY!M145/1000</f>
        <v>4.524</v>
      </c>
      <c r="N141" s="832">
        <f>+InputY!N145/1000</f>
        <v>4.6268000000000002</v>
      </c>
      <c r="O141" s="832">
        <f>+InputY!O145/1000</f>
        <v>5.1334999999999997</v>
      </c>
      <c r="P141" s="832">
        <f>+InputY!P145/1000</f>
        <v>5.0979999999999999</v>
      </c>
      <c r="Q141" s="832">
        <f>+InputY!Q145/1000</f>
        <v>6.7347000000000001</v>
      </c>
      <c r="R141" s="832">
        <f>+InputY!R145/1000</f>
        <v>7.9693000000000005</v>
      </c>
      <c r="S141" s="832">
        <f>+InputY!S145/1000</f>
        <v>9.2723999999999993</v>
      </c>
      <c r="T141" s="832">
        <f>+InputY!T145/1000</f>
        <v>10.2913</v>
      </c>
      <c r="U141" s="832">
        <f>+InputY!U145/1000</f>
        <v>10.694900000000001</v>
      </c>
      <c r="V141" s="832">
        <f>+InputY!V145/1000</f>
        <v>12.371499999999999</v>
      </c>
      <c r="W141" s="2009">
        <f>+InputY!W145/1000</f>
        <v>13.3751</v>
      </c>
      <c r="X141" s="2009">
        <f>+InputY!X145/1000</f>
        <v>13.308200000000001</v>
      </c>
      <c r="Y141" s="2009">
        <f>+InputY!Y145/1000</f>
        <v>13.5905</v>
      </c>
      <c r="Z141" s="2009">
        <f>+InputY!Z145/1000</f>
        <v>14.005100000000001</v>
      </c>
      <c r="AA141" s="2009">
        <f>+InputY!AA145/1000</f>
        <v>14.058200000000001</v>
      </c>
      <c r="AB141" s="2009">
        <f>+InputY!AB145/1000</f>
        <v>14.2582</v>
      </c>
      <c r="AC141" s="2009">
        <f>+InputY!AC145/1000</f>
        <v>14.704700000000001</v>
      </c>
      <c r="AD141" s="3366">
        <f>+AD132+AD133+AD134+AD139-AD140</f>
        <v>14.200035728075999</v>
      </c>
      <c r="AE141" s="3366">
        <f>+AE132+AE133+AE134+AE139-AE140</f>
        <v>14.515967078272361</v>
      </c>
      <c r="AK141" s="2009">
        <v>11.679500000000001</v>
      </c>
      <c r="AM141" s="2009">
        <f t="shared" si="169"/>
        <v>2.3255999999999997</v>
      </c>
    </row>
    <row r="142" spans="1:46" s="1881" customFormat="1" ht="12.75" customHeight="1">
      <c r="A142" s="1039"/>
      <c r="B142" s="1039"/>
      <c r="C142" s="1501"/>
      <c r="D142" s="1054"/>
      <c r="E142" s="1882" t="s">
        <v>474</v>
      </c>
      <c r="F142" s="1883"/>
      <c r="G142" s="1043">
        <f t="shared" ref="G142:X142" ca="1" si="181">ABS(+G132+G133+G134+G139-G140-G141)</f>
        <v>0.56439999999999957</v>
      </c>
      <c r="H142" s="1043">
        <f t="shared" si="181"/>
        <v>0</v>
      </c>
      <c r="I142" s="1043">
        <f t="shared" si="181"/>
        <v>0</v>
      </c>
      <c r="J142" s="1043">
        <f t="shared" si="181"/>
        <v>0</v>
      </c>
      <c r="K142" s="1043">
        <f t="shared" si="181"/>
        <v>8.8817841970012523E-16</v>
      </c>
      <c r="L142" s="1043">
        <f t="shared" si="181"/>
        <v>8.8817841970012523E-16</v>
      </c>
      <c r="M142" s="1043">
        <f t="shared" si="181"/>
        <v>0</v>
      </c>
      <c r="N142" s="1043">
        <f t="shared" si="181"/>
        <v>8.8817841970012523E-16</v>
      </c>
      <c r="O142" s="1043">
        <f t="shared" si="181"/>
        <v>8.8817841970012523E-16</v>
      </c>
      <c r="P142" s="1043">
        <f t="shared" si="181"/>
        <v>0</v>
      </c>
      <c r="Q142" s="1043">
        <f t="shared" si="181"/>
        <v>0</v>
      </c>
      <c r="R142" s="1043">
        <f t="shared" si="181"/>
        <v>8.8817841970012523E-16</v>
      </c>
      <c r="S142" s="1043">
        <f t="shared" si="181"/>
        <v>0</v>
      </c>
      <c r="T142" s="2879">
        <f t="shared" si="181"/>
        <v>0</v>
      </c>
      <c r="U142" s="2879">
        <f t="shared" si="181"/>
        <v>1.7763568394002505E-15</v>
      </c>
      <c r="V142" s="2879">
        <f t="shared" si="181"/>
        <v>0</v>
      </c>
      <c r="W142" s="2879">
        <f t="shared" si="181"/>
        <v>0</v>
      </c>
      <c r="X142" s="2879">
        <f t="shared" si="181"/>
        <v>3.5527136788005009E-15</v>
      </c>
      <c r="Y142" s="2879">
        <f t="shared" ref="Y142" si="182">ABS(+Y132+Y133+Y134+Y139-Y140-Y141)</f>
        <v>0</v>
      </c>
      <c r="Z142" s="2879">
        <f t="shared" ref="Z142:AD142" si="183">ABS(+Z132+Z133+Z134+Z139-Z140-Z141)</f>
        <v>0.26189999999999891</v>
      </c>
      <c r="AA142" s="2879">
        <f t="shared" si="183"/>
        <v>0.23470000000000013</v>
      </c>
      <c r="AB142" s="2879">
        <f t="shared" si="183"/>
        <v>0.51009999999999955</v>
      </c>
      <c r="AC142" s="2879">
        <f t="shared" si="183"/>
        <v>0.53013146000000155</v>
      </c>
      <c r="AD142" s="2879">
        <f t="shared" si="183"/>
        <v>0</v>
      </c>
      <c r="AE142" s="2879">
        <f t="shared" ref="AE142" si="184">ABS(+AE132+AE133+AE134+AE139-AE140-AE141)</f>
        <v>0</v>
      </c>
      <c r="AF142" s="2829"/>
      <c r="AG142" s="2829"/>
      <c r="AH142" s="2829"/>
      <c r="AI142" s="2829"/>
      <c r="AJ142" s="2829"/>
      <c r="AK142" s="2879">
        <v>1.7763568394002505E-15</v>
      </c>
      <c r="AL142" s="2829"/>
      <c r="AM142" s="2879">
        <f t="shared" si="169"/>
        <v>0.26189999999999714</v>
      </c>
      <c r="AN142" s="2829"/>
      <c r="AO142" s="2829"/>
      <c r="AP142" s="2829"/>
      <c r="AQ142" s="2829"/>
      <c r="AR142" s="2829"/>
      <c r="AS142" s="2829"/>
      <c r="AT142" s="2829"/>
    </row>
    <row r="143" spans="1:46">
      <c r="T143" s="2995"/>
      <c r="U143" s="3288">
        <f>8.013-U141</f>
        <v>-2.6819000000000006</v>
      </c>
      <c r="V143" s="3302">
        <f>V132+V133+V134+V140</f>
        <v>13.185499999999999</v>
      </c>
      <c r="AM143" s="2827">
        <f t="shared" si="169"/>
        <v>0</v>
      </c>
    </row>
    <row r="144" spans="1:46" ht="12.75" customHeight="1">
      <c r="A144" s="714"/>
      <c r="B144" s="714"/>
      <c r="C144" s="822"/>
      <c r="D144" s="790"/>
      <c r="E144" s="791" t="s">
        <v>1804</v>
      </c>
      <c r="F144" s="792"/>
      <c r="G144" s="793">
        <f>+InputY!$G$3</f>
        <v>1995</v>
      </c>
      <c r="H144" s="793">
        <f t="shared" ref="H144:S144" si="185">+G144+1</f>
        <v>1996</v>
      </c>
      <c r="I144" s="793">
        <f t="shared" si="185"/>
        <v>1997</v>
      </c>
      <c r="J144" s="793">
        <f t="shared" si="185"/>
        <v>1998</v>
      </c>
      <c r="K144" s="793">
        <f t="shared" si="185"/>
        <v>1999</v>
      </c>
      <c r="L144" s="793">
        <f t="shared" si="185"/>
        <v>2000</v>
      </c>
      <c r="M144" s="793">
        <f t="shared" si="185"/>
        <v>2001</v>
      </c>
      <c r="N144" s="793">
        <f t="shared" si="185"/>
        <v>2002</v>
      </c>
      <c r="O144" s="793">
        <f t="shared" si="185"/>
        <v>2003</v>
      </c>
      <c r="P144" s="793">
        <f>+O144+1</f>
        <v>2004</v>
      </c>
      <c r="Q144" s="793">
        <f t="shared" si="185"/>
        <v>2005</v>
      </c>
      <c r="R144" s="793">
        <f>+Q144+1</f>
        <v>2006</v>
      </c>
      <c r="S144" s="2126">
        <f t="shared" si="185"/>
        <v>2007</v>
      </c>
      <c r="T144" s="2126">
        <f t="shared" ref="T144:AE144" si="186">+S144+1</f>
        <v>2008</v>
      </c>
      <c r="U144" s="2126">
        <f t="shared" si="186"/>
        <v>2009</v>
      </c>
      <c r="V144" s="2126">
        <f t="shared" si="186"/>
        <v>2010</v>
      </c>
      <c r="W144" s="2126">
        <f t="shared" si="186"/>
        <v>2011</v>
      </c>
      <c r="X144" s="2126">
        <f t="shared" si="186"/>
        <v>2012</v>
      </c>
      <c r="Y144" s="2126">
        <f t="shared" si="186"/>
        <v>2013</v>
      </c>
      <c r="Z144" s="2126">
        <f t="shared" si="186"/>
        <v>2014</v>
      </c>
      <c r="AA144" s="2126">
        <f t="shared" si="186"/>
        <v>2015</v>
      </c>
      <c r="AB144" s="2126">
        <f t="shared" si="186"/>
        <v>2016</v>
      </c>
      <c r="AC144" s="2126">
        <f t="shared" si="186"/>
        <v>2017</v>
      </c>
      <c r="AD144" s="2126">
        <f t="shared" si="186"/>
        <v>2018</v>
      </c>
      <c r="AE144" s="2126">
        <f t="shared" si="186"/>
        <v>2019</v>
      </c>
      <c r="AK144" s="2126">
        <v>2014</v>
      </c>
      <c r="AM144" s="2126">
        <f t="shared" si="169"/>
        <v>0</v>
      </c>
    </row>
    <row r="145" spans="1:39" ht="12.75" customHeight="1">
      <c r="A145" s="714"/>
      <c r="B145" s="714"/>
      <c r="C145" s="839" t="s">
        <v>622</v>
      </c>
      <c r="D145" s="739" t="s">
        <v>588</v>
      </c>
      <c r="E145" s="787" t="s">
        <v>623</v>
      </c>
      <c r="F145" s="782" t="str">
        <f>+$F$132</f>
        <v>$ASubProd</v>
      </c>
      <c r="G145" s="788"/>
      <c r="H145" s="788">
        <f t="shared" ref="H145:AC145" ca="1" si="187">(H132/G132-1)*100</f>
        <v>-2.9501667284179245</v>
      </c>
      <c r="I145" s="788">
        <f t="shared" si="187"/>
        <v>-7.9599141016463815</v>
      </c>
      <c r="J145" s="788">
        <f t="shared" si="187"/>
        <v>2.457613936848646</v>
      </c>
      <c r="K145" s="788">
        <f t="shared" si="187"/>
        <v>5.9359344162744687</v>
      </c>
      <c r="L145" s="788">
        <f t="shared" si="187"/>
        <v>-6.682908187637338</v>
      </c>
      <c r="M145" s="788">
        <f t="shared" si="187"/>
        <v>6.78781673918607</v>
      </c>
      <c r="N145" s="788">
        <f t="shared" si="187"/>
        <v>-2.6652605340108382</v>
      </c>
      <c r="O145" s="788">
        <f t="shared" si="187"/>
        <v>21.851760650086185</v>
      </c>
      <c r="P145" s="788">
        <f t="shared" si="187"/>
        <v>-20.859267642066115</v>
      </c>
      <c r="Q145" s="788">
        <f t="shared" si="187"/>
        <v>37.086972064756665</v>
      </c>
      <c r="R145" s="788">
        <f t="shared" si="187"/>
        <v>-10.423574116156919</v>
      </c>
      <c r="S145" s="788">
        <f t="shared" si="187"/>
        <v>3.6306924516531502</v>
      </c>
      <c r="T145" s="788">
        <f t="shared" si="187"/>
        <v>-5.4057307970142077</v>
      </c>
      <c r="U145" s="788">
        <f t="shared" si="187"/>
        <v>-19.087013703279453</v>
      </c>
      <c r="V145" s="788">
        <f t="shared" si="187"/>
        <v>22.939387583892625</v>
      </c>
      <c r="W145" s="788">
        <f t="shared" si="187"/>
        <v>7.03714760950227</v>
      </c>
      <c r="X145" s="788">
        <f t="shared" si="187"/>
        <v>-13.31633262939792</v>
      </c>
      <c r="Y145" s="788">
        <f t="shared" si="187"/>
        <v>-4.1875430935417128</v>
      </c>
      <c r="Z145" s="788">
        <f t="shared" si="187"/>
        <v>-7.2011130301285808</v>
      </c>
      <c r="AA145" s="788">
        <f t="shared" si="187"/>
        <v>10.587809543504111</v>
      </c>
      <c r="AB145" s="788">
        <f t="shared" si="187"/>
        <v>-3.9362348651301948</v>
      </c>
      <c r="AC145" s="788">
        <f t="shared" si="187"/>
        <v>2.438074845491256</v>
      </c>
      <c r="AD145" s="4066">
        <v>-1.07</v>
      </c>
      <c r="AE145" s="4066">
        <v>-1.23</v>
      </c>
      <c r="AK145" s="788">
        <v>-2.7906976744186074</v>
      </c>
      <c r="AM145" s="788">
        <f t="shared" si="169"/>
        <v>-4.4104153557099739</v>
      </c>
    </row>
    <row r="146" spans="1:39" ht="12.75" customHeight="1">
      <c r="A146" s="714"/>
      <c r="B146" s="714"/>
      <c r="C146" s="840" t="s">
        <v>622</v>
      </c>
      <c r="D146" s="724" t="s">
        <v>589</v>
      </c>
      <c r="E146" s="830" t="s">
        <v>828</v>
      </c>
      <c r="F146" s="754" t="str">
        <f>+$F$133</f>
        <v>YHSubOth</v>
      </c>
      <c r="G146" s="756"/>
      <c r="H146" s="756">
        <f t="shared" ref="H146:AB146" ca="1" si="188">(H133/G133-1)*100</f>
        <v>36.487285629804859</v>
      </c>
      <c r="I146" s="756">
        <f t="shared" si="188"/>
        <v>-8.3188908145580669</v>
      </c>
      <c r="J146" s="756">
        <f t="shared" si="188"/>
        <v>-9.5935727788279745</v>
      </c>
      <c r="K146" s="756">
        <f t="shared" si="188"/>
        <v>-12.598013591217983</v>
      </c>
      <c r="L146" s="756">
        <f t="shared" si="188"/>
        <v>-11.244019138755966</v>
      </c>
      <c r="M146" s="756">
        <f t="shared" si="188"/>
        <v>-18.935309973045833</v>
      </c>
      <c r="N146" s="756">
        <f t="shared" si="188"/>
        <v>3.8237738985868797</v>
      </c>
      <c r="O146" s="756">
        <f t="shared" si="188"/>
        <v>18.334667734187349</v>
      </c>
      <c r="P146" s="756">
        <f t="shared" si="188"/>
        <v>11.772665764546675</v>
      </c>
      <c r="Q146" s="756">
        <f t="shared" si="188"/>
        <v>129.4794188861986</v>
      </c>
      <c r="R146" s="756">
        <f t="shared" si="188"/>
        <v>29.596412556053806</v>
      </c>
      <c r="S146" s="756">
        <f t="shared" si="188"/>
        <v>8.711581518420509</v>
      </c>
      <c r="T146" s="756">
        <f t="shared" si="188"/>
        <v>11.739374648942146</v>
      </c>
      <c r="U146" s="756">
        <f t="shared" si="188"/>
        <v>4.3565683646112463</v>
      </c>
      <c r="V146" s="756">
        <f t="shared" si="188"/>
        <v>5.218368657675021</v>
      </c>
      <c r="W146" s="756">
        <f t="shared" si="188"/>
        <v>1.495498245078597</v>
      </c>
      <c r="X146" s="756">
        <f t="shared" si="188"/>
        <v>-0.51120132310930044</v>
      </c>
      <c r="Y146" s="756">
        <f t="shared" si="188"/>
        <v>7.6469699259482882</v>
      </c>
      <c r="Z146" s="756">
        <f t="shared" si="188"/>
        <v>-3.130703355327813</v>
      </c>
      <c r="AA146" s="756">
        <f t="shared" si="188"/>
        <v>8.5507246376811619</v>
      </c>
      <c r="AB146" s="756">
        <f t="shared" si="188"/>
        <v>-13.004005340453928</v>
      </c>
      <c r="AC146" s="4052">
        <v>2</v>
      </c>
      <c r="AD146" s="4066">
        <v>3</v>
      </c>
      <c r="AE146" s="4066">
        <v>3</v>
      </c>
      <c r="AK146" s="756">
        <v>0</v>
      </c>
      <c r="AM146" s="756">
        <f t="shared" si="169"/>
        <v>-3.130703355327813</v>
      </c>
    </row>
    <row r="147" spans="1:39" ht="12.75" customHeight="1">
      <c r="A147" s="714"/>
      <c r="B147" s="714"/>
      <c r="C147" s="840" t="s">
        <v>622</v>
      </c>
      <c r="D147" s="724" t="s">
        <v>590</v>
      </c>
      <c r="E147" s="830" t="s">
        <v>828</v>
      </c>
      <c r="F147" s="754" t="str">
        <f>+$F$134</f>
        <v>YESubProd</v>
      </c>
      <c r="G147" s="756"/>
      <c r="H147" s="756">
        <f t="shared" ref="H147:AB147" ca="1" si="189">(H134/G134-1)*100</f>
        <v>13.883112861124648</v>
      </c>
      <c r="I147" s="756">
        <f t="shared" si="189"/>
        <v>-9.1721378345829603</v>
      </c>
      <c r="J147" s="756">
        <f t="shared" si="189"/>
        <v>7.0915312232677552</v>
      </c>
      <c r="K147" s="756">
        <f t="shared" si="189"/>
        <v>6.8455946960619851</v>
      </c>
      <c r="L147" s="756">
        <f t="shared" si="189"/>
        <v>0.79620215311004827</v>
      </c>
      <c r="M147" s="756">
        <f t="shared" si="189"/>
        <v>4.6875579454848992</v>
      </c>
      <c r="N147" s="756">
        <f t="shared" si="189"/>
        <v>3.8896170604697078</v>
      </c>
      <c r="O147" s="756">
        <f t="shared" si="189"/>
        <v>5.9228697105057071</v>
      </c>
      <c r="P147" s="756">
        <f t="shared" si="189"/>
        <v>11.856167911408688</v>
      </c>
      <c r="Q147" s="756">
        <f t="shared" si="189"/>
        <v>20.298155236423288</v>
      </c>
      <c r="R147" s="756">
        <f t="shared" si="189"/>
        <v>30.990430622009569</v>
      </c>
      <c r="S147" s="756">
        <f t="shared" si="189"/>
        <v>18.491799685867694</v>
      </c>
      <c r="T147" s="756">
        <f t="shared" si="189"/>
        <v>16.154687957582571</v>
      </c>
      <c r="U147" s="756">
        <f t="shared" si="189"/>
        <v>9.493099787685777</v>
      </c>
      <c r="V147" s="756">
        <f t="shared" si="189"/>
        <v>15.051991177254752</v>
      </c>
      <c r="W147" s="756">
        <f t="shared" si="189"/>
        <v>7.8064760781174414</v>
      </c>
      <c r="X147" s="756">
        <f t="shared" si="189"/>
        <v>2.55312912208705</v>
      </c>
      <c r="Y147" s="756">
        <f t="shared" si="189"/>
        <v>3.1288705958574026</v>
      </c>
      <c r="Z147" s="756">
        <f t="shared" si="189"/>
        <v>3.2196374789822846</v>
      </c>
      <c r="AA147" s="756">
        <f t="shared" si="189"/>
        <v>1.2933310659017039</v>
      </c>
      <c r="AB147" s="756">
        <f t="shared" si="189"/>
        <v>-0.45859399851554405</v>
      </c>
      <c r="AC147" s="4052">
        <v>3.18</v>
      </c>
      <c r="AD147" s="4066">
        <v>-0.06</v>
      </c>
      <c r="AE147" s="4066">
        <v>2.58</v>
      </c>
      <c r="AK147" s="756">
        <v>0.94781282003051359</v>
      </c>
      <c r="AM147" s="756">
        <f t="shared" si="169"/>
        <v>2.271824658951771</v>
      </c>
    </row>
    <row r="148" spans="1:39" ht="12.75" customHeight="1">
      <c r="A148" s="714"/>
      <c r="B148" s="714"/>
      <c r="C148" s="840" t="s">
        <v>622</v>
      </c>
      <c r="D148" s="724" t="s">
        <v>591</v>
      </c>
      <c r="E148" s="830" t="s">
        <v>828</v>
      </c>
      <c r="F148" s="754" t="s">
        <v>157</v>
      </c>
      <c r="G148" s="756"/>
      <c r="H148" s="756" t="e">
        <f t="shared" ref="H148:P148" si="190">(H139/G139-1)*100</f>
        <v>#DIV/0!</v>
      </c>
      <c r="I148" s="756">
        <f t="shared" si="190"/>
        <v>1.4354066985646119</v>
      </c>
      <c r="J148" s="756">
        <f t="shared" si="190"/>
        <v>12.52620545073373</v>
      </c>
      <c r="K148" s="756">
        <f t="shared" si="190"/>
        <v>3.2137866790870939</v>
      </c>
      <c r="L148" s="756">
        <f t="shared" si="190"/>
        <v>1.6696750902527091</v>
      </c>
      <c r="M148" s="756">
        <f t="shared" si="190"/>
        <v>1.3315579227696439</v>
      </c>
      <c r="N148" s="756">
        <f t="shared" si="190"/>
        <v>9.1984231274638617</v>
      </c>
      <c r="O148" s="756">
        <f t="shared" si="190"/>
        <v>8.6642599277978238</v>
      </c>
      <c r="P148" s="756">
        <f t="shared" si="190"/>
        <v>14.987080103359185</v>
      </c>
      <c r="Q148" s="756">
        <f t="shared" ref="Q148:R148" si="191">(Q139/P139-1)*100</f>
        <v>22.79293739967898</v>
      </c>
      <c r="R148" s="756">
        <f t="shared" si="191"/>
        <v>2.0915032679738488</v>
      </c>
      <c r="S148" s="756"/>
      <c r="T148" s="756"/>
      <c r="U148" s="756"/>
      <c r="V148" s="756"/>
      <c r="W148" s="756"/>
      <c r="X148" s="756"/>
      <c r="Y148" s="756"/>
      <c r="Z148" s="756"/>
      <c r="AA148" s="756"/>
      <c r="AB148" s="756"/>
      <c r="AC148" s="756"/>
      <c r="AD148" s="4066">
        <v>6.59</v>
      </c>
      <c r="AE148" s="4066">
        <v>3.76</v>
      </c>
      <c r="AK148" s="756"/>
      <c r="AM148" s="756">
        <f t="shared" si="169"/>
        <v>0</v>
      </c>
    </row>
    <row r="149" spans="1:39" ht="12.75" customHeight="1">
      <c r="A149" s="714"/>
      <c r="B149" s="714"/>
      <c r="C149" s="841" t="s">
        <v>2133</v>
      </c>
      <c r="D149" s="741" t="s">
        <v>592</v>
      </c>
      <c r="E149" s="842" t="s">
        <v>880</v>
      </c>
      <c r="F149" s="785" t="str">
        <f>+$F$140</f>
        <v>SubFrRow</v>
      </c>
      <c r="G149" s="789"/>
      <c r="H149" s="789">
        <f t="shared" ref="H149:AB149" si="192">(H140/G140-1)*100</f>
        <v>-17.510527862109505</v>
      </c>
      <c r="I149" s="789">
        <f t="shared" si="192"/>
        <v>-1.6858601448414889</v>
      </c>
      <c r="J149" s="789">
        <f t="shared" si="192"/>
        <v>-10.252384977659702</v>
      </c>
      <c r="K149" s="789">
        <f t="shared" si="192"/>
        <v>15.392895586652312</v>
      </c>
      <c r="L149" s="789">
        <f t="shared" si="192"/>
        <v>-19.053171641791046</v>
      </c>
      <c r="M149" s="789">
        <f t="shared" si="192"/>
        <v>5.6755978104292781</v>
      </c>
      <c r="N149" s="789">
        <f t="shared" si="192"/>
        <v>-3.1352235550708873</v>
      </c>
      <c r="O149" s="789">
        <f t="shared" si="192"/>
        <v>21.840698001688708</v>
      </c>
      <c r="P149" s="789">
        <f t="shared" si="192"/>
        <v>-6.2716562716562567</v>
      </c>
      <c r="Q149" s="789">
        <f t="shared" si="192"/>
        <v>9.8213185459026455</v>
      </c>
      <c r="R149" s="789">
        <f t="shared" si="192"/>
        <v>-11.086175942549371</v>
      </c>
      <c r="S149" s="789">
        <f t="shared" si="192"/>
        <v>-14.689550731953549</v>
      </c>
      <c r="T149" s="789">
        <f t="shared" si="192"/>
        <v>-0.62130177514794216</v>
      </c>
      <c r="U149" s="789">
        <f t="shared" si="192"/>
        <v>-5.954153021732667</v>
      </c>
      <c r="V149" s="789">
        <f t="shared" si="192"/>
        <v>9.5441595441595695</v>
      </c>
      <c r="W149" s="789">
        <f t="shared" si="192"/>
        <v>-10.186389250108363</v>
      </c>
      <c r="X149" s="789">
        <f t="shared" si="192"/>
        <v>3.3783783783783772</v>
      </c>
      <c r="Y149" s="789">
        <f t="shared" si="192"/>
        <v>3.4702769996887373</v>
      </c>
      <c r="Z149" s="789">
        <f t="shared" si="192"/>
        <v>2.8425327116859744</v>
      </c>
      <c r="AA149" s="789">
        <f t="shared" si="192"/>
        <v>36.107048844691448</v>
      </c>
      <c r="AB149" s="789">
        <f t="shared" si="192"/>
        <v>-19.404749113570439</v>
      </c>
      <c r="AC149" s="4054">
        <v>0</v>
      </c>
      <c r="AD149" s="4065">
        <v>0</v>
      </c>
      <c r="AE149" s="4065">
        <v>0</v>
      </c>
      <c r="AK149" s="789">
        <v>-17.614025475962237</v>
      </c>
      <c r="AM149" s="789">
        <f t="shared" si="169"/>
        <v>20.456558187648213</v>
      </c>
    </row>
    <row r="150" spans="1:39" ht="12.75" customHeight="1">
      <c r="A150" s="714"/>
      <c r="B150" s="714"/>
      <c r="C150" s="822" t="s">
        <v>624</v>
      </c>
      <c r="D150" s="766" t="s">
        <v>591</v>
      </c>
      <c r="E150" s="771" t="s">
        <v>1645</v>
      </c>
      <c r="F150" s="772" t="str">
        <f>+$F$141</f>
        <v>$ATE</v>
      </c>
      <c r="G150" s="770"/>
      <c r="H150" s="770">
        <f t="shared" ref="H150:AC150" si="193">(H141/G141-1)*100</f>
        <v>41.39389297725684</v>
      </c>
      <c r="I150" s="770">
        <f t="shared" si="193"/>
        <v>-9.5426498987329804</v>
      </c>
      <c r="J150" s="770">
        <f t="shared" si="193"/>
        <v>7.8547253319448007</v>
      </c>
      <c r="K150" s="770">
        <f t="shared" si="193"/>
        <v>3.7922128080720485</v>
      </c>
      <c r="L150" s="770">
        <f t="shared" si="193"/>
        <v>0.69072980138611406</v>
      </c>
      <c r="M150" s="770">
        <f t="shared" si="193"/>
        <v>4.492435616121937</v>
      </c>
      <c r="N150" s="770">
        <f t="shared" si="193"/>
        <v>2.272325375773665</v>
      </c>
      <c r="O150" s="770">
        <f t="shared" si="193"/>
        <v>10.951413503933583</v>
      </c>
      <c r="P150" s="770">
        <f t="shared" si="193"/>
        <v>-0.69153598909126313</v>
      </c>
      <c r="Q150" s="770">
        <f t="shared" si="193"/>
        <v>32.104746959591999</v>
      </c>
      <c r="R150" s="770">
        <f t="shared" si="193"/>
        <v>18.331922728555107</v>
      </c>
      <c r="S150" s="770">
        <f t="shared" si="193"/>
        <v>16.351498876940251</v>
      </c>
      <c r="T150" s="770">
        <f t="shared" si="193"/>
        <v>10.988525085199097</v>
      </c>
      <c r="U150" s="770">
        <f t="shared" si="193"/>
        <v>3.9217591557918041</v>
      </c>
      <c r="V150" s="770">
        <f t="shared" si="193"/>
        <v>15.676630917540123</v>
      </c>
      <c r="W150" s="770">
        <f t="shared" si="193"/>
        <v>8.1121933476134611</v>
      </c>
      <c r="X150" s="770">
        <f t="shared" si="193"/>
        <v>-0.50018317620054153</v>
      </c>
      <c r="Y150" s="770">
        <f t="shared" si="193"/>
        <v>2.1212485535233805</v>
      </c>
      <c r="Z150" s="770">
        <f t="shared" si="193"/>
        <v>3.0506603877708649</v>
      </c>
      <c r="AA150" s="770">
        <f t="shared" si="193"/>
        <v>0.37914759623280947</v>
      </c>
      <c r="AB150" s="770">
        <f t="shared" si="193"/>
        <v>1.4226572391913495</v>
      </c>
      <c r="AC150" s="770">
        <f t="shared" si="193"/>
        <v>3.1315313293403202</v>
      </c>
      <c r="AD150" s="2223">
        <f>(AD141/AC141-1)*100</f>
        <v>-3.4319929813189098</v>
      </c>
      <c r="AE150" s="2223">
        <f>(AE141/AD141-1)*100</f>
        <v>2.2248630654619239</v>
      </c>
      <c r="AK150" s="770">
        <v>1.3766285620047114</v>
      </c>
      <c r="AM150" s="770">
        <f t="shared" si="169"/>
        <v>1.6740318257661535</v>
      </c>
    </row>
    <row r="151" spans="1:39" ht="12.75" customHeight="1">
      <c r="A151" s="714"/>
      <c r="B151" s="714"/>
      <c r="C151" s="822"/>
      <c r="E151" s="833"/>
      <c r="F151" s="834"/>
      <c r="G151" s="753"/>
      <c r="H151" s="835"/>
      <c r="I151" s="753"/>
      <c r="J151" s="753"/>
      <c r="K151" s="753"/>
      <c r="L151" s="753"/>
      <c r="M151" s="753"/>
      <c r="N151" s="753"/>
      <c r="O151" s="753"/>
      <c r="P151" s="753"/>
      <c r="Q151" s="885"/>
      <c r="R151" s="2233"/>
      <c r="S151" s="2218"/>
      <c r="T151" s="2218"/>
      <c r="U151" s="2218"/>
      <c r="AM151" s="2827">
        <f t="shared" si="169"/>
        <v>0</v>
      </c>
    </row>
    <row r="152" spans="1:39" ht="12.75" customHeight="1">
      <c r="A152" s="714"/>
      <c r="B152" s="714"/>
      <c r="C152" s="822"/>
      <c r="D152" s="862"/>
      <c r="E152" s="863" t="s">
        <v>1805</v>
      </c>
      <c r="F152" s="864"/>
      <c r="G152" s="865">
        <f>+InputY!$G$3</f>
        <v>1995</v>
      </c>
      <c r="H152" s="865">
        <f t="shared" ref="H152:S152" si="194">+G152+1</f>
        <v>1996</v>
      </c>
      <c r="I152" s="865">
        <f t="shared" si="194"/>
        <v>1997</v>
      </c>
      <c r="J152" s="865">
        <f t="shared" si="194"/>
        <v>1998</v>
      </c>
      <c r="K152" s="865">
        <f t="shared" si="194"/>
        <v>1999</v>
      </c>
      <c r="L152" s="865">
        <f t="shared" si="194"/>
        <v>2000</v>
      </c>
      <c r="M152" s="865">
        <f t="shared" si="194"/>
        <v>2001</v>
      </c>
      <c r="N152" s="865">
        <f t="shared" si="194"/>
        <v>2002</v>
      </c>
      <c r="O152" s="865">
        <f t="shared" si="194"/>
        <v>2003</v>
      </c>
      <c r="P152" s="865">
        <f>+O152+1</f>
        <v>2004</v>
      </c>
      <c r="Q152" s="865">
        <f>+P152+1</f>
        <v>2005</v>
      </c>
      <c r="R152" s="865">
        <f>+Q152+1</f>
        <v>2006</v>
      </c>
      <c r="S152" s="2219">
        <f t="shared" si="194"/>
        <v>2007</v>
      </c>
      <c r="T152" s="2219">
        <f t="shared" ref="T152:AE152" si="195">+S152+1</f>
        <v>2008</v>
      </c>
      <c r="U152" s="2219">
        <f t="shared" si="195"/>
        <v>2009</v>
      </c>
      <c r="V152" s="2219">
        <f t="shared" si="195"/>
        <v>2010</v>
      </c>
      <c r="W152" s="2219">
        <f t="shared" si="195"/>
        <v>2011</v>
      </c>
      <c r="X152" s="2219">
        <f t="shared" si="195"/>
        <v>2012</v>
      </c>
      <c r="Y152" s="2219">
        <f t="shared" si="195"/>
        <v>2013</v>
      </c>
      <c r="Z152" s="2219">
        <f t="shared" si="195"/>
        <v>2014</v>
      </c>
      <c r="AA152" s="2219">
        <f t="shared" si="195"/>
        <v>2015</v>
      </c>
      <c r="AB152" s="2219">
        <f t="shared" si="195"/>
        <v>2016</v>
      </c>
      <c r="AC152" s="2219">
        <f t="shared" si="195"/>
        <v>2017</v>
      </c>
      <c r="AD152" s="2219">
        <f t="shared" si="195"/>
        <v>2018</v>
      </c>
      <c r="AE152" s="2219">
        <f t="shared" si="195"/>
        <v>2019</v>
      </c>
      <c r="AK152" s="2219">
        <v>2014</v>
      </c>
      <c r="AM152" s="2219"/>
    </row>
    <row r="153" spans="1:39" ht="12.75" customHeight="1">
      <c r="A153" s="714"/>
      <c r="B153" s="714"/>
      <c r="C153" s="866" t="s">
        <v>622</v>
      </c>
      <c r="D153" s="867" t="s">
        <v>588</v>
      </c>
      <c r="E153" s="868" t="s">
        <v>623</v>
      </c>
      <c r="F153" s="869" t="str">
        <f>+$F$8</f>
        <v>YATaxProd</v>
      </c>
      <c r="G153" s="878">
        <f ca="1">+G132/'VVP2'!G$355</f>
        <v>1.0219091413350699E-2</v>
      </c>
      <c r="H153" s="878">
        <f>+H132/'VVP2'!H$355</f>
        <v>9.7039766159864854E-3</v>
      </c>
      <c r="I153" s="878">
        <f>+I132/'VVP2'!I$355</f>
        <v>8.535252891219005E-3</v>
      </c>
      <c r="J153" s="878">
        <f>+J132/'VVP2'!J$355</f>
        <v>8.4272394170146567E-3</v>
      </c>
      <c r="K153" s="878">
        <f>+K132/'VVP2'!K$355</f>
        <v>8.5715689566221442E-3</v>
      </c>
      <c r="L153" s="878">
        <f>+L132/'VVP2'!L$355</f>
        <v>7.5651958392391047E-3</v>
      </c>
      <c r="M153" s="878">
        <f>+M132/'VVP2'!M$355</f>
        <v>7.8487247750466151E-3</v>
      </c>
      <c r="N153" s="878">
        <f>+N132/'VVP2'!N$355</f>
        <v>7.3818888692167789E-3</v>
      </c>
      <c r="O153" s="878">
        <f>+O132/'VVP2'!O$355</f>
        <v>8.7540002795109609E-3</v>
      </c>
      <c r="P153" s="878">
        <f>+P132/'VVP2'!P$355</f>
        <v>6.5551697494700559E-3</v>
      </c>
      <c r="Q153" s="878">
        <f>+Q132/'VVP2'!Q$355</f>
        <v>8.6178666550233603E-3</v>
      </c>
      <c r="R153" s="878">
        <f>+R132/'VVP2'!R$355</f>
        <v>7.3608171869341448E-3</v>
      </c>
      <c r="S153" s="878">
        <f>+S132/'VVP2'!S$355</f>
        <v>7.2286325561156037E-3</v>
      </c>
      <c r="T153" s="878">
        <f>+T132/'VVP2'!T$355</f>
        <v>6.6572352773876277E-3</v>
      </c>
      <c r="U153" s="878">
        <f>+U132/'VVP2'!U$355</f>
        <v>5.4681862061906452E-3</v>
      </c>
      <c r="V153" s="878">
        <f>+V132/'VVP2'!V$355</f>
        <v>6.4220673485793633E-3</v>
      </c>
      <c r="W153" s="878">
        <f>+W132/'VVP2'!W$355</f>
        <v>6.6200429800296109E-3</v>
      </c>
      <c r="X153" s="878">
        <f>+X132/'VVP2'!X$355</f>
        <v>5.6141920995633294E-3</v>
      </c>
      <c r="Y153" s="878">
        <f>+Y132/'VVP2'!Y$355</f>
        <v>5.3127416591434266E-3</v>
      </c>
      <c r="Z153" s="2224">
        <f>+Z132/'VVP2'!Z$355</f>
        <v>4.8322683506533542E-3</v>
      </c>
      <c r="AA153" s="2224">
        <f>+AA132/'VVP2'!AA$355</f>
        <v>5.211784954116996E-3</v>
      </c>
      <c r="AB153" s="2224">
        <f>+AB132/'VVP2'!AB$355</f>
        <v>4.857363838274769E-3</v>
      </c>
      <c r="AC153" s="2224">
        <f>+AC132/'VVP2'!AC$355</f>
        <v>4.8006246969676926E-3</v>
      </c>
      <c r="AD153" s="2224">
        <f ca="1">+AD132/'VVP2'!AD$355</f>
        <v>4.5932965315943208E-3</v>
      </c>
      <c r="AE153" s="2224">
        <f ca="1">+AE132/'VVP2'!AE$355</f>
        <v>4.3852502418974893E-3</v>
      </c>
      <c r="AK153" s="2224">
        <v>5.1955154498222588E-3</v>
      </c>
      <c r="AM153" s="2224">
        <f t="shared" si="169"/>
        <v>-3.6324709916890456E-4</v>
      </c>
    </row>
    <row r="154" spans="1:39" ht="12.75" customHeight="1">
      <c r="A154" s="714"/>
      <c r="B154" s="714"/>
      <c r="C154" s="870" t="s">
        <v>622</v>
      </c>
      <c r="D154" s="724" t="s">
        <v>589</v>
      </c>
      <c r="E154" s="830" t="s">
        <v>828</v>
      </c>
      <c r="F154" s="754" t="str">
        <f>+$F$18</f>
        <v>$HTaxOth</v>
      </c>
      <c r="G154" s="879">
        <f ca="1">+G133/'VVP2'!G$355</f>
        <v>8.0031880233308794E-4</v>
      </c>
      <c r="H154" s="879">
        <f>+H133/'VVP2'!H$355</f>
        <v>1.0688035327939304E-3</v>
      </c>
      <c r="I154" s="879">
        <f>+I133/'VVP2'!I$355</f>
        <v>9.3641287488045895E-4</v>
      </c>
      <c r="J154" s="879">
        <f>+J133/'VVP2'!J$355</f>
        <v>8.1581443270831633E-4</v>
      </c>
      <c r="K154" s="879">
        <f>+K133/'VVP2'!K$355</f>
        <v>6.8461179399408739E-4</v>
      </c>
      <c r="L154" s="879">
        <f>+L133/'VVP2'!L$355</f>
        <v>5.7469928975842496E-4</v>
      </c>
      <c r="M154" s="879">
        <f>+M133/'VVP2'!M$355</f>
        <v>4.5261568977427146E-4</v>
      </c>
      <c r="N154" s="879">
        <f>+N133/'VVP2'!N$355</f>
        <v>4.5407432640491298E-4</v>
      </c>
      <c r="O154" s="879">
        <f>+O133/'VVP2'!O$355</f>
        <v>5.2293316680612734E-4</v>
      </c>
      <c r="P154" s="879">
        <f>+P133/'VVP2'!P$355</f>
        <v>5.5304327797990561E-4</v>
      </c>
      <c r="Q154" s="879">
        <f>+Q133/'VVP2'!Q$355</f>
        <v>1.2170894642623239E-3</v>
      </c>
      <c r="R154" s="879">
        <f>+R133/'VVP2'!R$355</f>
        <v>1.504000617151485E-3</v>
      </c>
      <c r="S154" s="879">
        <f>+S133/'VVP2'!S$355</f>
        <v>1.5494071146245061E-3</v>
      </c>
      <c r="T154" s="879">
        <f>+T133/'VVP2'!T$355</f>
        <v>1.6855619250540647E-3</v>
      </c>
      <c r="U154" s="879">
        <f>+U133/'VVP2'!U$355</f>
        <v>1.78564721540244E-3</v>
      </c>
      <c r="V154" s="879">
        <f>+V133/'VVP2'!V$355</f>
        <v>1.7948482678057137E-3</v>
      </c>
      <c r="W154" s="879">
        <f>+W133/'VVP2'!W$355</f>
        <v>1.7543892042944157E-3</v>
      </c>
      <c r="X154" s="879">
        <f>+X133/'VVP2'!X$355</f>
        <v>1.7076124625516229E-3</v>
      </c>
      <c r="Y154" s="879">
        <f>+Y133/'VVP2'!Y$355</f>
        <v>1.8155180789713407E-3</v>
      </c>
      <c r="Z154" s="2225">
        <f>+Z133/'VVP2'!Z$355</f>
        <v>1.7237580323377004E-3</v>
      </c>
      <c r="AA154" s="2225">
        <f>+AA133/'VVP2'!AA$355</f>
        <v>1.8248922119740217E-3</v>
      </c>
      <c r="AB154" s="2225">
        <f>+AB133/'VVP2'!AB$355</f>
        <v>1.540249295352494E-3</v>
      </c>
      <c r="AC154" s="2225">
        <f>+AC133/'VVP2'!AC$355</f>
        <v>1.515747645413317E-3</v>
      </c>
      <c r="AD154" s="2225">
        <f ca="1">+AD133/'VVP2'!AD$355</f>
        <v>1.5099509724110672E-3</v>
      </c>
      <c r="AE154" s="2225">
        <f ca="1">+AE133/'VVP2'!AE$355</f>
        <v>1.5032974299055127E-3</v>
      </c>
      <c r="AK154" s="2225">
        <v>1.3197603599572425E-3</v>
      </c>
      <c r="AM154" s="2225">
        <f t="shared" si="169"/>
        <v>4.0399767238045786E-4</v>
      </c>
    </row>
    <row r="155" spans="1:39" ht="12.75" customHeight="1">
      <c r="A155" s="714"/>
      <c r="B155" s="714"/>
      <c r="C155" s="870" t="s">
        <v>622</v>
      </c>
      <c r="D155" s="724" t="s">
        <v>590</v>
      </c>
      <c r="E155" s="830" t="s">
        <v>828</v>
      </c>
      <c r="F155" s="754" t="str">
        <f>+$F$24</f>
        <v>$ETaxProd</v>
      </c>
      <c r="G155" s="879">
        <f ca="1">+G134/'VVP2'!G$355</f>
        <v>1.0697578881806495E-2</v>
      </c>
      <c r="H155" s="879">
        <f>+H134/'VVP2'!H$355</f>
        <v>1.1920308378530572E-2</v>
      </c>
      <c r="I155" s="879">
        <f>+I134/'VVP2'!I$355</f>
        <v>1.0346565696930592E-2</v>
      </c>
      <c r="J155" s="879">
        <f>+J134/'VVP2'!J$355</f>
        <v>1.0677659051830017E-2</v>
      </c>
      <c r="K155" s="879">
        <f>+K134/'VVP2'!K$355</f>
        <v>1.0953788703905398E-2</v>
      </c>
      <c r="L155" s="879">
        <f>+L134/'VVP2'!L$355</f>
        <v>1.0442564924754668E-2</v>
      </c>
      <c r="M155" s="879">
        <f>+M134/'VVP2'!M$355</f>
        <v>1.0620854785235171E-2</v>
      </c>
      <c r="N155" s="879">
        <f>+N134/'VVP2'!N$355</f>
        <v>1.0661839688132009E-2</v>
      </c>
      <c r="O155" s="879">
        <f>+O134/'VVP2'!O$355</f>
        <v>1.0990795597879256E-2</v>
      </c>
      <c r="P155" s="879">
        <f>+P134/'VVP2'!P$355</f>
        <v>1.1632321295380013E-2</v>
      </c>
      <c r="Q155" s="879">
        <f>+Q134/'VVP2'!Q$355</f>
        <v>1.3419767767387267E-2</v>
      </c>
      <c r="R155" s="879">
        <f>+R134/'VVP2'!R$355</f>
        <v>1.6761662892634317E-2</v>
      </c>
      <c r="S155" s="879">
        <f>+S134/'VVP2'!S$355</f>
        <v>1.8821191572687385E-2</v>
      </c>
      <c r="T155" s="879">
        <f>+T134/'VVP2'!T$355</f>
        <v>2.1284173369985643E-2</v>
      </c>
      <c r="U155" s="879">
        <f>+U134/'VVP2'!U$355</f>
        <v>2.3657818614598099E-2</v>
      </c>
      <c r="V155" s="879">
        <f>+V134/'VVP2'!V$355</f>
        <v>2.6002155570863363E-2</v>
      </c>
      <c r="W155" s="879">
        <f>+W134/'VVP2'!W$355</f>
        <v>2.6996385974065853E-2</v>
      </c>
      <c r="X155" s="879">
        <f>+X134/'VVP2'!X$355</f>
        <v>2.7085928493953935E-2</v>
      </c>
      <c r="Y155" s="879">
        <f>+Y134/'VVP2'!Y$355</f>
        <v>2.7588840081990158E-2</v>
      </c>
      <c r="Z155" s="2225">
        <f>+Z134/'VVP2'!Z$355</f>
        <v>2.791163966362236E-2</v>
      </c>
      <c r="AA155" s="2225">
        <f>+AA134/'VVP2'!AA$355</f>
        <v>2.7573658399669427E-2</v>
      </c>
      <c r="AB155" s="2225">
        <f>+AB134/'VVP2'!AB$355</f>
        <v>2.6628867997136971E-2</v>
      </c>
      <c r="AC155" s="2225">
        <f>+AC134/'VVP2'!AC$355</f>
        <v>2.6508425928755536E-2</v>
      </c>
      <c r="AD155" s="2225">
        <f ca="1">+AD134/'VVP2'!AD$355</f>
        <v>2.5622529648712689E-2</v>
      </c>
      <c r="AE155" s="2225">
        <f ca="1">+AE134/'VVP2'!AE$355</f>
        <v>2.5405605099985521E-2</v>
      </c>
      <c r="AK155" s="2225">
        <v>2.4013970716185648E-2</v>
      </c>
      <c r="AM155" s="2225">
        <f t="shared" si="169"/>
        <v>3.8976689474367124E-3</v>
      </c>
    </row>
    <row r="156" spans="1:39" ht="12.75" customHeight="1">
      <c r="A156" s="714"/>
      <c r="B156" s="714"/>
      <c r="C156" s="870" t="s">
        <v>622</v>
      </c>
      <c r="D156" s="724" t="s">
        <v>591</v>
      </c>
      <c r="E156" s="830" t="s">
        <v>828</v>
      </c>
      <c r="F156" s="754" t="s">
        <v>157</v>
      </c>
      <c r="G156" s="879">
        <f ca="1">+G139/'VVP2'!G$355</f>
        <v>0</v>
      </c>
      <c r="H156" s="879">
        <f>+H139/'VVP2'!H$355</f>
        <v>8.7106561749799943E-4</v>
      </c>
      <c r="I156" s="879">
        <f>+I139/'VVP2'!I$355</f>
        <v>8.4436472838937432E-4</v>
      </c>
      <c r="J156" s="879">
        <f>+J139/'VVP2'!J$355</f>
        <v>9.156056388001856E-4</v>
      </c>
      <c r="K156" s="879">
        <f>+K139/'VVP2'!K$355</f>
        <v>9.0735630113091968E-4</v>
      </c>
      <c r="L156" s="879">
        <f>+L139/'VVP2'!L$355</f>
        <v>8.7250505379092417E-4</v>
      </c>
      <c r="M156" s="879">
        <f>+M139/'VVP2'!M$355</f>
        <v>8.5895396488334323E-4</v>
      </c>
      <c r="N156" s="879">
        <f>+N139/'VVP2'!N$355</f>
        <v>9.0633090130300077E-4</v>
      </c>
      <c r="O156" s="879">
        <f>+O139/'VVP2'!O$355</f>
        <v>9.584749315817312E-4</v>
      </c>
      <c r="P156" s="879">
        <f>+P139/'VVP2'!P$355</f>
        <v>1.0428146555129577E-3</v>
      </c>
      <c r="Q156" s="879">
        <f>+Q139/'VVP2'!Q$355</f>
        <v>1.2280050648386675E-3</v>
      </c>
      <c r="R156" s="879">
        <f>+R139/'VVP2'!R$355</f>
        <v>1.1954248748171279E-3</v>
      </c>
      <c r="S156" s="879">
        <f>+S139/'VVP2'!S$355</f>
        <v>1.2607607789099614E-3</v>
      </c>
      <c r="T156" s="879">
        <f>+T139/'VVP2'!T$355</f>
        <v>1.3364743681896507E-3</v>
      </c>
      <c r="U156" s="879">
        <f>+U139/'VVP2'!U$355</f>
        <v>1.5634448082192528E-3</v>
      </c>
      <c r="V156" s="879">
        <f>+V139/'VVP2'!V$355</f>
        <v>1.5617617614875905E-3</v>
      </c>
      <c r="W156" s="879">
        <f>+W139/'VVP2'!W$355</f>
        <v>1.5494334966208686E-3</v>
      </c>
      <c r="X156" s="879">
        <f>+X139/'VVP2'!X$355</f>
        <v>1.5943221692071819E-3</v>
      </c>
      <c r="Y156" s="879">
        <f>+Y139/'VVP2'!Y$355</f>
        <v>1.6172205827703434E-3</v>
      </c>
      <c r="Z156" s="2225">
        <f>+Z139/'VVP2'!Z$355</f>
        <v>1.5738660295257266E-3</v>
      </c>
      <c r="AA156" s="2225">
        <f>+AA139/'VVP2'!AA$355</f>
        <v>1.3373609281075306E-3</v>
      </c>
      <c r="AB156" s="2225">
        <f>+AB139/'VVP2'!AB$355</f>
        <v>1.2443020704014007E-3</v>
      </c>
      <c r="AC156" s="2225">
        <f>+AC139/'VVP2'!AC$355</f>
        <v>1.2121292287117951E-3</v>
      </c>
      <c r="AD156" s="2225">
        <f ca="1">+AD139/'VVP2'!AD$355</f>
        <v>1.2495801138036971E-3</v>
      </c>
      <c r="AE156" s="2225">
        <f ca="1">+AE139/'VVP2'!AE$355</f>
        <v>1.2532534600544285E-3</v>
      </c>
      <c r="AK156" s="2225">
        <v>0</v>
      </c>
      <c r="AM156" s="2225">
        <f t="shared" si="169"/>
        <v>1.5738660295257266E-3</v>
      </c>
    </row>
    <row r="157" spans="1:39" ht="12.75" customHeight="1">
      <c r="A157" s="714"/>
      <c r="B157" s="714"/>
      <c r="C157" s="871" t="s">
        <v>2133</v>
      </c>
      <c r="D157" s="872" t="s">
        <v>592</v>
      </c>
      <c r="E157" s="873" t="s">
        <v>880</v>
      </c>
      <c r="F157" s="874" t="str">
        <f>+$F$31</f>
        <v>TaxToRow</v>
      </c>
      <c r="G157" s="880">
        <f ca="1">+G140/'VVP2'!G$355</f>
        <v>4.83267610326621E-3</v>
      </c>
      <c r="H157" s="880">
        <f>+H140/'VVP2'!H$355</f>
        <v>3.9005771909546246E-3</v>
      </c>
      <c r="I157" s="880">
        <f>+I140/'VVP2'!I$355</f>
        <v>3.6646668321763149E-3</v>
      </c>
      <c r="J157" s="880">
        <f>+J140/'VVP2'!J$355</f>
        <v>3.1694369387810805E-3</v>
      </c>
      <c r="K157" s="880">
        <f>+K140/'VVP2'!K$355</f>
        <v>3.5115016419218267E-3</v>
      </c>
      <c r="L157" s="880">
        <f>+L140/'VVP2'!L$355</f>
        <v>2.6883844134117157E-3</v>
      </c>
      <c r="M157" s="880">
        <f>+M140/'VVP2'!M$355</f>
        <v>2.7600903575927317E-3</v>
      </c>
      <c r="N157" s="880">
        <f>+N140/'VVP2'!N$355</f>
        <v>2.5833884414998487E-3</v>
      </c>
      <c r="O157" s="880">
        <f>+O140/'VVP2'!O$355</f>
        <v>3.063298618543606E-3</v>
      </c>
      <c r="P157" s="880">
        <f>+P140/'VVP2'!P$355</f>
        <v>2.7166744556942702E-3</v>
      </c>
      <c r="Q157" s="880">
        <f>+Q140/'VVP2'!Q$355</f>
        <v>2.8611715393051513E-3</v>
      </c>
      <c r="R157" s="880">
        <f>+R140/'VVP2'!R$355</f>
        <v>2.4257481966839744E-3</v>
      </c>
      <c r="S157" s="880">
        <f>+S140/'VVP2'!S$355</f>
        <v>1.9610545019400228E-3</v>
      </c>
      <c r="T157" s="880">
        <f>+T140/'VVP2'!T$355</f>
        <v>1.8973868988795587E-3</v>
      </c>
      <c r="U157" s="880">
        <f>+U140/'VVP2'!U$355</f>
        <v>1.811451365914036E-3</v>
      </c>
      <c r="V157" s="880">
        <f>+V140/'VVP2'!V$355</f>
        <v>1.8956424327000374E-3</v>
      </c>
      <c r="W157" s="880">
        <f>+W140/'VVP2'!W$355</f>
        <v>1.639645661388376E-3</v>
      </c>
      <c r="X157" s="880">
        <f>+X140/'VVP2'!X$355</f>
        <v>1.6583221526910575E-3</v>
      </c>
      <c r="Y157" s="880">
        <f>+Y140/'VVP2'!Y$355</f>
        <v>1.6947044373270314E-3</v>
      </c>
      <c r="Z157" s="2226">
        <f>+Z140/'VVP2'!Z$355</f>
        <v>1.7082691920471298E-3</v>
      </c>
      <c r="AA157" s="2226">
        <f>+AA140/'VVP2'!AA$355</f>
        <v>2.267593032956238E-3</v>
      </c>
      <c r="AB157" s="2226">
        <f>+AB140/'VVP2'!AB$355</f>
        <v>1.7730831744074672E-3</v>
      </c>
      <c r="AC157" s="2226">
        <f>+AC140/'VVP2'!AC$355</f>
        <v>1.7106644110192238E-3</v>
      </c>
      <c r="AD157" s="2226">
        <f ca="1">+AD140/'VVP2'!AD$355</f>
        <v>1.6544876873035065E-3</v>
      </c>
      <c r="AE157" s="2226">
        <f ca="1">+AE140/'VVP2'!AE$355</f>
        <v>1.5992206302599501E-3</v>
      </c>
      <c r="AK157" s="2226">
        <v>1.4952643746737268E-3</v>
      </c>
      <c r="AM157" s="2226">
        <f t="shared" si="169"/>
        <v>2.1300481737340305E-4</v>
      </c>
    </row>
    <row r="158" spans="1:39" ht="12.75" customHeight="1">
      <c r="A158" s="714"/>
      <c r="B158" s="714"/>
      <c r="C158" s="822" t="s">
        <v>624</v>
      </c>
      <c r="D158" s="850" t="s">
        <v>591</v>
      </c>
      <c r="E158" s="851" t="s">
        <v>1645</v>
      </c>
      <c r="F158" s="852" t="str">
        <f>+$F$32</f>
        <v>YATaxIndir</v>
      </c>
      <c r="G158" s="881">
        <f ca="1">+G141/'VVP2'!G$355</f>
        <v>1.4213112923042556E-2</v>
      </c>
      <c r="H158" s="881">
        <f>+H141/'VVP2'!H$355</f>
        <v>1.9663576953854362E-2</v>
      </c>
      <c r="I158" s="881">
        <f>+I141/'VVP2'!I$355</f>
        <v>1.6997929359243116E-2</v>
      </c>
      <c r="J158" s="881">
        <f>+J141/'VVP2'!J$355</f>
        <v>1.7666881601572093E-2</v>
      </c>
      <c r="K158" s="881">
        <f>+K141/'VVP2'!K$355</f>
        <v>1.7605824113730725E-2</v>
      </c>
      <c r="L158" s="881">
        <f>+L141/'VVP2'!L$355</f>
        <v>1.6766580694131408E-2</v>
      </c>
      <c r="M158" s="881">
        <f>+M141/'VVP2'!M$355</f>
        <v>1.7021058857346671E-2</v>
      </c>
      <c r="N158" s="881">
        <f>+N141/'VVP2'!N$355</f>
        <v>1.6820745343556855E-2</v>
      </c>
      <c r="O158" s="881">
        <f>+O141/'VVP2'!O$355</f>
        <v>1.8162905357234468E-2</v>
      </c>
      <c r="P158" s="881">
        <f>+P141/'VVP2'!P$355</f>
        <v>1.7066674522648661E-2</v>
      </c>
      <c r="Q158" s="881">
        <f>+Q141/'VVP2'!Q$355</f>
        <v>2.1621557412206466E-2</v>
      </c>
      <c r="R158" s="881">
        <f>+R141/'VVP2'!R$355</f>
        <v>2.4396157374853102E-2</v>
      </c>
      <c r="S158" s="881">
        <f>+S141/'VVP2'!S$355</f>
        <v>2.6898937520397431E-2</v>
      </c>
      <c r="T158" s="881">
        <f>+T141/'VVP2'!T$355</f>
        <v>2.9066058041737428E-2</v>
      </c>
      <c r="U158" s="881">
        <f>+U141/'VVP2'!U$355</f>
        <v>3.0663645478496402E-2</v>
      </c>
      <c r="V158" s="881">
        <f>+V141/'VVP2'!V$355</f>
        <v>3.3885190516035994E-2</v>
      </c>
      <c r="W158" s="881">
        <f>+W141/'VVP2'!W$355</f>
        <v>3.5280605993622371E-2</v>
      </c>
      <c r="X158" s="881">
        <f>+X141/'VVP2'!X$355</f>
        <v>3.4343733072585016E-2</v>
      </c>
      <c r="Y158" s="881">
        <f>+Y141/'VVP2'!Y$355</f>
        <v>3.4639615965548237E-2</v>
      </c>
      <c r="Z158" s="2227">
        <f>+Z141/'VVP2'!Z$355</f>
        <v>3.4987541476366277E-2</v>
      </c>
      <c r="AA158" s="2227">
        <f>+AA141/'VVP2'!AA$355</f>
        <v>3.4251935506506265E-2</v>
      </c>
      <c r="AB158" s="2227">
        <f>+AB141/'VVP2'!AB$355</f>
        <v>3.3703472226818493E-2</v>
      </c>
      <c r="AC158" s="2227">
        <f>+AC141/'VVP2'!AC$355</f>
        <v>3.353527125011916E-2</v>
      </c>
      <c r="AD158" s="2227">
        <f ca="1">+AD141/'VVP2'!AD$355</f>
        <v>3.1320869579218272E-2</v>
      </c>
      <c r="AE158" s="2227">
        <f ca="1">+AE141/'VVP2'!AE$355</f>
        <v>3.0948185601583002E-2</v>
      </c>
      <c r="AK158" s="2227">
        <v>2.9033982151291424E-2</v>
      </c>
      <c r="AM158" s="2227">
        <f t="shared" si="169"/>
        <v>5.9535593250748531E-3</v>
      </c>
    </row>
    <row r="159" spans="1:39">
      <c r="A159" s="714"/>
      <c r="B159" s="714"/>
      <c r="C159" s="822"/>
      <c r="S159" s="2162"/>
      <c r="T159" s="2162"/>
      <c r="U159" s="2162"/>
      <c r="AM159" s="2827">
        <f t="shared" si="169"/>
        <v>0</v>
      </c>
    </row>
    <row r="160" spans="1:39">
      <c r="A160" s="714"/>
      <c r="B160" s="714"/>
      <c r="C160" s="822"/>
      <c r="S160" s="2162"/>
      <c r="T160" s="2162"/>
      <c r="U160" s="2162"/>
      <c r="AM160" s="2827">
        <f t="shared" si="169"/>
        <v>0</v>
      </c>
    </row>
    <row r="161" spans="1:39" ht="22.5" customHeight="1">
      <c r="A161" s="603"/>
      <c r="B161" s="603"/>
      <c r="C161" s="4124" t="s">
        <v>1684</v>
      </c>
      <c r="D161" s="4124"/>
      <c r="E161" s="4124"/>
      <c r="F161" s="4124"/>
      <c r="G161" s="2872"/>
      <c r="S161" s="2162"/>
      <c r="T161" s="2928"/>
      <c r="U161" s="2162"/>
      <c r="AM161" s="2827">
        <f t="shared" si="169"/>
        <v>0</v>
      </c>
    </row>
    <row r="162" spans="1:39" ht="12.75" customHeight="1">
      <c r="A162" s="714"/>
      <c r="B162" s="714"/>
      <c r="C162" s="822"/>
      <c r="S162" s="2162"/>
      <c r="T162" s="2162"/>
      <c r="U162" s="2162"/>
      <c r="AM162" s="2827">
        <f t="shared" si="169"/>
        <v>0</v>
      </c>
    </row>
    <row r="163" spans="1:39" ht="12.75" customHeight="1">
      <c r="A163" s="714"/>
      <c r="B163" s="714"/>
      <c r="C163" s="822"/>
      <c r="D163" s="823"/>
      <c r="E163" s="824" t="s">
        <v>1803</v>
      </c>
      <c r="F163" s="825"/>
      <c r="G163" s="826">
        <f>+InputY!$G$3</f>
        <v>1995</v>
      </c>
      <c r="H163" s="826">
        <f t="shared" ref="H163:S163" si="196">+G163+1</f>
        <v>1996</v>
      </c>
      <c r="I163" s="826">
        <f t="shared" si="196"/>
        <v>1997</v>
      </c>
      <c r="J163" s="826">
        <f t="shared" si="196"/>
        <v>1998</v>
      </c>
      <c r="K163" s="826">
        <f t="shared" si="196"/>
        <v>1999</v>
      </c>
      <c r="L163" s="826">
        <f t="shared" si="196"/>
        <v>2000</v>
      </c>
      <c r="M163" s="826">
        <f t="shared" si="196"/>
        <v>2001</v>
      </c>
      <c r="N163" s="826">
        <f t="shared" si="196"/>
        <v>2002</v>
      </c>
      <c r="O163" s="826">
        <f>+N163+1</f>
        <v>2003</v>
      </c>
      <c r="P163" s="826">
        <f>+O163+1</f>
        <v>2004</v>
      </c>
      <c r="Q163" s="826">
        <f>+P163+1</f>
        <v>2005</v>
      </c>
      <c r="R163" s="826">
        <f>+Q163+1</f>
        <v>2006</v>
      </c>
      <c r="S163" s="2163">
        <f t="shared" si="196"/>
        <v>2007</v>
      </c>
      <c r="T163" s="2163">
        <f t="shared" ref="T163:AE163" si="197">+S163+1</f>
        <v>2008</v>
      </c>
      <c r="U163" s="2163">
        <f t="shared" si="197"/>
        <v>2009</v>
      </c>
      <c r="V163" s="2163">
        <f t="shared" si="197"/>
        <v>2010</v>
      </c>
      <c r="W163" s="2163">
        <f t="shared" si="197"/>
        <v>2011</v>
      </c>
      <c r="X163" s="2163">
        <f t="shared" si="197"/>
        <v>2012</v>
      </c>
      <c r="Y163" s="2163">
        <f t="shared" si="197"/>
        <v>2013</v>
      </c>
      <c r="Z163" s="2163">
        <f t="shared" si="197"/>
        <v>2014</v>
      </c>
      <c r="AA163" s="2163">
        <f t="shared" si="197"/>
        <v>2015</v>
      </c>
      <c r="AB163" s="2163">
        <f t="shared" si="197"/>
        <v>2016</v>
      </c>
      <c r="AC163" s="2163">
        <f t="shared" si="197"/>
        <v>2017</v>
      </c>
      <c r="AD163" s="2163">
        <f t="shared" si="197"/>
        <v>2018</v>
      </c>
      <c r="AE163" s="2163">
        <f t="shared" si="197"/>
        <v>2019</v>
      </c>
      <c r="AK163" s="2163">
        <v>2014</v>
      </c>
      <c r="AM163" s="2163"/>
    </row>
    <row r="164" spans="1:39" ht="12.75" customHeight="1">
      <c r="A164" s="714">
        <f>+ROW(InputY!A180)</f>
        <v>180</v>
      </c>
      <c r="B164" s="714"/>
      <c r="C164" s="827" t="s">
        <v>622</v>
      </c>
      <c r="D164" s="718" t="s">
        <v>589</v>
      </c>
      <c r="E164" s="750" t="s">
        <v>1684</v>
      </c>
      <c r="F164" s="751" t="str">
        <f>+InputY!B180</f>
        <v>YHGrVadd</v>
      </c>
      <c r="G164" s="828">
        <f ca="1">+InputY!G180/1000</f>
        <v>37.820399999999999</v>
      </c>
      <c r="H164" s="828">
        <f>+InputY!H180/1000</f>
        <v>38.635199999999998</v>
      </c>
      <c r="I164" s="828">
        <f>+InputY!I180/1000</f>
        <v>40.049599999999998</v>
      </c>
      <c r="J164" s="828">
        <f>+InputY!J180/1000</f>
        <v>41.169599999999996</v>
      </c>
      <c r="K164" s="828">
        <f>+InputY!K180/1000</f>
        <v>42.067300000000003</v>
      </c>
      <c r="L164" s="828">
        <f>+InputY!L180/1000</f>
        <v>44.012900000000002</v>
      </c>
      <c r="M164" s="828">
        <f>+InputY!M180/1000</f>
        <v>45.221199999999996</v>
      </c>
      <c r="N164" s="828">
        <f>+InputY!N180/1000</f>
        <v>45.085900000000002</v>
      </c>
      <c r="O164" s="828">
        <f>+InputY!O180/1000</f>
        <v>45.953099999999999</v>
      </c>
      <c r="P164" s="828">
        <f>+InputY!P180/1000</f>
        <v>46.753099999999996</v>
      </c>
      <c r="Q164" s="828">
        <f>+InputY!Q180/1000</f>
        <v>48.416899999999998</v>
      </c>
      <c r="R164" s="828">
        <f>+InputY!R180/1000</f>
        <v>50.771599999999999</v>
      </c>
      <c r="S164" s="828">
        <f>+InputY!S180/1000</f>
        <v>52.870899999999999</v>
      </c>
      <c r="T164" s="828">
        <f>+InputY!T180/1000</f>
        <v>54.1952</v>
      </c>
      <c r="U164" s="828">
        <f>+InputY!U180/1000</f>
        <v>52.766599999999997</v>
      </c>
      <c r="V164" s="828">
        <f>+InputY!V180/1000</f>
        <v>53.544499999999999</v>
      </c>
      <c r="W164" s="828">
        <f>+InputY!W180/1000</f>
        <v>54.780999999999999</v>
      </c>
      <c r="X164" s="828">
        <f>+InputY!X180/1000</f>
        <v>55.514699999999998</v>
      </c>
      <c r="Y164" s="828">
        <f>+InputY!Y180/1000</f>
        <v>55.575499999999998</v>
      </c>
      <c r="Z164" s="828">
        <f>+InputY!Z180/1000</f>
        <v>57.191600000000001</v>
      </c>
      <c r="AA164" s="828">
        <f>+InputY!AA180/1000</f>
        <v>57.816300000000005</v>
      </c>
      <c r="AB164" s="828">
        <f>+InputY!AB180/1000</f>
        <v>58.594300000000004</v>
      </c>
      <c r="AC164" s="2200">
        <f>+AC198+Labour1!AC209+Sector1!AC18-Sector1!AC133</f>
        <v>59.699635000000008</v>
      </c>
      <c r="AD164" s="2200">
        <f>+AD198+Labour1!AD209+Sector1!AD18-Sector1!AD133</f>
        <v>60.908073311200006</v>
      </c>
      <c r="AE164" s="2200">
        <f>+AE198+Labour1!AE209+Sector1!AE18-Sector1!AE133</f>
        <v>62.161562302843286</v>
      </c>
      <c r="AK164" s="828">
        <v>60.000783502809774</v>
      </c>
      <c r="AM164" s="828">
        <f t="shared" si="169"/>
        <v>-2.8091835028097734</v>
      </c>
    </row>
    <row r="165" spans="1:39" ht="12.75" customHeight="1">
      <c r="A165" s="714"/>
      <c r="B165" s="714"/>
      <c r="C165" s="829"/>
      <c r="D165" s="1882" t="s">
        <v>2</v>
      </c>
      <c r="E165" s="1882"/>
      <c r="F165" s="1882"/>
      <c r="G165" s="2871"/>
      <c r="H165" s="2871"/>
      <c r="I165" s="2871"/>
      <c r="J165" s="2871"/>
      <c r="K165" s="2871"/>
      <c r="L165" s="2871"/>
      <c r="M165" s="2871"/>
      <c r="N165" s="2871"/>
      <c r="O165" s="2871"/>
      <c r="P165" s="2871"/>
      <c r="Q165" s="2871"/>
      <c r="R165" s="2871"/>
      <c r="S165" s="2880"/>
      <c r="T165" s="2880"/>
      <c r="U165" s="2880"/>
      <c r="V165" s="2880"/>
      <c r="W165" s="2880"/>
      <c r="X165" s="2880"/>
      <c r="Y165" s="2880"/>
      <c r="Z165" s="2880"/>
      <c r="AA165" s="2880"/>
      <c r="AB165" s="2880"/>
      <c r="AC165" s="2880"/>
      <c r="AD165" s="2880"/>
      <c r="AE165" s="2880"/>
      <c r="AK165" s="2880"/>
      <c r="AM165" s="2880">
        <f t="shared" si="169"/>
        <v>0</v>
      </c>
    </row>
    <row r="166" spans="1:39" ht="12.75" customHeight="1">
      <c r="A166" s="714"/>
      <c r="B166" s="714"/>
      <c r="C166" s="829"/>
      <c r="D166" s="1882"/>
      <c r="E166" s="1882" t="s">
        <v>1041</v>
      </c>
      <c r="F166" s="1882"/>
      <c r="G166" s="2871">
        <f t="shared" ref="G166:X166" ca="1" si="198">(G18-G133)/G164</f>
        <v>4.0330086408393355E-2</v>
      </c>
      <c r="H166" s="2871">
        <f t="shared" si="198"/>
        <v>4.1995382449165529E-2</v>
      </c>
      <c r="I166" s="2871">
        <f t="shared" si="198"/>
        <v>4.3218908553393789E-2</v>
      </c>
      <c r="J166" s="2871">
        <f t="shared" si="198"/>
        <v>4.4044634876219346E-2</v>
      </c>
      <c r="K166" s="2871">
        <f t="shared" si="198"/>
        <v>4.4243390947362911E-2</v>
      </c>
      <c r="L166" s="2871">
        <f t="shared" si="198"/>
        <v>4.3087367567235968E-2</v>
      </c>
      <c r="M166" s="2871">
        <f t="shared" si="198"/>
        <v>4.4910351781907602E-2</v>
      </c>
      <c r="N166" s="2871">
        <f t="shared" si="198"/>
        <v>5.0430400635231853E-2</v>
      </c>
      <c r="O166" s="2871">
        <f t="shared" si="198"/>
        <v>5.2392548054429409E-2</v>
      </c>
      <c r="P166" s="2871">
        <f t="shared" si="198"/>
        <v>5.2240386198990012E-2</v>
      </c>
      <c r="Q166" s="2871">
        <f t="shared" si="198"/>
        <v>4.6760531963012913E-2</v>
      </c>
      <c r="R166" s="2871">
        <f t="shared" si="198"/>
        <v>4.3855226150052398E-2</v>
      </c>
      <c r="S166" s="2871">
        <f t="shared" si="198"/>
        <v>4.3165522054665235E-2</v>
      </c>
      <c r="T166" s="2871">
        <f t="shared" si="198"/>
        <v>4.2789767359470959E-2</v>
      </c>
      <c r="U166" s="2871">
        <f t="shared" si="198"/>
        <v>4.5562912903238044E-2</v>
      </c>
      <c r="V166" s="2871">
        <f t="shared" si="198"/>
        <v>4.6951601004771734E-2</v>
      </c>
      <c r="W166" s="2880">
        <f t="shared" si="198"/>
        <v>4.8861831656961362E-2</v>
      </c>
      <c r="X166" s="2880">
        <f t="shared" si="198"/>
        <v>4.8194442192788574E-2</v>
      </c>
      <c r="Y166" s="2880">
        <f t="shared" ref="Y166" si="199">(Y18-Y133)/Y164</f>
        <v>5.0984696493958676E-2</v>
      </c>
      <c r="Z166" s="2880">
        <f t="shared" ref="Z166:AA166" si="200">(Z18-Z133)/Z164</f>
        <v>5.1502318522300479E-2</v>
      </c>
      <c r="AA166" s="2880">
        <f t="shared" si="200"/>
        <v>5.0842063570308016E-2</v>
      </c>
      <c r="AB166" s="2880">
        <f t="shared" ref="AB166:AC166" si="201">(AB18-AB133)/AB164</f>
        <v>5.3930160442227308E-2</v>
      </c>
      <c r="AC166" s="2880">
        <f t="shared" si="201"/>
        <v>5.2875515905582995E-2</v>
      </c>
      <c r="AD166" s="2880">
        <f t="shared" ref="AD166" si="202">(AD18-AD133)/AD164</f>
        <v>5.3456526043178673E-2</v>
      </c>
      <c r="AE166" s="2880">
        <f t="shared" ref="AE166" si="203">(AE18-AE133)/AE164</f>
        <v>5.4260549072477231E-2</v>
      </c>
      <c r="AK166" s="2880">
        <v>5.313096790911899E-2</v>
      </c>
      <c r="AM166" s="2880">
        <f t="shared" si="169"/>
        <v>-1.6286493868185106E-3</v>
      </c>
    </row>
    <row r="167" spans="1:39" ht="12.75" customHeight="1">
      <c r="A167" s="714"/>
      <c r="B167" s="714"/>
      <c r="C167" s="829"/>
      <c r="D167" s="1882"/>
      <c r="E167" s="1882" t="s">
        <v>1024</v>
      </c>
      <c r="F167" s="1882"/>
      <c r="G167" s="2871">
        <f ca="1">+Labour1!G209/G164</f>
        <v>0.10712208226248268</v>
      </c>
      <c r="H167" s="2871">
        <f>+Labour1!H209/H164</f>
        <v>0.10584389365138529</v>
      </c>
      <c r="I167" s="2871">
        <f>+Labour1!I209/I164</f>
        <v>0.1016963964683792</v>
      </c>
      <c r="J167" s="2871">
        <f>+Labour1!J209/J164</f>
        <v>9.7793031751583687E-2</v>
      </c>
      <c r="K167" s="2871">
        <f>+Labour1!K209/K164</f>
        <v>9.895096666531962E-2</v>
      </c>
      <c r="L167" s="2871">
        <f>+Labour1!L209/L164</f>
        <v>9.5210722310958826E-2</v>
      </c>
      <c r="M167" s="2871">
        <f>+Labour1!M209/M164</f>
        <v>9.4988633649704127E-2</v>
      </c>
      <c r="N167" s="2871">
        <f>+Labour1!N209/N164</f>
        <v>9.9929246172306627E-2</v>
      </c>
      <c r="O167" s="2871">
        <f>+Labour1!O209/O164</f>
        <v>0.10017169679521078</v>
      </c>
      <c r="P167" s="2871">
        <f>+Labour1!P209/P164</f>
        <v>0.1015055686147015</v>
      </c>
      <c r="Q167" s="2871">
        <f>+Labour1!Q209/Q164</f>
        <v>9.8447029859408591E-2</v>
      </c>
      <c r="R167" s="2871">
        <f>+Labour1!R209/R164</f>
        <v>9.4657249328364668E-2</v>
      </c>
      <c r="S167" s="2871">
        <f>+Labour1!S209/S164</f>
        <v>9.2464853066620778E-2</v>
      </c>
      <c r="T167" s="2871">
        <f>+Labour1!T209/T164</f>
        <v>9.3301620807746802E-2</v>
      </c>
      <c r="U167" s="2871">
        <f>+Labour1!U209/U164</f>
        <v>9.6381044069543995E-2</v>
      </c>
      <c r="V167" s="2871">
        <f>+Labour1!V209/V164</f>
        <v>9.5505607485362645E-2</v>
      </c>
      <c r="W167" s="2880">
        <f>+Labour1!W209/W164</f>
        <v>9.640751355396944E-2</v>
      </c>
      <c r="X167" s="2880">
        <f>+Labour1!X209/X164</f>
        <v>9.7718262009882081E-2</v>
      </c>
      <c r="Y167" s="2880">
        <f>+Labour1!Y209/Y164</f>
        <v>9.7120133871939976E-2</v>
      </c>
      <c r="Z167" s="2880">
        <f>+Labour1!Z209/Z164</f>
        <v>9.3132557928087334E-2</v>
      </c>
      <c r="AA167" s="2880">
        <f>+Labour1!AA209/AA164</f>
        <v>9.0313631276992823E-2</v>
      </c>
      <c r="AB167" s="2880">
        <f>+Labour1!AB209/AB164</f>
        <v>9.0797227716689161E-2</v>
      </c>
      <c r="AC167" s="2880">
        <f>+Labour1!AC209/AC164</f>
        <v>9.0898445191499075E-2</v>
      </c>
      <c r="AD167" s="2880">
        <f>+Labour1!AD209/AD164</f>
        <v>9.0520506794395189E-2</v>
      </c>
      <c r="AE167" s="2880">
        <f>+Labour1!AE209/AE164</f>
        <v>9.0202976897051493E-2</v>
      </c>
      <c r="AK167" s="2880">
        <v>9.9615365851349308E-2</v>
      </c>
      <c r="AM167" s="2880">
        <f t="shared" si="169"/>
        <v>-6.482807923261974E-3</v>
      </c>
    </row>
    <row r="168" spans="1:39" ht="12.75" customHeight="1">
      <c r="A168" s="714"/>
      <c r="B168" s="714"/>
      <c r="C168" s="829"/>
      <c r="D168" s="1882"/>
      <c r="E168" s="1882" t="s">
        <v>3</v>
      </c>
      <c r="F168" s="1882"/>
      <c r="G168" s="2871">
        <f t="shared" ref="G168:R168" ca="1" si="204">+G198/G164</f>
        <v>0.85254783132912393</v>
      </c>
      <c r="H168" s="2871">
        <f t="shared" si="204"/>
        <v>0.8521607238994493</v>
      </c>
      <c r="I168" s="2871">
        <f t="shared" si="204"/>
        <v>0.85508469497822692</v>
      </c>
      <c r="J168" s="2871">
        <f t="shared" si="204"/>
        <v>0.85816233337219683</v>
      </c>
      <c r="K168" s="2871">
        <f t="shared" si="204"/>
        <v>0.8568056423873176</v>
      </c>
      <c r="L168" s="2871">
        <f t="shared" si="204"/>
        <v>0.86170191012180519</v>
      </c>
      <c r="M168" s="2871">
        <f t="shared" si="204"/>
        <v>0.86010101456838828</v>
      </c>
      <c r="N168" s="2871">
        <f t="shared" si="204"/>
        <v>0.84964035319246134</v>
      </c>
      <c r="O168" s="2871">
        <f t="shared" si="204"/>
        <v>0.84743575515035974</v>
      </c>
      <c r="P168" s="2871">
        <f t="shared" si="204"/>
        <v>0.84625404518630853</v>
      </c>
      <c r="Q168" s="2871">
        <f t="shared" si="204"/>
        <v>0.85479243817757855</v>
      </c>
      <c r="R168" s="2871">
        <f t="shared" si="204"/>
        <v>0.86148752452158295</v>
      </c>
      <c r="S168" s="2871">
        <f t="shared" ref="S168:X168" si="205">+S198/S164</f>
        <v>0.86436962487871405</v>
      </c>
      <c r="T168" s="2871">
        <f t="shared" si="205"/>
        <v>0.86390861183278234</v>
      </c>
      <c r="U168" s="2871">
        <f t="shared" si="205"/>
        <v>0.85805604302721783</v>
      </c>
      <c r="V168" s="2871">
        <f t="shared" si="205"/>
        <v>0.85754279150986557</v>
      </c>
      <c r="W168" s="2880">
        <f t="shared" si="205"/>
        <v>0.85473065478906918</v>
      </c>
      <c r="X168" s="2880">
        <f t="shared" si="205"/>
        <v>0.85408729579732945</v>
      </c>
      <c r="Y168" s="2880">
        <f t="shared" ref="Y168" si="206">+Y198/Y164</f>
        <v>0.85189516963410128</v>
      </c>
      <c r="Z168" s="2880">
        <f t="shared" ref="Z168:AA168" si="207">+Z198/Z164</f>
        <v>0.85536512354961214</v>
      </c>
      <c r="AA168" s="2880">
        <f t="shared" si="207"/>
        <v>0.85884430515269916</v>
      </c>
      <c r="AB168" s="2880">
        <f>+AB198/AB164</f>
        <v>0.85527261184108361</v>
      </c>
      <c r="AC168" s="2880">
        <f>+AC198/AC164</f>
        <v>0.85622603890291793</v>
      </c>
      <c r="AD168" s="2880">
        <f>+AD198/AD164</f>
        <v>0.85602296716242621</v>
      </c>
      <c r="AE168" s="2880">
        <f>+AE198/AE164</f>
        <v>0.85553647403047139</v>
      </c>
      <c r="AK168" s="2880">
        <v>0.8472536662395318</v>
      </c>
      <c r="AM168" s="2880">
        <f t="shared" si="169"/>
        <v>8.1114573100803389E-3</v>
      </c>
    </row>
    <row r="169" spans="1:39" ht="12.75" customHeight="1">
      <c r="A169" s="714">
        <f>+ROW(InputY!A111)</f>
        <v>111</v>
      </c>
      <c r="B169" s="714">
        <v>100</v>
      </c>
      <c r="C169" s="829" t="s">
        <v>622</v>
      </c>
      <c r="D169" s="724" t="s">
        <v>590</v>
      </c>
      <c r="E169" s="830" t="s">
        <v>1684</v>
      </c>
      <c r="F169" s="754" t="str">
        <f>+InputY!B111</f>
        <v>YEGrVadd</v>
      </c>
      <c r="G169" s="756">
        <f ca="1">+InputY!G111/1000</f>
        <v>124.20959999999999</v>
      </c>
      <c r="H169" s="756">
        <f>+InputY!H111/1000</f>
        <v>125.80589999999999</v>
      </c>
      <c r="I169" s="756">
        <f>+InputY!I111/1000</f>
        <v>131.94170000000003</v>
      </c>
      <c r="J169" s="756">
        <f>+InputY!J111/1000</f>
        <v>137.5197</v>
      </c>
      <c r="K169" s="756">
        <f>+InputY!K111/1000</f>
        <v>143.27079999999998</v>
      </c>
      <c r="L169" s="756">
        <f>+InputY!L111/1000</f>
        <v>152.41800000000001</v>
      </c>
      <c r="M169" s="756">
        <f>+InputY!M111/1000</f>
        <v>157.89570000000001</v>
      </c>
      <c r="N169" s="756">
        <f>+InputY!N111/1000</f>
        <v>163.6788</v>
      </c>
      <c r="O169" s="756">
        <f>+InputY!O111/1000</f>
        <v>168.5035</v>
      </c>
      <c r="P169" s="756">
        <f>+InputY!P111/1000</f>
        <v>179.851</v>
      </c>
      <c r="Q169" s="1085">
        <f>+InputY!Q111/1000</f>
        <v>187.38939999999999</v>
      </c>
      <c r="R169" s="1085">
        <f>+InputY!R111/1000</f>
        <v>196.27670000000001</v>
      </c>
      <c r="S169" s="756">
        <f>+InputY!S111/1000</f>
        <v>208.3862</v>
      </c>
      <c r="T169" s="756">
        <f>+InputY!T111/1000</f>
        <v>213.5257</v>
      </c>
      <c r="U169" s="756">
        <f>+InputY!U111/1000</f>
        <v>208.8938</v>
      </c>
      <c r="V169" s="756">
        <f>+InputY!V111/1000</f>
        <v>220.5377</v>
      </c>
      <c r="W169" s="756">
        <f>+InputY!W111/1000</f>
        <v>230.0515</v>
      </c>
      <c r="X169" s="756">
        <f>+InputY!X111/1000</f>
        <v>234.21439999999998</v>
      </c>
      <c r="Y169" s="756">
        <f>+InputY!Y111/1000</f>
        <v>236.7003</v>
      </c>
      <c r="Z169" s="756">
        <f>+InputY!Z111/1000</f>
        <v>241.48009999999999</v>
      </c>
      <c r="AA169" s="756">
        <f>+InputY!AA111/1000</f>
        <v>249.8425</v>
      </c>
      <c r="AB169" s="756">
        <f>+InputY!AB111/1000</f>
        <v>257.62099999999998</v>
      </c>
      <c r="AC169" s="2135">
        <f>+AC179-AC164-AC174</f>
        <v>268.26206499999995</v>
      </c>
      <c r="AD169" s="2135">
        <f ca="1">+AD179-AD164-AD174</f>
        <v>279.56150323352051</v>
      </c>
      <c r="AE169" s="2135">
        <f ca="1">+AE179-AE164-AE174</f>
        <v>291.01575720878168</v>
      </c>
      <c r="AK169" s="756">
        <v>240.13421649719021</v>
      </c>
      <c r="AM169" s="756">
        <f t="shared" si="169"/>
        <v>1.3458835028097837</v>
      </c>
    </row>
    <row r="170" spans="1:39" ht="12.75" customHeight="1">
      <c r="A170" s="714"/>
      <c r="B170" s="714"/>
      <c r="C170" s="829"/>
      <c r="D170" s="1882" t="s">
        <v>2</v>
      </c>
      <c r="E170" s="1882"/>
      <c r="F170" s="1882"/>
      <c r="G170" s="2871"/>
      <c r="H170" s="2871"/>
      <c r="I170" s="2871"/>
      <c r="J170" s="2871"/>
      <c r="K170" s="2871"/>
      <c r="L170" s="2871"/>
      <c r="M170" s="2871"/>
      <c r="N170" s="2871"/>
      <c r="O170" s="2871"/>
      <c r="P170" s="2871"/>
      <c r="Q170" s="2871"/>
      <c r="R170" s="2871"/>
      <c r="S170" s="2880"/>
      <c r="T170" s="2880"/>
      <c r="U170" s="2880"/>
      <c r="V170" s="2880"/>
      <c r="W170" s="2880"/>
      <c r="X170" s="2880"/>
      <c r="Y170" s="2880"/>
      <c r="Z170" s="2880"/>
      <c r="AA170" s="2880"/>
      <c r="AB170" s="2880"/>
      <c r="AC170" s="2880"/>
      <c r="AD170" s="2880"/>
      <c r="AE170" s="2880"/>
      <c r="AK170" s="2880"/>
      <c r="AM170" s="2880">
        <f t="shared" si="169"/>
        <v>0</v>
      </c>
    </row>
    <row r="171" spans="1:39" ht="12.75" customHeight="1">
      <c r="A171" s="714"/>
      <c r="B171" s="714"/>
      <c r="C171" s="829"/>
      <c r="D171" s="1882"/>
      <c r="E171" s="1882" t="s">
        <v>1041</v>
      </c>
      <c r="F171" s="1882"/>
      <c r="G171" s="2871">
        <f t="shared" ref="G171:AA171" ca="1" si="208">+(G24-G134)/G169</f>
        <v>-1.9966250595766745E-4</v>
      </c>
      <c r="H171" s="2871">
        <f t="shared" si="208"/>
        <v>-1.8965724183047053E-3</v>
      </c>
      <c r="I171" s="2871">
        <f t="shared" si="208"/>
        <v>2.2866159826650696E-3</v>
      </c>
      <c r="J171" s="2871">
        <f t="shared" si="208"/>
        <v>1.1140222091816664E-3</v>
      </c>
      <c r="K171" s="2871">
        <f t="shared" si="208"/>
        <v>1.2738115512721372E-3</v>
      </c>
      <c r="L171" s="2871">
        <f t="shared" si="208"/>
        <v>8.227374719521342E-4</v>
      </c>
      <c r="M171" s="2871">
        <f t="shared" si="208"/>
        <v>4.1926410915559963E-4</v>
      </c>
      <c r="N171" s="2871">
        <f t="shared" si="208"/>
        <v>-1.484614989845966E-3</v>
      </c>
      <c r="O171" s="2871">
        <f t="shared" si="208"/>
        <v>-1.2866201592251826E-3</v>
      </c>
      <c r="P171" s="2871">
        <f t="shared" si="208"/>
        <v>-2.7622865594297496E-3</v>
      </c>
      <c r="Q171" s="2871">
        <f t="shared" si="208"/>
        <v>-6.7693263332931292E-3</v>
      </c>
      <c r="R171" s="2871">
        <f t="shared" si="208"/>
        <v>-1.1838898860639085E-2</v>
      </c>
      <c r="S171" s="2871">
        <f t="shared" si="208"/>
        <v>-1.6070162035681824E-2</v>
      </c>
      <c r="T171" s="2871">
        <f t="shared" si="208"/>
        <v>-1.8714843224960739E-2</v>
      </c>
      <c r="U171" s="2871">
        <f t="shared" si="208"/>
        <v>-2.2190701686694389E-2</v>
      </c>
      <c r="V171" s="2871">
        <f t="shared" si="208"/>
        <v>-2.56060528426659E-2</v>
      </c>
      <c r="W171" s="2880">
        <f t="shared" si="208"/>
        <v>-2.6186745141848676E-2</v>
      </c>
      <c r="X171" s="2880">
        <f t="shared" si="208"/>
        <v>-2.0776690075418075E-2</v>
      </c>
      <c r="Y171" s="2880">
        <f t="shared" ref="Y171" si="209">+(Y24-Y134)/Y169</f>
        <v>-2.3154174287062589E-2</v>
      </c>
      <c r="Z171" s="2880">
        <f t="shared" ref="Z171" si="210">+(Z24-Z134)/Z169</f>
        <v>-2.3348093693848895E-2</v>
      </c>
      <c r="AA171" s="2880">
        <f t="shared" si="208"/>
        <v>-2.2707905980767887E-2</v>
      </c>
      <c r="AB171" s="2880">
        <f t="shared" ref="AB171:AC171" si="211">+(AB24-AB134)/AB169</f>
        <v>-2.0969951983728034E-2</v>
      </c>
      <c r="AC171" s="2880">
        <f t="shared" si="211"/>
        <v>-2.1683146319193606E-2</v>
      </c>
      <c r="AD171" s="2880">
        <f t="shared" ref="AD171" ca="1" si="212">+(AD24-AD134)/AD169</f>
        <v>-2.0366380924592954E-2</v>
      </c>
      <c r="AE171" s="2880">
        <f t="shared" ref="AE171" ca="1" si="213">+(AE24-AE134)/AE169</f>
        <v>-2.010006883770641E-2</v>
      </c>
      <c r="AK171" s="2880">
        <v>-1.9058823602642876E-2</v>
      </c>
      <c r="AM171" s="2880">
        <f t="shared" si="169"/>
        <v>-4.2892700912060197E-3</v>
      </c>
    </row>
    <row r="172" spans="1:39" ht="12.75" customHeight="1">
      <c r="A172" s="714"/>
      <c r="B172" s="714"/>
      <c r="C172" s="829"/>
      <c r="D172" s="1882"/>
      <c r="E172" s="1882" t="s">
        <v>1024</v>
      </c>
      <c r="F172" s="1882"/>
      <c r="G172" s="2871">
        <f ca="1">+Labour1!G210/Sector1!G169</f>
        <v>0.62816883719132832</v>
      </c>
      <c r="H172" s="2871">
        <f>+Labour1!H210/Sector1!H169</f>
        <v>0.63266985093703887</v>
      </c>
      <c r="I172" s="2871">
        <f>+Labour1!I210/Sector1!I169</f>
        <v>0.62902024151576019</v>
      </c>
      <c r="J172" s="2871">
        <f>+Labour1!J210/Sector1!J169</f>
        <v>0.62739229361320603</v>
      </c>
      <c r="K172" s="2871">
        <f>+Labour1!K210/Sector1!K169</f>
        <v>0.63535835634337223</v>
      </c>
      <c r="L172" s="2871">
        <f>+Labour1!L210/Sector1!L169</f>
        <v>0.62692201708459627</v>
      </c>
      <c r="M172" s="2871">
        <f>+Labour1!M210/Sector1!M169</f>
        <v>0.6416146861504145</v>
      </c>
      <c r="N172" s="2871">
        <f>+Labour1!N210/Sector1!N169</f>
        <v>0.6361972350725934</v>
      </c>
      <c r="O172" s="2871">
        <f>+Labour1!O210/Sector1!O169</f>
        <v>0.62526891132825135</v>
      </c>
      <c r="P172" s="2871">
        <f>+Labour1!P210/Sector1!P169</f>
        <v>0.60258880962574579</v>
      </c>
      <c r="Q172" s="2871">
        <f>+Labour1!Q210/Sector1!Q169</f>
        <v>0.59592164764922673</v>
      </c>
      <c r="R172" s="2871">
        <f>+Labour1!R210/Sector1!R169</f>
        <v>0.59824879876215564</v>
      </c>
      <c r="S172" s="2871">
        <f>+Labour1!S210/Sector1!S169</f>
        <v>0.59684758395709503</v>
      </c>
      <c r="T172" s="2871">
        <f>+Labour1!T210/Sector1!T169</f>
        <v>0.61542053251669482</v>
      </c>
      <c r="U172" s="2871">
        <f>+Labour1!U210/Sector1!U169</f>
        <v>0.62610666281143823</v>
      </c>
      <c r="V172" s="2871">
        <f>+Labour1!V210/Sector1!V169</f>
        <v>0.60400829427349612</v>
      </c>
      <c r="W172" s="2880">
        <f>+Labour1!W210/Sector1!W169</f>
        <v>0.60670719382399152</v>
      </c>
      <c r="X172" s="2880">
        <f>+Labour1!X210/Sector1!X169</f>
        <v>0.61578451196852124</v>
      </c>
      <c r="Y172" s="2880">
        <f>+Labour1!Y210/Sector1!Y169</f>
        <v>0.61968742751910333</v>
      </c>
      <c r="Z172" s="2880">
        <f>+Labour1!Z210/Sector1!Z169</f>
        <v>0.61559027017133083</v>
      </c>
      <c r="AA172" s="2880">
        <f>+Labour1!AA210/Sector1!AA169</f>
        <v>0.60097941703273061</v>
      </c>
      <c r="AB172" s="2880">
        <f>+Labour1!AB210/Sector1!AB169</f>
        <v>0.58697349983114733</v>
      </c>
      <c r="AC172" s="2880">
        <f>+Labour1!AC210/Sector1!AC169</f>
        <v>0.58352975102909166</v>
      </c>
      <c r="AD172" s="2880">
        <f ca="1">+Labour1!AD210/Sector1!AD169</f>
        <v>0.58152385834768672</v>
      </c>
      <c r="AE172" s="2880">
        <f ca="1">+Labour1!AE210/Sector1!AE169</f>
        <v>0.57909265521545106</v>
      </c>
      <c r="AK172" s="2880">
        <v>0.61586225468926636</v>
      </c>
      <c r="AM172" s="2880">
        <f t="shared" si="169"/>
        <v>-2.7198451793553069E-4</v>
      </c>
    </row>
    <row r="173" spans="1:39" ht="12.75" customHeight="1">
      <c r="A173" s="714"/>
      <c r="B173" s="714"/>
      <c r="C173" s="829"/>
      <c r="D173" s="1882"/>
      <c r="E173" s="1882" t="s">
        <v>3</v>
      </c>
      <c r="F173" s="1882"/>
      <c r="G173" s="2871">
        <f t="shared" ref="G173:R173" ca="1" si="214">+G199/G169</f>
        <v>0.37203082531462939</v>
      </c>
      <c r="H173" s="2871">
        <f t="shared" si="214"/>
        <v>0.36922672148126584</v>
      </c>
      <c r="I173" s="2871">
        <f t="shared" si="214"/>
        <v>0.3686931425015747</v>
      </c>
      <c r="J173" s="2871">
        <f t="shared" si="214"/>
        <v>0.37149368417761236</v>
      </c>
      <c r="K173" s="2871">
        <f t="shared" si="214"/>
        <v>0.36336783210535561</v>
      </c>
      <c r="L173" s="2871">
        <f t="shared" si="214"/>
        <v>0.37225524544345162</v>
      </c>
      <c r="M173" s="2871">
        <f t="shared" si="214"/>
        <v>0.35796604974042995</v>
      </c>
      <c r="N173" s="2871">
        <f t="shared" si="214"/>
        <v>0.36528737991725246</v>
      </c>
      <c r="O173" s="2871">
        <f t="shared" si="214"/>
        <v>0.37601770883097385</v>
      </c>
      <c r="P173" s="2871">
        <f t="shared" si="214"/>
        <v>0.40017347693368399</v>
      </c>
      <c r="Q173" s="2871">
        <f t="shared" si="214"/>
        <v>0.41084767868406641</v>
      </c>
      <c r="R173" s="2871">
        <f t="shared" si="214"/>
        <v>0.41359010009848335</v>
      </c>
      <c r="S173" s="2871">
        <f t="shared" ref="S173:X173" si="215">+S199/S169</f>
        <v>0.41922257807858676</v>
      </c>
      <c r="T173" s="2871">
        <f t="shared" si="215"/>
        <v>0.40329431070826594</v>
      </c>
      <c r="U173" s="2871">
        <f t="shared" si="215"/>
        <v>0.39608403887525617</v>
      </c>
      <c r="V173" s="2871">
        <f t="shared" si="215"/>
        <v>0.42159775856916976</v>
      </c>
      <c r="W173" s="2880">
        <f t="shared" si="215"/>
        <v>0.41947955131785719</v>
      </c>
      <c r="X173" s="2880">
        <f t="shared" si="215"/>
        <v>0.40499217810689686</v>
      </c>
      <c r="Y173" s="2880">
        <f t="shared" ref="Y173" si="216">+Y199/Y169</f>
        <v>0.40346674676795929</v>
      </c>
      <c r="Z173" s="2880">
        <f t="shared" ref="Z173" si="217">+Z199/Z169</f>
        <v>0.4077578235225181</v>
      </c>
      <c r="AA173" s="2880">
        <f>+AA199/AA169</f>
        <v>0.42172848894803722</v>
      </c>
      <c r="AB173" s="2880">
        <f>+AB199/AB169</f>
        <v>0.43399645215258065</v>
      </c>
      <c r="AC173" s="2880">
        <f>+AC199/AC169</f>
        <v>0.438153395290102</v>
      </c>
      <c r="AD173" s="2880">
        <f ca="1">+AD199/AD169</f>
        <v>0.4388425225769062</v>
      </c>
      <c r="AE173" s="2880">
        <f ca="1">+AE199/AE169</f>
        <v>0.44100741362225537</v>
      </c>
      <c r="AK173" s="2880">
        <v>0.40319656891337652</v>
      </c>
      <c r="AM173" s="2880">
        <f t="shared" si="169"/>
        <v>4.5612546091415851E-3</v>
      </c>
    </row>
    <row r="174" spans="1:39" ht="12.75" customHeight="1">
      <c r="A174" s="714">
        <f>+ROW(InputY!A141)</f>
        <v>141</v>
      </c>
      <c r="B174" s="714"/>
      <c r="C174" s="829" t="s">
        <v>622</v>
      </c>
      <c r="D174" s="724" t="s">
        <v>591</v>
      </c>
      <c r="E174" s="830" t="s">
        <v>1684</v>
      </c>
      <c r="F174" s="754" t="str">
        <f>+InputY!B141</f>
        <v>YAGVadd</v>
      </c>
      <c r="G174" s="756">
        <f>+InputY!G141/1000</f>
        <v>28.8813</v>
      </c>
      <c r="H174" s="756">
        <f>+InputY!H141/1000</f>
        <v>29.605499999999999</v>
      </c>
      <c r="I174" s="756">
        <f>+InputY!I141/1000</f>
        <v>30.532299999999999</v>
      </c>
      <c r="J174" s="756">
        <f>+InputY!J141/1000</f>
        <v>31.447800000000001</v>
      </c>
      <c r="K174" s="756">
        <f>+InputY!K141/1000</f>
        <v>32.804499999999997</v>
      </c>
      <c r="L174" s="756">
        <f>+InputY!L141/1000</f>
        <v>34.058</v>
      </c>
      <c r="M174" s="756">
        <f>+InputY!M141/1000</f>
        <v>35.4818</v>
      </c>
      <c r="N174" s="756">
        <f>+InputY!N141/1000</f>
        <v>37.825900000000004</v>
      </c>
      <c r="O174" s="756">
        <f>+InputY!O141/1000</f>
        <v>39.356099999999998</v>
      </c>
      <c r="P174" s="756">
        <f>+InputY!P141/1000</f>
        <v>40.440100000000001</v>
      </c>
      <c r="Q174" s="756">
        <f>+InputY!Q141/1000</f>
        <v>42.688499999999998</v>
      </c>
      <c r="R174" s="756">
        <f>+InputY!R141/1000</f>
        <v>44.777500000000003</v>
      </c>
      <c r="S174" s="756">
        <f>+InputY!S141/1000</f>
        <v>46.702800000000003</v>
      </c>
      <c r="T174" s="756">
        <f>+InputY!T141/1000</f>
        <v>49.2879</v>
      </c>
      <c r="U174" s="756">
        <f>+InputY!U141/1000</f>
        <v>50.936</v>
      </c>
      <c r="V174" s="756">
        <f>+InputY!V141/1000</f>
        <v>52.451500000000003</v>
      </c>
      <c r="W174" s="756">
        <f>+InputY!W141/1000</f>
        <v>54.811800000000005</v>
      </c>
      <c r="X174" s="756">
        <f>+InputY!X141/1000</f>
        <v>56.969300000000004</v>
      </c>
      <c r="Y174" s="756">
        <f>+InputY!Y141/1000</f>
        <v>58.6008</v>
      </c>
      <c r="Z174" s="756">
        <f>+InputY!Z141/1000</f>
        <v>59.364699999999999</v>
      </c>
      <c r="AA174" s="756">
        <f>+InputY!AA141/1000</f>
        <v>59.728099999999998</v>
      </c>
      <c r="AB174" s="756">
        <f>+InputY!AB141/1000</f>
        <v>61.076300000000003</v>
      </c>
      <c r="AC174" s="756">
        <f>+InputY!AC141/1000</f>
        <v>62.784599999999998</v>
      </c>
      <c r="AD174" s="2135">
        <f>+AD200+Labour1!AD211+Sector1!AD30-Sector1!AD139</f>
        <v>63.747062397469413</v>
      </c>
      <c r="AE174" s="2135">
        <f>+AE200+Labour1!AE211+Sector1!AE30-Sector1!AE139</f>
        <v>64.939586114135167</v>
      </c>
      <c r="AK174" s="756">
        <v>59.732999999999997</v>
      </c>
      <c r="AM174" s="756">
        <f t="shared" si="169"/>
        <v>-0.36829999999999785</v>
      </c>
    </row>
    <row r="175" spans="1:39" ht="12.75" customHeight="1">
      <c r="A175" s="714"/>
      <c r="B175" s="714"/>
      <c r="C175" s="829"/>
      <c r="D175" s="1882" t="s">
        <v>2</v>
      </c>
      <c r="E175" s="1882"/>
      <c r="F175" s="1882"/>
      <c r="G175" s="2871"/>
      <c r="H175" s="2871"/>
      <c r="I175" s="2871"/>
      <c r="J175" s="2871"/>
      <c r="K175" s="2871"/>
      <c r="L175" s="2871"/>
      <c r="M175" s="2871"/>
      <c r="N175" s="2871"/>
      <c r="O175" s="2871"/>
      <c r="P175" s="2871"/>
      <c r="Q175" s="2871"/>
      <c r="R175" s="2871"/>
      <c r="S175" s="2871"/>
      <c r="T175" s="2871"/>
      <c r="U175" s="2871"/>
      <c r="V175" s="2871"/>
      <c r="W175" s="2880"/>
      <c r="X175" s="2880"/>
      <c r="Y175" s="2880"/>
      <c r="Z175" s="2880"/>
      <c r="AA175" s="2880"/>
      <c r="AB175" s="2880"/>
      <c r="AC175" s="2880"/>
      <c r="AD175" s="2880"/>
      <c r="AE175" s="2880"/>
      <c r="AK175" s="2880"/>
      <c r="AM175" s="2880">
        <f t="shared" si="169"/>
        <v>0</v>
      </c>
    </row>
    <row r="176" spans="1:39" ht="12.75" customHeight="1">
      <c r="A176" s="714"/>
      <c r="B176" s="714"/>
      <c r="C176" s="829"/>
      <c r="D176" s="1882"/>
      <c r="E176" s="1882" t="s">
        <v>1041</v>
      </c>
      <c r="F176" s="1882"/>
      <c r="G176" s="2871">
        <f t="shared" ref="G176:AA176" si="218">(G30-G139)/G174</f>
        <v>0</v>
      </c>
      <c r="H176" s="2871">
        <f t="shared" si="218"/>
        <v>-6.3535491716066273E-3</v>
      </c>
      <c r="I176" s="2871">
        <f t="shared" si="218"/>
        <v>-6.2491197846215327E-3</v>
      </c>
      <c r="J176" s="2871">
        <f t="shared" si="218"/>
        <v>-6.8271866394469562E-3</v>
      </c>
      <c r="K176" s="2871">
        <f t="shared" si="218"/>
        <v>-6.7551707844960302E-3</v>
      </c>
      <c r="L176" s="2871">
        <f t="shared" si="218"/>
        <v>-6.6151858594162899E-3</v>
      </c>
      <c r="M176" s="2871">
        <f t="shared" si="218"/>
        <v>-6.434284619156864E-3</v>
      </c>
      <c r="N176" s="2871">
        <f t="shared" si="218"/>
        <v>-6.5907222300064239E-3</v>
      </c>
      <c r="O176" s="2871">
        <f t="shared" si="218"/>
        <v>-6.8833039859132377E-3</v>
      </c>
      <c r="P176" s="2871">
        <f t="shared" si="218"/>
        <v>-7.7027504877584373E-3</v>
      </c>
      <c r="Q176" s="2871">
        <f t="shared" si="218"/>
        <v>-8.9602586176604944E-3</v>
      </c>
      <c r="R176" s="2871">
        <f t="shared" si="218"/>
        <v>-8.7208977723186865E-3</v>
      </c>
      <c r="S176" s="2871">
        <f t="shared" si="218"/>
        <v>-9.3056519095214858E-3</v>
      </c>
      <c r="T176" s="2871">
        <f t="shared" si="218"/>
        <v>-9.6007336486236983E-3</v>
      </c>
      <c r="U176" s="2871">
        <f t="shared" si="218"/>
        <v>-1.0705591330296844E-2</v>
      </c>
      <c r="V176" s="2871">
        <f t="shared" si="218"/>
        <v>-1.0870995109768071E-2</v>
      </c>
      <c r="W176" s="2880">
        <f t="shared" si="218"/>
        <v>-1.0716670497958467E-2</v>
      </c>
      <c r="X176" s="2880">
        <f t="shared" si="218"/>
        <v>-1.0844437267089465E-2</v>
      </c>
      <c r="Y176" s="2880">
        <f t="shared" ref="Y176" si="219">(Y30-Y139)/Y174</f>
        <v>-1.082749723553262E-2</v>
      </c>
      <c r="Z176" s="2880">
        <f t="shared" ref="Z176" si="220">(Z30-Z139)/Z174</f>
        <v>-1.0612367282240119E-2</v>
      </c>
      <c r="AA176" s="2880">
        <f t="shared" si="218"/>
        <v>-9.1899792559950837E-3</v>
      </c>
      <c r="AB176" s="2880">
        <f t="shared" ref="AB176:AC176" si="221">(AB30-AB139)/AB174</f>
        <v>-8.6187277225372189E-3</v>
      </c>
      <c r="AC176" s="2880">
        <f t="shared" si="221"/>
        <v>-8.465451719052124E-3</v>
      </c>
      <c r="AD176" s="2880">
        <f t="shared" ref="AD176" si="222">(AD30-AD139)/AD174</f>
        <v>-8.887089517437741E-3</v>
      </c>
      <c r="AE176" s="2880">
        <f t="shared" ref="AE176" si="223">(AE30-AE139)/AE174</f>
        <v>-9.0519089685428371E-3</v>
      </c>
      <c r="AK176" s="2880">
        <v>0</v>
      </c>
      <c r="AM176" s="2880">
        <f t="shared" si="169"/>
        <v>-1.0612367282240119E-2</v>
      </c>
    </row>
    <row r="177" spans="1:46" ht="12.75" customHeight="1">
      <c r="A177" s="714"/>
      <c r="B177" s="714"/>
      <c r="C177" s="829"/>
      <c r="D177" s="1882"/>
      <c r="E177" s="1882" t="s">
        <v>1024</v>
      </c>
      <c r="F177" s="1882"/>
      <c r="G177" s="2871">
        <f>+Labour1!G211/Sector1!G174</f>
        <v>0.8370814333149823</v>
      </c>
      <c r="H177" s="2871">
        <f>+Labour1!H211/Sector1!H174</f>
        <v>0.84294810085963756</v>
      </c>
      <c r="I177" s="2871">
        <f>+Labour1!I211/Sector1!I174</f>
        <v>0.84488230496883643</v>
      </c>
      <c r="J177" s="2871">
        <f>+Labour1!J211/Sector1!J174</f>
        <v>0.84492078937159354</v>
      </c>
      <c r="K177" s="2871">
        <f>+Labour1!K211/Sector1!K174</f>
        <v>0.84661555579265046</v>
      </c>
      <c r="L177" s="2871">
        <f>+Labour1!L211/Sector1!L174</f>
        <v>0.84493217452580893</v>
      </c>
      <c r="M177" s="2871">
        <f>+Labour1!M211/Sector1!M174</f>
        <v>0.84720053661313688</v>
      </c>
      <c r="N177" s="2871">
        <f>+Labour1!N211/Sector1!N174</f>
        <v>0.85325398734729374</v>
      </c>
      <c r="O177" s="2871">
        <f>+Labour1!O211/Sector1!O174</f>
        <v>0.85384984792700502</v>
      </c>
      <c r="P177" s="2871">
        <f>+Labour1!P211/Sector1!P174</f>
        <v>0.85588561848264466</v>
      </c>
      <c r="Q177" s="2871">
        <f>+Labour1!Q211/Sector1!Q174</f>
        <v>0.85310329479836489</v>
      </c>
      <c r="R177" s="2871">
        <f>+Labour1!R211/Sector1!R174</f>
        <v>0.84890402545921495</v>
      </c>
      <c r="S177" s="2871">
        <f>+Labour1!S211/Sector1!S174</f>
        <v>0.84859366033728156</v>
      </c>
      <c r="T177" s="2871">
        <f>+Labour1!T211/Sector1!T174</f>
        <v>0.85003824468074307</v>
      </c>
      <c r="U177" s="2871">
        <f>+Labour1!U211/Sector1!U174</f>
        <v>0.85887780744463649</v>
      </c>
      <c r="V177" s="2871">
        <f>+Labour1!V211/Sector1!V174</f>
        <v>0.85619286388377824</v>
      </c>
      <c r="W177" s="2880">
        <f>+Labour1!W211/Sector1!W174</f>
        <v>0.85329983689643474</v>
      </c>
      <c r="X177" s="2880">
        <f>+Labour1!X211/Sector1!X174</f>
        <v>0.85405999371591346</v>
      </c>
      <c r="Y177" s="2880">
        <f>+Labour1!Y211/Sector1!Y174</f>
        <v>0.85653438178318375</v>
      </c>
      <c r="Z177" s="2880">
        <f>+Labour1!Z211/Sector1!Z174</f>
        <v>0.85708004925486037</v>
      </c>
      <c r="AA177" s="2880">
        <f>+Labour1!AA211/Sector1!AA174</f>
        <v>0.85542650779114027</v>
      </c>
      <c r="AB177" s="2880">
        <f>+Labour1!AB211/Sector1!AB174</f>
        <v>0.85611276387076485</v>
      </c>
      <c r="AC177" s="2880">
        <f>+Labour1!AC211/Sector1!AC174</f>
        <v>0.85652054803247946</v>
      </c>
      <c r="AD177" s="2880">
        <f>+Labour1!AD211/Sector1!AD174</f>
        <v>0.8591582472331083</v>
      </c>
      <c r="AE177" s="2880">
        <f>+Labour1!AE211/Sector1!AE174</f>
        <v>0.86018604805132981</v>
      </c>
      <c r="AK177" s="2880">
        <v>0.84116652436676553</v>
      </c>
      <c r="AM177" s="2880">
        <f t="shared" si="169"/>
        <v>1.5913524888094832E-2</v>
      </c>
    </row>
    <row r="178" spans="1:46" ht="12.75" customHeight="1">
      <c r="A178" s="714"/>
      <c r="B178" s="714"/>
      <c r="C178" s="882"/>
      <c r="D178" s="1882"/>
      <c r="E178" s="1882" t="s">
        <v>3</v>
      </c>
      <c r="F178" s="1882"/>
      <c r="G178" s="2871">
        <f t="shared" ref="G178:R178" si="224">+G200/G174</f>
        <v>0.1629185666850177</v>
      </c>
      <c r="H178" s="2871">
        <f t="shared" si="224"/>
        <v>0.16340544831196907</v>
      </c>
      <c r="I178" s="2871">
        <f t="shared" si="224"/>
        <v>0.16136681481578516</v>
      </c>
      <c r="J178" s="2871">
        <f t="shared" si="224"/>
        <v>0.16190639726785336</v>
      </c>
      <c r="K178" s="2871">
        <f t="shared" si="224"/>
        <v>0.16013961499184554</v>
      </c>
      <c r="L178" s="2871">
        <f t="shared" si="224"/>
        <v>0.16168301133360732</v>
      </c>
      <c r="M178" s="2871">
        <f t="shared" si="224"/>
        <v>0.15923374800601994</v>
      </c>
      <c r="N178" s="2871">
        <f t="shared" si="224"/>
        <v>0.15333673488271268</v>
      </c>
      <c r="O178" s="2871">
        <f t="shared" si="224"/>
        <v>0.15303345605890828</v>
      </c>
      <c r="P178" s="2871">
        <f t="shared" si="224"/>
        <v>0.15181713200511379</v>
      </c>
      <c r="Q178" s="2871">
        <f t="shared" si="224"/>
        <v>0.15585696381929565</v>
      </c>
      <c r="R178" s="2871">
        <f t="shared" si="224"/>
        <v>0.15981687231310374</v>
      </c>
      <c r="S178" s="2871">
        <f t="shared" ref="S178:X178" si="225">+S200/S174</f>
        <v>0.16071199157223995</v>
      </c>
      <c r="T178" s="2871">
        <f t="shared" si="225"/>
        <v>0.15956248896788058</v>
      </c>
      <c r="U178" s="2871">
        <f t="shared" si="225"/>
        <v>0.15182778388566034</v>
      </c>
      <c r="V178" s="2871">
        <f t="shared" si="225"/>
        <v>0.15467813122598978</v>
      </c>
      <c r="W178" s="2880">
        <f t="shared" si="225"/>
        <v>0.15741683360152375</v>
      </c>
      <c r="X178" s="2880">
        <f t="shared" si="225"/>
        <v>0.15678444355117596</v>
      </c>
      <c r="Y178" s="2880">
        <f t="shared" ref="Y178" si="226">+Y200/Y174</f>
        <v>0.15429311545234881</v>
      </c>
      <c r="Z178" s="2880">
        <f t="shared" ref="Z178" si="227">+Z200/Z174</f>
        <v>0.15353231802737982</v>
      </c>
      <c r="AA178" s="2880">
        <f>+AA200/AA174</f>
        <v>0.15376347146485481</v>
      </c>
      <c r="AB178" s="2880">
        <f>+AB200/AB174</f>
        <v>0.1525059638517724</v>
      </c>
      <c r="AC178" s="2880">
        <f>+AC200/AC174</f>
        <v>0.15194490368657268</v>
      </c>
      <c r="AD178" s="2880">
        <f>+AD200/AD174</f>
        <v>0.14972884228432945</v>
      </c>
      <c r="AE178" s="2880">
        <f>+AE200/AE174</f>
        <v>0.14886586091721304</v>
      </c>
      <c r="AK178" s="2880">
        <v>0.15883347563323447</v>
      </c>
      <c r="AM178" s="2880">
        <f t="shared" si="169"/>
        <v>-5.301157605854645E-3</v>
      </c>
    </row>
    <row r="179" spans="1:46" ht="12.75" customHeight="1">
      <c r="A179" s="1869">
        <f>+ROW(InputY!A98)</f>
        <v>98</v>
      </c>
      <c r="B179" s="714">
        <v>57</v>
      </c>
      <c r="C179" s="831" t="s">
        <v>624</v>
      </c>
      <c r="D179" s="800"/>
      <c r="E179" s="801" t="s">
        <v>1684</v>
      </c>
      <c r="F179" s="802" t="s">
        <v>1984</v>
      </c>
      <c r="G179" s="832">
        <f ca="1">+InputY!G98/1000</f>
        <v>190.70060000000001</v>
      </c>
      <c r="H179" s="832">
        <f>+InputY!H98/1000</f>
        <v>194.04660000000001</v>
      </c>
      <c r="I179" s="832">
        <f>+InputY!I98/1000</f>
        <v>202.52360000000002</v>
      </c>
      <c r="J179" s="832">
        <f>+InputY!J98/1000</f>
        <v>210.1371</v>
      </c>
      <c r="K179" s="832">
        <f>+InputY!K98/1000</f>
        <v>218.14260000000002</v>
      </c>
      <c r="L179" s="832">
        <f>+InputY!L98/1000</f>
        <v>230.4889</v>
      </c>
      <c r="M179" s="832">
        <f>+InputY!M98/1000</f>
        <v>238.59870000000001</v>
      </c>
      <c r="N179" s="832">
        <f>+InputY!N98/1000</f>
        <v>246.59059999999999</v>
      </c>
      <c r="O179" s="832">
        <f>+InputY!O98/1000</f>
        <v>253.81270000000001</v>
      </c>
      <c r="P179" s="832">
        <f>+InputY!P98/1000</f>
        <v>267.04419999999999</v>
      </c>
      <c r="Q179" s="832">
        <f>+InputY!Q98/1000</f>
        <v>278.4948</v>
      </c>
      <c r="R179" s="832">
        <f>+InputY!R98/1000</f>
        <v>291.82580000000002</v>
      </c>
      <c r="S179" s="832">
        <f>+InputY!S98/1000</f>
        <v>307.9599</v>
      </c>
      <c r="T179" s="832">
        <f>+InputY!T98/1000</f>
        <v>317.00880000000001</v>
      </c>
      <c r="U179" s="832">
        <f>+InputY!U98/1000</f>
        <v>312.59640000000002</v>
      </c>
      <c r="V179" s="832">
        <f>+InputY!V98/1000</f>
        <v>326.53370000000001</v>
      </c>
      <c r="W179" s="832">
        <f>+InputY!W98/1000</f>
        <v>339.64429999999999</v>
      </c>
      <c r="X179" s="832">
        <f>+InputY!X98/1000</f>
        <v>346.69840000000005</v>
      </c>
      <c r="Y179" s="832">
        <f>+InputY!Y98/1000</f>
        <v>350.8766</v>
      </c>
      <c r="Z179" s="832">
        <f>+InputY!Z98/1000</f>
        <v>358.05099999999999</v>
      </c>
      <c r="AA179" s="832">
        <f>+InputY!AA98/1000</f>
        <v>367.47159999999997</v>
      </c>
      <c r="AB179" s="832">
        <f>+InputY!AB98/1000</f>
        <v>377.63559999999995</v>
      </c>
      <c r="AC179" s="832">
        <f>+InputY!AC98/1000</f>
        <v>390.74629999999996</v>
      </c>
      <c r="AD179" s="2200">
        <f ca="1">+'VVP2'!AD355-AD8+AD132</f>
        <v>404.21663894218989</v>
      </c>
      <c r="AE179" s="2200">
        <f ca="1">+'VVP2'!AE355-AE8+AE132</f>
        <v>418.11690562576013</v>
      </c>
      <c r="AK179" s="832">
        <v>359.86799999999999</v>
      </c>
      <c r="AM179" s="832">
        <f t="shared" si="169"/>
        <v>-1.8170000000000073</v>
      </c>
    </row>
    <row r="180" spans="1:46" s="1881" customFormat="1" ht="12.75" customHeight="1">
      <c r="A180" s="1039"/>
      <c r="B180" s="1039"/>
      <c r="C180" s="1501"/>
      <c r="D180" s="1054"/>
      <c r="E180" s="1882" t="s">
        <v>474</v>
      </c>
      <c r="F180" s="1883"/>
      <c r="G180" s="1043">
        <f t="shared" ref="G180:X180" ca="1" si="228">ABS(+G164+G169+G174-G179)</f>
        <v>0.21070000000000277</v>
      </c>
      <c r="H180" s="1043">
        <f t="shared" si="228"/>
        <v>0</v>
      </c>
      <c r="I180" s="1043">
        <f t="shared" si="228"/>
        <v>0</v>
      </c>
      <c r="J180" s="1043">
        <f t="shared" si="228"/>
        <v>0</v>
      </c>
      <c r="K180" s="1043">
        <f t="shared" si="228"/>
        <v>2.8421709430404007E-14</v>
      </c>
      <c r="L180" s="1043">
        <f t="shared" si="228"/>
        <v>0</v>
      </c>
      <c r="M180" s="1043">
        <f t="shared" si="228"/>
        <v>2.8421709430404007E-14</v>
      </c>
      <c r="N180" s="1043">
        <f t="shared" si="228"/>
        <v>0</v>
      </c>
      <c r="O180" s="1043">
        <f t="shared" si="228"/>
        <v>0</v>
      </c>
      <c r="P180" s="1043">
        <f t="shared" si="228"/>
        <v>0</v>
      </c>
      <c r="Q180" s="1043">
        <f t="shared" si="228"/>
        <v>0</v>
      </c>
      <c r="R180" s="1043">
        <f t="shared" si="228"/>
        <v>0</v>
      </c>
      <c r="S180" s="1043">
        <f>ABS(+S164+S169+S174-S179)</f>
        <v>0</v>
      </c>
      <c r="T180" s="1043">
        <f>ABS(+T164+T169+T174-T179)</f>
        <v>0</v>
      </c>
      <c r="U180" s="2881">
        <f>ABS(+U164+U169+U174-U179)</f>
        <v>5.6843418860808015E-14</v>
      </c>
      <c r="V180" s="2881">
        <f t="shared" si="228"/>
        <v>0</v>
      </c>
      <c r="W180" s="2881">
        <f t="shared" si="228"/>
        <v>0</v>
      </c>
      <c r="X180" s="2881">
        <f t="shared" si="228"/>
        <v>5.6843418860808015E-14</v>
      </c>
      <c r="Y180" s="2881">
        <f t="shared" ref="Y180" si="229">ABS(+Y164+Y169+Y174-Y179)</f>
        <v>0</v>
      </c>
      <c r="Z180" s="2881">
        <f t="shared" ref="Z180" si="230">ABS(+Z164+Z169+Z174-Z179)</f>
        <v>1.4600000000029922E-2</v>
      </c>
      <c r="AA180" s="2985">
        <f>ABS(+AA164+AA169+AA174-AA179)</f>
        <v>8.4699999999997999E-2</v>
      </c>
      <c r="AB180" s="2985">
        <f>ABS(+AB164+AB169+AB174-AB179)</f>
        <v>0.34399999999999409</v>
      </c>
      <c r="AC180" s="2985">
        <f>ABS(+AC164+AC169+AC174-AC179)</f>
        <v>0</v>
      </c>
      <c r="AD180" s="2985">
        <f ca="1">ABS(+AD164+AD169+AD174-AD179)</f>
        <v>0</v>
      </c>
      <c r="AE180" s="2985">
        <f ca="1">ABS(+AE164+AE169+AE174-AE179)</f>
        <v>0</v>
      </c>
      <c r="AF180" s="2829"/>
      <c r="AG180" s="2829"/>
      <c r="AH180" s="2829"/>
      <c r="AI180" s="2829"/>
      <c r="AJ180" s="2829"/>
      <c r="AK180" s="2881">
        <v>0</v>
      </c>
      <c r="AL180" s="2829"/>
      <c r="AM180" s="2881">
        <f t="shared" si="169"/>
        <v>1.4600000000029922E-2</v>
      </c>
      <c r="AN180" s="2829"/>
      <c r="AO180" s="2829"/>
      <c r="AP180" s="2829"/>
      <c r="AQ180" s="2829"/>
      <c r="AR180" s="2829"/>
      <c r="AS180" s="2829"/>
      <c r="AT180" s="2829"/>
    </row>
    <row r="181" spans="1:46">
      <c r="G181" s="753"/>
      <c r="Q181" s="749"/>
      <c r="R181" s="749"/>
      <c r="S181" s="2162"/>
      <c r="T181" s="3009"/>
      <c r="U181" s="2162"/>
    </row>
    <row r="182" spans="1:46" ht="12.75" customHeight="1">
      <c r="A182" s="714"/>
      <c r="B182" s="714"/>
      <c r="C182" s="822"/>
      <c r="D182" s="790"/>
      <c r="E182" s="791" t="s">
        <v>1804</v>
      </c>
      <c r="F182" s="792"/>
      <c r="G182" s="793">
        <f>+InputY!$G$3</f>
        <v>1995</v>
      </c>
      <c r="H182" s="793">
        <f t="shared" ref="H182:S182" si="231">+G182+1</f>
        <v>1996</v>
      </c>
      <c r="I182" s="793">
        <f t="shared" si="231"/>
        <v>1997</v>
      </c>
      <c r="J182" s="793">
        <f t="shared" si="231"/>
        <v>1998</v>
      </c>
      <c r="K182" s="793">
        <f t="shared" si="231"/>
        <v>1999</v>
      </c>
      <c r="L182" s="793">
        <f t="shared" si="231"/>
        <v>2000</v>
      </c>
      <c r="M182" s="793">
        <f t="shared" si="231"/>
        <v>2001</v>
      </c>
      <c r="N182" s="793">
        <f t="shared" si="231"/>
        <v>2002</v>
      </c>
      <c r="O182" s="793">
        <f>+N182+1</f>
        <v>2003</v>
      </c>
      <c r="P182" s="793">
        <f>+O182+1</f>
        <v>2004</v>
      </c>
      <c r="Q182" s="793">
        <f>+P182+1</f>
        <v>2005</v>
      </c>
      <c r="R182" s="793">
        <f>+Q182+1</f>
        <v>2006</v>
      </c>
      <c r="S182" s="2126">
        <f t="shared" si="231"/>
        <v>2007</v>
      </c>
      <c r="T182" s="2126">
        <f t="shared" ref="T182:AE182" si="232">+S182+1</f>
        <v>2008</v>
      </c>
      <c r="U182" s="2126">
        <f t="shared" si="232"/>
        <v>2009</v>
      </c>
      <c r="V182" s="2126">
        <f t="shared" si="232"/>
        <v>2010</v>
      </c>
      <c r="W182" s="2126">
        <f t="shared" si="232"/>
        <v>2011</v>
      </c>
      <c r="X182" s="2126">
        <f t="shared" si="232"/>
        <v>2012</v>
      </c>
      <c r="Y182" s="2126">
        <f t="shared" si="232"/>
        <v>2013</v>
      </c>
      <c r="Z182" s="2126">
        <f t="shared" si="232"/>
        <v>2014</v>
      </c>
      <c r="AA182" s="2126">
        <f t="shared" si="232"/>
        <v>2015</v>
      </c>
      <c r="AB182" s="2126">
        <f t="shared" si="232"/>
        <v>2016</v>
      </c>
      <c r="AC182" s="2126">
        <f t="shared" si="232"/>
        <v>2017</v>
      </c>
      <c r="AD182" s="2126">
        <f t="shared" si="232"/>
        <v>2018</v>
      </c>
      <c r="AE182" s="2126">
        <f t="shared" si="232"/>
        <v>2019</v>
      </c>
      <c r="AK182" s="2126">
        <v>2014</v>
      </c>
      <c r="AM182" s="2126">
        <f t="shared" si="169"/>
        <v>0</v>
      </c>
    </row>
    <row r="183" spans="1:46" ht="12.75" customHeight="1">
      <c r="A183" s="714"/>
      <c r="B183" s="714"/>
      <c r="C183" s="839" t="s">
        <v>622</v>
      </c>
      <c r="D183" s="739" t="s">
        <v>589</v>
      </c>
      <c r="E183" s="787" t="s">
        <v>1684</v>
      </c>
      <c r="F183" s="782" t="s">
        <v>1933</v>
      </c>
      <c r="G183" s="788"/>
      <c r="H183" s="788">
        <f t="shared" ref="H183:N183" ca="1" si="233">(H164/G164-1)*100</f>
        <v>2.1543928673414259</v>
      </c>
      <c r="I183" s="788">
        <f t="shared" si="233"/>
        <v>3.6609102580030584</v>
      </c>
      <c r="J183" s="788">
        <f t="shared" si="233"/>
        <v>2.7965322999480513</v>
      </c>
      <c r="K183" s="788">
        <f t="shared" si="233"/>
        <v>2.1804924021608274</v>
      </c>
      <c r="L183" s="788">
        <f t="shared" si="233"/>
        <v>4.6249699885659412</v>
      </c>
      <c r="M183" s="788">
        <f t="shared" si="233"/>
        <v>2.7453314823608466</v>
      </c>
      <c r="N183" s="788">
        <f t="shared" si="233"/>
        <v>-0.29919595234092489</v>
      </c>
      <c r="O183" s="788">
        <f t="shared" ref="O183:AE183" si="234">(O164/N164-1)*100</f>
        <v>1.9234394788614662</v>
      </c>
      <c r="P183" s="788">
        <f t="shared" si="234"/>
        <v>1.7409054013766134</v>
      </c>
      <c r="Q183" s="788">
        <f t="shared" si="234"/>
        <v>3.5586945036799822</v>
      </c>
      <c r="R183" s="788">
        <f t="shared" si="234"/>
        <v>4.8633844793863235</v>
      </c>
      <c r="S183" s="788">
        <f t="shared" si="234"/>
        <v>4.1347918915298987</v>
      </c>
      <c r="T183" s="788">
        <f t="shared" si="234"/>
        <v>2.5047805125314682</v>
      </c>
      <c r="U183" s="788">
        <f t="shared" si="234"/>
        <v>-2.6360268068020831</v>
      </c>
      <c r="V183" s="788">
        <f t="shared" si="234"/>
        <v>1.4742280154491638</v>
      </c>
      <c r="W183" s="2882">
        <f t="shared" si="234"/>
        <v>2.3092941385203014</v>
      </c>
      <c r="X183" s="2882">
        <f t="shared" si="234"/>
        <v>1.3393329804129106</v>
      </c>
      <c r="Y183" s="2882">
        <f t="shared" si="234"/>
        <v>0.10952054140616063</v>
      </c>
      <c r="Z183" s="2882">
        <f t="shared" si="234"/>
        <v>2.9079360509577157</v>
      </c>
      <c r="AA183" s="2882">
        <f t="shared" si="234"/>
        <v>1.0922932738374191</v>
      </c>
      <c r="AB183" s="2882">
        <f t="shared" si="234"/>
        <v>1.3456412810920027</v>
      </c>
      <c r="AC183" s="2882">
        <f t="shared" si="234"/>
        <v>1.8864206927977634</v>
      </c>
      <c r="AD183" s="2882">
        <f t="shared" si="234"/>
        <v>2.0241971516241186</v>
      </c>
      <c r="AE183" s="2882">
        <f t="shared" si="234"/>
        <v>2.0580013838867872</v>
      </c>
      <c r="AK183" s="2882">
        <v>3.2913060891319512</v>
      </c>
      <c r="AM183" s="2882">
        <f t="shared" si="169"/>
        <v>-0.38337003817423554</v>
      </c>
    </row>
    <row r="184" spans="1:46" ht="12.75" customHeight="1">
      <c r="A184" s="714"/>
      <c r="B184" s="714"/>
      <c r="C184" s="840" t="s">
        <v>622</v>
      </c>
      <c r="D184" s="724" t="s">
        <v>590</v>
      </c>
      <c r="E184" s="830" t="s">
        <v>1684</v>
      </c>
      <c r="F184" s="754" t="s">
        <v>1756</v>
      </c>
      <c r="G184" s="756"/>
      <c r="H184" s="756">
        <f t="shared" ref="H184:N184" ca="1" si="235">(H169/G169-1)*100</f>
        <v>1.2851663639525501</v>
      </c>
      <c r="I184" s="756">
        <f t="shared" si="235"/>
        <v>4.8771957436018809</v>
      </c>
      <c r="J184" s="756">
        <f t="shared" si="235"/>
        <v>4.2276247767006003</v>
      </c>
      <c r="K184" s="756">
        <f t="shared" si="235"/>
        <v>4.1820190125487322</v>
      </c>
      <c r="L184" s="756">
        <f t="shared" si="235"/>
        <v>6.3845528886556258</v>
      </c>
      <c r="M184" s="756">
        <f t="shared" si="235"/>
        <v>3.5938668661181783</v>
      </c>
      <c r="N184" s="756">
        <f t="shared" si="235"/>
        <v>3.6626076580932754</v>
      </c>
      <c r="O184" s="756">
        <f t="shared" ref="O184:AE184" si="236">(O169/N169-1)*100</f>
        <v>2.9476633504155636</v>
      </c>
      <c r="P184" s="756">
        <f t="shared" si="236"/>
        <v>6.7342814837674014</v>
      </c>
      <c r="Q184" s="756">
        <f t="shared" si="236"/>
        <v>4.1914696053955813</v>
      </c>
      <c r="R184" s="756">
        <f t="shared" si="236"/>
        <v>4.7426908885988217</v>
      </c>
      <c r="S184" s="756">
        <f>(S169/R169-1)*100</f>
        <v>6.1696064790166094</v>
      </c>
      <c r="T184" s="756">
        <f>(T169/S169-1)*100</f>
        <v>2.4663341430478658</v>
      </c>
      <c r="U184" s="756">
        <f>(U169/T169-1)*100</f>
        <v>-2.1692470742397774</v>
      </c>
      <c r="V184" s="756">
        <f>(V169/U169-1)*100</f>
        <v>5.5740763967145002</v>
      </c>
      <c r="W184" s="836">
        <f t="shared" si="236"/>
        <v>4.3139109549070298</v>
      </c>
      <c r="X184" s="836">
        <f t="shared" si="236"/>
        <v>1.8095513395913532</v>
      </c>
      <c r="Y184" s="836">
        <f t="shared" si="236"/>
        <v>1.0613779511422061</v>
      </c>
      <c r="Z184" s="836">
        <f t="shared" si="236"/>
        <v>2.0193468280352844</v>
      </c>
      <c r="AA184" s="836">
        <f t="shared" si="236"/>
        <v>3.4629768664167448</v>
      </c>
      <c r="AB184" s="836">
        <f t="shared" si="236"/>
        <v>3.113361417693139</v>
      </c>
      <c r="AC184" s="836">
        <f t="shared" si="236"/>
        <v>4.1305114878057214</v>
      </c>
      <c r="AD184" s="836">
        <f t="shared" ca="1" si="236"/>
        <v>4.2120894855262492</v>
      </c>
      <c r="AE184" s="836">
        <f t="shared" ca="1" si="236"/>
        <v>4.0972214853535416</v>
      </c>
      <c r="AK184" s="836">
        <v>1.1610234205121639</v>
      </c>
      <c r="AM184" s="836">
        <f t="shared" si="169"/>
        <v>0.85832340752312053</v>
      </c>
    </row>
    <row r="185" spans="1:46" ht="12.75" customHeight="1">
      <c r="A185" s="714"/>
      <c r="B185" s="714"/>
      <c r="C185" s="841" t="s">
        <v>622</v>
      </c>
      <c r="D185" s="741" t="s">
        <v>591</v>
      </c>
      <c r="E185" s="842" t="s">
        <v>1684</v>
      </c>
      <c r="F185" s="785" t="s">
        <v>1649</v>
      </c>
      <c r="G185" s="789"/>
      <c r="H185" s="789">
        <f t="shared" ref="H185:N185" si="237">(H174/G174-1)*100</f>
        <v>2.5075048560833535</v>
      </c>
      <c r="I185" s="789">
        <f t="shared" si="237"/>
        <v>3.1304994004492492</v>
      </c>
      <c r="J185" s="789">
        <f t="shared" si="237"/>
        <v>2.9984639218139542</v>
      </c>
      <c r="K185" s="789">
        <f t="shared" si="237"/>
        <v>4.3141332621041695</v>
      </c>
      <c r="L185" s="789">
        <f t="shared" si="237"/>
        <v>3.8211221021506203</v>
      </c>
      <c r="M185" s="789">
        <f t="shared" si="237"/>
        <v>4.1805155910505709</v>
      </c>
      <c r="N185" s="789">
        <f t="shared" si="237"/>
        <v>6.60648557852197</v>
      </c>
      <c r="O185" s="789">
        <f t="shared" ref="O185:AE185" si="238">(O174/N174-1)*100</f>
        <v>4.0453763162277445</v>
      </c>
      <c r="P185" s="789">
        <f t="shared" si="238"/>
        <v>2.7543379552343872</v>
      </c>
      <c r="Q185" s="789">
        <f t="shared" si="238"/>
        <v>5.5598279925123784</v>
      </c>
      <c r="R185" s="789">
        <f t="shared" si="238"/>
        <v>4.8935896084425723</v>
      </c>
      <c r="S185" s="789">
        <f t="shared" si="238"/>
        <v>4.2997040924571461</v>
      </c>
      <c r="T185" s="789">
        <f t="shared" si="238"/>
        <v>5.5352141627482698</v>
      </c>
      <c r="U185" s="789">
        <f t="shared" si="238"/>
        <v>3.3438227232241546</v>
      </c>
      <c r="V185" s="789">
        <f t="shared" si="238"/>
        <v>2.9753023401916101</v>
      </c>
      <c r="W185" s="789">
        <f t="shared" si="238"/>
        <v>4.4999666358445545</v>
      </c>
      <c r="X185" s="2883">
        <f t="shared" si="238"/>
        <v>3.9361962205218592</v>
      </c>
      <c r="Y185" s="2883">
        <f t="shared" si="238"/>
        <v>2.863823146852762</v>
      </c>
      <c r="Z185" s="2883">
        <f t="shared" si="238"/>
        <v>1.3035658216270063</v>
      </c>
      <c r="AA185" s="2883">
        <f t="shared" si="238"/>
        <v>0.61214829688349681</v>
      </c>
      <c r="AB185" s="2883">
        <f t="shared" si="238"/>
        <v>2.2572290094612146</v>
      </c>
      <c r="AC185" s="2883">
        <f t="shared" si="238"/>
        <v>2.7969932690748989</v>
      </c>
      <c r="AD185" s="2883">
        <f t="shared" si="238"/>
        <v>1.5329593522446894</v>
      </c>
      <c r="AE185" s="2883">
        <f t="shared" si="238"/>
        <v>1.8707116403737123</v>
      </c>
      <c r="AK185" s="2883">
        <v>2.3577251097124385</v>
      </c>
      <c r="AM185" s="2883">
        <f t="shared" si="169"/>
        <v>-1.0541592880854322</v>
      </c>
    </row>
    <row r="186" spans="1:46" ht="12.75" customHeight="1">
      <c r="A186" s="714"/>
      <c r="B186" s="714"/>
      <c r="C186" s="822" t="s">
        <v>624</v>
      </c>
      <c r="D186" s="766"/>
      <c r="E186" s="771" t="s">
        <v>1684</v>
      </c>
      <c r="F186" s="772" t="s">
        <v>1984</v>
      </c>
      <c r="G186" s="770"/>
      <c r="H186" s="770">
        <f t="shared" ref="H186:N186" ca="1" si="239">(H179/G179-1)*100</f>
        <v>1.7545828382291351</v>
      </c>
      <c r="I186" s="770">
        <f t="shared" si="239"/>
        <v>4.3685382789494964</v>
      </c>
      <c r="J186" s="770">
        <f t="shared" si="239"/>
        <v>3.7593149637869194</v>
      </c>
      <c r="K186" s="770">
        <f t="shared" si="239"/>
        <v>3.8096556962097683</v>
      </c>
      <c r="L186" s="770">
        <f t="shared" si="239"/>
        <v>5.6597381712696126</v>
      </c>
      <c r="M186" s="770">
        <f t="shared" si="239"/>
        <v>3.5185208485094099</v>
      </c>
      <c r="N186" s="770">
        <f t="shared" si="239"/>
        <v>3.3495153158839441</v>
      </c>
      <c r="O186" s="770">
        <f t="shared" ref="O186:AE186" si="240">(O179/N179-1)*100</f>
        <v>2.9287815512837989</v>
      </c>
      <c r="P186" s="770">
        <f t="shared" si="240"/>
        <v>5.2130961137878407</v>
      </c>
      <c r="Q186" s="770">
        <f t="shared" si="240"/>
        <v>4.2879043993466315</v>
      </c>
      <c r="R186" s="770">
        <f t="shared" si="240"/>
        <v>4.7868039187805467</v>
      </c>
      <c r="S186" s="770">
        <f t="shared" si="240"/>
        <v>5.5286749835004256</v>
      </c>
      <c r="T186" s="770">
        <f t="shared" si="240"/>
        <v>2.9383371016810989</v>
      </c>
      <c r="U186" s="770">
        <f t="shared" si="240"/>
        <v>-1.3918856511238809</v>
      </c>
      <c r="V186" s="770">
        <f t="shared" si="240"/>
        <v>4.4585606232189434</v>
      </c>
      <c r="W186" s="770">
        <f t="shared" si="240"/>
        <v>4.0150832823687033</v>
      </c>
      <c r="X186" s="770">
        <f t="shared" si="240"/>
        <v>2.0769081065102668</v>
      </c>
      <c r="Y186" s="770">
        <f t="shared" si="240"/>
        <v>1.2051396833674399</v>
      </c>
      <c r="Z186" s="2141">
        <f t="shared" si="240"/>
        <v>2.0447074555556055</v>
      </c>
      <c r="AA186" s="2141">
        <f t="shared" si="240"/>
        <v>2.6310776956355308</v>
      </c>
      <c r="AB186" s="2141">
        <f t="shared" si="240"/>
        <v>2.7659280336221892</v>
      </c>
      <c r="AC186" s="2141">
        <f t="shared" si="240"/>
        <v>3.4717860286477276</v>
      </c>
      <c r="AD186" s="2141">
        <f t="shared" ca="1" si="240"/>
        <v>3.447336274761903</v>
      </c>
      <c r="AE186" s="2141">
        <f t="shared" ca="1" si="240"/>
        <v>3.4388160566438675</v>
      </c>
      <c r="AK186" s="2141">
        <v>1.7012954715018846</v>
      </c>
      <c r="AM186" s="2141">
        <f t="shared" si="169"/>
        <v>0.34341198405372086</v>
      </c>
    </row>
    <row r="187" spans="1:46" ht="12.75" customHeight="1">
      <c r="A187" s="714"/>
      <c r="B187" s="714"/>
      <c r="C187" s="822"/>
      <c r="E187" s="833"/>
      <c r="F187" s="834"/>
      <c r="G187" s="753"/>
      <c r="H187" s="835"/>
      <c r="I187" s="753"/>
      <c r="J187" s="753"/>
      <c r="K187" s="753"/>
      <c r="L187" s="753"/>
      <c r="M187" s="753"/>
      <c r="N187" s="753"/>
      <c r="O187" s="753"/>
      <c r="P187" s="753"/>
      <c r="Q187" s="753"/>
      <c r="R187" s="753"/>
      <c r="S187" s="2218"/>
      <c r="T187" s="2218"/>
      <c r="U187" s="2218"/>
      <c r="V187" s="2218"/>
      <c r="W187" s="2218"/>
      <c r="X187" s="2218"/>
      <c r="Y187" s="2218"/>
      <c r="Z187" s="2218"/>
      <c r="AA187" s="2218"/>
      <c r="AB187" s="2218"/>
      <c r="AC187" s="2218"/>
      <c r="AD187" s="2218"/>
      <c r="AE187" s="2218"/>
      <c r="AK187" s="2218"/>
      <c r="AM187" s="2218"/>
    </row>
    <row r="188" spans="1:46" ht="12.75" customHeight="1">
      <c r="A188" s="714"/>
      <c r="B188" s="714"/>
      <c r="C188" s="822"/>
      <c r="D188" s="862"/>
      <c r="E188" s="863" t="s">
        <v>1477</v>
      </c>
      <c r="F188" s="864"/>
      <c r="G188" s="865">
        <f>+InputY!$G$3</f>
        <v>1995</v>
      </c>
      <c r="H188" s="865">
        <f t="shared" ref="H188:N188" si="241">+G188+1</f>
        <v>1996</v>
      </c>
      <c r="I188" s="865">
        <f t="shared" si="241"/>
        <v>1997</v>
      </c>
      <c r="J188" s="865">
        <f t="shared" si="241"/>
        <v>1998</v>
      </c>
      <c r="K188" s="865">
        <f t="shared" si="241"/>
        <v>1999</v>
      </c>
      <c r="L188" s="865">
        <f t="shared" si="241"/>
        <v>2000</v>
      </c>
      <c r="M188" s="865">
        <f t="shared" si="241"/>
        <v>2001</v>
      </c>
      <c r="N188" s="865">
        <f t="shared" si="241"/>
        <v>2002</v>
      </c>
      <c r="O188" s="865">
        <f t="shared" ref="O188:U188" si="242">+N188+1</f>
        <v>2003</v>
      </c>
      <c r="P188" s="865">
        <f t="shared" si="242"/>
        <v>2004</v>
      </c>
      <c r="Q188" s="865">
        <f t="shared" si="242"/>
        <v>2005</v>
      </c>
      <c r="R188" s="865">
        <f t="shared" si="242"/>
        <v>2006</v>
      </c>
      <c r="S188" s="865">
        <f t="shared" si="242"/>
        <v>2007</v>
      </c>
      <c r="T188" s="865">
        <f t="shared" si="242"/>
        <v>2008</v>
      </c>
      <c r="U188" s="865">
        <f t="shared" si="242"/>
        <v>2009</v>
      </c>
      <c r="V188" s="865">
        <f t="shared" ref="V188:AE188" si="243">+U188+1</f>
        <v>2010</v>
      </c>
      <c r="W188" s="865">
        <f t="shared" si="243"/>
        <v>2011</v>
      </c>
      <c r="X188" s="865">
        <f t="shared" si="243"/>
        <v>2012</v>
      </c>
      <c r="Y188" s="865">
        <f t="shared" si="243"/>
        <v>2013</v>
      </c>
      <c r="Z188" s="865">
        <f t="shared" si="243"/>
        <v>2014</v>
      </c>
      <c r="AA188" s="865">
        <f t="shared" si="243"/>
        <v>2015</v>
      </c>
      <c r="AB188" s="865">
        <f t="shared" si="243"/>
        <v>2016</v>
      </c>
      <c r="AC188" s="865">
        <f t="shared" si="243"/>
        <v>2017</v>
      </c>
      <c r="AD188" s="865">
        <f t="shared" si="243"/>
        <v>2018</v>
      </c>
      <c r="AE188" s="865">
        <f t="shared" si="243"/>
        <v>2019</v>
      </c>
      <c r="AK188" s="865">
        <v>2014</v>
      </c>
      <c r="AM188" s="865">
        <f t="shared" si="169"/>
        <v>0</v>
      </c>
    </row>
    <row r="189" spans="1:46" ht="12.75" customHeight="1">
      <c r="A189" s="714"/>
      <c r="B189" s="714"/>
      <c r="C189" s="866" t="s">
        <v>622</v>
      </c>
      <c r="D189" s="867" t="s">
        <v>589</v>
      </c>
      <c r="E189" s="868" t="s">
        <v>1684</v>
      </c>
      <c r="F189" s="869" t="s">
        <v>1933</v>
      </c>
      <c r="G189" s="878">
        <f t="shared" ref="G189:R189" ca="1" si="244">+G164/G$179</f>
        <v>0.19832344523299872</v>
      </c>
      <c r="H189" s="878">
        <f t="shared" si="244"/>
        <v>0.1991026897662726</v>
      </c>
      <c r="I189" s="878">
        <f t="shared" si="244"/>
        <v>0.19775275572822129</v>
      </c>
      <c r="J189" s="878">
        <f t="shared" si="244"/>
        <v>0.19591780794538421</v>
      </c>
      <c r="K189" s="878">
        <f t="shared" si="244"/>
        <v>0.19284312188449207</v>
      </c>
      <c r="L189" s="878">
        <f t="shared" si="244"/>
        <v>0.19095453186682743</v>
      </c>
      <c r="M189" s="878">
        <f t="shared" si="244"/>
        <v>0.18952827488163176</v>
      </c>
      <c r="N189" s="878">
        <f t="shared" si="244"/>
        <v>0.18283705867133623</v>
      </c>
      <c r="O189" s="878">
        <f t="shared" si="244"/>
        <v>0.18105122399312562</v>
      </c>
      <c r="P189" s="878">
        <f t="shared" si="244"/>
        <v>0.17507626078379535</v>
      </c>
      <c r="Q189" s="878">
        <f t="shared" si="244"/>
        <v>0.17385207910524719</v>
      </c>
      <c r="R189" s="878">
        <f t="shared" si="244"/>
        <v>0.17397913412727728</v>
      </c>
      <c r="S189" s="878">
        <f t="shared" ref="S189:U189" si="245">+S164/S$179</f>
        <v>0.17168111822350896</v>
      </c>
      <c r="T189" s="878">
        <f t="shared" si="245"/>
        <v>0.17095803018717462</v>
      </c>
      <c r="U189" s="878">
        <f t="shared" si="245"/>
        <v>0.16880104825263501</v>
      </c>
      <c r="V189" s="878">
        <f>+V164/V$179</f>
        <v>0.16397848062849255</v>
      </c>
      <c r="W189" s="878">
        <f t="shared" ref="W189:X189" si="246">+W164/W$179</f>
        <v>0.16128932533241394</v>
      </c>
      <c r="X189" s="878">
        <f t="shared" si="246"/>
        <v>0.1601239001968281</v>
      </c>
      <c r="Y189" s="878">
        <f t="shared" ref="Y189" si="247">+Y164/Y$179</f>
        <v>0.15839044267984811</v>
      </c>
      <c r="Z189" s="2884">
        <f t="shared" ref="Z189:AD189" si="248">+Z164/Z$179</f>
        <v>0.15973031774803031</v>
      </c>
      <c r="AA189" s="2884">
        <f t="shared" si="248"/>
        <v>0.15733542401644102</v>
      </c>
      <c r="AB189" s="2884">
        <f t="shared" si="248"/>
        <v>0.15516095410496258</v>
      </c>
      <c r="AC189" s="2884">
        <f t="shared" si="248"/>
        <v>0.15278362200742532</v>
      </c>
      <c r="AD189" s="2884">
        <f t="shared" ca="1" si="248"/>
        <v>0.15068175686827909</v>
      </c>
      <c r="AE189" s="2884">
        <f t="shared" ref="AE189" ca="1" si="249">+AE164/AE$179</f>
        <v>0.14867029164920118</v>
      </c>
      <c r="AK189" s="2884">
        <v>0.16672997738840289</v>
      </c>
      <c r="AM189" s="2884">
        <f t="shared" si="169"/>
        <v>-6.9996596403725797E-3</v>
      </c>
    </row>
    <row r="190" spans="1:46" ht="12.75" customHeight="1">
      <c r="A190" s="714"/>
      <c r="B190" s="714"/>
      <c r="C190" s="870" t="s">
        <v>622</v>
      </c>
      <c r="D190" s="724" t="s">
        <v>590</v>
      </c>
      <c r="E190" s="830" t="s">
        <v>1684</v>
      </c>
      <c r="F190" s="754" t="s">
        <v>1756</v>
      </c>
      <c r="G190" s="879">
        <f t="shared" ref="G190:N190" ca="1" si="250">+G169/G$179</f>
        <v>0.6513330319883629</v>
      </c>
      <c r="H190" s="879">
        <f t="shared" si="250"/>
        <v>0.64832828815346411</v>
      </c>
      <c r="I190" s="879">
        <f t="shared" si="250"/>
        <v>0.65148802411175788</v>
      </c>
      <c r="J190" s="879">
        <f t="shared" si="250"/>
        <v>0.6544284659872055</v>
      </c>
      <c r="K190" s="879">
        <f t="shared" si="250"/>
        <v>0.6567758887993449</v>
      </c>
      <c r="L190" s="879">
        <f t="shared" si="250"/>
        <v>0.661281302483547</v>
      </c>
      <c r="M190" s="879">
        <f t="shared" si="250"/>
        <v>0.66176261647695478</v>
      </c>
      <c r="N190" s="879">
        <f t="shared" si="250"/>
        <v>0.66376739421535125</v>
      </c>
      <c r="O190" s="879">
        <f>+O169/O$179</f>
        <v>0.66388915921070935</v>
      </c>
      <c r="P190" s="879">
        <f>+P169/P$179</f>
        <v>0.67348775970419883</v>
      </c>
      <c r="Q190" s="879">
        <f>+Q169/Q$179</f>
        <v>0.6728649870661858</v>
      </c>
      <c r="R190" s="879">
        <f>+R169/R$179</f>
        <v>0.67258172512505743</v>
      </c>
      <c r="S190" s="879">
        <f t="shared" ref="S190:U190" si="251">+S169/S$179</f>
        <v>0.67666666991384272</v>
      </c>
      <c r="T190" s="879">
        <f t="shared" si="251"/>
        <v>0.673563951536992</v>
      </c>
      <c r="U190" s="879">
        <f t="shared" si="251"/>
        <v>0.66825401700083553</v>
      </c>
      <c r="V190" s="879">
        <f>+V169/V$179</f>
        <v>0.67539031959029039</v>
      </c>
      <c r="W190" s="879">
        <f t="shared" ref="W190:X190" si="252">+W169/W$179</f>
        <v>0.67733066622934646</v>
      </c>
      <c r="X190" s="879">
        <f t="shared" si="252"/>
        <v>0.67555662212459</v>
      </c>
      <c r="Y190" s="879">
        <f t="shared" ref="Y190" si="253">+Y169/Y$179</f>
        <v>0.67459699506892168</v>
      </c>
      <c r="Z190" s="2885">
        <f t="shared" ref="Z190:AD190" si="254">+Z169/Z$179</f>
        <v>0.6744293410715233</v>
      </c>
      <c r="AA190" s="2885">
        <f t="shared" si="254"/>
        <v>0.67989607904393168</v>
      </c>
      <c r="AB190" s="2885">
        <f t="shared" si="254"/>
        <v>0.68219468715343579</v>
      </c>
      <c r="AC190" s="2885">
        <f t="shared" si="254"/>
        <v>0.68653769722195701</v>
      </c>
      <c r="AD190" s="2885">
        <f t="shared" ca="1" si="254"/>
        <v>0.69161305176628995</v>
      </c>
      <c r="AE190" s="2885">
        <f t="shared" ref="AE190" ca="1" si="255">+AE169/AE$179</f>
        <v>0.69601528494343723</v>
      </c>
      <c r="AK190" s="2885">
        <v>0.66728416112905342</v>
      </c>
      <c r="AM190" s="2885">
        <f t="shared" si="169"/>
        <v>7.1451799424698814E-3</v>
      </c>
    </row>
    <row r="191" spans="1:46" ht="12.75" customHeight="1">
      <c r="A191" s="714"/>
      <c r="B191" s="714"/>
      <c r="C191" s="871" t="s">
        <v>622</v>
      </c>
      <c r="D191" s="872" t="s">
        <v>591</v>
      </c>
      <c r="E191" s="873" t="s">
        <v>1684</v>
      </c>
      <c r="F191" s="874" t="s">
        <v>1649</v>
      </c>
      <c r="G191" s="880">
        <f t="shared" ref="G191:N191" ca="1" si="256">+G174/G$179</f>
        <v>0.15144839607216756</v>
      </c>
      <c r="H191" s="880">
        <f t="shared" si="256"/>
        <v>0.15256902208026318</v>
      </c>
      <c r="I191" s="880">
        <f t="shared" si="256"/>
        <v>0.15075922016002083</v>
      </c>
      <c r="J191" s="880">
        <f t="shared" si="256"/>
        <v>0.14965372606741029</v>
      </c>
      <c r="K191" s="880">
        <f t="shared" si="256"/>
        <v>0.15038098931616289</v>
      </c>
      <c r="L191" s="880">
        <f t="shared" si="256"/>
        <v>0.14776416564962563</v>
      </c>
      <c r="M191" s="880">
        <f t="shared" si="256"/>
        <v>0.14870910864141337</v>
      </c>
      <c r="N191" s="880">
        <f t="shared" si="256"/>
        <v>0.15339554711331252</v>
      </c>
      <c r="O191" s="880">
        <f>+O174/O$179</f>
        <v>0.15505961679616503</v>
      </c>
      <c r="P191" s="880">
        <f>+P174/P$179</f>
        <v>0.15143597951200588</v>
      </c>
      <c r="Q191" s="880">
        <f>+Q174/Q$179</f>
        <v>0.153282933828567</v>
      </c>
      <c r="R191" s="880">
        <f>+R174/R$179</f>
        <v>0.15343914074766521</v>
      </c>
      <c r="S191" s="880">
        <f t="shared" ref="S191:U191" si="257">+S174/S$179</f>
        <v>0.15165221186264835</v>
      </c>
      <c r="T191" s="880">
        <f t="shared" si="257"/>
        <v>0.15547801827583335</v>
      </c>
      <c r="U191" s="880">
        <f t="shared" si="257"/>
        <v>0.16294493474652938</v>
      </c>
      <c r="V191" s="880">
        <f>+V174/V$179</f>
        <v>0.16063119978121707</v>
      </c>
      <c r="W191" s="880">
        <f t="shared" ref="W191:X191" si="258">+W174/W$179</f>
        <v>0.16138000843823969</v>
      </c>
      <c r="X191" s="880">
        <f t="shared" si="258"/>
        <v>0.16431947767858171</v>
      </c>
      <c r="Y191" s="880">
        <f t="shared" ref="Y191" si="259">+Y174/Y$179</f>
        <v>0.16701256225123021</v>
      </c>
      <c r="Z191" s="2886">
        <f t="shared" ref="Z191:AD191" si="260">+Z174/Z$179</f>
        <v>0.16579956486645758</v>
      </c>
      <c r="AA191" s="2886">
        <f t="shared" si="260"/>
        <v>0.1625380029368256</v>
      </c>
      <c r="AB191" s="2886">
        <f t="shared" si="260"/>
        <v>0.16173342767472138</v>
      </c>
      <c r="AC191" s="2886">
        <f t="shared" si="260"/>
        <v>0.16067868077061767</v>
      </c>
      <c r="AD191" s="2886">
        <f t="shared" ca="1" si="260"/>
        <v>0.15770519136543107</v>
      </c>
      <c r="AE191" s="2886">
        <f t="shared" ref="AE191" ca="1" si="261">+AE174/AE$179</f>
        <v>0.15531442340736162</v>
      </c>
      <c r="AK191" s="2886">
        <v>0.1659858614825436</v>
      </c>
      <c r="AM191" s="2886">
        <f t="shared" si="169"/>
        <v>-1.86296616086018E-4</v>
      </c>
    </row>
    <row r="192" spans="1:46" ht="12.75" customHeight="1">
      <c r="A192" s="714"/>
      <c r="B192" s="714"/>
      <c r="C192" s="822" t="s">
        <v>624</v>
      </c>
      <c r="D192" s="850"/>
      <c r="E192" s="851" t="s">
        <v>1684</v>
      </c>
      <c r="F192" s="852" t="s">
        <v>1984</v>
      </c>
      <c r="G192" s="881">
        <f t="shared" ref="G192:N192" ca="1" si="262">+G179/G$179</f>
        <v>1</v>
      </c>
      <c r="H192" s="881">
        <f t="shared" si="262"/>
        <v>1</v>
      </c>
      <c r="I192" s="881">
        <f t="shared" si="262"/>
        <v>1</v>
      </c>
      <c r="J192" s="881">
        <f t="shared" si="262"/>
        <v>1</v>
      </c>
      <c r="K192" s="881">
        <f t="shared" si="262"/>
        <v>1</v>
      </c>
      <c r="L192" s="881">
        <f t="shared" si="262"/>
        <v>1</v>
      </c>
      <c r="M192" s="881">
        <f t="shared" si="262"/>
        <v>1</v>
      </c>
      <c r="N192" s="881">
        <f t="shared" si="262"/>
        <v>1</v>
      </c>
      <c r="O192" s="881">
        <f t="shared" ref="O192:Z192" si="263">+O179/O$179</f>
        <v>1</v>
      </c>
      <c r="P192" s="881">
        <f t="shared" si="263"/>
        <v>1</v>
      </c>
      <c r="Q192" s="881">
        <f t="shared" si="263"/>
        <v>1</v>
      </c>
      <c r="R192" s="881">
        <f t="shared" si="263"/>
        <v>1</v>
      </c>
      <c r="S192" s="881">
        <f t="shared" si="263"/>
        <v>1</v>
      </c>
      <c r="T192" s="881">
        <f t="shared" si="263"/>
        <v>1</v>
      </c>
      <c r="U192" s="881">
        <f t="shared" si="263"/>
        <v>1</v>
      </c>
      <c r="V192" s="881">
        <f t="shared" si="263"/>
        <v>1</v>
      </c>
      <c r="W192" s="881">
        <f t="shared" si="263"/>
        <v>1</v>
      </c>
      <c r="X192" s="881">
        <f t="shared" si="263"/>
        <v>1</v>
      </c>
      <c r="Y192" s="881">
        <f t="shared" ref="Y192" si="264">+Y179/Y$179</f>
        <v>1</v>
      </c>
      <c r="Z192" s="2887">
        <f t="shared" si="263"/>
        <v>1</v>
      </c>
      <c r="AA192" s="2887">
        <f>+AA179/AA$179</f>
        <v>1</v>
      </c>
      <c r="AB192" s="2887">
        <f>+AB179/AB$179</f>
        <v>1</v>
      </c>
      <c r="AC192" s="2887">
        <f>+AC179/AC$179</f>
        <v>1</v>
      </c>
      <c r="AD192" s="2887">
        <f ca="1">+AD179/AD$179</f>
        <v>1</v>
      </c>
      <c r="AE192" s="2887">
        <f ca="1">+AE179/AE$179</f>
        <v>1</v>
      </c>
      <c r="AK192" s="2887">
        <v>1</v>
      </c>
      <c r="AM192" s="2887">
        <f t="shared" si="169"/>
        <v>0</v>
      </c>
    </row>
    <row r="193" spans="1:46" ht="12.75" customHeight="1">
      <c r="A193" s="714"/>
      <c r="B193" s="714"/>
      <c r="C193" s="822"/>
      <c r="E193" s="833"/>
      <c r="F193" s="834"/>
      <c r="G193" s="753"/>
      <c r="H193" s="835"/>
      <c r="I193" s="753"/>
      <c r="J193" s="753"/>
      <c r="K193" s="753"/>
      <c r="L193" s="753"/>
      <c r="M193" s="753"/>
      <c r="N193" s="753"/>
      <c r="O193" s="753"/>
      <c r="P193" s="753"/>
      <c r="Q193" s="753"/>
      <c r="R193" s="2218"/>
      <c r="S193" s="2218"/>
      <c r="T193" s="2218"/>
      <c r="U193" s="2218"/>
      <c r="AM193" s="2827">
        <f t="shared" si="169"/>
        <v>0</v>
      </c>
    </row>
    <row r="194" spans="1:46">
      <c r="N194" s="3012"/>
      <c r="O194" s="836"/>
      <c r="P194" s="836"/>
      <c r="Q194" s="836"/>
      <c r="R194" s="836"/>
      <c r="S194" s="836"/>
      <c r="T194" s="836"/>
      <c r="X194" s="2827">
        <f>X195/W195*100-100</f>
        <v>1.4174139427249202</v>
      </c>
      <c r="Y194" s="2827">
        <f>Y195/X195*100-100</f>
        <v>0</v>
      </c>
      <c r="AM194" s="2827">
        <f t="shared" si="169"/>
        <v>0</v>
      </c>
    </row>
    <row r="195" spans="1:46" ht="22.5" customHeight="1">
      <c r="A195" s="603"/>
      <c r="B195" s="603"/>
      <c r="C195" s="4124" t="s">
        <v>1564</v>
      </c>
      <c r="D195" s="4124"/>
      <c r="E195" s="4124"/>
      <c r="F195" s="4124"/>
      <c r="N195" s="1470"/>
      <c r="O195" s="1470"/>
      <c r="P195" s="1470"/>
      <c r="Q195" s="1470"/>
      <c r="R195" s="1470"/>
      <c r="S195" s="1470"/>
      <c r="T195" s="1470"/>
      <c r="U195" s="2162"/>
      <c r="W195" s="2827">
        <f>10.89+23.68</f>
        <v>34.57</v>
      </c>
      <c r="X195" s="2827">
        <f>10.99+24.07</f>
        <v>35.06</v>
      </c>
      <c r="Y195" s="2827">
        <f>10.99+24.07</f>
        <v>35.06</v>
      </c>
      <c r="Z195" s="2269">
        <f t="shared" ref="Z195:AD195" si="265">Z196-Z200</f>
        <v>-1.7316422039165484</v>
      </c>
      <c r="AA195" s="2269">
        <f t="shared" si="265"/>
        <v>-1.4310419475371479</v>
      </c>
      <c r="AB195" s="2269">
        <f t="shared" si="265"/>
        <v>-1.5615419475371617</v>
      </c>
      <c r="AC195" s="2269">
        <f t="shared" si="265"/>
        <v>-1.7868419475371446</v>
      </c>
      <c r="AD195" s="2269">
        <f t="shared" si="265"/>
        <v>-1.7918157993371597</v>
      </c>
      <c r="AE195" s="2269">
        <f t="shared" ref="AE195" si="266">AE196-AE200</f>
        <v>-1.9143293420253791</v>
      </c>
      <c r="AK195" s="2269">
        <v>-2.1048422039165473</v>
      </c>
      <c r="AM195" s="2269">
        <f t="shared" si="169"/>
        <v>0.37319999999999887</v>
      </c>
    </row>
    <row r="196" spans="1:46" ht="12.75" customHeight="1">
      <c r="A196" s="714"/>
      <c r="B196" s="714"/>
      <c r="C196" s="822"/>
      <c r="N196" s="3009"/>
      <c r="O196" s="3009"/>
      <c r="P196" s="3009"/>
      <c r="Q196" s="3009"/>
      <c r="R196" s="3009"/>
      <c r="T196" s="3015"/>
      <c r="U196" s="2162"/>
      <c r="Z196" s="2269">
        <v>7.3827577960834461</v>
      </c>
      <c r="AA196" s="2269">
        <v>7.7529580524628461</v>
      </c>
      <c r="AB196" s="2269">
        <v>7.7529580524628461</v>
      </c>
      <c r="AC196" s="2269">
        <v>7.7529580524628461</v>
      </c>
      <c r="AD196" s="2269">
        <v>7.7529580524628461</v>
      </c>
      <c r="AE196" s="2269">
        <v>7.7529580524628461</v>
      </c>
      <c r="AK196" s="2269">
        <v>7.3827577960834461</v>
      </c>
      <c r="AM196" s="2269">
        <f t="shared" ref="AM196:AM259" si="267">Z196-AK196</f>
        <v>0</v>
      </c>
    </row>
    <row r="197" spans="1:46" ht="12.75" customHeight="1">
      <c r="A197" s="714"/>
      <c r="B197" s="714"/>
      <c r="C197" s="822"/>
      <c r="D197" s="823"/>
      <c r="E197" s="824" t="s">
        <v>1803</v>
      </c>
      <c r="F197" s="825"/>
      <c r="G197" s="826">
        <f>+InputY!$G$3</f>
        <v>1995</v>
      </c>
      <c r="H197" s="826">
        <f t="shared" ref="H197:S197" si="268">+G197+1</f>
        <v>1996</v>
      </c>
      <c r="I197" s="826">
        <f t="shared" si="268"/>
        <v>1997</v>
      </c>
      <c r="J197" s="826">
        <f t="shared" si="268"/>
        <v>1998</v>
      </c>
      <c r="K197" s="826">
        <f t="shared" si="268"/>
        <v>1999</v>
      </c>
      <c r="L197" s="826">
        <f t="shared" si="268"/>
        <v>2000</v>
      </c>
      <c r="M197" s="826">
        <f t="shared" si="268"/>
        <v>2001</v>
      </c>
      <c r="N197" s="826">
        <f t="shared" si="268"/>
        <v>2002</v>
      </c>
      <c r="O197" s="826">
        <f t="shared" si="268"/>
        <v>2003</v>
      </c>
      <c r="P197" s="826">
        <f>+O197+1</f>
        <v>2004</v>
      </c>
      <c r="Q197" s="826">
        <f>+P197+1</f>
        <v>2005</v>
      </c>
      <c r="R197" s="2163">
        <f t="shared" si="268"/>
        <v>2006</v>
      </c>
      <c r="S197" s="2163">
        <f t="shared" si="268"/>
        <v>2007</v>
      </c>
      <c r="T197" s="2163">
        <f t="shared" ref="T197:AE197" si="269">+S197+1</f>
        <v>2008</v>
      </c>
      <c r="U197" s="2163">
        <f t="shared" si="269"/>
        <v>2009</v>
      </c>
      <c r="V197" s="2163">
        <f t="shared" si="269"/>
        <v>2010</v>
      </c>
      <c r="W197" s="2163">
        <f t="shared" si="269"/>
        <v>2011</v>
      </c>
      <c r="X197" s="2163">
        <f t="shared" si="269"/>
        <v>2012</v>
      </c>
      <c r="Y197" s="2163">
        <f t="shared" si="269"/>
        <v>2013</v>
      </c>
      <c r="Z197" s="2163">
        <f t="shared" si="269"/>
        <v>2014</v>
      </c>
      <c r="AA197" s="2163">
        <f t="shared" si="269"/>
        <v>2015</v>
      </c>
      <c r="AB197" s="2163">
        <f t="shared" si="269"/>
        <v>2016</v>
      </c>
      <c r="AC197" s="2163">
        <f t="shared" si="269"/>
        <v>2017</v>
      </c>
      <c r="AD197" s="2163">
        <f t="shared" si="269"/>
        <v>2018</v>
      </c>
      <c r="AE197" s="2163">
        <f t="shared" si="269"/>
        <v>2019</v>
      </c>
      <c r="AK197" s="2163">
        <v>2014</v>
      </c>
      <c r="AM197" s="2163">
        <f t="shared" si="267"/>
        <v>0</v>
      </c>
    </row>
    <row r="198" spans="1:46" ht="12.75" customHeight="1">
      <c r="A198" s="714"/>
      <c r="B198" s="714">
        <v>89</v>
      </c>
      <c r="C198" s="827" t="s">
        <v>622</v>
      </c>
      <c r="D198" s="718" t="s">
        <v>589</v>
      </c>
      <c r="E198" s="750" t="s">
        <v>1385</v>
      </c>
      <c r="F198" s="751" t="s">
        <v>143</v>
      </c>
      <c r="G198" s="828">
        <f ca="1">+G164-Labour1!G209-G18+G133</f>
        <v>32.243699999999997</v>
      </c>
      <c r="H198" s="828">
        <f>+H164-Labour1!H209-H18+H133</f>
        <v>32.923400000000001</v>
      </c>
      <c r="I198" s="828">
        <f>+I164-Labour1!I209-I18+I133</f>
        <v>34.245799999999996</v>
      </c>
      <c r="J198" s="828">
        <f>+J164-Labour1!J209-J18+J133</f>
        <v>35.330199999999991</v>
      </c>
      <c r="K198" s="828">
        <f>+K164-Labour1!K209-K18+K133</f>
        <v>36.043500000000009</v>
      </c>
      <c r="L198" s="828">
        <f>+L164-Labour1!L209-L18+L133</f>
        <v>37.926000000000002</v>
      </c>
      <c r="M198" s="828">
        <f>+M164-Labour1!M209-M18+M133</f>
        <v>38.894799999999996</v>
      </c>
      <c r="N198" s="2956">
        <f>+N164-Labour1!N209-N18+N133</f>
        <v>38.306799999999996</v>
      </c>
      <c r="O198" s="828">
        <f>+O164-Labour1!O209-O18+O133</f>
        <v>38.942299999999996</v>
      </c>
      <c r="P198" s="828">
        <f>+P164-Labour1!P209-P18+P133</f>
        <v>39.564999999999998</v>
      </c>
      <c r="Q198" s="828">
        <f>+Q164-Labour1!Q209-Q18+Q133</f>
        <v>41.386400000000002</v>
      </c>
      <c r="R198" s="828">
        <f>+R164-Labour1!R209-R18+R133</f>
        <v>43.739100000000001</v>
      </c>
      <c r="S198" s="828">
        <f>+S164-Labour1!S209-S18+S133</f>
        <v>45.7</v>
      </c>
      <c r="T198" s="828">
        <f>+T164-Labour1!T209-T18+T133</f>
        <v>46.819700000000005</v>
      </c>
      <c r="U198" s="828">
        <f>+U164-Labour1!U209-U18+U133</f>
        <v>45.276699999999991</v>
      </c>
      <c r="V198" s="828">
        <f>+V164-Labour1!V209-V18+V133</f>
        <v>45.916699999999999</v>
      </c>
      <c r="W198" s="828">
        <f>+W164-Labour1!W209-W18+W133</f>
        <v>46.823</v>
      </c>
      <c r="X198" s="828">
        <f>+X164-Labour1!X209-X18+X133</f>
        <v>47.414400000000001</v>
      </c>
      <c r="Y198" s="828">
        <f>+Y164-Labour1!Y209-Y18+Y133</f>
        <v>47.344499999999996</v>
      </c>
      <c r="Z198" s="828">
        <f>+Z164-Labour1!Z209-Z18+Z133</f>
        <v>48.919699999999999</v>
      </c>
      <c r="AA198" s="828">
        <f>+AA164-Labour1!AA209-AA18+AA133</f>
        <v>49.655200000000008</v>
      </c>
      <c r="AB198" s="828">
        <f>+AB164-Labour1!AB209-AB18+AB133</f>
        <v>50.114100000000008</v>
      </c>
      <c r="AC198" s="2135">
        <f>+AB198*(1+AC209/100)</f>
        <v>51.116382000000009</v>
      </c>
      <c r="AD198" s="2135">
        <f>+AC198*(1+AD209/100)</f>
        <v>52.138709640000009</v>
      </c>
      <c r="AE198" s="2135">
        <f>+AD198*(1+AE209/100)</f>
        <v>53.181483832800012</v>
      </c>
      <c r="AK198" s="828">
        <v>50.835883799999998</v>
      </c>
      <c r="AM198" s="828">
        <f t="shared" si="267"/>
        <v>-1.9161837999999989</v>
      </c>
    </row>
    <row r="199" spans="1:46" ht="12.75" customHeight="1">
      <c r="A199" s="714"/>
      <c r="B199" s="714">
        <v>104</v>
      </c>
      <c r="C199" s="829" t="s">
        <v>622</v>
      </c>
      <c r="D199" s="724" t="s">
        <v>590</v>
      </c>
      <c r="E199" s="830" t="s">
        <v>1019</v>
      </c>
      <c r="F199" s="754" t="s">
        <v>1470</v>
      </c>
      <c r="G199" s="756">
        <f ca="1">+G169-Labour1!G210-G24+G134</f>
        <v>46.209799999999987</v>
      </c>
      <c r="H199" s="756">
        <f>+H169-Labour1!H210-H24+H134</f>
        <v>46.450899999999983</v>
      </c>
      <c r="I199" s="756">
        <f>+I169-Labour1!I210-I24+I134</f>
        <v>48.646000000000029</v>
      </c>
      <c r="J199" s="756">
        <f>+J169-Labour1!J210-J24+J134</f>
        <v>51.087699999999998</v>
      </c>
      <c r="K199" s="756">
        <f>+K169-Labour1!K210-K24+K134</f>
        <v>52.059999999999974</v>
      </c>
      <c r="L199" s="756">
        <f>+L169-Labour1!L210-L24+L134</f>
        <v>56.738400000000013</v>
      </c>
      <c r="M199" s="756">
        <f>+M169-Labour1!M210-M24+M134</f>
        <v>56.521300000000004</v>
      </c>
      <c r="N199" s="756">
        <f>+N169-Labour1!N210-N24+N134</f>
        <v>59.789799999999985</v>
      </c>
      <c r="O199" s="756">
        <f>+O169-Labour1!O210-O24+O134</f>
        <v>63.360300000000002</v>
      </c>
      <c r="P199" s="756">
        <f>+P169-Labour1!P210-P24+P134</f>
        <v>71.971599999999995</v>
      </c>
      <c r="Q199" s="756">
        <f>+Q169-Labour1!Q210-Q24+Q134</f>
        <v>76.988499999999988</v>
      </c>
      <c r="R199" s="756">
        <f>+R169-Labour1!R210-R24+R134</f>
        <v>81.178099999999986</v>
      </c>
      <c r="S199" s="756">
        <f>+S169-Labour1!S210-S24+S134</f>
        <v>87.360199999999992</v>
      </c>
      <c r="T199" s="756">
        <f>+T169-Labour1!T210-T24+T134</f>
        <v>86.11369999999998</v>
      </c>
      <c r="U199" s="756">
        <f>+U169-Labour1!U210-U24+U134</f>
        <v>82.739499999999992</v>
      </c>
      <c r="V199" s="756">
        <f>+V169-Labour1!V210-V24+V134</f>
        <v>92.978199999999987</v>
      </c>
      <c r="W199" s="756">
        <f>+W169-Labour1!W210-W24+W134</f>
        <v>96.50190000000002</v>
      </c>
      <c r="X199" s="756">
        <f>+X169-Labour1!X210-X24+X134</f>
        <v>94.854999999999976</v>
      </c>
      <c r="Y199" s="756">
        <f>+Y169-Labour1!Y210-Y24+Y134</f>
        <v>95.500699999999995</v>
      </c>
      <c r="Z199" s="756">
        <f>+Z169-Labour1!Z210-Z24+Z134</f>
        <v>98.465400000000017</v>
      </c>
      <c r="AA199" s="756">
        <f>+AA169-Labour1!AA210-AA24+AA134</f>
        <v>105.36569999999999</v>
      </c>
      <c r="AB199" s="756">
        <f>+AB169-Labour1!AB210-AB24+AB134</f>
        <v>111.80659999999997</v>
      </c>
      <c r="AC199" s="756">
        <f>+AC169-Labour1!AC210-AC24+AC134</f>
        <v>117.53993460728401</v>
      </c>
      <c r="AD199" s="2135">
        <f ca="1">+AD169-Labour1!AD210-Sector1!AD24+Sector1!AD134</f>
        <v>122.68347529439006</v>
      </c>
      <c r="AE199" s="2135">
        <f ca="1">+AE169-Labour1!AE210-Sector1!AE24+Sector1!AE134</f>
        <v>128.34010640996704</v>
      </c>
      <c r="AK199" s="756">
        <v>96.821292170369034</v>
      </c>
      <c r="AM199" s="756">
        <f t="shared" si="267"/>
        <v>1.6441078296309826</v>
      </c>
    </row>
    <row r="200" spans="1:46" ht="12.75" customHeight="1">
      <c r="A200" s="714"/>
      <c r="B200" s="714" t="s">
        <v>1989</v>
      </c>
      <c r="C200" s="829" t="s">
        <v>622</v>
      </c>
      <c r="D200" s="724" t="s">
        <v>591</v>
      </c>
      <c r="E200" s="830" t="s">
        <v>1385</v>
      </c>
      <c r="F200" s="754" t="s">
        <v>1990</v>
      </c>
      <c r="G200" s="756">
        <f>+G174-Labour1!G211-G30+G139</f>
        <v>4.7053000000000011</v>
      </c>
      <c r="H200" s="756">
        <f>+H174-Labour1!H211-H30+H139</f>
        <v>4.8376999999999999</v>
      </c>
      <c r="I200" s="756">
        <f>+I174-Labour1!I211-I30+I139</f>
        <v>4.9268999999999972</v>
      </c>
      <c r="J200" s="756">
        <f>+J174-Labour1!J211-J30+J139</f>
        <v>5.0915999999999988</v>
      </c>
      <c r="K200" s="756">
        <f>+K174-Labour1!K211-K30+K139</f>
        <v>5.2532999999999967</v>
      </c>
      <c r="L200" s="756">
        <f>+L174-Labour1!L211-L30+L139</f>
        <v>5.5065999999999979</v>
      </c>
      <c r="M200" s="756">
        <f>+M174-Labour1!M211-M30+M139</f>
        <v>5.6498999999999979</v>
      </c>
      <c r="N200" s="756">
        <f>+N174-Labour1!N211-N30+N139</f>
        <v>5.8001000000000023</v>
      </c>
      <c r="O200" s="756">
        <f>+O174-Labour1!O211-O30+O139</f>
        <v>6.0227999999999993</v>
      </c>
      <c r="P200" s="756">
        <f>+P174-Labour1!P211-P30+P139</f>
        <v>6.1395000000000026</v>
      </c>
      <c r="Q200" s="756">
        <f>+Q174-Labour1!Q211-Q30+Q139</f>
        <v>6.6533000000000015</v>
      </c>
      <c r="R200" s="756">
        <f>+R174-Labour1!R211-R30+R139</f>
        <v>7.1562000000000028</v>
      </c>
      <c r="S200" s="756">
        <f>+S174-Labour1!S211-S30+S139</f>
        <v>7.505700000000008</v>
      </c>
      <c r="T200" s="756">
        <f>+T174-Labour1!T211-T30+T139</f>
        <v>7.8645000000000014</v>
      </c>
      <c r="U200" s="756">
        <f>+U174-Labour1!U211-U30+U139</f>
        <v>7.7334999999999949</v>
      </c>
      <c r="V200" s="756">
        <f>+V174-Labour1!V211-V30+V139</f>
        <v>8.1131000000000029</v>
      </c>
      <c r="W200" s="756">
        <f>+W174-Labour1!W211-W30+W139</f>
        <v>8.6283000000000012</v>
      </c>
      <c r="X200" s="756">
        <f>+X174-Labour1!X211-X30+X139</f>
        <v>8.9319000000000095</v>
      </c>
      <c r="Y200" s="756">
        <f>+Y174-Labour1!Y211-Y30+Y139</f>
        <v>9.0417000000000023</v>
      </c>
      <c r="Z200" s="756">
        <f>+Z174-Labour1!Z211-Z30+Z139</f>
        <v>9.1143999999999945</v>
      </c>
      <c r="AA200" s="756">
        <f>+AA174-Labour1!AA211-AA30+AA139</f>
        <v>9.1839999999999939</v>
      </c>
      <c r="AB200" s="756">
        <f>+AB174-Labour1!AB211-AB30+AB139</f>
        <v>9.3145000000000078</v>
      </c>
      <c r="AC200" s="756">
        <f>+AC174-Labour1!AC211-AC30+AC139</f>
        <v>9.5397999999999907</v>
      </c>
      <c r="AD200" s="3783">
        <f>AD692+AD693</f>
        <v>9.5447738518000058</v>
      </c>
      <c r="AE200" s="3783">
        <f>AE692+AE693</f>
        <v>9.6672873944882252</v>
      </c>
      <c r="AK200" s="756">
        <v>9.4875999999999934</v>
      </c>
      <c r="AM200" s="756">
        <f t="shared" si="267"/>
        <v>-0.37319999999999887</v>
      </c>
    </row>
    <row r="201" spans="1:46" ht="12.75" customHeight="1">
      <c r="A201" s="714"/>
      <c r="B201" s="714"/>
      <c r="C201" s="829"/>
      <c r="D201" s="1882"/>
      <c r="E201" s="2898" t="s">
        <v>863</v>
      </c>
      <c r="F201" s="1882"/>
      <c r="G201" s="2871"/>
      <c r="H201" s="2871"/>
      <c r="I201" s="2871"/>
      <c r="J201" s="2871"/>
      <c r="K201" s="2871"/>
      <c r="L201" s="2871"/>
      <c r="M201" s="2871"/>
      <c r="N201" s="2871"/>
      <c r="O201" s="2871"/>
      <c r="P201" s="2871"/>
      <c r="Q201" s="2871"/>
      <c r="R201" s="2871"/>
      <c r="S201" s="2880"/>
      <c r="T201" s="3011"/>
      <c r="U201" s="2880"/>
      <c r="V201" s="2880"/>
      <c r="W201" s="2880"/>
      <c r="X201" s="2880"/>
      <c r="Y201" s="2880"/>
      <c r="Z201" s="2880"/>
      <c r="AA201" s="2880"/>
      <c r="AB201" s="2880"/>
      <c r="AC201" s="2880"/>
      <c r="AD201" s="2880"/>
      <c r="AE201" s="2880"/>
      <c r="AK201" s="2880"/>
      <c r="AM201" s="2880">
        <f t="shared" si="267"/>
        <v>0</v>
      </c>
    </row>
    <row r="202" spans="1:46" ht="12.75" customHeight="1">
      <c r="A202" s="714"/>
      <c r="B202" s="714"/>
      <c r="C202" s="829"/>
      <c r="D202" s="1882" t="s">
        <v>2</v>
      </c>
      <c r="E202" s="1882"/>
      <c r="F202" s="1882"/>
      <c r="G202" s="2871"/>
      <c r="H202" s="2871"/>
      <c r="I202" s="2871"/>
      <c r="J202" s="2871"/>
      <c r="K202" s="2871"/>
      <c r="L202" s="2871"/>
      <c r="M202" s="2871"/>
      <c r="N202" s="2871"/>
      <c r="O202" s="2871"/>
      <c r="P202" s="2871"/>
      <c r="Q202" s="2871"/>
      <c r="R202" s="2871"/>
      <c r="S202" s="2880"/>
      <c r="T202" s="3010"/>
      <c r="U202" s="2880"/>
      <c r="V202" s="2880"/>
      <c r="W202" s="2880"/>
      <c r="X202" s="2880"/>
      <c r="Y202" s="2880"/>
      <c r="Z202" s="2880"/>
      <c r="AA202" s="2880"/>
      <c r="AB202" s="2880"/>
      <c r="AC202" s="2880"/>
      <c r="AD202" s="2880"/>
      <c r="AE202" s="2880"/>
      <c r="AK202" s="2880"/>
      <c r="AM202" s="2880">
        <f t="shared" si="267"/>
        <v>0</v>
      </c>
    </row>
    <row r="203" spans="1:46" ht="12.75" customHeight="1">
      <c r="C203" s="829"/>
      <c r="D203" s="1882" t="s">
        <v>591</v>
      </c>
      <c r="E203" s="1882" t="s">
        <v>1149</v>
      </c>
      <c r="F203" s="1882"/>
      <c r="G203" s="1055">
        <f>+G692</f>
        <v>4.6923000000000004</v>
      </c>
      <c r="H203" s="1055">
        <f t="shared" ref="H203:R203" si="270">+H692</f>
        <v>4.8239000000000001</v>
      </c>
      <c r="I203" s="1055">
        <f t="shared" si="270"/>
        <v>4.9175000000000004</v>
      </c>
      <c r="J203" s="1055">
        <f t="shared" si="270"/>
        <v>5.0739000000000001</v>
      </c>
      <c r="K203" s="1055">
        <f t="shared" si="270"/>
        <v>5.2344999999999997</v>
      </c>
      <c r="L203" s="1055">
        <f t="shared" si="270"/>
        <v>5.4876000000000005</v>
      </c>
      <c r="M203" s="1055">
        <f t="shared" si="270"/>
        <v>5.6321000000000003</v>
      </c>
      <c r="N203" s="1055">
        <f t="shared" si="270"/>
        <v>5.7755000000000001</v>
      </c>
      <c r="O203" s="1055">
        <f t="shared" si="270"/>
        <v>5.9971000000000005</v>
      </c>
      <c r="P203" s="1055">
        <f t="shared" si="270"/>
        <v>6.1106000000000007</v>
      </c>
      <c r="Q203" s="1055">
        <f>+Q692</f>
        <v>6.6166999999999998</v>
      </c>
      <c r="R203" s="1055">
        <f t="shared" si="270"/>
        <v>7.12</v>
      </c>
      <c r="S203" s="1055">
        <f t="shared" ref="S203:AA203" si="271">+S692</f>
        <v>7.4703999999999997</v>
      </c>
      <c r="T203" s="1055">
        <f t="shared" si="271"/>
        <v>7.8266999999999998</v>
      </c>
      <c r="U203" s="1055">
        <f t="shared" si="271"/>
        <v>7.6950000000000003</v>
      </c>
      <c r="V203" s="1055">
        <f t="shared" si="271"/>
        <v>8.0737000000000005</v>
      </c>
      <c r="W203" s="1055">
        <f t="shared" si="271"/>
        <v>8.5851000000000006</v>
      </c>
      <c r="X203" s="1055">
        <f t="shared" si="271"/>
        <v>8.8847999999999985</v>
      </c>
      <c r="Y203" s="1055">
        <f t="shared" ref="Y203" si="272">+Y692</f>
        <v>8.9925999999999995</v>
      </c>
      <c r="Z203" s="1055">
        <f t="shared" ref="Z203" si="273">+Z692</f>
        <v>9.0642000000000014</v>
      </c>
      <c r="AA203" s="3780">
        <f t="shared" si="271"/>
        <v>9.1327000000000016</v>
      </c>
      <c r="AB203" s="3780">
        <f t="shared" ref="AB203:AC203" si="274">+AB692</f>
        <v>9.2668999999999997</v>
      </c>
      <c r="AC203" s="3780">
        <f t="shared" si="274"/>
        <v>9.5069999999999997</v>
      </c>
      <c r="AD203" s="3780">
        <f t="shared" ref="AD203" si="275">+AD692</f>
        <v>9.4971738518000048</v>
      </c>
      <c r="AE203" s="3780">
        <f t="shared" ref="AE203" si="276">+AE692</f>
        <v>9.6196873944882242</v>
      </c>
      <c r="AK203" s="1055">
        <v>9.4371000000000009</v>
      </c>
      <c r="AM203" s="1055">
        <f t="shared" si="267"/>
        <v>-0.37289999999999957</v>
      </c>
    </row>
    <row r="204" spans="1:46" ht="12.75" customHeight="1">
      <c r="C204" s="829"/>
      <c r="D204" s="1882" t="s">
        <v>591</v>
      </c>
      <c r="E204" s="1882" t="s">
        <v>1148</v>
      </c>
      <c r="F204" s="1882"/>
      <c r="G204" s="1055">
        <f t="shared" ref="G204:V204" si="277">+G200-G203</f>
        <v>1.3000000000000789E-2</v>
      </c>
      <c r="H204" s="1055">
        <f t="shared" si="277"/>
        <v>1.3799999999999812E-2</v>
      </c>
      <c r="I204" s="1055">
        <f t="shared" si="277"/>
        <v>9.3999999999967443E-3</v>
      </c>
      <c r="J204" s="1055">
        <f t="shared" si="277"/>
        <v>1.7699999999998717E-2</v>
      </c>
      <c r="K204" s="1055">
        <f t="shared" si="277"/>
        <v>1.8799999999997041E-2</v>
      </c>
      <c r="L204" s="1055">
        <f t="shared" si="277"/>
        <v>1.8999999999997463E-2</v>
      </c>
      <c r="M204" s="1055">
        <f t="shared" si="277"/>
        <v>1.7799999999997596E-2</v>
      </c>
      <c r="N204" s="1055">
        <f t="shared" si="277"/>
        <v>2.4600000000002176E-2</v>
      </c>
      <c r="O204" s="1055">
        <f t="shared" si="277"/>
        <v>2.5699999999998724E-2</v>
      </c>
      <c r="P204" s="1055">
        <f t="shared" si="277"/>
        <v>2.8900000000001924E-2</v>
      </c>
      <c r="Q204" s="1055">
        <f t="shared" si="277"/>
        <v>3.6600000000001742E-2</v>
      </c>
      <c r="R204" s="1055">
        <f t="shared" si="277"/>
        <v>3.6200000000002674E-2</v>
      </c>
      <c r="S204" s="1055">
        <f t="shared" si="277"/>
        <v>3.5300000000008325E-2</v>
      </c>
      <c r="T204" s="1055">
        <f t="shared" si="277"/>
        <v>3.780000000000161E-2</v>
      </c>
      <c r="U204" s="1055">
        <f t="shared" si="277"/>
        <v>3.849999999999465E-2</v>
      </c>
      <c r="V204" s="1055">
        <f t="shared" si="277"/>
        <v>3.9400000000002322E-2</v>
      </c>
      <c r="W204" s="1055">
        <f>+W200-W203</f>
        <v>4.3200000000000571E-2</v>
      </c>
      <c r="X204" s="3780">
        <f>+X200-X203</f>
        <v>4.7100000000011022E-2</v>
      </c>
      <c r="Y204" s="3780">
        <f>+Y200-Y203</f>
        <v>4.9100000000002808E-2</v>
      </c>
      <c r="Z204" s="3780">
        <f>+Z200-Z203</f>
        <v>5.0199999999993139E-2</v>
      </c>
      <c r="AA204" s="3780">
        <f t="shared" ref="AA204" si="278">+AA200-AA203</f>
        <v>5.1299999999992352E-2</v>
      </c>
      <c r="AB204" s="3780">
        <f t="shared" ref="AB204:AC204" si="279">+AB200-AB203</f>
        <v>4.760000000000808E-2</v>
      </c>
      <c r="AC204" s="3780">
        <f t="shared" si="279"/>
        <v>3.2799999999991059E-2</v>
      </c>
      <c r="AD204" s="3780">
        <f t="shared" ref="AD204" si="280">+AD200-AD203</f>
        <v>4.7600000000000975E-2</v>
      </c>
      <c r="AE204" s="3780">
        <f t="shared" ref="AE204" si="281">+AE200-AE203</f>
        <v>4.7600000000000975E-2</v>
      </c>
      <c r="AK204" s="3780">
        <v>5.049999999999244E-2</v>
      </c>
      <c r="AM204" s="3780">
        <f t="shared" si="267"/>
        <v>-2.9999999999930083E-4</v>
      </c>
    </row>
    <row r="205" spans="1:46" ht="12.75" customHeight="1">
      <c r="A205" s="1869">
        <f>+ROW(InputY!A104)</f>
        <v>104</v>
      </c>
      <c r="B205" s="714"/>
      <c r="C205" s="831" t="s">
        <v>624</v>
      </c>
      <c r="D205" s="800"/>
      <c r="E205" s="801" t="s">
        <v>1564</v>
      </c>
      <c r="F205" s="802" t="s">
        <v>923</v>
      </c>
      <c r="G205" s="832">
        <f ca="1">+InputY!G104/1000</f>
        <v>82.371600000000001</v>
      </c>
      <c r="H205" s="832">
        <f>+InputY!H104/1000</f>
        <v>84.211799999999997</v>
      </c>
      <c r="I205" s="832">
        <f>+InputY!I104/1000</f>
        <v>87.818799999999996</v>
      </c>
      <c r="J205" s="832">
        <f>+InputY!J104/1000</f>
        <v>91.509299999999996</v>
      </c>
      <c r="K205" s="832">
        <f>+InputY!K104/1000</f>
        <v>93.356700000000004</v>
      </c>
      <c r="L205" s="832">
        <f>+InputY!L104/1000</f>
        <v>100.17100000000001</v>
      </c>
      <c r="M205" s="832">
        <f>+InputY!M104/1000</f>
        <v>101.06569999999999</v>
      </c>
      <c r="N205" s="832">
        <f>+InputY!N104/1000</f>
        <v>103.8967</v>
      </c>
      <c r="O205" s="832">
        <f>+InputY!O104/1000</f>
        <v>108.32539999999999</v>
      </c>
      <c r="P205" s="832">
        <f>+InputY!P104/1000</f>
        <v>117.67610000000001</v>
      </c>
      <c r="Q205" s="832">
        <f>+InputY!Q104/1000</f>
        <v>125.02810000000001</v>
      </c>
      <c r="R205" s="832">
        <f>+InputY!R104/1000</f>
        <v>132.07339999999999</v>
      </c>
      <c r="S205" s="832">
        <f>+InputY!S104/1000</f>
        <v>140.5659</v>
      </c>
      <c r="T205" s="832">
        <f>+InputY!T104/1000</f>
        <v>140.7978</v>
      </c>
      <c r="U205" s="832">
        <f>+InputY!U104/1000</f>
        <v>135.74970000000002</v>
      </c>
      <c r="V205" s="832">
        <f>+InputY!V104/1000</f>
        <v>147.00800000000001</v>
      </c>
      <c r="W205" s="832">
        <f>+InputY!W104/1000</f>
        <v>151.95320000000001</v>
      </c>
      <c r="X205" s="832">
        <f>+InputY!X104/1000</f>
        <v>151.20140000000001</v>
      </c>
      <c r="Y205" s="832">
        <f>+InputY!Y104/1000</f>
        <v>151.88679999999999</v>
      </c>
      <c r="Z205" s="832">
        <f>+InputY!Z104/1000</f>
        <v>156.5239</v>
      </c>
      <c r="AA205" s="832">
        <f>+InputY!AA104/1000</f>
        <v>164.21260000000001</v>
      </c>
      <c r="AB205" s="832">
        <f>+InputY!AB104/1000</f>
        <v>171.25920000000002</v>
      </c>
      <c r="AC205" s="832">
        <f>+InputY!AC104/1000</f>
        <v>178.21970000000002</v>
      </c>
      <c r="AD205" s="2200">
        <f ca="1">+AD198+AD199+AD200</f>
        <v>184.36695878619008</v>
      </c>
      <c r="AE205" s="2200">
        <f ca="1">+AE198+AE199+AE200</f>
        <v>191.18887763725527</v>
      </c>
      <c r="AK205" s="832">
        <v>156.86600000000001</v>
      </c>
      <c r="AM205" s="832">
        <f t="shared" si="267"/>
        <v>-0.34210000000001628</v>
      </c>
    </row>
    <row r="206" spans="1:46" s="1881" customFormat="1" ht="12.75" customHeight="1">
      <c r="A206" s="1039"/>
      <c r="B206" s="1039"/>
      <c r="C206" s="1501"/>
      <c r="D206" s="1054"/>
      <c r="E206" s="1882" t="s">
        <v>474</v>
      </c>
      <c r="F206" s="1883"/>
      <c r="G206" s="1043">
        <f t="shared" ref="G206:X206" ca="1" si="282">ABS(+G198+G199+G200-G205)</f>
        <v>0.78719999999998436</v>
      </c>
      <c r="H206" s="1043">
        <f t="shared" si="282"/>
        <v>1.999999999782176E-4</v>
      </c>
      <c r="I206" s="1043">
        <f t="shared" si="282"/>
        <v>9.9999999974897946E-5</v>
      </c>
      <c r="J206" s="1043">
        <f t="shared" si="282"/>
        <v>1.9999999999242846E-4</v>
      </c>
      <c r="K206" s="1043">
        <f t="shared" si="282"/>
        <v>9.9999999974897946E-5</v>
      </c>
      <c r="L206" s="1043">
        <f t="shared" si="282"/>
        <v>0</v>
      </c>
      <c r="M206" s="1043">
        <f t="shared" si="282"/>
        <v>3.0000000000995897E-4</v>
      </c>
      <c r="N206" s="1043">
        <f t="shared" si="282"/>
        <v>1.4210854715202004E-14</v>
      </c>
      <c r="O206" s="1043">
        <f t="shared" si="282"/>
        <v>1.4210854715202004E-14</v>
      </c>
      <c r="P206" s="1043">
        <f t="shared" si="282"/>
        <v>1.4210854715202004E-14</v>
      </c>
      <c r="Q206" s="1043">
        <f t="shared" si="282"/>
        <v>9.9999999989108801E-5</v>
      </c>
      <c r="R206" s="1043">
        <f t="shared" si="282"/>
        <v>0</v>
      </c>
      <c r="S206" s="2881">
        <f t="shared" si="282"/>
        <v>2.8421709430404007E-14</v>
      </c>
      <c r="T206" s="2881">
        <f>ABS(+T198+T199+T200-T205)</f>
        <v>9.9999999974897946E-5</v>
      </c>
      <c r="U206" s="2881">
        <f>ABS(+U198+U199+U200-U205)</f>
        <v>5.6843418860808015E-14</v>
      </c>
      <c r="V206" s="2881">
        <f t="shared" si="282"/>
        <v>2.8421709430404007E-14</v>
      </c>
      <c r="W206" s="2985">
        <f t="shared" si="282"/>
        <v>0</v>
      </c>
      <c r="X206" s="2881">
        <f t="shared" si="282"/>
        <v>1.0000000003174137E-4</v>
      </c>
      <c r="Y206" s="2881">
        <f t="shared" ref="Y206" si="283">ABS(+Y198+Y199+Y200-Y205)</f>
        <v>9.9999999974897946E-5</v>
      </c>
      <c r="Z206" s="2881">
        <f t="shared" ref="Z206" si="284">ABS(+Z198+Z199+Z200-Z205)</f>
        <v>2.4399999999985766E-2</v>
      </c>
      <c r="AA206" s="2881">
        <f>ABS(+AA198+AA199+AA200-AA205)</f>
        <v>7.7000000000282398E-3</v>
      </c>
      <c r="AB206" s="2881">
        <f>ABS(+AB198+AB199+AB200-AB205)</f>
        <v>2.4000000000029331E-2</v>
      </c>
      <c r="AC206" s="2881">
        <f>ABS(+AC198+AC199+AC200-AC205)</f>
        <v>2.3583392716005847E-2</v>
      </c>
      <c r="AD206" s="2881">
        <f ca="1">ABS(+AD198+AD199+AD200-AD205)</f>
        <v>0</v>
      </c>
      <c r="AE206" s="2881">
        <f ca="1">ABS(+AE198+AE199+AE200-AE205)</f>
        <v>0</v>
      </c>
      <c r="AF206" s="2829"/>
      <c r="AG206" s="2829"/>
      <c r="AH206" s="2829"/>
      <c r="AI206" s="2829"/>
      <c r="AJ206" s="2829"/>
      <c r="AK206" s="2881">
        <v>0.27877597036899715</v>
      </c>
      <c r="AL206" s="2829"/>
      <c r="AM206" s="2881">
        <f t="shared" si="267"/>
        <v>-0.25437597036901138</v>
      </c>
      <c r="AN206" s="2829"/>
      <c r="AO206" s="2829"/>
      <c r="AP206" s="2829"/>
      <c r="AQ206" s="2829"/>
      <c r="AR206" s="2829"/>
      <c r="AS206" s="2829"/>
      <c r="AT206" s="2829"/>
    </row>
    <row r="207" spans="1:46" ht="12.75" customHeight="1">
      <c r="A207" s="714"/>
      <c r="B207" s="714"/>
      <c r="C207" s="822"/>
      <c r="E207" s="833"/>
      <c r="F207" s="834"/>
      <c r="G207" s="753"/>
      <c r="H207" s="835"/>
      <c r="I207" s="753"/>
      <c r="J207" s="753"/>
      <c r="K207" s="753"/>
      <c r="L207" s="753"/>
      <c r="M207" s="753"/>
      <c r="N207" s="753"/>
      <c r="O207" s="753"/>
      <c r="P207" s="753"/>
      <c r="Q207" s="753"/>
      <c r="R207" s="2218"/>
      <c r="S207" s="2233"/>
      <c r="T207" s="2233"/>
      <c r="U207" s="3008"/>
      <c r="V207" s="3007"/>
      <c r="W207" s="3007"/>
      <c r="X207" s="3007"/>
      <c r="Y207" s="3007"/>
      <c r="Z207" s="3007"/>
      <c r="AA207" s="3007"/>
      <c r="AB207" s="3007"/>
      <c r="AC207" s="3007"/>
      <c r="AD207" s="3007"/>
      <c r="AE207" s="3007"/>
      <c r="AK207" s="3007"/>
      <c r="AM207" s="3007">
        <f t="shared" si="267"/>
        <v>0</v>
      </c>
    </row>
    <row r="208" spans="1:46" ht="12.75" customHeight="1">
      <c r="A208" s="714"/>
      <c r="B208" s="714"/>
      <c r="C208" s="822"/>
      <c r="D208" s="790"/>
      <c r="E208" s="791" t="s">
        <v>1804</v>
      </c>
      <c r="F208" s="792"/>
      <c r="G208" s="793">
        <f>+InputY!$G$3</f>
        <v>1995</v>
      </c>
      <c r="H208" s="793">
        <f>+G208+1</f>
        <v>1996</v>
      </c>
      <c r="I208" s="793">
        <f t="shared" ref="I208:S208" si="285">+H208+1</f>
        <v>1997</v>
      </c>
      <c r="J208" s="793">
        <f t="shared" si="285"/>
        <v>1998</v>
      </c>
      <c r="K208" s="793">
        <f t="shared" si="285"/>
        <v>1999</v>
      </c>
      <c r="L208" s="793">
        <f t="shared" si="285"/>
        <v>2000</v>
      </c>
      <c r="M208" s="793">
        <f t="shared" si="285"/>
        <v>2001</v>
      </c>
      <c r="N208" s="793">
        <f t="shared" si="285"/>
        <v>2002</v>
      </c>
      <c r="O208" s="793">
        <f t="shared" si="285"/>
        <v>2003</v>
      </c>
      <c r="P208" s="793">
        <f>+O208+1</f>
        <v>2004</v>
      </c>
      <c r="Q208" s="793">
        <f>+P208+1</f>
        <v>2005</v>
      </c>
      <c r="R208" s="793">
        <f>+Q208+1</f>
        <v>2006</v>
      </c>
      <c r="S208" s="2126">
        <f t="shared" si="285"/>
        <v>2007</v>
      </c>
      <c r="T208" s="2126">
        <f t="shared" ref="T208:AE208" si="286">+S208+1</f>
        <v>2008</v>
      </c>
      <c r="U208" s="2126">
        <f t="shared" si="286"/>
        <v>2009</v>
      </c>
      <c r="V208" s="2126">
        <f t="shared" si="286"/>
        <v>2010</v>
      </c>
      <c r="W208" s="2126">
        <f t="shared" si="286"/>
        <v>2011</v>
      </c>
      <c r="X208" s="2126">
        <f t="shared" si="286"/>
        <v>2012</v>
      </c>
      <c r="Y208" s="2126">
        <f t="shared" si="286"/>
        <v>2013</v>
      </c>
      <c r="Z208" s="2126">
        <f t="shared" si="286"/>
        <v>2014</v>
      </c>
      <c r="AA208" s="2126">
        <f t="shared" si="286"/>
        <v>2015</v>
      </c>
      <c r="AB208" s="2126">
        <f t="shared" si="286"/>
        <v>2016</v>
      </c>
      <c r="AC208" s="2126">
        <f t="shared" si="286"/>
        <v>2017</v>
      </c>
      <c r="AD208" s="2126">
        <f t="shared" si="286"/>
        <v>2018</v>
      </c>
      <c r="AE208" s="2126">
        <f t="shared" si="286"/>
        <v>2019</v>
      </c>
      <c r="AK208" s="2126">
        <v>2014</v>
      </c>
      <c r="AM208" s="2126">
        <f t="shared" si="267"/>
        <v>0</v>
      </c>
    </row>
    <row r="209" spans="1:46" ht="12.75" customHeight="1">
      <c r="A209" s="714"/>
      <c r="B209" s="714"/>
      <c r="C209" s="839" t="s">
        <v>622</v>
      </c>
      <c r="D209" s="739" t="s">
        <v>589</v>
      </c>
      <c r="E209" s="787" t="s">
        <v>1564</v>
      </c>
      <c r="F209" s="782" t="s">
        <v>143</v>
      </c>
      <c r="G209" s="788"/>
      <c r="H209" s="788">
        <f t="shared" ref="H209:P209" ca="1" si="287">(H198/G198-1)*100</f>
        <v>2.1080086962724565</v>
      </c>
      <c r="I209" s="788">
        <f t="shared" si="287"/>
        <v>4.0165960988233218</v>
      </c>
      <c r="J209" s="788">
        <f t="shared" si="287"/>
        <v>3.1665196900057646</v>
      </c>
      <c r="K209" s="788">
        <f t="shared" si="287"/>
        <v>2.0189526241006783</v>
      </c>
      <c r="L209" s="788">
        <f t="shared" si="287"/>
        <v>5.2228557160097999</v>
      </c>
      <c r="M209" s="788">
        <f t="shared" si="287"/>
        <v>2.5544481358434679</v>
      </c>
      <c r="N209" s="788">
        <f t="shared" si="287"/>
        <v>-1.5117702109279429</v>
      </c>
      <c r="O209" s="788">
        <f t="shared" si="287"/>
        <v>1.6589743857487349</v>
      </c>
      <c r="P209" s="788">
        <f t="shared" si="287"/>
        <v>1.5990324146236912</v>
      </c>
      <c r="Q209" s="788">
        <f t="shared" ref="Q209:AB211" si="288">(Q198/P198-1)*100</f>
        <v>4.6035637558448306</v>
      </c>
      <c r="R209" s="788">
        <f t="shared" si="288"/>
        <v>5.6847176850366221</v>
      </c>
      <c r="S209" s="788">
        <f t="shared" si="288"/>
        <v>4.4831740936599029</v>
      </c>
      <c r="T209" s="788">
        <f t="shared" si="288"/>
        <v>2.4501094091903708</v>
      </c>
      <c r="U209" s="788">
        <f t="shared" si="288"/>
        <v>-3.2956212876204094</v>
      </c>
      <c r="V209" s="788">
        <f t="shared" si="288"/>
        <v>1.413530579746336</v>
      </c>
      <c r="W209" s="788">
        <f t="shared" si="288"/>
        <v>1.9737916705686587</v>
      </c>
      <c r="X209" s="788">
        <f t="shared" si="288"/>
        <v>1.2630544817717748</v>
      </c>
      <c r="Y209" s="788">
        <f t="shared" si="288"/>
        <v>-0.14742356752379671</v>
      </c>
      <c r="Z209" s="788">
        <f t="shared" si="288"/>
        <v>3.3271024089387424</v>
      </c>
      <c r="AA209" s="788">
        <f t="shared" si="288"/>
        <v>1.5034842813835825</v>
      </c>
      <c r="AB209" s="788">
        <f t="shared" si="288"/>
        <v>0.92417309768160205</v>
      </c>
      <c r="AC209" s="3738">
        <v>2</v>
      </c>
      <c r="AD209" s="3738">
        <v>2</v>
      </c>
      <c r="AE209" s="3738">
        <v>2</v>
      </c>
      <c r="AK209" s="788">
        <v>2.7</v>
      </c>
      <c r="AM209" s="788">
        <f t="shared" si="267"/>
        <v>0.62710240893874225</v>
      </c>
    </row>
    <row r="210" spans="1:46" ht="12.75" customHeight="1">
      <c r="A210" s="714"/>
      <c r="B210" s="714"/>
      <c r="C210" s="840" t="s">
        <v>622</v>
      </c>
      <c r="D210" s="724" t="s">
        <v>590</v>
      </c>
      <c r="E210" s="830" t="s">
        <v>1564</v>
      </c>
      <c r="F210" s="754" t="s">
        <v>1470</v>
      </c>
      <c r="G210" s="756"/>
      <c r="H210" s="756">
        <f t="shared" ref="H210:P211" ca="1" si="289">(H199/G199-1)*100</f>
        <v>0.52175079744989361</v>
      </c>
      <c r="I210" s="756">
        <f t="shared" si="289"/>
        <v>4.7256350253709778</v>
      </c>
      <c r="J210" s="756">
        <f t="shared" si="289"/>
        <v>5.0193232742670846</v>
      </c>
      <c r="K210" s="756">
        <f t="shared" si="289"/>
        <v>1.9031978343123201</v>
      </c>
      <c r="L210" s="756">
        <f t="shared" si="289"/>
        <v>8.9865539761813995</v>
      </c>
      <c r="M210" s="756">
        <f t="shared" si="289"/>
        <v>-0.38263327834413552</v>
      </c>
      <c r="N210" s="756">
        <f t="shared" si="289"/>
        <v>5.7827756969496047</v>
      </c>
      <c r="O210" s="756">
        <f t="shared" si="289"/>
        <v>5.9717543795095862</v>
      </c>
      <c r="P210" s="756">
        <f t="shared" si="289"/>
        <v>13.591002567853995</v>
      </c>
      <c r="Q210" s="756">
        <f t="shared" si="288"/>
        <v>6.9706662072261727</v>
      </c>
      <c r="R210" s="756">
        <f t="shared" si="288"/>
        <v>5.4418517051247894</v>
      </c>
      <c r="S210" s="756">
        <f t="shared" si="288"/>
        <v>7.6154775733849434</v>
      </c>
      <c r="T210" s="756">
        <f t="shared" si="288"/>
        <v>-1.4268511290038366</v>
      </c>
      <c r="U210" s="756">
        <f t="shared" si="288"/>
        <v>-3.9183080044174035</v>
      </c>
      <c r="V210" s="756">
        <f t="shared" si="288"/>
        <v>12.374621553188003</v>
      </c>
      <c r="W210" s="756">
        <f t="shared" si="288"/>
        <v>3.7898130959730603</v>
      </c>
      <c r="X210" s="756">
        <f t="shared" si="288"/>
        <v>-1.7065985229306802</v>
      </c>
      <c r="Y210" s="756">
        <f t="shared" si="288"/>
        <v>0.68072320910865791</v>
      </c>
      <c r="Z210" s="756">
        <f t="shared" si="288"/>
        <v>3.1043751511769191</v>
      </c>
      <c r="AA210" s="877">
        <f>(AA199/Z199-1)*100</f>
        <v>7.0078423486828578</v>
      </c>
      <c r="AB210" s="877">
        <f>(AB199/AA199-1)*100</f>
        <v>6.1129001183497067</v>
      </c>
      <c r="AC210" s="877">
        <f>(AC199/AB199-1)*100</f>
        <v>5.1279035470929601</v>
      </c>
      <c r="AD210" s="877">
        <f ca="1">(AD199/AC199-1)*100</f>
        <v>4.3759941710800554</v>
      </c>
      <c r="AE210" s="877">
        <f ca="1">(AE199/AD199-1)*100</f>
        <v>4.6107522647230059</v>
      </c>
      <c r="AK210" s="756">
        <v>2.3009397047122349</v>
      </c>
      <c r="AM210" s="756">
        <f t="shared" si="267"/>
        <v>0.80343544646468423</v>
      </c>
    </row>
    <row r="211" spans="1:46" ht="12.75" customHeight="1">
      <c r="A211" s="714"/>
      <c r="B211" s="714"/>
      <c r="C211" s="840" t="s">
        <v>622</v>
      </c>
      <c r="D211" s="724" t="s">
        <v>591</v>
      </c>
      <c r="E211" s="830" t="s">
        <v>1564</v>
      </c>
      <c r="F211" s="754" t="s">
        <v>1990</v>
      </c>
      <c r="G211" s="756"/>
      <c r="H211" s="756">
        <f>(H200/G200-1)*100</f>
        <v>2.8138482137164189</v>
      </c>
      <c r="I211" s="756">
        <f t="shared" si="289"/>
        <v>1.8438514169956344</v>
      </c>
      <c r="J211" s="756">
        <f t="shared" si="289"/>
        <v>3.3428728003410235</v>
      </c>
      <c r="K211" s="756">
        <f t="shared" si="289"/>
        <v>3.1758189959933514</v>
      </c>
      <c r="L211" s="756">
        <f t="shared" si="289"/>
        <v>4.8217311023547316</v>
      </c>
      <c r="M211" s="756">
        <f t="shared" si="289"/>
        <v>2.6023317473577112</v>
      </c>
      <c r="N211" s="756">
        <f t="shared" si="289"/>
        <v>2.6584541319316202</v>
      </c>
      <c r="O211" s="756">
        <f t="shared" si="289"/>
        <v>3.8395889726038579</v>
      </c>
      <c r="P211" s="756">
        <f>(P200/O200-1)*100</f>
        <v>1.9376369794780413</v>
      </c>
      <c r="Q211" s="756">
        <f t="shared" si="288"/>
        <v>8.3687596709829606</v>
      </c>
      <c r="R211" s="756">
        <f t="shared" si="288"/>
        <v>7.5586551034825034</v>
      </c>
      <c r="S211" s="756">
        <f t="shared" si="288"/>
        <v>4.8838769179174069</v>
      </c>
      <c r="T211" s="756">
        <f t="shared" si="288"/>
        <v>4.7803669211398336</v>
      </c>
      <c r="U211" s="756">
        <f t="shared" si="288"/>
        <v>-1.6657130141777166</v>
      </c>
      <c r="V211" s="756">
        <f t="shared" si="288"/>
        <v>4.9085149026961705</v>
      </c>
      <c r="W211" s="756">
        <f t="shared" si="288"/>
        <v>6.3502237122677885</v>
      </c>
      <c r="X211" s="756">
        <f t="shared" si="288"/>
        <v>3.5186537324850553</v>
      </c>
      <c r="Y211" s="756">
        <f t="shared" si="288"/>
        <v>1.2293017163200748</v>
      </c>
      <c r="Z211" s="756">
        <f t="shared" si="288"/>
        <v>0.80405233529083908</v>
      </c>
      <c r="AA211" s="756">
        <f t="shared" si="288"/>
        <v>0.76362678837882392</v>
      </c>
      <c r="AB211" s="756">
        <f t="shared" si="288"/>
        <v>1.4209494773520737</v>
      </c>
      <c r="AC211" s="3784">
        <f t="shared" ref="AC211:AE211" si="290">(AC200/AB200-1)*100</f>
        <v>2.4188093832195223</v>
      </c>
      <c r="AD211" s="3784">
        <f t="shared" si="290"/>
        <v>5.2137904358739995E-2</v>
      </c>
      <c r="AE211" s="3784">
        <f t="shared" si="290"/>
        <v>1.2835667412393947</v>
      </c>
      <c r="AK211" s="756">
        <v>4.5984234606691876</v>
      </c>
      <c r="AM211" s="756">
        <f t="shared" si="267"/>
        <v>-3.7943711253783485</v>
      </c>
    </row>
    <row r="212" spans="1:46" ht="12.75" customHeight="1">
      <c r="A212" s="714"/>
      <c r="B212" s="714"/>
      <c r="C212" s="840"/>
      <c r="D212" s="2873" t="s">
        <v>2</v>
      </c>
      <c r="E212" s="2873"/>
      <c r="F212" s="2873"/>
      <c r="G212" s="2874"/>
      <c r="H212" s="2874"/>
      <c r="I212" s="2874"/>
      <c r="J212" s="2874"/>
      <c r="K212" s="2874"/>
      <c r="L212" s="2874"/>
      <c r="M212" s="2874"/>
      <c r="N212" s="2874"/>
      <c r="O212" s="2874"/>
      <c r="P212" s="2874"/>
      <c r="Q212" s="2874"/>
      <c r="R212" s="2874"/>
      <c r="S212" s="2888"/>
      <c r="T212" s="2888"/>
      <c r="U212" s="2888"/>
      <c r="V212" s="2888"/>
      <c r="W212" s="2888"/>
      <c r="X212" s="2888"/>
      <c r="Y212" s="2888"/>
      <c r="Z212" s="2888"/>
      <c r="AA212" s="2888"/>
      <c r="AB212" s="2888"/>
      <c r="AC212" s="2888"/>
      <c r="AD212" s="2888"/>
      <c r="AE212" s="2888"/>
      <c r="AK212" s="2888"/>
      <c r="AM212" s="2888">
        <f t="shared" si="267"/>
        <v>0</v>
      </c>
    </row>
    <row r="213" spans="1:46" ht="12.75" customHeight="1">
      <c r="A213" s="714"/>
      <c r="B213" s="714"/>
      <c r="C213" s="840"/>
      <c r="D213" s="2873" t="s">
        <v>591</v>
      </c>
      <c r="E213" s="2873" t="s">
        <v>1149</v>
      </c>
      <c r="F213" s="2873"/>
      <c r="G213" s="1046"/>
      <c r="H213" s="1046">
        <f t="shared" ref="H213:Y214" si="291">(H203/G203-1)*100</f>
        <v>2.8045947616307521</v>
      </c>
      <c r="I213" s="1046">
        <f t="shared" si="291"/>
        <v>1.9403387300731767</v>
      </c>
      <c r="J213" s="1046">
        <f t="shared" si="291"/>
        <v>3.1804778851042048</v>
      </c>
      <c r="K213" s="1046">
        <f t="shared" si="291"/>
        <v>3.1652180768245275</v>
      </c>
      <c r="L213" s="1046">
        <f t="shared" si="291"/>
        <v>4.8352278154551787</v>
      </c>
      <c r="M213" s="1046">
        <f t="shared" si="291"/>
        <v>2.6332094175960385</v>
      </c>
      <c r="N213" s="1046">
        <f t="shared" si="291"/>
        <v>2.546119564638416</v>
      </c>
      <c r="O213" s="1046">
        <f t="shared" si="291"/>
        <v>3.836897238334358</v>
      </c>
      <c r="P213" s="1046">
        <f t="shared" si="291"/>
        <v>1.8925814143502695</v>
      </c>
      <c r="Q213" s="1046">
        <f t="shared" si="291"/>
        <v>8.2823290675219994</v>
      </c>
      <c r="R213" s="1046">
        <f t="shared" si="291"/>
        <v>7.6065107984342628</v>
      </c>
      <c r="S213" s="1046">
        <f t="shared" si="291"/>
        <v>4.9213483146067327</v>
      </c>
      <c r="T213" s="1046">
        <f t="shared" si="291"/>
        <v>4.7694902548725659</v>
      </c>
      <c r="U213" s="1046">
        <f t="shared" si="291"/>
        <v>-1.682701521714125</v>
      </c>
      <c r="V213" s="1046">
        <f t="shared" si="291"/>
        <v>4.9213775178687413</v>
      </c>
      <c r="W213" s="1046">
        <f t="shared" si="291"/>
        <v>6.3341466737679042</v>
      </c>
      <c r="X213" s="1046">
        <f t="shared" si="291"/>
        <v>3.4909319635181735</v>
      </c>
      <c r="Y213" s="1046">
        <f t="shared" si="291"/>
        <v>1.213308121736012</v>
      </c>
      <c r="Z213" s="1046">
        <f t="shared" ref="Z213:Z214" si="292">(Z203/Y203-1)*100</f>
        <v>0.79621021728979446</v>
      </c>
      <c r="AA213" s="1046">
        <f t="shared" ref="AA213:AE214" si="293">(AA203/Z203-1)*100</f>
        <v>0.75572030625978837</v>
      </c>
      <c r="AB213" s="1046">
        <f t="shared" si="293"/>
        <v>1.4694449615119121</v>
      </c>
      <c r="AC213" s="1046">
        <f t="shared" si="293"/>
        <v>2.5909419546989776</v>
      </c>
      <c r="AD213" s="1046">
        <f t="shared" si="293"/>
        <v>-0.10335698117170944</v>
      </c>
      <c r="AE213" s="1046">
        <f t="shared" si="293"/>
        <v>1.2899999999999912</v>
      </c>
      <c r="AK213" s="1046">
        <v>4.6021348053070898</v>
      </c>
      <c r="AM213" s="1046">
        <f t="shared" si="267"/>
        <v>-3.8059245880172954</v>
      </c>
    </row>
    <row r="214" spans="1:46" ht="12.75" customHeight="1">
      <c r="A214" s="714"/>
      <c r="B214" s="714"/>
      <c r="C214" s="841"/>
      <c r="D214" s="2875" t="s">
        <v>591</v>
      </c>
      <c r="E214" s="2875" t="s">
        <v>1148</v>
      </c>
      <c r="F214" s="2875"/>
      <c r="G214" s="2876"/>
      <c r="H214" s="2876">
        <f t="shared" ref="H214:S214" si="294">(H204/G204-1)*100</f>
        <v>6.1538461538382716</v>
      </c>
      <c r="I214" s="2876">
        <f t="shared" si="294"/>
        <v>-31.884057971037162</v>
      </c>
      <c r="J214" s="2876">
        <f t="shared" si="294"/>
        <v>88.297872340477099</v>
      </c>
      <c r="K214" s="2876">
        <f t="shared" si="294"/>
        <v>6.2146892655277064</v>
      </c>
      <c r="L214" s="2876">
        <f t="shared" si="294"/>
        <v>1.0638297872364477</v>
      </c>
      <c r="M214" s="2876">
        <f t="shared" si="294"/>
        <v>-6.3157894736843634</v>
      </c>
      <c r="N214" s="2876">
        <f t="shared" si="294"/>
        <v>38.202247191042126</v>
      </c>
      <c r="O214" s="2876">
        <f t="shared" si="294"/>
        <v>4.4715447154327181</v>
      </c>
      <c r="P214" s="2876">
        <f t="shared" si="294"/>
        <v>12.45136186771736</v>
      </c>
      <c r="Q214" s="2876">
        <f t="shared" si="294"/>
        <v>26.643598615914541</v>
      </c>
      <c r="R214" s="2876">
        <f t="shared" si="294"/>
        <v>-1.0928961748607913</v>
      </c>
      <c r="S214" s="2876">
        <f t="shared" si="294"/>
        <v>-2.4861878452880792</v>
      </c>
      <c r="T214" s="2876">
        <f t="shared" si="291"/>
        <v>7.0821529744835576</v>
      </c>
      <c r="U214" s="2876">
        <f t="shared" si="291"/>
        <v>1.8518518518333638</v>
      </c>
      <c r="V214" s="2876">
        <f t="shared" si="291"/>
        <v>2.3376623376826</v>
      </c>
      <c r="W214" s="2876">
        <f t="shared" si="291"/>
        <v>9.6446700507563996</v>
      </c>
      <c r="X214" s="2876">
        <f t="shared" si="291"/>
        <v>9.0277777778018589</v>
      </c>
      <c r="Y214" s="2876">
        <f t="shared" si="291"/>
        <v>4.2462845010431405</v>
      </c>
      <c r="Z214" s="2876">
        <f t="shared" si="292"/>
        <v>2.2403258655606217</v>
      </c>
      <c r="AA214" s="2876">
        <f t="shared" si="293"/>
        <v>2.1912350597596886</v>
      </c>
      <c r="AB214" s="2876">
        <f t="shared" si="293"/>
        <v>-7.2124756334986824</v>
      </c>
      <c r="AC214" s="2876">
        <f t="shared" si="293"/>
        <v>-31.092436974820401</v>
      </c>
      <c r="AD214" s="2876">
        <f t="shared" si="293"/>
        <v>45.121951219554731</v>
      </c>
      <c r="AE214" s="2876">
        <f t="shared" si="293"/>
        <v>0</v>
      </c>
      <c r="AK214" s="2876">
        <v>3.909465020571079</v>
      </c>
      <c r="AM214" s="2876">
        <f t="shared" si="267"/>
        <v>-1.6691391550104573</v>
      </c>
    </row>
    <row r="215" spans="1:46" ht="12.75" customHeight="1">
      <c r="A215" s="714"/>
      <c r="B215" s="714"/>
      <c r="C215" s="822" t="s">
        <v>624</v>
      </c>
      <c r="D215" s="766"/>
      <c r="E215" s="771" t="s">
        <v>1564</v>
      </c>
      <c r="F215" s="772" t="s">
        <v>923</v>
      </c>
      <c r="G215" s="770"/>
      <c r="H215" s="770">
        <f t="shared" ref="H215:P215" ca="1" si="295">(H205/G205-1)*100</f>
        <v>2.2340224057806335</v>
      </c>
      <c r="I215" s="770">
        <f t="shared" si="295"/>
        <v>4.2832477158782911</v>
      </c>
      <c r="J215" s="770">
        <f t="shared" si="295"/>
        <v>4.202403130081489</v>
      </c>
      <c r="K215" s="770">
        <f t="shared" si="295"/>
        <v>2.0188112027957894</v>
      </c>
      <c r="L215" s="770">
        <f t="shared" si="295"/>
        <v>7.2992083053492696</v>
      </c>
      <c r="M215" s="770">
        <f t="shared" si="295"/>
        <v>0.89317267472619477</v>
      </c>
      <c r="N215" s="770">
        <f t="shared" si="295"/>
        <v>2.8011481640160873</v>
      </c>
      <c r="O215" s="770">
        <f t="shared" si="295"/>
        <v>4.2625992933365442</v>
      </c>
      <c r="P215" s="770">
        <f t="shared" si="295"/>
        <v>8.6320475160950316</v>
      </c>
      <c r="Q215" s="770">
        <f t="shared" ref="Q215:Z215" si="296">(Q205/P205-1)*100</f>
        <v>6.2476577656805476</v>
      </c>
      <c r="R215" s="770">
        <f t="shared" si="296"/>
        <v>5.6349732580115885</v>
      </c>
      <c r="S215" s="770">
        <f t="shared" si="296"/>
        <v>6.4301365755708551</v>
      </c>
      <c r="T215" s="770">
        <f t="shared" si="296"/>
        <v>0.16497600058049677</v>
      </c>
      <c r="U215" s="770">
        <f t="shared" si="296"/>
        <v>-3.5853543166157298</v>
      </c>
      <c r="V215" s="770">
        <f t="shared" si="296"/>
        <v>8.2934253261701443</v>
      </c>
      <c r="W215" s="770">
        <f t="shared" si="296"/>
        <v>3.3638985633434926</v>
      </c>
      <c r="X215" s="770">
        <f t="shared" si="296"/>
        <v>-0.49475759641784967</v>
      </c>
      <c r="Y215" s="770">
        <f t="shared" si="296"/>
        <v>0.45330268105983063</v>
      </c>
      <c r="Z215" s="770">
        <f t="shared" si="296"/>
        <v>3.0529973638262264</v>
      </c>
      <c r="AA215" s="2223">
        <f t="shared" ref="AA215:AE215" si="297">(AA205/Z205-1)*100</f>
        <v>4.9121571849410905</v>
      </c>
      <c r="AB215" s="2223">
        <f t="shared" si="297"/>
        <v>4.2911445284953942</v>
      </c>
      <c r="AC215" s="2223">
        <f t="shared" si="297"/>
        <v>4.0643072021824267</v>
      </c>
      <c r="AD215" s="2223">
        <f t="shared" ca="1" si="297"/>
        <v>3.4492588564508209</v>
      </c>
      <c r="AE215" s="2223">
        <f t="shared" ca="1" si="297"/>
        <v>3.700185161147318</v>
      </c>
      <c r="AK215" s="770">
        <v>2.3829259537251568</v>
      </c>
      <c r="AM215" s="770">
        <f t="shared" si="267"/>
        <v>0.67007141010106963</v>
      </c>
    </row>
    <row r="216" spans="1:46" s="1506" customFormat="1" ht="12.75" customHeight="1">
      <c r="A216" s="3359"/>
      <c r="B216" s="3359"/>
      <c r="C216" s="3354"/>
      <c r="D216" s="1048"/>
      <c r="E216" s="3384" t="s">
        <v>1211</v>
      </c>
      <c r="F216" s="3385"/>
      <c r="G216" s="3386"/>
      <c r="H216" s="3387">
        <f ca="1">'VVP2'!H369</f>
        <v>1.7545828382291351</v>
      </c>
      <c r="I216" s="3387">
        <f>'VVP2'!I369</f>
        <v>4.3685382789494964</v>
      </c>
      <c r="J216" s="3387">
        <f>'VVP2'!J369</f>
        <v>3.7593149637869194</v>
      </c>
      <c r="K216" s="3387">
        <f>'VVP2'!K369</f>
        <v>3.8096556962097683</v>
      </c>
      <c r="L216" s="3387">
        <f>'VVP2'!L369</f>
        <v>5.6597381712696126</v>
      </c>
      <c r="M216" s="3387">
        <f>'VVP2'!M369</f>
        <v>3.5185208485094099</v>
      </c>
      <c r="N216" s="3387">
        <f>'VVP2'!N369</f>
        <v>3.3495153158839441</v>
      </c>
      <c r="O216" s="3387">
        <f>'VVP2'!O369</f>
        <v>2.9287815512837989</v>
      </c>
      <c r="P216" s="3387">
        <f>'VVP2'!P369</f>
        <v>5.2130961137878407</v>
      </c>
      <c r="Q216" s="3387">
        <f>'VVP2'!Q369</f>
        <v>4.2879043993466315</v>
      </c>
      <c r="R216" s="3387">
        <f>'VVP2'!R369</f>
        <v>4.7868039187805467</v>
      </c>
      <c r="S216" s="3387">
        <f>'VVP2'!S369</f>
        <v>5.5286749835004256</v>
      </c>
      <c r="T216" s="3387">
        <f>'VVP2'!T369</f>
        <v>2.9383371016810989</v>
      </c>
      <c r="U216" s="3387">
        <f>'VVP2'!U369</f>
        <v>-1.3918856511238809</v>
      </c>
      <c r="V216" s="3387">
        <f>'VVP2'!V369</f>
        <v>4.4585606232189434</v>
      </c>
      <c r="W216" s="3387">
        <f>'VVP2'!W369</f>
        <v>4.0150832823687033</v>
      </c>
      <c r="X216" s="3387">
        <f>'VVP2'!X369</f>
        <v>2.0769081065102668</v>
      </c>
      <c r="Y216" s="3387">
        <f>'VVP2'!Y369</f>
        <v>1.2051396833674399</v>
      </c>
      <c r="Z216" s="3387">
        <f>'VVP2'!Z369</f>
        <v>2.0447074555556055</v>
      </c>
      <c r="AA216" s="3387">
        <f>'VVP2'!AA369</f>
        <v>2.6310776956355308</v>
      </c>
      <c r="AB216" s="3387">
        <f>'VVP2'!AB369</f>
        <v>2.7659280336221892</v>
      </c>
      <c r="AC216" s="3387">
        <f>'VVP2'!AC369</f>
        <v>3.4717860286477276</v>
      </c>
      <c r="AD216" s="3387">
        <f ca="1">'VVP2'!AD369</f>
        <v>7.0046998847487885</v>
      </c>
      <c r="AE216" s="3387">
        <f ca="1">'VVP2'!AE369</f>
        <v>-100</v>
      </c>
      <c r="AF216" s="3358"/>
      <c r="AG216" s="3358"/>
      <c r="AH216" s="3358"/>
      <c r="AI216" s="3358"/>
      <c r="AJ216" s="3358"/>
      <c r="AK216" s="3387">
        <v>1.7012954715018846</v>
      </c>
      <c r="AL216" s="3358"/>
      <c r="AM216" s="3387">
        <f t="shared" si="267"/>
        <v>0.34341198405372086</v>
      </c>
      <c r="AN216" s="3358"/>
      <c r="AO216" s="3358"/>
      <c r="AP216" s="3358"/>
      <c r="AQ216" s="3358"/>
      <c r="AR216" s="3358"/>
      <c r="AS216" s="3358"/>
      <c r="AT216" s="3358"/>
    </row>
    <row r="217" spans="1:46" ht="12.75" customHeight="1">
      <c r="A217" s="714"/>
      <c r="B217" s="714"/>
      <c r="C217" s="822"/>
      <c r="D217" s="862"/>
      <c r="E217" s="863" t="s">
        <v>1805</v>
      </c>
      <c r="F217" s="864"/>
      <c r="G217" s="865">
        <f>+InputY!$G$3</f>
        <v>1995</v>
      </c>
      <c r="H217" s="865">
        <f>+G217+1</f>
        <v>1996</v>
      </c>
      <c r="I217" s="865">
        <f t="shared" ref="I217:S217" si="298">+H217+1</f>
        <v>1997</v>
      </c>
      <c r="J217" s="865">
        <f t="shared" si="298"/>
        <v>1998</v>
      </c>
      <c r="K217" s="865">
        <f t="shared" si="298"/>
        <v>1999</v>
      </c>
      <c r="L217" s="865">
        <f t="shared" si="298"/>
        <v>2000</v>
      </c>
      <c r="M217" s="865">
        <f t="shared" si="298"/>
        <v>2001</v>
      </c>
      <c r="N217" s="865">
        <f t="shared" si="298"/>
        <v>2002</v>
      </c>
      <c r="O217" s="865">
        <f t="shared" si="298"/>
        <v>2003</v>
      </c>
      <c r="P217" s="865">
        <f>+O217+1</f>
        <v>2004</v>
      </c>
      <c r="Q217" s="865">
        <f>+P217+1</f>
        <v>2005</v>
      </c>
      <c r="R217" s="865">
        <f>+Q217+1</f>
        <v>2006</v>
      </c>
      <c r="S217" s="2219">
        <f t="shared" si="298"/>
        <v>2007</v>
      </c>
      <c r="T217" s="2219">
        <f t="shared" ref="T217:AE217" si="299">+S217+1</f>
        <v>2008</v>
      </c>
      <c r="U217" s="2219">
        <f t="shared" si="299"/>
        <v>2009</v>
      </c>
      <c r="V217" s="2219">
        <f t="shared" si="299"/>
        <v>2010</v>
      </c>
      <c r="W217" s="2219">
        <f t="shared" si="299"/>
        <v>2011</v>
      </c>
      <c r="X217" s="2219">
        <f t="shared" si="299"/>
        <v>2012</v>
      </c>
      <c r="Y217" s="2219">
        <f t="shared" si="299"/>
        <v>2013</v>
      </c>
      <c r="Z217" s="2219">
        <f t="shared" si="299"/>
        <v>2014</v>
      </c>
      <c r="AA217" s="2219">
        <f t="shared" si="299"/>
        <v>2015</v>
      </c>
      <c r="AB217" s="2219">
        <f t="shared" si="299"/>
        <v>2016</v>
      </c>
      <c r="AC217" s="2219">
        <f t="shared" si="299"/>
        <v>2017</v>
      </c>
      <c r="AD217" s="2219">
        <f t="shared" si="299"/>
        <v>2018</v>
      </c>
      <c r="AE217" s="2219">
        <f t="shared" si="299"/>
        <v>2019</v>
      </c>
      <c r="AK217" s="2219">
        <v>2014</v>
      </c>
      <c r="AM217" s="2219">
        <f t="shared" si="267"/>
        <v>0</v>
      </c>
    </row>
    <row r="218" spans="1:46" ht="12.75" customHeight="1">
      <c r="A218" s="714"/>
      <c r="B218" s="714"/>
      <c r="C218" s="866" t="s">
        <v>622</v>
      </c>
      <c r="D218" s="867" t="s">
        <v>589</v>
      </c>
      <c r="E218" s="868" t="s">
        <v>1564</v>
      </c>
      <c r="F218" s="869" t="s">
        <v>143</v>
      </c>
      <c r="G218" s="878">
        <f ca="1">+G198/'VVP2'!G$355</f>
        <v>0.15260342617851794</v>
      </c>
      <c r="H218" s="878">
        <f>+H198/'VVP2'!H$355</f>
        <v>0.15246380516285826</v>
      </c>
      <c r="I218" s="878">
        <f>+I198/'VVP2'!I$355</f>
        <v>0.15155107764924963</v>
      </c>
      <c r="J218" s="878">
        <f>+J198/'VVP2'!J$355</f>
        <v>0.15066851578918636</v>
      </c>
      <c r="K218" s="878">
        <f>+K198/'VVP2'!K$355</f>
        <v>0.14758256696666205</v>
      </c>
      <c r="L218" s="878">
        <f>+L198/'VVP2'!L$355</f>
        <v>0.14687362037316729</v>
      </c>
      <c r="M218" s="878">
        <f>+M198/'VVP2'!M$355</f>
        <v>0.14633746243252149</v>
      </c>
      <c r="N218" s="878">
        <f>+N198/'VVP2'!N$355</f>
        <v>0.13926448684329637</v>
      </c>
      <c r="O218" s="878">
        <f>+O198/'VVP2'!O$355</f>
        <v>0.13778227511308694</v>
      </c>
      <c r="P218" s="878">
        <f>+P198/'VVP2'!P$355</f>
        <v>0.13245252598834725</v>
      </c>
      <c r="Q218" s="878">
        <f>+Q198/'VVP2'!Q$355</f>
        <v>0.13286982696846805</v>
      </c>
      <c r="R218" s="878">
        <f>+R198/'VVP2'!R$355</f>
        <v>0.13389707590810201</v>
      </c>
      <c r="S218" s="878">
        <f>+S198/'VVP2'!S$355</f>
        <v>0.13257424665482107</v>
      </c>
      <c r="T218" s="878">
        <f>+T198/'VVP2'!T$355</f>
        <v>0.13223442302689981</v>
      </c>
      <c r="U218" s="878">
        <f>+U198/'VVP2'!U$355</f>
        <v>0.1298140868298196</v>
      </c>
      <c r="V218" s="878">
        <f>+V198/'VVP2'!V$355</f>
        <v>0.12576454976095622</v>
      </c>
      <c r="W218" s="878">
        <f>+W198/'VVP2'!W$355</f>
        <v>0.12350889447102305</v>
      </c>
      <c r="X218" s="2204">
        <f>+X198/'VVP2'!X$355</f>
        <v>0.12235971035878443</v>
      </c>
      <c r="Y218" s="2204">
        <f>+Y198/'VVP2'!Y$355</f>
        <v>0.12067218263352329</v>
      </c>
      <c r="Z218" s="2204">
        <f>+Z198/'VVP2'!Z$355</f>
        <v>0.12221119683268204</v>
      </c>
      <c r="AA218" s="2204">
        <f>+AA198/'VVP2'!AA$355</f>
        <v>0.12098182612017684</v>
      </c>
      <c r="AB218" s="2204">
        <f>+AB198/'VVP2'!AB$355</f>
        <v>0.11845949541470906</v>
      </c>
      <c r="AC218" s="2204">
        <f>+AC198/'VVP2'!AC$355</f>
        <v>0.11657509066452963</v>
      </c>
      <c r="AD218" s="2204">
        <f ca="1">+AD198/'VVP2'!AD$355</f>
        <v>0.1150018039345056</v>
      </c>
      <c r="AE218" s="2204">
        <f ca="1">+AE198/'VVP2'!AE$355</f>
        <v>0.11338345033095558</v>
      </c>
      <c r="AK218" s="2204">
        <v>0.12637254530539191</v>
      </c>
      <c r="AM218" s="2204">
        <f t="shared" si="267"/>
        <v>-4.1613484727098665E-3</v>
      </c>
    </row>
    <row r="219" spans="1:46" ht="12.75" customHeight="1">
      <c r="A219" s="714"/>
      <c r="B219" s="714"/>
      <c r="C219" s="870" t="s">
        <v>622</v>
      </c>
      <c r="D219" s="724" t="s">
        <v>590</v>
      </c>
      <c r="E219" s="830" t="s">
        <v>1564</v>
      </c>
      <c r="F219" s="754" t="s">
        <v>1470</v>
      </c>
      <c r="G219" s="879">
        <f ca="1">+G199/'VVP2'!G$355</f>
        <v>0.2187023760618067</v>
      </c>
      <c r="H219" s="879">
        <f>+H199/'VVP2'!H$355</f>
        <v>0.21510782504964279</v>
      </c>
      <c r="I219" s="879">
        <f>+I199/'VVP2'!I$355</f>
        <v>0.21527760260602477</v>
      </c>
      <c r="J219" s="879">
        <f>+J199/'VVP2'!J$355</f>
        <v>0.21786765809656378</v>
      </c>
      <c r="K219" s="879">
        <f>+K199/'VVP2'!K$355</f>
        <v>0.21316321767543167</v>
      </c>
      <c r="L219" s="879">
        <f>+L199/'VVP2'!L$355</f>
        <v>0.21972721146920099</v>
      </c>
      <c r="M219" s="879">
        <f>+M199/'VVP2'!M$355</f>
        <v>0.2126552550826146</v>
      </c>
      <c r="N219" s="879">
        <f>+N199/'VVP2'!N$355</f>
        <v>0.21736599808554408</v>
      </c>
      <c r="O219" s="879">
        <f>+O199/'VVP2'!O$355</f>
        <v>0.22417592915281642</v>
      </c>
      <c r="P219" s="879">
        <f>+P199/'VVP2'!P$355</f>
        <v>0.24094073598945867</v>
      </c>
      <c r="Q219" s="879">
        <f>+Q199/'VVP2'!Q$355</f>
        <v>0.24716932793289342</v>
      </c>
      <c r="R219" s="879">
        <f>+R199/'VVP2'!R$355</f>
        <v>0.24850786179357812</v>
      </c>
      <c r="S219" s="879">
        <f>+S199/'VVP2'!S$355</f>
        <v>0.25342916198281173</v>
      </c>
      <c r="T219" s="879">
        <f>+T199/'VVP2'!T$355</f>
        <v>0.2432137633135526</v>
      </c>
      <c r="U219" s="879">
        <f>+U199/'VVP2'!U$355</f>
        <v>0.23722472347268816</v>
      </c>
      <c r="V219" s="879">
        <f>+V199/'VVP2'!V$355</f>
        <v>0.25466467452112496</v>
      </c>
      <c r="W219" s="879">
        <f>+W199/'VVP2'!W$355</f>
        <v>0.2545510322566521</v>
      </c>
      <c r="X219" s="2138">
        <f>+X199/'VVP2'!X$355</f>
        <v>0.24478703360334611</v>
      </c>
      <c r="Y219" s="2138">
        <f>+Y199/'VVP2'!Y$355</f>
        <v>0.24341323515993024</v>
      </c>
      <c r="Z219" s="2138">
        <f>+Z199/'VVP2'!Z$355</f>
        <v>0.2459862668947024</v>
      </c>
      <c r="AA219" s="2138">
        <f>+AA199/'VVP2'!AA$355</f>
        <v>0.25671701647422052</v>
      </c>
      <c r="AB219" s="2138">
        <f>+AB199/'VVP2'!AB$355</f>
        <v>0.2642879632685054</v>
      </c>
      <c r="AC219" s="2138">
        <f>+AC199/'VVP2'!AC$355</f>
        <v>0.26805943608346566</v>
      </c>
      <c r="AD219" s="2138">
        <f ca="1">+AD199/'VVP2'!AD$355</f>
        <v>0.27060165219327059</v>
      </c>
      <c r="AE219" s="2138">
        <f ca="1">+AE199/'VVP2'!AE$355</f>
        <v>0.27362237816368024</v>
      </c>
      <c r="AK219" s="2138">
        <v>0.2406873298291422</v>
      </c>
      <c r="AM219" s="2138">
        <f t="shared" si="267"/>
        <v>5.2989370655601997E-3</v>
      </c>
    </row>
    <row r="220" spans="1:46" ht="12.75" customHeight="1">
      <c r="A220" s="714"/>
      <c r="B220" s="714"/>
      <c r="C220" s="871" t="s">
        <v>622</v>
      </c>
      <c r="D220" s="872" t="s">
        <v>591</v>
      </c>
      <c r="E220" s="873" t="s">
        <v>1564</v>
      </c>
      <c r="F220" s="874" t="s">
        <v>1990</v>
      </c>
      <c r="G220" s="880">
        <f ca="1">+G200/'VVP2'!G$355</f>
        <v>2.2269308460188524E-2</v>
      </c>
      <c r="H220" s="880">
        <f>+H200/'VVP2'!H$355</f>
        <v>2.2402733321478321E-2</v>
      </c>
      <c r="I220" s="880">
        <f>+I200/'VVP2'!I$355</f>
        <v>2.1803462160909882E-2</v>
      </c>
      <c r="J220" s="880">
        <f>+J200/'VVP2'!J$355</f>
        <v>2.1713542946041098E-2</v>
      </c>
      <c r="K220" s="880">
        <f>+K200/'VVP2'!K$355</f>
        <v>2.1509994840844125E-2</v>
      </c>
      <c r="L220" s="880">
        <f>+L200/'VVP2'!L$355</f>
        <v>2.132506138129206E-2</v>
      </c>
      <c r="M220" s="880">
        <f>+M200/'VVP2'!M$355</f>
        <v>2.1257135375358734E-2</v>
      </c>
      <c r="N220" s="880">
        <f>+N200/'VVP2'!N$355</f>
        <v>2.1086281029472669E-2</v>
      </c>
      <c r="O220" s="880">
        <f>+O200/'VVP2'!O$355</f>
        <v>2.1309349641677557E-2</v>
      </c>
      <c r="P220" s="880">
        <f>+P200/'VVP2'!P$355</f>
        <v>2.0553324486426345E-2</v>
      </c>
      <c r="Q220" s="880">
        <f>+Q200/'VVP2'!Q$355</f>
        <v>2.1360225092525772E-2</v>
      </c>
      <c r="R220" s="880">
        <f>+R200/'VVP2'!R$355</f>
        <v>2.1907040945368328E-2</v>
      </c>
      <c r="S220" s="3311">
        <f>+S200/'VVP2'!S$355</f>
        <v>2.1773797004750361E-2</v>
      </c>
      <c r="T220" s="3311">
        <f>+T200/'VVP2'!T$355</f>
        <v>2.2211966755341313E-2</v>
      </c>
      <c r="U220" s="3311">
        <f>+U200/'VVP2'!U$355</f>
        <v>2.2172933109047468E-2</v>
      </c>
      <c r="V220" s="3311">
        <f>+V200/'VVP2'!V$355</f>
        <v>2.2221552695764597E-2</v>
      </c>
      <c r="W220" s="3311">
        <f>+W200/'VVP2'!W$355</f>
        <v>2.2759579569107666E-2</v>
      </c>
      <c r="X220" s="3311">
        <f>+X200/'VVP2'!X$355</f>
        <v>2.3050058567726846E-2</v>
      </c>
      <c r="Y220" s="3311">
        <f>+Y200/'VVP2'!Y$355</f>
        <v>2.304558446530279E-2</v>
      </c>
      <c r="Z220" s="3348">
        <f>+Z200/'VVP2'!Z$355</f>
        <v>2.2769594507157577E-2</v>
      </c>
      <c r="AA220" s="3348">
        <f>+AA200/'VVP2'!AA$355</f>
        <v>2.2376248430933783E-2</v>
      </c>
      <c r="AB220" s="3348">
        <f>+AB200/'VVP2'!AB$355</f>
        <v>2.2017575293985292E-2</v>
      </c>
      <c r="AC220" s="3348">
        <f>+AC200/'VVP2'!AC$355</f>
        <v>2.1756294291749335E-2</v>
      </c>
      <c r="AD220" s="3348">
        <f ca="1">+AD200/'VVP2'!AD$355</f>
        <v>2.1052807380215401E-2</v>
      </c>
      <c r="AE220" s="3348">
        <f ca="1">+AE200/'VVP2'!AE$355</f>
        <v>2.0610752486225209E-2</v>
      </c>
      <c r="AK220" s="3348">
        <v>2.3585154249633315E-2</v>
      </c>
      <c r="AM220" s="3348">
        <f t="shared" si="267"/>
        <v>-8.1555974247573756E-4</v>
      </c>
    </row>
    <row r="221" spans="1:46" ht="12.75" customHeight="1">
      <c r="A221" s="714"/>
      <c r="B221" s="714"/>
      <c r="C221" s="822" t="s">
        <v>624</v>
      </c>
      <c r="D221" s="850"/>
      <c r="E221" s="851" t="s">
        <v>1564</v>
      </c>
      <c r="F221" s="852" t="s">
        <v>923</v>
      </c>
      <c r="G221" s="881">
        <f ca="1">+G205/'VVP2'!G$355</f>
        <v>0.38984943972951025</v>
      </c>
      <c r="H221" s="881">
        <f>+H205/'VVP2'!H$355</f>
        <v>0.38997343736107404</v>
      </c>
      <c r="I221" s="881">
        <f>+I205/'VVP2'!I$355</f>
        <v>0.38863258495534997</v>
      </c>
      <c r="J221" s="881">
        <f>+J205/'VVP2'!J$355</f>
        <v>0.39024886391549984</v>
      </c>
      <c r="K221" s="881">
        <f>+K205/'VVP2'!K$355</f>
        <v>0.38225537002612336</v>
      </c>
      <c r="L221" s="881">
        <f>+L205/'VVP2'!L$355</f>
        <v>0.38792589322366033</v>
      </c>
      <c r="M221" s="881">
        <f>+M205/'VVP2'!M$355</f>
        <v>0.38024872417306393</v>
      </c>
      <c r="N221" s="881">
        <f>+N205/'VVP2'!N$355</f>
        <v>0.37771676595831316</v>
      </c>
      <c r="O221" s="881">
        <f>+O205/'VVP2'!O$355</f>
        <v>0.38326755390758088</v>
      </c>
      <c r="P221" s="881">
        <f>+P205/'VVP2'!P$355</f>
        <v>0.39394658646423231</v>
      </c>
      <c r="Q221" s="881">
        <f>+Q205/'VVP2'!Q$355</f>
        <v>0.40139905894681155</v>
      </c>
      <c r="R221" s="881">
        <f>+R205/'VVP2'!R$355</f>
        <v>0.40431197864704849</v>
      </c>
      <c r="S221" s="881">
        <f>+S205/'VVP2'!S$355</f>
        <v>0.40777720564238318</v>
      </c>
      <c r="T221" s="881">
        <f>+T205/'VVP2'!T$355</f>
        <v>0.39765987066249531</v>
      </c>
      <c r="U221" s="881">
        <f>+U205/'VVP2'!U$355</f>
        <v>0.38921174341155534</v>
      </c>
      <c r="V221" s="881">
        <f>+V205/'VVP2'!V$355</f>
        <v>0.40265077697784585</v>
      </c>
      <c r="W221" s="881">
        <f>+W205/'VVP2'!W$355</f>
        <v>0.40081950629678276</v>
      </c>
      <c r="X221" s="881">
        <f>+X205/'VVP2'!X$355</f>
        <v>0.39019706059430698</v>
      </c>
      <c r="Y221" s="881">
        <f>+Y205/'VVP2'!Y$355</f>
        <v>0.38713074737765579</v>
      </c>
      <c r="Z221" s="2205">
        <f>+Z205/'VVP2'!Z$355</f>
        <v>0.39102801431568551</v>
      </c>
      <c r="AA221" s="2205">
        <f>+AA205/'VVP2'!AA$355</f>
        <v>0.40009385159947297</v>
      </c>
      <c r="AB221" s="2205">
        <f>+AB205/'VVP2'!AB$355</f>
        <v>0.40482176507463452</v>
      </c>
      <c r="AC221" s="2205">
        <f>+AC205/'VVP2'!AC$355</f>
        <v>0.40644460489604428</v>
      </c>
      <c r="AD221" s="2205">
        <f ca="1">+AD205/'VVP2'!AD$355</f>
        <v>0.40665626350799161</v>
      </c>
      <c r="AE221" s="2205">
        <f ca="1">+AE205/'VVP2'!AE$355</f>
        <v>0.40761658098086101</v>
      </c>
      <c r="AK221" s="2205">
        <v>0.38995202227359738</v>
      </c>
      <c r="AM221" s="2205">
        <f t="shared" si="267"/>
        <v>1.0759920420881364E-3</v>
      </c>
    </row>
    <row r="222" spans="1:46" ht="30" customHeight="1">
      <c r="S222" s="2162"/>
      <c r="T222" s="2162">
        <f>21265+24729</f>
        <v>45994</v>
      </c>
      <c r="U222" s="2162">
        <f>20967+24261</f>
        <v>45228</v>
      </c>
      <c r="V222" s="2827">
        <f>21883+24582</f>
        <v>46465</v>
      </c>
      <c r="W222" s="2827">
        <f>22976+24951</f>
        <v>47927</v>
      </c>
      <c r="X222" s="2827">
        <f t="shared" ref="X222:AE222" si="300">24082+25468</f>
        <v>49550</v>
      </c>
      <c r="Y222" s="2827">
        <f t="shared" si="300"/>
        <v>49550</v>
      </c>
      <c r="Z222" s="2827">
        <f t="shared" si="300"/>
        <v>49550</v>
      </c>
      <c r="AA222" s="2827">
        <f t="shared" si="300"/>
        <v>49550</v>
      </c>
      <c r="AB222" s="2827">
        <f t="shared" si="300"/>
        <v>49550</v>
      </c>
      <c r="AC222" s="2827">
        <f t="shared" si="300"/>
        <v>49550</v>
      </c>
      <c r="AD222" s="2827">
        <f t="shared" si="300"/>
        <v>49550</v>
      </c>
      <c r="AE222" s="2827">
        <f t="shared" si="300"/>
        <v>49550</v>
      </c>
      <c r="AK222" s="2827">
        <v>49550</v>
      </c>
      <c r="AM222" s="2827">
        <f t="shared" si="267"/>
        <v>0</v>
      </c>
    </row>
    <row r="223" spans="1:46" ht="30" customHeight="1">
      <c r="S223" s="2162"/>
      <c r="T223" s="2233"/>
      <c r="U223" s="2239">
        <f t="shared" ref="U223:AE223" si="301">U222/T222*100-100</f>
        <v>-1.6654346219071954</v>
      </c>
      <c r="V223" s="2239">
        <f t="shared" si="301"/>
        <v>2.7350313964800534</v>
      </c>
      <c r="W223" s="2239">
        <f t="shared" si="301"/>
        <v>3.1464543204562574</v>
      </c>
      <c r="X223" s="2239">
        <f t="shared" si="301"/>
        <v>3.386400150228468</v>
      </c>
      <c r="Y223" s="2239">
        <f t="shared" si="301"/>
        <v>0</v>
      </c>
      <c r="Z223" s="2239">
        <f t="shared" si="301"/>
        <v>0</v>
      </c>
      <c r="AA223" s="2239">
        <f t="shared" si="301"/>
        <v>0</v>
      </c>
      <c r="AB223" s="2239">
        <f t="shared" si="301"/>
        <v>0</v>
      </c>
      <c r="AC223" s="2239">
        <f t="shared" si="301"/>
        <v>0</v>
      </c>
      <c r="AD223" s="2239">
        <f t="shared" si="301"/>
        <v>0</v>
      </c>
      <c r="AE223" s="2239">
        <f t="shared" si="301"/>
        <v>0</v>
      </c>
      <c r="AK223" s="2239">
        <v>0</v>
      </c>
      <c r="AM223" s="2239">
        <f t="shared" si="267"/>
        <v>0</v>
      </c>
    </row>
    <row r="224" spans="1:46" ht="22.5" customHeight="1">
      <c r="A224" s="603"/>
      <c r="B224" s="603"/>
      <c r="C224" s="4124" t="s">
        <v>1631</v>
      </c>
      <c r="D224" s="4124"/>
      <c r="E224" s="4124"/>
      <c r="F224" s="4124"/>
      <c r="R224" s="883"/>
      <c r="S224" s="883"/>
      <c r="T224" s="888"/>
      <c r="U224" s="888"/>
      <c r="V224" s="888"/>
      <c r="W224" s="888"/>
      <c r="X224" s="888"/>
      <c r="Y224" s="888"/>
      <c r="Z224" s="888"/>
      <c r="AA224" s="888"/>
      <c r="AB224" s="888"/>
      <c r="AC224" s="888"/>
      <c r="AD224" s="888"/>
      <c r="AE224" s="888"/>
      <c r="AK224" s="888"/>
      <c r="AM224" s="888">
        <f t="shared" si="267"/>
        <v>0</v>
      </c>
    </row>
    <row r="225" spans="1:46" ht="12.75" customHeight="1">
      <c r="A225" s="714"/>
      <c r="B225" s="714"/>
      <c r="C225" s="822"/>
      <c r="Q225" s="749"/>
      <c r="R225" s="2218"/>
      <c r="T225" s="2845"/>
      <c r="U225" s="2234"/>
      <c r="V225" s="2928">
        <f>V235/1000/'VVP2'!V355*100</f>
        <v>9.0022336315617197E-3</v>
      </c>
      <c r="W225" s="2928">
        <f>W235/1000/'VVP2'!W355*100</f>
        <v>8.1364778163802599E-3</v>
      </c>
      <c r="X225" s="2928">
        <f>X235/1000/'VVP2'!X355*100</f>
        <v>7.5274303155018554E-3</v>
      </c>
      <c r="Y225" s="2928">
        <f>Y235/1000/'VVP2'!Y355*100</f>
        <v>7.4494863890943522E-3</v>
      </c>
      <c r="Z225" s="2928">
        <f>Z235/1000/'VVP2'!Z355*100</f>
        <v>6.9311311200280189E-3</v>
      </c>
      <c r="AA225" s="2928">
        <f>AA235/1000/'VVP2'!AA355*100</f>
        <v>6.5919053726386043E-3</v>
      </c>
      <c r="AB225" s="2928">
        <f>AB235/1000/'VVP2'!AB355*100</f>
        <v>6.2067839046312419E-3</v>
      </c>
      <c r="AC225" s="2928">
        <f>AC235/1000/'VVP2'!AC355*100</f>
        <v>5.9882817686185575E-3</v>
      </c>
      <c r="AD225" s="2928">
        <f ca="1">AD235/1000/'VVP2'!AD355*100</f>
        <v>5.9197004545111023E-3</v>
      </c>
      <c r="AE225" s="2928">
        <f ca="1">AE235/1000/'VVP2'!AE355*100</f>
        <v>5.8352693969095449E-3</v>
      </c>
      <c r="AK225" s="2234"/>
      <c r="AM225" s="2234">
        <f t="shared" si="267"/>
        <v>6.9311311200280189E-3</v>
      </c>
    </row>
    <row r="226" spans="1:46" ht="12.75" customHeight="1">
      <c r="A226" s="714"/>
      <c r="B226" s="714"/>
      <c r="C226" s="822"/>
      <c r="D226" s="823"/>
      <c r="E226" s="824" t="s">
        <v>1803</v>
      </c>
      <c r="F226" s="825"/>
      <c r="G226" s="826">
        <f>+InputY!$G$3</f>
        <v>1995</v>
      </c>
      <c r="H226" s="826">
        <f>+G226+1</f>
        <v>1996</v>
      </c>
      <c r="I226" s="826">
        <f t="shared" ref="I226:S226" si="302">+H226+1</f>
        <v>1997</v>
      </c>
      <c r="J226" s="826">
        <f t="shared" si="302"/>
        <v>1998</v>
      </c>
      <c r="K226" s="826">
        <f t="shared" si="302"/>
        <v>1999</v>
      </c>
      <c r="L226" s="826">
        <f t="shared" si="302"/>
        <v>2000</v>
      </c>
      <c r="M226" s="826">
        <f t="shared" si="302"/>
        <v>2001</v>
      </c>
      <c r="N226" s="826">
        <f t="shared" si="302"/>
        <v>2002</v>
      </c>
      <c r="O226" s="826">
        <f t="shared" si="302"/>
        <v>2003</v>
      </c>
      <c r="P226" s="826">
        <f>+O226+1</f>
        <v>2004</v>
      </c>
      <c r="Q226" s="826">
        <f>+P226+1</f>
        <v>2005</v>
      </c>
      <c r="R226" s="826">
        <f>+Q226+1</f>
        <v>2006</v>
      </c>
      <c r="S226" s="2163">
        <f t="shared" si="302"/>
        <v>2007</v>
      </c>
      <c r="T226" s="2163">
        <f t="shared" ref="T226:AE226" si="303">+S226+1</f>
        <v>2008</v>
      </c>
      <c r="U226" s="2163">
        <f t="shared" si="303"/>
        <v>2009</v>
      </c>
      <c r="V226" s="2163">
        <f t="shared" si="303"/>
        <v>2010</v>
      </c>
      <c r="W226" s="2163">
        <f t="shared" si="303"/>
        <v>2011</v>
      </c>
      <c r="X226" s="2163">
        <f t="shared" si="303"/>
        <v>2012</v>
      </c>
      <c r="Y226" s="2163">
        <f t="shared" si="303"/>
        <v>2013</v>
      </c>
      <c r="Z226" s="2163">
        <f t="shared" si="303"/>
        <v>2014</v>
      </c>
      <c r="AA226" s="2163">
        <f t="shared" si="303"/>
        <v>2015</v>
      </c>
      <c r="AB226" s="2163">
        <f t="shared" si="303"/>
        <v>2016</v>
      </c>
      <c r="AC226" s="2163">
        <f t="shared" si="303"/>
        <v>2017</v>
      </c>
      <c r="AD226" s="2163">
        <f t="shared" si="303"/>
        <v>2018</v>
      </c>
      <c r="AE226" s="2163">
        <f t="shared" si="303"/>
        <v>2019</v>
      </c>
      <c r="AK226" s="2163">
        <v>2014</v>
      </c>
      <c r="AM226" s="2163">
        <f t="shared" si="267"/>
        <v>0</v>
      </c>
    </row>
    <row r="227" spans="1:46" ht="12.75" customHeight="1">
      <c r="A227" s="714">
        <f>+ROW(InputY!A117)</f>
        <v>117</v>
      </c>
      <c r="B227" s="714">
        <v>105</v>
      </c>
      <c r="C227" s="827" t="s">
        <v>2133</v>
      </c>
      <c r="D227" s="718" t="s">
        <v>590</v>
      </c>
      <c r="E227" s="750" t="s">
        <v>975</v>
      </c>
      <c r="F227" s="751" t="str">
        <f>+InputY!B117</f>
        <v>YEPropN</v>
      </c>
      <c r="G227" s="828">
        <f ca="1">+InputY!G117/1000</f>
        <v>-9.6693999999999942</v>
      </c>
      <c r="H227" s="828">
        <f>+InputY!H117/1000</f>
        <v>-8.3201999999999963</v>
      </c>
      <c r="I227" s="828">
        <f>+InputY!I117/1000</f>
        <v>-8.1920000000000002</v>
      </c>
      <c r="J227" s="828">
        <f>+InputY!J117/1000</f>
        <v>-9.7158000000000033</v>
      </c>
      <c r="K227" s="828">
        <f>+InputY!K117/1000</f>
        <v>-9.0643999999999938</v>
      </c>
      <c r="L227" s="828">
        <f>+InputY!L117/1000</f>
        <v>-10.998800000000003</v>
      </c>
      <c r="M227" s="828">
        <f>+InputY!M117/1000</f>
        <v>-14.465599999999991</v>
      </c>
      <c r="N227" s="828">
        <f>+InputY!N117/1000</f>
        <v>-13.648300000000003</v>
      </c>
      <c r="O227" s="828">
        <f>+InputY!O117/1000</f>
        <v>-12.681599999999998</v>
      </c>
      <c r="P227" s="828">
        <f>+InputY!P117/1000</f>
        <v>-14.666199999999996</v>
      </c>
      <c r="Q227" s="828">
        <f>+InputY!Q117/1000</f>
        <v>-16.526499999999999</v>
      </c>
      <c r="R227" s="828">
        <f>+InputY!R117/1000</f>
        <v>-17.310500000000001</v>
      </c>
      <c r="S227" s="828">
        <f>+InputY!S117/1000</f>
        <v>-19.014899999999994</v>
      </c>
      <c r="T227" s="828">
        <f>+InputY!T117/1000</f>
        <v>-19.10090000000001</v>
      </c>
      <c r="U227" s="828">
        <f>+InputY!U117/1000</f>
        <v>-26.343199999999996</v>
      </c>
      <c r="V227" s="828">
        <f>+InputY!V117/1000</f>
        <v>-16.514600000000005</v>
      </c>
      <c r="W227" s="828">
        <f>+InputY!W117/1000</f>
        <v>-22.603400000000008</v>
      </c>
      <c r="X227" s="828">
        <f>+InputY!X117/1000</f>
        <v>-15.163600000000006</v>
      </c>
      <c r="Y227" s="828">
        <f>+InputY!Y117/1000</f>
        <v>-19.773</v>
      </c>
      <c r="Z227" s="828">
        <f>+InputY!Z117/1000</f>
        <v>-21.024100000000004</v>
      </c>
      <c r="AA227" s="828">
        <f>+InputY!AA117/1000</f>
        <v>-24.469400000000007</v>
      </c>
      <c r="AB227" s="828">
        <f>+InputY!AB117/1000</f>
        <v>-20.186600000000006</v>
      </c>
      <c r="AC227" s="2848">
        <f t="shared" ref="AC227:AE228" si="304">+AB227*(1+AC239/100)</f>
        <v>-20.691265000000005</v>
      </c>
      <c r="AD227" s="2848">
        <f t="shared" si="304"/>
        <v>-21.208546625000004</v>
      </c>
      <c r="AE227" s="2848">
        <f t="shared" si="304"/>
        <v>-21.738760290625002</v>
      </c>
      <c r="AK227" s="828">
        <v>-24.612004999999989</v>
      </c>
      <c r="AM227" s="828">
        <f t="shared" si="267"/>
        <v>3.587904999999985</v>
      </c>
    </row>
    <row r="228" spans="1:46" ht="12.75" customHeight="1">
      <c r="A228" s="714">
        <f>+ROW(InputY!A149)</f>
        <v>149</v>
      </c>
      <c r="B228" s="714" t="s">
        <v>1989</v>
      </c>
      <c r="C228" s="829" t="s">
        <v>2133</v>
      </c>
      <c r="D228" s="724" t="s">
        <v>591</v>
      </c>
      <c r="E228" s="830" t="s">
        <v>483</v>
      </c>
      <c r="F228" s="754" t="str">
        <f>+InputY!B149</f>
        <v>YAProp</v>
      </c>
      <c r="G228" s="756">
        <f>+InputY!G149/1000</f>
        <v>2.2835000000000001</v>
      </c>
      <c r="H228" s="756">
        <f>+InputY!H149/1000</f>
        <v>2.8614999999999999</v>
      </c>
      <c r="I228" s="756">
        <f>+InputY!I149/1000</f>
        <v>2.6621999999999999</v>
      </c>
      <c r="J228" s="756">
        <f>+InputY!J149/1000</f>
        <v>2.6344000000000003</v>
      </c>
      <c r="K228" s="756">
        <f>+InputY!K149/1000</f>
        <v>2.3803000000000001</v>
      </c>
      <c r="L228" s="756">
        <f>+InputY!L149/1000</f>
        <v>2.8961999999999999</v>
      </c>
      <c r="M228" s="756">
        <f>+InputY!M149/1000</f>
        <v>3.4688000000000003</v>
      </c>
      <c r="N228" s="756">
        <f>+InputY!N149/1000</f>
        <v>3.0840999999999998</v>
      </c>
      <c r="O228" s="756">
        <f>+InputY!O149/1000</f>
        <v>2.9409000000000001</v>
      </c>
      <c r="P228" s="756">
        <f>+InputY!P149/1000</f>
        <v>2.2416999999999998</v>
      </c>
      <c r="Q228" s="1085">
        <f>+InputY!Q149/1000</f>
        <v>2.5285000000000002</v>
      </c>
      <c r="R228" s="1085">
        <f>+InputY!R149/1000</f>
        <v>2.802</v>
      </c>
      <c r="S228" s="1085">
        <f>+InputY!S149/1000</f>
        <v>3.1078000000000001</v>
      </c>
      <c r="T228" s="1085">
        <f>+InputY!T149/1000</f>
        <v>3.6729000000000003</v>
      </c>
      <c r="U228" s="1085">
        <f>+InputY!U149/1000</f>
        <v>3.1504000000000003</v>
      </c>
      <c r="V228" s="1085">
        <f>+InputY!V149/1000</f>
        <v>3.7434000000000003</v>
      </c>
      <c r="W228" s="2958">
        <f>+InputY!W149/1000</f>
        <v>4.6672000000000002</v>
      </c>
      <c r="X228" s="2958">
        <f>+InputY!X149/1000</f>
        <v>4.7103999999999999</v>
      </c>
      <c r="Y228" s="2958">
        <f>+InputY!Y149/1000</f>
        <v>5.0651000000000002</v>
      </c>
      <c r="Z228" s="2958">
        <f>+InputY!Z149/1000</f>
        <v>4.0325999999999995</v>
      </c>
      <c r="AA228" s="2958">
        <f>+InputY!AA149/1000</f>
        <v>3.6075999999999997</v>
      </c>
      <c r="AB228" s="2958">
        <f>+InputY!AB149/1000</f>
        <v>3.7905000000000002</v>
      </c>
      <c r="AC228" s="2958">
        <f>+InputY!AC149/1000</f>
        <v>3.8524000000000003</v>
      </c>
      <c r="AD228" s="3032">
        <f t="shared" si="304"/>
        <v>3.81464648</v>
      </c>
      <c r="AE228" s="3032">
        <f t="shared" si="304"/>
        <v>3.8272348133840004</v>
      </c>
      <c r="AK228" s="2958">
        <v>3.3996</v>
      </c>
      <c r="AM228" s="2958">
        <f t="shared" si="267"/>
        <v>0.63299999999999956</v>
      </c>
    </row>
    <row r="229" spans="1:46" s="1047" customFormat="1" ht="12.75" customHeight="1">
      <c r="A229" s="3359"/>
      <c r="B229" s="3359"/>
      <c r="C229" s="2115"/>
      <c r="D229" s="1768"/>
      <c r="E229" s="3393" t="s">
        <v>2368</v>
      </c>
      <c r="F229" s="3432"/>
      <c r="G229" s="3052"/>
      <c r="H229" s="3052"/>
      <c r="I229" s="3052"/>
      <c r="J229" s="3052"/>
      <c r="K229" s="3052"/>
      <c r="L229" s="3052"/>
      <c r="M229" s="3052"/>
      <c r="N229" s="3052"/>
      <c r="O229" s="3052"/>
      <c r="P229" s="3052"/>
      <c r="Q229" s="3433"/>
      <c r="R229" s="3433"/>
      <c r="S229" s="3433"/>
      <c r="T229" s="3433"/>
      <c r="U229" s="3433"/>
      <c r="V229" s="3433"/>
      <c r="W229" s="3434">
        <f t="shared" ref="W229:AE229" si="305">W228-V228</f>
        <v>0.92379999999999995</v>
      </c>
      <c r="X229" s="3434">
        <f t="shared" si="305"/>
        <v>4.3199999999999683E-2</v>
      </c>
      <c r="Y229" s="3434">
        <f t="shared" si="305"/>
        <v>0.35470000000000024</v>
      </c>
      <c r="Z229" s="3434">
        <f t="shared" si="305"/>
        <v>-1.0325000000000006</v>
      </c>
      <c r="AA229" s="3434">
        <f t="shared" si="305"/>
        <v>-0.42499999999999982</v>
      </c>
      <c r="AB229" s="3434">
        <f t="shared" si="305"/>
        <v>0.18290000000000051</v>
      </c>
      <c r="AC229" s="3434">
        <f t="shared" si="305"/>
        <v>6.1900000000000066E-2</v>
      </c>
      <c r="AD229" s="3434">
        <f t="shared" si="305"/>
        <v>-3.7753520000000318E-2</v>
      </c>
      <c r="AE229" s="3434">
        <f t="shared" si="305"/>
        <v>1.258833338400045E-2</v>
      </c>
      <c r="AF229" s="2834"/>
      <c r="AG229" s="2834"/>
      <c r="AH229" s="2834"/>
      <c r="AI229" s="2834"/>
      <c r="AJ229" s="2834"/>
      <c r="AK229" s="3434">
        <v>-0.9865999999999997</v>
      </c>
      <c r="AL229" s="2834"/>
      <c r="AM229" s="3434">
        <f t="shared" si="267"/>
        <v>-4.590000000000094E-2</v>
      </c>
      <c r="AN229" s="2834"/>
      <c r="AO229" s="2834"/>
      <c r="AP229" s="2834"/>
      <c r="AQ229" s="2834"/>
      <c r="AR229" s="2834"/>
      <c r="AS229" s="2834"/>
      <c r="AT229" s="2834"/>
    </row>
    <row r="230" spans="1:46" ht="12.75" customHeight="1">
      <c r="A230" s="714">
        <f>+ROW(InputY!A152)</f>
        <v>152</v>
      </c>
      <c r="B230" s="714" t="s">
        <v>643</v>
      </c>
      <c r="C230" s="829" t="s">
        <v>622</v>
      </c>
      <c r="D230" s="724" t="s">
        <v>591</v>
      </c>
      <c r="E230" s="830" t="s">
        <v>1040</v>
      </c>
      <c r="F230" s="1024" t="s">
        <v>1293</v>
      </c>
      <c r="G230" s="756">
        <f>+InputY!G152/1000</f>
        <v>1.7000000000007276E-3</v>
      </c>
      <c r="H230" s="756">
        <f>+InputY!H152/1000</f>
        <v>1.4000000000014552E-3</v>
      </c>
      <c r="I230" s="756">
        <f>+InputY!I152/1000</f>
        <v>1.8000000000029104E-3</v>
      </c>
      <c r="J230" s="756">
        <f>+InputY!J152/1000</f>
        <v>2.4000000000014552E-3</v>
      </c>
      <c r="K230" s="756">
        <f>+InputY!K152/1000</f>
        <v>3.4000000000014552E-3</v>
      </c>
      <c r="L230" s="756">
        <f>+InputY!L152/1000</f>
        <v>3.9000000000014553E-3</v>
      </c>
      <c r="M230" s="756">
        <f>+InputY!M152/1000</f>
        <v>4.0000000000000001E-3</v>
      </c>
      <c r="N230" s="756">
        <f>+InputY!N152/1000</f>
        <v>8.8000000000010917E-3</v>
      </c>
      <c r="O230" s="756">
        <f>+InputY!O152/1000</f>
        <v>5.5999999999985445E-3</v>
      </c>
      <c r="P230" s="756">
        <f>+InputY!P152/1000</f>
        <v>5.7000000000007279E-3</v>
      </c>
      <c r="Q230" s="1085">
        <f>+InputY!Q152/1000</f>
        <v>5.4999999999999997E-3</v>
      </c>
      <c r="R230" s="1085">
        <f>+InputY!R152/1000</f>
        <v>1.0300000000001091E-2</v>
      </c>
      <c r="S230" s="1085">
        <f>+InputY!S152/1000</f>
        <v>6.399999999999636E-3</v>
      </c>
      <c r="T230" s="1085">
        <f>+InputY!T152/1000</f>
        <v>2.8000000000010915E-3</v>
      </c>
      <c r="U230" s="1085">
        <f>+InputY!U152/1000</f>
        <v>3.8000000000010916E-3</v>
      </c>
      <c r="V230" s="1085">
        <f>+InputY!V152/1000</f>
        <v>4.7999999999992727E-3</v>
      </c>
      <c r="W230" s="1085">
        <f>+InputY!W152/1000</f>
        <v>7.3000000000010912E-3</v>
      </c>
      <c r="X230" s="1085">
        <f>+InputY!X152/1000</f>
        <v>7.0000000000000001E-3</v>
      </c>
      <c r="Y230" s="2958">
        <f>+InputY!Y152/1000</f>
        <v>6.4000000000014549E-3</v>
      </c>
      <c r="Z230" s="2958">
        <f>+InputY!Z152/1000</f>
        <v>2.5000000000000001E-3</v>
      </c>
      <c r="AA230" s="2958">
        <f>+InputY!AA152/1000</f>
        <v>1.3999999999996361E-3</v>
      </c>
      <c r="AB230" s="2958">
        <f>+InputY!AB152/1000</f>
        <v>0</v>
      </c>
      <c r="AC230" s="3032">
        <f t="shared" ref="AC230:AE231" si="306">+AB230*(1+AC241/100)</f>
        <v>0</v>
      </c>
      <c r="AD230" s="3032">
        <f t="shared" si="306"/>
        <v>0</v>
      </c>
      <c r="AE230" s="3032">
        <f t="shared" si="306"/>
        <v>0</v>
      </c>
      <c r="AK230" s="2958">
        <v>4.7999999999992727E-3</v>
      </c>
      <c r="AM230" s="2958">
        <f t="shared" si="267"/>
        <v>-2.2999999999992727E-3</v>
      </c>
    </row>
    <row r="231" spans="1:46" ht="12.75" customHeight="1">
      <c r="A231" s="714">
        <f>+ROW(InputY!A151)</f>
        <v>151</v>
      </c>
      <c r="B231" s="714">
        <v>122</v>
      </c>
      <c r="C231" s="829" t="s">
        <v>622</v>
      </c>
      <c r="D231" s="724" t="s">
        <v>591</v>
      </c>
      <c r="E231" s="830" t="s">
        <v>1565</v>
      </c>
      <c r="F231" s="754" t="str">
        <f>+InputY!B151</f>
        <v>$AInt</v>
      </c>
      <c r="G231" s="756">
        <f>+InputY!G151/1000</f>
        <v>18.4833</v>
      </c>
      <c r="H231" s="756">
        <f>+InputY!H151/1000</f>
        <v>18.371099999999998</v>
      </c>
      <c r="I231" s="756">
        <f>+InputY!I151/1000</f>
        <v>17.513099999999998</v>
      </c>
      <c r="J231" s="756">
        <f>+InputY!J151/1000</f>
        <v>17.3751</v>
      </c>
      <c r="K231" s="756">
        <f>+InputY!K151/1000</f>
        <v>16.807099999999998</v>
      </c>
      <c r="L231" s="756">
        <f>+InputY!L151/1000</f>
        <v>17.2136</v>
      </c>
      <c r="M231" s="756">
        <f>+InputY!M151/1000</f>
        <v>17.370699999999999</v>
      </c>
      <c r="N231" s="756">
        <f>+InputY!N151/1000</f>
        <v>15.9564</v>
      </c>
      <c r="O231" s="756">
        <f>+InputY!O151/1000</f>
        <v>15.232200000000001</v>
      </c>
      <c r="P231" s="756">
        <f>+InputY!P151/1000</f>
        <v>14.352799999999998</v>
      </c>
      <c r="Q231" s="1085">
        <f>+InputY!Q151/1000</f>
        <v>13.5745</v>
      </c>
      <c r="R231" s="1085">
        <f>+InputY!R151/1000</f>
        <v>13.3719</v>
      </c>
      <c r="S231" s="2958">
        <f>+InputY!S151/1000</f>
        <v>13.7224</v>
      </c>
      <c r="T231" s="2958">
        <f>+InputY!T151/1000</f>
        <v>14.032299999999999</v>
      </c>
      <c r="U231" s="2958">
        <f>+InputY!U151/1000</f>
        <v>13.3378</v>
      </c>
      <c r="V231" s="2958">
        <f>+InputY!V151/1000</f>
        <v>13.1707</v>
      </c>
      <c r="W231" s="2958">
        <f>+InputY!W151/1000</f>
        <v>13.6379</v>
      </c>
      <c r="X231" s="2958">
        <f>+InputY!X151/1000</f>
        <v>13.969200000000001</v>
      </c>
      <c r="Y231" s="2958">
        <f>+InputY!Y151/1000</f>
        <v>12.9718</v>
      </c>
      <c r="Z231" s="2958">
        <f>+InputY!Z151/1000</f>
        <v>13.0557</v>
      </c>
      <c r="AA231" s="2958">
        <f>+InputY!AA151/1000</f>
        <v>12.417399999999999</v>
      </c>
      <c r="AB231" s="2958">
        <f>+InputY!AB151/1000</f>
        <v>12.116200000000001</v>
      </c>
      <c r="AC231" s="2958">
        <f>+InputY!AC151/1000</f>
        <v>10.7761</v>
      </c>
      <c r="AD231" s="3032">
        <f t="shared" si="306"/>
        <v>10.213587579999999</v>
      </c>
      <c r="AE231" s="3032">
        <f t="shared" si="306"/>
        <v>10.148220619487999</v>
      </c>
      <c r="AK231" s="2958">
        <v>12.3665</v>
      </c>
      <c r="AM231" s="2958">
        <f t="shared" si="267"/>
        <v>0.68919999999999959</v>
      </c>
    </row>
    <row r="232" spans="1:46" ht="12.75" customHeight="1">
      <c r="A232" s="714"/>
      <c r="B232" s="714"/>
      <c r="C232" s="829"/>
      <c r="D232" s="724"/>
      <c r="E232" s="3047" t="s">
        <v>1335</v>
      </c>
      <c r="F232" s="754"/>
      <c r="G232" s="756"/>
      <c r="H232" s="3048">
        <f>G936</f>
        <v>276.2534</v>
      </c>
      <c r="I232" s="3048">
        <f t="shared" ref="I232:U232" si="307">H936</f>
        <v>276.34899999999999</v>
      </c>
      <c r="J232" s="3048">
        <f t="shared" si="307"/>
        <v>278.40659999999997</v>
      </c>
      <c r="K232" s="3048">
        <f t="shared" si="307"/>
        <v>277.15859999999998</v>
      </c>
      <c r="L232" s="3048">
        <f t="shared" si="307"/>
        <v>279.43509999999998</v>
      </c>
      <c r="M232" s="3048">
        <f t="shared" si="307"/>
        <v>280.87</v>
      </c>
      <c r="N232" s="3048">
        <f t="shared" si="307"/>
        <v>285.97000000000003</v>
      </c>
      <c r="O232" s="3048">
        <f t="shared" si="307"/>
        <v>288.02800000000002</v>
      </c>
      <c r="P232" s="3048">
        <f t="shared" si="307"/>
        <v>285.78800000000001</v>
      </c>
      <c r="Q232" s="3048">
        <f t="shared" si="307"/>
        <v>288.33</v>
      </c>
      <c r="R232" s="3048">
        <f t="shared" si="307"/>
        <v>294.90499999999997</v>
      </c>
      <c r="S232" s="3048">
        <f t="shared" si="307"/>
        <v>297.42700000000002</v>
      </c>
      <c r="T232" s="3048">
        <f t="shared" si="307"/>
        <v>299.99799999999999</v>
      </c>
      <c r="U232" s="3048">
        <f t="shared" si="307"/>
        <v>327.62799999999999</v>
      </c>
      <c r="V232" s="3048">
        <f t="shared" ref="V232:AE232" si="308">U936</f>
        <v>347.17099999999999</v>
      </c>
      <c r="W232" s="3048">
        <f t="shared" si="308"/>
        <v>364.08300000000003</v>
      </c>
      <c r="X232" s="3048">
        <f t="shared" si="308"/>
        <v>388.93799999999999</v>
      </c>
      <c r="Y232" s="3048">
        <f t="shared" si="308"/>
        <v>404.29300000000001</v>
      </c>
      <c r="Z232" s="3048">
        <f t="shared" si="308"/>
        <v>413.733</v>
      </c>
      <c r="AA232" s="3048">
        <f t="shared" si="308"/>
        <v>428.1224603</v>
      </c>
      <c r="AB232" s="3048">
        <f t="shared" si="308"/>
        <v>435.31235900000001</v>
      </c>
      <c r="AC232" s="3048">
        <f t="shared" si="308"/>
        <v>448.16092609999998</v>
      </c>
      <c r="AD232" s="3048">
        <f t="shared" si="308"/>
        <v>452.17036289999999</v>
      </c>
      <c r="AE232" s="3048">
        <f t="shared" ca="1" si="308"/>
        <v>460.39291977571952</v>
      </c>
      <c r="AK232" s="3048">
        <v>412.77040970000002</v>
      </c>
      <c r="AM232" s="3048">
        <f t="shared" si="267"/>
        <v>0.96259029999998802</v>
      </c>
    </row>
    <row r="233" spans="1:46" ht="12.75" customHeight="1">
      <c r="A233" s="714"/>
      <c r="B233" s="714"/>
      <c r="C233" s="829"/>
      <c r="D233" s="724"/>
      <c r="E233" s="3047" t="s">
        <v>1336</v>
      </c>
      <c r="F233" s="754"/>
      <c r="G233" s="756"/>
      <c r="H233" s="3049">
        <f>H231/H232</f>
        <v>6.6500900984386074E-2</v>
      </c>
      <c r="I233" s="3049">
        <f t="shared" ref="I233:V233" si="309">I231/I232</f>
        <v>6.3373126010949923E-2</v>
      </c>
      <c r="J233" s="3049">
        <f t="shared" si="309"/>
        <v>6.2409080819204724E-2</v>
      </c>
      <c r="K233" s="3049">
        <f t="shared" si="309"/>
        <v>6.0640730614168206E-2</v>
      </c>
      <c r="L233" s="3049">
        <f t="shared" si="309"/>
        <v>6.1601423729517164E-2</v>
      </c>
      <c r="M233" s="3049">
        <f t="shared" si="309"/>
        <v>6.1846049773916757E-2</v>
      </c>
      <c r="N233" s="3049">
        <f t="shared" si="309"/>
        <v>5.5797461272161411E-2</v>
      </c>
      <c r="O233" s="3049">
        <f t="shared" si="309"/>
        <v>5.2884441790381487E-2</v>
      </c>
      <c r="P233" s="3049">
        <f t="shared" si="309"/>
        <v>5.0221842764566732E-2</v>
      </c>
      <c r="Q233" s="3049">
        <f t="shared" si="309"/>
        <v>4.7079735025838454E-2</v>
      </c>
      <c r="R233" s="3049">
        <f t="shared" si="309"/>
        <v>4.5343076583984676E-2</v>
      </c>
      <c r="S233" s="3049">
        <f t="shared" si="309"/>
        <v>4.6137035306142347E-2</v>
      </c>
      <c r="T233" s="3050">
        <f t="shared" si="309"/>
        <v>4.6774645164301097E-2</v>
      </c>
      <c r="U233" s="3050">
        <f t="shared" si="309"/>
        <v>4.0710195709768394E-2</v>
      </c>
      <c r="V233" s="3050">
        <f t="shared" si="309"/>
        <v>3.7937212497587643E-2</v>
      </c>
      <c r="W233" s="3050">
        <f t="shared" ref="W233:AB233" si="310">W231/W232</f>
        <v>3.7458216945037252E-2</v>
      </c>
      <c r="X233" s="3050">
        <f t="shared" si="310"/>
        <v>3.5916264288909802E-2</v>
      </c>
      <c r="Y233" s="3050">
        <f t="shared" si="310"/>
        <v>3.2085146168743958E-2</v>
      </c>
      <c r="Z233" s="3050">
        <f t="shared" ref="Z233" si="311">Z231/Z232</f>
        <v>3.1555858488445443E-2</v>
      </c>
      <c r="AA233" s="3050">
        <f t="shared" ref="AA233" si="312">AA231/AA232</f>
        <v>2.9004318043250297E-2</v>
      </c>
      <c r="AB233" s="3050">
        <f t="shared" si="310"/>
        <v>2.7833347134534264E-2</v>
      </c>
      <c r="AC233" s="3050">
        <f t="shared" ref="AC233:AD233" si="313">AC231/AC232</f>
        <v>2.404515738080094E-2</v>
      </c>
      <c r="AD233" s="3050">
        <f t="shared" si="313"/>
        <v>2.2587919107513003E-2</v>
      </c>
      <c r="AE233" s="3050">
        <f t="shared" ref="AE233" ca="1" si="314">AE231/AE232</f>
        <v>2.2042521037099586E-2</v>
      </c>
      <c r="AK233" s="3050">
        <v>2.9959754162096858E-2</v>
      </c>
      <c r="AM233" s="3050">
        <f t="shared" si="267"/>
        <v>1.5961043263485845E-3</v>
      </c>
    </row>
    <row r="234" spans="1:46" ht="12.75" customHeight="1">
      <c r="A234" s="1869">
        <f>+ROW(InputY!A240)</f>
        <v>240</v>
      </c>
      <c r="B234" s="714" t="s">
        <v>1985</v>
      </c>
      <c r="C234" s="882" t="s">
        <v>2133</v>
      </c>
      <c r="D234" s="724" t="s">
        <v>592</v>
      </c>
      <c r="E234" s="830" t="s">
        <v>975</v>
      </c>
      <c r="F234" s="754" t="str">
        <f>InputY!B240</f>
        <v>PropFrRowN</v>
      </c>
      <c r="G234" s="756">
        <f>-InputY!G240/1000</f>
        <v>-2.2099000000000015</v>
      </c>
      <c r="H234" s="756">
        <f>-InputY!H240/1000</f>
        <v>-2.5939999999999999</v>
      </c>
      <c r="I234" s="756">
        <f>-InputY!I240/1000</f>
        <v>-3.1945000000000001</v>
      </c>
      <c r="J234" s="756">
        <f>-InputY!J240/1000</f>
        <v>-3.3</v>
      </c>
      <c r="K234" s="756">
        <f>-InputY!K240/1000</f>
        <v>-2.9075999999999986</v>
      </c>
      <c r="L234" s="756">
        <f>-InputY!L240/1000</f>
        <v>-3.9493000000000027</v>
      </c>
      <c r="M234" s="756">
        <f>-InputY!M240/1000</f>
        <v>-1.9515</v>
      </c>
      <c r="N234" s="756">
        <f>-InputY!N240/1000</f>
        <v>-1.4401000000000022</v>
      </c>
      <c r="O234" s="756">
        <f>-InputY!O240/1000</f>
        <v>-1.7397000000000007</v>
      </c>
      <c r="P234" s="756">
        <f>-InputY!P240/1000</f>
        <v>-0.24240000000000145</v>
      </c>
      <c r="Q234" s="756">
        <f>-InputY!Q240/1000</f>
        <v>0.2135</v>
      </c>
      <c r="R234" s="756">
        <f>-InputY!R240/1000</f>
        <v>-0.44810000000000583</v>
      </c>
      <c r="S234" s="1376">
        <f>-InputY!S240/1000</f>
        <v>-0.63010000000000577</v>
      </c>
      <c r="T234" s="1376">
        <f>-InputY!T240/1000</f>
        <v>-4.5095000000000072</v>
      </c>
      <c r="U234" s="1376">
        <f>-InputY!U240/1000</f>
        <v>3.8993999999999942</v>
      </c>
      <c r="V234" s="1376">
        <f>-InputY!V240/1000</f>
        <v>-6.9204999999999997</v>
      </c>
      <c r="W234" s="1376">
        <f>-InputY!W240/1000</f>
        <v>0.73550000000000004</v>
      </c>
      <c r="X234" s="1376">
        <f>-InputY!X240/1000</f>
        <v>-4.7394000000000016</v>
      </c>
      <c r="Y234" s="1376">
        <f>-InputY!Y240/1000</f>
        <v>-1.541199999999997</v>
      </c>
      <c r="Z234" s="1376">
        <f>-InputY!Z240/1000</f>
        <v>2.3032999999999957</v>
      </c>
      <c r="AA234" s="1376">
        <f>-InputY!AA240/1000</f>
        <v>6.2006999999999968</v>
      </c>
      <c r="AB234" s="1376">
        <f>-InputY!AB240/1000</f>
        <v>2.2841999999999971</v>
      </c>
      <c r="AC234" s="2135">
        <f>+AB234*(1+AC243/100)</f>
        <v>1.3572716399999984</v>
      </c>
      <c r="AD234" s="2135">
        <f>+AC234*(1+AD243/100)</f>
        <v>0.76916583838799912</v>
      </c>
      <c r="AE234" s="2135">
        <f>+AD234*(1+AE243/100)</f>
        <v>0.68994175703403526</v>
      </c>
      <c r="AK234" s="1376">
        <v>4.1731289999999897</v>
      </c>
      <c r="AM234" s="1376">
        <f t="shared" si="267"/>
        <v>-1.869828999999994</v>
      </c>
    </row>
    <row r="235" spans="1:46" ht="12.75" customHeight="1">
      <c r="A235" s="714">
        <f>+ROW(InputY!A189)</f>
        <v>189</v>
      </c>
      <c r="B235" s="714">
        <v>90</v>
      </c>
      <c r="C235" s="831" t="s">
        <v>624</v>
      </c>
      <c r="D235" s="800" t="s">
        <v>589</v>
      </c>
      <c r="E235" s="801" t="s">
        <v>975</v>
      </c>
      <c r="F235" s="802" t="str">
        <f>+InputY!B189</f>
        <v>HPropN</v>
      </c>
      <c r="G235" s="832">
        <f ca="1">+InputY!G189/1000</f>
        <v>28.216200000000001</v>
      </c>
      <c r="H235" s="832">
        <f>+InputY!H189/1000</f>
        <v>26.4252</v>
      </c>
      <c r="I235" s="832">
        <f>+InputY!I189/1000</f>
        <v>26.2392</v>
      </c>
      <c r="J235" s="832">
        <f>+InputY!J189/1000</f>
        <v>27.758900000000001</v>
      </c>
      <c r="K235" s="832">
        <f>+InputY!K189/1000</f>
        <v>26.402200000000001</v>
      </c>
      <c r="L235" s="832">
        <f>+InputY!L189/1000</f>
        <v>29.269400000000001</v>
      </c>
      <c r="M235" s="832">
        <f>+InputY!M189/1000</f>
        <v>30.322999999999997</v>
      </c>
      <c r="N235" s="832">
        <f>+InputY!N189/1000</f>
        <v>27.9695</v>
      </c>
      <c r="O235" s="832">
        <f>+InputY!O189/1000</f>
        <v>26.7182</v>
      </c>
      <c r="P235" s="832">
        <f>+InputY!P189/1000</f>
        <v>27.025400000000001</v>
      </c>
      <c r="Q235" s="832">
        <f>+InputY!Q189/1000</f>
        <v>27.3645</v>
      </c>
      <c r="R235" s="2849">
        <f>+InputY!R189/1000</f>
        <v>28.338799999999999</v>
      </c>
      <c r="S235" s="2849">
        <f>+InputY!S189/1000</f>
        <v>30.265999999999998</v>
      </c>
      <c r="T235" s="2849">
        <f>+InputY!T189/1000</f>
        <v>33.9726</v>
      </c>
      <c r="U235" s="2849">
        <f>+InputY!U189/1000</f>
        <v>32.634999999999998</v>
      </c>
      <c r="V235" s="2849">
        <f>+InputY!V189/1000</f>
        <v>32.867199999999997</v>
      </c>
      <c r="W235" s="2849">
        <f>+InputY!W189/1000</f>
        <v>30.845899999999997</v>
      </c>
      <c r="X235" s="2849">
        <f>+InputY!X189/1000</f>
        <v>29.168800000000001</v>
      </c>
      <c r="Y235" s="2849">
        <f>+InputY!Y189/1000</f>
        <v>29.2273</v>
      </c>
      <c r="Z235" s="2849">
        <f>+InputY!Z189/1000</f>
        <v>27.744499999999999</v>
      </c>
      <c r="AA235" s="2849">
        <f>+InputY!AA189/1000</f>
        <v>27.055499999999999</v>
      </c>
      <c r="AB235" s="2849">
        <f>+InputY!AB189/1000</f>
        <v>26.257699999999996</v>
      </c>
      <c r="AC235" s="2200">
        <f>-AC227-AC228+AC230+AC231-AC234</f>
        <v>26.257693360000008</v>
      </c>
      <c r="AD235" s="2200">
        <f>-AD227-AD228+AD230+AD231-AD234</f>
        <v>26.838321886612004</v>
      </c>
      <c r="AE235" s="2200">
        <f>-AE227-AE228+AE230+AE231-AE234</f>
        <v>27.369804339694966</v>
      </c>
      <c r="AK235" s="2849">
        <v>29.410575999999999</v>
      </c>
      <c r="AM235" s="2849">
        <f t="shared" si="267"/>
        <v>-1.6660760000000003</v>
      </c>
    </row>
    <row r="236" spans="1:46" s="1881" customFormat="1" ht="12.75" customHeight="1">
      <c r="A236" s="1039"/>
      <c r="B236" s="1039"/>
      <c r="C236" s="1501"/>
      <c r="D236" s="1054"/>
      <c r="E236" s="1882" t="s">
        <v>474</v>
      </c>
      <c r="F236" s="1883"/>
      <c r="G236" s="1043">
        <f t="shared" ref="G236:X236" ca="1" si="315">ABS(+G235+G234-G231-G230+G228+G227)</f>
        <v>0.13540000000000596</v>
      </c>
      <c r="H236" s="1043">
        <f t="shared" si="315"/>
        <v>3.5527136788005009E-15</v>
      </c>
      <c r="I236" s="1043">
        <f t="shared" si="315"/>
        <v>1.7763568394002505E-15</v>
      </c>
      <c r="J236" s="1043">
        <f t="shared" si="315"/>
        <v>5.3290705182007514E-15</v>
      </c>
      <c r="K236" s="1043">
        <f t="shared" si="315"/>
        <v>8.8817841970012523E-15</v>
      </c>
      <c r="L236" s="1043">
        <f t="shared" si="315"/>
        <v>7.1054273576010019E-15</v>
      </c>
      <c r="M236" s="1043">
        <f t="shared" si="315"/>
        <v>7.1054273576010019E-15</v>
      </c>
      <c r="N236" s="1043">
        <f t="shared" si="315"/>
        <v>5.3290705182007514E-15</v>
      </c>
      <c r="O236" s="1043">
        <f t="shared" si="315"/>
        <v>1.7763568394002505E-15</v>
      </c>
      <c r="P236" s="1043">
        <f t="shared" si="315"/>
        <v>5.3290705182007514E-15</v>
      </c>
      <c r="Q236" s="2120">
        <f t="shared" si="315"/>
        <v>0</v>
      </c>
      <c r="R236" s="2120">
        <f t="shared" si="315"/>
        <v>1.0658141036401503E-14</v>
      </c>
      <c r="S236" s="2881">
        <f t="shared" si="315"/>
        <v>0</v>
      </c>
      <c r="T236" s="2881">
        <f t="shared" si="315"/>
        <v>1.4210854715202004E-14</v>
      </c>
      <c r="U236" s="2881">
        <f t="shared" si="315"/>
        <v>7.1054273576010019E-15</v>
      </c>
      <c r="V236" s="2881">
        <f>ABS(+V235+V234-V231-V230+V228+V227)</f>
        <v>7.1054273576010019E-15</v>
      </c>
      <c r="W236" s="2881">
        <f t="shared" si="315"/>
        <v>1.4210854715202004E-14</v>
      </c>
      <c r="X236" s="2881">
        <f t="shared" si="315"/>
        <v>5.3290705182007514E-15</v>
      </c>
      <c r="Y236" s="2881">
        <f t="shared" ref="Y236" si="316">ABS(+Y235+Y234-Y231-Y230+Y228+Y227)</f>
        <v>3.5527136788005009E-15</v>
      </c>
      <c r="Z236" s="2881">
        <f t="shared" ref="Z236" si="317">ABS(+Z235+Z234-Z231-Z230+Z228+Z227)</f>
        <v>1.9000000000133355E-3</v>
      </c>
      <c r="AA236" s="2881">
        <f>ABS(+AA235+AA234-AA231-AA230+AA228+AA227)</f>
        <v>2.4400000000014188E-2</v>
      </c>
      <c r="AB236" s="2881">
        <f>ABS(+AB235+AB234-AB231-AB230+AB228+AB227)</f>
        <v>2.9599999999987858E-2</v>
      </c>
      <c r="AC236" s="2881">
        <f>ABS(+AC235+AC234-AC231-AC230+AC228+AC227)</f>
        <v>0</v>
      </c>
      <c r="AD236" s="2881">
        <f>ABS(+AD235+AD234-AD231-AD230+AD228+AD227)</f>
        <v>0</v>
      </c>
      <c r="AE236" s="2881">
        <f>ABS(+AE235+AE234-AE231-AE230+AE228+AE227)</f>
        <v>3.5527136788005009E-15</v>
      </c>
      <c r="AF236" s="2829"/>
      <c r="AG236" s="2829"/>
      <c r="AH236" s="2829"/>
      <c r="AI236" s="2829"/>
      <c r="AJ236" s="2829"/>
      <c r="AK236" s="2881">
        <v>3.5527136788005009E-15</v>
      </c>
      <c r="AL236" s="2829"/>
      <c r="AM236" s="2881">
        <f t="shared" si="267"/>
        <v>1.9000000000097828E-3</v>
      </c>
      <c r="AN236" s="2829"/>
      <c r="AO236" s="2829"/>
      <c r="AP236" s="2829"/>
      <c r="AQ236" s="2829"/>
      <c r="AR236" s="2829"/>
      <c r="AS236" s="2829"/>
      <c r="AT236" s="2829"/>
    </row>
    <row r="237" spans="1:46" ht="12.75" customHeight="1">
      <c r="A237" s="714"/>
      <c r="B237" s="714"/>
      <c r="C237" s="822"/>
      <c r="E237" s="833"/>
      <c r="F237" s="834"/>
      <c r="G237" s="753"/>
      <c r="H237" s="835"/>
      <c r="I237" s="753"/>
      <c r="J237" s="753"/>
      <c r="K237" s="753"/>
      <c r="L237" s="753"/>
      <c r="M237" s="753"/>
      <c r="N237" s="753"/>
      <c r="O237" s="753"/>
      <c r="P237" s="753"/>
      <c r="Q237" s="885"/>
      <c r="R237" s="885"/>
      <c r="S237" s="2233"/>
      <c r="T237" s="2957"/>
      <c r="U237" s="3007">
        <v>0.20101649999998461</v>
      </c>
      <c r="V237" s="3007">
        <v>1.3618364999999872</v>
      </c>
      <c r="W237" s="3007">
        <f t="shared" ref="W237:AE237" si="318">V237-U234</f>
        <v>-2.5375635000000072</v>
      </c>
      <c r="X237" s="3007">
        <f t="shared" si="318"/>
        <v>4.3829364999999925</v>
      </c>
      <c r="Y237" s="3007">
        <f t="shared" si="318"/>
        <v>3.6474364999999924</v>
      </c>
      <c r="Z237" s="3007">
        <f t="shared" si="318"/>
        <v>8.386836499999994</v>
      </c>
      <c r="AA237" s="3007">
        <f t="shared" si="318"/>
        <v>9.9280364999999904</v>
      </c>
      <c r="AB237" s="3007">
        <f t="shared" si="318"/>
        <v>7.6247364999999947</v>
      </c>
      <c r="AC237" s="3007">
        <f t="shared" si="318"/>
        <v>1.4240364999999979</v>
      </c>
      <c r="AD237" s="3007">
        <f t="shared" si="318"/>
        <v>-0.86016349999999919</v>
      </c>
      <c r="AE237" s="3007">
        <f t="shared" si="318"/>
        <v>-2.2174351399999974</v>
      </c>
      <c r="AK237" s="3007">
        <v>-0.88386350000000258</v>
      </c>
      <c r="AM237" s="3007">
        <f t="shared" si="267"/>
        <v>9.2706999999999962</v>
      </c>
    </row>
    <row r="238" spans="1:46" ht="12.75" customHeight="1">
      <c r="A238" s="714"/>
      <c r="B238" s="714"/>
      <c r="C238" s="822"/>
      <c r="D238" s="790"/>
      <c r="E238" s="791" t="s">
        <v>1804</v>
      </c>
      <c r="F238" s="792"/>
      <c r="G238" s="793">
        <f>+InputY!$G$3</f>
        <v>1995</v>
      </c>
      <c r="H238" s="793">
        <f>+G238+1</f>
        <v>1996</v>
      </c>
      <c r="I238" s="793">
        <f t="shared" ref="I238:O238" si="319">+H238+1</f>
        <v>1997</v>
      </c>
      <c r="J238" s="793">
        <f t="shared" si="319"/>
        <v>1998</v>
      </c>
      <c r="K238" s="793">
        <f t="shared" si="319"/>
        <v>1999</v>
      </c>
      <c r="L238" s="793">
        <f t="shared" si="319"/>
        <v>2000</v>
      </c>
      <c r="M238" s="793">
        <f t="shared" si="319"/>
        <v>2001</v>
      </c>
      <c r="N238" s="793">
        <f t="shared" si="319"/>
        <v>2002</v>
      </c>
      <c r="O238" s="793">
        <f t="shared" si="319"/>
        <v>2003</v>
      </c>
      <c r="P238" s="793">
        <f t="shared" ref="P238:U238" si="320">+O238+1</f>
        <v>2004</v>
      </c>
      <c r="Q238" s="793">
        <f t="shared" si="320"/>
        <v>2005</v>
      </c>
      <c r="R238" s="793">
        <f>+Q238+1</f>
        <v>2006</v>
      </c>
      <c r="S238" s="2126">
        <f t="shared" si="320"/>
        <v>2007</v>
      </c>
      <c r="T238" s="2126">
        <f t="shared" si="320"/>
        <v>2008</v>
      </c>
      <c r="U238" s="2126">
        <f t="shared" si="320"/>
        <v>2009</v>
      </c>
      <c r="V238" s="2126">
        <f t="shared" ref="V238:AE238" si="321">+U238+1</f>
        <v>2010</v>
      </c>
      <c r="W238" s="2126">
        <f t="shared" si="321"/>
        <v>2011</v>
      </c>
      <c r="X238" s="2126">
        <f t="shared" si="321"/>
        <v>2012</v>
      </c>
      <c r="Y238" s="2126">
        <f t="shared" si="321"/>
        <v>2013</v>
      </c>
      <c r="Z238" s="2126">
        <f t="shared" si="321"/>
        <v>2014</v>
      </c>
      <c r="AA238" s="2126">
        <f t="shared" si="321"/>
        <v>2015</v>
      </c>
      <c r="AB238" s="2126">
        <f t="shared" si="321"/>
        <v>2016</v>
      </c>
      <c r="AC238" s="2126">
        <f t="shared" si="321"/>
        <v>2017</v>
      </c>
      <c r="AD238" s="2126">
        <f t="shared" si="321"/>
        <v>2018</v>
      </c>
      <c r="AE238" s="2126">
        <f t="shared" si="321"/>
        <v>2019</v>
      </c>
      <c r="AK238" s="2126">
        <v>2014</v>
      </c>
      <c r="AM238" s="2126">
        <f t="shared" si="267"/>
        <v>0</v>
      </c>
    </row>
    <row r="239" spans="1:46" ht="12.75" customHeight="1">
      <c r="A239" s="714"/>
      <c r="B239" s="714"/>
      <c r="C239" s="839" t="s">
        <v>2133</v>
      </c>
      <c r="D239" s="739" t="s">
        <v>590</v>
      </c>
      <c r="E239" s="787" t="s">
        <v>975</v>
      </c>
      <c r="F239" s="782" t="s">
        <v>1472</v>
      </c>
      <c r="G239" s="788"/>
      <c r="H239" s="788">
        <f t="shared" ref="H239:AB239" ca="1" si="322">(H227/G227-1)*100</f>
        <v>-13.953295964589307</v>
      </c>
      <c r="I239" s="788">
        <f t="shared" si="322"/>
        <v>-1.5408283454724225</v>
      </c>
      <c r="J239" s="788">
        <f t="shared" si="322"/>
        <v>18.601074218750036</v>
      </c>
      <c r="K239" s="788">
        <f t="shared" si="322"/>
        <v>-6.7045431153380015</v>
      </c>
      <c r="L239" s="788">
        <f t="shared" si="322"/>
        <v>21.340629274965917</v>
      </c>
      <c r="M239" s="788">
        <f t="shared" si="322"/>
        <v>31.519802160235557</v>
      </c>
      <c r="N239" s="788">
        <f t="shared" si="322"/>
        <v>-5.64995575710644</v>
      </c>
      <c r="O239" s="788">
        <f t="shared" si="322"/>
        <v>-7.0829334056256466</v>
      </c>
      <c r="P239" s="788">
        <f t="shared" si="322"/>
        <v>15.649444865001261</v>
      </c>
      <c r="Q239" s="788">
        <f t="shared" si="322"/>
        <v>12.684267226684497</v>
      </c>
      <c r="R239" s="788">
        <f t="shared" si="322"/>
        <v>4.7438961667624957</v>
      </c>
      <c r="S239" s="788">
        <f t="shared" si="322"/>
        <v>9.8460471967880316</v>
      </c>
      <c r="T239" s="788">
        <f t="shared" si="322"/>
        <v>0.4522768986427339</v>
      </c>
      <c r="U239" s="788">
        <f t="shared" si="322"/>
        <v>37.916014428639386</v>
      </c>
      <c r="V239" s="788">
        <f t="shared" si="322"/>
        <v>-37.309818093473815</v>
      </c>
      <c r="W239" s="788">
        <f t="shared" si="322"/>
        <v>36.869194530899939</v>
      </c>
      <c r="X239" s="788">
        <f t="shared" si="322"/>
        <v>-32.914517285010213</v>
      </c>
      <c r="Y239" s="788">
        <f t="shared" si="322"/>
        <v>30.397794718932136</v>
      </c>
      <c r="Z239" s="788">
        <f t="shared" si="322"/>
        <v>6.3273150255398924</v>
      </c>
      <c r="AA239" s="788">
        <f t="shared" si="322"/>
        <v>16.387384002168947</v>
      </c>
      <c r="AB239" s="788">
        <f t="shared" si="322"/>
        <v>-17.502676812672156</v>
      </c>
      <c r="AC239" s="3730">
        <v>2.5</v>
      </c>
      <c r="AD239" s="3730">
        <v>2.5</v>
      </c>
      <c r="AE239" s="3730">
        <v>2.5</v>
      </c>
      <c r="AK239" s="788">
        <v>-15</v>
      </c>
      <c r="AM239" s="788">
        <f t="shared" si="267"/>
        <v>21.327315025539892</v>
      </c>
    </row>
    <row r="240" spans="1:46" ht="12.75" customHeight="1">
      <c r="A240" s="714"/>
      <c r="B240" s="714"/>
      <c r="C240" s="840" t="s">
        <v>2133</v>
      </c>
      <c r="D240" s="724" t="s">
        <v>591</v>
      </c>
      <c r="E240" s="830" t="s">
        <v>235</v>
      </c>
      <c r="F240" s="754" t="s">
        <v>128</v>
      </c>
      <c r="G240" s="756"/>
      <c r="H240" s="756">
        <f t="shared" ref="H240:AB240" si="323">(H228/G228-1)*100</f>
        <v>25.312021020363474</v>
      </c>
      <c r="I240" s="756">
        <f t="shared" si="323"/>
        <v>-6.9648785601956975</v>
      </c>
      <c r="J240" s="756">
        <f t="shared" si="323"/>
        <v>-1.0442491172714119</v>
      </c>
      <c r="K240" s="756">
        <f t="shared" si="323"/>
        <v>-9.6454600668083863</v>
      </c>
      <c r="L240" s="756">
        <f t="shared" si="323"/>
        <v>21.673738604377601</v>
      </c>
      <c r="M240" s="756">
        <f t="shared" si="323"/>
        <v>19.770734065326991</v>
      </c>
      <c r="N240" s="756">
        <f t="shared" si="323"/>
        <v>-11.090290590405916</v>
      </c>
      <c r="O240" s="756">
        <f t="shared" si="323"/>
        <v>-4.6431698064265063</v>
      </c>
      <c r="P240" s="756">
        <f t="shared" si="323"/>
        <v>-23.77503485327621</v>
      </c>
      <c r="Q240" s="756">
        <f t="shared" si="323"/>
        <v>12.793861801311524</v>
      </c>
      <c r="R240" s="756">
        <f t="shared" si="323"/>
        <v>10.816689736998208</v>
      </c>
      <c r="S240" s="756">
        <f t="shared" si="323"/>
        <v>10.913633119200572</v>
      </c>
      <c r="T240" s="756">
        <f t="shared" si="323"/>
        <v>18.183280777398814</v>
      </c>
      <c r="U240" s="756">
        <f t="shared" si="323"/>
        <v>-14.225816112608559</v>
      </c>
      <c r="V240" s="756">
        <f t="shared" si="323"/>
        <v>18.8230066023362</v>
      </c>
      <c r="W240" s="756">
        <f t="shared" si="323"/>
        <v>24.678100122882938</v>
      </c>
      <c r="X240" s="756">
        <f t="shared" si="323"/>
        <v>0.92560850188549981</v>
      </c>
      <c r="Y240" s="756">
        <f t="shared" si="323"/>
        <v>7.5301460597826164</v>
      </c>
      <c r="Z240" s="756">
        <f t="shared" si="323"/>
        <v>-20.384592604292131</v>
      </c>
      <c r="AA240" s="756">
        <f t="shared" si="323"/>
        <v>-10.539106283787136</v>
      </c>
      <c r="AB240" s="756">
        <f t="shared" si="323"/>
        <v>5.0698525335403088</v>
      </c>
      <c r="AC240" s="756">
        <v>1.7</v>
      </c>
      <c r="AD240" s="3481">
        <v>-0.98</v>
      </c>
      <c r="AE240" s="3481">
        <v>0.33</v>
      </c>
      <c r="AK240" s="756">
        <v>-22.493274360494276</v>
      </c>
      <c r="AM240" s="756">
        <f t="shared" si="267"/>
        <v>2.1086817562021452</v>
      </c>
    </row>
    <row r="241" spans="1:39" ht="12.75" customHeight="1">
      <c r="A241" s="714"/>
      <c r="B241" s="714"/>
      <c r="C241" s="840" t="s">
        <v>622</v>
      </c>
      <c r="D241" s="724" t="s">
        <v>591</v>
      </c>
      <c r="E241" s="830" t="s">
        <v>1040</v>
      </c>
      <c r="F241" s="1024" t="s">
        <v>1293</v>
      </c>
      <c r="G241" s="756"/>
      <c r="H241" s="756">
        <f>(H230/G230-1)*100</f>
        <v>-17.647058823479057</v>
      </c>
      <c r="I241" s="756">
        <f t="shared" ref="I241:S241" si="324">(I230/H230-1)*100</f>
        <v>28.57142857150281</v>
      </c>
      <c r="J241" s="756">
        <f t="shared" si="324"/>
        <v>33.333333333198588</v>
      </c>
      <c r="K241" s="756">
        <f t="shared" si="324"/>
        <v>41.666666666641405</v>
      </c>
      <c r="L241" s="756">
        <f t="shared" si="324"/>
        <v>14.705882352934886</v>
      </c>
      <c r="M241" s="756">
        <f t="shared" si="324"/>
        <v>2.5641025640642967</v>
      </c>
      <c r="N241" s="756">
        <f t="shared" si="324"/>
        <v>120.00000000002728</v>
      </c>
      <c r="O241" s="756">
        <f t="shared" si="324"/>
        <v>-36.363636363660802</v>
      </c>
      <c r="P241" s="756">
        <f t="shared" si="324"/>
        <v>1.7857142857537367</v>
      </c>
      <c r="Q241" s="756">
        <f t="shared" si="324"/>
        <v>-3.5087719298368847</v>
      </c>
      <c r="R241" s="756">
        <f t="shared" si="324"/>
        <v>87.272727272747133</v>
      </c>
      <c r="S241" s="756">
        <f t="shared" si="324"/>
        <v>-37.86407766991303</v>
      </c>
      <c r="T241" s="756">
        <f t="shared" ref="T241:AB241" si="325">(T230/S230-1)*100</f>
        <v>-56.24999999998046</v>
      </c>
      <c r="U241" s="756">
        <f t="shared" si="325"/>
        <v>35.714285714271796</v>
      </c>
      <c r="V241" s="756">
        <f t="shared" si="325"/>
        <v>26.315789473628783</v>
      </c>
      <c r="W241" s="756">
        <f t="shared" si="325"/>
        <v>52.083333333379109</v>
      </c>
      <c r="X241" s="756">
        <f t="shared" si="325"/>
        <v>-4.1095890411102172</v>
      </c>
      <c r="Y241" s="756">
        <f t="shared" si="325"/>
        <v>-8.5714285714077914</v>
      </c>
      <c r="Z241" s="756">
        <f t="shared" si="325"/>
        <v>-60.937500000008882</v>
      </c>
      <c r="AA241" s="756">
        <f t="shared" si="325"/>
        <v>-44.000000000014559</v>
      </c>
      <c r="AB241" s="756">
        <f t="shared" si="325"/>
        <v>-100</v>
      </c>
      <c r="AC241" s="3481">
        <v>0</v>
      </c>
      <c r="AD241" s="3481">
        <v>1</v>
      </c>
      <c r="AE241" s="3481">
        <v>1</v>
      </c>
      <c r="AK241" s="756">
        <v>-3.7891911830456593E-11</v>
      </c>
      <c r="AM241" s="756">
        <f t="shared" si="267"/>
        <v>-60.937499999970989</v>
      </c>
    </row>
    <row r="242" spans="1:39" ht="12.75" customHeight="1">
      <c r="A242" s="714"/>
      <c r="B242" s="714"/>
      <c r="C242" s="840" t="s">
        <v>622</v>
      </c>
      <c r="D242" s="724" t="s">
        <v>591</v>
      </c>
      <c r="E242" s="830" t="s">
        <v>1565</v>
      </c>
      <c r="F242" s="754" t="s">
        <v>1175</v>
      </c>
      <c r="G242" s="756"/>
      <c r="H242" s="756">
        <f t="shared" ref="H242:AC242" si="326">(H231/G231-1)*100</f>
        <v>-0.60703445813248269</v>
      </c>
      <c r="I242" s="756">
        <f t="shared" si="326"/>
        <v>-4.6703790192204053</v>
      </c>
      <c r="J242" s="756">
        <f t="shared" si="326"/>
        <v>-0.78798156808330688</v>
      </c>
      <c r="K242" s="756">
        <f t="shared" si="326"/>
        <v>-3.2690459335485866</v>
      </c>
      <c r="L242" s="756">
        <f t="shared" si="326"/>
        <v>2.4186207019652572</v>
      </c>
      <c r="M242" s="756">
        <f t="shared" si="326"/>
        <v>0.91265046242505754</v>
      </c>
      <c r="N242" s="756">
        <f t="shared" si="326"/>
        <v>-8.1418710817641191</v>
      </c>
      <c r="O242" s="756">
        <f t="shared" si="326"/>
        <v>-4.5386177333233029</v>
      </c>
      <c r="P242" s="756">
        <f t="shared" si="326"/>
        <v>-5.7732960439070062</v>
      </c>
      <c r="Q242" s="756">
        <f t="shared" si="326"/>
        <v>-5.4226353046095355</v>
      </c>
      <c r="R242" s="756">
        <f t="shared" si="326"/>
        <v>-1.4925043279678807</v>
      </c>
      <c r="S242" s="756">
        <f t="shared" si="326"/>
        <v>2.6211682707767858</v>
      </c>
      <c r="T242" s="756">
        <f t="shared" si="326"/>
        <v>2.2583513088089369</v>
      </c>
      <c r="U242" s="756">
        <f t="shared" si="326"/>
        <v>-4.9492955538293799</v>
      </c>
      <c r="V242" s="756">
        <f t="shared" si="326"/>
        <v>-1.2528303018488729</v>
      </c>
      <c r="W242" s="756">
        <f t="shared" si="326"/>
        <v>3.5472677989780266</v>
      </c>
      <c r="X242" s="756">
        <f t="shared" si="326"/>
        <v>2.4292596367476049</v>
      </c>
      <c r="Y242" s="756">
        <f t="shared" si="326"/>
        <v>-7.1399937004266611</v>
      </c>
      <c r="Z242" s="756">
        <f t="shared" si="326"/>
        <v>0.64678764704975134</v>
      </c>
      <c r="AA242" s="756">
        <f t="shared" si="326"/>
        <v>-4.8890522913363599</v>
      </c>
      <c r="AB242" s="756">
        <f t="shared" si="326"/>
        <v>-2.4256285534813848</v>
      </c>
      <c r="AC242" s="756">
        <f t="shared" si="326"/>
        <v>-11.060398474769329</v>
      </c>
      <c r="AD242" s="3481">
        <v>-5.22</v>
      </c>
      <c r="AE242" s="3481">
        <v>-0.64</v>
      </c>
      <c r="AK242" s="756">
        <v>0.37091747289139665</v>
      </c>
      <c r="AM242" s="756">
        <f t="shared" si="267"/>
        <v>0.27587017415835469</v>
      </c>
    </row>
    <row r="243" spans="1:39" ht="12.75" customHeight="1">
      <c r="A243" s="714"/>
      <c r="B243" s="714"/>
      <c r="C243" s="841" t="s">
        <v>2133</v>
      </c>
      <c r="D243" s="741" t="s">
        <v>592</v>
      </c>
      <c r="E243" s="842" t="s">
        <v>975</v>
      </c>
      <c r="F243" s="785" t="s">
        <v>331</v>
      </c>
      <c r="G243" s="789"/>
      <c r="H243" s="789">
        <f t="shared" ref="H243:AB244" si="327">(H234/G234-1)*100</f>
        <v>17.380876962758407</v>
      </c>
      <c r="I243" s="789">
        <f t="shared" si="327"/>
        <v>23.149575944487299</v>
      </c>
      <c r="J243" s="789">
        <f t="shared" si="327"/>
        <v>3.3025512599780704</v>
      </c>
      <c r="K243" s="789">
        <f t="shared" si="327"/>
        <v>-11.89090909090913</v>
      </c>
      <c r="L243" s="789">
        <f t="shared" si="327"/>
        <v>35.826798734351506</v>
      </c>
      <c r="M243" s="789">
        <f t="shared" si="327"/>
        <v>-50.586179829336885</v>
      </c>
      <c r="N243" s="789">
        <f t="shared" si="327"/>
        <v>-26.205482961824124</v>
      </c>
      <c r="O243" s="789">
        <f t="shared" si="327"/>
        <v>20.804110825636979</v>
      </c>
      <c r="P243" s="789">
        <f t="shared" si="327"/>
        <v>-86.066563200551741</v>
      </c>
      <c r="Q243" s="789">
        <f t="shared" si="327"/>
        <v>-188.07755775577505</v>
      </c>
      <c r="R243" s="789">
        <f t="shared" si="327"/>
        <v>-309.88290398126736</v>
      </c>
      <c r="S243" s="789">
        <f t="shared" si="327"/>
        <v>40.615933943315682</v>
      </c>
      <c r="T243" s="789">
        <f t="shared" si="327"/>
        <v>615.68005078558417</v>
      </c>
      <c r="U243" s="789">
        <f t="shared" si="327"/>
        <v>-186.47078390065391</v>
      </c>
      <c r="V243" s="789">
        <f t="shared" si="327"/>
        <v>-277.47602195209544</v>
      </c>
      <c r="W243" s="789">
        <f t="shared" si="327"/>
        <v>-110.62784480890109</v>
      </c>
      <c r="X243" s="789">
        <f t="shared" si="327"/>
        <v>-744.37797416723333</v>
      </c>
      <c r="Y243" s="789">
        <f t="shared" si="327"/>
        <v>-67.481115753048982</v>
      </c>
      <c r="Z243" s="789">
        <f t="shared" si="327"/>
        <v>-249.44848170256941</v>
      </c>
      <c r="AA243" s="789">
        <f t="shared" si="327"/>
        <v>169.20939521556068</v>
      </c>
      <c r="AB243" s="789">
        <f t="shared" si="327"/>
        <v>-63.162223619913902</v>
      </c>
      <c r="AC243" s="3722">
        <v>-40.58</v>
      </c>
      <c r="AD243" s="3722">
        <v>-43.33</v>
      </c>
      <c r="AE243" s="3722">
        <v>-10.3</v>
      </c>
      <c r="AK243" s="789">
        <v>-52.795862271791613</v>
      </c>
      <c r="AM243" s="789">
        <f t="shared" si="267"/>
        <v>-196.6526194307778</v>
      </c>
    </row>
    <row r="244" spans="1:39" ht="12.75" customHeight="1">
      <c r="A244" s="714"/>
      <c r="B244" s="714"/>
      <c r="C244" s="822" t="s">
        <v>624</v>
      </c>
      <c r="D244" s="766" t="s">
        <v>589</v>
      </c>
      <c r="E244" s="771" t="s">
        <v>975</v>
      </c>
      <c r="F244" s="772" t="s">
        <v>586</v>
      </c>
      <c r="G244" s="770"/>
      <c r="H244" s="770">
        <f t="shared" ref="H244:U244" ca="1" si="328">(H235/G235-1)*100</f>
        <v>-6.3474174410445112</v>
      </c>
      <c r="I244" s="770">
        <f t="shared" si="328"/>
        <v>-0.7038735752236458</v>
      </c>
      <c r="J244" s="770">
        <f t="shared" si="328"/>
        <v>5.7917162108600984</v>
      </c>
      <c r="K244" s="770">
        <f t="shared" si="328"/>
        <v>-4.8874415052469704</v>
      </c>
      <c r="L244" s="770">
        <f t="shared" si="328"/>
        <v>10.859701085515594</v>
      </c>
      <c r="M244" s="770">
        <f t="shared" si="328"/>
        <v>3.5996638127190783</v>
      </c>
      <c r="N244" s="770">
        <f t="shared" si="328"/>
        <v>-7.7614352141938348</v>
      </c>
      <c r="O244" s="770">
        <f t="shared" si="328"/>
        <v>-4.4738018198394736</v>
      </c>
      <c r="P244" s="770">
        <f t="shared" si="328"/>
        <v>1.1497780539108327</v>
      </c>
      <c r="Q244" s="770">
        <f t="shared" si="328"/>
        <v>1.2547455356812343</v>
      </c>
      <c r="R244" s="770">
        <f t="shared" si="328"/>
        <v>3.5604524109704272</v>
      </c>
      <c r="S244" s="770">
        <f t="shared" si="328"/>
        <v>6.800570242917825</v>
      </c>
      <c r="T244" s="770">
        <f t="shared" si="328"/>
        <v>12.246745523029157</v>
      </c>
      <c r="U244" s="770">
        <f t="shared" si="328"/>
        <v>-3.9372906401040852</v>
      </c>
      <c r="V244" s="770">
        <f t="shared" si="327"/>
        <v>0.71150605178489368</v>
      </c>
      <c r="W244" s="770">
        <f t="shared" si="327"/>
        <v>-6.1499002044591577</v>
      </c>
      <c r="X244" s="2223">
        <f t="shared" ref="X244:AE244" si="329">(X235/W235-1)*100</f>
        <v>-5.437027287256968</v>
      </c>
      <c r="Y244" s="2223">
        <f t="shared" si="329"/>
        <v>0.20055675927703742</v>
      </c>
      <c r="Z244" s="2223">
        <f t="shared" si="329"/>
        <v>-5.0733389673353386</v>
      </c>
      <c r="AA244" s="3845">
        <f t="shared" si="329"/>
        <v>-2.483375083349848</v>
      </c>
      <c r="AB244" s="2223">
        <f t="shared" si="329"/>
        <v>-2.9487534882001842</v>
      </c>
      <c r="AC244" s="2223">
        <f t="shared" si="329"/>
        <v>-2.5287820293318219E-5</v>
      </c>
      <c r="AD244" s="2223">
        <f t="shared" si="329"/>
        <v>2.211270116728925</v>
      </c>
      <c r="AE244" s="2223">
        <f t="shared" si="329"/>
        <v>1.9803117919533042</v>
      </c>
      <c r="AK244" s="2223">
        <v>4.0000000000000036</v>
      </c>
      <c r="AM244" s="2223">
        <f t="shared" si="267"/>
        <v>-9.0733389673353422</v>
      </c>
    </row>
    <row r="245" spans="1:39" ht="12.75" customHeight="1">
      <c r="A245" s="714"/>
      <c r="B245" s="714"/>
      <c r="C245" s="822"/>
      <c r="E245" s="833"/>
      <c r="F245" s="834"/>
      <c r="G245" s="753"/>
      <c r="H245" s="835"/>
      <c r="I245" s="753"/>
      <c r="J245" s="753"/>
      <c r="K245" s="753"/>
      <c r="L245" s="753"/>
      <c r="M245" s="753"/>
      <c r="N245" s="753"/>
      <c r="O245" s="753"/>
      <c r="P245" s="753"/>
      <c r="Q245" s="753"/>
      <c r="R245" s="753"/>
      <c r="S245" s="2218"/>
      <c r="T245" s="2218"/>
      <c r="U245" s="2234"/>
      <c r="V245" s="3009"/>
      <c r="W245" s="3009"/>
      <c r="X245" s="2965"/>
      <c r="Y245" s="3009"/>
      <c r="Z245" s="3009"/>
      <c r="AA245" s="3009"/>
      <c r="AB245" s="3009"/>
      <c r="AC245" s="3009"/>
      <c r="AD245" s="3009"/>
      <c r="AE245" s="3009"/>
      <c r="AK245" s="3009"/>
      <c r="AM245" s="3009">
        <f t="shared" si="267"/>
        <v>0</v>
      </c>
    </row>
    <row r="246" spans="1:39" ht="12.75" customHeight="1">
      <c r="A246" s="714"/>
      <c r="B246" s="714"/>
      <c r="C246" s="822"/>
      <c r="D246" s="862"/>
      <c r="E246" s="863" t="s">
        <v>1805</v>
      </c>
      <c r="F246" s="864"/>
      <c r="G246" s="865">
        <f>+InputY!$G$3</f>
        <v>1995</v>
      </c>
      <c r="H246" s="865">
        <f>+G246+1</f>
        <v>1996</v>
      </c>
      <c r="I246" s="865">
        <f t="shared" ref="I246:S246" si="330">+H246+1</f>
        <v>1997</v>
      </c>
      <c r="J246" s="865">
        <f t="shared" si="330"/>
        <v>1998</v>
      </c>
      <c r="K246" s="865">
        <f t="shared" si="330"/>
        <v>1999</v>
      </c>
      <c r="L246" s="865">
        <f t="shared" si="330"/>
        <v>2000</v>
      </c>
      <c r="M246" s="865">
        <f t="shared" si="330"/>
        <v>2001</v>
      </c>
      <c r="N246" s="865">
        <f t="shared" si="330"/>
        <v>2002</v>
      </c>
      <c r="O246" s="865">
        <f t="shared" si="330"/>
        <v>2003</v>
      </c>
      <c r="P246" s="865">
        <f>+O246+1</f>
        <v>2004</v>
      </c>
      <c r="Q246" s="865">
        <f>+P246+1</f>
        <v>2005</v>
      </c>
      <c r="R246" s="865">
        <f>+Q246+1</f>
        <v>2006</v>
      </c>
      <c r="S246" s="2219">
        <f t="shared" si="330"/>
        <v>2007</v>
      </c>
      <c r="T246" s="2219">
        <f t="shared" ref="T246:AE246" si="331">+S246+1</f>
        <v>2008</v>
      </c>
      <c r="U246" s="2219">
        <f t="shared" si="331"/>
        <v>2009</v>
      </c>
      <c r="V246" s="2219">
        <f t="shared" si="331"/>
        <v>2010</v>
      </c>
      <c r="W246" s="2219">
        <f t="shared" si="331"/>
        <v>2011</v>
      </c>
      <c r="X246" s="2219">
        <f t="shared" si="331"/>
        <v>2012</v>
      </c>
      <c r="Y246" s="2219">
        <f t="shared" ref="Y246" si="332">+X246+1</f>
        <v>2013</v>
      </c>
      <c r="Z246" s="2219">
        <f t="shared" ref="Z246" si="333">+Y246+1</f>
        <v>2014</v>
      </c>
      <c r="AA246" s="2219">
        <f t="shared" si="331"/>
        <v>2015</v>
      </c>
      <c r="AB246" s="2219">
        <f t="shared" si="331"/>
        <v>2016</v>
      </c>
      <c r="AC246" s="2219">
        <f t="shared" si="331"/>
        <v>2017</v>
      </c>
      <c r="AD246" s="2219">
        <f t="shared" si="331"/>
        <v>2018</v>
      </c>
      <c r="AE246" s="2219">
        <f t="shared" si="331"/>
        <v>2019</v>
      </c>
      <c r="AK246" s="2219">
        <v>2014</v>
      </c>
      <c r="AM246" s="2219">
        <f t="shared" si="267"/>
        <v>0</v>
      </c>
    </row>
    <row r="247" spans="1:39" ht="12.75" customHeight="1">
      <c r="A247" s="714"/>
      <c r="B247" s="714"/>
      <c r="C247" s="866" t="s">
        <v>2133</v>
      </c>
      <c r="D247" s="867" t="s">
        <v>590</v>
      </c>
      <c r="E247" s="868" t="s">
        <v>975</v>
      </c>
      <c r="F247" s="869" t="s">
        <v>1472</v>
      </c>
      <c r="G247" s="878">
        <f ca="1">+G227/'VVP2'!G$355</f>
        <v>-4.5763469114604112E-2</v>
      </c>
      <c r="H247" s="878">
        <f>+H227/'VVP2'!H$355</f>
        <v>-3.8529719036187411E-2</v>
      </c>
      <c r="I247" s="878">
        <f>+I227/'VVP2'!I$355</f>
        <v>-3.6252808464181101E-2</v>
      </c>
      <c r="J247" s="878">
        <f>+J227/'VVP2'!J$355</f>
        <v>-4.1433820519118987E-2</v>
      </c>
      <c r="K247" s="878">
        <f>+K227/'VVP2'!K$355</f>
        <v>-3.7114803501674655E-2</v>
      </c>
      <c r="L247" s="878">
        <f>+L227/'VVP2'!L$355</f>
        <v>-4.2594356793766615E-2</v>
      </c>
      <c r="M247" s="878">
        <f>+M227/'VVP2'!M$355</f>
        <v>-5.4425249559423926E-2</v>
      </c>
      <c r="N247" s="878">
        <f>+N227/'VVP2'!N$355</f>
        <v>-4.9618435781202355E-2</v>
      </c>
      <c r="O247" s="878">
        <f>+O227/'VVP2'!O$355</f>
        <v>-4.4868939432805025E-2</v>
      </c>
      <c r="P247" s="878">
        <f>+P227/'VVP2'!P$355</f>
        <v>-4.9098325202838321E-2</v>
      </c>
      <c r="Q247" s="878">
        <f>+Q227/'VVP2'!Q$355</f>
        <v>-5.3057844977924803E-2</v>
      </c>
      <c r="R247" s="878">
        <f>+R227/'VVP2'!R$355</f>
        <v>-5.2992067338084224E-2</v>
      </c>
      <c r="S247" s="878">
        <f>+S227/'VVP2'!S$355</f>
        <v>-5.5161620190738642E-2</v>
      </c>
      <c r="T247" s="878">
        <f>+T227/'VVP2'!T$355</f>
        <v>-5.394730190057842E-2</v>
      </c>
      <c r="U247" s="878">
        <f>+U227/'VVP2'!U$355</f>
        <v>-7.5529321973008282E-2</v>
      </c>
      <c r="V247" s="878">
        <f>+V227/'VVP2'!V$355</f>
        <v>-4.5233024879451016E-2</v>
      </c>
      <c r="W247" s="878">
        <f>+W227/'VVP2'!W$355</f>
        <v>-5.9622855120054739E-2</v>
      </c>
      <c r="X247" s="878">
        <f>+X227/'VVP2'!X$355</f>
        <v>-3.9131860869197212E-2</v>
      </c>
      <c r="Y247" s="878">
        <f>+Y227/'VVP2'!Y$355</f>
        <v>-5.0397640004914111E-2</v>
      </c>
      <c r="Z247" s="878">
        <f>+Z227/'VVP2'!Z$355</f>
        <v>-5.2522407605320377E-2</v>
      </c>
      <c r="AA247" s="878">
        <f>+AA227/'VVP2'!AA$355</f>
        <v>-5.9618180896765204E-2</v>
      </c>
      <c r="AB247" s="2204">
        <f>+AB227/'VVP2'!AB$355</f>
        <v>-4.7716998811483523E-2</v>
      </c>
      <c r="AC247" s="2204">
        <f>+AC227/'VVP2'!AC$355</f>
        <v>-4.7188122456296083E-2</v>
      </c>
      <c r="AD247" s="2204">
        <f ca="1">+AD227/'VVP2'!AD$355</f>
        <v>-4.6779468413098046E-2</v>
      </c>
      <c r="AE247" s="2204">
        <f ca="1">+AE227/'VVP2'!AE$355</f>
        <v>-4.6347252277087442E-2</v>
      </c>
      <c r="AK247" s="2204">
        <v>-6.1182800109379251E-2</v>
      </c>
      <c r="AM247" s="2204">
        <f t="shared" si="267"/>
        <v>8.6603925040588739E-3</v>
      </c>
    </row>
    <row r="248" spans="1:39" ht="12.75" customHeight="1">
      <c r="A248" s="714"/>
      <c r="B248" s="714"/>
      <c r="C248" s="870" t="s">
        <v>2133</v>
      </c>
      <c r="D248" s="724" t="s">
        <v>591</v>
      </c>
      <c r="E248" s="830" t="s">
        <v>235</v>
      </c>
      <c r="F248" s="754" t="s">
        <v>128</v>
      </c>
      <c r="G248" s="879">
        <f ca="1">+G228/'VVP2'!G$355</f>
        <v>1.0807380160423456E-2</v>
      </c>
      <c r="H248" s="879">
        <f>+H228/'VVP2'!H$355</f>
        <v>1.3251218843543463E-2</v>
      </c>
      <c r="I248" s="879">
        <f>+I228/'VVP2'!I$355</f>
        <v>1.1781277672527212E-2</v>
      </c>
      <c r="J248" s="879">
        <f>+J228/'VVP2'!J$355</f>
        <v>1.1234613390103444E-2</v>
      </c>
      <c r="K248" s="879">
        <f>+K228/'VVP2'!K$355</f>
        <v>9.7463005576801827E-3</v>
      </c>
      <c r="L248" s="879">
        <f>+L228/'VVP2'!L$355</f>
        <v>1.1215930478425541E-2</v>
      </c>
      <c r="M248" s="879">
        <f>+M228/'VVP2'!M$355</f>
        <v>1.3050983413873592E-2</v>
      </c>
      <c r="N248" s="879">
        <f>+N228/'VVP2'!N$355</f>
        <v>1.1212254844398653E-2</v>
      </c>
      <c r="O248" s="879">
        <f>+O228/'VVP2'!O$355</f>
        <v>1.0405237823140323E-2</v>
      </c>
      <c r="P248" s="879">
        <f>+P228/'VVP2'!P$355</f>
        <v>7.5045830281328958E-3</v>
      </c>
      <c r="Q248" s="879">
        <f>+Q228/'VVP2'!Q$355</f>
        <v>8.1176753109661985E-3</v>
      </c>
      <c r="R248" s="879">
        <f>+R228/'VVP2'!R$355</f>
        <v>8.577670932746714E-3</v>
      </c>
      <c r="S248" s="879">
        <f>+S228/'VVP2'!S$355</f>
        <v>9.0156289661674598E-3</v>
      </c>
      <c r="T248" s="879">
        <f>+T228/'VVP2'!T$355</f>
        <v>1.0373492618182096E-2</v>
      </c>
      <c r="U248" s="879">
        <f>+U228/'VVP2'!U$355</f>
        <v>9.0325995301924339E-3</v>
      </c>
      <c r="V248" s="879">
        <f>+V228/'VVP2'!V$355</f>
        <v>1.02530673061253E-2</v>
      </c>
      <c r="W248" s="879">
        <f>+W228/'VVP2'!W$355</f>
        <v>1.2311058929909633E-2</v>
      </c>
      <c r="X248" s="879">
        <f>+X228/'VVP2'!X$355</f>
        <v>1.2155867830743787E-2</v>
      </c>
      <c r="Y248" s="879">
        <f>+Y228/'VVP2'!Y$355</f>
        <v>1.2909982622206568E-2</v>
      </c>
      <c r="Z248" s="879">
        <f>+Z228/'VVP2'!Z$355</f>
        <v>1.0074241508992769E-2</v>
      </c>
      <c r="AA248" s="879">
        <f>+AA228/'VVP2'!AA$355</f>
        <v>8.7896944511581844E-3</v>
      </c>
      <c r="AB248" s="2138">
        <f>+AB228/'VVP2'!AB$355</f>
        <v>8.9599677010951933E-3</v>
      </c>
      <c r="AC248" s="2138">
        <f>+AC228/'VVP2'!AC$355</f>
        <v>8.7857133409018247E-3</v>
      </c>
      <c r="AD248" s="2138">
        <f ca="1">+AD228/'VVP2'!AD$355</f>
        <v>8.413925653347103E-3</v>
      </c>
      <c r="AE248" s="2138">
        <f ca="1">+AE228/'VVP2'!AE$355</f>
        <v>8.159702533545905E-3</v>
      </c>
      <c r="AK248" s="2138">
        <v>8.4510403460362447E-3</v>
      </c>
      <c r="AM248" s="2138">
        <f t="shared" si="267"/>
        <v>1.6232011629565245E-3</v>
      </c>
    </row>
    <row r="249" spans="1:39" ht="12.75" customHeight="1">
      <c r="A249" s="714"/>
      <c r="B249" s="714"/>
      <c r="C249" s="870" t="s">
        <v>622</v>
      </c>
      <c r="D249" s="724" t="s">
        <v>591</v>
      </c>
      <c r="E249" s="830" t="s">
        <v>1040</v>
      </c>
      <c r="F249" s="1024" t="s">
        <v>1293</v>
      </c>
      <c r="G249" s="879">
        <f ca="1">+G230/'VVP2'!G$355</f>
        <v>8.0457833469357288E-6</v>
      </c>
      <c r="H249" s="879">
        <f>+H230/'VVP2'!H$355</f>
        <v>6.4832103375782395E-6</v>
      </c>
      <c r="I249" s="879">
        <f>+I230/'VVP2'!I$355</f>
        <v>7.9657049848182975E-6</v>
      </c>
      <c r="J249" s="879">
        <f>+J230/'VVP2'!J$355</f>
        <v>1.0234995496608187E-5</v>
      </c>
      <c r="K249" s="879">
        <f>+K230/'VVP2'!K$355</f>
        <v>1.3921531696057976E-5</v>
      </c>
      <c r="L249" s="879">
        <f>+L230/'VVP2'!L$355</f>
        <v>1.5103283221419769E-5</v>
      </c>
      <c r="M249" s="879">
        <f>+M230/'VVP2'!M$355</f>
        <v>1.5049565744780433E-5</v>
      </c>
      <c r="N249" s="879">
        <f>+N230/'VVP2'!N$355</f>
        <v>3.1992426520125934E-5</v>
      </c>
      <c r="O249" s="879">
        <f>+O230/'VVP2'!O$355</f>
        <v>1.9813435278170175E-5</v>
      </c>
      <c r="P249" s="879">
        <f>+P230/'VVP2'!P$355</f>
        <v>1.9082001722069398E-5</v>
      </c>
      <c r="Q249" s="879">
        <f>+Q230/'VVP2'!Q$355</f>
        <v>1.7657589167614825E-5</v>
      </c>
      <c r="R249" s="879">
        <f>+R230/'VVP2'!R$355</f>
        <v>3.153105303615293E-5</v>
      </c>
      <c r="S249" s="879">
        <f>+S230/'VVP2'!S$355</f>
        <v>1.8566196468070164E-5</v>
      </c>
      <c r="T249" s="879">
        <f>+T230/'VVP2'!T$355</f>
        <v>7.9081323561548611E-6</v>
      </c>
      <c r="U249" s="879">
        <f>+U230/'VVP2'!U$355</f>
        <v>1.0895085771565867E-5</v>
      </c>
      <c r="V249" s="879">
        <f>+V230/'VVP2'!V$355</f>
        <v>1.3147064986214131E-5</v>
      </c>
      <c r="W249" s="879">
        <f>+W230/'VVP2'!W$355</f>
        <v>1.9255812947453239E-5</v>
      </c>
      <c r="X249" s="879">
        <f>+X230/'VVP2'!X$355</f>
        <v>1.8064511467222848E-5</v>
      </c>
      <c r="Y249" s="879">
        <f>+Y230/'VVP2'!Y$355</f>
        <v>1.6312390432990624E-5</v>
      </c>
      <c r="Z249" s="879">
        <f>+Z230/'VVP2'!Z$355</f>
        <v>6.2455001171655823E-6</v>
      </c>
      <c r="AA249" s="879">
        <f>+AA230/'VVP2'!AA$355</f>
        <v>3.4110134803243876E-6</v>
      </c>
      <c r="AB249" s="2138">
        <f>+AB230/'VVP2'!AB$355</f>
        <v>0</v>
      </c>
      <c r="AC249" s="2138">
        <f>+AC230/'VVP2'!AC$355</f>
        <v>0</v>
      </c>
      <c r="AD249" s="2138">
        <f ca="1">+AD230/'VVP2'!AD$355</f>
        <v>0</v>
      </c>
      <c r="AE249" s="2138">
        <f ca="1">+AE230/'VVP2'!AE$355</f>
        <v>0</v>
      </c>
      <c r="AK249" s="2138">
        <v>1.1932284286671322E-5</v>
      </c>
      <c r="AM249" s="2138">
        <f t="shared" si="267"/>
        <v>-5.6867841695057396E-6</v>
      </c>
    </row>
    <row r="250" spans="1:39" ht="12.75" customHeight="1">
      <c r="A250" s="714"/>
      <c r="B250" s="714"/>
      <c r="C250" s="870" t="s">
        <v>622</v>
      </c>
      <c r="D250" s="724" t="s">
        <v>591</v>
      </c>
      <c r="E250" s="830" t="s">
        <v>1565</v>
      </c>
      <c r="F250" s="754" t="s">
        <v>1175</v>
      </c>
      <c r="G250" s="879">
        <f ca="1">+G231/'VVP2'!G$355</f>
        <v>8.7478016080207943E-2</v>
      </c>
      <c r="H250" s="879">
        <f>+H231/'VVP2'!H$355</f>
        <v>8.5074075308971278E-2</v>
      </c>
      <c r="I250" s="879">
        <f>+I231/'VVP2'!I$355</f>
        <v>7.7502326649664305E-2</v>
      </c>
      <c r="J250" s="879">
        <f>+J231/'VVP2'!J$355</f>
        <v>7.4097529272087126E-2</v>
      </c>
      <c r="K250" s="879">
        <f>+K231/'VVP2'!K$355</f>
        <v>6.8817816284916428E-2</v>
      </c>
      <c r="L250" s="879">
        <f>+L231/'VVP2'!L$355</f>
        <v>6.6662019502598549E-2</v>
      </c>
      <c r="M250" s="879">
        <f>+M231/'VVP2'!M$355</f>
        <v>6.5355372920714361E-2</v>
      </c>
      <c r="N250" s="879">
        <f>+N231/'VVP2'!N$355</f>
        <v>5.8009540287008429E-2</v>
      </c>
      <c r="O250" s="879">
        <f>+O231/'VVP2'!O$355</f>
        <v>5.3893251579325389E-2</v>
      </c>
      <c r="P250" s="879">
        <f>+P231/'VVP2'!P$355</f>
        <v>4.8049149880084678E-2</v>
      </c>
      <c r="Q250" s="879">
        <f>+Q231/'VVP2'!Q$355</f>
        <v>4.358053530105227E-2</v>
      </c>
      <c r="R250" s="879">
        <f>+R231/'VVP2'!R$355</f>
        <v>4.0934960009134831E-2</v>
      </c>
      <c r="S250" s="879">
        <f>+S231/'VVP2'!S$355</f>
        <v>3.9808246002103205E-2</v>
      </c>
      <c r="T250" s="879">
        <f>+T231/'VVP2'!T$355</f>
        <v>3.9631887736153074E-2</v>
      </c>
      <c r="U250" s="879">
        <f>+U231/'VVP2'!U$355</f>
        <v>3.8241177632618285E-2</v>
      </c>
      <c r="V250" s="879">
        <f>+V231/'VVP2'!V$355</f>
        <v>3.6074176836240979E-2</v>
      </c>
      <c r="W250" s="879">
        <f>+W231/'VVP2'!W$355</f>
        <v>3.5973815259730584E-2</v>
      </c>
      <c r="X250" s="879">
        <f>+X231/'VVP2'!X$355</f>
        <v>3.6049539083989918E-2</v>
      </c>
      <c r="Y250" s="879">
        <f>+Y231/'VVP2'!Y$355</f>
        <v>3.3062666596659324E-2</v>
      </c>
      <c r="Z250" s="879">
        <f>+Z231/'VVP2'!Z$355</f>
        <v>3.2615750351871475E-2</v>
      </c>
      <c r="AA250" s="879">
        <f>+AA231/'VVP2'!AA$355</f>
        <v>3.0254227707565039E-2</v>
      </c>
      <c r="AB250" s="2225">
        <f>+AB231/'VVP2'!AB$355</f>
        <v>2.8640221780770241E-2</v>
      </c>
      <c r="AC250" s="2225">
        <f>+AC231/'VVP2'!AC$355</f>
        <v>2.4575777575768908E-2</v>
      </c>
      <c r="AD250" s="2225">
        <f ca="1">+AD231/'VVP2'!AD$355</f>
        <v>2.2528002792035748E-2</v>
      </c>
      <c r="AE250" s="2225">
        <f ca="1">+AE231/'VVP2'!AE$355</f>
        <v>2.1636106885901372E-2</v>
      </c>
      <c r="AK250" s="2225">
        <v>3.0741790339821516E-2</v>
      </c>
      <c r="AM250" s="2225">
        <f t="shared" si="267"/>
        <v>1.8739600120499592E-3</v>
      </c>
    </row>
    <row r="251" spans="1:39" ht="12.75" customHeight="1">
      <c r="A251" s="714"/>
      <c r="B251" s="714"/>
      <c r="C251" s="871" t="s">
        <v>2133</v>
      </c>
      <c r="D251" s="872" t="s">
        <v>592</v>
      </c>
      <c r="E251" s="873" t="s">
        <v>975</v>
      </c>
      <c r="F251" s="874" t="s">
        <v>331</v>
      </c>
      <c r="G251" s="880">
        <f ca="1">+G234/'VVP2'!G$355</f>
        <v>-1.0459045069638628E-2</v>
      </c>
      <c r="H251" s="880">
        <f>+H234/'VVP2'!H$355</f>
        <v>-1.2012462582614623E-2</v>
      </c>
      <c r="I251" s="880">
        <f>+I234/'VVP2'!I$355</f>
        <v>-1.4136913652200503E-2</v>
      </c>
      <c r="J251" s="880">
        <f>+J234/'VVP2'!J$355</f>
        <v>-1.4073118807827724E-2</v>
      </c>
      <c r="K251" s="880">
        <f>+K234/'VVP2'!K$355</f>
        <v>-1.1905366341012007E-2</v>
      </c>
      <c r="L251" s="880">
        <f>+L234/'VVP2'!L$355</f>
        <v>-1.5294204211879712E-2</v>
      </c>
      <c r="M251" s="880">
        <f>+M234/'VVP2'!M$355</f>
        <v>-7.3423068877347536E-3</v>
      </c>
      <c r="N251" s="880">
        <f>+N234/'VVP2'!N$355</f>
        <v>-5.2354878899576948E-3</v>
      </c>
      <c r="O251" s="880">
        <f>+O234/'VVP2'!O$355</f>
        <v>-6.1552559559717186E-3</v>
      </c>
      <c r="P251" s="880">
        <f>+P234/'VVP2'!P$355</f>
        <v>-8.1148723112790518E-4</v>
      </c>
      <c r="Q251" s="880">
        <f>+Q234/'VVP2'!Q$355</f>
        <v>6.854355067792301E-4</v>
      </c>
      <c r="R251" s="880">
        <f>+R234/'VVP2'!R$355</f>
        <v>-1.3717538704367783E-3</v>
      </c>
      <c r="S251" s="880">
        <f>+S234/'VVP2'!S$355</f>
        <v>-1.8279000616455911E-3</v>
      </c>
      <c r="T251" s="880">
        <f>+T234/'VVP2'!T$355</f>
        <v>-1.2736329592880893E-2</v>
      </c>
      <c r="U251" s="880">
        <f>+U234/'VVP2'!U$355</f>
        <v>1.1180078278324125E-2</v>
      </c>
      <c r="V251" s="880">
        <f>+V234/'VVP2'!V$355</f>
        <v>-1.8955054841064307E-2</v>
      </c>
      <c r="W251" s="880">
        <f>+W234/'VVP2'!W$355</f>
        <v>1.9400890990205124E-3</v>
      </c>
      <c r="X251" s="880">
        <f>+X234/'VVP2'!X$355</f>
        <v>-1.2230706521108E-2</v>
      </c>
      <c r="Y251" s="880">
        <f>+Y234/'VVP2'!Y$355</f>
        <v>-3.9282275211436546E-3</v>
      </c>
      <c r="Z251" s="880">
        <f>+Z234/'VVP2'!Z$355</f>
        <v>5.754104167946983E-3</v>
      </c>
      <c r="AA251" s="880">
        <f>+AA234/'VVP2'!AA$355</f>
        <v>1.5107622348180654E-2</v>
      </c>
      <c r="AB251" s="2206">
        <f>+AB234/'VVP2'!AB$355</f>
        <v>5.3993821983489287E-3</v>
      </c>
      <c r="AC251" s="2206">
        <f>+AC234/'VVP2'!AC$355</f>
        <v>3.0953690049775945E-3</v>
      </c>
      <c r="AD251" s="2206">
        <f ca="1">+AD234/'VVP2'!AD$355</f>
        <v>1.6965410066756743E-3</v>
      </c>
      <c r="AE251" s="2206">
        <f ca="1">+AE234/'VVP2'!AE$355</f>
        <v>1.4709626603474565E-3</v>
      </c>
      <c r="AK251" s="2206">
        <v>1.0373950331866631E-2</v>
      </c>
      <c r="AM251" s="2206">
        <f t="shared" si="267"/>
        <v>-4.6198461639196482E-3</v>
      </c>
    </row>
    <row r="252" spans="1:39" ht="12.75" customHeight="1">
      <c r="A252" s="714"/>
      <c r="B252" s="714"/>
      <c r="C252" s="822" t="s">
        <v>624</v>
      </c>
      <c r="D252" s="850" t="s">
        <v>589</v>
      </c>
      <c r="E252" s="851" t="s">
        <v>975</v>
      </c>
      <c r="F252" s="852" t="s">
        <v>586</v>
      </c>
      <c r="G252" s="881">
        <f ca="1">+G235/'VVP2'!G$355</f>
        <v>0.13354201886688868</v>
      </c>
      <c r="H252" s="881">
        <f>+H235/'VVP2'!H$355</f>
        <v>0.12237152129456745</v>
      </c>
      <c r="I252" s="881">
        <f>+I235/'VVP2'!I$355</f>
        <v>0.1161187367985035</v>
      </c>
      <c r="J252" s="881">
        <f>+J235/'VVP2'!J$355</f>
        <v>0.11838009020442698</v>
      </c>
      <c r="K252" s="881">
        <f>+K235/'VVP2'!K$355</f>
        <v>0.108105607101619</v>
      </c>
      <c r="L252" s="881">
        <f>+L235/'VVP2'!L$355</f>
        <v>0.11334975331304073</v>
      </c>
      <c r="M252" s="881">
        <f>+M235/'VVP2'!M$355</f>
        <v>0.11408699551974426</v>
      </c>
      <c r="N252" s="881">
        <f>+N235/'VVP2'!N$355</f>
        <v>0.10168320154028992</v>
      </c>
      <c r="O252" s="881">
        <f>+O235/'VVP2'!O$355</f>
        <v>9.4532022580239988E-2</v>
      </c>
      <c r="P252" s="881">
        <f>+P235/'VVP2'!P$355</f>
        <v>9.0473461287640083E-2</v>
      </c>
      <c r="Q252" s="881">
        <f>+Q235/'VVP2'!Q$355</f>
        <v>8.7852927050399252E-2</v>
      </c>
      <c r="R252" s="881">
        <f>+R235/'VVP2'!R$355</f>
        <v>8.6752641337945247E-2</v>
      </c>
      <c r="S252" s="881">
        <f>+S235/'VVP2'!S$355</f>
        <v>8.7800703484788051E-2</v>
      </c>
      <c r="T252" s="881">
        <f>+T235/'VVP2'!T$355</f>
        <v>9.5949934743786394E-2</v>
      </c>
      <c r="U252" s="881">
        <f>+U235/'VVP2'!U$355</f>
        <v>9.3568716882881556E-2</v>
      </c>
      <c r="V252" s="881">
        <f>+V235/'VVP2'!V$355</f>
        <v>9.0022336315617194E-2</v>
      </c>
      <c r="W252" s="881">
        <f>+W235/'VVP2'!W$355</f>
        <v>8.1364778163802609E-2</v>
      </c>
      <c r="X252" s="881">
        <f>+X235/'VVP2'!X$355</f>
        <v>7.5274303155018554E-2</v>
      </c>
      <c r="Y252" s="881">
        <f>+Y235/'VVP2'!Y$355</f>
        <v>7.4494863890943522E-2</v>
      </c>
      <c r="Z252" s="881">
        <f>+Z235/'VVP2'!Z$355</f>
        <v>6.9311311200280196E-2</v>
      </c>
      <c r="AA252" s="881">
        <f>+AA235/'VVP2'!AA$355</f>
        <v>6.591905372638604E-2</v>
      </c>
      <c r="AB252" s="2205">
        <f>+AB235/'VVP2'!AB$355</f>
        <v>6.2067839046312419E-2</v>
      </c>
      <c r="AC252" s="2205">
        <f>+AC235/'VVP2'!AC$355</f>
        <v>5.9882817686185578E-2</v>
      </c>
      <c r="AD252" s="2205">
        <f ca="1">+AD235/'VVP2'!AD$355</f>
        <v>5.9197004545111016E-2</v>
      </c>
      <c r="AE252" s="2205">
        <f ca="1">+AE235/'VVP2'!AE$355</f>
        <v>5.8352693969095454E-2</v>
      </c>
      <c r="AK252" s="2205">
        <v>7.3111532055584558E-2</v>
      </c>
      <c r="AM252" s="2205">
        <f t="shared" si="267"/>
        <v>-3.800220855304362E-3</v>
      </c>
    </row>
    <row r="253" spans="1:39" ht="30" customHeight="1">
      <c r="S253" s="2162"/>
      <c r="T253" s="2162"/>
      <c r="U253" s="2162"/>
      <c r="V253" s="3360"/>
      <c r="W253" s="3360"/>
      <c r="X253" s="3360"/>
      <c r="Y253" s="3360"/>
      <c r="AM253" s="2827">
        <f t="shared" si="267"/>
        <v>0</v>
      </c>
    </row>
    <row r="254" spans="1:39" ht="12.75" customHeight="1">
      <c r="A254" s="714"/>
      <c r="B254" s="714"/>
      <c r="C254" s="822"/>
      <c r="D254" s="823"/>
      <c r="E254" s="824" t="s">
        <v>1803</v>
      </c>
      <c r="F254" s="825"/>
      <c r="G254" s="826">
        <f>+InputY!$G$3</f>
        <v>1995</v>
      </c>
      <c r="H254" s="826">
        <f>+G254+1</f>
        <v>1996</v>
      </c>
      <c r="I254" s="826">
        <f t="shared" ref="I254:S254" si="334">+H254+1</f>
        <v>1997</v>
      </c>
      <c r="J254" s="826">
        <f t="shared" si="334"/>
        <v>1998</v>
      </c>
      <c r="K254" s="826">
        <f t="shared" si="334"/>
        <v>1999</v>
      </c>
      <c r="L254" s="826">
        <f t="shared" si="334"/>
        <v>2000</v>
      </c>
      <c r="M254" s="826">
        <f t="shared" si="334"/>
        <v>2001</v>
      </c>
      <c r="N254" s="826">
        <f t="shared" si="334"/>
        <v>2002</v>
      </c>
      <c r="O254" s="826">
        <f t="shared" si="334"/>
        <v>2003</v>
      </c>
      <c r="P254" s="826">
        <f>+O254+1</f>
        <v>2004</v>
      </c>
      <c r="Q254" s="826">
        <f t="shared" si="334"/>
        <v>2005</v>
      </c>
      <c r="R254" s="826">
        <f>+Q254+1</f>
        <v>2006</v>
      </c>
      <c r="S254" s="2163">
        <f t="shared" si="334"/>
        <v>2007</v>
      </c>
      <c r="T254" s="2163">
        <f t="shared" ref="T254:AE254" si="335">+S254+1</f>
        <v>2008</v>
      </c>
      <c r="U254" s="2163">
        <f t="shared" si="335"/>
        <v>2009</v>
      </c>
      <c r="V254" s="2163">
        <f t="shared" si="335"/>
        <v>2010</v>
      </c>
      <c r="W254" s="2163">
        <f t="shared" si="335"/>
        <v>2011</v>
      </c>
      <c r="X254" s="2163">
        <f t="shared" si="335"/>
        <v>2012</v>
      </c>
      <c r="Y254" s="2163">
        <f t="shared" si="335"/>
        <v>2013</v>
      </c>
      <c r="Z254" s="2163">
        <f t="shared" si="335"/>
        <v>2014</v>
      </c>
      <c r="AA254" s="2163">
        <f t="shared" si="335"/>
        <v>2015</v>
      </c>
      <c r="AB254" s="2163">
        <f t="shared" si="335"/>
        <v>2016</v>
      </c>
      <c r="AC254" s="2163">
        <f t="shared" si="335"/>
        <v>2017</v>
      </c>
      <c r="AD254" s="2163">
        <f t="shared" si="335"/>
        <v>2018</v>
      </c>
      <c r="AE254" s="2163">
        <f t="shared" si="335"/>
        <v>2019</v>
      </c>
      <c r="AK254" s="2163">
        <v>2014</v>
      </c>
      <c r="AM254" s="2163">
        <f t="shared" si="267"/>
        <v>0</v>
      </c>
    </row>
    <row r="255" spans="1:39" ht="12.75" customHeight="1">
      <c r="A255" s="714"/>
      <c r="B255" s="714"/>
      <c r="C255" s="827" t="s">
        <v>622</v>
      </c>
      <c r="D255" s="718" t="s">
        <v>591</v>
      </c>
      <c r="E255" s="750" t="s">
        <v>1565</v>
      </c>
      <c r="F255" s="751" t="s">
        <v>1175</v>
      </c>
      <c r="G255" s="828">
        <f>+G231</f>
        <v>18.4833</v>
      </c>
      <c r="H255" s="828">
        <f t="shared" ref="H255:O255" si="336">+H231</f>
        <v>18.371099999999998</v>
      </c>
      <c r="I255" s="828">
        <f t="shared" si="336"/>
        <v>17.513099999999998</v>
      </c>
      <c r="J255" s="828">
        <f t="shared" si="336"/>
        <v>17.3751</v>
      </c>
      <c r="K255" s="828">
        <f t="shared" si="336"/>
        <v>16.807099999999998</v>
      </c>
      <c r="L255" s="828">
        <f t="shared" si="336"/>
        <v>17.2136</v>
      </c>
      <c r="M255" s="828">
        <f t="shared" si="336"/>
        <v>17.370699999999999</v>
      </c>
      <c r="N255" s="828">
        <f t="shared" si="336"/>
        <v>15.9564</v>
      </c>
      <c r="O255" s="828">
        <f t="shared" si="336"/>
        <v>15.232200000000001</v>
      </c>
      <c r="P255" s="828">
        <f t="shared" ref="P255:V255" si="337">+P231</f>
        <v>14.352799999999998</v>
      </c>
      <c r="Q255" s="828">
        <f t="shared" si="337"/>
        <v>13.5745</v>
      </c>
      <c r="R255" s="828">
        <f t="shared" si="337"/>
        <v>13.3719</v>
      </c>
      <c r="S255" s="828">
        <f t="shared" si="337"/>
        <v>13.7224</v>
      </c>
      <c r="T255" s="828">
        <f t="shared" si="337"/>
        <v>14.032299999999999</v>
      </c>
      <c r="U255" s="828">
        <f t="shared" si="337"/>
        <v>13.3378</v>
      </c>
      <c r="V255" s="828">
        <f t="shared" si="337"/>
        <v>13.1707</v>
      </c>
      <c r="W255" s="828">
        <f t="shared" ref="W255:AB255" si="338">+W231</f>
        <v>13.6379</v>
      </c>
      <c r="X255" s="828">
        <f t="shared" si="338"/>
        <v>13.969200000000001</v>
      </c>
      <c r="Y255" s="2230">
        <f t="shared" si="338"/>
        <v>12.9718</v>
      </c>
      <c r="Z255" s="2230">
        <f t="shared" ref="Z255" si="339">+Z231</f>
        <v>13.0557</v>
      </c>
      <c r="AA255" s="2230">
        <f t="shared" si="338"/>
        <v>12.417399999999999</v>
      </c>
      <c r="AB255" s="2230">
        <f t="shared" si="338"/>
        <v>12.116200000000001</v>
      </c>
      <c r="AC255" s="2230">
        <f t="shared" ref="AC255:AD255" si="340">+AC231</f>
        <v>10.7761</v>
      </c>
      <c r="AD255" s="2230">
        <f t="shared" si="340"/>
        <v>10.213587579999999</v>
      </c>
      <c r="AE255" s="2230">
        <f t="shared" ref="AE255" si="341">+AE231</f>
        <v>10.148220619487999</v>
      </c>
      <c r="AK255" s="2230">
        <v>12.3665</v>
      </c>
      <c r="AM255" s="2230">
        <f t="shared" si="267"/>
        <v>0.68919999999999959</v>
      </c>
    </row>
    <row r="256" spans="1:39" ht="12.75" customHeight="1">
      <c r="A256" s="714"/>
      <c r="B256" s="714"/>
      <c r="C256" s="829" t="s">
        <v>2133</v>
      </c>
      <c r="D256" s="724" t="s">
        <v>591</v>
      </c>
      <c r="E256" s="830" t="s">
        <v>965</v>
      </c>
      <c r="F256" s="754" t="s">
        <v>966</v>
      </c>
      <c r="G256" s="756">
        <f t="shared" ref="G256:P256" si="342">+G255-G257</f>
        <v>-0.45749999999999957</v>
      </c>
      <c r="H256" s="756">
        <f t="shared" si="342"/>
        <v>0</v>
      </c>
      <c r="I256" s="756">
        <f t="shared" si="342"/>
        <v>0</v>
      </c>
      <c r="J256" s="756">
        <f t="shared" si="342"/>
        <v>0</v>
      </c>
      <c r="K256" s="756">
        <f t="shared" si="342"/>
        <v>0</v>
      </c>
      <c r="L256" s="756">
        <f t="shared" si="342"/>
        <v>0</v>
      </c>
      <c r="M256" s="756">
        <f t="shared" si="342"/>
        <v>0</v>
      </c>
      <c r="N256" s="756">
        <f t="shared" si="342"/>
        <v>0</v>
      </c>
      <c r="O256" s="756">
        <f t="shared" si="342"/>
        <v>0</v>
      </c>
      <c r="P256" s="756">
        <f t="shared" si="342"/>
        <v>0</v>
      </c>
      <c r="Q256" s="756">
        <f t="shared" ref="Q256:V256" si="343">+Q255-Q257</f>
        <v>0</v>
      </c>
      <c r="R256" s="756">
        <f t="shared" si="343"/>
        <v>0</v>
      </c>
      <c r="S256" s="1376">
        <f t="shared" si="343"/>
        <v>0</v>
      </c>
      <c r="T256" s="1376">
        <f t="shared" si="343"/>
        <v>0</v>
      </c>
      <c r="U256" s="1376">
        <f t="shared" si="343"/>
        <v>0</v>
      </c>
      <c r="V256" s="1376">
        <f t="shared" si="343"/>
        <v>0</v>
      </c>
      <c r="W256" s="1376">
        <f t="shared" ref="W256:AB256" si="344">+W255-W257</f>
        <v>0</v>
      </c>
      <c r="X256" s="1376">
        <f t="shared" si="344"/>
        <v>0</v>
      </c>
      <c r="Y256" s="1376">
        <f t="shared" si="344"/>
        <v>0</v>
      </c>
      <c r="Z256" s="1376">
        <f t="shared" si="344"/>
        <v>0</v>
      </c>
      <c r="AA256" s="1376">
        <f t="shared" si="344"/>
        <v>0</v>
      </c>
      <c r="AB256" s="1376">
        <f t="shared" si="344"/>
        <v>0</v>
      </c>
      <c r="AC256" s="2240">
        <f>AB256*(1+AC261/100)</f>
        <v>0</v>
      </c>
      <c r="AD256" s="2240">
        <f>AC256*(1+AD261/100)</f>
        <v>0</v>
      </c>
      <c r="AE256" s="2240">
        <f>AD256*(1+AE261/100)</f>
        <v>0</v>
      </c>
      <c r="AK256" s="1376">
        <v>0</v>
      </c>
      <c r="AM256" s="1376">
        <f t="shared" si="267"/>
        <v>0</v>
      </c>
    </row>
    <row r="257" spans="1:46" ht="12.75" customHeight="1">
      <c r="A257" s="714">
        <f>+ROW(InputY!A178)</f>
        <v>178</v>
      </c>
      <c r="B257" s="714">
        <v>132</v>
      </c>
      <c r="C257" s="831" t="s">
        <v>624</v>
      </c>
      <c r="D257" s="800" t="s">
        <v>591</v>
      </c>
      <c r="E257" s="801" t="s">
        <v>967</v>
      </c>
      <c r="F257" s="802" t="s">
        <v>1650</v>
      </c>
      <c r="G257" s="832">
        <f>+InputY!G178/1000</f>
        <v>18.940799999999999</v>
      </c>
      <c r="H257" s="832">
        <f>+InputY!H178/1000</f>
        <v>18.371099999999998</v>
      </c>
      <c r="I257" s="832">
        <f>+InputY!I178/1000</f>
        <v>17.513099999999998</v>
      </c>
      <c r="J257" s="832">
        <f>+InputY!J178/1000</f>
        <v>17.3751</v>
      </c>
      <c r="K257" s="832">
        <f>+InputY!K178/1000</f>
        <v>16.807099999999998</v>
      </c>
      <c r="L257" s="832">
        <f>+InputY!L178/1000</f>
        <v>17.2136</v>
      </c>
      <c r="M257" s="832">
        <f>+InputY!M178/1000</f>
        <v>17.370699999999999</v>
      </c>
      <c r="N257" s="832">
        <f>+InputY!N178/1000</f>
        <v>15.9564</v>
      </c>
      <c r="O257" s="832">
        <f>+InputY!O178/1000</f>
        <v>15.232200000000001</v>
      </c>
      <c r="P257" s="832">
        <f>+InputY!P178/1000</f>
        <v>14.352799999999998</v>
      </c>
      <c r="Q257" s="832">
        <f>+InputY!Q178/1000</f>
        <v>13.5745</v>
      </c>
      <c r="R257" s="832">
        <f>+InputY!R178/1000</f>
        <v>13.3719</v>
      </c>
      <c r="S257" s="832">
        <f>+InputY!S178/1000</f>
        <v>13.7224</v>
      </c>
      <c r="T257" s="832">
        <f>+InputY!T178/1000</f>
        <v>14.032299999999999</v>
      </c>
      <c r="U257" s="2009">
        <f>+InputY!U178/1000</f>
        <v>13.3378</v>
      </c>
      <c r="V257" s="2009">
        <f>+InputY!V178/1000</f>
        <v>13.1707</v>
      </c>
      <c r="W257" s="2009">
        <f>+InputY!W178/1000</f>
        <v>13.6379</v>
      </c>
      <c r="X257" s="2009">
        <f>+InputY!X178/1000</f>
        <v>13.969200000000001</v>
      </c>
      <c r="Y257" s="2009">
        <f>+InputY!Y178/1000</f>
        <v>12.9718</v>
      </c>
      <c r="Z257" s="2009">
        <f>+InputY!Z178/1000</f>
        <v>13.0557</v>
      </c>
      <c r="AA257" s="2009">
        <f>+InputY!AA178/1000</f>
        <v>12.417399999999999</v>
      </c>
      <c r="AB257" s="2009">
        <f>+InputY!AB178/1000</f>
        <v>12.116200000000001</v>
      </c>
      <c r="AC257" s="2009">
        <f>+InputY!AC178/1000</f>
        <v>10.7761</v>
      </c>
      <c r="AD257" s="3366">
        <f>+AD255-AD256</f>
        <v>10.213587579999999</v>
      </c>
      <c r="AE257" s="3366">
        <f>+AE255-AE256</f>
        <v>10.148220619487999</v>
      </c>
      <c r="AK257" s="2009">
        <v>12.3665</v>
      </c>
      <c r="AM257" s="2009">
        <f t="shared" si="267"/>
        <v>0.68919999999999959</v>
      </c>
    </row>
    <row r="258" spans="1:46" ht="12.75" customHeight="1">
      <c r="A258" s="714"/>
      <c r="B258" s="714"/>
      <c r="C258" s="822"/>
      <c r="E258" s="833"/>
      <c r="F258" s="834"/>
      <c r="G258" s="753"/>
      <c r="H258" s="835"/>
      <c r="I258" s="753"/>
      <c r="J258" s="753"/>
      <c r="K258" s="753"/>
      <c r="L258" s="753"/>
      <c r="M258" s="753"/>
      <c r="N258" s="753"/>
      <c r="O258" s="753"/>
      <c r="P258" s="753"/>
      <c r="Q258" s="1824"/>
      <c r="R258" s="1824"/>
      <c r="S258" s="2234"/>
      <c r="T258" s="2234"/>
      <c r="U258" s="2234"/>
      <c r="V258" s="2234"/>
      <c r="W258" s="2234"/>
      <c r="X258" s="2234"/>
      <c r="Y258" s="2234"/>
      <c r="Z258" s="2234"/>
      <c r="AA258" s="2234"/>
      <c r="AB258" s="2234"/>
      <c r="AC258" s="2234"/>
      <c r="AD258" s="2234"/>
      <c r="AE258" s="2234"/>
      <c r="AK258" s="2234"/>
      <c r="AM258" s="2234">
        <f t="shared" si="267"/>
        <v>0</v>
      </c>
    </row>
    <row r="259" spans="1:46" ht="12.75" customHeight="1">
      <c r="A259" s="714"/>
      <c r="B259" s="714"/>
      <c r="C259" s="822"/>
      <c r="D259" s="790"/>
      <c r="E259" s="791" t="s">
        <v>1804</v>
      </c>
      <c r="F259" s="792"/>
      <c r="G259" s="793">
        <f>+G254</f>
        <v>1995</v>
      </c>
      <c r="H259" s="793">
        <f>+G259+1</f>
        <v>1996</v>
      </c>
      <c r="I259" s="793">
        <f t="shared" ref="I259:S259" si="345">+H259+1</f>
        <v>1997</v>
      </c>
      <c r="J259" s="793">
        <f t="shared" si="345"/>
        <v>1998</v>
      </c>
      <c r="K259" s="793">
        <f t="shared" si="345"/>
        <v>1999</v>
      </c>
      <c r="L259" s="793">
        <f t="shared" si="345"/>
        <v>2000</v>
      </c>
      <c r="M259" s="793">
        <f t="shared" si="345"/>
        <v>2001</v>
      </c>
      <c r="N259" s="793">
        <f t="shared" si="345"/>
        <v>2002</v>
      </c>
      <c r="O259" s="793">
        <f t="shared" si="345"/>
        <v>2003</v>
      </c>
      <c r="P259" s="793">
        <f>+O259+1</f>
        <v>2004</v>
      </c>
      <c r="Q259" s="793">
        <f t="shared" si="345"/>
        <v>2005</v>
      </c>
      <c r="R259" s="793">
        <f>+Q259+1</f>
        <v>2006</v>
      </c>
      <c r="S259" s="2126">
        <f t="shared" si="345"/>
        <v>2007</v>
      </c>
      <c r="T259" s="2126">
        <f t="shared" ref="T259:AE259" si="346">+S259+1</f>
        <v>2008</v>
      </c>
      <c r="U259" s="2126">
        <f t="shared" si="346"/>
        <v>2009</v>
      </c>
      <c r="V259" s="2126">
        <f t="shared" si="346"/>
        <v>2010</v>
      </c>
      <c r="W259" s="2126">
        <f t="shared" si="346"/>
        <v>2011</v>
      </c>
      <c r="X259" s="2126">
        <f t="shared" si="346"/>
        <v>2012</v>
      </c>
      <c r="Y259" s="2126">
        <f t="shared" si="346"/>
        <v>2013</v>
      </c>
      <c r="Z259" s="2126">
        <f t="shared" si="346"/>
        <v>2014</v>
      </c>
      <c r="AA259" s="2126">
        <f t="shared" si="346"/>
        <v>2015</v>
      </c>
      <c r="AB259" s="2126">
        <f t="shared" si="346"/>
        <v>2016</v>
      </c>
      <c r="AC259" s="2126">
        <f t="shared" si="346"/>
        <v>2017</v>
      </c>
      <c r="AD259" s="2126">
        <f t="shared" si="346"/>
        <v>2018</v>
      </c>
      <c r="AE259" s="2126">
        <f t="shared" si="346"/>
        <v>2019</v>
      </c>
      <c r="AK259" s="2126">
        <v>2014</v>
      </c>
      <c r="AM259" s="2126">
        <f t="shared" si="267"/>
        <v>0</v>
      </c>
    </row>
    <row r="260" spans="1:46" ht="12.75" customHeight="1">
      <c r="A260" s="714"/>
      <c r="B260" s="714"/>
      <c r="C260" s="839" t="s">
        <v>622</v>
      </c>
      <c r="D260" s="739" t="s">
        <v>591</v>
      </c>
      <c r="E260" s="787" t="s">
        <v>1565</v>
      </c>
      <c r="F260" s="782" t="s">
        <v>1175</v>
      </c>
      <c r="G260" s="788"/>
      <c r="H260" s="788">
        <f t="shared" ref="H260:AE260" si="347">(H255/G255-1)*100</f>
        <v>-0.60703445813248269</v>
      </c>
      <c r="I260" s="788">
        <f t="shared" si="347"/>
        <v>-4.6703790192204053</v>
      </c>
      <c r="J260" s="788">
        <f t="shared" si="347"/>
        <v>-0.78798156808330688</v>
      </c>
      <c r="K260" s="788">
        <f t="shared" si="347"/>
        <v>-3.2690459335485866</v>
      </c>
      <c r="L260" s="788">
        <f t="shared" si="347"/>
        <v>2.4186207019652572</v>
      </c>
      <c r="M260" s="788">
        <f t="shared" si="347"/>
        <v>0.91265046242505754</v>
      </c>
      <c r="N260" s="788">
        <f t="shared" si="347"/>
        <v>-8.1418710817641191</v>
      </c>
      <c r="O260" s="788">
        <f t="shared" si="347"/>
        <v>-4.5386177333233029</v>
      </c>
      <c r="P260" s="788">
        <f t="shared" si="347"/>
        <v>-5.7732960439070062</v>
      </c>
      <c r="Q260" s="788">
        <f t="shared" si="347"/>
        <v>-5.4226353046095355</v>
      </c>
      <c r="R260" s="788">
        <f t="shared" si="347"/>
        <v>-1.4925043279678807</v>
      </c>
      <c r="S260" s="788">
        <f t="shared" si="347"/>
        <v>2.6211682707767858</v>
      </c>
      <c r="T260" s="788">
        <f t="shared" ref="T260:Y262" si="348">(T255/S255-1)*100</f>
        <v>2.2583513088089369</v>
      </c>
      <c r="U260" s="788">
        <f t="shared" si="348"/>
        <v>-4.9492955538293799</v>
      </c>
      <c r="V260" s="788">
        <f t="shared" si="348"/>
        <v>-1.2528303018488729</v>
      </c>
      <c r="W260" s="788">
        <f t="shared" si="348"/>
        <v>3.5472677989780266</v>
      </c>
      <c r="X260" s="788">
        <f t="shared" si="348"/>
        <v>2.4292596367476049</v>
      </c>
      <c r="Y260" s="2231">
        <f t="shared" si="347"/>
        <v>-7.1399937004266611</v>
      </c>
      <c r="Z260" s="2231">
        <f t="shared" si="347"/>
        <v>0.64678764704975134</v>
      </c>
      <c r="AA260" s="2231">
        <f t="shared" si="347"/>
        <v>-4.8890522913363599</v>
      </c>
      <c r="AB260" s="2231">
        <f t="shared" si="347"/>
        <v>-2.4256285534813848</v>
      </c>
      <c r="AC260" s="2231">
        <f t="shared" si="347"/>
        <v>-11.060398474769329</v>
      </c>
      <c r="AD260" s="2231">
        <f t="shared" si="347"/>
        <v>-5.2200000000000131</v>
      </c>
      <c r="AE260" s="2231">
        <f t="shared" si="347"/>
        <v>-0.63999999999999613</v>
      </c>
      <c r="AK260" s="2231">
        <v>0.37091747289139665</v>
      </c>
      <c r="AM260" s="2231">
        <f t="shared" ref="AM260:AM323" si="349">Z260-AK260</f>
        <v>0.27587017415835469</v>
      </c>
    </row>
    <row r="261" spans="1:46" ht="12.75" customHeight="1">
      <c r="A261" s="714"/>
      <c r="B261" s="714"/>
      <c r="C261" s="841" t="s">
        <v>622</v>
      </c>
      <c r="D261" s="741" t="s">
        <v>591</v>
      </c>
      <c r="E261" s="842" t="s">
        <v>965</v>
      </c>
      <c r="F261" s="785" t="s">
        <v>966</v>
      </c>
      <c r="G261" s="789"/>
      <c r="H261" s="789">
        <f t="shared" ref="H261:S261" si="350">(H256/G256-1)*100</f>
        <v>-100</v>
      </c>
      <c r="I261" s="789" t="e">
        <f t="shared" si="350"/>
        <v>#DIV/0!</v>
      </c>
      <c r="J261" s="789" t="e">
        <f t="shared" si="350"/>
        <v>#DIV/0!</v>
      </c>
      <c r="K261" s="789" t="e">
        <f t="shared" si="350"/>
        <v>#DIV/0!</v>
      </c>
      <c r="L261" s="789" t="e">
        <f t="shared" si="350"/>
        <v>#DIV/0!</v>
      </c>
      <c r="M261" s="789" t="e">
        <f t="shared" si="350"/>
        <v>#DIV/0!</v>
      </c>
      <c r="N261" s="789" t="e">
        <f t="shared" si="350"/>
        <v>#DIV/0!</v>
      </c>
      <c r="O261" s="789" t="e">
        <f t="shared" si="350"/>
        <v>#DIV/0!</v>
      </c>
      <c r="P261" s="789" t="e">
        <f t="shared" si="350"/>
        <v>#DIV/0!</v>
      </c>
      <c r="Q261" s="789" t="e">
        <f t="shared" si="350"/>
        <v>#DIV/0!</v>
      </c>
      <c r="R261" s="789" t="e">
        <f t="shared" si="350"/>
        <v>#DIV/0!</v>
      </c>
      <c r="S261" s="789" t="e">
        <f t="shared" si="350"/>
        <v>#DIV/0!</v>
      </c>
      <c r="T261" s="789" t="e">
        <f t="shared" si="348"/>
        <v>#DIV/0!</v>
      </c>
      <c r="U261" s="789" t="e">
        <f t="shared" si="348"/>
        <v>#DIV/0!</v>
      </c>
      <c r="V261" s="789" t="e">
        <f t="shared" si="348"/>
        <v>#DIV/0!</v>
      </c>
      <c r="W261" s="789" t="e">
        <f t="shared" si="348"/>
        <v>#DIV/0!</v>
      </c>
      <c r="X261" s="789"/>
      <c r="Y261" s="789"/>
      <c r="Z261" s="789"/>
      <c r="AA261" s="789"/>
      <c r="AB261" s="789"/>
      <c r="AC261" s="789"/>
      <c r="AD261" s="789"/>
      <c r="AE261" s="789"/>
      <c r="AK261" s="789"/>
      <c r="AM261" s="789">
        <f t="shared" si="349"/>
        <v>0</v>
      </c>
    </row>
    <row r="262" spans="1:46" ht="12.75" customHeight="1">
      <c r="A262" s="714"/>
      <c r="B262" s="714"/>
      <c r="C262" s="822" t="s">
        <v>624</v>
      </c>
      <c r="D262" s="766" t="s">
        <v>591</v>
      </c>
      <c r="E262" s="771" t="s">
        <v>967</v>
      </c>
      <c r="F262" s="772" t="s">
        <v>1650</v>
      </c>
      <c r="G262" s="770"/>
      <c r="H262" s="770">
        <f t="shared" ref="H262:S262" si="351">(H257/G257-1)*100</f>
        <v>-3.0077927014698469</v>
      </c>
      <c r="I262" s="770">
        <f t="shared" si="351"/>
        <v>-4.6703790192204053</v>
      </c>
      <c r="J262" s="770">
        <f t="shared" si="351"/>
        <v>-0.78798156808330688</v>
      </c>
      <c r="K262" s="770">
        <f t="shared" si="351"/>
        <v>-3.2690459335485866</v>
      </c>
      <c r="L262" s="770">
        <f t="shared" si="351"/>
        <v>2.4186207019652572</v>
      </c>
      <c r="M262" s="770">
        <f t="shared" si="351"/>
        <v>0.91265046242505754</v>
      </c>
      <c r="N262" s="770">
        <f t="shared" si="351"/>
        <v>-8.1418710817641191</v>
      </c>
      <c r="O262" s="770">
        <f t="shared" si="351"/>
        <v>-4.5386177333233029</v>
      </c>
      <c r="P262" s="770">
        <f t="shared" si="351"/>
        <v>-5.7732960439070062</v>
      </c>
      <c r="Q262" s="770">
        <f t="shared" si="351"/>
        <v>-5.4226353046095355</v>
      </c>
      <c r="R262" s="770">
        <f t="shared" si="351"/>
        <v>-1.4925043279678807</v>
      </c>
      <c r="S262" s="770">
        <f t="shared" si="351"/>
        <v>2.6211682707767858</v>
      </c>
      <c r="T262" s="770">
        <f t="shared" si="348"/>
        <v>2.2583513088089369</v>
      </c>
      <c r="U262" s="770">
        <f t="shared" si="348"/>
        <v>-4.9492955538293799</v>
      </c>
      <c r="V262" s="770">
        <f t="shared" si="348"/>
        <v>-1.2528303018488729</v>
      </c>
      <c r="W262" s="770">
        <f t="shared" si="348"/>
        <v>3.5472677989780266</v>
      </c>
      <c r="X262" s="770">
        <f t="shared" si="348"/>
        <v>2.4292596367476049</v>
      </c>
      <c r="Y262" s="770">
        <f t="shared" si="348"/>
        <v>-7.1399937004266611</v>
      </c>
      <c r="Z262" s="2223">
        <f t="shared" ref="Z262:AE262" si="352">(Z257/Y257-1)*100</f>
        <v>0.64678764704975134</v>
      </c>
      <c r="AA262" s="2223">
        <f t="shared" si="352"/>
        <v>-4.8890522913363599</v>
      </c>
      <c r="AB262" s="2223">
        <f t="shared" si="352"/>
        <v>-2.4256285534813848</v>
      </c>
      <c r="AC262" s="2223">
        <f t="shared" si="352"/>
        <v>-11.060398474769329</v>
      </c>
      <c r="AD262" s="2223">
        <f t="shared" si="352"/>
        <v>-5.2200000000000131</v>
      </c>
      <c r="AE262" s="2223">
        <f t="shared" si="352"/>
        <v>-0.63999999999999613</v>
      </c>
      <c r="AK262" s="2223">
        <v>0.37091747289139665</v>
      </c>
      <c r="AM262" s="2223">
        <f t="shared" si="349"/>
        <v>0.27587017415835469</v>
      </c>
    </row>
    <row r="263" spans="1:46" ht="12.75" customHeight="1">
      <c r="A263" s="714"/>
      <c r="B263" s="714"/>
      <c r="C263" s="822"/>
      <c r="E263" s="833"/>
      <c r="F263" s="834"/>
      <c r="G263" s="753"/>
      <c r="H263" s="835"/>
      <c r="I263" s="753"/>
      <c r="J263" s="753"/>
      <c r="K263" s="753"/>
      <c r="L263" s="753"/>
      <c r="M263" s="753"/>
      <c r="N263" s="753"/>
      <c r="O263" s="753"/>
      <c r="P263" s="753"/>
      <c r="Q263" s="1824"/>
      <c r="R263" s="1824"/>
      <c r="S263" s="2233"/>
      <c r="T263" s="2233"/>
      <c r="U263" s="2233"/>
      <c r="V263" s="2233"/>
      <c r="W263" s="2233"/>
      <c r="X263" s="2233"/>
      <c r="Y263" s="2233"/>
      <c r="Z263" s="2233"/>
      <c r="AA263" s="2233"/>
      <c r="AB263" s="2233"/>
      <c r="AC263" s="2233"/>
      <c r="AD263" s="2233"/>
      <c r="AE263" s="2233"/>
      <c r="AK263" s="2233"/>
      <c r="AM263" s="2233">
        <f t="shared" si="349"/>
        <v>0</v>
      </c>
    </row>
    <row r="264" spans="1:46" ht="12.75" customHeight="1">
      <c r="A264" s="714"/>
      <c r="B264" s="714"/>
      <c r="C264" s="822"/>
      <c r="D264" s="858"/>
      <c r="E264" s="859" t="s">
        <v>968</v>
      </c>
      <c r="F264" s="860"/>
      <c r="G264" s="865">
        <f>+InputY!$G$3</f>
        <v>1995</v>
      </c>
      <c r="H264" s="861">
        <f>+G264+1</f>
        <v>1996</v>
      </c>
      <c r="I264" s="861">
        <f t="shared" ref="I264:S264" si="353">+H264+1</f>
        <v>1997</v>
      </c>
      <c r="J264" s="861">
        <f t="shared" si="353"/>
        <v>1998</v>
      </c>
      <c r="K264" s="861">
        <f t="shared" si="353"/>
        <v>1999</v>
      </c>
      <c r="L264" s="861">
        <f t="shared" si="353"/>
        <v>2000</v>
      </c>
      <c r="M264" s="861">
        <f t="shared" si="353"/>
        <v>2001</v>
      </c>
      <c r="N264" s="861">
        <f t="shared" si="353"/>
        <v>2002</v>
      </c>
      <c r="O264" s="861">
        <f t="shared" si="353"/>
        <v>2003</v>
      </c>
      <c r="P264" s="861">
        <f>+O264+1</f>
        <v>2004</v>
      </c>
      <c r="Q264" s="861">
        <f>+P264+1</f>
        <v>2005</v>
      </c>
      <c r="R264" s="861">
        <f>+Q264+1</f>
        <v>2006</v>
      </c>
      <c r="S264" s="2196">
        <f t="shared" si="353"/>
        <v>2007</v>
      </c>
      <c r="T264" s="2196">
        <f t="shared" ref="T264:AE264" si="354">+S264+1</f>
        <v>2008</v>
      </c>
      <c r="U264" s="2196">
        <f t="shared" si="354"/>
        <v>2009</v>
      </c>
      <c r="V264" s="2196">
        <f t="shared" si="354"/>
        <v>2010</v>
      </c>
      <c r="W264" s="2196">
        <f t="shared" si="354"/>
        <v>2011</v>
      </c>
      <c r="X264" s="2196">
        <f t="shared" si="354"/>
        <v>2012</v>
      </c>
      <c r="Y264" s="2196">
        <f t="shared" si="354"/>
        <v>2013</v>
      </c>
      <c r="Z264" s="2196">
        <f t="shared" si="354"/>
        <v>2014</v>
      </c>
      <c r="AA264" s="2196">
        <f t="shared" si="354"/>
        <v>2015</v>
      </c>
      <c r="AB264" s="2196">
        <f t="shared" si="354"/>
        <v>2016</v>
      </c>
      <c r="AC264" s="2196">
        <f t="shared" si="354"/>
        <v>2017</v>
      </c>
      <c r="AD264" s="2196">
        <f t="shared" si="354"/>
        <v>2018</v>
      </c>
      <c r="AE264" s="2196">
        <f t="shared" si="354"/>
        <v>2019</v>
      </c>
      <c r="AK264" s="2196">
        <v>2014</v>
      </c>
      <c r="AM264" s="2196">
        <f t="shared" si="349"/>
        <v>0</v>
      </c>
    </row>
    <row r="265" spans="1:46" ht="12.75" customHeight="1">
      <c r="A265" s="714"/>
      <c r="B265" s="714"/>
      <c r="C265" s="854"/>
      <c r="D265" s="855" t="s">
        <v>591</v>
      </c>
      <c r="E265" s="856" t="s">
        <v>1565</v>
      </c>
      <c r="F265" s="857" t="s">
        <v>969</v>
      </c>
      <c r="G265" s="1430"/>
      <c r="H265" s="1430">
        <f t="shared" ref="H265:AE265" si="355">+H255/G$936</f>
        <v>6.6500900984386074E-2</v>
      </c>
      <c r="I265" s="1430">
        <f t="shared" si="355"/>
        <v>6.3373126010949923E-2</v>
      </c>
      <c r="J265" s="1430">
        <f t="shared" si="355"/>
        <v>6.2409080819204724E-2</v>
      </c>
      <c r="K265" s="1430">
        <f t="shared" si="355"/>
        <v>6.0640730614168206E-2</v>
      </c>
      <c r="L265" s="1430">
        <f t="shared" si="355"/>
        <v>6.1601423729517164E-2</v>
      </c>
      <c r="M265" s="1430">
        <f t="shared" si="355"/>
        <v>6.1846049773916757E-2</v>
      </c>
      <c r="N265" s="1430">
        <f t="shared" si="355"/>
        <v>5.5797461272161411E-2</v>
      </c>
      <c r="O265" s="1430">
        <f t="shared" si="355"/>
        <v>5.2884441790381487E-2</v>
      </c>
      <c r="P265" s="1430">
        <f t="shared" si="355"/>
        <v>5.0221842764566732E-2</v>
      </c>
      <c r="Q265" s="1430">
        <f t="shared" si="355"/>
        <v>4.7079735025838454E-2</v>
      </c>
      <c r="R265" s="1430">
        <f t="shared" si="355"/>
        <v>4.5343076583984676E-2</v>
      </c>
      <c r="S265" s="1430">
        <f t="shared" si="355"/>
        <v>4.6137035306142347E-2</v>
      </c>
      <c r="T265" s="1430">
        <f t="shared" si="355"/>
        <v>4.6774645164301097E-2</v>
      </c>
      <c r="U265" s="1430">
        <f t="shared" si="355"/>
        <v>4.0710195709768394E-2</v>
      </c>
      <c r="V265" s="1430">
        <f t="shared" si="355"/>
        <v>3.7937212497587643E-2</v>
      </c>
      <c r="W265" s="1430">
        <f t="shared" si="355"/>
        <v>3.7458216945037252E-2</v>
      </c>
      <c r="X265" s="1430">
        <f t="shared" si="355"/>
        <v>3.5916264288909802E-2</v>
      </c>
      <c r="Y265" s="1430">
        <f t="shared" si="355"/>
        <v>3.2085146168743958E-2</v>
      </c>
      <c r="Z265" s="1430">
        <f t="shared" si="355"/>
        <v>3.1555858488445443E-2</v>
      </c>
      <c r="AA265" s="1430">
        <f t="shared" si="355"/>
        <v>2.9004318043250297E-2</v>
      </c>
      <c r="AB265" s="1430">
        <f t="shared" si="355"/>
        <v>2.7833347134534264E-2</v>
      </c>
      <c r="AC265" s="2236">
        <f t="shared" si="355"/>
        <v>2.404515738080094E-2</v>
      </c>
      <c r="AD265" s="2236">
        <f t="shared" si="355"/>
        <v>2.2587919107513003E-2</v>
      </c>
      <c r="AE265" s="2236">
        <f t="shared" ca="1" si="355"/>
        <v>2.2042521037099586E-2</v>
      </c>
      <c r="AK265" s="1430">
        <v>2.9959754162096858E-2</v>
      </c>
      <c r="AM265" s="1430">
        <f t="shared" si="349"/>
        <v>1.5961043263485845E-3</v>
      </c>
    </row>
    <row r="266" spans="1:46" s="837" customFormat="1" ht="12.75" customHeight="1">
      <c r="A266" s="714"/>
      <c r="B266" s="714"/>
      <c r="C266" s="744"/>
      <c r="D266" s="847" t="s">
        <v>591</v>
      </c>
      <c r="E266" s="848" t="s">
        <v>967</v>
      </c>
      <c r="F266" s="849" t="s">
        <v>1134</v>
      </c>
      <c r="G266" s="1429"/>
      <c r="H266" s="1429">
        <f t="shared" ref="H266:AE266" si="356">+H257/G$936</f>
        <v>6.6500900984386074E-2</v>
      </c>
      <c r="I266" s="1429">
        <f t="shared" si="356"/>
        <v>6.3373126010949923E-2</v>
      </c>
      <c r="J266" s="1429">
        <f t="shared" si="356"/>
        <v>6.2409080819204724E-2</v>
      </c>
      <c r="K266" s="1429">
        <f t="shared" si="356"/>
        <v>6.0640730614168206E-2</v>
      </c>
      <c r="L266" s="1429">
        <f t="shared" si="356"/>
        <v>6.1601423729517164E-2</v>
      </c>
      <c r="M266" s="1429">
        <f t="shared" si="356"/>
        <v>6.1846049773916757E-2</v>
      </c>
      <c r="N266" s="1429">
        <f t="shared" si="356"/>
        <v>5.5797461272161411E-2</v>
      </c>
      <c r="O266" s="1429">
        <f t="shared" si="356"/>
        <v>5.2884441790381487E-2</v>
      </c>
      <c r="P266" s="1429">
        <f t="shared" si="356"/>
        <v>5.0221842764566732E-2</v>
      </c>
      <c r="Q266" s="1429">
        <f t="shared" si="356"/>
        <v>4.7079735025838454E-2</v>
      </c>
      <c r="R266" s="1429">
        <f t="shared" si="356"/>
        <v>4.5343076583984676E-2</v>
      </c>
      <c r="S266" s="1429">
        <f t="shared" si="356"/>
        <v>4.6137035306142347E-2</v>
      </c>
      <c r="T266" s="1429">
        <f t="shared" si="356"/>
        <v>4.6774645164301097E-2</v>
      </c>
      <c r="U266" s="1429">
        <f t="shared" si="356"/>
        <v>4.0710195709768394E-2</v>
      </c>
      <c r="V266" s="1429">
        <f t="shared" si="356"/>
        <v>3.7937212497587643E-2</v>
      </c>
      <c r="W266" s="1429">
        <f t="shared" si="356"/>
        <v>3.7458216945037252E-2</v>
      </c>
      <c r="X266" s="1429">
        <f t="shared" si="356"/>
        <v>3.5916264288909802E-2</v>
      </c>
      <c r="Y266" s="1429">
        <f t="shared" si="356"/>
        <v>3.2085146168743958E-2</v>
      </c>
      <c r="Z266" s="2237">
        <f t="shared" si="356"/>
        <v>3.1555858488445443E-2</v>
      </c>
      <c r="AA266" s="2237">
        <f t="shared" si="356"/>
        <v>2.9004318043250297E-2</v>
      </c>
      <c r="AB266" s="2237">
        <f t="shared" si="356"/>
        <v>2.7833347134534264E-2</v>
      </c>
      <c r="AC266" s="2237">
        <f t="shared" si="356"/>
        <v>2.404515738080094E-2</v>
      </c>
      <c r="AD266" s="2237">
        <f t="shared" si="356"/>
        <v>2.2587919107513003E-2</v>
      </c>
      <c r="AE266" s="2237">
        <f t="shared" ca="1" si="356"/>
        <v>2.2042521037099586E-2</v>
      </c>
      <c r="AF266" s="2832"/>
      <c r="AG266" s="2832"/>
      <c r="AH266" s="2832"/>
      <c r="AI266" s="2832"/>
      <c r="AJ266" s="2832"/>
      <c r="AK266" s="2237">
        <v>2.9959754162096858E-2</v>
      </c>
      <c r="AL266" s="2832"/>
      <c r="AM266" s="2237">
        <f t="shared" si="349"/>
        <v>1.5961043263485845E-3</v>
      </c>
      <c r="AN266" s="2832"/>
      <c r="AO266" s="2832"/>
      <c r="AP266" s="2832"/>
      <c r="AQ266" s="2832"/>
      <c r="AR266" s="2832"/>
      <c r="AS266" s="2832"/>
      <c r="AT266" s="2832"/>
    </row>
    <row r="267" spans="1:46" ht="15.75" customHeight="1">
      <c r="S267" s="2162"/>
      <c r="T267" s="2162"/>
      <c r="U267" s="2162"/>
      <c r="V267" s="3360"/>
      <c r="W267" s="3360"/>
      <c r="X267" s="3360"/>
      <c r="Y267" s="3360"/>
      <c r="Z267" s="3360"/>
      <c r="AA267" s="3360"/>
      <c r="AB267" s="3360"/>
      <c r="AC267" s="3360"/>
      <c r="AD267" s="3360"/>
      <c r="AE267" s="3360"/>
      <c r="AK267" s="3360"/>
      <c r="AM267" s="3360">
        <f t="shared" si="349"/>
        <v>0</v>
      </c>
    </row>
    <row r="268" spans="1:46" ht="12.75" customHeight="1">
      <c r="A268" s="714"/>
      <c r="B268" s="714"/>
      <c r="C268" s="3482"/>
      <c r="D268" s="3512"/>
      <c r="E268" s="3513" t="s">
        <v>2405</v>
      </c>
      <c r="F268" s="3514"/>
      <c r="G268" s="3515">
        <f>+InputY!$G$3</f>
        <v>1995</v>
      </c>
      <c r="H268" s="3516">
        <f t="shared" ref="H268:AE268" si="357">+G268+1</f>
        <v>1996</v>
      </c>
      <c r="I268" s="3516">
        <f t="shared" si="357"/>
        <v>1997</v>
      </c>
      <c r="J268" s="3516">
        <f t="shared" si="357"/>
        <v>1998</v>
      </c>
      <c r="K268" s="3516">
        <f t="shared" si="357"/>
        <v>1999</v>
      </c>
      <c r="L268" s="3516">
        <f t="shared" si="357"/>
        <v>2000</v>
      </c>
      <c r="M268" s="3516">
        <f t="shared" si="357"/>
        <v>2001</v>
      </c>
      <c r="N268" s="3516">
        <f t="shared" si="357"/>
        <v>2002</v>
      </c>
      <c r="O268" s="3516">
        <f t="shared" si="357"/>
        <v>2003</v>
      </c>
      <c r="P268" s="3516">
        <f t="shared" si="357"/>
        <v>2004</v>
      </c>
      <c r="Q268" s="3516">
        <f t="shared" si="357"/>
        <v>2005</v>
      </c>
      <c r="R268" s="3516">
        <f t="shared" si="357"/>
        <v>2006</v>
      </c>
      <c r="S268" s="3517">
        <f t="shared" si="357"/>
        <v>2007</v>
      </c>
      <c r="T268" s="3517">
        <f t="shared" si="357"/>
        <v>2008</v>
      </c>
      <c r="U268" s="3517">
        <f t="shared" si="357"/>
        <v>2009</v>
      </c>
      <c r="V268" s="3517">
        <f t="shared" si="357"/>
        <v>2010</v>
      </c>
      <c r="W268" s="3517">
        <f t="shared" si="357"/>
        <v>2011</v>
      </c>
      <c r="X268" s="3517">
        <f t="shared" si="357"/>
        <v>2012</v>
      </c>
      <c r="Y268" s="3517">
        <f t="shared" si="357"/>
        <v>2013</v>
      </c>
      <c r="Z268" s="3517">
        <f t="shared" si="357"/>
        <v>2014</v>
      </c>
      <c r="AA268" s="3517">
        <f t="shared" si="357"/>
        <v>2015</v>
      </c>
      <c r="AB268" s="3517">
        <f t="shared" si="357"/>
        <v>2016</v>
      </c>
      <c r="AC268" s="3517">
        <f t="shared" si="357"/>
        <v>2017</v>
      </c>
      <c r="AD268" s="3517">
        <f t="shared" si="357"/>
        <v>2018</v>
      </c>
      <c r="AE268" s="3517">
        <f t="shared" si="357"/>
        <v>2019</v>
      </c>
      <c r="AK268" s="3517">
        <v>2014</v>
      </c>
      <c r="AM268" s="3517">
        <f t="shared" si="349"/>
        <v>0</v>
      </c>
    </row>
    <row r="269" spans="1:46" ht="12.75" customHeight="1">
      <c r="A269" s="714"/>
      <c r="B269" s="714"/>
      <c r="C269" s="3518"/>
      <c r="D269" s="3519" t="s">
        <v>591</v>
      </c>
      <c r="E269" s="3520" t="s">
        <v>967</v>
      </c>
      <c r="F269" s="3521"/>
      <c r="G269" s="3522"/>
      <c r="H269" s="3522">
        <f>+H257/'VVP2'!H$355</f>
        <v>8.5074075308971278E-2</v>
      </c>
      <c r="I269" s="3522">
        <f>+I257/'VVP2'!I$355</f>
        <v>7.7502326649664305E-2</v>
      </c>
      <c r="J269" s="3522">
        <f>+J257/'VVP2'!J$355</f>
        <v>7.4097529272087126E-2</v>
      </c>
      <c r="K269" s="3522">
        <f>+K257/'VVP2'!K$355</f>
        <v>6.8817816284916428E-2</v>
      </c>
      <c r="L269" s="3522">
        <f>+L257/'VVP2'!L$355</f>
        <v>6.6662019502598549E-2</v>
      </c>
      <c r="M269" s="3522">
        <f>+M257/'VVP2'!M$355</f>
        <v>6.5355372920714361E-2</v>
      </c>
      <c r="N269" s="3522">
        <f>+N257/'VVP2'!N$355</f>
        <v>5.8009540287008429E-2</v>
      </c>
      <c r="O269" s="3522">
        <f>+O257/'VVP2'!O$355</f>
        <v>5.3893251579325389E-2</v>
      </c>
      <c r="P269" s="3522">
        <f>+P257/'VVP2'!P$355</f>
        <v>4.8049149880084678E-2</v>
      </c>
      <c r="Q269" s="3522">
        <f>+Q257/'VVP2'!Q$355</f>
        <v>4.358053530105227E-2</v>
      </c>
      <c r="R269" s="3522">
        <f>+R257/'VVP2'!R$355</f>
        <v>4.0934960009134831E-2</v>
      </c>
      <c r="S269" s="3522">
        <f>+S257/'VVP2'!S$355</f>
        <v>3.9808246002103205E-2</v>
      </c>
      <c r="T269" s="3522">
        <f>+T257/'VVP2'!T$355</f>
        <v>3.9631887736153074E-2</v>
      </c>
      <c r="U269" s="3522">
        <f>+U257/'VVP2'!U$355</f>
        <v>3.8241177632618285E-2</v>
      </c>
      <c r="V269" s="3522">
        <f>+V257/'VVP2'!V$355</f>
        <v>3.6074176836240979E-2</v>
      </c>
      <c r="W269" s="3522">
        <f>+W257/'VVP2'!W$355</f>
        <v>3.5973815259730584E-2</v>
      </c>
      <c r="X269" s="3522">
        <f>+X257/'VVP2'!X$355</f>
        <v>3.6049539083989918E-2</v>
      </c>
      <c r="Y269" s="3522">
        <f>+Y257/'VVP2'!Y$355</f>
        <v>3.3062666596659324E-2</v>
      </c>
      <c r="Z269" s="3522">
        <f>+Z257/'VVP2'!Z$355</f>
        <v>3.2615750351871475E-2</v>
      </c>
      <c r="AA269" s="3522">
        <f>+AA257/'VVP2'!AA$355</f>
        <v>3.0254227707565039E-2</v>
      </c>
      <c r="AB269" s="3522">
        <f>+AB257/'VVP2'!AB$355</f>
        <v>2.8640221780770241E-2</v>
      </c>
      <c r="AC269" s="3523">
        <f>+AC257/'VVP2'!AC$355</f>
        <v>2.4575777575768908E-2</v>
      </c>
      <c r="AD269" s="3523">
        <f ca="1">+AD257/'VVP2'!AD$355</f>
        <v>2.2528002792035748E-2</v>
      </c>
      <c r="AE269" s="3523">
        <f ca="1">+AE257/'VVP2'!AE$355</f>
        <v>2.1636106885901372E-2</v>
      </c>
      <c r="AK269" s="3522">
        <v>3.0741790339821516E-2</v>
      </c>
      <c r="AM269" s="3522">
        <f t="shared" si="349"/>
        <v>1.8739600120499592E-3</v>
      </c>
    </row>
    <row r="270" spans="1:46" s="1272" customFormat="1" ht="12.75" customHeight="1">
      <c r="A270" s="3453"/>
      <c r="B270" s="3453"/>
      <c r="C270" s="3524"/>
      <c r="D270" s="3525" t="s">
        <v>591</v>
      </c>
      <c r="E270" s="3526" t="s">
        <v>2406</v>
      </c>
      <c r="F270" s="3527"/>
      <c r="G270" s="3528"/>
      <c r="H270" s="3528"/>
      <c r="I270" s="3528">
        <f>(I269-H269)*100</f>
        <v>-0.75717486593069738</v>
      </c>
      <c r="J270" s="3528">
        <f t="shared" ref="J270:AE270" si="358">(J269-I269)*100</f>
        <v>-0.34047973775771789</v>
      </c>
      <c r="K270" s="3528">
        <f t="shared" si="358"/>
        <v>-0.52797129871706983</v>
      </c>
      <c r="L270" s="3528">
        <f t="shared" si="358"/>
        <v>-0.21557967823178786</v>
      </c>
      <c r="M270" s="3528">
        <f t="shared" si="358"/>
        <v>-0.13066465818841883</v>
      </c>
      <c r="N270" s="3528">
        <f t="shared" si="358"/>
        <v>-0.7345832633705931</v>
      </c>
      <c r="O270" s="3528">
        <f t="shared" si="358"/>
        <v>-0.41162887076830401</v>
      </c>
      <c r="P270" s="3528">
        <f t="shared" si="358"/>
        <v>-0.58441016992407113</v>
      </c>
      <c r="Q270" s="3528">
        <f t="shared" si="358"/>
        <v>-0.44686145790324083</v>
      </c>
      <c r="R270" s="3528">
        <f t="shared" si="358"/>
        <v>-0.26455752919174391</v>
      </c>
      <c r="S270" s="3528">
        <f t="shared" si="358"/>
        <v>-0.11267140070316262</v>
      </c>
      <c r="T270" s="3528">
        <f t="shared" si="358"/>
        <v>-1.7635826595013143E-2</v>
      </c>
      <c r="U270" s="3528">
        <f t="shared" si="358"/>
        <v>-0.13907101035347882</v>
      </c>
      <c r="V270" s="3528">
        <f t="shared" si="358"/>
        <v>-0.21670007963773066</v>
      </c>
      <c r="W270" s="3528">
        <f t="shared" si="358"/>
        <v>-1.0036157651039518E-2</v>
      </c>
      <c r="X270" s="3528">
        <f t="shared" si="358"/>
        <v>7.572382425933416E-3</v>
      </c>
      <c r="Y270" s="3528">
        <f t="shared" si="358"/>
        <v>-0.29868724873305941</v>
      </c>
      <c r="Z270" s="3528">
        <f t="shared" si="358"/>
        <v>-4.469162447878483E-2</v>
      </c>
      <c r="AA270" s="3528">
        <f t="shared" si="358"/>
        <v>-0.23615226443064358</v>
      </c>
      <c r="AB270" s="3528">
        <f t="shared" si="358"/>
        <v>-0.16140059267947987</v>
      </c>
      <c r="AC270" s="3528">
        <f t="shared" si="358"/>
        <v>-0.40644442050013324</v>
      </c>
      <c r="AD270" s="3528">
        <f t="shared" ca="1" si="358"/>
        <v>-0.20477747837331606</v>
      </c>
      <c r="AE270" s="3528">
        <f t="shared" ca="1" si="358"/>
        <v>-8.9189590613437605E-2</v>
      </c>
      <c r="AF270" s="2838"/>
      <c r="AG270" s="2838"/>
      <c r="AH270" s="2838"/>
      <c r="AI270" s="2838"/>
      <c r="AJ270" s="2838"/>
      <c r="AK270" s="3528">
        <v>-4.2943279824892572E-2</v>
      </c>
      <c r="AL270" s="2838"/>
      <c r="AM270" s="3528">
        <f t="shared" si="349"/>
        <v>-1.7483446538922587E-3</v>
      </c>
      <c r="AN270" s="2838"/>
      <c r="AO270" s="2838"/>
      <c r="AP270" s="2838"/>
      <c r="AQ270" s="2838"/>
      <c r="AR270" s="2838"/>
      <c r="AS270" s="2838"/>
      <c r="AT270" s="2838"/>
    </row>
    <row r="271" spans="1:46" ht="30" customHeight="1">
      <c r="S271" s="2162"/>
      <c r="T271" s="2162"/>
      <c r="U271" s="2162"/>
      <c r="AM271" s="2827">
        <f t="shared" si="349"/>
        <v>0</v>
      </c>
    </row>
    <row r="272" spans="1:46" ht="22.5" customHeight="1">
      <c r="A272" s="603"/>
      <c r="B272" s="603"/>
      <c r="C272" s="4129" t="s">
        <v>2026</v>
      </c>
      <c r="D272" s="4129"/>
      <c r="E272" s="4129"/>
      <c r="F272" s="4129"/>
      <c r="S272" s="2162"/>
      <c r="T272" s="2162"/>
      <c r="U272" s="2162"/>
      <c r="AM272" s="2827">
        <f t="shared" si="349"/>
        <v>0</v>
      </c>
    </row>
    <row r="273" spans="1:39" ht="12.75" customHeight="1">
      <c r="A273" s="714"/>
      <c r="B273" s="714"/>
      <c r="C273" s="822"/>
      <c r="S273" s="2162"/>
      <c r="T273" s="2162"/>
      <c r="U273" s="2162"/>
      <c r="AM273" s="2827">
        <f t="shared" si="349"/>
        <v>0</v>
      </c>
    </row>
    <row r="274" spans="1:39" ht="12.75" customHeight="1">
      <c r="A274" s="714"/>
      <c r="B274" s="714"/>
      <c r="C274" s="822"/>
      <c r="D274" s="823"/>
      <c r="E274" s="824" t="s">
        <v>1803</v>
      </c>
      <c r="F274" s="825"/>
      <c r="G274" s="826">
        <f>+InputY!$G$3</f>
        <v>1995</v>
      </c>
      <c r="H274" s="826">
        <f>+G274+1</f>
        <v>1996</v>
      </c>
      <c r="I274" s="826">
        <f t="shared" ref="I274:S274" si="359">+H274+1</f>
        <v>1997</v>
      </c>
      <c r="J274" s="826">
        <f t="shared" si="359"/>
        <v>1998</v>
      </c>
      <c r="K274" s="826">
        <f t="shared" si="359"/>
        <v>1999</v>
      </c>
      <c r="L274" s="826">
        <f t="shared" si="359"/>
        <v>2000</v>
      </c>
      <c r="M274" s="826">
        <f t="shared" si="359"/>
        <v>2001</v>
      </c>
      <c r="N274" s="826">
        <f t="shared" si="359"/>
        <v>2002</v>
      </c>
      <c r="O274" s="826">
        <f t="shared" si="359"/>
        <v>2003</v>
      </c>
      <c r="P274" s="826">
        <f>+O274+1</f>
        <v>2004</v>
      </c>
      <c r="Q274" s="826">
        <f>+P274+1</f>
        <v>2005</v>
      </c>
      <c r="R274" s="826">
        <f>+Q274+1</f>
        <v>2006</v>
      </c>
      <c r="S274" s="2163">
        <f t="shared" si="359"/>
        <v>2007</v>
      </c>
      <c r="T274" s="2163">
        <f t="shared" ref="T274:AE274" si="360">+S274+1</f>
        <v>2008</v>
      </c>
      <c r="U274" s="2163">
        <f t="shared" si="360"/>
        <v>2009</v>
      </c>
      <c r="V274" s="2163">
        <f t="shared" si="360"/>
        <v>2010</v>
      </c>
      <c r="W274" s="2163">
        <f t="shared" si="360"/>
        <v>2011</v>
      </c>
      <c r="X274" s="2163">
        <f t="shared" si="360"/>
        <v>2012</v>
      </c>
      <c r="Y274" s="2163">
        <f t="shared" si="360"/>
        <v>2013</v>
      </c>
      <c r="Z274" s="2163">
        <f t="shared" si="360"/>
        <v>2014</v>
      </c>
      <c r="AA274" s="2163">
        <f t="shared" si="360"/>
        <v>2015</v>
      </c>
      <c r="AB274" s="2163">
        <f t="shared" si="360"/>
        <v>2016</v>
      </c>
      <c r="AC274" s="2163">
        <f t="shared" si="360"/>
        <v>2017</v>
      </c>
      <c r="AD274" s="2163">
        <f t="shared" si="360"/>
        <v>2018</v>
      </c>
      <c r="AE274" s="2163">
        <f t="shared" si="360"/>
        <v>2019</v>
      </c>
      <c r="AK274" s="2163">
        <v>2014</v>
      </c>
      <c r="AM274" s="2163">
        <f t="shared" si="349"/>
        <v>0</v>
      </c>
    </row>
    <row r="275" spans="1:39" ht="12.75" customHeight="1">
      <c r="A275" s="714"/>
      <c r="B275" s="714"/>
      <c r="C275" s="827" t="s">
        <v>622</v>
      </c>
      <c r="D275" s="718" t="s">
        <v>589</v>
      </c>
      <c r="E275" s="750" t="s">
        <v>925</v>
      </c>
      <c r="F275" s="751" t="s">
        <v>882</v>
      </c>
      <c r="G275" s="828">
        <f ca="1">+G198+G235+Labour1!G217</f>
        <v>169.1985</v>
      </c>
      <c r="H275" s="828">
        <f>+H198+H235+Labour1!H217</f>
        <v>170.31920000000002</v>
      </c>
      <c r="I275" s="828">
        <f>+I198+I235+Labour1!I217</f>
        <v>175.672</v>
      </c>
      <c r="J275" s="828">
        <f>+J198+J235+Labour1!J217</f>
        <v>182.4769</v>
      </c>
      <c r="K275" s="828">
        <f>+K198+K235+Labour1!K217</f>
        <v>188.13200000000001</v>
      </c>
      <c r="L275" s="828">
        <f>+L198+L235+Labour1!L217</f>
        <v>198.59990000000002</v>
      </c>
      <c r="M275" s="828">
        <f>+M198+M235+Labour1!M217</f>
        <v>208.03120000000001</v>
      </c>
      <c r="N275" s="828">
        <f>+N198+N235+Labour1!N217</f>
        <v>210.64179999999999</v>
      </c>
      <c r="O275" s="828">
        <f>+O198+O235+Labour1!O217</f>
        <v>212.97989999999999</v>
      </c>
      <c r="P275" s="828">
        <f>+P198+P235+Labour1!P217</f>
        <v>218.40610000000004</v>
      </c>
      <c r="Q275" s="828">
        <f>+Q198+Q235+Labour1!Q217</f>
        <v>225.8459</v>
      </c>
      <c r="R275" s="828">
        <f>+R198+R235+Labour1!R217</f>
        <v>236.80940000000001</v>
      </c>
      <c r="S275" s="828">
        <f>+S198+S235+Labour1!S217</f>
        <v>249.52810000000002</v>
      </c>
      <c r="T275" s="828">
        <f>+T198+T235+Labour1!T217</f>
        <v>263.89240000000001</v>
      </c>
      <c r="U275" s="828">
        <f>+U198+U235+Labour1!U217</f>
        <v>262.43680000000001</v>
      </c>
      <c r="V275" s="828">
        <f>+V198+V235+Labour1!V217</f>
        <v>267.18290000000002</v>
      </c>
      <c r="W275" s="828">
        <f>+W198+W235+Labour1!W217</f>
        <v>274.5249</v>
      </c>
      <c r="X275" s="828">
        <f>+X198+X235+Labour1!X217</f>
        <v>280.2448</v>
      </c>
      <c r="Y275" s="2230">
        <f>+Y198+Y235+Labour1!Y217</f>
        <v>284.28319999999997</v>
      </c>
      <c r="Z275" s="2230">
        <f>+Z198+Z235+Labour1!Z217</f>
        <v>287.19749999999999</v>
      </c>
      <c r="AA275" s="2230">
        <f>+AA198+AA235+Labour1!AA217</f>
        <v>289.19499999999999</v>
      </c>
      <c r="AB275" s="2230">
        <f>+AB198+AB235+Labour1!AB217</f>
        <v>291.59789999999998</v>
      </c>
      <c r="AC275" s="2230">
        <f>+AC198+AC235+Labour1!AC217</f>
        <v>299.3202883177492</v>
      </c>
      <c r="AD275" s="2230">
        <f>+AD198+AD235+Labour1!AD217</f>
        <v>308.14566318685513</v>
      </c>
      <c r="AE275" s="2230">
        <f>+AE198+AE235+Labour1!AE217</f>
        <v>316.93900987997455</v>
      </c>
      <c r="AK275" s="2230">
        <v>289.85791280849298</v>
      </c>
      <c r="AM275" s="2230">
        <f t="shared" si="349"/>
        <v>-2.6604128084929926</v>
      </c>
    </row>
    <row r="276" spans="1:39" ht="12.75" customHeight="1">
      <c r="A276" s="714"/>
      <c r="B276" s="714"/>
      <c r="C276" s="829" t="s">
        <v>622</v>
      </c>
      <c r="D276" s="724" t="s">
        <v>590</v>
      </c>
      <c r="E276" s="830" t="s">
        <v>925</v>
      </c>
      <c r="F276" s="754" t="s">
        <v>883</v>
      </c>
      <c r="G276" s="756">
        <f t="shared" ref="G276:R276" ca="1" si="361">+G199+G227</f>
        <v>36.540399999999991</v>
      </c>
      <c r="H276" s="756">
        <f t="shared" si="361"/>
        <v>38.13069999999999</v>
      </c>
      <c r="I276" s="756">
        <f t="shared" si="361"/>
        <v>40.454000000000029</v>
      </c>
      <c r="J276" s="756">
        <f t="shared" si="361"/>
        <v>41.371899999999997</v>
      </c>
      <c r="K276" s="756">
        <f t="shared" si="361"/>
        <v>42.995599999999982</v>
      </c>
      <c r="L276" s="756">
        <f t="shared" si="361"/>
        <v>45.73960000000001</v>
      </c>
      <c r="M276" s="756">
        <f t="shared" si="361"/>
        <v>42.055700000000016</v>
      </c>
      <c r="N276" s="756">
        <f t="shared" si="361"/>
        <v>46.141499999999979</v>
      </c>
      <c r="O276" s="756">
        <f t="shared" si="361"/>
        <v>50.678700000000006</v>
      </c>
      <c r="P276" s="756">
        <f t="shared" si="361"/>
        <v>57.305399999999999</v>
      </c>
      <c r="Q276" s="756">
        <f t="shared" si="361"/>
        <v>60.461999999999989</v>
      </c>
      <c r="R276" s="756">
        <f t="shared" si="361"/>
        <v>63.867599999999982</v>
      </c>
      <c r="S276" s="756">
        <f t="shared" ref="S276:U276" si="362">+S199+S227</f>
        <v>68.345299999999995</v>
      </c>
      <c r="T276" s="756">
        <f t="shared" si="362"/>
        <v>67.01279999999997</v>
      </c>
      <c r="U276" s="756">
        <f t="shared" si="362"/>
        <v>56.396299999999997</v>
      </c>
      <c r="V276" s="756">
        <f t="shared" ref="V276:AA276" si="363">+V199+V227</f>
        <v>76.463599999999985</v>
      </c>
      <c r="W276" s="756">
        <f t="shared" si="363"/>
        <v>73.898500000000013</v>
      </c>
      <c r="X276" s="756">
        <f t="shared" si="363"/>
        <v>79.691399999999973</v>
      </c>
      <c r="Y276" s="2228">
        <f t="shared" si="363"/>
        <v>75.727699999999999</v>
      </c>
      <c r="Z276" s="2228">
        <f t="shared" si="363"/>
        <v>77.441300000000012</v>
      </c>
      <c r="AA276" s="2228">
        <f t="shared" si="363"/>
        <v>80.896299999999982</v>
      </c>
      <c r="AB276" s="2228">
        <f t="shared" ref="AB276:AC276" si="364">+AB199+AB227</f>
        <v>91.619999999999976</v>
      </c>
      <c r="AC276" s="2228">
        <f t="shared" si="364"/>
        <v>96.848669607284009</v>
      </c>
      <c r="AD276" s="2228">
        <f t="shared" ref="AD276" ca="1" si="365">+AD199+AD227</f>
        <v>101.47492866939007</v>
      </c>
      <c r="AE276" s="2228">
        <f t="shared" ref="AE276" ca="1" si="366">+AE199+AE227</f>
        <v>106.60134611934203</v>
      </c>
      <c r="AK276" s="2228">
        <v>72.209287170369038</v>
      </c>
      <c r="AM276" s="2228">
        <f t="shared" si="349"/>
        <v>5.2320128296309747</v>
      </c>
    </row>
    <row r="277" spans="1:39" ht="12.75" customHeight="1">
      <c r="A277" s="714"/>
      <c r="B277" s="714"/>
      <c r="C277" s="829" t="s">
        <v>622</v>
      </c>
      <c r="D277" s="724" t="s">
        <v>591</v>
      </c>
      <c r="E277" s="830" t="s">
        <v>925</v>
      </c>
      <c r="F277" s="754" t="s">
        <v>884</v>
      </c>
      <c r="G277" s="756">
        <f t="shared" ref="G277:AA277" si="367">+G200+G32-G141+G228-G230-G231</f>
        <v>11.241500000000002</v>
      </c>
      <c r="H277" s="756">
        <f t="shared" si="367"/>
        <v>12.375800000000002</v>
      </c>
      <c r="I277" s="756">
        <f t="shared" si="367"/>
        <v>15.192499999999992</v>
      </c>
      <c r="J277" s="756">
        <f t="shared" si="367"/>
        <v>16.184000000000001</v>
      </c>
      <c r="K277" s="756">
        <f t="shared" si="367"/>
        <v>18.631999999999998</v>
      </c>
      <c r="L277" s="756">
        <f t="shared" si="367"/>
        <v>20.373999999999995</v>
      </c>
      <c r="M277" s="756">
        <f t="shared" si="367"/>
        <v>20.525300000000001</v>
      </c>
      <c r="N277" s="756">
        <f t="shared" si="367"/>
        <v>22.855599999999995</v>
      </c>
      <c r="O277" s="756">
        <f t="shared" si="367"/>
        <v>24.190899999999999</v>
      </c>
      <c r="P277" s="756">
        <f t="shared" si="367"/>
        <v>26.954600000000017</v>
      </c>
      <c r="Q277" s="756">
        <f t="shared" si="367"/>
        <v>28.826600000000006</v>
      </c>
      <c r="R277" s="756">
        <f t="shared" si="367"/>
        <v>30.416799999999999</v>
      </c>
      <c r="S277" s="756">
        <f t="shared" si="367"/>
        <v>31.362000000000009</v>
      </c>
      <c r="T277" s="756">
        <f t="shared" si="367"/>
        <v>31.461300000000001</v>
      </c>
      <c r="U277" s="756">
        <f t="shared" si="367"/>
        <v>30.377799999999986</v>
      </c>
      <c r="V277" s="756">
        <f t="shared" si="367"/>
        <v>32.961600000000004</v>
      </c>
      <c r="W277" s="756">
        <f t="shared" si="367"/>
        <v>34.505600000000008</v>
      </c>
      <c r="X277" s="756">
        <f t="shared" ref="X277:Z277" si="368">+X200+X32-X141+X228-X230-X231</f>
        <v>37.046300000000016</v>
      </c>
      <c r="Y277" s="756">
        <f t="shared" si="368"/>
        <v>38.7973</v>
      </c>
      <c r="Z277" s="756">
        <f t="shared" si="368"/>
        <v>38.1843</v>
      </c>
      <c r="AA277" s="2228">
        <f t="shared" si="367"/>
        <v>39.173900000000003</v>
      </c>
      <c r="AB277" s="2228">
        <f t="shared" ref="AB277:AC277" si="369">+AB200+AB32-AB141+AB228-AB230-AB231</f>
        <v>42.051500000000004</v>
      </c>
      <c r="AC277" s="2228">
        <f t="shared" si="369"/>
        <v>45.209499999999991</v>
      </c>
      <c r="AD277" s="2228">
        <f t="shared" ref="AD277" si="370">+AD200+AD32-AD141+AD228-AD230-AD231</f>
        <v>48.06589530385429</v>
      </c>
      <c r="AE277" s="2228">
        <f t="shared" ref="AE277" si="371">+AE200+AE32-AE141+AE228-AE230-AE231</f>
        <v>49.884807045605939</v>
      </c>
      <c r="AK277" s="756">
        <v>40.598099999999988</v>
      </c>
      <c r="AM277" s="756">
        <f t="shared" si="349"/>
        <v>-2.4137999999999877</v>
      </c>
    </row>
    <row r="278" spans="1:39" ht="12.75" customHeight="1">
      <c r="A278" s="714"/>
      <c r="B278" s="714"/>
      <c r="C278" s="831" t="s">
        <v>624</v>
      </c>
      <c r="D278" s="800"/>
      <c r="E278" s="801" t="s">
        <v>925</v>
      </c>
      <c r="F278" s="802" t="s">
        <v>924</v>
      </c>
      <c r="G278" s="832">
        <f t="shared" ref="G278:Y278" ca="1" si="372">+G275+G276+G277</f>
        <v>216.9804</v>
      </c>
      <c r="H278" s="832">
        <f t="shared" si="372"/>
        <v>220.82570000000001</v>
      </c>
      <c r="I278" s="832">
        <f t="shared" si="372"/>
        <v>231.31850000000003</v>
      </c>
      <c r="J278" s="832">
        <f t="shared" si="372"/>
        <v>240.03279999999998</v>
      </c>
      <c r="K278" s="832">
        <f t="shared" si="372"/>
        <v>249.75959999999998</v>
      </c>
      <c r="L278" s="832">
        <f t="shared" si="372"/>
        <v>264.71350000000007</v>
      </c>
      <c r="M278" s="832">
        <f t="shared" si="372"/>
        <v>270.61220000000003</v>
      </c>
      <c r="N278" s="832">
        <f t="shared" si="372"/>
        <v>279.63889999999992</v>
      </c>
      <c r="O278" s="832">
        <f t="shared" si="372"/>
        <v>287.84949999999998</v>
      </c>
      <c r="P278" s="832">
        <f t="shared" si="372"/>
        <v>302.66610000000009</v>
      </c>
      <c r="Q278" s="832">
        <f t="shared" si="372"/>
        <v>315.1345</v>
      </c>
      <c r="R278" s="832">
        <f t="shared" si="372"/>
        <v>331.09380000000004</v>
      </c>
      <c r="S278" s="832">
        <f t="shared" si="372"/>
        <v>349.23540000000003</v>
      </c>
      <c r="T278" s="832">
        <f>+T275+T276+T277</f>
        <v>362.36649999999997</v>
      </c>
      <c r="U278" s="832">
        <f>+U275+U276+U277</f>
        <v>349.21089999999998</v>
      </c>
      <c r="V278" s="832">
        <f>+V275+V276+V277</f>
        <v>376.60810000000004</v>
      </c>
      <c r="W278" s="832">
        <f>+W275+W276+W277</f>
        <v>382.92900000000003</v>
      </c>
      <c r="X278" s="832">
        <f>+X275+X276+X277</f>
        <v>396.98250000000002</v>
      </c>
      <c r="Y278" s="2238">
        <f t="shared" si="372"/>
        <v>398.8082</v>
      </c>
      <c r="Z278" s="2238">
        <f t="shared" ref="Z278:AD278" si="373">+Z275+Z276+Z277</f>
        <v>402.82310000000001</v>
      </c>
      <c r="AA278" s="2238">
        <f t="shared" si="373"/>
        <v>409.26519999999999</v>
      </c>
      <c r="AB278" s="2238">
        <f t="shared" si="373"/>
        <v>425.26940000000002</v>
      </c>
      <c r="AC278" s="2238">
        <f t="shared" si="373"/>
        <v>441.37845792503322</v>
      </c>
      <c r="AD278" s="2238">
        <f t="shared" ca="1" si="373"/>
        <v>457.68648716009949</v>
      </c>
      <c r="AE278" s="2238">
        <f t="shared" ref="AE278" ca="1" si="374">+AE275+AE276+AE277</f>
        <v>473.42516304492256</v>
      </c>
      <c r="AK278" s="2238">
        <v>402.66529997886204</v>
      </c>
      <c r="AM278" s="2238">
        <f t="shared" si="349"/>
        <v>0.15780002113797309</v>
      </c>
    </row>
    <row r="279" spans="1:39" ht="12.75" customHeight="1">
      <c r="A279" s="714"/>
      <c r="B279" s="714"/>
      <c r="C279" s="822"/>
      <c r="E279" s="833"/>
      <c r="F279" s="834"/>
      <c r="G279" s="753"/>
      <c r="H279" s="835"/>
      <c r="I279" s="753"/>
      <c r="J279" s="753"/>
      <c r="K279" s="753"/>
      <c r="L279" s="753"/>
      <c r="M279" s="753"/>
      <c r="N279" s="753"/>
      <c r="O279" s="753"/>
      <c r="P279" s="753"/>
      <c r="Q279" s="753"/>
      <c r="R279" s="753"/>
      <c r="S279" s="2218"/>
      <c r="T279" s="2218"/>
      <c r="U279" s="2218"/>
      <c r="V279" s="2218"/>
      <c r="W279" s="2218"/>
      <c r="X279" s="2218"/>
      <c r="Y279" s="2218"/>
      <c r="Z279" s="2218"/>
      <c r="AA279" s="2218"/>
      <c r="AB279" s="2218"/>
      <c r="AC279" s="2218"/>
      <c r="AD279" s="2218"/>
      <c r="AE279" s="2218"/>
      <c r="AK279" s="2218"/>
      <c r="AM279" s="2218">
        <f t="shared" si="349"/>
        <v>0</v>
      </c>
    </row>
    <row r="280" spans="1:39" ht="12.75" customHeight="1">
      <c r="A280" s="714"/>
      <c r="B280" s="714"/>
      <c r="C280" s="822"/>
      <c r="D280" s="790"/>
      <c r="E280" s="791" t="s">
        <v>1804</v>
      </c>
      <c r="F280" s="792"/>
      <c r="G280" s="793">
        <f>+G274</f>
        <v>1995</v>
      </c>
      <c r="H280" s="793">
        <f>+G280+1</f>
        <v>1996</v>
      </c>
      <c r="I280" s="793">
        <f t="shared" ref="I280:S280" si="375">+H280+1</f>
        <v>1997</v>
      </c>
      <c r="J280" s="793">
        <f t="shared" si="375"/>
        <v>1998</v>
      </c>
      <c r="K280" s="793">
        <f t="shared" si="375"/>
        <v>1999</v>
      </c>
      <c r="L280" s="793">
        <f t="shared" si="375"/>
        <v>2000</v>
      </c>
      <c r="M280" s="793">
        <f t="shared" si="375"/>
        <v>2001</v>
      </c>
      <c r="N280" s="793">
        <f t="shared" si="375"/>
        <v>2002</v>
      </c>
      <c r="O280" s="793">
        <f t="shared" si="375"/>
        <v>2003</v>
      </c>
      <c r="P280" s="793">
        <f>+O280+1</f>
        <v>2004</v>
      </c>
      <c r="Q280" s="793">
        <f>+P280+1</f>
        <v>2005</v>
      </c>
      <c r="R280" s="793">
        <f>+Q280+1</f>
        <v>2006</v>
      </c>
      <c r="S280" s="2126">
        <f t="shared" si="375"/>
        <v>2007</v>
      </c>
      <c r="T280" s="2126">
        <f t="shared" ref="T280:AE280" si="376">+S280+1</f>
        <v>2008</v>
      </c>
      <c r="U280" s="2126">
        <f t="shared" si="376"/>
        <v>2009</v>
      </c>
      <c r="V280" s="2126">
        <f>+U280+1</f>
        <v>2010</v>
      </c>
      <c r="W280" s="2126">
        <f t="shared" si="376"/>
        <v>2011</v>
      </c>
      <c r="X280" s="2126">
        <f t="shared" si="376"/>
        <v>2012</v>
      </c>
      <c r="Y280" s="2126">
        <f t="shared" si="376"/>
        <v>2013</v>
      </c>
      <c r="Z280" s="2126">
        <f t="shared" si="376"/>
        <v>2014</v>
      </c>
      <c r="AA280" s="2126">
        <f t="shared" si="376"/>
        <v>2015</v>
      </c>
      <c r="AB280" s="2126">
        <f t="shared" si="376"/>
        <v>2016</v>
      </c>
      <c r="AC280" s="2126">
        <f t="shared" si="376"/>
        <v>2017</v>
      </c>
      <c r="AD280" s="2126">
        <f t="shared" si="376"/>
        <v>2018</v>
      </c>
      <c r="AE280" s="2126">
        <f t="shared" si="376"/>
        <v>2019</v>
      </c>
      <c r="AK280" s="2126">
        <v>2014</v>
      </c>
      <c r="AM280" s="2126">
        <f t="shared" si="349"/>
        <v>0</v>
      </c>
    </row>
    <row r="281" spans="1:39" ht="12.75" customHeight="1">
      <c r="A281" s="714"/>
      <c r="B281" s="714"/>
      <c r="C281" s="839" t="s">
        <v>622</v>
      </c>
      <c r="D281" s="739" t="s">
        <v>589</v>
      </c>
      <c r="E281" s="787" t="s">
        <v>925</v>
      </c>
      <c r="F281" s="782" t="s">
        <v>882</v>
      </c>
      <c r="G281" s="788"/>
      <c r="H281" s="788">
        <f t="shared" ref="H281:AE281" ca="1" si="377">(H275/G275-1)*100</f>
        <v>0.66235811783204035</v>
      </c>
      <c r="I281" s="788">
        <f t="shared" si="377"/>
        <v>3.1428048041559409</v>
      </c>
      <c r="J281" s="788">
        <f t="shared" si="377"/>
        <v>3.8736395099959076</v>
      </c>
      <c r="K281" s="788">
        <f t="shared" si="377"/>
        <v>3.0990771982645438</v>
      </c>
      <c r="L281" s="788">
        <f t="shared" si="377"/>
        <v>5.5641251886973109</v>
      </c>
      <c r="M281" s="788">
        <f t="shared" si="377"/>
        <v>4.748894636905665</v>
      </c>
      <c r="N281" s="788">
        <f t="shared" si="377"/>
        <v>1.2549079176584987</v>
      </c>
      <c r="O281" s="788">
        <f t="shared" si="377"/>
        <v>1.109988615744828</v>
      </c>
      <c r="P281" s="788">
        <f t="shared" si="377"/>
        <v>2.5477521587718099</v>
      </c>
      <c r="Q281" s="788">
        <f t="shared" si="377"/>
        <v>3.4064066891904332</v>
      </c>
      <c r="R281" s="788">
        <f t="shared" si="377"/>
        <v>4.8544162192007967</v>
      </c>
      <c r="S281" s="788">
        <f t="shared" si="377"/>
        <v>5.3708594337893656</v>
      </c>
      <c r="T281" s="788">
        <f t="shared" ref="T281:Y284" si="378">(T275/S275-1)*100</f>
        <v>5.7565861319827327</v>
      </c>
      <c r="U281" s="788">
        <f t="shared" si="378"/>
        <v>-0.55158845044419591</v>
      </c>
      <c r="V281" s="788">
        <f t="shared" si="378"/>
        <v>1.8084735067642965</v>
      </c>
      <c r="W281" s="788">
        <f t="shared" si="378"/>
        <v>2.7479303503330499</v>
      </c>
      <c r="X281" s="788">
        <f t="shared" ref="X281" si="379">(X275/W275-1)*100</f>
        <v>2.0835632760452638</v>
      </c>
      <c r="Y281" s="788">
        <f t="shared" ref="Y281" si="380">(Y275/X275-1)*100</f>
        <v>1.4410258459746528</v>
      </c>
      <c r="Z281" s="2231">
        <f t="shared" si="377"/>
        <v>1.0251397198286938</v>
      </c>
      <c r="AA281" s="2231">
        <f t="shared" si="377"/>
        <v>0.69551441081485699</v>
      </c>
      <c r="AB281" s="2231">
        <f t="shared" si="377"/>
        <v>0.83089265028786219</v>
      </c>
      <c r="AC281" s="2231">
        <f t="shared" si="377"/>
        <v>2.6483003882227019</v>
      </c>
      <c r="AD281" s="2231">
        <f t="shared" si="377"/>
        <v>2.9484719925624292</v>
      </c>
      <c r="AE281" s="2231">
        <f t="shared" si="377"/>
        <v>2.8536331169416007</v>
      </c>
      <c r="AK281" s="2231">
        <v>1.6009691204204035</v>
      </c>
      <c r="AM281" s="2231">
        <f t="shared" si="349"/>
        <v>-0.57582940059170973</v>
      </c>
    </row>
    <row r="282" spans="1:39" ht="12.75" customHeight="1">
      <c r="A282" s="714"/>
      <c r="B282" s="714"/>
      <c r="C282" s="840" t="s">
        <v>622</v>
      </c>
      <c r="D282" s="724" t="s">
        <v>590</v>
      </c>
      <c r="E282" s="830" t="s">
        <v>925</v>
      </c>
      <c r="F282" s="754" t="s">
        <v>883</v>
      </c>
      <c r="G282" s="756"/>
      <c r="H282" s="756">
        <f t="shared" ref="H282:S282" ca="1" si="381">(H276/G276-1)*100</f>
        <v>4.3521691059758449</v>
      </c>
      <c r="I282" s="756">
        <f t="shared" si="381"/>
        <v>6.0929906872940753</v>
      </c>
      <c r="J282" s="756">
        <f t="shared" si="381"/>
        <v>2.2689968853511822</v>
      </c>
      <c r="K282" s="756">
        <f t="shared" si="381"/>
        <v>3.9246445050867607</v>
      </c>
      <c r="L282" s="756">
        <f t="shared" si="381"/>
        <v>6.3820483956498641</v>
      </c>
      <c r="M282" s="756">
        <f t="shared" si="381"/>
        <v>-8.0540713080131781</v>
      </c>
      <c r="N282" s="756">
        <f t="shared" si="381"/>
        <v>9.7152110177691995</v>
      </c>
      <c r="O282" s="756">
        <f t="shared" si="381"/>
        <v>9.8332303891291559</v>
      </c>
      <c r="P282" s="756">
        <f t="shared" si="381"/>
        <v>13.075907629832638</v>
      </c>
      <c r="Q282" s="756">
        <f t="shared" si="381"/>
        <v>5.5083814090818528</v>
      </c>
      <c r="R282" s="756">
        <f t="shared" si="381"/>
        <v>5.6326287585590773</v>
      </c>
      <c r="S282" s="756">
        <f t="shared" si="381"/>
        <v>7.0109100702077543</v>
      </c>
      <c r="T282" s="756">
        <f t="shared" si="378"/>
        <v>-1.949658571986701</v>
      </c>
      <c r="U282" s="756">
        <f t="shared" si="378"/>
        <v>-15.842495762003651</v>
      </c>
      <c r="V282" s="756">
        <f t="shared" si="378"/>
        <v>35.582653471947602</v>
      </c>
      <c r="W282" s="756">
        <f t="shared" si="378"/>
        <v>-3.3546681035158898</v>
      </c>
      <c r="X282" s="756">
        <f t="shared" si="378"/>
        <v>7.8389953787965316</v>
      </c>
      <c r="Y282" s="756">
        <f t="shared" si="378"/>
        <v>-4.9738114777754916</v>
      </c>
      <c r="Z282" s="2228">
        <f t="shared" ref="X282:AE284" si="382">(Z276/Y276-1)*100</f>
        <v>2.2628443753078598</v>
      </c>
      <c r="AA282" s="2228">
        <f t="shared" si="382"/>
        <v>4.4614436999378393</v>
      </c>
      <c r="AB282" s="2228">
        <f t="shared" si="382"/>
        <v>13.256106892404219</v>
      </c>
      <c r="AC282" s="2228">
        <f t="shared" si="382"/>
        <v>5.7069085432045696</v>
      </c>
      <c r="AD282" s="2228">
        <f t="shared" ca="1" si="382"/>
        <v>4.7767915458883259</v>
      </c>
      <c r="AE282" s="2228">
        <f t="shared" ca="1" si="382"/>
        <v>5.051905448146754</v>
      </c>
      <c r="AK282" s="2228">
        <v>9.9271668932960679</v>
      </c>
      <c r="AM282" s="2228">
        <f t="shared" si="349"/>
        <v>-7.6643225179882082</v>
      </c>
    </row>
    <row r="283" spans="1:39" ht="12.75" customHeight="1">
      <c r="A283" s="714"/>
      <c r="B283" s="714"/>
      <c r="C283" s="841" t="s">
        <v>622</v>
      </c>
      <c r="D283" s="741" t="s">
        <v>591</v>
      </c>
      <c r="E283" s="842" t="s">
        <v>925</v>
      </c>
      <c r="F283" s="785" t="s">
        <v>884</v>
      </c>
      <c r="G283" s="789"/>
      <c r="H283" s="789">
        <f t="shared" ref="H283:S283" si="383">(H277/G277-1)*100</f>
        <v>10.090290441667026</v>
      </c>
      <c r="I283" s="789">
        <f t="shared" si="383"/>
        <v>22.759740784434058</v>
      </c>
      <c r="J283" s="789">
        <f t="shared" si="383"/>
        <v>6.5262465032088768</v>
      </c>
      <c r="K283" s="789">
        <f t="shared" si="383"/>
        <v>15.126050420168035</v>
      </c>
      <c r="L283" s="789">
        <f t="shared" si="383"/>
        <v>9.349506225847982</v>
      </c>
      <c r="M283" s="789">
        <f t="shared" si="383"/>
        <v>0.7426131343869935</v>
      </c>
      <c r="N283" s="789">
        <f t="shared" si="383"/>
        <v>11.353305432807282</v>
      </c>
      <c r="O283" s="789">
        <f t="shared" si="383"/>
        <v>5.8423318574003957</v>
      </c>
      <c r="P283" s="789">
        <f t="shared" si="383"/>
        <v>11.424543940076703</v>
      </c>
      <c r="Q283" s="789">
        <f t="shared" si="383"/>
        <v>6.9450112411239218</v>
      </c>
      <c r="R283" s="789">
        <f t="shared" si="383"/>
        <v>5.516432739206123</v>
      </c>
      <c r="S283" s="789">
        <f t="shared" si="383"/>
        <v>3.1074932274269829</v>
      </c>
      <c r="T283" s="789">
        <f t="shared" si="378"/>
        <v>0.31662521522859421</v>
      </c>
      <c r="U283" s="789">
        <f t="shared" si="378"/>
        <v>-3.4439136335752685</v>
      </c>
      <c r="V283" s="789">
        <f t="shared" si="378"/>
        <v>8.5055533975469508</v>
      </c>
      <c r="W283" s="789">
        <f t="shared" si="378"/>
        <v>4.6842386291927607</v>
      </c>
      <c r="X283" s="789">
        <f t="shared" ref="X283" si="384">(X277/W277-1)*100</f>
        <v>7.3631526476861886</v>
      </c>
      <c r="Y283" s="789">
        <f t="shared" ref="Y283" si="385">(Y277/X277-1)*100</f>
        <v>4.7265178978737055</v>
      </c>
      <c r="Z283" s="789">
        <f t="shared" si="382"/>
        <v>-1.5800068561472091</v>
      </c>
      <c r="AA283" s="2203">
        <f t="shared" si="382"/>
        <v>2.5916410671401602</v>
      </c>
      <c r="AB283" s="2203">
        <f t="shared" si="382"/>
        <v>7.3457072183264804</v>
      </c>
      <c r="AC283" s="2203">
        <f t="shared" si="382"/>
        <v>7.5098391258337616</v>
      </c>
      <c r="AD283" s="2203">
        <f t="shared" si="382"/>
        <v>6.3181307111432217</v>
      </c>
      <c r="AE283" s="2203">
        <f t="shared" si="382"/>
        <v>3.7842044348767034</v>
      </c>
      <c r="AK283" s="789">
        <v>-6.8183272698651987E-2</v>
      </c>
      <c r="AM283" s="789">
        <f t="shared" si="349"/>
        <v>-1.5118235834485572</v>
      </c>
    </row>
    <row r="284" spans="1:39" ht="12.75" customHeight="1">
      <c r="A284" s="714"/>
      <c r="B284" s="714"/>
      <c r="C284" s="822" t="s">
        <v>624</v>
      </c>
      <c r="D284" s="766"/>
      <c r="E284" s="771" t="s">
        <v>925</v>
      </c>
      <c r="F284" s="772" t="s">
        <v>924</v>
      </c>
      <c r="G284" s="770"/>
      <c r="H284" s="770">
        <f t="shared" ref="H284:AE284" ca="1" si="386">(H278/G278-1)*100</f>
        <v>1.7721877183376922</v>
      </c>
      <c r="I284" s="770">
        <f t="shared" si="386"/>
        <v>4.7516208484791544</v>
      </c>
      <c r="J284" s="770">
        <f t="shared" si="386"/>
        <v>3.7672300313204232</v>
      </c>
      <c r="K284" s="770">
        <f t="shared" si="386"/>
        <v>4.0522795217986962</v>
      </c>
      <c r="L284" s="770">
        <f t="shared" si="386"/>
        <v>5.9873174044161148</v>
      </c>
      <c r="M284" s="770">
        <f t="shared" si="386"/>
        <v>2.2283336512871399</v>
      </c>
      <c r="N284" s="770">
        <f t="shared" si="386"/>
        <v>3.3356589244682544</v>
      </c>
      <c r="O284" s="770">
        <f t="shared" si="386"/>
        <v>2.9361437196327334</v>
      </c>
      <c r="P284" s="770">
        <f t="shared" si="386"/>
        <v>5.1473426217520268</v>
      </c>
      <c r="Q284" s="770">
        <f t="shared" si="386"/>
        <v>4.1195231312657565</v>
      </c>
      <c r="R284" s="770">
        <f t="shared" si="386"/>
        <v>5.0642820763832752</v>
      </c>
      <c r="S284" s="770">
        <f t="shared" si="386"/>
        <v>5.4792931791534549</v>
      </c>
      <c r="T284" s="770">
        <f t="shared" si="378"/>
        <v>3.7599567512342613</v>
      </c>
      <c r="U284" s="770">
        <f t="shared" si="378"/>
        <v>-3.6304680482329377</v>
      </c>
      <c r="V284" s="770">
        <f t="shared" si="378"/>
        <v>7.8454595775790725</v>
      </c>
      <c r="W284" s="770">
        <f t="shared" si="378"/>
        <v>1.6783760094379208</v>
      </c>
      <c r="X284" s="770">
        <f t="shared" si="382"/>
        <v>3.6700014885265864</v>
      </c>
      <c r="Y284" s="770">
        <f t="shared" si="382"/>
        <v>0.45989432783559714</v>
      </c>
      <c r="Z284" s="2223">
        <f t="shared" si="386"/>
        <v>1.0067245357542776</v>
      </c>
      <c r="AA284" s="2223">
        <f t="shared" si="386"/>
        <v>1.59923797815964</v>
      </c>
      <c r="AB284" s="2223">
        <f t="shared" si="386"/>
        <v>3.9104717430165081</v>
      </c>
      <c r="AC284" s="2223">
        <f t="shared" si="386"/>
        <v>3.7879654461461909</v>
      </c>
      <c r="AD284" s="2223">
        <f t="shared" ca="1" si="386"/>
        <v>3.6947950091928083</v>
      </c>
      <c r="AE284" s="2223">
        <f t="shared" ca="1" si="386"/>
        <v>3.4387460251404933</v>
      </c>
      <c r="AK284" s="2223">
        <v>2.8244560913896377</v>
      </c>
      <c r="AM284" s="2223">
        <f t="shared" si="349"/>
        <v>-1.8177315556353602</v>
      </c>
    </row>
    <row r="285" spans="1:39" ht="12.75" customHeight="1">
      <c r="A285" s="714"/>
      <c r="B285" s="714"/>
      <c r="C285" s="822"/>
      <c r="E285" s="833"/>
      <c r="F285" s="834"/>
      <c r="G285" s="753"/>
      <c r="H285" s="835"/>
      <c r="I285" s="835"/>
      <c r="J285" s="835"/>
      <c r="K285" s="835"/>
      <c r="L285" s="835"/>
      <c r="M285" s="835"/>
      <c r="N285" s="835"/>
      <c r="O285" s="835"/>
      <c r="P285" s="835"/>
      <c r="Q285" s="835"/>
      <c r="R285" s="835"/>
      <c r="S285" s="2239"/>
      <c r="T285" s="2239"/>
      <c r="U285" s="2239"/>
      <c r="V285" s="2239"/>
      <c r="W285" s="2239"/>
      <c r="X285" s="2239"/>
      <c r="Y285" s="2239"/>
      <c r="Z285" s="2239"/>
      <c r="AA285" s="2239"/>
      <c r="AB285" s="2239"/>
      <c r="AC285" s="2239"/>
      <c r="AD285" s="2239"/>
      <c r="AE285" s="2239"/>
      <c r="AK285" s="2239"/>
      <c r="AM285" s="2239">
        <f t="shared" si="349"/>
        <v>0</v>
      </c>
    </row>
    <row r="286" spans="1:39" ht="12.75" customHeight="1">
      <c r="A286" s="714"/>
      <c r="B286" s="714"/>
      <c r="C286" s="822"/>
      <c r="D286" s="862"/>
      <c r="E286" s="863" t="s">
        <v>1805</v>
      </c>
      <c r="F286" s="864"/>
      <c r="G286" s="865">
        <f>+InputY!$G$3</f>
        <v>1995</v>
      </c>
      <c r="H286" s="865">
        <f>+G286+1</f>
        <v>1996</v>
      </c>
      <c r="I286" s="865">
        <f t="shared" ref="I286:S286" si="387">+H286+1</f>
        <v>1997</v>
      </c>
      <c r="J286" s="865">
        <f t="shared" si="387"/>
        <v>1998</v>
      </c>
      <c r="K286" s="865">
        <f t="shared" si="387"/>
        <v>1999</v>
      </c>
      <c r="L286" s="865">
        <f t="shared" si="387"/>
        <v>2000</v>
      </c>
      <c r="M286" s="865">
        <f t="shared" si="387"/>
        <v>2001</v>
      </c>
      <c r="N286" s="865">
        <f t="shared" si="387"/>
        <v>2002</v>
      </c>
      <c r="O286" s="865">
        <f t="shared" si="387"/>
        <v>2003</v>
      </c>
      <c r="P286" s="865">
        <f>+O286+1</f>
        <v>2004</v>
      </c>
      <c r="Q286" s="865">
        <f>+P286+1</f>
        <v>2005</v>
      </c>
      <c r="R286" s="865">
        <f>+Q286+1</f>
        <v>2006</v>
      </c>
      <c r="S286" s="2219">
        <f t="shared" si="387"/>
        <v>2007</v>
      </c>
      <c r="T286" s="2219">
        <f t="shared" ref="T286:AE286" si="388">+S286+1</f>
        <v>2008</v>
      </c>
      <c r="U286" s="2219">
        <f t="shared" si="388"/>
        <v>2009</v>
      </c>
      <c r="V286" s="2219">
        <f>+U286+1</f>
        <v>2010</v>
      </c>
      <c r="W286" s="2219">
        <f t="shared" si="388"/>
        <v>2011</v>
      </c>
      <c r="X286" s="2219">
        <f t="shared" si="388"/>
        <v>2012</v>
      </c>
      <c r="Y286" s="2219">
        <f t="shared" si="388"/>
        <v>2013</v>
      </c>
      <c r="Z286" s="2219">
        <f t="shared" si="388"/>
        <v>2014</v>
      </c>
      <c r="AA286" s="2219">
        <f t="shared" si="388"/>
        <v>2015</v>
      </c>
      <c r="AB286" s="2219">
        <f t="shared" si="388"/>
        <v>2016</v>
      </c>
      <c r="AC286" s="2219">
        <f t="shared" si="388"/>
        <v>2017</v>
      </c>
      <c r="AD286" s="2219">
        <f t="shared" si="388"/>
        <v>2018</v>
      </c>
      <c r="AE286" s="2219">
        <f t="shared" si="388"/>
        <v>2019</v>
      </c>
      <c r="AK286" s="2219">
        <v>2014</v>
      </c>
      <c r="AM286" s="2219">
        <f t="shared" si="349"/>
        <v>0</v>
      </c>
    </row>
    <row r="287" spans="1:39" ht="12.75" customHeight="1">
      <c r="A287" s="714"/>
      <c r="B287" s="714"/>
      <c r="C287" s="866" t="s">
        <v>622</v>
      </c>
      <c r="D287" s="867" t="s">
        <v>589</v>
      </c>
      <c r="E287" s="868" t="s">
        <v>925</v>
      </c>
      <c r="F287" s="869" t="s">
        <v>882</v>
      </c>
      <c r="G287" s="878">
        <f ca="1">+G275/'VVP2'!G$355</f>
        <v>0.80078498448583657</v>
      </c>
      <c r="H287" s="878">
        <f>+H275/'VVP2'!H$355</f>
        <v>0.78872514151922013</v>
      </c>
      <c r="I287" s="878">
        <f>+I275/'VVP2'!I$355</f>
        <v>0.77741740338374288</v>
      </c>
      <c r="J287" s="878">
        <f>+J275/'VVP2'!J$355</f>
        <v>0.77818760405578757</v>
      </c>
      <c r="K287" s="878">
        <f>+K275/'VVP2'!K$355</f>
        <v>0.77031929442401714</v>
      </c>
      <c r="L287" s="878">
        <f>+L275/'VVP2'!L$355</f>
        <v>0.76910526601141671</v>
      </c>
      <c r="M287" s="878">
        <f>+M275/'VVP2'!M$355</f>
        <v>0.7826948053413918</v>
      </c>
      <c r="N287" s="878">
        <f>+N275/'VVP2'!N$355</f>
        <v>0.76578889870070765</v>
      </c>
      <c r="O287" s="878">
        <f>+O275/'VVP2'!O$355</f>
        <v>0.75354704717897358</v>
      </c>
      <c r="P287" s="878">
        <f>+P275/'VVP2'!P$355</f>
        <v>0.73116238180875959</v>
      </c>
      <c r="Q287" s="878">
        <f>+Q275/'VVP2'!Q$355</f>
        <v>0.72507165770731297</v>
      </c>
      <c r="R287" s="878">
        <f>+R275/'VVP2'!R$355</f>
        <v>0.72493686901541388</v>
      </c>
      <c r="S287" s="878">
        <f>+S275/'VVP2'!S$355</f>
        <v>0.72387308264133166</v>
      </c>
      <c r="T287" s="878">
        <f>+T275/'VVP2'!T$355</f>
        <v>0.74532000963662415</v>
      </c>
      <c r="U287" s="878">
        <f>+U275/'VVP2'!U$355</f>
        <v>0.75243985410906733</v>
      </c>
      <c r="V287" s="878">
        <f>+V275/'VVP2'!V$355</f>
        <v>0.7318064478136842</v>
      </c>
      <c r="W287" s="878">
        <f>+W275/'VVP2'!W$355</f>
        <v>0.72413700326267338</v>
      </c>
      <c r="X287" s="878">
        <f>+X275/'VVP2'!X$355</f>
        <v>0.72321220046136769</v>
      </c>
      <c r="Y287" s="878">
        <f>+Y275/'VVP2'!Y$355</f>
        <v>0.72458414874045407</v>
      </c>
      <c r="Z287" s="2204">
        <f>+Z275/'VVP2'!Z$355</f>
        <v>0.7174768079598649</v>
      </c>
      <c r="AA287" s="2204">
        <f>+AA275/'VVP2'!AA$355</f>
        <v>0.70460574531619113</v>
      </c>
      <c r="AB287" s="2204">
        <f>+AB275/'VVP2'!AB$355</f>
        <v>0.68927786986075346</v>
      </c>
      <c r="AC287" s="2204">
        <f>+AC275/'VVP2'!AC$355</f>
        <v>0.68262440304117677</v>
      </c>
      <c r="AD287" s="2204">
        <f ca="1">+AD275/'VVP2'!AD$355</f>
        <v>0.67967365103136268</v>
      </c>
      <c r="AE287" s="2204">
        <f ca="1">+AE275/'VVP2'!AE$355</f>
        <v>0.67571710856448131</v>
      </c>
      <c r="AK287" s="2204">
        <v>0.72055562882763569</v>
      </c>
      <c r="AM287" s="2204">
        <f t="shared" si="349"/>
        <v>-3.0788208677707818E-3</v>
      </c>
    </row>
    <row r="288" spans="1:39" ht="12.75" customHeight="1">
      <c r="A288" s="714"/>
      <c r="B288" s="714"/>
      <c r="C288" s="870" t="s">
        <v>622</v>
      </c>
      <c r="D288" s="724" t="s">
        <v>590</v>
      </c>
      <c r="E288" s="830" t="s">
        <v>925</v>
      </c>
      <c r="F288" s="754" t="s">
        <v>883</v>
      </c>
      <c r="G288" s="879">
        <f ca="1">+G276/'VVP2'!G$355</f>
        <v>0.1729389069472026</v>
      </c>
      <c r="H288" s="879">
        <f>+H276/'VVP2'!H$355</f>
        <v>0.17657810601345539</v>
      </c>
      <c r="I288" s="879">
        <f>+I276/'VVP2'!I$355</f>
        <v>0.17902479414184366</v>
      </c>
      <c r="J288" s="879">
        <f>+J276/'VVP2'!J$355</f>
        <v>0.1764338375774448</v>
      </c>
      <c r="K288" s="879">
        <f>+K276/'VVP2'!K$355</f>
        <v>0.17604841417375702</v>
      </c>
      <c r="L288" s="879">
        <f>+L276/'VVP2'!L$355</f>
        <v>0.17713285467543438</v>
      </c>
      <c r="M288" s="879">
        <f>+M276/'VVP2'!M$355</f>
        <v>0.15823000552319066</v>
      </c>
      <c r="N288" s="879">
        <f>+N276/'VVP2'!N$355</f>
        <v>0.16774756230434171</v>
      </c>
      <c r="O288" s="879">
        <f>+O276/'VVP2'!O$355</f>
        <v>0.17930698972001141</v>
      </c>
      <c r="P288" s="879">
        <f>+P276/'VVP2'!P$355</f>
        <v>0.19184241078662037</v>
      </c>
      <c r="Q288" s="879">
        <f>+Q276/'VVP2'!Q$355</f>
        <v>0.19411148295496863</v>
      </c>
      <c r="R288" s="879">
        <f>+R276/'VVP2'!R$355</f>
        <v>0.19551579445549389</v>
      </c>
      <c r="S288" s="879">
        <f>+S276/'VVP2'!S$355</f>
        <v>0.19826754179207309</v>
      </c>
      <c r="T288" s="879">
        <f>+T276/'VVP2'!T$355</f>
        <v>0.18926646141297418</v>
      </c>
      <c r="U288" s="879">
        <f>+U276/'VVP2'!U$355</f>
        <v>0.1616954014996799</v>
      </c>
      <c r="V288" s="879">
        <f>+V276/'VVP2'!V$355</f>
        <v>0.20943164964167396</v>
      </c>
      <c r="W288" s="879">
        <f>+W276/'VVP2'!W$355</f>
        <v>0.19492817713659735</v>
      </c>
      <c r="X288" s="879">
        <f>+X276/'VVP2'!X$355</f>
        <v>0.20565517273414891</v>
      </c>
      <c r="Y288" s="879">
        <f>+Y276/'VVP2'!Y$355</f>
        <v>0.19301559515501615</v>
      </c>
      <c r="Z288" s="2138">
        <f>+Z276/'VVP2'!Z$355</f>
        <v>0.19346385928938203</v>
      </c>
      <c r="AA288" s="2138">
        <f>+AA276/'VVP2'!AA$355</f>
        <v>0.19709883557745531</v>
      </c>
      <c r="AB288" s="2138">
        <f>+AB276/'VVP2'!AB$355</f>
        <v>0.21657096445702187</v>
      </c>
      <c r="AC288" s="2138">
        <f>+AC276/'VVP2'!AC$355</f>
        <v>0.22087131362716961</v>
      </c>
      <c r="AD288" s="2138">
        <f ca="1">+AD276/'VVP2'!AD$355</f>
        <v>0.22382218378017257</v>
      </c>
      <c r="AE288" s="2138">
        <f ca="1">+AE276/'VVP2'!AE$355</f>
        <v>0.22727512588659277</v>
      </c>
      <c r="AK288" s="2138">
        <v>0.17950452971976294</v>
      </c>
      <c r="AM288" s="2138">
        <f t="shared" si="349"/>
        <v>1.3959329569619094E-2</v>
      </c>
    </row>
    <row r="289" spans="1:46" ht="12.75" customHeight="1">
      <c r="A289" s="714"/>
      <c r="B289" s="714"/>
      <c r="C289" s="871" t="s">
        <v>622</v>
      </c>
      <c r="D289" s="872" t="s">
        <v>591</v>
      </c>
      <c r="E289" s="873" t="s">
        <v>925</v>
      </c>
      <c r="F289" s="874" t="s">
        <v>884</v>
      </c>
      <c r="G289" s="880">
        <f ca="1">+G277/'VVP2'!G$355</f>
        <v>5.3203925585023119E-2</v>
      </c>
      <c r="H289" s="880">
        <f>+H277/'VVP2'!H$355</f>
        <v>5.7310653211226706E-2</v>
      </c>
      <c r="I289" s="880">
        <f>+I277/'VVP2'!I$355</f>
        <v>6.7232762767586801E-2</v>
      </c>
      <c r="J289" s="880">
        <f>+J277/'VVP2'!J$355</f>
        <v>6.9017986298752707E-2</v>
      </c>
      <c r="K289" s="880">
        <f>+K277/'VVP2'!K$355</f>
        <v>7.6289993694365052E-2</v>
      </c>
      <c r="L289" s="880">
        <f>+L277/'VVP2'!L$355</f>
        <v>7.8901100603356783E-2</v>
      </c>
      <c r="M289" s="880">
        <f>+M277/'VVP2'!M$355</f>
        <v>7.7224212945335463E-2</v>
      </c>
      <c r="N289" s="880">
        <f>+N277/'VVP2'!N$355</f>
        <v>8.309160267878403E-2</v>
      </c>
      <c r="O289" s="880">
        <f>+O277/'VVP2'!O$355</f>
        <v>8.5590148476930611E-2</v>
      </c>
      <c r="P289" s="880">
        <f>+P277/'VVP2'!P$355</f>
        <v>9.0236442739934461E-2</v>
      </c>
      <c r="Q289" s="880">
        <f>+Q277/'VVP2'!Q$355</f>
        <v>9.2546956345302842E-2</v>
      </c>
      <c r="R289" s="880">
        <f>+R277/'VVP2'!R$355</f>
        <v>9.3113954756306294E-2</v>
      </c>
      <c r="S289" s="880">
        <f>+S277/'VVP2'!S$355</f>
        <v>9.0980164629945279E-2</v>
      </c>
      <c r="T289" s="880">
        <f>+T277/'VVP2'!T$355</f>
        <v>8.8857187320213554E-2</v>
      </c>
      <c r="U289" s="880">
        <f>+U277/'VVP2'!U$355</f>
        <v>8.7097035934573255E-2</v>
      </c>
      <c r="V289" s="880">
        <f>+V277/'VVP2'!V$355</f>
        <v>9.0280895260346133E-2</v>
      </c>
      <c r="W289" s="880">
        <f>+W277/'VVP2'!W$355</f>
        <v>9.1018271128704559E-2</v>
      </c>
      <c r="X289" s="880">
        <f>+X277/'VVP2'!X$355</f>
        <v>9.5603330166882591E-2</v>
      </c>
      <c r="Y289" s="880">
        <f>+Y277/'VVP2'!Y$355</f>
        <v>9.8886985210269271E-2</v>
      </c>
      <c r="Z289" s="2206">
        <f>+Z277/'VVP2'!Z$355</f>
        <v>9.5392020049554299E-2</v>
      </c>
      <c r="AA289" s="2206">
        <f>+AA277/'VVP2'!AA$355</f>
        <v>9.5444786412081623E-2</v>
      </c>
      <c r="AB289" s="2206">
        <f>+AB277/'VVP2'!AB$355</f>
        <v>9.9401155990662071E-2</v>
      </c>
      <c r="AC289" s="2206">
        <f>+AC277/'VVP2'!AC$355</f>
        <v>0.1031039630582237</v>
      </c>
      <c r="AD289" s="2206">
        <f ca="1">+AD277/'VVP2'!AD$355</f>
        <v>0.10601844015390795</v>
      </c>
      <c r="AE289" s="2206">
        <f ca="1">+AE277/'VVP2'!AE$355</f>
        <v>0.10635490276479126</v>
      </c>
      <c r="AK289" s="2206">
        <v>0.10092251472891339</v>
      </c>
      <c r="AM289" s="2206">
        <f t="shared" si="349"/>
        <v>-5.5304946793590937E-3</v>
      </c>
    </row>
    <row r="290" spans="1:46" ht="12.75" customHeight="1">
      <c r="A290" s="714"/>
      <c r="B290" s="714"/>
      <c r="C290" s="822" t="s">
        <v>624</v>
      </c>
      <c r="D290" s="850"/>
      <c r="E290" s="851" t="s">
        <v>925</v>
      </c>
      <c r="F290" s="852" t="s">
        <v>924</v>
      </c>
      <c r="G290" s="881">
        <f ca="1">+G278/'VVP2'!G$355</f>
        <v>1.0269278170180625</v>
      </c>
      <c r="H290" s="881">
        <f>+H278/'VVP2'!H$355</f>
        <v>1.0226139007439021</v>
      </c>
      <c r="I290" s="881">
        <f>+I278/'VVP2'!I$355</f>
        <v>1.0236749602931734</v>
      </c>
      <c r="J290" s="881">
        <f>+J278/'VVP2'!J$355</f>
        <v>1.0236394279319849</v>
      </c>
      <c r="K290" s="881">
        <f>+K278/'VVP2'!K$355</f>
        <v>1.0226577022921393</v>
      </c>
      <c r="L290" s="881">
        <f>+L278/'VVP2'!L$355</f>
        <v>1.025139221290208</v>
      </c>
      <c r="M290" s="881">
        <f>+M278/'VVP2'!M$355</f>
        <v>1.018149023809918</v>
      </c>
      <c r="N290" s="881">
        <f>+N278/'VVP2'!N$355</f>
        <v>1.0166280636838332</v>
      </c>
      <c r="O290" s="881">
        <f>+O278/'VVP2'!O$355</f>
        <v>1.0184441853759156</v>
      </c>
      <c r="P290" s="881">
        <f>+P278/'VVP2'!P$355</f>
        <v>1.0132412353353146</v>
      </c>
      <c r="Q290" s="881">
        <f>+Q278/'VVP2'!Q$355</f>
        <v>1.0117300970075844</v>
      </c>
      <c r="R290" s="881">
        <f>+R278/'VVP2'!R$355</f>
        <v>1.0135666182272143</v>
      </c>
      <c r="S290" s="881">
        <f>+S278/'VVP2'!S$355</f>
        <v>1.01312078906335</v>
      </c>
      <c r="T290" s="881">
        <f>+T278/'VVP2'!T$355</f>
        <v>1.0234436583698119</v>
      </c>
      <c r="U290" s="881">
        <f>+U278/'VVP2'!U$355</f>
        <v>1.0012322915433205</v>
      </c>
      <c r="V290" s="881">
        <f>+V278/'VVP2'!V$355</f>
        <v>1.0315189927157045</v>
      </c>
      <c r="W290" s="881">
        <f>+W278/'VVP2'!W$355</f>
        <v>1.0100834515279753</v>
      </c>
      <c r="X290" s="881">
        <f>+X278/'VVP2'!X$355</f>
        <v>1.0244707033623992</v>
      </c>
      <c r="Y290" s="881">
        <f>+Y278/'VVP2'!Y$355</f>
        <v>1.0164867291057396</v>
      </c>
      <c r="Z290" s="2205">
        <f>+Z278/'VVP2'!Z$355</f>
        <v>1.0063326872988012</v>
      </c>
      <c r="AA290" s="2205">
        <f>+AA278/'VVP2'!AA$355</f>
        <v>0.99714936730572812</v>
      </c>
      <c r="AB290" s="2205">
        <f>+AB278/'VVP2'!AB$355</f>
        <v>1.0052499903084375</v>
      </c>
      <c r="AC290" s="2205">
        <f>+AC278/'VVP2'!AC$355</f>
        <v>1.0065996797265702</v>
      </c>
      <c r="AD290" s="2205">
        <f ca="1">+AD278/'VVP2'!AD$355</f>
        <v>1.0095142749654433</v>
      </c>
      <c r="AE290" s="2205">
        <f ca="1">+AE278/'VVP2'!AE$355</f>
        <v>1.0093471372158653</v>
      </c>
      <c r="AK290" s="2205">
        <v>1.0009826732763121</v>
      </c>
      <c r="AM290" s="2205">
        <f t="shared" si="349"/>
        <v>5.3500140224891357E-3</v>
      </c>
    </row>
    <row r="291" spans="1:46" ht="30" customHeight="1">
      <c r="S291" s="2162"/>
      <c r="T291" s="2162"/>
      <c r="U291" s="2162"/>
      <c r="AM291" s="2827">
        <f t="shared" si="349"/>
        <v>0</v>
      </c>
    </row>
    <row r="292" spans="1:46" ht="30" customHeight="1">
      <c r="S292" s="2162"/>
      <c r="T292" s="2162"/>
      <c r="U292" s="2218"/>
      <c r="V292" s="2269"/>
      <c r="AM292" s="2827">
        <f t="shared" si="349"/>
        <v>0</v>
      </c>
    </row>
    <row r="293" spans="1:46" ht="22.5" customHeight="1">
      <c r="A293" s="603"/>
      <c r="B293" s="603"/>
      <c r="C293" s="4124" t="s">
        <v>1257</v>
      </c>
      <c r="D293" s="4124"/>
      <c r="E293" s="4124"/>
      <c r="F293" s="4124"/>
      <c r="R293" s="2239"/>
      <c r="S293" s="2162"/>
      <c r="T293" s="2233"/>
      <c r="U293" s="2233"/>
      <c r="V293" s="2233"/>
      <c r="W293" s="3338"/>
      <c r="X293" s="2995"/>
      <c r="Y293" s="2995"/>
      <c r="Z293" s="2995"/>
      <c r="AA293" s="2995"/>
      <c r="AB293" s="2995"/>
      <c r="AC293" s="2995"/>
      <c r="AD293" s="2995"/>
      <c r="AE293" s="2995"/>
      <c r="AK293" s="2995"/>
      <c r="AM293" s="2995">
        <f t="shared" si="349"/>
        <v>0</v>
      </c>
    </row>
    <row r="294" spans="1:46" ht="12.75" customHeight="1">
      <c r="A294" s="714"/>
      <c r="B294" s="714"/>
      <c r="C294" s="822"/>
      <c r="Q294" s="885"/>
      <c r="R294" s="2233"/>
      <c r="S294" s="2233"/>
      <c r="T294" s="2827"/>
      <c r="V294" s="835"/>
      <c r="W294" s="3339"/>
      <c r="X294" s="2269"/>
      <c r="Y294" s="2269"/>
      <c r="Z294" s="2269"/>
      <c r="AA294" s="2269"/>
      <c r="AB294" s="2269"/>
      <c r="AC294" s="2269"/>
      <c r="AD294" s="2269"/>
      <c r="AE294" s="2269"/>
      <c r="AK294" s="2269"/>
      <c r="AM294" s="2269">
        <f t="shared" si="349"/>
        <v>0</v>
      </c>
    </row>
    <row r="295" spans="1:46" ht="12.75" customHeight="1">
      <c r="A295" s="714"/>
      <c r="B295" s="714"/>
      <c r="C295" s="822"/>
      <c r="D295" s="823"/>
      <c r="E295" s="824" t="s">
        <v>1803</v>
      </c>
      <c r="F295" s="825"/>
      <c r="G295" s="826">
        <f>+InputY!$G$3</f>
        <v>1995</v>
      </c>
      <c r="H295" s="826">
        <f>+G295+1</f>
        <v>1996</v>
      </c>
      <c r="I295" s="826">
        <f t="shared" ref="I295:S295" si="389">+H295+1</f>
        <v>1997</v>
      </c>
      <c r="J295" s="826">
        <f t="shared" si="389"/>
        <v>1998</v>
      </c>
      <c r="K295" s="826">
        <f t="shared" si="389"/>
        <v>1999</v>
      </c>
      <c r="L295" s="826">
        <f t="shared" si="389"/>
        <v>2000</v>
      </c>
      <c r="M295" s="826">
        <f t="shared" si="389"/>
        <v>2001</v>
      </c>
      <c r="N295" s="826">
        <f t="shared" si="389"/>
        <v>2002</v>
      </c>
      <c r="O295" s="826">
        <f t="shared" si="389"/>
        <v>2003</v>
      </c>
      <c r="P295" s="826">
        <f>+O295+1</f>
        <v>2004</v>
      </c>
      <c r="Q295" s="826">
        <f>+P295+1</f>
        <v>2005</v>
      </c>
      <c r="R295" s="2163">
        <f t="shared" si="389"/>
        <v>2006</v>
      </c>
      <c r="S295" s="2163">
        <f t="shared" si="389"/>
        <v>2007</v>
      </c>
      <c r="T295" s="2163">
        <f t="shared" ref="T295:AE295" si="390">+S295+1</f>
        <v>2008</v>
      </c>
      <c r="U295" s="2163">
        <f t="shared" si="390"/>
        <v>2009</v>
      </c>
      <c r="V295" s="2163">
        <f t="shared" si="390"/>
        <v>2010</v>
      </c>
      <c r="W295" s="2163">
        <f t="shared" si="390"/>
        <v>2011</v>
      </c>
      <c r="X295" s="2163">
        <f t="shared" si="390"/>
        <v>2012</v>
      </c>
      <c r="Y295" s="2163">
        <f t="shared" si="390"/>
        <v>2013</v>
      </c>
      <c r="Z295" s="2163">
        <f t="shared" si="390"/>
        <v>2014</v>
      </c>
      <c r="AA295" s="2163">
        <f t="shared" si="390"/>
        <v>2015</v>
      </c>
      <c r="AB295" s="2163">
        <f t="shared" si="390"/>
        <v>2016</v>
      </c>
      <c r="AC295" s="2163">
        <f t="shared" si="390"/>
        <v>2017</v>
      </c>
      <c r="AD295" s="2163">
        <f t="shared" si="390"/>
        <v>2018</v>
      </c>
      <c r="AE295" s="2163">
        <f t="shared" si="390"/>
        <v>2019</v>
      </c>
      <c r="AK295" s="2163">
        <v>2014</v>
      </c>
      <c r="AM295" s="2163">
        <f t="shared" si="349"/>
        <v>0</v>
      </c>
    </row>
    <row r="296" spans="1:46" ht="12.75" customHeight="1">
      <c r="A296" s="714">
        <f>+ROW(InputY!A191)</f>
        <v>191</v>
      </c>
      <c r="B296" s="714">
        <v>92</v>
      </c>
      <c r="C296" s="3037" t="s">
        <v>622</v>
      </c>
      <c r="D296" s="3038" t="s">
        <v>589</v>
      </c>
      <c r="E296" s="3039" t="s">
        <v>1315</v>
      </c>
      <c r="F296" s="3040" t="str">
        <f>+InputY!B191</f>
        <v>$HTaxDir</v>
      </c>
      <c r="G296" s="3041">
        <f ca="1">+InputY!G191/1000</f>
        <v>28.452500000000001</v>
      </c>
      <c r="H296" s="3041">
        <f>+InputY!H191/1000</f>
        <v>28.4252</v>
      </c>
      <c r="I296" s="3041">
        <f>+InputY!I191/1000</f>
        <v>30.247299999999999</v>
      </c>
      <c r="J296" s="3041">
        <f>+InputY!J191/1000</f>
        <v>31.3674</v>
      </c>
      <c r="K296" s="3041">
        <f>+InputY!K191/1000</f>
        <v>31.906200000000002</v>
      </c>
      <c r="L296" s="3041">
        <f>+InputY!L191/1000</f>
        <v>34.104800000000004</v>
      </c>
      <c r="M296" s="3041">
        <f>+InputY!M191/1000</f>
        <v>35.866800000000005</v>
      </c>
      <c r="N296" s="3041">
        <f>+InputY!N191/1000</f>
        <v>37.0441</v>
      </c>
      <c r="O296" s="3041">
        <f>+InputY!O191/1000</f>
        <v>37.001599999999996</v>
      </c>
      <c r="P296" s="3041">
        <f>+InputY!P191/1000</f>
        <v>38.584499999999998</v>
      </c>
      <c r="Q296" s="3041">
        <f>+InputY!Q191/1000</f>
        <v>40.154199999999996</v>
      </c>
      <c r="R296" s="3041">
        <f>+InputY!R191/1000</f>
        <v>40.509599999999999</v>
      </c>
      <c r="S296" s="3042">
        <f>+InputY!S191/1000</f>
        <v>42.131500000000003</v>
      </c>
      <c r="T296" s="3042">
        <f>+InputY!T191/1000</f>
        <v>44.778400000000005</v>
      </c>
      <c r="U296" s="3042">
        <f>+InputY!U191/1000</f>
        <v>43.255000000000003</v>
      </c>
      <c r="V296" s="3042">
        <f>+InputY!V191/1000</f>
        <v>45.653599999999997</v>
      </c>
      <c r="W296" s="3042">
        <f>+InputY!W191/1000</f>
        <v>48.298999999999999</v>
      </c>
      <c r="X296" s="3042">
        <f>+InputY!X191/1000</f>
        <v>50.078400000000002</v>
      </c>
      <c r="Y296" s="3042">
        <f>+InputY!Y191/1000</f>
        <v>52.613199999999999</v>
      </c>
      <c r="Z296" s="3042">
        <f>+InputY!Z191/1000</f>
        <v>53.6203</v>
      </c>
      <c r="AA296" s="3042">
        <f>+InputY!AA191/1000</f>
        <v>53.569800000000001</v>
      </c>
      <c r="AB296" s="3042">
        <f>+InputY!AB191/1000</f>
        <v>53.116099999999996</v>
      </c>
      <c r="AC296" s="3043">
        <f>+AB296*(1+AC323/100)</f>
        <v>54.922047399999997</v>
      </c>
      <c r="AD296" s="3043">
        <f>+AC296*(1+AD323/100)</f>
        <v>56.498310160379994</v>
      </c>
      <c r="AE296" s="3043">
        <f>+AD296*(1+AE323/100)</f>
        <v>57.340134981769651</v>
      </c>
      <c r="AK296" s="3042">
        <v>54.659650000000006</v>
      </c>
      <c r="AM296" s="3042">
        <f t="shared" si="349"/>
        <v>-1.039350000000006</v>
      </c>
    </row>
    <row r="297" spans="1:46" ht="12.75" hidden="1" customHeight="1">
      <c r="A297" s="714"/>
      <c r="B297" s="714"/>
      <c r="C297" s="829"/>
      <c r="D297" s="724"/>
      <c r="E297" s="3053" t="s">
        <v>1337</v>
      </c>
      <c r="F297" s="754"/>
      <c r="G297" s="3052">
        <f>InputY!G192/1000</f>
        <v>27.694099999999999</v>
      </c>
      <c r="H297" s="3052">
        <f>InputY!H192/1000</f>
        <v>27.440099999999997</v>
      </c>
      <c r="I297" s="3052">
        <f>InputY!I192/1000</f>
        <v>29.2165</v>
      </c>
      <c r="J297" s="3052">
        <f>InputY!J192/1000</f>
        <v>30.356400000000001</v>
      </c>
      <c r="K297" s="3052">
        <f>InputY!K192/1000</f>
        <v>30.751200000000001</v>
      </c>
      <c r="L297" s="3052">
        <f>InputY!L192/1000</f>
        <v>33.0154</v>
      </c>
      <c r="M297" s="3052">
        <f>InputY!M192/1000</f>
        <v>34.729199999999999</v>
      </c>
      <c r="N297" s="3052">
        <f>InputY!N192/1000</f>
        <v>35.581800000000001</v>
      </c>
      <c r="O297" s="3052">
        <f>InputY!O192/1000</f>
        <v>35.571100000000001</v>
      </c>
      <c r="P297" s="3052">
        <f>InputY!P192/1000</f>
        <v>37.123599999999996</v>
      </c>
      <c r="Q297" s="3052">
        <f>InputY!Q192/1000</f>
        <v>38.6511</v>
      </c>
      <c r="R297" s="3052">
        <f>InputY!R192/1000</f>
        <v>38.983899999999998</v>
      </c>
      <c r="S297" s="3052">
        <f>InputY!S192/1000</f>
        <v>40.541699999999999</v>
      </c>
      <c r="T297" s="3337">
        <f>InputY!T192/1000</f>
        <v>43.219699999999996</v>
      </c>
      <c r="U297" s="3337">
        <f>InputY!U192/1000</f>
        <v>41.731499999999997</v>
      </c>
      <c r="V297" s="3337">
        <f>InputY!V192/1000</f>
        <v>44.096599999999995</v>
      </c>
      <c r="W297" s="3337">
        <f>InputY!W192/1000</f>
        <v>46.651800000000001</v>
      </c>
      <c r="X297" s="3337">
        <f>InputY!X192/1000</f>
        <v>48.454800000000006</v>
      </c>
      <c r="Y297" s="3337">
        <f>InputY!Y192/1000</f>
        <v>51.055699999999995</v>
      </c>
      <c r="Z297" s="3337">
        <f>InputY!Z192/1000</f>
        <v>52.072000000000003</v>
      </c>
      <c r="AA297" s="3337">
        <f>InputY!AA192/1000</f>
        <v>51.958199999999998</v>
      </c>
      <c r="AB297" s="3442">
        <f>AB296-AB304</f>
        <v>51.528551778093878</v>
      </c>
      <c r="AC297" s="3442">
        <f>AC296-AC304</f>
        <v>53.260920865433761</v>
      </c>
      <c r="AD297" s="3442">
        <f>AD296-AD304</f>
        <v>54.85283544149862</v>
      </c>
      <c r="AE297" s="3442">
        <f ca="1">AE296-AE304</f>
        <v>55.622606307069475</v>
      </c>
      <c r="AK297" s="3337">
        <v>53.006743956018489</v>
      </c>
      <c r="AM297" s="3337">
        <f t="shared" si="349"/>
        <v>-0.9347439560184867</v>
      </c>
    </row>
    <row r="298" spans="1:46" ht="12.75" hidden="1" customHeight="1">
      <c r="A298" s="714"/>
      <c r="B298" s="714"/>
      <c r="C298" s="829"/>
      <c r="D298" s="724"/>
      <c r="E298" s="3053" t="s">
        <v>1343</v>
      </c>
      <c r="F298" s="754"/>
      <c r="G298" s="756"/>
      <c r="H298" s="3054">
        <f t="shared" ref="H298:T298" si="391">H297/G297-1</f>
        <v>-9.1716286140369752E-3</v>
      </c>
      <c r="I298" s="3054">
        <f t="shared" si="391"/>
        <v>6.4737373406073662E-2</v>
      </c>
      <c r="J298" s="3054">
        <f t="shared" si="391"/>
        <v>3.9015624732599674E-2</v>
      </c>
      <c r="K298" s="3054">
        <f t="shared" si="391"/>
        <v>1.30054947226943E-2</v>
      </c>
      <c r="L298" s="3054">
        <f t="shared" si="391"/>
        <v>7.3629646973126128E-2</v>
      </c>
      <c r="M298" s="3054">
        <f t="shared" si="391"/>
        <v>5.1909109082428184E-2</v>
      </c>
      <c r="N298" s="3054">
        <f t="shared" si="391"/>
        <v>2.4549946442762982E-2</v>
      </c>
      <c r="O298" s="3054">
        <f t="shared" si="391"/>
        <v>-3.0071553434618536E-4</v>
      </c>
      <c r="P298" s="3054">
        <f t="shared" si="391"/>
        <v>4.3644981459667997E-2</v>
      </c>
      <c r="Q298" s="3054">
        <f t="shared" si="391"/>
        <v>4.1146332791000884E-2</v>
      </c>
      <c r="R298" s="3054">
        <f t="shared" si="391"/>
        <v>8.6103629650902125E-3</v>
      </c>
      <c r="S298" s="3054">
        <f t="shared" si="391"/>
        <v>3.9960086086820557E-2</v>
      </c>
      <c r="T298" s="3054">
        <f t="shared" si="391"/>
        <v>6.6055444147630649E-2</v>
      </c>
      <c r="U298" s="3054">
        <f t="shared" ref="U298:AE298" si="392">U297/T297-1</f>
        <v>-3.4433371818869629E-2</v>
      </c>
      <c r="V298" s="3054">
        <f t="shared" si="392"/>
        <v>5.6674214921581978E-2</v>
      </c>
      <c r="W298" s="3054">
        <f t="shared" si="392"/>
        <v>5.7945510538227607E-2</v>
      </c>
      <c r="X298" s="3054">
        <f t="shared" si="392"/>
        <v>3.8648026442709593E-2</v>
      </c>
      <c r="Y298" s="3054">
        <f t="shared" si="392"/>
        <v>5.367682871459567E-2</v>
      </c>
      <c r="Z298" s="3054">
        <f t="shared" si="392"/>
        <v>1.9905710821710665E-2</v>
      </c>
      <c r="AA298" s="3054">
        <f t="shared" si="392"/>
        <v>-2.1854355507759937E-3</v>
      </c>
      <c r="AB298" s="3054">
        <f t="shared" si="392"/>
        <v>-8.2691129004877073E-3</v>
      </c>
      <c r="AC298" s="3054">
        <f t="shared" si="392"/>
        <v>3.3619595885408859E-2</v>
      </c>
      <c r="AD298" s="3054">
        <f t="shared" si="392"/>
        <v>2.9888979578233554E-2</v>
      </c>
      <c r="AE298" s="3054">
        <f t="shared" ca="1" si="392"/>
        <v>1.4033383313280634E-2</v>
      </c>
      <c r="AK298" s="3054">
        <v>1.8531924146674594E-2</v>
      </c>
      <c r="AM298" s="3054">
        <f t="shared" si="349"/>
        <v>1.3737866750360705E-3</v>
      </c>
    </row>
    <row r="299" spans="1:46" ht="12.75" hidden="1" customHeight="1">
      <c r="A299" s="714"/>
      <c r="B299" s="714"/>
      <c r="C299" s="829"/>
      <c r="D299" s="724"/>
      <c r="E299" s="3051" t="s">
        <v>1342</v>
      </c>
      <c r="F299" s="754"/>
      <c r="G299" s="3052">
        <f ca="1">Labour1!G214-Sector1!G477+Sector1!G235+Sector1!G522</f>
        <v>132.6591</v>
      </c>
      <c r="H299" s="3052">
        <f>Labour1!H214-Sector1!H477+Sector1!H235+Sector1!H522</f>
        <v>132.97219999999999</v>
      </c>
      <c r="I299" s="3052">
        <f>Labour1!I214-Sector1!I477+Sector1!I235+Sector1!I522</f>
        <v>136.50030000000001</v>
      </c>
      <c r="J299" s="3052">
        <f>Labour1!J214-Sector1!J477+Sector1!J235+Sector1!J522</f>
        <v>141.25890000000001</v>
      </c>
      <c r="K299" s="3052">
        <f>Labour1!K214-Sector1!K477+Sector1!K235+Sector1!K522</f>
        <v>145.21930000000003</v>
      </c>
      <c r="L299" s="3052">
        <f>Labour1!L214-Sector1!L477+Sector1!L235+Sector1!L522</f>
        <v>153.47620000000001</v>
      </c>
      <c r="M299" s="3052">
        <f>Labour1!M214-Sector1!M477+Sector1!M235+Sector1!M522</f>
        <v>161.43220000000002</v>
      </c>
      <c r="N299" s="3052">
        <f>Labour1!N214-Sector1!N477+Sector1!N235+Sector1!N522</f>
        <v>164.5224</v>
      </c>
      <c r="O299" s="3052">
        <f>Labour1!O214-Sector1!O477+Sector1!O235+Sector1!O522</f>
        <v>166.6105</v>
      </c>
      <c r="P299" s="3052">
        <f>Labour1!P214-Sector1!P477+Sector1!P235+Sector1!P522</f>
        <v>171.19690000000003</v>
      </c>
      <c r="Q299" s="3052">
        <f>Labour1!Q214-Sector1!Q477+Sector1!Q235+Sector1!Q522</f>
        <v>176.9401</v>
      </c>
      <c r="R299" s="3052">
        <f>Labour1!R214-Sector1!R477+Sector1!R235+Sector1!R522</f>
        <v>184.57149999999999</v>
      </c>
      <c r="S299" s="3052">
        <f>Labour1!S214-Sector1!S477+Sector1!S235+Sector1!S522</f>
        <v>193.50880000000001</v>
      </c>
      <c r="T299" s="3052">
        <f>Labour1!T214-Sector1!T477+Sector1!T235+Sector1!T522</f>
        <v>206.3784</v>
      </c>
      <c r="U299" s="3052">
        <f>Labour1!U214-Sector1!U477+Sector1!U235+Sector1!U522</f>
        <v>208.94569999999999</v>
      </c>
      <c r="V299" s="3052">
        <f>Labour1!V214-Sector1!V477+Sector1!V235+Sector1!V522</f>
        <v>212.1748</v>
      </c>
      <c r="W299" s="3052">
        <f>Labour1!W214-Sector1!W477+Sector1!W235+Sector1!W522</f>
        <v>218.3716</v>
      </c>
      <c r="X299" s="3052">
        <f>Labour1!X214-Sector1!X477+Sector1!X235+Sector1!X522</f>
        <v>223.9898</v>
      </c>
      <c r="Y299" s="3052">
        <f>Labour1!Y214-Sector1!Y477+Sector1!Y235+Sector1!Y522</f>
        <v>229.0915</v>
      </c>
      <c r="Z299" s="3052">
        <f>Labour1!Z214-Sector1!Z477+Sector1!Z235+Sector1!Z522</f>
        <v>230.40950000000001</v>
      </c>
      <c r="AA299" s="3052">
        <f>Labour1!AA214-Sector1!AA477+Sector1!AA235+Sector1!AA522</f>
        <v>231.64530000000002</v>
      </c>
      <c r="AB299" s="3052">
        <f>Labour1!AB214-Sector1!AB477+Sector1!AB235+Sector1!AB522</f>
        <v>235.98429999999999</v>
      </c>
      <c r="AC299" s="3052">
        <f>Labour1!AC214-Sector1!AC477+Sector1!AC235+Sector1!AC522</f>
        <v>243.15266360000001</v>
      </c>
      <c r="AD299" s="3052">
        <f>Labour1!AD214-Sector1!AD477+Sector1!AD235+Sector1!AD522</f>
        <v>250.90151634715755</v>
      </c>
      <c r="AE299" s="3052">
        <f>Labour1!AE214-Sector1!AE477+Sector1!AE235+Sector1!AE522</f>
        <v>259.55211963386972</v>
      </c>
      <c r="AK299" s="3052">
        <v>232.24378571923216</v>
      </c>
      <c r="AM299" s="3052">
        <f t="shared" si="349"/>
        <v>-1.834285719232156</v>
      </c>
    </row>
    <row r="300" spans="1:46" ht="12.75" hidden="1" customHeight="1">
      <c r="A300" s="714"/>
      <c r="B300" s="714"/>
      <c r="C300" s="829"/>
      <c r="D300" s="724"/>
      <c r="E300" s="3053" t="s">
        <v>1344</v>
      </c>
      <c r="F300" s="754"/>
      <c r="G300" s="756"/>
      <c r="H300" s="756"/>
      <c r="I300" s="3054">
        <f ca="1">H297/G299</f>
        <v>0.20684672216229416</v>
      </c>
      <c r="J300" s="3054">
        <f>I297/H299</f>
        <v>0.21971885852832398</v>
      </c>
      <c r="K300" s="3054">
        <f t="shared" ref="K300:T300" si="393">J297/I299</f>
        <v>0.22239072002039556</v>
      </c>
      <c r="L300" s="3054">
        <f t="shared" si="393"/>
        <v>0.21769389397765379</v>
      </c>
      <c r="M300" s="3054">
        <f t="shared" si="393"/>
        <v>0.22734856868198644</v>
      </c>
      <c r="N300" s="3054">
        <f t="shared" si="393"/>
        <v>0.22628394500254762</v>
      </c>
      <c r="O300" s="3054">
        <f t="shared" si="393"/>
        <v>0.22041327566619295</v>
      </c>
      <c r="P300" s="3054">
        <f t="shared" si="393"/>
        <v>0.2162082488463577</v>
      </c>
      <c r="Q300" s="3054">
        <f t="shared" si="393"/>
        <v>0.22281668922426856</v>
      </c>
      <c r="R300" s="3054">
        <f t="shared" si="393"/>
        <v>0.22576985915048692</v>
      </c>
      <c r="S300" s="3054">
        <f t="shared" si="393"/>
        <v>0.22032258374444233</v>
      </c>
      <c r="T300" s="3054">
        <f t="shared" si="393"/>
        <v>0.21965308836954786</v>
      </c>
      <c r="U300" s="3054">
        <f t="shared" ref="U300:AE300" si="394">T297/S299</f>
        <v>0.22334746533490982</v>
      </c>
      <c r="V300" s="3054">
        <f t="shared" si="394"/>
        <v>0.20220866137153887</v>
      </c>
      <c r="W300" s="3054">
        <f t="shared" si="394"/>
        <v>0.21104334762572285</v>
      </c>
      <c r="X300" s="3054">
        <f t="shared" si="394"/>
        <v>0.2198743677382988</v>
      </c>
      <c r="Y300" s="3054">
        <f t="shared" si="394"/>
        <v>0.22189149138441083</v>
      </c>
      <c r="Z300" s="3054">
        <f t="shared" si="394"/>
        <v>0.22793761144480684</v>
      </c>
      <c r="AA300" s="3054">
        <f t="shared" si="394"/>
        <v>0.22729782641433666</v>
      </c>
      <c r="AB300" s="3054">
        <f t="shared" si="394"/>
        <v>0.22550372271976632</v>
      </c>
      <c r="AC300" s="3054">
        <f t="shared" si="394"/>
        <v>0.22244591959385265</v>
      </c>
      <c r="AD300" s="3054">
        <f t="shared" si="394"/>
        <v>0.22569688265462476</v>
      </c>
      <c r="AE300" s="3054">
        <f t="shared" si="394"/>
        <v>0.22559010717536149</v>
      </c>
      <c r="AK300" s="3054">
        <v>0.23216752082455977</v>
      </c>
      <c r="AM300" s="3054">
        <f t="shared" si="349"/>
        <v>-4.2299093797529275E-3</v>
      </c>
    </row>
    <row r="301" spans="1:46" ht="12.75" hidden="1" customHeight="1">
      <c r="A301" s="714"/>
      <c r="B301" s="714"/>
      <c r="C301" s="829"/>
      <c r="D301" s="724"/>
      <c r="E301" s="3051" t="s">
        <v>1345</v>
      </c>
      <c r="F301" s="754"/>
      <c r="G301" s="756"/>
      <c r="H301" s="756"/>
      <c r="I301" s="3055">
        <f t="shared" ref="I301:S301" ca="1" si="395">I300*H299</f>
        <v>27.50486370870901</v>
      </c>
      <c r="J301" s="3055">
        <f t="shared" si="395"/>
        <v>29.991690104773784</v>
      </c>
      <c r="K301" s="3055">
        <f t="shared" si="395"/>
        <v>31.414668480289055</v>
      </c>
      <c r="L301" s="3055">
        <f t="shared" si="395"/>
        <v>31.613354897709105</v>
      </c>
      <c r="M301" s="3055">
        <f t="shared" si="395"/>
        <v>34.89259439675029</v>
      </c>
      <c r="N301" s="3055">
        <f t="shared" si="395"/>
        <v>36.529515066440275</v>
      </c>
      <c r="O301" s="3055">
        <f t="shared" si="395"/>
        <v>36.262921104463665</v>
      </c>
      <c r="P301" s="3055">
        <f t="shared" si="395"/>
        <v>36.022564444416076</v>
      </c>
      <c r="Q301" s="3055">
        <f t="shared" si="395"/>
        <v>38.145526463458189</v>
      </c>
      <c r="R301" s="3329">
        <f t="shared" si="395"/>
        <v>39.947741455073071</v>
      </c>
      <c r="S301" s="3329">
        <f t="shared" si="395"/>
        <v>40.665269765587333</v>
      </c>
      <c r="T301" s="3329">
        <f t="shared" ref="T301:AE301" si="396">T300*S299</f>
        <v>42.504805546685162</v>
      </c>
      <c r="U301" s="3329">
        <f t="shared" si="396"/>
        <v>46.094092539874154</v>
      </c>
      <c r="V301" s="3329">
        <f t="shared" si="396"/>
        <v>42.250630296339146</v>
      </c>
      <c r="W301" s="3329">
        <f t="shared" si="396"/>
        <v>44.778080073818224</v>
      </c>
      <c r="X301" s="3329">
        <f t="shared" si="396"/>
        <v>48.014317482000692</v>
      </c>
      <c r="Y301" s="3329">
        <f t="shared" si="396"/>
        <v>49.701430776895904</v>
      </c>
      <c r="Z301" s="3329">
        <f t="shared" si="396"/>
        <v>52.218569312307963</v>
      </c>
      <c r="AA301" s="3329">
        <f t="shared" si="396"/>
        <v>52.371578535214105</v>
      </c>
      <c r="AB301" s="3055">
        <f t="shared" si="396"/>
        <v>52.236877500537091</v>
      </c>
      <c r="AC301" s="3055">
        <f t="shared" si="396"/>
        <v>52.493744623211597</v>
      </c>
      <c r="AD301" s="3055">
        <f t="shared" si="396"/>
        <v>54.878798183688652</v>
      </c>
      <c r="AE301" s="3055">
        <f t="shared" si="396"/>
        <v>56.600899963215987</v>
      </c>
      <c r="AK301" s="3329">
        <v>52.99230627846201</v>
      </c>
      <c r="AM301" s="3329">
        <f t="shared" si="349"/>
        <v>-0.77373696615404697</v>
      </c>
    </row>
    <row r="302" spans="1:46" s="1047" customFormat="1" ht="12.75" hidden="1" customHeight="1">
      <c r="A302" s="3359"/>
      <c r="B302" s="3359"/>
      <c r="C302" s="2115"/>
      <c r="D302" s="1768"/>
      <c r="E302" s="3053" t="s">
        <v>2369</v>
      </c>
      <c r="F302" s="3432"/>
      <c r="G302" s="3052"/>
      <c r="H302" s="3052"/>
      <c r="I302" s="1876"/>
      <c r="J302" s="1876"/>
      <c r="K302" s="1876"/>
      <c r="L302" s="1876"/>
      <c r="M302" s="1876"/>
      <c r="N302" s="1876"/>
      <c r="O302" s="1876"/>
      <c r="P302" s="1876"/>
      <c r="Q302" s="1876"/>
      <c r="R302" s="3337"/>
      <c r="S302" s="3337"/>
      <c r="T302" s="3337"/>
      <c r="U302" s="3435">
        <v>-1.17</v>
      </c>
      <c r="V302" s="3435">
        <v>1.4730000000000001</v>
      </c>
      <c r="W302" s="3435">
        <v>0.33200000000000002</v>
      </c>
      <c r="X302" s="3435">
        <v>1.3320000000000001</v>
      </c>
      <c r="Y302" s="3435">
        <v>2.3319999999999999</v>
      </c>
      <c r="Z302" s="3435">
        <v>3.3319999999999999</v>
      </c>
      <c r="AA302" s="3435">
        <v>4.3319999999999999</v>
      </c>
      <c r="AB302" s="3435">
        <v>0.27700000000000002</v>
      </c>
      <c r="AC302" s="3435">
        <v>0.27700000000000002</v>
      </c>
      <c r="AD302" s="3435">
        <v>0.27700000000000002</v>
      </c>
      <c r="AE302" s="3435">
        <v>0.27700000000000002</v>
      </c>
      <c r="AF302" s="2834"/>
      <c r="AG302" s="2834"/>
      <c r="AH302" s="2834"/>
      <c r="AI302" s="2834"/>
      <c r="AJ302" s="2834"/>
      <c r="AK302" s="3435">
        <v>0.27700000000000002</v>
      </c>
      <c r="AL302" s="2834"/>
      <c r="AM302" s="3435">
        <f t="shared" si="349"/>
        <v>3.0549999999999997</v>
      </c>
      <c r="AN302" s="2834"/>
      <c r="AO302" s="2834"/>
      <c r="AP302" s="2834"/>
      <c r="AQ302" s="2834"/>
      <c r="AR302" s="2834"/>
      <c r="AS302" s="2834"/>
      <c r="AT302" s="2834"/>
    </row>
    <row r="303" spans="1:46" s="1506" customFormat="1" ht="12.75" hidden="1" customHeight="1">
      <c r="A303" s="1039"/>
      <c r="B303" s="1039"/>
      <c r="C303" s="3436"/>
      <c r="D303" s="3437"/>
      <c r="E303" s="3438" t="s">
        <v>2371</v>
      </c>
      <c r="F303" s="3439"/>
      <c r="G303" s="3440"/>
      <c r="H303" s="3440"/>
      <c r="I303" s="3440"/>
      <c r="J303" s="3440"/>
      <c r="K303" s="3440"/>
      <c r="L303" s="3440"/>
      <c r="M303" s="3440"/>
      <c r="N303" s="3440"/>
      <c r="O303" s="3440"/>
      <c r="P303" s="3440"/>
      <c r="Q303" s="3440"/>
      <c r="R303" s="3441">
        <f t="shared" ref="R303:W303" si="397">R297-R301-R302</f>
        <v>-0.96384145507307295</v>
      </c>
      <c r="S303" s="3441">
        <f t="shared" si="397"/>
        <v>-0.12356976558733379</v>
      </c>
      <c r="T303" s="3441">
        <f t="shared" si="397"/>
        <v>0.71489445331483381</v>
      </c>
      <c r="U303" s="3441">
        <f t="shared" si="397"/>
        <v>-3.1925925398741573</v>
      </c>
      <c r="V303" s="3441">
        <f t="shared" si="397"/>
        <v>0.37296970366084881</v>
      </c>
      <c r="W303" s="3441">
        <f t="shared" si="397"/>
        <v>1.5417199261817778</v>
      </c>
      <c r="X303" s="3441">
        <f t="shared" ref="X303:Y303" si="398">X297-X301-X302</f>
        <v>-0.89151748200068615</v>
      </c>
      <c r="Y303" s="3441">
        <f t="shared" si="398"/>
        <v>-0.97773077689590959</v>
      </c>
      <c r="Z303" s="3441">
        <f t="shared" ref="Z303:AA303" si="399">Z297-Z301-Z302</f>
        <v>-3.4785693123079602</v>
      </c>
      <c r="AA303" s="3441">
        <f t="shared" si="399"/>
        <v>-4.7453785352141074</v>
      </c>
      <c r="AB303" s="3441">
        <f>AB297-AB301-AB302</f>
        <v>-0.98532572244321315</v>
      </c>
      <c r="AC303" s="3441">
        <f>AC297-AC301-AC302</f>
        <v>0.49017624222216327</v>
      </c>
      <c r="AD303" s="3441">
        <f>AD297-AD301-AD302</f>
        <v>-0.30296274219003194</v>
      </c>
      <c r="AE303" s="3441">
        <f ca="1">AE297-AE301-AE302</f>
        <v>-1.2552936561465122</v>
      </c>
      <c r="AF303" s="3358"/>
      <c r="AG303" s="3358"/>
      <c r="AH303" s="3358"/>
      <c r="AI303" s="3358"/>
      <c r="AJ303" s="3358"/>
      <c r="AK303" s="3441">
        <v>-0.26256232244352062</v>
      </c>
      <c r="AL303" s="3358"/>
      <c r="AM303" s="3441">
        <f t="shared" si="349"/>
        <v>-3.2160069898644394</v>
      </c>
      <c r="AN303" s="3358"/>
      <c r="AO303" s="3358"/>
      <c r="AP303" s="3358"/>
      <c r="AQ303" s="3358"/>
      <c r="AR303" s="3358"/>
      <c r="AS303" s="3358"/>
      <c r="AT303" s="3358"/>
    </row>
    <row r="304" spans="1:46" ht="12.75" hidden="1" customHeight="1">
      <c r="A304" s="714"/>
      <c r="B304" s="714"/>
      <c r="C304" s="829"/>
      <c r="D304" s="724"/>
      <c r="E304" s="3053" t="s">
        <v>1330</v>
      </c>
      <c r="F304" s="754"/>
      <c r="G304" s="3052">
        <f>InputY!G193/1000</f>
        <v>0.75839999999999996</v>
      </c>
      <c r="H304" s="3052">
        <f>InputY!H193/1000</f>
        <v>0.98509999999999998</v>
      </c>
      <c r="I304" s="3052">
        <f>InputY!I193/1000</f>
        <v>1.0307999999999999</v>
      </c>
      <c r="J304" s="3052">
        <f>InputY!J193/1000</f>
        <v>1.0109999999999999</v>
      </c>
      <c r="K304" s="3052">
        <f>InputY!K193/1000</f>
        <v>1.155</v>
      </c>
      <c r="L304" s="3052">
        <f>InputY!L193/1000</f>
        <v>1.0894000000000001</v>
      </c>
      <c r="M304" s="3052">
        <f>InputY!M193/1000</f>
        <v>1.1375999999999999</v>
      </c>
      <c r="N304" s="3052">
        <f>InputY!N193/1000</f>
        <v>1.4622999999999999</v>
      </c>
      <c r="O304" s="3052">
        <f>InputY!O193/1000</f>
        <v>1.4305000000000001</v>
      </c>
      <c r="P304" s="3052">
        <f>InputY!P193/1000</f>
        <v>1.4608999999999999</v>
      </c>
      <c r="Q304" s="3052">
        <f>InputY!Q193/1000</f>
        <v>1.5031000000000001</v>
      </c>
      <c r="R304" s="3052">
        <f>InputY!R193/1000</f>
        <v>1.5256999999999998</v>
      </c>
      <c r="S304" s="3052">
        <f>InputY!S193/1000</f>
        <v>1.5897999999999999</v>
      </c>
      <c r="T304" s="3337">
        <f>InputY!T193/1000</f>
        <v>1.5587</v>
      </c>
      <c r="U304" s="3337">
        <f>InputY!U193/1000</f>
        <v>1.5235000000000001</v>
      </c>
      <c r="V304" s="3337">
        <f>InputY!V193/1000</f>
        <v>1.5569999999999999</v>
      </c>
      <c r="W304" s="3337">
        <f>InputY!W193/1000</f>
        <v>1.6472</v>
      </c>
      <c r="X304" s="3337">
        <f>InputY!X193/1000</f>
        <v>1.6235999999999999</v>
      </c>
      <c r="Y304" s="3337">
        <f>InputY!Y193/1000</f>
        <v>1.5575000000000001</v>
      </c>
      <c r="Z304" s="3337">
        <f>InputY!Z193/1000</f>
        <v>1.5483</v>
      </c>
      <c r="AA304" s="3337">
        <f>InputY!AA193/1000</f>
        <v>1.6115999999999999</v>
      </c>
      <c r="AB304" s="3442">
        <f>AB308+AB309</f>
        <v>1.5875482219061166</v>
      </c>
      <c r="AC304" s="3442">
        <f>AC308+AC309</f>
        <v>1.661126534566236</v>
      </c>
      <c r="AD304" s="3442">
        <f>AD308+AD309</f>
        <v>1.6454747188813732</v>
      </c>
      <c r="AE304" s="3442">
        <f ca="1">AE308+AE309</f>
        <v>1.7175286747001786</v>
      </c>
      <c r="AK304" s="3337">
        <v>1.6529060439815173</v>
      </c>
      <c r="AM304" s="3337">
        <f t="shared" si="349"/>
        <v>-0.10460604398151729</v>
      </c>
    </row>
    <row r="305" spans="1:46" ht="12.75" hidden="1" customHeight="1">
      <c r="A305" s="714"/>
      <c r="B305" s="714"/>
      <c r="C305" s="829"/>
      <c r="D305" s="724"/>
      <c r="E305" s="3053" t="s">
        <v>1343</v>
      </c>
      <c r="F305" s="754"/>
      <c r="G305" s="756"/>
      <c r="H305" s="3054">
        <f>H304/G304-1</f>
        <v>0.29891877637130815</v>
      </c>
      <c r="I305" s="3054">
        <f>I304/H304-1</f>
        <v>4.6391229316820493E-2</v>
      </c>
      <c r="J305" s="3054">
        <f>J304/I304-1</f>
        <v>-1.9208381839348143E-2</v>
      </c>
      <c r="K305" s="3054">
        <f t="shared" ref="K305:T305" si="400">K304/J304-1</f>
        <v>0.14243323442136502</v>
      </c>
      <c r="L305" s="3054">
        <f t="shared" si="400"/>
        <v>-5.6796536796536734E-2</v>
      </c>
      <c r="M305" s="3054">
        <f t="shared" si="400"/>
        <v>4.4244538277951051E-2</v>
      </c>
      <c r="N305" s="3054">
        <f t="shared" si="400"/>
        <v>0.2854254571026722</v>
      </c>
      <c r="O305" s="3054">
        <f t="shared" si="400"/>
        <v>-2.1746563632633387E-2</v>
      </c>
      <c r="P305" s="3054">
        <f t="shared" si="400"/>
        <v>2.1251310730513673E-2</v>
      </c>
      <c r="Q305" s="3054">
        <f t="shared" si="400"/>
        <v>2.888630296392658E-2</v>
      </c>
      <c r="R305" s="3054">
        <f t="shared" si="400"/>
        <v>1.5035593107577405E-2</v>
      </c>
      <c r="S305" s="3054">
        <f t="shared" si="400"/>
        <v>4.2013501999082381E-2</v>
      </c>
      <c r="T305" s="3054">
        <f t="shared" si="400"/>
        <v>-1.9562209082903403E-2</v>
      </c>
      <c r="U305" s="3054">
        <f t="shared" ref="U305:AE305" si="401">U304/T304-1</f>
        <v>-2.2582921665490363E-2</v>
      </c>
      <c r="V305" s="3054">
        <f t="shared" si="401"/>
        <v>2.1988841483426169E-2</v>
      </c>
      <c r="W305" s="3054">
        <f t="shared" si="401"/>
        <v>5.7931920359665989E-2</v>
      </c>
      <c r="X305" s="3054">
        <f t="shared" si="401"/>
        <v>-1.4327343370568291E-2</v>
      </c>
      <c r="Y305" s="3054">
        <f t="shared" si="401"/>
        <v>-4.0711998029071106E-2</v>
      </c>
      <c r="Z305" s="3054">
        <f t="shared" si="401"/>
        <v>-5.9069020866774347E-3</v>
      </c>
      <c r="AA305" s="3054">
        <f t="shared" si="401"/>
        <v>4.0883549699670452E-2</v>
      </c>
      <c r="AB305" s="3054">
        <f t="shared" si="401"/>
        <v>-1.4924161140409176E-2</v>
      </c>
      <c r="AC305" s="3054">
        <f t="shared" si="401"/>
        <v>4.6347135567180731E-2</v>
      </c>
      <c r="AD305" s="3054">
        <f t="shared" si="401"/>
        <v>-9.4224102494093742E-3</v>
      </c>
      <c r="AE305" s="3054">
        <f t="shared" ca="1" si="401"/>
        <v>4.3789160047253084E-2</v>
      </c>
      <c r="AK305" s="3054">
        <v>-3.7933678992784214E-3</v>
      </c>
      <c r="AM305" s="3054">
        <f t="shared" si="349"/>
        <v>-2.1135341873990132E-3</v>
      </c>
    </row>
    <row r="306" spans="1:46" ht="12.75" hidden="1" customHeight="1">
      <c r="A306" s="714"/>
      <c r="B306" s="714"/>
      <c r="C306" s="829"/>
      <c r="D306" s="724"/>
      <c r="E306" s="3051" t="s">
        <v>398</v>
      </c>
      <c r="F306" s="754"/>
      <c r="G306" s="3052">
        <f ca="1">'VVP2'!G355</f>
        <v>211.29079999999999</v>
      </c>
      <c r="H306" s="3052">
        <f>'VVP2'!H355</f>
        <v>215.94239999999999</v>
      </c>
      <c r="I306" s="3052">
        <f>'VVP2'!I355</f>
        <v>225.96870000000001</v>
      </c>
      <c r="J306" s="3052">
        <f>'VVP2'!J355</f>
        <v>234.4896</v>
      </c>
      <c r="K306" s="3052">
        <f>'VVP2'!K355</f>
        <v>244.226</v>
      </c>
      <c r="L306" s="3052">
        <f>'VVP2'!L355</f>
        <v>258.22199999999998</v>
      </c>
      <c r="M306" s="3052">
        <f>'VVP2'!M355</f>
        <v>265.78840000000002</v>
      </c>
      <c r="N306" s="3052">
        <f>'VVP2'!N355</f>
        <v>275.06509999999997</v>
      </c>
      <c r="O306" s="3052">
        <f>'VVP2'!O355</f>
        <v>282.63650000000001</v>
      </c>
      <c r="P306" s="3052">
        <f>'VVP2'!P355</f>
        <v>298.71080000000001</v>
      </c>
      <c r="Q306" s="3052">
        <f>'VVP2'!Q355</f>
        <v>311.48079999999999</v>
      </c>
      <c r="R306" s="3052">
        <f>'VVP2'!R355</f>
        <v>326.66209999999995</v>
      </c>
      <c r="S306" s="3052">
        <f>'VVP2'!S355</f>
        <v>344.71249999999998</v>
      </c>
      <c r="T306" s="3052">
        <f>'VVP2'!T355</f>
        <v>354.0659</v>
      </c>
      <c r="U306" s="3052">
        <f>'VVP2'!U355</f>
        <v>348.78109999999998</v>
      </c>
      <c r="V306" s="3052">
        <f>'VVP2'!V355</f>
        <v>365.10050000000001</v>
      </c>
      <c r="W306" s="3052">
        <f>'VVP2'!W355</f>
        <v>379.10629999999998</v>
      </c>
      <c r="X306" s="3052">
        <f>'VVP2'!X355</f>
        <v>387.50009999999997</v>
      </c>
      <c r="Y306" s="3052">
        <f>'VVP2'!Y355</f>
        <v>392.33979999999997</v>
      </c>
      <c r="Z306" s="3052">
        <f>'VVP2'!Z355</f>
        <v>400.28820000000002</v>
      </c>
      <c r="AA306" s="3052">
        <f>'VVP2'!AA355</f>
        <v>410.43520000000001</v>
      </c>
      <c r="AB306" s="3052">
        <f>'VVP2'!AB355</f>
        <v>423.04840000000002</v>
      </c>
      <c r="AC306" s="3052">
        <f>'VVP2'!AC355</f>
        <v>438.4846</v>
      </c>
      <c r="AD306" s="3052">
        <f ca="1">'VVP2'!AD355</f>
        <v>453.37297204218987</v>
      </c>
      <c r="AE306" s="3052">
        <f ca="1">'VVP2'!AE355</f>
        <v>469.04097271311014</v>
      </c>
      <c r="AK306" s="3052">
        <v>402.27</v>
      </c>
      <c r="AM306" s="3052">
        <f t="shared" si="349"/>
        <v>-1.9817999999999643</v>
      </c>
    </row>
    <row r="307" spans="1:46" ht="12.75" hidden="1" customHeight="1">
      <c r="A307" s="714"/>
      <c r="B307" s="714"/>
      <c r="C307" s="829"/>
      <c r="D307" s="724"/>
      <c r="E307" s="3053" t="s">
        <v>1344</v>
      </c>
      <c r="F307" s="754"/>
      <c r="G307" s="756"/>
      <c r="H307" s="3054">
        <f ca="1">G304/G306</f>
        <v>3.5893659354784969E-3</v>
      </c>
      <c r="I307" s="3054">
        <f>H304/H306</f>
        <v>4.5618646453869181E-3</v>
      </c>
      <c r="J307" s="3054">
        <f t="shared" ref="J307:T307" si="402">I304/I306</f>
        <v>4.561693721298569E-3</v>
      </c>
      <c r="K307" s="3054">
        <f t="shared" si="402"/>
        <v>4.3114918529435844E-3</v>
      </c>
      <c r="L307" s="3054">
        <f t="shared" si="402"/>
        <v>4.7292262085117881E-3</v>
      </c>
      <c r="M307" s="3054">
        <f t="shared" si="402"/>
        <v>4.2188504465150148E-3</v>
      </c>
      <c r="N307" s="3054">
        <f t="shared" si="402"/>
        <v>4.280096497815555E-3</v>
      </c>
      <c r="O307" s="3054">
        <f t="shared" si="402"/>
        <v>5.3161960568607215E-3</v>
      </c>
      <c r="P307" s="3054">
        <f t="shared" si="402"/>
        <v>5.0612712795410362E-3</v>
      </c>
      <c r="Q307" s="3054">
        <f t="shared" si="402"/>
        <v>4.8906835641697585E-3</v>
      </c>
      <c r="R307" s="3056">
        <f t="shared" si="402"/>
        <v>4.8256585959712446E-3</v>
      </c>
      <c r="S307" s="3054">
        <f t="shared" si="402"/>
        <v>4.6705754968207214E-3</v>
      </c>
      <c r="T307" s="3054">
        <f t="shared" si="402"/>
        <v>4.6119592413968163E-3</v>
      </c>
      <c r="U307" s="3054">
        <f t="shared" ref="U307:AE307" si="403">T304/T306</f>
        <v>4.4022878226906348E-3</v>
      </c>
      <c r="V307" s="3054">
        <f t="shared" si="403"/>
        <v>4.3680692560462715E-3</v>
      </c>
      <c r="W307" s="3054">
        <f t="shared" si="403"/>
        <v>4.2645792049038553E-3</v>
      </c>
      <c r="X307" s="3054">
        <f t="shared" si="403"/>
        <v>4.3449554913753746E-3</v>
      </c>
      <c r="Y307" s="3054">
        <f t="shared" si="403"/>
        <v>4.1899344025975735E-3</v>
      </c>
      <c r="Z307" s="3054">
        <f t="shared" si="403"/>
        <v>3.9697731405276757E-3</v>
      </c>
      <c r="AA307" s="3054">
        <f t="shared" si="403"/>
        <v>3.8679631325629882E-3</v>
      </c>
      <c r="AB307" s="3054">
        <f t="shared" si="403"/>
        <v>3.9265638034944369E-3</v>
      </c>
      <c r="AC307" s="3054">
        <f t="shared" si="403"/>
        <v>3.7526397024693074E-3</v>
      </c>
      <c r="AD307" s="3054">
        <f t="shared" si="403"/>
        <v>3.7883349485164043E-3</v>
      </c>
      <c r="AE307" s="3054">
        <f t="shared" ca="1" si="403"/>
        <v>3.629406295371858E-3</v>
      </c>
      <c r="AK307" s="3054">
        <v>4.1977220172948575E-3</v>
      </c>
      <c r="AM307" s="3054">
        <f t="shared" si="349"/>
        <v>-2.2794887676718181E-4</v>
      </c>
    </row>
    <row r="308" spans="1:46" ht="12.75" hidden="1" customHeight="1">
      <c r="A308" s="714"/>
      <c r="B308" s="714"/>
      <c r="C308" s="829"/>
      <c r="D308" s="724"/>
      <c r="E308" s="3051" t="s">
        <v>1345</v>
      </c>
      <c r="F308" s="754"/>
      <c r="G308" s="756"/>
      <c r="H308" s="3055"/>
      <c r="I308" s="3055">
        <f t="shared" ref="I308:Q308" ca="1" si="404">H306*H307</f>
        <v>0.7750962945854718</v>
      </c>
      <c r="J308" s="3055">
        <f t="shared" si="404"/>
        <v>1.030838623494043</v>
      </c>
      <c r="K308" s="3055">
        <f t="shared" si="404"/>
        <v>1.0696697360298129</v>
      </c>
      <c r="L308" s="3055">
        <f t="shared" si="404"/>
        <v>1.0529784092769998</v>
      </c>
      <c r="M308" s="3055">
        <f t="shared" si="404"/>
        <v>1.2211902500143308</v>
      </c>
      <c r="N308" s="3055">
        <f t="shared" si="404"/>
        <v>1.1213215100185114</v>
      </c>
      <c r="O308" s="3055">
        <f t="shared" si="404"/>
        <v>1.1773051711812852</v>
      </c>
      <c r="P308" s="3055">
        <f t="shared" si="404"/>
        <v>1.5025510468249155</v>
      </c>
      <c r="Q308" s="3055">
        <f t="shared" si="404"/>
        <v>1.5118563929287265</v>
      </c>
      <c r="R308" s="3055">
        <f t="shared" ref="R308:AE308" si="405">Q306*Q307</f>
        <v>1.5233540291144476</v>
      </c>
      <c r="S308" s="3055">
        <f t="shared" si="405"/>
        <v>1.5763597708430181</v>
      </c>
      <c r="T308" s="3055">
        <f t="shared" si="405"/>
        <v>1.6100057559478129</v>
      </c>
      <c r="U308" s="3055">
        <f t="shared" si="405"/>
        <v>1.6329374995684811</v>
      </c>
      <c r="V308" s="3055">
        <f t="shared" si="405"/>
        <v>1.5354347893146445</v>
      </c>
      <c r="W308" s="3055">
        <f t="shared" si="405"/>
        <v>1.5947842694171217</v>
      </c>
      <c r="X308" s="3055">
        <f t="shared" si="405"/>
        <v>1.6167288434280422</v>
      </c>
      <c r="Y308" s="3055">
        <f t="shared" si="405"/>
        <v>1.6836706874035068</v>
      </c>
      <c r="Z308" s="3055">
        <f t="shared" si="405"/>
        <v>1.6438780255282512</v>
      </c>
      <c r="AA308" s="3055">
        <f t="shared" si="405"/>
        <v>1.5890533448301705</v>
      </c>
      <c r="AB308" s="3055">
        <f t="shared" si="405"/>
        <v>1.5875482219061166</v>
      </c>
      <c r="AC308" s="3055">
        <f t="shared" si="405"/>
        <v>1.661126534566236</v>
      </c>
      <c r="AD308" s="3055">
        <f t="shared" si="405"/>
        <v>1.6454747188813732</v>
      </c>
      <c r="AE308" s="3055">
        <f t="shared" ca="1" si="405"/>
        <v>1.7175286747001786</v>
      </c>
      <c r="AK308" s="3055">
        <v>1.6529060439815173</v>
      </c>
      <c r="AM308" s="3055">
        <f t="shared" si="349"/>
        <v>-9.0280184532660623E-3</v>
      </c>
    </row>
    <row r="309" spans="1:46" s="1047" customFormat="1" ht="12.75" hidden="1" customHeight="1">
      <c r="A309" s="1039"/>
      <c r="B309" s="1039"/>
      <c r="C309" s="3443"/>
      <c r="D309" s="3437"/>
      <c r="E309" s="3438" t="s">
        <v>2370</v>
      </c>
      <c r="F309" s="3444"/>
      <c r="G309" s="3445"/>
      <c r="H309" s="3445"/>
      <c r="I309" s="3446">
        <f t="shared" ref="I309:V309" ca="1" si="406">I304-I308</f>
        <v>0.25570370541452814</v>
      </c>
      <c r="J309" s="3446">
        <f t="shared" si="406"/>
        <v>-1.9838623494043084E-2</v>
      </c>
      <c r="K309" s="3446">
        <f t="shared" si="406"/>
        <v>8.533026397018717E-2</v>
      </c>
      <c r="L309" s="3446">
        <f t="shared" si="406"/>
        <v>3.642159072300033E-2</v>
      </c>
      <c r="M309" s="3446">
        <f t="shared" si="406"/>
        <v>-8.3590250014330847E-2</v>
      </c>
      <c r="N309" s="3446">
        <f t="shared" si="406"/>
        <v>0.3409784899814885</v>
      </c>
      <c r="O309" s="3446">
        <f t="shared" si="406"/>
        <v>0.25319482881871491</v>
      </c>
      <c r="P309" s="3446">
        <f t="shared" si="406"/>
        <v>-4.1651046824915605E-2</v>
      </c>
      <c r="Q309" s="3446">
        <f t="shared" si="406"/>
        <v>-8.7563929287264308E-3</v>
      </c>
      <c r="R309" s="3446">
        <f t="shared" si="406"/>
        <v>2.3459708855522177E-3</v>
      </c>
      <c r="S309" s="3446">
        <f t="shared" si="406"/>
        <v>1.3440229156981731E-2</v>
      </c>
      <c r="T309" s="3446">
        <f t="shared" si="406"/>
        <v>-5.1305755947812948E-2</v>
      </c>
      <c r="U309" s="3446">
        <f t="shared" si="406"/>
        <v>-0.10943749956848103</v>
      </c>
      <c r="V309" s="3446">
        <f t="shared" si="406"/>
        <v>2.156521068535544E-2</v>
      </c>
      <c r="W309" s="3446">
        <f>W304-W308</f>
        <v>5.2415730582878295E-2</v>
      </c>
      <c r="X309" s="3446">
        <f>X304-X308</f>
        <v>6.8711565719576928E-3</v>
      </c>
      <c r="Y309" s="3446">
        <f>Y304-Y308</f>
        <v>-0.12617068740350668</v>
      </c>
      <c r="Z309" s="3446">
        <f>Z304-Z308</f>
        <v>-9.5578025528251231E-2</v>
      </c>
      <c r="AA309" s="3446">
        <f>AA304-AA308</f>
        <v>2.2546655169829455E-2</v>
      </c>
      <c r="AB309" s="3446"/>
      <c r="AC309" s="3446"/>
      <c r="AD309" s="3446"/>
      <c r="AE309" s="3446"/>
      <c r="AF309" s="2834"/>
      <c r="AG309" s="2834"/>
      <c r="AH309" s="2834"/>
      <c r="AI309" s="2834"/>
      <c r="AJ309" s="2834"/>
      <c r="AK309" s="3446"/>
      <c r="AL309" s="2834"/>
      <c r="AM309" s="3446">
        <f t="shared" si="349"/>
        <v>-9.5578025528251231E-2</v>
      </c>
      <c r="AN309" s="2834"/>
      <c r="AO309" s="2834"/>
      <c r="AP309" s="2834"/>
      <c r="AQ309" s="2834"/>
      <c r="AR309" s="2834"/>
      <c r="AS309" s="2834"/>
      <c r="AT309" s="2834"/>
    </row>
    <row r="310" spans="1:46" ht="12.75" customHeight="1">
      <c r="A310" s="714">
        <f>+ROW(InputY!A119)</f>
        <v>119</v>
      </c>
      <c r="B310" s="714">
        <v>107</v>
      </c>
      <c r="C310" s="829" t="s">
        <v>622</v>
      </c>
      <c r="D310" s="724" t="s">
        <v>590</v>
      </c>
      <c r="E310" s="830" t="s">
        <v>1315</v>
      </c>
      <c r="F310" s="754" t="str">
        <f>+InputY!B119</f>
        <v>$ETaxDir</v>
      </c>
      <c r="G310" s="756">
        <f ca="1">+InputY!G119/1000</f>
        <v>5.0261000000000005</v>
      </c>
      <c r="H310" s="756">
        <f>+InputY!H119/1000</f>
        <v>5.7726000000000006</v>
      </c>
      <c r="I310" s="756">
        <f>+InputY!I119/1000</f>
        <v>6.4838000000000005</v>
      </c>
      <c r="J310" s="756">
        <f>+InputY!J119/1000</f>
        <v>7.9874000000000001</v>
      </c>
      <c r="K310" s="756">
        <f>+InputY!K119/1000</f>
        <v>7.9116999999999997</v>
      </c>
      <c r="L310" s="756">
        <f>+InputY!L119/1000</f>
        <v>8.2652000000000001</v>
      </c>
      <c r="M310" s="756">
        <f>+InputY!M119/1000</f>
        <v>8.2675999999999998</v>
      </c>
      <c r="N310" s="756">
        <f>+InputY!N119/1000</f>
        <v>8.34</v>
      </c>
      <c r="O310" s="756">
        <f>+InputY!O119/1000</f>
        <v>8.1067</v>
      </c>
      <c r="P310" s="756">
        <f>+InputY!P119/1000</f>
        <v>9.216899999999999</v>
      </c>
      <c r="Q310" s="756">
        <f>+InputY!Q119/1000</f>
        <v>10.039999999999999</v>
      </c>
      <c r="R310" s="1469">
        <f>+InputY!R119/1000</f>
        <v>11.6854</v>
      </c>
      <c r="S310" s="1469">
        <f>+InputY!S119/1000</f>
        <v>11.9809</v>
      </c>
      <c r="T310" s="1469">
        <f>+InputY!T119/1000</f>
        <v>11.869899999999999</v>
      </c>
      <c r="U310" s="1469">
        <f>+InputY!U119/1000</f>
        <v>8.3765000000000001</v>
      </c>
      <c r="V310" s="1469">
        <f>+InputY!V119/1000</f>
        <v>9.5425000000000004</v>
      </c>
      <c r="W310" s="1376">
        <f>+InputY!W119/1000</f>
        <v>10.9603</v>
      </c>
      <c r="X310" s="1376">
        <f>+InputY!X119/1000</f>
        <v>11.9415</v>
      </c>
      <c r="Y310" s="1376">
        <f>+InputY!Y119/1000</f>
        <v>12.5015</v>
      </c>
      <c r="Z310" s="1376">
        <f>+InputY!Z119/1000</f>
        <v>12.892700000000001</v>
      </c>
      <c r="AA310" s="1376">
        <f>+InputY!AA119/1000</f>
        <v>13.8781</v>
      </c>
      <c r="AB310" s="1376">
        <f>+InputY!AB119/1000</f>
        <v>14.945499999999999</v>
      </c>
      <c r="AC310" s="3032">
        <f>+AB310*(1+AC324/100)</f>
        <v>17.882290749999996</v>
      </c>
      <c r="AD310" s="3032">
        <f>+AC310*(1+AD324/100)</f>
        <v>17.077587666249997</v>
      </c>
      <c r="AE310" s="3032">
        <f>+AD310*(1+AE324/100)</f>
        <v>18.016854987893744</v>
      </c>
      <c r="AK310" s="1376">
        <v>13.161200000000001</v>
      </c>
      <c r="AM310" s="1376">
        <f t="shared" si="349"/>
        <v>-0.26849999999999952</v>
      </c>
    </row>
    <row r="311" spans="1:46" ht="12.75" customHeight="1">
      <c r="A311" s="714"/>
      <c r="B311" s="714"/>
      <c r="C311" s="829"/>
      <c r="D311" s="724"/>
      <c r="E311" s="3053" t="s">
        <v>1343</v>
      </c>
      <c r="F311" s="754"/>
      <c r="G311" s="756"/>
      <c r="H311" s="3054">
        <f t="shared" ref="H311:AE311" ca="1" si="407">H310/G310-1</f>
        <v>0.14852470106046445</v>
      </c>
      <c r="I311" s="3054">
        <f t="shared" si="407"/>
        <v>0.12320271628035884</v>
      </c>
      <c r="J311" s="3054">
        <f t="shared" si="407"/>
        <v>0.231901045683087</v>
      </c>
      <c r="K311" s="3054">
        <f t="shared" si="407"/>
        <v>-9.4774269474422468E-3</v>
      </c>
      <c r="L311" s="3054">
        <f t="shared" si="407"/>
        <v>4.468066281582983E-2</v>
      </c>
      <c r="M311" s="3054">
        <f t="shared" si="407"/>
        <v>2.903740986304193E-4</v>
      </c>
      <c r="N311" s="3054">
        <f t="shared" si="407"/>
        <v>8.7570758140209648E-3</v>
      </c>
      <c r="O311" s="3054">
        <f t="shared" si="407"/>
        <v>-2.7973621103117519E-2</v>
      </c>
      <c r="P311" s="3054">
        <f t="shared" si="407"/>
        <v>0.13694845004749134</v>
      </c>
      <c r="Q311" s="3054">
        <f t="shared" si="407"/>
        <v>8.9303344942442742E-2</v>
      </c>
      <c r="R311" s="3054">
        <f t="shared" si="407"/>
        <v>0.16388446215139441</v>
      </c>
      <c r="S311" s="3054">
        <f t="shared" si="407"/>
        <v>2.5287966180019605E-2</v>
      </c>
      <c r="T311" s="3054">
        <f t="shared" si="407"/>
        <v>-9.2647463880010106E-3</v>
      </c>
      <c r="U311" s="3054">
        <f t="shared" si="407"/>
        <v>-0.29430744993639368</v>
      </c>
      <c r="V311" s="3054">
        <f t="shared" si="407"/>
        <v>0.13919894944189104</v>
      </c>
      <c r="W311" s="3054">
        <f t="shared" si="407"/>
        <v>0.14857741681949177</v>
      </c>
      <c r="X311" s="3054">
        <f t="shared" si="407"/>
        <v>8.9523096995520079E-2</v>
      </c>
      <c r="Y311" s="3054">
        <f t="shared" si="407"/>
        <v>4.6895281162333102E-2</v>
      </c>
      <c r="Z311" s="3054">
        <f t="shared" si="407"/>
        <v>3.1292244930608337E-2</v>
      </c>
      <c r="AA311" s="3054">
        <f t="shared" si="407"/>
        <v>7.6430848464634993E-2</v>
      </c>
      <c r="AB311" s="3054">
        <f t="shared" si="407"/>
        <v>7.6912545665472898E-2</v>
      </c>
      <c r="AC311" s="3054">
        <f t="shared" si="407"/>
        <v>0.19649999999999967</v>
      </c>
      <c r="AD311" s="3054">
        <f t="shared" si="407"/>
        <v>-4.4999999999999929E-2</v>
      </c>
      <c r="AE311" s="3054">
        <f t="shared" si="407"/>
        <v>5.4999999999999938E-2</v>
      </c>
      <c r="AK311" s="3054">
        <v>4.4382196335473134E-2</v>
      </c>
      <c r="AM311" s="3054">
        <f t="shared" si="349"/>
        <v>-1.3089951404864797E-2</v>
      </c>
    </row>
    <row r="312" spans="1:46" ht="12.75" customHeight="1">
      <c r="A312" s="714"/>
      <c r="B312" s="714"/>
      <c r="C312" s="829"/>
      <c r="D312" s="724"/>
      <c r="E312" s="3051" t="s">
        <v>1331</v>
      </c>
      <c r="F312" s="754"/>
      <c r="G312" s="3052">
        <f t="shared" ref="G312:X312" ca="1" si="408">G199</f>
        <v>46.209799999999987</v>
      </c>
      <c r="H312" s="3052">
        <f t="shared" si="408"/>
        <v>46.450899999999983</v>
      </c>
      <c r="I312" s="3052">
        <f t="shared" si="408"/>
        <v>48.646000000000029</v>
      </c>
      <c r="J312" s="3052">
        <f t="shared" si="408"/>
        <v>51.087699999999998</v>
      </c>
      <c r="K312" s="3052">
        <f t="shared" si="408"/>
        <v>52.059999999999974</v>
      </c>
      <c r="L312" s="3052">
        <f t="shared" si="408"/>
        <v>56.738400000000013</v>
      </c>
      <c r="M312" s="3052">
        <f t="shared" si="408"/>
        <v>56.521300000000004</v>
      </c>
      <c r="N312" s="3052">
        <f t="shared" si="408"/>
        <v>59.789799999999985</v>
      </c>
      <c r="O312" s="3052">
        <f t="shared" si="408"/>
        <v>63.360300000000002</v>
      </c>
      <c r="P312" s="3052">
        <f t="shared" si="408"/>
        <v>71.971599999999995</v>
      </c>
      <c r="Q312" s="3052">
        <f t="shared" si="408"/>
        <v>76.988499999999988</v>
      </c>
      <c r="R312" s="3052">
        <f t="shared" si="408"/>
        <v>81.178099999999986</v>
      </c>
      <c r="S312" s="3052">
        <f t="shared" si="408"/>
        <v>87.360199999999992</v>
      </c>
      <c r="T312" s="3052">
        <f t="shared" si="408"/>
        <v>86.11369999999998</v>
      </c>
      <c r="U312" s="3052">
        <f t="shared" si="408"/>
        <v>82.739499999999992</v>
      </c>
      <c r="V312" s="3052">
        <f t="shared" si="408"/>
        <v>92.978199999999987</v>
      </c>
      <c r="W312" s="3052">
        <f t="shared" si="408"/>
        <v>96.50190000000002</v>
      </c>
      <c r="X312" s="3052">
        <f t="shared" si="408"/>
        <v>94.854999999999976</v>
      </c>
      <c r="Y312" s="3052">
        <f t="shared" ref="Y312" si="409">Y199</f>
        <v>95.500699999999995</v>
      </c>
      <c r="Z312" s="3052">
        <f t="shared" ref="Z312:AA312" si="410">Z199</f>
        <v>98.465400000000017</v>
      </c>
      <c r="AA312" s="3052">
        <f t="shared" si="410"/>
        <v>105.36569999999999</v>
      </c>
      <c r="AB312" s="3052">
        <f>AB199</f>
        <v>111.80659999999997</v>
      </c>
      <c r="AC312" s="3052">
        <f>AC199</f>
        <v>117.53993460728401</v>
      </c>
      <c r="AD312" s="3052">
        <f ca="1">AD199</f>
        <v>122.68347529439006</v>
      </c>
      <c r="AE312" s="3052">
        <f ca="1">AE199</f>
        <v>128.34010640996704</v>
      </c>
      <c r="AK312" s="3052">
        <v>96.821292170369034</v>
      </c>
      <c r="AM312" s="3052">
        <f t="shared" si="349"/>
        <v>1.6441078296309826</v>
      </c>
    </row>
    <row r="313" spans="1:46" ht="12.75" customHeight="1">
      <c r="A313" s="714"/>
      <c r="B313" s="714"/>
      <c r="C313" s="829"/>
      <c r="D313" s="724"/>
      <c r="E313" s="3053" t="s">
        <v>1344</v>
      </c>
      <c r="F313" s="754"/>
      <c r="G313" s="756"/>
      <c r="H313" s="3054"/>
      <c r="I313" s="3054">
        <f ca="1">H310/G312</f>
        <v>0.12492155343671693</v>
      </c>
      <c r="J313" s="3054">
        <f>I310/H312</f>
        <v>0.13958394778142089</v>
      </c>
      <c r="K313" s="3054">
        <f t="shared" ref="K313:T313" si="411">J310/I312</f>
        <v>0.16419438391645758</v>
      </c>
      <c r="L313" s="3054">
        <f t="shared" si="411"/>
        <v>0.15486506536798486</v>
      </c>
      <c r="M313" s="3054">
        <f t="shared" si="411"/>
        <v>0.15876296580868238</v>
      </c>
      <c r="N313" s="3054">
        <f t="shared" si="411"/>
        <v>0.14571436628456211</v>
      </c>
      <c r="O313" s="3054">
        <f t="shared" si="411"/>
        <v>0.14755499254263435</v>
      </c>
      <c r="P313" s="3054">
        <f t="shared" si="411"/>
        <v>0.13558667197414948</v>
      </c>
      <c r="Q313" s="3054">
        <f t="shared" si="411"/>
        <v>0.14546806123077066</v>
      </c>
      <c r="R313" s="3054">
        <f t="shared" si="411"/>
        <v>0.13949946923508716</v>
      </c>
      <c r="S313" s="3054">
        <f t="shared" si="411"/>
        <v>0.15178111016580401</v>
      </c>
      <c r="T313" s="3054">
        <f t="shared" si="411"/>
        <v>0.14758783464998568</v>
      </c>
      <c r="U313" s="3054">
        <f t="shared" ref="U313:AE313" si="412">T310/S312</f>
        <v>0.13587308637113926</v>
      </c>
      <c r="V313" s="3054">
        <f t="shared" si="412"/>
        <v>9.7272559418536214E-2</v>
      </c>
      <c r="W313" s="3054">
        <f t="shared" si="412"/>
        <v>0.11533185479728547</v>
      </c>
      <c r="X313" s="3054">
        <f t="shared" si="412"/>
        <v>0.11788032033315338</v>
      </c>
      <c r="Y313" s="3054">
        <f t="shared" si="412"/>
        <v>0.12374367758562263</v>
      </c>
      <c r="Z313" s="3054">
        <f t="shared" si="412"/>
        <v>0.13179589900374258</v>
      </c>
      <c r="AA313" s="3054">
        <f t="shared" si="412"/>
        <v>0.13500110470394461</v>
      </c>
      <c r="AB313" s="3054">
        <f t="shared" si="412"/>
        <v>0.14094392548042253</v>
      </c>
      <c r="AC313" s="3054">
        <f t="shared" si="412"/>
        <v>0.14184407259667994</v>
      </c>
      <c r="AD313" s="3054">
        <f t="shared" si="412"/>
        <v>0.15993949149692416</v>
      </c>
      <c r="AE313" s="3054">
        <f t="shared" si="412"/>
        <v>0.14529179145205762</v>
      </c>
      <c r="AK313" s="3054">
        <v>0.13475762789618387</v>
      </c>
      <c r="AM313" s="3054">
        <f t="shared" si="349"/>
        <v>-2.9617288924412843E-3</v>
      </c>
    </row>
    <row r="314" spans="1:46" ht="12.75" customHeight="1">
      <c r="A314" s="714"/>
      <c r="B314" s="714"/>
      <c r="C314" s="829"/>
      <c r="D314" s="724"/>
      <c r="E314" s="3051" t="s">
        <v>1345</v>
      </c>
      <c r="F314" s="754"/>
      <c r="G314" s="756"/>
      <c r="H314" s="3054"/>
      <c r="I314" s="3055">
        <f ca="1">I312*I313</f>
        <v>6.0769338884825359</v>
      </c>
      <c r="J314" s="3055">
        <f>J312*J313</f>
        <v>7.1310228490728953</v>
      </c>
      <c r="K314" s="3055">
        <f t="shared" ref="K314:T314" si="413">K312*K313</f>
        <v>8.5479596266907762</v>
      </c>
      <c r="L314" s="3055">
        <f t="shared" si="413"/>
        <v>8.7867960248748744</v>
      </c>
      <c r="M314" s="3055">
        <f t="shared" si="413"/>
        <v>8.9734892193622802</v>
      </c>
      <c r="N314" s="3055">
        <f t="shared" si="413"/>
        <v>8.7122328172807091</v>
      </c>
      <c r="O314" s="3055">
        <f t="shared" si="413"/>
        <v>9.349128593999076</v>
      </c>
      <c r="P314" s="3055">
        <f t="shared" si="413"/>
        <v>9.7583897206546961</v>
      </c>
      <c r="Q314" s="3055">
        <f t="shared" si="413"/>
        <v>11.199367832065185</v>
      </c>
      <c r="R314" s="3055">
        <f t="shared" si="413"/>
        <v>11.324301863512828</v>
      </c>
      <c r="S314" s="3055">
        <f t="shared" si="413"/>
        <v>13.25962814030667</v>
      </c>
      <c r="T314" s="3055">
        <f t="shared" si="413"/>
        <v>12.709334516698469</v>
      </c>
      <c r="U314" s="3055">
        <f t="shared" ref="U314:X314" si="414">U312*U313</f>
        <v>11.242071229804877</v>
      </c>
      <c r="V314" s="3055">
        <f t="shared" si="414"/>
        <v>9.0442274841285428</v>
      </c>
      <c r="W314" s="3055">
        <f t="shared" si="414"/>
        <v>11.129743118462166</v>
      </c>
      <c r="X314" s="3055">
        <f t="shared" si="414"/>
        <v>11.181537785201261</v>
      </c>
      <c r="Y314" s="3055">
        <f t="shared" ref="Y314" si="415">Y312*Y313</f>
        <v>11.81760783000127</v>
      </c>
      <c r="Z314" s="3055">
        <f t="shared" ref="Z314:AA314" si="416">Z312*Z313</f>
        <v>12.977335913763117</v>
      </c>
      <c r="AA314" s="3055">
        <f t="shared" si="416"/>
        <v>14.224485897904415</v>
      </c>
      <c r="AB314" s="3055">
        <f>AB312*AB313</f>
        <v>15.758461098619406</v>
      </c>
      <c r="AC314" s="3055">
        <f>AC312*AC313</f>
        <v>16.672343017444607</v>
      </c>
      <c r="AD314" s="3055">
        <f ca="1">AD312*AD313</f>
        <v>19.621932653660206</v>
      </c>
      <c r="AE314" s="3055">
        <f ca="1">AE312*AE313</f>
        <v>18.646763975451812</v>
      </c>
      <c r="AK314" s="3055">
        <v>13.047407662722291</v>
      </c>
      <c r="AM314" s="3055">
        <f t="shared" si="349"/>
        <v>-7.0071748959174229E-2</v>
      </c>
    </row>
    <row r="315" spans="1:46" s="1047" customFormat="1" ht="12.75" customHeight="1">
      <c r="A315" s="1039"/>
      <c r="B315" s="1039"/>
      <c r="C315" s="2115"/>
      <c r="D315" s="1768"/>
      <c r="E315" s="3053" t="s">
        <v>2369</v>
      </c>
      <c r="F315" s="3432"/>
      <c r="G315" s="3052"/>
      <c r="H315" s="3054"/>
      <c r="I315" s="1876"/>
      <c r="J315" s="1876"/>
      <c r="K315" s="1876"/>
      <c r="L315" s="1876"/>
      <c r="M315" s="1876"/>
      <c r="N315" s="1876"/>
      <c r="O315" s="1876"/>
      <c r="P315" s="1876"/>
      <c r="Q315" s="1876"/>
      <c r="R315" s="1876"/>
      <c r="S315" s="1876"/>
      <c r="T315" s="1876"/>
      <c r="U315" s="3435"/>
      <c r="V315" s="3435">
        <v>0.38300000000000001</v>
      </c>
      <c r="W315" s="3435">
        <v>0.105</v>
      </c>
      <c r="X315" s="3435">
        <v>1.49</v>
      </c>
      <c r="Y315" s="3435">
        <v>2.4900000000000002</v>
      </c>
      <c r="Z315" s="3435">
        <v>3.49</v>
      </c>
      <c r="AA315" s="3435">
        <v>4.49</v>
      </c>
      <c r="AB315" s="3435">
        <v>0.495</v>
      </c>
      <c r="AC315" s="3435">
        <v>2.8109999999999999</v>
      </c>
      <c r="AD315" s="3435">
        <v>5.3999999999999999E-2</v>
      </c>
      <c r="AE315" s="3435">
        <v>-8.9999999999999993E-3</v>
      </c>
      <c r="AF315" s="2834"/>
      <c r="AG315" s="2834"/>
      <c r="AH315" s="2834"/>
      <c r="AI315" s="2834"/>
      <c r="AJ315" s="2834"/>
      <c r="AK315" s="3435">
        <v>0.09</v>
      </c>
      <c r="AL315" s="2834"/>
      <c r="AM315" s="3435">
        <f t="shared" si="349"/>
        <v>3.4000000000000004</v>
      </c>
      <c r="AN315" s="2834"/>
      <c r="AO315" s="2834"/>
      <c r="AP315" s="2834"/>
      <c r="AQ315" s="2834"/>
      <c r="AR315" s="2834"/>
      <c r="AS315" s="2834"/>
      <c r="AT315" s="2834"/>
    </row>
    <row r="316" spans="1:46" s="1047" customFormat="1" ht="12.75" customHeight="1">
      <c r="A316" s="1039"/>
      <c r="B316" s="1039"/>
      <c r="C316" s="3443"/>
      <c r="D316" s="3437"/>
      <c r="E316" s="3438" t="s">
        <v>2371</v>
      </c>
      <c r="F316" s="3444"/>
      <c r="G316" s="3445"/>
      <c r="H316" s="3445"/>
      <c r="I316" s="3445"/>
      <c r="J316" s="3445"/>
      <c r="K316" s="3445"/>
      <c r="L316" s="3445"/>
      <c r="M316" s="3445"/>
      <c r="N316" s="3445"/>
      <c r="O316" s="3445"/>
      <c r="P316" s="3445"/>
      <c r="Q316" s="3445"/>
      <c r="R316" s="3446"/>
      <c r="S316" s="3446"/>
      <c r="T316" s="3446"/>
      <c r="U316" s="3447">
        <f t="shared" ref="U316:X316" si="417">U310-U314-U315</f>
        <v>-2.8655712298048766</v>
      </c>
      <c r="V316" s="3447">
        <f t="shared" si="417"/>
        <v>0.11527251587145759</v>
      </c>
      <c r="W316" s="3447">
        <f t="shared" si="417"/>
        <v>-0.27444311846216563</v>
      </c>
      <c r="X316" s="3447">
        <f t="shared" si="417"/>
        <v>-0.73003778520126139</v>
      </c>
      <c r="Y316" s="3447">
        <f t="shared" ref="Y316" si="418">Y310-Y314-Y315</f>
        <v>-1.8061078300012703</v>
      </c>
      <c r="Z316" s="3447">
        <f t="shared" ref="Z316:AA316" si="419">Z310-Z314-Z315</f>
        <v>-3.5746359137631156</v>
      </c>
      <c r="AA316" s="3447">
        <f t="shared" si="419"/>
        <v>-4.8363858979044156</v>
      </c>
      <c r="AB316" s="3447">
        <f>AB310-AB314-AB315</f>
        <v>-1.3079610986194075</v>
      </c>
      <c r="AC316" s="3447">
        <f>AC310-AC314-AC315</f>
        <v>-1.6010522674446115</v>
      </c>
      <c r="AD316" s="3447">
        <f ca="1">AD310-AD314-AD315</f>
        <v>-2.5983449874102091</v>
      </c>
      <c r="AE316" s="3447">
        <f ca="1">AE310-AE314-AE315</f>
        <v>-0.62090898755806767</v>
      </c>
      <c r="AF316" s="2834"/>
      <c r="AG316" s="2834"/>
      <c r="AH316" s="2834"/>
      <c r="AI316" s="2834"/>
      <c r="AJ316" s="2834"/>
      <c r="AK316" s="3447">
        <v>2.379233727770988E-2</v>
      </c>
      <c r="AL316" s="2834"/>
      <c r="AM316" s="3447">
        <f t="shared" si="349"/>
        <v>-3.5984282510408256</v>
      </c>
      <c r="AN316" s="2834"/>
      <c r="AO316" s="2834"/>
      <c r="AP316" s="2834"/>
      <c r="AQ316" s="2834"/>
      <c r="AR316" s="2834"/>
      <c r="AS316" s="2834"/>
      <c r="AT316" s="2834"/>
    </row>
    <row r="317" spans="1:46" ht="12.75" customHeight="1">
      <c r="A317" s="714">
        <f>+ROW(InputY!A155)</f>
        <v>155</v>
      </c>
      <c r="B317" s="714" t="s">
        <v>643</v>
      </c>
      <c r="C317" s="829" t="s">
        <v>622</v>
      </c>
      <c r="D317" s="724" t="s">
        <v>591</v>
      </c>
      <c r="E317" s="830" t="s">
        <v>1315</v>
      </c>
      <c r="F317" s="754" t="str">
        <f>+InputY!B155</f>
        <v>$ATaxDir</v>
      </c>
      <c r="G317" s="756">
        <f>+InputY!G155/1000</f>
        <v>1.77E-2</v>
      </c>
      <c r="H317" s="756">
        <f>+InputY!H155/1000</f>
        <v>1.9399999999999997E-2</v>
      </c>
      <c r="I317" s="756">
        <f>+InputY!I155/1000</f>
        <v>2.9000000000000001E-2</v>
      </c>
      <c r="J317" s="756">
        <f>+InputY!J155/1000</f>
        <v>3.85E-2</v>
      </c>
      <c r="K317" s="756">
        <f>+InputY!K155/1000</f>
        <v>4.5399999999999996E-2</v>
      </c>
      <c r="L317" s="756">
        <f>+InputY!L155/1000</f>
        <v>5.45E-2</v>
      </c>
      <c r="M317" s="756">
        <f>+InputY!M155/1000</f>
        <v>6.13E-2</v>
      </c>
      <c r="N317" s="756">
        <f>+InputY!N155/1000</f>
        <v>5.6100000000000004E-2</v>
      </c>
      <c r="O317" s="756">
        <f>+InputY!O155/1000</f>
        <v>0.10909999999999999</v>
      </c>
      <c r="P317" s="756">
        <f>+InputY!P155/1000</f>
        <v>3.1399999999999997E-2</v>
      </c>
      <c r="Q317" s="756">
        <f>+InputY!Q155/1000</f>
        <v>3.3100000000000004E-2</v>
      </c>
      <c r="R317" s="1469">
        <f>+InputY!R155/1000</f>
        <v>5.2999999999999999E-2</v>
      </c>
      <c r="S317" s="1469">
        <f>+InputY!S155/1000</f>
        <v>6.6900000000000001E-2</v>
      </c>
      <c r="T317" s="1469">
        <f>+InputY!T155/1000</f>
        <v>7.7999999999999996E-3</v>
      </c>
      <c r="U317" s="1469">
        <f>+InputY!U155/1000</f>
        <v>1.9399999999999997E-2</v>
      </c>
      <c r="V317" s="1469">
        <f>+InputY!V155/1000</f>
        <v>2.1100000000000001E-2</v>
      </c>
      <c r="W317" s="1469">
        <f>+InputY!W155/1000</f>
        <v>1.8100000000000002E-2</v>
      </c>
      <c r="X317" s="1469">
        <f>+InputY!X155/1000</f>
        <v>1.9899999999999998E-2</v>
      </c>
      <c r="Y317" s="1469">
        <f>+InputY!Y155/1000</f>
        <v>3.6600000000000001E-2</v>
      </c>
      <c r="Z317" s="1469">
        <f>+InputY!Z155/1000</f>
        <v>4.4899999999999995E-2</v>
      </c>
      <c r="AA317" s="1469">
        <f>+InputY!AA155/1000</f>
        <v>4.4899999999999995E-2</v>
      </c>
      <c r="AB317" s="1469">
        <f>+InputY!AB155/1000</f>
        <v>5.0500000000000003E-2</v>
      </c>
      <c r="AC317" s="1469">
        <f>+InputY!AC155/1000</f>
        <v>4.7399999999999998E-2</v>
      </c>
      <c r="AD317" s="3032">
        <f t="shared" ref="AC317:AE318" si="420">+AC317*(1+AD325/100)</f>
        <v>4.7399999999999998E-2</v>
      </c>
      <c r="AE317" s="3032">
        <f t="shared" si="420"/>
        <v>4.7399999999999998E-2</v>
      </c>
      <c r="AK317" s="1469">
        <v>1.5599999999999999E-2</v>
      </c>
      <c r="AM317" s="1469">
        <f t="shared" si="349"/>
        <v>2.9299999999999996E-2</v>
      </c>
    </row>
    <row r="318" spans="1:46" ht="12.75" customHeight="1">
      <c r="A318" s="1869">
        <f>ROW(InputY!A244)</f>
        <v>244</v>
      </c>
      <c r="B318" s="714" t="s">
        <v>897</v>
      </c>
      <c r="C318" s="829" t="s">
        <v>622</v>
      </c>
      <c r="D318" s="724" t="s">
        <v>592</v>
      </c>
      <c r="E318" s="830" t="s">
        <v>648</v>
      </c>
      <c r="F318" s="754" t="s">
        <v>649</v>
      </c>
      <c r="G318" s="756">
        <f>+InputY!G244/1000</f>
        <v>0.21630000000000002</v>
      </c>
      <c r="H318" s="756">
        <f>+InputY!H244/1000</f>
        <v>0.20119999999999999</v>
      </c>
      <c r="I318" s="756">
        <f>+InputY!I244/1000</f>
        <v>0.21919999999999998</v>
      </c>
      <c r="J318" s="756">
        <f>+InputY!J244/1000</f>
        <v>0.2293</v>
      </c>
      <c r="K318" s="756">
        <f>+InputY!K244/1000</f>
        <v>0.3135</v>
      </c>
      <c r="L318" s="756">
        <f>+InputY!L244/1000</f>
        <v>0.41080000000000005</v>
      </c>
      <c r="M318" s="756">
        <f>+InputY!M244/1000</f>
        <v>0.3851</v>
      </c>
      <c r="N318" s="756">
        <f>+InputY!N244/1000</f>
        <v>0.45620000000000005</v>
      </c>
      <c r="O318" s="756">
        <f>+InputY!O244/1000</f>
        <v>0.45489999999999997</v>
      </c>
      <c r="P318" s="756">
        <f>+InputY!P244/1000</f>
        <v>0.46820000000000006</v>
      </c>
      <c r="Q318" s="756">
        <f>+InputY!Q244/1000</f>
        <v>0.44879999999999998</v>
      </c>
      <c r="R318" s="1469">
        <f>+InputY!R244/1000</f>
        <v>0.41190000000000004</v>
      </c>
      <c r="S318" s="1469">
        <f>+InputY!S244/1000</f>
        <v>0.52529999999999999</v>
      </c>
      <c r="T318" s="1469">
        <f>+InputY!T244/1000</f>
        <v>0.46220000000000006</v>
      </c>
      <c r="U318" s="1469">
        <f>+InputY!U244/1000</f>
        <v>0.48059999999999997</v>
      </c>
      <c r="V318" s="1469">
        <f>+InputY!V244/1000</f>
        <v>0.46829999999999999</v>
      </c>
      <c r="W318" s="1469">
        <f>+InputY!W244/1000</f>
        <v>0.45249999999999996</v>
      </c>
      <c r="X318" s="1469">
        <f>+InputY!X244/1000</f>
        <v>0.49469999999999992</v>
      </c>
      <c r="Y318" s="1469">
        <f>+InputY!Y244/1000</f>
        <v>0.52090000000000003</v>
      </c>
      <c r="Z318" s="1469">
        <f>+InputY!Z244/1000</f>
        <v>0.59809999999999985</v>
      </c>
      <c r="AA318" s="1469">
        <f>+InputY!AA244/1000</f>
        <v>0.53600000000000003</v>
      </c>
      <c r="AB318" s="1469">
        <f>+InputY!AB244/1000</f>
        <v>0.54740000000000011</v>
      </c>
      <c r="AC318" s="3032">
        <f t="shared" si="420"/>
        <v>0.65496410000000005</v>
      </c>
      <c r="AD318" s="3032">
        <f t="shared" si="420"/>
        <v>0.60145353303000004</v>
      </c>
      <c r="AE318" s="3032">
        <f t="shared" si="420"/>
        <v>0.61841452266144603</v>
      </c>
      <c r="AK318" s="1469">
        <v>-0.32395000000000002</v>
      </c>
      <c r="AM318" s="1469">
        <f t="shared" si="349"/>
        <v>0.92204999999999981</v>
      </c>
    </row>
    <row r="319" spans="1:46" ht="12.75" customHeight="1">
      <c r="A319" s="714">
        <f>+ROW(InputY!A154)</f>
        <v>154</v>
      </c>
      <c r="B319" s="714">
        <v>114</v>
      </c>
      <c r="C319" s="831" t="s">
        <v>624</v>
      </c>
      <c r="D319" s="800" t="s">
        <v>591</v>
      </c>
      <c r="E319" s="801" t="s">
        <v>2127</v>
      </c>
      <c r="F319" s="802" t="str">
        <f>+InputY!B154</f>
        <v>YATaxDir</v>
      </c>
      <c r="G319" s="832">
        <f>+InputY!G154/1000</f>
        <v>33.709699999999998</v>
      </c>
      <c r="H319" s="832">
        <f>+InputY!H154/1000</f>
        <v>34.418399999999998</v>
      </c>
      <c r="I319" s="832">
        <f>+InputY!I154/1000</f>
        <v>36.979300000000002</v>
      </c>
      <c r="J319" s="832">
        <f>+InputY!J154/1000</f>
        <v>39.622599999999998</v>
      </c>
      <c r="K319" s="832">
        <f>+InputY!K154/1000</f>
        <v>40.1768</v>
      </c>
      <c r="L319" s="832">
        <f>+InputY!L154/1000</f>
        <v>42.835300000000004</v>
      </c>
      <c r="M319" s="832">
        <f>+InputY!M154/1000</f>
        <v>44.580800000000004</v>
      </c>
      <c r="N319" s="832">
        <f>+InputY!N154/1000</f>
        <v>45.8964</v>
      </c>
      <c r="O319" s="832">
        <f>+InputY!O154/1000</f>
        <v>45.6723</v>
      </c>
      <c r="P319" s="832">
        <f>+InputY!P154/1000</f>
        <v>48.301099999999998</v>
      </c>
      <c r="Q319" s="2009">
        <f>+InputY!Q154/1000</f>
        <v>50.676099999999998</v>
      </c>
      <c r="R319" s="2849">
        <f>+InputY!R154/1000</f>
        <v>52.663699999999999</v>
      </c>
      <c r="S319" s="2849">
        <f>+InputY!S154/1000</f>
        <v>54.700900000000004</v>
      </c>
      <c r="T319" s="2849">
        <f>+InputY!T154/1000</f>
        <v>57.118300000000005</v>
      </c>
      <c r="U319" s="2849">
        <f>+InputY!U154/1000</f>
        <v>52.131500000000003</v>
      </c>
      <c r="V319" s="2849">
        <f>+InputY!V154/1000</f>
        <v>55.681800000000003</v>
      </c>
      <c r="W319" s="2849">
        <f>+InputY!W154/1000</f>
        <v>59.729900000000001</v>
      </c>
      <c r="X319" s="2849">
        <f>+InputY!X154/1000</f>
        <v>62.513300000000001</v>
      </c>
      <c r="Y319" s="2849">
        <f>+InputY!Y154/1000</f>
        <v>65.682199999999995</v>
      </c>
      <c r="Z319" s="2849">
        <f>+InputY!Z154/1000</f>
        <v>67.108199999999997</v>
      </c>
      <c r="AA319" s="2849">
        <f>+InputY!AA154/1000</f>
        <v>68.038699999999992</v>
      </c>
      <c r="AB319" s="2849">
        <f>+InputY!AB154/1000</f>
        <v>68.753399999999999</v>
      </c>
      <c r="AC319" s="2849">
        <f>+InputY!AC154/1000</f>
        <v>73.776699999999991</v>
      </c>
      <c r="AD319" s="2200">
        <f>+AD296+AD310+AD317+AD318</f>
        <v>74.224751359659976</v>
      </c>
      <c r="AE319" s="2200">
        <f>+AE296+AE310+AE317+AE318</f>
        <v>76.022804492324838</v>
      </c>
      <c r="AK319" s="2849">
        <v>67.512500000000003</v>
      </c>
      <c r="AM319" s="2849">
        <f t="shared" si="349"/>
        <v>-0.40430000000000632</v>
      </c>
    </row>
    <row r="320" spans="1:46" s="1881" customFormat="1" ht="12.75" customHeight="1">
      <c r="A320" s="1039"/>
      <c r="B320" s="1039"/>
      <c r="C320" s="1501"/>
      <c r="D320" s="1054"/>
      <c r="E320" s="1882" t="s">
        <v>474</v>
      </c>
      <c r="F320" s="1883"/>
      <c r="G320" s="1043">
        <f t="shared" ref="G320:X320" ca="1" si="421">ABS(+G296+G310+G317+G318-G319)</f>
        <v>2.899999999996794E-3</v>
      </c>
      <c r="H320" s="1043">
        <f t="shared" si="421"/>
        <v>0</v>
      </c>
      <c r="I320" s="1043">
        <f t="shared" si="421"/>
        <v>0</v>
      </c>
      <c r="J320" s="1043">
        <f t="shared" si="421"/>
        <v>0</v>
      </c>
      <c r="K320" s="1043">
        <f t="shared" si="421"/>
        <v>0</v>
      </c>
      <c r="L320" s="1043">
        <f t="shared" si="421"/>
        <v>0</v>
      </c>
      <c r="M320" s="1043">
        <f t="shared" si="421"/>
        <v>7.1054273576010019E-15</v>
      </c>
      <c r="N320" s="1043">
        <f t="shared" si="421"/>
        <v>7.1054273576010019E-15</v>
      </c>
      <c r="O320" s="1043">
        <f t="shared" si="421"/>
        <v>0</v>
      </c>
      <c r="P320" s="1043">
        <f t="shared" si="421"/>
        <v>9.9999999996214228E-5</v>
      </c>
      <c r="Q320" s="1043">
        <f t="shared" si="421"/>
        <v>7.1054273576010019E-15</v>
      </c>
      <c r="R320" s="1043">
        <f t="shared" si="421"/>
        <v>3.7999999999982492E-3</v>
      </c>
      <c r="S320" s="1043">
        <f t="shared" si="421"/>
        <v>3.6999999999949296E-3</v>
      </c>
      <c r="T320" s="1043">
        <f t="shared" si="421"/>
        <v>7.1054273576010019E-15</v>
      </c>
      <c r="U320" s="1043">
        <f t="shared" si="421"/>
        <v>0</v>
      </c>
      <c r="V320" s="1043">
        <f t="shared" si="421"/>
        <v>3.6999999999949296E-3</v>
      </c>
      <c r="W320" s="2881">
        <f t="shared" si="421"/>
        <v>7.1054273576010019E-15</v>
      </c>
      <c r="X320" s="2881">
        <f t="shared" si="421"/>
        <v>2.120000000000033E-2</v>
      </c>
      <c r="Y320" s="2881">
        <f t="shared" ref="Y320" si="422">ABS(+Y296+Y310+Y317+Y318-Y319)</f>
        <v>9.9999999999909051E-3</v>
      </c>
      <c r="Z320" s="2881">
        <f t="shared" ref="Z320" si="423">ABS(+Z296+Z310+Z317+Z318-Z319)</f>
        <v>4.7800000000009391E-2</v>
      </c>
      <c r="AA320" s="2985">
        <f>ABS(+AA296+AA310+AA317+AA318-AA319)</f>
        <v>9.8999999999875854E-3</v>
      </c>
      <c r="AB320" s="2881">
        <f>ABS(+AB296+AB310+AB317+AB318-AB319)</f>
        <v>9.3900000000004979E-2</v>
      </c>
      <c r="AC320" s="2881">
        <f>ABS(+AC296+AC310+AC317+AC318-AC319)</f>
        <v>0.2699977500000017</v>
      </c>
      <c r="AD320" s="2881">
        <f>ABS(+AD296+AD310+AD317+AD318-AD319)</f>
        <v>0</v>
      </c>
      <c r="AE320" s="2881">
        <f>ABS(+AE296+AE310+AE317+AE318-AE319)</f>
        <v>0</v>
      </c>
      <c r="AF320" s="2829"/>
      <c r="AG320" s="2829"/>
      <c r="AH320" s="2829"/>
      <c r="AI320" s="2829"/>
      <c r="AJ320" s="2829"/>
      <c r="AK320" s="2881">
        <v>1.4210854715202004E-14</v>
      </c>
      <c r="AL320" s="2829"/>
      <c r="AM320" s="2881">
        <f t="shared" si="349"/>
        <v>4.779999999999518E-2</v>
      </c>
      <c r="AN320" s="2829"/>
      <c r="AO320" s="2829"/>
      <c r="AP320" s="2829"/>
      <c r="AQ320" s="2829"/>
      <c r="AR320" s="2829"/>
      <c r="AS320" s="2829"/>
      <c r="AT320" s="2829"/>
    </row>
    <row r="321" spans="1:46" s="1047" customFormat="1" ht="10.199999999999999">
      <c r="A321" s="1039"/>
      <c r="B321" s="1039"/>
      <c r="C321" s="1048"/>
      <c r="D321" s="1048"/>
      <c r="F321" s="1048"/>
      <c r="Q321" s="3349"/>
      <c r="R321" s="3349"/>
      <c r="S321" s="3350"/>
      <c r="T321" s="3350"/>
      <c r="U321" s="3350"/>
      <c r="V321" s="3350"/>
      <c r="W321" s="3350"/>
      <c r="X321" s="3350"/>
      <c r="Y321" s="3350"/>
      <c r="Z321" s="3350"/>
      <c r="AA321" s="3350"/>
      <c r="AB321" s="3350"/>
      <c r="AC321" s="3350"/>
      <c r="AD321" s="3350"/>
      <c r="AE321" s="3350"/>
      <c r="AF321" s="2834"/>
      <c r="AG321" s="2834"/>
      <c r="AH321" s="2834"/>
      <c r="AI321" s="2834"/>
      <c r="AJ321" s="2834"/>
      <c r="AK321" s="3350"/>
      <c r="AL321" s="2834"/>
      <c r="AM321" s="3350">
        <f t="shared" si="349"/>
        <v>0</v>
      </c>
      <c r="AN321" s="2834"/>
      <c r="AO321" s="2834"/>
      <c r="AP321" s="2834"/>
      <c r="AQ321" s="2834"/>
      <c r="AR321" s="2834"/>
      <c r="AS321" s="2834"/>
      <c r="AT321" s="2834"/>
    </row>
    <row r="322" spans="1:46" ht="12.75" customHeight="1">
      <c r="A322" s="714"/>
      <c r="B322" s="714"/>
      <c r="C322" s="822"/>
      <c r="D322" s="790"/>
      <c r="E322" s="791" t="s">
        <v>1804</v>
      </c>
      <c r="F322" s="792"/>
      <c r="G322" s="793">
        <f>+InputY!$G$3</f>
        <v>1995</v>
      </c>
      <c r="H322" s="793">
        <f>+G322+1</f>
        <v>1996</v>
      </c>
      <c r="I322" s="793">
        <f t="shared" ref="I322:S322" si="424">+H322+1</f>
        <v>1997</v>
      </c>
      <c r="J322" s="793">
        <f t="shared" si="424"/>
        <v>1998</v>
      </c>
      <c r="K322" s="793">
        <f t="shared" si="424"/>
        <v>1999</v>
      </c>
      <c r="L322" s="793">
        <f t="shared" si="424"/>
        <v>2000</v>
      </c>
      <c r="M322" s="793">
        <f t="shared" si="424"/>
        <v>2001</v>
      </c>
      <c r="N322" s="793">
        <f t="shared" si="424"/>
        <v>2002</v>
      </c>
      <c r="O322" s="793">
        <f t="shared" si="424"/>
        <v>2003</v>
      </c>
      <c r="P322" s="793">
        <f>+O322+1</f>
        <v>2004</v>
      </c>
      <c r="Q322" s="793">
        <f t="shared" si="424"/>
        <v>2005</v>
      </c>
      <c r="R322" s="2126">
        <f t="shared" si="424"/>
        <v>2006</v>
      </c>
      <c r="S322" s="2126">
        <f t="shared" si="424"/>
        <v>2007</v>
      </c>
      <c r="T322" s="2126">
        <f t="shared" ref="T322:AE322" si="425">+S322+1</f>
        <v>2008</v>
      </c>
      <c r="U322" s="2126">
        <f t="shared" si="425"/>
        <v>2009</v>
      </c>
      <c r="V322" s="2126">
        <f t="shared" si="425"/>
        <v>2010</v>
      </c>
      <c r="W322" s="2126">
        <f t="shared" si="425"/>
        <v>2011</v>
      </c>
      <c r="X322" s="2126">
        <f t="shared" si="425"/>
        <v>2012</v>
      </c>
      <c r="Y322" s="2126">
        <f t="shared" si="425"/>
        <v>2013</v>
      </c>
      <c r="Z322" s="2126">
        <f t="shared" si="425"/>
        <v>2014</v>
      </c>
      <c r="AA322" s="2126">
        <f t="shared" si="425"/>
        <v>2015</v>
      </c>
      <c r="AB322" s="2126">
        <f t="shared" si="425"/>
        <v>2016</v>
      </c>
      <c r="AC322" s="2126">
        <f t="shared" si="425"/>
        <v>2017</v>
      </c>
      <c r="AD322" s="2126">
        <f t="shared" si="425"/>
        <v>2018</v>
      </c>
      <c r="AE322" s="2126">
        <f t="shared" si="425"/>
        <v>2019</v>
      </c>
      <c r="AK322" s="2126">
        <v>2014</v>
      </c>
      <c r="AM322" s="2126">
        <f t="shared" si="349"/>
        <v>0</v>
      </c>
    </row>
    <row r="323" spans="1:46" ht="12.75" customHeight="1">
      <c r="A323" s="714"/>
      <c r="B323" s="714"/>
      <c r="C323" s="839" t="s">
        <v>622</v>
      </c>
      <c r="D323" s="739" t="s">
        <v>589</v>
      </c>
      <c r="E323" s="787" t="s">
        <v>1315</v>
      </c>
      <c r="F323" s="782" t="s">
        <v>301</v>
      </c>
      <c r="G323" s="788"/>
      <c r="H323" s="788">
        <f t="shared" ref="H323:AB323" ca="1" si="426">(H296/G296-1)*100</f>
        <v>-9.5949389333105373E-2</v>
      </c>
      <c r="I323" s="788">
        <f t="shared" si="426"/>
        <v>6.4101571844701111</v>
      </c>
      <c r="J323" s="788">
        <f t="shared" si="426"/>
        <v>3.7031404455935002</v>
      </c>
      <c r="K323" s="788">
        <f t="shared" si="426"/>
        <v>1.717706918648032</v>
      </c>
      <c r="L323" s="788">
        <f t="shared" si="426"/>
        <v>6.8908237270499217</v>
      </c>
      <c r="M323" s="788">
        <f t="shared" si="426"/>
        <v>5.1664281860617889</v>
      </c>
      <c r="N323" s="788">
        <f t="shared" si="426"/>
        <v>3.2824227419228746</v>
      </c>
      <c r="O323" s="788">
        <f t="shared" si="426"/>
        <v>-0.11472812134727395</v>
      </c>
      <c r="P323" s="788">
        <f t="shared" si="426"/>
        <v>4.2779231168381893</v>
      </c>
      <c r="Q323" s="788">
        <f t="shared" si="426"/>
        <v>4.068213920097441</v>
      </c>
      <c r="R323" s="2127">
        <f t="shared" si="426"/>
        <v>0.88508798581470316</v>
      </c>
      <c r="S323" s="2127">
        <f t="shared" si="426"/>
        <v>4.0037423228074465</v>
      </c>
      <c r="T323" s="2127">
        <f t="shared" si="426"/>
        <v>6.2824727341775244</v>
      </c>
      <c r="U323" s="2127">
        <f t="shared" si="426"/>
        <v>-3.4020867203830463</v>
      </c>
      <c r="V323" s="2127">
        <f t="shared" si="426"/>
        <v>5.5452548838284432</v>
      </c>
      <c r="W323" s="2127">
        <f t="shared" si="426"/>
        <v>5.7945047049958953</v>
      </c>
      <c r="X323" s="2127">
        <f t="shared" si="426"/>
        <v>3.6841342470858685</v>
      </c>
      <c r="Y323" s="2127">
        <f t="shared" si="426"/>
        <v>5.0616633119269006</v>
      </c>
      <c r="Z323" s="2127">
        <f t="shared" si="426"/>
        <v>1.9141584241217036</v>
      </c>
      <c r="AA323" s="2127">
        <f t="shared" si="426"/>
        <v>-9.4180748708971862E-2</v>
      </c>
      <c r="AB323" s="2127">
        <f t="shared" si="426"/>
        <v>-0.84693241341203818</v>
      </c>
      <c r="AC323" s="3730">
        <v>3.4</v>
      </c>
      <c r="AD323" s="3730">
        <v>2.87</v>
      </c>
      <c r="AE323" s="3730">
        <v>1.49</v>
      </c>
      <c r="AK323" s="2127">
        <v>1.7842145936333376</v>
      </c>
      <c r="AM323" s="2127">
        <f t="shared" si="349"/>
        <v>0.129943830488366</v>
      </c>
    </row>
    <row r="324" spans="1:46" ht="12.75" customHeight="1">
      <c r="A324" s="714"/>
      <c r="B324" s="714"/>
      <c r="C324" s="840" t="s">
        <v>622</v>
      </c>
      <c r="D324" s="724" t="s">
        <v>590</v>
      </c>
      <c r="E324" s="830" t="s">
        <v>1315</v>
      </c>
      <c r="F324" s="754" t="s">
        <v>426</v>
      </c>
      <c r="G324" s="756"/>
      <c r="H324" s="756">
        <f t="shared" ref="H324:AB324" ca="1" si="427">(H310/G310-1)*100</f>
        <v>14.852470106046445</v>
      </c>
      <c r="I324" s="756">
        <f t="shared" si="427"/>
        <v>12.320271628035883</v>
      </c>
      <c r="J324" s="756">
        <f t="shared" si="427"/>
        <v>23.190104568308701</v>
      </c>
      <c r="K324" s="756">
        <f t="shared" si="427"/>
        <v>-0.94774269474422468</v>
      </c>
      <c r="L324" s="756">
        <f t="shared" si="427"/>
        <v>4.468066281582983</v>
      </c>
      <c r="M324" s="756">
        <f t="shared" si="427"/>
        <v>2.903740986304193E-2</v>
      </c>
      <c r="N324" s="756">
        <f t="shared" si="427"/>
        <v>0.87570758140209648</v>
      </c>
      <c r="O324" s="756">
        <f t="shared" si="427"/>
        <v>-2.7973621103117519</v>
      </c>
      <c r="P324" s="756">
        <f t="shared" si="427"/>
        <v>13.694845004749133</v>
      </c>
      <c r="Q324" s="756">
        <f t="shared" si="427"/>
        <v>8.9303344942442742</v>
      </c>
      <c r="R324" s="2139">
        <f t="shared" si="427"/>
        <v>16.388446215139439</v>
      </c>
      <c r="S324" s="2139">
        <f t="shared" si="427"/>
        <v>2.5287966180019605</v>
      </c>
      <c r="T324" s="2139">
        <f t="shared" si="427"/>
        <v>-0.92647463880010106</v>
      </c>
      <c r="U324" s="2139">
        <f t="shared" si="427"/>
        <v>-29.430744993639369</v>
      </c>
      <c r="V324" s="2139">
        <f t="shared" si="427"/>
        <v>13.919894944189103</v>
      </c>
      <c r="W324" s="2139">
        <f t="shared" si="427"/>
        <v>14.857741681949177</v>
      </c>
      <c r="X324" s="2139">
        <f t="shared" si="427"/>
        <v>8.9523096995520071</v>
      </c>
      <c r="Y324" s="2139">
        <f t="shared" si="427"/>
        <v>4.6895281162333102</v>
      </c>
      <c r="Z324" s="2139">
        <f t="shared" si="427"/>
        <v>3.1292244930608337</v>
      </c>
      <c r="AA324" s="2139">
        <f t="shared" si="427"/>
        <v>7.6430848464634993</v>
      </c>
      <c r="AB324" s="2139">
        <f t="shared" si="427"/>
        <v>7.6912545665472898</v>
      </c>
      <c r="AC324" s="3481">
        <v>19.649999999999999</v>
      </c>
      <c r="AD324" s="3481">
        <v>-4.5</v>
      </c>
      <c r="AE324" s="3481">
        <v>5.5</v>
      </c>
      <c r="AK324" s="2139">
        <v>4.4382196335473134</v>
      </c>
      <c r="AM324" s="2139">
        <f t="shared" ref="AM324:AM387" si="428">Z324-AK324</f>
        <v>-1.3089951404864797</v>
      </c>
    </row>
    <row r="325" spans="1:46" ht="12.75" customHeight="1">
      <c r="A325" s="714"/>
      <c r="B325" s="714"/>
      <c r="C325" s="840" t="s">
        <v>622</v>
      </c>
      <c r="D325" s="724" t="s">
        <v>591</v>
      </c>
      <c r="E325" s="830" t="s">
        <v>1315</v>
      </c>
      <c r="F325" s="754" t="s">
        <v>680</v>
      </c>
      <c r="G325" s="756"/>
      <c r="H325" s="756">
        <f>(H317/G317-1)*100</f>
        <v>9.6045197740112886</v>
      </c>
      <c r="I325" s="756">
        <f t="shared" ref="I325:AB325" si="429">(I317/H317-1)*100</f>
        <v>49.48453608247425</v>
      </c>
      <c r="J325" s="756">
        <f t="shared" si="429"/>
        <v>32.75862068965516</v>
      </c>
      <c r="K325" s="756">
        <f t="shared" si="429"/>
        <v>17.922077922077918</v>
      </c>
      <c r="L325" s="756">
        <f t="shared" si="429"/>
        <v>20.044052863436136</v>
      </c>
      <c r="M325" s="756">
        <f t="shared" si="429"/>
        <v>12.477064220183486</v>
      </c>
      <c r="N325" s="756">
        <f t="shared" si="429"/>
        <v>-8.4828711256117355</v>
      </c>
      <c r="O325" s="756">
        <f t="shared" si="429"/>
        <v>94.474153297682676</v>
      </c>
      <c r="P325" s="756">
        <f t="shared" si="429"/>
        <v>-71.219065077910173</v>
      </c>
      <c r="Q325" s="756">
        <f t="shared" si="429"/>
        <v>5.4140127388535353</v>
      </c>
      <c r="R325" s="2139">
        <f t="shared" si="429"/>
        <v>60.120845921450126</v>
      </c>
      <c r="S325" s="2139">
        <f t="shared" si="429"/>
        <v>26.226415094339629</v>
      </c>
      <c r="T325" s="2139">
        <f t="shared" si="429"/>
        <v>-88.340807174887885</v>
      </c>
      <c r="U325" s="2139">
        <f t="shared" si="429"/>
        <v>148.71794871794867</v>
      </c>
      <c r="V325" s="2139">
        <f t="shared" si="429"/>
        <v>8.7628865979381576</v>
      </c>
      <c r="W325" s="2139">
        <f t="shared" si="429"/>
        <v>-14.218009478672977</v>
      </c>
      <c r="X325" s="2139">
        <f t="shared" si="429"/>
        <v>9.9447513812154433</v>
      </c>
      <c r="Y325" s="2139">
        <f t="shared" si="429"/>
        <v>83.919597989949764</v>
      </c>
      <c r="Z325" s="2139">
        <f t="shared" si="429"/>
        <v>22.677595628415293</v>
      </c>
      <c r="AA325" s="2139">
        <f t="shared" si="429"/>
        <v>0</v>
      </c>
      <c r="AB325" s="2139">
        <f t="shared" si="429"/>
        <v>12.472160356347462</v>
      </c>
      <c r="AC325" s="3481">
        <v>-6.14</v>
      </c>
      <c r="AD325" s="3481">
        <v>0</v>
      </c>
      <c r="AE325" s="3481">
        <v>0</v>
      </c>
      <c r="AK325" s="2139">
        <v>-34.177215189873422</v>
      </c>
      <c r="AM325" s="2139">
        <f t="shared" si="428"/>
        <v>56.854810818288712</v>
      </c>
    </row>
    <row r="326" spans="1:46" ht="12.75" customHeight="1">
      <c r="A326" s="714"/>
      <c r="B326" s="714"/>
      <c r="C326" s="841" t="s">
        <v>622</v>
      </c>
      <c r="D326" s="741" t="s">
        <v>592</v>
      </c>
      <c r="E326" s="842" t="s">
        <v>648</v>
      </c>
      <c r="F326" s="785" t="s">
        <v>649</v>
      </c>
      <c r="G326" s="789"/>
      <c r="H326" s="789">
        <f>(H318/G318-1)*100</f>
        <v>-6.9810448451225309</v>
      </c>
      <c r="I326" s="789">
        <f t="shared" ref="I326:AB326" si="430">(I318/H318-1)*100</f>
        <v>8.9463220675944264</v>
      </c>
      <c r="J326" s="789">
        <f t="shared" si="430"/>
        <v>4.6076642335766582</v>
      </c>
      <c r="K326" s="789">
        <f t="shared" si="430"/>
        <v>36.720453554295673</v>
      </c>
      <c r="L326" s="789">
        <f t="shared" si="430"/>
        <v>31.036682615629996</v>
      </c>
      <c r="M326" s="789">
        <f t="shared" si="430"/>
        <v>-6.2560856864654513</v>
      </c>
      <c r="N326" s="789">
        <f t="shared" si="430"/>
        <v>18.462736951441205</v>
      </c>
      <c r="O326" s="789">
        <f t="shared" si="430"/>
        <v>-0.28496273564228014</v>
      </c>
      <c r="P326" s="789">
        <f t="shared" si="430"/>
        <v>2.9237194987909554</v>
      </c>
      <c r="Q326" s="789">
        <f t="shared" si="430"/>
        <v>-4.1435284066638323</v>
      </c>
      <c r="R326" s="2229">
        <f t="shared" si="430"/>
        <v>-8.2219251336898225</v>
      </c>
      <c r="S326" s="2229">
        <f t="shared" si="430"/>
        <v>27.530954115076469</v>
      </c>
      <c r="T326" s="2229">
        <f t="shared" si="430"/>
        <v>-12.012183514182361</v>
      </c>
      <c r="U326" s="2229">
        <f t="shared" si="430"/>
        <v>3.9809606231068662</v>
      </c>
      <c r="V326" s="2229">
        <f t="shared" si="430"/>
        <v>-2.5593008739076106</v>
      </c>
      <c r="W326" s="2229">
        <f t="shared" si="430"/>
        <v>-3.3739056160580927</v>
      </c>
      <c r="X326" s="2229">
        <f t="shared" si="430"/>
        <v>9.3259668508287152</v>
      </c>
      <c r="Y326" s="2229">
        <f t="shared" si="430"/>
        <v>5.2961390741864012</v>
      </c>
      <c r="Z326" s="2229">
        <f t="shared" si="430"/>
        <v>14.820502975619076</v>
      </c>
      <c r="AA326" s="2229">
        <f t="shared" si="430"/>
        <v>-10.382879117204457</v>
      </c>
      <c r="AB326" s="2229">
        <f t="shared" si="430"/>
        <v>2.1268656716417977</v>
      </c>
      <c r="AC326" s="3722">
        <v>19.649999999999999</v>
      </c>
      <c r="AD326" s="3722">
        <v>-8.17</v>
      </c>
      <c r="AE326" s="3722">
        <v>2.82</v>
      </c>
      <c r="AK326" s="2229">
        <v>10</v>
      </c>
      <c r="AM326" s="2229">
        <f t="shared" si="428"/>
        <v>4.8205029756190765</v>
      </c>
    </row>
    <row r="327" spans="1:46" ht="12.75" customHeight="1">
      <c r="A327" s="714"/>
      <c r="B327" s="714"/>
      <c r="C327" s="822" t="s">
        <v>624</v>
      </c>
      <c r="D327" s="766" t="s">
        <v>591</v>
      </c>
      <c r="E327" s="771" t="s">
        <v>2127</v>
      </c>
      <c r="F327" s="772" t="s">
        <v>1716</v>
      </c>
      <c r="G327" s="770"/>
      <c r="H327" s="770">
        <f>(H319/G319-1)*100</f>
        <v>2.1023622280827103</v>
      </c>
      <c r="I327" s="770">
        <f t="shared" ref="I327:AA327" si="431">(I319/H319-1)*100</f>
        <v>7.4404969434953561</v>
      </c>
      <c r="J327" s="770">
        <f t="shared" si="431"/>
        <v>7.1480530999775471</v>
      </c>
      <c r="K327" s="770">
        <f t="shared" si="431"/>
        <v>1.3986967033965403</v>
      </c>
      <c r="L327" s="770">
        <f t="shared" si="431"/>
        <v>6.6170028474144438</v>
      </c>
      <c r="M327" s="770">
        <f t="shared" si="431"/>
        <v>4.0749101792213471</v>
      </c>
      <c r="N327" s="770">
        <f t="shared" si="431"/>
        <v>2.9510461902881868</v>
      </c>
      <c r="O327" s="770">
        <f t="shared" si="431"/>
        <v>-0.48827359008549731</v>
      </c>
      <c r="P327" s="770">
        <f t="shared" si="431"/>
        <v>5.7557863300074619</v>
      </c>
      <c r="Q327" s="770">
        <f t="shared" si="431"/>
        <v>4.9170722819977142</v>
      </c>
      <c r="R327" s="2235">
        <f t="shared" si="431"/>
        <v>3.9221644917426524</v>
      </c>
      <c r="S327" s="2235">
        <f t="shared" si="431"/>
        <v>3.8683191648137161</v>
      </c>
      <c r="T327" s="2235">
        <f t="shared" si="431"/>
        <v>4.419305715262456</v>
      </c>
      <c r="U327" s="2235">
        <f t="shared" si="431"/>
        <v>-8.7306519976960146</v>
      </c>
      <c r="V327" s="2235">
        <f t="shared" si="431"/>
        <v>6.8102778550396481</v>
      </c>
      <c r="W327" s="2235">
        <f t="shared" si="431"/>
        <v>7.2700595167541238</v>
      </c>
      <c r="X327" s="2235">
        <f t="shared" si="431"/>
        <v>4.6599776661270242</v>
      </c>
      <c r="Y327" s="2235">
        <f t="shared" si="431"/>
        <v>5.0691612824790733</v>
      </c>
      <c r="Z327" s="2235">
        <f t="shared" si="431"/>
        <v>2.1710600436648075</v>
      </c>
      <c r="AA327" s="2235">
        <f t="shared" si="431"/>
        <v>1.3865667682935845</v>
      </c>
      <c r="AB327" s="2223">
        <f>(AB319/AA319-1)*100</f>
        <v>1.0504315926083363</v>
      </c>
      <c r="AC327" s="2223">
        <f>(AC319/AB319-1)*100</f>
        <v>7.3062568542064721</v>
      </c>
      <c r="AD327" s="2223">
        <f>(AD319/AC319-1)*100</f>
        <v>0.60730740146954787</v>
      </c>
      <c r="AE327" s="2223">
        <f>(AE319/AD319-1)*100</f>
        <v>2.4224441304657285</v>
      </c>
      <c r="AK327" s="2235">
        <v>2.1913333575519722</v>
      </c>
      <c r="AM327" s="2235">
        <f t="shared" si="428"/>
        <v>-2.027331388716469E-2</v>
      </c>
    </row>
    <row r="328" spans="1:46" ht="12.75" customHeight="1">
      <c r="A328" s="714"/>
      <c r="B328" s="714"/>
      <c r="C328" s="822"/>
      <c r="D328" s="749"/>
      <c r="Q328" s="749"/>
      <c r="R328" s="2241"/>
      <c r="S328" s="2162"/>
      <c r="T328" s="2162"/>
      <c r="U328" s="2162"/>
      <c r="V328" s="2162"/>
      <c r="W328" s="2162"/>
      <c r="X328" s="2162"/>
      <c r="Y328" s="2162"/>
      <c r="Z328" s="2162"/>
      <c r="AA328" s="2162"/>
      <c r="AB328" s="2162"/>
      <c r="AC328" s="2162"/>
      <c r="AD328" s="2162"/>
      <c r="AE328" s="2162"/>
      <c r="AK328" s="2162"/>
      <c r="AM328" s="2162">
        <f t="shared" si="428"/>
        <v>0</v>
      </c>
    </row>
    <row r="329" spans="1:46" ht="12.75" customHeight="1">
      <c r="A329" s="714"/>
      <c r="B329" s="714"/>
      <c r="C329" s="822"/>
      <c r="D329" s="858"/>
      <c r="E329" s="859" t="s">
        <v>1903</v>
      </c>
      <c r="F329" s="860"/>
      <c r="G329" s="861">
        <f>+InputY!$G$3</f>
        <v>1995</v>
      </c>
      <c r="H329" s="861">
        <f>+G329+1</f>
        <v>1996</v>
      </c>
      <c r="I329" s="861">
        <f t="shared" ref="I329:S329" si="432">+H329+1</f>
        <v>1997</v>
      </c>
      <c r="J329" s="861">
        <f t="shared" si="432"/>
        <v>1998</v>
      </c>
      <c r="K329" s="861">
        <f t="shared" si="432"/>
        <v>1999</v>
      </c>
      <c r="L329" s="861">
        <f t="shared" si="432"/>
        <v>2000</v>
      </c>
      <c r="M329" s="861">
        <f t="shared" si="432"/>
        <v>2001</v>
      </c>
      <c r="N329" s="861">
        <f t="shared" si="432"/>
        <v>2002</v>
      </c>
      <c r="O329" s="861">
        <f t="shared" si="432"/>
        <v>2003</v>
      </c>
      <c r="P329" s="861">
        <f>+O329+1</f>
        <v>2004</v>
      </c>
      <c r="Q329" s="861">
        <f>+P329+1</f>
        <v>2005</v>
      </c>
      <c r="R329" s="2196">
        <f>+Q329+1</f>
        <v>2006</v>
      </c>
      <c r="S329" s="2196">
        <f t="shared" si="432"/>
        <v>2007</v>
      </c>
      <c r="T329" s="2196">
        <f t="shared" ref="T329:AE329" si="433">+S329+1</f>
        <v>2008</v>
      </c>
      <c r="U329" s="2196">
        <f t="shared" si="433"/>
        <v>2009</v>
      </c>
      <c r="V329" s="2196">
        <f t="shared" si="433"/>
        <v>2010</v>
      </c>
      <c r="W329" s="2196">
        <f t="shared" si="433"/>
        <v>2011</v>
      </c>
      <c r="X329" s="2196">
        <f t="shared" si="433"/>
        <v>2012</v>
      </c>
      <c r="Y329" s="2196">
        <f t="shared" si="433"/>
        <v>2013</v>
      </c>
      <c r="Z329" s="2196">
        <f t="shared" si="433"/>
        <v>2014</v>
      </c>
      <c r="AA329" s="2196">
        <f t="shared" si="433"/>
        <v>2015</v>
      </c>
      <c r="AB329" s="2196">
        <f t="shared" si="433"/>
        <v>2016</v>
      </c>
      <c r="AC329" s="2196">
        <f t="shared" si="433"/>
        <v>2017</v>
      </c>
      <c r="AD329" s="2196">
        <f t="shared" si="433"/>
        <v>2018</v>
      </c>
      <c r="AE329" s="2196">
        <f t="shared" si="433"/>
        <v>2019</v>
      </c>
      <c r="AK329" s="2196">
        <v>2014</v>
      </c>
      <c r="AM329" s="2196">
        <f t="shared" si="428"/>
        <v>0</v>
      </c>
    </row>
    <row r="330" spans="1:46" ht="12.75" customHeight="1">
      <c r="A330" s="714"/>
      <c r="B330" s="714"/>
      <c r="C330" s="866" t="s">
        <v>622</v>
      </c>
      <c r="D330" s="1086" t="s">
        <v>589</v>
      </c>
      <c r="E330" s="1087" t="s">
        <v>1315</v>
      </c>
      <c r="F330" s="1088" t="s">
        <v>1904</v>
      </c>
      <c r="G330" s="1089"/>
      <c r="H330" s="1089">
        <f ca="1">+$F$344*'VVP2'!H362</f>
        <v>2.399652043534326</v>
      </c>
      <c r="I330" s="1089">
        <f>+$F$344*'VVP2'!I362</f>
        <v>5.0609176335911963</v>
      </c>
      <c r="J330" s="1089">
        <f>+$F$344*'VVP2'!J362</f>
        <v>4.1102068560822618</v>
      </c>
      <c r="K330" s="1089">
        <f>+$F$344*'VVP2'!K362</f>
        <v>4.525862127787339</v>
      </c>
      <c r="L330" s="1089">
        <f>+$F$344*'VVP2'!L362</f>
        <v>6.2465257589281986</v>
      </c>
      <c r="M330" s="1089">
        <f>+$F$344*'VVP2'!M362</f>
        <v>3.1939091169613882</v>
      </c>
      <c r="N330" s="1089">
        <f>+$F$344*'VVP2'!N362</f>
        <v>3.8043808533404637</v>
      </c>
      <c r="O330" s="1089">
        <f>+$F$344*'VVP2'!O362</f>
        <v>3.0003173794131128</v>
      </c>
      <c r="P330" s="1089">
        <f>+$F$344*'VVP2'!P362</f>
        <v>6.1991239631116279</v>
      </c>
      <c r="Q330" s="1089">
        <f>+$F$344*'VVP2'!Q362</f>
        <v>4.6597913433327376</v>
      </c>
      <c r="R330" s="2242">
        <f>+$F$344*'VVP2'!R362</f>
        <v>5.3125640488916046</v>
      </c>
      <c r="S330" s="2242">
        <f>+$F$344*'VVP2'!S362</f>
        <v>6.023023791250969</v>
      </c>
      <c r="T330" s="2242">
        <f>+$F$344*'VVP2'!T362</f>
        <v>2.9575968379446778</v>
      </c>
      <c r="U330" s="2242">
        <f>+$F$344*'VVP2'!U362</f>
        <v>-1.6269378101647287</v>
      </c>
      <c r="V330" s="2242">
        <f>+$F$344*'VVP2'!V362</f>
        <v>5.1000888522915977</v>
      </c>
      <c r="W330" s="2242">
        <f>+$F$344*'VVP2'!W362</f>
        <v>4.1814026548854288</v>
      </c>
      <c r="X330" s="2242">
        <f>+$F$344*'VVP2'!X362</f>
        <v>2.4133711309994013</v>
      </c>
      <c r="Y330" s="2242">
        <f>+$F$344*'VVP2'!Y362</f>
        <v>1.3613604228747322</v>
      </c>
      <c r="Z330" s="2243">
        <f>+$F$344*'VVP2'!Z362</f>
        <v>2.2082276638771021</v>
      </c>
      <c r="AA330" s="2243">
        <f>+$F$344*'VVP2'!AA362</f>
        <v>2.7630667104351248</v>
      </c>
      <c r="AB330" s="2243">
        <f>+$F$344*'VVP2'!AB362</f>
        <v>3.3497097714815949</v>
      </c>
      <c r="AC330" s="2243">
        <f>+$F$344*'VVP2'!AC362</f>
        <v>3.9771945715903936</v>
      </c>
      <c r="AD330" s="2243">
        <f ca="1">+$F$344*'VVP2'!AD362</f>
        <v>3.7010023900467592</v>
      </c>
      <c r="AE330" s="2243">
        <f ca="1">+$F$344*'VVP2'!AE362</f>
        <v>3.7669031425441521</v>
      </c>
      <c r="AK330" s="2243">
        <v>1.9325713071329951</v>
      </c>
      <c r="AM330" s="2243">
        <f t="shared" si="428"/>
        <v>0.27565635674410705</v>
      </c>
    </row>
    <row r="331" spans="1:46" ht="12.75" customHeight="1">
      <c r="A331" s="714"/>
      <c r="B331" s="714"/>
      <c r="C331" s="870" t="s">
        <v>622</v>
      </c>
      <c r="D331" s="1082" t="s">
        <v>590</v>
      </c>
      <c r="E331" s="1083" t="s">
        <v>1315</v>
      </c>
      <c r="F331" s="1084" t="s">
        <v>1904</v>
      </c>
      <c r="G331" s="1085"/>
      <c r="H331" s="1085">
        <f ca="1">+$F$352*'VVP2'!H362</f>
        <v>3.4563795489439375</v>
      </c>
      <c r="I331" s="1085">
        <f>+$F$352*'VVP2'!I362</f>
        <v>7.2895786098515396</v>
      </c>
      <c r="J331" s="1085">
        <f>+$F$352*'VVP2'!J362</f>
        <v>5.9202062055496798</v>
      </c>
      <c r="K331" s="1085">
        <f>+$F$352*'VVP2'!K362</f>
        <v>6.5189023308496532</v>
      </c>
      <c r="L331" s="1085">
        <f>+$F$352*'VVP2'!L362</f>
        <v>8.997289395887405</v>
      </c>
      <c r="M331" s="1085">
        <f>+$F$352*'VVP2'!M362</f>
        <v>4.6004012051645677</v>
      </c>
      <c r="N331" s="1085">
        <f>+$F$352*'VVP2'!N362</f>
        <v>5.4797045318757132</v>
      </c>
      <c r="O331" s="1085">
        <f>+$F$352*'VVP2'!O362</f>
        <v>4.321558060255585</v>
      </c>
      <c r="P331" s="1085">
        <f>+$F$352*'VVP2'!P362</f>
        <v>8.9290134147571152</v>
      </c>
      <c r="Q331" s="1085">
        <f>+$F$352*'VVP2'!Q362</f>
        <v>6.7118095495710071</v>
      </c>
      <c r="R331" s="2232">
        <f>+$F$352*'VVP2'!R362</f>
        <v>7.6520417951924946</v>
      </c>
      <c r="S331" s="2232">
        <f>+$F$352*'VVP2'!S362</f>
        <v>8.6753645433614874</v>
      </c>
      <c r="T331" s="2232">
        <f>+$F$352*'VVP2'!T362</f>
        <v>4.2600248032781138</v>
      </c>
      <c r="U331" s="2232">
        <f>+$F$352*'VVP2'!U362</f>
        <v>-2.3433874880354346</v>
      </c>
      <c r="V331" s="2232">
        <f>+$F$352*'VVP2'!V362</f>
        <v>7.3459995395392736</v>
      </c>
      <c r="W331" s="2232">
        <f>+$F$352*'VVP2'!W362</f>
        <v>6.0227542827248834</v>
      </c>
      <c r="X331" s="2232">
        <f>+$F$352*'VVP2'!X362</f>
        <v>3.4761400694211559</v>
      </c>
      <c r="Y331" s="2232">
        <f>+$F$352*'VVP2'!Y362</f>
        <v>1.960858590746174</v>
      </c>
      <c r="Z331" s="2244">
        <f>+$F$352*'VVP2'!Z362</f>
        <v>3.1806581947587618</v>
      </c>
      <c r="AA331" s="2244">
        <f>+$F$352*'VVP2'!AA362</f>
        <v>3.9798300324616016</v>
      </c>
      <c r="AB331" s="2244">
        <f>+$F$352*'VVP2'!AB362</f>
        <v>4.8248113222257833</v>
      </c>
      <c r="AC331" s="2244">
        <f>+$F$352*'VVP2'!AC362</f>
        <v>5.7286197040338696</v>
      </c>
      <c r="AD331" s="2244">
        <f ca="1">+$F$352*'VVP2'!AD362</f>
        <v>5.3308016076820293</v>
      </c>
      <c r="AE331" s="2244">
        <f ca="1">+$F$352*'VVP2'!AE362</f>
        <v>5.425722875040659</v>
      </c>
      <c r="AK331" s="2244">
        <v>2.7836118827511944</v>
      </c>
      <c r="AM331" s="2244">
        <f t="shared" si="428"/>
        <v>0.39704631200756735</v>
      </c>
    </row>
    <row r="332" spans="1:46" ht="12.75" customHeight="1">
      <c r="A332" s="714"/>
      <c r="B332" s="714"/>
      <c r="C332" s="871" t="s">
        <v>622</v>
      </c>
      <c r="D332" s="1415" t="s">
        <v>591</v>
      </c>
      <c r="E332" s="1416" t="s">
        <v>2127</v>
      </c>
      <c r="F332" s="1417" t="s">
        <v>1904</v>
      </c>
      <c r="G332" s="1418"/>
      <c r="H332" s="1418">
        <f ca="1">+$F$358*'VVP2'!H362</f>
        <v>2.5999293535431014</v>
      </c>
      <c r="I332" s="1418">
        <f>+$F$358*'VVP2'!I362</f>
        <v>5.4833067764515757</v>
      </c>
      <c r="J332" s="1418">
        <f>+$F$358*'VVP2'!J362</f>
        <v>4.4532487462320347</v>
      </c>
      <c r="K332" s="1418">
        <f>+$F$358*'VVP2'!K362</f>
        <v>4.9035950140473012</v>
      </c>
      <c r="L332" s="1418">
        <f>+$F$358*'VVP2'!L362</f>
        <v>6.7678669172304957</v>
      </c>
      <c r="M332" s="1418">
        <f>+$F$358*'VVP2'!M362</f>
        <v>3.460475900291939</v>
      </c>
      <c r="N332" s="1418">
        <f>+$F$358*'VVP2'!N362</f>
        <v>4.1218982057453175</v>
      </c>
      <c r="O332" s="1418">
        <f>+$F$358*'VVP2'!O362</f>
        <v>3.250726806705083</v>
      </c>
      <c r="P332" s="1418">
        <f>+$F$358*'VVP2'!P362</f>
        <v>6.7165089211050901</v>
      </c>
      <c r="Q332" s="1418">
        <f>+$F$358*'VVP2'!Q362</f>
        <v>5.0487020931055753</v>
      </c>
      <c r="R332" s="2245">
        <f>+$F$358*'VVP2'!R362</f>
        <v>5.7559558480602231</v>
      </c>
      <c r="S332" s="2245">
        <f>+$F$358*'VVP2'!S362</f>
        <v>6.5257112564110997</v>
      </c>
      <c r="T332" s="2245">
        <f>+$F$358*'VVP2'!T362</f>
        <v>3.2044407670009889</v>
      </c>
      <c r="U332" s="2245">
        <f>+$F$358*'VVP2'!U362</f>
        <v>-1.7627236333841014</v>
      </c>
      <c r="V332" s="2245">
        <f>+$F$358*'VVP2'!V362</f>
        <v>5.5257472634328586</v>
      </c>
      <c r="W332" s="2245">
        <f>+$F$358*'VVP2'!W362</f>
        <v>4.5303866161394861</v>
      </c>
      <c r="X332" s="2245">
        <f>+$F$358*'VVP2'!X362</f>
        <v>2.6147934494858363</v>
      </c>
      <c r="Y332" s="2245">
        <f>+$F$358*'VVP2'!Y362</f>
        <v>1.4749808972182492</v>
      </c>
      <c r="Z332" s="2246">
        <f>+$F$358*'VVP2'!Z362</f>
        <v>2.3925285076598066</v>
      </c>
      <c r="AA332" s="2246">
        <f>+$F$358*'VVP2'!AA362</f>
        <v>2.9936749645075347</v>
      </c>
      <c r="AB332" s="2246">
        <f>+$F$358*'VVP2'!AB362</f>
        <v>3.6292798300448985</v>
      </c>
      <c r="AC332" s="2246">
        <f>+$F$358*'VVP2'!AC362</f>
        <v>4.3091351261911512</v>
      </c>
      <c r="AD332" s="2246">
        <f ca="1">+$F$358*'VVP2'!AD362</f>
        <v>4.0098916746460782</v>
      </c>
      <c r="AE332" s="2246">
        <f ca="1">+$F$358*'VVP2'!AE362</f>
        <v>4.0812925684965871</v>
      </c>
      <c r="AK332" s="2246">
        <v>2.0938656013768688</v>
      </c>
      <c r="AM332" s="2246">
        <f t="shared" si="428"/>
        <v>0.29866290628293779</v>
      </c>
    </row>
    <row r="333" spans="1:46" ht="12.75" customHeight="1">
      <c r="A333" s="714"/>
      <c r="B333" s="714"/>
      <c r="C333" s="822"/>
      <c r="E333" s="833"/>
      <c r="F333" s="834"/>
      <c r="G333" s="753"/>
      <c r="H333" s="835"/>
      <c r="I333" s="753"/>
      <c r="J333" s="753"/>
      <c r="K333" s="753"/>
      <c r="L333" s="753"/>
      <c r="M333" s="753"/>
      <c r="N333" s="753"/>
      <c r="O333" s="753"/>
      <c r="P333" s="753"/>
      <c r="Q333" s="885"/>
      <c r="R333" s="2218"/>
      <c r="S333" s="2218"/>
      <c r="T333" s="2218"/>
      <c r="U333" s="2218"/>
      <c r="V333" s="2218"/>
      <c r="W333" s="2218"/>
      <c r="X333" s="2218"/>
      <c r="Y333" s="2218"/>
      <c r="Z333" s="2218"/>
      <c r="AA333" s="2218"/>
      <c r="AB333" s="2218"/>
      <c r="AC333" s="2218"/>
      <c r="AD333" s="2218"/>
      <c r="AE333" s="2218"/>
      <c r="AK333" s="2218"/>
      <c r="AM333" s="2218">
        <f t="shared" si="428"/>
        <v>0</v>
      </c>
    </row>
    <row r="334" spans="1:46" ht="12.75" customHeight="1">
      <c r="A334" s="714"/>
      <c r="B334" s="714"/>
      <c r="C334" s="822"/>
      <c r="D334" s="862"/>
      <c r="E334" s="863" t="s">
        <v>1805</v>
      </c>
      <c r="F334" s="864"/>
      <c r="G334" s="865">
        <f>+InputY!$G$3</f>
        <v>1995</v>
      </c>
      <c r="H334" s="865">
        <f>+G334+1</f>
        <v>1996</v>
      </c>
      <c r="I334" s="865">
        <f t="shared" ref="I334:S334" si="434">+H334+1</f>
        <v>1997</v>
      </c>
      <c r="J334" s="865">
        <f t="shared" si="434"/>
        <v>1998</v>
      </c>
      <c r="K334" s="865">
        <f t="shared" si="434"/>
        <v>1999</v>
      </c>
      <c r="L334" s="865">
        <f t="shared" si="434"/>
        <v>2000</v>
      </c>
      <c r="M334" s="865">
        <f t="shared" si="434"/>
        <v>2001</v>
      </c>
      <c r="N334" s="865">
        <f t="shared" si="434"/>
        <v>2002</v>
      </c>
      <c r="O334" s="865">
        <f t="shared" si="434"/>
        <v>2003</v>
      </c>
      <c r="P334" s="865">
        <f>+O334+1</f>
        <v>2004</v>
      </c>
      <c r="Q334" s="865">
        <f>+P334+1</f>
        <v>2005</v>
      </c>
      <c r="R334" s="2219">
        <f>+Q334+1</f>
        <v>2006</v>
      </c>
      <c r="S334" s="2219">
        <f t="shared" si="434"/>
        <v>2007</v>
      </c>
      <c r="T334" s="2219">
        <f t="shared" ref="T334:AE334" si="435">+S334+1</f>
        <v>2008</v>
      </c>
      <c r="U334" s="2219">
        <f t="shared" si="435"/>
        <v>2009</v>
      </c>
      <c r="V334" s="2219">
        <f>+U334+1</f>
        <v>2010</v>
      </c>
      <c r="W334" s="2219">
        <f t="shared" si="435"/>
        <v>2011</v>
      </c>
      <c r="X334" s="2219">
        <f t="shared" si="435"/>
        <v>2012</v>
      </c>
      <c r="Y334" s="2219">
        <f t="shared" si="435"/>
        <v>2013</v>
      </c>
      <c r="Z334" s="2219">
        <f t="shared" si="435"/>
        <v>2014</v>
      </c>
      <c r="AA334" s="2219">
        <f t="shared" si="435"/>
        <v>2015</v>
      </c>
      <c r="AB334" s="2219">
        <f t="shared" si="435"/>
        <v>2016</v>
      </c>
      <c r="AC334" s="2219">
        <f t="shared" si="435"/>
        <v>2017</v>
      </c>
      <c r="AD334" s="2219">
        <f t="shared" si="435"/>
        <v>2018</v>
      </c>
      <c r="AE334" s="2219">
        <f t="shared" si="435"/>
        <v>2019</v>
      </c>
      <c r="AK334" s="2219">
        <v>2014</v>
      </c>
      <c r="AM334" s="2219">
        <f t="shared" si="428"/>
        <v>0</v>
      </c>
    </row>
    <row r="335" spans="1:46" ht="12.75" customHeight="1">
      <c r="A335" s="714"/>
      <c r="B335" s="714"/>
      <c r="C335" s="866" t="s">
        <v>622</v>
      </c>
      <c r="D335" s="867" t="s">
        <v>589</v>
      </c>
      <c r="E335" s="868" t="s">
        <v>1315</v>
      </c>
      <c r="F335" s="869" t="s">
        <v>301</v>
      </c>
      <c r="G335" s="878">
        <f ca="1">+G296/'VVP2'!G$355</f>
        <v>0.13466038275211226</v>
      </c>
      <c r="H335" s="878">
        <f>+H296/'VVP2'!H$355</f>
        <v>0.13163325034824103</v>
      </c>
      <c r="I335" s="878">
        <f>+I296/'VVP2'!I$355</f>
        <v>0.13385614910383606</v>
      </c>
      <c r="J335" s="878">
        <f>+J296/'VVP2'!J$355</f>
        <v>0.13376883239171375</v>
      </c>
      <c r="K335" s="878">
        <f>+K296/'VVP2'!K$355</f>
        <v>0.13064211017663968</v>
      </c>
      <c r="L335" s="878">
        <f>+L296/'VVP2'!L$355</f>
        <v>0.1320755009255602</v>
      </c>
      <c r="M335" s="878">
        <f>+M296/'VVP2'!M$355</f>
        <v>0.13494494116372271</v>
      </c>
      <c r="N335" s="878">
        <f>+N296/'VVP2'!N$355</f>
        <v>0.13467393718796025</v>
      </c>
      <c r="O335" s="878">
        <f>+O296/'VVP2'!O$355</f>
        <v>0.13091585835516642</v>
      </c>
      <c r="P335" s="878">
        <f>+P296/'VVP2'!P$355</f>
        <v>0.12917008692019169</v>
      </c>
      <c r="Q335" s="878">
        <f>+Q296/'VVP2'!Q$355</f>
        <v>0.12891388490077077</v>
      </c>
      <c r="R335" s="2247">
        <f>+R296/'VVP2'!R$355</f>
        <v>0.12401071321099082</v>
      </c>
      <c r="S335" s="2247">
        <f>+S296/'VVP2'!S$355</f>
        <v>0.12222214163977228</v>
      </c>
      <c r="T335" s="2247">
        <f>+T296/'VVP2'!T$355</f>
        <v>0.12646911210596673</v>
      </c>
      <c r="U335" s="2247">
        <f>+U296/'VVP2'!U$355</f>
        <v>0.1240176144865648</v>
      </c>
      <c r="V335" s="2247">
        <f>+V296/'VVP2'!V$355</f>
        <v>0.12504392626139924</v>
      </c>
      <c r="W335" s="2247">
        <f>+W296/'VVP2'!W$355</f>
        <v>0.12740226158204176</v>
      </c>
      <c r="X335" s="2247">
        <f>+X296/'VVP2'!X$355</f>
        <v>0.12923454729431039</v>
      </c>
      <c r="Y335" s="2224">
        <f>+Y296/'VVP2'!Y$355</f>
        <v>0.13410110317637927</v>
      </c>
      <c r="Z335" s="2224">
        <f>+Z296/'VVP2'!Z$355</f>
        <v>0.13395423597298145</v>
      </c>
      <c r="AA335" s="2224">
        <f>+AA296/'VVP2'!AA$355</f>
        <v>0.13051950709880633</v>
      </c>
      <c r="AB335" s="2224">
        <f>+AB296/'VVP2'!AB$355</f>
        <v>0.12555561018550121</v>
      </c>
      <c r="AC335" s="2224">
        <f>+AC296/'VVP2'!AC$355</f>
        <v>0.12525422192706426</v>
      </c>
      <c r="AD335" s="2224">
        <f ca="1">+AD296/'VVP2'!AD$355</f>
        <v>0.12461772898787268</v>
      </c>
      <c r="AE335" s="2224">
        <f ca="1">+AE296/'VVP2'!AE$355</f>
        <v>0.12224973577487837</v>
      </c>
      <c r="AK335" s="2224">
        <v>0.13587801725209439</v>
      </c>
      <c r="AM335" s="2224">
        <f t="shared" si="428"/>
        <v>-1.9237812791129405E-3</v>
      </c>
    </row>
    <row r="336" spans="1:46" ht="12.75" customHeight="1">
      <c r="A336" s="714"/>
      <c r="B336" s="714"/>
      <c r="C336" s="870" t="s">
        <v>622</v>
      </c>
      <c r="D336" s="724" t="s">
        <v>590</v>
      </c>
      <c r="E336" s="830" t="s">
        <v>1315</v>
      </c>
      <c r="F336" s="754" t="s">
        <v>426</v>
      </c>
      <c r="G336" s="879">
        <f ca="1">+G310/'VVP2'!G$355</f>
        <v>2.3787595105891977E-2</v>
      </c>
      <c r="H336" s="879">
        <f>+H310/'VVP2'!H$355</f>
        <v>2.6732128567618037E-2</v>
      </c>
      <c r="I336" s="879">
        <f>+I310/'VVP2'!I$355</f>
        <v>2.869335443360076E-2</v>
      </c>
      <c r="J336" s="879">
        <f>+J310/'VVP2'!J$355</f>
        <v>3.4062917928982778E-2</v>
      </c>
      <c r="K336" s="879">
        <f>+K310/'VVP2'!K$355</f>
        <v>3.2394994799898456E-2</v>
      </c>
      <c r="L336" s="879">
        <f>+L310/'VVP2'!L$355</f>
        <v>3.2008117046572332E-2</v>
      </c>
      <c r="M336" s="879">
        <f>+M310/'VVP2'!M$355</f>
        <v>3.1105947437886677E-2</v>
      </c>
      <c r="N336" s="879">
        <f>+N310/'VVP2'!N$355</f>
        <v>3.0320095133842862E-2</v>
      </c>
      <c r="O336" s="879">
        <f>+O310/'VVP2'!O$355</f>
        <v>2.8682424244568551E-2</v>
      </c>
      <c r="P336" s="879">
        <f>+P310/'VVP2'!P$355</f>
        <v>3.0855596784582273E-2</v>
      </c>
      <c r="Q336" s="879">
        <f>+Q310/'VVP2'!Q$355</f>
        <v>3.2233126407791426E-2</v>
      </c>
      <c r="R336" s="2248">
        <f>+R310/'VVP2'!R$355</f>
        <v>3.5772132732875966E-2</v>
      </c>
      <c r="S336" s="2248">
        <f>+S310/'VVP2'!S$355</f>
        <v>3.4756209885049134E-2</v>
      </c>
      <c r="T336" s="2248">
        <f>+T310/'VVP2'!T$355</f>
        <v>3.3524550090816424E-2</v>
      </c>
      <c r="U336" s="2248">
        <f>+U310/'VVP2'!U$355</f>
        <v>2.4016496306709281E-2</v>
      </c>
      <c r="V336" s="2248">
        <f>+V310/'VVP2'!V$355</f>
        <v>2.6136639089784867E-2</v>
      </c>
      <c r="W336" s="2248">
        <f>+W310/'VVP2'!W$355</f>
        <v>2.8910888581909613E-2</v>
      </c>
      <c r="X336" s="2248">
        <f>+X310/'VVP2'!X$355</f>
        <v>3.0816766240834518E-2</v>
      </c>
      <c r="Y336" s="2225">
        <f>+Y310/'VVP2'!Y$355</f>
        <v>3.1863960780935306E-2</v>
      </c>
      <c r="Z336" s="2225">
        <f>+Z310/'VVP2'!Z$355</f>
        <v>3.2208543744232286E-2</v>
      </c>
      <c r="AA336" s="2225">
        <f>+AA310/'VVP2'!AA$355</f>
        <v>3.3813132986644422E-2</v>
      </c>
      <c r="AB336" s="2225">
        <f>+AB310/'VVP2'!AB$355</f>
        <v>3.532810902960512E-2</v>
      </c>
      <c r="AC336" s="2225">
        <f>+AC310/'VVP2'!AC$355</f>
        <v>4.0782026894445086E-2</v>
      </c>
      <c r="AD336" s="2225">
        <f ca="1">+AD310/'VVP2'!AD$355</f>
        <v>3.7667855649455864E-2</v>
      </c>
      <c r="AE336" s="2225">
        <f ca="1">+AE310/'VVP2'!AE$355</f>
        <v>3.841211330361493E-2</v>
      </c>
      <c r="AK336" s="2225">
        <v>3.2717329157033834E-2</v>
      </c>
      <c r="AM336" s="2225">
        <f t="shared" si="428"/>
        <v>-5.087854128015476E-4</v>
      </c>
    </row>
    <row r="337" spans="1:46" ht="12.75" customHeight="1">
      <c r="A337" s="714"/>
      <c r="B337" s="714"/>
      <c r="C337" s="870" t="s">
        <v>622</v>
      </c>
      <c r="D337" s="724" t="s">
        <v>591</v>
      </c>
      <c r="E337" s="830" t="s">
        <v>1315</v>
      </c>
      <c r="F337" s="754" t="s">
        <v>680</v>
      </c>
      <c r="G337" s="879">
        <f ca="1">+G317/'VVP2'!G$355</f>
        <v>8.3770803082765564E-5</v>
      </c>
      <c r="H337" s="879">
        <f>+H317/'VVP2'!H$355</f>
        <v>8.9838771820633639E-5</v>
      </c>
      <c r="I337" s="879">
        <f>+I317/'VVP2'!I$355</f>
        <v>1.2833635808853173E-4</v>
      </c>
      <c r="J337" s="879">
        <f>+J317/'VVP2'!J$355</f>
        <v>1.6418638609132347E-4</v>
      </c>
      <c r="K337" s="879">
        <f>+K317/'VVP2'!K$355</f>
        <v>1.8589339382375338E-4</v>
      </c>
      <c r="L337" s="879">
        <f>+L317/'VVP2'!L$355</f>
        <v>2.110587014274539E-4</v>
      </c>
      <c r="M337" s="879">
        <f>+M317/'VVP2'!M$355</f>
        <v>2.3063459503876014E-4</v>
      </c>
      <c r="N337" s="879">
        <f>+N317/'VVP2'!N$355</f>
        <v>2.0395171906577756E-4</v>
      </c>
      <c r="O337" s="879">
        <f>+O317/'VVP2'!O$355</f>
        <v>3.8600817658016566E-4</v>
      </c>
      <c r="P337" s="879">
        <f>+P317/'VVP2'!P$355</f>
        <v>1.0511839545138642E-4</v>
      </c>
      <c r="Q337" s="879">
        <f>+Q317/'VVP2'!Q$355</f>
        <v>1.0626658208146379E-4</v>
      </c>
      <c r="R337" s="2248">
        <f>+R317/'VVP2'!R$355</f>
        <v>1.6224716610834254E-4</v>
      </c>
      <c r="S337" s="2248">
        <f>+S317/'VVP2'!S$355</f>
        <v>1.9407477245530697E-4</v>
      </c>
      <c r="T337" s="2248">
        <f>+T317/'VVP2'!T$355</f>
        <v>2.2029797277851383E-5</v>
      </c>
      <c r="U337" s="2248">
        <f>+U317/'VVP2'!U$355</f>
        <v>5.5622279991662387E-5</v>
      </c>
      <c r="V337" s="2248">
        <f>+V317/'VVP2'!V$355</f>
        <v>5.7792306501908379E-5</v>
      </c>
      <c r="W337" s="2248">
        <f>+W317/'VVP2'!W$355</f>
        <v>4.7743864979294733E-5</v>
      </c>
      <c r="X337" s="2248">
        <f>+X317/'VVP2'!X$355</f>
        <v>5.1354825456819234E-5</v>
      </c>
      <c r="Y337" s="2225">
        <f>+Y317/'VVP2'!Y$355</f>
        <v>9.328648278864393E-5</v>
      </c>
      <c r="Z337" s="2225">
        <f>+Z317/'VVP2'!Z$355</f>
        <v>1.1216918210429385E-4</v>
      </c>
      <c r="AA337" s="2225">
        <f>+AA317/'VVP2'!AA$355</f>
        <v>1.09396075190432E-4</v>
      </c>
      <c r="AB337" s="2225">
        <f>+AB317/'VVP2'!AB$355</f>
        <v>1.1937168418554473E-4</v>
      </c>
      <c r="AC337" s="2225">
        <f>+AC317/'VVP2'!AC$355</f>
        <v>1.0809957749941502E-4</v>
      </c>
      <c r="AD337" s="2225">
        <f ca="1">+AD317/'VVP2'!AD$355</f>
        <v>1.0454968187999761E-4</v>
      </c>
      <c r="AE337" s="2225">
        <f ca="1">+AE317/'VVP2'!AE$355</f>
        <v>1.0105726952982486E-4</v>
      </c>
      <c r="AK337" s="2225">
        <v>3.877992393168767E-5</v>
      </c>
      <c r="AM337" s="2225">
        <f t="shared" si="428"/>
        <v>7.3389258172606176E-5</v>
      </c>
    </row>
    <row r="338" spans="1:46" ht="12.75" customHeight="1">
      <c r="A338" s="714"/>
      <c r="B338" s="714"/>
      <c r="C338" s="871" t="s">
        <v>622</v>
      </c>
      <c r="D338" s="872" t="s">
        <v>592</v>
      </c>
      <c r="E338" s="873" t="s">
        <v>648</v>
      </c>
      <c r="F338" s="874" t="s">
        <v>649</v>
      </c>
      <c r="G338" s="880">
        <f ca="1">+G318/'VVP2'!G$355</f>
        <v>1.0237076105537961E-3</v>
      </c>
      <c r="H338" s="880">
        <f>+H318/'VVP2'!H$355</f>
        <v>9.3172994279956136E-4</v>
      </c>
      <c r="I338" s="880">
        <f>+I318/'VVP2'!I$355</f>
        <v>9.7004585148297072E-4</v>
      </c>
      <c r="J338" s="880">
        <f>+J318/'VVP2'!J$355</f>
        <v>9.7786852807118098E-4</v>
      </c>
      <c r="K338" s="880">
        <f>+K318/'VVP2'!K$355</f>
        <v>1.2836471137389139E-3</v>
      </c>
      <c r="L338" s="880">
        <f>+L318/'VVP2'!L$355</f>
        <v>1.5908791659889556E-3</v>
      </c>
      <c r="M338" s="880">
        <f>+M318/'VVP2'!M$355</f>
        <v>1.4488969420787363E-3</v>
      </c>
      <c r="N338" s="880">
        <f>+N318/'VVP2'!N$355</f>
        <v>1.6585164748272321E-3</v>
      </c>
      <c r="O338" s="880">
        <f>+O318/'VVP2'!O$355</f>
        <v>1.6094878050074918E-3</v>
      </c>
      <c r="P338" s="880">
        <f>+P318/'VVP2'!P$355</f>
        <v>1.5674023168897812E-3</v>
      </c>
      <c r="Q338" s="880">
        <f>+Q318/'VVP2'!Q$355</f>
        <v>1.4408592760773698E-3</v>
      </c>
      <c r="R338" s="2249">
        <f>+R318/'VVP2'!R$355</f>
        <v>1.2609359947174776E-3</v>
      </c>
      <c r="S338" s="2249">
        <f>+S318/'VVP2'!S$355</f>
        <v>1.5238785944809081E-3</v>
      </c>
      <c r="T338" s="2249">
        <f>+T318/'VVP2'!T$355</f>
        <v>1.3054067053619115E-3</v>
      </c>
      <c r="U338" s="2249">
        <f>+U318/'VVP2'!U$355</f>
        <v>1.377941637319224E-3</v>
      </c>
      <c r="V338" s="2249">
        <f>+V318/'VVP2'!V$355</f>
        <v>1.2826605277177106E-3</v>
      </c>
      <c r="W338" s="2249">
        <f>+W318/'VVP2'!W$355</f>
        <v>1.1935966244823681E-3</v>
      </c>
      <c r="X338" s="2249">
        <f>+X318/'VVP2'!X$355</f>
        <v>1.2766448318335915E-3</v>
      </c>
      <c r="Y338" s="2226">
        <f>+Y318/'VVP2'!Y$355</f>
        <v>1.327675652584826E-3</v>
      </c>
      <c r="Z338" s="2226">
        <f>+Z318/'VVP2'!Z$355</f>
        <v>1.4941734480306934E-3</v>
      </c>
      <c r="AA338" s="2226">
        <f>+AA318/'VVP2'!AA$355</f>
        <v>1.3059308753245336E-3</v>
      </c>
      <c r="AB338" s="2226">
        <f>+AB318/'VVP2'!AB$355</f>
        <v>1.293941780656776E-3</v>
      </c>
      <c r="AC338" s="2226">
        <f>+AC318/'VVP2'!AC$355</f>
        <v>1.4936992085925025E-3</v>
      </c>
      <c r="AD338" s="2226">
        <f ca="1">+AD318/'VVP2'!AD$355</f>
        <v>1.3266197372128088E-3</v>
      </c>
      <c r="AE338" s="2226">
        <f ca="1">+AE318/'VVP2'!AE$355</f>
        <v>1.3184658881383066E-3</v>
      </c>
      <c r="AK338" s="2226">
        <v>-8.0530489472245017E-4</v>
      </c>
      <c r="AM338" s="2226">
        <f t="shared" si="428"/>
        <v>2.2994783427531433E-3</v>
      </c>
    </row>
    <row r="339" spans="1:46" ht="12.75" customHeight="1">
      <c r="A339" s="714"/>
      <c r="B339" s="714"/>
      <c r="C339" s="822" t="s">
        <v>624</v>
      </c>
      <c r="D339" s="850" t="s">
        <v>591</v>
      </c>
      <c r="E339" s="851" t="s">
        <v>2127</v>
      </c>
      <c r="F339" s="852" t="s">
        <v>1716</v>
      </c>
      <c r="G339" s="881">
        <f ca="1">+G319/'VVP2'!G$355</f>
        <v>0.15954173111181366</v>
      </c>
      <c r="H339" s="881">
        <f>+H319/'VVP2'!H$355</f>
        <v>0.15938694763047923</v>
      </c>
      <c r="I339" s="881">
        <f>+I319/'VVP2'!I$355</f>
        <v>0.16364788574700834</v>
      </c>
      <c r="J339" s="881">
        <f>+J319/'VVP2'!J$355</f>
        <v>0.16897380523485903</v>
      </c>
      <c r="K339" s="881">
        <f>+K319/'VVP2'!K$355</f>
        <v>0.16450664548410079</v>
      </c>
      <c r="L339" s="881">
        <f>+L319/'VVP2'!L$355</f>
        <v>0.16588555583954895</v>
      </c>
      <c r="M339" s="881">
        <f>+M319/'VVP2'!M$355</f>
        <v>0.16773042013872688</v>
      </c>
      <c r="N339" s="881">
        <f>+N319/'VVP2'!N$355</f>
        <v>0.16685650051569612</v>
      </c>
      <c r="O339" s="881">
        <f>+O319/'VVP2'!O$355</f>
        <v>0.16159377858132265</v>
      </c>
      <c r="P339" s="881">
        <f>+P319/'VVP2'!P$355</f>
        <v>0.16169853918907517</v>
      </c>
      <c r="Q339" s="881">
        <f>+Q319/'VVP2'!Q$355</f>
        <v>0.16269413716672104</v>
      </c>
      <c r="R339" s="2250">
        <f>+R319/'VVP2'!R$355</f>
        <v>0.16121766192037584</v>
      </c>
      <c r="S339" s="2250">
        <f>+S319/'VVP2'!S$355</f>
        <v>0.15868557130942454</v>
      </c>
      <c r="T339" s="2250">
        <f>+T319/'VVP2'!T$355</f>
        <v>0.1613210986994229</v>
      </c>
      <c r="U339" s="2250">
        <f>+U319/'VVP2'!U$355</f>
        <v>0.14946767471058497</v>
      </c>
      <c r="V339" s="2250">
        <f>+V319/'VVP2'!V$355</f>
        <v>0.15251088398947688</v>
      </c>
      <c r="W339" s="2250">
        <f>+W319/'VVP2'!W$355</f>
        <v>0.15755449065341307</v>
      </c>
      <c r="X339" s="2250">
        <f>+X319/'VVP2'!X$355</f>
        <v>0.16132460352913458</v>
      </c>
      <c r="Y339" s="2227">
        <f>+Y319/'VVP2'!Y$355</f>
        <v>0.16741151420273956</v>
      </c>
      <c r="Z339" s="2227">
        <f>+Z319/'VVP2'!Z$355</f>
        <v>0.16764970838510851</v>
      </c>
      <c r="AA339" s="2227">
        <f>+AA319/'VVP2'!AA$355</f>
        <v>0.16577208777414801</v>
      </c>
      <c r="AB339" s="2227">
        <f>+AB319/'VVP2'!AB$355</f>
        <v>0.162518993098662</v>
      </c>
      <c r="AC339" s="2227">
        <f>+AC319/'VVP2'!AC$355</f>
        <v>0.16825379956331418</v>
      </c>
      <c r="AD339" s="2205">
        <f ca="1">+AD319/'VVP2'!AD$355</f>
        <v>0.1637167540564213</v>
      </c>
      <c r="AE339" s="2227">
        <f ca="1">+AE319/'VVP2'!AE$355</f>
        <v>0.16208137223616143</v>
      </c>
      <c r="AG339" s="2872"/>
      <c r="AK339" s="2227">
        <v>0.16782882143833744</v>
      </c>
      <c r="AM339" s="2227">
        <f t="shared" si="428"/>
        <v>-1.7911305322892979E-4</v>
      </c>
    </row>
    <row r="340" spans="1:46" ht="12.75" customHeight="1">
      <c r="A340" s="714"/>
      <c r="B340" s="714"/>
      <c r="C340" s="822"/>
      <c r="Q340" s="749"/>
      <c r="S340" s="2162"/>
      <c r="T340" s="2239"/>
      <c r="U340" s="2239"/>
      <c r="V340" s="2239"/>
      <c r="W340" s="2239"/>
      <c r="X340" s="2239"/>
      <c r="Y340" s="2239"/>
      <c r="Z340" s="2239"/>
      <c r="AA340" s="2239"/>
      <c r="AB340" s="2239"/>
      <c r="AC340" s="2239"/>
      <c r="AD340" s="2239"/>
      <c r="AE340" s="2239"/>
      <c r="AK340" s="2239"/>
      <c r="AM340" s="2239">
        <f t="shared" si="428"/>
        <v>0</v>
      </c>
    </row>
    <row r="341" spans="1:46" ht="12.75" customHeight="1">
      <c r="A341" s="714"/>
      <c r="B341" s="714"/>
      <c r="C341" s="822"/>
      <c r="D341" s="858" t="s">
        <v>589</v>
      </c>
      <c r="E341" s="2008" t="s">
        <v>202</v>
      </c>
      <c r="F341" s="860"/>
      <c r="G341" s="861">
        <f>+InputY!$G$3</f>
        <v>1995</v>
      </c>
      <c r="H341" s="865">
        <f>+G341+1</f>
        <v>1996</v>
      </c>
      <c r="I341" s="865">
        <f t="shared" ref="I341:O341" si="436">+H341+1</f>
        <v>1997</v>
      </c>
      <c r="J341" s="865">
        <f t="shared" si="436"/>
        <v>1998</v>
      </c>
      <c r="K341" s="865">
        <f t="shared" si="436"/>
        <v>1999</v>
      </c>
      <c r="L341" s="865">
        <f t="shared" si="436"/>
        <v>2000</v>
      </c>
      <c r="M341" s="865">
        <f t="shared" si="436"/>
        <v>2001</v>
      </c>
      <c r="N341" s="865">
        <f t="shared" si="436"/>
        <v>2002</v>
      </c>
      <c r="O341" s="865">
        <f t="shared" si="436"/>
        <v>2003</v>
      </c>
      <c r="P341" s="865">
        <f t="shared" ref="P341:U341" si="437">+O341+1</f>
        <v>2004</v>
      </c>
      <c r="Q341" s="865">
        <f t="shared" si="437"/>
        <v>2005</v>
      </c>
      <c r="R341" s="2219">
        <f t="shared" si="437"/>
        <v>2006</v>
      </c>
      <c r="S341" s="2219">
        <f t="shared" si="437"/>
        <v>2007</v>
      </c>
      <c r="T341" s="2219">
        <f t="shared" si="437"/>
        <v>2008</v>
      </c>
      <c r="U341" s="2219">
        <f t="shared" si="437"/>
        <v>2009</v>
      </c>
      <c r="V341" s="2219">
        <f t="shared" ref="V341:AE341" si="438">+U341+1</f>
        <v>2010</v>
      </c>
      <c r="W341" s="2219">
        <f t="shared" si="438"/>
        <v>2011</v>
      </c>
      <c r="X341" s="2219">
        <f t="shared" si="438"/>
        <v>2012</v>
      </c>
      <c r="Y341" s="2219">
        <f t="shared" si="438"/>
        <v>2013</v>
      </c>
      <c r="Z341" s="2219">
        <f t="shared" si="438"/>
        <v>2014</v>
      </c>
      <c r="AA341" s="2219">
        <f t="shared" si="438"/>
        <v>2015</v>
      </c>
      <c r="AB341" s="2219">
        <f t="shared" si="438"/>
        <v>2016</v>
      </c>
      <c r="AC341" s="2219">
        <f t="shared" si="438"/>
        <v>2017</v>
      </c>
      <c r="AD341" s="2219">
        <f t="shared" si="438"/>
        <v>2018</v>
      </c>
      <c r="AE341" s="2219">
        <f t="shared" si="438"/>
        <v>2019</v>
      </c>
      <c r="AK341" s="2219">
        <v>2014</v>
      </c>
      <c r="AM341" s="2219">
        <f t="shared" si="428"/>
        <v>0</v>
      </c>
    </row>
    <row r="342" spans="1:46" s="927" customFormat="1" ht="12.75" customHeight="1">
      <c r="A342" s="714"/>
      <c r="B342" s="714"/>
      <c r="C342" s="866"/>
      <c r="D342" s="1082"/>
      <c r="E342" s="1083" t="s">
        <v>433</v>
      </c>
      <c r="F342" s="2007"/>
      <c r="G342" s="1085"/>
      <c r="H342" s="1089">
        <f ca="1">+H323/Labour1!H197</f>
        <v>-4.5628706963693873E-2</v>
      </c>
      <c r="I342" s="1089">
        <f>+I323/Labour1!I197</f>
        <v>2.086009251488357</v>
      </c>
      <c r="J342" s="1089">
        <f>+J323/Labour1!J197</f>
        <v>2.7234123124242915</v>
      </c>
      <c r="K342" s="1089">
        <f>+K323/Labour1!K197</f>
        <v>0.49404547960519313</v>
      </c>
      <c r="L342" s="1089">
        <f>+L323/Labour1!L197</f>
        <v>3.5636711108781665</v>
      </c>
      <c r="M342" s="1089">
        <f>+M323/Labour1!M197</f>
        <v>1.4107540432340564</v>
      </c>
      <c r="N342" s="1089">
        <f>+N323/Labour1!N197</f>
        <v>0.84066936218802257</v>
      </c>
      <c r="O342" s="1089">
        <f>+O323/Labour1!O197</f>
        <v>-5.8083539530515142E-2</v>
      </c>
      <c r="P342" s="1089">
        <f>+P323/Labour1!P197</f>
        <v>2.3914222800721912</v>
      </c>
      <c r="Q342" s="1089">
        <f>+Q323/Labour1!Q197</f>
        <v>2.2705646293214952</v>
      </c>
      <c r="R342" s="2242">
        <f>+R323/Labour1!R197</f>
        <v>0.24753503132591798</v>
      </c>
      <c r="S342" s="2242">
        <f>+S323/Labour1!S197</f>
        <v>1.1284132597148659</v>
      </c>
      <c r="T342" s="2242">
        <f>+T323/Labour1!T197</f>
        <v>1.7188762950987826</v>
      </c>
      <c r="U342" s="2242">
        <f>+U323/Labour1!U197</f>
        <v>-3.1797091876782249</v>
      </c>
      <c r="V342" s="2242">
        <f>+V323/Labour1!V197</f>
        <v>4.0305862098433938</v>
      </c>
      <c r="W342" s="2242">
        <f>+W323/Labour1!W197</f>
        <v>1.8595453381268847</v>
      </c>
      <c r="X342" s="2242">
        <f>+X323/Labour1!X197</f>
        <v>1.1649015613609042</v>
      </c>
      <c r="Y342" s="2242">
        <f>+Y323/Labour1!Y197</f>
        <v>1.9776286337903519</v>
      </c>
      <c r="Z342" s="2243">
        <f>+Z323/Labour1!Z197</f>
        <v>2.103353745222583</v>
      </c>
      <c r="AA342" s="2243">
        <f>+AA323/Labour1!AA197</f>
        <v>-2.712362610268543</v>
      </c>
      <c r="AB342" s="2243">
        <f>+AB323/Labour1!AB197</f>
        <v>-8.5590222953956925</v>
      </c>
      <c r="AC342" s="2243">
        <f>+AC323/Labour1!AC197</f>
        <v>1.9766771639055307</v>
      </c>
      <c r="AD342" s="2243">
        <f>+AD323/Labour1!AD197</f>
        <v>1.4062030063223994</v>
      </c>
      <c r="AE342" s="2243">
        <f>+AE323/Labour1!AE197</f>
        <v>0.68182687417826715</v>
      </c>
      <c r="AF342" s="2831"/>
      <c r="AG342" s="2831"/>
      <c r="AH342" s="2831"/>
      <c r="AI342" s="2831"/>
      <c r="AJ342" s="2831"/>
      <c r="AK342" s="2243">
        <v>2.2564862405991808</v>
      </c>
      <c r="AL342" s="2831"/>
      <c r="AM342" s="2243">
        <f t="shared" si="428"/>
        <v>-0.15313249537659779</v>
      </c>
      <c r="AN342" s="2831"/>
      <c r="AO342" s="2831"/>
      <c r="AP342" s="2831"/>
      <c r="AQ342" s="2831"/>
      <c r="AR342" s="2831"/>
      <c r="AS342" s="2831"/>
      <c r="AT342" s="2831"/>
    </row>
    <row r="343" spans="1:46" s="928" customFormat="1" ht="12.75" customHeight="1" thickBot="1">
      <c r="A343" s="714"/>
      <c r="B343" s="714"/>
      <c r="C343" s="870"/>
      <c r="D343" s="850"/>
      <c r="E343" s="851" t="s">
        <v>870</v>
      </c>
      <c r="F343" s="852"/>
      <c r="G343" s="853"/>
      <c r="H343" s="853"/>
      <c r="I343" s="853"/>
      <c r="J343" s="853"/>
      <c r="K343" s="853">
        <f t="shared" ref="K343:AE343" ca="1" si="439">AVERAGE(H342:K342)</f>
        <v>1.3144595841385369</v>
      </c>
      <c r="L343" s="853">
        <f t="shared" si="439"/>
        <v>2.2167845385990019</v>
      </c>
      <c r="M343" s="853">
        <f t="shared" si="439"/>
        <v>2.0479707365354272</v>
      </c>
      <c r="N343" s="853">
        <f t="shared" si="439"/>
        <v>1.5772849989763595</v>
      </c>
      <c r="O343" s="853">
        <f t="shared" si="439"/>
        <v>1.4392527441924325</v>
      </c>
      <c r="P343" s="853">
        <f t="shared" si="439"/>
        <v>1.1461905364909386</v>
      </c>
      <c r="Q343" s="853">
        <f t="shared" si="439"/>
        <v>1.3611431830127985</v>
      </c>
      <c r="R343" s="2251">
        <f t="shared" si="439"/>
        <v>1.2128596002972722</v>
      </c>
      <c r="S343" s="2251">
        <f t="shared" si="439"/>
        <v>1.5094838001086175</v>
      </c>
      <c r="T343" s="2251">
        <f>AVERAGE(Q342:T342)</f>
        <v>1.3413473038652655</v>
      </c>
      <c r="U343" s="2251">
        <f>AVERAGE(R342:U342)</f>
        <v>-2.1221150384664655E-2</v>
      </c>
      <c r="V343" s="2251">
        <f>AVERAGE(S342:V342)</f>
        <v>0.92454164424470431</v>
      </c>
      <c r="W343" s="2251">
        <f>AVERAGE(T342:W342)</f>
        <v>1.107324663847709</v>
      </c>
      <c r="X343" s="2251">
        <f t="shared" si="439"/>
        <v>0.96883098041323934</v>
      </c>
      <c r="Y343" s="2251">
        <f t="shared" si="439"/>
        <v>2.2581654357803833</v>
      </c>
      <c r="Z343" s="2217">
        <f t="shared" si="439"/>
        <v>1.776357319625181</v>
      </c>
      <c r="AA343" s="2217">
        <f t="shared" si="439"/>
        <v>0.63338033252632386</v>
      </c>
      <c r="AB343" s="2217">
        <f t="shared" si="439"/>
        <v>-1.797600631662825</v>
      </c>
      <c r="AC343" s="2217">
        <f t="shared" si="439"/>
        <v>-1.7978384991340304</v>
      </c>
      <c r="AD343" s="2217">
        <f t="shared" si="439"/>
        <v>-1.972126183859076</v>
      </c>
      <c r="AE343" s="2217">
        <f t="shared" si="439"/>
        <v>-1.123578812747374</v>
      </c>
      <c r="AF343" s="2833"/>
      <c r="AG343" s="2833"/>
      <c r="AH343" s="2833"/>
      <c r="AI343" s="2833"/>
      <c r="AJ343" s="2833"/>
      <c r="AK343" s="2217">
        <v>1.9009016752843357</v>
      </c>
      <c r="AL343" s="2833"/>
      <c r="AM343" s="2217">
        <f t="shared" si="428"/>
        <v>-0.12454435565915478</v>
      </c>
      <c r="AN343" s="2833"/>
      <c r="AO343" s="2833"/>
      <c r="AP343" s="2833"/>
      <c r="AQ343" s="2833"/>
      <c r="AR343" s="2833"/>
      <c r="AS343" s="2833"/>
      <c r="AT343" s="2833"/>
    </row>
    <row r="344" spans="1:46" s="928" customFormat="1" ht="12.75" customHeight="1" thickBot="1">
      <c r="A344" s="714"/>
      <c r="B344" s="714"/>
      <c r="C344" s="870"/>
      <c r="D344" s="1082"/>
      <c r="E344" s="1083" t="s">
        <v>872</v>
      </c>
      <c r="F344" s="2007">
        <v>1.0900000000000001</v>
      </c>
      <c r="G344" s="1085"/>
      <c r="H344" s="1085">
        <f ca="1">+H323/'VVP2'!H362</f>
        <v>-4.3583333114849077E-2</v>
      </c>
      <c r="I344" s="1085">
        <f>+I323/'VVP2'!I362</f>
        <v>1.3805937651892664</v>
      </c>
      <c r="J344" s="1085">
        <f>+J323/'VVP2'!J362</f>
        <v>0.98204864792238822</v>
      </c>
      <c r="K344" s="1085">
        <f>+K323/'VVP2'!K362</f>
        <v>0.41368925708784443</v>
      </c>
      <c r="L344" s="1085">
        <f>+L323/'VVP2'!L362</f>
        <v>1.2024280619909233</v>
      </c>
      <c r="M344" s="1085">
        <f>+M323/'VVP2'!M362</f>
        <v>1.7631706215125311</v>
      </c>
      <c r="N344" s="1085">
        <f>+N323/'VVP2'!N362</f>
        <v>0.9404528428205039</v>
      </c>
      <c r="O344" s="1085">
        <f>+O323/'VVP2'!O362</f>
        <v>-4.1680141283249886E-2</v>
      </c>
      <c r="P344" s="1085">
        <f>+P323/'VVP2'!P362</f>
        <v>0.75219276547795999</v>
      </c>
      <c r="Q344" s="1085">
        <f>+Q323/'VVP2'!Q362</f>
        <v>0.9516205439651102</v>
      </c>
      <c r="R344" s="2232">
        <f>+R323/'VVP2'!R362</f>
        <v>0.18159703970803096</v>
      </c>
      <c r="S344" s="2232">
        <f>+S323/'VVP2'!S362</f>
        <v>0.72456614536362418</v>
      </c>
      <c r="T344" s="2232">
        <f>+T323/'VVP2'!T362</f>
        <v>2.3153579258667008</v>
      </c>
      <c r="U344" s="2232">
        <f>+U323/'VVP2'!U362</f>
        <v>2.2792970340040566</v>
      </c>
      <c r="V344" s="2232">
        <f>+V323/'VVP2'!V362</f>
        <v>1.1851416707489586</v>
      </c>
      <c r="W344" s="2232">
        <f>+W323/'VVP2'!W362</f>
        <v>1.5105003391783103</v>
      </c>
      <c r="X344" s="2232">
        <f>+X323/'VVP2'!X362</f>
        <v>1.6639406503800567</v>
      </c>
      <c r="Y344" s="2232">
        <f>+Y323/'VVP2'!Y362</f>
        <v>4.0527202916255165</v>
      </c>
      <c r="Z344" s="2232">
        <f>+Z323/'VVP2'!Z362</f>
        <v>0.94484491632053769</v>
      </c>
      <c r="AA344" s="2232">
        <f>+AA323/'VVP2'!AA362</f>
        <v>-3.7153289026674648E-2</v>
      </c>
      <c r="AB344" s="2232">
        <f>+AB323/'VVP2'!AB362</f>
        <v>-0.27559293001399482</v>
      </c>
      <c r="AC344" s="2232">
        <f>+AC323/'VVP2'!AC362</f>
        <v>0.9318125963643894</v>
      </c>
      <c r="AD344" s="2221">
        <f ca="1">+AD323/'VVP2'!AD362</f>
        <v>0.84525749251420412</v>
      </c>
      <c r="AE344" s="2221">
        <f ca="1">+AE323/'VVP2'!AE362</f>
        <v>0.43114992303812971</v>
      </c>
      <c r="AF344" s="2833"/>
      <c r="AG344" s="2833"/>
      <c r="AH344" s="2833"/>
      <c r="AI344" s="2833"/>
      <c r="AJ344" s="2833"/>
      <c r="AK344" s="2232">
        <v>1.0063245272669785</v>
      </c>
      <c r="AL344" s="2833"/>
      <c r="AM344" s="2232">
        <f t="shared" si="428"/>
        <v>-6.1479610946440832E-2</v>
      </c>
      <c r="AN344" s="2833"/>
      <c r="AO344" s="2833"/>
      <c r="AP344" s="2833"/>
      <c r="AQ344" s="2833"/>
      <c r="AR344" s="2833"/>
      <c r="AS344" s="2833"/>
      <c r="AT344" s="2833"/>
    </row>
    <row r="345" spans="1:46" s="927" customFormat="1" ht="12.75" customHeight="1">
      <c r="A345" s="714"/>
      <c r="B345" s="714"/>
      <c r="C345" s="870"/>
      <c r="D345" s="850"/>
      <c r="E345" s="851" t="s">
        <v>870</v>
      </c>
      <c r="F345" s="852"/>
      <c r="G345" s="853"/>
      <c r="H345" s="853"/>
      <c r="I345" s="853"/>
      <c r="J345" s="853"/>
      <c r="K345" s="853">
        <f t="shared" ref="K345:AE345" ca="1" si="440">AVERAGE(H344:K344)</f>
        <v>0.68318708427116259</v>
      </c>
      <c r="L345" s="853">
        <f t="shared" si="440"/>
        <v>0.99468993304760556</v>
      </c>
      <c r="M345" s="853">
        <f t="shared" si="440"/>
        <v>1.0903341471284218</v>
      </c>
      <c r="N345" s="853">
        <f t="shared" si="440"/>
        <v>1.0799351958529506</v>
      </c>
      <c r="O345" s="853">
        <f t="shared" si="440"/>
        <v>0.96609284626017711</v>
      </c>
      <c r="P345" s="853">
        <f t="shared" si="440"/>
        <v>0.8535340221319363</v>
      </c>
      <c r="Q345" s="853">
        <f t="shared" si="440"/>
        <v>0.65064650274508096</v>
      </c>
      <c r="R345" s="2251">
        <f t="shared" si="440"/>
        <v>0.46093255196696276</v>
      </c>
      <c r="S345" s="2251">
        <f t="shared" si="440"/>
        <v>0.65249412362868131</v>
      </c>
      <c r="T345" s="2251">
        <f>AVERAGE(Q344:T344)</f>
        <v>1.0432854137258665</v>
      </c>
      <c r="U345" s="2251">
        <f>AVERAGE(R344:U344)</f>
        <v>1.3752045362356031</v>
      </c>
      <c r="V345" s="2251">
        <f>AVERAGE(S344:V344)</f>
        <v>1.6260906939958351</v>
      </c>
      <c r="W345" s="2251">
        <f>AVERAGE(T344:W344)</f>
        <v>1.8225742424495066</v>
      </c>
      <c r="X345" s="2251">
        <f t="shared" si="440"/>
        <v>1.6597199235778455</v>
      </c>
      <c r="Y345" s="2251">
        <f t="shared" si="440"/>
        <v>2.1030757379832106</v>
      </c>
      <c r="Z345" s="2251">
        <f t="shared" si="440"/>
        <v>2.0430015493761053</v>
      </c>
      <c r="AA345" s="2217">
        <f t="shared" si="440"/>
        <v>1.656088142324859</v>
      </c>
      <c r="AB345" s="2217">
        <f t="shared" si="440"/>
        <v>1.171204747226346</v>
      </c>
      <c r="AC345" s="2217">
        <f t="shared" si="440"/>
        <v>0.39097782341106435</v>
      </c>
      <c r="AD345" s="2217">
        <f t="shared" ca="1" si="440"/>
        <v>0.36608096745948104</v>
      </c>
      <c r="AE345" s="2217">
        <f t="shared" ca="1" si="440"/>
        <v>0.48315677047568212</v>
      </c>
      <c r="AF345" s="2831"/>
      <c r="AG345" s="2831"/>
      <c r="AH345" s="2831"/>
      <c r="AI345" s="2831"/>
      <c r="AJ345" s="2831"/>
      <c r="AK345" s="2251">
        <v>1.8694988562409178</v>
      </c>
      <c r="AL345" s="2831"/>
      <c r="AM345" s="2251">
        <f t="shared" si="428"/>
        <v>0.17350269313518751</v>
      </c>
      <c r="AN345" s="2831"/>
      <c r="AO345" s="2831"/>
      <c r="AP345" s="2831"/>
      <c r="AQ345" s="2831"/>
      <c r="AR345" s="2831"/>
      <c r="AS345" s="2831"/>
      <c r="AT345" s="2831"/>
    </row>
    <row r="346" spans="1:46" s="927" customFormat="1" ht="12.75" customHeight="1">
      <c r="A346" s="714"/>
      <c r="B346" s="714"/>
      <c r="C346" s="870"/>
      <c r="D346" s="1082"/>
      <c r="E346" s="1083" t="s">
        <v>1017</v>
      </c>
      <c r="F346" s="1084"/>
      <c r="G346" s="1411">
        <f ca="1">+G296/'VVP2'!G355</f>
        <v>0.13466038275211226</v>
      </c>
      <c r="H346" s="1411">
        <f>+H296/'VVP2'!H355</f>
        <v>0.13163325034824103</v>
      </c>
      <c r="I346" s="1411">
        <f>+I296/'VVP2'!I355</f>
        <v>0.13385614910383606</v>
      </c>
      <c r="J346" s="1411">
        <f>+J296/'VVP2'!J355</f>
        <v>0.13376883239171375</v>
      </c>
      <c r="K346" s="1411">
        <f>+K296/'VVP2'!K355</f>
        <v>0.13064211017663968</v>
      </c>
      <c r="L346" s="1411">
        <f>+L296/'VVP2'!L355</f>
        <v>0.1320755009255602</v>
      </c>
      <c r="M346" s="1411">
        <f>+M296/'VVP2'!M355</f>
        <v>0.13494494116372271</v>
      </c>
      <c r="N346" s="1411">
        <f>+N296/'VVP2'!N355</f>
        <v>0.13467393718796025</v>
      </c>
      <c r="O346" s="1411">
        <f>+O296/'VVP2'!O355</f>
        <v>0.13091585835516642</v>
      </c>
      <c r="P346" s="1411">
        <f>+P296/'VVP2'!P355</f>
        <v>0.12917008692019169</v>
      </c>
      <c r="Q346" s="1411">
        <f>+Q296/'VVP2'!Q355</f>
        <v>0.12891388490077077</v>
      </c>
      <c r="R346" s="2252">
        <f>+R296/'VVP2'!R355</f>
        <v>0.12401071321099082</v>
      </c>
      <c r="S346" s="2252">
        <f>+S296/'VVP2'!S355</f>
        <v>0.12222214163977228</v>
      </c>
      <c r="T346" s="2252">
        <f>+T296/'VVP2'!T355</f>
        <v>0.12646911210596673</v>
      </c>
      <c r="U346" s="2252">
        <f>+U296/'VVP2'!U355</f>
        <v>0.1240176144865648</v>
      </c>
      <c r="V346" s="2252">
        <f>+V296/'VVP2'!V355</f>
        <v>0.12504392626139924</v>
      </c>
      <c r="W346" s="2252">
        <f>+W296/'VVP2'!W355</f>
        <v>0.12740226158204176</v>
      </c>
      <c r="X346" s="2252">
        <f>+X296/'VVP2'!X355</f>
        <v>0.12923454729431039</v>
      </c>
      <c r="Y346" s="2252">
        <f>+Y296/'VVP2'!Y355</f>
        <v>0.13410110317637927</v>
      </c>
      <c r="Z346" s="2252">
        <f>+Z296/'VVP2'!Z355</f>
        <v>0.13395423597298145</v>
      </c>
      <c r="AA346" s="2933">
        <f>+AA296/'VVP2'!AA355</f>
        <v>0.13051950709880633</v>
      </c>
      <c r="AB346" s="2933">
        <f>+AB296/'VVP2'!AB355</f>
        <v>0.12555561018550121</v>
      </c>
      <c r="AC346" s="2933">
        <f>+AC296/'VVP2'!AC355</f>
        <v>0.12525422192706426</v>
      </c>
      <c r="AD346" s="2933">
        <f ca="1">+AD296/'VVP2'!AD355</f>
        <v>0.12461772898787268</v>
      </c>
      <c r="AE346" s="2933">
        <f ca="1">+AE296/'VVP2'!AE355</f>
        <v>0.12224973577487837</v>
      </c>
      <c r="AF346" s="2831"/>
      <c r="AG346" s="2831"/>
      <c r="AH346" s="2831"/>
      <c r="AI346" s="2831"/>
      <c r="AJ346" s="2831"/>
      <c r="AK346" s="2252">
        <v>0.13587801725209439</v>
      </c>
      <c r="AL346" s="2831"/>
      <c r="AM346" s="2252">
        <f t="shared" si="428"/>
        <v>-1.9237812791129405E-3</v>
      </c>
      <c r="AN346" s="2831"/>
      <c r="AO346" s="2831"/>
      <c r="AP346" s="2831"/>
      <c r="AQ346" s="2831"/>
      <c r="AR346" s="2831"/>
      <c r="AS346" s="2831"/>
      <c r="AT346" s="2831"/>
    </row>
    <row r="347" spans="1:46" s="927" customFormat="1" ht="12.75" customHeight="1">
      <c r="A347" s="714"/>
      <c r="B347" s="714"/>
      <c r="C347" s="871"/>
      <c r="D347" s="1090"/>
      <c r="E347" s="1091" t="s">
        <v>870</v>
      </c>
      <c r="F347" s="1092"/>
      <c r="G347" s="1409"/>
      <c r="H347" s="1410"/>
      <c r="I347" s="1410"/>
      <c r="J347" s="1410">
        <f t="shared" ref="J347:AE347" ca="1" si="441">AVERAGE(G346:J346)</f>
        <v>0.13347965364897577</v>
      </c>
      <c r="K347" s="1410">
        <f t="shared" si="441"/>
        <v>0.13247508550510761</v>
      </c>
      <c r="L347" s="1410">
        <f t="shared" si="441"/>
        <v>0.13258564814943741</v>
      </c>
      <c r="M347" s="1410">
        <f t="shared" si="441"/>
        <v>0.13285784616440907</v>
      </c>
      <c r="N347" s="1410">
        <f t="shared" si="441"/>
        <v>0.13308412236347072</v>
      </c>
      <c r="O347" s="1410">
        <f t="shared" si="441"/>
        <v>0.13315255940810239</v>
      </c>
      <c r="P347" s="1410">
        <f t="shared" si="441"/>
        <v>0.13242620590676027</v>
      </c>
      <c r="Q347" s="1410">
        <f t="shared" si="441"/>
        <v>0.1309184418410223</v>
      </c>
      <c r="R347" s="2253">
        <f t="shared" si="441"/>
        <v>0.12825263584677993</v>
      </c>
      <c r="S347" s="2253">
        <f t="shared" si="441"/>
        <v>0.12607920666793138</v>
      </c>
      <c r="T347" s="2253">
        <f>AVERAGE(Q346:T346)</f>
        <v>0.12540396296437517</v>
      </c>
      <c r="U347" s="2253">
        <f>AVERAGE(R346:U346)</f>
        <v>0.12417989536082366</v>
      </c>
      <c r="V347" s="2253">
        <f>AVERAGE(S346:V346)</f>
        <v>0.12443819862342576</v>
      </c>
      <c r="W347" s="2253">
        <f>AVERAGE(T346:W346)</f>
        <v>0.12573322860899311</v>
      </c>
      <c r="X347" s="2253">
        <f t="shared" si="441"/>
        <v>0.12642458740607904</v>
      </c>
      <c r="Y347" s="2253">
        <f t="shared" si="441"/>
        <v>0.12894545957853265</v>
      </c>
      <c r="Z347" s="2253">
        <f t="shared" si="441"/>
        <v>0.13117303700642824</v>
      </c>
      <c r="AA347" s="2222">
        <f t="shared" si="441"/>
        <v>0.13195234838561937</v>
      </c>
      <c r="AB347" s="2222">
        <f t="shared" si="441"/>
        <v>0.13103261410841707</v>
      </c>
      <c r="AC347" s="2222">
        <f t="shared" si="441"/>
        <v>0.1288208937960883</v>
      </c>
      <c r="AD347" s="2222">
        <f t="shared" ca="1" si="441"/>
        <v>0.12648676704981113</v>
      </c>
      <c r="AE347" s="2222">
        <f t="shared" ca="1" si="441"/>
        <v>0.12441932421882913</v>
      </c>
      <c r="AF347" s="2831"/>
      <c r="AG347" s="2831"/>
      <c r="AH347" s="2831"/>
      <c r="AI347" s="2831"/>
      <c r="AJ347" s="2831"/>
      <c r="AK347" s="2253">
        <v>0.13275862044328648</v>
      </c>
      <c r="AL347" s="2831"/>
      <c r="AM347" s="2253">
        <f t="shared" si="428"/>
        <v>-1.5855834368582455E-3</v>
      </c>
      <c r="AN347" s="2831"/>
      <c r="AO347" s="2831"/>
      <c r="AP347" s="2831"/>
      <c r="AQ347" s="2831"/>
      <c r="AR347" s="2831"/>
      <c r="AS347" s="2831"/>
      <c r="AT347" s="2831"/>
    </row>
    <row r="348" spans="1:46" ht="12.75" customHeight="1">
      <c r="A348" s="714"/>
      <c r="B348" s="714"/>
      <c r="C348" s="822"/>
      <c r="Q348" s="749"/>
      <c r="R348" s="2254"/>
      <c r="T348" s="2162"/>
      <c r="U348" s="2162"/>
      <c r="V348" s="2162"/>
      <c r="W348" s="2162"/>
      <c r="X348" s="2162"/>
      <c r="Y348" s="2162"/>
      <c r="Z348" s="2162"/>
      <c r="AA348" s="2162"/>
      <c r="AB348" s="2162"/>
      <c r="AC348" s="2162"/>
      <c r="AD348" s="2162"/>
      <c r="AE348" s="2162"/>
      <c r="AK348" s="2162"/>
      <c r="AM348" s="2162">
        <f t="shared" si="428"/>
        <v>0</v>
      </c>
    </row>
    <row r="349" spans="1:46" ht="12.75" customHeight="1">
      <c r="A349" s="714"/>
      <c r="B349" s="714"/>
      <c r="C349" s="822"/>
      <c r="D349" s="858" t="s">
        <v>590</v>
      </c>
      <c r="E349" s="2008" t="s">
        <v>1315</v>
      </c>
      <c r="F349" s="860"/>
      <c r="G349" s="865">
        <f>+InputY!$G$3</f>
        <v>1995</v>
      </c>
      <c r="H349" s="865">
        <f>+G349+1</f>
        <v>1996</v>
      </c>
      <c r="I349" s="865">
        <f t="shared" ref="I349:O349" si="442">+H349+1</f>
        <v>1997</v>
      </c>
      <c r="J349" s="865">
        <f t="shared" si="442"/>
        <v>1998</v>
      </c>
      <c r="K349" s="865">
        <f t="shared" si="442"/>
        <v>1999</v>
      </c>
      <c r="L349" s="865">
        <f t="shared" si="442"/>
        <v>2000</v>
      </c>
      <c r="M349" s="865">
        <f t="shared" si="442"/>
        <v>2001</v>
      </c>
      <c r="N349" s="865">
        <f t="shared" si="442"/>
        <v>2002</v>
      </c>
      <c r="O349" s="865">
        <f t="shared" si="442"/>
        <v>2003</v>
      </c>
      <c r="P349" s="865">
        <f t="shared" ref="P349:V349" si="443">+O349+1</f>
        <v>2004</v>
      </c>
      <c r="Q349" s="865">
        <f t="shared" si="443"/>
        <v>2005</v>
      </c>
      <c r="R349" s="2219">
        <f t="shared" si="443"/>
        <v>2006</v>
      </c>
      <c r="S349" s="2219">
        <f t="shared" si="443"/>
        <v>2007</v>
      </c>
      <c r="T349" s="2219">
        <f t="shared" si="443"/>
        <v>2008</v>
      </c>
      <c r="U349" s="2219">
        <f t="shared" si="443"/>
        <v>2009</v>
      </c>
      <c r="V349" s="2219">
        <f t="shared" si="443"/>
        <v>2010</v>
      </c>
      <c r="W349" s="2219">
        <f t="shared" ref="W349:AE349" si="444">+V349+1</f>
        <v>2011</v>
      </c>
      <c r="X349" s="2219">
        <f t="shared" si="444"/>
        <v>2012</v>
      </c>
      <c r="Y349" s="2219">
        <f t="shared" si="444"/>
        <v>2013</v>
      </c>
      <c r="Z349" s="2219">
        <f t="shared" si="444"/>
        <v>2014</v>
      </c>
      <c r="AA349" s="2219">
        <f t="shared" si="444"/>
        <v>2015</v>
      </c>
      <c r="AB349" s="2219">
        <f t="shared" si="444"/>
        <v>2016</v>
      </c>
      <c r="AC349" s="2219">
        <f t="shared" si="444"/>
        <v>2017</v>
      </c>
      <c r="AD349" s="2219">
        <f t="shared" si="444"/>
        <v>2018</v>
      </c>
      <c r="AE349" s="2219">
        <f t="shared" si="444"/>
        <v>2019</v>
      </c>
      <c r="AK349" s="2219">
        <v>2014</v>
      </c>
      <c r="AM349" s="2219">
        <f t="shared" si="428"/>
        <v>0</v>
      </c>
    </row>
    <row r="350" spans="1:46" s="927" customFormat="1" ht="12.75" customHeight="1">
      <c r="A350" s="714"/>
      <c r="B350" s="714"/>
      <c r="C350" s="866"/>
      <c r="D350" s="1086"/>
      <c r="E350" s="1087" t="s">
        <v>1870</v>
      </c>
      <c r="F350" s="1414">
        <v>1</v>
      </c>
      <c r="G350" s="1089"/>
      <c r="H350" s="1089">
        <f t="shared" ref="H350:X350" ca="1" si="445">+H324/H210</f>
        <v>28.46659780615439</v>
      </c>
      <c r="I350" s="1089">
        <f t="shared" si="445"/>
        <v>2.6071145067045673</v>
      </c>
      <c r="J350" s="1089">
        <f t="shared" si="445"/>
        <v>4.6201655683743326</v>
      </c>
      <c r="K350" s="1089">
        <f t="shared" si="445"/>
        <v>-0.49797381946195374</v>
      </c>
      <c r="L350" s="1089">
        <f t="shared" si="445"/>
        <v>0.49719461914160457</v>
      </c>
      <c r="M350" s="1089">
        <f t="shared" si="445"/>
        <v>-7.5888354480568868E-2</v>
      </c>
      <c r="N350" s="1089">
        <f t="shared" si="445"/>
        <v>0.15143377977880576</v>
      </c>
      <c r="O350" s="1089">
        <f t="shared" si="445"/>
        <v>-0.46843221146370684</v>
      </c>
      <c r="P350" s="1089">
        <f t="shared" si="445"/>
        <v>1.0076405280903082</v>
      </c>
      <c r="Q350" s="1089">
        <f t="shared" si="445"/>
        <v>1.2811307023977998</v>
      </c>
      <c r="R350" s="2242">
        <f t="shared" si="445"/>
        <v>3.0115569300989669</v>
      </c>
      <c r="S350" s="2242">
        <f t="shared" si="445"/>
        <v>0.33206014903645181</v>
      </c>
      <c r="T350" s="2242">
        <f t="shared" si="445"/>
        <v>0.64931415756521427</v>
      </c>
      <c r="U350" s="2242">
        <f t="shared" si="445"/>
        <v>7.5110851317609217</v>
      </c>
      <c r="V350" s="2242">
        <f t="shared" si="445"/>
        <v>1.1248743959044953</v>
      </c>
      <c r="W350" s="2242">
        <f t="shared" si="445"/>
        <v>3.9204418016647207</v>
      </c>
      <c r="X350" s="2242">
        <f t="shared" si="445"/>
        <v>-5.2457034148714294</v>
      </c>
      <c r="Y350" s="2242">
        <f t="shared" ref="Y350" si="446">+Y324/Y210</f>
        <v>6.8890380899070562</v>
      </c>
      <c r="Z350" s="2242">
        <f t="shared" ref="Z350" si="447">+Z324/Z210</f>
        <v>1.0080046195043451</v>
      </c>
      <c r="AA350" s="2243">
        <f>+AA324/AA210</f>
        <v>1.0906473727822996</v>
      </c>
      <c r="AB350" s="2243">
        <f>+AB324/AB210</f>
        <v>1.2582005950759245</v>
      </c>
      <c r="AC350" s="2243">
        <f>+AC324/AC210</f>
        <v>3.8319753520207498</v>
      </c>
      <c r="AD350" s="2243">
        <f ca="1">+AD324/AD210</f>
        <v>-1.0283377500224911</v>
      </c>
      <c r="AE350" s="2243">
        <f ca="1">+AE324/AE210</f>
        <v>1.192863915522127</v>
      </c>
      <c r="AF350" s="2831"/>
      <c r="AG350" s="2831"/>
      <c r="AH350" s="2831"/>
      <c r="AI350" s="2831"/>
      <c r="AJ350" s="2831"/>
      <c r="AK350" s="2242">
        <v>1.9288726360182376</v>
      </c>
      <c r="AL350" s="2831"/>
      <c r="AM350" s="2242">
        <f t="shared" si="428"/>
        <v>-0.9208680165138925</v>
      </c>
      <c r="AN350" s="2831"/>
      <c r="AO350" s="2831"/>
      <c r="AP350" s="2831"/>
      <c r="AQ350" s="2831"/>
      <c r="AR350" s="2831"/>
      <c r="AS350" s="2831"/>
      <c r="AT350" s="2831"/>
    </row>
    <row r="351" spans="1:46" s="928" customFormat="1" ht="12.75" customHeight="1" thickBot="1">
      <c r="A351" s="714"/>
      <c r="B351" s="714"/>
      <c r="C351" s="870"/>
      <c r="D351" s="850"/>
      <c r="E351" s="851" t="s">
        <v>870</v>
      </c>
      <c r="F351" s="852"/>
      <c r="G351" s="853"/>
      <c r="H351" s="853"/>
      <c r="I351" s="853"/>
      <c r="J351" s="853"/>
      <c r="K351" s="853">
        <f t="shared" ref="K351:AE351" ca="1" si="448">AVERAGE(H350:K350)</f>
        <v>8.7989760154428343</v>
      </c>
      <c r="L351" s="853">
        <f t="shared" si="448"/>
        <v>1.8066252186896379</v>
      </c>
      <c r="M351" s="853">
        <f t="shared" si="448"/>
        <v>1.1358745033933537</v>
      </c>
      <c r="N351" s="853">
        <f t="shared" si="448"/>
        <v>1.869155624447193E-2</v>
      </c>
      <c r="O351" s="853">
        <f t="shared" si="448"/>
        <v>2.6076958244033666E-2</v>
      </c>
      <c r="P351" s="853">
        <f t="shared" si="448"/>
        <v>0.15368843548120958</v>
      </c>
      <c r="Q351" s="853">
        <f t="shared" si="448"/>
        <v>0.49294319970080175</v>
      </c>
      <c r="R351" s="2251">
        <f t="shared" si="448"/>
        <v>1.2079739872808419</v>
      </c>
      <c r="S351" s="2251">
        <f t="shared" si="448"/>
        <v>1.4080970774058816</v>
      </c>
      <c r="T351" s="2251">
        <f t="shared" ref="T351:Z351" si="449">AVERAGE(Q350:T350)</f>
        <v>1.3185154847746083</v>
      </c>
      <c r="U351" s="2251">
        <f t="shared" si="449"/>
        <v>2.8760040921153887</v>
      </c>
      <c r="V351" s="2251">
        <f t="shared" si="449"/>
        <v>2.4043334585667706</v>
      </c>
      <c r="W351" s="2251">
        <f t="shared" si="449"/>
        <v>3.301428871723838</v>
      </c>
      <c r="X351" s="2251">
        <f t="shared" si="449"/>
        <v>1.827674478614677</v>
      </c>
      <c r="Y351" s="2251">
        <f t="shared" si="449"/>
        <v>1.6721627181512106</v>
      </c>
      <c r="Z351" s="2251">
        <f t="shared" si="449"/>
        <v>1.6429452740511732</v>
      </c>
      <c r="AA351" s="2217">
        <f t="shared" si="448"/>
        <v>0.93549666683056798</v>
      </c>
      <c r="AB351" s="2217">
        <f t="shared" si="448"/>
        <v>2.5614726693174066</v>
      </c>
      <c r="AC351" s="2217">
        <f t="shared" si="448"/>
        <v>1.7972069848458299</v>
      </c>
      <c r="AD351" s="2217">
        <f t="shared" ca="1" si="448"/>
        <v>1.2881213924641206</v>
      </c>
      <c r="AE351" s="2217">
        <f t="shared" ca="1" si="448"/>
        <v>1.3136755281490777</v>
      </c>
      <c r="AF351" s="2833"/>
      <c r="AG351" s="2833"/>
      <c r="AH351" s="2833"/>
      <c r="AI351" s="2833"/>
      <c r="AJ351" s="2833"/>
      <c r="AK351" s="2251">
        <v>1.2390422599848649</v>
      </c>
      <c r="AL351" s="2833"/>
      <c r="AM351" s="2251">
        <f t="shared" si="428"/>
        <v>0.40390301406630824</v>
      </c>
      <c r="AN351" s="2833"/>
      <c r="AO351" s="2833"/>
      <c r="AP351" s="2833"/>
      <c r="AQ351" s="2833"/>
      <c r="AR351" s="2833"/>
      <c r="AS351" s="2833"/>
      <c r="AT351" s="2833"/>
    </row>
    <row r="352" spans="1:46" s="928" customFormat="1" ht="12.75" customHeight="1" thickBot="1">
      <c r="A352" s="714"/>
      <c r="B352" s="714"/>
      <c r="C352" s="870"/>
      <c r="D352" s="1082"/>
      <c r="E352" s="1083" t="s">
        <v>872</v>
      </c>
      <c r="F352" s="2007">
        <v>1.57</v>
      </c>
      <c r="G352" s="1085"/>
      <c r="H352" s="1085">
        <f ca="1">+H324/'VVP2'!H362</f>
        <v>6.7464749563217437</v>
      </c>
      <c r="I352" s="1085">
        <f>+I324/'VVP2'!I362</f>
        <v>2.6534903444041844</v>
      </c>
      <c r="J352" s="1085">
        <f>+J324/'VVP2'!J362</f>
        <v>6.1498641952901716</v>
      </c>
      <c r="K352" s="1085">
        <f>+K324/'VVP2'!K362</f>
        <v>-0.22825254241146106</v>
      </c>
      <c r="L352" s="1085">
        <f>+L324/'VVP2'!L362</f>
        <v>0.77966415810652112</v>
      </c>
      <c r="M352" s="1085">
        <f>+M324/'VVP2'!M362</f>
        <v>9.9097299239458408E-3</v>
      </c>
      <c r="N352" s="1085">
        <f>+N324/'VVP2'!N362</f>
        <v>0.25090055399951905</v>
      </c>
      <c r="O352" s="1085">
        <f>+O324/'VVP2'!O362</f>
        <v>-1.0162673859644289</v>
      </c>
      <c r="P352" s="1085">
        <f>+P324/'VVP2'!P362</f>
        <v>2.4079823446027384</v>
      </c>
      <c r="Q352" s="1085">
        <f>+Q324/'VVP2'!Q362</f>
        <v>2.0889485990942123</v>
      </c>
      <c r="R352" s="2232">
        <f>+R324/'VVP2'!R362</f>
        <v>3.3624830138714188</v>
      </c>
      <c r="S352" s="2232">
        <f>+S324/'VVP2'!S362</f>
        <v>0.45764194350785409</v>
      </c>
      <c r="T352" s="2232">
        <f>+T324/'VVP2'!T362</f>
        <v>-0.34144523801759613</v>
      </c>
      <c r="U352" s="2232">
        <f>+U324/'VVP2'!U362</f>
        <v>19.717724821834977</v>
      </c>
      <c r="V352" s="2232">
        <f>+V324/'VVP2'!V362</f>
        <v>2.974984540190639</v>
      </c>
      <c r="W352" s="2232">
        <f>+W324/'VVP2'!W362</f>
        <v>3.8730875187068894</v>
      </c>
      <c r="X352" s="2232">
        <f>+X324/'VVP2'!X362</f>
        <v>4.043314120721579</v>
      </c>
      <c r="Y352" s="2232">
        <f>+Y324/'VVP2'!Y362</f>
        <v>3.7547629274401633</v>
      </c>
      <c r="Z352" s="2232">
        <f>+Z324/'VVP2'!Z362</f>
        <v>1.5446118863703078</v>
      </c>
      <c r="AA352" s="2232">
        <f>+AA324/'VVP2'!AA362</f>
        <v>3.0151144925969824</v>
      </c>
      <c r="AB352" s="2232">
        <f>+AB324/'VVP2'!AB362</f>
        <v>2.5027444314462186</v>
      </c>
      <c r="AC352" s="2232">
        <f>+AC324/'VVP2'!AC362</f>
        <v>5.3853286819294857</v>
      </c>
      <c r="AD352" s="2221">
        <f ca="1">+AD324/'VVP2'!AD362</f>
        <v>-1.3253166258933515</v>
      </c>
      <c r="AE352" s="2221">
        <f ca="1">+AE324/'VVP2'!AE362</f>
        <v>1.5914930045031632</v>
      </c>
      <c r="AF352" s="2833"/>
      <c r="AG352" s="2833"/>
      <c r="AH352" s="2833"/>
      <c r="AI352" s="2833"/>
      <c r="AJ352" s="2833"/>
      <c r="AK352" s="2232">
        <v>2.5032242705410588</v>
      </c>
      <c r="AL352" s="2833"/>
      <c r="AM352" s="2232">
        <f t="shared" si="428"/>
        <v>-0.95861238417075101</v>
      </c>
      <c r="AN352" s="2833"/>
      <c r="AO352" s="2833"/>
      <c r="AP352" s="2833"/>
      <c r="AQ352" s="2833"/>
      <c r="AR352" s="2833"/>
      <c r="AS352" s="2833"/>
      <c r="AT352" s="2833"/>
    </row>
    <row r="353" spans="1:46" s="927" customFormat="1" ht="12.75" customHeight="1">
      <c r="A353" s="714"/>
      <c r="B353" s="714"/>
      <c r="C353" s="870"/>
      <c r="D353" s="850"/>
      <c r="E353" s="851" t="s">
        <v>870</v>
      </c>
      <c r="F353" s="852"/>
      <c r="G353" s="853"/>
      <c r="H353" s="853"/>
      <c r="I353" s="853"/>
      <c r="J353" s="853"/>
      <c r="K353" s="853">
        <f t="shared" ref="K353:AE353" ca="1" si="450">AVERAGE(H352:K352)</f>
        <v>3.8303942384011593</v>
      </c>
      <c r="L353" s="853">
        <f t="shared" si="450"/>
        <v>2.3386915388473541</v>
      </c>
      <c r="M353" s="853">
        <f t="shared" si="450"/>
        <v>1.6777963852272944</v>
      </c>
      <c r="N353" s="853">
        <f t="shared" si="450"/>
        <v>0.20305547490463122</v>
      </c>
      <c r="O353" s="853">
        <f t="shared" si="450"/>
        <v>6.0517640163892938E-3</v>
      </c>
      <c r="P353" s="853">
        <f t="shared" si="450"/>
        <v>0.41313131064044362</v>
      </c>
      <c r="Q353" s="853">
        <f t="shared" si="450"/>
        <v>0.93289102793301026</v>
      </c>
      <c r="R353" s="2251">
        <f t="shared" si="450"/>
        <v>1.710786642900985</v>
      </c>
      <c r="S353" s="2251">
        <f t="shared" si="450"/>
        <v>2.0792639752690558</v>
      </c>
      <c r="T353" s="2251">
        <f t="shared" ref="T353:Z353" si="451">AVERAGE(Q352:T352)</f>
        <v>1.3919070796139723</v>
      </c>
      <c r="U353" s="2251">
        <f t="shared" si="451"/>
        <v>5.7991011352991633</v>
      </c>
      <c r="V353" s="2251">
        <f t="shared" si="451"/>
        <v>5.7022265168789685</v>
      </c>
      <c r="W353" s="2251">
        <f t="shared" si="451"/>
        <v>6.5560879106787278</v>
      </c>
      <c r="X353" s="2251">
        <f t="shared" si="451"/>
        <v>7.6522777503635213</v>
      </c>
      <c r="Y353" s="2251">
        <f t="shared" si="451"/>
        <v>3.6615372767648178</v>
      </c>
      <c r="Z353" s="2251">
        <f t="shared" si="451"/>
        <v>3.3039441133097349</v>
      </c>
      <c r="AA353" s="2217">
        <f t="shared" si="450"/>
        <v>3.0894508567822583</v>
      </c>
      <c r="AB353" s="2217">
        <f t="shared" si="450"/>
        <v>2.7043084344634178</v>
      </c>
      <c r="AC353" s="2217">
        <f t="shared" si="450"/>
        <v>3.1119498730857487</v>
      </c>
      <c r="AD353" s="2217">
        <f t="shared" ca="1" si="450"/>
        <v>2.3944677450198335</v>
      </c>
      <c r="AE353" s="2217">
        <f t="shared" ca="1" si="450"/>
        <v>2.0385623729963789</v>
      </c>
      <c r="AF353" s="2831"/>
      <c r="AG353" s="2831"/>
      <c r="AH353" s="2831"/>
      <c r="AI353" s="2831"/>
      <c r="AJ353" s="2831"/>
      <c r="AK353" s="2251">
        <v>3.3453261041200477</v>
      </c>
      <c r="AL353" s="2831"/>
      <c r="AM353" s="2251">
        <f t="shared" si="428"/>
        <v>-4.1381990810312796E-2</v>
      </c>
      <c r="AN353" s="2831"/>
      <c r="AO353" s="2831"/>
      <c r="AP353" s="2831"/>
      <c r="AQ353" s="2831"/>
      <c r="AR353" s="2831"/>
      <c r="AS353" s="2831"/>
      <c r="AT353" s="2831"/>
    </row>
    <row r="354" spans="1:46" s="927" customFormat="1" ht="12.75" customHeight="1">
      <c r="A354" s="714"/>
      <c r="B354" s="714"/>
      <c r="C354" s="870"/>
      <c r="D354" s="1082"/>
      <c r="E354" s="1083" t="s">
        <v>1017</v>
      </c>
      <c r="F354" s="1084"/>
      <c r="G354" s="1411">
        <f ca="1">+G310/'VVP2'!G355</f>
        <v>2.3787595105891977E-2</v>
      </c>
      <c r="H354" s="1411">
        <f>+H310/'VVP2'!H355</f>
        <v>2.6732128567618037E-2</v>
      </c>
      <c r="I354" s="1411">
        <f>+I310/'VVP2'!I355</f>
        <v>2.869335443360076E-2</v>
      </c>
      <c r="J354" s="1411">
        <f>+J310/'VVP2'!J355</f>
        <v>3.4062917928982778E-2</v>
      </c>
      <c r="K354" s="1411">
        <f>+K310/'VVP2'!K355</f>
        <v>3.2394994799898456E-2</v>
      </c>
      <c r="L354" s="1411">
        <f>+L310/'VVP2'!L355</f>
        <v>3.2008117046572332E-2</v>
      </c>
      <c r="M354" s="1411">
        <f>+M310/'VVP2'!M355</f>
        <v>3.1105947437886677E-2</v>
      </c>
      <c r="N354" s="1411">
        <f>+N310/'VVP2'!N355</f>
        <v>3.0320095133842862E-2</v>
      </c>
      <c r="O354" s="1411">
        <f>+O310/'VVP2'!O355</f>
        <v>2.8682424244568551E-2</v>
      </c>
      <c r="P354" s="1411">
        <f>+P310/'VVP2'!P355</f>
        <v>3.0855596784582273E-2</v>
      </c>
      <c r="Q354" s="1411">
        <f>+Q310/'VVP2'!Q355</f>
        <v>3.2233126407791426E-2</v>
      </c>
      <c r="R354" s="2252">
        <f>+R310/'VVP2'!R355</f>
        <v>3.5772132732875966E-2</v>
      </c>
      <c r="S354" s="2252">
        <f>+S310/'VVP2'!S355</f>
        <v>3.4756209885049134E-2</v>
      </c>
      <c r="T354" s="2252">
        <f>+T310/'VVP2'!T355</f>
        <v>3.3524550090816424E-2</v>
      </c>
      <c r="U354" s="2252">
        <f>+U310/'VVP2'!U355</f>
        <v>2.4016496306709281E-2</v>
      </c>
      <c r="V354" s="2252">
        <f>+V310/'VVP2'!V355</f>
        <v>2.6136639089784867E-2</v>
      </c>
      <c r="W354" s="2252">
        <f>+W310/'VVP2'!W355</f>
        <v>2.8910888581909613E-2</v>
      </c>
      <c r="X354" s="2252">
        <f>+X310/'VVP2'!X355</f>
        <v>3.0816766240834518E-2</v>
      </c>
      <c r="Y354" s="2252">
        <f>+Y310/'VVP2'!Y355</f>
        <v>3.1863960780935306E-2</v>
      </c>
      <c r="Z354" s="2252">
        <f>+Z310/'VVP2'!Z355</f>
        <v>3.2208543744232286E-2</v>
      </c>
      <c r="AA354" s="2182">
        <f>+AA310/'VVP2'!AA355</f>
        <v>3.3813132986644422E-2</v>
      </c>
      <c r="AB354" s="2182">
        <f>+AB310/'VVP2'!AB355</f>
        <v>3.532810902960512E-2</v>
      </c>
      <c r="AC354" s="2182">
        <f>+AC310/'VVP2'!AC355</f>
        <v>4.0782026894445086E-2</v>
      </c>
      <c r="AD354" s="2182">
        <f ca="1">+AD310/'VVP2'!AD355</f>
        <v>3.7667855649455864E-2</v>
      </c>
      <c r="AE354" s="2182">
        <f ca="1">+AE310/'VVP2'!AE355</f>
        <v>3.841211330361493E-2</v>
      </c>
      <c r="AF354" s="2831"/>
      <c r="AG354" s="2831"/>
      <c r="AH354" s="2831"/>
      <c r="AI354" s="2831"/>
      <c r="AJ354" s="2831"/>
      <c r="AK354" s="2252">
        <v>3.2717329157033834E-2</v>
      </c>
      <c r="AL354" s="2831"/>
      <c r="AM354" s="2252">
        <f t="shared" si="428"/>
        <v>-5.087854128015476E-4</v>
      </c>
      <c r="AN354" s="2831"/>
      <c r="AO354" s="2831"/>
      <c r="AP354" s="2831"/>
      <c r="AQ354" s="2831"/>
      <c r="AR354" s="2831"/>
      <c r="AS354" s="2831"/>
      <c r="AT354" s="2831"/>
    </row>
    <row r="355" spans="1:46" s="927" customFormat="1" ht="12.75" customHeight="1">
      <c r="A355" s="714"/>
      <c r="B355" s="714"/>
      <c r="C355" s="871"/>
      <c r="D355" s="1090"/>
      <c r="E355" s="1091" t="s">
        <v>870</v>
      </c>
      <c r="F355" s="1092"/>
      <c r="G355" s="1409"/>
      <c r="H355" s="1410"/>
      <c r="I355" s="1410"/>
      <c r="J355" s="1410">
        <f t="shared" ref="J355:AE355" ca="1" si="452">AVERAGE(G354:J354)</f>
        <v>2.8318999009023387E-2</v>
      </c>
      <c r="K355" s="1410">
        <f t="shared" si="452"/>
        <v>3.047084893252501E-2</v>
      </c>
      <c r="L355" s="1410">
        <f t="shared" si="452"/>
        <v>3.1789846052263579E-2</v>
      </c>
      <c r="M355" s="1410">
        <f t="shared" si="452"/>
        <v>3.239299430333506E-2</v>
      </c>
      <c r="N355" s="1410">
        <f t="shared" si="452"/>
        <v>3.1457288604550084E-2</v>
      </c>
      <c r="O355" s="1410">
        <f t="shared" si="452"/>
        <v>3.0529145965717604E-2</v>
      </c>
      <c r="P355" s="1410">
        <f t="shared" si="452"/>
        <v>3.0241015900220089E-2</v>
      </c>
      <c r="Q355" s="1410">
        <f t="shared" si="452"/>
        <v>3.0522810642696279E-2</v>
      </c>
      <c r="R355" s="2253">
        <f t="shared" si="452"/>
        <v>3.1885820042454556E-2</v>
      </c>
      <c r="S355" s="2253">
        <f t="shared" si="452"/>
        <v>3.3404266452574702E-2</v>
      </c>
      <c r="T355" s="2253">
        <f t="shared" ref="T355:Z355" si="453">AVERAGE(Q354:T354)</f>
        <v>3.407150477913324E-2</v>
      </c>
      <c r="U355" s="2253">
        <f t="shared" si="453"/>
        <v>3.2017347253862696E-2</v>
      </c>
      <c r="V355" s="2253">
        <f t="shared" si="453"/>
        <v>2.9608473843089924E-2</v>
      </c>
      <c r="W355" s="2253">
        <f t="shared" si="453"/>
        <v>2.8147143517305045E-2</v>
      </c>
      <c r="X355" s="2253">
        <f t="shared" si="453"/>
        <v>2.7470197554809568E-2</v>
      </c>
      <c r="Y355" s="2253">
        <f t="shared" si="453"/>
        <v>2.9432063673366073E-2</v>
      </c>
      <c r="Z355" s="2253">
        <f t="shared" si="453"/>
        <v>3.095003983697793E-2</v>
      </c>
      <c r="AA355" s="2222">
        <f t="shared" si="452"/>
        <v>3.2175600938161637E-2</v>
      </c>
      <c r="AB355" s="2222">
        <f t="shared" si="452"/>
        <v>3.3303436635354282E-2</v>
      </c>
      <c r="AC355" s="2222">
        <f t="shared" si="452"/>
        <v>3.5532953163731729E-2</v>
      </c>
      <c r="AD355" s="2222">
        <f t="shared" ca="1" si="452"/>
        <v>3.6897781140037625E-2</v>
      </c>
      <c r="AE355" s="2222">
        <f t="shared" ca="1" si="452"/>
        <v>3.8047526219280252E-2</v>
      </c>
      <c r="AF355" s="2831"/>
      <c r="AG355" s="2831"/>
      <c r="AH355" s="2831"/>
      <c r="AI355" s="2831"/>
      <c r="AJ355" s="2831"/>
      <c r="AK355" s="2253">
        <v>3.1104470927583294E-2</v>
      </c>
      <c r="AL355" s="2831"/>
      <c r="AM355" s="2253">
        <f t="shared" si="428"/>
        <v>-1.544310906053635E-4</v>
      </c>
      <c r="AN355" s="2831"/>
      <c r="AO355" s="2831"/>
      <c r="AP355" s="2831"/>
      <c r="AQ355" s="2831"/>
      <c r="AR355" s="2831"/>
      <c r="AS355" s="2831"/>
      <c r="AT355" s="2831"/>
    </row>
    <row r="356" spans="1:46" ht="12.75" customHeight="1">
      <c r="A356" s="714"/>
      <c r="B356" s="714"/>
      <c r="C356" s="822"/>
      <c r="Q356" s="749"/>
      <c r="S356" s="2162"/>
      <c r="T356" s="2162"/>
      <c r="U356" s="2162"/>
      <c r="V356" s="2162"/>
      <c r="W356" s="2162"/>
      <c r="X356" s="2162"/>
      <c r="Y356" s="2162"/>
      <c r="Z356" s="2162"/>
      <c r="AA356" s="2162"/>
      <c r="AB356" s="2162"/>
      <c r="AC356" s="2162"/>
      <c r="AD356" s="2162"/>
      <c r="AE356" s="2162"/>
      <c r="AK356" s="2162"/>
      <c r="AM356" s="2162">
        <f t="shared" si="428"/>
        <v>0</v>
      </c>
    </row>
    <row r="357" spans="1:46" ht="12.75" customHeight="1" thickBot="1">
      <c r="A357" s="714"/>
      <c r="B357" s="714"/>
      <c r="C357" s="822"/>
      <c r="D357" s="862" t="s">
        <v>591</v>
      </c>
      <c r="E357" s="1093" t="s">
        <v>2127</v>
      </c>
      <c r="F357" s="864"/>
      <c r="G357" s="865">
        <f>+InputY!$G$3</f>
        <v>1995</v>
      </c>
      <c r="H357" s="865">
        <f t="shared" ref="H357:O357" si="454">+G357+1</f>
        <v>1996</v>
      </c>
      <c r="I357" s="865">
        <f t="shared" si="454"/>
        <v>1997</v>
      </c>
      <c r="J357" s="865">
        <f t="shared" si="454"/>
        <v>1998</v>
      </c>
      <c r="K357" s="865">
        <f t="shared" si="454"/>
        <v>1999</v>
      </c>
      <c r="L357" s="865">
        <f t="shared" si="454"/>
        <v>2000</v>
      </c>
      <c r="M357" s="865">
        <f t="shared" si="454"/>
        <v>2001</v>
      </c>
      <c r="N357" s="865">
        <f t="shared" si="454"/>
        <v>2002</v>
      </c>
      <c r="O357" s="865">
        <f t="shared" si="454"/>
        <v>2003</v>
      </c>
      <c r="P357" s="865">
        <f t="shared" ref="P357:V357" si="455">+O357+1</f>
        <v>2004</v>
      </c>
      <c r="Q357" s="865">
        <f t="shared" si="455"/>
        <v>2005</v>
      </c>
      <c r="R357" s="865">
        <f t="shared" si="455"/>
        <v>2006</v>
      </c>
      <c r="S357" s="865">
        <f t="shared" si="455"/>
        <v>2007</v>
      </c>
      <c r="T357" s="2219">
        <f t="shared" si="455"/>
        <v>2008</v>
      </c>
      <c r="U357" s="2219">
        <f t="shared" si="455"/>
        <v>2009</v>
      </c>
      <c r="V357" s="2219">
        <f t="shared" si="455"/>
        <v>2010</v>
      </c>
      <c r="W357" s="2219">
        <f t="shared" ref="W357:AE357" si="456">+V357+1</f>
        <v>2011</v>
      </c>
      <c r="X357" s="2219">
        <f t="shared" si="456"/>
        <v>2012</v>
      </c>
      <c r="Y357" s="2219">
        <f t="shared" si="456"/>
        <v>2013</v>
      </c>
      <c r="Z357" s="2219">
        <f t="shared" si="456"/>
        <v>2014</v>
      </c>
      <c r="AA357" s="2219">
        <f t="shared" si="456"/>
        <v>2015</v>
      </c>
      <c r="AB357" s="2219">
        <f t="shared" si="456"/>
        <v>2016</v>
      </c>
      <c r="AC357" s="2219">
        <f t="shared" si="456"/>
        <v>2017</v>
      </c>
      <c r="AD357" s="2219">
        <f t="shared" si="456"/>
        <v>2018</v>
      </c>
      <c r="AE357" s="2219">
        <f t="shared" si="456"/>
        <v>2019</v>
      </c>
      <c r="AK357" s="2219">
        <v>2014</v>
      </c>
      <c r="AM357" s="2219">
        <f t="shared" si="428"/>
        <v>0</v>
      </c>
    </row>
    <row r="358" spans="1:46" s="927" customFormat="1" ht="12.75" customHeight="1" thickBot="1">
      <c r="A358" s="714"/>
      <c r="B358" s="714"/>
      <c r="C358" s="866"/>
      <c r="D358" s="1086"/>
      <c r="E358" s="1087" t="s">
        <v>872</v>
      </c>
      <c r="F358" s="1414">
        <v>1.1809724676532847</v>
      </c>
      <c r="G358" s="1089"/>
      <c r="H358" s="1089">
        <f ca="1">+H327/'VVP2'!H362</f>
        <v>0.95496129732001045</v>
      </c>
      <c r="I358" s="1089">
        <f>+I327/'VVP2'!I362</f>
        <v>1.6025041811745573</v>
      </c>
      <c r="J358" s="1089">
        <f>+J327/'VVP2'!J362</f>
        <v>1.8956169730109538</v>
      </c>
      <c r="K358" s="1089">
        <f>+K327/'VVP2'!K362</f>
        <v>0.33685944548372376</v>
      </c>
      <c r="L358" s="1089">
        <f>+L327/'VVP2'!L362</f>
        <v>1.154647140191942</v>
      </c>
      <c r="M358" s="1089">
        <f>+M327/'VVP2'!M362</f>
        <v>1.3906632695851266</v>
      </c>
      <c r="N358" s="1089">
        <f>+N327/'VVP2'!N362</f>
        <v>0.84550955107182024</v>
      </c>
      <c r="O358" s="1089">
        <f>+O327/'VVP2'!O362</f>
        <v>-0.17738730470484373</v>
      </c>
      <c r="P358" s="1089">
        <f>+P327/'VVP2'!P362</f>
        <v>1.0120473694413781</v>
      </c>
      <c r="Q358" s="1089">
        <f>+Q327/'VVP2'!Q362</f>
        <v>1.1501821417489166</v>
      </c>
      <c r="R358" s="1089">
        <f>+R327/'VVP2'!R362</f>
        <v>0.80472616549280873</v>
      </c>
      <c r="S358" s="1089">
        <f>+S327/'VVP2'!S362</f>
        <v>0.70005831552114772</v>
      </c>
      <c r="T358" s="1089">
        <f>+T327/'VVP2'!T362</f>
        <v>1.6287017783612401</v>
      </c>
      <c r="U358" s="1089">
        <f>+U327/'VVP2'!U362</f>
        <v>5.8492774696318071</v>
      </c>
      <c r="V358" s="1089">
        <f>+V327/'VVP2'!V362</f>
        <v>1.4555046151123006</v>
      </c>
      <c r="W358" s="1089">
        <f>+W327/'VVP2'!W362</f>
        <v>1.8951451288728196</v>
      </c>
      <c r="X358" s="1089">
        <f>+X327/'VVP2'!X362</f>
        <v>2.1046807061021884</v>
      </c>
      <c r="Y358" s="1089">
        <f>+Y327/'VVP2'!Y362</f>
        <v>4.0587236892302521</v>
      </c>
      <c r="Z358" s="1089">
        <f>+Z327/'VVP2'!Z362</f>
        <v>1.0716537458097637</v>
      </c>
      <c r="AA358" s="1089">
        <f>+AA327/'VVP2'!AA362</f>
        <v>0.54698562714108345</v>
      </c>
      <c r="AB358" s="1089">
        <f>+AB327/'VVP2'!AB362</f>
        <v>0.34181183268204757</v>
      </c>
      <c r="AC358" s="1089">
        <f>+AC327/'VVP2'!AC362</f>
        <v>2.0023712261833087</v>
      </c>
      <c r="AD358" s="3371">
        <f ca="1">+AD327/'VVP2'!AD362</f>
        <v>0.17886102137681781</v>
      </c>
      <c r="AE358" s="3371">
        <f ca="1">+AE327/'VVP2'!AE362</f>
        <v>0.7009641613519918</v>
      </c>
      <c r="AF358" s="2831"/>
      <c r="AG358" s="2831"/>
      <c r="AH358" s="2831"/>
      <c r="AI358" s="2831"/>
      <c r="AJ358" s="2831"/>
      <c r="AK358" s="1089">
        <v>1.2359457842076278</v>
      </c>
      <c r="AL358" s="2831"/>
      <c r="AM358" s="1089">
        <f t="shared" si="428"/>
        <v>-0.1642920383978641</v>
      </c>
      <c r="AN358" s="2831"/>
      <c r="AO358" s="2831"/>
      <c r="AP358" s="2831"/>
      <c r="AQ358" s="2831"/>
      <c r="AR358" s="2831"/>
      <c r="AS358" s="2831"/>
      <c r="AT358" s="2831"/>
    </row>
    <row r="359" spans="1:46" s="927" customFormat="1" ht="12.75" customHeight="1">
      <c r="A359" s="714"/>
      <c r="B359" s="714"/>
      <c r="C359" s="870"/>
      <c r="D359" s="850"/>
      <c r="E359" s="851" t="s">
        <v>870</v>
      </c>
      <c r="F359" s="852"/>
      <c r="G359" s="853"/>
      <c r="H359" s="853"/>
      <c r="I359" s="853"/>
      <c r="J359" s="853"/>
      <c r="K359" s="853">
        <f t="shared" ref="K359:AE359" ca="1" si="457">AVERAGE(H358:K358)</f>
        <v>1.1974854742473113</v>
      </c>
      <c r="L359" s="853">
        <f t="shared" si="457"/>
        <v>1.2474069349652941</v>
      </c>
      <c r="M359" s="853">
        <f t="shared" si="457"/>
        <v>1.1944467070679365</v>
      </c>
      <c r="N359" s="853">
        <f t="shared" si="457"/>
        <v>0.93191985158315305</v>
      </c>
      <c r="O359" s="853">
        <f t="shared" si="457"/>
        <v>0.80335816403601135</v>
      </c>
      <c r="P359" s="853">
        <f t="shared" si="457"/>
        <v>0.76770822134837036</v>
      </c>
      <c r="Q359" s="853">
        <f t="shared" si="457"/>
        <v>0.70758793938931785</v>
      </c>
      <c r="R359" s="853">
        <f t="shared" si="457"/>
        <v>0.69739209299456495</v>
      </c>
      <c r="S359" s="853">
        <f t="shared" si="457"/>
        <v>0.91675349805106277</v>
      </c>
      <c r="T359" s="853">
        <f t="shared" ref="T359:Y359" si="458">AVERAGE(Q358:T358)</f>
        <v>1.0709171002810283</v>
      </c>
      <c r="U359" s="853">
        <f t="shared" si="458"/>
        <v>2.2456909322517511</v>
      </c>
      <c r="V359" s="853">
        <f t="shared" si="458"/>
        <v>2.4083855446566238</v>
      </c>
      <c r="W359" s="853">
        <f t="shared" si="458"/>
        <v>2.7071572479945418</v>
      </c>
      <c r="X359" s="853">
        <f t="shared" si="458"/>
        <v>2.826151979929779</v>
      </c>
      <c r="Y359" s="853">
        <f t="shared" si="458"/>
        <v>2.3785135348293904</v>
      </c>
      <c r="Z359" s="2217">
        <f t="shared" si="457"/>
        <v>2.2825508175037559</v>
      </c>
      <c r="AA359" s="2217">
        <f t="shared" si="457"/>
        <v>1.9455109420708219</v>
      </c>
      <c r="AB359" s="2217">
        <f t="shared" si="457"/>
        <v>1.5047937237157867</v>
      </c>
      <c r="AC359" s="2217">
        <f t="shared" si="457"/>
        <v>0.99070560795405083</v>
      </c>
      <c r="AD359" s="2217">
        <f t="shared" ca="1" si="457"/>
        <v>0.76750742684581441</v>
      </c>
      <c r="AE359" s="2217">
        <f t="shared" ca="1" si="457"/>
        <v>0.8060020603985415</v>
      </c>
      <c r="AF359" s="2831"/>
      <c r="AG359" s="2831"/>
      <c r="AH359" s="2831"/>
      <c r="AI359" s="2831"/>
      <c r="AJ359" s="2831"/>
      <c r="AK359" s="2217">
        <v>2.1241597065017794</v>
      </c>
      <c r="AL359" s="2831"/>
      <c r="AM359" s="2217">
        <f t="shared" si="428"/>
        <v>0.15839111100197645</v>
      </c>
      <c r="AN359" s="2831"/>
      <c r="AO359" s="2831"/>
      <c r="AP359" s="2831"/>
      <c r="AQ359" s="2831"/>
      <c r="AR359" s="2831"/>
      <c r="AS359" s="2831"/>
      <c r="AT359" s="2831"/>
    </row>
    <row r="360" spans="1:46" s="927" customFormat="1" ht="12.75" customHeight="1">
      <c r="A360" s="714"/>
      <c r="B360" s="714"/>
      <c r="C360" s="870"/>
      <c r="D360" s="1082"/>
      <c r="E360" s="1083" t="s">
        <v>1017</v>
      </c>
      <c r="F360" s="1085"/>
      <c r="G360" s="1411">
        <f ca="1">+G319/'VVP2'!G355</f>
        <v>0.15954173111181366</v>
      </c>
      <c r="H360" s="1411">
        <f>+H319/'VVP2'!H355</f>
        <v>0.15938694763047923</v>
      </c>
      <c r="I360" s="1411">
        <f>+I319/'VVP2'!I355</f>
        <v>0.16364788574700834</v>
      </c>
      <c r="J360" s="1411">
        <f>+J319/'VVP2'!J355</f>
        <v>0.16897380523485903</v>
      </c>
      <c r="K360" s="1411">
        <f>+K319/'VVP2'!K355</f>
        <v>0.16450664548410079</v>
      </c>
      <c r="L360" s="1411">
        <f>+L319/'VVP2'!L355</f>
        <v>0.16588555583954895</v>
      </c>
      <c r="M360" s="1411">
        <f>+M319/'VVP2'!M355</f>
        <v>0.16773042013872688</v>
      </c>
      <c r="N360" s="1411">
        <f>+N319/'VVP2'!N355</f>
        <v>0.16685650051569612</v>
      </c>
      <c r="O360" s="1411">
        <f>+O319/'VVP2'!O355</f>
        <v>0.16159377858132265</v>
      </c>
      <c r="P360" s="1411">
        <f>+P319/'VVP2'!P355</f>
        <v>0.16169853918907517</v>
      </c>
      <c r="Q360" s="1411">
        <f>+Q319/'VVP2'!Q355</f>
        <v>0.16269413716672104</v>
      </c>
      <c r="R360" s="1411">
        <f>+R319/'VVP2'!R355</f>
        <v>0.16121766192037584</v>
      </c>
      <c r="S360" s="1411">
        <f>+S319/'VVP2'!S355</f>
        <v>0.15868557130942454</v>
      </c>
      <c r="T360" s="1411">
        <f>+T319/'VVP2'!T355</f>
        <v>0.1613210986994229</v>
      </c>
      <c r="U360" s="1411">
        <f>+U319/'VVP2'!U355</f>
        <v>0.14946767471058497</v>
      </c>
      <c r="V360" s="1411">
        <f>+V319/'VVP2'!V355</f>
        <v>0.15251088398947688</v>
      </c>
      <c r="W360" s="1411">
        <f>+W319/'VVP2'!W355</f>
        <v>0.15755449065341307</v>
      </c>
      <c r="X360" s="1411">
        <f>+X319/'VVP2'!X355</f>
        <v>0.16132460352913458</v>
      </c>
      <c r="Y360" s="1411">
        <f>+Y319/'VVP2'!Y355</f>
        <v>0.16741151420273956</v>
      </c>
      <c r="Z360" s="2182">
        <f>+Z319/'VVP2'!Z355</f>
        <v>0.16764970838510851</v>
      </c>
      <c r="AA360" s="2182">
        <f>+AA319/'VVP2'!AA355</f>
        <v>0.16577208777414801</v>
      </c>
      <c r="AB360" s="2182">
        <f>+AB319/'VVP2'!AB355</f>
        <v>0.162518993098662</v>
      </c>
      <c r="AC360" s="2182">
        <f>+AC319/'VVP2'!AC355</f>
        <v>0.16825379956331418</v>
      </c>
      <c r="AD360" s="2182">
        <f ca="1">+AD319/'VVP2'!AD355</f>
        <v>0.1637167540564213</v>
      </c>
      <c r="AE360" s="2182">
        <f ca="1">+AE319/'VVP2'!AE355</f>
        <v>0.16208137223616143</v>
      </c>
      <c r="AF360" s="2831"/>
      <c r="AG360" s="2831"/>
      <c r="AH360" s="2831"/>
      <c r="AI360" s="2831"/>
      <c r="AJ360" s="2831"/>
      <c r="AK360" s="2182">
        <v>0.16782882143833744</v>
      </c>
      <c r="AL360" s="2831"/>
      <c r="AM360" s="2182">
        <f t="shared" si="428"/>
        <v>-1.7911305322892979E-4</v>
      </c>
      <c r="AN360" s="2831"/>
      <c r="AO360" s="2831"/>
      <c r="AP360" s="2831"/>
      <c r="AQ360" s="2831"/>
      <c r="AR360" s="2831"/>
      <c r="AS360" s="2831"/>
      <c r="AT360" s="2831"/>
    </row>
    <row r="361" spans="1:46" s="927" customFormat="1" ht="12.75" customHeight="1">
      <c r="A361" s="714"/>
      <c r="B361" s="714">
        <v>159</v>
      </c>
      <c r="C361" s="871"/>
      <c r="D361" s="1090"/>
      <c r="E361" s="1091" t="s">
        <v>870</v>
      </c>
      <c r="F361" s="1092"/>
      <c r="G361" s="1409"/>
      <c r="H361" s="1410"/>
      <c r="I361" s="1410"/>
      <c r="J361" s="1410">
        <f t="shared" ref="J361:AE361" ca="1" si="459">AVERAGE(G360:J360)</f>
        <v>0.16288759243104006</v>
      </c>
      <c r="K361" s="1410">
        <f t="shared" si="459"/>
        <v>0.16412882102411183</v>
      </c>
      <c r="L361" s="1410">
        <f t="shared" si="459"/>
        <v>0.16575347307637928</v>
      </c>
      <c r="M361" s="1410">
        <f t="shared" si="459"/>
        <v>0.16677410667430892</v>
      </c>
      <c r="N361" s="1410">
        <f t="shared" si="459"/>
        <v>0.16624478049451819</v>
      </c>
      <c r="O361" s="1410">
        <f t="shared" si="459"/>
        <v>0.16551656376882365</v>
      </c>
      <c r="P361" s="1410">
        <f t="shared" si="459"/>
        <v>0.16446980960620519</v>
      </c>
      <c r="Q361" s="1410">
        <f t="shared" si="459"/>
        <v>0.16321073886320375</v>
      </c>
      <c r="R361" s="1410">
        <f t="shared" si="459"/>
        <v>0.16180102921437367</v>
      </c>
      <c r="S361" s="1410">
        <f t="shared" si="459"/>
        <v>0.16107397739639914</v>
      </c>
      <c r="T361" s="1410">
        <f t="shared" ref="T361:Y361" si="460">AVERAGE(Q360:T360)</f>
        <v>0.16097961727398608</v>
      </c>
      <c r="U361" s="1410">
        <f t="shared" si="460"/>
        <v>0.15767300165995207</v>
      </c>
      <c r="V361" s="1410">
        <f t="shared" si="460"/>
        <v>0.15549630717722732</v>
      </c>
      <c r="W361" s="1410">
        <f t="shared" si="460"/>
        <v>0.15521353701322446</v>
      </c>
      <c r="X361" s="1410">
        <f t="shared" si="460"/>
        <v>0.15521441322065238</v>
      </c>
      <c r="Y361" s="1410">
        <f t="shared" si="460"/>
        <v>0.15970037309369103</v>
      </c>
      <c r="Z361" s="2222">
        <f t="shared" si="459"/>
        <v>0.16348507919259894</v>
      </c>
      <c r="AA361" s="2222">
        <f t="shared" si="459"/>
        <v>0.16553947847278266</v>
      </c>
      <c r="AB361" s="2222">
        <f t="shared" si="459"/>
        <v>0.16583807586516452</v>
      </c>
      <c r="AC361" s="2222">
        <f t="shared" si="459"/>
        <v>0.16604864720530818</v>
      </c>
      <c r="AD361" s="2222">
        <f t="shared" ca="1" si="459"/>
        <v>0.16506540862313637</v>
      </c>
      <c r="AE361" s="2222">
        <f t="shared" ca="1" si="459"/>
        <v>0.16414272973863975</v>
      </c>
      <c r="AF361" s="2831"/>
      <c r="AG361" s="2831"/>
      <c r="AH361" s="2831"/>
      <c r="AI361" s="2831"/>
      <c r="AJ361" s="2831"/>
      <c r="AK361" s="2222">
        <v>0.16321294743374887</v>
      </c>
      <c r="AL361" s="2831"/>
      <c r="AM361" s="2222">
        <f t="shared" si="428"/>
        <v>2.721317588500749E-4</v>
      </c>
      <c r="AN361" s="2831"/>
      <c r="AO361" s="2831"/>
      <c r="AP361" s="2831"/>
      <c r="AQ361" s="2831"/>
      <c r="AR361" s="2831"/>
      <c r="AS361" s="2831"/>
      <c r="AT361" s="2831"/>
    </row>
    <row r="362" spans="1:46" s="927" customFormat="1" ht="12.75" customHeight="1">
      <c r="A362" s="714"/>
      <c r="B362" s="714"/>
      <c r="C362" s="714"/>
      <c r="D362" s="714"/>
      <c r="E362" s="714"/>
      <c r="F362" s="714"/>
      <c r="G362" s="714"/>
      <c r="H362" s="714"/>
      <c r="I362" s="714"/>
      <c r="J362" s="714"/>
      <c r="K362" s="714"/>
      <c r="L362" s="714"/>
      <c r="M362" s="714"/>
      <c r="N362" s="714"/>
      <c r="O362" s="714"/>
      <c r="P362" s="714"/>
      <c r="Q362" s="714"/>
      <c r="R362" s="714"/>
      <c r="S362" s="714"/>
      <c r="T362" s="714"/>
      <c r="U362" s="714"/>
      <c r="V362" s="714"/>
      <c r="W362" s="714"/>
      <c r="X362" s="714"/>
      <c r="Y362" s="714"/>
      <c r="Z362" s="714"/>
      <c r="AA362" s="714"/>
      <c r="AB362" s="714"/>
      <c r="AC362" s="714"/>
      <c r="AD362" s="714"/>
      <c r="AE362" s="714"/>
      <c r="AF362" s="2831"/>
      <c r="AG362" s="2831"/>
      <c r="AH362" s="2831"/>
      <c r="AI362" s="2831"/>
      <c r="AJ362" s="2831"/>
      <c r="AK362" s="714"/>
      <c r="AL362" s="2831"/>
      <c r="AM362" s="714">
        <f t="shared" si="428"/>
        <v>0</v>
      </c>
      <c r="AN362" s="2831"/>
      <c r="AO362" s="2831"/>
      <c r="AP362" s="2831"/>
      <c r="AQ362" s="2831"/>
      <c r="AR362" s="2831"/>
      <c r="AS362" s="2831"/>
      <c r="AT362" s="2831"/>
    </row>
    <row r="363" spans="1:46" ht="12.75" hidden="1" customHeight="1">
      <c r="A363" s="714"/>
      <c r="B363" s="714"/>
      <c r="C363" s="3482"/>
      <c r="D363" s="3483" t="s">
        <v>589</v>
      </c>
      <c r="E363" s="3529" t="s">
        <v>2489</v>
      </c>
      <c r="F363" s="3484"/>
      <c r="G363" s="3485">
        <f>+InputY!$G$3</f>
        <v>1995</v>
      </c>
      <c r="H363" s="3485">
        <f t="shared" ref="H363:AE363" si="461">+G363+1</f>
        <v>1996</v>
      </c>
      <c r="I363" s="3485">
        <f t="shared" si="461"/>
        <v>1997</v>
      </c>
      <c r="J363" s="3485">
        <f t="shared" si="461"/>
        <v>1998</v>
      </c>
      <c r="K363" s="3485">
        <f t="shared" si="461"/>
        <v>1999</v>
      </c>
      <c r="L363" s="3485">
        <f t="shared" si="461"/>
        <v>2000</v>
      </c>
      <c r="M363" s="3485">
        <f t="shared" si="461"/>
        <v>2001</v>
      </c>
      <c r="N363" s="3485">
        <f t="shared" si="461"/>
        <v>2002</v>
      </c>
      <c r="O363" s="3485">
        <f t="shared" si="461"/>
        <v>2003</v>
      </c>
      <c r="P363" s="3485">
        <f t="shared" si="461"/>
        <v>2004</v>
      </c>
      <c r="Q363" s="3485">
        <f t="shared" si="461"/>
        <v>2005</v>
      </c>
      <c r="R363" s="3486">
        <f t="shared" si="461"/>
        <v>2006</v>
      </c>
      <c r="S363" s="3486">
        <f t="shared" si="461"/>
        <v>2007</v>
      </c>
      <c r="T363" s="3486">
        <f t="shared" si="461"/>
        <v>2008</v>
      </c>
      <c r="U363" s="3486">
        <f t="shared" si="461"/>
        <v>2009</v>
      </c>
      <c r="V363" s="3486">
        <f t="shared" si="461"/>
        <v>2010</v>
      </c>
      <c r="W363" s="3486">
        <f t="shared" si="461"/>
        <v>2011</v>
      </c>
      <c r="X363" s="3486">
        <f t="shared" si="461"/>
        <v>2012</v>
      </c>
      <c r="Y363" s="3486">
        <f t="shared" si="461"/>
        <v>2013</v>
      </c>
      <c r="Z363" s="3486">
        <f t="shared" si="461"/>
        <v>2014</v>
      </c>
      <c r="AA363" s="3486">
        <f t="shared" si="461"/>
        <v>2015</v>
      </c>
      <c r="AB363" s="3486">
        <f t="shared" si="461"/>
        <v>2016</v>
      </c>
      <c r="AC363" s="3486">
        <f t="shared" si="461"/>
        <v>2017</v>
      </c>
      <c r="AD363" s="3486">
        <f t="shared" si="461"/>
        <v>2018</v>
      </c>
      <c r="AE363" s="3486">
        <f t="shared" si="461"/>
        <v>2019</v>
      </c>
      <c r="AK363" s="3486">
        <v>2014</v>
      </c>
      <c r="AM363" s="3486">
        <f t="shared" si="428"/>
        <v>0</v>
      </c>
    </row>
    <row r="364" spans="1:46" ht="12.75" hidden="1" customHeight="1">
      <c r="A364" s="714"/>
      <c r="B364" s="714"/>
      <c r="C364" s="3487" t="s">
        <v>622</v>
      </c>
      <c r="D364" s="3488"/>
      <c r="E364" s="3489" t="s">
        <v>2468</v>
      </c>
      <c r="F364" s="3530"/>
      <c r="G364" s="3491">
        <f>('[2]dir&amp;indir taxes'!C142+[2]TaxesEU!C142)/1000</f>
        <v>2.5282</v>
      </c>
      <c r="H364" s="3491">
        <f>('[2]dir&amp;indir taxes'!D142+[2]TaxesEU!D142)/1000</f>
        <v>1.9430000000000001</v>
      </c>
      <c r="I364" s="3491">
        <f>('[2]dir&amp;indir taxes'!E142+[2]TaxesEU!E142)/1000</f>
        <v>2.0524</v>
      </c>
      <c r="J364" s="3491">
        <f>('[2]dir&amp;indir taxes'!F142+[2]TaxesEU!F142)/1000</f>
        <v>1.8437000000000001</v>
      </c>
      <c r="K364" s="3491">
        <f>('[2]dir&amp;indir taxes'!G142+[2]TaxesEU!G142)/1000</f>
        <v>1.6643999999999999</v>
      </c>
      <c r="L364" s="3491">
        <f>('[2]dir&amp;indir taxes'!H142+[2]TaxesEU!H142)/1000</f>
        <v>1.9112</v>
      </c>
      <c r="M364" s="3491">
        <f>('[2]dir&amp;indir taxes'!I142+[2]TaxesEU!I142)/1000</f>
        <v>1.9872000000000001</v>
      </c>
      <c r="N364" s="3491">
        <f>('[2]dir&amp;indir taxes'!J142+[2]TaxesEU!J142)/1000</f>
        <v>1.9512</v>
      </c>
      <c r="O364" s="3491">
        <f>('[2]dir&amp;indir taxes'!K142+[2]TaxesEU!K142)/1000</f>
        <v>1.8464</v>
      </c>
      <c r="P364" s="3491">
        <f>('[2]dir&amp;indir taxes'!L142+[2]TaxesEU!L142)/1000</f>
        <v>2.0084</v>
      </c>
      <c r="Q364" s="3491">
        <f>('[2]dir&amp;indir taxes'!M142+[2]TaxesEU!M142)/1000</f>
        <v>2.3072999999999997</v>
      </c>
      <c r="R364" s="3491">
        <f>('[2]dir&amp;indir taxes'!N142+[2]TaxesEU!N142)/1000</f>
        <v>2.4794</v>
      </c>
      <c r="S364" s="3491">
        <f>('[2]dir&amp;indir taxes'!O142+[2]TaxesEU!O142)/1000</f>
        <v>2.6215000000000002</v>
      </c>
      <c r="T364" s="3491">
        <f>('[2]dir&amp;indir taxes'!P142+[2]TaxesEU!P142)/1000</f>
        <v>2.8893</v>
      </c>
      <c r="U364" s="3491">
        <f>('[2]dir&amp;indir taxes'!Q142+[2]TaxesEU!Q142)/1000</f>
        <v>2.6053000000000002</v>
      </c>
      <c r="V364" s="3491">
        <f>('[2]dir&amp;indir taxes'!R142+[2]TaxesEU!R142)/1000</f>
        <v>2.7707999999999999</v>
      </c>
      <c r="W364" s="3491">
        <f>('[2]dir&amp;indir taxes'!S142+[2]TaxesEU!S142)/1000</f>
        <v>3.0169999999999999</v>
      </c>
      <c r="X364" s="3491">
        <f>('[2]dir&amp;indir taxes'!T142+[2]TaxesEU!T142)/1000</f>
        <v>3.6545000000000001</v>
      </c>
      <c r="Y364" s="3492">
        <f t="shared" ref="Y364:AE364" si="462">+X364*(1+Y375/100)</f>
        <v>3.749517</v>
      </c>
      <c r="Z364" s="3492">
        <f t="shared" si="462"/>
        <v>3.8695015440000002</v>
      </c>
      <c r="AA364" s="3492">
        <f t="shared" si="462"/>
        <v>3.9546305779680004</v>
      </c>
      <c r="AB364" s="3492">
        <f t="shared" si="462"/>
        <v>4.0416324506832968</v>
      </c>
      <c r="AC364" s="3492">
        <f t="shared" si="462"/>
        <v>4.1305483645983294</v>
      </c>
      <c r="AD364" s="3492">
        <f t="shared" si="462"/>
        <v>4.221420428619493</v>
      </c>
      <c r="AE364" s="3492">
        <f t="shared" si="462"/>
        <v>4.3142916780491216</v>
      </c>
      <c r="AK364" s="3492">
        <v>3.8695015440000002</v>
      </c>
      <c r="AM364" s="3492">
        <f t="shared" si="428"/>
        <v>0</v>
      </c>
    </row>
    <row r="365" spans="1:46" ht="12.75" hidden="1" customHeight="1">
      <c r="A365" s="714"/>
      <c r="B365" s="714"/>
      <c r="C365" s="3493"/>
      <c r="D365" s="3494"/>
      <c r="E365" s="3531" t="s">
        <v>2435</v>
      </c>
      <c r="F365" s="3496"/>
      <c r="G365" s="3532"/>
      <c r="H365" s="3532">
        <f>Labour1!H48</f>
        <v>0.12935386168602125</v>
      </c>
      <c r="I365" s="3532">
        <f>Labour1!I48</f>
        <v>0.7908750039386403</v>
      </c>
      <c r="J365" s="3532">
        <f>Labour1!J48</f>
        <v>2.1664374140302423</v>
      </c>
      <c r="K365" s="3532">
        <f>Labour1!K48</f>
        <v>1.6737553930418425</v>
      </c>
      <c r="L365" s="3532">
        <f>Labour1!L48</f>
        <v>2.5370169736366854</v>
      </c>
      <c r="M365" s="3532">
        <f>Labour1!M48</f>
        <v>1.8285345308326706</v>
      </c>
      <c r="N365" s="3532">
        <f>Labour1!N48</f>
        <v>-3.4588113218436689E-2</v>
      </c>
      <c r="O365" s="3532">
        <f>Labour1!O48</f>
        <v>-8.9383541894927365E-2</v>
      </c>
      <c r="P365" s="3532">
        <f>Labour1!P48</f>
        <v>1.0937635277481261</v>
      </c>
      <c r="Q365" s="3532">
        <f>Labour1!Q48</f>
        <v>1.644304881530112</v>
      </c>
      <c r="R365" s="3532">
        <f>Labour1!R48</f>
        <v>1.2132786608998636</v>
      </c>
      <c r="S365" s="3532">
        <f>Labour1!S48</f>
        <v>1.7897774571285829</v>
      </c>
      <c r="T365" s="3532">
        <f>Labour1!T48</f>
        <v>1.8809802905978223</v>
      </c>
      <c r="U365" s="3532">
        <f>Labour1!U48</f>
        <v>-0.35854761458807838</v>
      </c>
      <c r="V365" s="3532">
        <f>Labour1!V48</f>
        <v>0.62300276591744641</v>
      </c>
      <c r="W365" s="3532">
        <f>Labour1!W48</f>
        <v>1.4224333484561535</v>
      </c>
      <c r="X365" s="3532">
        <f>Labour1!X48</f>
        <v>0.31312493421744581</v>
      </c>
      <c r="Y365" s="3532">
        <f>Labour1!Y48</f>
        <v>-0.54560239225664997</v>
      </c>
      <c r="Z365" s="3532">
        <f>Labour1!Z48</f>
        <v>0.36133456415665677</v>
      </c>
      <c r="AA365" s="3532">
        <f>Labour1!AA48</f>
        <v>0.79102281089036275</v>
      </c>
      <c r="AB365" s="3532">
        <f>Labour1!AB48</f>
        <v>1.1602742940578281</v>
      </c>
      <c r="AC365" s="3532">
        <f>Labour1!AC48</f>
        <v>1.409866487963285</v>
      </c>
      <c r="AD365" s="3532">
        <f>Labour1!AD48</f>
        <v>1.2305210318973137</v>
      </c>
      <c r="AE365" s="3532">
        <f>Labour1!AE48</f>
        <v>0.99612014351748712</v>
      </c>
      <c r="AK365" s="3532">
        <v>0.2215832651876859</v>
      </c>
      <c r="AM365" s="3532">
        <f t="shared" si="428"/>
        <v>0.13975129896897087</v>
      </c>
    </row>
    <row r="366" spans="1:46" ht="12.75" hidden="1" customHeight="1">
      <c r="A366" s="714"/>
      <c r="B366" s="714"/>
      <c r="C366" s="3493"/>
      <c r="D366" s="3494"/>
      <c r="E366" s="3531" t="s">
        <v>2438</v>
      </c>
      <c r="F366" s="3496"/>
      <c r="G366" s="3532"/>
      <c r="H366" s="3532">
        <f ca="1">Labour1!H120</f>
        <v>1.6302574052862173</v>
      </c>
      <c r="I366" s="3532">
        <f>Labour1!I120</f>
        <v>2.7414936910700405</v>
      </c>
      <c r="J366" s="3532">
        <f>Labour1!J120</f>
        <v>0.74329713587637514</v>
      </c>
      <c r="K366" s="3532">
        <f>Labour1!K120</f>
        <v>3.9793516694228703</v>
      </c>
      <c r="L366" s="3532">
        <f>Labour1!L120</f>
        <v>2.8143422374599325</v>
      </c>
      <c r="M366" s="3532">
        <f>Labour1!M120</f>
        <v>3.7607462145590853</v>
      </c>
      <c r="N366" s="3532">
        <f>Labour1!N120</f>
        <v>3.0224926670392227</v>
      </c>
      <c r="O366" s="3532">
        <f>Labour1!O120</f>
        <v>1.7123757343111334</v>
      </c>
      <c r="P366" s="3532">
        <f>Labour1!P120</f>
        <v>1.9095322019114347</v>
      </c>
      <c r="Q366" s="3532">
        <f>Labour1!Q120</f>
        <v>2.0687645106812314</v>
      </c>
      <c r="R366" s="3532">
        <f>Labour1!R120</f>
        <v>3.5024872291094411</v>
      </c>
      <c r="S366" s="3532">
        <f>Labour1!S120</f>
        <v>2.8185989060385719</v>
      </c>
      <c r="T366" s="3532">
        <f>Labour1!T120</f>
        <v>3.4467296635595002</v>
      </c>
      <c r="U366" s="3532">
        <f>Labour1!U120</f>
        <v>0.42252227236936335</v>
      </c>
      <c r="V366" s="3532">
        <f>Labour1!V120</f>
        <v>1.1863335622985138</v>
      </c>
      <c r="W366" s="3532">
        <f>Labour1!W120</f>
        <v>3.2648818053929052</v>
      </c>
      <c r="X366" s="3532">
        <f>Labour1!X120</f>
        <v>2.8974262441915144</v>
      </c>
      <c r="Y366" s="3532">
        <f>Labour1!Y120</f>
        <v>2.4147965980412245</v>
      </c>
      <c r="Z366" s="3532">
        <f>Labour1!Z120</f>
        <v>1.0694538583888358</v>
      </c>
      <c r="AA366" s="3532">
        <f>Labour1!AA120</f>
        <v>-0.12314037381748744</v>
      </c>
      <c r="AB366" s="3532">
        <f>Labour1!AB120</f>
        <v>1.3194517937440642</v>
      </c>
      <c r="AC366" s="3532">
        <f>Labour1!AC120</f>
        <v>1.8816632838485781</v>
      </c>
      <c r="AD366" s="3532">
        <f>Labour1!AD120</f>
        <v>2.2592167210436331</v>
      </c>
      <c r="AE366" s="3532">
        <f>Labour1!AE120</f>
        <v>2.1631584726991893</v>
      </c>
      <c r="AK366" s="3532">
        <v>0.87803718365830896</v>
      </c>
      <c r="AM366" s="3532">
        <f t="shared" si="428"/>
        <v>0.19141667473052681</v>
      </c>
    </row>
    <row r="367" spans="1:46" ht="10.65" hidden="1" customHeight="1">
      <c r="A367" s="714"/>
      <c r="B367" s="714"/>
      <c r="C367" s="3493"/>
      <c r="D367" s="3494"/>
      <c r="E367" s="3531" t="s">
        <v>2439</v>
      </c>
      <c r="F367" s="3496"/>
      <c r="G367" s="3532"/>
      <c r="H367" s="3532"/>
      <c r="I367" s="3532">
        <f ca="1">'VVP2'!H$381</f>
        <v>2.064196774852034</v>
      </c>
      <c r="J367" s="3532">
        <f ca="1">'VVP2'!I381</f>
        <v>1.6274593135171544</v>
      </c>
      <c r="K367" s="3532">
        <f ca="1">'VVP2'!J381</f>
        <v>0.95362261799336601</v>
      </c>
      <c r="L367" s="3532">
        <f ca="1">'VVP2'!K381</f>
        <v>1.1192423590185019</v>
      </c>
      <c r="M367" s="3532">
        <f ca="1">'VVP2'!L381</f>
        <v>2.5462460942833998</v>
      </c>
      <c r="N367" s="3532">
        <f ca="1">'VVP2'!M381</f>
        <v>2.4712729209584117</v>
      </c>
      <c r="O367" s="3532">
        <f ca="1">'VVP2'!N381</f>
        <v>1.6434544648453508</v>
      </c>
      <c r="P367" s="3532">
        <f ca="1">'VVP2'!O381</f>
        <v>1.5913124567578318</v>
      </c>
      <c r="Q367" s="3532">
        <f ca="1">'VVP2'!P381</f>
        <v>2.0964112282364056</v>
      </c>
      <c r="R367" s="3532">
        <f ca="1">'VVP2'!Q381</f>
        <v>2.782242806984625</v>
      </c>
      <c r="S367" s="3532">
        <f ca="1">'VVP2'!R381</f>
        <v>-16.837599215196654</v>
      </c>
      <c r="T367" s="3532">
        <f ca="1">'VVP2'!S381</f>
        <v>1.8230563002680666</v>
      </c>
      <c r="U367" s="3532">
        <f ca="1">'VVP2'!T381</f>
        <v>4.4894442050840588</v>
      </c>
      <c r="V367" s="3532">
        <f ca="1">'VVP2'!U381</f>
        <v>-5.3145674125365527E-2</v>
      </c>
      <c r="W367" s="3532">
        <f ca="1">'VVP2'!V381</f>
        <v>2.1892992042245485</v>
      </c>
      <c r="X367" s="3532">
        <f ca="1">'VVP2'!W381</f>
        <v>3.5320821072274411</v>
      </c>
      <c r="Y367" s="3532">
        <f ca="1">'VVP2'!X381</f>
        <v>2.8396634344589833</v>
      </c>
      <c r="Z367" s="3532">
        <f ca="1">'VVP2'!Y381</f>
        <v>1.1130959402753549</v>
      </c>
      <c r="AA367" s="3532">
        <f ca="1">'VVP2'!Z381</f>
        <v>0.34000283335693382</v>
      </c>
      <c r="AB367" s="3532">
        <f ca="1">'VVP2'!AA381</f>
        <v>0.56142915279011607</v>
      </c>
      <c r="AC367" s="3532">
        <f ca="1">'VVP2'!AB381</f>
        <v>1.9738526465317152</v>
      </c>
      <c r="AD367" s="3532">
        <f ca="1">'VVP2'!AC381</f>
        <v>2.1259708600260829</v>
      </c>
      <c r="AE367" s="3532">
        <f ca="1">'VVP2'!AD381</f>
        <v>1.5704560715091702</v>
      </c>
      <c r="AK367" s="3532">
        <v>1.1122345803842082</v>
      </c>
      <c r="AM367" s="3532">
        <f t="shared" ca="1" si="428"/>
        <v>8.6135989114666245E-4</v>
      </c>
    </row>
    <row r="368" spans="1:46" ht="10.65" hidden="1" customHeight="1">
      <c r="A368" s="714"/>
      <c r="B368" s="714"/>
      <c r="C368" s="3493"/>
      <c r="D368" s="3494"/>
      <c r="E368" s="3531" t="s">
        <v>2436</v>
      </c>
      <c r="F368" s="3533">
        <v>1.55</v>
      </c>
      <c r="G368" s="3532"/>
      <c r="H368" s="3532"/>
      <c r="I368" s="3532">
        <f ca="1">(((1+I365/100)*(1+$F$368*(I366-I367)/100)*(1+I367/100))-1)*100</f>
        <v>3.9513514343684442</v>
      </c>
      <c r="J368" s="3532">
        <f ca="1">(((1+J365/100)*(1+$F$368*(J366-J367)/100)*(1+J367/100))-1)*100</f>
        <v>2.4062265375848657</v>
      </c>
      <c r="K368" s="3532">
        <f ca="1">(((1+K365/100)*(1+$F$368*(K366-K367)/100)*(1+K367/100))-1)*100</f>
        <v>7.4571887936836223</v>
      </c>
      <c r="L368" s="3532">
        <f t="shared" ref="L368:AA368" ca="1" si="463">(((1+L365/100)*(1+$F$368*(L366-L367)/100)*(1+L367/100))-1)*100</f>
        <v>6.4088703077755271</v>
      </c>
      <c r="M368" s="3532">
        <f t="shared" ca="1" si="463"/>
        <v>6.3870454217621164</v>
      </c>
      <c r="N368" s="3532">
        <f t="shared" ca="1" si="463"/>
        <v>3.3110321505487095</v>
      </c>
      <c r="O368" s="3532">
        <f t="shared" ca="1" si="463"/>
        <v>1.66108852591631</v>
      </c>
      <c r="P368" s="3532">
        <f t="shared" ca="1" si="463"/>
        <v>3.2090515192793712</v>
      </c>
      <c r="Q368" s="3532">
        <f t="shared" ca="1" si="463"/>
        <v>3.730717330808786</v>
      </c>
      <c r="R368" s="3532">
        <f t="shared" ca="1" si="463"/>
        <v>5.1906386860814724</v>
      </c>
      <c r="S368" s="3532">
        <f t="shared" ca="1" si="463"/>
        <v>10.441479485662008</v>
      </c>
      <c r="T368" s="3532">
        <f t="shared" ca="1" si="463"/>
        <v>6.3491038974140324</v>
      </c>
      <c r="U368" s="3532">
        <f t="shared" ca="1" si="463"/>
        <v>-2.4483150281347399</v>
      </c>
      <c r="V368" s="3532">
        <f t="shared" ca="1" si="463"/>
        <v>2.5016605016903393</v>
      </c>
      <c r="W368" s="3532">
        <f t="shared" ca="1" si="463"/>
        <v>5.3707591887164785</v>
      </c>
      <c r="X368" s="3532">
        <f t="shared" ca="1" si="463"/>
        <v>2.8346155466355771</v>
      </c>
      <c r="Y368" s="3532">
        <f t="shared" ca="1" si="463"/>
        <v>1.6050188119805409</v>
      </c>
      <c r="Z368" s="3532">
        <f t="shared" ca="1" si="463"/>
        <v>1.4098071753205099</v>
      </c>
      <c r="AA368" s="3532">
        <f t="shared" ca="1" si="463"/>
        <v>0.40770454984377924</v>
      </c>
      <c r="AB368" s="3532">
        <f t="shared" ref="AB368:AC368" ca="1" si="464">(((1+AB365/100)*(1+$F$368*(AB366-AB367)/100)*(1+AB367/100))-1)*100</f>
        <v>2.9234580931284171</v>
      </c>
      <c r="AC368" s="3532">
        <f t="shared" ca="1" si="464"/>
        <v>3.2637794288202793</v>
      </c>
      <c r="AD368" s="3532">
        <f t="shared" ref="AD368" ca="1" si="465">(((1+AD365/100)*(1+$F$368*(AD366-AD367)/100)*(1+AD367/100))-1)*100</f>
        <v>3.596169723776077</v>
      </c>
      <c r="AE368" s="3532">
        <f t="shared" ref="AE368" ca="1" si="466">(((1+AE365/100)*(1+$F$368*(AE366-AE367)/100)*(1+AE367/100))-1)*100</f>
        <v>3.5246311286273979</v>
      </c>
      <c r="AK368" s="3532">
        <v>0.96842562163055312</v>
      </c>
      <c r="AM368" s="3532">
        <f t="shared" ca="1" si="428"/>
        <v>0.4413815536899568</v>
      </c>
    </row>
    <row r="369" spans="1:39" ht="10.5" hidden="1" customHeight="1">
      <c r="A369" s="714"/>
      <c r="B369" s="714"/>
      <c r="C369" s="3493"/>
      <c r="D369" s="3494"/>
      <c r="E369" s="3531"/>
      <c r="F369" s="3496"/>
      <c r="G369" s="3499"/>
      <c r="H369" s="3499"/>
      <c r="I369" s="3499"/>
      <c r="J369" s="3499"/>
      <c r="K369" s="3499"/>
      <c r="L369" s="3499"/>
      <c r="M369" s="3499"/>
      <c r="N369" s="3499"/>
      <c r="O369" s="3499"/>
      <c r="P369" s="3499"/>
      <c r="Q369" s="3499"/>
      <c r="R369" s="3499"/>
      <c r="S369" s="3499"/>
      <c r="T369" s="3499"/>
      <c r="U369" s="3499"/>
      <c r="V369" s="3499"/>
      <c r="W369" s="3499"/>
      <c r="X369" s="3499"/>
      <c r="Y369" s="3499"/>
      <c r="Z369" s="3499"/>
      <c r="AA369" s="3499"/>
      <c r="AB369" s="3499"/>
      <c r="AC369" s="3499"/>
      <c r="AD369" s="3499"/>
      <c r="AE369" s="3499"/>
      <c r="AK369" s="3499"/>
      <c r="AM369" s="3499">
        <f t="shared" si="428"/>
        <v>0</v>
      </c>
    </row>
    <row r="370" spans="1:39" ht="10.65" hidden="1" customHeight="1">
      <c r="A370" s="714"/>
      <c r="B370" s="714"/>
      <c r="C370" s="3493"/>
      <c r="D370" s="3494"/>
      <c r="E370" s="3531" t="s">
        <v>2437</v>
      </c>
      <c r="F370" s="3524"/>
      <c r="G370" s="3499"/>
      <c r="H370" s="3499"/>
      <c r="I370" s="3532">
        <f ca="1">(H364-(H372/1000))*(1+I368/100)</f>
        <v>2.0197747583697789</v>
      </c>
      <c r="J370" s="3532">
        <f t="shared" ref="J370:AE370" ca="1" si="467">(I364-(I372/1000))*(1+J368/100)</f>
        <v>2.1017853934573916</v>
      </c>
      <c r="K370" s="3532">
        <f t="shared" ca="1" si="467"/>
        <v>1.981188189789145</v>
      </c>
      <c r="L370" s="3532">
        <f t="shared" ca="1" si="467"/>
        <v>1.7710692374026158</v>
      </c>
      <c r="M370" s="3532">
        <f t="shared" ca="1" si="467"/>
        <v>2.0332692121007176</v>
      </c>
      <c r="N370" s="3532">
        <f t="shared" ca="1" si="467"/>
        <v>2.0529968308957041</v>
      </c>
      <c r="O370" s="3532">
        <f t="shared" ca="1" si="467"/>
        <v>1.9836111593176791</v>
      </c>
      <c r="P370" s="3532">
        <f t="shared" ca="1" si="467"/>
        <v>1.9056519272519743</v>
      </c>
      <c r="Q370" s="3532">
        <f t="shared" ca="1" si="467"/>
        <v>2.0833277268719637</v>
      </c>
      <c r="R370" s="3532">
        <f t="shared" ca="1" si="467"/>
        <v>2.4270636064039577</v>
      </c>
      <c r="S370" s="3532">
        <f t="shared" ca="1" si="467"/>
        <v>2.7382860423675037</v>
      </c>
      <c r="T370" s="3532">
        <f t="shared" ca="1" si="467"/>
        <v>2.7879417586707089</v>
      </c>
      <c r="U370" s="3532">
        <f t="shared" ca="1" si="467"/>
        <v>2.8185608338921031</v>
      </c>
      <c r="V370" s="3532">
        <f t="shared" ca="1" si="467"/>
        <v>2.6704757610505387</v>
      </c>
      <c r="W370" s="3532">
        <f t="shared" ca="1" si="467"/>
        <v>2.9196129956009562</v>
      </c>
      <c r="X370" s="3532">
        <f t="shared" ca="1" si="467"/>
        <v>3.1025203510419952</v>
      </c>
      <c r="Y370" s="3532">
        <f t="shared" ca="1" si="467"/>
        <v>3.7131554124838289</v>
      </c>
      <c r="Z370" s="3532">
        <f t="shared" ca="1" si="467"/>
        <v>3.8023779597058622</v>
      </c>
      <c r="AA370" s="3532">
        <f t="shared" ca="1" si="467"/>
        <v>3.8852776778511635</v>
      </c>
      <c r="AB370" s="3532">
        <f t="shared" ca="1" si="467"/>
        <v>4.0702425456529374</v>
      </c>
      <c r="AC370" s="3532">
        <f t="shared" ca="1" si="467"/>
        <v>4.173542419197223</v>
      </c>
      <c r="AD370" s="3532">
        <f t="shared" ca="1" si="467"/>
        <v>4.2790898943119426</v>
      </c>
      <c r="AE370" s="3532">
        <f t="shared" ca="1" si="467"/>
        <v>4.3702099271168517</v>
      </c>
      <c r="AK370" s="3532">
        <v>3.7858282833153933</v>
      </c>
      <c r="AM370" s="3532">
        <f t="shared" ca="1" si="428"/>
        <v>1.6549676390468893E-2</v>
      </c>
    </row>
    <row r="371" spans="1:39" ht="10.65" hidden="1" customHeight="1">
      <c r="A371" s="714"/>
      <c r="B371" s="714"/>
      <c r="C371" s="3493"/>
      <c r="D371" s="3494"/>
      <c r="E371" s="3531" t="s">
        <v>2433</v>
      </c>
      <c r="F371" s="3496"/>
      <c r="G371" s="3499"/>
      <c r="H371" s="3499"/>
      <c r="I371" s="3499"/>
      <c r="J371" s="3499"/>
      <c r="K371" s="3499"/>
      <c r="L371" s="3499"/>
      <c r="M371" s="3499"/>
      <c r="N371" s="3499"/>
      <c r="O371" s="3499"/>
      <c r="P371" s="3499"/>
      <c r="Q371" s="3499"/>
      <c r="R371" s="3499"/>
      <c r="S371" s="3499"/>
      <c r="T371" s="3499"/>
      <c r="U371" s="3534"/>
      <c r="V371" s="3534"/>
      <c r="W371" s="3534"/>
      <c r="X371" s="3534">
        <v>270</v>
      </c>
      <c r="Y371" s="3715">
        <v>39.799999999999997</v>
      </c>
      <c r="Z371" s="3715">
        <v>-50</v>
      </c>
      <c r="AA371" s="3534"/>
      <c r="AB371" s="3534"/>
      <c r="AC371" s="3534"/>
      <c r="AD371" s="3534"/>
      <c r="AE371" s="3534"/>
      <c r="AK371" s="3715">
        <v>-50</v>
      </c>
      <c r="AM371" s="3715">
        <f t="shared" si="428"/>
        <v>0</v>
      </c>
    </row>
    <row r="372" spans="1:39" ht="10.65" hidden="1" customHeight="1">
      <c r="A372" s="714"/>
      <c r="B372" s="714"/>
      <c r="C372" s="3493"/>
      <c r="D372" s="3494"/>
      <c r="E372" s="3531" t="s">
        <v>2434</v>
      </c>
      <c r="F372" s="3496"/>
      <c r="G372" s="3499"/>
      <c r="H372" s="3499"/>
      <c r="I372" s="3499"/>
      <c r="J372" s="3499"/>
      <c r="K372" s="3499"/>
      <c r="L372" s="3499"/>
      <c r="M372" s="3499"/>
      <c r="N372" s="3499"/>
      <c r="O372" s="3499"/>
      <c r="P372" s="3499"/>
      <c r="Q372" s="3499"/>
      <c r="R372" s="3499"/>
      <c r="S372" s="3499"/>
      <c r="T372" s="3499"/>
      <c r="U372" s="3534"/>
      <c r="V372" s="3534"/>
      <c r="W372" s="3534"/>
      <c r="X372" s="3534"/>
      <c r="Y372" s="3534"/>
      <c r="Z372" s="3715">
        <v>0</v>
      </c>
      <c r="AA372" s="3534"/>
      <c r="AB372" s="3534"/>
      <c r="AC372" s="3534"/>
      <c r="AD372" s="3534"/>
      <c r="AE372" s="3534"/>
      <c r="AK372" s="3715">
        <v>0</v>
      </c>
      <c r="AM372" s="3715">
        <f t="shared" si="428"/>
        <v>0</v>
      </c>
    </row>
    <row r="373" spans="1:39" ht="10.65" hidden="1" customHeight="1">
      <c r="A373" s="714"/>
      <c r="B373" s="714"/>
      <c r="C373" s="3493"/>
      <c r="D373" s="3494"/>
      <c r="E373" s="3531" t="s">
        <v>2422</v>
      </c>
      <c r="F373" s="3496"/>
      <c r="G373" s="3499"/>
      <c r="H373" s="3532">
        <f t="shared" ref="H373:AA373" si="468">H364-H370-(H371/1000)-(H372/1000)</f>
        <v>1.9430000000000001</v>
      </c>
      <c r="I373" s="3532">
        <f t="shared" ca="1" si="468"/>
        <v>3.2625241630221069E-2</v>
      </c>
      <c r="J373" s="3532">
        <f t="shared" ca="1" si="468"/>
        <v>-0.25808539345739145</v>
      </c>
      <c r="K373" s="3532">
        <f t="shared" ca="1" si="468"/>
        <v>-0.31678818978914514</v>
      </c>
      <c r="L373" s="3532">
        <f t="shared" ca="1" si="468"/>
        <v>0.14013076259738422</v>
      </c>
      <c r="M373" s="3532">
        <f t="shared" ca="1" si="468"/>
        <v>-4.6069212100717571E-2</v>
      </c>
      <c r="N373" s="3532">
        <f t="shared" ca="1" si="468"/>
        <v>-0.10179683089570402</v>
      </c>
      <c r="O373" s="3532">
        <f t="shared" ca="1" si="468"/>
        <v>-0.13721115931767902</v>
      </c>
      <c r="P373" s="3532">
        <f t="shared" ca="1" si="468"/>
        <v>0.10274807274802567</v>
      </c>
      <c r="Q373" s="3532">
        <f t="shared" ca="1" si="468"/>
        <v>0.22397227312803603</v>
      </c>
      <c r="R373" s="3532">
        <f t="shared" ca="1" si="468"/>
        <v>5.2336393596042363E-2</v>
      </c>
      <c r="S373" s="3532">
        <f t="shared" ca="1" si="468"/>
        <v>-0.11678604236750356</v>
      </c>
      <c r="T373" s="3532">
        <f t="shared" ca="1" si="468"/>
        <v>0.10135824132929105</v>
      </c>
      <c r="U373" s="3532">
        <f t="shared" ca="1" si="468"/>
        <v>-0.21326083389210293</v>
      </c>
      <c r="V373" s="3532">
        <f t="shared" ca="1" si="468"/>
        <v>0.10032423894946119</v>
      </c>
      <c r="W373" s="3532">
        <f t="shared" ca="1" si="468"/>
        <v>9.7387004399043686E-2</v>
      </c>
      <c r="X373" s="3532">
        <f t="shared" ca="1" si="468"/>
        <v>0.28197964895800487</v>
      </c>
      <c r="Y373" s="3532">
        <f t="shared" ca="1" si="468"/>
        <v>-3.4384124838288607E-3</v>
      </c>
      <c r="Z373" s="3532">
        <f t="shared" ca="1" si="468"/>
        <v>0.11712358429413801</v>
      </c>
      <c r="AA373" s="3532">
        <f t="shared" ca="1" si="468"/>
        <v>6.9352900116836924E-2</v>
      </c>
      <c r="AB373" s="3532">
        <f t="shared" ref="AB373:AC373" ca="1" si="469">AB364-AB370-(AB371/1000)-(AB372/1000)</f>
        <v>-2.861009496964062E-2</v>
      </c>
      <c r="AC373" s="3532">
        <f t="shared" ca="1" si="469"/>
        <v>-4.2994054598893605E-2</v>
      </c>
      <c r="AD373" s="3532">
        <f t="shared" ref="AD373" ca="1" si="470">AD364-AD370-(AD371/1000)-(AD372/1000)</f>
        <v>-5.7669465692449684E-2</v>
      </c>
      <c r="AE373" s="3532">
        <f t="shared" ref="AE373" ca="1" si="471">AE364-AE370-(AE371/1000)-(AE372/1000)</f>
        <v>-5.591824906773013E-2</v>
      </c>
      <c r="AK373" s="3532">
        <v>0.13367326068460689</v>
      </c>
      <c r="AM373" s="3532">
        <f t="shared" ca="1" si="428"/>
        <v>-1.6549676390468879E-2</v>
      </c>
    </row>
    <row r="374" spans="1:39" ht="7.5" hidden="1" customHeight="1">
      <c r="A374" s="714"/>
      <c r="B374" s="714"/>
      <c r="C374" s="3493"/>
      <c r="D374" s="3494"/>
      <c r="E374" s="3531"/>
      <c r="F374" s="3496"/>
      <c r="G374" s="3499"/>
      <c r="H374" s="3499"/>
      <c r="I374" s="3499"/>
      <c r="J374" s="3499"/>
      <c r="K374" s="3499"/>
      <c r="L374" s="3499"/>
      <c r="M374" s="3499"/>
      <c r="N374" s="3499"/>
      <c r="O374" s="3499"/>
      <c r="P374" s="3499"/>
      <c r="Q374" s="3499"/>
      <c r="R374" s="3499"/>
      <c r="S374" s="3499"/>
      <c r="T374" s="3499"/>
      <c r="U374" s="3499"/>
      <c r="V374" s="3499"/>
      <c r="W374" s="3499"/>
      <c r="X374" s="3499"/>
      <c r="Y374" s="3499"/>
      <c r="Z374" s="3499"/>
      <c r="AA374" s="3499"/>
      <c r="AB374" s="3499"/>
      <c r="AC374" s="3499"/>
      <c r="AD374" s="3499"/>
      <c r="AE374" s="3499"/>
      <c r="AK374" s="3499"/>
      <c r="AM374" s="3499">
        <f t="shared" si="428"/>
        <v>0</v>
      </c>
    </row>
    <row r="375" spans="1:39" ht="10.65" hidden="1" customHeight="1">
      <c r="A375" s="714"/>
      <c r="B375" s="714"/>
      <c r="C375" s="3493"/>
      <c r="D375" s="3494"/>
      <c r="E375" s="3531" t="s">
        <v>401</v>
      </c>
      <c r="F375" s="3496"/>
      <c r="G375" s="3499"/>
      <c r="H375" s="3499">
        <f t="shared" ref="H375:X375" si="472">(H364/G364-1)*100</f>
        <v>-23.146902934894385</v>
      </c>
      <c r="I375" s="3499">
        <f t="shared" si="472"/>
        <v>5.6304683479155848</v>
      </c>
      <c r="J375" s="3499">
        <f t="shared" si="472"/>
        <v>-10.168583122198394</v>
      </c>
      <c r="K375" s="3499">
        <f t="shared" si="472"/>
        <v>-9.7250094917828438</v>
      </c>
      <c r="L375" s="3499">
        <f t="shared" si="472"/>
        <v>14.828166306176405</v>
      </c>
      <c r="M375" s="3499">
        <f t="shared" si="472"/>
        <v>3.976559229803267</v>
      </c>
      <c r="N375" s="3499">
        <f t="shared" si="472"/>
        <v>-1.8115942028985477</v>
      </c>
      <c r="O375" s="3499">
        <f t="shared" si="472"/>
        <v>-5.3710537105371099</v>
      </c>
      <c r="P375" s="3499">
        <f t="shared" si="472"/>
        <v>8.7738301559791907</v>
      </c>
      <c r="Q375" s="3499">
        <f t="shared" si="472"/>
        <v>14.882493527185803</v>
      </c>
      <c r="R375" s="3499">
        <f t="shared" si="472"/>
        <v>7.4589346855632233</v>
      </c>
      <c r="S375" s="3499">
        <f t="shared" si="472"/>
        <v>5.7312252964426991</v>
      </c>
      <c r="T375" s="3499">
        <f t="shared" si="472"/>
        <v>10.215525462521446</v>
      </c>
      <c r="U375" s="3499">
        <f t="shared" si="472"/>
        <v>-9.8293704357456768</v>
      </c>
      <c r="V375" s="3499">
        <f t="shared" si="472"/>
        <v>6.3524354201051514</v>
      </c>
      <c r="W375" s="3499">
        <f t="shared" si="472"/>
        <v>8.8855204273134092</v>
      </c>
      <c r="X375" s="3499">
        <f t="shared" si="472"/>
        <v>21.130261849519407</v>
      </c>
      <c r="Y375" s="3709">
        <v>2.6</v>
      </c>
      <c r="Z375" s="3709">
        <v>3.2</v>
      </c>
      <c r="AA375" s="3709">
        <v>2.2000000000000002</v>
      </c>
      <c r="AB375" s="3709">
        <v>2.2000000000000002</v>
      </c>
      <c r="AC375" s="3709">
        <v>2.2000000000000002</v>
      </c>
      <c r="AD375" s="3709">
        <v>2.2000000000000002</v>
      </c>
      <c r="AE375" s="3709">
        <v>2.2000000000000002</v>
      </c>
      <c r="AK375" s="3709">
        <v>3.2</v>
      </c>
      <c r="AM375" s="3709">
        <f t="shared" si="428"/>
        <v>0</v>
      </c>
    </row>
    <row r="376" spans="1:39" ht="10.65" hidden="1" customHeight="1">
      <c r="A376" s="714"/>
      <c r="B376" s="714"/>
      <c r="C376" s="3493"/>
      <c r="D376" s="3494"/>
      <c r="E376" s="3531" t="s">
        <v>2429</v>
      </c>
      <c r="F376" s="3496"/>
      <c r="G376" s="3499"/>
      <c r="H376" s="3499"/>
      <c r="I376" s="3499"/>
      <c r="J376" s="3499"/>
      <c r="K376" s="3499"/>
      <c r="L376" s="3499"/>
      <c r="M376" s="3499"/>
      <c r="N376" s="3499"/>
      <c r="O376" s="3499"/>
      <c r="P376" s="3499"/>
      <c r="Q376" s="3499"/>
      <c r="R376" s="3499"/>
      <c r="S376" s="3499"/>
      <c r="T376" s="3499"/>
      <c r="U376" s="3499"/>
      <c r="V376" s="3499"/>
      <c r="W376" s="3499"/>
      <c r="X376" s="3497">
        <f ca="1">100*((X370+0.001*X371+0.001*X372)/W364-1)</f>
        <v>11.783902918196731</v>
      </c>
      <c r="Y376" s="3497">
        <f t="shared" ref="Y376:AE376" ca="1" si="473">100*((Y370+0.001*Y371+0.001*Y372)/X364-1)</f>
        <v>2.6940870839739617</v>
      </c>
      <c r="Z376" s="3497">
        <f t="shared" ca="1" si="473"/>
        <v>7.6302086531732094E-2</v>
      </c>
      <c r="AA376" s="3497">
        <f t="shared" ca="1" si="473"/>
        <v>0.40770454984377924</v>
      </c>
      <c r="AB376" s="3497">
        <f t="shared" ca="1" si="473"/>
        <v>2.9234580931284171</v>
      </c>
      <c r="AC376" s="3497">
        <f t="shared" ca="1" si="473"/>
        <v>3.2637794288202793</v>
      </c>
      <c r="AD376" s="3497">
        <f t="shared" ca="1" si="473"/>
        <v>3.596169723776077</v>
      </c>
      <c r="AE376" s="3497">
        <f t="shared" ca="1" si="473"/>
        <v>3.5246311286273979</v>
      </c>
      <c r="AK376" s="3497">
        <v>-0.3650794671582136</v>
      </c>
      <c r="AM376" s="3497">
        <f t="shared" ca="1" si="428"/>
        <v>0.44138155368994569</v>
      </c>
    </row>
    <row r="377" spans="1:39" ht="10.65" hidden="1" customHeight="1">
      <c r="A377" s="714"/>
      <c r="B377" s="714"/>
      <c r="C377" s="3493"/>
      <c r="D377" s="3494"/>
      <c r="E377" s="3531" t="s">
        <v>2424</v>
      </c>
      <c r="F377" s="3496"/>
      <c r="G377" s="3499"/>
      <c r="H377" s="3499"/>
      <c r="I377" s="3499"/>
      <c r="J377" s="3499"/>
      <c r="K377" s="3499"/>
      <c r="L377" s="3499"/>
      <c r="M377" s="3499"/>
      <c r="N377" s="3499"/>
      <c r="O377" s="3499"/>
      <c r="P377" s="3499"/>
      <c r="Q377" s="3499"/>
      <c r="R377" s="3499"/>
      <c r="S377" s="3499"/>
      <c r="T377" s="3499"/>
      <c r="U377" s="3499"/>
      <c r="V377" s="3499"/>
      <c r="W377" s="3499"/>
      <c r="X377" s="3711">
        <v>3.69</v>
      </c>
      <c r="Y377" s="3711">
        <v>2.6</v>
      </c>
      <c r="Z377" s="3711">
        <v>3.2</v>
      </c>
      <c r="AA377" s="3711"/>
      <c r="AB377" s="3711"/>
      <c r="AC377" s="3711"/>
      <c r="AD377" s="3711"/>
      <c r="AE377" s="3711"/>
      <c r="AK377" s="3711">
        <v>3.2</v>
      </c>
      <c r="AM377" s="3711">
        <f t="shared" si="428"/>
        <v>0</v>
      </c>
    </row>
    <row r="378" spans="1:39" ht="12.75" hidden="1" customHeight="1">
      <c r="A378" s="714"/>
      <c r="B378" s="714"/>
      <c r="C378" s="3487" t="s">
        <v>622</v>
      </c>
      <c r="D378" s="3488"/>
      <c r="E378" s="3489" t="s">
        <v>2475</v>
      </c>
      <c r="F378" s="3530"/>
      <c r="G378" s="3491">
        <f>('[2]dir&amp;indir taxes'!C143+[2]TaxesEU!C143)/1000</f>
        <v>21.786900000000003</v>
      </c>
      <c r="H378" s="3491">
        <f>('[2]dir&amp;indir taxes'!D143+[2]TaxesEU!D143)/1000</f>
        <v>22.465700000000002</v>
      </c>
      <c r="I378" s="3491">
        <f>('[2]dir&amp;indir taxes'!E143+[2]TaxesEU!E143)/1000</f>
        <v>23.8645</v>
      </c>
      <c r="J378" s="3491">
        <f>('[2]dir&amp;indir taxes'!F143+[2]TaxesEU!F143)/1000</f>
        <v>25.4192</v>
      </c>
      <c r="K378" s="3491">
        <f>('[2]dir&amp;indir taxes'!G143+[2]TaxesEU!G143)/1000</f>
        <v>26.010300000000001</v>
      </c>
      <c r="L378" s="3491">
        <f>('[2]dir&amp;indir taxes'!H143+[2]TaxesEU!H143)/1000</f>
        <v>28.1187</v>
      </c>
      <c r="M378" s="3491">
        <f>('[2]dir&amp;indir taxes'!I143+[2]TaxesEU!I143)/1000</f>
        <v>29.821300000000001</v>
      </c>
      <c r="N378" s="3491">
        <f>('[2]dir&amp;indir taxes'!J143+[2]TaxesEU!J143)/1000</f>
        <v>30.334900000000001</v>
      </c>
      <c r="O378" s="3491">
        <f>('[2]dir&amp;indir taxes'!K143+[2]TaxesEU!K143)/1000</f>
        <v>30.616400000000002</v>
      </c>
      <c r="P378" s="3491">
        <f>('[2]dir&amp;indir taxes'!L143+[2]TaxesEU!L143)/1000</f>
        <v>31.931999999999999</v>
      </c>
      <c r="Q378" s="3491">
        <f>('[2]dir&amp;indir taxes'!M143+[2]TaxesEU!M143)/1000</f>
        <v>33.187100000000001</v>
      </c>
      <c r="R378" s="3491">
        <f>('[2]dir&amp;indir taxes'!N143+[2]TaxesEU!N143)/1000</f>
        <v>34.922699999999999</v>
      </c>
      <c r="S378" s="3491">
        <f>('[2]dir&amp;indir taxes'!O143+[2]TaxesEU!O143)/1000</f>
        <v>36.463200000000001</v>
      </c>
      <c r="T378" s="3491">
        <f>('[2]dir&amp;indir taxes'!P143+[2]TaxesEU!P143)/1000</f>
        <v>38.792099999999998</v>
      </c>
      <c r="U378" s="3491">
        <f>('[2]dir&amp;indir taxes'!Q143+[2]TaxesEU!Q143)/1000</f>
        <v>39.191600000000001</v>
      </c>
      <c r="V378" s="3491">
        <f>('[2]dir&amp;indir taxes'!R143+[2]TaxesEU!R143)/1000</f>
        <v>40.369699999999995</v>
      </c>
      <c r="W378" s="3716">
        <f>('[2]dir&amp;indir taxes'!S143+[2]TaxesEU!S143)/1000</f>
        <v>42.823699999999995</v>
      </c>
      <c r="X378" s="3716">
        <f>('[2]dir&amp;indir taxes'!T143+[2]TaxesEU!T143)/1000</f>
        <v>44.054600000000001</v>
      </c>
      <c r="Y378" s="3492">
        <f t="shared" ref="Y378:AE378" si="474">+X378*(1+Y390/100)</f>
        <v>43.966490800000003</v>
      </c>
      <c r="Z378" s="3492">
        <f t="shared" si="474"/>
        <v>45.417384996399996</v>
      </c>
      <c r="AA378" s="3492">
        <f t="shared" si="474"/>
        <v>47.597419476227195</v>
      </c>
      <c r="AB378" s="3492">
        <f t="shared" si="474"/>
        <v>49.8820956110861</v>
      </c>
      <c r="AC378" s="3492">
        <f t="shared" si="474"/>
        <v>52.276436200418239</v>
      </c>
      <c r="AD378" s="3492">
        <f t="shared" si="474"/>
        <v>54.785705138038317</v>
      </c>
      <c r="AE378" s="3492">
        <f t="shared" si="474"/>
        <v>57.415418984664157</v>
      </c>
      <c r="AK378" s="3492">
        <v>45.417384996399996</v>
      </c>
      <c r="AM378" s="3492">
        <f t="shared" si="428"/>
        <v>0</v>
      </c>
    </row>
    <row r="379" spans="1:39" ht="12.75" hidden="1" customHeight="1">
      <c r="A379" s="714"/>
      <c r="B379" s="714"/>
      <c r="C379" s="3493"/>
      <c r="D379" s="3494"/>
      <c r="E379" s="3531" t="s">
        <v>2484</v>
      </c>
      <c r="F379" s="3535"/>
      <c r="G379" s="3499"/>
      <c r="H379" s="3532">
        <f ca="1">H209</f>
        <v>2.1080086962724565</v>
      </c>
      <c r="I379" s="3532">
        <f t="shared" ref="I379:AA379" si="475">I209</f>
        <v>4.0165960988233218</v>
      </c>
      <c r="J379" s="3532">
        <f t="shared" si="475"/>
        <v>3.1665196900057646</v>
      </c>
      <c r="K379" s="3532">
        <f t="shared" si="475"/>
        <v>2.0189526241006783</v>
      </c>
      <c r="L379" s="3532">
        <f t="shared" si="475"/>
        <v>5.2228557160097999</v>
      </c>
      <c r="M379" s="3532">
        <f t="shared" si="475"/>
        <v>2.5544481358434679</v>
      </c>
      <c r="N379" s="3532">
        <f t="shared" si="475"/>
        <v>-1.5117702109279429</v>
      </c>
      <c r="O379" s="3532">
        <f t="shared" si="475"/>
        <v>1.6589743857487349</v>
      </c>
      <c r="P379" s="3532">
        <f t="shared" si="475"/>
        <v>1.5990324146236912</v>
      </c>
      <c r="Q379" s="3532">
        <f t="shared" si="475"/>
        <v>4.6035637558448306</v>
      </c>
      <c r="R379" s="3532">
        <f t="shared" si="475"/>
        <v>5.6847176850366221</v>
      </c>
      <c r="S379" s="3532">
        <f t="shared" si="475"/>
        <v>4.4831740936599029</v>
      </c>
      <c r="T379" s="3532">
        <f t="shared" si="475"/>
        <v>2.4501094091903708</v>
      </c>
      <c r="U379" s="3532">
        <f t="shared" si="475"/>
        <v>-3.2956212876204094</v>
      </c>
      <c r="V379" s="3532">
        <f t="shared" si="475"/>
        <v>1.413530579746336</v>
      </c>
      <c r="W379" s="3532">
        <f t="shared" si="475"/>
        <v>1.9737916705686587</v>
      </c>
      <c r="X379" s="3532">
        <f t="shared" si="475"/>
        <v>1.2630544817717748</v>
      </c>
      <c r="Y379" s="3532">
        <f t="shared" si="475"/>
        <v>-0.14742356752379671</v>
      </c>
      <c r="Z379" s="3532">
        <f t="shared" si="475"/>
        <v>3.3271024089387424</v>
      </c>
      <c r="AA379" s="3532">
        <f t="shared" si="475"/>
        <v>1.5034842813835825</v>
      </c>
      <c r="AB379" s="3532">
        <f t="shared" ref="AB379:AC379" si="476">AB209</f>
        <v>0.92417309768160205</v>
      </c>
      <c r="AC379" s="3532">
        <f t="shared" si="476"/>
        <v>2</v>
      </c>
      <c r="AD379" s="3532">
        <f t="shared" ref="AD379" si="477">AD209</f>
        <v>2</v>
      </c>
      <c r="AE379" s="3532">
        <f t="shared" ref="AE379" si="478">AE209</f>
        <v>2</v>
      </c>
      <c r="AK379" s="3532">
        <v>2.7</v>
      </c>
      <c r="AM379" s="3532">
        <f t="shared" si="428"/>
        <v>0.62710240893874225</v>
      </c>
    </row>
    <row r="380" spans="1:39" ht="12.75" hidden="1" customHeight="1">
      <c r="A380" s="714"/>
      <c r="B380" s="714"/>
      <c r="C380" s="3493"/>
      <c r="D380" s="3494"/>
      <c r="E380" s="3531" t="s">
        <v>2485</v>
      </c>
      <c r="F380" s="3496"/>
      <c r="G380" s="3532"/>
      <c r="H380" s="3532">
        <f>Labour1!H49</f>
        <v>0.8735500501217075</v>
      </c>
      <c r="I380" s="3532">
        <f>Labour1!I49</f>
        <v>0.18455423055079301</v>
      </c>
      <c r="J380" s="3532">
        <f>Labour1!J49</f>
        <v>-0.11336261867644915</v>
      </c>
      <c r="K380" s="3532">
        <f>Labour1!K49</f>
        <v>1.4186409419769674E-2</v>
      </c>
      <c r="L380" s="3532">
        <f>Labour1!L49</f>
        <v>-0.453900709219901</v>
      </c>
      <c r="M380" s="3532">
        <f>Labour1!M49</f>
        <v>-0.8549444286121366</v>
      </c>
      <c r="N380" s="3532">
        <f>Labour1!N49</f>
        <v>-0.96292037941928532</v>
      </c>
      <c r="O380" s="3532">
        <f>Labour1!O49</f>
        <v>-4.3535045711895481E-2</v>
      </c>
      <c r="P380" s="3532">
        <f>Labour1!P49</f>
        <v>0.4210220673635412</v>
      </c>
      <c r="Q380" s="3532">
        <f>Labour1!Q49</f>
        <v>0.41925690328177279</v>
      </c>
      <c r="R380" s="3532">
        <f>Labour1!R49</f>
        <v>0.64785488050669304</v>
      </c>
      <c r="S380" s="3532">
        <f>Labour1!S49</f>
        <v>0.92976684308396784</v>
      </c>
      <c r="T380" s="3532">
        <f>Labour1!T49</f>
        <v>1.4172335600907138</v>
      </c>
      <c r="U380" s="3532">
        <f>Labour1!U49</f>
        <v>0.83845723868090083</v>
      </c>
      <c r="V380" s="3532">
        <f>Labour1!V49</f>
        <v>0.73447893569846823</v>
      </c>
      <c r="W380" s="3532">
        <f>Labour1!W49</f>
        <v>1.1005640390700178</v>
      </c>
      <c r="X380" s="3532">
        <f>Labour1!X49</f>
        <v>1.0613688937270105</v>
      </c>
      <c r="Y380" s="3532">
        <f>Labour1!Y49</f>
        <v>0.79439881513403421</v>
      </c>
      <c r="Z380" s="3532">
        <f>Labour1!Z49</f>
        <v>0.81485439487034572</v>
      </c>
      <c r="AA380" s="3532">
        <f>Labour1!AA49</f>
        <v>1.3780310056975775</v>
      </c>
      <c r="AB380" s="3532">
        <f>Labour1!AB49</f>
        <v>1.7252646712848874</v>
      </c>
      <c r="AC380" s="3532">
        <f>Labour1!AC49</f>
        <v>1.4004882436078114</v>
      </c>
      <c r="AD380" s="3532">
        <f>Labour1!AD49</f>
        <v>1.3</v>
      </c>
      <c r="AE380" s="3532">
        <f>Labour1!AE49</f>
        <v>1.3</v>
      </c>
      <c r="AK380" s="3532">
        <v>0.97113210057200305</v>
      </c>
      <c r="AM380" s="3532">
        <f t="shared" si="428"/>
        <v>-0.15627770570165733</v>
      </c>
    </row>
    <row r="381" spans="1:39" ht="12.75" hidden="1" customHeight="1">
      <c r="A381" s="714"/>
      <c r="B381" s="714"/>
      <c r="C381" s="3493"/>
      <c r="D381" s="3494"/>
      <c r="E381" s="3531" t="s">
        <v>2486</v>
      </c>
      <c r="F381" s="3535"/>
      <c r="G381" s="3532"/>
      <c r="H381" s="3532">
        <f ca="1">H379-H380</f>
        <v>1.234458646150749</v>
      </c>
      <c r="I381" s="3532">
        <f t="shared" ref="I381:AA381" si="479">I379-I380</f>
        <v>3.8320418682725288</v>
      </c>
      <c r="J381" s="3532">
        <f t="shared" si="479"/>
        <v>3.2798823086822138</v>
      </c>
      <c r="K381" s="3532">
        <f t="shared" ref="K381" si="480">K379-K380</f>
        <v>2.0047662146809087</v>
      </c>
      <c r="L381" s="3532">
        <f t="shared" si="479"/>
        <v>5.6767564252297014</v>
      </c>
      <c r="M381" s="3532">
        <f t="shared" si="479"/>
        <v>3.4093925644556045</v>
      </c>
      <c r="N381" s="3532">
        <f t="shared" si="479"/>
        <v>-0.54884983150865763</v>
      </c>
      <c r="O381" s="3532">
        <f t="shared" si="479"/>
        <v>1.7025094314606304</v>
      </c>
      <c r="P381" s="3532">
        <f t="shared" si="479"/>
        <v>1.17801034726015</v>
      </c>
      <c r="Q381" s="3532">
        <f t="shared" si="479"/>
        <v>4.1843068525630578</v>
      </c>
      <c r="R381" s="3532">
        <f t="shared" si="479"/>
        <v>5.0368628045299291</v>
      </c>
      <c r="S381" s="3532">
        <f t="shared" si="479"/>
        <v>3.5534072505759351</v>
      </c>
      <c r="T381" s="3532">
        <f t="shared" si="479"/>
        <v>1.032875849099657</v>
      </c>
      <c r="U381" s="3532">
        <f t="shared" si="479"/>
        <v>-4.1340785263013107</v>
      </c>
      <c r="V381" s="3532">
        <f t="shared" si="479"/>
        <v>0.67905164404786778</v>
      </c>
      <c r="W381" s="3532">
        <f t="shared" si="479"/>
        <v>0.87322763149864091</v>
      </c>
      <c r="X381" s="3532">
        <f t="shared" si="479"/>
        <v>0.20168558804476433</v>
      </c>
      <c r="Y381" s="3532">
        <f t="shared" si="479"/>
        <v>-0.94182238265783091</v>
      </c>
      <c r="Z381" s="3532">
        <f t="shared" si="479"/>
        <v>2.5122480140683967</v>
      </c>
      <c r="AA381" s="3532">
        <f t="shared" si="479"/>
        <v>0.12545327568600495</v>
      </c>
      <c r="AB381" s="3532">
        <f t="shared" ref="AB381:AC381" si="481">AB379-AB380</f>
        <v>-0.80109157360328531</v>
      </c>
      <c r="AC381" s="3532">
        <f t="shared" si="481"/>
        <v>0.59951175639218857</v>
      </c>
      <c r="AD381" s="3532">
        <f t="shared" ref="AD381" si="482">AD379-AD380</f>
        <v>0.7</v>
      </c>
      <c r="AE381" s="3532">
        <f t="shared" ref="AE381" si="483">AE379-AE380</f>
        <v>0.7</v>
      </c>
      <c r="AK381" s="3532">
        <v>1.7288678994279971</v>
      </c>
      <c r="AM381" s="3532">
        <f t="shared" si="428"/>
        <v>0.78338011464039958</v>
      </c>
    </row>
    <row r="382" spans="1:39" ht="10.5" hidden="1" customHeight="1">
      <c r="A382" s="714"/>
      <c r="B382" s="714"/>
      <c r="C382" s="3493"/>
      <c r="D382" s="3494"/>
      <c r="E382" s="3531" t="s">
        <v>2439</v>
      </c>
      <c r="F382" s="3496"/>
      <c r="G382" s="3532"/>
      <c r="H382" s="3532"/>
      <c r="I382" s="3532">
        <f ca="1">'VVP2'!H381</f>
        <v>2.064196774852034</v>
      </c>
      <c r="J382" s="3532">
        <f ca="1">'VVP2'!I381</f>
        <v>1.6274593135171544</v>
      </c>
      <c r="K382" s="3532">
        <f ca="1">'VVP2'!J381</f>
        <v>0.95362261799336601</v>
      </c>
      <c r="L382" s="3532">
        <f ca="1">'VVP2'!K381</f>
        <v>1.1192423590185019</v>
      </c>
      <c r="M382" s="3532">
        <f ca="1">'VVP2'!L381</f>
        <v>2.5462460942833998</v>
      </c>
      <c r="N382" s="3532">
        <f ca="1">'VVP2'!M381</f>
        <v>2.4712729209584117</v>
      </c>
      <c r="O382" s="3532">
        <f ca="1">'VVP2'!N381</f>
        <v>1.6434544648453508</v>
      </c>
      <c r="P382" s="3532">
        <f ca="1">'VVP2'!O381</f>
        <v>1.5913124567578318</v>
      </c>
      <c r="Q382" s="3532">
        <f ca="1">'VVP2'!P381</f>
        <v>2.0964112282364056</v>
      </c>
      <c r="R382" s="3532">
        <f ca="1">'VVP2'!Q381</f>
        <v>2.782242806984625</v>
      </c>
      <c r="S382" s="3532">
        <f ca="1">'VVP2'!R381</f>
        <v>-16.837599215196654</v>
      </c>
      <c r="T382" s="3532">
        <f ca="1">'VVP2'!S381</f>
        <v>1.8230563002680666</v>
      </c>
      <c r="U382" s="3532">
        <f ca="1">'VVP2'!T381</f>
        <v>4.4894442050840588</v>
      </c>
      <c r="V382" s="3532">
        <f ca="1">'VVP2'!U381</f>
        <v>-5.3145674125365527E-2</v>
      </c>
      <c r="W382" s="3532">
        <f ca="1">'VVP2'!V381</f>
        <v>2.1892992042245485</v>
      </c>
      <c r="X382" s="3532">
        <f ca="1">'VVP2'!W381</f>
        <v>3.5320821072274411</v>
      </c>
      <c r="Y382" s="3532">
        <f ca="1">'VVP2'!X381</f>
        <v>2.8396634344589833</v>
      </c>
      <c r="Z382" s="3532">
        <f ca="1">'VVP2'!Y381</f>
        <v>1.1130959402753549</v>
      </c>
      <c r="AA382" s="3532">
        <f ca="1">'VVP2'!Z381</f>
        <v>0.34000283335693382</v>
      </c>
      <c r="AB382" s="3532">
        <f ca="1">'VVP2'!AA381</f>
        <v>0.56142915279011607</v>
      </c>
      <c r="AC382" s="3532">
        <f ca="1">'VVP2'!AB381</f>
        <v>1.9738526465317152</v>
      </c>
      <c r="AD382" s="3532">
        <f ca="1">'VVP2'!AC381</f>
        <v>2.1259708600260829</v>
      </c>
      <c r="AE382" s="3532">
        <f ca="1">'VVP2'!AD381</f>
        <v>1.5704560715091702</v>
      </c>
      <c r="AK382" s="3532">
        <v>1.1122345803842082</v>
      </c>
      <c r="AM382" s="3532">
        <f t="shared" ca="1" si="428"/>
        <v>8.6135989114666245E-4</v>
      </c>
    </row>
    <row r="383" spans="1:39" ht="10.5" hidden="1" customHeight="1">
      <c r="A383" s="714"/>
      <c r="B383" s="714"/>
      <c r="C383" s="3493"/>
      <c r="D383" s="3494"/>
      <c r="E383" s="3531" t="s">
        <v>2436</v>
      </c>
      <c r="F383" s="3533">
        <v>1.55</v>
      </c>
      <c r="G383" s="3532"/>
      <c r="H383" s="3532"/>
      <c r="I383" s="3532">
        <f t="shared" ref="I383:Z383" ca="1" si="484">(((1+I380/100)*(1+$F$383*(I381-I382)/100)*(1+I382/100))-1)*100</f>
        <v>5.0544442239665699</v>
      </c>
      <c r="J383" s="3532">
        <f t="shared" ca="1" si="484"/>
        <v>4.1122400404940418</v>
      </c>
      <c r="K383" s="3532">
        <f t="shared" ca="1" si="484"/>
        <v>2.612987338306727</v>
      </c>
      <c r="L383" s="3532">
        <f t="shared" ca="1" si="484"/>
        <v>7.7710500380536063</v>
      </c>
      <c r="M383" s="3532">
        <f t="shared" ca="1" si="484"/>
        <v>3.0297459994836684</v>
      </c>
      <c r="N383" s="3532">
        <f t="shared" ca="1" si="484"/>
        <v>-3.2661290134082921</v>
      </c>
      <c r="O383" s="3532">
        <f t="shared" ca="1" si="484"/>
        <v>1.6922029732320265</v>
      </c>
      <c r="P383" s="3532">
        <f t="shared" ca="1" si="484"/>
        <v>1.3654817284012299</v>
      </c>
      <c r="Q383" s="3532">
        <f t="shared" ca="1" si="484"/>
        <v>5.8423931557877173</v>
      </c>
      <c r="R383" s="3532">
        <f t="shared" ca="1" si="484"/>
        <v>7.0632837745188581</v>
      </c>
      <c r="S383" s="3532">
        <f t="shared" ca="1" si="484"/>
        <v>10.464358769413273</v>
      </c>
      <c r="T383" s="3532">
        <f t="shared" ca="1" si="484"/>
        <v>2.0013442684351013</v>
      </c>
      <c r="U383" s="3532">
        <f t="shared" ca="1" si="484"/>
        <v>-8.7180999600432472</v>
      </c>
      <c r="V383" s="3532">
        <f t="shared" ca="1" si="484"/>
        <v>1.8235768219226012</v>
      </c>
      <c r="W383" s="3532">
        <f t="shared" ca="1" si="484"/>
        <v>1.2064451559909317</v>
      </c>
      <c r="X383" s="3532">
        <f t="shared" ca="1" si="484"/>
        <v>-0.77022958321775192</v>
      </c>
      <c r="Y383" s="3532">
        <f t="shared" ca="1" si="484"/>
        <v>-2.4190081220635595</v>
      </c>
      <c r="Z383" s="3532">
        <f t="shared" ca="1" si="484"/>
        <v>4.1477140464176498</v>
      </c>
      <c r="AA383" s="3532">
        <f t="shared" ref="AA383:AB383" ca="1" si="485">(((1+AA380/100)*(1+$F$383*(AA381-AA382)/100)*(1+AA382/100))-1)*100</f>
        <v>1.3844384352268646</v>
      </c>
      <c r="AB383" s="3532">
        <f t="shared" ca="1" si="485"/>
        <v>0.1359754249181222</v>
      </c>
      <c r="AC383" s="3532">
        <f t="shared" ref="AC383:AD383" ca="1" si="486">(((1+AC380/100)*(1+$F$383*(AC381-AC382)/100)*(1+AC382/100))-1)*100</f>
        <v>1.1992860461498722</v>
      </c>
      <c r="AD383" s="3532">
        <f t="shared" ca="1" si="486"/>
        <v>1.1670200997958347</v>
      </c>
      <c r="AE383" s="3532">
        <f t="shared" ref="AE383" ca="1" si="487">(((1+AE380/100)*(1+$F$383*(AE381-AE382)/100)*(1+AE382/100))-1)*100</f>
        <v>1.5026612447861298</v>
      </c>
      <c r="AK383" s="3532">
        <v>3.0699652653702225</v>
      </c>
      <c r="AM383" s="3532">
        <f t="shared" ca="1" si="428"/>
        <v>1.0777487810474273</v>
      </c>
    </row>
    <row r="384" spans="1:39" ht="10.5" hidden="1" customHeight="1">
      <c r="A384" s="714"/>
      <c r="B384" s="714"/>
      <c r="C384" s="3493"/>
      <c r="D384" s="3494"/>
      <c r="E384" s="3531"/>
      <c r="F384" s="3496"/>
      <c r="G384" s="3499"/>
      <c r="H384" s="3499"/>
      <c r="I384" s="3499"/>
      <c r="J384" s="3499"/>
      <c r="K384" s="3499"/>
      <c r="L384" s="3499"/>
      <c r="M384" s="3499"/>
      <c r="N384" s="3499"/>
      <c r="O384" s="3499"/>
      <c r="P384" s="3499"/>
      <c r="Q384" s="3499"/>
      <c r="R384" s="3499"/>
      <c r="S384" s="3499"/>
      <c r="T384" s="3499"/>
      <c r="U384" s="3499"/>
      <c r="V384" s="3499"/>
      <c r="W384" s="3499"/>
      <c r="X384" s="3499"/>
      <c r="Y384" s="3499"/>
      <c r="Z384" s="3499"/>
      <c r="AA384" s="3499"/>
      <c r="AB384" s="3499"/>
      <c r="AC384" s="3499"/>
      <c r="AD384" s="3499"/>
      <c r="AE384" s="3499"/>
      <c r="AK384" s="3499"/>
      <c r="AM384" s="3499">
        <f t="shared" si="428"/>
        <v>0</v>
      </c>
    </row>
    <row r="385" spans="1:46" ht="10.5" hidden="1" customHeight="1">
      <c r="A385" s="714"/>
      <c r="B385" s="714"/>
      <c r="C385" s="3493"/>
      <c r="D385" s="3494"/>
      <c r="E385" s="3531" t="s">
        <v>2437</v>
      </c>
      <c r="F385" s="3524"/>
      <c r="G385" s="3499"/>
      <c r="H385" s="3499"/>
      <c r="I385" s="3532">
        <f t="shared" ref="I385:Z385" ca="1" si="488">(H378-(H387/1000))*(1+I383/100)</f>
        <v>23.60121627602366</v>
      </c>
      <c r="J385" s="3532">
        <f t="shared" ca="1" si="488"/>
        <v>24.845865524463701</v>
      </c>
      <c r="K385" s="3532">
        <f t="shared" ca="1" si="488"/>
        <v>26.083400477498863</v>
      </c>
      <c r="L385" s="3532">
        <f t="shared" ca="1" si="488"/>
        <v>28.031573428047857</v>
      </c>
      <c r="M385" s="3532">
        <f t="shared" ca="1" si="488"/>
        <v>28.970625188356816</v>
      </c>
      <c r="N385" s="3532">
        <f t="shared" ca="1" si="488"/>
        <v>28.847297868524475</v>
      </c>
      <c r="O385" s="3532">
        <f t="shared" ca="1" si="488"/>
        <v>30.848228079726962</v>
      </c>
      <c r="P385" s="3532">
        <f t="shared" ca="1" si="488"/>
        <v>31.034461347894236</v>
      </c>
      <c r="Q385" s="3532">
        <f t="shared" ca="1" si="488"/>
        <v>33.797592982506131</v>
      </c>
      <c r="R385" s="3532">
        <f t="shared" ca="1" si="488"/>
        <v>35.531199049533349</v>
      </c>
      <c r="S385" s="3532">
        <f t="shared" ca="1" si="488"/>
        <v>38.577136619965891</v>
      </c>
      <c r="T385" s="3532">
        <f t="shared" ca="1" si="488"/>
        <v>37.192954163288029</v>
      </c>
      <c r="U385" s="3532">
        <f t="shared" ca="1" si="488"/>
        <v>35.41016594540006</v>
      </c>
      <c r="V385" s="3532">
        <f t="shared" ca="1" si="488"/>
        <v>39.906288933740619</v>
      </c>
      <c r="W385" s="3532">
        <f t="shared" ca="1" si="488"/>
        <v>40.856738290138068</v>
      </c>
      <c r="X385" s="3532">
        <f t="shared" ca="1" si="488"/>
        <v>42.493859193971574</v>
      </c>
      <c r="Y385" s="3532">
        <f t="shared" ca="1" si="488"/>
        <v>42.98891564785739</v>
      </c>
      <c r="Z385" s="3532">
        <f t="shared" ca="1" si="488"/>
        <v>45.790095114628528</v>
      </c>
      <c r="AA385" s="3532">
        <f ca="1">(Z378-(Z387/1000))*(1+AA383/100)</f>
        <v>46.04616073056512</v>
      </c>
      <c r="AB385" s="3532">
        <f ca="1">(AA378-(AA387/1000))*(1+AB383/100)</f>
        <v>47.662140269610056</v>
      </c>
      <c r="AC385" s="3532">
        <f ca="1">(AB378-(AB387/1000))*(1+AC383/100)</f>
        <v>50.480324623276992</v>
      </c>
      <c r="AD385" s="3532">
        <f ca="1">(AC378-(AC387/1000))*(1+AD383/100)</f>
        <v>52.886512718334068</v>
      </c>
      <c r="AE385" s="3532">
        <f ca="1">(AD378-(AD387/1000))*(1+AE383/100)</f>
        <v>55.608948696830424</v>
      </c>
      <c r="AK385" s="3532">
        <v>45.316246795962201</v>
      </c>
      <c r="AM385" s="3532">
        <f t="shared" ca="1" si="428"/>
        <v>0.47384831866632737</v>
      </c>
    </row>
    <row r="386" spans="1:46" ht="10.5" hidden="1" customHeight="1">
      <c r="A386" s="714"/>
      <c r="B386" s="714"/>
      <c r="C386" s="3493"/>
      <c r="D386" s="3494"/>
      <c r="E386" s="3531" t="s">
        <v>2433</v>
      </c>
      <c r="F386" s="3496"/>
      <c r="G386" s="3499"/>
      <c r="H386" s="3499"/>
      <c r="I386" s="3499"/>
      <c r="J386" s="3499"/>
      <c r="K386" s="3499"/>
      <c r="L386" s="3499"/>
      <c r="M386" s="3499"/>
      <c r="N386" s="3499"/>
      <c r="O386" s="3499"/>
      <c r="P386" s="3499"/>
      <c r="Q386" s="3499"/>
      <c r="R386" s="3499"/>
      <c r="S386" s="3499"/>
      <c r="T386" s="3499"/>
      <c r="U386" s="3534"/>
      <c r="V386" s="3534"/>
      <c r="W386" s="3534"/>
      <c r="X386" s="3534"/>
      <c r="Y386" s="3715">
        <v>0</v>
      </c>
      <c r="Z386" s="3715">
        <v>0</v>
      </c>
      <c r="AA386" s="3534"/>
      <c r="AB386" s="3534"/>
      <c r="AC386" s="3534"/>
      <c r="AD386" s="3534"/>
      <c r="AE386" s="3534"/>
      <c r="AK386" s="3715">
        <v>0</v>
      </c>
      <c r="AM386" s="3715">
        <f t="shared" si="428"/>
        <v>0</v>
      </c>
    </row>
    <row r="387" spans="1:46" ht="10.5" hidden="1" customHeight="1">
      <c r="A387" s="714"/>
      <c r="B387" s="714"/>
      <c r="C387" s="3493"/>
      <c r="D387" s="3494"/>
      <c r="E387" s="3531" t="s">
        <v>2434</v>
      </c>
      <c r="F387" s="3496"/>
      <c r="G387" s="3499"/>
      <c r="H387" s="3499"/>
      <c r="I387" s="3499"/>
      <c r="J387" s="3499"/>
      <c r="K387" s="3499"/>
      <c r="L387" s="3499"/>
      <c r="M387" s="3499"/>
      <c r="N387" s="3499"/>
      <c r="O387" s="3499"/>
      <c r="P387" s="3499"/>
      <c r="Q387" s="3499"/>
      <c r="R387" s="3499"/>
      <c r="S387" s="3499"/>
      <c r="T387" s="3499"/>
      <c r="U387" s="3534"/>
      <c r="V387" s="3534"/>
      <c r="W387" s="3534"/>
      <c r="X387" s="3534"/>
      <c r="Y387" s="3534"/>
      <c r="Z387" s="3534"/>
      <c r="AA387" s="3534"/>
      <c r="AB387" s="3534"/>
      <c r="AC387" s="3534"/>
      <c r="AD387" s="3534"/>
      <c r="AE387" s="3534"/>
      <c r="AK387" s="3534"/>
      <c r="AM387" s="3534">
        <f t="shared" si="428"/>
        <v>0</v>
      </c>
    </row>
    <row r="388" spans="1:46" ht="10.5" hidden="1" customHeight="1">
      <c r="A388" s="714"/>
      <c r="B388" s="714"/>
      <c r="C388" s="3493"/>
      <c r="D388" s="3494"/>
      <c r="E388" s="3531" t="s">
        <v>2422</v>
      </c>
      <c r="F388" s="3496"/>
      <c r="G388" s="3499"/>
      <c r="H388" s="3532">
        <f t="shared" ref="H388:AA388" si="489">H378-H385-(H386/1000)-(H387/1000)</f>
        <v>22.465700000000002</v>
      </c>
      <c r="I388" s="3532">
        <f t="shared" ca="1" si="489"/>
        <v>0.2632837239763397</v>
      </c>
      <c r="J388" s="3532">
        <f t="shared" ca="1" si="489"/>
        <v>0.57333447553629924</v>
      </c>
      <c r="K388" s="3532">
        <f t="shared" ca="1" si="489"/>
        <v>-7.3100477498861949E-2</v>
      </c>
      <c r="L388" s="3532">
        <f t="shared" ca="1" si="489"/>
        <v>8.7126571952143905E-2</v>
      </c>
      <c r="M388" s="3532">
        <f t="shared" ca="1" si="489"/>
        <v>0.85067481164318437</v>
      </c>
      <c r="N388" s="3532">
        <f t="shared" ca="1" si="489"/>
        <v>1.4876021314755263</v>
      </c>
      <c r="O388" s="3532">
        <f t="shared" ca="1" si="489"/>
        <v>-0.2318280797269594</v>
      </c>
      <c r="P388" s="3532">
        <f t="shared" ca="1" si="489"/>
        <v>0.89753865210576222</v>
      </c>
      <c r="Q388" s="3532">
        <f t="shared" ca="1" si="489"/>
        <v>-0.61049298250613049</v>
      </c>
      <c r="R388" s="3532">
        <f t="shared" ca="1" si="489"/>
        <v>-0.60849904953334999</v>
      </c>
      <c r="S388" s="3532">
        <f t="shared" ca="1" si="489"/>
        <v>-2.1139366199658909</v>
      </c>
      <c r="T388" s="3532">
        <f t="shared" ca="1" si="489"/>
        <v>1.5991458367119691</v>
      </c>
      <c r="U388" s="3532">
        <f t="shared" ca="1" si="489"/>
        <v>3.7814340545999414</v>
      </c>
      <c r="V388" s="3532">
        <f t="shared" ca="1" si="489"/>
        <v>0.46341106625937556</v>
      </c>
      <c r="W388" s="3532">
        <f t="shared" ca="1" si="489"/>
        <v>1.966961709861927</v>
      </c>
      <c r="X388" s="3532">
        <f t="shared" ca="1" si="489"/>
        <v>1.5607408060284271</v>
      </c>
      <c r="Y388" s="3532">
        <f t="shared" ca="1" si="489"/>
        <v>0.97757515214261304</v>
      </c>
      <c r="Z388" s="3532">
        <f t="shared" ca="1" si="489"/>
        <v>-0.37271011822853239</v>
      </c>
      <c r="AA388" s="3532">
        <f t="shared" ca="1" si="489"/>
        <v>1.551258745662075</v>
      </c>
      <c r="AB388" s="3532">
        <f t="shared" ref="AB388:AC388" ca="1" si="490">AB378-AB385-(AB386/1000)-(AB387/1000)</f>
        <v>2.2199553414760445</v>
      </c>
      <c r="AC388" s="3532">
        <f t="shared" ca="1" si="490"/>
        <v>1.7961115771412466</v>
      </c>
      <c r="AD388" s="3532">
        <f t="shared" ref="AD388" ca="1" si="491">AD378-AD385-(AD386/1000)-(AD387/1000)</f>
        <v>1.8991924197042493</v>
      </c>
      <c r="AE388" s="3532">
        <f t="shared" ref="AE388" ca="1" si="492">AE378-AE385-(AE386/1000)-(AE387/1000)</f>
        <v>1.8064702878337329</v>
      </c>
      <c r="AK388" s="3532">
        <v>0.10113820043779498</v>
      </c>
      <c r="AM388" s="3532">
        <f t="shared" ref="AM388:AM451" ca="1" si="493">Z388-AK388</f>
        <v>-0.47384831866632737</v>
      </c>
    </row>
    <row r="389" spans="1:46" ht="7.5" hidden="1" customHeight="1">
      <c r="A389" s="714"/>
      <c r="B389" s="714"/>
      <c r="C389" s="3493"/>
      <c r="D389" s="3494"/>
      <c r="E389" s="3531"/>
      <c r="F389" s="3496"/>
      <c r="G389" s="3499"/>
      <c r="H389" s="3499"/>
      <c r="I389" s="3499"/>
      <c r="J389" s="3499"/>
      <c r="K389" s="3499"/>
      <c r="L389" s="3499"/>
      <c r="M389" s="3499"/>
      <c r="N389" s="3499"/>
      <c r="O389" s="3499"/>
      <c r="P389" s="3499"/>
      <c r="Q389" s="3499"/>
      <c r="R389" s="3499"/>
      <c r="S389" s="3499"/>
      <c r="T389" s="3499"/>
      <c r="U389" s="3499"/>
      <c r="V389" s="3499"/>
      <c r="W389" s="3499"/>
      <c r="X389" s="3499"/>
      <c r="Y389" s="3499"/>
      <c r="Z389" s="3499"/>
      <c r="AA389" s="3499"/>
      <c r="AB389" s="3499"/>
      <c r="AC389" s="3499"/>
      <c r="AD389" s="3499"/>
      <c r="AE389" s="3499"/>
      <c r="AK389" s="3499"/>
      <c r="AM389" s="3499">
        <f t="shared" si="493"/>
        <v>0</v>
      </c>
    </row>
    <row r="390" spans="1:46" ht="10.5" hidden="1" customHeight="1">
      <c r="A390" s="714"/>
      <c r="B390" s="714"/>
      <c r="C390" s="3493"/>
      <c r="D390" s="3494"/>
      <c r="E390" s="3531" t="s">
        <v>401</v>
      </c>
      <c r="F390" s="3496"/>
      <c r="G390" s="3499"/>
      <c r="H390" s="3499">
        <f t="shared" ref="H390" si="494">(H378/G378-1)*100</f>
        <v>3.1156337064933481</v>
      </c>
      <c r="I390" s="3499">
        <f t="shared" ref="I390" si="495">(I378/H378-1)*100</f>
        <v>6.2263806602954608</v>
      </c>
      <c r="J390" s="3499">
        <f t="shared" ref="J390" si="496">(J378/I378-1)*100</f>
        <v>6.5146975633262771</v>
      </c>
      <c r="K390" s="3499">
        <f t="shared" ref="K390" si="497">(K378/J378-1)*100</f>
        <v>2.3254075659344231</v>
      </c>
      <c r="L390" s="3499">
        <f t="shared" ref="L390" si="498">(L378/K378-1)*100</f>
        <v>8.1060195384136335</v>
      </c>
      <c r="M390" s="3499">
        <f t="shared" ref="M390" si="499">(M378/L378-1)*100</f>
        <v>6.0550452190179405</v>
      </c>
      <c r="N390" s="3499">
        <f t="shared" ref="N390" si="500">(N378/M378-1)*100</f>
        <v>1.722258922313924</v>
      </c>
      <c r="O390" s="3499">
        <f t="shared" ref="O390" si="501">(O378/N378-1)*100</f>
        <v>0.92797404969193753</v>
      </c>
      <c r="P390" s="3499">
        <f t="shared" ref="P390" si="502">(P378/O378-1)*100</f>
        <v>4.2970434146405001</v>
      </c>
      <c r="Q390" s="3499">
        <f t="shared" ref="Q390" si="503">(Q378/P378-1)*100</f>
        <v>3.9305398972817374</v>
      </c>
      <c r="R390" s="3499">
        <f t="shared" ref="R390" si="504">(R378/Q378-1)*100</f>
        <v>5.2297428820234249</v>
      </c>
      <c r="S390" s="3499">
        <f t="shared" ref="S390" si="505">(S378/R378-1)*100</f>
        <v>4.4111709575720193</v>
      </c>
      <c r="T390" s="3499">
        <f t="shared" ref="T390" si="506">(T378/S378-1)*100</f>
        <v>6.3869874284209649</v>
      </c>
      <c r="U390" s="3499">
        <f t="shared" ref="U390" si="507">(U378/T378-1)*100</f>
        <v>1.0298488609794321</v>
      </c>
      <c r="V390" s="3499">
        <f t="shared" ref="V390" si="508">(V378/U378-1)*100</f>
        <v>3.0060012859898455</v>
      </c>
      <c r="W390" s="3499">
        <f t="shared" ref="W390:X390" si="509">(W378/V378-1)*100</f>
        <v>6.0788165381461923</v>
      </c>
      <c r="X390" s="3499">
        <f t="shared" si="509"/>
        <v>2.8743429456119074</v>
      </c>
      <c r="Y390" s="3709">
        <v>-0.2</v>
      </c>
      <c r="Z390" s="3709">
        <v>3.3</v>
      </c>
      <c r="AA390" s="3709">
        <v>4.8</v>
      </c>
      <c r="AB390" s="3709">
        <v>4.8</v>
      </c>
      <c r="AC390" s="3709">
        <v>4.8</v>
      </c>
      <c r="AD390" s="3709">
        <v>4.8</v>
      </c>
      <c r="AE390" s="3709">
        <v>4.8</v>
      </c>
      <c r="AK390" s="3709">
        <v>3.3</v>
      </c>
      <c r="AM390" s="3709">
        <f t="shared" si="493"/>
        <v>0</v>
      </c>
    </row>
    <row r="391" spans="1:46" ht="10.5" hidden="1" customHeight="1">
      <c r="A391" s="714"/>
      <c r="B391" s="714"/>
      <c r="C391" s="3493"/>
      <c r="D391" s="3494"/>
      <c r="E391" s="3531" t="s">
        <v>2429</v>
      </c>
      <c r="F391" s="3496"/>
      <c r="G391" s="3499"/>
      <c r="H391" s="3499"/>
      <c r="I391" s="3497">
        <f t="shared" ref="I391:Z391" ca="1" si="510">100*((I385+0.001*I386+0.001*I387)/H378-1)</f>
        <v>5.0544442239665699</v>
      </c>
      <c r="J391" s="3497">
        <f t="shared" ca="1" si="510"/>
        <v>4.1122400404940418</v>
      </c>
      <c r="K391" s="3497">
        <f t="shared" ca="1" si="510"/>
        <v>2.612987338306727</v>
      </c>
      <c r="L391" s="3497">
        <f t="shared" ca="1" si="510"/>
        <v>7.7710500380536063</v>
      </c>
      <c r="M391" s="3497">
        <f t="shared" ca="1" si="510"/>
        <v>3.0297459994836684</v>
      </c>
      <c r="N391" s="3497">
        <f t="shared" ca="1" si="510"/>
        <v>-3.2661290134082921</v>
      </c>
      <c r="O391" s="3497">
        <f t="shared" ca="1" si="510"/>
        <v>1.6922029732320265</v>
      </c>
      <c r="P391" s="3497">
        <f t="shared" ca="1" si="510"/>
        <v>1.3654817284012299</v>
      </c>
      <c r="Q391" s="3497">
        <f t="shared" ca="1" si="510"/>
        <v>5.8423931557877173</v>
      </c>
      <c r="R391" s="3497">
        <f t="shared" ca="1" si="510"/>
        <v>7.0632837745188581</v>
      </c>
      <c r="S391" s="3497">
        <f t="shared" ca="1" si="510"/>
        <v>10.464358769413273</v>
      </c>
      <c r="T391" s="3497">
        <f t="shared" ca="1" si="510"/>
        <v>2.0013442684351013</v>
      </c>
      <c r="U391" s="3497">
        <f t="shared" ca="1" si="510"/>
        <v>-8.7180999600432578</v>
      </c>
      <c r="V391" s="3497">
        <f t="shared" ca="1" si="510"/>
        <v>1.8235768219226012</v>
      </c>
      <c r="W391" s="3497">
        <f t="shared" ca="1" si="510"/>
        <v>1.2064451559909317</v>
      </c>
      <c r="X391" s="3497">
        <f t="shared" ca="1" si="510"/>
        <v>-0.77022958321775192</v>
      </c>
      <c r="Y391" s="3497">
        <f t="shared" ca="1" si="510"/>
        <v>-2.4190081220635595</v>
      </c>
      <c r="Z391" s="3497">
        <f t="shared" ca="1" si="510"/>
        <v>4.1477140464176498</v>
      </c>
      <c r="AA391" s="3497">
        <f ca="1">100*((AA385+0.001*AA386+0.001*AA387)/Z378-1)</f>
        <v>1.3844384352268646</v>
      </c>
      <c r="AB391" s="3497">
        <f ca="1">100*((AB385+0.001*AB386+0.001*AB387)/AA378-1)</f>
        <v>0.1359754249181222</v>
      </c>
      <c r="AC391" s="3497">
        <f ca="1">100*((AC385+0.001*AC386+0.001*AC387)/AB378-1)</f>
        <v>1.1992860461498722</v>
      </c>
      <c r="AD391" s="3497">
        <f ca="1">100*((AD385+0.001*AD386+0.001*AD387)/AC378-1)</f>
        <v>1.1670200997958347</v>
      </c>
      <c r="AE391" s="3497">
        <f ca="1">100*((AE385+0.001*AE386+0.001*AE387)/AD378-1)</f>
        <v>1.5026612447861298</v>
      </c>
      <c r="AK391" s="3497">
        <v>3.0699652653702225</v>
      </c>
      <c r="AM391" s="3497">
        <f t="shared" ca="1" si="493"/>
        <v>1.0777487810474273</v>
      </c>
    </row>
    <row r="392" spans="1:46" ht="10.65" hidden="1" customHeight="1">
      <c r="A392" s="714"/>
      <c r="B392" s="714"/>
      <c r="C392" s="3493"/>
      <c r="D392" s="3494"/>
      <c r="E392" s="3531" t="s">
        <v>2424</v>
      </c>
      <c r="F392" s="3496"/>
      <c r="G392" s="3499"/>
      <c r="H392" s="3499"/>
      <c r="I392" s="3499"/>
      <c r="J392" s="3499"/>
      <c r="K392" s="3499"/>
      <c r="L392" s="3499"/>
      <c r="M392" s="3499"/>
      <c r="N392" s="3499"/>
      <c r="O392" s="3499"/>
      <c r="P392" s="3499"/>
      <c r="Q392" s="3499"/>
      <c r="R392" s="3499"/>
      <c r="S392" s="3499"/>
      <c r="T392" s="3499"/>
      <c r="U392" s="3499"/>
      <c r="V392" s="3499"/>
      <c r="W392" s="3499"/>
      <c r="X392" s="3711"/>
      <c r="Y392" s="3711"/>
      <c r="Z392" s="3711">
        <v>3.3</v>
      </c>
      <c r="AA392" s="3711"/>
      <c r="AB392" s="3711"/>
      <c r="AC392" s="3711"/>
      <c r="AD392" s="3711"/>
      <c r="AE392" s="3711"/>
      <c r="AK392" s="3711">
        <v>3.3</v>
      </c>
      <c r="AM392" s="3711">
        <f t="shared" si="493"/>
        <v>0</v>
      </c>
    </row>
    <row r="393" spans="1:46" ht="10.65" hidden="1" customHeight="1">
      <c r="A393" s="714"/>
      <c r="B393" s="714"/>
      <c r="C393" s="3487" t="s">
        <v>622</v>
      </c>
      <c r="D393" s="3488"/>
      <c r="E393" s="3489" t="s">
        <v>2470</v>
      </c>
      <c r="F393" s="3490"/>
      <c r="G393" s="3491">
        <f>('[2]dir&amp;indir taxes'!C146+[2]TaxesEU!C146)/1000</f>
        <v>2.6600000000000002E-2</v>
      </c>
      <c r="H393" s="3491">
        <f>('[2]dir&amp;indir taxes'!D146+[2]TaxesEU!D146)/1000</f>
        <v>2.5899999999999999E-2</v>
      </c>
      <c r="I393" s="3491">
        <f>('[2]dir&amp;indir taxes'!E146+[2]TaxesEU!E146)/1000</f>
        <v>2.29E-2</v>
      </c>
      <c r="J393" s="3491">
        <f>('[2]dir&amp;indir taxes'!F146+[2]TaxesEU!F146)/1000</f>
        <v>1.7899999999999999E-2</v>
      </c>
      <c r="K393" s="3491">
        <f>('[2]dir&amp;indir taxes'!G146+[2]TaxesEU!G146)/1000</f>
        <v>2.5999999999999999E-2</v>
      </c>
      <c r="L393" s="3491">
        <f>('[2]dir&amp;indir taxes'!H146+[2]TaxesEU!H146)/1000</f>
        <v>2.3100000000000002E-2</v>
      </c>
      <c r="M393" s="3491">
        <f>('[2]dir&amp;indir taxes'!I146+[2]TaxesEU!I146)/1000</f>
        <v>1.3800000000000002E-2</v>
      </c>
      <c r="N393" s="3491">
        <f>('[2]dir&amp;indir taxes'!J146+[2]TaxesEU!J146)/1000</f>
        <v>1.11E-2</v>
      </c>
      <c r="O393" s="3491">
        <f>('[2]dir&amp;indir taxes'!K146+[2]TaxesEU!K146)/1000</f>
        <v>7.1999999999999998E-3</v>
      </c>
      <c r="P393" s="3491">
        <f>('[2]dir&amp;indir taxes'!L146+[2]TaxesEU!L146)/1000</f>
        <v>7.4000000000000003E-3</v>
      </c>
      <c r="Q393" s="3491">
        <f>('[2]dir&amp;indir taxes'!M146+[2]TaxesEU!M146)/1000</f>
        <v>8.6999999999999994E-3</v>
      </c>
      <c r="R393" s="3491">
        <f>('[2]dir&amp;indir taxes'!N146+[2]TaxesEU!N146)/1000</f>
        <v>1.1300000000000001E-2</v>
      </c>
      <c r="S393" s="3491">
        <f>('[2]dir&amp;indir taxes'!O146+[2]TaxesEU!O146)/1000</f>
        <v>1.8499999999999999E-2</v>
      </c>
      <c r="T393" s="3491">
        <f>('[2]dir&amp;indir taxes'!P146+[2]TaxesEU!P146)/1000</f>
        <v>1.5900000000000001E-2</v>
      </c>
      <c r="U393" s="3491">
        <f>('[2]dir&amp;indir taxes'!Q146+[2]TaxesEU!Q146)/1000</f>
        <v>1.0699999999999999E-2</v>
      </c>
      <c r="V393" s="3491">
        <f>('[2]dir&amp;indir taxes'!R146+[2]TaxesEU!R146)/1000</f>
        <v>1.6800000000000002E-2</v>
      </c>
      <c r="W393" s="3491">
        <f>('[2]dir&amp;indir taxes'!S146+[2]TaxesEU!S146)/1000</f>
        <v>1.32E-2</v>
      </c>
      <c r="X393" s="3491">
        <f>('[2]dir&amp;indir taxes'!T146+[2]TaxesEU!T146)/1000</f>
        <v>9.5999999999999992E-3</v>
      </c>
      <c r="Y393" s="3492">
        <f t="shared" ref="Y393:AE393" si="511">+X393*(1+Y403/100)</f>
        <v>1.0300799999999999E-2</v>
      </c>
      <c r="Z393" s="3492">
        <f t="shared" si="511"/>
        <v>1.0568620799999999E-2</v>
      </c>
      <c r="AA393" s="3492">
        <f t="shared" si="511"/>
        <v>1.0949091148799999E-2</v>
      </c>
      <c r="AB393" s="3492">
        <f t="shared" si="511"/>
        <v>1.1343258430156799E-2</v>
      </c>
      <c r="AC393" s="3492">
        <f t="shared" si="511"/>
        <v>1.1751615733642444E-2</v>
      </c>
      <c r="AD393" s="3492">
        <f t="shared" si="511"/>
        <v>1.2174673900053572E-2</v>
      </c>
      <c r="AE393" s="3492">
        <f t="shared" si="511"/>
        <v>1.2612962160455501E-2</v>
      </c>
      <c r="AK393" s="3492">
        <v>1.0568620799999999E-2</v>
      </c>
      <c r="AM393" s="3492">
        <f t="shared" si="493"/>
        <v>0</v>
      </c>
      <c r="AT393" s="749"/>
    </row>
    <row r="394" spans="1:46" ht="10.65" hidden="1" customHeight="1">
      <c r="A394" s="714"/>
      <c r="B394" s="714"/>
      <c r="C394" s="3493"/>
      <c r="D394" s="3494"/>
      <c r="E394" s="3495" t="s">
        <v>2471</v>
      </c>
      <c r="F394" s="3496"/>
      <c r="G394" s="3497"/>
      <c r="H394" s="3497">
        <f ca="1">Labour1!H224</f>
        <v>2.2349034151703195</v>
      </c>
      <c r="I394" s="3497">
        <f>Labour1!I224</f>
        <v>3.8881064810979415</v>
      </c>
      <c r="J394" s="3497">
        <f>Labour1!J224</f>
        <v>3.5556382516856777</v>
      </c>
      <c r="K394" s="3497">
        <f>Labour1!K224</f>
        <v>5.2087682672233848</v>
      </c>
      <c r="L394" s="3497">
        <f>Labour1!L224</f>
        <v>4.5197041730980825</v>
      </c>
      <c r="M394" s="3497">
        <f>Labour1!M224</f>
        <v>5.5576736636856028</v>
      </c>
      <c r="N394" s="3497">
        <f>Labour1!N224</f>
        <v>3.8685961366373478</v>
      </c>
      <c r="O394" s="3497">
        <f>Labour1!O224</f>
        <v>1.8840769981371297</v>
      </c>
      <c r="P394" s="3497">
        <f>Labour1!P224</f>
        <v>2.902190887346312</v>
      </c>
      <c r="Q394" s="3497">
        <f>Labour1!Q224</f>
        <v>3.4654852640556566</v>
      </c>
      <c r="R394" s="3497">
        <f>Labour1!R224</f>
        <v>4.8322677174317707</v>
      </c>
      <c r="S394" s="3497">
        <f>Labour1!S224</f>
        <v>5.4013979031452886</v>
      </c>
      <c r="T394" s="3497">
        <f>Labour1!T224</f>
        <v>5.6047181921096589</v>
      </c>
      <c r="U394" s="3497">
        <f>Labour1!U224</f>
        <v>0.70755259128520986</v>
      </c>
      <c r="V394" s="3497">
        <f>Labour1!V224</f>
        <v>2.0073676410577113</v>
      </c>
      <c r="W394" s="3497">
        <f>Labour1!W224</f>
        <v>4.5828444187328454</v>
      </c>
      <c r="X394" s="3497">
        <f>Labour1!X224</f>
        <v>3.4856420915522435</v>
      </c>
      <c r="Y394" s="3497">
        <f>Labour1!Y224</f>
        <v>1.9998941027858486</v>
      </c>
      <c r="Z394" s="3497">
        <f>Labour1!Z224</f>
        <v>1.2746735326892633</v>
      </c>
      <c r="AA394" s="3497">
        <f>Labour1!AA224</f>
        <v>0.82602024801596841</v>
      </c>
      <c r="AB394" s="3497">
        <f>Labour1!AB224</f>
        <v>1.260374413314902</v>
      </c>
      <c r="AC394" s="3497">
        <f>Labour1!AC224</f>
        <v>3.1541753329029865</v>
      </c>
      <c r="AD394" s="3497">
        <f>Labour1!AD224</f>
        <v>3.2965925312135047</v>
      </c>
      <c r="AE394" s="3497">
        <f>Labour1!AE224</f>
        <v>3.2031938848569697</v>
      </c>
      <c r="AK394" s="3497">
        <v>1.0140401755888151</v>
      </c>
      <c r="AM394" s="3497">
        <f t="shared" si="493"/>
        <v>0.26063335710044822</v>
      </c>
    </row>
    <row r="395" spans="1:46" ht="10.65" hidden="1" customHeight="1">
      <c r="A395" s="714"/>
      <c r="B395" s="714"/>
      <c r="C395" s="3493"/>
      <c r="D395" s="3494"/>
      <c r="E395" s="3495" t="s">
        <v>2427</v>
      </c>
      <c r="F395" s="3496"/>
      <c r="G395" s="3498"/>
      <c r="H395" s="3497">
        <f>100*((H393-0.001*H399-0.001*H400)/(G393-0.001*G400)-1)</f>
        <v>-2.6315789473684292</v>
      </c>
      <c r="I395" s="3497">
        <f t="shared" ref="I395" si="512">100*((I393-0.001*I399-0.001*I400)/(H393-0.001*H400)-1)</f>
        <v>-11.583011583011583</v>
      </c>
      <c r="J395" s="3497">
        <f t="shared" ref="J395" si="513">100*((J393-0.001*J399-0.001*J400)/(I393-0.001*I400)-1)</f>
        <v>-21.834061135371186</v>
      </c>
      <c r="K395" s="3497">
        <f t="shared" ref="K395" si="514">100*((K393-0.001*K399-0.001*K400)/(J393-0.001*J400)-1)</f>
        <v>45.251396648044697</v>
      </c>
      <c r="L395" s="3497">
        <f t="shared" ref="L395" si="515">100*((L393-0.001*L399-0.001*L400)/(K393-0.001*K400)-1)</f>
        <v>-11.153846153846136</v>
      </c>
      <c r="M395" s="3497">
        <f t="shared" ref="M395" si="516">100*((M393-0.001*M399-0.001*M400)/(L393-0.001*L400)-1)</f>
        <v>-40.259740259740262</v>
      </c>
      <c r="N395" s="3497">
        <f t="shared" ref="N395" si="517">100*((N393-0.001*N399-0.001*N400)/(M393-0.001*M400)-1)</f>
        <v>-19.565217391304358</v>
      </c>
      <c r="O395" s="3497">
        <f t="shared" ref="O395" si="518">100*((O393-0.001*O399-0.001*O400)/(N393-0.001*N400)-1)</f>
        <v>-35.135135135135144</v>
      </c>
      <c r="P395" s="3497">
        <f t="shared" ref="P395" si="519">100*((P393-0.001*P399-0.001*P400)/(O393-0.001*O400)-1)</f>
        <v>2.7777777777777901</v>
      </c>
      <c r="Q395" s="3497">
        <f t="shared" ref="Q395" si="520">100*((Q393-0.001*Q399-0.001*Q400)/(P393-0.001*P400)-1)</f>
        <v>17.567567567567544</v>
      </c>
      <c r="R395" s="3497">
        <f t="shared" ref="R395" si="521">100*((R393-0.001*R399-0.001*R400)/(Q393-0.001*Q400)-1)</f>
        <v>29.885057471264396</v>
      </c>
      <c r="S395" s="3497">
        <f t="shared" ref="S395" si="522">100*((S393-0.001*S399-0.001*S400)/(R393-0.001*R400)-1)</f>
        <v>63.716814159292021</v>
      </c>
      <c r="T395" s="3497">
        <f t="shared" ref="T395" si="523">100*((T393-0.001*T399-0.001*T400)/(S393-0.001*S400)-1)</f>
        <v>-14.054054054054044</v>
      </c>
      <c r="U395" s="3497">
        <f t="shared" ref="U395" si="524">100*((U393-0.001*U399-0.001*U400)/(T393-0.001*T400)-1)</f>
        <v>-32.704402515723274</v>
      </c>
      <c r="V395" s="3497">
        <f t="shared" ref="V395" si="525">100*((V393-0.001*V399-0.001*V400)/(U393-0.001*U400)-1)</f>
        <v>57.009345794392566</v>
      </c>
      <c r="W395" s="3497">
        <f t="shared" ref="W395" si="526">100*((W393-0.001*W399-0.001*W400)/(V393-0.001*V400)-1)</f>
        <v>-21.428571428571441</v>
      </c>
      <c r="X395" s="3497">
        <f t="shared" ref="X395" si="527">100*((X393-0.001*X399-0.001*X400)/(W393-0.001*W400)-1)</f>
        <v>-27.27272727272728</v>
      </c>
      <c r="Y395" s="3497">
        <f t="shared" ref="Y395" si="528">100*((Y393-0.001*Y399-0.001*Y400)/(X393-0.001*X400)-1)</f>
        <v>7.2999999999999954</v>
      </c>
      <c r="Z395" s="3497">
        <f t="shared" ref="Z395" si="529">100*((Z393-0.001*Z399-0.001*Z400)/(Y393-0.001*Y400)-1)</f>
        <v>2.6000000000000023</v>
      </c>
      <c r="AA395" s="3497">
        <f t="shared" ref="AA395:AE395" si="530">100*((AA393-0.001*AA399-0.001*AA400)/(Z393-0.001*Z400)-1)</f>
        <v>3.6000000000000032</v>
      </c>
      <c r="AB395" s="3497">
        <f t="shared" si="530"/>
        <v>3.6000000000000032</v>
      </c>
      <c r="AC395" s="3497">
        <f t="shared" si="530"/>
        <v>3.6000000000000032</v>
      </c>
      <c r="AD395" s="3497">
        <f t="shared" si="530"/>
        <v>3.6000000000000032</v>
      </c>
      <c r="AE395" s="3497">
        <f t="shared" si="530"/>
        <v>3.6000000000000032</v>
      </c>
      <c r="AK395" s="3497">
        <v>2.6000000000000023</v>
      </c>
      <c r="AM395" s="3497">
        <f t="shared" si="493"/>
        <v>0</v>
      </c>
    </row>
    <row r="396" spans="1:46" ht="10.65" hidden="1" customHeight="1">
      <c r="A396" s="714"/>
      <c r="B396" s="714"/>
      <c r="C396" s="3493"/>
      <c r="D396" s="3494"/>
      <c r="E396" s="3495" t="s">
        <v>2428</v>
      </c>
      <c r="F396" s="3496"/>
      <c r="G396" s="3498"/>
      <c r="H396" s="3497">
        <f ca="1">H395/H394</f>
        <v>-1.1774911298204265</v>
      </c>
      <c r="I396" s="3497">
        <f t="shared" ref="I396:AA396" si="531">I395/I394</f>
        <v>-2.9790880572130622</v>
      </c>
      <c r="J396" s="3497">
        <f t="shared" si="531"/>
        <v>-6.1406868724679651</v>
      </c>
      <c r="K396" s="3497">
        <f t="shared" si="531"/>
        <v>8.6875426831316229</v>
      </c>
      <c r="L396" s="3497">
        <f t="shared" si="531"/>
        <v>-2.4678265936596921</v>
      </c>
      <c r="M396" s="3497">
        <f t="shared" si="531"/>
        <v>-7.2439914064766784</v>
      </c>
      <c r="N396" s="3497">
        <f t="shared" si="531"/>
        <v>-5.057446344944859</v>
      </c>
      <c r="O396" s="3497">
        <f t="shared" si="531"/>
        <v>-18.64846031763819</v>
      </c>
      <c r="P396" s="3497">
        <f t="shared" si="531"/>
        <v>0.95713131410102315</v>
      </c>
      <c r="Q396" s="3497">
        <f t="shared" si="531"/>
        <v>5.069295128673617</v>
      </c>
      <c r="R396" s="3497">
        <f t="shared" si="531"/>
        <v>6.1844788448822854</v>
      </c>
      <c r="S396" s="3497">
        <f t="shared" si="531"/>
        <v>11.796356295504369</v>
      </c>
      <c r="T396" s="3497">
        <f t="shared" si="531"/>
        <v>-2.50753982133114</v>
      </c>
      <c r="U396" s="3497">
        <f t="shared" si="531"/>
        <v>-46.221868054102487</v>
      </c>
      <c r="V396" s="3497">
        <f t="shared" si="531"/>
        <v>28.400052201874445</v>
      </c>
      <c r="W396" s="3497">
        <f t="shared" si="531"/>
        <v>-4.6758234560571079</v>
      </c>
      <c r="X396" s="3497">
        <f t="shared" si="531"/>
        <v>-7.8243051226702551</v>
      </c>
      <c r="Y396" s="3497">
        <f t="shared" si="531"/>
        <v>3.6501932726493416</v>
      </c>
      <c r="Z396" s="3497">
        <f t="shared" si="531"/>
        <v>2.0397379668773774</v>
      </c>
      <c r="AA396" s="3497">
        <f t="shared" si="531"/>
        <v>4.3582466757284735</v>
      </c>
      <c r="AB396" s="3497">
        <f t="shared" ref="AB396:AC396" si="532">AB395/AB394</f>
        <v>2.856294099569721</v>
      </c>
      <c r="AC396" s="3497">
        <f t="shared" si="532"/>
        <v>1.1413442881397136</v>
      </c>
      <c r="AD396" s="3497">
        <f t="shared" ref="AD396" si="533">AD395/AD394</f>
        <v>1.0920366911936221</v>
      </c>
      <c r="AE396" s="3497">
        <f t="shared" ref="AE396" si="534">AE395/AE394</f>
        <v>1.1238782694419236</v>
      </c>
      <c r="AK396" s="3497">
        <v>2.5640009760858633</v>
      </c>
      <c r="AM396" s="3497">
        <f t="shared" si="493"/>
        <v>-0.5242630092084859</v>
      </c>
    </row>
    <row r="397" spans="1:46" ht="6" hidden="1" customHeight="1">
      <c r="A397" s="714"/>
      <c r="B397" s="714"/>
      <c r="C397" s="3493"/>
      <c r="D397" s="3494"/>
      <c r="E397" s="3495"/>
      <c r="F397" s="3496"/>
      <c r="G397" s="3499"/>
      <c r="H397" s="3499"/>
      <c r="I397" s="3499"/>
      <c r="J397" s="3499"/>
      <c r="K397" s="3499"/>
      <c r="L397" s="3499"/>
      <c r="M397" s="3499"/>
      <c r="N397" s="3499"/>
      <c r="O397" s="3499"/>
      <c r="P397" s="3499"/>
      <c r="Q397" s="3499"/>
      <c r="R397" s="3499"/>
      <c r="S397" s="3499"/>
      <c r="T397" s="3499"/>
      <c r="U397" s="3499"/>
      <c r="V397" s="3499"/>
      <c r="W397" s="3499"/>
      <c r="X397" s="3499"/>
      <c r="Y397" s="3499"/>
      <c r="Z397" s="3499"/>
      <c r="AA397" s="3499"/>
      <c r="AB397" s="3499"/>
      <c r="AC397" s="3499"/>
      <c r="AD397" s="3499"/>
      <c r="AE397" s="3499"/>
      <c r="AK397" s="3499"/>
      <c r="AM397" s="3499">
        <f t="shared" si="493"/>
        <v>0</v>
      </c>
    </row>
    <row r="398" spans="1:46" ht="10.65" hidden="1" customHeight="1">
      <c r="A398" s="714"/>
      <c r="B398" s="714"/>
      <c r="C398" s="3493"/>
      <c r="D398" s="3494"/>
      <c r="E398" s="3495" t="s">
        <v>2432</v>
      </c>
      <c r="F398" s="3496"/>
      <c r="G398" s="3499"/>
      <c r="H398" s="3497"/>
      <c r="I398" s="3497"/>
      <c r="J398" s="3497"/>
      <c r="K398" s="3497">
        <f ca="1">(1+AVERAGE(G396:J396)*K394/100)*(J393-J400/1000)</f>
        <v>1.4699714329503375E-2</v>
      </c>
      <c r="L398" s="3497">
        <f t="shared" ref="L398" ca="1" si="535">(1+AVERAGE(H396:K396)*L394/100)*(K393-K400/1000)</f>
        <v>2.5527094224988701E-2</v>
      </c>
      <c r="M398" s="3497">
        <f t="shared" ref="M398" si="536">(1+AVERAGE(I396:L396)*M394/100)*(L393-L400/1000)</f>
        <v>2.2169209718076462E-2</v>
      </c>
      <c r="N398" s="3497">
        <f t="shared" ref="N398" si="537">(1+AVERAGE(J396:M396)*N394/100)*(M393-M400/1000)</f>
        <v>1.2843717095935537E-2</v>
      </c>
      <c r="O398" s="3497">
        <f t="shared" ref="O398" si="538">(1+AVERAGE(K396:N396)*O394/100)*(N393-N400/1000)</f>
        <v>1.0782028514987245E-2</v>
      </c>
      <c r="P398" s="3497">
        <f t="shared" ref="P398" si="539">(1+AVERAGE(L396:O396)*P394/100)*(O393-O400/1000)</f>
        <v>5.4542769121441364E-3</v>
      </c>
      <c r="Q398" s="3497">
        <f t="shared" ref="Q398" si="540">(1+AVERAGE(M396:P396)*Q394/100)*(P393-P400/1000)</f>
        <v>5.4771194124749959E-3</v>
      </c>
      <c r="R398" s="3497">
        <f t="shared" ref="R398" si="541">(1+AVERAGE(N396:Q396)*R394/100)*(Q393-Q400/1000)</f>
        <v>6.8418544017844057E-3</v>
      </c>
      <c r="S398" s="3497">
        <f t="shared" ref="S398" si="542">(1+AVERAGE(O396:R396)*S394/100)*(R393-R400/1000)</f>
        <v>1.0317696756210871E-2</v>
      </c>
      <c r="T398" s="3497">
        <f t="shared" ref="T398" si="543">(1+AVERAGE(P396:S396)*T394/100)*(S393-S400/1000)</f>
        <v>2.4723119527876924E-2</v>
      </c>
      <c r="U398" s="3497">
        <f t="shared" ref="U398" si="544">(1+AVERAGE(Q396:T396)*U394/100)*(T393-T400/1000)</f>
        <v>1.6477764783344312E-2</v>
      </c>
      <c r="V398" s="3497">
        <f t="shared" ref="V398" si="545">(1+AVERAGE(R396:U396)*V394/100)*(U393-U400/1000)</f>
        <v>9.0488912947191066E-3</v>
      </c>
      <c r="W398" s="3497">
        <f t="shared" ref="W398" si="546">(1+AVERAGE(S396:V396)*W394/100)*(V393-V400/1000)</f>
        <v>1.515757283985969E-2</v>
      </c>
      <c r="X398" s="3497">
        <f t="shared" ref="X398" si="547">(1+AVERAGE(T396:W396)*X394/100)*(W393-W400/1000)</f>
        <v>1.0323749538927189E-2</v>
      </c>
      <c r="Y398" s="3497">
        <f t="shared" ref="Y398" si="548">(1+AVERAGE(U396:X396)*Y394/100)*(X393-X400/1000)</f>
        <v>8.1446237315407691E-3</v>
      </c>
      <c r="Z398" s="3497">
        <f t="shared" ref="Z398" si="549">(1+AVERAGE(V396:Y396)*Z394/100)*(Y393-Y400/1000)</f>
        <v>1.0942540266660496E-2</v>
      </c>
      <c r="AA398" s="3497">
        <f t="shared" ref="AA398:AE398" si="550">(1+AVERAGE(W396:Z396)*AA394/100)*(Z393-Z400/1000)</f>
        <v>1.0419990034589653E-2</v>
      </c>
      <c r="AB398" s="3497">
        <f t="shared" si="550"/>
        <v>1.1025814506250183E-2</v>
      </c>
      <c r="AC398" s="3497">
        <f t="shared" si="550"/>
        <v>1.24975191229292E-2</v>
      </c>
      <c r="AD398" s="3497">
        <f t="shared" si="550"/>
        <v>1.2758439326057506E-2</v>
      </c>
      <c r="AE398" s="3497">
        <f t="shared" si="550"/>
        <v>1.3095795275660209E-2</v>
      </c>
      <c r="AK398" s="3497">
        <v>1.0820868730864333E-2</v>
      </c>
      <c r="AM398" s="3497">
        <f t="shared" si="493"/>
        <v>1.2167153579616292E-4</v>
      </c>
    </row>
    <row r="399" spans="1:46" ht="10.65" hidden="1" customHeight="1">
      <c r="A399" s="714"/>
      <c r="B399" s="714"/>
      <c r="C399" s="3493"/>
      <c r="D399" s="3494"/>
      <c r="E399" s="3495" t="s">
        <v>2433</v>
      </c>
      <c r="F399" s="3496"/>
      <c r="G399" s="3499"/>
      <c r="H399" s="3499"/>
      <c r="I399" s="3499"/>
      <c r="J399" s="3499"/>
      <c r="K399" s="3499"/>
      <c r="L399" s="3499"/>
      <c r="M399" s="3499"/>
      <c r="N399" s="3499"/>
      <c r="O399" s="3499"/>
      <c r="P399" s="3499"/>
      <c r="Q399" s="3499"/>
      <c r="R399" s="3499"/>
      <c r="S399" s="3499"/>
      <c r="T399" s="3499"/>
      <c r="U399" s="3500"/>
      <c r="V399" s="3500"/>
      <c r="W399" s="3501"/>
      <c r="X399" s="3501"/>
      <c r="Y399" s="3501"/>
      <c r="Z399" s="3501"/>
      <c r="AA399" s="3501"/>
      <c r="AB399" s="3501"/>
      <c r="AC399" s="3501"/>
      <c r="AD399" s="3501"/>
      <c r="AE399" s="3501"/>
      <c r="AK399" s="3501"/>
      <c r="AM399" s="3501">
        <f t="shared" si="493"/>
        <v>0</v>
      </c>
    </row>
    <row r="400" spans="1:46" ht="10.65" hidden="1" customHeight="1">
      <c r="A400" s="714"/>
      <c r="B400" s="714"/>
      <c r="C400" s="3493"/>
      <c r="D400" s="3494"/>
      <c r="E400" s="3495" t="s">
        <v>2434</v>
      </c>
      <c r="F400" s="3496"/>
      <c r="G400" s="3499"/>
      <c r="H400" s="3499"/>
      <c r="I400" s="3499"/>
      <c r="J400" s="3499"/>
      <c r="K400" s="3499"/>
      <c r="L400" s="3499"/>
      <c r="M400" s="3499"/>
      <c r="N400" s="3499"/>
      <c r="O400" s="3499"/>
      <c r="P400" s="3499"/>
      <c r="Q400" s="3499"/>
      <c r="R400" s="3499"/>
      <c r="S400" s="3499"/>
      <c r="T400" s="3499"/>
      <c r="U400" s="3500"/>
      <c r="V400" s="3500"/>
      <c r="W400" s="3501"/>
      <c r="X400" s="3501"/>
      <c r="Y400" s="3501"/>
      <c r="Z400" s="3501"/>
      <c r="AA400" s="3501"/>
      <c r="AB400" s="3501"/>
      <c r="AC400" s="3501"/>
      <c r="AD400" s="3501"/>
      <c r="AE400" s="3501"/>
      <c r="AK400" s="3501"/>
      <c r="AM400" s="3501">
        <f t="shared" si="493"/>
        <v>0</v>
      </c>
    </row>
    <row r="401" spans="1:39" ht="10.65" hidden="1" customHeight="1">
      <c r="A401" s="714"/>
      <c r="B401" s="714"/>
      <c r="C401" s="3493"/>
      <c r="D401" s="3494"/>
      <c r="E401" s="3495" t="s">
        <v>2422</v>
      </c>
      <c r="F401" s="3496"/>
      <c r="G401" s="3499"/>
      <c r="H401" s="3497">
        <f>H393-H398-(H399/1000)-(H400/1000)</f>
        <v>2.5899999999999999E-2</v>
      </c>
      <c r="I401" s="3497">
        <f t="shared" ref="I401:AA401" si="551">I393-I398-(I399/1000)-(I400/1000)</f>
        <v>2.29E-2</v>
      </c>
      <c r="J401" s="3497">
        <f t="shared" si="551"/>
        <v>1.7899999999999999E-2</v>
      </c>
      <c r="K401" s="3497">
        <f t="shared" ca="1" si="551"/>
        <v>1.1300285670496624E-2</v>
      </c>
      <c r="L401" s="3497">
        <f t="shared" ca="1" si="551"/>
        <v>-2.427094224988699E-3</v>
      </c>
      <c r="M401" s="3497">
        <f t="shared" si="551"/>
        <v>-8.3692097180764601E-3</v>
      </c>
      <c r="N401" s="3497">
        <f t="shared" si="551"/>
        <v>-1.7437170959355361E-3</v>
      </c>
      <c r="O401" s="3497">
        <f t="shared" si="551"/>
        <v>-3.5820285149872448E-3</v>
      </c>
      <c r="P401" s="3497">
        <f t="shared" si="551"/>
        <v>1.945723087855864E-3</v>
      </c>
      <c r="Q401" s="3497">
        <f t="shared" si="551"/>
        <v>3.2228805875250035E-3</v>
      </c>
      <c r="R401" s="3497">
        <f t="shared" si="551"/>
        <v>4.4581455982155953E-3</v>
      </c>
      <c r="S401" s="3497">
        <f t="shared" si="551"/>
        <v>8.1823032437891279E-3</v>
      </c>
      <c r="T401" s="3497">
        <f t="shared" si="551"/>
        <v>-8.8231195278769235E-3</v>
      </c>
      <c r="U401" s="3497">
        <f t="shared" si="551"/>
        <v>-5.7777647833443125E-3</v>
      </c>
      <c r="V401" s="3497">
        <f t="shared" si="551"/>
        <v>7.7511087052808958E-3</v>
      </c>
      <c r="W401" s="3497">
        <f t="shared" si="551"/>
        <v>-1.9575728398596899E-3</v>
      </c>
      <c r="X401" s="3497">
        <f t="shared" si="551"/>
        <v>-7.2374953892719029E-4</v>
      </c>
      <c r="Y401" s="3497">
        <f t="shared" si="551"/>
        <v>2.1561762684592298E-3</v>
      </c>
      <c r="Z401" s="3497">
        <f t="shared" si="551"/>
        <v>-3.7391946666049704E-4</v>
      </c>
      <c r="AA401" s="3497">
        <f t="shared" si="551"/>
        <v>5.2910111421034661E-4</v>
      </c>
      <c r="AB401" s="3497">
        <f t="shared" ref="AB401:AC401" si="552">AB393-AB398-(AB399/1000)-(AB400/1000)</f>
        <v>3.1744392390661673E-4</v>
      </c>
      <c r="AC401" s="3497">
        <f t="shared" si="552"/>
        <v>-7.4590338928675649E-4</v>
      </c>
      <c r="AD401" s="3497">
        <f t="shared" ref="AD401" si="553">AD393-AD398-(AD399/1000)-(AD400/1000)</f>
        <v>-5.837654260039335E-4</v>
      </c>
      <c r="AE401" s="3497">
        <f t="shared" ref="AE401" si="554">AE393-AE398-(AE399/1000)-(AE400/1000)</f>
        <v>-4.8283311520470711E-4</v>
      </c>
      <c r="AK401" s="3497">
        <v>-2.5224793086433411E-4</v>
      </c>
      <c r="AM401" s="3497">
        <f t="shared" si="493"/>
        <v>-1.2167153579616292E-4</v>
      </c>
    </row>
    <row r="402" spans="1:39" ht="7.5" hidden="1" customHeight="1">
      <c r="A402" s="714"/>
      <c r="B402" s="714"/>
      <c r="C402" s="3493"/>
      <c r="D402" s="3494"/>
      <c r="E402" s="3495"/>
      <c r="F402" s="3496"/>
      <c r="G402" s="3499"/>
      <c r="H402" s="3499"/>
      <c r="I402" s="3499"/>
      <c r="J402" s="3499"/>
      <c r="K402" s="3499"/>
      <c r="L402" s="3499"/>
      <c r="M402" s="3499"/>
      <c r="N402" s="3499"/>
      <c r="O402" s="3499"/>
      <c r="P402" s="3499"/>
      <c r="Q402" s="3499"/>
      <c r="R402" s="3499"/>
      <c r="S402" s="3499"/>
      <c r="T402" s="3499"/>
      <c r="U402" s="3499"/>
      <c r="V402" s="3499"/>
      <c r="W402" s="3499"/>
      <c r="X402" s="3499"/>
      <c r="Y402" s="3499"/>
      <c r="Z402" s="3499"/>
      <c r="AA402" s="3499"/>
      <c r="AB402" s="3499"/>
      <c r="AC402" s="3499"/>
      <c r="AD402" s="3499"/>
      <c r="AE402" s="3499"/>
      <c r="AK402" s="3499"/>
      <c r="AM402" s="3499">
        <f t="shared" si="493"/>
        <v>0</v>
      </c>
    </row>
    <row r="403" spans="1:39" ht="10.65" hidden="1" customHeight="1">
      <c r="A403" s="714"/>
      <c r="B403" s="714"/>
      <c r="C403" s="3493"/>
      <c r="D403" s="3494"/>
      <c r="E403" s="3495" t="s">
        <v>401</v>
      </c>
      <c r="F403" s="3496"/>
      <c r="G403" s="3499"/>
      <c r="H403" s="3497">
        <f t="shared" ref="H403" si="555">(H393/G393-1)*100</f>
        <v>-2.6315789473684292</v>
      </c>
      <c r="I403" s="3497">
        <f t="shared" ref="I403" si="556">(I393/H393-1)*100</f>
        <v>-11.583011583011583</v>
      </c>
      <c r="J403" s="3497">
        <f t="shared" ref="J403" si="557">(J393/I393-1)*100</f>
        <v>-21.834061135371186</v>
      </c>
      <c r="K403" s="3497">
        <f t="shared" ref="K403" si="558">(K393/J393-1)*100</f>
        <v>45.251396648044697</v>
      </c>
      <c r="L403" s="3497">
        <f t="shared" ref="L403" si="559">(L393/K393-1)*100</f>
        <v>-11.153846153846136</v>
      </c>
      <c r="M403" s="3497">
        <f t="shared" ref="M403" si="560">(M393/L393-1)*100</f>
        <v>-40.259740259740262</v>
      </c>
      <c r="N403" s="3497">
        <f t="shared" ref="N403" si="561">(N393/M393-1)*100</f>
        <v>-19.565217391304358</v>
      </c>
      <c r="O403" s="3497">
        <f t="shared" ref="O403" si="562">(O393/N393-1)*100</f>
        <v>-35.135135135135144</v>
      </c>
      <c r="P403" s="3497">
        <f t="shared" ref="P403" si="563">(P393/O393-1)*100</f>
        <v>2.7777777777777901</v>
      </c>
      <c r="Q403" s="3497">
        <f t="shared" ref="Q403" si="564">(Q393/P393-1)*100</f>
        <v>17.567567567567544</v>
      </c>
      <c r="R403" s="3497">
        <f t="shared" ref="R403" si="565">(R393/Q393-1)*100</f>
        <v>29.885057471264396</v>
      </c>
      <c r="S403" s="3497">
        <f t="shared" ref="S403" si="566">(S393/R393-1)*100</f>
        <v>63.716814159292021</v>
      </c>
      <c r="T403" s="3497">
        <f t="shared" ref="T403" si="567">(T393/S393-1)*100</f>
        <v>-14.054054054054044</v>
      </c>
      <c r="U403" s="3497">
        <f t="shared" ref="U403" si="568">(U393/T393-1)*100</f>
        <v>-32.704402515723274</v>
      </c>
      <c r="V403" s="3497">
        <f t="shared" ref="V403" si="569">(V393/U393-1)*100</f>
        <v>57.009345794392566</v>
      </c>
      <c r="W403" s="3497">
        <f t="shared" ref="W403:X403" si="570">(W393/V393-1)*100</f>
        <v>-21.428571428571441</v>
      </c>
      <c r="X403" s="3497">
        <f t="shared" si="570"/>
        <v>-27.27272727272728</v>
      </c>
      <c r="Y403" s="3709">
        <v>7.3</v>
      </c>
      <c r="Z403" s="3709">
        <v>2.6</v>
      </c>
      <c r="AA403" s="3709">
        <v>3.6</v>
      </c>
      <c r="AB403" s="3709">
        <v>3.6</v>
      </c>
      <c r="AC403" s="3709">
        <v>3.6</v>
      </c>
      <c r="AD403" s="3709">
        <v>3.6</v>
      </c>
      <c r="AE403" s="3709">
        <v>3.6</v>
      </c>
      <c r="AK403" s="3709">
        <v>2.6</v>
      </c>
      <c r="AM403" s="3709">
        <f t="shared" si="493"/>
        <v>0</v>
      </c>
    </row>
    <row r="404" spans="1:39" ht="10.65" hidden="1" customHeight="1">
      <c r="A404" s="714"/>
      <c r="B404" s="714"/>
      <c r="C404" s="3493"/>
      <c r="D404" s="3494"/>
      <c r="E404" s="3503" t="s">
        <v>2472</v>
      </c>
      <c r="F404" s="3496"/>
      <c r="G404" s="3499"/>
      <c r="H404" s="3499"/>
      <c r="I404" s="3499"/>
      <c r="J404" s="3499"/>
      <c r="K404" s="3499"/>
      <c r="L404" s="3499"/>
      <c r="M404" s="3499"/>
      <c r="N404" s="3499"/>
      <c r="O404" s="3499"/>
      <c r="P404" s="3499"/>
      <c r="Q404" s="3499"/>
      <c r="R404" s="3499"/>
      <c r="S404" s="3499"/>
      <c r="T404" s="3499"/>
      <c r="U404" s="3499"/>
      <c r="V404" s="3497">
        <f t="shared" ref="V404:W404" si="571">100*((V398+0.001*V399+0.001*V400)/U393-1)</f>
        <v>-15.430922479260678</v>
      </c>
      <c r="W404" s="3497">
        <f t="shared" si="571"/>
        <v>-9.7763521436923355</v>
      </c>
      <c r="X404" s="3497">
        <f>100*((X398+0.001*X399+0.001*X400)/W393-1)</f>
        <v>-21.789776220248569</v>
      </c>
      <c r="Y404" s="3497">
        <f>100*((Y398+0.001*Y399+0.001*Y400)/X393-1)</f>
        <v>-15.160169463116979</v>
      </c>
      <c r="Z404" s="3497">
        <f t="shared" ref="Z404:AE404" si="572">100*((Z398+0.001*Z399+0.001*Z400)/Y393-1)</f>
        <v>6.2300041420132235</v>
      </c>
      <c r="AA404" s="3497">
        <f t="shared" si="572"/>
        <v>-1.4063402237910361</v>
      </c>
      <c r="AB404" s="3497">
        <f t="shared" si="572"/>
        <v>0.70072809156029869</v>
      </c>
      <c r="AC404" s="3497">
        <f t="shared" si="572"/>
        <v>10.175741828324414</v>
      </c>
      <c r="AD404" s="3497">
        <f t="shared" si="572"/>
        <v>8.5675333097621209</v>
      </c>
      <c r="AE404" s="3497">
        <f t="shared" si="572"/>
        <v>7.5658812972607237</v>
      </c>
      <c r="AK404" s="3497">
        <v>5.0488188379964161</v>
      </c>
      <c r="AM404" s="3497">
        <f t="shared" si="493"/>
        <v>1.1811853040168074</v>
      </c>
    </row>
    <row r="405" spans="1:39" ht="10.65" hidden="1" customHeight="1">
      <c r="A405" s="714"/>
      <c r="B405" s="714"/>
      <c r="C405" s="3493"/>
      <c r="D405" s="3494"/>
      <c r="E405" s="3503" t="s">
        <v>2424</v>
      </c>
      <c r="F405" s="3496"/>
      <c r="G405" s="3499"/>
      <c r="H405" s="3499"/>
      <c r="I405" s="3499"/>
      <c r="J405" s="3499"/>
      <c r="K405" s="3499"/>
      <c r="L405" s="3499"/>
      <c r="M405" s="3499"/>
      <c r="N405" s="3499"/>
      <c r="O405" s="3499"/>
      <c r="P405" s="3499"/>
      <c r="Q405" s="3499"/>
      <c r="R405" s="3499"/>
      <c r="S405" s="3499"/>
      <c r="T405" s="3499"/>
      <c r="U405" s="3499"/>
      <c r="V405" s="3499"/>
      <c r="W405" s="3499"/>
      <c r="X405" s="3499"/>
      <c r="Y405" s="3499"/>
      <c r="Z405" s="3499"/>
      <c r="AA405" s="3499"/>
      <c r="AB405" s="3499"/>
      <c r="AC405" s="3499"/>
      <c r="AD405" s="3499"/>
      <c r="AE405" s="3499"/>
      <c r="AK405" s="3499"/>
      <c r="AM405" s="3499">
        <f t="shared" si="493"/>
        <v>0</v>
      </c>
    </row>
    <row r="406" spans="1:39" ht="12.75" hidden="1" customHeight="1">
      <c r="A406" s="714"/>
      <c r="B406" s="714"/>
      <c r="C406" s="3487" t="s">
        <v>622</v>
      </c>
      <c r="D406" s="3488"/>
      <c r="E406" s="3489" t="s">
        <v>2476</v>
      </c>
      <c r="F406" s="3530"/>
      <c r="G406" s="3491">
        <f>('[2]dir&amp;indir taxes'!C144+[2]TaxesEU!C144)/1000-G418</f>
        <v>0.44140000000000001</v>
      </c>
      <c r="H406" s="3491">
        <f>('[2]dir&amp;indir taxes'!D144+[2]TaxesEU!D144)/1000-H418</f>
        <v>0.40849999999999986</v>
      </c>
      <c r="I406" s="3491">
        <f>('[2]dir&amp;indir taxes'!E144+[2]TaxesEU!E144)/1000-I418</f>
        <v>0.27649999999999997</v>
      </c>
      <c r="J406" s="3491">
        <f>('[2]dir&amp;indir taxes'!F144+[2]TaxesEU!F144)/1000-J418</f>
        <v>0.39019999999999988</v>
      </c>
      <c r="K406" s="3491">
        <f>('[2]dir&amp;indir taxes'!G144+[2]TaxesEU!G144)/1000-K418</f>
        <v>0.16490000000000027</v>
      </c>
      <c r="L406" s="3491">
        <f>('[2]dir&amp;indir taxes'!H144+[2]TaxesEU!H144)/1000-L418</f>
        <v>0.55729999999999991</v>
      </c>
      <c r="M406" s="3491">
        <f>('[2]dir&amp;indir taxes'!I144+[2]TaxesEU!I144)/1000-M418</f>
        <v>6.4999999999999947E-2</v>
      </c>
      <c r="N406" s="3491">
        <f>('[2]dir&amp;indir taxes'!J144+[2]TaxesEU!J144)/1000-N418</f>
        <v>-0.14779999999999971</v>
      </c>
      <c r="O406" s="3491">
        <f>('[2]dir&amp;indir taxes'!K144+[2]TaxesEU!K144)/1000-O418</f>
        <v>-0.32190000000000007</v>
      </c>
      <c r="P406" s="3491">
        <f>('[2]dir&amp;indir taxes'!L144+[2]TaxesEU!L144)/1000-P418</f>
        <v>-0.44940000000000002</v>
      </c>
      <c r="Q406" s="3491">
        <f>('[2]dir&amp;indir taxes'!M144+[2]TaxesEU!M144)/1000-Q418</f>
        <v>-0.41079999999999983</v>
      </c>
      <c r="R406" s="3491">
        <f>('[2]dir&amp;indir taxes'!N144+[2]TaxesEU!N144)/1000-R418</f>
        <v>-0.6826000000000001</v>
      </c>
      <c r="S406" s="3491">
        <f>('[2]dir&amp;indir taxes'!O144+[2]TaxesEU!O144)/1000-S418</f>
        <v>-1.1597999999999999</v>
      </c>
      <c r="T406" s="3491">
        <f>('[2]dir&amp;indir taxes'!P144+[2]TaxesEU!P144)/1000-T418</f>
        <v>-0.42800000000000016</v>
      </c>
      <c r="U406" s="3491">
        <f>('[2]dir&amp;indir taxes'!Q144+[2]TaxesEU!Q144)/1000-U418</f>
        <v>-1.6611</v>
      </c>
      <c r="V406" s="3491">
        <f>('[2]dir&amp;indir taxes'!R144+[2]TaxesEU!R144)/1000-V418</f>
        <v>-1.2792999999999997</v>
      </c>
      <c r="W406" s="3716">
        <f>('[2]dir&amp;indir taxes'!S144+[2]TaxesEU!S144)/1000-W418</f>
        <v>-1.5654999999999999</v>
      </c>
      <c r="X406" s="3716">
        <f>('[2]dir&amp;indir taxes'!T144+[2]TaxesEU!T144)/1000-X418</f>
        <v>-1.8376600000000003</v>
      </c>
      <c r="Y406" s="3721">
        <v>-5.35</v>
      </c>
      <c r="Z406" s="3721">
        <v>-4.4870000000000001</v>
      </c>
      <c r="AA406" s="3492">
        <f>+Z406*(1+AA415/100)</f>
        <v>-4.4870000000000001</v>
      </c>
      <c r="AB406" s="3492">
        <f>+AA406*(1+AB415/100)</f>
        <v>-4.4870000000000001</v>
      </c>
      <c r="AC406" s="3492">
        <f>+AB406*(1+AC415/100)</f>
        <v>-4.4870000000000001</v>
      </c>
      <c r="AD406" s="3492">
        <f>+AC406*(1+AD415/100)</f>
        <v>-4.4870000000000001</v>
      </c>
      <c r="AE406" s="3492">
        <f>+AD406*(1+AE415/100)</f>
        <v>-4.4870000000000001</v>
      </c>
      <c r="AK406" s="3721">
        <v>-4.4870000000000001</v>
      </c>
      <c r="AM406" s="3721">
        <f t="shared" si="493"/>
        <v>0</v>
      </c>
    </row>
    <row r="407" spans="1:39" ht="10.65" hidden="1" customHeight="1">
      <c r="A407" s="714"/>
      <c r="B407" s="714"/>
      <c r="C407" s="3493"/>
      <c r="D407" s="3494"/>
      <c r="E407" s="3531" t="s">
        <v>2440</v>
      </c>
      <c r="F407" s="3496"/>
      <c r="G407" s="3498"/>
      <c r="H407" s="3717">
        <f t="shared" ref="H407:AE407" si="573">100*((H406-0.001*H410-0.001*H411)/(G406-0.001*G411)-1)</f>
        <v>-7.4535568645220041</v>
      </c>
      <c r="I407" s="3717">
        <f t="shared" si="573"/>
        <v>-32.413341493268035</v>
      </c>
      <c r="J407" s="3717">
        <f t="shared" si="573"/>
        <v>41.020781857022271</v>
      </c>
      <c r="K407" s="3717">
        <f t="shared" si="573"/>
        <v>-57.839979107329498</v>
      </c>
      <c r="L407" s="3717">
        <f t="shared" si="573"/>
        <v>237.86212425542695</v>
      </c>
      <c r="M407" s="3717">
        <f t="shared" si="573"/>
        <v>-88.436993803768175</v>
      </c>
      <c r="N407" s="3717">
        <f t="shared" si="573"/>
        <v>-327.48487778461509</v>
      </c>
      <c r="O407" s="3717">
        <f t="shared" si="573"/>
        <v>117.69415847744749</v>
      </c>
      <c r="P407" s="3717">
        <f t="shared" si="573"/>
        <v>39.508708991332675</v>
      </c>
      <c r="Q407" s="3717">
        <f t="shared" si="573"/>
        <v>-8.6889237178905621</v>
      </c>
      <c r="R407" s="3717">
        <f t="shared" si="573"/>
        <v>66.06397728552426</v>
      </c>
      <c r="S407" s="3717">
        <f t="shared" si="573"/>
        <v>69.809685084129285</v>
      </c>
      <c r="T407" s="3717">
        <f t="shared" si="573"/>
        <v>-63.196334637765119</v>
      </c>
      <c r="U407" s="3717">
        <f t="shared" si="573"/>
        <v>288.00823343551389</v>
      </c>
      <c r="V407" s="3717">
        <f t="shared" si="573"/>
        <v>-23.083686162223849</v>
      </c>
      <c r="W407" s="3717">
        <f t="shared" si="573"/>
        <v>22.272732273931073</v>
      </c>
      <c r="X407" s="3717">
        <f t="shared" si="573"/>
        <v>17.286363033418528</v>
      </c>
      <c r="Y407" s="3717">
        <f t="shared" si="573"/>
        <v>202.15003197936562</v>
      </c>
      <c r="Z407" s="3717">
        <f t="shared" si="573"/>
        <v>1.0480032052574861</v>
      </c>
      <c r="AA407" s="3717">
        <f t="shared" si="573"/>
        <v>-20.199957026416726</v>
      </c>
      <c r="AB407" s="3717">
        <f t="shared" si="573"/>
        <v>-9.5225333333337492E-2</v>
      </c>
      <c r="AC407" s="3717">
        <f t="shared" si="573"/>
        <v>-9.5512999999991521E-2</v>
      </c>
      <c r="AD407" s="3717">
        <f t="shared" si="573"/>
        <v>-9.5512999999991521E-2</v>
      </c>
      <c r="AE407" s="3717">
        <f t="shared" si="573"/>
        <v>-9.5512999999991521E-2</v>
      </c>
      <c r="AK407" s="3717">
        <v>1.0480032052574861</v>
      </c>
      <c r="AM407" s="3717">
        <f t="shared" si="493"/>
        <v>0</v>
      </c>
    </row>
    <row r="408" spans="1:39" ht="10.5" hidden="1" customHeight="1">
      <c r="A408" s="714"/>
      <c r="B408" s="714"/>
      <c r="C408" s="3493"/>
      <c r="D408" s="3494"/>
      <c r="E408" s="3531" t="s">
        <v>2441</v>
      </c>
      <c r="F408" s="3496"/>
      <c r="G408" s="3532"/>
      <c r="H408" s="3532"/>
      <c r="I408" s="3532">
        <f>AVERAGE(G406:I406)</f>
        <v>0.37546666666666662</v>
      </c>
      <c r="J408" s="3532">
        <f t="shared" ref="J408:AE408" si="574">AVERAGE(H406:J406)</f>
        <v>0.35839999999999989</v>
      </c>
      <c r="K408" s="3532">
        <f t="shared" si="574"/>
        <v>0.27720000000000006</v>
      </c>
      <c r="L408" s="3532">
        <f t="shared" si="574"/>
        <v>0.37080000000000002</v>
      </c>
      <c r="M408" s="3532">
        <f t="shared" si="574"/>
        <v>0.26240000000000002</v>
      </c>
      <c r="N408" s="3532">
        <f t="shared" si="574"/>
        <v>0.15816666666666671</v>
      </c>
      <c r="O408" s="3532">
        <f t="shared" si="574"/>
        <v>-0.13489999999999994</v>
      </c>
      <c r="P408" s="3532">
        <f t="shared" si="574"/>
        <v>-0.30636666666666662</v>
      </c>
      <c r="Q408" s="3532">
        <f t="shared" si="574"/>
        <v>-0.39403333333333329</v>
      </c>
      <c r="R408" s="3532">
        <f t="shared" si="574"/>
        <v>-0.51426666666666665</v>
      </c>
      <c r="S408" s="3532">
        <f t="shared" si="574"/>
        <v>-0.75106666666666655</v>
      </c>
      <c r="T408" s="3532">
        <f t="shared" si="574"/>
        <v>-0.75680000000000014</v>
      </c>
      <c r="U408" s="3532">
        <f t="shared" si="574"/>
        <v>-1.0829666666666666</v>
      </c>
      <c r="V408" s="3532">
        <f t="shared" si="574"/>
        <v>-1.1228</v>
      </c>
      <c r="W408" s="3532">
        <f t="shared" si="574"/>
        <v>-1.5019666666666665</v>
      </c>
      <c r="X408" s="3532">
        <f t="shared" si="574"/>
        <v>-1.5608199999999999</v>
      </c>
      <c r="Y408" s="3532">
        <f t="shared" si="574"/>
        <v>-2.9177199999999996</v>
      </c>
      <c r="Z408" s="3532">
        <f t="shared" si="574"/>
        <v>-3.891553333333333</v>
      </c>
      <c r="AA408" s="3532">
        <f t="shared" si="574"/>
        <v>-4.7746666666666666</v>
      </c>
      <c r="AB408" s="3532">
        <f t="shared" si="574"/>
        <v>-4.4870000000000001</v>
      </c>
      <c r="AC408" s="3532">
        <f t="shared" si="574"/>
        <v>-4.4870000000000001</v>
      </c>
      <c r="AD408" s="3532">
        <f t="shared" si="574"/>
        <v>-4.4870000000000001</v>
      </c>
      <c r="AE408" s="3532">
        <f t="shared" si="574"/>
        <v>-4.4870000000000001</v>
      </c>
      <c r="AK408" s="3532">
        <v>-3.891553333333333</v>
      </c>
      <c r="AM408" s="3532">
        <f t="shared" si="493"/>
        <v>0</v>
      </c>
    </row>
    <row r="409" spans="1:39" ht="10.5" hidden="1" customHeight="1">
      <c r="A409" s="714"/>
      <c r="B409" s="714"/>
      <c r="C409" s="3493"/>
      <c r="D409" s="3494"/>
      <c r="E409" s="3531"/>
      <c r="F409" s="3496"/>
      <c r="G409" s="3499"/>
      <c r="H409" s="3499"/>
      <c r="I409" s="3499"/>
      <c r="J409" s="3499"/>
      <c r="K409" s="3499"/>
      <c r="L409" s="3499"/>
      <c r="M409" s="3499"/>
      <c r="N409" s="3499"/>
      <c r="O409" s="3499"/>
      <c r="P409" s="3499"/>
      <c r="Q409" s="3499"/>
      <c r="R409" s="3499"/>
      <c r="S409" s="3499"/>
      <c r="T409" s="3499"/>
      <c r="U409" s="3499"/>
      <c r="V409" s="3499"/>
      <c r="W409" s="3499"/>
      <c r="X409" s="3499"/>
      <c r="Y409" s="3499"/>
      <c r="Z409" s="3499"/>
      <c r="AA409" s="3499"/>
      <c r="AB409" s="3499"/>
      <c r="AC409" s="3499"/>
      <c r="AD409" s="3499"/>
      <c r="AE409" s="3499"/>
      <c r="AK409" s="3499"/>
      <c r="AM409" s="3499">
        <f t="shared" si="493"/>
        <v>0</v>
      </c>
    </row>
    <row r="410" spans="1:39" ht="10.5" hidden="1" customHeight="1">
      <c r="A410" s="714"/>
      <c r="B410" s="714"/>
      <c r="C410" s="3493"/>
      <c r="D410" s="3494"/>
      <c r="E410" s="3531" t="s">
        <v>2442</v>
      </c>
      <c r="F410" s="3524"/>
      <c r="G410" s="3499"/>
      <c r="H410" s="3499"/>
      <c r="I410" s="3499">
        <f>(H406-H412/1000)*(1+H408/100)</f>
        <v>0.40849999999999986</v>
      </c>
      <c r="J410" s="3499">
        <f t="shared" ref="J410:AE410" si="575">(I406-I412/1000)*(1+I408/100)</f>
        <v>0.27753816533333325</v>
      </c>
      <c r="K410" s="3499">
        <f t="shared" si="575"/>
        <v>0.39159847679999987</v>
      </c>
      <c r="L410" s="3499">
        <f t="shared" si="575"/>
        <v>0.16535710280000027</v>
      </c>
      <c r="M410" s="3499">
        <f t="shared" si="575"/>
        <v>0.55936646839999993</v>
      </c>
      <c r="N410" s="3499">
        <f t="shared" si="575"/>
        <v>6.5170559999999947E-2</v>
      </c>
      <c r="O410" s="3499">
        <f t="shared" si="575"/>
        <v>-0.14803377033333304</v>
      </c>
      <c r="P410" s="3499">
        <f t="shared" si="575"/>
        <v>-0.32146575690000007</v>
      </c>
      <c r="Q410" s="3499">
        <f t="shared" si="575"/>
        <v>-0.44802318820000003</v>
      </c>
      <c r="R410" s="3499">
        <f t="shared" si="575"/>
        <v>-0.4091813110666665</v>
      </c>
      <c r="S410" s="3499">
        <f t="shared" si="575"/>
        <v>-0.67908961573333348</v>
      </c>
      <c r="T410" s="3499">
        <f t="shared" si="575"/>
        <v>-1.1510891288</v>
      </c>
      <c r="U410" s="3499">
        <f t="shared" si="575"/>
        <v>-0.42476089600000017</v>
      </c>
      <c r="V410" s="3499">
        <f t="shared" si="575"/>
        <v>-1.6431108407000001</v>
      </c>
      <c r="W410" s="3499">
        <f t="shared" si="575"/>
        <v>-1.2649360195999997</v>
      </c>
      <c r="X410" s="3499">
        <f t="shared" si="575"/>
        <v>-1.5419867118333332</v>
      </c>
      <c r="Y410" s="3499">
        <f t="shared" si="575"/>
        <v>-1.5097223279880003</v>
      </c>
      <c r="Z410" s="3499">
        <f t="shared" si="575"/>
        <v>-5.1939019799999997</v>
      </c>
      <c r="AA410" s="3499">
        <f t="shared" si="575"/>
        <v>-4.3123860019333335</v>
      </c>
      <c r="AB410" s="3499">
        <f t="shared" si="575"/>
        <v>-4.2727607066666664</v>
      </c>
      <c r="AC410" s="3499">
        <f t="shared" si="575"/>
        <v>-4.2856683100000001</v>
      </c>
      <c r="AD410" s="3499">
        <f t="shared" si="575"/>
        <v>-4.2856683100000001</v>
      </c>
      <c r="AE410" s="3499">
        <f t="shared" si="575"/>
        <v>-4.2856683100000001</v>
      </c>
      <c r="AK410" s="3499">
        <v>-5.1939019799999997</v>
      </c>
      <c r="AM410" s="3499">
        <f t="shared" si="493"/>
        <v>0</v>
      </c>
    </row>
    <row r="411" spans="1:39" ht="10.5" hidden="1" customHeight="1">
      <c r="A411" s="714"/>
      <c r="B411" s="714"/>
      <c r="C411" s="3493"/>
      <c r="D411" s="3494"/>
      <c r="E411" s="3531" t="s">
        <v>2433</v>
      </c>
      <c r="F411" s="3496"/>
      <c r="G411" s="3499"/>
      <c r="H411" s="3499"/>
      <c r="I411" s="3499"/>
      <c r="J411" s="3499"/>
      <c r="K411" s="3499"/>
      <c r="L411" s="3499"/>
      <c r="M411" s="3499"/>
      <c r="N411" s="3499"/>
      <c r="O411" s="3499"/>
      <c r="P411" s="3499"/>
      <c r="Q411" s="3499"/>
      <c r="R411" s="3499"/>
      <c r="S411" s="3499"/>
      <c r="T411" s="3499"/>
      <c r="U411" s="3534"/>
      <c r="V411" s="3534"/>
      <c r="W411" s="3534"/>
      <c r="X411" s="3534"/>
      <c r="Y411" s="3715">
        <v>204</v>
      </c>
      <c r="Z411" s="3715">
        <f>42.1+1088.3</f>
        <v>1130.3999999999999</v>
      </c>
      <c r="AA411" s="3534"/>
      <c r="AB411" s="3534"/>
      <c r="AC411" s="3534"/>
      <c r="AD411" s="3534"/>
      <c r="AE411" s="3534"/>
      <c r="AK411" s="3715">
        <v>1130.3999999999999</v>
      </c>
      <c r="AM411" s="3715">
        <f t="shared" si="493"/>
        <v>0</v>
      </c>
    </row>
    <row r="412" spans="1:39" ht="10.5" hidden="1" customHeight="1">
      <c r="A412" s="714"/>
      <c r="B412" s="714"/>
      <c r="C412" s="3493"/>
      <c r="D412" s="3494"/>
      <c r="E412" s="3531" t="s">
        <v>2434</v>
      </c>
      <c r="F412" s="3496"/>
      <c r="G412" s="3499"/>
      <c r="H412" s="3499"/>
      <c r="I412" s="3499"/>
      <c r="J412" s="3499"/>
      <c r="K412" s="3499"/>
      <c r="L412" s="3499"/>
      <c r="M412" s="3499"/>
      <c r="N412" s="3499"/>
      <c r="O412" s="3499"/>
      <c r="P412" s="3499"/>
      <c r="Q412" s="3499"/>
      <c r="R412" s="3499"/>
      <c r="S412" s="3499"/>
      <c r="T412" s="3499"/>
      <c r="U412" s="3534"/>
      <c r="V412" s="3534"/>
      <c r="W412" s="3534"/>
      <c r="X412" s="3715">
        <v>-304</v>
      </c>
      <c r="Y412" s="3534"/>
      <c r="Z412" s="3534"/>
      <c r="AA412" s="3534"/>
      <c r="AB412" s="3534"/>
      <c r="AC412" s="3534"/>
      <c r="AD412" s="3534"/>
      <c r="AE412" s="3534"/>
      <c r="AK412" s="3534"/>
      <c r="AM412" s="3534">
        <f t="shared" si="493"/>
        <v>0</v>
      </c>
    </row>
    <row r="413" spans="1:39" ht="10.5" hidden="1" customHeight="1">
      <c r="A413" s="714"/>
      <c r="B413" s="714"/>
      <c r="C413" s="3493"/>
      <c r="D413" s="3494"/>
      <c r="E413" s="3531" t="s">
        <v>2422</v>
      </c>
      <c r="F413" s="3496"/>
      <c r="G413" s="3499"/>
      <c r="H413" s="3532">
        <f t="shared" ref="H413:AA413" si="576">H406-H410-(H411/1000)-(H412/1000)</f>
        <v>0.40849999999999986</v>
      </c>
      <c r="I413" s="3532">
        <f t="shared" si="576"/>
        <v>-0.1319999999999999</v>
      </c>
      <c r="J413" s="3532">
        <f t="shared" si="576"/>
        <v>0.11266183466666663</v>
      </c>
      <c r="K413" s="3532">
        <f t="shared" si="576"/>
        <v>-0.2266984767999996</v>
      </c>
      <c r="L413" s="3532">
        <f t="shared" si="576"/>
        <v>0.39194289719999964</v>
      </c>
      <c r="M413" s="3532">
        <f t="shared" si="576"/>
        <v>-0.49436646839999998</v>
      </c>
      <c r="N413" s="3532">
        <f t="shared" si="576"/>
        <v>-0.21297055999999964</v>
      </c>
      <c r="O413" s="3532">
        <f t="shared" si="576"/>
        <v>-0.17386622966666704</v>
      </c>
      <c r="P413" s="3532">
        <f t="shared" si="576"/>
        <v>-0.12793424309999996</v>
      </c>
      <c r="Q413" s="3532">
        <f t="shared" si="576"/>
        <v>3.7223188200000201E-2</v>
      </c>
      <c r="R413" s="3532">
        <f t="shared" si="576"/>
        <v>-0.2734186889333336</v>
      </c>
      <c r="S413" s="3532">
        <f t="shared" si="576"/>
        <v>-0.48071038426666646</v>
      </c>
      <c r="T413" s="3532">
        <f t="shared" si="576"/>
        <v>0.72308912879999987</v>
      </c>
      <c r="U413" s="3532">
        <f t="shared" si="576"/>
        <v>-1.2363391039999998</v>
      </c>
      <c r="V413" s="3532">
        <f t="shared" si="576"/>
        <v>0.36381084070000047</v>
      </c>
      <c r="W413" s="3532">
        <f t="shared" si="576"/>
        <v>-0.30056398040000021</v>
      </c>
      <c r="X413" s="3532">
        <f t="shared" si="576"/>
        <v>8.3267118333329448E-3</v>
      </c>
      <c r="Y413" s="3532">
        <f t="shared" si="576"/>
        <v>-4.0442776720119991</v>
      </c>
      <c r="Z413" s="3532">
        <f t="shared" si="576"/>
        <v>-0.42349802000000025</v>
      </c>
      <c r="AA413" s="3532">
        <f t="shared" si="576"/>
        <v>-0.17461399806666655</v>
      </c>
      <c r="AB413" s="3532">
        <f t="shared" ref="AB413:AC413" si="577">AB406-AB410-(AB411/1000)-(AB412/1000)</f>
        <v>-0.21423929333333369</v>
      </c>
      <c r="AC413" s="3532">
        <f t="shared" si="577"/>
        <v>-0.20133168999999995</v>
      </c>
      <c r="AD413" s="3532">
        <f t="shared" ref="AD413" si="578">AD406-AD410-(AD411/1000)-(AD412/1000)</f>
        <v>-0.20133168999999995</v>
      </c>
      <c r="AE413" s="3532">
        <f t="shared" ref="AE413" si="579">AE406-AE410-(AE411/1000)-(AE412/1000)</f>
        <v>-0.20133168999999995</v>
      </c>
      <c r="AK413" s="3532">
        <v>-0.42349802000000025</v>
      </c>
      <c r="AM413" s="3532">
        <f t="shared" si="493"/>
        <v>0</v>
      </c>
    </row>
    <row r="414" spans="1:39" ht="7.5" hidden="1" customHeight="1">
      <c r="A414" s="714"/>
      <c r="B414" s="714"/>
      <c r="C414" s="3493"/>
      <c r="D414" s="3494"/>
      <c r="E414" s="3531"/>
      <c r="F414" s="3496"/>
      <c r="G414" s="3499"/>
      <c r="H414" s="3499"/>
      <c r="I414" s="3499"/>
      <c r="J414" s="3499"/>
      <c r="K414" s="3499"/>
      <c r="L414" s="3499"/>
      <c r="M414" s="3499"/>
      <c r="N414" s="3499"/>
      <c r="O414" s="3499"/>
      <c r="P414" s="3499"/>
      <c r="Q414" s="3499"/>
      <c r="R414" s="3499"/>
      <c r="S414" s="3499"/>
      <c r="T414" s="3499"/>
      <c r="U414" s="3499"/>
      <c r="V414" s="3499"/>
      <c r="W414" s="3499"/>
      <c r="X414" s="3499"/>
      <c r="Y414" s="3499"/>
      <c r="Z414" s="3499"/>
      <c r="AA414" s="3499"/>
      <c r="AB414" s="3499"/>
      <c r="AC414" s="3499"/>
      <c r="AD414" s="3499"/>
      <c r="AE414" s="3499"/>
      <c r="AK414" s="3499"/>
      <c r="AM414" s="3499">
        <f t="shared" si="493"/>
        <v>0</v>
      </c>
    </row>
    <row r="415" spans="1:39" ht="10.5" hidden="1" customHeight="1">
      <c r="A415" s="714"/>
      <c r="B415" s="714"/>
      <c r="C415" s="3493"/>
      <c r="D415" s="3494"/>
      <c r="E415" s="3531" t="s">
        <v>401</v>
      </c>
      <c r="F415" s="3496"/>
      <c r="G415" s="3499"/>
      <c r="H415" s="3499">
        <f t="shared" ref="H415:X415" si="580">(H406/G406-1)*100</f>
        <v>-7.4535568645220041</v>
      </c>
      <c r="I415" s="3499">
        <f t="shared" si="580"/>
        <v>-32.313341493268041</v>
      </c>
      <c r="J415" s="3499">
        <f t="shared" si="580"/>
        <v>41.121157323688948</v>
      </c>
      <c r="K415" s="3499">
        <f t="shared" si="580"/>
        <v>-57.7396207073295</v>
      </c>
      <c r="L415" s="3499">
        <f t="shared" si="580"/>
        <v>237.96240145542691</v>
      </c>
      <c r="M415" s="3499">
        <f t="shared" si="580"/>
        <v>-88.336623003768182</v>
      </c>
      <c r="N415" s="3499">
        <f t="shared" si="580"/>
        <v>-327.38461538461513</v>
      </c>
      <c r="O415" s="3499">
        <f t="shared" si="580"/>
        <v>117.79431664411413</v>
      </c>
      <c r="P415" s="3499">
        <f t="shared" si="580"/>
        <v>39.608574091332692</v>
      </c>
      <c r="Q415" s="3499">
        <f t="shared" si="580"/>
        <v>-8.5892300845572311</v>
      </c>
      <c r="R415" s="3499">
        <f t="shared" si="580"/>
        <v>66.163583252190932</v>
      </c>
      <c r="S415" s="3499">
        <f t="shared" si="580"/>
        <v>69.909170817462623</v>
      </c>
      <c r="T415" s="3499">
        <f t="shared" si="580"/>
        <v>-63.097085704431777</v>
      </c>
      <c r="U415" s="3499">
        <f t="shared" si="580"/>
        <v>288.10747663551388</v>
      </c>
      <c r="V415" s="3499">
        <f t="shared" si="580"/>
        <v>-22.984769128890512</v>
      </c>
      <c r="W415" s="3499">
        <f t="shared" si="580"/>
        <v>22.371609473931088</v>
      </c>
      <c r="X415" s="3499">
        <f t="shared" si="580"/>
        <v>17.384861066751856</v>
      </c>
      <c r="Y415" s="3502"/>
      <c r="Z415" s="3502"/>
      <c r="AA415" s="3709">
        <v>0</v>
      </c>
      <c r="AB415" s="3709">
        <v>0</v>
      </c>
      <c r="AC415" s="3709">
        <v>0</v>
      </c>
      <c r="AD415" s="3709">
        <v>0</v>
      </c>
      <c r="AE415" s="3709">
        <v>0</v>
      </c>
      <c r="AK415" s="3502"/>
      <c r="AM415" s="3502">
        <f t="shared" si="493"/>
        <v>0</v>
      </c>
    </row>
    <row r="416" spans="1:39" ht="10.5" hidden="1" customHeight="1">
      <c r="A416" s="714"/>
      <c r="B416" s="714"/>
      <c r="C416" s="3493"/>
      <c r="D416" s="3494"/>
      <c r="E416" s="3531" t="s">
        <v>2429</v>
      </c>
      <c r="F416" s="3496"/>
      <c r="G416" s="3499"/>
      <c r="H416" s="3499"/>
      <c r="I416" s="3499"/>
      <c r="J416" s="3499"/>
      <c r="K416" s="3499"/>
      <c r="L416" s="3499"/>
      <c r="M416" s="3499"/>
      <c r="N416" s="3499"/>
      <c r="O416" s="3499"/>
      <c r="P416" s="3499"/>
      <c r="Q416" s="3499"/>
      <c r="R416" s="3499"/>
      <c r="S416" s="3499"/>
      <c r="T416" s="3499"/>
      <c r="U416" s="3499"/>
      <c r="V416" s="3499"/>
      <c r="W416" s="3499"/>
      <c r="X416" s="3499">
        <f t="shared" ref="X416:AE416" si="581">(X410+0.001*X411+0.001*X412)/W406-1</f>
        <v>0.17916749398488241</v>
      </c>
      <c r="Y416" s="3499">
        <f t="shared" si="581"/>
        <v>-0.28946468444217088</v>
      </c>
      <c r="Z416" s="3499">
        <f t="shared" si="581"/>
        <v>-0.24046691962616817</v>
      </c>
      <c r="AA416" s="3499">
        <f t="shared" si="581"/>
        <v>-3.8915533333333308E-2</v>
      </c>
      <c r="AB416" s="3499">
        <f t="shared" si="581"/>
        <v>-4.7746666666666715E-2</v>
      </c>
      <c r="AC416" s="3499">
        <f t="shared" si="581"/>
        <v>-4.4869999999999965E-2</v>
      </c>
      <c r="AD416" s="3499">
        <f t="shared" si="581"/>
        <v>-4.4869999999999965E-2</v>
      </c>
      <c r="AE416" s="3499">
        <f t="shared" si="581"/>
        <v>-4.4869999999999965E-2</v>
      </c>
      <c r="AK416" s="3499">
        <v>-0.24046691962616817</v>
      </c>
      <c r="AM416" s="3499">
        <f t="shared" si="493"/>
        <v>0</v>
      </c>
    </row>
    <row r="417" spans="1:39" ht="10.65" hidden="1" customHeight="1">
      <c r="A417" s="714"/>
      <c r="B417" s="714"/>
      <c r="C417" s="3493"/>
      <c r="D417" s="3494"/>
      <c r="E417" s="3531" t="s">
        <v>2478</v>
      </c>
      <c r="F417" s="3496"/>
      <c r="G417" s="3499"/>
      <c r="H417" s="3499"/>
      <c r="I417" s="3499"/>
      <c r="J417" s="3499"/>
      <c r="K417" s="3499"/>
      <c r="L417" s="3499"/>
      <c r="M417" s="3499"/>
      <c r="N417" s="3499"/>
      <c r="O417" s="3499"/>
      <c r="P417" s="3499"/>
      <c r="Q417" s="3499"/>
      <c r="R417" s="3499"/>
      <c r="S417" s="3499"/>
      <c r="T417" s="3499"/>
      <c r="U417" s="3499"/>
      <c r="V417" s="3499"/>
      <c r="W417" s="3499">
        <v>-5319</v>
      </c>
      <c r="X417" s="3711">
        <v>-5410</v>
      </c>
      <c r="Y417" s="3711">
        <v>-5350</v>
      </c>
      <c r="Z417" s="3711">
        <v>-4487</v>
      </c>
      <c r="AA417" s="3499"/>
      <c r="AB417" s="3499"/>
      <c r="AC417" s="3499"/>
      <c r="AD417" s="3499"/>
      <c r="AE417" s="3499"/>
      <c r="AK417" s="3711">
        <v>-4487</v>
      </c>
      <c r="AM417" s="3711">
        <f t="shared" si="493"/>
        <v>0</v>
      </c>
    </row>
    <row r="418" spans="1:39" ht="12.75" hidden="1" customHeight="1">
      <c r="A418" s="714"/>
      <c r="B418" s="714"/>
      <c r="C418" s="3487" t="s">
        <v>622</v>
      </c>
      <c r="D418" s="3488"/>
      <c r="E418" s="3489" t="s">
        <v>2477</v>
      </c>
      <c r="F418" s="3720" t="s">
        <v>2479</v>
      </c>
      <c r="G418" s="3491">
        <v>1.6247</v>
      </c>
      <c r="H418" s="3491">
        <v>1.5763</v>
      </c>
      <c r="I418" s="3491">
        <v>1.7292000000000001</v>
      </c>
      <c r="J418" s="3491">
        <v>1.6344000000000001</v>
      </c>
      <c r="K418" s="3491">
        <v>1.8197999999999999</v>
      </c>
      <c r="L418" s="3491">
        <v>1.411</v>
      </c>
      <c r="M418" s="3491">
        <v>1.8807</v>
      </c>
      <c r="N418" s="3491">
        <v>2.0274999999999999</v>
      </c>
      <c r="O418" s="3491">
        <v>2.173</v>
      </c>
      <c r="P418" s="3491">
        <v>2.1819999999999999</v>
      </c>
      <c r="Q418" s="3491">
        <v>2.2719999999999998</v>
      </c>
      <c r="R418" s="3491">
        <v>2.4710000000000001</v>
      </c>
      <c r="S418" s="3491">
        <v>2.9159999999999999</v>
      </c>
      <c r="T418" s="3491">
        <v>2.1560000000000001</v>
      </c>
      <c r="U418" s="3491">
        <v>3.2080000000000002</v>
      </c>
      <c r="V418" s="3491">
        <v>2.8969999999999998</v>
      </c>
      <c r="W418" s="3491">
        <v>3.085</v>
      </c>
      <c r="X418" s="3492">
        <f t="shared" ref="X418:AE418" si="582">+W418*(1+X428/100)</f>
        <v>3.2577600000000002</v>
      </c>
      <c r="Y418" s="3492">
        <f t="shared" si="582"/>
        <v>3.3620083200000002</v>
      </c>
      <c r="Z418" s="3492">
        <f t="shared" si="582"/>
        <v>3.52674672768</v>
      </c>
      <c r="AA418" s="3492">
        <f t="shared" si="582"/>
        <v>3.6501828631487996</v>
      </c>
      <c r="AB418" s="3492">
        <f t="shared" si="582"/>
        <v>3.7779392633590074</v>
      </c>
      <c r="AC418" s="3492">
        <f t="shared" si="582"/>
        <v>3.9101671375765723</v>
      </c>
      <c r="AD418" s="3492">
        <f t="shared" si="582"/>
        <v>4.0470229873917516</v>
      </c>
      <c r="AE418" s="3492">
        <f t="shared" si="582"/>
        <v>4.1886687919504624</v>
      </c>
      <c r="AK418" s="3492">
        <v>3.52674672768</v>
      </c>
      <c r="AM418" s="3492">
        <f t="shared" si="493"/>
        <v>0</v>
      </c>
    </row>
    <row r="419" spans="1:39" ht="10.5" hidden="1" customHeight="1">
      <c r="A419" s="714"/>
      <c r="B419" s="714"/>
      <c r="C419" s="3493"/>
      <c r="D419" s="3494"/>
      <c r="E419" s="3531" t="s">
        <v>2480</v>
      </c>
      <c r="F419" s="3496"/>
      <c r="G419" s="3499"/>
      <c r="H419" s="3499">
        <f t="shared" ref="H419:AE419" si="583">G364+G378+H406</f>
        <v>24.723600000000001</v>
      </c>
      <c r="I419" s="3499">
        <f t="shared" si="583"/>
        <v>24.685200000000002</v>
      </c>
      <c r="J419" s="3499">
        <f t="shared" si="583"/>
        <v>26.307099999999998</v>
      </c>
      <c r="K419" s="3499">
        <f t="shared" si="583"/>
        <v>27.427800000000001</v>
      </c>
      <c r="L419" s="3499">
        <f t="shared" si="583"/>
        <v>28.232000000000003</v>
      </c>
      <c r="M419" s="3499">
        <f t="shared" si="583"/>
        <v>30.094900000000003</v>
      </c>
      <c r="N419" s="3499">
        <f t="shared" si="583"/>
        <v>31.660700000000002</v>
      </c>
      <c r="O419" s="3499">
        <f t="shared" si="583"/>
        <v>31.964200000000005</v>
      </c>
      <c r="P419" s="3499">
        <f t="shared" si="583"/>
        <v>32.013400000000004</v>
      </c>
      <c r="Q419" s="3499">
        <f t="shared" si="583"/>
        <v>33.529599999999995</v>
      </c>
      <c r="R419" s="3499">
        <f t="shared" si="583"/>
        <v>34.811799999999998</v>
      </c>
      <c r="S419" s="3499">
        <f t="shared" si="583"/>
        <v>36.2423</v>
      </c>
      <c r="T419" s="3499">
        <f t="shared" si="583"/>
        <v>38.656700000000001</v>
      </c>
      <c r="U419" s="3499">
        <f t="shared" si="583"/>
        <v>40.020299999999999</v>
      </c>
      <c r="V419" s="3499">
        <f t="shared" si="583"/>
        <v>40.517600000000002</v>
      </c>
      <c r="W419" s="3499">
        <f t="shared" si="583"/>
        <v>41.574999999999996</v>
      </c>
      <c r="X419" s="3499">
        <f t="shared" si="583"/>
        <v>44.003039999999999</v>
      </c>
      <c r="Y419" s="3499">
        <f t="shared" si="583"/>
        <v>42.359099999999998</v>
      </c>
      <c r="Z419" s="3499">
        <f t="shared" si="583"/>
        <v>43.229007799999998</v>
      </c>
      <c r="AA419" s="3499">
        <f t="shared" si="583"/>
        <v>44.799886540399996</v>
      </c>
      <c r="AB419" s="3499">
        <f t="shared" si="583"/>
        <v>47.06505005419519</v>
      </c>
      <c r="AC419" s="3499">
        <f t="shared" si="583"/>
        <v>49.436728061769394</v>
      </c>
      <c r="AD419" s="3499">
        <f t="shared" si="583"/>
        <v>51.91998456501657</v>
      </c>
      <c r="AE419" s="3499">
        <f t="shared" si="583"/>
        <v>54.520125566657811</v>
      </c>
      <c r="AK419" s="3499">
        <v>43.229007799999998</v>
      </c>
      <c r="AM419" s="3499">
        <f t="shared" si="493"/>
        <v>0</v>
      </c>
    </row>
    <row r="420" spans="1:39" ht="10.5" hidden="1" customHeight="1">
      <c r="A420" s="714"/>
      <c r="B420" s="714"/>
      <c r="C420" s="3493"/>
      <c r="D420" s="3494"/>
      <c r="E420" s="3531" t="s">
        <v>2481</v>
      </c>
      <c r="F420" s="3496"/>
      <c r="G420" s="3499"/>
      <c r="H420" s="3499"/>
      <c r="I420" s="3499">
        <f>100*(I419/H419-1)</f>
        <v>-0.15531718681744966</v>
      </c>
      <c r="J420" s="3499">
        <f t="shared" ref="J420:AE420" si="584">100*(J419/I419-1)</f>
        <v>6.5703336412101132</v>
      </c>
      <c r="K420" s="3499">
        <f t="shared" si="584"/>
        <v>4.2600666740157722</v>
      </c>
      <c r="L420" s="3499">
        <f t="shared" si="584"/>
        <v>2.9320616309000513</v>
      </c>
      <c r="M420" s="3499">
        <f t="shared" si="584"/>
        <v>6.598540663077368</v>
      </c>
      <c r="N420" s="3499">
        <f t="shared" si="584"/>
        <v>5.202874905714916</v>
      </c>
      <c r="O420" s="3499">
        <f t="shared" si="584"/>
        <v>0.95860167336794255</v>
      </c>
      <c r="P420" s="3499">
        <f t="shared" si="584"/>
        <v>0.15392220046175353</v>
      </c>
      <c r="Q420" s="3499">
        <f t="shared" si="584"/>
        <v>4.7361417406460715</v>
      </c>
      <c r="R420" s="3499">
        <f t="shared" si="584"/>
        <v>3.8240837946172945</v>
      </c>
      <c r="S420" s="3499">
        <f t="shared" si="584"/>
        <v>4.1092388213192166</v>
      </c>
      <c r="T420" s="3499">
        <f t="shared" si="584"/>
        <v>6.6618288574400664</v>
      </c>
      <c r="U420" s="3499">
        <f t="shared" si="584"/>
        <v>3.5274609576088967</v>
      </c>
      <c r="V420" s="3499">
        <f t="shared" si="584"/>
        <v>1.2426193706693844</v>
      </c>
      <c r="W420" s="3499">
        <f t="shared" si="584"/>
        <v>2.6097300926017253</v>
      </c>
      <c r="X420" s="3499">
        <f t="shared" si="584"/>
        <v>5.8401443174985079</v>
      </c>
      <c r="Y420" s="3499">
        <f t="shared" si="584"/>
        <v>-3.7359691512222848</v>
      </c>
      <c r="Z420" s="3499">
        <f t="shared" si="584"/>
        <v>2.0536503372356796</v>
      </c>
      <c r="AA420" s="3499">
        <f t="shared" si="584"/>
        <v>3.6338533321599753</v>
      </c>
      <c r="AB420" s="3499">
        <f t="shared" si="584"/>
        <v>5.0561813627641561</v>
      </c>
      <c r="AC420" s="3499">
        <f t="shared" si="584"/>
        <v>5.0391490178874232</v>
      </c>
      <c r="AD420" s="3499">
        <f t="shared" si="584"/>
        <v>5.0231004368744614</v>
      </c>
      <c r="AE420" s="3499">
        <f t="shared" si="584"/>
        <v>5.0079772238476483</v>
      </c>
      <c r="AK420" s="3499">
        <v>2.0536503372356796</v>
      </c>
      <c r="AM420" s="3499">
        <f t="shared" si="493"/>
        <v>0</v>
      </c>
    </row>
    <row r="421" spans="1:39" ht="10.5" hidden="1" customHeight="1">
      <c r="A421" s="714"/>
      <c r="B421" s="714"/>
      <c r="C421" s="3493"/>
      <c r="D421" s="3494"/>
      <c r="E421" s="3531" t="s">
        <v>2482</v>
      </c>
      <c r="F421" s="3496"/>
      <c r="G421" s="3499"/>
      <c r="H421" s="3497">
        <f t="shared" ref="H421:AA421" si="585">100*H418/H419</f>
        <v>6.3756896244883423</v>
      </c>
      <c r="I421" s="3497">
        <f t="shared" si="585"/>
        <v>7.0050070487579603</v>
      </c>
      <c r="J421" s="3497">
        <f t="shared" si="585"/>
        <v>6.2127714571351467</v>
      </c>
      <c r="K421" s="3497">
        <f t="shared" si="585"/>
        <v>6.6348741058342258</v>
      </c>
      <c r="L421" s="3497">
        <f t="shared" si="585"/>
        <v>4.9978747520544058</v>
      </c>
      <c r="M421" s="3497">
        <f t="shared" si="585"/>
        <v>6.2492315973802866</v>
      </c>
      <c r="N421" s="3497">
        <f t="shared" si="585"/>
        <v>6.4038381968813063</v>
      </c>
      <c r="O421" s="3497">
        <f t="shared" si="585"/>
        <v>6.7982305203946911</v>
      </c>
      <c r="P421" s="3497">
        <f t="shared" si="585"/>
        <v>6.8158958436154844</v>
      </c>
      <c r="Q421" s="3497">
        <f t="shared" si="585"/>
        <v>6.77610230960107</v>
      </c>
      <c r="R421" s="3497">
        <f t="shared" si="585"/>
        <v>7.0981678626212963</v>
      </c>
      <c r="S421" s="3497">
        <f t="shared" si="585"/>
        <v>8.0458469799102144</v>
      </c>
      <c r="T421" s="3497">
        <f t="shared" si="585"/>
        <v>5.5772996660346079</v>
      </c>
      <c r="U421" s="3497">
        <f t="shared" si="585"/>
        <v>8.0159319145533647</v>
      </c>
      <c r="V421" s="3497">
        <f t="shared" si="585"/>
        <v>7.1499792682686039</v>
      </c>
      <c r="W421" s="3497">
        <f t="shared" si="585"/>
        <v>7.4203247143716187</v>
      </c>
      <c r="X421" s="3497">
        <f t="shared" si="585"/>
        <v>7.4034884862500414</v>
      </c>
      <c r="Y421" s="3497">
        <f t="shared" si="585"/>
        <v>7.9369210393988538</v>
      </c>
      <c r="Z421" s="3497">
        <f t="shared" si="585"/>
        <v>8.1582874721450356</v>
      </c>
      <c r="AA421" s="3497">
        <f t="shared" si="585"/>
        <v>8.1477502400750694</v>
      </c>
      <c r="AB421" s="3497">
        <f t="shared" ref="AB421:AC421" si="586">100*AB418/AB419</f>
        <v>8.0270588451700942</v>
      </c>
      <c r="AC421" s="3497">
        <f t="shared" si="586"/>
        <v>7.9094375596438349</v>
      </c>
      <c r="AD421" s="3497">
        <f t="shared" ref="AD421" si="587">100*AD418/AD419</f>
        <v>7.7947307213157684</v>
      </c>
      <c r="AE421" s="3497">
        <f t="shared" ref="AE421" si="588">100*AE418/AE419</f>
        <v>7.6827937361026075</v>
      </c>
      <c r="AK421" s="3497">
        <v>8.1582874721450356</v>
      </c>
      <c r="AM421" s="3497">
        <f t="shared" si="493"/>
        <v>0</v>
      </c>
    </row>
    <row r="422" spans="1:39" ht="10.5" hidden="1" customHeight="1">
      <c r="A422" s="714"/>
      <c r="B422" s="714"/>
      <c r="C422" s="3493"/>
      <c r="D422" s="3494"/>
      <c r="E422" s="3531"/>
      <c r="F422" s="3496"/>
      <c r="G422" s="3499"/>
      <c r="H422" s="3497"/>
      <c r="I422" s="3497"/>
      <c r="J422" s="3497"/>
      <c r="K422" s="3497"/>
      <c r="L422" s="3497"/>
      <c r="M422" s="3497"/>
      <c r="N422" s="3497"/>
      <c r="O422" s="3497"/>
      <c r="P422" s="3497"/>
      <c r="Q422" s="3497"/>
      <c r="R422" s="3497"/>
      <c r="S422" s="3497"/>
      <c r="T422" s="3497"/>
      <c r="U422" s="3497"/>
      <c r="V422" s="3497"/>
      <c r="W422" s="3497"/>
      <c r="X422" s="3497"/>
      <c r="Y422" s="3497"/>
      <c r="Z422" s="3497"/>
      <c r="AA422" s="3497"/>
      <c r="AB422" s="3497"/>
      <c r="AC422" s="3497"/>
      <c r="AD422" s="3497"/>
      <c r="AE422" s="3497"/>
      <c r="AK422" s="3497"/>
      <c r="AM422" s="3497">
        <f t="shared" si="493"/>
        <v>0</v>
      </c>
    </row>
    <row r="423" spans="1:39" ht="10.5" hidden="1" customHeight="1">
      <c r="A423" s="714"/>
      <c r="B423" s="714"/>
      <c r="C423" s="3493"/>
      <c r="D423" s="3494"/>
      <c r="E423" s="3531" t="s">
        <v>2483</v>
      </c>
      <c r="F423" s="3524"/>
      <c r="G423" s="3499"/>
      <c r="H423" s="3499"/>
      <c r="I423" s="3499">
        <f>(H418-H425/1000)*(1+I420/100)</f>
        <v>1.5738517351841965</v>
      </c>
      <c r="J423" s="3499">
        <f t="shared" ref="J423:AE423" si="589">(I418-I425/1000)*(1+J420/100)</f>
        <v>1.8428142093238054</v>
      </c>
      <c r="K423" s="3499">
        <f t="shared" si="589"/>
        <v>1.7040265297201138</v>
      </c>
      <c r="L423" s="3499">
        <f t="shared" si="589"/>
        <v>1.8731576575591189</v>
      </c>
      <c r="M423" s="3499">
        <f t="shared" si="589"/>
        <v>1.5041054087560217</v>
      </c>
      <c r="N423" s="3499">
        <f t="shared" si="589"/>
        <v>1.9785504683517805</v>
      </c>
      <c r="O423" s="3499">
        <f t="shared" si="589"/>
        <v>2.0469356489275348</v>
      </c>
      <c r="P423" s="3499">
        <f t="shared" si="589"/>
        <v>2.1763447294160341</v>
      </c>
      <c r="Q423" s="3499">
        <f t="shared" si="589"/>
        <v>2.2853426127808971</v>
      </c>
      <c r="R423" s="3499">
        <f t="shared" si="589"/>
        <v>2.3588831838137048</v>
      </c>
      <c r="S423" s="3499">
        <f t="shared" si="589"/>
        <v>2.572539291274798</v>
      </c>
      <c r="T423" s="3499">
        <f t="shared" si="589"/>
        <v>3.1102589294829524</v>
      </c>
      <c r="U423" s="3499">
        <f t="shared" si="589"/>
        <v>2.2320520582460479</v>
      </c>
      <c r="V423" s="3499">
        <f t="shared" si="589"/>
        <v>3.2478632294110739</v>
      </c>
      <c r="W423" s="3499">
        <f t="shared" si="589"/>
        <v>2.9726038807826716</v>
      </c>
      <c r="X423" s="3499">
        <f t="shared" si="589"/>
        <v>3.2651684521948288</v>
      </c>
      <c r="Y423" s="3499">
        <f t="shared" si="589"/>
        <v>3.1360510913791413</v>
      </c>
      <c r="Z423" s="3499">
        <f t="shared" si="589"/>
        <v>3.4310522152015719</v>
      </c>
      <c r="AA423" s="3499">
        <f t="shared" si="589"/>
        <v>3.6549035311606426</v>
      </c>
      <c r="AB423" s="3499">
        <f t="shared" si="589"/>
        <v>3.8347427287821403</v>
      </c>
      <c r="AC423" s="3499">
        <f t="shared" si="589"/>
        <v>3.9683152526449463</v>
      </c>
      <c r="AD423" s="3499">
        <f t="shared" si="589"/>
        <v>4.1065787601467028</v>
      </c>
      <c r="AE423" s="3499">
        <f t="shared" si="589"/>
        <v>4.2496969768442092</v>
      </c>
      <c r="AK423" s="3499">
        <v>3.4310522152015719</v>
      </c>
      <c r="AM423" s="3499">
        <f t="shared" si="493"/>
        <v>0</v>
      </c>
    </row>
    <row r="424" spans="1:39" ht="10.5" hidden="1" customHeight="1">
      <c r="A424" s="714"/>
      <c r="B424" s="714"/>
      <c r="C424" s="3493"/>
      <c r="D424" s="3494"/>
      <c r="E424" s="3531" t="s">
        <v>2433</v>
      </c>
      <c r="F424" s="3496"/>
      <c r="G424" s="3499"/>
      <c r="H424" s="3499"/>
      <c r="I424" s="3499"/>
      <c r="J424" s="3499"/>
      <c r="K424" s="3499"/>
      <c r="L424" s="3499"/>
      <c r="M424" s="3499"/>
      <c r="N424" s="3499"/>
      <c r="O424" s="3499"/>
      <c r="P424" s="3499"/>
      <c r="Q424" s="3499"/>
      <c r="R424" s="3499"/>
      <c r="S424" s="3499"/>
      <c r="T424" s="3499"/>
      <c r="U424" s="3534"/>
      <c r="V424" s="3534"/>
      <c r="W424" s="3534"/>
      <c r="X424" s="3534"/>
      <c r="Y424" s="3534"/>
      <c r="Z424" s="3534"/>
      <c r="AA424" s="3534"/>
      <c r="AB424" s="3534"/>
      <c r="AC424" s="3534"/>
      <c r="AD424" s="3534"/>
      <c r="AE424" s="3534"/>
      <c r="AK424" s="3534"/>
      <c r="AM424" s="3534">
        <f t="shared" si="493"/>
        <v>0</v>
      </c>
    </row>
    <row r="425" spans="1:39" ht="10.5" hidden="1" customHeight="1">
      <c r="A425" s="714"/>
      <c r="B425" s="714"/>
      <c r="C425" s="3493"/>
      <c r="D425" s="3494"/>
      <c r="E425" s="3531" t="s">
        <v>2434</v>
      </c>
      <c r="F425" s="3496"/>
      <c r="G425" s="3499"/>
      <c r="H425" s="3499"/>
      <c r="I425" s="3499"/>
      <c r="J425" s="3499"/>
      <c r="K425" s="3499"/>
      <c r="L425" s="3499"/>
      <c r="M425" s="3499"/>
      <c r="N425" s="3499"/>
      <c r="O425" s="3499"/>
      <c r="P425" s="3499"/>
      <c r="Q425" s="3499"/>
      <c r="R425" s="3499"/>
      <c r="S425" s="3499"/>
      <c r="T425" s="3499"/>
      <c r="U425" s="3534"/>
      <c r="V425" s="3534"/>
      <c r="W425" s="3534"/>
      <c r="X425" s="3534"/>
      <c r="Y425" s="3534"/>
      <c r="Z425" s="3534"/>
      <c r="AA425" s="3534"/>
      <c r="AB425" s="3534"/>
      <c r="AC425" s="3534"/>
      <c r="AD425" s="3534"/>
      <c r="AE425" s="3534"/>
      <c r="AK425" s="3534"/>
      <c r="AM425" s="3534">
        <f t="shared" si="493"/>
        <v>0</v>
      </c>
    </row>
    <row r="426" spans="1:39" ht="10.5" hidden="1" customHeight="1">
      <c r="A426" s="714"/>
      <c r="B426" s="714"/>
      <c r="C426" s="3493"/>
      <c r="D426" s="3494"/>
      <c r="E426" s="3531" t="s">
        <v>2422</v>
      </c>
      <c r="F426" s="3496"/>
      <c r="G426" s="3499"/>
      <c r="H426" s="3532">
        <f t="shared" ref="H426:AA426" si="590">H418-H423-(H424/1000)-(H425/1000)</f>
        <v>1.5763</v>
      </c>
      <c r="I426" s="3532">
        <f t="shared" si="590"/>
        <v>0.15534826481580355</v>
      </c>
      <c r="J426" s="3532">
        <f t="shared" si="590"/>
        <v>-0.20841420932380528</v>
      </c>
      <c r="K426" s="3532">
        <f t="shared" si="590"/>
        <v>0.11577347027988605</v>
      </c>
      <c r="L426" s="3532">
        <f t="shared" si="590"/>
        <v>-0.46215765755911886</v>
      </c>
      <c r="M426" s="3532">
        <f t="shared" si="590"/>
        <v>0.37659459124397832</v>
      </c>
      <c r="N426" s="3532">
        <f t="shared" si="590"/>
        <v>4.8949531648219358E-2</v>
      </c>
      <c r="O426" s="3532">
        <f t="shared" si="590"/>
        <v>0.12606435107246527</v>
      </c>
      <c r="P426" s="3532">
        <f t="shared" si="590"/>
        <v>5.6552705839658657E-3</v>
      </c>
      <c r="Q426" s="3532">
        <f t="shared" si="590"/>
        <v>-1.3342612780897323E-2</v>
      </c>
      <c r="R426" s="3532">
        <f t="shared" si="590"/>
        <v>0.11211681618629532</v>
      </c>
      <c r="S426" s="3532">
        <f t="shared" si="590"/>
        <v>0.34346070872520196</v>
      </c>
      <c r="T426" s="3532">
        <f t="shared" si="590"/>
        <v>-0.95425892948295221</v>
      </c>
      <c r="U426" s="3532">
        <f t="shared" si="590"/>
        <v>0.97594794175395227</v>
      </c>
      <c r="V426" s="3532">
        <f t="shared" si="590"/>
        <v>-0.35086322941107406</v>
      </c>
      <c r="W426" s="3532">
        <f t="shared" si="590"/>
        <v>0.11239611921732839</v>
      </c>
      <c r="X426" s="3532">
        <f t="shared" si="590"/>
        <v>-7.408452194828552E-3</v>
      </c>
      <c r="Y426" s="3532">
        <f t="shared" si="590"/>
        <v>0.22595722862085887</v>
      </c>
      <c r="Z426" s="3532">
        <f t="shared" si="590"/>
        <v>9.5694512478428084E-2</v>
      </c>
      <c r="AA426" s="3532">
        <f t="shared" si="590"/>
        <v>-4.72066801184301E-3</v>
      </c>
      <c r="AB426" s="3532">
        <f t="shared" ref="AB426:AC426" si="591">AB418-AB423-(AB424/1000)-(AB425/1000)</f>
        <v>-5.680346542313286E-2</v>
      </c>
      <c r="AC426" s="3532">
        <f t="shared" si="591"/>
        <v>-5.8148115068374029E-2</v>
      </c>
      <c r="AD426" s="3532">
        <f t="shared" ref="AD426" si="592">AD418-AD423-(AD424/1000)-(AD425/1000)</f>
        <v>-5.9555772754951164E-2</v>
      </c>
      <c r="AE426" s="3532">
        <f t="shared" ref="AE426" si="593">AE418-AE423-(AE424/1000)-(AE425/1000)</f>
        <v>-6.102818489374684E-2</v>
      </c>
      <c r="AK426" s="3532">
        <v>9.5694512478428084E-2</v>
      </c>
      <c r="AM426" s="3532">
        <f t="shared" si="493"/>
        <v>0</v>
      </c>
    </row>
    <row r="427" spans="1:39" ht="7.5" hidden="1" customHeight="1">
      <c r="A427" s="714"/>
      <c r="B427" s="714"/>
      <c r="C427" s="3493"/>
      <c r="D427" s="3494"/>
      <c r="E427" s="3531"/>
      <c r="F427" s="3496"/>
      <c r="G427" s="3499"/>
      <c r="H427" s="3499"/>
      <c r="I427" s="3499"/>
      <c r="J427" s="3499"/>
      <c r="K427" s="3499"/>
      <c r="L427" s="3499"/>
      <c r="M427" s="3499"/>
      <c r="N427" s="3499"/>
      <c r="O427" s="3499"/>
      <c r="P427" s="3499"/>
      <c r="Q427" s="3499"/>
      <c r="R427" s="3499"/>
      <c r="S427" s="3499"/>
      <c r="T427" s="3499"/>
      <c r="U427" s="3499"/>
      <c r="V427" s="3499"/>
      <c r="W427" s="3499"/>
      <c r="X427" s="3499"/>
      <c r="Y427" s="3499"/>
      <c r="Z427" s="3499"/>
      <c r="AA427" s="3499"/>
      <c r="AB427" s="3499"/>
      <c r="AC427" s="3499"/>
      <c r="AD427" s="3499"/>
      <c r="AE427" s="3499"/>
      <c r="AK427" s="3499"/>
      <c r="AM427" s="3499">
        <f t="shared" si="493"/>
        <v>0</v>
      </c>
    </row>
    <row r="428" spans="1:39" ht="10.5" hidden="1" customHeight="1">
      <c r="A428" s="714"/>
      <c r="B428" s="714"/>
      <c r="C428" s="3493"/>
      <c r="D428" s="3494"/>
      <c r="E428" s="3531" t="s">
        <v>401</v>
      </c>
      <c r="F428" s="3496"/>
      <c r="G428" s="3499"/>
      <c r="H428" s="3499">
        <f t="shared" ref="H428:W428" si="594">(H418/G418-1)*100</f>
        <v>-2.9790115098171976</v>
      </c>
      <c r="I428" s="3499">
        <f t="shared" si="594"/>
        <v>9.6999302163293777</v>
      </c>
      <c r="J428" s="3499">
        <f t="shared" si="594"/>
        <v>-5.4823039555863984</v>
      </c>
      <c r="K428" s="3499">
        <f t="shared" si="594"/>
        <v>11.343612334801744</v>
      </c>
      <c r="L428" s="3499">
        <f t="shared" si="594"/>
        <v>-22.464007033739964</v>
      </c>
      <c r="M428" s="3499">
        <f t="shared" si="594"/>
        <v>33.288447909284201</v>
      </c>
      <c r="N428" s="3499">
        <f t="shared" si="594"/>
        <v>7.8056042962726613</v>
      </c>
      <c r="O428" s="3499">
        <f t="shared" si="594"/>
        <v>7.1763255240443913</v>
      </c>
      <c r="P428" s="3499">
        <f t="shared" si="594"/>
        <v>0.41417395306027061</v>
      </c>
      <c r="Q428" s="3499">
        <f t="shared" si="594"/>
        <v>4.124656278643446</v>
      </c>
      <c r="R428" s="3499">
        <f t="shared" si="594"/>
        <v>8.7588028169014223</v>
      </c>
      <c r="S428" s="3499">
        <f t="shared" si="594"/>
        <v>18.008903278025091</v>
      </c>
      <c r="T428" s="3499">
        <f t="shared" si="594"/>
        <v>-26.063100137174199</v>
      </c>
      <c r="U428" s="3499">
        <f t="shared" si="594"/>
        <v>48.794063079777359</v>
      </c>
      <c r="V428" s="3499">
        <f t="shared" si="594"/>
        <v>-9.6945137157107393</v>
      </c>
      <c r="W428" s="3499">
        <f t="shared" si="594"/>
        <v>6.4894718674490814</v>
      </c>
      <c r="X428" s="3709">
        <v>5.6</v>
      </c>
      <c r="Y428" s="3709">
        <v>3.2</v>
      </c>
      <c r="Z428" s="3709">
        <v>4.9000000000000004</v>
      </c>
      <c r="AA428" s="3709">
        <v>3.5</v>
      </c>
      <c r="AB428" s="3709">
        <v>3.5</v>
      </c>
      <c r="AC428" s="3709">
        <v>3.5</v>
      </c>
      <c r="AD428" s="3709">
        <v>3.5</v>
      </c>
      <c r="AE428" s="3709">
        <v>3.5</v>
      </c>
      <c r="AK428" s="3709">
        <v>4.9000000000000004</v>
      </c>
      <c r="AM428" s="3709">
        <f t="shared" si="493"/>
        <v>0</v>
      </c>
    </row>
    <row r="429" spans="1:39" ht="10.5" hidden="1" customHeight="1">
      <c r="A429" s="714"/>
      <c r="B429" s="714"/>
      <c r="C429" s="3493"/>
      <c r="D429" s="3494"/>
      <c r="E429" s="3531" t="s">
        <v>2429</v>
      </c>
      <c r="F429" s="3496"/>
      <c r="G429" s="3499"/>
      <c r="H429" s="3499"/>
      <c r="I429" s="3499"/>
      <c r="J429" s="3499"/>
      <c r="K429" s="3499"/>
      <c r="L429" s="3499"/>
      <c r="M429" s="3499"/>
      <c r="N429" s="3499"/>
      <c r="O429" s="3499"/>
      <c r="P429" s="3499"/>
      <c r="Q429" s="3499"/>
      <c r="R429" s="3499"/>
      <c r="S429" s="3499"/>
      <c r="T429" s="3499"/>
      <c r="U429" s="3499"/>
      <c r="V429" s="3499"/>
      <c r="W429" s="3499"/>
      <c r="X429" s="3499">
        <f t="shared" ref="X429:Z429" si="595">100*((X423+0.001*X424+0.001*X425)/W418-1)</f>
        <v>5.8401443174985079</v>
      </c>
      <c r="Y429" s="3499">
        <f t="shared" si="595"/>
        <v>-3.7359691512222737</v>
      </c>
      <c r="Z429" s="3499">
        <f t="shared" si="595"/>
        <v>2.0536503372356796</v>
      </c>
      <c r="AA429" s="3499">
        <f>100*((AA423+0.001*AA424+0.001*AA425)/Z418-1)</f>
        <v>3.6338533321599753</v>
      </c>
      <c r="AB429" s="3499">
        <f>100*((AB423+0.001*AB424+0.001*AB425)/AA418-1)</f>
        <v>5.0561813627641561</v>
      </c>
      <c r="AC429" s="3499">
        <f>100*((AC423+0.001*AC424+0.001*AC425)/AB418-1)</f>
        <v>5.0391490178874232</v>
      </c>
      <c r="AD429" s="3499">
        <f>100*((AD423+0.001*AD424+0.001*AD425)/AC418-1)</f>
        <v>5.0231004368744614</v>
      </c>
      <c r="AE429" s="3499">
        <f>100*((AE423+0.001*AE424+0.001*AE425)/AD418-1)</f>
        <v>5.0079772238476483</v>
      </c>
      <c r="AK429" s="3499">
        <v>2.0536503372356796</v>
      </c>
      <c r="AM429" s="3499">
        <f t="shared" si="493"/>
        <v>0</v>
      </c>
    </row>
    <row r="430" spans="1:39" ht="10.65" hidden="1" customHeight="1">
      <c r="A430" s="714"/>
      <c r="B430" s="714"/>
      <c r="C430" s="3493"/>
      <c r="D430" s="3494"/>
      <c r="E430" s="3531" t="s">
        <v>2424</v>
      </c>
      <c r="F430" s="3496"/>
      <c r="G430" s="3499"/>
      <c r="H430" s="3499"/>
      <c r="I430" s="3499"/>
      <c r="J430" s="3499"/>
      <c r="K430" s="3499"/>
      <c r="L430" s="3499"/>
      <c r="M430" s="3499"/>
      <c r="N430" s="3499"/>
      <c r="O430" s="3499"/>
      <c r="P430" s="3499"/>
      <c r="Q430" s="3499"/>
      <c r="R430" s="3499"/>
      <c r="S430" s="3499"/>
      <c r="T430" s="3499"/>
      <c r="U430" s="3499"/>
      <c r="V430" s="3499"/>
      <c r="W430" s="3499"/>
      <c r="X430" s="3499"/>
      <c r="Y430" s="3711">
        <v>3.2</v>
      </c>
      <c r="Z430" s="3711"/>
      <c r="AA430" s="3711"/>
      <c r="AB430" s="3711"/>
      <c r="AC430" s="3711"/>
      <c r="AD430" s="3711"/>
      <c r="AE430" s="3711"/>
      <c r="AK430" s="3711"/>
      <c r="AM430" s="3711">
        <f t="shared" si="493"/>
        <v>0</v>
      </c>
    </row>
    <row r="431" spans="1:39" ht="12.75" hidden="1" customHeight="1">
      <c r="A431" s="714"/>
      <c r="B431" s="714"/>
      <c r="C431" s="3487" t="s">
        <v>622</v>
      </c>
      <c r="D431" s="3488"/>
      <c r="E431" s="3489" t="s">
        <v>2467</v>
      </c>
      <c r="F431" s="3530"/>
      <c r="G431" s="3491">
        <f>('[2]dir&amp;indir taxes'!C141+[2]TaxesEU!C141)/1000</f>
        <v>27.8886</v>
      </c>
      <c r="H431" s="3491">
        <f>('[2]dir&amp;indir taxes'!D141+[2]TaxesEU!D141)/1000</f>
        <v>27.629300000000001</v>
      </c>
      <c r="I431" s="3491">
        <f>('[2]dir&amp;indir taxes'!E141+[2]TaxesEU!E141)/1000</f>
        <v>29.416400000000003</v>
      </c>
      <c r="J431" s="3491">
        <f>('[2]dir&amp;indir taxes'!F141+[2]TaxesEU!F141)/1000</f>
        <v>30.569299999999998</v>
      </c>
      <c r="K431" s="3491">
        <f>('[2]dir&amp;indir taxes'!G141+[2]TaxesEU!G141)/1000</f>
        <v>30.9907</v>
      </c>
      <c r="L431" s="3491">
        <f>('[2]dir&amp;indir taxes'!H141+[2]TaxesEU!H141)/1000</f>
        <v>33.273400000000002</v>
      </c>
      <c r="M431" s="3491">
        <f>('[2]dir&amp;indir taxes'!I141+[2]TaxesEU!I141)/1000</f>
        <v>35.029000000000003</v>
      </c>
      <c r="N431" s="3491">
        <f>('[2]dir&amp;indir taxes'!J141+[2]TaxesEU!J141)/1000</f>
        <v>35.665999999999997</v>
      </c>
      <c r="O431" s="3491">
        <f>('[2]dir&amp;indir taxes'!K141+[2]TaxesEU!K141)/1000</f>
        <v>35.8431</v>
      </c>
      <c r="P431" s="3491">
        <f>('[2]dir&amp;indir taxes'!L141+[2]TaxesEU!L141)/1000</f>
        <v>37.398900000000005</v>
      </c>
      <c r="Q431" s="3491">
        <f>('[2]dir&amp;indir taxes'!M141+[2]TaxesEU!M141)/1000</f>
        <v>38.912500000000001</v>
      </c>
      <c r="R431" s="3491">
        <f>('[2]dir&amp;indir taxes'!N141+[2]TaxesEU!N141)/1000</f>
        <v>39.241800000000005</v>
      </c>
      <c r="S431" s="3491">
        <f>('[2]dir&amp;indir taxes'!O141+[2]TaxesEU!O141)/1000</f>
        <v>40.725300000000004</v>
      </c>
      <c r="T431" s="3491">
        <f>('[2]dir&amp;indir taxes'!P141+[2]TaxesEU!P141)/1000</f>
        <v>43.284599999999998</v>
      </c>
      <c r="U431" s="3491">
        <f>('[2]dir&amp;indir taxes'!Q141+[2]TaxesEU!Q141)/1000</f>
        <v>41.318599999999996</v>
      </c>
      <c r="V431" s="3491">
        <f>('[2]dir&amp;indir taxes'!R141+[2]TaxesEU!R141)/1000</f>
        <v>43.662300000000002</v>
      </c>
      <c r="W431" s="3491">
        <f>('[2]dir&amp;indir taxes'!S141+[2]TaxesEU!S141)/1000</f>
        <v>45.930599999999998</v>
      </c>
      <c r="X431" s="3491">
        <f>('[2]dir&amp;indir taxes'!T141+[2]TaxesEU!T141)/1000</f>
        <v>47.391199999999998</v>
      </c>
      <c r="Y431" s="3492">
        <f t="shared" ref="Y431:AE431" si="596">+X431*(1+Y439/100)</f>
        <v>56.300745599999992</v>
      </c>
      <c r="Z431" s="3492">
        <f t="shared" si="596"/>
        <v>60.410700028799987</v>
      </c>
      <c r="AA431" s="3492">
        <f t="shared" si="596"/>
        <v>63.73328853038398</v>
      </c>
      <c r="AB431" s="3492">
        <f t="shared" si="596"/>
        <v>67.238619399555091</v>
      </c>
      <c r="AC431" s="3492">
        <f t="shared" si="596"/>
        <v>70.936743466530615</v>
      </c>
      <c r="AD431" s="3492">
        <f t="shared" si="596"/>
        <v>74.8382643571898</v>
      </c>
      <c r="AE431" s="3492">
        <f t="shared" si="596"/>
        <v>78.954368896835234</v>
      </c>
      <c r="AK431" s="3492">
        <v>60.410700028799987</v>
      </c>
      <c r="AM431" s="3492">
        <f t="shared" si="493"/>
        <v>0</v>
      </c>
    </row>
    <row r="432" spans="1:39" ht="12.75" hidden="1" customHeight="1">
      <c r="A432" s="714"/>
      <c r="B432" s="714"/>
      <c r="C432" s="3493"/>
      <c r="D432" s="3494"/>
      <c r="E432" s="3531" t="s">
        <v>2443</v>
      </c>
      <c r="F432" s="3496"/>
      <c r="G432" s="3532">
        <f t="shared" ref="G432:AA432" si="597">G244</f>
        <v>0</v>
      </c>
      <c r="H432" s="3532">
        <f t="shared" ca="1" si="597"/>
        <v>-6.3474174410445112</v>
      </c>
      <c r="I432" s="3532">
        <f t="shared" si="597"/>
        <v>-0.7038735752236458</v>
      </c>
      <c r="J432" s="3532">
        <f t="shared" si="597"/>
        <v>5.7917162108600984</v>
      </c>
      <c r="K432" s="3532">
        <f t="shared" si="597"/>
        <v>-4.8874415052469704</v>
      </c>
      <c r="L432" s="3532">
        <f t="shared" si="597"/>
        <v>10.859701085515594</v>
      </c>
      <c r="M432" s="3532">
        <f t="shared" si="597"/>
        <v>3.5996638127190783</v>
      </c>
      <c r="N432" s="3532">
        <f t="shared" si="597"/>
        <v>-7.7614352141938348</v>
      </c>
      <c r="O432" s="3532">
        <f t="shared" si="597"/>
        <v>-4.4738018198394736</v>
      </c>
      <c r="P432" s="3532">
        <f t="shared" si="597"/>
        <v>1.1497780539108327</v>
      </c>
      <c r="Q432" s="3532">
        <f t="shared" si="597"/>
        <v>1.2547455356812343</v>
      </c>
      <c r="R432" s="3532">
        <f t="shared" si="597"/>
        <v>3.5604524109704272</v>
      </c>
      <c r="S432" s="3532">
        <f t="shared" si="597"/>
        <v>6.800570242917825</v>
      </c>
      <c r="T432" s="3532">
        <f t="shared" si="597"/>
        <v>12.246745523029157</v>
      </c>
      <c r="U432" s="3532">
        <f t="shared" si="597"/>
        <v>-3.9372906401040852</v>
      </c>
      <c r="V432" s="3532">
        <f t="shared" si="597"/>
        <v>0.71150605178489368</v>
      </c>
      <c r="W432" s="3532">
        <f t="shared" si="597"/>
        <v>-6.1499002044591577</v>
      </c>
      <c r="X432" s="3532">
        <f t="shared" si="597"/>
        <v>-5.437027287256968</v>
      </c>
      <c r="Y432" s="3532">
        <f t="shared" si="597"/>
        <v>0.20055675927703742</v>
      </c>
      <c r="Z432" s="3532">
        <f t="shared" si="597"/>
        <v>-5.0733389673353386</v>
      </c>
      <c r="AA432" s="3532">
        <f t="shared" si="597"/>
        <v>-2.483375083349848</v>
      </c>
      <c r="AB432" s="3532">
        <f t="shared" ref="AB432:AC432" si="598">AB244</f>
        <v>-2.9487534882001842</v>
      </c>
      <c r="AC432" s="3532">
        <f t="shared" si="598"/>
        <v>-2.5287820293318219E-5</v>
      </c>
      <c r="AD432" s="3532">
        <f t="shared" ref="AD432" si="599">AD244</f>
        <v>2.211270116728925</v>
      </c>
      <c r="AE432" s="3532">
        <f t="shared" ref="AE432" si="600">AE244</f>
        <v>1.9803117919533042</v>
      </c>
      <c r="AK432" s="3532">
        <v>4.0000000000000036</v>
      </c>
      <c r="AM432" s="3532">
        <f t="shared" si="493"/>
        <v>-9.0733389673353422</v>
      </c>
    </row>
    <row r="433" spans="1:39" ht="6.75" hidden="1" customHeight="1">
      <c r="A433" s="714"/>
      <c r="B433" s="714"/>
      <c r="C433" s="3493"/>
      <c r="D433" s="3494"/>
      <c r="E433" s="3531"/>
      <c r="F433" s="3496"/>
      <c r="G433" s="3499"/>
      <c r="H433" s="3536"/>
      <c r="I433" s="3536"/>
      <c r="J433" s="3536"/>
      <c r="K433" s="3536"/>
      <c r="L433" s="3536"/>
      <c r="M433" s="3536"/>
      <c r="N433" s="3536"/>
      <c r="O433" s="3536"/>
      <c r="P433" s="3536"/>
      <c r="Q433" s="3536"/>
      <c r="R433" s="3536"/>
      <c r="S433" s="3536"/>
      <c r="T433" s="3536"/>
      <c r="U433" s="3536"/>
      <c r="V433" s="3536"/>
      <c r="W433" s="3536"/>
      <c r="X433" s="3536"/>
      <c r="Y433" s="3536"/>
      <c r="Z433" s="3536"/>
      <c r="AA433" s="3536"/>
      <c r="AB433" s="3536"/>
      <c r="AC433" s="3536"/>
      <c r="AD433" s="3536"/>
      <c r="AE433" s="3536"/>
      <c r="AK433" s="3536"/>
      <c r="AM433" s="3536">
        <f t="shared" si="493"/>
        <v>0</v>
      </c>
    </row>
    <row r="434" spans="1:39" ht="12.75" hidden="1" customHeight="1">
      <c r="A434" s="714"/>
      <c r="B434" s="714"/>
      <c r="C434" s="3493"/>
      <c r="D434" s="3494"/>
      <c r="E434" s="3531" t="s">
        <v>2437</v>
      </c>
      <c r="F434" s="3496"/>
      <c r="G434" s="3532"/>
      <c r="H434" s="3532"/>
      <c r="I434" s="3532">
        <f>(H431-H436/1000)*(1+I432/100)</f>
        <v>27.434824658280736</v>
      </c>
      <c r="J434" s="3532">
        <f t="shared" ref="J434:AE434" si="601">(I431-I436/1000)*(1+J432/100)</f>
        <v>31.120114407451453</v>
      </c>
      <c r="K434" s="3532">
        <f t="shared" si="601"/>
        <v>29.075243343936535</v>
      </c>
      <c r="L434" s="3532">
        <f t="shared" si="601"/>
        <v>34.356197384308885</v>
      </c>
      <c r="M434" s="3532">
        <f t="shared" si="601"/>
        <v>34.471130539061271</v>
      </c>
      <c r="N434" s="3532">
        <f t="shared" si="601"/>
        <v>32.310246858820044</v>
      </c>
      <c r="O434" s="3532">
        <f t="shared" si="601"/>
        <v>34.07037384293605</v>
      </c>
      <c r="P434" s="3532">
        <f t="shared" si="601"/>
        <v>36.255216097641316</v>
      </c>
      <c r="Q434" s="3532">
        <f t="shared" si="601"/>
        <v>37.868161028143895</v>
      </c>
      <c r="R434" s="3532">
        <f t="shared" si="601"/>
        <v>40.297961044418869</v>
      </c>
      <c r="S434" s="3532">
        <f t="shared" si="601"/>
        <v>41.910466173585334</v>
      </c>
      <c r="T434" s="3532">
        <f t="shared" si="601"/>
        <v>45.712823854490196</v>
      </c>
      <c r="U434" s="3532">
        <f t="shared" si="601"/>
        <v>41.580359495593505</v>
      </c>
      <c r="V434" s="3532">
        <f t="shared" si="601"/>
        <v>41.612584339512793</v>
      </c>
      <c r="W434" s="3532">
        <f t="shared" si="601"/>
        <v>40.977112123028434</v>
      </c>
      <c r="X434" s="3532">
        <f t="shared" si="601"/>
        <v>43.433340744799146</v>
      </c>
      <c r="Y434" s="3532">
        <f t="shared" si="601"/>
        <v>47.486246254902497</v>
      </c>
      <c r="Z434" s="3532">
        <f t="shared" si="601"/>
        <v>53.444417934574858</v>
      </c>
      <c r="AA434" s="3532">
        <f t="shared" si="601"/>
        <v>58.910475756607546</v>
      </c>
      <c r="AB434" s="3532">
        <f t="shared" si="601"/>
        <v>61.853950961699596</v>
      </c>
      <c r="AC434" s="3532">
        <f t="shared" si="601"/>
        <v>67.23860239637385</v>
      </c>
      <c r="AD434" s="3532">
        <f t="shared" si="601"/>
        <v>72.505346476586666</v>
      </c>
      <c r="AE434" s="3532">
        <f t="shared" si="601"/>
        <v>76.320295331148415</v>
      </c>
      <c r="AK434" s="3532">
        <v>58.552775423999996</v>
      </c>
      <c r="AM434" s="3532">
        <f t="shared" si="493"/>
        <v>-5.1083574894251385</v>
      </c>
    </row>
    <row r="435" spans="1:39" ht="10.5" hidden="1" customHeight="1">
      <c r="A435" s="714"/>
      <c r="B435" s="714"/>
      <c r="C435" s="3493"/>
      <c r="D435" s="3494"/>
      <c r="E435" s="3531" t="s">
        <v>2433</v>
      </c>
      <c r="F435" s="3496"/>
      <c r="G435" s="3499"/>
      <c r="H435" s="3499"/>
      <c r="I435" s="3499"/>
      <c r="J435" s="3499"/>
      <c r="K435" s="3499"/>
      <c r="L435" s="3499"/>
      <c r="M435" s="3499"/>
      <c r="N435" s="3499"/>
      <c r="O435" s="3499"/>
      <c r="P435" s="3499"/>
      <c r="Q435" s="3499"/>
      <c r="R435" s="3499"/>
      <c r="S435" s="3499"/>
      <c r="T435" s="3499"/>
      <c r="U435" s="3534"/>
      <c r="V435" s="3534"/>
      <c r="W435" s="3534"/>
      <c r="X435" s="3534">
        <v>825</v>
      </c>
      <c r="Y435" s="3715">
        <f>22+342.6+15</f>
        <v>379.6</v>
      </c>
      <c r="Z435" s="3715">
        <v>0</v>
      </c>
      <c r="AA435" s="3534"/>
      <c r="AB435" s="3534"/>
      <c r="AC435" s="3534"/>
      <c r="AD435" s="3534"/>
      <c r="AE435" s="3534"/>
      <c r="AK435" s="3715">
        <v>0</v>
      </c>
      <c r="AM435" s="3715">
        <f t="shared" si="493"/>
        <v>0</v>
      </c>
    </row>
    <row r="436" spans="1:39" ht="10.5" hidden="1" customHeight="1">
      <c r="A436" s="714"/>
      <c r="B436" s="714"/>
      <c r="C436" s="3493"/>
      <c r="D436" s="3494"/>
      <c r="E436" s="3531" t="s">
        <v>2434</v>
      </c>
      <c r="F436" s="3496"/>
      <c r="G436" s="3499"/>
      <c r="H436" s="3499"/>
      <c r="I436" s="3499"/>
      <c r="J436" s="3499"/>
      <c r="K436" s="3499"/>
      <c r="L436" s="3499"/>
      <c r="M436" s="3499"/>
      <c r="N436" s="3499"/>
      <c r="O436" s="3499"/>
      <c r="P436" s="3499"/>
      <c r="Q436" s="3499"/>
      <c r="R436" s="3499"/>
      <c r="S436" s="3499"/>
      <c r="T436" s="3499"/>
      <c r="U436" s="3534"/>
      <c r="V436" s="3534"/>
      <c r="W436" s="3534"/>
      <c r="X436" s="3534"/>
      <c r="Y436" s="3534"/>
      <c r="Z436" s="3534"/>
      <c r="AA436" s="3534"/>
      <c r="AB436" s="3534"/>
      <c r="AC436" s="3534"/>
      <c r="AD436" s="3534"/>
      <c r="AE436" s="3534"/>
      <c r="AK436" s="3534"/>
      <c r="AM436" s="3534">
        <f t="shared" si="493"/>
        <v>0</v>
      </c>
    </row>
    <row r="437" spans="1:39" ht="10.5" hidden="1" customHeight="1">
      <c r="A437" s="714"/>
      <c r="B437" s="714"/>
      <c r="C437" s="3493"/>
      <c r="D437" s="3494"/>
      <c r="E437" s="3531" t="s">
        <v>2422</v>
      </c>
      <c r="F437" s="3496"/>
      <c r="G437" s="3499"/>
      <c r="H437" s="3532">
        <f t="shared" ref="H437:Z437" si="602">H431-H434-(H435/1000)-(H436/1000)</f>
        <v>27.629300000000001</v>
      </c>
      <c r="I437" s="3532">
        <f t="shared" si="602"/>
        <v>1.9815753417192674</v>
      </c>
      <c r="J437" s="3532">
        <f t="shared" si="602"/>
        <v>-0.55081440745145471</v>
      </c>
      <c r="K437" s="3532">
        <f t="shared" si="602"/>
        <v>1.9154566560634656</v>
      </c>
      <c r="L437" s="3532">
        <f t="shared" si="602"/>
        <v>-1.0827973843088827</v>
      </c>
      <c r="M437" s="3532">
        <f t="shared" si="602"/>
        <v>0.55786946093873269</v>
      </c>
      <c r="N437" s="3532">
        <f t="shared" si="602"/>
        <v>3.355753141179953</v>
      </c>
      <c r="O437" s="3532">
        <f t="shared" si="602"/>
        <v>1.7727261570639499</v>
      </c>
      <c r="P437" s="3532">
        <f t="shared" si="602"/>
        <v>1.1436839023586884</v>
      </c>
      <c r="Q437" s="3532">
        <f t="shared" si="602"/>
        <v>1.0443389718561065</v>
      </c>
      <c r="R437" s="3532">
        <f t="shared" si="602"/>
        <v>-1.0561610444188645</v>
      </c>
      <c r="S437" s="3532">
        <f t="shared" si="602"/>
        <v>-1.1851661735853298</v>
      </c>
      <c r="T437" s="3532">
        <f t="shared" si="602"/>
        <v>-2.4282238544901986</v>
      </c>
      <c r="U437" s="3532">
        <f t="shared" si="602"/>
        <v>-0.26175949559350897</v>
      </c>
      <c r="V437" s="3532">
        <f t="shared" si="602"/>
        <v>2.0497156604872089</v>
      </c>
      <c r="W437" s="3532">
        <f t="shared" si="602"/>
        <v>4.9534878769715647</v>
      </c>
      <c r="X437" s="3532">
        <f t="shared" si="602"/>
        <v>3.1328592552008514</v>
      </c>
      <c r="Y437" s="3532">
        <f t="shared" si="602"/>
        <v>8.4348993450974952</v>
      </c>
      <c r="Z437" s="3532">
        <f t="shared" si="602"/>
        <v>6.9662820942251287</v>
      </c>
      <c r="AA437" s="3532">
        <f>AA431-AA434-(AA435/1000)-(AA436/1000)</f>
        <v>4.8228127737764339</v>
      </c>
      <c r="AB437" s="3532">
        <f>AB431-AB434-(AB435/1000)-(AB436/1000)</f>
        <v>5.3846684378554954</v>
      </c>
      <c r="AC437" s="3532">
        <f>AC431-AC434-(AC435/1000)-(AC436/1000)</f>
        <v>3.6981410701567654</v>
      </c>
      <c r="AD437" s="3532">
        <f>AD431-AD434-(AD435/1000)-(AD436/1000)</f>
        <v>2.3329178806031337</v>
      </c>
      <c r="AE437" s="3532">
        <f>AE431-AE434-(AE435/1000)-(AE436/1000)</f>
        <v>2.6340735656868191</v>
      </c>
      <c r="AK437" s="3532">
        <v>1.8579246047999902</v>
      </c>
      <c r="AM437" s="3532">
        <f t="shared" si="493"/>
        <v>5.1083574894251385</v>
      </c>
    </row>
    <row r="438" spans="1:39" ht="7.5" hidden="1" customHeight="1">
      <c r="A438" s="714"/>
      <c r="B438" s="714"/>
      <c r="C438" s="3493"/>
      <c r="D438" s="3494"/>
      <c r="E438" s="3531"/>
      <c r="F438" s="3496"/>
      <c r="G438" s="3499"/>
      <c r="H438" s="3499"/>
      <c r="I438" s="3499"/>
      <c r="J438" s="3499"/>
      <c r="K438" s="3499"/>
      <c r="L438" s="3499"/>
      <c r="M438" s="3499"/>
      <c r="N438" s="3499"/>
      <c r="O438" s="3499"/>
      <c r="P438" s="3499"/>
      <c r="Q438" s="3499"/>
      <c r="R438" s="3499"/>
      <c r="S438" s="3499"/>
      <c r="T438" s="3499"/>
      <c r="U438" s="3499"/>
      <c r="V438" s="3499"/>
      <c r="W438" s="3499"/>
      <c r="X438" s="3499"/>
      <c r="Y438" s="3499"/>
      <c r="Z438" s="3499"/>
      <c r="AA438" s="3499"/>
      <c r="AB438" s="3499"/>
      <c r="AC438" s="3499"/>
      <c r="AD438" s="3499"/>
      <c r="AE438" s="3499"/>
      <c r="AK438" s="3499"/>
      <c r="AM438" s="3499">
        <f t="shared" si="493"/>
        <v>0</v>
      </c>
    </row>
    <row r="439" spans="1:39" ht="10.5" hidden="1" customHeight="1">
      <c r="A439" s="714"/>
      <c r="B439" s="714"/>
      <c r="C439" s="3493"/>
      <c r="D439" s="3494"/>
      <c r="E439" s="3531" t="s">
        <v>401</v>
      </c>
      <c r="F439" s="3499"/>
      <c r="G439" s="3499"/>
      <c r="H439" s="3499">
        <f t="shared" ref="H439:V439" si="603">(H431/G431-1)*100</f>
        <v>-0.92977058726504413</v>
      </c>
      <c r="I439" s="3499">
        <f t="shared" si="603"/>
        <v>6.4681334670078527</v>
      </c>
      <c r="J439" s="3499">
        <f t="shared" si="603"/>
        <v>3.9192423274091892</v>
      </c>
      <c r="K439" s="3499">
        <f t="shared" si="603"/>
        <v>1.3785071951271544</v>
      </c>
      <c r="L439" s="3499">
        <f t="shared" si="603"/>
        <v>7.3657581145311291</v>
      </c>
      <c r="M439" s="3499">
        <f t="shared" si="603"/>
        <v>5.276286763600968</v>
      </c>
      <c r="N439" s="3499">
        <f t="shared" si="603"/>
        <v>1.8184932484512695</v>
      </c>
      <c r="O439" s="3499">
        <f t="shared" si="603"/>
        <v>0.4965513374081798</v>
      </c>
      <c r="P439" s="3499">
        <f t="shared" si="603"/>
        <v>4.3405843802573063</v>
      </c>
      <c r="Q439" s="3499">
        <f t="shared" si="603"/>
        <v>4.0471778581722795</v>
      </c>
      <c r="R439" s="3499">
        <f t="shared" si="603"/>
        <v>0.84625762929650961</v>
      </c>
      <c r="S439" s="3499">
        <f t="shared" si="603"/>
        <v>3.7804076265614661</v>
      </c>
      <c r="T439" s="3499">
        <f t="shared" si="603"/>
        <v>6.2842999314921988</v>
      </c>
      <c r="U439" s="3499">
        <f t="shared" si="603"/>
        <v>-4.5420311149924064</v>
      </c>
      <c r="V439" s="3499">
        <f t="shared" si="603"/>
        <v>5.6722638230724209</v>
      </c>
      <c r="W439" s="3499">
        <f>(W431/V431-1)*100</f>
        <v>5.195099662638003</v>
      </c>
      <c r="X439" s="3499">
        <f>(X431/W431-1)*100</f>
        <v>3.1800150662085747</v>
      </c>
      <c r="Y439" s="3709">
        <v>18.8</v>
      </c>
      <c r="Z439" s="3709">
        <v>7.3</v>
      </c>
      <c r="AA439" s="3709">
        <v>5.5</v>
      </c>
      <c r="AB439" s="3709">
        <v>5.5</v>
      </c>
      <c r="AC439" s="3709">
        <v>5.5</v>
      </c>
      <c r="AD439" s="3709">
        <v>5.5</v>
      </c>
      <c r="AE439" s="3709">
        <v>5.5</v>
      </c>
      <c r="AK439" s="3709">
        <v>7.3</v>
      </c>
      <c r="AM439" s="3709">
        <f t="shared" si="493"/>
        <v>0</v>
      </c>
    </row>
    <row r="440" spans="1:39" ht="10.5" hidden="1" customHeight="1">
      <c r="A440" s="714"/>
      <c r="B440" s="714"/>
      <c r="C440" s="3493"/>
      <c r="D440" s="3494"/>
      <c r="E440" s="3531" t="s">
        <v>2429</v>
      </c>
      <c r="F440" s="3496"/>
      <c r="G440" s="3499"/>
      <c r="H440" s="3499"/>
      <c r="I440" s="3532">
        <f t="shared" ref="I440:Z440" si="604">100*((I434+0.001*I435+0.001*I436)/H431-1)</f>
        <v>-0.7038735752236347</v>
      </c>
      <c r="J440" s="3532">
        <f t="shared" si="604"/>
        <v>5.7917162108600984</v>
      </c>
      <c r="K440" s="3532">
        <f t="shared" si="604"/>
        <v>-4.8874415052469811</v>
      </c>
      <c r="L440" s="3532">
        <f t="shared" si="604"/>
        <v>10.859701085515617</v>
      </c>
      <c r="M440" s="3532">
        <f t="shared" si="604"/>
        <v>3.5996638127190783</v>
      </c>
      <c r="N440" s="3532">
        <f t="shared" si="604"/>
        <v>-7.7614352141938348</v>
      </c>
      <c r="O440" s="3532">
        <f t="shared" si="604"/>
        <v>-4.4738018198394736</v>
      </c>
      <c r="P440" s="3532">
        <f t="shared" si="604"/>
        <v>1.1497780539108327</v>
      </c>
      <c r="Q440" s="3532">
        <f t="shared" si="604"/>
        <v>1.2547455356812343</v>
      </c>
      <c r="R440" s="3532">
        <f t="shared" si="604"/>
        <v>3.5604524109704272</v>
      </c>
      <c r="S440" s="3532">
        <f t="shared" si="604"/>
        <v>6.800570242917825</v>
      </c>
      <c r="T440" s="3532">
        <f t="shared" si="604"/>
        <v>12.246745523029157</v>
      </c>
      <c r="U440" s="3532">
        <f t="shared" si="604"/>
        <v>-3.9372906401040852</v>
      </c>
      <c r="V440" s="3532">
        <f t="shared" si="604"/>
        <v>0.71150605178489368</v>
      </c>
      <c r="W440" s="3532">
        <f t="shared" si="604"/>
        <v>-6.1499002044591471</v>
      </c>
      <c r="X440" s="3532">
        <f t="shared" si="604"/>
        <v>-3.6408391251167016</v>
      </c>
      <c r="Y440" s="3532">
        <f t="shared" si="604"/>
        <v>1.0015493486185356</v>
      </c>
      <c r="Z440" s="3532">
        <f t="shared" si="604"/>
        <v>-5.0733389673353386</v>
      </c>
      <c r="AA440" s="3532">
        <f>100*((AA434+0.001*AA435+0.001*AA436)/Z431-1)</f>
        <v>-2.483375083349848</v>
      </c>
      <c r="AB440" s="3532">
        <f>100*((AB434+0.001*AB435+0.001*AB436)/AA431-1)</f>
        <v>-2.9487534882001842</v>
      </c>
      <c r="AC440" s="3532">
        <f>100*((AC434+0.001*AC435+0.001*AC436)/AB431-1)</f>
        <v>-2.5287820293318219E-5</v>
      </c>
      <c r="AD440" s="3532">
        <f>100*((AD434+0.001*AD435+0.001*AD436)/AC431-1)</f>
        <v>2.211270116728925</v>
      </c>
      <c r="AE440" s="3532">
        <f>100*((AE434+0.001*AE435+0.001*AE436)/AD431-1)</f>
        <v>1.9803117919533042</v>
      </c>
      <c r="AK440" s="3532">
        <v>4.0000000000000036</v>
      </c>
      <c r="AM440" s="3532">
        <f t="shared" si="493"/>
        <v>-9.0733389673353422</v>
      </c>
    </row>
    <row r="441" spans="1:39" ht="10.65" hidden="1" customHeight="1">
      <c r="A441" s="714"/>
      <c r="B441" s="714"/>
      <c r="C441" s="3493"/>
      <c r="D441" s="3494"/>
      <c r="E441" s="3531" t="s">
        <v>2424</v>
      </c>
      <c r="F441" s="3496"/>
      <c r="G441" s="3499"/>
      <c r="H441" s="3499"/>
      <c r="I441" s="3499"/>
      <c r="J441" s="3499"/>
      <c r="K441" s="3499"/>
      <c r="L441" s="3499"/>
      <c r="M441" s="3499"/>
      <c r="N441" s="3499"/>
      <c r="O441" s="3499"/>
      <c r="P441" s="3499"/>
      <c r="Q441" s="3499"/>
      <c r="R441" s="3499"/>
      <c r="S441" s="3499"/>
      <c r="T441" s="3499"/>
      <c r="U441" s="3499"/>
      <c r="V441" s="3499"/>
      <c r="W441" s="3499"/>
      <c r="X441" s="3711">
        <v>10.28</v>
      </c>
      <c r="Y441" s="3711">
        <f>100*(4214/3547.8-1)</f>
        <v>18.777834150741302</v>
      </c>
      <c r="Z441" s="3711">
        <v>7.25</v>
      </c>
      <c r="AA441" s="3711"/>
      <c r="AB441" s="3711"/>
      <c r="AC441" s="3711"/>
      <c r="AD441" s="3711"/>
      <c r="AE441" s="3711"/>
      <c r="AK441" s="3711">
        <v>7.25</v>
      </c>
      <c r="AM441" s="3711">
        <f t="shared" si="493"/>
        <v>0</v>
      </c>
    </row>
    <row r="442" spans="1:39" ht="12.75" hidden="1" customHeight="1">
      <c r="A442" s="714"/>
      <c r="B442" s="714"/>
      <c r="C442" s="3487" t="s">
        <v>622</v>
      </c>
      <c r="D442" s="3488"/>
      <c r="E442" s="3489" t="s">
        <v>2469</v>
      </c>
      <c r="F442" s="3530"/>
      <c r="G442" s="3491">
        <f>('[2]dir&amp;indir taxes'!C175+[2]TaxesEU!C175)/1000</f>
        <v>0.58850000000000002</v>
      </c>
      <c r="H442" s="3491">
        <f>('[2]dir&amp;indir taxes'!D175+[2]TaxesEU!D175)/1000</f>
        <v>0.77449999999999997</v>
      </c>
      <c r="I442" s="3491">
        <f>('[2]dir&amp;indir taxes'!E175+[2]TaxesEU!E175)/1000</f>
        <v>0.83320000000000005</v>
      </c>
      <c r="J442" s="3491">
        <f>('[2]dir&amp;indir taxes'!F175+[2]TaxesEU!F175)/1000</f>
        <v>0.81389999999999996</v>
      </c>
      <c r="K442" s="3491">
        <f>('[2]dir&amp;indir taxes'!G175+[2]TaxesEU!G175)/1000</f>
        <v>0.95689999999999997</v>
      </c>
      <c r="L442" s="3491">
        <f>('[2]dir&amp;indir taxes'!H175+[2]TaxesEU!H175)/1000</f>
        <v>0.88860000000000006</v>
      </c>
      <c r="M442" s="3491">
        <f>('[2]dir&amp;indir taxes'!I175+[2]TaxesEU!I175)/1000</f>
        <v>0.93870000000000009</v>
      </c>
      <c r="N442" s="3491">
        <f>('[2]dir&amp;indir taxes'!J175+[2]TaxesEU!J175)/1000</f>
        <v>1.1947999999999999</v>
      </c>
      <c r="O442" s="3491">
        <f>('[2]dir&amp;indir taxes'!K175+[2]TaxesEU!K175)/1000</f>
        <v>1.1770999999999998</v>
      </c>
      <c r="P442" s="3491">
        <f>('[2]dir&amp;indir taxes'!L175+[2]TaxesEU!L175)/1000</f>
        <v>1.1994</v>
      </c>
      <c r="Q442" s="3491">
        <f>('[2]dir&amp;indir taxes'!M175+[2]TaxesEU!M175)/1000</f>
        <v>1.2161</v>
      </c>
      <c r="R442" s="3491">
        <f>('[2]dir&amp;indir taxes'!N175+[2]TaxesEU!N175)/1000</f>
        <v>1.1719999999999999</v>
      </c>
      <c r="S442" s="3491">
        <f>('[2]dir&amp;indir taxes'!O175+[2]TaxesEU!O175)/1000</f>
        <v>1.2350000000000001</v>
      </c>
      <c r="T442" s="3491">
        <f>('[2]dir&amp;indir taxes'!P175+[2]TaxesEU!P175)/1000</f>
        <v>1.1662999999999999</v>
      </c>
      <c r="U442" s="3491">
        <f>('[2]dir&amp;indir taxes'!Q175+[2]TaxesEU!Q175)/1000</f>
        <v>1.1480999999999999</v>
      </c>
      <c r="V442" s="3491">
        <f>('[2]dir&amp;indir taxes'!R175+[2]TaxesEU!R175)/1000</f>
        <v>1.1870999999999998</v>
      </c>
      <c r="W442" s="3491">
        <f>('[2]dir&amp;indir taxes'!S175+[2]TaxesEU!S175)/1000</f>
        <v>1.2721</v>
      </c>
      <c r="X442" s="3491">
        <f>('[2]dir&amp;indir taxes'!T175+[2]TaxesEU!T175)/1000</f>
        <v>1.2315</v>
      </c>
      <c r="Y442" s="3492">
        <f t="shared" ref="Y442:AE442" si="605">+X442*(1+Y450/100)</f>
        <v>1.2524354999999998</v>
      </c>
      <c r="Z442" s="3492">
        <f t="shared" si="605"/>
        <v>1.2875036939999998</v>
      </c>
      <c r="AA442" s="3492">
        <f t="shared" si="605"/>
        <v>1.3274163085139996</v>
      </c>
      <c r="AB442" s="3492">
        <f t="shared" si="605"/>
        <v>1.3685662140779336</v>
      </c>
      <c r="AC442" s="3492">
        <f t="shared" si="605"/>
        <v>1.4109917667143494</v>
      </c>
      <c r="AD442" s="3492">
        <f t="shared" si="605"/>
        <v>1.4547325114824943</v>
      </c>
      <c r="AE442" s="3492">
        <f t="shared" si="605"/>
        <v>1.4998292193384515</v>
      </c>
      <c r="AK442" s="3492">
        <v>1.2875036939999998</v>
      </c>
      <c r="AM442" s="3492">
        <f t="shared" si="493"/>
        <v>0</v>
      </c>
    </row>
    <row r="443" spans="1:39" ht="10.65" hidden="1" customHeight="1">
      <c r="A443" s="714"/>
      <c r="B443" s="714"/>
      <c r="C443" s="3493"/>
      <c r="D443" s="3494"/>
      <c r="E443" s="3531" t="s">
        <v>2431</v>
      </c>
      <c r="F443" s="3496"/>
      <c r="G443" s="3497">
        <f>'VVP2'!G362</f>
        <v>0</v>
      </c>
      <c r="H443" s="3497">
        <f ca="1">'VVP2'!H362</f>
        <v>2.2015156362700239</v>
      </c>
      <c r="I443" s="3497">
        <f>'VVP2'!I362</f>
        <v>4.6430437005423819</v>
      </c>
      <c r="J443" s="3497">
        <f>'VVP2'!J362</f>
        <v>3.7708319780571209</v>
      </c>
      <c r="K443" s="3497">
        <f>'VVP2'!K362</f>
        <v>4.1521670897131546</v>
      </c>
      <c r="L443" s="3497">
        <f>'VVP2'!L362</f>
        <v>5.7307575769983465</v>
      </c>
      <c r="M443" s="3497">
        <f>'VVP2'!M362</f>
        <v>2.9301918504232916</v>
      </c>
      <c r="N443" s="3497">
        <f>'VVP2'!N362</f>
        <v>3.4902576636151039</v>
      </c>
      <c r="O443" s="3497">
        <f>'VVP2'!O362</f>
        <v>2.7525847517551494</v>
      </c>
      <c r="P443" s="3497">
        <f>'VVP2'!P362</f>
        <v>5.6872696909280984</v>
      </c>
      <c r="Q443" s="3497">
        <f>'VVP2'!Q362</f>
        <v>4.2750379296630614</v>
      </c>
      <c r="R443" s="3497">
        <f>'VVP2'!R362</f>
        <v>4.8739119714601875</v>
      </c>
      <c r="S443" s="3497">
        <f>'VVP2'!S362</f>
        <v>5.5257099002302468</v>
      </c>
      <c r="T443" s="3497">
        <f>'VVP2'!T362</f>
        <v>2.7133915944446585</v>
      </c>
      <c r="U443" s="3497">
        <f>'VVP2'!U362</f>
        <v>-1.4926034955639711</v>
      </c>
      <c r="V443" s="3497">
        <f>'VVP2'!V362</f>
        <v>4.6789805984326582</v>
      </c>
      <c r="W443" s="3497">
        <f>'VVP2'!W362</f>
        <v>3.8361492246655304</v>
      </c>
      <c r="X443" s="3497">
        <f>'VVP2'!X362</f>
        <v>2.2141019550453223</v>
      </c>
      <c r="Y443" s="3497">
        <f>'VVP2'!Y362</f>
        <v>1.2489545163988369</v>
      </c>
      <c r="Z443" s="3497">
        <f>'VVP2'!Z362</f>
        <v>2.0258969393367909</v>
      </c>
      <c r="AA443" s="3497">
        <f>'VVP2'!AA362</f>
        <v>2.5349235875551601</v>
      </c>
      <c r="AB443" s="3497">
        <f>'VVP2'!AB362</f>
        <v>3.0731282307170593</v>
      </c>
      <c r="AC443" s="3497">
        <f>'VVP2'!AC362</f>
        <v>3.6488023592572416</v>
      </c>
      <c r="AD443" s="3497">
        <f ca="1">'VVP2'!AD362</f>
        <v>3.3954150367401459</v>
      </c>
      <c r="AE443" s="3497">
        <f ca="1">'VVP2'!AE362</f>
        <v>3.4558744427010568</v>
      </c>
      <c r="AK443" s="3497">
        <v>1.7730011992045824</v>
      </c>
      <c r="AM443" s="3497">
        <f t="shared" si="493"/>
        <v>0.2528957401322085</v>
      </c>
    </row>
    <row r="444" spans="1:39" ht="5.25" hidden="1" customHeight="1">
      <c r="A444" s="714"/>
      <c r="B444" s="714"/>
      <c r="C444" s="3493"/>
      <c r="D444" s="3494"/>
      <c r="E444" s="3531"/>
      <c r="F444" s="3496"/>
      <c r="G444" s="3499"/>
      <c r="H444" s="3536"/>
      <c r="I444" s="3536"/>
      <c r="J444" s="3536"/>
      <c r="K444" s="3536"/>
      <c r="L444" s="3536"/>
      <c r="M444" s="3536"/>
      <c r="N444" s="3536"/>
      <c r="O444" s="3536"/>
      <c r="P444" s="3536"/>
      <c r="Q444" s="3536"/>
      <c r="R444" s="3536"/>
      <c r="S444" s="3536"/>
      <c r="T444" s="3536"/>
      <c r="U444" s="3536"/>
      <c r="V444" s="3536"/>
      <c r="W444" s="3536"/>
      <c r="X444" s="3536"/>
      <c r="Y444" s="3536"/>
      <c r="Z444" s="3536"/>
      <c r="AA444" s="3536"/>
      <c r="AB444" s="3536"/>
      <c r="AC444" s="3536"/>
      <c r="AD444" s="3536"/>
      <c r="AE444" s="3536"/>
      <c r="AK444" s="3536"/>
      <c r="AM444" s="3536">
        <f t="shared" si="493"/>
        <v>0</v>
      </c>
    </row>
    <row r="445" spans="1:39" ht="12.75" hidden="1" customHeight="1">
      <c r="A445" s="714"/>
      <c r="B445" s="714"/>
      <c r="C445" s="3493"/>
      <c r="D445" s="3494"/>
      <c r="E445" s="3531" t="s">
        <v>2437</v>
      </c>
      <c r="F445" s="3496"/>
      <c r="G445" s="3532"/>
      <c r="H445" s="3532">
        <f ca="1">(G442-G447/1000)*(1+H443/100)</f>
        <v>0.6014559195194491</v>
      </c>
      <c r="I445" s="3532">
        <f t="shared" ref="I445:AE445" si="606">(H442-H447/1000)*(1+I443/100)</f>
        <v>0.81046037346070077</v>
      </c>
      <c r="J445" s="3532">
        <f t="shared" si="606"/>
        <v>0.86461857204117198</v>
      </c>
      <c r="K445" s="3532">
        <f t="shared" si="606"/>
        <v>0.84769448794317537</v>
      </c>
      <c r="L445" s="3532">
        <f t="shared" si="606"/>
        <v>1.0117376192542971</v>
      </c>
      <c r="M445" s="3532">
        <f t="shared" si="606"/>
        <v>0.91463768478286145</v>
      </c>
      <c r="N445" s="3532">
        <f t="shared" si="606"/>
        <v>0.97146304868835509</v>
      </c>
      <c r="O445" s="3532">
        <f t="shared" si="606"/>
        <v>1.2276878826139703</v>
      </c>
      <c r="P445" s="3532">
        <f t="shared" si="606"/>
        <v>1.2440448515319145</v>
      </c>
      <c r="Q445" s="3532">
        <f t="shared" si="606"/>
        <v>1.2506748049283787</v>
      </c>
      <c r="R445" s="3532">
        <f t="shared" si="606"/>
        <v>1.2753716434849274</v>
      </c>
      <c r="S445" s="3532">
        <f t="shared" si="606"/>
        <v>1.2367613200306984</v>
      </c>
      <c r="T445" s="3532">
        <f t="shared" si="606"/>
        <v>1.2685103861913916</v>
      </c>
      <c r="U445" s="3532">
        <f t="shared" si="606"/>
        <v>1.1488917654312374</v>
      </c>
      <c r="V445" s="3532">
        <f t="shared" si="606"/>
        <v>1.2018193762506053</v>
      </c>
      <c r="W445" s="3532">
        <f t="shared" si="606"/>
        <v>1.2326389274460043</v>
      </c>
      <c r="X445" s="3532">
        <f t="shared" si="606"/>
        <v>1.3002655909701315</v>
      </c>
      <c r="Y445" s="3532">
        <f t="shared" si="606"/>
        <v>1.2468808748694518</v>
      </c>
      <c r="Z445" s="3532">
        <f t="shared" si="606"/>
        <v>1.2778085524616671</v>
      </c>
      <c r="AA445" s="3532">
        <f t="shared" si="606"/>
        <v>1.3201409288298498</v>
      </c>
      <c r="AB445" s="3532">
        <f t="shared" si="606"/>
        <v>1.3682095138300856</v>
      </c>
      <c r="AC445" s="3532">
        <f t="shared" si="606"/>
        <v>1.4185024903852066</v>
      </c>
      <c r="AD445" s="3532">
        <f t="shared" ca="1" si="606"/>
        <v>1.4589007933285338</v>
      </c>
      <c r="AE445" s="3532">
        <f t="shared" ca="1" si="606"/>
        <v>1.505006240556481</v>
      </c>
      <c r="AK445" s="3532">
        <v>1.2746411964342637</v>
      </c>
      <c r="AM445" s="3532">
        <f t="shared" si="493"/>
        <v>3.1673560274034784E-3</v>
      </c>
    </row>
    <row r="446" spans="1:39" ht="10.5" hidden="1" customHeight="1">
      <c r="A446" s="714"/>
      <c r="B446" s="714"/>
      <c r="C446" s="3493"/>
      <c r="D446" s="3494"/>
      <c r="E446" s="3531" t="s">
        <v>2433</v>
      </c>
      <c r="F446" s="3496"/>
      <c r="G446" s="3499"/>
      <c r="H446" s="3499"/>
      <c r="I446" s="3499"/>
      <c r="J446" s="3499"/>
      <c r="K446" s="3499"/>
      <c r="L446" s="3499"/>
      <c r="M446" s="3499"/>
      <c r="N446" s="3499"/>
      <c r="O446" s="3499"/>
      <c r="P446" s="3499"/>
      <c r="Q446" s="3499"/>
      <c r="R446" s="3499"/>
      <c r="S446" s="3499"/>
      <c r="T446" s="3499"/>
      <c r="U446" s="3534"/>
      <c r="V446" s="3534"/>
      <c r="W446" s="3534"/>
      <c r="X446" s="3534"/>
      <c r="Y446" s="3534"/>
      <c r="Z446" s="3534"/>
      <c r="AA446" s="3534"/>
      <c r="AB446" s="3534"/>
      <c r="AC446" s="3534"/>
      <c r="AD446" s="3534"/>
      <c r="AE446" s="3534"/>
      <c r="AK446" s="3534"/>
      <c r="AM446" s="3534">
        <f t="shared" si="493"/>
        <v>0</v>
      </c>
    </row>
    <row r="447" spans="1:39" ht="10.5" hidden="1" customHeight="1">
      <c r="A447" s="714"/>
      <c r="B447" s="714"/>
      <c r="C447" s="3493"/>
      <c r="D447" s="3494"/>
      <c r="E447" s="3531" t="s">
        <v>2434</v>
      </c>
      <c r="F447" s="3496"/>
      <c r="G447" s="3499"/>
      <c r="H447" s="3499"/>
      <c r="I447" s="3499"/>
      <c r="J447" s="3499"/>
      <c r="K447" s="3499"/>
      <c r="L447" s="3499"/>
      <c r="M447" s="3499"/>
      <c r="N447" s="3499"/>
      <c r="O447" s="3499"/>
      <c r="P447" s="3499"/>
      <c r="Q447" s="3499"/>
      <c r="R447" s="3499"/>
      <c r="S447" s="3499"/>
      <c r="T447" s="3499"/>
      <c r="U447" s="3534"/>
      <c r="V447" s="3534"/>
      <c r="W447" s="3534"/>
      <c r="X447" s="3534"/>
      <c r="Y447" s="3534"/>
      <c r="Z447" s="3534"/>
      <c r="AA447" s="3534"/>
      <c r="AB447" s="3534"/>
      <c r="AC447" s="3534"/>
      <c r="AD447" s="3534"/>
      <c r="AE447" s="3534"/>
      <c r="AK447" s="3534"/>
      <c r="AM447" s="3534">
        <f t="shared" si="493"/>
        <v>0</v>
      </c>
    </row>
    <row r="448" spans="1:39" ht="10.5" hidden="1" customHeight="1">
      <c r="A448" s="714"/>
      <c r="B448" s="714"/>
      <c r="C448" s="3493"/>
      <c r="D448" s="3494"/>
      <c r="E448" s="3531" t="s">
        <v>2422</v>
      </c>
      <c r="F448" s="3496"/>
      <c r="G448" s="3499"/>
      <c r="H448" s="3532">
        <f t="shared" ref="H448:Z448" ca="1" si="607">H442-H445-(H446/1000)-(H447/1000)</f>
        <v>0.17304408048055087</v>
      </c>
      <c r="I448" s="3532">
        <f t="shared" si="607"/>
        <v>2.2739626539299285E-2</v>
      </c>
      <c r="J448" s="3532">
        <f t="shared" si="607"/>
        <v>-5.0718572041172028E-2</v>
      </c>
      <c r="K448" s="3532">
        <f t="shared" si="607"/>
        <v>0.10920551205682461</v>
      </c>
      <c r="L448" s="3532">
        <f t="shared" si="607"/>
        <v>-0.123137619254297</v>
      </c>
      <c r="M448" s="3532">
        <f t="shared" si="607"/>
        <v>2.4062315217138641E-2</v>
      </c>
      <c r="N448" s="3532">
        <f t="shared" si="607"/>
        <v>0.22333695131164477</v>
      </c>
      <c r="O448" s="3532">
        <f t="shared" si="607"/>
        <v>-5.0587882613970514E-2</v>
      </c>
      <c r="P448" s="3532">
        <f t="shared" si="607"/>
        <v>-4.4644851531914442E-2</v>
      </c>
      <c r="Q448" s="3532">
        <f t="shared" si="607"/>
        <v>-3.4574804928378722E-2</v>
      </c>
      <c r="R448" s="3532">
        <f t="shared" si="607"/>
        <v>-0.10337164348492744</v>
      </c>
      <c r="S448" s="3532">
        <f t="shared" si="607"/>
        <v>-1.7613200306982879E-3</v>
      </c>
      <c r="T448" s="3532">
        <f t="shared" si="607"/>
        <v>-0.10221038619139167</v>
      </c>
      <c r="U448" s="3532">
        <f t="shared" si="607"/>
        <v>-7.9176543123748999E-4</v>
      </c>
      <c r="V448" s="3532">
        <f t="shared" si="607"/>
        <v>-1.4719376250605487E-2</v>
      </c>
      <c r="W448" s="3532">
        <f t="shared" si="607"/>
        <v>3.9461072553995669E-2</v>
      </c>
      <c r="X448" s="3532">
        <f t="shared" si="607"/>
        <v>-6.8765590970131463E-2</v>
      </c>
      <c r="Y448" s="3532">
        <f t="shared" si="607"/>
        <v>5.5546251305480521E-3</v>
      </c>
      <c r="Z448" s="3532">
        <f t="shared" si="607"/>
        <v>9.6951415383326189E-3</v>
      </c>
      <c r="AA448" s="3532">
        <f>AA442-AA445-(AA446/1000)-(AA447/1000)</f>
        <v>7.2753796841498186E-3</v>
      </c>
      <c r="AB448" s="3532">
        <f>AB442-AB445-(AB446/1000)-(AB447/1000)</f>
        <v>3.5670024784795196E-4</v>
      </c>
      <c r="AC448" s="3532">
        <f>AC442-AC445-(AC446/1000)-(AC447/1000)</f>
        <v>-7.5107236708571445E-3</v>
      </c>
      <c r="AD448" s="3532">
        <f ca="1">AD442-AD445-(AD446/1000)-(AD447/1000)</f>
        <v>-4.1682818460395676E-3</v>
      </c>
      <c r="AE448" s="3532">
        <f ca="1">AE442-AE445-(AE446/1000)-(AE447/1000)</f>
        <v>-5.1770212180295427E-3</v>
      </c>
      <c r="AK448" s="3532">
        <v>1.2862497565736097E-2</v>
      </c>
      <c r="AM448" s="3532">
        <f t="shared" si="493"/>
        <v>-3.1673560274034784E-3</v>
      </c>
    </row>
    <row r="449" spans="1:39" ht="7.5" hidden="1" customHeight="1">
      <c r="A449" s="714"/>
      <c r="B449" s="714"/>
      <c r="C449" s="3493"/>
      <c r="D449" s="3494"/>
      <c r="E449" s="3531"/>
      <c r="F449" s="3496"/>
      <c r="G449" s="3499"/>
      <c r="H449" s="3499"/>
      <c r="I449" s="3499"/>
      <c r="J449" s="3499"/>
      <c r="K449" s="3499"/>
      <c r="L449" s="3499"/>
      <c r="M449" s="3499"/>
      <c r="N449" s="3499"/>
      <c r="O449" s="3499"/>
      <c r="P449" s="3499"/>
      <c r="Q449" s="3499"/>
      <c r="R449" s="3499"/>
      <c r="S449" s="3499"/>
      <c r="T449" s="3499"/>
      <c r="U449" s="3499"/>
      <c r="V449" s="3499"/>
      <c r="W449" s="3499"/>
      <c r="X449" s="3499"/>
      <c r="Y449" s="3499"/>
      <c r="Z449" s="3499"/>
      <c r="AA449" s="3499"/>
      <c r="AB449" s="3499"/>
      <c r="AC449" s="3499"/>
      <c r="AD449" s="3499"/>
      <c r="AE449" s="3499"/>
      <c r="AK449" s="3499"/>
      <c r="AM449" s="3499">
        <f t="shared" si="493"/>
        <v>0</v>
      </c>
    </row>
    <row r="450" spans="1:39" ht="10.5" hidden="1" customHeight="1">
      <c r="A450" s="714"/>
      <c r="B450" s="714"/>
      <c r="C450" s="3493"/>
      <c r="D450" s="3494"/>
      <c r="E450" s="3531" t="s">
        <v>401</v>
      </c>
      <c r="F450" s="3499"/>
      <c r="G450" s="3499"/>
      <c r="H450" s="3499">
        <f t="shared" ref="H450:V450" si="608">(H442/G442-1)*100</f>
        <v>31.60577740016992</v>
      </c>
      <c r="I450" s="3499">
        <f t="shared" si="608"/>
        <v>7.5790832795352037</v>
      </c>
      <c r="J450" s="3499">
        <f t="shared" si="608"/>
        <v>-2.3163706192991018</v>
      </c>
      <c r="K450" s="3499">
        <f t="shared" si="608"/>
        <v>17.569726010566413</v>
      </c>
      <c r="L450" s="3499">
        <f t="shared" si="608"/>
        <v>-7.137631936461486</v>
      </c>
      <c r="M450" s="3499">
        <f t="shared" si="608"/>
        <v>5.6380823767724575</v>
      </c>
      <c r="N450" s="3499">
        <f t="shared" si="608"/>
        <v>27.28241184617022</v>
      </c>
      <c r="O450" s="3499">
        <f t="shared" si="608"/>
        <v>-1.4814194844325446</v>
      </c>
      <c r="P450" s="3499">
        <f t="shared" si="608"/>
        <v>1.8944864497494107</v>
      </c>
      <c r="Q450" s="3499">
        <f t="shared" si="608"/>
        <v>1.3923628480907002</v>
      </c>
      <c r="R450" s="3499">
        <f t="shared" si="608"/>
        <v>-3.6263465175561227</v>
      </c>
      <c r="S450" s="3499">
        <f t="shared" si="608"/>
        <v>5.3754266211604174</v>
      </c>
      <c r="T450" s="3499">
        <f t="shared" si="608"/>
        <v>-5.5627530364372628</v>
      </c>
      <c r="U450" s="3499">
        <f t="shared" si="608"/>
        <v>-1.5604904398525243</v>
      </c>
      <c r="V450" s="3499">
        <f t="shared" si="608"/>
        <v>3.3969166448915455</v>
      </c>
      <c r="W450" s="3499">
        <f>(W442/V442-1)*100</f>
        <v>7.1603066296015649</v>
      </c>
      <c r="X450" s="3499">
        <f>(X442/W442-1)*100</f>
        <v>-3.1915729895448441</v>
      </c>
      <c r="Y450" s="3709">
        <v>1.7</v>
      </c>
      <c r="Z450" s="3709">
        <v>2.8</v>
      </c>
      <c r="AA450" s="3709">
        <v>3.1</v>
      </c>
      <c r="AB450" s="3709">
        <v>3.1</v>
      </c>
      <c r="AC450" s="3709">
        <v>3.1</v>
      </c>
      <c r="AD450" s="3709">
        <v>3.1</v>
      </c>
      <c r="AE450" s="3709">
        <v>3.1</v>
      </c>
      <c r="AK450" s="3709">
        <v>2.8</v>
      </c>
      <c r="AM450" s="3709">
        <f t="shared" si="493"/>
        <v>0</v>
      </c>
    </row>
    <row r="451" spans="1:39" ht="10.5" hidden="1" customHeight="1">
      <c r="A451" s="714"/>
      <c r="B451" s="714"/>
      <c r="C451" s="3493"/>
      <c r="D451" s="3494"/>
      <c r="E451" s="3531" t="s">
        <v>2429</v>
      </c>
      <c r="F451" s="3496"/>
      <c r="G451" s="3499"/>
      <c r="H451" s="3499"/>
      <c r="I451" s="3499"/>
      <c r="J451" s="3499"/>
      <c r="K451" s="3499"/>
      <c r="L451" s="3499"/>
      <c r="M451" s="3499"/>
      <c r="N451" s="3499"/>
      <c r="O451" s="3499"/>
      <c r="P451" s="3499"/>
      <c r="Q451" s="3499"/>
      <c r="R451" s="3499"/>
      <c r="S451" s="3499"/>
      <c r="T451" s="3499"/>
      <c r="U451" s="3499"/>
      <c r="V451" s="3499"/>
      <c r="W451" s="3499"/>
      <c r="X451" s="3499">
        <f t="shared" ref="X451:Z451" si="609">100*((X445+0.001*X446+0.001*X447)/W442-1)</f>
        <v>2.2141019550453223</v>
      </c>
      <c r="Y451" s="3499">
        <f t="shared" si="609"/>
        <v>1.2489545163988369</v>
      </c>
      <c r="Z451" s="3499">
        <f t="shared" si="609"/>
        <v>2.0258969393367909</v>
      </c>
      <c r="AA451" s="3499">
        <f>100*((AA445+0.001*AA446+0.001*AA447)/Z442-1)</f>
        <v>2.5349235875551601</v>
      </c>
      <c r="AB451" s="3499">
        <f>100*((AB445+0.001*AB446+0.001*AB447)/AA442-1)</f>
        <v>3.0731282307170593</v>
      </c>
      <c r="AC451" s="3499">
        <f>100*((AC445+0.001*AC446+0.001*AC447)/AB442-1)</f>
        <v>3.6488023592572416</v>
      </c>
      <c r="AD451" s="3499">
        <f ca="1">100*((AD445+0.001*AD446+0.001*AD447)/AC442-1)</f>
        <v>3.3954150367401459</v>
      </c>
      <c r="AE451" s="3499">
        <f ca="1">100*((AE445+0.001*AE446+0.001*AE447)/AD442-1)</f>
        <v>3.4558744427010568</v>
      </c>
      <c r="AK451" s="3499">
        <v>1.7730011992045824</v>
      </c>
      <c r="AM451" s="3499">
        <f t="shared" si="493"/>
        <v>0.2528957401322085</v>
      </c>
    </row>
    <row r="452" spans="1:39" ht="10.65" hidden="1" customHeight="1">
      <c r="A452" s="714"/>
      <c r="B452" s="714"/>
      <c r="C452" s="3493"/>
      <c r="D452" s="3494"/>
      <c r="E452" s="3531" t="s">
        <v>2424</v>
      </c>
      <c r="F452" s="3496"/>
      <c r="G452" s="3499"/>
      <c r="H452" s="3499"/>
      <c r="I452" s="3499"/>
      <c r="J452" s="3499"/>
      <c r="K452" s="3499"/>
      <c r="L452" s="3499"/>
      <c r="M452" s="3499"/>
      <c r="N452" s="3499"/>
      <c r="O452" s="3499"/>
      <c r="P452" s="3499"/>
      <c r="Q452" s="3499"/>
      <c r="R452" s="3499"/>
      <c r="S452" s="3499"/>
      <c r="T452" s="3499"/>
      <c r="U452" s="3499"/>
      <c r="V452" s="3499"/>
      <c r="W452" s="3499"/>
      <c r="X452" s="3499"/>
      <c r="Y452" s="3499"/>
      <c r="Z452" s="3499"/>
      <c r="AA452" s="3499"/>
      <c r="AB452" s="3499"/>
      <c r="AC452" s="3499"/>
      <c r="AD452" s="3499"/>
      <c r="AE452" s="3499"/>
      <c r="AK452" s="3499"/>
      <c r="AM452" s="3499">
        <f t="shared" ref="AM452:AM515" si="610">Z452-AK452</f>
        <v>0</v>
      </c>
    </row>
    <row r="453" spans="1:39" ht="12.75" hidden="1" customHeight="1">
      <c r="A453" s="714"/>
      <c r="B453" s="714"/>
      <c r="C453" s="3487" t="s">
        <v>622</v>
      </c>
      <c r="D453" s="3488"/>
      <c r="E453" s="3489" t="s">
        <v>2473</v>
      </c>
      <c r="F453" s="3530" t="s">
        <v>2444</v>
      </c>
      <c r="G453" s="3491">
        <f t="shared" ref="G453:W453" ca="1" si="611">G296-G364-G378-G393-G406-G418-G431-G442</f>
        <v>-26.432400000000001</v>
      </c>
      <c r="H453" s="3491">
        <f t="shared" si="611"/>
        <v>-26.398000000000003</v>
      </c>
      <c r="I453" s="3491">
        <f t="shared" si="611"/>
        <v>-27.947800000000004</v>
      </c>
      <c r="J453" s="3491">
        <f t="shared" si="611"/>
        <v>-29.321200000000001</v>
      </c>
      <c r="K453" s="3491">
        <f t="shared" si="611"/>
        <v>-29.726800000000001</v>
      </c>
      <c r="L453" s="3491">
        <f t="shared" si="611"/>
        <v>-32.078499999999998</v>
      </c>
      <c r="M453" s="3491">
        <f t="shared" si="611"/>
        <v>-33.868899999999996</v>
      </c>
      <c r="N453" s="3491">
        <f t="shared" si="611"/>
        <v>-33.993600000000001</v>
      </c>
      <c r="O453" s="3491">
        <f t="shared" si="611"/>
        <v>-34.339700000000015</v>
      </c>
      <c r="P453" s="3491">
        <f t="shared" si="611"/>
        <v>-35.694200000000002</v>
      </c>
      <c r="Q453" s="3491">
        <f t="shared" si="611"/>
        <v>-37.338700000000003</v>
      </c>
      <c r="R453" s="3491">
        <f t="shared" si="611"/>
        <v>-39.106000000000002</v>
      </c>
      <c r="S453" s="3491">
        <f t="shared" si="611"/>
        <v>-40.688200000000002</v>
      </c>
      <c r="T453" s="3491">
        <f t="shared" si="611"/>
        <v>-43.097799999999985</v>
      </c>
      <c r="U453" s="3491">
        <f t="shared" si="611"/>
        <v>-42.566199999999995</v>
      </c>
      <c r="V453" s="3491">
        <f t="shared" si="611"/>
        <v>-43.970800000000004</v>
      </c>
      <c r="W453" s="3491">
        <f t="shared" si="611"/>
        <v>-46.277099999999997</v>
      </c>
      <c r="X453" s="3492">
        <f t="shared" ref="X453:AE453" si="612">+W453*(1+X461/100)</f>
        <v>-47.156364899999993</v>
      </c>
      <c r="Y453" s="3492">
        <f t="shared" si="612"/>
        <v>-47.958023103299986</v>
      </c>
      <c r="Z453" s="3492">
        <f t="shared" si="612"/>
        <v>-49.300847750192389</v>
      </c>
      <c r="AA453" s="3492">
        <f t="shared" si="612"/>
        <v>-50.82917403044835</v>
      </c>
      <c r="AB453" s="3492">
        <f t="shared" si="612"/>
        <v>-52.404878425392248</v>
      </c>
      <c r="AC453" s="3492">
        <f t="shared" si="612"/>
        <v>-54.029429656579403</v>
      </c>
      <c r="AD453" s="3492">
        <f t="shared" si="612"/>
        <v>-55.70434197593336</v>
      </c>
      <c r="AE453" s="3492">
        <f t="shared" si="612"/>
        <v>-57.431176577187287</v>
      </c>
      <c r="AK453" s="3492">
        <v>-48.598682127191992</v>
      </c>
      <c r="AM453" s="3492">
        <f t="shared" si="610"/>
        <v>-0.70216562300039698</v>
      </c>
    </row>
    <row r="454" spans="1:39" ht="10.65" hidden="1" customHeight="1">
      <c r="A454" s="714"/>
      <c r="B454" s="714"/>
      <c r="C454" s="3493"/>
      <c r="D454" s="3494"/>
      <c r="E454" s="3531" t="s">
        <v>2431</v>
      </c>
      <c r="F454" s="3496"/>
      <c r="G454" s="3497">
        <f>'VVP2'!G362</f>
        <v>0</v>
      </c>
      <c r="H454" s="3497">
        <f ca="1">'VVP2'!H362</f>
        <v>2.2015156362700239</v>
      </c>
      <c r="I454" s="3497">
        <f>'VVP2'!I362</f>
        <v>4.6430437005423819</v>
      </c>
      <c r="J454" s="3497">
        <f>'VVP2'!J362</f>
        <v>3.7708319780571209</v>
      </c>
      <c r="K454" s="3497">
        <f>'VVP2'!K362</f>
        <v>4.1521670897131546</v>
      </c>
      <c r="L454" s="3497">
        <f>'VVP2'!L362</f>
        <v>5.7307575769983465</v>
      </c>
      <c r="M454" s="3497">
        <f>'VVP2'!M362</f>
        <v>2.9301918504232916</v>
      </c>
      <c r="N454" s="3497">
        <f>'VVP2'!N362</f>
        <v>3.4902576636151039</v>
      </c>
      <c r="O454" s="3497">
        <f>'VVP2'!O362</f>
        <v>2.7525847517551494</v>
      </c>
      <c r="P454" s="3497">
        <f>'VVP2'!P362</f>
        <v>5.6872696909280984</v>
      </c>
      <c r="Q454" s="3497">
        <f>'VVP2'!Q362</f>
        <v>4.2750379296630614</v>
      </c>
      <c r="R454" s="3497">
        <f>'VVP2'!R362</f>
        <v>4.8739119714601875</v>
      </c>
      <c r="S454" s="3497">
        <f>'VVP2'!S362</f>
        <v>5.5257099002302468</v>
      </c>
      <c r="T454" s="3497">
        <f>'VVP2'!T362</f>
        <v>2.7133915944446585</v>
      </c>
      <c r="U454" s="3497">
        <f>'VVP2'!U362</f>
        <v>-1.4926034955639711</v>
      </c>
      <c r="V454" s="3497">
        <f>'VVP2'!V362</f>
        <v>4.6789805984326582</v>
      </c>
      <c r="W454" s="3497">
        <f>'VVP2'!W362</f>
        <v>3.8361492246655304</v>
      </c>
      <c r="X454" s="3497">
        <f>'VVP2'!X362</f>
        <v>2.2141019550453223</v>
      </c>
      <c r="Y454" s="3497">
        <f>'VVP2'!Y362</f>
        <v>1.2489545163988369</v>
      </c>
      <c r="Z454" s="3497">
        <f>'VVP2'!Z362</f>
        <v>2.0258969393367909</v>
      </c>
      <c r="AA454" s="3497">
        <f>'VVP2'!AA362</f>
        <v>2.5349235875551601</v>
      </c>
      <c r="AB454" s="3497">
        <f>'VVP2'!AB362</f>
        <v>3.0731282307170593</v>
      </c>
      <c r="AC454" s="3497">
        <f>'VVP2'!AC362</f>
        <v>3.6488023592572416</v>
      </c>
      <c r="AD454" s="3497">
        <f ca="1">'VVP2'!AD362</f>
        <v>3.3954150367401459</v>
      </c>
      <c r="AE454" s="3497">
        <f ca="1">'VVP2'!AE362</f>
        <v>3.4558744427010568</v>
      </c>
      <c r="AK454" s="3497">
        <v>1.7730011992045824</v>
      </c>
      <c r="AM454" s="3497">
        <f t="shared" si="610"/>
        <v>0.2528957401322085</v>
      </c>
    </row>
    <row r="455" spans="1:39" ht="5.25" hidden="1" customHeight="1">
      <c r="A455" s="714"/>
      <c r="B455" s="714"/>
      <c r="C455" s="3493"/>
      <c r="D455" s="3494"/>
      <c r="E455" s="3531"/>
      <c r="F455" s="3496"/>
      <c r="G455" s="3499"/>
      <c r="H455" s="3536"/>
      <c r="I455" s="3536"/>
      <c r="J455" s="3536"/>
      <c r="K455" s="3536"/>
      <c r="L455" s="3536"/>
      <c r="M455" s="3536"/>
      <c r="N455" s="3536"/>
      <c r="O455" s="3536"/>
      <c r="P455" s="3536"/>
      <c r="Q455" s="3536"/>
      <c r="R455" s="3536"/>
      <c r="S455" s="3536"/>
      <c r="T455" s="3536"/>
      <c r="U455" s="3536"/>
      <c r="V455" s="3536"/>
      <c r="W455" s="3536"/>
      <c r="X455" s="3536"/>
      <c r="Y455" s="3536"/>
      <c r="Z455" s="3536"/>
      <c r="AA455" s="3536"/>
      <c r="AB455" s="3536"/>
      <c r="AC455" s="3536"/>
      <c r="AD455" s="3536"/>
      <c r="AE455" s="3536"/>
      <c r="AK455" s="3536"/>
      <c r="AM455" s="3536">
        <f t="shared" si="610"/>
        <v>0</v>
      </c>
    </row>
    <row r="456" spans="1:39" ht="12.75" hidden="1" customHeight="1">
      <c r="A456" s="714"/>
      <c r="B456" s="714"/>
      <c r="C456" s="3493"/>
      <c r="D456" s="3494"/>
      <c r="E456" s="3531" t="s">
        <v>2437</v>
      </c>
      <c r="F456" s="3496"/>
      <c r="G456" s="3532"/>
      <c r="H456" s="3532">
        <f ca="1">(G453-G458/1000)*(1+H454/100)</f>
        <v>-27.014313419041439</v>
      </c>
      <c r="I456" s="3532">
        <f t="shared" ref="I456:AE456" si="613">(H453-H458/1000)*(1+I454/100)</f>
        <v>-27.623670676069182</v>
      </c>
      <c r="J456" s="3532">
        <f t="shared" si="613"/>
        <v>-29.001664579563453</v>
      </c>
      <c r="K456" s="3532">
        <f t="shared" si="613"/>
        <v>-30.538665216708974</v>
      </c>
      <c r="L456" s="3532">
        <f t="shared" si="613"/>
        <v>-31.430370843399146</v>
      </c>
      <c r="M456" s="3532">
        <f t="shared" si="613"/>
        <v>-33.018461592738035</v>
      </c>
      <c r="N456" s="3532">
        <f t="shared" si="613"/>
        <v>-35.051011877832131</v>
      </c>
      <c r="O456" s="3532">
        <f t="shared" si="613"/>
        <v>-34.929302650172637</v>
      </c>
      <c r="P456" s="3532">
        <f t="shared" si="613"/>
        <v>-36.292691350055655</v>
      </c>
      <c r="Q456" s="3532">
        <f t="shared" si="613"/>
        <v>-37.220140588689794</v>
      </c>
      <c r="R456" s="3532">
        <f t="shared" si="613"/>
        <v>-39.158555369287605</v>
      </c>
      <c r="S456" s="3532">
        <f t="shared" si="613"/>
        <v>-41.266884113584041</v>
      </c>
      <c r="T456" s="3532">
        <f t="shared" si="613"/>
        <v>-41.792230198730834</v>
      </c>
      <c r="U456" s="3532">
        <f t="shared" si="613"/>
        <v>-42.454520730688813</v>
      </c>
      <c r="V456" s="3532">
        <f t="shared" si="613"/>
        <v>-44.557864239490037</v>
      </c>
      <c r="W456" s="3532">
        <f t="shared" si="613"/>
        <v>-45.657585503279236</v>
      </c>
      <c r="X456" s="3532">
        <f t="shared" si="613"/>
        <v>-47.301722175838279</v>
      </c>
      <c r="Y456" s="3532">
        <f t="shared" si="613"/>
        <v>-47.745326449188056</v>
      </c>
      <c r="Z456" s="3532">
        <f t="shared" si="613"/>
        <v>-48.929603225516175</v>
      </c>
      <c r="AA456" s="3532">
        <f t="shared" si="613"/>
        <v>-50.550586568676671</v>
      </c>
      <c r="AB456" s="3532">
        <f t="shared" si="613"/>
        <v>-52.39121972701836</v>
      </c>
      <c r="AC456" s="3532">
        <f t="shared" si="613"/>
        <v>-54.31702886574385</v>
      </c>
      <c r="AD456" s="3532">
        <f t="shared" ca="1" si="613"/>
        <v>-55.863953035403838</v>
      </c>
      <c r="AE456" s="3532">
        <f t="shared" ca="1" si="613"/>
        <v>-57.629414093754441</v>
      </c>
      <c r="AK456" s="3532">
        <v>-48.113168622669967</v>
      </c>
      <c r="AM456" s="3532">
        <f t="shared" si="610"/>
        <v>-0.81643460284620772</v>
      </c>
    </row>
    <row r="457" spans="1:39" ht="10.5" hidden="1" customHeight="1">
      <c r="A457" s="714"/>
      <c r="B457" s="714"/>
      <c r="C457" s="3493"/>
      <c r="D457" s="3494"/>
      <c r="E457" s="3531" t="s">
        <v>2433</v>
      </c>
      <c r="F457" s="3496"/>
      <c r="G457" s="3499"/>
      <c r="H457" s="3499"/>
      <c r="I457" s="3499"/>
      <c r="J457" s="3499"/>
      <c r="K457" s="3499"/>
      <c r="L457" s="3499"/>
      <c r="M457" s="3499"/>
      <c r="N457" s="3499"/>
      <c r="O457" s="3499"/>
      <c r="P457" s="3499"/>
      <c r="Q457" s="3499"/>
      <c r="R457" s="3499"/>
      <c r="S457" s="3499"/>
      <c r="T457" s="3499"/>
      <c r="U457" s="3534"/>
      <c r="V457" s="3534"/>
      <c r="W457" s="3534"/>
      <c r="X457" s="3534"/>
      <c r="Y457" s="3534"/>
      <c r="Z457" s="3534"/>
      <c r="AA457" s="3534"/>
      <c r="AB457" s="3534"/>
      <c r="AC457" s="3534"/>
      <c r="AD457" s="3534"/>
      <c r="AE457" s="3534"/>
      <c r="AK457" s="3534"/>
      <c r="AM457" s="3534">
        <f t="shared" si="610"/>
        <v>0</v>
      </c>
    </row>
    <row r="458" spans="1:39" ht="10.5" hidden="1" customHeight="1">
      <c r="A458" s="714"/>
      <c r="B458" s="714"/>
      <c r="C458" s="3493"/>
      <c r="D458" s="3494"/>
      <c r="E458" s="3531" t="s">
        <v>2434</v>
      </c>
      <c r="F458" s="3496"/>
      <c r="G458" s="3499"/>
      <c r="H458" s="3499"/>
      <c r="I458" s="3499"/>
      <c r="J458" s="3499"/>
      <c r="K458" s="3499"/>
      <c r="L458" s="3499"/>
      <c r="M458" s="3499"/>
      <c r="N458" s="3499"/>
      <c r="O458" s="3499"/>
      <c r="P458" s="3499"/>
      <c r="Q458" s="3499"/>
      <c r="R458" s="3499"/>
      <c r="S458" s="3499"/>
      <c r="T458" s="3499"/>
      <c r="U458" s="3534"/>
      <c r="V458" s="3534"/>
      <c r="W458" s="3534"/>
      <c r="X458" s="3534"/>
      <c r="Y458" s="3534"/>
      <c r="Z458" s="3534"/>
      <c r="AA458" s="3534"/>
      <c r="AB458" s="3534"/>
      <c r="AC458" s="3534"/>
      <c r="AD458" s="3534"/>
      <c r="AE458" s="3534"/>
      <c r="AK458" s="3534"/>
      <c r="AM458" s="3534">
        <f t="shared" si="610"/>
        <v>0</v>
      </c>
    </row>
    <row r="459" spans="1:39" ht="10.5" hidden="1" customHeight="1">
      <c r="A459" s="714"/>
      <c r="B459" s="714"/>
      <c r="C459" s="3493"/>
      <c r="D459" s="3494"/>
      <c r="E459" s="3531" t="s">
        <v>2422</v>
      </c>
      <c r="F459" s="3496"/>
      <c r="G459" s="3499"/>
      <c r="H459" s="3532">
        <f t="shared" ref="H459:Z459" ca="1" si="614">H453-H456-(H457/1000)-(H458/1000)</f>
        <v>0.61631341904143611</v>
      </c>
      <c r="I459" s="3532">
        <f t="shared" si="614"/>
        <v>-0.32412932393082272</v>
      </c>
      <c r="J459" s="3532">
        <f t="shared" si="614"/>
        <v>-0.31953542043654792</v>
      </c>
      <c r="K459" s="3532">
        <f t="shared" si="614"/>
        <v>0.81186521670897349</v>
      </c>
      <c r="L459" s="3532">
        <f t="shared" si="614"/>
        <v>-0.64812915660085224</v>
      </c>
      <c r="M459" s="3532">
        <f t="shared" si="614"/>
        <v>-0.85043840726196152</v>
      </c>
      <c r="N459" s="3532">
        <f t="shared" si="614"/>
        <v>1.0574118778321306</v>
      </c>
      <c r="O459" s="3532">
        <f t="shared" si="614"/>
        <v>0.58960265017262259</v>
      </c>
      <c r="P459" s="3532">
        <f t="shared" si="614"/>
        <v>0.59849135005565302</v>
      </c>
      <c r="Q459" s="3532">
        <f t="shared" si="614"/>
        <v>-0.11855941131020842</v>
      </c>
      <c r="R459" s="3532">
        <f t="shared" si="614"/>
        <v>5.2555369287603071E-2</v>
      </c>
      <c r="S459" s="3532">
        <f t="shared" si="614"/>
        <v>0.57868411358403904</v>
      </c>
      <c r="T459" s="3532">
        <f t="shared" si="614"/>
        <v>-1.3055698012691508</v>
      </c>
      <c r="U459" s="3532">
        <f t="shared" si="614"/>
        <v>-0.11167926931118188</v>
      </c>
      <c r="V459" s="3532">
        <f t="shared" si="614"/>
        <v>0.58706423949003295</v>
      </c>
      <c r="W459" s="3532">
        <f t="shared" si="614"/>
        <v>-0.61951449672076109</v>
      </c>
      <c r="X459" s="3532">
        <f t="shared" si="614"/>
        <v>0.14535727583828617</v>
      </c>
      <c r="Y459" s="3532">
        <f t="shared" si="614"/>
        <v>-0.21269665411193017</v>
      </c>
      <c r="Z459" s="3532">
        <f t="shared" si="614"/>
        <v>-0.37124452467621438</v>
      </c>
      <c r="AA459" s="3532">
        <f>AA453-AA456-(AA457/1000)-(AA458/1000)</f>
        <v>-0.27858746177167859</v>
      </c>
      <c r="AB459" s="3532">
        <f>AB453-AB456-(AB457/1000)-(AB458/1000)</f>
        <v>-1.3658698373888001E-2</v>
      </c>
      <c r="AC459" s="3532">
        <f>AC453-AC456-(AC457/1000)-(AC458/1000)</f>
        <v>0.2875992091644477</v>
      </c>
      <c r="AD459" s="3532">
        <f ca="1">AD453-AD456-(AD457/1000)-(AD458/1000)</f>
        <v>0.15961105947047827</v>
      </c>
      <c r="AE459" s="3532">
        <f ca="1">AE453-AE456-(AE457/1000)-(AE458/1000)</f>
        <v>0.19823751656715416</v>
      </c>
      <c r="AK459" s="3532">
        <v>-0.48551350452202513</v>
      </c>
      <c r="AM459" s="3532">
        <f t="shared" si="610"/>
        <v>0.11426897984581075</v>
      </c>
    </row>
    <row r="460" spans="1:39" ht="7.5" hidden="1" customHeight="1">
      <c r="A460" s="714"/>
      <c r="B460" s="714"/>
      <c r="C460" s="3493"/>
      <c r="D460" s="3494"/>
      <c r="E460" s="3531"/>
      <c r="F460" s="3496"/>
      <c r="G460" s="3499"/>
      <c r="H460" s="3499"/>
      <c r="I460" s="3499"/>
      <c r="J460" s="3499"/>
      <c r="K460" s="3499"/>
      <c r="L460" s="3499"/>
      <c r="M460" s="3499"/>
      <c r="N460" s="3499"/>
      <c r="O460" s="3499"/>
      <c r="P460" s="3499"/>
      <c r="Q460" s="3499"/>
      <c r="R460" s="3499"/>
      <c r="S460" s="3499"/>
      <c r="T460" s="3499"/>
      <c r="U460" s="3499"/>
      <c r="V460" s="3499"/>
      <c r="W460" s="3499"/>
      <c r="X460" s="3499"/>
      <c r="Y460" s="3499"/>
      <c r="Z460" s="3499"/>
      <c r="AA460" s="3499"/>
      <c r="AB460" s="3499"/>
      <c r="AC460" s="3499"/>
      <c r="AD460" s="3499"/>
      <c r="AE460" s="3499"/>
      <c r="AK460" s="3499"/>
      <c r="AM460" s="3499">
        <f t="shared" si="610"/>
        <v>0</v>
      </c>
    </row>
    <row r="461" spans="1:39" ht="10.5" hidden="1" customHeight="1">
      <c r="A461" s="714"/>
      <c r="B461" s="714"/>
      <c r="C461" s="3493"/>
      <c r="D461" s="3494"/>
      <c r="E461" s="3531" t="s">
        <v>401</v>
      </c>
      <c r="F461" s="3499"/>
      <c r="G461" s="3532"/>
      <c r="H461" s="3532">
        <f t="shared" ref="H461:V461" ca="1" si="615">(H453/G453-1)*100</f>
        <v>-0.13014330896928827</v>
      </c>
      <c r="I461" s="3532">
        <f t="shared" si="615"/>
        <v>5.8708993105538232</v>
      </c>
      <c r="J461" s="3532">
        <f t="shared" si="615"/>
        <v>4.9141614008973766</v>
      </c>
      <c r="K461" s="3532">
        <f t="shared" si="615"/>
        <v>1.3832994556839395</v>
      </c>
      <c r="L461" s="3532">
        <f t="shared" si="615"/>
        <v>7.9110432337150316</v>
      </c>
      <c r="M461" s="3532">
        <f t="shared" si="615"/>
        <v>5.5813083529466789</v>
      </c>
      <c r="N461" s="3532">
        <f t="shared" si="615"/>
        <v>0.36818438154178068</v>
      </c>
      <c r="O461" s="3532">
        <f t="shared" si="615"/>
        <v>1.0181328250024047</v>
      </c>
      <c r="P461" s="3532">
        <f t="shared" si="615"/>
        <v>3.9444141911548103</v>
      </c>
      <c r="Q461" s="3532">
        <f t="shared" si="615"/>
        <v>4.6071910842657937</v>
      </c>
      <c r="R461" s="3532">
        <f t="shared" si="615"/>
        <v>4.7331588941232461</v>
      </c>
      <c r="S461" s="3532">
        <f t="shared" si="615"/>
        <v>4.0459264562982655</v>
      </c>
      <c r="T461" s="3532">
        <f t="shared" si="615"/>
        <v>5.9221100958016804</v>
      </c>
      <c r="U461" s="3532">
        <f t="shared" si="615"/>
        <v>-1.2334736343850294</v>
      </c>
      <c r="V461" s="3532">
        <f t="shared" si="615"/>
        <v>3.2998012507576613</v>
      </c>
      <c r="W461" s="3532">
        <f>(W453/V453-1)*100</f>
        <v>5.2450717294204141</v>
      </c>
      <c r="X461" s="3709">
        <v>1.9</v>
      </c>
      <c r="Y461" s="3709">
        <v>1.7</v>
      </c>
      <c r="Z461" s="3709">
        <v>2.8</v>
      </c>
      <c r="AA461" s="3709">
        <v>3.1</v>
      </c>
      <c r="AB461" s="3709">
        <v>3.1</v>
      </c>
      <c r="AC461" s="3709">
        <v>3.1</v>
      </c>
      <c r="AD461" s="3709">
        <v>3.1</v>
      </c>
      <c r="AE461" s="3709">
        <v>3.1</v>
      </c>
      <c r="AK461" s="3709">
        <v>2.8</v>
      </c>
      <c r="AM461" s="3709">
        <f t="shared" si="610"/>
        <v>0</v>
      </c>
    </row>
    <row r="462" spans="1:39" ht="10.5" hidden="1" customHeight="1">
      <c r="A462" s="714"/>
      <c r="B462" s="714"/>
      <c r="C462" s="3493"/>
      <c r="D462" s="3494"/>
      <c r="E462" s="3531" t="s">
        <v>2429</v>
      </c>
      <c r="F462" s="3496"/>
      <c r="G462" s="3499"/>
      <c r="H462" s="3499"/>
      <c r="I462" s="3499"/>
      <c r="J462" s="3499"/>
      <c r="K462" s="3499"/>
      <c r="L462" s="3499"/>
      <c r="M462" s="3499"/>
      <c r="N462" s="3499"/>
      <c r="O462" s="3499"/>
      <c r="P462" s="3499"/>
      <c r="Q462" s="3499"/>
      <c r="R462" s="3499"/>
      <c r="S462" s="3499"/>
      <c r="T462" s="3499"/>
      <c r="U462" s="3499"/>
      <c r="V462" s="3499"/>
      <c r="W462" s="3499"/>
      <c r="X462" s="3532">
        <f t="shared" ref="X462:Z462" si="616">(X456+0.001*X457+0.001*X458)/W453-1</f>
        <v>2.2141019550453223E-2</v>
      </c>
      <c r="Y462" s="3532">
        <f t="shared" si="616"/>
        <v>1.2489545163988369E-2</v>
      </c>
      <c r="Z462" s="3532">
        <f t="shared" si="616"/>
        <v>2.0258969393367909E-2</v>
      </c>
      <c r="AA462" s="3532">
        <f>(AA456+0.001*AA457+0.001*AA458)/Z453-1</f>
        <v>2.5349235875551601E-2</v>
      </c>
      <c r="AB462" s="3532">
        <f>(AB456+0.001*AB457+0.001*AB458)/AA453-1</f>
        <v>3.0731282307170593E-2</v>
      </c>
      <c r="AC462" s="3532">
        <f>(AC456+0.001*AC457+0.001*AC458)/AB453-1</f>
        <v>3.6488023592572416E-2</v>
      </c>
      <c r="AD462" s="3532">
        <f ca="1">(AD456+0.001*AD457+0.001*AD458)/AC453-1</f>
        <v>3.3954150367401459E-2</v>
      </c>
      <c r="AE462" s="3532">
        <f ca="1">(AE456+0.001*AE457+0.001*AE458)/AD453-1</f>
        <v>3.4558744427010568E-2</v>
      </c>
      <c r="AK462" s="3532">
        <v>1.7730011992045824E-2</v>
      </c>
      <c r="AM462" s="3532">
        <f t="shared" si="610"/>
        <v>2.528957401322085E-3</v>
      </c>
    </row>
    <row r="463" spans="1:39" ht="10.65" hidden="1" customHeight="1">
      <c r="A463" s="714"/>
      <c r="B463" s="714"/>
      <c r="C463" s="3493"/>
      <c r="D463" s="3494"/>
      <c r="E463" s="3531" t="s">
        <v>2424</v>
      </c>
      <c r="F463" s="3496"/>
      <c r="G463" s="3499"/>
      <c r="H463" s="3499"/>
      <c r="I463" s="3499"/>
      <c r="J463" s="3499"/>
      <c r="K463" s="3499"/>
      <c r="L463" s="3499"/>
      <c r="M463" s="3499"/>
      <c r="N463" s="3499"/>
      <c r="O463" s="3499"/>
      <c r="P463" s="3499"/>
      <c r="Q463" s="3499"/>
      <c r="R463" s="3499"/>
      <c r="S463" s="3499"/>
      <c r="T463" s="3499"/>
      <c r="U463" s="3499"/>
      <c r="V463" s="3499"/>
      <c r="W463" s="3499"/>
      <c r="X463" s="3499"/>
      <c r="Y463" s="3499"/>
      <c r="Z463" s="3499"/>
      <c r="AA463" s="3499"/>
      <c r="AB463" s="3499"/>
      <c r="AC463" s="3499"/>
      <c r="AD463" s="3499"/>
      <c r="AE463" s="3499"/>
      <c r="AK463" s="3499"/>
      <c r="AM463" s="3499">
        <f t="shared" si="610"/>
        <v>0</v>
      </c>
    </row>
    <row r="464" spans="1:39" ht="12.75" hidden="1" customHeight="1">
      <c r="A464" s="714"/>
      <c r="B464" s="714"/>
      <c r="C464" s="3504" t="s">
        <v>624</v>
      </c>
      <c r="D464" s="3505" t="s">
        <v>589</v>
      </c>
      <c r="E464" s="3506" t="s">
        <v>2127</v>
      </c>
      <c r="F464" s="3507"/>
      <c r="G464" s="3508">
        <f t="shared" ref="G464:W464" ca="1" si="617">G296</f>
        <v>28.452500000000001</v>
      </c>
      <c r="H464" s="3508">
        <f t="shared" si="617"/>
        <v>28.4252</v>
      </c>
      <c r="I464" s="3508">
        <f t="shared" si="617"/>
        <v>30.247299999999999</v>
      </c>
      <c r="J464" s="3508">
        <f t="shared" si="617"/>
        <v>31.3674</v>
      </c>
      <c r="K464" s="3508">
        <f t="shared" si="617"/>
        <v>31.906200000000002</v>
      </c>
      <c r="L464" s="3508">
        <f t="shared" si="617"/>
        <v>34.104800000000004</v>
      </c>
      <c r="M464" s="3508">
        <f t="shared" si="617"/>
        <v>35.866800000000005</v>
      </c>
      <c r="N464" s="3508">
        <f t="shared" si="617"/>
        <v>37.0441</v>
      </c>
      <c r="O464" s="3508">
        <f t="shared" si="617"/>
        <v>37.001599999999996</v>
      </c>
      <c r="P464" s="3508">
        <f t="shared" si="617"/>
        <v>38.584499999999998</v>
      </c>
      <c r="Q464" s="3508">
        <f t="shared" si="617"/>
        <v>40.154199999999996</v>
      </c>
      <c r="R464" s="3508">
        <f t="shared" si="617"/>
        <v>40.509599999999999</v>
      </c>
      <c r="S464" s="3508">
        <f t="shared" si="617"/>
        <v>42.131500000000003</v>
      </c>
      <c r="T464" s="3508">
        <f t="shared" si="617"/>
        <v>44.778400000000005</v>
      </c>
      <c r="U464" s="3508">
        <f t="shared" si="617"/>
        <v>43.255000000000003</v>
      </c>
      <c r="V464" s="3508">
        <f t="shared" si="617"/>
        <v>45.653599999999997</v>
      </c>
      <c r="W464" s="3508">
        <f t="shared" si="617"/>
        <v>48.298999999999999</v>
      </c>
      <c r="X464" s="3537">
        <f t="shared" ref="X464:AC464" si="618">X364+X378+X393+X406+X418+X431+X442+X453</f>
        <v>50.605135100000005</v>
      </c>
      <c r="Y464" s="3537">
        <f t="shared" si="618"/>
        <v>55.333474916700006</v>
      </c>
      <c r="Z464" s="3537">
        <f t="shared" si="618"/>
        <v>60.734557861487588</v>
      </c>
      <c r="AA464" s="3537">
        <f t="shared" si="618"/>
        <v>64.957712816942433</v>
      </c>
      <c r="AB464" s="3537">
        <f t="shared" si="618"/>
        <v>69.428317771799328</v>
      </c>
      <c r="AC464" s="3537">
        <f t="shared" si="618"/>
        <v>74.160208894992365</v>
      </c>
      <c r="AD464" s="3537">
        <f t="shared" ref="AD464" si="619">AD364+AD378+AD393+AD406+AD418+AD431+AD442+AD453</f>
        <v>79.167978120688545</v>
      </c>
      <c r="AE464" s="3537">
        <f t="shared" ref="AE464" si="620">AE364+AE378+AE393+AE406+AE418+AE431+AE442+AE453</f>
        <v>84.4670139558106</v>
      </c>
      <c r="AK464" s="3537">
        <v>61.436723484487985</v>
      </c>
      <c r="AM464" s="3537">
        <f t="shared" si="610"/>
        <v>-0.70216562300039698</v>
      </c>
    </row>
    <row r="465" spans="1:46" s="3380" customFormat="1" ht="12.75" hidden="1" customHeight="1">
      <c r="A465" s="714"/>
      <c r="B465" s="714"/>
      <c r="C465" s="3500"/>
      <c r="D465" s="3510"/>
      <c r="E465" s="3510" t="s">
        <v>401</v>
      </c>
      <c r="F465" s="3510"/>
      <c r="G465" s="3510"/>
      <c r="H465" s="3511">
        <f ca="1">(H464/G464-1)*100</f>
        <v>-9.5949389333105373E-2</v>
      </c>
      <c r="I465" s="3511">
        <f t="shared" ref="I465" si="621">(I464/H464-1)*100</f>
        <v>6.4101571844701111</v>
      </c>
      <c r="J465" s="3511">
        <f t="shared" ref="J465" si="622">(J464/I464-1)*100</f>
        <v>3.7031404455935002</v>
      </c>
      <c r="K465" s="3511">
        <f t="shared" ref="K465" si="623">(K464/J464-1)*100</f>
        <v>1.717706918648032</v>
      </c>
      <c r="L465" s="3511">
        <f t="shared" ref="L465" si="624">(L464/K464-1)*100</f>
        <v>6.8908237270499217</v>
      </c>
      <c r="M465" s="3511">
        <f t="shared" ref="M465" si="625">(M464/L464-1)*100</f>
        <v>5.1664281860617889</v>
      </c>
      <c r="N465" s="3511">
        <f t="shared" ref="N465" si="626">(N464/M464-1)*100</f>
        <v>3.2824227419228746</v>
      </c>
      <c r="O465" s="3511">
        <f t="shared" ref="O465" si="627">(O464/N464-1)*100</f>
        <v>-0.11472812134727395</v>
      </c>
      <c r="P465" s="3511">
        <f t="shared" ref="P465" si="628">(P464/O464-1)*100</f>
        <v>4.2779231168381893</v>
      </c>
      <c r="Q465" s="3511">
        <f t="shared" ref="Q465" si="629">(Q464/P464-1)*100</f>
        <v>4.068213920097441</v>
      </c>
      <c r="R465" s="3511">
        <f t="shared" ref="R465" si="630">(R464/Q464-1)*100</f>
        <v>0.88508798581470316</v>
      </c>
      <c r="S465" s="3511">
        <f t="shared" ref="S465" si="631">(S464/R464-1)*100</f>
        <v>4.0037423228074465</v>
      </c>
      <c r="T465" s="3511">
        <f t="shared" ref="T465" si="632">(T464/S464-1)*100</f>
        <v>6.2824727341775244</v>
      </c>
      <c r="U465" s="3511">
        <f t="shared" ref="U465" si="633">(U464/T464-1)*100</f>
        <v>-3.4020867203830463</v>
      </c>
      <c r="V465" s="3511">
        <f t="shared" ref="V465" si="634">(V464/U464-1)*100</f>
        <v>5.5452548838284432</v>
      </c>
      <c r="W465" s="3511">
        <f t="shared" ref="W465" si="635">(W464/V464-1)*100</f>
        <v>5.7945047049958953</v>
      </c>
      <c r="X465" s="3511">
        <f t="shared" ref="X465" si="636">(X464/W464-1)*100</f>
        <v>4.7747056874883675</v>
      </c>
      <c r="Y465" s="3511">
        <f t="shared" ref="Y465" si="637">(Y464/X464-1)*100</f>
        <v>9.3435968649355559</v>
      </c>
      <c r="Z465" s="3511">
        <f t="shared" ref="Z465" si="638">(Z464/Y464-1)*100</f>
        <v>9.7609682979759924</v>
      </c>
      <c r="AA465" s="3511">
        <f t="shared" ref="AA465:AE465" si="639">(AA464/Z464-1)*100</f>
        <v>6.9534629116527968</v>
      </c>
      <c r="AB465" s="3511">
        <f t="shared" si="639"/>
        <v>6.8823312290189786</v>
      </c>
      <c r="AC465" s="3511">
        <f t="shared" si="639"/>
        <v>6.8155059420365927</v>
      </c>
      <c r="AD465" s="3511">
        <f t="shared" si="639"/>
        <v>6.7526363535288292</v>
      </c>
      <c r="AE465" s="3511">
        <f t="shared" si="639"/>
        <v>6.6934080684034614</v>
      </c>
      <c r="AF465"/>
      <c r="AG465"/>
      <c r="AH465"/>
      <c r="AI465"/>
      <c r="AJ465"/>
      <c r="AK465" s="3511">
        <v>9.6760893447281671</v>
      </c>
      <c r="AL465"/>
      <c r="AM465" s="3511">
        <f t="shared" si="610"/>
        <v>8.4878953247825351E-2</v>
      </c>
      <c r="AN465"/>
      <c r="AO465"/>
      <c r="AP465"/>
      <c r="AQ465"/>
      <c r="AR465"/>
      <c r="AS465"/>
      <c r="AT465"/>
    </row>
    <row r="466" spans="1:46" ht="30" customHeight="1">
      <c r="A466" s="714"/>
      <c r="B466" s="714"/>
      <c r="C466" s="822"/>
      <c r="Q466" s="2234"/>
      <c r="R466" s="2234"/>
      <c r="S466" s="2234"/>
      <c r="T466" s="2234"/>
      <c r="U466" s="2234"/>
      <c r="AM466" s="2827">
        <f t="shared" si="610"/>
        <v>0</v>
      </c>
    </row>
    <row r="467" spans="1:46" ht="30" customHeight="1">
      <c r="E467" s="927"/>
      <c r="Q467" s="2234"/>
      <c r="R467" s="2234"/>
      <c r="S467" s="2234"/>
      <c r="T467" s="2234"/>
      <c r="U467" s="2234"/>
      <c r="V467" s="2234"/>
      <c r="W467" s="2234"/>
      <c r="X467" s="2234"/>
      <c r="Y467" s="2234"/>
      <c r="Z467" s="2234"/>
      <c r="AA467" s="2234"/>
      <c r="AB467" s="2234"/>
      <c r="AC467" s="2234"/>
      <c r="AD467" s="2234"/>
      <c r="AE467" s="2234"/>
      <c r="AK467" s="2234"/>
      <c r="AM467" s="2234">
        <f t="shared" si="610"/>
        <v>0</v>
      </c>
    </row>
    <row r="468" spans="1:46" ht="22.5" customHeight="1">
      <c r="A468" s="603"/>
      <c r="B468" s="603"/>
      <c r="C468" s="4124" t="s">
        <v>650</v>
      </c>
      <c r="D468" s="4124"/>
      <c r="E468" s="4124"/>
      <c r="F468" s="4124"/>
      <c r="Q468" s="2234"/>
      <c r="R468" s="2234"/>
      <c r="S468" s="2234"/>
      <c r="T468" s="2234"/>
      <c r="U468" s="2234"/>
      <c r="V468" s="2234"/>
      <c r="W468" s="2234"/>
      <c r="X468" s="2234"/>
      <c r="Y468" s="2234"/>
      <c r="Z468" s="2234"/>
      <c r="AA468" s="2234"/>
      <c r="AB468" s="2234"/>
      <c r="AC468" s="2234"/>
      <c r="AD468" s="2234"/>
      <c r="AE468" s="2234"/>
      <c r="AK468" s="2234"/>
      <c r="AM468" s="2234">
        <f t="shared" si="610"/>
        <v>0</v>
      </c>
    </row>
    <row r="469" spans="1:46" ht="12.75" customHeight="1">
      <c r="A469" s="714"/>
      <c r="B469" s="714"/>
      <c r="C469" s="822"/>
      <c r="S469" s="2162"/>
      <c r="T469" s="2233"/>
      <c r="U469" s="2233"/>
      <c r="V469" s="835"/>
      <c r="W469" s="2269"/>
      <c r="X469" s="2269"/>
      <c r="Y469" s="2269"/>
      <c r="Z469" s="2269"/>
      <c r="AA469" s="2269"/>
      <c r="AB469" s="2269"/>
      <c r="AC469" s="2269"/>
      <c r="AD469" s="2269"/>
      <c r="AE469" s="2269"/>
      <c r="AK469" s="2269"/>
      <c r="AM469" s="2269">
        <f t="shared" si="610"/>
        <v>0</v>
      </c>
    </row>
    <row r="470" spans="1:46" ht="12.75" customHeight="1">
      <c r="A470" s="714"/>
      <c r="B470" s="714"/>
      <c r="C470" s="822"/>
      <c r="D470" s="823"/>
      <c r="E470" s="824" t="s">
        <v>1803</v>
      </c>
      <c r="F470" s="825"/>
      <c r="G470" s="826">
        <f>+InputY!$G$3</f>
        <v>1995</v>
      </c>
      <c r="H470" s="826">
        <f>+G470+1</f>
        <v>1996</v>
      </c>
      <c r="I470" s="826">
        <f t="shared" ref="I470:S470" si="640">+H470+1</f>
        <v>1997</v>
      </c>
      <c r="J470" s="826">
        <f t="shared" si="640"/>
        <v>1998</v>
      </c>
      <c r="K470" s="826">
        <f t="shared" si="640"/>
        <v>1999</v>
      </c>
      <c r="L470" s="826">
        <f t="shared" si="640"/>
        <v>2000</v>
      </c>
      <c r="M470" s="826">
        <f t="shared" si="640"/>
        <v>2001</v>
      </c>
      <c r="N470" s="826">
        <f t="shared" si="640"/>
        <v>2002</v>
      </c>
      <c r="O470" s="826">
        <f t="shared" si="640"/>
        <v>2003</v>
      </c>
      <c r="P470" s="826">
        <f>+O470+1</f>
        <v>2004</v>
      </c>
      <c r="Q470" s="826">
        <f>+P470+1</f>
        <v>2005</v>
      </c>
      <c r="R470" s="826">
        <f>+Q470+1</f>
        <v>2006</v>
      </c>
      <c r="S470" s="2163">
        <f t="shared" si="640"/>
        <v>2007</v>
      </c>
      <c r="T470" s="2163">
        <f t="shared" ref="T470:AE470" si="641">+S470+1</f>
        <v>2008</v>
      </c>
      <c r="U470" s="2163">
        <f t="shared" si="641"/>
        <v>2009</v>
      </c>
      <c r="V470" s="2163">
        <f t="shared" si="641"/>
        <v>2010</v>
      </c>
      <c r="W470" s="2163">
        <f t="shared" si="641"/>
        <v>2011</v>
      </c>
      <c r="X470" s="2163">
        <f t="shared" si="641"/>
        <v>2012</v>
      </c>
      <c r="Y470" s="2163">
        <f t="shared" si="641"/>
        <v>2013</v>
      </c>
      <c r="Z470" s="2163">
        <f t="shared" si="641"/>
        <v>2014</v>
      </c>
      <c r="AA470" s="2163">
        <f t="shared" si="641"/>
        <v>2015</v>
      </c>
      <c r="AB470" s="2163">
        <f t="shared" si="641"/>
        <v>2016</v>
      </c>
      <c r="AC470" s="2163">
        <f t="shared" si="641"/>
        <v>2017</v>
      </c>
      <c r="AD470" s="2163">
        <f t="shared" si="641"/>
        <v>2018</v>
      </c>
      <c r="AE470" s="2163">
        <f t="shared" si="641"/>
        <v>2019</v>
      </c>
      <c r="AK470" s="2163">
        <v>2014</v>
      </c>
      <c r="AM470" s="2163">
        <f t="shared" si="610"/>
        <v>0</v>
      </c>
    </row>
    <row r="471" spans="1:46" ht="12.75" customHeight="1">
      <c r="A471" s="714">
        <f>+ROW(InputY!A157)</f>
        <v>157</v>
      </c>
      <c r="B471" s="714">
        <v>116</v>
      </c>
      <c r="C471" s="827" t="s">
        <v>622</v>
      </c>
      <c r="D471" s="718" t="s">
        <v>591</v>
      </c>
      <c r="E471" s="750" t="s">
        <v>651</v>
      </c>
      <c r="F471" s="751" t="str">
        <f>+InputY!B157</f>
        <v>YATaxActSoc</v>
      </c>
      <c r="G471" s="828">
        <f>+InputY!G157/1000</f>
        <v>29.4331</v>
      </c>
      <c r="H471" s="828">
        <f>+InputY!H157/1000</f>
        <v>30.284299999999998</v>
      </c>
      <c r="I471" s="828">
        <f>+InputY!I157/1000</f>
        <v>31.27</v>
      </c>
      <c r="J471" s="828">
        <f>+InputY!J157/1000</f>
        <v>32.577199999999998</v>
      </c>
      <c r="K471" s="828">
        <f>+InputY!K157/1000</f>
        <v>33.784599999999998</v>
      </c>
      <c r="L471" s="828">
        <f>+InputY!L157/1000</f>
        <v>34.69</v>
      </c>
      <c r="M471" s="828">
        <f>+InputY!M157/1000</f>
        <v>36.236199999999997</v>
      </c>
      <c r="N471" s="828">
        <f>+InputY!N157/1000</f>
        <v>38.064999999999998</v>
      </c>
      <c r="O471" s="828">
        <f>+InputY!O157/1000</f>
        <v>38.9191</v>
      </c>
      <c r="P471" s="828">
        <f>+InputY!P157/1000</f>
        <v>40.184899999999999</v>
      </c>
      <c r="Q471" s="828">
        <f>+InputY!Q157/1000</f>
        <v>41.271099999999997</v>
      </c>
      <c r="R471" s="828">
        <f>+InputY!R157/1000</f>
        <v>42.990300000000005</v>
      </c>
      <c r="S471" s="2956">
        <f>+InputY!S157/1000</f>
        <v>45.7134</v>
      </c>
      <c r="T471" s="2956">
        <f>+InputY!T157/1000</f>
        <v>48.360500000000002</v>
      </c>
      <c r="U471" s="2956">
        <f>+InputY!U157/1000</f>
        <v>49.377099999999999</v>
      </c>
      <c r="V471" s="2956">
        <f>+InputY!V157/1000</f>
        <v>50.508699999999997</v>
      </c>
      <c r="W471" s="2956">
        <f>+InputY!W157/1000</f>
        <v>53.037300000000002</v>
      </c>
      <c r="X471" s="2956">
        <f>+InputY!X157/1000</f>
        <v>55.188400000000001</v>
      </c>
      <c r="Y471" s="2956">
        <f>+InputY!Y157/1000</f>
        <v>56.429099999999998</v>
      </c>
      <c r="Z471" s="2956">
        <f>+InputY!Z157/1000</f>
        <v>57.163499999999999</v>
      </c>
      <c r="AA471" s="2956">
        <f>+InputY!AA157/1000</f>
        <v>58.699300000000001</v>
      </c>
      <c r="AB471" s="2956">
        <f>+InputY!AB157/1000</f>
        <v>58.002699999999997</v>
      </c>
      <c r="AC471" s="2956">
        <f>+InputY!AC157/1000</f>
        <v>59.502000000000002</v>
      </c>
      <c r="AD471" s="3366">
        <f t="shared" ref="AD471:AE471" si="642">+AC471*(1+AD483/100)</f>
        <v>61.203757199999998</v>
      </c>
      <c r="AE471" s="3366">
        <f t="shared" si="642"/>
        <v>63.082712546039993</v>
      </c>
      <c r="AK471" s="2956">
        <v>56.572499999999998</v>
      </c>
      <c r="AM471" s="2956">
        <f t="shared" si="610"/>
        <v>0.59100000000000108</v>
      </c>
    </row>
    <row r="472" spans="1:46" ht="12.75" customHeight="1">
      <c r="A472" s="714">
        <f>+ROW(InputY!A156)</f>
        <v>156</v>
      </c>
      <c r="B472" s="714"/>
      <c r="C472" s="829" t="s">
        <v>622</v>
      </c>
      <c r="D472" s="724" t="s">
        <v>591</v>
      </c>
      <c r="E472" s="830" t="s">
        <v>652</v>
      </c>
      <c r="F472" s="754" t="str">
        <f>+InputY!B156</f>
        <v>YATaxSocImp</v>
      </c>
      <c r="G472" s="756">
        <f>+InputY!G156/1000</f>
        <v>4.1558999999999999</v>
      </c>
      <c r="H472" s="756">
        <f>+InputY!H156/1000</f>
        <v>4.3713999999999995</v>
      </c>
      <c r="I472" s="756">
        <f>+InputY!I156/1000</f>
        <v>4.5933999999999999</v>
      </c>
      <c r="J472" s="756">
        <f>+InputY!J156/1000</f>
        <v>4.7961999999999998</v>
      </c>
      <c r="K472" s="756">
        <f>+InputY!K156/1000</f>
        <v>4.9293000000000005</v>
      </c>
      <c r="L472" s="756">
        <f>+InputY!L156/1000</f>
        <v>5.1631999999999998</v>
      </c>
      <c r="M472" s="756">
        <f>+InputY!M156/1000</f>
        <v>5.4508000000000001</v>
      </c>
      <c r="N472" s="756">
        <f>+InputY!N156/1000</f>
        <v>5.8271999999999995</v>
      </c>
      <c r="O472" s="756">
        <f>+InputY!O156/1000</f>
        <v>5.9192999999999998</v>
      </c>
      <c r="P472" s="756">
        <f>+InputY!P156/1000</f>
        <v>6.1348000000000003</v>
      </c>
      <c r="Q472" s="756">
        <f>+InputY!Q156/1000</f>
        <v>6.2789999999999999</v>
      </c>
      <c r="R472" s="756">
        <f>+InputY!R156/1000</f>
        <v>6.7843</v>
      </c>
      <c r="S472" s="756">
        <f>+InputY!S156/1000</f>
        <v>7.1372999999999998</v>
      </c>
      <c r="T472" s="756">
        <f>+InputY!T156/1000</f>
        <v>7.5522999999999998</v>
      </c>
      <c r="U472" s="756">
        <f>+InputY!U156/1000</f>
        <v>7.9435000000000002</v>
      </c>
      <c r="V472" s="756">
        <f>+InputY!V156/1000</f>
        <v>8.2058</v>
      </c>
      <c r="W472" s="756">
        <f>+InputY!W156/1000</f>
        <v>8.7385000000000002</v>
      </c>
      <c r="X472" s="756">
        <f>+InputY!X156/1000</f>
        <v>9.1504999999999992</v>
      </c>
      <c r="Y472" s="1376">
        <f>+InputY!Y156/1000</f>
        <v>9.5602</v>
      </c>
      <c r="Z472" s="1376">
        <f>+InputY!Z156/1000</f>
        <v>9.6092000000000013</v>
      </c>
      <c r="AA472" s="1376">
        <f>+InputY!AA156/1000</f>
        <v>9.2451000000000008</v>
      </c>
      <c r="AB472" s="1376">
        <f>+InputY!AB156/1000</f>
        <v>9.5259999999999998</v>
      </c>
      <c r="AC472" s="1376">
        <f>+InputY!AC156/1000</f>
        <v>9.8407999999999998</v>
      </c>
      <c r="AD472" s="2135">
        <f>+AC472*(1+AD484/100)</f>
        <v>10.06812248</v>
      </c>
      <c r="AE472" s="2135">
        <f>+AD472*(1+AE484/100)</f>
        <v>10.327880039984001</v>
      </c>
      <c r="AK472" s="1376">
        <v>9.8846000000000007</v>
      </c>
      <c r="AM472" s="1376">
        <f t="shared" si="610"/>
        <v>-0.27539999999999942</v>
      </c>
    </row>
    <row r="473" spans="1:46" ht="12.75" customHeight="1">
      <c r="A473" s="714"/>
      <c r="B473" s="714">
        <v>115</v>
      </c>
      <c r="C473" s="829" t="s">
        <v>624</v>
      </c>
      <c r="D473" s="794" t="s">
        <v>591</v>
      </c>
      <c r="E473" s="795" t="s">
        <v>1417</v>
      </c>
      <c r="F473" s="796" t="s">
        <v>1395</v>
      </c>
      <c r="G473" s="843">
        <f>+G471+G472</f>
        <v>33.588999999999999</v>
      </c>
      <c r="H473" s="843">
        <f t="shared" ref="H473:S473" si="643">+H471+H472</f>
        <v>34.655699999999996</v>
      </c>
      <c r="I473" s="843">
        <f t="shared" si="643"/>
        <v>35.863399999999999</v>
      </c>
      <c r="J473" s="843">
        <f t="shared" si="643"/>
        <v>37.373399999999997</v>
      </c>
      <c r="K473" s="843">
        <f t="shared" si="643"/>
        <v>38.713899999999995</v>
      </c>
      <c r="L473" s="843">
        <f t="shared" si="643"/>
        <v>39.853200000000001</v>
      </c>
      <c r="M473" s="843">
        <f t="shared" si="643"/>
        <v>41.686999999999998</v>
      </c>
      <c r="N473" s="843">
        <f t="shared" si="643"/>
        <v>43.892199999999995</v>
      </c>
      <c r="O473" s="843">
        <f t="shared" si="643"/>
        <v>44.8384</v>
      </c>
      <c r="P473" s="843">
        <f t="shared" si="643"/>
        <v>46.319699999999997</v>
      </c>
      <c r="Q473" s="843">
        <f t="shared" si="643"/>
        <v>47.5501</v>
      </c>
      <c r="R473" s="2852">
        <f t="shared" si="643"/>
        <v>49.774600000000007</v>
      </c>
      <c r="S473" s="2852">
        <f t="shared" si="643"/>
        <v>52.850700000000003</v>
      </c>
      <c r="T473" s="2852">
        <f t="shared" ref="T473:W473" si="644">+T471+T472</f>
        <v>55.912800000000004</v>
      </c>
      <c r="U473" s="2852">
        <f t="shared" si="644"/>
        <v>57.320599999999999</v>
      </c>
      <c r="V473" s="2852">
        <f t="shared" si="644"/>
        <v>58.714500000000001</v>
      </c>
      <c r="W473" s="2852">
        <f t="shared" si="644"/>
        <v>61.775800000000004</v>
      </c>
      <c r="X473" s="2852">
        <f t="shared" ref="X473:AC473" si="645">+X471+X472</f>
        <v>64.338899999999995</v>
      </c>
      <c r="Y473" s="2852">
        <f t="shared" si="645"/>
        <v>65.9893</v>
      </c>
      <c r="Z473" s="2852">
        <f t="shared" ref="Z473:AA473" si="646">+Z471+Z472</f>
        <v>66.7727</v>
      </c>
      <c r="AA473" s="2852">
        <f t="shared" si="646"/>
        <v>67.944400000000002</v>
      </c>
      <c r="AB473" s="2852">
        <f t="shared" ref="AB473" si="647">+AB471+AB472</f>
        <v>67.528700000000001</v>
      </c>
      <c r="AC473" s="3626">
        <f t="shared" si="645"/>
        <v>69.342799999999997</v>
      </c>
      <c r="AD473" s="3626">
        <f t="shared" ref="AD473" si="648">+AD471+AD472</f>
        <v>71.271879679999998</v>
      </c>
      <c r="AE473" s="3626">
        <f t="shared" ref="AE473" si="649">+AE471+AE472</f>
        <v>73.410592586023995</v>
      </c>
      <c r="AK473" s="2852">
        <v>66.457099999999997</v>
      </c>
      <c r="AM473" s="2852">
        <f t="shared" si="610"/>
        <v>0.31560000000000343</v>
      </c>
    </row>
    <row r="474" spans="1:46" ht="12.75" customHeight="1">
      <c r="A474" s="714">
        <f>+ROW(InputY!A194)</f>
        <v>194</v>
      </c>
      <c r="B474" s="714" t="s">
        <v>269</v>
      </c>
      <c r="C474" s="829" t="s">
        <v>622</v>
      </c>
      <c r="D474" s="724" t="s">
        <v>589</v>
      </c>
      <c r="E474" s="830" t="s">
        <v>1417</v>
      </c>
      <c r="F474" s="754" t="str">
        <f>+InputY!B194</f>
        <v>YHTSoc(1)</v>
      </c>
      <c r="G474" s="756">
        <f ca="1">+InputY!G194/1000</f>
        <v>0.1024</v>
      </c>
      <c r="H474" s="756">
        <f>+InputY!H194/1000</f>
        <v>0.1056</v>
      </c>
      <c r="I474" s="756">
        <f>+InputY!I194/1000</f>
        <v>0.1067</v>
      </c>
      <c r="J474" s="756">
        <f>+InputY!J194/1000</f>
        <v>0.108</v>
      </c>
      <c r="K474" s="756">
        <f>+InputY!K194/1000</f>
        <v>0.1135</v>
      </c>
      <c r="L474" s="756">
        <f>+InputY!L194/1000</f>
        <v>0.11940000000000001</v>
      </c>
      <c r="M474" s="756">
        <f>+InputY!M194/1000</f>
        <v>0.12520000000000001</v>
      </c>
      <c r="N474" s="756">
        <f>+InputY!N194/1000</f>
        <v>0.13219999999999998</v>
      </c>
      <c r="O474" s="756">
        <f>+InputY!O194/1000</f>
        <v>0.13200000000000001</v>
      </c>
      <c r="P474" s="756">
        <f>+InputY!P194/1000</f>
        <v>0.1361</v>
      </c>
      <c r="Q474" s="756">
        <f>+InputY!Q194/1000</f>
        <v>0.14630000000000001</v>
      </c>
      <c r="R474" s="756">
        <f>+InputY!R194/1000</f>
        <v>0.15609999999999999</v>
      </c>
      <c r="S474" s="756">
        <f>+InputY!S194/1000</f>
        <v>0.16059999999999999</v>
      </c>
      <c r="T474" s="756">
        <f>+InputY!T194/1000</f>
        <v>0.1709</v>
      </c>
      <c r="U474" s="756">
        <f>+InputY!U194/1000</f>
        <v>0.13469999999999999</v>
      </c>
      <c r="V474" s="756">
        <f>+InputY!V194/1000</f>
        <v>0.1348</v>
      </c>
      <c r="W474" s="756">
        <f>+InputY!W194/1000</f>
        <v>0.1411</v>
      </c>
      <c r="X474" s="756">
        <f>+InputY!X194/1000</f>
        <v>0.14230000000000001</v>
      </c>
      <c r="Y474" s="756">
        <f>+InputY!Y194/1000</f>
        <v>0.1492</v>
      </c>
      <c r="Z474" s="756">
        <f>+InputY!Z194/1000</f>
        <v>0.14809999999999998</v>
      </c>
      <c r="AA474" s="756">
        <f>+InputY!AA194/1000</f>
        <v>0.1416</v>
      </c>
      <c r="AB474" s="756">
        <f>+InputY!AB194/1000</f>
        <v>0.13669999999999999</v>
      </c>
      <c r="AC474" s="2135">
        <f t="shared" ref="AC474:AE476" si="650">+AB474*(1+AC486/100)</f>
        <v>0.13898288999999997</v>
      </c>
      <c r="AD474" s="2135">
        <f t="shared" si="650"/>
        <v>0.14355542708099997</v>
      </c>
      <c r="AE474" s="2135">
        <f t="shared" si="650"/>
        <v>0.14852244485800256</v>
      </c>
      <c r="AK474" s="756">
        <v>0.19911025980954072</v>
      </c>
      <c r="AM474" s="756">
        <f t="shared" si="610"/>
        <v>-5.1010259809540742E-2</v>
      </c>
    </row>
    <row r="475" spans="1:46" ht="12.75" customHeight="1">
      <c r="A475" s="714">
        <f>+ROW(InputY!A120)</f>
        <v>120</v>
      </c>
      <c r="B475" s="714" t="s">
        <v>1105</v>
      </c>
      <c r="C475" s="829" t="s">
        <v>622</v>
      </c>
      <c r="D475" s="724" t="s">
        <v>590</v>
      </c>
      <c r="E475" s="830" t="s">
        <v>1417</v>
      </c>
      <c r="F475" s="754" t="str">
        <f>+InputY!B120</f>
        <v>YESoc</v>
      </c>
      <c r="G475" s="756">
        <f ca="1">+InputY!G120/1000</f>
        <v>7.0918999999999999</v>
      </c>
      <c r="H475" s="756">
        <f>+InputY!H120/1000</f>
        <v>7.3840000000000003</v>
      </c>
      <c r="I475" s="756">
        <f>+InputY!I120/1000</f>
        <v>8.1549999999999994</v>
      </c>
      <c r="J475" s="756">
        <f>+InputY!J120/1000</f>
        <v>8.5767000000000007</v>
      </c>
      <c r="K475" s="756">
        <f>+InputY!K120/1000</f>
        <v>8.8567</v>
      </c>
      <c r="L475" s="756">
        <f>+InputY!L120/1000</f>
        <v>9.1280000000000001</v>
      </c>
      <c r="M475" s="756">
        <f>+InputY!M120/1000</f>
        <v>9.736600000000001</v>
      </c>
      <c r="N475" s="756">
        <f>+InputY!N120/1000</f>
        <v>10.2836</v>
      </c>
      <c r="O475" s="756">
        <f>+InputY!O120/1000</f>
        <v>10.663799999999998</v>
      </c>
      <c r="P475" s="756">
        <f>+InputY!P120/1000</f>
        <v>10.838799999999999</v>
      </c>
      <c r="Q475" s="756">
        <f>+InputY!Q120/1000</f>
        <v>10.980499999999999</v>
      </c>
      <c r="R475" s="756">
        <f>+InputY!R120/1000</f>
        <v>11.375299999999999</v>
      </c>
      <c r="S475" s="1376">
        <f>+InputY!S120/1000</f>
        <v>12.502000000000001</v>
      </c>
      <c r="T475" s="1376">
        <f>+InputY!T120/1000</f>
        <v>12.946899999999999</v>
      </c>
      <c r="U475" s="1376">
        <f>+InputY!U120/1000</f>
        <v>13.5543</v>
      </c>
      <c r="V475" s="1376">
        <f>+InputY!V120/1000</f>
        <v>13.688600000000001</v>
      </c>
      <c r="W475" s="1376">
        <f>+InputY!W120/1000</f>
        <v>13.129100000000001</v>
      </c>
      <c r="X475" s="1376">
        <f>+InputY!X120/1000</f>
        <v>13.734</v>
      </c>
      <c r="Y475" s="1376">
        <f>+InputY!Y120/1000</f>
        <v>13.915899999999999</v>
      </c>
      <c r="Z475" s="1376">
        <f>+InputY!Z120/1000</f>
        <v>13.755700000000001</v>
      </c>
      <c r="AA475" s="1376">
        <f>+InputY!AA120/1000</f>
        <v>14.129799999999999</v>
      </c>
      <c r="AB475" s="1376">
        <f>+InputY!AB120/1000</f>
        <v>13.931799999999999</v>
      </c>
      <c r="AC475" s="2135">
        <f t="shared" si="650"/>
        <v>14.164461059999999</v>
      </c>
      <c r="AD475" s="2135">
        <f t="shared" si="650"/>
        <v>14.630471828873999</v>
      </c>
      <c r="AE475" s="2135">
        <f t="shared" si="650"/>
        <v>15.136686154153038</v>
      </c>
      <c r="AK475" s="1376">
        <v>13.804613524718288</v>
      </c>
      <c r="AM475" s="1376">
        <f t="shared" si="610"/>
        <v>-4.8913524718287249E-2</v>
      </c>
    </row>
    <row r="476" spans="1:46" ht="12.75" customHeight="1">
      <c r="A476" s="1869">
        <f>ROW(InputY!A248)</f>
        <v>248</v>
      </c>
      <c r="B476" s="714" t="s">
        <v>897</v>
      </c>
      <c r="C476" s="829" t="s">
        <v>622</v>
      </c>
      <c r="D476" s="724" t="s">
        <v>592</v>
      </c>
      <c r="E476" s="830" t="s">
        <v>740</v>
      </c>
      <c r="F476" s="754" t="s">
        <v>741</v>
      </c>
      <c r="G476" s="756">
        <f>+InputY!G248/1000</f>
        <v>0.51180000000000003</v>
      </c>
      <c r="H476" s="756">
        <f>+InputY!H248/1000</f>
        <v>0.5383</v>
      </c>
      <c r="I476" s="756">
        <f>+InputY!I248/1000</f>
        <v>0.54749999999999999</v>
      </c>
      <c r="J476" s="756">
        <f>+InputY!J248/1000</f>
        <v>0.5907</v>
      </c>
      <c r="K476" s="756">
        <f>+InputY!K248/1000</f>
        <v>0.65400000000000003</v>
      </c>
      <c r="L476" s="756">
        <f>+InputY!L248/1000</f>
        <v>0.69029999999999991</v>
      </c>
      <c r="M476" s="756">
        <f>+InputY!M248/1000</f>
        <v>0.72609999999999986</v>
      </c>
      <c r="N476" s="756">
        <f>+InputY!N248/1000</f>
        <v>0.78169999999999995</v>
      </c>
      <c r="O476" s="756">
        <f>+InputY!O248/1000</f>
        <v>0.88359999999999994</v>
      </c>
      <c r="P476" s="756">
        <f>+InputY!P248/1000</f>
        <v>0.95849999999999991</v>
      </c>
      <c r="Q476" s="756">
        <f>+InputY!Q248/1000</f>
        <v>0.98919999999999997</v>
      </c>
      <c r="R476" s="756">
        <f>+InputY!R248/1000</f>
        <v>1.0649000000000002</v>
      </c>
      <c r="S476" s="1376">
        <f>+InputY!S248/1000</f>
        <v>1.1528</v>
      </c>
      <c r="T476" s="1376">
        <f>+InputY!T248/1000</f>
        <v>1.2076</v>
      </c>
      <c r="U476" s="1376">
        <f>+InputY!U248/1000</f>
        <v>1.2702</v>
      </c>
      <c r="V476" s="1376">
        <f>+InputY!V248/1000</f>
        <v>1.3554000000000002</v>
      </c>
      <c r="W476" s="1376">
        <f>+InputY!W248/1000</f>
        <v>1.4347999999999999</v>
      </c>
      <c r="X476" s="1376">
        <f>+InputY!X248/1000</f>
        <v>1.4890999999999999</v>
      </c>
      <c r="Y476" s="1376">
        <f>+InputY!Y248/1000</f>
        <v>1.5086000000000002</v>
      </c>
      <c r="Z476" s="1376">
        <f>+InputY!Z248/1000</f>
        <v>1.5852999999999997</v>
      </c>
      <c r="AA476" s="1376">
        <f>+InputY!AA248/1000</f>
        <v>1.5858000000000001</v>
      </c>
      <c r="AB476" s="1376">
        <f>+InputY!AB248/1000</f>
        <v>1.6730999999999998</v>
      </c>
      <c r="AC476" s="2135">
        <f t="shared" si="650"/>
        <v>1.7010407699999996</v>
      </c>
      <c r="AD476" s="2135">
        <f t="shared" si="650"/>
        <v>1.7570050113329996</v>
      </c>
      <c r="AE476" s="2135">
        <f t="shared" si="650"/>
        <v>1.8177973847251212</v>
      </c>
      <c r="AK476" s="1376">
        <v>1.4648471235913092</v>
      </c>
      <c r="AM476" s="1376">
        <f t="shared" si="610"/>
        <v>0.12045287640869051</v>
      </c>
    </row>
    <row r="477" spans="1:46" ht="12.75" customHeight="1">
      <c r="A477" s="714">
        <f>+ROW(InputY!A196)</f>
        <v>196</v>
      </c>
      <c r="B477" s="714" t="s">
        <v>1104</v>
      </c>
      <c r="C477" s="831" t="s">
        <v>624</v>
      </c>
      <c r="D477" s="800" t="s">
        <v>589</v>
      </c>
      <c r="E477" s="801" t="s">
        <v>1438</v>
      </c>
      <c r="F477" s="802" t="str">
        <f>+InputY!B196</f>
        <v>$HTaxSoc(1)</v>
      </c>
      <c r="G477" s="832">
        <f ca="1">+InputY!G196/1000</f>
        <v>41.467800000000004</v>
      </c>
      <c r="H477" s="832">
        <f>+InputY!H196/1000</f>
        <v>42.683599999999998</v>
      </c>
      <c r="I477" s="832">
        <f>+InputY!I196/1000</f>
        <v>44.672599999999996</v>
      </c>
      <c r="J477" s="832">
        <f>+InputY!J196/1000</f>
        <v>46.648800000000001</v>
      </c>
      <c r="K477" s="832">
        <f>+InputY!K196/1000</f>
        <v>48.338099999999997</v>
      </c>
      <c r="L477" s="832">
        <f>+InputY!L196/1000</f>
        <v>49.790900000000001</v>
      </c>
      <c r="M477" s="832">
        <f>+InputY!M196/1000</f>
        <v>52.274900000000002</v>
      </c>
      <c r="N477" s="832">
        <f>+InputY!N196/1000</f>
        <v>55.089700000000001</v>
      </c>
      <c r="O477" s="832">
        <f>+InputY!O196/1000</f>
        <v>56.517800000000001</v>
      </c>
      <c r="P477" s="832">
        <f>+InputY!P196/1000</f>
        <v>58.253099999999996</v>
      </c>
      <c r="Q477" s="832">
        <f>+InputY!Q196/1000</f>
        <v>59.6661</v>
      </c>
      <c r="R477" s="832">
        <f>+InputY!R196/1000</f>
        <v>62.370899999999999</v>
      </c>
      <c r="S477" s="832">
        <f>+InputY!S196/1000</f>
        <v>66.6661</v>
      </c>
      <c r="T477" s="832">
        <f>+InputY!T196/1000</f>
        <v>70.238199999999992</v>
      </c>
      <c r="U477" s="832">
        <f>+InputY!U196/1000</f>
        <v>72.279800000000009</v>
      </c>
      <c r="V477" s="832">
        <f>+InputY!V196/1000</f>
        <v>73.893299999999996</v>
      </c>
      <c r="W477" s="832">
        <f>+InputY!W196/1000</f>
        <v>76.480800000000002</v>
      </c>
      <c r="X477" s="832">
        <f>+InputY!X196/1000</f>
        <v>79.7042</v>
      </c>
      <c r="Y477" s="832">
        <f>+InputY!Y196/1000</f>
        <v>81.562899999999999</v>
      </c>
      <c r="Z477" s="832">
        <f>+InputY!Z196/1000</f>
        <v>82.261800000000008</v>
      </c>
      <c r="AA477" s="832">
        <f>+InputY!AA196/1000</f>
        <v>83.798600000000008</v>
      </c>
      <c r="AB477" s="832">
        <f>+InputY!AB196/1000</f>
        <v>83.183800000000005</v>
      </c>
      <c r="AC477" s="2200">
        <f>+AC473+AC474+AC475+AC476</f>
        <v>85.34728471999999</v>
      </c>
      <c r="AD477" s="2200">
        <f>+AD473+AD474+AD475+AD476</f>
        <v>87.802911947287981</v>
      </c>
      <c r="AE477" s="2200">
        <f>+AE473+AE474+AE475+AE476</f>
        <v>90.513598569760163</v>
      </c>
      <c r="AK477" s="832">
        <v>81.925670908119145</v>
      </c>
      <c r="AM477" s="832">
        <f t="shared" si="610"/>
        <v>0.33612909188086348</v>
      </c>
    </row>
    <row r="478" spans="1:46" s="1047" customFormat="1">
      <c r="A478" s="714"/>
      <c r="B478" s="1039"/>
      <c r="C478" s="1048"/>
      <c r="D478" s="1049"/>
      <c r="E478" s="1054" t="s">
        <v>2550</v>
      </c>
      <c r="F478" s="1049" t="s">
        <v>1991</v>
      </c>
      <c r="G478" s="1055">
        <f ca="1">+Labour1!G168</f>
        <v>27.825200000000009</v>
      </c>
      <c r="H478" s="1055">
        <f>+Labour1!H168</f>
        <v>28.640600000000006</v>
      </c>
      <c r="I478" s="1055">
        <f>+Labour1!I168</f>
        <v>30.003199999999993</v>
      </c>
      <c r="J478" s="1055">
        <f>+Labour1!J168</f>
        <v>31.642499999999998</v>
      </c>
      <c r="K478" s="1055">
        <f>+Labour1!K168</f>
        <v>32.852000000000004</v>
      </c>
      <c r="L478" s="1055">
        <f>+Labour1!L168</f>
        <v>33.519200000000012</v>
      </c>
      <c r="M478" s="1055">
        <f>+Labour1!M168</f>
        <v>35.307299999999998</v>
      </c>
      <c r="N478" s="1055">
        <f>+Labour1!N168</f>
        <v>37.572199999999995</v>
      </c>
      <c r="O478" s="1055">
        <f>+Labour1!O168</f>
        <v>38.591099999999997</v>
      </c>
      <c r="P478" s="1055">
        <f>+Labour1!P168</f>
        <v>39.608100000000022</v>
      </c>
      <c r="Q478" s="1055">
        <f>+Labour1!Q168</f>
        <v>40.673399999999987</v>
      </c>
      <c r="R478" s="1055">
        <f>+Labour1!R168</f>
        <v>42.724700000000013</v>
      </c>
      <c r="S478" s="1055">
        <f>+Labour1!S168</f>
        <v>45.928900000000013</v>
      </c>
      <c r="T478" s="1055">
        <f>+Labour1!T168</f>
        <v>48.727599999999995</v>
      </c>
      <c r="U478" s="1055">
        <f>+Labour1!U168</f>
        <v>49.961000000000013</v>
      </c>
      <c r="V478" s="1055">
        <f>+Labour1!V168</f>
        <v>51.206200000000024</v>
      </c>
      <c r="W478" s="1055">
        <f>+Labour1!W168</f>
        <v>53.373899999999992</v>
      </c>
      <c r="X478" s="2255">
        <f>+Labour1!X168</f>
        <v>55.579099999999983</v>
      </c>
      <c r="Y478" s="2255">
        <f>+Labour1!Y168</f>
        <v>56.894100000000009</v>
      </c>
      <c r="Z478" s="2255">
        <f>+Labour1!Z168</f>
        <v>57.441500000000019</v>
      </c>
      <c r="AA478" s="2255">
        <f>+Labour1!AA168</f>
        <v>58.151199999999989</v>
      </c>
      <c r="AB478" s="2255">
        <f>+Labour1!AB168</f>
        <v>57.073100000000011</v>
      </c>
      <c r="AC478" s="2255">
        <f>+Labour1!AC168</f>
        <v>58.610385999999977</v>
      </c>
      <c r="AD478" s="2255">
        <f>+Labour1!AD168</f>
        <v>60.172274342489743</v>
      </c>
      <c r="AE478" s="2255">
        <f>+Labour1!AE168</f>
        <v>62.111608440054432</v>
      </c>
      <c r="AF478" s="2827"/>
      <c r="AG478" s="2834"/>
      <c r="AH478" s="2834"/>
      <c r="AI478" s="2834"/>
      <c r="AJ478" s="2834"/>
      <c r="AK478" s="2255">
        <v>57.198793330000001</v>
      </c>
      <c r="AL478" s="2834"/>
      <c r="AM478" s="2255">
        <f t="shared" si="610"/>
        <v>0.24270667000001822</v>
      </c>
      <c r="AN478" s="2834"/>
      <c r="AO478" s="2834"/>
      <c r="AP478" s="2834"/>
      <c r="AQ478" s="2834"/>
      <c r="AR478" s="2834"/>
      <c r="AS478" s="2834"/>
      <c r="AT478" s="2834"/>
    </row>
    <row r="479" spans="1:46" s="1047" customFormat="1" ht="10.199999999999999">
      <c r="A479" s="714"/>
      <c r="B479" s="1039"/>
      <c r="C479" s="1048"/>
      <c r="D479" s="1049"/>
      <c r="E479" s="1054" t="s">
        <v>432</v>
      </c>
      <c r="F479" s="1049" t="s">
        <v>1941</v>
      </c>
      <c r="G479" s="1055">
        <f ca="1">+G477-G478</f>
        <v>13.642599999999995</v>
      </c>
      <c r="H479" s="1055">
        <f t="shared" ref="H479:X479" si="651">+H477-H478</f>
        <v>14.042999999999992</v>
      </c>
      <c r="I479" s="1055">
        <f t="shared" si="651"/>
        <v>14.669400000000003</v>
      </c>
      <c r="J479" s="1055">
        <f t="shared" si="651"/>
        <v>15.006300000000003</v>
      </c>
      <c r="K479" s="1055">
        <f t="shared" si="651"/>
        <v>15.486099999999993</v>
      </c>
      <c r="L479" s="1055">
        <f t="shared" si="651"/>
        <v>16.271699999999989</v>
      </c>
      <c r="M479" s="1055">
        <f t="shared" si="651"/>
        <v>16.967600000000004</v>
      </c>
      <c r="N479" s="1055">
        <f t="shared" si="651"/>
        <v>17.517500000000005</v>
      </c>
      <c r="O479" s="1055">
        <f t="shared" si="651"/>
        <v>17.926700000000004</v>
      </c>
      <c r="P479" s="1055">
        <f t="shared" si="651"/>
        <v>18.644999999999975</v>
      </c>
      <c r="Q479" s="1055">
        <f t="shared" si="651"/>
        <v>18.992700000000013</v>
      </c>
      <c r="R479" s="1055">
        <f t="shared" si="651"/>
        <v>19.646199999999986</v>
      </c>
      <c r="S479" s="1055">
        <f t="shared" si="651"/>
        <v>20.737199999999987</v>
      </c>
      <c r="T479" s="1055">
        <f>+T477-T478</f>
        <v>21.510599999999997</v>
      </c>
      <c r="U479" s="1055">
        <f>+U477-U478</f>
        <v>22.318799999999996</v>
      </c>
      <c r="V479" s="1055">
        <f>+V477-V478</f>
        <v>22.687099999999973</v>
      </c>
      <c r="W479" s="1055">
        <f>+W477-W478</f>
        <v>23.10690000000001</v>
      </c>
      <c r="X479" s="2255">
        <f t="shared" si="651"/>
        <v>24.125100000000018</v>
      </c>
      <c r="Y479" s="2255">
        <f t="shared" ref="Y479" si="652">+Y477-Y478</f>
        <v>24.66879999999999</v>
      </c>
      <c r="Z479" s="2255">
        <f t="shared" ref="Z479" si="653">+Z477-Z478</f>
        <v>24.820299999999989</v>
      </c>
      <c r="AA479" s="2255">
        <f>+AA477-AA478</f>
        <v>25.647400000000019</v>
      </c>
      <c r="AB479" s="2255">
        <f>+AB477-AB478</f>
        <v>26.110699999999994</v>
      </c>
      <c r="AC479" s="2255">
        <f>+AC477-AC478</f>
        <v>26.736898720000013</v>
      </c>
      <c r="AD479" s="2255">
        <f>+AD477-AD478</f>
        <v>27.630637604798238</v>
      </c>
      <c r="AE479" s="2255">
        <f>+AE477-AE478</f>
        <v>28.40199012970573</v>
      </c>
      <c r="AF479" s="3448"/>
      <c r="AG479" s="2834"/>
      <c r="AH479" s="2834"/>
      <c r="AI479" s="2834"/>
      <c r="AJ479" s="2834"/>
      <c r="AK479" s="2255">
        <v>24.726877578119144</v>
      </c>
      <c r="AL479" s="2834"/>
      <c r="AM479" s="2255">
        <f t="shared" si="610"/>
        <v>9.3422421880845263E-2</v>
      </c>
      <c r="AN479" s="2834"/>
      <c r="AO479" s="2834"/>
      <c r="AP479" s="2834"/>
      <c r="AQ479" s="2834"/>
      <c r="AR479" s="2834"/>
      <c r="AS479" s="2834"/>
      <c r="AT479" s="2834"/>
    </row>
    <row r="480" spans="1:46" s="1881" customFormat="1" ht="12.75" customHeight="1">
      <c r="A480" s="1039"/>
      <c r="B480" s="1039"/>
      <c r="C480" s="1501"/>
      <c r="D480" s="1054"/>
      <c r="E480" s="1882" t="s">
        <v>474</v>
      </c>
      <c r="F480" s="1883"/>
      <c r="G480" s="1043">
        <f ca="1">ABS(+G473+G474+G475+G476-G477)</f>
        <v>0.17269999999999897</v>
      </c>
      <c r="H480" s="1043">
        <f t="shared" ref="H480:Q480" si="654">ABS(+H473+H474+H475+H476-H477)</f>
        <v>0</v>
      </c>
      <c r="I480" s="1043">
        <f t="shared" si="654"/>
        <v>0</v>
      </c>
      <c r="J480" s="1043">
        <f t="shared" si="654"/>
        <v>7.1054273576010019E-15</v>
      </c>
      <c r="K480" s="1043">
        <f t="shared" si="654"/>
        <v>7.1054273576010019E-15</v>
      </c>
      <c r="L480" s="1043">
        <f t="shared" si="654"/>
        <v>0</v>
      </c>
      <c r="M480" s="1043">
        <f t="shared" si="654"/>
        <v>0</v>
      </c>
      <c r="N480" s="1043">
        <f t="shared" si="654"/>
        <v>7.1054273576010019E-15</v>
      </c>
      <c r="O480" s="1043">
        <f t="shared" si="654"/>
        <v>7.1054273576010019E-15</v>
      </c>
      <c r="P480" s="1043">
        <f t="shared" si="654"/>
        <v>0</v>
      </c>
      <c r="Q480" s="1043">
        <f t="shared" si="654"/>
        <v>7.1054273576010019E-15</v>
      </c>
      <c r="R480" s="1043">
        <f t="shared" ref="R480:X480" si="655">ABS(+R473+R474+R475+R476-R477)</f>
        <v>1.4210854715202004E-14</v>
      </c>
      <c r="S480" s="1043">
        <f t="shared" si="655"/>
        <v>0</v>
      </c>
      <c r="T480" s="1043">
        <f t="shared" si="655"/>
        <v>1.4210854715202004E-14</v>
      </c>
      <c r="U480" s="1043">
        <f t="shared" si="655"/>
        <v>0</v>
      </c>
      <c r="V480" s="2881">
        <f t="shared" si="655"/>
        <v>1.4210854715202004E-14</v>
      </c>
      <c r="W480" s="2881">
        <f t="shared" si="655"/>
        <v>0</v>
      </c>
      <c r="X480" s="2881">
        <f t="shared" si="655"/>
        <v>9.9999999989108801E-5</v>
      </c>
      <c r="Y480" s="2881">
        <f t="shared" ref="Y480" si="656">ABS(+Y473+Y474+Y475+Y476-Y477)</f>
        <v>9.9999999989108801E-5</v>
      </c>
      <c r="Z480" s="2881">
        <f t="shared" ref="Z480" si="657">ABS(+Z473+Z474+Z475+Z476-Z477)</f>
        <v>0</v>
      </c>
      <c r="AA480" s="2881">
        <f>ABS(+AA473+AA474+AA475+AA476-AA477)</f>
        <v>3.0000000000001137E-3</v>
      </c>
      <c r="AB480" s="2881">
        <f>ABS(+AB473+AB474+AB475+AB476-AB477)</f>
        <v>8.6500000000000909E-2</v>
      </c>
      <c r="AC480" s="2881">
        <f>ABS(+AC473+AC474+AC475+AC476-AC477)</f>
        <v>0</v>
      </c>
      <c r="AD480" s="2881">
        <f>ABS(+AD473+AD474+AD475+AD476-AD477)</f>
        <v>0</v>
      </c>
      <c r="AE480" s="2881">
        <f>ABS(+AE473+AE474+AE475+AE476-AE477)</f>
        <v>0</v>
      </c>
      <c r="AF480" s="2836"/>
      <c r="AG480" s="2829"/>
      <c r="AH480" s="2829"/>
      <c r="AI480" s="2829"/>
      <c r="AJ480" s="2829"/>
      <c r="AK480" s="2881">
        <v>0</v>
      </c>
      <c r="AL480" s="2829"/>
      <c r="AM480" s="2881">
        <f t="shared" si="610"/>
        <v>0</v>
      </c>
      <c r="AN480" s="2829"/>
      <c r="AO480" s="2829"/>
      <c r="AP480" s="2829"/>
      <c r="AQ480" s="2829"/>
      <c r="AR480" s="2829"/>
      <c r="AS480" s="2829"/>
      <c r="AT480" s="2829"/>
    </row>
    <row r="481" spans="1:46">
      <c r="A481" s="714"/>
      <c r="B481" s="714"/>
      <c r="Q481" s="2218"/>
      <c r="R481" s="2218"/>
      <c r="S481" s="2218"/>
      <c r="T481" s="2218"/>
      <c r="U481" s="2218"/>
      <c r="V481" s="2218"/>
      <c r="W481" s="2218"/>
      <c r="X481" s="2218"/>
      <c r="Y481" s="2218"/>
      <c r="Z481" s="2218"/>
      <c r="AA481" s="2162"/>
      <c r="AB481" s="2162"/>
      <c r="AC481" s="2162"/>
      <c r="AD481" s="2162"/>
      <c r="AE481" s="2162"/>
      <c r="AF481" s="3448"/>
      <c r="AG481" s="2834"/>
      <c r="AH481" s="2834"/>
      <c r="AI481" s="2834"/>
      <c r="AJ481" s="2834"/>
      <c r="AK481" s="2218"/>
      <c r="AM481" s="2218">
        <f t="shared" si="610"/>
        <v>0</v>
      </c>
    </row>
    <row r="482" spans="1:46" ht="12.75" customHeight="1">
      <c r="A482" s="714"/>
      <c r="B482" s="714"/>
      <c r="C482" s="822"/>
      <c r="D482" s="790"/>
      <c r="E482" s="791" t="s">
        <v>1804</v>
      </c>
      <c r="F482" s="792"/>
      <c r="G482" s="793">
        <f>+InputY!$G$3</f>
        <v>1995</v>
      </c>
      <c r="H482" s="793">
        <f>+G482+1</f>
        <v>1996</v>
      </c>
      <c r="I482" s="793">
        <f t="shared" ref="I482:S482" si="658">+H482+1</f>
        <v>1997</v>
      </c>
      <c r="J482" s="793">
        <f t="shared" si="658"/>
        <v>1998</v>
      </c>
      <c r="K482" s="793">
        <f t="shared" si="658"/>
        <v>1999</v>
      </c>
      <c r="L482" s="793">
        <f t="shared" si="658"/>
        <v>2000</v>
      </c>
      <c r="M482" s="793">
        <f t="shared" si="658"/>
        <v>2001</v>
      </c>
      <c r="N482" s="793">
        <f t="shared" si="658"/>
        <v>2002</v>
      </c>
      <c r="O482" s="793">
        <f t="shared" si="658"/>
        <v>2003</v>
      </c>
      <c r="P482" s="793">
        <f>+O482+1</f>
        <v>2004</v>
      </c>
      <c r="Q482" s="793">
        <f>+P482+1</f>
        <v>2005</v>
      </c>
      <c r="R482" s="793">
        <f>+Q482+1</f>
        <v>2006</v>
      </c>
      <c r="S482" s="2126">
        <f t="shared" si="658"/>
        <v>2007</v>
      </c>
      <c r="T482" s="2126">
        <f t="shared" ref="T482:AE482" si="659">+S482+1</f>
        <v>2008</v>
      </c>
      <c r="U482" s="2126">
        <f t="shared" si="659"/>
        <v>2009</v>
      </c>
      <c r="V482" s="2126">
        <f t="shared" si="659"/>
        <v>2010</v>
      </c>
      <c r="W482" s="2126">
        <f t="shared" si="659"/>
        <v>2011</v>
      </c>
      <c r="X482" s="2126">
        <f t="shared" si="659"/>
        <v>2012</v>
      </c>
      <c r="Y482" s="2126">
        <f t="shared" si="659"/>
        <v>2013</v>
      </c>
      <c r="Z482" s="2126">
        <f t="shared" si="659"/>
        <v>2014</v>
      </c>
      <c r="AA482" s="2126">
        <f t="shared" si="659"/>
        <v>2015</v>
      </c>
      <c r="AB482" s="2126">
        <f t="shared" si="659"/>
        <v>2016</v>
      </c>
      <c r="AC482" s="2126">
        <f t="shared" si="659"/>
        <v>2017</v>
      </c>
      <c r="AD482" s="2126">
        <f t="shared" si="659"/>
        <v>2018</v>
      </c>
      <c r="AE482" s="2126">
        <f t="shared" si="659"/>
        <v>2019</v>
      </c>
      <c r="AF482" s="2836"/>
      <c r="AG482" s="2829"/>
      <c r="AH482" s="2829"/>
      <c r="AI482" s="2829"/>
      <c r="AJ482" s="2829"/>
      <c r="AK482" s="2126">
        <v>2014</v>
      </c>
      <c r="AM482" s="2126">
        <f t="shared" si="610"/>
        <v>0</v>
      </c>
    </row>
    <row r="483" spans="1:46" ht="12.75" customHeight="1">
      <c r="A483" s="714"/>
      <c r="B483" s="714"/>
      <c r="C483" s="839" t="s">
        <v>622</v>
      </c>
      <c r="D483" s="739" t="s">
        <v>591</v>
      </c>
      <c r="E483" s="787" t="s">
        <v>651</v>
      </c>
      <c r="F483" s="782" t="s">
        <v>1370</v>
      </c>
      <c r="G483" s="788"/>
      <c r="H483" s="788">
        <f t="shared" ref="H483" si="660">(H471/G471-1)*100</f>
        <v>2.8919821561439241</v>
      </c>
      <c r="I483" s="788">
        <f t="shared" ref="I483:R483" si="661">(I471/H471-1)*100</f>
        <v>3.2548218053578992</v>
      </c>
      <c r="J483" s="788">
        <f t="shared" si="661"/>
        <v>4.1803645666773193</v>
      </c>
      <c r="K483" s="788">
        <f t="shared" si="661"/>
        <v>3.7062730989771975</v>
      </c>
      <c r="L483" s="788">
        <f t="shared" si="661"/>
        <v>2.6799192531508531</v>
      </c>
      <c r="M483" s="788">
        <f t="shared" si="661"/>
        <v>4.4571922744306658</v>
      </c>
      <c r="N483" s="788">
        <f t="shared" si="661"/>
        <v>5.0468868148426216</v>
      </c>
      <c r="O483" s="788">
        <f t="shared" si="661"/>
        <v>2.2437935110994456</v>
      </c>
      <c r="P483" s="788">
        <f t="shared" si="661"/>
        <v>3.2523876451408196</v>
      </c>
      <c r="Q483" s="788">
        <f t="shared" si="661"/>
        <v>2.7030053577338675</v>
      </c>
      <c r="R483" s="788">
        <f t="shared" si="661"/>
        <v>4.1656267945366254</v>
      </c>
      <c r="S483" s="788">
        <f t="shared" ref="S483:S491" si="662">(S471/R471-1)*100</f>
        <v>6.3342195797656542</v>
      </c>
      <c r="T483" s="788">
        <f t="shared" ref="T483:V483" si="663">(T471/S471-1)*100</f>
        <v>5.7906434437167364</v>
      </c>
      <c r="U483" s="788">
        <f t="shared" si="663"/>
        <v>2.1021288034656305</v>
      </c>
      <c r="V483" s="788">
        <f t="shared" si="663"/>
        <v>2.2917506293403278</v>
      </c>
      <c r="W483" s="788">
        <f t="shared" ref="W483:W485" si="664">(W471/V471-1)*100</f>
        <v>5.0062662472009967</v>
      </c>
      <c r="X483" s="788">
        <f t="shared" ref="X483:AC485" si="665">(X471/W471-1)*100</f>
        <v>4.0558248628795202</v>
      </c>
      <c r="Y483" s="788">
        <f t="shared" si="665"/>
        <v>2.2481173579955049</v>
      </c>
      <c r="Z483" s="788">
        <f t="shared" si="665"/>
        <v>1.3014561635751765</v>
      </c>
      <c r="AA483" s="788">
        <f t="shared" si="665"/>
        <v>2.6866794370533631</v>
      </c>
      <c r="AB483" s="788">
        <f t="shared" si="665"/>
        <v>-1.1867262471613849</v>
      </c>
      <c r="AC483" s="788">
        <f t="shared" si="665"/>
        <v>2.5848796693947129</v>
      </c>
      <c r="AD483" s="3481">
        <v>2.86</v>
      </c>
      <c r="AE483" s="3481">
        <v>3.07</v>
      </c>
      <c r="AF483" s="3448"/>
      <c r="AG483" s="2834"/>
      <c r="AH483" s="2834"/>
      <c r="AI483" s="2834"/>
      <c r="AJ483" s="2834"/>
      <c r="AK483" s="788">
        <v>0.93400417491837917</v>
      </c>
      <c r="AM483" s="788">
        <f t="shared" si="610"/>
        <v>0.36745198865679729</v>
      </c>
    </row>
    <row r="484" spans="1:46" ht="12.75" customHeight="1">
      <c r="A484" s="714"/>
      <c r="B484" s="714"/>
      <c r="C484" s="840" t="s">
        <v>622</v>
      </c>
      <c r="D484" s="724" t="s">
        <v>591</v>
      </c>
      <c r="E484" s="830" t="s">
        <v>652</v>
      </c>
      <c r="F484" s="754" t="s">
        <v>681</v>
      </c>
      <c r="G484" s="756"/>
      <c r="H484" s="756">
        <f t="shared" ref="H484:R484" si="666">(H472/G472-1)*100</f>
        <v>5.1853990711999698</v>
      </c>
      <c r="I484" s="756">
        <f t="shared" si="666"/>
        <v>5.0784645651278826</v>
      </c>
      <c r="J484" s="756">
        <f t="shared" si="666"/>
        <v>4.4150302608089831</v>
      </c>
      <c r="K484" s="756">
        <f t="shared" si="666"/>
        <v>2.7751136316250591</v>
      </c>
      <c r="L484" s="756">
        <f t="shared" si="666"/>
        <v>4.7450956525267207</v>
      </c>
      <c r="M484" s="756">
        <f t="shared" si="666"/>
        <v>5.5701890300588808</v>
      </c>
      <c r="N484" s="756">
        <f t="shared" si="666"/>
        <v>6.9054083804212185</v>
      </c>
      <c r="O484" s="756">
        <f t="shared" si="666"/>
        <v>1.5805189456342683</v>
      </c>
      <c r="P484" s="756">
        <f t="shared" si="666"/>
        <v>3.640633182977715</v>
      </c>
      <c r="Q484" s="756">
        <f t="shared" si="666"/>
        <v>2.3505248744865259</v>
      </c>
      <c r="R484" s="756">
        <f t="shared" si="666"/>
        <v>8.0474597865902275</v>
      </c>
      <c r="S484" s="756">
        <f t="shared" si="662"/>
        <v>5.2031897174358299</v>
      </c>
      <c r="T484" s="756">
        <f t="shared" ref="T484:V485" si="667">(T472/S472-1)*100</f>
        <v>5.8145236994381566</v>
      </c>
      <c r="U484" s="756">
        <f t="shared" si="667"/>
        <v>5.1798789772652176</v>
      </c>
      <c r="V484" s="756">
        <f t="shared" si="667"/>
        <v>3.302070875558627</v>
      </c>
      <c r="W484" s="756">
        <f t="shared" si="664"/>
        <v>6.4917497379902045</v>
      </c>
      <c r="X484" s="756">
        <f t="shared" si="665"/>
        <v>4.7147679807747256</v>
      </c>
      <c r="Y484" s="756">
        <f t="shared" si="665"/>
        <v>4.4773509644281839</v>
      </c>
      <c r="Z484" s="756">
        <f t="shared" si="665"/>
        <v>0.51254157862807848</v>
      </c>
      <c r="AA484" s="756">
        <f t="shared" si="665"/>
        <v>-3.7890771344128549</v>
      </c>
      <c r="AB484" s="756">
        <f t="shared" si="665"/>
        <v>3.0383662696996216</v>
      </c>
      <c r="AC484" s="756">
        <f t="shared" si="665"/>
        <v>3.3046399328154452</v>
      </c>
      <c r="AD484" s="3481">
        <v>2.31</v>
      </c>
      <c r="AE484" s="3481">
        <v>2.58</v>
      </c>
      <c r="AF484" s="2836"/>
      <c r="AG484" s="2829"/>
      <c r="AH484" s="2829"/>
      <c r="AI484" s="2829"/>
      <c r="AJ484" s="2829"/>
      <c r="AK484" s="756">
        <v>2.6800739617310443</v>
      </c>
      <c r="AM484" s="756">
        <f t="shared" si="610"/>
        <v>-2.1675323831029658</v>
      </c>
    </row>
    <row r="485" spans="1:46" ht="12.75" customHeight="1">
      <c r="A485" s="714"/>
      <c r="B485" s="714"/>
      <c r="C485" s="840" t="s">
        <v>624</v>
      </c>
      <c r="D485" s="766" t="s">
        <v>591</v>
      </c>
      <c r="E485" s="771" t="s">
        <v>1417</v>
      </c>
      <c r="F485" s="772" t="s">
        <v>1395</v>
      </c>
      <c r="G485" s="770"/>
      <c r="H485" s="770">
        <f t="shared" ref="H485:R485" si="668">(H473/G473-1)*100</f>
        <v>3.1757420584119789</v>
      </c>
      <c r="I485" s="770">
        <f t="shared" si="668"/>
        <v>3.4848524196596786</v>
      </c>
      <c r="J485" s="770">
        <f t="shared" si="668"/>
        <v>4.2104206516950349</v>
      </c>
      <c r="K485" s="770">
        <f t="shared" si="668"/>
        <v>3.5867756211637181</v>
      </c>
      <c r="L485" s="770">
        <f t="shared" si="668"/>
        <v>2.9428706485267631</v>
      </c>
      <c r="M485" s="770">
        <f t="shared" si="668"/>
        <v>4.6013870906225662</v>
      </c>
      <c r="N485" s="770">
        <f t="shared" si="668"/>
        <v>5.2898985295176004</v>
      </c>
      <c r="O485" s="770">
        <f t="shared" si="668"/>
        <v>2.1557360988968544</v>
      </c>
      <c r="P485" s="770">
        <f t="shared" si="668"/>
        <v>3.303641521552958</v>
      </c>
      <c r="Q485" s="770">
        <f t="shared" si="668"/>
        <v>2.656321176518861</v>
      </c>
      <c r="R485" s="770">
        <f t="shared" si="668"/>
        <v>4.6782235999503818</v>
      </c>
      <c r="S485" s="770">
        <f t="shared" si="662"/>
        <v>6.180059709168928</v>
      </c>
      <c r="T485" s="770">
        <f t="shared" si="667"/>
        <v>5.7938683877413188</v>
      </c>
      <c r="U485" s="770">
        <f t="shared" si="667"/>
        <v>2.5178492223605131</v>
      </c>
      <c r="V485" s="770">
        <f t="shared" si="667"/>
        <v>2.4317610073865348</v>
      </c>
      <c r="W485" s="770">
        <f t="shared" si="664"/>
        <v>5.2138739153020142</v>
      </c>
      <c r="X485" s="770">
        <f t="shared" si="665"/>
        <v>4.1490357065387951</v>
      </c>
      <c r="Y485" s="770">
        <f t="shared" si="665"/>
        <v>2.5651666410212215</v>
      </c>
      <c r="Z485" s="770">
        <f t="shared" si="665"/>
        <v>1.1871621611382555</v>
      </c>
      <c r="AA485" s="770">
        <f t="shared" ref="AA485:AC485" si="669">(AA473/Z473-1)*100</f>
        <v>1.7547590557218662</v>
      </c>
      <c r="AB485" s="770">
        <f t="shared" si="669"/>
        <v>-0.61182378533035653</v>
      </c>
      <c r="AC485" s="770">
        <f t="shared" si="669"/>
        <v>2.6864133324053352</v>
      </c>
      <c r="AD485" s="770">
        <f t="shared" ref="AD485:AE485" si="670">(AD473/AC473-1)*100</f>
        <v>2.781946618827047</v>
      </c>
      <c r="AE485" s="770">
        <f t="shared" si="670"/>
        <v>3.0007808347787268</v>
      </c>
      <c r="AF485" s="3448"/>
      <c r="AG485" s="2834"/>
      <c r="AH485" s="2834"/>
      <c r="AI485" s="2834"/>
      <c r="AJ485" s="2834"/>
      <c r="AK485" s="770">
        <v>1.1899396427287989</v>
      </c>
      <c r="AM485" s="770">
        <f t="shared" si="610"/>
        <v>-2.7774815905434735E-3</v>
      </c>
    </row>
    <row r="486" spans="1:46" ht="12.75" customHeight="1">
      <c r="A486" s="714"/>
      <c r="B486" s="714"/>
      <c r="C486" s="840" t="s">
        <v>622</v>
      </c>
      <c r="D486" s="724" t="s">
        <v>589</v>
      </c>
      <c r="E486" s="830" t="s">
        <v>1417</v>
      </c>
      <c r="F486" s="754" t="s">
        <v>1938</v>
      </c>
      <c r="G486" s="756"/>
      <c r="H486" s="756">
        <f t="shared" ref="H486:R486" ca="1" si="671">(H474/G474-1)*100</f>
        <v>3.125</v>
      </c>
      <c r="I486" s="756">
        <f t="shared" si="671"/>
        <v>1.0416666666666741</v>
      </c>
      <c r="J486" s="756">
        <f t="shared" si="671"/>
        <v>1.2183692596063667</v>
      </c>
      <c r="K486" s="756">
        <f t="shared" si="671"/>
        <v>5.0925925925926041</v>
      </c>
      <c r="L486" s="756">
        <f t="shared" si="671"/>
        <v>5.1982378854625644</v>
      </c>
      <c r="M486" s="756">
        <f t="shared" si="671"/>
        <v>4.8576214405360085</v>
      </c>
      <c r="N486" s="756">
        <f t="shared" si="671"/>
        <v>5.5910543130990309</v>
      </c>
      <c r="O486" s="756">
        <f t="shared" si="671"/>
        <v>-0.15128593040845129</v>
      </c>
      <c r="P486" s="756">
        <f t="shared" si="671"/>
        <v>3.1060606060606011</v>
      </c>
      <c r="Q486" s="756">
        <f t="shared" si="671"/>
        <v>7.4944893460690887</v>
      </c>
      <c r="R486" s="756">
        <f t="shared" si="671"/>
        <v>6.698564593301426</v>
      </c>
      <c r="S486" s="756">
        <f t="shared" si="662"/>
        <v>2.8827674567584838</v>
      </c>
      <c r="T486" s="756">
        <f t="shared" ref="T486:AB491" si="672">(T474/S474-1)*100</f>
        <v>6.4134495641344991</v>
      </c>
      <c r="U486" s="756">
        <f t="shared" si="672"/>
        <v>-21.181977764774729</v>
      </c>
      <c r="V486" s="756">
        <f t="shared" si="672"/>
        <v>7.423904974017681E-2</v>
      </c>
      <c r="W486" s="756">
        <f t="shared" si="672"/>
        <v>4.6735905044510417</v>
      </c>
      <c r="X486" s="756">
        <f t="shared" si="672"/>
        <v>0.85046066619418603</v>
      </c>
      <c r="Y486" s="756">
        <f t="shared" si="672"/>
        <v>4.8489107519325225</v>
      </c>
      <c r="Z486" s="756">
        <f t="shared" si="672"/>
        <v>-0.737265415549615</v>
      </c>
      <c r="AA486" s="756">
        <f t="shared" si="672"/>
        <v>-4.3889264010803402</v>
      </c>
      <c r="AB486" s="756">
        <f t="shared" si="672"/>
        <v>-3.4604519774011355</v>
      </c>
      <c r="AC486" s="3481">
        <v>1.67</v>
      </c>
      <c r="AD486" s="3481">
        <v>3.29</v>
      </c>
      <c r="AE486" s="3481">
        <v>3.46</v>
      </c>
      <c r="AF486" s="2836"/>
      <c r="AG486" s="2829"/>
      <c r="AH486" s="2829"/>
      <c r="AI486" s="2829"/>
      <c r="AJ486" s="2829"/>
      <c r="AK486" s="756">
        <v>-0.59397912653980711</v>
      </c>
      <c r="AM486" s="756">
        <f t="shared" si="610"/>
        <v>-0.14328628900980789</v>
      </c>
    </row>
    <row r="487" spans="1:46" ht="12.75" customHeight="1">
      <c r="A487" s="714"/>
      <c r="B487" s="714"/>
      <c r="C487" s="840" t="s">
        <v>622</v>
      </c>
      <c r="D487" s="724" t="s">
        <v>590</v>
      </c>
      <c r="E487" s="830" t="s">
        <v>1417</v>
      </c>
      <c r="F487" s="754" t="s">
        <v>1760</v>
      </c>
      <c r="G487" s="756"/>
      <c r="H487" s="756">
        <f t="shared" ref="H487:R487" ca="1" si="673">(H475/G475-1)*100</f>
        <v>4.1187834007811785</v>
      </c>
      <c r="I487" s="756">
        <f t="shared" si="673"/>
        <v>10.441495124593692</v>
      </c>
      <c r="J487" s="756">
        <f t="shared" si="673"/>
        <v>5.171060698957719</v>
      </c>
      <c r="K487" s="756">
        <f t="shared" si="673"/>
        <v>3.2646589014422744</v>
      </c>
      <c r="L487" s="756">
        <f t="shared" si="673"/>
        <v>3.063217677012875</v>
      </c>
      <c r="M487" s="756">
        <f t="shared" si="673"/>
        <v>6.6673970201577726</v>
      </c>
      <c r="N487" s="756">
        <f t="shared" si="673"/>
        <v>5.6179775280898792</v>
      </c>
      <c r="O487" s="756">
        <f t="shared" si="673"/>
        <v>3.69714885837642</v>
      </c>
      <c r="P487" s="756">
        <f t="shared" si="673"/>
        <v>1.6410660364973184</v>
      </c>
      <c r="Q487" s="756">
        <f t="shared" si="673"/>
        <v>1.3073402959737246</v>
      </c>
      <c r="R487" s="756">
        <f t="shared" si="673"/>
        <v>3.5954646874003959</v>
      </c>
      <c r="S487" s="756">
        <f t="shared" si="662"/>
        <v>9.9047937197260794</v>
      </c>
      <c r="T487" s="756">
        <f t="shared" si="672"/>
        <v>3.5586306191009331</v>
      </c>
      <c r="U487" s="756">
        <f t="shared" si="672"/>
        <v>4.6914705450725736</v>
      </c>
      <c r="V487" s="756">
        <f t="shared" si="672"/>
        <v>0.99082947846809155</v>
      </c>
      <c r="W487" s="756">
        <f t="shared" si="672"/>
        <v>-4.087342752363277</v>
      </c>
      <c r="X487" s="756">
        <f t="shared" si="672"/>
        <v>4.6073226649198995</v>
      </c>
      <c r="Y487" s="756">
        <f t="shared" si="672"/>
        <v>1.324450269404398</v>
      </c>
      <c r="Z487" s="756">
        <f t="shared" si="672"/>
        <v>-1.1512011440151015</v>
      </c>
      <c r="AA487" s="756">
        <f t="shared" si="672"/>
        <v>2.7195998749609096</v>
      </c>
      <c r="AB487" s="756">
        <f t="shared" si="672"/>
        <v>-1.4012937196563269</v>
      </c>
      <c r="AC487" s="3481">
        <v>1.67</v>
      </c>
      <c r="AD487" s="3481">
        <v>3.29</v>
      </c>
      <c r="AE487" s="3481">
        <v>3.46</v>
      </c>
      <c r="AF487" s="3448"/>
      <c r="AG487" s="2834"/>
      <c r="AH487" s="2834"/>
      <c r="AI487" s="2834"/>
      <c r="AJ487" s="2834"/>
      <c r="AK487" s="756">
        <v>-0.59397912653980711</v>
      </c>
      <c r="AM487" s="756">
        <f t="shared" si="610"/>
        <v>-0.55722201747529443</v>
      </c>
    </row>
    <row r="488" spans="1:46" ht="12.75" customHeight="1">
      <c r="A488" s="714"/>
      <c r="B488" s="714"/>
      <c r="C488" s="841" t="s">
        <v>622</v>
      </c>
      <c r="D488" s="741" t="s">
        <v>592</v>
      </c>
      <c r="E488" s="842" t="s">
        <v>740</v>
      </c>
      <c r="F488" s="785" t="s">
        <v>741</v>
      </c>
      <c r="G488" s="789"/>
      <c r="H488" s="789">
        <f t="shared" ref="H488:R488" si="674">(H476/G476-1)*100</f>
        <v>5.1778038296209417</v>
      </c>
      <c r="I488" s="789">
        <f t="shared" si="674"/>
        <v>1.7090841538175638</v>
      </c>
      <c r="J488" s="789">
        <f t="shared" si="674"/>
        <v>7.8904109589041038</v>
      </c>
      <c r="K488" s="789">
        <f t="shared" si="674"/>
        <v>10.716099542915192</v>
      </c>
      <c r="L488" s="789">
        <f t="shared" si="674"/>
        <v>5.5504587155963181</v>
      </c>
      <c r="M488" s="789">
        <f t="shared" si="674"/>
        <v>5.186150948862811</v>
      </c>
      <c r="N488" s="789">
        <f t="shared" si="674"/>
        <v>7.6573474727999136</v>
      </c>
      <c r="O488" s="789">
        <f t="shared" si="674"/>
        <v>13.035691441729558</v>
      </c>
      <c r="P488" s="789">
        <f t="shared" si="674"/>
        <v>8.4766862833861367</v>
      </c>
      <c r="Q488" s="789">
        <f t="shared" si="674"/>
        <v>3.20292123109025</v>
      </c>
      <c r="R488" s="789">
        <f t="shared" si="674"/>
        <v>7.6526486049333098</v>
      </c>
      <c r="S488" s="789">
        <f t="shared" si="662"/>
        <v>8.2542961780448731</v>
      </c>
      <c r="T488" s="789">
        <f t="shared" si="672"/>
        <v>4.7536433032616232</v>
      </c>
      <c r="U488" s="789">
        <f t="shared" si="672"/>
        <v>5.1838357071878116</v>
      </c>
      <c r="V488" s="789">
        <f t="shared" si="672"/>
        <v>6.7076051015588334</v>
      </c>
      <c r="W488" s="789">
        <f t="shared" si="672"/>
        <v>5.8580492843440801</v>
      </c>
      <c r="X488" s="789">
        <f t="shared" si="672"/>
        <v>3.784499581823253</v>
      </c>
      <c r="Y488" s="789">
        <f t="shared" si="672"/>
        <v>1.30951581492178</v>
      </c>
      <c r="Z488" s="789">
        <f t="shared" si="672"/>
        <v>5.084184011666415</v>
      </c>
      <c r="AA488" s="789">
        <f t="shared" si="672"/>
        <v>3.1539771652067117E-2</v>
      </c>
      <c r="AB488" s="789">
        <f t="shared" si="672"/>
        <v>5.5051078320090596</v>
      </c>
      <c r="AC488" s="3722">
        <v>1.67</v>
      </c>
      <c r="AD488" s="3722">
        <v>3.29</v>
      </c>
      <c r="AE488" s="3722">
        <v>3.46</v>
      </c>
      <c r="AF488" s="2836"/>
      <c r="AG488" s="2829"/>
      <c r="AH488" s="2829"/>
      <c r="AI488" s="2829"/>
      <c r="AJ488" s="2829"/>
      <c r="AK488" s="789">
        <v>-0.59397912653980711</v>
      </c>
      <c r="AM488" s="789">
        <f t="shared" si="610"/>
        <v>5.6781631382062221</v>
      </c>
    </row>
    <row r="489" spans="1:46" ht="12.75" customHeight="1">
      <c r="A489" s="714"/>
      <c r="B489" s="714"/>
      <c r="C489" s="822" t="s">
        <v>624</v>
      </c>
      <c r="D489" s="766" t="s">
        <v>589</v>
      </c>
      <c r="E489" s="771" t="s">
        <v>1438</v>
      </c>
      <c r="F489" s="772" t="s">
        <v>583</v>
      </c>
      <c r="G489" s="770"/>
      <c r="H489" s="770">
        <f t="shared" ref="H489:R489" ca="1" si="675">(H477/G477-1)*100</f>
        <v>2.9319134364494737</v>
      </c>
      <c r="I489" s="770">
        <f t="shared" si="675"/>
        <v>4.6598693643460143</v>
      </c>
      <c r="J489" s="770">
        <f t="shared" si="675"/>
        <v>4.4237407269780649</v>
      </c>
      <c r="K489" s="770">
        <f t="shared" si="675"/>
        <v>3.6213150177496489</v>
      </c>
      <c r="L489" s="770">
        <f t="shared" si="675"/>
        <v>3.0054966992910437</v>
      </c>
      <c r="M489" s="770">
        <f t="shared" si="675"/>
        <v>4.9888634268510978</v>
      </c>
      <c r="N489" s="770">
        <f t="shared" si="675"/>
        <v>5.384610970083159</v>
      </c>
      <c r="O489" s="770">
        <f t="shared" si="675"/>
        <v>2.592317620172202</v>
      </c>
      <c r="P489" s="770">
        <f t="shared" si="675"/>
        <v>3.070360134329353</v>
      </c>
      <c r="Q489" s="770">
        <f t="shared" si="675"/>
        <v>2.4256219840660842</v>
      </c>
      <c r="R489" s="770">
        <f t="shared" si="675"/>
        <v>4.5332274105396531</v>
      </c>
      <c r="S489" s="770">
        <f t="shared" si="662"/>
        <v>6.8865448470360358</v>
      </c>
      <c r="T489" s="770">
        <f t="shared" si="672"/>
        <v>5.3581955446621254</v>
      </c>
      <c r="U489" s="770">
        <f t="shared" si="672"/>
        <v>2.9066804103750066</v>
      </c>
      <c r="V489" s="2223">
        <f t="shared" si="672"/>
        <v>2.2322972670095753</v>
      </c>
      <c r="W489" s="2223">
        <f t="shared" si="672"/>
        <v>3.5016706521430407</v>
      </c>
      <c r="X489" s="2223">
        <f t="shared" ref="X489:AE491" si="676">(X477/W477-1)*100</f>
        <v>4.214652566395749</v>
      </c>
      <c r="Y489" s="2223">
        <f t="shared" si="676"/>
        <v>2.3319975609817245</v>
      </c>
      <c r="Z489" s="2223">
        <f t="shared" ref="Z489" si="677">(Z477/Y477-1)*100</f>
        <v>0.85688468654254724</v>
      </c>
      <c r="AA489" s="2223">
        <f t="shared" ref="AA489" si="678">(AA477/Z477-1)*100</f>
        <v>1.8681818292330066</v>
      </c>
      <c r="AB489" s="2223">
        <f t="shared" ref="AB489:AE489" si="679">(AB477/AA477-1)*100</f>
        <v>-0.73366380822591504</v>
      </c>
      <c r="AC489" s="2141">
        <f t="shared" si="679"/>
        <v>2.6008486267758757</v>
      </c>
      <c r="AD489" s="2141">
        <f t="shared" si="679"/>
        <v>2.8772177525555831</v>
      </c>
      <c r="AE489" s="2141">
        <f t="shared" si="679"/>
        <v>3.0872400041806358</v>
      </c>
      <c r="AF489" s="3448"/>
      <c r="AG489" s="2834"/>
      <c r="AH489" s="2834"/>
      <c r="AI489" s="2834"/>
      <c r="AJ489" s="2834"/>
      <c r="AK489" s="2223">
        <v>0.86722437109372219</v>
      </c>
      <c r="AM489" s="2223">
        <f t="shared" si="610"/>
        <v>-1.0339684551174955E-2</v>
      </c>
    </row>
    <row r="490" spans="1:46" s="1047" customFormat="1" ht="10.199999999999999">
      <c r="A490" s="1039"/>
      <c r="B490" s="1039"/>
      <c r="C490" s="1048"/>
      <c r="D490" s="1056"/>
      <c r="E490" s="1057" t="s">
        <v>817</v>
      </c>
      <c r="F490" s="1056" t="s">
        <v>1991</v>
      </c>
      <c r="G490" s="1058"/>
      <c r="H490" s="1058">
        <f t="shared" ref="H490:R490" ca="1" si="680">(H478/G478-1)*100</f>
        <v>2.9304371576843957</v>
      </c>
      <c r="I490" s="1058">
        <f t="shared" si="680"/>
        <v>4.7575818942340087</v>
      </c>
      <c r="J490" s="1058">
        <f t="shared" si="680"/>
        <v>5.4637505332764791</v>
      </c>
      <c r="K490" s="1058">
        <f t="shared" si="680"/>
        <v>3.8223907719048933</v>
      </c>
      <c r="L490" s="1058">
        <f t="shared" si="680"/>
        <v>2.0309265798125198</v>
      </c>
      <c r="M490" s="1058">
        <f t="shared" si="680"/>
        <v>5.3345545239742664</v>
      </c>
      <c r="N490" s="1058">
        <f t="shared" si="680"/>
        <v>6.4148207311235828</v>
      </c>
      <c r="O490" s="1058">
        <f t="shared" si="680"/>
        <v>2.711845460207285</v>
      </c>
      <c r="P490" s="1058">
        <f t="shared" si="680"/>
        <v>2.6353226521141471</v>
      </c>
      <c r="Q490" s="1058">
        <f t="shared" si="680"/>
        <v>2.6896013694167831</v>
      </c>
      <c r="R490" s="1058">
        <f t="shared" si="680"/>
        <v>5.0433452821746494</v>
      </c>
      <c r="S490" s="1058">
        <f t="shared" si="662"/>
        <v>7.4996430636142586</v>
      </c>
      <c r="T490" s="1058">
        <f t="shared" si="672"/>
        <v>6.0935489419515321</v>
      </c>
      <c r="U490" s="1058">
        <f t="shared" si="672"/>
        <v>2.5312143425902711</v>
      </c>
      <c r="V490" s="2256">
        <f t="shared" si="672"/>
        <v>2.4923440283421305</v>
      </c>
      <c r="W490" s="2256">
        <f t="shared" si="672"/>
        <v>4.2332764391811217</v>
      </c>
      <c r="X490" s="2256">
        <f t="shared" si="676"/>
        <v>4.1316073961243038</v>
      </c>
      <c r="Y490" s="2256">
        <f t="shared" si="676"/>
        <v>2.3659972903483872</v>
      </c>
      <c r="Z490" s="2256">
        <f t="shared" si="676"/>
        <v>0.96213842911656577</v>
      </c>
      <c r="AA490" s="2256">
        <f t="shared" si="676"/>
        <v>1.2355178747072593</v>
      </c>
      <c r="AB490" s="2256">
        <f t="shared" si="676"/>
        <v>-1.8539600214612539</v>
      </c>
      <c r="AC490" s="2256">
        <f t="shared" si="676"/>
        <v>2.6935386372914039</v>
      </c>
      <c r="AD490" s="2256">
        <f t="shared" si="676"/>
        <v>2.6648661595400025</v>
      </c>
      <c r="AE490" s="2256">
        <f t="shared" si="676"/>
        <v>3.2229695798539293</v>
      </c>
      <c r="AF490" s="2836"/>
      <c r="AG490" s="2829"/>
      <c r="AH490" s="2829"/>
      <c r="AI490" s="2829"/>
      <c r="AJ490" s="2829"/>
      <c r="AK490" s="2256">
        <v>0.76490159359883236</v>
      </c>
      <c r="AL490" s="2834"/>
      <c r="AM490" s="2256">
        <f t="shared" si="610"/>
        <v>0.19723683551773341</v>
      </c>
      <c r="AN490" s="2834"/>
      <c r="AO490" s="2834"/>
      <c r="AP490" s="2834"/>
      <c r="AQ490" s="2834"/>
      <c r="AR490" s="2834"/>
      <c r="AS490" s="2834"/>
      <c r="AT490" s="2834"/>
    </row>
    <row r="491" spans="1:46" s="1047" customFormat="1" ht="10.199999999999999">
      <c r="A491" s="1039"/>
      <c r="B491" s="1039"/>
      <c r="C491" s="1048"/>
      <c r="D491" s="1056"/>
      <c r="E491" s="1057" t="str">
        <f>+E479</f>
        <v>Implicit employees' social contributions</v>
      </c>
      <c r="F491" s="1056" t="s">
        <v>1941</v>
      </c>
      <c r="G491" s="1058"/>
      <c r="H491" s="1058">
        <f t="shared" ref="H491:R491" ca="1" si="681">(H479/G479-1)*100</f>
        <v>2.9349244278949582</v>
      </c>
      <c r="I491" s="1058">
        <f t="shared" si="681"/>
        <v>4.460585345011836</v>
      </c>
      <c r="J491" s="1058">
        <f t="shared" si="681"/>
        <v>2.2966174485663959</v>
      </c>
      <c r="K491" s="1058">
        <f t="shared" si="681"/>
        <v>3.1973237906745222</v>
      </c>
      <c r="L491" s="1058">
        <f t="shared" si="681"/>
        <v>5.0729363752009649</v>
      </c>
      <c r="M491" s="1058">
        <f t="shared" si="681"/>
        <v>4.2767504317312577</v>
      </c>
      <c r="N491" s="1058">
        <f t="shared" si="681"/>
        <v>3.2408826233527366</v>
      </c>
      <c r="O491" s="1058">
        <f t="shared" si="681"/>
        <v>2.3359497645211835</v>
      </c>
      <c r="P491" s="1058">
        <f t="shared" si="681"/>
        <v>4.0068724305085235</v>
      </c>
      <c r="Q491" s="1058">
        <f t="shared" si="681"/>
        <v>1.8648431214804972</v>
      </c>
      <c r="R491" s="1058">
        <f t="shared" si="681"/>
        <v>3.4407956741272727</v>
      </c>
      <c r="S491" s="1058">
        <f t="shared" si="662"/>
        <v>5.5532367582535214</v>
      </c>
      <c r="T491" s="1058">
        <f t="shared" si="672"/>
        <v>3.7295295411145624</v>
      </c>
      <c r="U491" s="1058">
        <f t="shared" si="672"/>
        <v>3.7572173719003565</v>
      </c>
      <c r="V491" s="2256">
        <f t="shared" si="672"/>
        <v>1.6501783249994517</v>
      </c>
      <c r="W491" s="2256">
        <f t="shared" si="672"/>
        <v>1.8503907506910888</v>
      </c>
      <c r="X491" s="2256">
        <f t="shared" si="676"/>
        <v>4.4064759876920157</v>
      </c>
      <c r="Y491" s="2256">
        <f t="shared" si="676"/>
        <v>2.2536694148416858</v>
      </c>
      <c r="Z491" s="2256">
        <f t="shared" si="676"/>
        <v>0.61413607471785259</v>
      </c>
      <c r="AA491" s="2256">
        <f t="shared" si="676"/>
        <v>3.3323529530264739</v>
      </c>
      <c r="AB491" s="2256">
        <f t="shared" si="676"/>
        <v>1.8064209237582673</v>
      </c>
      <c r="AC491" s="2256">
        <f t="shared" si="676"/>
        <v>2.398245623441797</v>
      </c>
      <c r="AD491" s="2256">
        <f t="shared" si="676"/>
        <v>3.3427170972887721</v>
      </c>
      <c r="AE491" s="2256">
        <f t="shared" si="676"/>
        <v>2.7916566238541662</v>
      </c>
      <c r="AF491" s="3448"/>
      <c r="AG491" s="2834"/>
      <c r="AH491" s="2834"/>
      <c r="AI491" s="2834"/>
      <c r="AJ491" s="2834"/>
      <c r="AK491" s="2256">
        <v>1.1047180450312055</v>
      </c>
      <c r="AL491" s="2834"/>
      <c r="AM491" s="2256">
        <f t="shared" si="610"/>
        <v>-0.49058197031335293</v>
      </c>
      <c r="AN491" s="2834"/>
      <c r="AO491" s="2834"/>
      <c r="AP491" s="2834"/>
      <c r="AQ491" s="2834"/>
      <c r="AR491" s="2834"/>
      <c r="AS491" s="2834"/>
      <c r="AT491" s="2834"/>
    </row>
    <row r="492" spans="1:46" ht="12.75" customHeight="1">
      <c r="A492" s="714"/>
      <c r="B492" s="714"/>
      <c r="C492" s="822"/>
      <c r="D492" s="749"/>
      <c r="R492" s="883"/>
      <c r="S492" s="2162"/>
      <c r="T492" s="2162"/>
      <c r="U492" s="2218"/>
      <c r="V492" s="2218"/>
      <c r="W492" s="2218"/>
      <c r="X492" s="2218"/>
      <c r="Y492" s="2218"/>
      <c r="Z492" s="2218"/>
      <c r="AA492" s="2218"/>
      <c r="AB492" s="2218"/>
      <c r="AC492" s="2218"/>
      <c r="AD492" s="2218"/>
      <c r="AE492" s="2218"/>
      <c r="AK492" s="2218"/>
      <c r="AM492" s="2218">
        <f t="shared" si="610"/>
        <v>0</v>
      </c>
    </row>
    <row r="493" spans="1:46" ht="12.75" customHeight="1">
      <c r="A493" s="714"/>
      <c r="B493" s="714"/>
      <c r="C493" s="3482"/>
      <c r="D493" s="3538"/>
      <c r="E493" s="3539" t="s">
        <v>1903</v>
      </c>
      <c r="F493" s="3514"/>
      <c r="G493" s="3516">
        <f>+InputY!$G$3</f>
        <v>1995</v>
      </c>
      <c r="H493" s="3516">
        <f>+G493+1</f>
        <v>1996</v>
      </c>
      <c r="I493" s="3516">
        <f t="shared" ref="I493:S493" si="682">+H493+1</f>
        <v>1997</v>
      </c>
      <c r="J493" s="3516">
        <f t="shared" si="682"/>
        <v>1998</v>
      </c>
      <c r="K493" s="3516">
        <f t="shared" si="682"/>
        <v>1999</v>
      </c>
      <c r="L493" s="3516">
        <f t="shared" si="682"/>
        <v>2000</v>
      </c>
      <c r="M493" s="3516">
        <f t="shared" si="682"/>
        <v>2001</v>
      </c>
      <c r="N493" s="3516">
        <f t="shared" si="682"/>
        <v>2002</v>
      </c>
      <c r="O493" s="3516">
        <f t="shared" si="682"/>
        <v>2003</v>
      </c>
      <c r="P493" s="3516">
        <f>+O493+1</f>
        <v>2004</v>
      </c>
      <c r="Q493" s="3516">
        <f>+P493+1</f>
        <v>2005</v>
      </c>
      <c r="R493" s="3516">
        <f>+Q493+1</f>
        <v>2006</v>
      </c>
      <c r="S493" s="3517">
        <f t="shared" si="682"/>
        <v>2007</v>
      </c>
      <c r="T493" s="3517">
        <f t="shared" ref="T493:AE493" si="683">+S493+1</f>
        <v>2008</v>
      </c>
      <c r="U493" s="3517">
        <f t="shared" si="683"/>
        <v>2009</v>
      </c>
      <c r="V493" s="3517">
        <f t="shared" si="683"/>
        <v>2010</v>
      </c>
      <c r="W493" s="3517">
        <f t="shared" si="683"/>
        <v>2011</v>
      </c>
      <c r="X493" s="3517">
        <f t="shared" si="683"/>
        <v>2012</v>
      </c>
      <c r="Y493" s="3517">
        <f t="shared" si="683"/>
        <v>2013</v>
      </c>
      <c r="Z493" s="3517">
        <f t="shared" si="683"/>
        <v>2014</v>
      </c>
      <c r="AA493" s="3517">
        <f t="shared" si="683"/>
        <v>2015</v>
      </c>
      <c r="AB493" s="3517">
        <f t="shared" si="683"/>
        <v>2016</v>
      </c>
      <c r="AC493" s="3517">
        <f t="shared" si="683"/>
        <v>2017</v>
      </c>
      <c r="AD493" s="3517">
        <f t="shared" si="683"/>
        <v>2018</v>
      </c>
      <c r="AE493" s="3517">
        <f t="shared" si="683"/>
        <v>2019</v>
      </c>
      <c r="AK493" s="3517">
        <v>2014</v>
      </c>
      <c r="AM493" s="3517">
        <f t="shared" si="610"/>
        <v>0</v>
      </c>
    </row>
    <row r="494" spans="1:46" s="927" customFormat="1" ht="12.75" customHeight="1">
      <c r="A494" s="714"/>
      <c r="B494" s="714"/>
      <c r="C494" s="3540"/>
      <c r="D494" s="3541"/>
      <c r="E494" s="3542" t="s">
        <v>767</v>
      </c>
      <c r="F494" s="3542"/>
      <c r="G494" s="3543"/>
      <c r="H494" s="3543">
        <f ca="1">Labour1!H224</f>
        <v>2.2349034151703195</v>
      </c>
      <c r="I494" s="3543">
        <f>Labour1!I224</f>
        <v>3.8881064810979415</v>
      </c>
      <c r="J494" s="3543">
        <f>Labour1!J224</f>
        <v>3.5556382516856777</v>
      </c>
      <c r="K494" s="3543">
        <f>Labour1!K224</f>
        <v>5.2087682672233848</v>
      </c>
      <c r="L494" s="3543">
        <f>Labour1!L224</f>
        <v>4.5197041730980825</v>
      </c>
      <c r="M494" s="3543">
        <f>Labour1!M224</f>
        <v>5.5576736636856028</v>
      </c>
      <c r="N494" s="3543">
        <f>Labour1!N224</f>
        <v>3.8685961366373478</v>
      </c>
      <c r="O494" s="3543">
        <f>Labour1!O224</f>
        <v>1.8840769981371297</v>
      </c>
      <c r="P494" s="3543">
        <f>Labour1!P224</f>
        <v>2.902190887346312</v>
      </c>
      <c r="Q494" s="3543">
        <f>Labour1!Q224</f>
        <v>3.4654852640556566</v>
      </c>
      <c r="R494" s="3543">
        <f>Labour1!R224</f>
        <v>4.8322677174317707</v>
      </c>
      <c r="S494" s="3543">
        <f>Labour1!S224</f>
        <v>5.4013979031452886</v>
      </c>
      <c r="T494" s="3543">
        <f>Labour1!T224</f>
        <v>5.6047181921096589</v>
      </c>
      <c r="U494" s="3543">
        <f>Labour1!U224</f>
        <v>0.70755259128520986</v>
      </c>
      <c r="V494" s="3543">
        <f>Labour1!V224</f>
        <v>2.0073676410577113</v>
      </c>
      <c r="W494" s="3543">
        <f>Labour1!W224</f>
        <v>4.5828444187328454</v>
      </c>
      <c r="X494" s="3543">
        <f>Labour1!X224</f>
        <v>3.4856420915522435</v>
      </c>
      <c r="Y494" s="3543">
        <f>Labour1!Y224</f>
        <v>1.9998941027858486</v>
      </c>
      <c r="Z494" s="3543">
        <f>Labour1!Z224</f>
        <v>1.2746735326892633</v>
      </c>
      <c r="AA494" s="3543">
        <f>Labour1!AA224</f>
        <v>0.82602024801596841</v>
      </c>
      <c r="AB494" s="3543">
        <f>Labour1!AB224</f>
        <v>1.260374413314902</v>
      </c>
      <c r="AC494" s="3543">
        <f>Labour1!AC224</f>
        <v>3.1541753329029865</v>
      </c>
      <c r="AD494" s="3543">
        <f>Labour1!AD224</f>
        <v>3.2965925312135047</v>
      </c>
      <c r="AE494" s="3543">
        <f>Labour1!AE224</f>
        <v>3.2031938848569697</v>
      </c>
      <c r="AF494" s="2831"/>
      <c r="AG494" s="2831"/>
      <c r="AH494" s="2831"/>
      <c r="AI494" s="2831"/>
      <c r="AJ494" s="2831"/>
      <c r="AK494" s="3543">
        <v>1.0140401755888151</v>
      </c>
      <c r="AL494" s="2831"/>
      <c r="AM494" s="3543">
        <f t="shared" si="610"/>
        <v>0.26063335710044822</v>
      </c>
      <c r="AN494" s="2831"/>
      <c r="AO494" s="2831"/>
      <c r="AP494" s="2831"/>
      <c r="AQ494" s="2831"/>
      <c r="AR494" s="2831"/>
      <c r="AS494" s="2831"/>
      <c r="AT494" s="2831"/>
    </row>
    <row r="495" spans="1:46" s="927" customFormat="1" ht="12.75" customHeight="1">
      <c r="A495" s="714"/>
      <c r="B495" s="714"/>
      <c r="C495" s="3544"/>
      <c r="D495" s="3525"/>
      <c r="E495" s="3545" t="s">
        <v>2433</v>
      </c>
      <c r="F495" s="3527"/>
      <c r="G495" s="3546"/>
      <c r="H495" s="3546"/>
      <c r="I495" s="3546"/>
      <c r="J495" s="3546"/>
      <c r="K495" s="3546"/>
      <c r="L495" s="3546"/>
      <c r="M495" s="3546"/>
      <c r="N495" s="3546"/>
      <c r="O495" s="3546"/>
      <c r="P495" s="3546"/>
      <c r="Q495" s="3546"/>
      <c r="R495" s="3546"/>
      <c r="S495" s="3546"/>
      <c r="T495" s="3546"/>
      <c r="U495" s="3534"/>
      <c r="V495" s="3534"/>
      <c r="W495" s="3534"/>
      <c r="X495" s="3534"/>
      <c r="Y495" s="3534">
        <v>-270</v>
      </c>
      <c r="Z495" s="3534">
        <v>-100</v>
      </c>
      <c r="AA495" s="3534"/>
      <c r="AB495" s="3534"/>
      <c r="AC495" s="3534"/>
      <c r="AD495" s="3534"/>
      <c r="AE495" s="3534"/>
      <c r="AF495" s="2831"/>
      <c r="AG495" s="2831"/>
      <c r="AH495" s="2831"/>
      <c r="AI495" s="2831"/>
      <c r="AJ495" s="2831"/>
      <c r="AK495" s="3534">
        <v>-100</v>
      </c>
      <c r="AL495" s="2831"/>
      <c r="AM495" s="3534">
        <f t="shared" si="610"/>
        <v>0</v>
      </c>
      <c r="AN495" s="2831"/>
      <c r="AO495" s="2831"/>
      <c r="AP495" s="2831"/>
      <c r="AQ495" s="2831"/>
      <c r="AR495" s="2831"/>
      <c r="AS495" s="2831"/>
      <c r="AT495" s="2831"/>
    </row>
    <row r="496" spans="1:46" s="927" customFormat="1" ht="12.75" customHeight="1">
      <c r="A496" s="714"/>
      <c r="B496" s="714"/>
      <c r="C496" s="3547" t="s">
        <v>624</v>
      </c>
      <c r="D496" s="3541" t="s">
        <v>591</v>
      </c>
      <c r="E496" s="3542" t="s">
        <v>1417</v>
      </c>
      <c r="F496" s="3548" t="s">
        <v>1904</v>
      </c>
      <c r="G496" s="3549"/>
      <c r="H496" s="3543">
        <f t="shared" ref="H496:AE496" ca="1" si="684">$F$509*H494+(0.001*H495/G471)</f>
        <v>2.4583937566873515</v>
      </c>
      <c r="I496" s="3543">
        <f t="shared" si="684"/>
        <v>4.2769171292077361</v>
      </c>
      <c r="J496" s="3543">
        <f t="shared" si="684"/>
        <v>3.9112020768542459</v>
      </c>
      <c r="K496" s="3543">
        <f t="shared" si="684"/>
        <v>5.7296450939457237</v>
      </c>
      <c r="L496" s="3543">
        <f t="shared" si="684"/>
        <v>4.9716745904078907</v>
      </c>
      <c r="M496" s="3543">
        <f t="shared" si="684"/>
        <v>6.1134410300541635</v>
      </c>
      <c r="N496" s="3543">
        <f t="shared" si="684"/>
        <v>4.255455750301083</v>
      </c>
      <c r="O496" s="3543">
        <f t="shared" si="684"/>
        <v>2.0724846979508427</v>
      </c>
      <c r="P496" s="3543">
        <f t="shared" si="684"/>
        <v>3.1924099760809437</v>
      </c>
      <c r="Q496" s="3543">
        <f t="shared" si="684"/>
        <v>3.8120337904612227</v>
      </c>
      <c r="R496" s="3543">
        <f t="shared" si="684"/>
        <v>5.3154944891749478</v>
      </c>
      <c r="S496" s="3543">
        <f t="shared" si="684"/>
        <v>5.9415376934598179</v>
      </c>
      <c r="T496" s="3543">
        <f t="shared" si="684"/>
        <v>6.1651900113206253</v>
      </c>
      <c r="U496" s="3543">
        <f t="shared" si="684"/>
        <v>0.77830785041373096</v>
      </c>
      <c r="V496" s="3543">
        <f t="shared" si="684"/>
        <v>2.2081044051634824</v>
      </c>
      <c r="W496" s="3543">
        <f t="shared" si="684"/>
        <v>5.04112886060613</v>
      </c>
      <c r="X496" s="3543">
        <f t="shared" si="684"/>
        <v>3.8342063007074683</v>
      </c>
      <c r="Y496" s="3543">
        <f t="shared" si="684"/>
        <v>2.1949911806177598</v>
      </c>
      <c r="Z496" s="3543">
        <f t="shared" si="684"/>
        <v>1.400368750659204</v>
      </c>
      <c r="AA496" s="3543">
        <f t="shared" si="684"/>
        <v>0.90862227281756536</v>
      </c>
      <c r="AB496" s="3543">
        <f t="shared" si="684"/>
        <v>1.3864118546463924</v>
      </c>
      <c r="AC496" s="3543">
        <f t="shared" si="684"/>
        <v>3.4695928661932856</v>
      </c>
      <c r="AD496" s="3543">
        <f t="shared" si="684"/>
        <v>3.6262517843348556</v>
      </c>
      <c r="AE496" s="3543">
        <f t="shared" si="684"/>
        <v>3.5235132733426671</v>
      </c>
      <c r="AF496" s="2831"/>
      <c r="AG496" s="2831"/>
      <c r="AH496" s="2831"/>
      <c r="AI496" s="2831"/>
      <c r="AJ496" s="2831"/>
      <c r="AK496" s="3543">
        <v>1.1136600399959902</v>
      </c>
      <c r="AL496" s="2831"/>
      <c r="AM496" s="3543">
        <f t="shared" si="610"/>
        <v>0.28670871066321379</v>
      </c>
      <c r="AN496" s="2831"/>
      <c r="AO496" s="2831"/>
      <c r="AP496" s="2831"/>
      <c r="AQ496" s="2831"/>
      <c r="AR496" s="2831"/>
      <c r="AS496" s="2831"/>
      <c r="AT496" s="2831"/>
    </row>
    <row r="497" spans="1:46" ht="12.75" customHeight="1">
      <c r="A497" s="714"/>
      <c r="B497" s="714"/>
      <c r="C497" s="822"/>
      <c r="E497" s="833"/>
      <c r="F497" s="834"/>
      <c r="G497" s="753"/>
      <c r="H497" s="835"/>
      <c r="I497" s="753"/>
      <c r="J497" s="753"/>
      <c r="K497" s="753"/>
      <c r="L497" s="753"/>
      <c r="M497" s="753"/>
      <c r="N497" s="753"/>
      <c r="O497" s="753"/>
      <c r="P497" s="753"/>
      <c r="Q497" s="753"/>
      <c r="R497" s="753"/>
      <c r="S497" s="2218"/>
      <c r="T497" s="2218"/>
      <c r="U497" s="2218"/>
      <c r="V497" s="2218"/>
      <c r="W497" s="2218"/>
      <c r="X497" s="2218"/>
      <c r="Y497" s="2218"/>
      <c r="Z497" s="2218"/>
      <c r="AA497" s="2218"/>
      <c r="AB497" s="2218"/>
      <c r="AC497" s="2218"/>
      <c r="AD497" s="2218"/>
      <c r="AE497" s="2218"/>
      <c r="AK497" s="2218"/>
      <c r="AM497" s="2218">
        <f t="shared" si="610"/>
        <v>0</v>
      </c>
    </row>
    <row r="498" spans="1:46" ht="12.75" customHeight="1">
      <c r="A498" s="714"/>
      <c r="B498" s="714"/>
      <c r="C498" s="822"/>
      <c r="D498" s="862"/>
      <c r="E498" s="863" t="s">
        <v>1805</v>
      </c>
      <c r="F498" s="864"/>
      <c r="G498" s="865">
        <f>+InputY!$G$3</f>
        <v>1995</v>
      </c>
      <c r="H498" s="865">
        <f>+G498+1</f>
        <v>1996</v>
      </c>
      <c r="I498" s="865">
        <f t="shared" ref="I498:S498" si="685">+H498+1</f>
        <v>1997</v>
      </c>
      <c r="J498" s="865">
        <f t="shared" si="685"/>
        <v>1998</v>
      </c>
      <c r="K498" s="865">
        <f t="shared" si="685"/>
        <v>1999</v>
      </c>
      <c r="L498" s="865">
        <f t="shared" si="685"/>
        <v>2000</v>
      </c>
      <c r="M498" s="865">
        <f t="shared" si="685"/>
        <v>2001</v>
      </c>
      <c r="N498" s="865">
        <f t="shared" si="685"/>
        <v>2002</v>
      </c>
      <c r="O498" s="865">
        <f t="shared" si="685"/>
        <v>2003</v>
      </c>
      <c r="P498" s="865">
        <f>+O498+1</f>
        <v>2004</v>
      </c>
      <c r="Q498" s="865">
        <f>+P498+1</f>
        <v>2005</v>
      </c>
      <c r="R498" s="865">
        <f>+Q498+1</f>
        <v>2006</v>
      </c>
      <c r="S498" s="2219">
        <f t="shared" si="685"/>
        <v>2007</v>
      </c>
      <c r="T498" s="2219">
        <f t="shared" ref="T498:AE498" si="686">+S498+1</f>
        <v>2008</v>
      </c>
      <c r="U498" s="2219">
        <f t="shared" si="686"/>
        <v>2009</v>
      </c>
      <c r="V498" s="2219">
        <f t="shared" si="686"/>
        <v>2010</v>
      </c>
      <c r="W498" s="2219">
        <f t="shared" si="686"/>
        <v>2011</v>
      </c>
      <c r="X498" s="2219">
        <f t="shared" si="686"/>
        <v>2012</v>
      </c>
      <c r="Y498" s="2219">
        <f t="shared" si="686"/>
        <v>2013</v>
      </c>
      <c r="Z498" s="2219">
        <f t="shared" si="686"/>
        <v>2014</v>
      </c>
      <c r="AA498" s="2219">
        <f t="shared" si="686"/>
        <v>2015</v>
      </c>
      <c r="AB498" s="2219">
        <f t="shared" si="686"/>
        <v>2016</v>
      </c>
      <c r="AC498" s="2219">
        <f t="shared" si="686"/>
        <v>2017</v>
      </c>
      <c r="AD498" s="2219">
        <f t="shared" si="686"/>
        <v>2018</v>
      </c>
      <c r="AE498" s="2219">
        <f t="shared" si="686"/>
        <v>2019</v>
      </c>
      <c r="AK498" s="2219">
        <v>2014</v>
      </c>
      <c r="AM498" s="2219">
        <f t="shared" si="610"/>
        <v>0</v>
      </c>
    </row>
    <row r="499" spans="1:46" ht="12.75" customHeight="1">
      <c r="A499" s="714"/>
      <c r="B499" s="714"/>
      <c r="C499" s="866" t="s">
        <v>622</v>
      </c>
      <c r="D499" s="867" t="s">
        <v>591</v>
      </c>
      <c r="E499" s="868" t="s">
        <v>651</v>
      </c>
      <c r="F499" s="869" t="s">
        <v>1370</v>
      </c>
      <c r="G499" s="878">
        <f ca="1">+G471/'VVP2'!G$355</f>
        <v>0.13930137989917213</v>
      </c>
      <c r="H499" s="878">
        <f>+H471/'VVP2'!H$355</f>
        <v>0.14024249059008329</v>
      </c>
      <c r="I499" s="878">
        <f>+I471/'VVP2'!I$355</f>
        <v>0.138381997152703</v>
      </c>
      <c r="J499" s="878">
        <f>+J471/'VVP2'!J$355</f>
        <v>0.13892812303829252</v>
      </c>
      <c r="K499" s="878">
        <f>+K471/'VVP2'!K$355</f>
        <v>0.13833334698189381</v>
      </c>
      <c r="L499" s="878">
        <f>+L471/'VVP2'!L$355</f>
        <v>0.13434176793611699</v>
      </c>
      <c r="M499" s="878">
        <f>+M471/'VVP2'!M$355</f>
        <v>0.13633476856025317</v>
      </c>
      <c r="N499" s="878">
        <f>+N471/'VVP2'!N$355</f>
        <v>0.13838542221459574</v>
      </c>
      <c r="O499" s="878">
        <f>+O471/'VVP2'!O$355</f>
        <v>0.13770019088122021</v>
      </c>
      <c r="P499" s="878">
        <f>+P471/'VVP2'!P$355</f>
        <v>0.13452777736861204</v>
      </c>
      <c r="Q499" s="878">
        <f>+Q471/'VVP2'!Q$355</f>
        <v>0.13249965969009966</v>
      </c>
      <c r="R499" s="878">
        <f>+R471/'VVP2'!R$355</f>
        <v>0.13160479896504679</v>
      </c>
      <c r="S499" s="878">
        <f>+S471/'VVP2'!S$355</f>
        <v>0.13261311962867608</v>
      </c>
      <c r="T499" s="878">
        <f>+T471/'VVP2'!T$355</f>
        <v>0.13658615528917076</v>
      </c>
      <c r="U499" s="878">
        <f>+U471/'VVP2'!U$355</f>
        <v>0.14157045780290275</v>
      </c>
      <c r="V499" s="878">
        <f>+V471/'VVP2'!V$355</f>
        <v>0.13834190859776965</v>
      </c>
      <c r="W499" s="878">
        <f>+W471/'VVP2'!W$355</f>
        <v>0.13990086685449438</v>
      </c>
      <c r="X499" s="878">
        <f>+X471/'VVP2'!X$355</f>
        <v>0.14242164066538307</v>
      </c>
      <c r="Y499" s="878">
        <f>+Y471/'VVP2'!Y$355</f>
        <v>0.1438271110909472</v>
      </c>
      <c r="Z499" s="2204">
        <f>+Z471/'VVP2'!Z$355</f>
        <v>0.14280585837903789</v>
      </c>
      <c r="AA499" s="2204">
        <f>+AA471/'VVP2'!AA$355</f>
        <v>0.14301721684689811</v>
      </c>
      <c r="AB499" s="2204">
        <f>+AB471/'VVP2'!AB$355</f>
        <v>0.13710653438235434</v>
      </c>
      <c r="AC499" s="2204">
        <f>+AC471/'VVP2'!AC$355</f>
        <v>0.13569917848882265</v>
      </c>
      <c r="AD499" s="2204">
        <f ca="1">+AD471/'VVP2'!AD$355</f>
        <v>0.13499648407427453</v>
      </c>
      <c r="AE499" s="2204">
        <f ca="1">+AE471/'VVP2'!AE$355</f>
        <v>0.1344929680261103</v>
      </c>
      <c r="AK499" s="2204">
        <v>0.14063315683496158</v>
      </c>
      <c r="AM499" s="2204">
        <f t="shared" si="610"/>
        <v>2.1727015440763109E-3</v>
      </c>
    </row>
    <row r="500" spans="1:46" ht="12.75" customHeight="1">
      <c r="A500" s="714"/>
      <c r="B500" s="714"/>
      <c r="C500" s="870" t="s">
        <v>622</v>
      </c>
      <c r="D500" s="724" t="s">
        <v>591</v>
      </c>
      <c r="E500" s="830" t="s">
        <v>652</v>
      </c>
      <c r="F500" s="754" t="s">
        <v>681</v>
      </c>
      <c r="G500" s="879">
        <f ca="1">+G472/'VVP2'!G$355</f>
        <v>1.9669100595009342E-2</v>
      </c>
      <c r="H500" s="879">
        <f>+H472/'VVP2'!H$355</f>
        <v>2.0243361192614325E-2</v>
      </c>
      <c r="I500" s="879">
        <f>+I472/'VVP2'!I$355</f>
        <v>2.0327594042891778E-2</v>
      </c>
      <c r="J500" s="879">
        <f>+J472/'VVP2'!J$355</f>
        <v>2.0453785583667675E-2</v>
      </c>
      <c r="K500" s="879">
        <f>+K472/'VVP2'!K$355</f>
        <v>2.0183354761573298E-2</v>
      </c>
      <c r="L500" s="879">
        <f>+L472/'VVP2'!L$355</f>
        <v>1.9995197930462935E-2</v>
      </c>
      <c r="M500" s="879">
        <f>+M472/'VVP2'!M$355</f>
        <v>2.0508043240412298E-2</v>
      </c>
      <c r="N500" s="879">
        <f>+N472/'VVP2'!N$355</f>
        <v>2.118480316114258E-2</v>
      </c>
      <c r="O500" s="879">
        <f>+O472/'VVP2'!O$355</f>
        <v>2.0943154900375568E-2</v>
      </c>
      <c r="P500" s="879">
        <f>+P472/'VVP2'!P$355</f>
        <v>2.0537590204304634E-2</v>
      </c>
      <c r="Q500" s="879">
        <f>+Q472/'VVP2'!Q$355</f>
        <v>2.0158545887900635E-2</v>
      </c>
      <c r="R500" s="879">
        <f>+R472/'VVP2'!R$355</f>
        <v>2.0768555642053366E-2</v>
      </c>
      <c r="S500" s="879">
        <f>+S472/'VVP2'!S$355</f>
        <v>2.0705080320556988E-2</v>
      </c>
      <c r="T500" s="879">
        <f>+T472/'VVP2'!T$355</f>
        <v>2.1330209997630384E-2</v>
      </c>
      <c r="U500" s="879">
        <f>+U472/'VVP2'!U$355</f>
        <v>2.2775029954318054E-2</v>
      </c>
      <c r="V500" s="879">
        <f>+V472/'VVP2'!V$355</f>
        <v>2.2475455388310889E-2</v>
      </c>
      <c r="W500" s="879">
        <f>+W472/'VVP2'!W$355</f>
        <v>2.3050263211136297E-2</v>
      </c>
      <c r="X500" s="879">
        <f>+X472/'VVP2'!X$355</f>
        <v>2.3614187454403236E-2</v>
      </c>
      <c r="Y500" s="879">
        <f>+Y472/'VVP2'!Y$355</f>
        <v>2.4367142971475238E-2</v>
      </c>
      <c r="Z500" s="2138">
        <f>+Z472/'VVP2'!Z$355</f>
        <v>2.4005703890347008E-2</v>
      </c>
      <c r="AA500" s="2138">
        <f>+AA472/'VVP2'!AA$355</f>
        <v>2.2525114804967997E-2</v>
      </c>
      <c r="AB500" s="2138">
        <f>+AB472/'VVP2'!AB$355</f>
        <v>2.2517518090128693E-2</v>
      </c>
      <c r="AC500" s="2138">
        <f>+AC472/'VVP2'!AC$355</f>
        <v>2.2442749414688681E-2</v>
      </c>
      <c r="AD500" s="2138">
        <f ca="1">+AD472/'VVP2'!AD$355</f>
        <v>2.2207151949638237E-2</v>
      </c>
      <c r="AE500" s="2138">
        <f ca="1">+AE472/'VVP2'!AE$355</f>
        <v>2.201914255004982E-2</v>
      </c>
      <c r="AK500" s="2138">
        <v>2.457205359584359E-2</v>
      </c>
      <c r="AM500" s="2138">
        <f t="shared" si="610"/>
        <v>-5.6634970549658201E-4</v>
      </c>
    </row>
    <row r="501" spans="1:46" ht="12.75" customHeight="1">
      <c r="A501" s="714"/>
      <c r="B501" s="714"/>
      <c r="C501" s="870" t="s">
        <v>624</v>
      </c>
      <c r="D501" s="850" t="s">
        <v>591</v>
      </c>
      <c r="E501" s="851" t="s">
        <v>1417</v>
      </c>
      <c r="F501" s="852" t="s">
        <v>1395</v>
      </c>
      <c r="G501" s="881">
        <f ca="1">+G473/'VVP2'!G$355</f>
        <v>0.15897048049418147</v>
      </c>
      <c r="H501" s="881">
        <f>+H473/'VVP2'!H$355</f>
        <v>0.16048585178269759</v>
      </c>
      <c r="I501" s="881">
        <f>+I473/'VVP2'!I$355</f>
        <v>0.15870959119559477</v>
      </c>
      <c r="J501" s="881">
        <f>+J473/'VVP2'!J$355</f>
        <v>0.15938190862196019</v>
      </c>
      <c r="K501" s="881">
        <f>+K473/'VVP2'!K$355</f>
        <v>0.1585167017434671</v>
      </c>
      <c r="L501" s="881">
        <f>+L473/'VVP2'!L$355</f>
        <v>0.15433696586657994</v>
      </c>
      <c r="M501" s="881">
        <f>+M473/'VVP2'!M$355</f>
        <v>0.15684281180066548</v>
      </c>
      <c r="N501" s="881">
        <f>+N473/'VVP2'!N$355</f>
        <v>0.15957022537573831</v>
      </c>
      <c r="O501" s="881">
        <f>+O473/'VVP2'!O$355</f>
        <v>0.15864334578159578</v>
      </c>
      <c r="P501" s="881">
        <f>+P473/'VVP2'!P$355</f>
        <v>0.15506536757291667</v>
      </c>
      <c r="Q501" s="881">
        <f>+Q473/'VVP2'!Q$355</f>
        <v>0.15265820557800033</v>
      </c>
      <c r="R501" s="881">
        <f>+R473/'VVP2'!R$355</f>
        <v>0.15237335460710016</v>
      </c>
      <c r="S501" s="881">
        <f>+S473/'VVP2'!S$355</f>
        <v>0.15331819994923307</v>
      </c>
      <c r="T501" s="881">
        <f>+T473/'VVP2'!T$355</f>
        <v>0.15791636528680114</v>
      </c>
      <c r="U501" s="881">
        <f>+U473/'VVP2'!U$355</f>
        <v>0.1643454877572208</v>
      </c>
      <c r="V501" s="881">
        <f>+V473/'VVP2'!V$355</f>
        <v>0.16081736398608054</v>
      </c>
      <c r="W501" s="881">
        <f>+W473/'VVP2'!W$355</f>
        <v>0.16295113006563069</v>
      </c>
      <c r="X501" s="881">
        <f>+X473/'VVP2'!X$355</f>
        <v>0.16603582811978629</v>
      </c>
      <c r="Y501" s="881">
        <f>+Y473/'VVP2'!Y$355</f>
        <v>0.16819425406242244</v>
      </c>
      <c r="Z501" s="2205">
        <f>+Z473/'VVP2'!Z$355</f>
        <v>0.1668115622693849</v>
      </c>
      <c r="AA501" s="2205">
        <f>+AA473/'VVP2'!AA$355</f>
        <v>0.1655423316518661</v>
      </c>
      <c r="AB501" s="2205">
        <f>+AB473/'VVP2'!AB$355</f>
        <v>0.15962405247248304</v>
      </c>
      <c r="AC501" s="2205">
        <f>+AC473/'VVP2'!AC$355</f>
        <v>0.15814192790351131</v>
      </c>
      <c r="AD501" s="2205">
        <f ca="1">+AD473/'VVP2'!AD$355</f>
        <v>0.15720363602391277</v>
      </c>
      <c r="AE501" s="2205">
        <f ca="1">+AE473/'VVP2'!AE$355</f>
        <v>0.15651211057616013</v>
      </c>
      <c r="AK501" s="2205">
        <v>0.16520521043080519</v>
      </c>
      <c r="AM501" s="2205">
        <f t="shared" si="610"/>
        <v>1.6063518385797115E-3</v>
      </c>
    </row>
    <row r="502" spans="1:46" ht="12.75" customHeight="1">
      <c r="A502" s="714"/>
      <c r="B502" s="714"/>
      <c r="C502" s="870" t="s">
        <v>622</v>
      </c>
      <c r="D502" s="724" t="s">
        <v>589</v>
      </c>
      <c r="E502" s="830" t="s">
        <v>1417</v>
      </c>
      <c r="F502" s="754" t="s">
        <v>1938</v>
      </c>
      <c r="G502" s="879">
        <f ca="1">+G474/'VVP2'!G$355</f>
        <v>4.8464012630933294E-4</v>
      </c>
      <c r="H502" s="879">
        <f>+H474/'VVP2'!H$355</f>
        <v>4.8901929403396464E-4</v>
      </c>
      <c r="I502" s="879">
        <f>+I474/'VVP2'!I$355</f>
        <v>4.7218928993263224E-4</v>
      </c>
      <c r="J502" s="879">
        <f>+J474/'VVP2'!J$355</f>
        <v>4.6057479734708918E-4</v>
      </c>
      <c r="K502" s="879">
        <f>+K474/'VVP2'!K$355</f>
        <v>4.6473348455938355E-4</v>
      </c>
      <c r="L502" s="879">
        <f>+L474/'VVP2'!L$355</f>
        <v>4.6239282477867889E-4</v>
      </c>
      <c r="M502" s="879">
        <f>+M474/'VVP2'!M$355</f>
        <v>4.7105140781162757E-4</v>
      </c>
      <c r="N502" s="879">
        <f>+N474/'VVP2'!N$355</f>
        <v>4.806134984045595E-4</v>
      </c>
      <c r="O502" s="879">
        <f>+O474/'VVP2'!O$355</f>
        <v>4.6703097441413267E-4</v>
      </c>
      <c r="P502" s="879">
        <f>+P474/'VVP2'!P$355</f>
        <v>4.5562463760935324E-4</v>
      </c>
      <c r="Q502" s="879">
        <f>+Q474/'VVP2'!Q$355</f>
        <v>4.6969187185855443E-4</v>
      </c>
      <c r="R502" s="879">
        <f>+R474/'VVP2'!R$355</f>
        <v>4.7786382319834475E-4</v>
      </c>
      <c r="S502" s="879">
        <f>+S474/'VVP2'!S$355</f>
        <v>4.6589549262066217E-4</v>
      </c>
      <c r="T502" s="879">
        <f>+T474/'VVP2'!T$355</f>
        <v>4.8267850702369246E-4</v>
      </c>
      <c r="U502" s="879">
        <f>+U474/'VVP2'!U$355</f>
        <v>3.8620211932355276E-4</v>
      </c>
      <c r="V502" s="879">
        <f>+V474/'VVP2'!V$355</f>
        <v>3.6921340836290281E-4</v>
      </c>
      <c r="W502" s="879">
        <f>+W474/'VVP2'!W$355</f>
        <v>3.721911242308556E-4</v>
      </c>
      <c r="X502" s="879">
        <f>+X474/'VVP2'!X$355</f>
        <v>3.6722571168368735E-4</v>
      </c>
      <c r="Y502" s="879">
        <f>+Y474/'VVP2'!Y$355</f>
        <v>3.8028260196900748E-4</v>
      </c>
      <c r="Z502" s="2138">
        <f>+Z474/'VVP2'!Z$355</f>
        <v>3.6998342694088905E-4</v>
      </c>
      <c r="AA502" s="2138">
        <f>+AA474/'VVP2'!AA$355</f>
        <v>3.4499964915289915E-4</v>
      </c>
      <c r="AB502" s="2138">
        <f>+AB474/'VVP2'!AB$355</f>
        <v>3.2313087580522698E-4</v>
      </c>
      <c r="AC502" s="2138">
        <f>+AC474/'VVP2'!AC$355</f>
        <v>3.1696184997146988E-4</v>
      </c>
      <c r="AD502" s="2138">
        <f ca="1">+AD474/'VVP2'!AD$355</f>
        <v>3.1663869690855994E-4</v>
      </c>
      <c r="AE502" s="2138">
        <f ca="1">+AE474/'VVP2'!AE$355</f>
        <v>3.166513236549307E-4</v>
      </c>
      <c r="AK502" s="2138">
        <v>4.94966713425164E-4</v>
      </c>
      <c r="AM502" s="2138">
        <f t="shared" si="610"/>
        <v>-1.2498328648427495E-4</v>
      </c>
    </row>
    <row r="503" spans="1:46" ht="12.75" customHeight="1">
      <c r="A503" s="714"/>
      <c r="B503" s="714"/>
      <c r="C503" s="870" t="s">
        <v>622</v>
      </c>
      <c r="D503" s="724" t="s">
        <v>590</v>
      </c>
      <c r="E503" s="830" t="s">
        <v>1417</v>
      </c>
      <c r="F503" s="754" t="s">
        <v>1760</v>
      </c>
      <c r="G503" s="879">
        <f ca="1">+G475/'VVP2'!G$355</f>
        <v>3.3564641716534747E-2</v>
      </c>
      <c r="H503" s="879">
        <f>+H475/'VVP2'!H$355</f>
        <v>3.4194303666162829E-2</v>
      </c>
      <c r="I503" s="879">
        <f>+I475/'VVP2'!I$355</f>
        <v>3.6089068972826766E-2</v>
      </c>
      <c r="J503" s="879">
        <f>+J475/'VVP2'!J$355</f>
        <v>3.657603578154426E-2</v>
      </c>
      <c r="K503" s="879">
        <f>+K475/'VVP2'!K$355</f>
        <v>3.6264361697771738E-2</v>
      </c>
      <c r="L503" s="879">
        <f>+L475/'VVP2'!L$355</f>
        <v>3.5349428011555953E-2</v>
      </c>
      <c r="M503" s="879">
        <f>+M475/'VVP2'!M$355</f>
        <v>3.6632900457657297E-2</v>
      </c>
      <c r="N503" s="879">
        <f>+N475/'VVP2'!N$355</f>
        <v>3.7386058791173439E-2</v>
      </c>
      <c r="O503" s="879">
        <f>+O475/'VVP2'!O$355</f>
        <v>3.772973412846535E-2</v>
      </c>
      <c r="P503" s="879">
        <f>+P475/'VVP2'!P$355</f>
        <v>3.6285263204410417E-2</v>
      </c>
      <c r="Q503" s="879">
        <f>+Q475/'VVP2'!Q$355</f>
        <v>3.5252574155453562E-2</v>
      </c>
      <c r="R503" s="879">
        <f>+R475/'VVP2'!R$355</f>
        <v>3.4822833747777907E-2</v>
      </c>
      <c r="S503" s="879">
        <f>+S475/'VVP2'!S$355</f>
        <v>3.6267904413097879E-2</v>
      </c>
      <c r="T503" s="879">
        <f>+T475/'VVP2'!T$355</f>
        <v>3.6566356714950524E-2</v>
      </c>
      <c r="U503" s="879">
        <f>+U475/'VVP2'!U$355</f>
        <v>3.8861910808813897E-2</v>
      </c>
      <c r="V503" s="879">
        <f>+V475/'VVP2'!V$355</f>
        <v>3.7492690368816257E-2</v>
      </c>
      <c r="W503" s="879">
        <f>+W475/'VVP2'!W$355</f>
        <v>3.4631711475119252E-2</v>
      </c>
      <c r="X503" s="879">
        <f>+X475/'VVP2'!X$355</f>
        <v>3.5442571498691226E-2</v>
      </c>
      <c r="Y503" s="879">
        <f>+Y475/'VVP2'!Y$355</f>
        <v>3.5468999066625408E-2</v>
      </c>
      <c r="Z503" s="2138">
        <f>+Z475/'VVP2'!Z$355</f>
        <v>3.4364490384677843E-2</v>
      </c>
      <c r="AA503" s="2138">
        <f>+AA475/'VVP2'!AA$355</f>
        <v>3.4426384481642897E-2</v>
      </c>
      <c r="AB503" s="2138">
        <f>+AB475/'VVP2'!AB$355</f>
        <v>3.2931929301706374E-2</v>
      </c>
      <c r="AC503" s="2138">
        <f>+AC475/'VVP2'!AC$355</f>
        <v>3.2303212153858993E-2</v>
      </c>
      <c r="AD503" s="2138">
        <f ca="1">+AD475/'VVP2'!AD$355</f>
        <v>3.2270277963355347E-2</v>
      </c>
      <c r="AE503" s="2138">
        <f ca="1">+AE475/'VVP2'!AE$355</f>
        <v>3.2271564820012907E-2</v>
      </c>
      <c r="AK503" s="2138">
        <v>3.4316786050956546E-2</v>
      </c>
      <c r="AM503" s="2138">
        <f t="shared" si="610"/>
        <v>4.7704333721296233E-5</v>
      </c>
    </row>
    <row r="504" spans="1:46" ht="12.75" customHeight="1">
      <c r="A504" s="714"/>
      <c r="B504" s="714"/>
      <c r="C504" s="871" t="s">
        <v>622</v>
      </c>
      <c r="D504" s="872" t="s">
        <v>592</v>
      </c>
      <c r="E504" s="873" t="s">
        <v>740</v>
      </c>
      <c r="F504" s="874" t="s">
        <v>741</v>
      </c>
      <c r="G504" s="880">
        <f ca="1">+G476/'VVP2'!G$355</f>
        <v>2.422254068799967E-3</v>
      </c>
      <c r="H504" s="880">
        <f>+H476/'VVP2'!H$355</f>
        <v>2.4927943747962422E-3</v>
      </c>
      <c r="I504" s="880">
        <f>+I476/'VVP2'!I$355</f>
        <v>2.4229019328783144E-3</v>
      </c>
      <c r="J504" s="880">
        <f>+J476/'VVP2'!J$355</f>
        <v>2.5190882666011626E-3</v>
      </c>
      <c r="K504" s="880">
        <f>+K476/'VVP2'!K$355</f>
        <v>2.6778475674170648E-3</v>
      </c>
      <c r="L504" s="880">
        <f>+L476/'VVP2'!L$355</f>
        <v>2.6732811301903013E-3</v>
      </c>
      <c r="M504" s="880">
        <f>+M476/'VVP2'!M$355</f>
        <v>2.7318724218212674E-3</v>
      </c>
      <c r="N504" s="880">
        <f>+N476/'VVP2'!N$355</f>
        <v>2.8418727057703797E-3</v>
      </c>
      <c r="O504" s="880">
        <f>+O476/'VVP2'!O$355</f>
        <v>3.1262770378206635E-3</v>
      </c>
      <c r="P504" s="880">
        <f>+P476/'VVP2'!P$355</f>
        <v>3.2087892369475758E-3</v>
      </c>
      <c r="Q504" s="880">
        <f>+Q476/'VVP2'!Q$355</f>
        <v>3.17579767356447E-3</v>
      </c>
      <c r="R504" s="880">
        <f>+R476/'VVP2'!R$355</f>
        <v>3.2599435318636607E-3</v>
      </c>
      <c r="S504" s="880">
        <f>+S476/'VVP2'!S$355</f>
        <v>3.3442361388113287E-3</v>
      </c>
      <c r="T504" s="880">
        <f>+T476/'VVP2'!T$355</f>
        <v>3.4106645118888884E-3</v>
      </c>
      <c r="U504" s="880">
        <f>+U476/'VVP2'!U$355</f>
        <v>3.6418257755365759E-3</v>
      </c>
      <c r="V504" s="880">
        <f>+V476/'VVP2'!V$355</f>
        <v>3.7124024754827782E-3</v>
      </c>
      <c r="W504" s="880">
        <f>+W476/'VVP2'!W$355</f>
        <v>3.7846904680824346E-3</v>
      </c>
      <c r="X504" s="880">
        <f>+X476/'VVP2'!X$355</f>
        <v>3.8428377179773629E-3</v>
      </c>
      <c r="Y504" s="880">
        <f>+Y476/'VVP2'!Y$355</f>
        <v>3.8451362823756353E-3</v>
      </c>
      <c r="Z504" s="2206">
        <f>+Z476/'VVP2'!Z$355</f>
        <v>3.9603965342970377E-3</v>
      </c>
      <c r="AA504" s="2206">
        <f>+AA476/'VVP2'!AA$355</f>
        <v>3.8637036979284429E-3</v>
      </c>
      <c r="AB504" s="2206">
        <f>+AB476/'VVP2'!AB$355</f>
        <v>3.9548666299175222E-3</v>
      </c>
      <c r="AC504" s="2206">
        <f>+AC476/'VVP2'!AC$355</f>
        <v>3.8793626275586408E-3</v>
      </c>
      <c r="AD504" s="2206">
        <f ca="1">+AD476/'VVP2'!AD$355</f>
        <v>3.8754074893760904E-3</v>
      </c>
      <c r="AE504" s="2206">
        <f ca="1">+AE476/'VVP2'!AE$355</f>
        <v>3.8755620307758926E-3</v>
      </c>
      <c r="AK504" s="2206">
        <v>3.6414525656681069E-3</v>
      </c>
      <c r="AM504" s="2206">
        <f t="shared" si="610"/>
        <v>3.1894396862893089E-4</v>
      </c>
    </row>
    <row r="505" spans="1:46" ht="12.75" customHeight="1">
      <c r="A505" s="714"/>
      <c r="B505" s="714"/>
      <c r="C505" s="822" t="s">
        <v>624</v>
      </c>
      <c r="D505" s="850" t="s">
        <v>589</v>
      </c>
      <c r="E505" s="851" t="s">
        <v>1438</v>
      </c>
      <c r="F505" s="852" t="s">
        <v>583</v>
      </c>
      <c r="G505" s="881">
        <f ca="1">+G477/'VVP2'!G$355</f>
        <v>0.19625937333759921</v>
      </c>
      <c r="H505" s="881">
        <f>+H477/'VVP2'!H$355</f>
        <v>0.19766196911769066</v>
      </c>
      <c r="I505" s="881">
        <f>+I477/'VVP2'!I$355</f>
        <v>0.19769375139123246</v>
      </c>
      <c r="J505" s="881">
        <f>+J477/'VVP2'!J$355</f>
        <v>0.19893760746745273</v>
      </c>
      <c r="K505" s="881">
        <f>+K477/'VVP2'!K$355</f>
        <v>0.19792364449321528</v>
      </c>
      <c r="L505" s="881">
        <f>+L477/'VVP2'!L$355</f>
        <v>0.19282206783310488</v>
      </c>
      <c r="M505" s="881">
        <f>+M477/'VVP2'!M$355</f>
        <v>0.19667863608795566</v>
      </c>
      <c r="N505" s="881">
        <f>+N477/'VVP2'!N$355</f>
        <v>0.20027877037108671</v>
      </c>
      <c r="O505" s="881">
        <f>+O477/'VVP2'!O$355</f>
        <v>0.19996638792229596</v>
      </c>
      <c r="P505" s="881">
        <f>+P477/'VVP2'!P$355</f>
        <v>0.19501504465188402</v>
      </c>
      <c r="Q505" s="881">
        <f>+Q477/'VVP2'!Q$355</f>
        <v>0.1915562692788769</v>
      </c>
      <c r="R505" s="881">
        <f>+R477/'VVP2'!R$355</f>
        <v>0.19093399570994005</v>
      </c>
      <c r="S505" s="881">
        <f>+S477/'VVP2'!S$355</f>
        <v>0.19339623599376293</v>
      </c>
      <c r="T505" s="881">
        <f>+T477/'VVP2'!T$355</f>
        <v>0.19837606502066421</v>
      </c>
      <c r="U505" s="881">
        <f>+U477/'VVP2'!U$355</f>
        <v>0.20723542646089485</v>
      </c>
      <c r="V505" s="881">
        <f>+V477/'VVP2'!V$355</f>
        <v>0.20239167023874247</v>
      </c>
      <c r="W505" s="881">
        <f>+W477/'VVP2'!W$355</f>
        <v>0.20173972313306324</v>
      </c>
      <c r="X505" s="881">
        <f>+X477/'VVP2'!X$355</f>
        <v>0.20568820498368906</v>
      </c>
      <c r="Y505" s="881">
        <f>+Y477/'VVP2'!Y$355</f>
        <v>0.20788841713229197</v>
      </c>
      <c r="Z505" s="2205">
        <f>+Z477/'VVP2'!Z$355</f>
        <v>0.20550643261530069</v>
      </c>
      <c r="AA505" s="2205">
        <f>+AA477/'VVP2'!AA$355</f>
        <v>0.20417011016598968</v>
      </c>
      <c r="AB505" s="2205">
        <f>+AB477/'VVP2'!AB$355</f>
        <v>0.19662951094957457</v>
      </c>
      <c r="AC505" s="2205">
        <f>+AC477/'VVP2'!AC$355</f>
        <v>0.19464146453490042</v>
      </c>
      <c r="AD505" s="2205">
        <f ca="1">+AD477/'VVP2'!AD$355</f>
        <v>0.19366596017355273</v>
      </c>
      <c r="AE505" s="2205">
        <f ca="1">+AE477/'VVP2'!AE$355</f>
        <v>0.19297588875060387</v>
      </c>
      <c r="AK505" s="2205">
        <v>0.20365841576085503</v>
      </c>
      <c r="AM505" s="2205">
        <f t="shared" si="610"/>
        <v>1.848016854445661E-3</v>
      </c>
    </row>
    <row r="506" spans="1:46" ht="12.75" customHeight="1">
      <c r="A506" s="714"/>
      <c r="B506" s="714"/>
      <c r="C506" s="822"/>
      <c r="R506" s="883"/>
      <c r="S506" s="2162"/>
      <c r="T506" s="2162"/>
      <c r="U506" s="2162"/>
      <c r="AM506" s="2827">
        <f t="shared" si="610"/>
        <v>0</v>
      </c>
    </row>
    <row r="507" spans="1:46" ht="12.75" customHeight="1">
      <c r="A507" s="714"/>
      <c r="B507" s="714"/>
      <c r="C507" s="822"/>
      <c r="R507" s="883"/>
      <c r="S507" s="2162"/>
      <c r="T507" s="2162"/>
      <c r="U507" s="2162"/>
      <c r="AM507" s="2827">
        <f t="shared" si="610"/>
        <v>0</v>
      </c>
    </row>
    <row r="508" spans="1:46" ht="12.75" customHeight="1" thickBot="1">
      <c r="A508" s="714"/>
      <c r="B508" s="714"/>
      <c r="C508" s="822"/>
      <c r="D508" s="862" t="s">
        <v>591</v>
      </c>
      <c r="E508" s="1093" t="s">
        <v>1417</v>
      </c>
      <c r="F508" s="864"/>
      <c r="G508" s="865">
        <f>+InputY!$G$3</f>
        <v>1995</v>
      </c>
      <c r="H508" s="865">
        <f t="shared" ref="H508:S508" si="687">+G508+1</f>
        <v>1996</v>
      </c>
      <c r="I508" s="865">
        <f t="shared" si="687"/>
        <v>1997</v>
      </c>
      <c r="J508" s="865">
        <f t="shared" si="687"/>
        <v>1998</v>
      </c>
      <c r="K508" s="865">
        <f t="shared" si="687"/>
        <v>1999</v>
      </c>
      <c r="L508" s="865">
        <f t="shared" si="687"/>
        <v>2000</v>
      </c>
      <c r="M508" s="865">
        <f t="shared" si="687"/>
        <v>2001</v>
      </c>
      <c r="N508" s="865">
        <f t="shared" si="687"/>
        <v>2002</v>
      </c>
      <c r="O508" s="865">
        <f t="shared" si="687"/>
        <v>2003</v>
      </c>
      <c r="P508" s="865">
        <f>+O508+1</f>
        <v>2004</v>
      </c>
      <c r="Q508" s="865">
        <f>+P508+1</f>
        <v>2005</v>
      </c>
      <c r="R508" s="865">
        <f>+Q508+1</f>
        <v>2006</v>
      </c>
      <c r="S508" s="2219">
        <f t="shared" si="687"/>
        <v>2007</v>
      </c>
      <c r="T508" s="2219">
        <f t="shared" ref="T508:AE508" si="688">+S508+1</f>
        <v>2008</v>
      </c>
      <c r="U508" s="2219">
        <f t="shared" si="688"/>
        <v>2009</v>
      </c>
      <c r="V508" s="2219">
        <f t="shared" si="688"/>
        <v>2010</v>
      </c>
      <c r="W508" s="2219">
        <f t="shared" si="688"/>
        <v>2011</v>
      </c>
      <c r="X508" s="2219">
        <f t="shared" si="688"/>
        <v>2012</v>
      </c>
      <c r="Y508" s="2219">
        <f t="shared" si="688"/>
        <v>2013</v>
      </c>
      <c r="Z508" s="2219">
        <f t="shared" si="688"/>
        <v>2014</v>
      </c>
      <c r="AA508" s="2219">
        <f t="shared" si="688"/>
        <v>2015</v>
      </c>
      <c r="AB508" s="2219">
        <f t="shared" si="688"/>
        <v>2016</v>
      </c>
      <c r="AC508" s="2219">
        <f t="shared" si="688"/>
        <v>2017</v>
      </c>
      <c r="AD508" s="2219">
        <f t="shared" si="688"/>
        <v>2018</v>
      </c>
      <c r="AE508" s="2219">
        <f t="shared" si="688"/>
        <v>2019</v>
      </c>
      <c r="AK508" s="2219">
        <v>2014</v>
      </c>
      <c r="AM508" s="2219">
        <f t="shared" si="610"/>
        <v>0</v>
      </c>
    </row>
    <row r="509" spans="1:46" s="927" customFormat="1" ht="12.75" customHeight="1" thickBot="1">
      <c r="A509" s="714"/>
      <c r="B509" s="714"/>
      <c r="C509" s="866"/>
      <c r="D509" s="1086"/>
      <c r="E509" s="1087" t="s">
        <v>433</v>
      </c>
      <c r="F509" s="1414">
        <v>1.1000000000000001</v>
      </c>
      <c r="G509" s="1089"/>
      <c r="H509" s="1089">
        <f ca="1">+H485/Labour1!H224</f>
        <v>1.4209750796635474</v>
      </c>
      <c r="I509" s="1089">
        <f>+I485/Labour1!I224</f>
        <v>0.89628523205352384</v>
      </c>
      <c r="J509" s="1089">
        <f>+J485/Labour1!J224</f>
        <v>1.184153266913172</v>
      </c>
      <c r="K509" s="1089">
        <f>+K485/Labour1!K224</f>
        <v>0.68860341584666129</v>
      </c>
      <c r="L509" s="1089">
        <f>+L485/Labour1!L224</f>
        <v>0.65112019190174986</v>
      </c>
      <c r="M509" s="1089">
        <f>+M485/Labour1!M224</f>
        <v>0.82793401863238048</v>
      </c>
      <c r="N509" s="1089">
        <f>+N485/Labour1!N224</f>
        <v>1.3673948746988291</v>
      </c>
      <c r="O509" s="1089">
        <f>+O485/Labour1!O224</f>
        <v>1.1441868357972238</v>
      </c>
      <c r="P509" s="1089">
        <f>+P485/Labour1!P224</f>
        <v>1.1383267503033621</v>
      </c>
      <c r="Q509" s="1089">
        <f>+Q485/Labour1!Q224</f>
        <v>0.7665077107874263</v>
      </c>
      <c r="R509" s="1089">
        <f>+R485/Labour1!R224</f>
        <v>0.96812177501554908</v>
      </c>
      <c r="S509" s="1089">
        <f>+S485/Labour1!S224</f>
        <v>1.1441593120866391</v>
      </c>
      <c r="T509" s="1089">
        <f>+T485/Labour1!T224</f>
        <v>1.0337483864751569</v>
      </c>
      <c r="U509" s="1089">
        <f>+U485/Labour1!U224</f>
        <v>3.5585329675452839</v>
      </c>
      <c r="V509" s="1089">
        <f>+V485/Labour1!V224</f>
        <v>1.2114178577199761</v>
      </c>
      <c r="W509" s="1089">
        <f>+W485/Labour1!W224</f>
        <v>1.1376938510043613</v>
      </c>
      <c r="X509" s="1089">
        <f>+X485/Labour1!X224</f>
        <v>1.1903217822031538</v>
      </c>
      <c r="Y509" s="1089">
        <f>+Y485/Labour1!Y224</f>
        <v>1.2826512351068735</v>
      </c>
      <c r="Z509" s="1089">
        <f>+Z485/Labour1!Z224</f>
        <v>0.93134605112072943</v>
      </c>
      <c r="AA509" s="1089">
        <f>+AA485/Labour1!AA224</f>
        <v>2.124353561473403</v>
      </c>
      <c r="AB509" s="1089">
        <f>+AB485/Labour1!AB224</f>
        <v>-0.48543018555986317</v>
      </c>
      <c r="AC509" s="2221">
        <f>+AC485/Labour1!AC224</f>
        <v>0.85170069792311121</v>
      </c>
      <c r="AD509" s="2221">
        <f>+AD485/Labour1!AD224</f>
        <v>0.84388549463921403</v>
      </c>
      <c r="AE509" s="2221">
        <f>+AE485/Labour1!AE224</f>
        <v>0.93680899210155644</v>
      </c>
      <c r="AF509" s="2831"/>
      <c r="AG509" s="2831"/>
      <c r="AH509" s="2831"/>
      <c r="AI509" s="2831"/>
      <c r="AJ509" s="2831"/>
      <c r="AK509" s="1089">
        <v>1.1734640020922698</v>
      </c>
      <c r="AL509" s="2831"/>
      <c r="AM509" s="1089">
        <f t="shared" si="610"/>
        <v>-0.24211795097154032</v>
      </c>
      <c r="AN509" s="2831"/>
      <c r="AO509" s="2831"/>
      <c r="AP509" s="2831"/>
      <c r="AQ509" s="2831"/>
      <c r="AR509" s="2831"/>
      <c r="AS509" s="2831"/>
      <c r="AT509" s="2831"/>
    </row>
    <row r="510" spans="1:46" s="927" customFormat="1" ht="12.75" customHeight="1">
      <c r="A510" s="714"/>
      <c r="B510" s="714"/>
      <c r="C510" s="870"/>
      <c r="D510" s="850"/>
      <c r="E510" s="851" t="s">
        <v>870</v>
      </c>
      <c r="F510" s="852"/>
      <c r="G510" s="853"/>
      <c r="H510" s="853"/>
      <c r="I510" s="853"/>
      <c r="J510" s="853"/>
      <c r="K510" s="853">
        <f t="shared" ref="K510:S510" ca="1" si="689">AVERAGE(H509:K509)</f>
        <v>1.0475042486192263</v>
      </c>
      <c r="L510" s="853">
        <f t="shared" si="689"/>
        <v>0.85504052667877672</v>
      </c>
      <c r="M510" s="853">
        <f t="shared" si="689"/>
        <v>0.83795272332349091</v>
      </c>
      <c r="N510" s="853">
        <f t="shared" si="689"/>
        <v>0.88376312526990519</v>
      </c>
      <c r="O510" s="853">
        <f t="shared" si="689"/>
        <v>0.99765898025754574</v>
      </c>
      <c r="P510" s="853">
        <f t="shared" si="689"/>
        <v>1.1194606198579489</v>
      </c>
      <c r="Q510" s="853">
        <f t="shared" si="689"/>
        <v>1.1041040428967102</v>
      </c>
      <c r="R510" s="853">
        <f t="shared" si="689"/>
        <v>1.0042857679758903</v>
      </c>
      <c r="S510" s="853">
        <f t="shared" si="689"/>
        <v>1.0042788870482442</v>
      </c>
      <c r="T510" s="853">
        <f t="shared" ref="T510:AE510" si="690">AVERAGE(Q509:T509)</f>
        <v>0.97813429609119285</v>
      </c>
      <c r="U510" s="853">
        <f t="shared" si="690"/>
        <v>1.6761406102806573</v>
      </c>
      <c r="V510" s="853">
        <f>AVERAGE(S509:V509)</f>
        <v>1.7369646309567641</v>
      </c>
      <c r="W510" s="853">
        <f>AVERAGE(T509:W509)</f>
        <v>1.7353482656861945</v>
      </c>
      <c r="X510" s="853">
        <f>AVERAGE(U509:X509)</f>
        <v>1.7744916146181937</v>
      </c>
      <c r="Y510" s="2217">
        <f t="shared" si="690"/>
        <v>1.2055211815085913</v>
      </c>
      <c r="Z510" s="2217">
        <f t="shared" si="690"/>
        <v>1.1355032298587795</v>
      </c>
      <c r="AA510" s="2217">
        <f t="shared" si="690"/>
        <v>1.3821681574760398</v>
      </c>
      <c r="AB510" s="2217">
        <f t="shared" si="690"/>
        <v>0.96323016553528584</v>
      </c>
      <c r="AC510" s="2217">
        <f t="shared" si="690"/>
        <v>0.8554925312393451</v>
      </c>
      <c r="AD510" s="2217">
        <f t="shared" si="690"/>
        <v>0.8336273921189663</v>
      </c>
      <c r="AE510" s="2217">
        <f t="shared" si="690"/>
        <v>0.53674124977600468</v>
      </c>
      <c r="AF510" s="2831"/>
      <c r="AG510" s="2831"/>
      <c r="AH510" s="2831"/>
      <c r="AI510" s="2831"/>
      <c r="AJ510" s="2831"/>
      <c r="AK510" s="2217">
        <v>1.2223795738275729</v>
      </c>
      <c r="AL510" s="2831"/>
      <c r="AM510" s="2217">
        <f t="shared" si="610"/>
        <v>-8.6876343968793401E-2</v>
      </c>
      <c r="AN510" s="2831"/>
      <c r="AO510" s="2831"/>
      <c r="AP510" s="2831"/>
      <c r="AQ510" s="2831"/>
      <c r="AR510" s="2831"/>
      <c r="AS510" s="2831"/>
      <c r="AT510" s="2831"/>
    </row>
    <row r="511" spans="1:46" s="927" customFormat="1" ht="12.75" customHeight="1">
      <c r="A511" s="714"/>
      <c r="B511" s="714"/>
      <c r="C511" s="870"/>
      <c r="D511" s="1082"/>
      <c r="E511" s="1083" t="s">
        <v>1536</v>
      </c>
      <c r="F511" s="1085"/>
      <c r="G511" s="1411">
        <f ca="1">+G473/Labour1!G214</f>
        <v>0.31608981772771799</v>
      </c>
      <c r="H511" s="1411">
        <f>+H473/Labour1!H214</f>
        <v>0.31899870212354675</v>
      </c>
      <c r="I511" s="1411">
        <f>+I473/Labour1!I214</f>
        <v>0.31776047065911767</v>
      </c>
      <c r="J511" s="1411">
        <f>+J473/Labour1!J214</f>
        <v>0.31976967041993221</v>
      </c>
      <c r="K511" s="1411">
        <f>+K473/Labour1!K214</f>
        <v>0.31483981464463517</v>
      </c>
      <c r="L511" s="1411">
        <f>+L473/Labour1!L214</f>
        <v>0.31008999279497423</v>
      </c>
      <c r="M511" s="1411">
        <f>+M473/Labour1!M214</f>
        <v>0.30728077119829689</v>
      </c>
      <c r="N511" s="1411">
        <f>+N473/Labour1!N214</f>
        <v>0.31148549631863742</v>
      </c>
      <c r="O511" s="1411">
        <f>+O473/Labour1!O214</f>
        <v>0.31231602717608598</v>
      </c>
      <c r="P511" s="1411">
        <f>+P473/Labour1!P214</f>
        <v>0.31353446058456413</v>
      </c>
      <c r="Q511" s="1411">
        <f>+Q473/Labour1!Q214</f>
        <v>0.31108242718364032</v>
      </c>
      <c r="R511" s="1411">
        <f>+R473/Labour1!R214</f>
        <v>0.31062531203195209</v>
      </c>
      <c r="S511" s="1411">
        <f>+S473/Labour1!S214</f>
        <v>0.31292008298637258</v>
      </c>
      <c r="T511" s="1411">
        <f>+T473/Labour1!T214</f>
        <v>0.31348055884320197</v>
      </c>
      <c r="U511" s="1411">
        <f>+U473/Labour1!U214</f>
        <v>0.31911561584716458</v>
      </c>
      <c r="V511" s="1411">
        <f>+V473/Labour1!V214</f>
        <v>0.32044327044299753</v>
      </c>
      <c r="W511" s="1411">
        <f>+W473/Labour1!W214</f>
        <v>0.32237675347982347</v>
      </c>
      <c r="X511" s="1411">
        <f>+X473/Labour1!X214</f>
        <v>0.32444334625111254</v>
      </c>
      <c r="Y511" s="2182">
        <f>+Y473/Labour1!Y214</f>
        <v>0.32624137668498859</v>
      </c>
      <c r="Z511" s="2182">
        <f>+Z473/Labour1!Z214</f>
        <v>0.32595947174928741</v>
      </c>
      <c r="AA511" s="2182">
        <f>+AA473/Labour1!AA214</f>
        <v>0.3289619825139512</v>
      </c>
      <c r="AB511" s="2182">
        <f>+AB473/Labour1!AB214</f>
        <v>0.32287982022042122</v>
      </c>
      <c r="AC511" s="2182">
        <f>+AC473/Labour1!AC214</f>
        <v>0.32141569227660099</v>
      </c>
      <c r="AD511" s="2182">
        <f>+AD473/Labour1!AD214</f>
        <v>0.31981432994553449</v>
      </c>
      <c r="AE511" s="2182">
        <f>+AE473/Labour1!AE214</f>
        <v>0.31918707616058645</v>
      </c>
      <c r="AF511" s="2831"/>
      <c r="AG511" s="2831"/>
      <c r="AH511" s="2831"/>
      <c r="AI511" s="2831"/>
      <c r="AJ511" s="2831"/>
      <c r="AK511" s="2182">
        <v>0.32559134200830914</v>
      </c>
      <c r="AL511" s="2831"/>
      <c r="AM511" s="2182">
        <f t="shared" si="610"/>
        <v>3.6812974097827356E-4</v>
      </c>
      <c r="AN511" s="2831"/>
      <c r="AO511" s="2831"/>
      <c r="AP511" s="2831"/>
      <c r="AQ511" s="2831"/>
      <c r="AR511" s="2831"/>
      <c r="AS511" s="2831"/>
      <c r="AT511" s="2831"/>
    </row>
    <row r="512" spans="1:46" s="927" customFormat="1" ht="12.75" customHeight="1">
      <c r="A512" s="714"/>
      <c r="B512" s="714">
        <v>160</v>
      </c>
      <c r="C512" s="871"/>
      <c r="D512" s="1090"/>
      <c r="E512" s="1091" t="s">
        <v>870</v>
      </c>
      <c r="F512" s="1092"/>
      <c r="G512" s="1409"/>
      <c r="H512" s="1410"/>
      <c r="I512" s="1410"/>
      <c r="J512" s="1410">
        <f t="shared" ref="J512:S512" ca="1" si="691">AVERAGE(G511:J511)</f>
        <v>0.31815466523257868</v>
      </c>
      <c r="K512" s="1410">
        <f t="shared" si="691"/>
        <v>0.31784216446180796</v>
      </c>
      <c r="L512" s="1410">
        <f t="shared" si="691"/>
        <v>0.31561498712966485</v>
      </c>
      <c r="M512" s="1410">
        <f t="shared" si="691"/>
        <v>0.31299506226445961</v>
      </c>
      <c r="N512" s="1410">
        <f t="shared" si="691"/>
        <v>0.31092401873913594</v>
      </c>
      <c r="O512" s="1410">
        <f t="shared" si="691"/>
        <v>0.31029307187199862</v>
      </c>
      <c r="P512" s="1410">
        <f t="shared" si="691"/>
        <v>0.3111541888193961</v>
      </c>
      <c r="Q512" s="1410">
        <f t="shared" si="691"/>
        <v>0.31210460281573194</v>
      </c>
      <c r="R512" s="1410">
        <f t="shared" si="691"/>
        <v>0.3118895567440606</v>
      </c>
      <c r="S512" s="1410">
        <f t="shared" si="691"/>
        <v>0.31204057069663227</v>
      </c>
      <c r="T512" s="1410">
        <f t="shared" ref="T512:AE512" si="692">AVERAGE(Q511:T511)</f>
        <v>0.31202709526129174</v>
      </c>
      <c r="U512" s="1410">
        <f t="shared" si="692"/>
        <v>0.31403539242717282</v>
      </c>
      <c r="V512" s="1410">
        <f>AVERAGE(S511:V511)</f>
        <v>0.31648988202993417</v>
      </c>
      <c r="W512" s="1410">
        <f>AVERAGE(T511:W511)</f>
        <v>0.31885404965329689</v>
      </c>
      <c r="X512" s="1410">
        <f>AVERAGE(U511:X511)</f>
        <v>0.32159474650527453</v>
      </c>
      <c r="Y512" s="2222">
        <f t="shared" si="692"/>
        <v>0.32337618671473051</v>
      </c>
      <c r="Z512" s="2222">
        <f t="shared" si="692"/>
        <v>0.32475523704130305</v>
      </c>
      <c r="AA512" s="2222">
        <f t="shared" si="692"/>
        <v>0.32640154429983492</v>
      </c>
      <c r="AB512" s="2222">
        <f t="shared" si="692"/>
        <v>0.32601066279216212</v>
      </c>
      <c r="AC512" s="2222">
        <f t="shared" si="692"/>
        <v>0.32480424169006522</v>
      </c>
      <c r="AD512" s="2222">
        <f t="shared" si="692"/>
        <v>0.32326795623912696</v>
      </c>
      <c r="AE512" s="2222">
        <f t="shared" si="692"/>
        <v>0.32082422965078577</v>
      </c>
      <c r="AF512" s="2831"/>
      <c r="AG512" s="2831"/>
      <c r="AH512" s="2831"/>
      <c r="AI512" s="2831"/>
      <c r="AJ512" s="2831"/>
      <c r="AK512" s="2222">
        <v>0.32344313862162039</v>
      </c>
      <c r="AL512" s="2831"/>
      <c r="AM512" s="2222">
        <f t="shared" si="610"/>
        <v>1.3120984196826613E-3</v>
      </c>
      <c r="AN512" s="2831"/>
      <c r="AO512" s="2831"/>
      <c r="AP512" s="2831"/>
      <c r="AQ512" s="2831"/>
      <c r="AR512" s="2831"/>
      <c r="AS512" s="2831"/>
      <c r="AT512" s="2831"/>
    </row>
    <row r="513" spans="1:46" ht="30" customHeight="1">
      <c r="A513" s="714"/>
      <c r="B513" s="714"/>
      <c r="C513" s="822"/>
      <c r="R513" s="2239"/>
      <c r="S513" s="2239"/>
      <c r="T513" s="2239">
        <v>54746</v>
      </c>
      <c r="U513" s="2239">
        <v>58499</v>
      </c>
      <c r="V513" s="2239">
        <v>60198</v>
      </c>
      <c r="W513" s="2239">
        <v>62664</v>
      </c>
      <c r="X513" s="2239">
        <v>65364</v>
      </c>
      <c r="Y513" s="2239">
        <v>65365</v>
      </c>
      <c r="Z513" s="2239">
        <v>65366</v>
      </c>
      <c r="AA513" s="2239">
        <v>65366</v>
      </c>
      <c r="AB513" s="2239">
        <v>65366</v>
      </c>
      <c r="AC513" s="2239">
        <v>65366</v>
      </c>
      <c r="AD513" s="2239">
        <v>65366</v>
      </c>
      <c r="AE513" s="2239">
        <v>65366</v>
      </c>
      <c r="AK513" s="2239">
        <v>65366</v>
      </c>
      <c r="AM513" s="2239">
        <f t="shared" si="610"/>
        <v>0</v>
      </c>
    </row>
    <row r="514" spans="1:46" ht="30" customHeight="1">
      <c r="S514" s="2162"/>
      <c r="T514" s="2162"/>
      <c r="U514" s="2957">
        <f t="shared" ref="U514:AE514" si="693">U513/T513*100-100</f>
        <v>6.8552953640448493</v>
      </c>
      <c r="V514" s="2957">
        <f t="shared" si="693"/>
        <v>2.9043231508231031</v>
      </c>
      <c r="W514" s="2957">
        <f t="shared" si="693"/>
        <v>4.0964816106847479</v>
      </c>
      <c r="X514" s="2957">
        <f t="shared" si="693"/>
        <v>4.3086939869781702</v>
      </c>
      <c r="Y514" s="2957">
        <f t="shared" si="693"/>
        <v>1.5298941313375281E-3</v>
      </c>
      <c r="Z514" s="2957">
        <f t="shared" si="693"/>
        <v>1.5298707259319144E-3</v>
      </c>
      <c r="AA514" s="2957">
        <f t="shared" si="693"/>
        <v>0</v>
      </c>
      <c r="AB514" s="2957">
        <f t="shared" si="693"/>
        <v>0</v>
      </c>
      <c r="AC514" s="2957">
        <f t="shared" si="693"/>
        <v>0</v>
      </c>
      <c r="AD514" s="2957">
        <f t="shared" si="693"/>
        <v>0</v>
      </c>
      <c r="AE514" s="2957">
        <f t="shared" si="693"/>
        <v>0</v>
      </c>
      <c r="AK514" s="2957">
        <v>1.5298707259319144E-3</v>
      </c>
      <c r="AM514" s="2957">
        <f t="shared" si="610"/>
        <v>0</v>
      </c>
    </row>
    <row r="515" spans="1:46" ht="22.5" customHeight="1">
      <c r="A515" s="603"/>
      <c r="B515" s="603"/>
      <c r="C515" s="4124" t="s">
        <v>1246</v>
      </c>
      <c r="D515" s="4124"/>
      <c r="E515" s="4124"/>
      <c r="F515" s="4124"/>
      <c r="R515" s="2957"/>
      <c r="S515" s="2182"/>
      <c r="T515" s="2182"/>
      <c r="U515" s="2244"/>
      <c r="V515" s="1376"/>
      <c r="W515" s="1469"/>
      <c r="X515" s="1469"/>
      <c r="Y515" s="1469"/>
      <c r="Z515" s="1469"/>
      <c r="AA515" s="1469"/>
      <c r="AB515" s="1469"/>
      <c r="AC515" s="1469"/>
      <c r="AD515" s="1469"/>
      <c r="AE515" s="1469"/>
      <c r="AK515" s="1469"/>
      <c r="AM515" s="1469">
        <f t="shared" si="610"/>
        <v>0</v>
      </c>
    </row>
    <row r="516" spans="1:46" ht="12.75" customHeight="1">
      <c r="A516" s="714"/>
      <c r="B516" s="714"/>
      <c r="C516" s="822"/>
      <c r="S516" s="3016"/>
      <c r="T516" s="3016"/>
      <c r="U516" s="2982"/>
      <c r="V516" s="1376"/>
      <c r="W516" s="1376"/>
      <c r="X516" s="1376"/>
      <c r="Y516" s="1376"/>
      <c r="Z516" s="1376"/>
      <c r="AA516" s="1376"/>
      <c r="AB516" s="1376"/>
      <c r="AC516" s="1376"/>
      <c r="AD516" s="1376"/>
      <c r="AE516" s="1376"/>
      <c r="AK516" s="1376"/>
      <c r="AM516" s="1376">
        <f t="shared" ref="AM516:AM579" si="694">Z516-AK516</f>
        <v>0</v>
      </c>
    </row>
    <row r="517" spans="1:46" ht="12.75" customHeight="1">
      <c r="A517" s="714"/>
      <c r="B517" s="714"/>
      <c r="C517" s="822"/>
      <c r="D517" s="823"/>
      <c r="E517" s="824" t="s">
        <v>1803</v>
      </c>
      <c r="F517" s="825"/>
      <c r="G517" s="826">
        <f>+InputY!$G$3</f>
        <v>1995</v>
      </c>
      <c r="H517" s="826">
        <f>+G517+1</f>
        <v>1996</v>
      </c>
      <c r="I517" s="826">
        <f t="shared" ref="I517:S517" si="695">+H517+1</f>
        <v>1997</v>
      </c>
      <c r="J517" s="826">
        <f t="shared" si="695"/>
        <v>1998</v>
      </c>
      <c r="K517" s="826">
        <f t="shared" si="695"/>
        <v>1999</v>
      </c>
      <c r="L517" s="826">
        <f t="shared" si="695"/>
        <v>2000</v>
      </c>
      <c r="M517" s="826">
        <f t="shared" si="695"/>
        <v>2001</v>
      </c>
      <c r="N517" s="826">
        <f t="shared" si="695"/>
        <v>2002</v>
      </c>
      <c r="O517" s="826">
        <f t="shared" si="695"/>
        <v>2003</v>
      </c>
      <c r="P517" s="826">
        <f>+O517+1</f>
        <v>2004</v>
      </c>
      <c r="Q517" s="826">
        <f>+P517+1</f>
        <v>2005</v>
      </c>
      <c r="R517" s="826">
        <f>+Q517+1</f>
        <v>2006</v>
      </c>
      <c r="S517" s="2163">
        <f t="shared" si="695"/>
        <v>2007</v>
      </c>
      <c r="T517" s="2163">
        <f t="shared" ref="T517:AE517" si="696">+S517+1</f>
        <v>2008</v>
      </c>
      <c r="U517" s="2163">
        <f t="shared" si="696"/>
        <v>2009</v>
      </c>
      <c r="V517" s="2163">
        <f t="shared" si="696"/>
        <v>2010</v>
      </c>
      <c r="W517" s="2163">
        <f t="shared" si="696"/>
        <v>2011</v>
      </c>
      <c r="X517" s="2163">
        <f t="shared" si="696"/>
        <v>2012</v>
      </c>
      <c r="Y517" s="2163">
        <f t="shared" si="696"/>
        <v>2013</v>
      </c>
      <c r="Z517" s="2163">
        <f t="shared" si="696"/>
        <v>2014</v>
      </c>
      <c r="AA517" s="2163">
        <f t="shared" si="696"/>
        <v>2015</v>
      </c>
      <c r="AB517" s="2163">
        <f t="shared" si="696"/>
        <v>2016</v>
      </c>
      <c r="AC517" s="2163">
        <f t="shared" si="696"/>
        <v>2017</v>
      </c>
      <c r="AD517" s="2163">
        <f t="shared" si="696"/>
        <v>2018</v>
      </c>
      <c r="AE517" s="2163">
        <f t="shared" si="696"/>
        <v>2019</v>
      </c>
      <c r="AK517" s="2163">
        <v>2014</v>
      </c>
      <c r="AM517" s="2163">
        <f t="shared" si="694"/>
        <v>0</v>
      </c>
    </row>
    <row r="518" spans="1:46" ht="12.75" customHeight="1">
      <c r="A518" s="714">
        <f>+ROW(InputY!A197)</f>
        <v>197</v>
      </c>
      <c r="B518" s="714" t="s">
        <v>1104</v>
      </c>
      <c r="C518" s="827" t="s">
        <v>622</v>
      </c>
      <c r="D518" s="718" t="s">
        <v>589</v>
      </c>
      <c r="E518" s="750" t="s">
        <v>1439</v>
      </c>
      <c r="F518" s="751" t="str">
        <f>+InputY!B197</f>
        <v>$HTaxSoc(2)</v>
      </c>
      <c r="G518" s="828">
        <f ca="1">+InputY!G197/1000</f>
        <v>0.1024</v>
      </c>
      <c r="H518" s="828">
        <f>+InputY!H197/1000</f>
        <v>0.1056</v>
      </c>
      <c r="I518" s="828">
        <f>+InputY!I197/1000</f>
        <v>0.1067</v>
      </c>
      <c r="J518" s="828">
        <f>+InputY!J197/1000</f>
        <v>0.108</v>
      </c>
      <c r="K518" s="828">
        <f>+InputY!K197/1000</f>
        <v>0.1135</v>
      </c>
      <c r="L518" s="828">
        <f>+InputY!L197/1000</f>
        <v>0.11940000000000001</v>
      </c>
      <c r="M518" s="828">
        <f>+InputY!M197/1000</f>
        <v>0.12520000000000001</v>
      </c>
      <c r="N518" s="828">
        <f>+InputY!N197/1000</f>
        <v>0.13219999999999998</v>
      </c>
      <c r="O518" s="828">
        <f>+InputY!O197/1000</f>
        <v>0.13200000000000001</v>
      </c>
      <c r="P518" s="828">
        <f>+InputY!P197/1000</f>
        <v>0.1361</v>
      </c>
      <c r="Q518" s="828">
        <f>+InputY!Q197/1000</f>
        <v>0.14630000000000001</v>
      </c>
      <c r="R518" s="2847">
        <f>+InputY!R197/1000</f>
        <v>0.15609999999999999</v>
      </c>
      <c r="S518" s="2847">
        <f>+InputY!S197/1000</f>
        <v>0.16059999999999999</v>
      </c>
      <c r="T518" s="2847">
        <f>+InputY!T197/1000</f>
        <v>0.1709</v>
      </c>
      <c r="U518" s="2847">
        <f>+InputY!U197/1000</f>
        <v>0.13469999999999999</v>
      </c>
      <c r="V518" s="2847">
        <f>+InputY!V197/1000</f>
        <v>0.1348</v>
      </c>
      <c r="W518" s="2847">
        <f>+InputY!W197/1000</f>
        <v>0.1411</v>
      </c>
      <c r="X518" s="2847">
        <f>+InputY!X197/1000</f>
        <v>0.14230000000000001</v>
      </c>
      <c r="Y518" s="2847">
        <f>+InputY!Y197/1000</f>
        <v>0.1492</v>
      </c>
      <c r="Z518" s="2847">
        <f>+InputY!Z197/1000</f>
        <v>0.14809999999999998</v>
      </c>
      <c r="AA518" s="2847">
        <f>+InputY!AA197/1000</f>
        <v>0.1416</v>
      </c>
      <c r="AB518" s="2847">
        <f>+InputY!AB197/1000</f>
        <v>0.13669999999999999</v>
      </c>
      <c r="AC518" s="2848">
        <f t="shared" ref="AC518:AE519" si="697">+AB518*(1+AC526/100)</f>
        <v>0.14074632000000001</v>
      </c>
      <c r="AD518" s="2848">
        <f t="shared" si="697"/>
        <v>0.14487018717600003</v>
      </c>
      <c r="AE518" s="2848">
        <f t="shared" si="697"/>
        <v>0.15094024801867445</v>
      </c>
      <c r="AK518" s="2847">
        <v>0.20413197560498775</v>
      </c>
      <c r="AM518" s="2847">
        <f t="shared" si="694"/>
        <v>-5.6031975604987766E-2</v>
      </c>
    </row>
    <row r="519" spans="1:46" ht="12.75" customHeight="1">
      <c r="A519" s="714">
        <f>+ROW(InputY!A121)</f>
        <v>121</v>
      </c>
      <c r="B519" s="714" t="s">
        <v>1105</v>
      </c>
      <c r="C519" s="829" t="s">
        <v>622</v>
      </c>
      <c r="D519" s="724" t="s">
        <v>590</v>
      </c>
      <c r="E519" s="830" t="s">
        <v>1439</v>
      </c>
      <c r="F519" s="754" t="str">
        <f>+InputY!B121</f>
        <v>$ETSoc</v>
      </c>
      <c r="G519" s="756">
        <f ca="1">+InputY!G121/1000</f>
        <v>6.7646999999999995</v>
      </c>
      <c r="H519" s="756">
        <f>+InputY!H121/1000</f>
        <v>6.7424999999999997</v>
      </c>
      <c r="I519" s="756">
        <f>+InputY!I121/1000</f>
        <v>7.1728000000000005</v>
      </c>
      <c r="J519" s="756">
        <f>+InputY!J121/1000</f>
        <v>7.6583999999999994</v>
      </c>
      <c r="K519" s="756">
        <f>+InputY!K121/1000</f>
        <v>7.9091000000000005</v>
      </c>
      <c r="L519" s="756">
        <f>+InputY!L121/1000</f>
        <v>8.1843000000000004</v>
      </c>
      <c r="M519" s="756">
        <f>+InputY!M121/1000</f>
        <v>8.7964000000000002</v>
      </c>
      <c r="N519" s="756">
        <f>+InputY!N121/1000</f>
        <v>9.3657000000000004</v>
      </c>
      <c r="O519" s="756">
        <f>+InputY!O121/1000</f>
        <v>9.5960000000000001</v>
      </c>
      <c r="P519" s="756">
        <f>+InputY!P121/1000</f>
        <v>9.6895000000000007</v>
      </c>
      <c r="Q519" s="756">
        <f>+InputY!Q121/1000</f>
        <v>9.7207000000000008</v>
      </c>
      <c r="R519" s="1469">
        <f>+InputY!R121/1000</f>
        <v>10.0679</v>
      </c>
      <c r="S519" s="1469">
        <f>+InputY!S121/1000</f>
        <v>10.177700000000002</v>
      </c>
      <c r="T519" s="1469">
        <f>+InputY!T121/1000</f>
        <v>10.2012</v>
      </c>
      <c r="U519" s="1469">
        <f>+InputY!U121/1000</f>
        <v>10.8371</v>
      </c>
      <c r="V519" s="1469">
        <f>+InputY!V121/1000</f>
        <v>10.260399999999999</v>
      </c>
      <c r="W519" s="1469">
        <f>+InputY!W121/1000</f>
        <v>10.1821</v>
      </c>
      <c r="X519" s="1469">
        <f>+InputY!X121/1000</f>
        <v>10.8271</v>
      </c>
      <c r="Y519" s="1469">
        <f>+InputY!Y121/1000</f>
        <v>11.136899999999999</v>
      </c>
      <c r="Z519" s="1469">
        <f>+InputY!Z121/1000</f>
        <v>11.0589</v>
      </c>
      <c r="AA519" s="1469">
        <f>+InputY!AA121/1000</f>
        <v>11.359299999999999</v>
      </c>
      <c r="AB519" s="1469">
        <f>+InputY!AB121/1000</f>
        <v>11.1334</v>
      </c>
      <c r="AC519" s="2240">
        <f t="shared" si="697"/>
        <v>11.46294864</v>
      </c>
      <c r="AD519" s="2240">
        <f t="shared" si="697"/>
        <v>11.798813035152001</v>
      </c>
      <c r="AE519" s="2240">
        <f t="shared" si="697"/>
        <v>12.29318330132487</v>
      </c>
      <c r="AK519" s="1469">
        <v>11.277705651746354</v>
      </c>
      <c r="AM519" s="1469">
        <f t="shared" si="694"/>
        <v>-0.21880565174635436</v>
      </c>
    </row>
    <row r="520" spans="1:46" ht="12.75" customHeight="1">
      <c r="A520" s="714">
        <f>+ROW(InputY!A158)</f>
        <v>158</v>
      </c>
      <c r="B520" s="714">
        <v>121</v>
      </c>
      <c r="C520" s="829" t="s">
        <v>622</v>
      </c>
      <c r="D520" s="724" t="s">
        <v>591</v>
      </c>
      <c r="E520" s="830" t="s">
        <v>1439</v>
      </c>
      <c r="F520" s="754" t="str">
        <f>+InputY!B158</f>
        <v>$ATToH</v>
      </c>
      <c r="G520" s="756">
        <f>+InputY!G158/1000</f>
        <v>32.936099999999996</v>
      </c>
      <c r="H520" s="756">
        <f>+InputY!H158/1000</f>
        <v>33.900300000000001</v>
      </c>
      <c r="I520" s="756">
        <f>+InputY!I158/1000</f>
        <v>34.947400000000002</v>
      </c>
      <c r="J520" s="756">
        <f>+InputY!J158/1000</f>
        <v>35.640800000000006</v>
      </c>
      <c r="K520" s="756">
        <f>+InputY!K158/1000</f>
        <v>36.285199999999996</v>
      </c>
      <c r="L520" s="756">
        <f>+InputY!L158/1000</f>
        <v>37.241599999999998</v>
      </c>
      <c r="M520" s="756">
        <f>+InputY!M158/1000</f>
        <v>38.791899999999998</v>
      </c>
      <c r="N520" s="756">
        <f>+InputY!N158/1000</f>
        <v>41.471599999999995</v>
      </c>
      <c r="O520" s="756">
        <f>+InputY!O158/1000</f>
        <v>43.290599999999998</v>
      </c>
      <c r="P520" s="756">
        <f>+InputY!P158/1000</f>
        <v>45.0214</v>
      </c>
      <c r="Q520" s="756">
        <f>+InputY!Q158/1000</f>
        <v>46.677500000000002</v>
      </c>
      <c r="R520" s="1469">
        <f>+InputY!R158/1000</f>
        <v>48.273800000000001</v>
      </c>
      <c r="S520" s="1469">
        <f>+InputY!S158/1000</f>
        <v>50.788599999999995</v>
      </c>
      <c r="T520" s="1469">
        <f>+InputY!T158/1000</f>
        <v>54.066300000000005</v>
      </c>
      <c r="U520" s="1469">
        <f>+InputY!U158/1000</f>
        <v>58.194499999999998</v>
      </c>
      <c r="V520" s="1469">
        <f>+InputY!V158/1000</f>
        <v>59.719000000000001</v>
      </c>
      <c r="W520" s="1469">
        <f>+InputY!W158/1000</f>
        <v>62.197600000000001</v>
      </c>
      <c r="X520" s="1469">
        <f>+InputY!X158/1000</f>
        <v>65.408000000000001</v>
      </c>
      <c r="Y520" s="1469">
        <f>+InputY!Y158/1000</f>
        <v>68.186899999999994</v>
      </c>
      <c r="Z520" s="1469">
        <f>+InputY!Z158/1000</f>
        <v>69.181899999999999</v>
      </c>
      <c r="AA520" s="1469">
        <f>+InputY!AA158/1000</f>
        <v>70.655699999999996</v>
      </c>
      <c r="AB520" s="1469">
        <f>+InputY!AB158/1000</f>
        <v>72.838100000000011</v>
      </c>
      <c r="AC520" s="1469">
        <f>+InputY!AC158/1000</f>
        <v>75.218399999999988</v>
      </c>
      <c r="AD520" s="2240">
        <f t="shared" ref="AC520:AE521" si="698">+AC520*(1+AD528/100)</f>
        <v>77.422299119999991</v>
      </c>
      <c r="AE520" s="2240">
        <f t="shared" si="698"/>
        <v>80.666293453127992</v>
      </c>
      <c r="AK520" s="1469">
        <v>69.331800000000001</v>
      </c>
      <c r="AM520" s="1469">
        <f t="shared" si="694"/>
        <v>-0.14990000000000236</v>
      </c>
    </row>
    <row r="521" spans="1:46" ht="12.75" customHeight="1">
      <c r="A521" s="1869">
        <f>ROW(InputY!A252)</f>
        <v>252</v>
      </c>
      <c r="B521" s="714" t="s">
        <v>897</v>
      </c>
      <c r="C521" s="829" t="s">
        <v>2133</v>
      </c>
      <c r="D521" s="724" t="s">
        <v>592</v>
      </c>
      <c r="E521" s="830" t="s">
        <v>1246</v>
      </c>
      <c r="F521" s="754" t="s">
        <v>742</v>
      </c>
      <c r="G521" s="756">
        <f>+InputY!G252/1000</f>
        <v>0.15909999999999996</v>
      </c>
      <c r="H521" s="756">
        <f>+InputY!H252/1000</f>
        <v>0.15680000000000002</v>
      </c>
      <c r="I521" s="756">
        <f>+InputY!I252/1000</f>
        <v>0.15619999999999998</v>
      </c>
      <c r="J521" s="756">
        <f>+InputY!J252/1000</f>
        <v>0.13439999999999996</v>
      </c>
      <c r="K521" s="756">
        <f>+InputY!K252/1000</f>
        <v>0.11639999999999998</v>
      </c>
      <c r="L521" s="756">
        <f>+InputY!L252/1000</f>
        <v>6.9000000000000006E-2</v>
      </c>
      <c r="M521" s="756">
        <f>+InputY!M252/1000</f>
        <v>-6.4000000000000341E-3</v>
      </c>
      <c r="N521" s="756">
        <f>+InputY!N252/1000</f>
        <v>0.23939999999999997</v>
      </c>
      <c r="O521" s="756">
        <f>+InputY!O252/1000</f>
        <v>0.17590000000000003</v>
      </c>
      <c r="P521" s="756">
        <f>+InputY!P252/1000</f>
        <v>0.15639999999999998</v>
      </c>
      <c r="Q521" s="756">
        <f>+InputY!Q252/1000</f>
        <v>0.15649999999999994</v>
      </c>
      <c r="R521" s="1469">
        <f>+InputY!R252/1000</f>
        <v>0.13420000000000004</v>
      </c>
      <c r="S521" s="1376">
        <f>+InputY!S252/1000</f>
        <v>0.11320000000000005</v>
      </c>
      <c r="T521" s="1376">
        <f>+InputY!T252/1000</f>
        <v>0.15570000000000003</v>
      </c>
      <c r="U521" s="1376">
        <f>+InputY!U252/1000</f>
        <v>0.19910000000000003</v>
      </c>
      <c r="V521" s="1376">
        <f>+InputY!V252/1000</f>
        <v>0.14229999999999995</v>
      </c>
      <c r="W521" s="1376">
        <f>+InputY!W252/1000</f>
        <v>0.14029999999999995</v>
      </c>
      <c r="X521" s="1376">
        <f>+InputY!X252/1000</f>
        <v>0.15770000000000003</v>
      </c>
      <c r="Y521" s="1376">
        <f>+InputY!Y252/1000</f>
        <v>0.31729999999999997</v>
      </c>
      <c r="Z521" s="1376">
        <f>+InputY!Z252/1000</f>
        <v>0.31179999999999997</v>
      </c>
      <c r="AA521" s="1376">
        <f>+InputY!AA252/1000</f>
        <v>0.30610000000000004</v>
      </c>
      <c r="AB521" s="1376">
        <f>+InputY!AB252/1000</f>
        <v>0.29239999999999999</v>
      </c>
      <c r="AC521" s="2240">
        <f t="shared" si="698"/>
        <v>0.32164000000000004</v>
      </c>
      <c r="AD521" s="2240">
        <f t="shared" si="698"/>
        <v>0.35380400000000006</v>
      </c>
      <c r="AE521" s="2240">
        <f t="shared" si="698"/>
        <v>0.40687460000000003</v>
      </c>
      <c r="AK521" s="1376">
        <v>0.16675699999999999</v>
      </c>
      <c r="AM521" s="1376">
        <f t="shared" si="694"/>
        <v>0.14504299999999998</v>
      </c>
    </row>
    <row r="522" spans="1:46" ht="12.75" customHeight="1">
      <c r="A522" s="714">
        <f>+ROW(InputY!A195)</f>
        <v>195</v>
      </c>
      <c r="B522" s="714" t="s">
        <v>269</v>
      </c>
      <c r="C522" s="831" t="s">
        <v>624</v>
      </c>
      <c r="D522" s="800" t="s">
        <v>589</v>
      </c>
      <c r="E522" s="801" t="s">
        <v>1480</v>
      </c>
      <c r="F522" s="802" t="str">
        <f>+InputY!B195</f>
        <v>YHTSoc(2)</v>
      </c>
      <c r="G522" s="832">
        <f ca="1">+InputY!G195/1000</f>
        <v>39.646599999999999</v>
      </c>
      <c r="H522" s="832">
        <f>+InputY!H195/1000</f>
        <v>40.5916</v>
      </c>
      <c r="I522" s="832">
        <f>+InputY!I195/1000</f>
        <v>42.070699999999995</v>
      </c>
      <c r="J522" s="832">
        <f>+InputY!J195/1000</f>
        <v>43.272800000000004</v>
      </c>
      <c r="K522" s="832">
        <f>+InputY!K195/1000</f>
        <v>44.191400000000002</v>
      </c>
      <c r="L522" s="832">
        <f>+InputY!L195/1000</f>
        <v>45.476300000000002</v>
      </c>
      <c r="M522" s="832">
        <f>+InputY!M195/1000</f>
        <v>47.719900000000003</v>
      </c>
      <c r="N522" s="832">
        <f>+InputY!N195/1000</f>
        <v>50.7301</v>
      </c>
      <c r="O522" s="832">
        <f>+InputY!O195/1000</f>
        <v>52.842699999999994</v>
      </c>
      <c r="P522" s="832">
        <f>+InputY!P195/1000</f>
        <v>54.690599999999996</v>
      </c>
      <c r="Q522" s="832">
        <f>+InputY!Q195/1000</f>
        <v>56.387999999999998</v>
      </c>
      <c r="R522" s="2849">
        <f>+InputY!R195/1000</f>
        <v>58.363599999999998</v>
      </c>
      <c r="S522" s="2849">
        <f>+InputY!S195/1000</f>
        <v>61.0137</v>
      </c>
      <c r="T522" s="2849">
        <f>+InputY!T195/1000</f>
        <v>64.282699999999991</v>
      </c>
      <c r="U522" s="2849">
        <f>+InputY!U195/1000</f>
        <v>68.967199999999991</v>
      </c>
      <c r="V522" s="2849">
        <f>+InputY!V195/1000</f>
        <v>69.971899999999991</v>
      </c>
      <c r="W522" s="2849">
        <f>+InputY!W195/1000</f>
        <v>72.380399999999995</v>
      </c>
      <c r="X522" s="2849">
        <f>+InputY!X195/1000</f>
        <v>76.219700000000003</v>
      </c>
      <c r="Y522" s="2849">
        <f>+InputY!Y195/1000</f>
        <v>79.155699999999996</v>
      </c>
      <c r="Z522" s="2849">
        <f>+InputY!Z195/1000</f>
        <v>80.077100000000002</v>
      </c>
      <c r="AA522" s="2849">
        <f>+InputY!AA195/1000</f>
        <v>81.846600000000009</v>
      </c>
      <c r="AB522" s="2849">
        <f>+InputY!AB195/1000</f>
        <v>83.7654</v>
      </c>
      <c r="AC522" s="2848">
        <f>+AC518+AC519+AC520-AC521</f>
        <v>86.500454959999985</v>
      </c>
      <c r="AD522" s="2848">
        <f>+AD518+AD519+AD520-AD521</f>
        <v>89.012178342327999</v>
      </c>
      <c r="AE522" s="2848">
        <f>+AE518+AE519+AE520-AE521</f>
        <v>92.703542402471541</v>
      </c>
      <c r="AK522" s="2849">
        <v>80.646880627351337</v>
      </c>
      <c r="AM522" s="2849">
        <f t="shared" si="694"/>
        <v>-0.56978062735133506</v>
      </c>
    </row>
    <row r="523" spans="1:46" s="1881" customFormat="1" ht="12.75" customHeight="1">
      <c r="A523" s="1039"/>
      <c r="B523" s="1039"/>
      <c r="C523" s="1501"/>
      <c r="D523" s="1054"/>
      <c r="E523" s="1882" t="s">
        <v>474</v>
      </c>
      <c r="F523" s="1883"/>
      <c r="G523" s="1043">
        <f t="shared" ref="G523:X523" ca="1" si="699">ABS(+G518+G519+G520-G521-G522)</f>
        <v>2.5000000000048317E-3</v>
      </c>
      <c r="H523" s="1043">
        <f t="shared" si="699"/>
        <v>7.1054273576010019E-15</v>
      </c>
      <c r="I523" s="1043">
        <f t="shared" si="699"/>
        <v>7.1054273576010019E-15</v>
      </c>
      <c r="J523" s="1043">
        <f t="shared" si="699"/>
        <v>0</v>
      </c>
      <c r="K523" s="1043">
        <f t="shared" si="699"/>
        <v>0</v>
      </c>
      <c r="L523" s="1043">
        <f t="shared" si="699"/>
        <v>7.1054273576010019E-15</v>
      </c>
      <c r="M523" s="1043">
        <f t="shared" si="699"/>
        <v>7.1054273576010019E-15</v>
      </c>
      <c r="N523" s="1043">
        <f t="shared" si="699"/>
        <v>7.1054273576010019E-15</v>
      </c>
      <c r="O523" s="1043">
        <f t="shared" si="699"/>
        <v>7.1054273576010019E-15</v>
      </c>
      <c r="P523" s="1043">
        <f t="shared" si="699"/>
        <v>7.1054273576010019E-15</v>
      </c>
      <c r="Q523" s="1043">
        <f t="shared" si="699"/>
        <v>0</v>
      </c>
      <c r="R523" s="1043">
        <f t="shared" si="699"/>
        <v>0</v>
      </c>
      <c r="S523" s="2881">
        <f t="shared" si="699"/>
        <v>0</v>
      </c>
      <c r="T523" s="2881">
        <f t="shared" si="699"/>
        <v>1.4210854715202004E-14</v>
      </c>
      <c r="U523" s="2881">
        <f t="shared" si="699"/>
        <v>0</v>
      </c>
      <c r="V523" s="2881">
        <f t="shared" si="699"/>
        <v>0</v>
      </c>
      <c r="W523" s="2881">
        <f t="shared" si="699"/>
        <v>1.0000000001753051E-4</v>
      </c>
      <c r="X523" s="2881">
        <f t="shared" si="699"/>
        <v>1.4210854715202004E-14</v>
      </c>
      <c r="Y523" s="2881">
        <f t="shared" ref="Y523" si="700">ABS(+Y518+Y519+Y520-Y521-Y522)</f>
        <v>0</v>
      </c>
      <c r="Z523" s="2881">
        <f t="shared" ref="Z523" si="701">ABS(+Z518+Z519+Z520-Z521-Z522)</f>
        <v>1.4210854715202004E-14</v>
      </c>
      <c r="AA523" s="2881">
        <f>ABS(+AA518+AA519+AA520-AA521-AA522)</f>
        <v>3.899999999987358E-3</v>
      </c>
      <c r="AB523" s="2881">
        <f>ABS(+AB518+AB519+AB520-AB521-AB522)</f>
        <v>5.0400000000010436E-2</v>
      </c>
      <c r="AC523" s="2881">
        <f>ABS(+AC518+AC519+AC520-AC521-AC522)</f>
        <v>0</v>
      </c>
      <c r="AD523" s="2881">
        <f>ABS(+AD518+AD519+AD520-AD521-AD522)</f>
        <v>0</v>
      </c>
      <c r="AE523" s="2881">
        <f>ABS(+AE518+AE519+AE520-AE521-AE522)</f>
        <v>0</v>
      </c>
      <c r="AF523" s="2829"/>
      <c r="AG523" s="2829"/>
      <c r="AH523" s="2829"/>
      <c r="AI523" s="2829"/>
      <c r="AJ523" s="2829"/>
      <c r="AK523" s="2881">
        <v>0</v>
      </c>
      <c r="AL523" s="2829"/>
      <c r="AM523" s="2881">
        <f t="shared" si="694"/>
        <v>1.4210854715202004E-14</v>
      </c>
      <c r="AN523" s="2829"/>
      <c r="AO523" s="2829"/>
      <c r="AP523" s="2829"/>
      <c r="AQ523" s="2829"/>
      <c r="AR523" s="2829"/>
      <c r="AS523" s="2829"/>
      <c r="AT523" s="2829"/>
    </row>
    <row r="524" spans="1:46">
      <c r="A524" s="714"/>
      <c r="B524" s="714"/>
      <c r="Q524" s="885"/>
      <c r="R524" s="885"/>
      <c r="S524" s="2162"/>
      <c r="T524" s="2845"/>
      <c r="U524" s="2845"/>
      <c r="V524" s="2845"/>
      <c r="W524" s="2845"/>
      <c r="X524" s="2845"/>
      <c r="Y524" s="2845"/>
      <c r="Z524" s="2845"/>
      <c r="AA524" s="2845"/>
      <c r="AB524" s="2845"/>
      <c r="AC524" s="2845"/>
      <c r="AD524" s="2845"/>
      <c r="AE524" s="2845"/>
      <c r="AK524" s="2845"/>
      <c r="AM524" s="2845">
        <f t="shared" si="694"/>
        <v>0</v>
      </c>
    </row>
    <row r="525" spans="1:46" ht="12.75" customHeight="1">
      <c r="A525" s="714"/>
      <c r="B525" s="714"/>
      <c r="C525" s="822"/>
      <c r="D525" s="790"/>
      <c r="E525" s="791" t="s">
        <v>1804</v>
      </c>
      <c r="F525" s="792"/>
      <c r="G525" s="793">
        <f>+InputY!$G$3</f>
        <v>1995</v>
      </c>
      <c r="H525" s="793">
        <f>+G525+1</f>
        <v>1996</v>
      </c>
      <c r="I525" s="793">
        <f t="shared" ref="I525:S525" si="702">+H525+1</f>
        <v>1997</v>
      </c>
      <c r="J525" s="793">
        <f t="shared" si="702"/>
        <v>1998</v>
      </c>
      <c r="K525" s="793">
        <f t="shared" si="702"/>
        <v>1999</v>
      </c>
      <c r="L525" s="793">
        <f t="shared" si="702"/>
        <v>2000</v>
      </c>
      <c r="M525" s="793">
        <f t="shared" si="702"/>
        <v>2001</v>
      </c>
      <c r="N525" s="793">
        <f t="shared" si="702"/>
        <v>2002</v>
      </c>
      <c r="O525" s="793">
        <f t="shared" si="702"/>
        <v>2003</v>
      </c>
      <c r="P525" s="793">
        <f>+O525+1</f>
        <v>2004</v>
      </c>
      <c r="Q525" s="793">
        <f>+P525+1</f>
        <v>2005</v>
      </c>
      <c r="R525" s="793">
        <f>+Q525+1</f>
        <v>2006</v>
      </c>
      <c r="S525" s="2126">
        <f t="shared" si="702"/>
        <v>2007</v>
      </c>
      <c r="T525" s="2126">
        <f t="shared" ref="T525:AE525" si="703">+S525+1</f>
        <v>2008</v>
      </c>
      <c r="U525" s="2126">
        <f t="shared" si="703"/>
        <v>2009</v>
      </c>
      <c r="V525" s="2126">
        <f t="shared" si="703"/>
        <v>2010</v>
      </c>
      <c r="W525" s="2126">
        <f t="shared" si="703"/>
        <v>2011</v>
      </c>
      <c r="X525" s="2126">
        <f t="shared" si="703"/>
        <v>2012</v>
      </c>
      <c r="Y525" s="2126">
        <f t="shared" si="703"/>
        <v>2013</v>
      </c>
      <c r="Z525" s="2126">
        <f t="shared" si="703"/>
        <v>2014</v>
      </c>
      <c r="AA525" s="2126">
        <f t="shared" si="703"/>
        <v>2015</v>
      </c>
      <c r="AB525" s="2126">
        <f t="shared" si="703"/>
        <v>2016</v>
      </c>
      <c r="AC525" s="2126">
        <f t="shared" si="703"/>
        <v>2017</v>
      </c>
      <c r="AD525" s="2126">
        <f t="shared" si="703"/>
        <v>2018</v>
      </c>
      <c r="AE525" s="2126">
        <f t="shared" si="703"/>
        <v>2019</v>
      </c>
      <c r="AK525" s="2126">
        <v>2014</v>
      </c>
      <c r="AM525" s="2126">
        <f t="shared" si="694"/>
        <v>0</v>
      </c>
    </row>
    <row r="526" spans="1:46" ht="12.75" customHeight="1">
      <c r="A526" s="714"/>
      <c r="B526" s="714"/>
      <c r="C526" s="839" t="s">
        <v>622</v>
      </c>
      <c r="D526" s="739" t="s">
        <v>589</v>
      </c>
      <c r="E526" s="787" t="s">
        <v>1439</v>
      </c>
      <c r="F526" s="782" t="s">
        <v>584</v>
      </c>
      <c r="G526" s="788"/>
      <c r="H526" s="788">
        <f t="shared" ref="H526:AB526" ca="1" si="704">(H518/G518-1)*100</f>
        <v>3.125</v>
      </c>
      <c r="I526" s="788">
        <f t="shared" si="704"/>
        <v>1.0416666666666741</v>
      </c>
      <c r="J526" s="788">
        <f t="shared" si="704"/>
        <v>1.2183692596063667</v>
      </c>
      <c r="K526" s="788">
        <f t="shared" si="704"/>
        <v>5.0925925925926041</v>
      </c>
      <c r="L526" s="788">
        <f t="shared" si="704"/>
        <v>5.1982378854625644</v>
      </c>
      <c r="M526" s="788">
        <f t="shared" si="704"/>
        <v>4.8576214405360085</v>
      </c>
      <c r="N526" s="788">
        <f t="shared" si="704"/>
        <v>5.5910543130990309</v>
      </c>
      <c r="O526" s="788">
        <f t="shared" si="704"/>
        <v>-0.15128593040845129</v>
      </c>
      <c r="P526" s="788">
        <f t="shared" si="704"/>
        <v>3.1060606060606011</v>
      </c>
      <c r="Q526" s="788">
        <f t="shared" si="704"/>
        <v>7.4944893460690887</v>
      </c>
      <c r="R526" s="788">
        <f t="shared" si="704"/>
        <v>6.698564593301426</v>
      </c>
      <c r="S526" s="788">
        <f t="shared" si="704"/>
        <v>2.8827674567584838</v>
      </c>
      <c r="T526" s="788">
        <f t="shared" si="704"/>
        <v>6.4134495641344991</v>
      </c>
      <c r="U526" s="788">
        <f t="shared" si="704"/>
        <v>-21.181977764774729</v>
      </c>
      <c r="V526" s="788">
        <f t="shared" si="704"/>
        <v>7.423904974017681E-2</v>
      </c>
      <c r="W526" s="788">
        <f t="shared" si="704"/>
        <v>4.6735905044510417</v>
      </c>
      <c r="X526" s="788">
        <f t="shared" si="704"/>
        <v>0.85046066619418603</v>
      </c>
      <c r="Y526" s="788">
        <f t="shared" si="704"/>
        <v>4.8489107519325225</v>
      </c>
      <c r="Z526" s="788">
        <f t="shared" si="704"/>
        <v>-0.737265415549615</v>
      </c>
      <c r="AA526" s="788">
        <f t="shared" si="704"/>
        <v>-4.3889264010803402</v>
      </c>
      <c r="AB526" s="788">
        <f t="shared" si="704"/>
        <v>-3.4604519774011355</v>
      </c>
      <c r="AC526" s="4067">
        <v>2.96</v>
      </c>
      <c r="AD526" s="4069">
        <v>2.93</v>
      </c>
      <c r="AE526" s="4067">
        <v>4.1900000000000004</v>
      </c>
      <c r="AK526" s="788">
        <v>1.9131181253059237</v>
      </c>
      <c r="AM526" s="788">
        <f t="shared" si="694"/>
        <v>-2.6503835408555387</v>
      </c>
    </row>
    <row r="527" spans="1:46" ht="12.75" customHeight="1">
      <c r="A527" s="714"/>
      <c r="B527" s="714"/>
      <c r="C527" s="840" t="s">
        <v>622</v>
      </c>
      <c r="D527" s="724" t="s">
        <v>590</v>
      </c>
      <c r="E527" s="830" t="s">
        <v>1439</v>
      </c>
      <c r="F527" s="754" t="s">
        <v>1761</v>
      </c>
      <c r="G527" s="756"/>
      <c r="H527" s="756">
        <f t="shared" ref="H527:AB527" ca="1" si="705">(H519/G519-1)*100</f>
        <v>-0.32817419841234541</v>
      </c>
      <c r="I527" s="756">
        <f t="shared" si="705"/>
        <v>6.3819058212829294</v>
      </c>
      <c r="J527" s="756">
        <f t="shared" si="705"/>
        <v>6.7700200758420648</v>
      </c>
      <c r="K527" s="756">
        <f t="shared" si="705"/>
        <v>3.2735297190013668</v>
      </c>
      <c r="L527" s="756">
        <f t="shared" si="705"/>
        <v>3.4795362304181232</v>
      </c>
      <c r="M527" s="756">
        <f t="shared" si="705"/>
        <v>7.4789536062949802</v>
      </c>
      <c r="N527" s="756">
        <f t="shared" si="705"/>
        <v>6.4719658041926253</v>
      </c>
      <c r="O527" s="756">
        <f t="shared" si="705"/>
        <v>2.4589726341864404</v>
      </c>
      <c r="P527" s="756">
        <f t="shared" si="705"/>
        <v>0.97436431846602556</v>
      </c>
      <c r="Q527" s="756">
        <f t="shared" si="705"/>
        <v>0.32199803911450164</v>
      </c>
      <c r="R527" s="756">
        <f t="shared" si="705"/>
        <v>3.5717592354459926</v>
      </c>
      <c r="S527" s="756">
        <f t="shared" si="705"/>
        <v>1.0905948608945337</v>
      </c>
      <c r="T527" s="756">
        <f t="shared" si="705"/>
        <v>0.23089696100295765</v>
      </c>
      <c r="U527" s="756">
        <f t="shared" si="705"/>
        <v>6.2335803630945374</v>
      </c>
      <c r="V527" s="756">
        <f t="shared" si="705"/>
        <v>-5.3215343588229436</v>
      </c>
      <c r="W527" s="756">
        <f t="shared" si="705"/>
        <v>-0.76312814315230293</v>
      </c>
      <c r="X527" s="756">
        <f t="shared" si="705"/>
        <v>6.3346460946170247</v>
      </c>
      <c r="Y527" s="756">
        <f t="shared" si="705"/>
        <v>2.8613386779470007</v>
      </c>
      <c r="Z527" s="756">
        <f t="shared" si="705"/>
        <v>-0.70037443094577156</v>
      </c>
      <c r="AA527" s="756">
        <f t="shared" si="705"/>
        <v>2.7163641953539708</v>
      </c>
      <c r="AB527" s="756">
        <f t="shared" si="705"/>
        <v>-1.9886788798605504</v>
      </c>
      <c r="AC527" s="4068">
        <v>2.96</v>
      </c>
      <c r="AD527" s="4069">
        <v>2.93</v>
      </c>
      <c r="AE527" s="4068">
        <v>4.1900000000000004</v>
      </c>
      <c r="AK527" s="756">
        <v>1.9131181253059237</v>
      </c>
      <c r="AM527" s="756">
        <f t="shared" si="694"/>
        <v>-2.6134925562516953</v>
      </c>
    </row>
    <row r="528" spans="1:46" ht="12.75" customHeight="1">
      <c r="A528" s="714"/>
      <c r="B528" s="714"/>
      <c r="C528" s="840" t="s">
        <v>622</v>
      </c>
      <c r="D528" s="724" t="s">
        <v>591</v>
      </c>
      <c r="E528" s="830" t="s">
        <v>1439</v>
      </c>
      <c r="F528" s="754" t="s">
        <v>1925</v>
      </c>
      <c r="G528" s="756"/>
      <c r="H528" s="756">
        <f t="shared" ref="H528:AC528" si="706">(H520/G520-1)*100</f>
        <v>2.9274868609216131</v>
      </c>
      <c r="I528" s="756">
        <f t="shared" si="706"/>
        <v>3.0887632262841302</v>
      </c>
      <c r="J528" s="756">
        <f t="shared" si="706"/>
        <v>1.9841247131403339</v>
      </c>
      <c r="K528" s="756">
        <f t="shared" si="706"/>
        <v>1.8080402235639781</v>
      </c>
      <c r="L528" s="756">
        <f t="shared" si="706"/>
        <v>2.6357853890842664</v>
      </c>
      <c r="M528" s="756">
        <f t="shared" si="706"/>
        <v>4.1628179240419394</v>
      </c>
      <c r="N528" s="756">
        <f t="shared" si="706"/>
        <v>6.9078854090673492</v>
      </c>
      <c r="O528" s="756">
        <f t="shared" si="706"/>
        <v>4.3861341255220454</v>
      </c>
      <c r="P528" s="756">
        <f t="shared" si="706"/>
        <v>3.9980965844779393</v>
      </c>
      <c r="Q528" s="756">
        <f t="shared" si="706"/>
        <v>3.6784729039967656</v>
      </c>
      <c r="R528" s="756">
        <f t="shared" si="706"/>
        <v>3.4198489636334317</v>
      </c>
      <c r="S528" s="756">
        <f t="shared" si="706"/>
        <v>5.2094510894107993</v>
      </c>
      <c r="T528" s="756">
        <f t="shared" si="706"/>
        <v>6.4536136062029792</v>
      </c>
      <c r="U528" s="756">
        <f t="shared" si="706"/>
        <v>7.6354401910247116</v>
      </c>
      <c r="V528" s="756">
        <f t="shared" si="706"/>
        <v>2.6196633702497696</v>
      </c>
      <c r="W528" s="756">
        <f t="shared" si="706"/>
        <v>4.1504378840904854</v>
      </c>
      <c r="X528" s="756">
        <f t="shared" si="706"/>
        <v>5.1616139529499616</v>
      </c>
      <c r="Y528" s="756">
        <f t="shared" si="706"/>
        <v>4.2485628669275854</v>
      </c>
      <c r="Z528" s="756">
        <f t="shared" si="706"/>
        <v>1.4592245724618813</v>
      </c>
      <c r="AA528" s="756">
        <f t="shared" si="706"/>
        <v>2.1303259956722664</v>
      </c>
      <c r="AB528" s="756">
        <f t="shared" si="706"/>
        <v>3.0887812306721329</v>
      </c>
      <c r="AC528" s="756">
        <f t="shared" si="706"/>
        <v>3.2679325792407843</v>
      </c>
      <c r="AD528" s="4069">
        <v>2.93</v>
      </c>
      <c r="AE528" s="4069">
        <v>4.1900000000000004</v>
      </c>
      <c r="AK528" s="756">
        <v>1.9131181253059459</v>
      </c>
      <c r="AM528" s="756">
        <f t="shared" si="694"/>
        <v>-0.45389355284406463</v>
      </c>
    </row>
    <row r="529" spans="1:46" ht="12.75" customHeight="1">
      <c r="A529" s="714"/>
      <c r="B529" s="714"/>
      <c r="C529" s="841" t="s">
        <v>622</v>
      </c>
      <c r="D529" s="741" t="s">
        <v>592</v>
      </c>
      <c r="E529" s="842" t="s">
        <v>1439</v>
      </c>
      <c r="F529" s="785" t="s">
        <v>742</v>
      </c>
      <c r="G529" s="789"/>
      <c r="H529" s="789">
        <f t="shared" ref="H529:AB529" si="707">(H521/G521-1)*100</f>
        <v>-1.4456316781897849</v>
      </c>
      <c r="I529" s="789">
        <f t="shared" si="707"/>
        <v>-0.38265306122451381</v>
      </c>
      <c r="J529" s="789">
        <f t="shared" si="707"/>
        <v>-13.956466069142138</v>
      </c>
      <c r="K529" s="789">
        <f t="shared" si="707"/>
        <v>-13.392857142857139</v>
      </c>
      <c r="L529" s="789">
        <f t="shared" si="707"/>
        <v>-40.721649484536059</v>
      </c>
      <c r="M529" s="789">
        <f t="shared" si="707"/>
        <v>-109.27536231884064</v>
      </c>
      <c r="N529" s="789">
        <f t="shared" si="707"/>
        <v>-3840.6249999999795</v>
      </c>
      <c r="O529" s="789">
        <f t="shared" si="707"/>
        <v>-26.524644945697563</v>
      </c>
      <c r="P529" s="789">
        <f t="shared" si="707"/>
        <v>-11.085844229675978</v>
      </c>
      <c r="Q529" s="789">
        <f t="shared" si="707"/>
        <v>6.393861892579622E-2</v>
      </c>
      <c r="R529" s="789">
        <f t="shared" si="707"/>
        <v>-14.249201277955216</v>
      </c>
      <c r="S529" s="789">
        <f t="shared" si="707"/>
        <v>-15.648286140089407</v>
      </c>
      <c r="T529" s="789">
        <f t="shared" si="707"/>
        <v>37.544169611307396</v>
      </c>
      <c r="U529" s="789">
        <f t="shared" si="707"/>
        <v>27.874116891457913</v>
      </c>
      <c r="V529" s="789">
        <f t="shared" si="707"/>
        <v>-28.528377699648455</v>
      </c>
      <c r="W529" s="789">
        <f t="shared" si="707"/>
        <v>-1.4054813773717534</v>
      </c>
      <c r="X529" s="789">
        <f t="shared" si="707"/>
        <v>12.401995723449822</v>
      </c>
      <c r="Y529" s="789">
        <f t="shared" si="707"/>
        <v>101.20481927710836</v>
      </c>
      <c r="Z529" s="789">
        <f t="shared" si="707"/>
        <v>-1.7333753545540564</v>
      </c>
      <c r="AA529" s="789">
        <f t="shared" si="707"/>
        <v>-1.8280949326491158</v>
      </c>
      <c r="AB529" s="789">
        <f t="shared" si="707"/>
        <v>-4.4756615485135764</v>
      </c>
      <c r="AC529" s="4055">
        <v>10</v>
      </c>
      <c r="AD529" s="4060">
        <v>10</v>
      </c>
      <c r="AE529" s="4060">
        <v>15</v>
      </c>
      <c r="AK529" s="789">
        <v>3</v>
      </c>
      <c r="AM529" s="789">
        <f t="shared" si="694"/>
        <v>-4.733375354554056</v>
      </c>
    </row>
    <row r="530" spans="1:46" ht="12.75" customHeight="1">
      <c r="A530" s="714"/>
      <c r="B530" s="714"/>
      <c r="C530" s="822" t="s">
        <v>624</v>
      </c>
      <c r="D530" s="766" t="s">
        <v>589</v>
      </c>
      <c r="E530" s="771" t="s">
        <v>1480</v>
      </c>
      <c r="F530" s="772" t="s">
        <v>1939</v>
      </c>
      <c r="G530" s="770"/>
      <c r="H530" s="770">
        <f ca="1">(H522/G522-1)*100</f>
        <v>2.3835587414809956</v>
      </c>
      <c r="I530" s="770">
        <f t="shared" ref="I530:Y530" si="708">(I522/H522-1)*100</f>
        <v>3.6438573497965088</v>
      </c>
      <c r="J530" s="770">
        <f t="shared" si="708"/>
        <v>2.857333013237251</v>
      </c>
      <c r="K530" s="770">
        <f t="shared" si="708"/>
        <v>2.1228115582998974</v>
      </c>
      <c r="L530" s="770">
        <f t="shared" si="708"/>
        <v>2.9075793027602659</v>
      </c>
      <c r="M530" s="770">
        <f t="shared" si="708"/>
        <v>4.9335587987589191</v>
      </c>
      <c r="N530" s="770">
        <f t="shared" si="708"/>
        <v>6.3080601593884289</v>
      </c>
      <c r="O530" s="770">
        <f t="shared" si="708"/>
        <v>4.1643915545208632</v>
      </c>
      <c r="P530" s="770">
        <f t="shared" si="708"/>
        <v>3.4969825538816224</v>
      </c>
      <c r="Q530" s="770">
        <f t="shared" si="708"/>
        <v>3.1036412107382283</v>
      </c>
      <c r="R530" s="770">
        <f t="shared" si="708"/>
        <v>3.5035823224799589</v>
      </c>
      <c r="S530" s="770">
        <f t="shared" si="708"/>
        <v>4.5406726110109652</v>
      </c>
      <c r="T530" s="770">
        <f t="shared" si="708"/>
        <v>5.3578130813243474</v>
      </c>
      <c r="U530" s="770">
        <f t="shared" si="708"/>
        <v>7.287341695355054</v>
      </c>
      <c r="V530" s="770">
        <f t="shared" si="708"/>
        <v>1.456779454581314</v>
      </c>
      <c r="W530" s="770">
        <f t="shared" si="708"/>
        <v>3.4420960414109247</v>
      </c>
      <c r="X530" s="770">
        <f t="shared" si="708"/>
        <v>5.3043365330946113</v>
      </c>
      <c r="Y530" s="770">
        <f t="shared" si="708"/>
        <v>3.8520225086165372</v>
      </c>
      <c r="Z530" s="2223">
        <f t="shared" ref="Z530:AE530" si="709">(Z522/Y522-1)*100</f>
        <v>1.1640349336813571</v>
      </c>
      <c r="AA530" s="2223">
        <f t="shared" si="709"/>
        <v>2.2097453579113191</v>
      </c>
      <c r="AB530" s="2223">
        <f t="shared" si="709"/>
        <v>2.3443857166943971</v>
      </c>
      <c r="AC530" s="2223">
        <f t="shared" si="709"/>
        <v>3.265136870354568</v>
      </c>
      <c r="AD530" s="2223">
        <f t="shared" si="709"/>
        <v>2.9037111810446437</v>
      </c>
      <c r="AE530" s="2223">
        <f t="shared" si="709"/>
        <v>4.1470326070968566</v>
      </c>
      <c r="AK530" s="2223">
        <v>1.9179779744409542</v>
      </c>
      <c r="AM530" s="2223">
        <f t="shared" si="694"/>
        <v>-0.75394304075959706</v>
      </c>
    </row>
    <row r="531" spans="1:46" s="1506" customFormat="1" ht="12.75" customHeight="1">
      <c r="A531" s="3359"/>
      <c r="B531" s="3359"/>
      <c r="C531" s="3354"/>
      <c r="D531" s="1048"/>
      <c r="E531" s="3384"/>
      <c r="F531" s="3385"/>
      <c r="G531" s="3386"/>
      <c r="H531" s="3376"/>
      <c r="I531" s="3386"/>
      <c r="J531" s="3386"/>
      <c r="K531" s="3386"/>
      <c r="L531" s="3386"/>
      <c r="M531" s="3386"/>
      <c r="N531" s="3386"/>
      <c r="O531" s="3386"/>
      <c r="P531" s="3386"/>
      <c r="Q531" s="3386"/>
      <c r="R531" s="3386"/>
      <c r="S531" s="3387"/>
      <c r="T531" s="3387"/>
      <c r="U531" s="3387"/>
      <c r="V531" s="3387"/>
      <c r="W531" s="3387"/>
      <c r="X531" s="3358"/>
      <c r="Y531" s="3358"/>
      <c r="Z531" s="3358"/>
      <c r="AA531" s="3358"/>
      <c r="AB531" s="3358"/>
      <c r="AC531" s="3358"/>
      <c r="AD531" s="3358"/>
      <c r="AE531" s="3358"/>
      <c r="AF531" s="3391"/>
      <c r="AG531" s="3358"/>
      <c r="AH531" s="3358"/>
      <c r="AI531" s="3358"/>
      <c r="AJ531" s="3358"/>
      <c r="AK531" s="3358"/>
      <c r="AL531" s="3358"/>
      <c r="AM531" s="3358">
        <f t="shared" si="694"/>
        <v>0</v>
      </c>
      <c r="AN531" s="3358"/>
      <c r="AO531" s="3358"/>
      <c r="AP531" s="3358"/>
      <c r="AQ531" s="3358"/>
      <c r="AR531" s="3358"/>
      <c r="AS531" s="3358"/>
      <c r="AT531" s="3358"/>
    </row>
    <row r="532" spans="1:46" ht="12.75" customHeight="1">
      <c r="A532" s="714"/>
      <c r="B532" s="714"/>
      <c r="C532" s="822"/>
      <c r="D532" s="862"/>
      <c r="E532" s="863" t="s">
        <v>1805</v>
      </c>
      <c r="F532" s="864"/>
      <c r="G532" s="865">
        <f>+InputY!$G$3</f>
        <v>1995</v>
      </c>
      <c r="H532" s="865">
        <f>+G532+1</f>
        <v>1996</v>
      </c>
      <c r="I532" s="865">
        <f t="shared" ref="I532:S532" si="710">+H532+1</f>
        <v>1997</v>
      </c>
      <c r="J532" s="865">
        <f t="shared" si="710"/>
        <v>1998</v>
      </c>
      <c r="K532" s="865">
        <f t="shared" si="710"/>
        <v>1999</v>
      </c>
      <c r="L532" s="865">
        <f t="shared" si="710"/>
        <v>2000</v>
      </c>
      <c r="M532" s="865">
        <f t="shared" si="710"/>
        <v>2001</v>
      </c>
      <c r="N532" s="865">
        <f t="shared" si="710"/>
        <v>2002</v>
      </c>
      <c r="O532" s="865">
        <f t="shared" si="710"/>
        <v>2003</v>
      </c>
      <c r="P532" s="865">
        <f>+O532+1</f>
        <v>2004</v>
      </c>
      <c r="Q532" s="865">
        <f>+P532+1</f>
        <v>2005</v>
      </c>
      <c r="R532" s="865">
        <f>+Q532+1</f>
        <v>2006</v>
      </c>
      <c r="S532" s="2219">
        <f t="shared" si="710"/>
        <v>2007</v>
      </c>
      <c r="T532" s="2219">
        <f t="shared" ref="T532:AE532" si="711">+S532+1</f>
        <v>2008</v>
      </c>
      <c r="U532" s="2219">
        <f t="shared" si="711"/>
        <v>2009</v>
      </c>
      <c r="V532" s="2219">
        <f t="shared" si="711"/>
        <v>2010</v>
      </c>
      <c r="W532" s="2219">
        <f t="shared" si="711"/>
        <v>2011</v>
      </c>
      <c r="X532" s="2219">
        <f t="shared" si="711"/>
        <v>2012</v>
      </c>
      <c r="Y532" s="2219">
        <f t="shared" si="711"/>
        <v>2013</v>
      </c>
      <c r="Z532" s="2219">
        <f t="shared" si="711"/>
        <v>2014</v>
      </c>
      <c r="AA532" s="2219">
        <f t="shared" si="711"/>
        <v>2015</v>
      </c>
      <c r="AB532" s="2219">
        <f t="shared" si="711"/>
        <v>2016</v>
      </c>
      <c r="AC532" s="2219">
        <f t="shared" si="711"/>
        <v>2017</v>
      </c>
      <c r="AD532" s="2219">
        <f t="shared" si="711"/>
        <v>2018</v>
      </c>
      <c r="AE532" s="2219">
        <f t="shared" si="711"/>
        <v>2019</v>
      </c>
      <c r="AG532" s="749"/>
      <c r="AH532" s="749"/>
      <c r="AI532" s="749"/>
      <c r="AJ532" s="749"/>
      <c r="AK532" s="2219">
        <v>2014</v>
      </c>
      <c r="AL532" s="749"/>
      <c r="AM532" s="2219">
        <f t="shared" si="694"/>
        <v>0</v>
      </c>
      <c r="AN532" s="749"/>
      <c r="AO532" s="749"/>
      <c r="AP532" s="749"/>
      <c r="AQ532" s="749"/>
      <c r="AR532" s="749"/>
      <c r="AS532" s="749"/>
      <c r="AT532" s="749"/>
    </row>
    <row r="533" spans="1:46" ht="12.75" customHeight="1">
      <c r="A533" s="714"/>
      <c r="B533" s="714"/>
      <c r="C533" s="866" t="s">
        <v>622</v>
      </c>
      <c r="D533" s="867" t="s">
        <v>589</v>
      </c>
      <c r="E533" s="868" t="s">
        <v>1439</v>
      </c>
      <c r="F533" s="869" t="s">
        <v>584</v>
      </c>
      <c r="G533" s="878">
        <f ca="1">+G518/'VVP2'!G$355</f>
        <v>4.8464012630933294E-4</v>
      </c>
      <c r="H533" s="878">
        <f>+H518/'VVP2'!H$355</f>
        <v>4.8901929403396464E-4</v>
      </c>
      <c r="I533" s="878">
        <f>+I518/'VVP2'!I$355</f>
        <v>4.7218928993263224E-4</v>
      </c>
      <c r="J533" s="878">
        <f>+J518/'VVP2'!J$355</f>
        <v>4.6057479734708918E-4</v>
      </c>
      <c r="K533" s="878">
        <f>+K518/'VVP2'!K$355</f>
        <v>4.6473348455938355E-4</v>
      </c>
      <c r="L533" s="878">
        <f>+L518/'VVP2'!L$355</f>
        <v>4.6239282477867889E-4</v>
      </c>
      <c r="M533" s="878">
        <f>+M518/'VVP2'!M$355</f>
        <v>4.7105140781162757E-4</v>
      </c>
      <c r="N533" s="878">
        <f>+N518/'VVP2'!N$355</f>
        <v>4.806134984045595E-4</v>
      </c>
      <c r="O533" s="878">
        <f>+O518/'VVP2'!O$355</f>
        <v>4.6703097441413267E-4</v>
      </c>
      <c r="P533" s="878">
        <f>+P518/'VVP2'!P$355</f>
        <v>4.5562463760935324E-4</v>
      </c>
      <c r="Q533" s="878">
        <f>+Q518/'VVP2'!Q$355</f>
        <v>4.6969187185855443E-4</v>
      </c>
      <c r="R533" s="878">
        <f>+R518/'VVP2'!R$355</f>
        <v>4.7786382319834475E-4</v>
      </c>
      <c r="S533" s="878">
        <f>+S518/'VVP2'!S$355</f>
        <v>4.6589549262066217E-4</v>
      </c>
      <c r="T533" s="878">
        <f>+T518/'VVP2'!T$355</f>
        <v>4.8267850702369246E-4</v>
      </c>
      <c r="U533" s="878">
        <f>+U518/'VVP2'!U$355</f>
        <v>3.8620211932355276E-4</v>
      </c>
      <c r="V533" s="878">
        <f>+V518/'VVP2'!V$355</f>
        <v>3.6921340836290281E-4</v>
      </c>
      <c r="W533" s="2204">
        <f>+W518/'VVP2'!W$355</f>
        <v>3.721911242308556E-4</v>
      </c>
      <c r="X533" s="2204">
        <f>+X518/'VVP2'!X$355</f>
        <v>3.6722571168368735E-4</v>
      </c>
      <c r="Y533" s="2204">
        <f>+Y518/'VVP2'!Y$355</f>
        <v>3.8028260196900748E-4</v>
      </c>
      <c r="Z533" s="2204">
        <f>+Z518/'VVP2'!Z$355</f>
        <v>3.6998342694088905E-4</v>
      </c>
      <c r="AA533" s="2204">
        <f>+AA518/'VVP2'!AA$355</f>
        <v>3.4499964915289915E-4</v>
      </c>
      <c r="AB533" s="2204">
        <f>+AB518/'VVP2'!AB$355</f>
        <v>3.2313087580522698E-4</v>
      </c>
      <c r="AC533" s="2204">
        <f>+AC518/'VVP2'!AC$355</f>
        <v>3.2098349634171876E-4</v>
      </c>
      <c r="AD533" s="2204">
        <f ca="1">+AD518/'VVP2'!AD$355</f>
        <v>3.1953864943347072E-4</v>
      </c>
      <c r="AE533" s="2204">
        <f ca="1">+AE518/'VVP2'!AE$355</f>
        <v>3.2180610394349785E-4</v>
      </c>
      <c r="AG533" s="749"/>
      <c r="AH533" s="749"/>
      <c r="AI533" s="749"/>
      <c r="AJ533" s="749"/>
      <c r="AK533" s="2204">
        <v>5.074501593581121E-4</v>
      </c>
      <c r="AL533" s="749"/>
      <c r="AM533" s="2204">
        <f t="shared" si="694"/>
        <v>-1.3746673241722305E-4</v>
      </c>
      <c r="AN533" s="749"/>
      <c r="AO533" s="749"/>
      <c r="AP533" s="749"/>
      <c r="AQ533" s="749"/>
      <c r="AR533" s="749"/>
      <c r="AS533" s="749"/>
      <c r="AT533" s="749"/>
    </row>
    <row r="534" spans="1:46" ht="12.75" customHeight="1">
      <c r="A534" s="714"/>
      <c r="B534" s="714"/>
      <c r="C534" s="870" t="s">
        <v>622</v>
      </c>
      <c r="D534" s="724" t="s">
        <v>590</v>
      </c>
      <c r="E534" s="830" t="s">
        <v>1439</v>
      </c>
      <c r="F534" s="754" t="s">
        <v>1761</v>
      </c>
      <c r="G534" s="879">
        <f ca="1">+G519/'VVP2'!G$355</f>
        <v>3.2016065062936958E-2</v>
      </c>
      <c r="H534" s="879">
        <f>+H519/'VVP2'!H$355</f>
        <v>3.1223604072197032E-2</v>
      </c>
      <c r="I534" s="879">
        <f>+I519/'VVP2'!I$355</f>
        <v>3.1742449286117948E-2</v>
      </c>
      <c r="J534" s="879">
        <f>+J519/'VVP2'!J$355</f>
        <v>3.2659870629656924E-2</v>
      </c>
      <c r="K534" s="879">
        <f>+K519/'VVP2'!K$355</f>
        <v>3.2384348922719124E-2</v>
      </c>
      <c r="L534" s="879">
        <f>+L519/'VVP2'!L$355</f>
        <v>3.1694820735646077E-2</v>
      </c>
      <c r="M534" s="879">
        <f>+M519/'VVP2'!M$355</f>
        <v>3.309550002934665E-2</v>
      </c>
      <c r="N534" s="879">
        <f>+N519/'VVP2'!N$355</f>
        <v>3.4049030574943899E-2</v>
      </c>
      <c r="O534" s="879">
        <f>+O519/'VVP2'!O$355</f>
        <v>3.3951736594530428E-2</v>
      </c>
      <c r="P534" s="879">
        <f>+P519/'VVP2'!P$355</f>
        <v>3.243772906771366E-2</v>
      </c>
      <c r="Q534" s="879">
        <f>+Q519/'VVP2'!Q$355</f>
        <v>3.1208023094842448E-2</v>
      </c>
      <c r="R534" s="879">
        <f>+R519/'VVP2'!R$355</f>
        <v>3.0820532899286452E-2</v>
      </c>
      <c r="S534" s="879">
        <f>+S519/'VVP2'!S$355</f>
        <v>2.9525184030170074E-2</v>
      </c>
      <c r="T534" s="879">
        <f>+T519/'VVP2'!T$355</f>
        <v>2.8811585639848401E-2</v>
      </c>
      <c r="U534" s="879">
        <f>+U519/'VVP2'!U$355</f>
        <v>3.1071351056579613E-2</v>
      </c>
      <c r="V534" s="879">
        <f>+V519/'VVP2'!V$355</f>
        <v>2.8102946996785814E-2</v>
      </c>
      <c r="W534" s="3341">
        <f>+W519/'VVP2'!W$355</f>
        <v>2.6858166166059495E-2</v>
      </c>
      <c r="X534" s="2225">
        <f>+X519/'VVP2'!X$355</f>
        <v>2.7940896015252643E-2</v>
      </c>
      <c r="Y534" s="2225">
        <f>+Y519/'VVP2'!Y$355</f>
        <v>2.8385853283301871E-2</v>
      </c>
      <c r="Z534" s="2225">
        <f>+Z519/'VVP2'!Z$355</f>
        <v>2.7627344498288981E-2</v>
      </c>
      <c r="AA534" s="2225">
        <f>+AA519/'VVP2'!AA$355</f>
        <v>2.7676232447899202E-2</v>
      </c>
      <c r="AB534" s="2225">
        <f>+AB519/'VVP2'!AB$355</f>
        <v>2.6317083340818684E-2</v>
      </c>
      <c r="AC534" s="2225">
        <f>+AC519/'VVP2'!AC$355</f>
        <v>2.6142192086107473E-2</v>
      </c>
      <c r="AD534" s="2225">
        <f ca="1">+AD519/'VVP2'!AD$355</f>
        <v>2.602451791955086E-2</v>
      </c>
      <c r="AE534" s="2225">
        <f ca="1">+AE519/'VVP2'!AE$355</f>
        <v>2.6209188570918345E-2</v>
      </c>
      <c r="AG534" s="749"/>
      <c r="AH534" s="749"/>
      <c r="AI534" s="749"/>
      <c r="AJ534" s="749"/>
      <c r="AK534" s="2225">
        <v>2.8035164570428702E-2</v>
      </c>
      <c r="AL534" s="749"/>
      <c r="AM534" s="2225">
        <f t="shared" si="694"/>
        <v>-4.0782007213972099E-4</v>
      </c>
      <c r="AN534" s="749"/>
      <c r="AO534" s="749"/>
      <c r="AP534" s="749"/>
      <c r="AQ534" s="749"/>
      <c r="AR534" s="749"/>
      <c r="AS534" s="749"/>
      <c r="AT534" s="749"/>
    </row>
    <row r="535" spans="1:46" ht="12.75" customHeight="1">
      <c r="A535" s="714"/>
      <c r="B535" s="714"/>
      <c r="C535" s="870" t="s">
        <v>622</v>
      </c>
      <c r="D535" s="724" t="s">
        <v>591</v>
      </c>
      <c r="E535" s="830" t="s">
        <v>1439</v>
      </c>
      <c r="F535" s="754" t="s">
        <v>1925</v>
      </c>
      <c r="G535" s="879">
        <f ca="1">+G520/'VVP2'!G$355</f>
        <v>0.15588042640758612</v>
      </c>
      <c r="H535" s="879">
        <f>+H520/'VVP2'!H$355</f>
        <v>0.1569876967191251</v>
      </c>
      <c r="I535" s="879">
        <f>+I520/'VVP2'!I$355</f>
        <v>0.15465593243666048</v>
      </c>
      <c r="J535" s="879">
        <f>+J520/'VVP2'!J$355</f>
        <v>0.15199309478970499</v>
      </c>
      <c r="K535" s="879">
        <f>+K520/'VVP2'!K$355</f>
        <v>0.14857222408752546</v>
      </c>
      <c r="L535" s="879">
        <f>+L520/'VVP2'!L$355</f>
        <v>0.14422318779964527</v>
      </c>
      <c r="M535" s="879">
        <f>+M520/'VVP2'!M$355</f>
        <v>0.14595031235373701</v>
      </c>
      <c r="N535" s="879">
        <f>+N520/'VVP2'!N$355</f>
        <v>0.1507701267808966</v>
      </c>
      <c r="O535" s="879">
        <f>+O520/'VVP2'!O$355</f>
        <v>0.15316705379524581</v>
      </c>
      <c r="P535" s="879">
        <f>+P520/'VVP2'!P$355</f>
        <v>0.15071902321576588</v>
      </c>
      <c r="Q535" s="879">
        <f>+Q520/'VVP2'!Q$355</f>
        <v>0.1498567487947893</v>
      </c>
      <c r="R535" s="879">
        <f>+R520/'VVP2'!R$355</f>
        <v>0.1477790046656775</v>
      </c>
      <c r="S535" s="879">
        <f>+S520/'VVP2'!S$355</f>
        <v>0.14733611342785655</v>
      </c>
      <c r="T535" s="879">
        <f>+T520/'VVP2'!T$355</f>
        <v>0.15270123443121747</v>
      </c>
      <c r="U535" s="879">
        <f>+U520/'VVP2'!U$355</f>
        <v>0.16685107077189676</v>
      </c>
      <c r="V535" s="879">
        <f>+V520/'VVP2'!V$355</f>
        <v>0.16356866123163347</v>
      </c>
      <c r="W535" s="879">
        <f>+W520/'VVP2'!W$355</f>
        <v>0.16406374676442995</v>
      </c>
      <c r="X535" s="2138">
        <f>+X520/'VVP2'!X$355</f>
        <v>0.16879479514973031</v>
      </c>
      <c r="Y535" s="2138">
        <f>+Y520/'VVP2'!Y$355</f>
        <v>0.17379552112734931</v>
      </c>
      <c r="Z535" s="2138">
        <f>+Z520/'VVP2'!Z$355</f>
        <v>0.17283022582229501</v>
      </c>
      <c r="AA535" s="2138">
        <f>+AA520/'VVP2'!AA$355</f>
        <v>0.17214824654415603</v>
      </c>
      <c r="AB535" s="2138">
        <f>+AB520/'VVP2'!AB$355</f>
        <v>0.17217438950247776</v>
      </c>
      <c r="AC535" s="2138">
        <f>+AC520/'VVP2'!AC$355</f>
        <v>0.17154171434983118</v>
      </c>
      <c r="AD535" s="2138">
        <f ca="1">+AD520/'VVP2'!AD$355</f>
        <v>0.17076955154881893</v>
      </c>
      <c r="AE535" s="2138">
        <f ca="1">+AE520/'VVP2'!AE$355</f>
        <v>0.17198133669756754</v>
      </c>
      <c r="AG535" s="749"/>
      <c r="AH535" s="749"/>
      <c r="AI535" s="749"/>
      <c r="AJ535" s="749"/>
      <c r="AK535" s="2138">
        <v>0.17235140577224253</v>
      </c>
      <c r="AL535" s="749"/>
      <c r="AM535" s="2138">
        <f t="shared" si="694"/>
        <v>4.7882005005248085E-4</v>
      </c>
      <c r="AN535" s="749"/>
      <c r="AO535" s="749"/>
      <c r="AP535" s="749"/>
      <c r="AQ535" s="749"/>
      <c r="AR535" s="749"/>
      <c r="AS535" s="749"/>
      <c r="AT535" s="749"/>
    </row>
    <row r="536" spans="1:46" ht="12.75" customHeight="1">
      <c r="A536" s="714"/>
      <c r="B536" s="714"/>
      <c r="C536" s="871" t="s">
        <v>622</v>
      </c>
      <c r="D536" s="872" t="s">
        <v>592</v>
      </c>
      <c r="E536" s="873" t="s">
        <v>1439</v>
      </c>
      <c r="F536" s="874" t="s">
        <v>742</v>
      </c>
      <c r="G536" s="880">
        <f ca="1">+G521/'VVP2'!G$355</f>
        <v>7.5299066499819197E-4</v>
      </c>
      <c r="H536" s="880">
        <f>+H521/'VVP2'!H$355</f>
        <v>7.2611955780800823E-4</v>
      </c>
      <c r="I536" s="880">
        <f>+I521/'VVP2'!I$355</f>
        <v>6.9124617701478116E-4</v>
      </c>
      <c r="J536" s="880">
        <f>+J521/'VVP2'!J$355</f>
        <v>5.7315974780971081E-4</v>
      </c>
      <c r="K536" s="880">
        <f>+K521/'VVP2'!K$355</f>
        <v>4.7660773218248661E-4</v>
      </c>
      <c r="L536" s="880">
        <f>+L521/'VVP2'!L$355</f>
        <v>2.6721193391732699E-4</v>
      </c>
      <c r="M536" s="880">
        <f>+M521/'VVP2'!M$355</f>
        <v>-2.4079305191648823E-5</v>
      </c>
      <c r="N536" s="880">
        <f>+N521/'VVP2'!N$355</f>
        <v>8.7033942146786346E-4</v>
      </c>
      <c r="O536" s="880">
        <f>+O521/'VVP2'!O$355</f>
        <v>6.2235415454125716E-4</v>
      </c>
      <c r="P536" s="880">
        <f>+P521/'VVP2'!P$355</f>
        <v>5.2358334549671445E-4</v>
      </c>
      <c r="Q536" s="880">
        <f>+Q521/'VVP2'!Q$355</f>
        <v>5.0243867358758536E-4</v>
      </c>
      <c r="R536" s="880">
        <f>+R521/'VVP2'!R$355</f>
        <v>4.1082206965546372E-4</v>
      </c>
      <c r="S536" s="880">
        <f>+S521/'VVP2'!S$355</f>
        <v>3.2838960002900983E-4</v>
      </c>
      <c r="T536" s="880">
        <f>+T521/'VVP2'!T$355</f>
        <v>4.397486456617258E-4</v>
      </c>
      <c r="U536" s="880">
        <f>+U521/'VVP2'!U$355</f>
        <v>5.7084515187319506E-4</v>
      </c>
      <c r="V536" s="880">
        <f>+V521/'VVP2'!V$355</f>
        <v>3.8975569740386538E-4</v>
      </c>
      <c r="W536" s="2206">
        <f>+W521/'VVP2'!W$355</f>
        <v>3.7008089815442253E-4</v>
      </c>
      <c r="X536" s="2206">
        <f>+X521/'VVP2'!X$355</f>
        <v>4.0696763691157767E-4</v>
      </c>
      <c r="Y536" s="2206">
        <f>+Y521/'VVP2'!Y$355</f>
        <v>8.0873773193542939E-4</v>
      </c>
      <c r="Z536" s="2206">
        <f>+Z521/'VVP2'!Z$355</f>
        <v>7.7893877461289126E-4</v>
      </c>
      <c r="AA536" s="2206">
        <f>+AA521/'VVP2'!AA$355</f>
        <v>7.4579373309111897E-4</v>
      </c>
      <c r="AB536" s="2206">
        <f>+AB521/'VVP2'!AB$355</f>
        <v>6.9117387041293618E-4</v>
      </c>
      <c r="AC536" s="2206">
        <f>+AC521/'VVP2'!AC$355</f>
        <v>7.3352633136944845E-4</v>
      </c>
      <c r="AD536" s="2206">
        <f ca="1">+AD521/'VVP2'!AD$355</f>
        <v>7.8038176472301009E-4</v>
      </c>
      <c r="AE536" s="2206">
        <f ca="1">+AE521/'VVP2'!AE$355</f>
        <v>8.6746067757467683E-4</v>
      </c>
      <c r="AG536" s="749"/>
      <c r="AH536" s="749"/>
      <c r="AI536" s="749"/>
      <c r="AJ536" s="749"/>
      <c r="AK536" s="2206">
        <v>4.1453998558182314E-4</v>
      </c>
      <c r="AL536" s="749"/>
      <c r="AM536" s="2206">
        <f t="shared" si="694"/>
        <v>3.6439878903106812E-4</v>
      </c>
      <c r="AN536" s="749"/>
      <c r="AO536" s="749"/>
      <c r="AP536" s="749"/>
      <c r="AQ536" s="749"/>
      <c r="AR536" s="749"/>
      <c r="AS536" s="749"/>
      <c r="AT536" s="749"/>
    </row>
    <row r="537" spans="1:46" ht="12.75" customHeight="1">
      <c r="A537" s="714"/>
      <c r="B537" s="714"/>
      <c r="C537" s="822" t="s">
        <v>624</v>
      </c>
      <c r="D537" s="850" t="s">
        <v>589</v>
      </c>
      <c r="E537" s="851" t="s">
        <v>1480</v>
      </c>
      <c r="F537" s="852" t="s">
        <v>1939</v>
      </c>
      <c r="G537" s="881">
        <f ca="1">+G522/'VVP2'!G$355</f>
        <v>0.18763997296616797</v>
      </c>
      <c r="H537" s="881">
        <f>+H522/'VVP2'!H$355</f>
        <v>0.1879742005275481</v>
      </c>
      <c r="I537" s="881">
        <f>+I522/'VVP2'!I$355</f>
        <v>0.18617932483569624</v>
      </c>
      <c r="J537" s="881">
        <f>+J522/'VVP2'!J$355</f>
        <v>0.18454038046889928</v>
      </c>
      <c r="K537" s="881">
        <f>+K522/'VVP2'!K$355</f>
        <v>0.18094469876262151</v>
      </c>
      <c r="L537" s="881">
        <f>+L522/'VVP2'!L$355</f>
        <v>0.1761131894261527</v>
      </c>
      <c r="M537" s="881">
        <f>+M522/'VVP2'!M$355</f>
        <v>0.17954094309608695</v>
      </c>
      <c r="N537" s="881">
        <f>+N522/'VVP2'!N$355</f>
        <v>0.18442943143277721</v>
      </c>
      <c r="O537" s="881">
        <f>+O522/'VVP2'!O$355</f>
        <v>0.18696346720964913</v>
      </c>
      <c r="P537" s="881">
        <f>+P522/'VVP2'!P$355</f>
        <v>0.18308879357559216</v>
      </c>
      <c r="Q537" s="881">
        <f>+Q522/'VVP2'!Q$355</f>
        <v>0.1810320250879027</v>
      </c>
      <c r="R537" s="881">
        <f>+R522/'VVP2'!R$355</f>
        <v>0.17866657931850682</v>
      </c>
      <c r="S537" s="881">
        <f>+S522/'VVP2'!S$355</f>
        <v>0.17699880335061829</v>
      </c>
      <c r="T537" s="881">
        <f>+T522/'VVP2'!T$355</f>
        <v>0.18155574993242782</v>
      </c>
      <c r="U537" s="881">
        <f>+U522/'VVP2'!U$355</f>
        <v>0.19773777879592672</v>
      </c>
      <c r="V537" s="881">
        <f>+V522/'VVP2'!V$355</f>
        <v>0.19165106593937831</v>
      </c>
      <c r="W537" s="2205">
        <f>+W522/'VVP2'!W$355</f>
        <v>0.1909237593783063</v>
      </c>
      <c r="X537" s="2205">
        <f>+X522/'VVP2'!X$355</f>
        <v>0.19669594923975506</v>
      </c>
      <c r="Y537" s="2205">
        <f>+Y522/'VVP2'!Y$355</f>
        <v>0.20175291928068476</v>
      </c>
      <c r="Z537" s="2205">
        <f>+Z522/'VVP2'!Z$355</f>
        <v>0.20004861497291201</v>
      </c>
      <c r="AA537" s="2205">
        <f>+AA522/'VVP2'!AA$355</f>
        <v>0.19941418279913614</v>
      </c>
      <c r="AB537" s="2205">
        <f>+AB522/'VVP2'!AB$355</f>
        <v>0.19800429454407581</v>
      </c>
      <c r="AC537" s="2205">
        <f>+AC522/'VVP2'!AC$355</f>
        <v>0.19727136360091091</v>
      </c>
      <c r="AD537" s="2205">
        <f ca="1">+AD522/'VVP2'!AD$355</f>
        <v>0.19633322635308029</v>
      </c>
      <c r="AE537" s="2205">
        <f ca="1">+AE522/'VVP2'!AE$355</f>
        <v>0.19764487069485473</v>
      </c>
      <c r="AG537" s="749"/>
      <c r="AH537" s="749"/>
      <c r="AI537" s="749"/>
      <c r="AJ537" s="749"/>
      <c r="AK537" s="2205">
        <v>0.20047948051644751</v>
      </c>
      <c r="AL537" s="749"/>
      <c r="AM537" s="2205">
        <f t="shared" si="694"/>
        <v>-4.3086554353549689E-4</v>
      </c>
      <c r="AN537" s="749"/>
      <c r="AO537" s="749"/>
      <c r="AP537" s="749"/>
      <c r="AQ537" s="749"/>
      <c r="AR537" s="749"/>
      <c r="AS537" s="749"/>
      <c r="AT537" s="749"/>
    </row>
    <row r="538" spans="1:46" s="3466" customFormat="1" ht="12.75" customHeight="1">
      <c r="A538" s="3458"/>
      <c r="B538" s="3458"/>
      <c r="C538" s="3459"/>
      <c r="D538" s="3460"/>
      <c r="E538" s="3461"/>
      <c r="F538" s="3462"/>
      <c r="G538" s="3463"/>
      <c r="H538" s="3463"/>
      <c r="I538" s="3463"/>
      <c r="J538" s="3463"/>
      <c r="K538" s="3463"/>
      <c r="L538" s="3463"/>
      <c r="M538" s="3463"/>
      <c r="N538" s="3463"/>
      <c r="O538" s="3463"/>
      <c r="P538" s="3463"/>
      <c r="Q538" s="3463"/>
      <c r="R538" s="3463"/>
      <c r="S538" s="3463"/>
      <c r="T538" s="3463"/>
      <c r="U538" s="3463"/>
      <c r="V538" s="3463"/>
      <c r="W538" s="3467"/>
      <c r="X538" s="3467"/>
      <c r="Y538" s="3467"/>
      <c r="Z538" s="3467"/>
      <c r="AA538" s="3467"/>
      <c r="AB538" s="3467"/>
      <c r="AC538" s="3467"/>
      <c r="AD538" s="3467"/>
      <c r="AE538" s="3467"/>
      <c r="AF538" s="3465"/>
      <c r="AK538" s="3467"/>
      <c r="AM538" s="3467">
        <f t="shared" si="694"/>
        <v>0</v>
      </c>
    </row>
    <row r="539" spans="1:46" ht="13.5" hidden="1" customHeight="1">
      <c r="A539" s="714"/>
      <c r="B539" s="714"/>
      <c r="C539" s="2827"/>
      <c r="D539" s="2827"/>
      <c r="E539" s="2827"/>
      <c r="F539" s="2827"/>
      <c r="R539" s="2218"/>
      <c r="S539" s="2234"/>
      <c r="T539" s="2234"/>
      <c r="U539" s="2234"/>
      <c r="V539" s="2234"/>
      <c r="W539" s="2234"/>
      <c r="X539" s="2234"/>
      <c r="Y539" s="2234"/>
      <c r="Z539" s="2234"/>
      <c r="AA539" s="2234"/>
      <c r="AB539" s="2234"/>
      <c r="AC539" s="2234"/>
      <c r="AD539" s="2234"/>
      <c r="AE539" s="2234"/>
      <c r="AK539" s="2234"/>
      <c r="AM539" s="2234">
        <f t="shared" si="694"/>
        <v>0</v>
      </c>
    </row>
    <row r="540" spans="1:46" ht="12.75" hidden="1" customHeight="1">
      <c r="A540" s="714"/>
      <c r="B540" s="714"/>
      <c r="C540" s="3482"/>
      <c r="D540" s="3483"/>
      <c r="E540" s="3745" t="s">
        <v>2490</v>
      </c>
      <c r="F540" s="3484"/>
      <c r="G540" s="3485">
        <f>+InputY!$G$3</f>
        <v>1995</v>
      </c>
      <c r="H540" s="3485">
        <f t="shared" ref="H540:AE540" si="712">+G540+1</f>
        <v>1996</v>
      </c>
      <c r="I540" s="3485">
        <f t="shared" si="712"/>
        <v>1997</v>
      </c>
      <c r="J540" s="3485">
        <f t="shared" si="712"/>
        <v>1998</v>
      </c>
      <c r="K540" s="3485">
        <f t="shared" si="712"/>
        <v>1999</v>
      </c>
      <c r="L540" s="3485">
        <f t="shared" si="712"/>
        <v>2000</v>
      </c>
      <c r="M540" s="3485">
        <f t="shared" si="712"/>
        <v>2001</v>
      </c>
      <c r="N540" s="3485">
        <f t="shared" si="712"/>
        <v>2002</v>
      </c>
      <c r="O540" s="3485">
        <f t="shared" si="712"/>
        <v>2003</v>
      </c>
      <c r="P540" s="3485">
        <f t="shared" si="712"/>
        <v>2004</v>
      </c>
      <c r="Q540" s="3485">
        <f t="shared" si="712"/>
        <v>2005</v>
      </c>
      <c r="R540" s="3485">
        <f t="shared" si="712"/>
        <v>2006</v>
      </c>
      <c r="S540" s="3486">
        <f t="shared" si="712"/>
        <v>2007</v>
      </c>
      <c r="T540" s="3486">
        <f t="shared" si="712"/>
        <v>2008</v>
      </c>
      <c r="U540" s="3486">
        <f t="shared" si="712"/>
        <v>2009</v>
      </c>
      <c r="V540" s="3486">
        <f t="shared" si="712"/>
        <v>2010</v>
      </c>
      <c r="W540" s="3486">
        <f t="shared" si="712"/>
        <v>2011</v>
      </c>
      <c r="X540" s="3486">
        <f t="shared" si="712"/>
        <v>2012</v>
      </c>
      <c r="Y540" s="3486">
        <f t="shared" si="712"/>
        <v>2013</v>
      </c>
      <c r="Z540" s="3486">
        <f t="shared" si="712"/>
        <v>2014</v>
      </c>
      <c r="AA540" s="3486">
        <f t="shared" si="712"/>
        <v>2015</v>
      </c>
      <c r="AB540" s="3486">
        <f t="shared" si="712"/>
        <v>2016</v>
      </c>
      <c r="AC540" s="3486">
        <f t="shared" si="712"/>
        <v>2017</v>
      </c>
      <c r="AD540" s="3486">
        <f t="shared" si="712"/>
        <v>2018</v>
      </c>
      <c r="AE540" s="3486">
        <f t="shared" si="712"/>
        <v>2019</v>
      </c>
      <c r="AK540" s="3486">
        <v>2014</v>
      </c>
      <c r="AM540" s="3486">
        <f t="shared" si="694"/>
        <v>0</v>
      </c>
    </row>
    <row r="541" spans="1:46" ht="12.75" hidden="1" customHeight="1">
      <c r="A541" s="714"/>
      <c r="B541" s="714"/>
      <c r="C541" s="3552" t="s">
        <v>622</v>
      </c>
      <c r="D541" s="3494" t="s">
        <v>591</v>
      </c>
      <c r="E541" s="3553" t="s">
        <v>2387</v>
      </c>
      <c r="F541" s="3554"/>
      <c r="G541" s="3555">
        <f>+InputY!G285/1000</f>
        <v>2.4820000000000002</v>
      </c>
      <c r="H541" s="3555">
        <f>+InputY!H285/1000</f>
        <v>2.5430000000000001</v>
      </c>
      <c r="I541" s="3555">
        <f>+InputY!I285/1000</f>
        <v>2.5470000000000002</v>
      </c>
      <c r="J541" s="3555">
        <f>+InputY!J285/1000</f>
        <v>2.6349999999999998</v>
      </c>
      <c r="K541" s="3555">
        <f>+InputY!K285/1000</f>
        <v>2.722</v>
      </c>
      <c r="L541" s="3555">
        <f>+InputY!L285/1000</f>
        <v>2.84</v>
      </c>
      <c r="M541" s="3555">
        <f>+InputY!M285/1000</f>
        <v>3.0230000000000001</v>
      </c>
      <c r="N541" s="3555">
        <f>+InputY!N285/1000</f>
        <v>3.2080000000000002</v>
      </c>
      <c r="O541" s="3555">
        <f>+InputY!O285/1000</f>
        <v>3.3660000000000001</v>
      </c>
      <c r="P541" s="3555">
        <f>+InputY!P285/1000</f>
        <v>3.4849999999999999</v>
      </c>
      <c r="Q541" s="3555">
        <f>+InputY!Q285/1000</f>
        <v>3.6360000000000001</v>
      </c>
      <c r="R541" s="3555">
        <f>+InputY!R285/1000</f>
        <v>3.839</v>
      </c>
      <c r="S541" s="3555">
        <f>+InputY!S285/1000</f>
        <v>4.1440000000000001</v>
      </c>
      <c r="T541" s="3555">
        <f>+InputY!T285/1000</f>
        <v>4.5540000000000003</v>
      </c>
      <c r="U541" s="3555">
        <f>+InputY!U285/1000</f>
        <v>4.9219999999999997</v>
      </c>
      <c r="V541" s="3555">
        <f>+InputY!V285/1000</f>
        <v>5.335</v>
      </c>
      <c r="W541" s="3555">
        <f>+InputY!W285/1000</f>
        <v>5.8019999999999996</v>
      </c>
      <c r="X541" s="3555">
        <f>+InputY!X285/1000</f>
        <v>6.1719999999999997</v>
      </c>
      <c r="Y541" s="3556">
        <f t="shared" ref="Y541:AE543" si="713">+X541*(1+Y555/100)</f>
        <v>6.653416</v>
      </c>
      <c r="Z541" s="3556">
        <f t="shared" si="713"/>
        <v>7.1058482880000007</v>
      </c>
      <c r="AA541" s="3556">
        <f t="shared" si="713"/>
        <v>7.5890459715840013</v>
      </c>
      <c r="AB541" s="3556">
        <f t="shared" si="713"/>
        <v>8.1051010976517137</v>
      </c>
      <c r="AC541" s="3556">
        <f t="shared" si="713"/>
        <v>8.6562479722920305</v>
      </c>
      <c r="AD541" s="3556">
        <f t="shared" si="713"/>
        <v>9.2448728344078894</v>
      </c>
      <c r="AE541" s="3556">
        <f t="shared" si="713"/>
        <v>9.8735241871476269</v>
      </c>
      <c r="AK541" s="3556" t="e">
        <v>#REF!</v>
      </c>
      <c r="AM541" s="3556" t="e">
        <f t="shared" si="694"/>
        <v>#REF!</v>
      </c>
    </row>
    <row r="542" spans="1:46" ht="12.75" hidden="1" customHeight="1">
      <c r="A542" s="714"/>
      <c r="B542" s="714"/>
      <c r="C542" s="3493" t="s">
        <v>622</v>
      </c>
      <c r="D542" s="3494" t="s">
        <v>591</v>
      </c>
      <c r="E542" s="3557" t="s">
        <v>2386</v>
      </c>
      <c r="F542" s="3496"/>
      <c r="G542" s="3499">
        <f>+InputY!G287/1000</f>
        <v>1.425</v>
      </c>
      <c r="H542" s="3499">
        <f>+InputY!H287/1000</f>
        <v>1.4350000000000001</v>
      </c>
      <c r="I542" s="3499">
        <f>+InputY!I287/1000</f>
        <v>1.446</v>
      </c>
      <c r="J542" s="3499">
        <f>+InputY!J287/1000</f>
        <v>1.415</v>
      </c>
      <c r="K542" s="3499">
        <f>+InputY!K287/1000</f>
        <v>1.4119999999999999</v>
      </c>
      <c r="L542" s="3499">
        <f>+InputY!L287/1000</f>
        <v>1.399</v>
      </c>
      <c r="M542" s="3499">
        <f>+InputY!M287/1000</f>
        <v>1.427</v>
      </c>
      <c r="N542" s="3499">
        <f>+InputY!N287/1000</f>
        <v>1.496</v>
      </c>
      <c r="O542" s="3499">
        <f>+InputY!O287/1000</f>
        <v>1.6160000000000001</v>
      </c>
      <c r="P542" s="3499">
        <f>+InputY!P287/1000</f>
        <v>1.7270000000000001</v>
      </c>
      <c r="Q542" s="3499">
        <f>+InputY!Q287/1000</f>
        <v>1.8129999999999999</v>
      </c>
      <c r="R542" s="3499">
        <f>+InputY!R287/1000</f>
        <v>1.89</v>
      </c>
      <c r="S542" s="3499">
        <f>+InputY!S287/1000</f>
        <v>2.0059999999999998</v>
      </c>
      <c r="T542" s="3499">
        <f>+InputY!T287/1000</f>
        <v>2.1429999999999998</v>
      </c>
      <c r="U542" s="3499">
        <f>+InputY!U287/1000</f>
        <v>2.2509999999999999</v>
      </c>
      <c r="V542" s="3499">
        <f>+InputY!V287/1000</f>
        <v>2.3740000000000001</v>
      </c>
      <c r="W542" s="3499">
        <f>+InputY!W287/1000</f>
        <v>2.452</v>
      </c>
      <c r="X542" s="3499">
        <f>+InputY!X287/1000</f>
        <v>2.4580000000000002</v>
      </c>
      <c r="Y542" s="3558">
        <f t="shared" si="713"/>
        <v>2.4555420000000003</v>
      </c>
      <c r="Z542" s="3558">
        <f t="shared" si="713"/>
        <v>2.4530864580000005</v>
      </c>
      <c r="AA542" s="3558">
        <f t="shared" si="713"/>
        <v>2.4506333715420006</v>
      </c>
      <c r="AB542" s="3558">
        <f t="shared" si="713"/>
        <v>2.4481827381704586</v>
      </c>
      <c r="AC542" s="3558">
        <f t="shared" si="713"/>
        <v>2.445734555432288</v>
      </c>
      <c r="AD542" s="3558">
        <f t="shared" si="713"/>
        <v>2.4432888208768557</v>
      </c>
      <c r="AE542" s="3558">
        <f t="shared" si="713"/>
        <v>2.4408455320559788</v>
      </c>
      <c r="AK542" s="3558" t="e">
        <v>#REF!</v>
      </c>
      <c r="AM542" s="3558" t="e">
        <f t="shared" si="694"/>
        <v>#REF!</v>
      </c>
    </row>
    <row r="543" spans="1:46" ht="12.75" hidden="1" customHeight="1">
      <c r="A543" s="714"/>
      <c r="B543" s="714"/>
      <c r="C543" s="3493" t="s">
        <v>622</v>
      </c>
      <c r="D543" s="3494" t="s">
        <v>591</v>
      </c>
      <c r="E543" s="3557" t="s">
        <v>2385</v>
      </c>
      <c r="F543" s="3496"/>
      <c r="G543" s="3499">
        <f>+InputY!G288/1000</f>
        <v>17.908999999999999</v>
      </c>
      <c r="H543" s="3499">
        <f>+InputY!H288/1000</f>
        <v>18.48</v>
      </c>
      <c r="I543" s="3499">
        <f>+InputY!I288/1000</f>
        <v>19.32</v>
      </c>
      <c r="J543" s="3499">
        <f>+InputY!J288/1000</f>
        <v>19.940999999999999</v>
      </c>
      <c r="K543" s="3499">
        <f>+InputY!K288/1000</f>
        <v>20.477</v>
      </c>
      <c r="L543" s="3499">
        <f>+InputY!L288/1000</f>
        <v>21.216999999999999</v>
      </c>
      <c r="M543" s="3499">
        <f>+InputY!M288/1000</f>
        <v>22.123999999999999</v>
      </c>
      <c r="N543" s="3499">
        <f>+InputY!N288/1000</f>
        <v>23.199000000000002</v>
      </c>
      <c r="O543" s="3499">
        <f>+InputY!O288/1000</f>
        <v>24.076000000000001</v>
      </c>
      <c r="P543" s="3499">
        <f>+InputY!P288/1000</f>
        <v>25.062000000000001</v>
      </c>
      <c r="Q543" s="3499">
        <f>+InputY!Q288/1000</f>
        <v>26.196999999999999</v>
      </c>
      <c r="R543" s="3499">
        <f>+InputY!R288/1000</f>
        <v>27.29</v>
      </c>
      <c r="S543" s="3499">
        <f>+InputY!S288/1000</f>
        <v>29.234999999999999</v>
      </c>
      <c r="T543" s="3499">
        <f>+InputY!T288/1000</f>
        <v>31.381</v>
      </c>
      <c r="U543" s="3499">
        <f>+InputY!U288/1000</f>
        <v>33.121000000000002</v>
      </c>
      <c r="V543" s="3499">
        <f>+InputY!V288/1000</f>
        <v>34.302</v>
      </c>
      <c r="W543" s="3499">
        <f>+InputY!W288/1000</f>
        <v>36.295000000000002</v>
      </c>
      <c r="X543" s="3499">
        <f>+InputY!X288/1000</f>
        <v>38.497</v>
      </c>
      <c r="Y543" s="3558">
        <f t="shared" si="713"/>
        <v>40.113874000000003</v>
      </c>
      <c r="Z543" s="3558">
        <f t="shared" si="713"/>
        <v>41.638201212000006</v>
      </c>
      <c r="AA543" s="3558">
        <f t="shared" si="713"/>
        <v>43.220452858056007</v>
      </c>
      <c r="AB543" s="3558">
        <f t="shared" si="713"/>
        <v>44.862830066662134</v>
      </c>
      <c r="AC543" s="3558">
        <f t="shared" si="713"/>
        <v>46.567617609195295</v>
      </c>
      <c r="AD543" s="3558">
        <f t="shared" si="713"/>
        <v>48.337187078344719</v>
      </c>
      <c r="AE543" s="3558">
        <f t="shared" si="713"/>
        <v>50.174000187321823</v>
      </c>
      <c r="AK543" s="3558" t="e">
        <v>#REF!</v>
      </c>
      <c r="AM543" s="3558" t="e">
        <f t="shared" si="694"/>
        <v>#REF!</v>
      </c>
    </row>
    <row r="544" spans="1:46" s="1506" customFormat="1" ht="12.75" hidden="1" customHeight="1">
      <c r="A544" s="1039"/>
      <c r="B544" s="1039"/>
      <c r="C544" s="3500"/>
      <c r="D544" s="3559"/>
      <c r="E544" s="3560" t="s">
        <v>2410</v>
      </c>
      <c r="F544" s="3561"/>
      <c r="G544" s="3562"/>
      <c r="H544" s="3562"/>
      <c r="I544" s="3562"/>
      <c r="J544" s="3562"/>
      <c r="K544" s="3562"/>
      <c r="L544" s="3562"/>
      <c r="M544" s="3562"/>
      <c r="N544" s="3562"/>
      <c r="O544" s="3562"/>
      <c r="P544" s="3562"/>
      <c r="Q544" s="3562"/>
      <c r="R544" s="3562"/>
      <c r="S544" s="3562"/>
      <c r="T544" s="3562"/>
      <c r="U544" s="3562"/>
      <c r="V544" s="3562">
        <v>186</v>
      </c>
      <c r="W544" s="3562">
        <v>96</v>
      </c>
      <c r="X544" s="3562">
        <v>291</v>
      </c>
      <c r="Y544" s="3500"/>
      <c r="Z544" s="3500"/>
      <c r="AA544" s="3500"/>
      <c r="AB544" s="3500"/>
      <c r="AC544" s="3500"/>
      <c r="AD544" s="3500"/>
      <c r="AE544" s="3500"/>
      <c r="AF544" s="3358"/>
      <c r="AG544" s="3358"/>
      <c r="AH544" s="3358"/>
      <c r="AI544" s="3358"/>
      <c r="AJ544" s="3358"/>
      <c r="AK544" s="3500"/>
      <c r="AL544" s="3358"/>
      <c r="AM544" s="3500">
        <f t="shared" si="694"/>
        <v>0</v>
      </c>
      <c r="AN544" s="3358"/>
      <c r="AO544" s="3358"/>
      <c r="AP544" s="3358"/>
      <c r="AQ544" s="3358"/>
      <c r="AR544" s="3358"/>
      <c r="AS544" s="3358"/>
      <c r="AT544" s="3358"/>
    </row>
    <row r="545" spans="1:46" ht="12.75" hidden="1" customHeight="1">
      <c r="A545" s="714"/>
      <c r="B545" s="714"/>
      <c r="C545" s="3493" t="s">
        <v>622</v>
      </c>
      <c r="D545" s="3494" t="s">
        <v>591</v>
      </c>
      <c r="E545" s="3557" t="s">
        <v>2384</v>
      </c>
      <c r="F545" s="3496"/>
      <c r="G545" s="3499">
        <f>+InputY!G289/1000</f>
        <v>3.9609999999999999</v>
      </c>
      <c r="H545" s="3499">
        <f>+InputY!H289/1000</f>
        <v>4.1050000000000004</v>
      </c>
      <c r="I545" s="3499">
        <f>+InputY!I289/1000</f>
        <v>4.1790000000000003</v>
      </c>
      <c r="J545" s="3499">
        <f>+InputY!J289/1000</f>
        <v>4.2409999999999997</v>
      </c>
      <c r="K545" s="3499">
        <f>+InputY!K289/1000</f>
        <v>4.2610000000000001</v>
      </c>
      <c r="L545" s="3499">
        <f>+InputY!L289/1000</f>
        <v>4.3239999999999998</v>
      </c>
      <c r="M545" s="3499">
        <f>+InputY!M289/1000</f>
        <v>4.4329999999999998</v>
      </c>
      <c r="N545" s="3499">
        <f>+InputY!N289/1000</f>
        <v>4.5640000000000001</v>
      </c>
      <c r="O545" s="3499">
        <f>+InputY!O289/1000</f>
        <v>4.6369999999999996</v>
      </c>
      <c r="P545" s="3499">
        <f>+InputY!P289/1000</f>
        <v>4.7309999999999999</v>
      </c>
      <c r="Q545" s="3499">
        <f>+InputY!Q289/1000</f>
        <v>4.8499999999999996</v>
      </c>
      <c r="R545" s="3499">
        <f>+InputY!R289/1000</f>
        <v>5.0229999999999997</v>
      </c>
      <c r="S545" s="3499">
        <f>+InputY!S289/1000</f>
        <v>5.1539999999999999</v>
      </c>
      <c r="T545" s="3499">
        <f>+InputY!T289/1000</f>
        <v>5.4210000000000003</v>
      </c>
      <c r="U545" s="3499">
        <f>+InputY!U289/1000</f>
        <v>5.6630000000000003</v>
      </c>
      <c r="V545" s="3499">
        <f>+InputY!V289/1000</f>
        <v>5.7610000000000001</v>
      </c>
      <c r="W545" s="3499">
        <f>+InputY!W289/1000</f>
        <v>6.0179999999999998</v>
      </c>
      <c r="X545" s="3499">
        <f>+InputY!X289/1000</f>
        <v>6.2380000000000004</v>
      </c>
      <c r="Y545" s="3558">
        <f t="shared" ref="Y545:AE546" si="714">+X545*(1+Y562/100)</f>
        <v>6.4376160000000002</v>
      </c>
      <c r="Z545" s="3558">
        <f t="shared" si="714"/>
        <v>6.5792435520000003</v>
      </c>
      <c r="AA545" s="3558">
        <f t="shared" si="714"/>
        <v>6.7239869101440002</v>
      </c>
      <c r="AB545" s="3558">
        <f t="shared" si="714"/>
        <v>6.8719146221671688</v>
      </c>
      <c r="AC545" s="3558">
        <f t="shared" si="714"/>
        <v>7.0230967438548468</v>
      </c>
      <c r="AD545" s="3558">
        <f t="shared" si="714"/>
        <v>7.1776048722196535</v>
      </c>
      <c r="AE545" s="3558">
        <f t="shared" si="714"/>
        <v>7.3355121794084859</v>
      </c>
      <c r="AK545" s="3558" t="e">
        <v>#REF!</v>
      </c>
      <c r="AM545" s="3558" t="e">
        <f t="shared" si="694"/>
        <v>#REF!</v>
      </c>
    </row>
    <row r="546" spans="1:46" ht="12.75" hidden="1" customHeight="1">
      <c r="A546" s="714"/>
      <c r="B546" s="714"/>
      <c r="C546" s="3493" t="s">
        <v>622</v>
      </c>
      <c r="D546" s="3494" t="s">
        <v>591</v>
      </c>
      <c r="E546" s="3557" t="s">
        <v>2383</v>
      </c>
      <c r="F546" s="3496"/>
      <c r="G546" s="3499">
        <f>+InputY!G290/1000</f>
        <v>2.9400999999999984</v>
      </c>
      <c r="H546" s="3499">
        <f>+InputY!H290/1000</f>
        <v>2.8953000000000029</v>
      </c>
      <c r="I546" s="3499">
        <f>+InputY!I290/1000</f>
        <v>2.9804000000000013</v>
      </c>
      <c r="J546" s="3499">
        <f>+InputY!J290/1000</f>
        <v>2.8888000000000029</v>
      </c>
      <c r="K546" s="3499">
        <f>+InputY!K290/1000</f>
        <v>2.9091999999999971</v>
      </c>
      <c r="L546" s="3499">
        <f>+InputY!L290/1000</f>
        <v>3.0805999999999987</v>
      </c>
      <c r="M546" s="3499">
        <f>+InputY!M290/1000</f>
        <v>3.1479000000000013</v>
      </c>
      <c r="N546" s="3499">
        <f>+InputY!N290/1000</f>
        <v>3.6485999999999987</v>
      </c>
      <c r="O546" s="3499">
        <f>+InputY!O290/1000</f>
        <v>3.8485999999999985</v>
      </c>
      <c r="P546" s="3499">
        <f>+InputY!P290/1000</f>
        <v>3.9924000000000013</v>
      </c>
      <c r="Q546" s="3499">
        <f>+InputY!Q290/1000</f>
        <v>4.0605000000000002</v>
      </c>
      <c r="R546" s="3499">
        <f>+InputY!R290/1000</f>
        <v>4.1348000000000029</v>
      </c>
      <c r="S546" s="3499">
        <f>+InputY!S290/1000</f>
        <v>4.5035999999999987</v>
      </c>
      <c r="T546" s="3499">
        <f>+InputY!T290/1000</f>
        <v>4.793300000000003</v>
      </c>
      <c r="U546" s="3499">
        <f>+InputY!U290/1000</f>
        <v>5.3345000000000002</v>
      </c>
      <c r="V546" s="3499">
        <f>+InputY!V290/1000</f>
        <v>5.13</v>
      </c>
      <c r="W546" s="3499">
        <f>+InputY!W290/1000</f>
        <v>5.025599999999999</v>
      </c>
      <c r="X546" s="3499">
        <f>+InputY!X290/1000</f>
        <v>5.2270000000000003</v>
      </c>
      <c r="Y546" s="3558">
        <f t="shared" si="714"/>
        <v>5.3054049999999995</v>
      </c>
      <c r="Z546" s="3558">
        <f t="shared" si="714"/>
        <v>5.3319320249999986</v>
      </c>
      <c r="AA546" s="3558">
        <f t="shared" si="714"/>
        <v>5.3585916851249982</v>
      </c>
      <c r="AB546" s="3558">
        <f t="shared" si="714"/>
        <v>5.3853846435506227</v>
      </c>
      <c r="AC546" s="3558">
        <f t="shared" si="714"/>
        <v>5.4123115667683752</v>
      </c>
      <c r="AD546" s="3558">
        <f t="shared" si="714"/>
        <v>5.4393731246022163</v>
      </c>
      <c r="AE546" s="3558">
        <f t="shared" si="714"/>
        <v>5.4665699902252269</v>
      </c>
      <c r="AK546" s="3558" t="e">
        <v>#REF!</v>
      </c>
      <c r="AM546" s="3558" t="e">
        <f t="shared" si="694"/>
        <v>#REF!</v>
      </c>
    </row>
    <row r="547" spans="1:46" ht="12.75" hidden="1" customHeight="1">
      <c r="A547" s="714"/>
      <c r="B547" s="714"/>
      <c r="C547" s="3540" t="s">
        <v>624</v>
      </c>
      <c r="D547" s="3541" t="s">
        <v>591</v>
      </c>
      <c r="E547" s="3563" t="s">
        <v>2381</v>
      </c>
      <c r="F547" s="3564"/>
      <c r="G547" s="3543">
        <f>+G541+G542+G543+G545+G546</f>
        <v>28.717099999999995</v>
      </c>
      <c r="H547" s="3543">
        <f t="shared" ref="H547:X547" si="715">+H541+H542+H543+H545+H546</f>
        <v>29.458300000000005</v>
      </c>
      <c r="I547" s="3543">
        <f t="shared" si="715"/>
        <v>30.472400000000007</v>
      </c>
      <c r="J547" s="3543">
        <f t="shared" si="715"/>
        <v>31.120800000000003</v>
      </c>
      <c r="K547" s="3543">
        <f t="shared" si="715"/>
        <v>31.781199999999998</v>
      </c>
      <c r="L547" s="3543">
        <f t="shared" si="715"/>
        <v>32.860599999999998</v>
      </c>
      <c r="M547" s="3543">
        <f t="shared" si="715"/>
        <v>34.154899999999998</v>
      </c>
      <c r="N547" s="3543">
        <f t="shared" si="715"/>
        <v>36.115600000000001</v>
      </c>
      <c r="O547" s="3543">
        <f t="shared" si="715"/>
        <v>37.543599999999998</v>
      </c>
      <c r="P547" s="3543">
        <f t="shared" si="715"/>
        <v>38.997400000000006</v>
      </c>
      <c r="Q547" s="3543">
        <f t="shared" si="715"/>
        <v>40.5565</v>
      </c>
      <c r="R547" s="3543">
        <f t="shared" si="715"/>
        <v>42.176800000000007</v>
      </c>
      <c r="S547" s="3543">
        <f t="shared" si="715"/>
        <v>45.0426</v>
      </c>
      <c r="T547" s="3543">
        <f t="shared" si="715"/>
        <v>48.292300000000004</v>
      </c>
      <c r="U547" s="3543">
        <f t="shared" si="715"/>
        <v>51.291500000000006</v>
      </c>
      <c r="V547" s="3543">
        <f t="shared" si="715"/>
        <v>52.902000000000001</v>
      </c>
      <c r="W547" s="3543">
        <f t="shared" si="715"/>
        <v>55.592599999999997</v>
      </c>
      <c r="X547" s="3543">
        <f t="shared" si="715"/>
        <v>58.591999999999999</v>
      </c>
      <c r="Y547" s="3543">
        <f t="shared" ref="Y547:AD547" si="716">+Y541+Y542+Y543+Y545+Y546</f>
        <v>60.965853000000003</v>
      </c>
      <c r="Z547" s="3543">
        <f t="shared" si="716"/>
        <v>63.108311535000006</v>
      </c>
      <c r="AA547" s="3543">
        <f t="shared" si="716"/>
        <v>65.342710796451001</v>
      </c>
      <c r="AB547" s="3543">
        <f t="shared" si="716"/>
        <v>67.673413168202103</v>
      </c>
      <c r="AC547" s="3543">
        <f t="shared" si="716"/>
        <v>70.105008447542843</v>
      </c>
      <c r="AD547" s="3543">
        <f t="shared" si="716"/>
        <v>72.64232673045133</v>
      </c>
      <c r="AE547" s="3543">
        <f t="shared" ref="AE547" si="717">+AE541+AE542+AE543+AE545+AE546</f>
        <v>75.290452076159141</v>
      </c>
      <c r="AK547" s="3543" t="e">
        <v>#REF!</v>
      </c>
      <c r="AM547" s="3543" t="e">
        <f t="shared" si="694"/>
        <v>#REF!</v>
      </c>
    </row>
    <row r="548" spans="1:46" s="1047" customFormat="1" ht="12.75" hidden="1" customHeight="1">
      <c r="A548" s="1039"/>
      <c r="B548" s="1039"/>
      <c r="C548" s="3565"/>
      <c r="D548" s="3566"/>
      <c r="E548" s="3567" t="s">
        <v>2389</v>
      </c>
      <c r="F548" s="3568"/>
      <c r="G548" s="3569"/>
      <c r="H548" s="3569"/>
      <c r="I548" s="3569"/>
      <c r="J548" s="3569"/>
      <c r="K548" s="3569"/>
      <c r="L548" s="3569"/>
      <c r="M548" s="3569"/>
      <c r="N548" s="3569"/>
      <c r="O548" s="3569"/>
      <c r="P548" s="3569"/>
      <c r="Q548" s="3569"/>
      <c r="R548" s="3569"/>
      <c r="S548" s="3569"/>
      <c r="T548" s="3569"/>
      <c r="U548" s="3569"/>
      <c r="V548" s="3570">
        <f>-55/1000</f>
        <v>-5.5E-2</v>
      </c>
      <c r="W548" s="3570">
        <f>-52/1000</f>
        <v>-5.1999999999999998E-2</v>
      </c>
      <c r="X548" s="3570">
        <f>-315.8/1000</f>
        <v>-0.31580000000000003</v>
      </c>
      <c r="Y548" s="3570">
        <f>-473.2/1000</f>
        <v>-0.47320000000000001</v>
      </c>
      <c r="Z548" s="3570">
        <f t="shared" ref="Z548:AE548" si="718">-367/1000</f>
        <v>-0.36699999999999999</v>
      </c>
      <c r="AA548" s="3570">
        <f t="shared" si="718"/>
        <v>-0.36699999999999999</v>
      </c>
      <c r="AB548" s="3570">
        <f t="shared" si="718"/>
        <v>-0.36699999999999999</v>
      </c>
      <c r="AC548" s="3570">
        <f t="shared" si="718"/>
        <v>-0.36699999999999999</v>
      </c>
      <c r="AD548" s="3570">
        <f t="shared" si="718"/>
        <v>-0.36699999999999999</v>
      </c>
      <c r="AE548" s="3570">
        <f t="shared" si="718"/>
        <v>-0.36699999999999999</v>
      </c>
      <c r="AF548" s="2834"/>
      <c r="AG548" s="2834"/>
      <c r="AH548" s="2834"/>
      <c r="AI548" s="2834"/>
      <c r="AJ548" s="2834"/>
      <c r="AK548" s="3570">
        <v>-0.36699999999999999</v>
      </c>
      <c r="AL548" s="2834"/>
      <c r="AM548" s="3570">
        <f t="shared" si="694"/>
        <v>0</v>
      </c>
      <c r="AN548" s="2834"/>
      <c r="AO548" s="2834"/>
      <c r="AP548" s="2834"/>
      <c r="AQ548" s="2834"/>
      <c r="AR548" s="2834"/>
      <c r="AS548" s="2834"/>
      <c r="AT548" s="2834"/>
    </row>
    <row r="549" spans="1:46" ht="12.75" hidden="1" customHeight="1">
      <c r="A549" s="1869"/>
      <c r="B549" s="714"/>
      <c r="C549" s="3493" t="s">
        <v>622</v>
      </c>
      <c r="D549" s="3494" t="s">
        <v>591</v>
      </c>
      <c r="E549" s="3557" t="s">
        <v>2388</v>
      </c>
      <c r="F549" s="3496"/>
      <c r="G549" s="3499">
        <f>+InputY!G286/1000</f>
        <v>4.2190000000000003</v>
      </c>
      <c r="H549" s="3499">
        <f>+InputY!H286/1000</f>
        <v>4.4420000000000002</v>
      </c>
      <c r="I549" s="3499">
        <f>+InputY!I286/1000</f>
        <v>4.4749999999999996</v>
      </c>
      <c r="J549" s="3499">
        <f>+InputY!J286/1000</f>
        <v>4.5199999999999996</v>
      </c>
      <c r="K549" s="3499">
        <f>+InputY!K286/1000</f>
        <v>4.5039999999999996</v>
      </c>
      <c r="L549" s="3499">
        <f>+InputY!L286/1000</f>
        <v>4.3810000000000002</v>
      </c>
      <c r="M549" s="3499">
        <f>+InputY!M286/1000</f>
        <v>4.6369999999999996</v>
      </c>
      <c r="N549" s="3499">
        <f>+InputY!N286/1000</f>
        <v>5.3559999999999999</v>
      </c>
      <c r="O549" s="3499">
        <f>+InputY!O286/1000</f>
        <v>5.7469999999999999</v>
      </c>
      <c r="P549" s="3499">
        <f>+InputY!P286/1000</f>
        <v>6.024</v>
      </c>
      <c r="Q549" s="3499">
        <f>+InputY!Q286/1000</f>
        <v>6.1210000000000004</v>
      </c>
      <c r="R549" s="3499">
        <f>+InputY!R286/1000</f>
        <v>6.0970000000000004</v>
      </c>
      <c r="S549" s="3499">
        <f>+InputY!S286/1000</f>
        <v>5.7460000000000004</v>
      </c>
      <c r="T549" s="3499">
        <f>+InputY!T286/1000</f>
        <v>5.774</v>
      </c>
      <c r="U549" s="3499">
        <f>+InputY!U286/1000</f>
        <v>6.9029999999999996</v>
      </c>
      <c r="V549" s="3499">
        <f>+InputY!V286/1000</f>
        <v>6.8170000000000002</v>
      </c>
      <c r="W549" s="3499">
        <f>+InputY!W286/1000</f>
        <v>6.6050000000000004</v>
      </c>
      <c r="X549" s="3499">
        <f>+InputY!X286/1000</f>
        <v>6.8159999999999998</v>
      </c>
      <c r="Y549" s="3558">
        <f t="shared" ref="Y549:AE549" si="719">+X549*(1+Y568/100)</f>
        <v>7.0272959999999989</v>
      </c>
      <c r="Z549" s="3558">
        <f t="shared" si="719"/>
        <v>7.1748692159999985</v>
      </c>
      <c r="AA549" s="3558">
        <f t="shared" si="719"/>
        <v>7.0887707854079984</v>
      </c>
      <c r="AB549" s="3558">
        <f t="shared" si="719"/>
        <v>7.0037055359831024</v>
      </c>
      <c r="AC549" s="3558">
        <f t="shared" si="719"/>
        <v>6.9196610695513048</v>
      </c>
      <c r="AD549" s="3558">
        <f t="shared" si="719"/>
        <v>6.8366251367166893</v>
      </c>
      <c r="AE549" s="3558">
        <f t="shared" si="719"/>
        <v>6.7545856350760891</v>
      </c>
      <c r="AK549" s="3558" t="e">
        <v>#REF!</v>
      </c>
      <c r="AM549" s="3558" t="e">
        <f t="shared" si="694"/>
        <v>#REF!</v>
      </c>
    </row>
    <row r="550" spans="1:46" s="1047" customFormat="1" ht="12.75" hidden="1" customHeight="1">
      <c r="A550" s="1039"/>
      <c r="B550" s="1039"/>
      <c r="C550" s="3565"/>
      <c r="D550" s="3566"/>
      <c r="E550" s="3567" t="s">
        <v>2389</v>
      </c>
      <c r="F550" s="3568"/>
      <c r="G550" s="3569"/>
      <c r="H550" s="3569"/>
      <c r="I550" s="3569"/>
      <c r="J550" s="3569"/>
      <c r="K550" s="3569"/>
      <c r="L550" s="3569"/>
      <c r="M550" s="3569"/>
      <c r="N550" s="3569"/>
      <c r="O550" s="3569"/>
      <c r="P550" s="3569"/>
      <c r="Q550" s="3569"/>
      <c r="R550" s="3569"/>
      <c r="S550" s="3569"/>
      <c r="T550" s="3569"/>
      <c r="U550" s="3569"/>
      <c r="V550" s="3570"/>
      <c r="W550" s="3570"/>
      <c r="X550" s="3570"/>
      <c r="Y550" s="3570"/>
      <c r="Z550" s="3570"/>
      <c r="AA550" s="3570"/>
      <c r="AB550" s="3570"/>
      <c r="AC550" s="3570"/>
      <c r="AD550" s="3570"/>
      <c r="AE550" s="3570"/>
      <c r="AF550" s="2834"/>
      <c r="AG550" s="2834"/>
      <c r="AH550" s="2834"/>
      <c r="AI550" s="2834"/>
      <c r="AJ550" s="2834"/>
      <c r="AK550" s="3570"/>
      <c r="AL550" s="2834"/>
      <c r="AM550" s="3570">
        <f t="shared" si="694"/>
        <v>0</v>
      </c>
      <c r="AN550" s="2834"/>
      <c r="AO550" s="2834"/>
      <c r="AP550" s="2834"/>
      <c r="AQ550" s="2834"/>
      <c r="AR550" s="2834"/>
      <c r="AS550" s="2834"/>
      <c r="AT550" s="2834"/>
    </row>
    <row r="551" spans="1:46" ht="12.75" hidden="1" customHeight="1">
      <c r="A551" s="714"/>
      <c r="B551" s="714"/>
      <c r="C551" s="3504" t="s">
        <v>624</v>
      </c>
      <c r="D551" s="3505"/>
      <c r="E551" s="3506" t="s">
        <v>1439</v>
      </c>
      <c r="F551" s="3507"/>
      <c r="G551" s="3508">
        <f t="shared" ref="G551:Z551" si="720">+G547+G549</f>
        <v>32.936099999999996</v>
      </c>
      <c r="H551" s="3508">
        <f t="shared" si="720"/>
        <v>33.900300000000001</v>
      </c>
      <c r="I551" s="3508">
        <f t="shared" si="720"/>
        <v>34.947400000000009</v>
      </c>
      <c r="J551" s="3508">
        <f t="shared" si="720"/>
        <v>35.640799999999999</v>
      </c>
      <c r="K551" s="3508">
        <f t="shared" si="720"/>
        <v>36.285199999999996</v>
      </c>
      <c r="L551" s="3508">
        <f t="shared" si="720"/>
        <v>37.241599999999998</v>
      </c>
      <c r="M551" s="3508">
        <f t="shared" si="720"/>
        <v>38.791899999999998</v>
      </c>
      <c r="N551" s="3508">
        <f t="shared" si="720"/>
        <v>41.471600000000002</v>
      </c>
      <c r="O551" s="3508">
        <f t="shared" si="720"/>
        <v>43.290599999999998</v>
      </c>
      <c r="P551" s="3508">
        <f t="shared" si="720"/>
        <v>45.021400000000007</v>
      </c>
      <c r="Q551" s="3508">
        <f t="shared" si="720"/>
        <v>46.677500000000002</v>
      </c>
      <c r="R551" s="3508">
        <f t="shared" si="720"/>
        <v>48.273800000000008</v>
      </c>
      <c r="S551" s="3508">
        <f t="shared" si="720"/>
        <v>50.788600000000002</v>
      </c>
      <c r="T551" s="3508">
        <f t="shared" si="720"/>
        <v>54.066300000000005</v>
      </c>
      <c r="U551" s="3508">
        <f t="shared" si="720"/>
        <v>58.194500000000005</v>
      </c>
      <c r="V551" s="3508">
        <f t="shared" si="720"/>
        <v>59.719000000000001</v>
      </c>
      <c r="W551" s="3508">
        <f t="shared" si="720"/>
        <v>62.197599999999994</v>
      </c>
      <c r="X551" s="3508">
        <f t="shared" si="720"/>
        <v>65.408000000000001</v>
      </c>
      <c r="Y551" s="3508">
        <f t="shared" si="720"/>
        <v>67.993149000000003</v>
      </c>
      <c r="Z551" s="3508">
        <f t="shared" si="720"/>
        <v>70.283180751000003</v>
      </c>
      <c r="AA551" s="3508">
        <f>+AA547+AA549</f>
        <v>72.431481581859003</v>
      </c>
      <c r="AB551" s="3508">
        <f>+AB547+AB549</f>
        <v>74.677118704185204</v>
      </c>
      <c r="AC551" s="3508">
        <f>+AC547+AC549</f>
        <v>77.024669517094154</v>
      </c>
      <c r="AD551" s="3508">
        <f>+AD547+AD549</f>
        <v>79.478951867168021</v>
      </c>
      <c r="AE551" s="3508">
        <f>+AE547+AE549</f>
        <v>82.045037711235224</v>
      </c>
      <c r="AK551" s="3508" t="e">
        <v>#REF!</v>
      </c>
      <c r="AM551" s="3508" t="e">
        <f t="shared" si="694"/>
        <v>#REF!</v>
      </c>
    </row>
    <row r="552" spans="1:46" s="1881" customFormat="1" ht="12.75" hidden="1" customHeight="1">
      <c r="A552" s="1039"/>
      <c r="B552" s="1039"/>
      <c r="C552" s="3571"/>
      <c r="D552" s="3572"/>
      <c r="E552" s="3573" t="s">
        <v>474</v>
      </c>
      <c r="F552" s="3574"/>
      <c r="G552" s="3575">
        <f t="shared" ref="G552:Z552" si="721">ABS(+G551-G520)</f>
        <v>0</v>
      </c>
      <c r="H552" s="3575">
        <f t="shared" si="721"/>
        <v>0</v>
      </c>
      <c r="I552" s="3575">
        <f t="shared" si="721"/>
        <v>7.1054273576010019E-15</v>
      </c>
      <c r="J552" s="3575">
        <f t="shared" si="721"/>
        <v>7.1054273576010019E-15</v>
      </c>
      <c r="K552" s="3575">
        <f t="shared" si="721"/>
        <v>0</v>
      </c>
      <c r="L552" s="3575">
        <f t="shared" si="721"/>
        <v>0</v>
      </c>
      <c r="M552" s="3575">
        <f t="shared" si="721"/>
        <v>0</v>
      </c>
      <c r="N552" s="3575">
        <f t="shared" si="721"/>
        <v>7.1054273576010019E-15</v>
      </c>
      <c r="O552" s="3575">
        <f t="shared" si="721"/>
        <v>0</v>
      </c>
      <c r="P552" s="3575">
        <f t="shared" si="721"/>
        <v>7.1054273576010019E-15</v>
      </c>
      <c r="Q552" s="3575">
        <f t="shared" si="721"/>
        <v>0</v>
      </c>
      <c r="R552" s="3575">
        <f t="shared" si="721"/>
        <v>7.1054273576010019E-15</v>
      </c>
      <c r="S552" s="3575">
        <f t="shared" si="721"/>
        <v>7.1054273576010019E-15</v>
      </c>
      <c r="T552" s="3575">
        <f t="shared" si="721"/>
        <v>0</v>
      </c>
      <c r="U552" s="3575">
        <f t="shared" si="721"/>
        <v>7.1054273576010019E-15</v>
      </c>
      <c r="V552" s="3575">
        <f t="shared" si="721"/>
        <v>0</v>
      </c>
      <c r="W552" s="3575">
        <f t="shared" si="721"/>
        <v>7.1054273576010019E-15</v>
      </c>
      <c r="X552" s="3575">
        <f t="shared" si="721"/>
        <v>0</v>
      </c>
      <c r="Y552" s="3575">
        <f t="shared" si="721"/>
        <v>0.19375099999999179</v>
      </c>
      <c r="Z552" s="3575">
        <f t="shared" si="721"/>
        <v>1.1012807510000044</v>
      </c>
      <c r="AA552" s="3575">
        <f>ABS(+AA551-AA520)</f>
        <v>1.7757815818590075</v>
      </c>
      <c r="AB552" s="3575">
        <f>ABS(+AB551-AB520)</f>
        <v>1.8390187041851931</v>
      </c>
      <c r="AC552" s="3575">
        <f>ABS(+AC551-AC520)</f>
        <v>1.8062695170941652</v>
      </c>
      <c r="AD552" s="3575">
        <f>ABS(+AD551-AD520)</f>
        <v>2.0566527471680303</v>
      </c>
      <c r="AE552" s="3575">
        <f>ABS(+AE551-AE520)</f>
        <v>1.3787442581072327</v>
      </c>
      <c r="AF552" s="2829"/>
      <c r="AG552" s="2829"/>
      <c r="AH552" s="2829"/>
      <c r="AI552" s="2829"/>
      <c r="AJ552" s="2829"/>
      <c r="AK552" s="3575" t="e">
        <v>#REF!</v>
      </c>
      <c r="AL552" s="2829"/>
      <c r="AM552" s="3575" t="e">
        <f t="shared" si="694"/>
        <v>#REF!</v>
      </c>
      <c r="AN552" s="2829"/>
      <c r="AO552" s="2829"/>
      <c r="AP552" s="2829"/>
      <c r="AQ552" s="2829"/>
      <c r="AR552" s="2829"/>
      <c r="AS552" s="2829"/>
      <c r="AT552" s="2829"/>
    </row>
    <row r="553" spans="1:46" ht="12.75" hidden="1" customHeight="1">
      <c r="A553" s="714"/>
      <c r="B553" s="714"/>
      <c r="C553" s="3524"/>
      <c r="D553" s="3576"/>
      <c r="E553" s="3577"/>
      <c r="F553" s="3524"/>
      <c r="G553" s="3577"/>
      <c r="H553" s="3577"/>
      <c r="I553" s="3577"/>
      <c r="J553" s="3577"/>
      <c r="K553" s="3577"/>
      <c r="L553" s="3577"/>
      <c r="M553" s="3577"/>
      <c r="N553" s="3577"/>
      <c r="O553" s="3577"/>
      <c r="P553" s="3577"/>
      <c r="Q553" s="3578"/>
      <c r="R553" s="3578"/>
      <c r="S553" s="3579"/>
      <c r="T553" s="3580"/>
      <c r="U553" s="3580"/>
      <c r="V553" s="3580"/>
      <c r="W553" s="3580"/>
      <c r="X553" s="3580"/>
      <c r="Y553" s="3580"/>
      <c r="Z553" s="3580"/>
      <c r="AA553" s="3580"/>
      <c r="AB553" s="3580"/>
      <c r="AC553" s="3580"/>
      <c r="AD553" s="3580"/>
      <c r="AE553" s="3580"/>
      <c r="AK553" s="3580"/>
      <c r="AM553" s="3580">
        <f t="shared" si="694"/>
        <v>0</v>
      </c>
    </row>
    <row r="554" spans="1:46" ht="12.75" hidden="1" customHeight="1">
      <c r="A554" s="714"/>
      <c r="B554" s="714"/>
      <c r="C554" s="3482"/>
      <c r="D554" s="3581"/>
      <c r="E554" s="3582" t="s">
        <v>2418</v>
      </c>
      <c r="F554" s="3582"/>
      <c r="G554" s="3583">
        <f>+InputY!$G$3</f>
        <v>1995</v>
      </c>
      <c r="H554" s="3583">
        <f t="shared" ref="H554:AE554" si="722">+G554+1</f>
        <v>1996</v>
      </c>
      <c r="I554" s="3583">
        <f t="shared" si="722"/>
        <v>1997</v>
      </c>
      <c r="J554" s="3583">
        <f t="shared" si="722"/>
        <v>1998</v>
      </c>
      <c r="K554" s="3583">
        <f t="shared" si="722"/>
        <v>1999</v>
      </c>
      <c r="L554" s="3583">
        <f t="shared" si="722"/>
        <v>2000</v>
      </c>
      <c r="M554" s="3583">
        <f t="shared" si="722"/>
        <v>2001</v>
      </c>
      <c r="N554" s="3583">
        <f t="shared" si="722"/>
        <v>2002</v>
      </c>
      <c r="O554" s="3583">
        <f t="shared" si="722"/>
        <v>2003</v>
      </c>
      <c r="P554" s="3583">
        <f t="shared" si="722"/>
        <v>2004</v>
      </c>
      <c r="Q554" s="3583">
        <f t="shared" si="722"/>
        <v>2005</v>
      </c>
      <c r="R554" s="3583">
        <f t="shared" si="722"/>
        <v>2006</v>
      </c>
      <c r="S554" s="3584">
        <f t="shared" si="722"/>
        <v>2007</v>
      </c>
      <c r="T554" s="3584">
        <f t="shared" si="722"/>
        <v>2008</v>
      </c>
      <c r="U554" s="3584">
        <f t="shared" si="722"/>
        <v>2009</v>
      </c>
      <c r="V554" s="3584">
        <f t="shared" si="722"/>
        <v>2010</v>
      </c>
      <c r="W554" s="3584">
        <f t="shared" si="722"/>
        <v>2011</v>
      </c>
      <c r="X554" s="3584">
        <f t="shared" si="722"/>
        <v>2012</v>
      </c>
      <c r="Y554" s="3584">
        <f t="shared" si="722"/>
        <v>2013</v>
      </c>
      <c r="Z554" s="3584">
        <f t="shared" si="722"/>
        <v>2014</v>
      </c>
      <c r="AA554" s="3584">
        <f t="shared" si="722"/>
        <v>2015</v>
      </c>
      <c r="AB554" s="3584">
        <f t="shared" si="722"/>
        <v>2016</v>
      </c>
      <c r="AC554" s="3584">
        <f t="shared" si="722"/>
        <v>2017</v>
      </c>
      <c r="AD554" s="3584">
        <f t="shared" si="722"/>
        <v>2018</v>
      </c>
      <c r="AE554" s="3584">
        <f t="shared" si="722"/>
        <v>2019</v>
      </c>
      <c r="AK554" s="3584">
        <v>2014</v>
      </c>
      <c r="AM554" s="3584">
        <f t="shared" si="694"/>
        <v>0</v>
      </c>
    </row>
    <row r="555" spans="1:46" ht="12.75" hidden="1" customHeight="1">
      <c r="A555" s="714"/>
      <c r="B555" s="714"/>
      <c r="C555" s="3585" t="s">
        <v>622</v>
      </c>
      <c r="D555" s="3494" t="s">
        <v>591</v>
      </c>
      <c r="E555" s="3586" t="s">
        <v>2387</v>
      </c>
      <c r="F555" s="3587"/>
      <c r="G555" s="3588"/>
      <c r="H555" s="3588">
        <f t="shared" ref="H555:X555" si="723">(H541/G541-1)*100</f>
        <v>2.4576954069298829</v>
      </c>
      <c r="I555" s="3588">
        <f t="shared" si="723"/>
        <v>0.15729453401494009</v>
      </c>
      <c r="J555" s="3588">
        <f t="shared" si="723"/>
        <v>3.4550451511582203</v>
      </c>
      <c r="K555" s="3588">
        <f t="shared" si="723"/>
        <v>3.3017077798861649</v>
      </c>
      <c r="L555" s="3588">
        <f t="shared" si="723"/>
        <v>4.3350477590007319</v>
      </c>
      <c r="M555" s="3588">
        <f t="shared" si="723"/>
        <v>6.443661971830994</v>
      </c>
      <c r="N555" s="3588">
        <f t="shared" si="723"/>
        <v>6.1197485941118179</v>
      </c>
      <c r="O555" s="3588">
        <f t="shared" si="723"/>
        <v>4.9251870324189539</v>
      </c>
      <c r="P555" s="3588">
        <f t="shared" si="723"/>
        <v>3.5353535353535248</v>
      </c>
      <c r="Q555" s="3588">
        <f t="shared" si="723"/>
        <v>4.3328550932568266</v>
      </c>
      <c r="R555" s="3588">
        <f t="shared" si="723"/>
        <v>5.5830583058305683</v>
      </c>
      <c r="S555" s="3588">
        <f t="shared" si="723"/>
        <v>7.944777285751492</v>
      </c>
      <c r="T555" s="3588">
        <f t="shared" si="723"/>
        <v>9.8938223938223935</v>
      </c>
      <c r="U555" s="3588">
        <f t="shared" si="723"/>
        <v>8.0808080808080653</v>
      </c>
      <c r="V555" s="3588">
        <f t="shared" si="723"/>
        <v>8.3908980089394625</v>
      </c>
      <c r="W555" s="3588">
        <f t="shared" si="723"/>
        <v>8.7535145267104042</v>
      </c>
      <c r="X555" s="3588">
        <f t="shared" si="723"/>
        <v>6.3771113409169189</v>
      </c>
      <c r="Y555" s="2129">
        <v>7.8</v>
      </c>
      <c r="Z555" s="2129">
        <v>6.8</v>
      </c>
      <c r="AA555" s="2129">
        <v>6.8</v>
      </c>
      <c r="AB555" s="2129">
        <v>6.8</v>
      </c>
      <c r="AC555" s="2129">
        <v>6.8</v>
      </c>
      <c r="AD555" s="2129">
        <v>6.8</v>
      </c>
      <c r="AE555" s="2129">
        <v>6.8</v>
      </c>
      <c r="AK555" s="2129">
        <v>6.8</v>
      </c>
      <c r="AM555" s="2129">
        <f t="shared" si="694"/>
        <v>0</v>
      </c>
    </row>
    <row r="556" spans="1:46" ht="12.75" hidden="1" customHeight="1">
      <c r="A556" s="714"/>
      <c r="B556" s="714"/>
      <c r="C556" s="3589" t="s">
        <v>622</v>
      </c>
      <c r="D556" s="3494" t="s">
        <v>591</v>
      </c>
      <c r="E556" s="3557" t="s">
        <v>2386</v>
      </c>
      <c r="F556" s="3496"/>
      <c r="G556" s="3499"/>
      <c r="H556" s="3499">
        <f t="shared" ref="H556:X556" si="724">(H542/G542-1)*100</f>
        <v>0.70175438596491446</v>
      </c>
      <c r="I556" s="3499">
        <f t="shared" si="724"/>
        <v>0.76655052264806844</v>
      </c>
      <c r="J556" s="3499">
        <f t="shared" si="724"/>
        <v>-2.1438450899031736</v>
      </c>
      <c r="K556" s="3499">
        <f t="shared" si="724"/>
        <v>-0.21201413427562876</v>
      </c>
      <c r="L556" s="3499">
        <f t="shared" si="724"/>
        <v>-0.92067988668554923</v>
      </c>
      <c r="M556" s="3499">
        <f t="shared" si="724"/>
        <v>2.0014295925661285</v>
      </c>
      <c r="N556" s="3499">
        <f t="shared" si="724"/>
        <v>4.8353188507358036</v>
      </c>
      <c r="O556" s="3499">
        <f t="shared" si="724"/>
        <v>8.0213903743315598</v>
      </c>
      <c r="P556" s="3499">
        <f t="shared" si="724"/>
        <v>6.8688118811881083</v>
      </c>
      <c r="Q556" s="3499">
        <f t="shared" si="724"/>
        <v>4.979733642154005</v>
      </c>
      <c r="R556" s="3499">
        <f t="shared" si="724"/>
        <v>4.2471042471042386</v>
      </c>
      <c r="S556" s="3499">
        <f t="shared" si="724"/>
        <v>6.1375661375661306</v>
      </c>
      <c r="T556" s="3499">
        <f t="shared" si="724"/>
        <v>6.8295114656031997</v>
      </c>
      <c r="U556" s="3499">
        <f t="shared" si="724"/>
        <v>5.0396640223985045</v>
      </c>
      <c r="V556" s="3499">
        <f t="shared" si="724"/>
        <v>5.4642381163927167</v>
      </c>
      <c r="W556" s="3499">
        <f t="shared" si="724"/>
        <v>3.2855939342881113</v>
      </c>
      <c r="X556" s="3499">
        <f t="shared" si="724"/>
        <v>0.24469820554651189</v>
      </c>
      <c r="Y556" s="2129">
        <v>-0.1</v>
      </c>
      <c r="Z556" s="2129">
        <v>-0.1</v>
      </c>
      <c r="AA556" s="2129">
        <v>-0.1</v>
      </c>
      <c r="AB556" s="2129">
        <v>-0.1</v>
      </c>
      <c r="AC556" s="2129">
        <v>-0.1</v>
      </c>
      <c r="AD556" s="2129">
        <v>-0.1</v>
      </c>
      <c r="AE556" s="2129">
        <v>-0.1</v>
      </c>
      <c r="AK556" s="2129">
        <v>-0.1</v>
      </c>
      <c r="AM556" s="2129">
        <f t="shared" si="694"/>
        <v>0</v>
      </c>
    </row>
    <row r="557" spans="1:46" ht="12.75" hidden="1" customHeight="1">
      <c r="A557" s="714"/>
      <c r="B557" s="714"/>
      <c r="C557" s="3589" t="s">
        <v>622</v>
      </c>
      <c r="D557" s="3494" t="s">
        <v>591</v>
      </c>
      <c r="E557" s="3557" t="s">
        <v>2385</v>
      </c>
      <c r="F557" s="3496"/>
      <c r="G557" s="3499"/>
      <c r="H557" s="3499">
        <f t="shared" ref="H557:X557" si="725">(H543/G543-1)*100</f>
        <v>3.188341057568822</v>
      </c>
      <c r="I557" s="3499">
        <f t="shared" si="725"/>
        <v>4.5454545454545414</v>
      </c>
      <c r="J557" s="3499">
        <f t="shared" si="725"/>
        <v>3.2142857142857029</v>
      </c>
      <c r="K557" s="3499">
        <f t="shared" si="725"/>
        <v>2.6879293917055458</v>
      </c>
      <c r="L557" s="3499">
        <f t="shared" si="725"/>
        <v>3.6138106167895589</v>
      </c>
      <c r="M557" s="3499">
        <f t="shared" si="725"/>
        <v>4.2748739218551268</v>
      </c>
      <c r="N557" s="3499">
        <f t="shared" si="725"/>
        <v>4.8589766769119747</v>
      </c>
      <c r="O557" s="3499">
        <f t="shared" si="725"/>
        <v>3.7803353592827271</v>
      </c>
      <c r="P557" s="3499">
        <f t="shared" si="725"/>
        <v>4.095364678518032</v>
      </c>
      <c r="Q557" s="3499">
        <f t="shared" si="725"/>
        <v>4.5287686537387239</v>
      </c>
      <c r="R557" s="3499">
        <f t="shared" si="725"/>
        <v>4.172233461846786</v>
      </c>
      <c r="S557" s="3499">
        <f t="shared" si="725"/>
        <v>7.1271528032246234</v>
      </c>
      <c r="T557" s="3499">
        <f t="shared" si="725"/>
        <v>7.3405165041901865</v>
      </c>
      <c r="U557" s="3499">
        <f t="shared" si="725"/>
        <v>5.5447563812498046</v>
      </c>
      <c r="V557" s="3499">
        <f t="shared" si="725"/>
        <v>3.5657135956039809</v>
      </c>
      <c r="W557" s="3499">
        <f t="shared" si="725"/>
        <v>5.8101568421666361</v>
      </c>
      <c r="X557" s="3499">
        <f t="shared" si="725"/>
        <v>6.0669513707122036</v>
      </c>
      <c r="Y557" s="2129">
        <v>4.2</v>
      </c>
      <c r="Z557" s="2129">
        <v>3.8</v>
      </c>
      <c r="AA557" s="2129">
        <v>3.8</v>
      </c>
      <c r="AB557" s="2129">
        <v>3.8</v>
      </c>
      <c r="AC557" s="2129">
        <v>3.8</v>
      </c>
      <c r="AD557" s="2129">
        <v>3.8</v>
      </c>
      <c r="AE557" s="2129">
        <v>3.8</v>
      </c>
      <c r="AK557" s="2129">
        <v>3.8</v>
      </c>
      <c r="AM557" s="2129">
        <f t="shared" si="694"/>
        <v>0</v>
      </c>
    </row>
    <row r="558" spans="1:46" s="1047" customFormat="1" ht="12.75" hidden="1" customHeight="1">
      <c r="A558" s="1039"/>
      <c r="B558" s="1039"/>
      <c r="C558" s="3590"/>
      <c r="D558" s="3559"/>
      <c r="E558" s="3591" t="s">
        <v>2390</v>
      </c>
      <c r="F558" s="3592"/>
      <c r="G558" s="3532"/>
      <c r="H558" s="3532">
        <f t="shared" ref="H558:Y558" si="726">H566</f>
        <v>1.3</v>
      </c>
      <c r="I558" s="3532">
        <f t="shared" si="726"/>
        <v>1.2</v>
      </c>
      <c r="J558" s="3532">
        <f t="shared" si="726"/>
        <v>1.5</v>
      </c>
      <c r="K558" s="3532">
        <f t="shared" si="726"/>
        <v>1.2</v>
      </c>
      <c r="L558" s="3532">
        <f t="shared" si="726"/>
        <v>1.5</v>
      </c>
      <c r="M558" s="3532">
        <f t="shared" si="726"/>
        <v>2.5</v>
      </c>
      <c r="N558" s="3532">
        <f t="shared" si="726"/>
        <v>2.7</v>
      </c>
      <c r="O558" s="3532">
        <f t="shared" si="726"/>
        <v>1.3</v>
      </c>
      <c r="P558" s="3532">
        <f t="shared" si="726"/>
        <v>1.3</v>
      </c>
      <c r="Q558" s="3532">
        <f t="shared" si="726"/>
        <v>2.2999999999999998</v>
      </c>
      <c r="R558" s="3532">
        <f t="shared" si="726"/>
        <v>1.7</v>
      </c>
      <c r="S558" s="3532">
        <f t="shared" si="726"/>
        <v>1.5</v>
      </c>
      <c r="T558" s="3532">
        <f t="shared" si="726"/>
        <v>4.0999999999999996</v>
      </c>
      <c r="U558" s="3532">
        <f t="shared" si="726"/>
        <v>2</v>
      </c>
      <c r="V558" s="3532">
        <f t="shared" si="726"/>
        <v>0.7</v>
      </c>
      <c r="W558" s="3532">
        <f t="shared" si="726"/>
        <v>2.7</v>
      </c>
      <c r="X558" s="3532">
        <f t="shared" si="726"/>
        <v>2.7</v>
      </c>
      <c r="Y558" s="3532">
        <f t="shared" si="726"/>
        <v>2</v>
      </c>
      <c r="Z558" s="3532">
        <f t="shared" ref="Z558:AD558" si="727">Z566</f>
        <v>1.2</v>
      </c>
      <c r="AA558" s="3532">
        <f t="shared" si="727"/>
        <v>1.2</v>
      </c>
      <c r="AB558" s="3532">
        <f t="shared" si="727"/>
        <v>1.2</v>
      </c>
      <c r="AC558" s="3532">
        <f t="shared" si="727"/>
        <v>1.2</v>
      </c>
      <c r="AD558" s="3532">
        <f t="shared" si="727"/>
        <v>1.2</v>
      </c>
      <c r="AE558" s="3532">
        <f t="shared" ref="AE558" si="728">AE566</f>
        <v>1.2</v>
      </c>
      <c r="AF558" s="2834"/>
      <c r="AG558" s="2834"/>
      <c r="AH558" s="2834"/>
      <c r="AI558" s="2834"/>
      <c r="AJ558" s="2834"/>
      <c r="AK558" s="3532">
        <v>1.2</v>
      </c>
      <c r="AL558" s="2834"/>
      <c r="AM558" s="3532">
        <f t="shared" si="694"/>
        <v>0</v>
      </c>
      <c r="AN558" s="2834"/>
      <c r="AO558" s="2834"/>
      <c r="AP558" s="2834"/>
      <c r="AQ558" s="2834"/>
      <c r="AR558" s="2834"/>
      <c r="AS558" s="2834"/>
      <c r="AT558" s="2834"/>
    </row>
    <row r="559" spans="1:46" s="1047" customFormat="1" ht="12.75" hidden="1" customHeight="1">
      <c r="A559" s="1039"/>
      <c r="B559" s="1039"/>
      <c r="C559" s="3590"/>
      <c r="D559" s="3559"/>
      <c r="E559" s="3591" t="s">
        <v>2411</v>
      </c>
      <c r="F559" s="3592"/>
      <c r="G559" s="3532"/>
      <c r="H559" s="3532"/>
      <c r="I559" s="3532"/>
      <c r="J559" s="3532"/>
      <c r="K559" s="3532"/>
      <c r="L559" s="3532"/>
      <c r="M559" s="3532"/>
      <c r="N559" s="3532"/>
      <c r="O559" s="3532"/>
      <c r="P559" s="3532"/>
      <c r="Q559" s="3532"/>
      <c r="R559" s="3532"/>
      <c r="S559" s="3532"/>
      <c r="T559" s="3532"/>
      <c r="U559" s="3532"/>
      <c r="V559" s="3532">
        <f>100*(V544/1000)/U543</f>
        <v>0.56157724706379641</v>
      </c>
      <c r="W559" s="3532">
        <f>100*(W544/1000)/V543</f>
        <v>0.27986706314500609</v>
      </c>
      <c r="X559" s="3532">
        <f>100*(X544/1000)/W543</f>
        <v>0.80176332828213248</v>
      </c>
      <c r="Y559" s="3532"/>
      <c r="Z559" s="3532"/>
      <c r="AA559" s="3532"/>
      <c r="AB559" s="3532"/>
      <c r="AC559" s="3532"/>
      <c r="AD559" s="3532"/>
      <c r="AE559" s="3532"/>
      <c r="AF559" s="2834"/>
      <c r="AG559" s="2834"/>
      <c r="AH559" s="2834"/>
      <c r="AI559" s="2834"/>
      <c r="AJ559" s="2834"/>
      <c r="AK559" s="3532"/>
      <c r="AL559" s="2834"/>
      <c r="AM559" s="3532">
        <f t="shared" si="694"/>
        <v>0</v>
      </c>
      <c r="AN559" s="2834"/>
      <c r="AO559" s="2834"/>
      <c r="AP559" s="2834"/>
      <c r="AQ559" s="2834"/>
      <c r="AR559" s="2834"/>
      <c r="AS559" s="2834"/>
      <c r="AT559" s="2834"/>
    </row>
    <row r="560" spans="1:46" s="1047" customFormat="1" ht="12.75" hidden="1" customHeight="1">
      <c r="A560" s="1039"/>
      <c r="B560" s="1039"/>
      <c r="C560" s="3590"/>
      <c r="D560" s="3559"/>
      <c r="E560" s="3591" t="s">
        <v>2407</v>
      </c>
      <c r="F560" s="3592"/>
      <c r="G560" s="3532"/>
      <c r="H560" s="3532"/>
      <c r="I560" s="3532"/>
      <c r="J560" s="3532"/>
      <c r="K560" s="3532"/>
      <c r="L560" s="3532"/>
      <c r="M560" s="3532"/>
      <c r="N560" s="3532"/>
      <c r="O560" s="3532">
        <v>0.91606008273057427</v>
      </c>
      <c r="P560" s="3532">
        <v>1.0060202338869395</v>
      </c>
      <c r="Q560" s="3532">
        <v>1.0886906500685356</v>
      </c>
      <c r="R560" s="3532">
        <v>0.52886913031398031</v>
      </c>
      <c r="S560" s="3532">
        <v>5.7766179090634751E-2</v>
      </c>
      <c r="T560" s="3532">
        <v>0.53390436349693982</v>
      </c>
      <c r="U560" s="3532">
        <v>0.93706415141621147</v>
      </c>
      <c r="V560" s="3532">
        <v>1.2729355425642019</v>
      </c>
      <c r="W560" s="3532">
        <v>1.2174228117058705</v>
      </c>
      <c r="X560" s="3532">
        <v>2.2130279025177835</v>
      </c>
      <c r="Y560" s="2129">
        <v>2.1</v>
      </c>
      <c r="Z560" s="2129">
        <v>2</v>
      </c>
      <c r="AA560" s="2129">
        <v>2</v>
      </c>
      <c r="AB560" s="2129">
        <v>2</v>
      </c>
      <c r="AC560" s="2129">
        <v>2</v>
      </c>
      <c r="AD560" s="2129">
        <v>2</v>
      </c>
      <c r="AE560" s="2129">
        <v>2</v>
      </c>
      <c r="AF560" s="2834"/>
      <c r="AG560" s="2834"/>
      <c r="AH560" s="2834"/>
      <c r="AI560" s="2834"/>
      <c r="AJ560" s="2834"/>
      <c r="AK560" s="2129">
        <v>2</v>
      </c>
      <c r="AL560" s="2834"/>
      <c r="AM560" s="2129">
        <f t="shared" si="694"/>
        <v>0</v>
      </c>
      <c r="AN560" s="2834"/>
      <c r="AO560" s="2834"/>
      <c r="AP560" s="2834"/>
      <c r="AQ560" s="2834"/>
      <c r="AR560" s="2834"/>
      <c r="AS560" s="2834"/>
      <c r="AT560" s="2834"/>
    </row>
    <row r="561" spans="1:46" s="1047" customFormat="1" ht="12.75" hidden="1" customHeight="1">
      <c r="A561" s="1039"/>
      <c r="B561" s="1039"/>
      <c r="C561" s="3590"/>
      <c r="D561" s="3559"/>
      <c r="E561" s="3591" t="s">
        <v>2408</v>
      </c>
      <c r="F561" s="3592"/>
      <c r="G561" s="3532"/>
      <c r="H561" s="3532">
        <f t="shared" ref="H561:U561" si="729">H557-H558-H559-H560</f>
        <v>1.888341057568822</v>
      </c>
      <c r="I561" s="3532">
        <f t="shared" si="729"/>
        <v>3.3454545454545412</v>
      </c>
      <c r="J561" s="3532">
        <f t="shared" si="729"/>
        <v>1.7142857142857029</v>
      </c>
      <c r="K561" s="3532">
        <f t="shared" si="729"/>
        <v>1.4879293917055458</v>
      </c>
      <c r="L561" s="3532">
        <f t="shared" si="729"/>
        <v>2.1138106167895589</v>
      </c>
      <c r="M561" s="3532">
        <f t="shared" si="729"/>
        <v>1.7748739218551268</v>
      </c>
      <c r="N561" s="3532">
        <f t="shared" si="729"/>
        <v>2.1589766769119745</v>
      </c>
      <c r="O561" s="3532">
        <f t="shared" si="729"/>
        <v>1.564275276552153</v>
      </c>
      <c r="P561" s="3532">
        <f t="shared" si="729"/>
        <v>1.7893444446310927</v>
      </c>
      <c r="Q561" s="3532">
        <f t="shared" si="729"/>
        <v>1.1400780036701885</v>
      </c>
      <c r="R561" s="3532">
        <f t="shared" si="729"/>
        <v>1.9433643315328055</v>
      </c>
      <c r="S561" s="3532">
        <f t="shared" si="729"/>
        <v>5.5693866241339887</v>
      </c>
      <c r="T561" s="3532">
        <f t="shared" si="729"/>
        <v>2.7066121406932471</v>
      </c>
      <c r="U561" s="3532">
        <f t="shared" si="729"/>
        <v>2.6076922298335932</v>
      </c>
      <c r="V561" s="3532">
        <f t="shared" ref="V561:AA561" si="730">V557-V558-V559-V560</f>
        <v>1.0312008059759825</v>
      </c>
      <c r="W561" s="3532">
        <f t="shared" si="730"/>
        <v>1.6128669673157594</v>
      </c>
      <c r="X561" s="3532">
        <f t="shared" si="730"/>
        <v>0.35216013991228756</v>
      </c>
      <c r="Y561" s="3532">
        <f t="shared" si="730"/>
        <v>0.10000000000000009</v>
      </c>
      <c r="Z561" s="3532">
        <f t="shared" si="730"/>
        <v>0.59999999999999964</v>
      </c>
      <c r="AA561" s="3532">
        <f t="shared" si="730"/>
        <v>0.59999999999999964</v>
      </c>
      <c r="AB561" s="3532">
        <f t="shared" ref="AB561:AC561" si="731">AB557-AB558-AB559-AB560</f>
        <v>0.59999999999999964</v>
      </c>
      <c r="AC561" s="3532">
        <f t="shared" si="731"/>
        <v>0.59999999999999964</v>
      </c>
      <c r="AD561" s="3532">
        <f t="shared" ref="AD561" si="732">AD557-AD558-AD559-AD560</f>
        <v>0.59999999999999964</v>
      </c>
      <c r="AE561" s="3532">
        <f t="shared" ref="AE561" si="733">AE557-AE558-AE559-AE560</f>
        <v>0.59999999999999964</v>
      </c>
      <c r="AF561" s="2834"/>
      <c r="AG561" s="2834"/>
      <c r="AH561" s="2834"/>
      <c r="AI561" s="2834"/>
      <c r="AJ561" s="2834"/>
      <c r="AK561" s="3532">
        <v>0.59999999999999964</v>
      </c>
      <c r="AL561" s="2834"/>
      <c r="AM561" s="3532">
        <f t="shared" si="694"/>
        <v>0</v>
      </c>
      <c r="AN561" s="2834"/>
      <c r="AO561" s="2834"/>
      <c r="AP561" s="2834"/>
      <c r="AQ561" s="2834"/>
      <c r="AR561" s="2834"/>
      <c r="AS561" s="2834"/>
      <c r="AT561" s="2834"/>
    </row>
    <row r="562" spans="1:46" ht="12.75" hidden="1" customHeight="1">
      <c r="A562" s="714"/>
      <c r="B562" s="714"/>
      <c r="C562" s="3589" t="s">
        <v>622</v>
      </c>
      <c r="D562" s="3494" t="s">
        <v>591</v>
      </c>
      <c r="E562" s="3557" t="s">
        <v>2384</v>
      </c>
      <c r="F562" s="3496"/>
      <c r="G562" s="3499"/>
      <c r="H562" s="3499">
        <f t="shared" ref="H562:X562" si="734">(H545/G545-1)*100</f>
        <v>3.6354455945468489</v>
      </c>
      <c r="I562" s="3499">
        <f t="shared" si="734"/>
        <v>1.8026796589524885</v>
      </c>
      <c r="J562" s="3499">
        <f t="shared" si="734"/>
        <v>1.4836085187843739</v>
      </c>
      <c r="K562" s="3499">
        <f t="shared" si="734"/>
        <v>0.47158688988446773</v>
      </c>
      <c r="L562" s="3499">
        <f t="shared" si="734"/>
        <v>1.4785261675662964</v>
      </c>
      <c r="M562" s="3499">
        <f t="shared" si="734"/>
        <v>2.5208140610545771</v>
      </c>
      <c r="N562" s="3499">
        <f t="shared" si="734"/>
        <v>2.9551094067223227</v>
      </c>
      <c r="O562" s="3499">
        <f t="shared" si="734"/>
        <v>1.5994741454864014</v>
      </c>
      <c r="P562" s="3499">
        <f t="shared" si="734"/>
        <v>2.0271727409963303</v>
      </c>
      <c r="Q562" s="3499">
        <f t="shared" si="734"/>
        <v>2.5153244557176047</v>
      </c>
      <c r="R562" s="3499">
        <f t="shared" si="734"/>
        <v>3.5670103092783512</v>
      </c>
      <c r="S562" s="3499">
        <f t="shared" si="734"/>
        <v>2.6080031853473962</v>
      </c>
      <c r="T562" s="3499">
        <f t="shared" si="734"/>
        <v>5.1804423748544881</v>
      </c>
      <c r="U562" s="3499">
        <f t="shared" si="734"/>
        <v>4.4641210108836038</v>
      </c>
      <c r="V562" s="3499">
        <f t="shared" si="734"/>
        <v>1.7305315203955507</v>
      </c>
      <c r="W562" s="3499">
        <f t="shared" si="734"/>
        <v>4.4610310709946033</v>
      </c>
      <c r="X562" s="3499">
        <f t="shared" si="734"/>
        <v>3.6556995679627891</v>
      </c>
      <c r="Y562" s="2129">
        <v>3.2</v>
      </c>
      <c r="Z562" s="2129">
        <v>2.2000000000000002</v>
      </c>
      <c r="AA562" s="2129">
        <v>2.2000000000000002</v>
      </c>
      <c r="AB562" s="2129">
        <v>2.2000000000000002</v>
      </c>
      <c r="AC562" s="2129">
        <v>2.2000000000000002</v>
      </c>
      <c r="AD562" s="2129">
        <v>2.2000000000000002</v>
      </c>
      <c r="AE562" s="2129">
        <v>2.2000000000000002</v>
      </c>
      <c r="AK562" s="2129">
        <v>2.2000000000000002</v>
      </c>
      <c r="AM562" s="2129">
        <f t="shared" si="694"/>
        <v>0</v>
      </c>
    </row>
    <row r="563" spans="1:46" ht="12.75" hidden="1" customHeight="1">
      <c r="A563" s="714"/>
      <c r="B563" s="714"/>
      <c r="C563" s="3589" t="s">
        <v>622</v>
      </c>
      <c r="D563" s="3494" t="s">
        <v>591</v>
      </c>
      <c r="E563" s="3557" t="s">
        <v>2383</v>
      </c>
      <c r="F563" s="3496"/>
      <c r="G563" s="3499"/>
      <c r="H563" s="3499">
        <f t="shared" ref="H563:X563" si="735">(H546/G546-1)*100</f>
        <v>-1.5237576953163301</v>
      </c>
      <c r="I563" s="3499">
        <f t="shared" si="735"/>
        <v>2.9392463647980538</v>
      </c>
      <c r="J563" s="3499">
        <f t="shared" si="735"/>
        <v>-3.0734129647026709</v>
      </c>
      <c r="K563" s="3499">
        <f t="shared" si="735"/>
        <v>0.70617557463286129</v>
      </c>
      <c r="L563" s="3499">
        <f t="shared" si="735"/>
        <v>5.8916540629726954</v>
      </c>
      <c r="M563" s="3499">
        <f t="shared" si="735"/>
        <v>2.1846393559697086</v>
      </c>
      <c r="N563" s="3499">
        <f t="shared" si="735"/>
        <v>15.905841989897951</v>
      </c>
      <c r="O563" s="3499">
        <f t="shared" si="735"/>
        <v>5.481554568875735</v>
      </c>
      <c r="P563" s="3499">
        <f t="shared" si="735"/>
        <v>3.7364236345684976</v>
      </c>
      <c r="Q563" s="3499">
        <f t="shared" si="735"/>
        <v>1.7057409077246399</v>
      </c>
      <c r="R563" s="3499">
        <f t="shared" si="735"/>
        <v>1.8298239133112348</v>
      </c>
      <c r="S563" s="3499">
        <f t="shared" si="735"/>
        <v>8.919415691206245</v>
      </c>
      <c r="T563" s="3499">
        <f t="shared" si="735"/>
        <v>6.4326316724399257</v>
      </c>
      <c r="U563" s="3499">
        <f t="shared" si="735"/>
        <v>11.290760019193403</v>
      </c>
      <c r="V563" s="3499">
        <f t="shared" si="735"/>
        <v>-3.8335364139094663</v>
      </c>
      <c r="W563" s="3499">
        <f t="shared" si="735"/>
        <v>-2.0350877192982675</v>
      </c>
      <c r="X563" s="3499">
        <f t="shared" si="735"/>
        <v>4.0074816937281321</v>
      </c>
      <c r="Y563" s="2129">
        <v>1.5</v>
      </c>
      <c r="Z563" s="2129">
        <v>0.5</v>
      </c>
      <c r="AA563" s="2129">
        <v>0.5</v>
      </c>
      <c r="AB563" s="2129">
        <v>0.5</v>
      </c>
      <c r="AC563" s="2129">
        <v>0.5</v>
      </c>
      <c r="AD563" s="2129">
        <v>0.5</v>
      </c>
      <c r="AE563" s="2129">
        <v>0.5</v>
      </c>
      <c r="AK563" s="2129">
        <v>0.5</v>
      </c>
      <c r="AM563" s="2129">
        <f t="shared" si="694"/>
        <v>0</v>
      </c>
    </row>
    <row r="564" spans="1:46" ht="12.75" hidden="1" customHeight="1">
      <c r="A564" s="714"/>
      <c r="B564" s="714"/>
      <c r="C564" s="3593" t="s">
        <v>624</v>
      </c>
      <c r="D564" s="3594" t="s">
        <v>591</v>
      </c>
      <c r="E564" s="3594" t="s">
        <v>2381</v>
      </c>
      <c r="F564" s="3594"/>
      <c r="G564" s="3594"/>
      <c r="H564" s="3595">
        <f t="shared" ref="H564:X564" si="736">(H547/G547-1)*100</f>
        <v>2.5810405646810031</v>
      </c>
      <c r="I564" s="3595">
        <f t="shared" si="736"/>
        <v>3.4424932871211178</v>
      </c>
      <c r="J564" s="3595">
        <f t="shared" si="736"/>
        <v>2.127827148501571</v>
      </c>
      <c r="K564" s="3595">
        <f t="shared" si="736"/>
        <v>2.1220534176499273</v>
      </c>
      <c r="L564" s="3595">
        <f t="shared" si="736"/>
        <v>3.3963475262104525</v>
      </c>
      <c r="M564" s="3595">
        <f t="shared" si="736"/>
        <v>3.9387594870452736</v>
      </c>
      <c r="N564" s="3595">
        <f t="shared" si="736"/>
        <v>5.7406111568179208</v>
      </c>
      <c r="O564" s="3595">
        <f t="shared" si="736"/>
        <v>3.9539700295716962</v>
      </c>
      <c r="P564" s="3595">
        <f t="shared" si="736"/>
        <v>3.8722978084147819</v>
      </c>
      <c r="Q564" s="3595">
        <f t="shared" si="736"/>
        <v>3.9979588382815123</v>
      </c>
      <c r="R564" s="3595">
        <f t="shared" si="736"/>
        <v>3.9951672358315093</v>
      </c>
      <c r="S564" s="3595">
        <f t="shared" si="736"/>
        <v>6.794730752451561</v>
      </c>
      <c r="T564" s="3595">
        <f t="shared" si="736"/>
        <v>7.2147256153064054</v>
      </c>
      <c r="U564" s="3595">
        <f t="shared" si="736"/>
        <v>6.2105138914485325</v>
      </c>
      <c r="V564" s="3595">
        <f t="shared" si="736"/>
        <v>3.1398964740746438</v>
      </c>
      <c r="W564" s="3595">
        <f t="shared" si="736"/>
        <v>5.0860080904313598</v>
      </c>
      <c r="X564" s="3595">
        <f t="shared" si="736"/>
        <v>5.3953223990243382</v>
      </c>
      <c r="Y564" s="3595">
        <f t="shared" ref="Y564:AE564" si="737">(Y547/X547-1)*100</f>
        <v>4.0514967913708455</v>
      </c>
      <c r="Z564" s="3595">
        <f t="shared" si="737"/>
        <v>3.5141943064423309</v>
      </c>
      <c r="AA564" s="3595">
        <f t="shared" si="737"/>
        <v>3.5405784231951731</v>
      </c>
      <c r="AB564" s="3595">
        <f t="shared" si="737"/>
        <v>3.5668896244777315</v>
      </c>
      <c r="AC564" s="3595">
        <f t="shared" si="737"/>
        <v>3.5931323181483732</v>
      </c>
      <c r="AD564" s="3595">
        <f t="shared" si="737"/>
        <v>3.6193110008781781</v>
      </c>
      <c r="AE564" s="3595">
        <f t="shared" si="737"/>
        <v>3.6454302400500183</v>
      </c>
      <c r="AK564" s="3595" t="e">
        <v>#REF!</v>
      </c>
      <c r="AM564" s="3595" t="e">
        <f t="shared" si="694"/>
        <v>#REF!</v>
      </c>
    </row>
    <row r="565" spans="1:46" s="3470" customFormat="1" ht="12.75" hidden="1" customHeight="1">
      <c r="A565" s="1039"/>
      <c r="B565" s="1039"/>
      <c r="C565" s="3596"/>
      <c r="D565" s="3559"/>
      <c r="E565" s="3597" t="s">
        <v>2389</v>
      </c>
      <c r="F565" s="3592"/>
      <c r="G565" s="3532"/>
      <c r="H565" s="3532"/>
      <c r="I565" s="3532"/>
      <c r="J565" s="3532"/>
      <c r="K565" s="3532"/>
      <c r="L565" s="3532"/>
      <c r="M565" s="3532"/>
      <c r="N565" s="3532"/>
      <c r="O565" s="3532"/>
      <c r="P565" s="3532"/>
      <c r="Q565" s="3532"/>
      <c r="R565" s="3532"/>
      <c r="S565" s="3532"/>
      <c r="T565" s="3532"/>
      <c r="U565" s="3532"/>
      <c r="V565" s="3598">
        <f t="shared" ref="V565:AE565" si="738">V548/U547</f>
        <v>-1.0723024282775896E-3</v>
      </c>
      <c r="W565" s="3598">
        <f t="shared" si="738"/>
        <v>-9.8294960492987019E-4</v>
      </c>
      <c r="X565" s="3598">
        <f t="shared" si="738"/>
        <v>-5.6806121678065072E-3</v>
      </c>
      <c r="Y565" s="3598">
        <f t="shared" si="738"/>
        <v>-8.0761878754778815E-3</v>
      </c>
      <c r="Z565" s="3598">
        <f t="shared" si="738"/>
        <v>-6.0197632271297829E-3</v>
      </c>
      <c r="AA565" s="3598">
        <f t="shared" si="738"/>
        <v>-5.8153988131414511E-3</v>
      </c>
      <c r="AB565" s="3598">
        <f t="shared" si="738"/>
        <v>-5.6165407820811296E-3</v>
      </c>
      <c r="AC565" s="3598">
        <f t="shared" si="738"/>
        <v>-5.4231046258568696E-3</v>
      </c>
      <c r="AD565" s="3598">
        <f t="shared" si="738"/>
        <v>-5.2350040050934939E-3</v>
      </c>
      <c r="AE565" s="3598">
        <f t="shared" si="738"/>
        <v>-5.0521509499799003E-3</v>
      </c>
      <c r="AF565" s="3448"/>
      <c r="AG565" s="3448"/>
      <c r="AH565" s="3448"/>
      <c r="AI565" s="3448"/>
      <c r="AJ565" s="3448"/>
      <c r="AK565" s="3598" t="e">
        <v>#REF!</v>
      </c>
      <c r="AL565" s="3448"/>
      <c r="AM565" s="3598" t="e">
        <f t="shared" si="694"/>
        <v>#REF!</v>
      </c>
      <c r="AN565" s="3448"/>
      <c r="AO565" s="3448"/>
      <c r="AP565" s="3448"/>
      <c r="AQ565" s="3448"/>
      <c r="AR565" s="3448"/>
      <c r="AS565" s="3448"/>
      <c r="AT565" s="3448"/>
    </row>
    <row r="566" spans="1:46" s="3470" customFormat="1" ht="12.75" hidden="1" customHeight="1">
      <c r="A566" s="1039"/>
      <c r="B566" s="1039"/>
      <c r="C566" s="3596"/>
      <c r="D566" s="3559"/>
      <c r="E566" s="3597" t="s">
        <v>2390</v>
      </c>
      <c r="F566" s="3592" t="s">
        <v>2487</v>
      </c>
      <c r="G566" s="3532"/>
      <c r="H566" s="3532">
        <v>1.3</v>
      </c>
      <c r="I566" s="3532">
        <v>1.2</v>
      </c>
      <c r="J566" s="3532">
        <v>1.5</v>
      </c>
      <c r="K566" s="3532">
        <v>1.2</v>
      </c>
      <c r="L566" s="3532">
        <v>1.5</v>
      </c>
      <c r="M566" s="3532">
        <v>2.5</v>
      </c>
      <c r="N566" s="3532">
        <v>2.7</v>
      </c>
      <c r="O566" s="3532">
        <v>1.3</v>
      </c>
      <c r="P566" s="3532">
        <v>1.3</v>
      </c>
      <c r="Q566" s="3532">
        <v>2.2999999999999998</v>
      </c>
      <c r="R566" s="3532">
        <v>1.7</v>
      </c>
      <c r="S566" s="3532">
        <v>1.5</v>
      </c>
      <c r="T566" s="3532">
        <v>4.0999999999999996</v>
      </c>
      <c r="U566" s="3532">
        <v>2</v>
      </c>
      <c r="V566" s="3532">
        <v>0.7</v>
      </c>
      <c r="W566" s="3532">
        <v>2.7</v>
      </c>
      <c r="X566" s="3532">
        <v>2.7</v>
      </c>
      <c r="Y566" s="3532">
        <v>2</v>
      </c>
      <c r="Z566" s="3532">
        <v>1.2</v>
      </c>
      <c r="AA566" s="2129">
        <v>1.2</v>
      </c>
      <c r="AB566" s="2129">
        <v>1.2</v>
      </c>
      <c r="AC566" s="2129">
        <v>1.2</v>
      </c>
      <c r="AD566" s="2129">
        <v>1.2</v>
      </c>
      <c r="AE566" s="2129">
        <v>1.2</v>
      </c>
      <c r="AF566" s="3448"/>
      <c r="AG566" s="3448"/>
      <c r="AH566" s="3448"/>
      <c r="AI566" s="3448"/>
      <c r="AJ566" s="3448"/>
      <c r="AK566" s="3532">
        <v>1.2</v>
      </c>
      <c r="AL566" s="3448"/>
      <c r="AM566" s="3532">
        <f t="shared" si="694"/>
        <v>0</v>
      </c>
      <c r="AN566" s="3448"/>
      <c r="AO566" s="3448"/>
      <c r="AP566" s="3448"/>
      <c r="AQ566" s="3448"/>
      <c r="AR566" s="3448"/>
      <c r="AS566" s="3448"/>
      <c r="AT566" s="3448"/>
    </row>
    <row r="567" spans="1:46" s="3470" customFormat="1" ht="12.75" hidden="1" customHeight="1">
      <c r="C567" s="3599"/>
      <c r="D567" s="3567"/>
      <c r="E567" s="3567" t="s">
        <v>2391</v>
      </c>
      <c r="F567" s="3567"/>
      <c r="G567" s="3567"/>
      <c r="H567" s="3569">
        <f>H564-H565-H566</f>
        <v>1.281040564681003</v>
      </c>
      <c r="I567" s="3569">
        <f t="shared" ref="I567:Z567" si="739">I564-I565-I566</f>
        <v>2.2424932871211176</v>
      </c>
      <c r="J567" s="3569">
        <f t="shared" si="739"/>
        <v>0.62782714850157095</v>
      </c>
      <c r="K567" s="3569">
        <f t="shared" si="739"/>
        <v>0.92205341764992732</v>
      </c>
      <c r="L567" s="3569">
        <f t="shared" si="739"/>
        <v>1.8963475262104525</v>
      </c>
      <c r="M567" s="3569">
        <f t="shared" si="739"/>
        <v>1.4387594870452736</v>
      </c>
      <c r="N567" s="3569">
        <f t="shared" si="739"/>
        <v>3.0406111568179206</v>
      </c>
      <c r="O567" s="3569">
        <f t="shared" si="739"/>
        <v>2.6539700295716964</v>
      </c>
      <c r="P567" s="3569">
        <f t="shared" si="739"/>
        <v>2.5722978084147821</v>
      </c>
      <c r="Q567" s="3569">
        <f t="shared" si="739"/>
        <v>1.6979588382815125</v>
      </c>
      <c r="R567" s="3569">
        <f t="shared" si="739"/>
        <v>2.2951672358315092</v>
      </c>
      <c r="S567" s="3569">
        <f t="shared" si="739"/>
        <v>5.294730752451561</v>
      </c>
      <c r="T567" s="3569">
        <f t="shared" si="739"/>
        <v>3.1147256153064058</v>
      </c>
      <c r="U567" s="3569">
        <f t="shared" si="739"/>
        <v>4.2105138914485325</v>
      </c>
      <c r="V567" s="3569">
        <f t="shared" si="739"/>
        <v>2.4409687765029213</v>
      </c>
      <c r="W567" s="3569">
        <f t="shared" si="739"/>
        <v>2.3869910400362899</v>
      </c>
      <c r="X567" s="3569">
        <f t="shared" si="739"/>
        <v>2.7010030111921441</v>
      </c>
      <c r="Y567" s="3569">
        <f t="shared" si="739"/>
        <v>2.0595729792463233</v>
      </c>
      <c r="Z567" s="3569">
        <f t="shared" si="739"/>
        <v>2.3202140696694604</v>
      </c>
      <c r="AA567" s="3569">
        <f>AA564-AA565-AA566</f>
        <v>2.3463938220083147</v>
      </c>
      <c r="AB567" s="3569">
        <f>AB564-AB565-AB566</f>
        <v>2.3725061652598125</v>
      </c>
      <c r="AC567" s="3569">
        <f>AC564-AC565-AC566</f>
        <v>2.3985554227742298</v>
      </c>
      <c r="AD567" s="3569">
        <f>AD564-AD565-AD566</f>
        <v>2.4245460048832719</v>
      </c>
      <c r="AE567" s="3569">
        <f>AE564-AE565-AE566</f>
        <v>2.4504823909999978</v>
      </c>
      <c r="AK567" s="3569" t="e">
        <v>#REF!</v>
      </c>
      <c r="AM567" s="3569" t="e">
        <f t="shared" si="694"/>
        <v>#REF!</v>
      </c>
    </row>
    <row r="568" spans="1:46" ht="12.75" hidden="1" customHeight="1">
      <c r="A568" s="714"/>
      <c r="B568" s="714"/>
      <c r="C568" s="3540" t="s">
        <v>622</v>
      </c>
      <c r="D568" s="3541" t="s">
        <v>591</v>
      </c>
      <c r="E568" s="3600" t="s">
        <v>2382</v>
      </c>
      <c r="F568" s="3564"/>
      <c r="G568" s="3543"/>
      <c r="H568" s="3543">
        <f t="shared" ref="H568:X568" si="740">(H549/G549-1)*100</f>
        <v>5.2856127044323298</v>
      </c>
      <c r="I568" s="3543">
        <f t="shared" si="740"/>
        <v>0.74290859972983014</v>
      </c>
      <c r="J568" s="3543">
        <f t="shared" si="740"/>
        <v>1.0055865921787754</v>
      </c>
      <c r="K568" s="3543">
        <f t="shared" si="740"/>
        <v>-0.35398230088495852</v>
      </c>
      <c r="L568" s="3543">
        <f t="shared" si="740"/>
        <v>-2.7309058614564674</v>
      </c>
      <c r="M568" s="3543">
        <f t="shared" si="740"/>
        <v>5.8434147454918817</v>
      </c>
      <c r="N568" s="3543">
        <f t="shared" si="740"/>
        <v>15.505714901876221</v>
      </c>
      <c r="O568" s="3543">
        <f t="shared" si="740"/>
        <v>7.3002240477968661</v>
      </c>
      <c r="P568" s="3543">
        <f t="shared" si="740"/>
        <v>4.8199060379328307</v>
      </c>
      <c r="Q568" s="3543">
        <f t="shared" si="740"/>
        <v>1.6102257636122275</v>
      </c>
      <c r="R568" s="3543">
        <f t="shared" si="740"/>
        <v>-0.39209279529488494</v>
      </c>
      <c r="S568" s="3543">
        <f t="shared" si="740"/>
        <v>-5.7569296375266532</v>
      </c>
      <c r="T568" s="3543">
        <f t="shared" si="740"/>
        <v>0.48729550991992721</v>
      </c>
      <c r="U568" s="3543">
        <f t="shared" si="740"/>
        <v>19.553169379979217</v>
      </c>
      <c r="V568" s="3543">
        <f t="shared" si="740"/>
        <v>-1.2458351441402171</v>
      </c>
      <c r="W568" s="3543">
        <f t="shared" si="740"/>
        <v>-3.1098723778788306</v>
      </c>
      <c r="X568" s="3543">
        <f t="shared" si="740"/>
        <v>3.1945495836487314</v>
      </c>
      <c r="Y568" s="2129">
        <v>3.1</v>
      </c>
      <c r="Z568" s="2129">
        <v>2.1</v>
      </c>
      <c r="AA568" s="2129">
        <v>-1.2</v>
      </c>
      <c r="AB568" s="2129">
        <v>-1.2</v>
      </c>
      <c r="AC568" s="2129">
        <v>-1.2</v>
      </c>
      <c r="AD568" s="2129">
        <v>-1.2</v>
      </c>
      <c r="AE568" s="2129">
        <v>-1.2</v>
      </c>
      <c r="AK568" s="2129">
        <v>2.1</v>
      </c>
      <c r="AM568" s="2129">
        <f t="shared" si="694"/>
        <v>0</v>
      </c>
    </row>
    <row r="569" spans="1:46" s="3470" customFormat="1" ht="12.75" hidden="1" customHeight="1">
      <c r="A569" s="1039"/>
      <c r="B569" s="1039"/>
      <c r="C569" s="3596"/>
      <c r="D569" s="3559"/>
      <c r="E569" s="3597" t="s">
        <v>2389</v>
      </c>
      <c r="F569" s="3592"/>
      <c r="G569" s="3532"/>
      <c r="H569" s="3532"/>
      <c r="I569" s="3532"/>
      <c r="J569" s="3532"/>
      <c r="K569" s="3532"/>
      <c r="L569" s="3532"/>
      <c r="M569" s="3532"/>
      <c r="N569" s="3532"/>
      <c r="O569" s="3532"/>
      <c r="P569" s="3532"/>
      <c r="Q569" s="3532"/>
      <c r="R569" s="3532"/>
      <c r="S569" s="3532"/>
      <c r="T569" s="3532"/>
      <c r="U569" s="3532"/>
      <c r="V569" s="3598">
        <f t="shared" ref="V569:AE569" si="741">V550/U549</f>
        <v>0</v>
      </c>
      <c r="W569" s="3598">
        <f t="shared" si="741"/>
        <v>0</v>
      </c>
      <c r="X569" s="3598">
        <f t="shared" si="741"/>
        <v>0</v>
      </c>
      <c r="Y569" s="3598">
        <f t="shared" si="741"/>
        <v>0</v>
      </c>
      <c r="Z569" s="3598">
        <f t="shared" si="741"/>
        <v>0</v>
      </c>
      <c r="AA569" s="3598">
        <f t="shared" si="741"/>
        <v>0</v>
      </c>
      <c r="AB569" s="3598">
        <f t="shared" si="741"/>
        <v>0</v>
      </c>
      <c r="AC569" s="3598">
        <f t="shared" si="741"/>
        <v>0</v>
      </c>
      <c r="AD569" s="3598">
        <f t="shared" si="741"/>
        <v>0</v>
      </c>
      <c r="AE569" s="3598">
        <f t="shared" si="741"/>
        <v>0</v>
      </c>
      <c r="AF569" s="3448"/>
      <c r="AG569" s="3448"/>
      <c r="AH569" s="3448"/>
      <c r="AI569" s="3448"/>
      <c r="AJ569" s="3448"/>
      <c r="AK569" s="3598" t="e">
        <v>#REF!</v>
      </c>
      <c r="AL569" s="3448"/>
      <c r="AM569" s="3598" t="e">
        <f t="shared" si="694"/>
        <v>#REF!</v>
      </c>
      <c r="AN569" s="3448"/>
      <c r="AO569" s="3448"/>
      <c r="AP569" s="3448"/>
      <c r="AQ569" s="3448"/>
      <c r="AR569" s="3448"/>
      <c r="AS569" s="3448"/>
      <c r="AT569" s="3448"/>
    </row>
    <row r="570" spans="1:46" s="3470" customFormat="1" ht="12.75" hidden="1" customHeight="1">
      <c r="A570" s="1039"/>
      <c r="B570" s="1039"/>
      <c r="C570" s="3596"/>
      <c r="D570" s="3559"/>
      <c r="E570" s="3597" t="s">
        <v>2390</v>
      </c>
      <c r="F570" s="3592"/>
      <c r="G570" s="3532"/>
      <c r="H570" s="3532">
        <f t="shared" ref="H570:Y570" si="742">H566</f>
        <v>1.3</v>
      </c>
      <c r="I570" s="3532">
        <f t="shared" si="742"/>
        <v>1.2</v>
      </c>
      <c r="J570" s="3532">
        <f t="shared" si="742"/>
        <v>1.5</v>
      </c>
      <c r="K570" s="3532">
        <f t="shared" si="742"/>
        <v>1.2</v>
      </c>
      <c r="L570" s="3532">
        <f t="shared" si="742"/>
        <v>1.5</v>
      </c>
      <c r="M570" s="3532">
        <f t="shared" si="742"/>
        <v>2.5</v>
      </c>
      <c r="N570" s="3532">
        <f t="shared" si="742"/>
        <v>2.7</v>
      </c>
      <c r="O570" s="3532">
        <f t="shared" si="742"/>
        <v>1.3</v>
      </c>
      <c r="P570" s="3532">
        <f t="shared" si="742"/>
        <v>1.3</v>
      </c>
      <c r="Q570" s="3532">
        <f t="shared" si="742"/>
        <v>2.2999999999999998</v>
      </c>
      <c r="R570" s="3532">
        <f t="shared" si="742"/>
        <v>1.7</v>
      </c>
      <c r="S570" s="3532">
        <f t="shared" si="742"/>
        <v>1.5</v>
      </c>
      <c r="T570" s="3532">
        <f t="shared" si="742"/>
        <v>4.0999999999999996</v>
      </c>
      <c r="U570" s="3532">
        <f t="shared" si="742"/>
        <v>2</v>
      </c>
      <c r="V570" s="3532">
        <f t="shared" si="742"/>
        <v>0.7</v>
      </c>
      <c r="W570" s="3532">
        <f t="shared" si="742"/>
        <v>2.7</v>
      </c>
      <c r="X570" s="3532">
        <f t="shared" si="742"/>
        <v>2.7</v>
      </c>
      <c r="Y570" s="3532">
        <f t="shared" si="742"/>
        <v>2</v>
      </c>
      <c r="Z570" s="3532">
        <f>Z566</f>
        <v>1.2</v>
      </c>
      <c r="AA570" s="3532"/>
      <c r="AB570" s="3532"/>
      <c r="AC570" s="3532"/>
      <c r="AD570" s="3532"/>
      <c r="AE570" s="3532"/>
      <c r="AF570" s="3448"/>
      <c r="AG570" s="3448"/>
      <c r="AH570" s="3448"/>
      <c r="AI570" s="3448"/>
      <c r="AJ570" s="3448"/>
      <c r="AK570" s="3532">
        <v>1.2</v>
      </c>
      <c r="AL570" s="3448"/>
      <c r="AM570" s="3532">
        <f t="shared" si="694"/>
        <v>0</v>
      </c>
      <c r="AN570" s="3448"/>
      <c r="AO570" s="3448"/>
      <c r="AP570" s="3448"/>
      <c r="AQ570" s="3448"/>
      <c r="AR570" s="3448"/>
      <c r="AS570" s="3448"/>
      <c r="AT570" s="3448"/>
    </row>
    <row r="571" spans="1:46" s="3470" customFormat="1" ht="12.75" hidden="1" customHeight="1">
      <c r="A571" s="1039"/>
      <c r="B571" s="1039"/>
      <c r="C571" s="3596"/>
      <c r="D571" s="3559"/>
      <c r="E571" s="3597" t="s">
        <v>2392</v>
      </c>
      <c r="F571" s="3592"/>
      <c r="G571" s="3532"/>
      <c r="H571" s="3532">
        <f>Labour1!H53</f>
        <v>-1.4752889107450207</v>
      </c>
      <c r="I571" s="3532">
        <f>Labour1!I53</f>
        <v>-2.645370601447472</v>
      </c>
      <c r="J571" s="3532">
        <f>Labour1!J53</f>
        <v>2.4609074596257496</v>
      </c>
      <c r="K571" s="3532">
        <f>Labour1!K53</f>
        <v>-8.1811358518889321</v>
      </c>
      <c r="L571" s="3532">
        <f>Labour1!L53</f>
        <v>-17.738419618528599</v>
      </c>
      <c r="M571" s="3532">
        <f>Labour1!M53</f>
        <v>-5.3991387876780372</v>
      </c>
      <c r="N571" s="3532">
        <f>Labour1!N53</f>
        <v>15.756302521008392</v>
      </c>
      <c r="O571" s="3532">
        <f>Labour1!O53</f>
        <v>9.5886267392619509</v>
      </c>
      <c r="P571" s="3532">
        <f>Labour1!P53</f>
        <v>4.6370411261385636</v>
      </c>
      <c r="Q571" s="3532">
        <f>Labour1!Q53</f>
        <v>2.9807438670535591</v>
      </c>
      <c r="R571" s="3532">
        <f>Labour1!R53</f>
        <v>-1.8442622950819665</v>
      </c>
      <c r="S571" s="3532">
        <f>Labour1!S53</f>
        <v>-7.8810020876826865</v>
      </c>
      <c r="T571" s="3532">
        <f>Labour1!T53</f>
        <v>-5.5524079320113273</v>
      </c>
      <c r="U571" s="3532">
        <f>Labour1!U53</f>
        <v>13.857228554289147</v>
      </c>
      <c r="V571" s="3532">
        <f>Labour1!V53</f>
        <v>6.9283456269757737</v>
      </c>
      <c r="W571" s="3532">
        <f>Labour1!W53</f>
        <v>-14.510963291451107</v>
      </c>
      <c r="X571" s="3532">
        <f>Labour1!X53</f>
        <v>6.3400576368876083</v>
      </c>
      <c r="Y571" s="3532">
        <f>Labour1!Y53</f>
        <v>13.008130081300816</v>
      </c>
      <c r="Z571" s="3532">
        <f>Labour1!Z53</f>
        <v>1.4388489208633004</v>
      </c>
      <c r="AA571" s="3532">
        <f>Labour1!AA53</f>
        <v>-0.23640661938534313</v>
      </c>
      <c r="AB571" s="3532">
        <f>Labour1!AB53</f>
        <v>-7.5829383886255926</v>
      </c>
      <c r="AC571" s="3532">
        <f>Labour1!AC53</f>
        <v>-9.2307692307692317</v>
      </c>
      <c r="AD571" s="3532">
        <f>Labour1!AD53</f>
        <v>-8.6019632768360115</v>
      </c>
      <c r="AE571" s="3532">
        <f>Labour1!AE53</f>
        <v>-6.5866789347699743</v>
      </c>
      <c r="AF571" s="3448"/>
      <c r="AG571" s="3448"/>
      <c r="AH571" s="3448"/>
      <c r="AI571" s="3448"/>
      <c r="AJ571" s="3448"/>
      <c r="AK571" s="3532">
        <v>0.30895083932842571</v>
      </c>
      <c r="AL571" s="3448"/>
      <c r="AM571" s="3532">
        <f t="shared" si="694"/>
        <v>1.1298980815348747</v>
      </c>
      <c r="AN571" s="3448"/>
      <c r="AO571" s="3448"/>
      <c r="AP571" s="3448"/>
      <c r="AQ571" s="3448"/>
      <c r="AR571" s="3448"/>
      <c r="AS571" s="3448"/>
      <c r="AT571" s="3448"/>
    </row>
    <row r="572" spans="1:46" s="3470" customFormat="1" ht="12.75" hidden="1" customHeight="1">
      <c r="C572" s="3599"/>
      <c r="D572" s="3567"/>
      <c r="E572" s="3567" t="s">
        <v>2393</v>
      </c>
      <c r="F572" s="3567"/>
      <c r="G572" s="3567"/>
      <c r="H572" s="3569">
        <f t="shared" ref="H572:Y572" si="743">H568-H569-H570-H571</f>
        <v>5.4609016151773506</v>
      </c>
      <c r="I572" s="3569">
        <f t="shared" si="743"/>
        <v>2.188279201177302</v>
      </c>
      <c r="J572" s="3569">
        <f t="shared" si="743"/>
        <v>-2.9553208674469742</v>
      </c>
      <c r="K572" s="3569">
        <f t="shared" si="743"/>
        <v>6.6271535510039739</v>
      </c>
      <c r="L572" s="3569">
        <f t="shared" si="743"/>
        <v>13.507513757072132</v>
      </c>
      <c r="M572" s="3569">
        <f t="shared" si="743"/>
        <v>8.742553533169918</v>
      </c>
      <c r="N572" s="3569">
        <f t="shared" si="743"/>
        <v>-2.95058761913217</v>
      </c>
      <c r="O572" s="3569">
        <f t="shared" si="743"/>
        <v>-3.5884026914650846</v>
      </c>
      <c r="P572" s="3569">
        <f t="shared" si="743"/>
        <v>-1.1171350882057327</v>
      </c>
      <c r="Q572" s="3569">
        <f t="shared" si="743"/>
        <v>-3.6705181034413314</v>
      </c>
      <c r="R572" s="3569">
        <f t="shared" si="743"/>
        <v>-0.24783050021291864</v>
      </c>
      <c r="S572" s="3569">
        <f t="shared" si="743"/>
        <v>0.6240724501560333</v>
      </c>
      <c r="T572" s="3569">
        <f t="shared" si="743"/>
        <v>1.9397034419312549</v>
      </c>
      <c r="U572" s="3569">
        <f t="shared" si="743"/>
        <v>3.6959408256900694</v>
      </c>
      <c r="V572" s="3569">
        <f t="shared" si="743"/>
        <v>-8.8741807711159915</v>
      </c>
      <c r="W572" s="3569">
        <f t="shared" si="743"/>
        <v>8.7010909135722763</v>
      </c>
      <c r="X572" s="3569">
        <f t="shared" si="743"/>
        <v>-5.845508053238877</v>
      </c>
      <c r="Y572" s="3569">
        <f t="shared" si="743"/>
        <v>-11.908130081300817</v>
      </c>
      <c r="Z572" s="3569">
        <f t="shared" ref="Z572:AD572" si="744">Z568-Z569-Z570-Z571</f>
        <v>-0.53884892086330027</v>
      </c>
      <c r="AA572" s="3569">
        <f t="shared" si="744"/>
        <v>-0.96359338061465682</v>
      </c>
      <c r="AB572" s="3569">
        <f t="shared" si="744"/>
        <v>6.3829383886255924</v>
      </c>
      <c r="AC572" s="3569">
        <f t="shared" si="744"/>
        <v>8.0307692307692324</v>
      </c>
      <c r="AD572" s="3569">
        <f t="shared" si="744"/>
        <v>7.4019632768360113</v>
      </c>
      <c r="AE572" s="3569">
        <f t="shared" ref="AE572" si="745">AE568-AE569-AE570-AE571</f>
        <v>5.3866789347699742</v>
      </c>
      <c r="AK572" s="3569" t="e">
        <v>#REF!</v>
      </c>
      <c r="AM572" s="3569" t="e">
        <f t="shared" si="694"/>
        <v>#REF!</v>
      </c>
    </row>
    <row r="573" spans="1:46" ht="12.75" hidden="1" customHeight="1">
      <c r="A573" s="714"/>
      <c r="B573" s="714"/>
      <c r="C573" s="3482" t="s">
        <v>624</v>
      </c>
      <c r="D573" s="3601" t="s">
        <v>591</v>
      </c>
      <c r="E573" s="3601" t="s">
        <v>1439</v>
      </c>
      <c r="F573" s="3601"/>
      <c r="G573" s="3601"/>
      <c r="H573" s="3602">
        <f t="shared" ref="H573:AE573" si="746">(H551/G551-1)*100</f>
        <v>2.9274868609216131</v>
      </c>
      <c r="I573" s="3602">
        <f t="shared" si="746"/>
        <v>3.0887632262841525</v>
      </c>
      <c r="J573" s="3602">
        <f t="shared" si="746"/>
        <v>1.9841247131402895</v>
      </c>
      <c r="K573" s="3602">
        <f t="shared" si="746"/>
        <v>1.8080402235640003</v>
      </c>
      <c r="L573" s="3602">
        <f t="shared" si="746"/>
        <v>2.6357853890842664</v>
      </c>
      <c r="M573" s="3602">
        <f t="shared" si="746"/>
        <v>4.1628179240419394</v>
      </c>
      <c r="N573" s="3602">
        <f t="shared" si="746"/>
        <v>6.9078854090673714</v>
      </c>
      <c r="O573" s="3602">
        <f t="shared" si="746"/>
        <v>4.3861341255220232</v>
      </c>
      <c r="P573" s="3602">
        <f t="shared" si="746"/>
        <v>3.9980965844779393</v>
      </c>
      <c r="Q573" s="3602">
        <f t="shared" si="746"/>
        <v>3.6784729039967434</v>
      </c>
      <c r="R573" s="3602">
        <f t="shared" si="746"/>
        <v>3.4198489636334539</v>
      </c>
      <c r="S573" s="3602">
        <f t="shared" si="746"/>
        <v>5.2094510894107993</v>
      </c>
      <c r="T573" s="3602">
        <f t="shared" si="746"/>
        <v>6.4536136062029792</v>
      </c>
      <c r="U573" s="3602">
        <f t="shared" si="746"/>
        <v>7.6354401910247116</v>
      </c>
      <c r="V573" s="3602">
        <f t="shared" si="746"/>
        <v>2.6196633702497696</v>
      </c>
      <c r="W573" s="3602">
        <f t="shared" si="746"/>
        <v>4.1504378840904854</v>
      </c>
      <c r="X573" s="3602">
        <f t="shared" si="746"/>
        <v>5.1616139529499616</v>
      </c>
      <c r="Y573" s="3602">
        <f t="shared" si="746"/>
        <v>3.952343749999998</v>
      </c>
      <c r="Z573" s="3602">
        <f t="shared" si="746"/>
        <v>3.3680330808034897</v>
      </c>
      <c r="AA573" s="3602">
        <f t="shared" si="746"/>
        <v>3.0566357525423138</v>
      </c>
      <c r="AB573" s="3602">
        <f t="shared" si="746"/>
        <v>3.1003606074083701</v>
      </c>
      <c r="AC573" s="3602">
        <f t="shared" si="746"/>
        <v>3.1436012176744299</v>
      </c>
      <c r="AD573" s="3602">
        <f t="shared" si="746"/>
        <v>3.1863588191432424</v>
      </c>
      <c r="AE573" s="3602">
        <f t="shared" si="746"/>
        <v>3.2286357378691344</v>
      </c>
      <c r="AK573" s="3602" t="e">
        <v>#REF!</v>
      </c>
      <c r="AM573" s="3602" t="e">
        <f t="shared" si="694"/>
        <v>#REF!</v>
      </c>
    </row>
    <row r="574" spans="1:46" s="1506" customFormat="1" ht="12.75" hidden="1" customHeight="1">
      <c r="A574" s="3359"/>
      <c r="B574" s="3359"/>
      <c r="C574" s="3603"/>
      <c r="D574" s="3604"/>
      <c r="E574" s="3605"/>
      <c r="F574" s="3606"/>
      <c r="G574" s="3607"/>
      <c r="H574" s="3608"/>
      <c r="I574" s="3607"/>
      <c r="J574" s="3607"/>
      <c r="K574" s="3607"/>
      <c r="L574" s="3607"/>
      <c r="M574" s="3607"/>
      <c r="N574" s="3607"/>
      <c r="O574" s="3607"/>
      <c r="P574" s="3607"/>
      <c r="Q574" s="3607"/>
      <c r="R574" s="3607"/>
      <c r="S574" s="3609"/>
      <c r="T574" s="3609"/>
      <c r="U574" s="3609"/>
      <c r="V574" s="3609"/>
      <c r="W574" s="3609"/>
      <c r="X574" s="3610"/>
      <c r="Y574" s="3610"/>
      <c r="Z574" s="3610"/>
      <c r="AA574" s="3610"/>
      <c r="AB574" s="3610"/>
      <c r="AC574" s="3610"/>
      <c r="AD574" s="3610"/>
      <c r="AE574" s="3610"/>
      <c r="AF574" s="3391"/>
      <c r="AG574" s="3358"/>
      <c r="AH574" s="3358"/>
      <c r="AI574" s="3358"/>
      <c r="AJ574" s="3358"/>
      <c r="AK574" s="3610"/>
      <c r="AL574" s="3358"/>
      <c r="AM574" s="3610">
        <f t="shared" si="694"/>
        <v>0</v>
      </c>
      <c r="AN574" s="3358"/>
      <c r="AO574" s="3358"/>
      <c r="AP574" s="3358"/>
      <c r="AQ574" s="3358"/>
      <c r="AR574" s="3358"/>
      <c r="AS574" s="3358"/>
      <c r="AT574" s="3358"/>
    </row>
    <row r="575" spans="1:46" ht="12.75" hidden="1" customHeight="1">
      <c r="A575" s="714"/>
      <c r="B575" s="714"/>
      <c r="C575" s="3482"/>
      <c r="D575" s="3512"/>
      <c r="E575" s="3611" t="s">
        <v>1805</v>
      </c>
      <c r="F575" s="3612"/>
      <c r="G575" s="3515">
        <f>+InputY!$G$3</f>
        <v>1995</v>
      </c>
      <c r="H575" s="3515">
        <f t="shared" ref="H575:AE575" si="747">+G575+1</f>
        <v>1996</v>
      </c>
      <c r="I575" s="3515">
        <f t="shared" si="747"/>
        <v>1997</v>
      </c>
      <c r="J575" s="3515">
        <f t="shared" si="747"/>
        <v>1998</v>
      </c>
      <c r="K575" s="3515">
        <f t="shared" si="747"/>
        <v>1999</v>
      </c>
      <c r="L575" s="3515">
        <f t="shared" si="747"/>
        <v>2000</v>
      </c>
      <c r="M575" s="3515">
        <f t="shared" si="747"/>
        <v>2001</v>
      </c>
      <c r="N575" s="3515">
        <f t="shared" si="747"/>
        <v>2002</v>
      </c>
      <c r="O575" s="3515">
        <f t="shared" si="747"/>
        <v>2003</v>
      </c>
      <c r="P575" s="3515">
        <f t="shared" si="747"/>
        <v>2004</v>
      </c>
      <c r="Q575" s="3515">
        <f t="shared" si="747"/>
        <v>2005</v>
      </c>
      <c r="R575" s="3515">
        <f t="shared" si="747"/>
        <v>2006</v>
      </c>
      <c r="S575" s="3613">
        <f t="shared" si="747"/>
        <v>2007</v>
      </c>
      <c r="T575" s="3613">
        <f t="shared" si="747"/>
        <v>2008</v>
      </c>
      <c r="U575" s="3613">
        <f t="shared" si="747"/>
        <v>2009</v>
      </c>
      <c r="V575" s="3613">
        <f t="shared" si="747"/>
        <v>2010</v>
      </c>
      <c r="W575" s="3613">
        <f t="shared" si="747"/>
        <v>2011</v>
      </c>
      <c r="X575" s="3613">
        <f t="shared" si="747"/>
        <v>2012</v>
      </c>
      <c r="Y575" s="3613">
        <f t="shared" si="747"/>
        <v>2013</v>
      </c>
      <c r="Z575" s="3613">
        <f t="shared" si="747"/>
        <v>2014</v>
      </c>
      <c r="AA575" s="3613">
        <f t="shared" si="747"/>
        <v>2015</v>
      </c>
      <c r="AB575" s="3613">
        <f t="shared" si="747"/>
        <v>2016</v>
      </c>
      <c r="AC575" s="3613">
        <f t="shared" si="747"/>
        <v>2017</v>
      </c>
      <c r="AD575" s="3613">
        <f t="shared" si="747"/>
        <v>2018</v>
      </c>
      <c r="AE575" s="3613">
        <f t="shared" si="747"/>
        <v>2019</v>
      </c>
      <c r="AG575" s="749"/>
      <c r="AH575" s="749"/>
      <c r="AI575" s="749"/>
      <c r="AJ575" s="749"/>
      <c r="AK575" s="3613">
        <v>2014</v>
      </c>
      <c r="AL575" s="749"/>
      <c r="AM575" s="3613">
        <f t="shared" si="694"/>
        <v>0</v>
      </c>
      <c r="AN575" s="749"/>
      <c r="AO575" s="749"/>
      <c r="AP575" s="749"/>
      <c r="AQ575" s="749"/>
      <c r="AR575" s="749"/>
      <c r="AS575" s="749"/>
      <c r="AT575" s="749"/>
    </row>
    <row r="576" spans="1:46" ht="12.75" hidden="1" customHeight="1">
      <c r="A576" s="714"/>
      <c r="B576" s="714"/>
      <c r="C576" s="3540" t="s">
        <v>622</v>
      </c>
      <c r="D576" s="3494" t="s">
        <v>591</v>
      </c>
      <c r="E576" s="3600" t="s">
        <v>2387</v>
      </c>
      <c r="F576" s="3564"/>
      <c r="G576" s="3549">
        <f ca="1">+G541/'VVP2'!G$355</f>
        <v>1.1746843686521137E-2</v>
      </c>
      <c r="H576" s="3549">
        <f>+H541/'VVP2'!H$355</f>
        <v>1.1776288491745949E-2</v>
      </c>
      <c r="I576" s="3549">
        <f>+I541/'VVP2'!I$355</f>
        <v>1.1271472553499666E-2</v>
      </c>
      <c r="J576" s="3549">
        <f>+J541/'VVP2'!J$355</f>
        <v>1.1237172138977592E-2</v>
      </c>
      <c r="K576" s="3549">
        <f>+K541/'VVP2'!K$355</f>
        <v>1.1145414493133408E-2</v>
      </c>
      <c r="L576" s="3549">
        <f>+L541/'VVP2'!L$355</f>
        <v>1.099828829456824E-2</v>
      </c>
      <c r="M576" s="3549">
        <f>+M541/'VVP2'!M$355</f>
        <v>1.1373709311617812E-2</v>
      </c>
      <c r="N576" s="3549">
        <f>+N541/'VVP2'!N$355</f>
        <v>1.1662693667789917E-2</v>
      </c>
      <c r="O576" s="3549">
        <f>+O541/'VVP2'!O$355</f>
        <v>1.1909289847560383E-2</v>
      </c>
      <c r="P576" s="3549">
        <f>+P541/'VVP2'!P$355</f>
        <v>1.1666802807263748E-2</v>
      </c>
      <c r="Q576" s="3549">
        <f>+Q541/'VVP2'!Q$355</f>
        <v>1.1673271675172275E-2</v>
      </c>
      <c r="R576" s="3549">
        <f>+R541/'VVP2'!R$355</f>
        <v>1.1752205107357114E-2</v>
      </c>
      <c r="S576" s="3549">
        <f>+S541/'VVP2'!S$355</f>
        <v>1.2021612213076115E-2</v>
      </c>
      <c r="T576" s="3549">
        <f>+T541/'VVP2'!T$355</f>
        <v>1.2862012410684E-2</v>
      </c>
      <c r="U576" s="3549">
        <f>+U541/'VVP2'!U$355</f>
        <v>1.4112003202008366E-2</v>
      </c>
      <c r="V576" s="3549">
        <f>+V541/'VVP2'!V$355</f>
        <v>1.4612414937804796E-2</v>
      </c>
      <c r="W576" s="3549">
        <f>+W541/'VVP2'!W$355</f>
        <v>1.5304414619329723E-2</v>
      </c>
      <c r="X576" s="3549">
        <f>+X541/'VVP2'!X$355</f>
        <v>1.5927737825099916E-2</v>
      </c>
      <c r="Y576" s="3614">
        <f>+Y541/'VVP2'!Y$355</f>
        <v>1.6958299922669076E-2</v>
      </c>
      <c r="Z576" s="3614">
        <f>+Z541/'VVP2'!Z$355</f>
        <v>1.7751830526105943E-2</v>
      </c>
      <c r="AA576" s="3614">
        <f>+AA541/'VVP2'!AA$355</f>
        <v>1.8490241508486605E-2</v>
      </c>
      <c r="AB576" s="3614">
        <f>+AB541/'VVP2'!AB$355</f>
        <v>1.915880333704539E-2</v>
      </c>
      <c r="AC576" s="3614">
        <f>+AC541/'VVP2'!AC$355</f>
        <v>1.974128161466111E-2</v>
      </c>
      <c r="AD576" s="3614">
        <f ca="1">+AD541/'VVP2'!AD$355</f>
        <v>2.0391318857771658E-2</v>
      </c>
      <c r="AE576" s="3614">
        <f ca="1">+AE541/'VVP2'!AE$355</f>
        <v>2.1050451371093307E-2</v>
      </c>
      <c r="AG576" s="749"/>
      <c r="AH576" s="749"/>
      <c r="AI576" s="749"/>
      <c r="AJ576" s="749"/>
      <c r="AK576" s="3614" t="e">
        <v>#REF!</v>
      </c>
      <c r="AL576" s="749"/>
      <c r="AM576" s="3614" t="e">
        <f t="shared" si="694"/>
        <v>#REF!</v>
      </c>
      <c r="AN576" s="749"/>
      <c r="AO576" s="749"/>
      <c r="AP576" s="749"/>
      <c r="AQ576" s="749"/>
      <c r="AR576" s="749"/>
      <c r="AS576" s="749"/>
      <c r="AT576" s="749"/>
    </row>
    <row r="577" spans="1:46" ht="12.75" hidden="1" customHeight="1">
      <c r="A577" s="714"/>
      <c r="B577" s="714"/>
      <c r="C577" s="3544" t="s">
        <v>622</v>
      </c>
      <c r="D577" s="3494" t="s">
        <v>591</v>
      </c>
      <c r="E577" s="3557" t="s">
        <v>2386</v>
      </c>
      <c r="F577" s="3496"/>
      <c r="G577" s="3615">
        <f ca="1">+G542/'VVP2'!G$355</f>
        <v>6.7442595702226511E-3</v>
      </c>
      <c r="H577" s="3615">
        <f>+H542/'VVP2'!H$355</f>
        <v>6.6452905960107883E-3</v>
      </c>
      <c r="I577" s="3615">
        <f>+I542/'VVP2'!I$355</f>
        <v>6.3991163377936852E-3</v>
      </c>
      <c r="J577" s="3615">
        <f>+J542/'VVP2'!J$355</f>
        <v>6.0343827615382522E-3</v>
      </c>
      <c r="K577" s="3615">
        <f>+K542/'VVP2'!K$355</f>
        <v>5.7815302220074844E-3</v>
      </c>
      <c r="L577" s="3615">
        <f>+L542/'VVP2'!L$355</f>
        <v>5.41781877609189E-3</v>
      </c>
      <c r="M577" s="3615">
        <f>+M542/'VVP2'!M$355</f>
        <v>5.3689325794504198E-3</v>
      </c>
      <c r="N577" s="3615">
        <f>+N542/'VVP2'!N$355</f>
        <v>5.4387125084207344E-3</v>
      </c>
      <c r="O577" s="3615">
        <f>+O542/'VVP2'!O$355</f>
        <v>5.7175913231305936E-3</v>
      </c>
      <c r="P577" s="3615">
        <f>+P542/'VVP2'!P$355</f>
        <v>5.7815117498262536E-3</v>
      </c>
      <c r="Q577" s="3615">
        <f>+Q542/'VVP2'!Q$355</f>
        <v>5.8205834837973961E-3</v>
      </c>
      <c r="R577" s="3615">
        <f>+R542/'VVP2'!R$355</f>
        <v>5.7857951687691964E-3</v>
      </c>
      <c r="S577" s="3615">
        <f>+S542/'VVP2'!S$355</f>
        <v>5.8193422054610726E-3</v>
      </c>
      <c r="T577" s="3615">
        <f>+T542/'VVP2'!T$355</f>
        <v>6.0525455854404499E-3</v>
      </c>
      <c r="U577" s="3615">
        <f>+U542/'VVP2'!U$355</f>
        <v>6.453904755733611E-3</v>
      </c>
      <c r="V577" s="3615">
        <f>+V542/'VVP2'!V$355</f>
        <v>6.5023192244327245E-3</v>
      </c>
      <c r="W577" s="3615">
        <f>+W542/'VVP2'!W$355</f>
        <v>6.4678429242668875E-3</v>
      </c>
      <c r="X577" s="3615">
        <f>+X542/'VVP2'!X$355</f>
        <v>6.3432241694905377E-3</v>
      </c>
      <c r="Y577" s="3616">
        <f>+Y542/'VVP2'!Y$355</f>
        <v>6.2587124732183695E-3</v>
      </c>
      <c r="Z577" s="3616">
        <f>+Z542/'VVP2'!Z$355</f>
        <v>6.1283007043425224E-3</v>
      </c>
      <c r="AA577" s="3616">
        <f>+AA542/'VVP2'!AA$355</f>
        <v>5.9708167611890999E-3</v>
      </c>
      <c r="AB577" s="3616">
        <f>+AB542/'VVP2'!AB$355</f>
        <v>5.7870038940472501E-3</v>
      </c>
      <c r="AC577" s="3616">
        <f>+AC542/'VVP2'!AC$355</f>
        <v>5.5776977240073839E-3</v>
      </c>
      <c r="AD577" s="3616">
        <f ca="1">+AD542/'VVP2'!AD$355</f>
        <v>5.3891364760259436E-3</v>
      </c>
      <c r="AE577" s="3616">
        <f ca="1">+AE542/'VVP2'!AE$355</f>
        <v>5.2039068526086463E-3</v>
      </c>
      <c r="AG577" s="749"/>
      <c r="AH577" s="749"/>
      <c r="AI577" s="749"/>
      <c r="AJ577" s="749"/>
      <c r="AK577" s="3616" t="e">
        <v>#REF!</v>
      </c>
      <c r="AL577" s="749"/>
      <c r="AM577" s="3616" t="e">
        <f t="shared" si="694"/>
        <v>#REF!</v>
      </c>
      <c r="AN577" s="749"/>
      <c r="AO577" s="749"/>
      <c r="AP577" s="749"/>
      <c r="AQ577" s="749"/>
      <c r="AR577" s="749"/>
      <c r="AS577" s="749"/>
      <c r="AT577" s="749"/>
    </row>
    <row r="578" spans="1:46" ht="12.75" hidden="1" customHeight="1">
      <c r="A578" s="714"/>
      <c r="B578" s="714"/>
      <c r="C578" s="3544" t="s">
        <v>622</v>
      </c>
      <c r="D578" s="3494" t="s">
        <v>591</v>
      </c>
      <c r="E578" s="3557" t="s">
        <v>2385</v>
      </c>
      <c r="F578" s="3496"/>
      <c r="G578" s="3615">
        <f ca="1">+G543/'VVP2'!G$355</f>
        <v>8.4759961153064875E-2</v>
      </c>
      <c r="H578" s="3615">
        <f>+H543/'VVP2'!H$355</f>
        <v>8.5578376455943808E-2</v>
      </c>
      <c r="I578" s="3615">
        <f>+I543/'VVP2'!I$355</f>
        <v>8.5498566836911483E-2</v>
      </c>
      <c r="J578" s="3615">
        <f>+J543/'VVP2'!J$355</f>
        <v>8.5040018832391706E-2</v>
      </c>
      <c r="K578" s="3615">
        <f>+K543/'VVP2'!K$355</f>
        <v>8.3844471923546229E-2</v>
      </c>
      <c r="L578" s="3615">
        <f>+L543/'VVP2'!L$355</f>
        <v>8.2165733361216325E-2</v>
      </c>
      <c r="M578" s="3615">
        <f>+M543/'VVP2'!M$355</f>
        <v>8.3239148134380575E-2</v>
      </c>
      <c r="N578" s="3615">
        <f>+N543/'VVP2'!N$355</f>
        <v>8.4340034413671536E-2</v>
      </c>
      <c r="O578" s="3615">
        <f>+O543/'VVP2'!O$355</f>
        <v>8.5183619242383768E-2</v>
      </c>
      <c r="P578" s="3615">
        <f>+P543/'VVP2'!P$355</f>
        <v>8.3900548624288113E-2</v>
      </c>
      <c r="Q578" s="3615">
        <f>+Q543/'VVP2'!Q$355</f>
        <v>8.4104702440728291E-2</v>
      </c>
      <c r="R578" s="3615">
        <f>+R543/'VVP2'!R$355</f>
        <v>8.3541984209371103E-2</v>
      </c>
      <c r="S578" s="3615">
        <f>+S543/'VVP2'!S$355</f>
        <v>8.4809805272509697E-2</v>
      </c>
      <c r="T578" s="3615">
        <f>+T543/'VVP2'!T$355</f>
        <v>8.8630393381571054E-2</v>
      </c>
      <c r="U578" s="3615">
        <f>+U543/'VVP2'!U$355</f>
        <v>9.4962141010507747E-2</v>
      </c>
      <c r="V578" s="3615">
        <f>+V543/'VVP2'!V$355</f>
        <v>9.3952213157746975E-2</v>
      </c>
      <c r="W578" s="3615">
        <f>+W543/'VVP2'!W$355</f>
        <v>9.5738319305165867E-2</v>
      </c>
      <c r="X578" s="3615">
        <f>+X543/'VVP2'!X$355</f>
        <v>9.9347071136239709E-2</v>
      </c>
      <c r="Y578" s="3616">
        <f>+Y543/'VVP2'!Y$355</f>
        <v>0.10224268351056917</v>
      </c>
      <c r="Z578" s="3616">
        <f>+Z543/'VVP2'!Z$355</f>
        <v>0.10402055621924404</v>
      </c>
      <c r="AA578" s="3616">
        <f>+AA543/'VVP2'!AA$355</f>
        <v>0.10530396237470861</v>
      </c>
      <c r="AB578" s="3616">
        <f>+AB543/'VVP2'!AB$355</f>
        <v>0.10604656598786837</v>
      </c>
      <c r="AC578" s="3616">
        <f>+AC543/'VVP2'!AC$355</f>
        <v>0.10620126136515466</v>
      </c>
      <c r="AD578" s="3616">
        <f ca="1">+AD543/'VVP2'!AD$355</f>
        <v>0.106616825569934</v>
      </c>
      <c r="AE578" s="3616">
        <f ca="1">+AE543/'VVP2'!AE$355</f>
        <v>0.10697146540758787</v>
      </c>
      <c r="AG578" s="749"/>
      <c r="AH578" s="749"/>
      <c r="AI578" s="749"/>
      <c r="AJ578" s="749"/>
      <c r="AK578" s="3616" t="e">
        <v>#REF!</v>
      </c>
      <c r="AL578" s="749"/>
      <c r="AM578" s="3616" t="e">
        <f t="shared" si="694"/>
        <v>#REF!</v>
      </c>
      <c r="AN578" s="749"/>
      <c r="AO578" s="749"/>
      <c r="AP578" s="749"/>
      <c r="AQ578" s="749"/>
      <c r="AR578" s="749"/>
      <c r="AS578" s="749"/>
      <c r="AT578" s="749"/>
    </row>
    <row r="579" spans="1:46" ht="12.75" hidden="1" customHeight="1">
      <c r="A579" s="714"/>
      <c r="B579" s="714"/>
      <c r="C579" s="3544" t="s">
        <v>622</v>
      </c>
      <c r="D579" s="3494" t="s">
        <v>591</v>
      </c>
      <c r="E579" s="3557" t="s">
        <v>2384</v>
      </c>
      <c r="F579" s="3496"/>
      <c r="G579" s="3615">
        <f ca="1">+G545/'VVP2'!G$355</f>
        <v>1.8746675198352224E-2</v>
      </c>
      <c r="H579" s="3615">
        <f>+H545/'VVP2'!H$355</f>
        <v>1.9009698882665009E-2</v>
      </c>
      <c r="I579" s="3615">
        <f>+I545/'VVP2'!I$355</f>
        <v>1.8493711739723244E-2</v>
      </c>
      <c r="J579" s="3615">
        <f>+J545/'VVP2'!J$355</f>
        <v>1.8086089958787084E-2</v>
      </c>
      <c r="K579" s="3615">
        <f>+K545/'VVP2'!K$355</f>
        <v>1.7446954869669896E-2</v>
      </c>
      <c r="L579" s="3615">
        <f>+L545/'VVP2'!L$355</f>
        <v>1.6745281192152489E-2</v>
      </c>
      <c r="M579" s="3615">
        <f>+M545/'VVP2'!M$355</f>
        <v>1.6678681236652913E-2</v>
      </c>
      <c r="N579" s="3615">
        <f>+N545/'VVP2'!N$355</f>
        <v>1.6592435754299622E-2</v>
      </c>
      <c r="O579" s="3615">
        <f>+O545/'VVP2'!O$355</f>
        <v>1.6406232033017672E-2</v>
      </c>
      <c r="P579" s="3615">
        <f>+P545/'VVP2'!P$355</f>
        <v>1.5838061429315577E-2</v>
      </c>
      <c r="Q579" s="3615">
        <f>+Q545/'VVP2'!Q$355</f>
        <v>1.5570783175078528E-2</v>
      </c>
      <c r="R579" s="3615">
        <f>+R545/'VVP2'!R$355</f>
        <v>1.5376745572871785E-2</v>
      </c>
      <c r="S579" s="3615">
        <f>+S545/'VVP2'!S$355</f>
        <v>1.4951590093193605E-2</v>
      </c>
      <c r="T579" s="3615">
        <f>+T545/'VVP2'!T$355</f>
        <v>1.5310709108106712E-2</v>
      </c>
      <c r="U579" s="3615">
        <f>+U545/'VVP2'!U$355</f>
        <v>1.6236544927463101E-2</v>
      </c>
      <c r="V579" s="3615">
        <f>+V545/'VVP2'!V$355</f>
        <v>1.5779216955331476E-2</v>
      </c>
      <c r="W579" s="3615">
        <f>+W545/'VVP2'!W$355</f>
        <v>1.587417565996661E-2</v>
      </c>
      <c r="X579" s="3615">
        <f>+X545/'VVP2'!X$355</f>
        <v>1.6098060361790876E-2</v>
      </c>
      <c r="Y579" s="3616">
        <f>+Y545/'VVP2'!Y$355</f>
        <v>1.64082665077568E-2</v>
      </c>
      <c r="Z579" s="3616">
        <f>+Z545/'VVP2'!Z$355</f>
        <v>1.643626654995076E-2</v>
      </c>
      <c r="AA579" s="3616">
        <f>+AA545/'VVP2'!AA$355</f>
        <v>1.6382578565737053E-2</v>
      </c>
      <c r="AB579" s="3616">
        <f>+AB545/'VVP2'!AB$355</f>
        <v>1.6243802416383488E-2</v>
      </c>
      <c r="AC579" s="3616">
        <f>+AC545/'VVP2'!AC$355</f>
        <v>1.6016746640257939E-2</v>
      </c>
      <c r="AD579" s="3616">
        <f ca="1">+AD545/'VVP2'!AD$355</f>
        <v>1.5831567638204338E-2</v>
      </c>
      <c r="AE579" s="3616">
        <f ca="1">+AE545/'VVP2'!AE$355</f>
        <v>1.5639384629826926E-2</v>
      </c>
      <c r="AG579" s="749"/>
      <c r="AH579" s="749"/>
      <c r="AI579" s="749"/>
      <c r="AJ579" s="749"/>
      <c r="AK579" s="3616" t="e">
        <v>#REF!</v>
      </c>
      <c r="AL579" s="749"/>
      <c r="AM579" s="3616" t="e">
        <f t="shared" si="694"/>
        <v>#REF!</v>
      </c>
      <c r="AN579" s="749"/>
      <c r="AO579" s="749"/>
      <c r="AP579" s="749"/>
      <c r="AQ579" s="749"/>
      <c r="AR579" s="749"/>
      <c r="AS579" s="749"/>
      <c r="AT579" s="749"/>
    </row>
    <row r="580" spans="1:46" ht="12.75" hidden="1" customHeight="1">
      <c r="A580" s="714"/>
      <c r="B580" s="714"/>
      <c r="C580" s="3544" t="s">
        <v>622</v>
      </c>
      <c r="D580" s="3494" t="s">
        <v>591</v>
      </c>
      <c r="E580" s="3557" t="s">
        <v>2383</v>
      </c>
      <c r="F580" s="3496"/>
      <c r="G580" s="3615">
        <f ca="1">+G546/'VVP2'!G$355</f>
        <v>1.3914945657832705E-2</v>
      </c>
      <c r="H580" s="3615">
        <f>+H546/'VVP2'!H$355</f>
        <v>1.3407742064550561E-2</v>
      </c>
      <c r="I580" s="3615">
        <f>+I546/'VVP2'!I$355</f>
        <v>1.3189437298174487E-2</v>
      </c>
      <c r="J580" s="3615">
        <f>+J546/'VVP2'!J$355</f>
        <v>1.2319522912743264E-2</v>
      </c>
      <c r="K580" s="3615">
        <f>+K546/'VVP2'!K$355</f>
        <v>1.1911917650045439E-2</v>
      </c>
      <c r="L580" s="3615">
        <f>+L546/'VVP2'!L$355</f>
        <v>1.1930044690227784E-2</v>
      </c>
      <c r="M580" s="3615">
        <f>+M546/'VVP2'!M$355</f>
        <v>1.1843632001998587E-2</v>
      </c>
      <c r="N580" s="3615">
        <f>+N546/'VVP2'!N$355</f>
        <v>1.3264496295604201E-2</v>
      </c>
      <c r="O580" s="3615">
        <f>+O546/'VVP2'!O$355</f>
        <v>1.3616783394925985E-2</v>
      </c>
      <c r="P580" s="3615">
        <f>+P546/'VVP2'!P$355</f>
        <v>1.3365435732487748E-2</v>
      </c>
      <c r="Q580" s="3615">
        <f>+Q546/'VVP2'!Q$355</f>
        <v>1.3036116511836365E-2</v>
      </c>
      <c r="R580" s="3615">
        <f>+R546/'VVP2'!R$355</f>
        <v>1.265772797027878E-2</v>
      </c>
      <c r="S580" s="3615">
        <f>+S546/'VVP2'!S$355</f>
        <v>1.3064800377125863E-2</v>
      </c>
      <c r="T580" s="3615">
        <f>+T546/'VVP2'!T$355</f>
        <v>1.3537875293836552E-2</v>
      </c>
      <c r="U580" s="3615">
        <f>+U546/'VVP2'!U$355</f>
        <v>1.5294693433789849E-2</v>
      </c>
      <c r="V580" s="3615">
        <f>+V546/'VVP2'!V$355</f>
        <v>1.4050925704018481E-2</v>
      </c>
      <c r="W580" s="3615">
        <f>+W546/'VVP2'!W$355</f>
        <v>1.3256440212151577E-2</v>
      </c>
      <c r="X580" s="3615">
        <f>+X546/'VVP2'!X$355</f>
        <v>1.3489028777024833E-2</v>
      </c>
      <c r="Y580" s="3616">
        <f>+Y546/'VVP2'!Y$355</f>
        <v>1.3522474650800148E-2</v>
      </c>
      <c r="Z580" s="3616">
        <f>+Z546/'VVP2'!Z$355</f>
        <v>1.3320232834742565E-2</v>
      </c>
      <c r="AA580" s="3616">
        <f>+AA546/'VVP2'!AA$355</f>
        <v>1.3055877481085925E-2</v>
      </c>
      <c r="AB580" s="3616">
        <f>+AB546/'VVP2'!AB$355</f>
        <v>1.2729949205695194E-2</v>
      </c>
      <c r="AC580" s="3616">
        <f>+AC546/'VVP2'!AC$355</f>
        <v>1.2343219275587729E-2</v>
      </c>
      <c r="AD580" s="3616">
        <f ca="1">+AD546/'VVP2'!AD$355</f>
        <v>1.1997568139320049E-2</v>
      </c>
      <c r="AE580" s="3616">
        <f ca="1">+AE546/'VVP2'!AE$355</f>
        <v>1.1654781369321578E-2</v>
      </c>
      <c r="AG580" s="749"/>
      <c r="AH580" s="749"/>
      <c r="AI580" s="749"/>
      <c r="AJ580" s="749"/>
      <c r="AK580" s="3616" t="e">
        <v>#REF!</v>
      </c>
      <c r="AL580" s="749"/>
      <c r="AM580" s="3616" t="e">
        <f t="shared" ref="AM580:AM644" si="748">Z580-AK580</f>
        <v>#REF!</v>
      </c>
      <c r="AN580" s="749"/>
      <c r="AO580" s="749"/>
      <c r="AP580" s="749"/>
      <c r="AQ580" s="749"/>
      <c r="AR580" s="749"/>
      <c r="AS580" s="749"/>
      <c r="AT580" s="749"/>
    </row>
    <row r="581" spans="1:46" ht="12.75" hidden="1" customHeight="1">
      <c r="A581" s="714"/>
      <c r="B581" s="714"/>
      <c r="C581" s="3518" t="s">
        <v>622</v>
      </c>
      <c r="D581" s="3519" t="s">
        <v>591</v>
      </c>
      <c r="E581" s="3520" t="s">
        <v>2381</v>
      </c>
      <c r="F581" s="3521"/>
      <c r="G581" s="3522">
        <f ca="1">+G547/'VVP2'!G$355</f>
        <v>0.13591268526599359</v>
      </c>
      <c r="H581" s="3522">
        <f>+H547/'VVP2'!H$355</f>
        <v>0.13641739649091611</v>
      </c>
      <c r="I581" s="3522">
        <f>+I547/'VVP2'!I$355</f>
        <v>0.13485230476610258</v>
      </c>
      <c r="J581" s="3522">
        <f>+J547/'VVP2'!J$355</f>
        <v>0.1327171866044379</v>
      </c>
      <c r="K581" s="3522">
        <f>+K547/'VVP2'!K$355</f>
        <v>0.13013028915840247</v>
      </c>
      <c r="L581" s="3522">
        <f>+L547/'VVP2'!L$355</f>
        <v>0.12725716631425674</v>
      </c>
      <c r="M581" s="3522">
        <f>+M547/'VVP2'!M$355</f>
        <v>0.12850410326410031</v>
      </c>
      <c r="N581" s="3522">
        <f>+N547/'VVP2'!N$355</f>
        <v>0.13129837263978603</v>
      </c>
      <c r="O581" s="3522">
        <f>+O547/'VVP2'!O$355</f>
        <v>0.13283351584101841</v>
      </c>
      <c r="P581" s="3522">
        <f>+P547/'VVP2'!P$355</f>
        <v>0.13055236034318146</v>
      </c>
      <c r="Q581" s="3522">
        <f>+Q547/'VVP2'!Q$355</f>
        <v>0.13020545728661284</v>
      </c>
      <c r="R581" s="3522">
        <f>+R547/'VVP2'!R$355</f>
        <v>0.12911445802864799</v>
      </c>
      <c r="S581" s="3522">
        <f>+S547/'VVP2'!S$355</f>
        <v>0.13066715016136637</v>
      </c>
      <c r="T581" s="3522">
        <f>+T547/'VVP2'!T$355</f>
        <v>0.13639353577963878</v>
      </c>
      <c r="U581" s="3522">
        <f>+U547/'VVP2'!U$355</f>
        <v>0.14705928732950269</v>
      </c>
      <c r="V581" s="3522">
        <f>+V547/'VVP2'!V$355</f>
        <v>0.14489708997933445</v>
      </c>
      <c r="W581" s="3522">
        <f>+W547/'VVP2'!W$355</f>
        <v>0.14664119272088066</v>
      </c>
      <c r="X581" s="3522">
        <f>+X547/'VVP2'!X$355</f>
        <v>0.15120512226964589</v>
      </c>
      <c r="Y581" s="3617">
        <f>+Y547/'VVP2'!Y$355</f>
        <v>0.15539043706501357</v>
      </c>
      <c r="Z581" s="3617">
        <f>+Z547/'VVP2'!Z$355</f>
        <v>0.15765718683438584</v>
      </c>
      <c r="AA581" s="3617">
        <f>+AA547/'VVP2'!AA$355</f>
        <v>0.1592034766912073</v>
      </c>
      <c r="AB581" s="3617">
        <f>+AB547/'VVP2'!AB$355</f>
        <v>0.1599661248410397</v>
      </c>
      <c r="AC581" s="3617">
        <f>+AC547/'VVP2'!AC$355</f>
        <v>0.15988020661966884</v>
      </c>
      <c r="AD581" s="3617">
        <f ca="1">+AD547/'VVP2'!AD$355</f>
        <v>0.16022641668125598</v>
      </c>
      <c r="AE581" s="3617">
        <f ca="1">+AE547/'VVP2'!AE$355</f>
        <v>0.16051998963043831</v>
      </c>
      <c r="AG581" s="749"/>
      <c r="AH581" s="749"/>
      <c r="AI581" s="749"/>
      <c r="AJ581" s="749"/>
      <c r="AK581" s="3617" t="e">
        <v>#REF!</v>
      </c>
      <c r="AL581" s="749"/>
      <c r="AM581" s="3617" t="e">
        <f t="shared" si="748"/>
        <v>#REF!</v>
      </c>
      <c r="AN581" s="749"/>
      <c r="AO581" s="749"/>
      <c r="AP581" s="749"/>
      <c r="AQ581" s="749"/>
      <c r="AR581" s="749"/>
      <c r="AS581" s="749"/>
      <c r="AT581" s="749"/>
    </row>
    <row r="582" spans="1:46" ht="12.75" hidden="1" customHeight="1">
      <c r="A582" s="714"/>
      <c r="B582" s="714"/>
      <c r="C582" s="3618" t="s">
        <v>622</v>
      </c>
      <c r="D582" s="3519" t="s">
        <v>591</v>
      </c>
      <c r="E582" s="3619" t="s">
        <v>2382</v>
      </c>
      <c r="F582" s="3620"/>
      <c r="G582" s="3621">
        <f ca="1">+G549/'VVP2'!G$355</f>
        <v>1.9967741141592537E-2</v>
      </c>
      <c r="H582" s="3621">
        <f>+H549/'VVP2'!H$355</f>
        <v>2.0570300228209007E-2</v>
      </c>
      <c r="I582" s="3621">
        <f>+I549/'VVP2'!I$355</f>
        <v>1.9803627670557912E-2</v>
      </c>
      <c r="J582" s="3621">
        <f>+J549/'VVP2'!J$355</f>
        <v>1.9275908185267063E-2</v>
      </c>
      <c r="K582" s="3621">
        <f>+K549/'VVP2'!K$355</f>
        <v>1.8441934929123025E-2</v>
      </c>
      <c r="L582" s="3621">
        <f>+L549/'VVP2'!L$355</f>
        <v>1.6966021485388543E-2</v>
      </c>
      <c r="M582" s="3621">
        <f>+M549/'VVP2'!M$355</f>
        <v>1.7446209089636715E-2</v>
      </c>
      <c r="N582" s="3621">
        <f>+N549/'VVP2'!N$355</f>
        <v>1.9471754141110596E-2</v>
      </c>
      <c r="O582" s="3621">
        <f>+O549/'VVP2'!O$355</f>
        <v>2.0333537954227425E-2</v>
      </c>
      <c r="P582" s="3621">
        <f>+P549/'VVP2'!P$355</f>
        <v>2.0166662872584451E-2</v>
      </c>
      <c r="Q582" s="3621">
        <f>+Q549/'VVP2'!Q$355</f>
        <v>1.9651291508176429E-2</v>
      </c>
      <c r="R582" s="3621">
        <f>+R549/'VVP2'!R$355</f>
        <v>1.866454663702952E-2</v>
      </c>
      <c r="S582" s="3621">
        <f>+S549/'VVP2'!S$355</f>
        <v>1.6668963266490193E-2</v>
      </c>
      <c r="T582" s="3621">
        <f>+T549/'VVP2'!T$355</f>
        <v>1.6307698651578703E-2</v>
      </c>
      <c r="U582" s="3621">
        <f>+U549/'VVP2'!U$355</f>
        <v>1.9791783442394097E-2</v>
      </c>
      <c r="V582" s="3621">
        <f>+V549/'VVP2'!V$355</f>
        <v>1.8671571252299023E-2</v>
      </c>
      <c r="W582" s="3621">
        <f>+W549/'VVP2'!W$355</f>
        <v>1.7422554043549265E-2</v>
      </c>
      <c r="X582" s="3621">
        <f>+X549/'VVP2'!X$355</f>
        <v>1.7589672880084419E-2</v>
      </c>
      <c r="Y582" s="3622">
        <f>+Y549/'VVP2'!Y$355</f>
        <v>1.7911249381276126E-2</v>
      </c>
      <c r="Z582" s="3622">
        <f>+Z549/'VVP2'!Z$355</f>
        <v>1.7924258611670286E-2</v>
      </c>
      <c r="AA582" s="3622">
        <f>+AA549/'VVP2'!AA$355</f>
        <v>1.7271351934259046E-2</v>
      </c>
      <c r="AB582" s="3622">
        <f>+AB549/'VVP2'!AB$355</f>
        <v>1.6555329215246061E-2</v>
      </c>
      <c r="AC582" s="3622">
        <f>+AC549/'VVP2'!AC$355</f>
        <v>1.5780853123579037E-2</v>
      </c>
      <c r="AD582" s="3622">
        <f ca="1">+AD549/'VVP2'!AD$355</f>
        <v>1.5079472218914029E-2</v>
      </c>
      <c r="AE582" s="3622">
        <f ca="1">+AE549/'VVP2'!AE$355</f>
        <v>1.4400843482830539E-2</v>
      </c>
      <c r="AG582" s="749"/>
      <c r="AH582" s="749"/>
      <c r="AI582" s="749"/>
      <c r="AJ582" s="749"/>
      <c r="AK582" s="3622" t="e">
        <v>#REF!</v>
      </c>
      <c r="AL582" s="749"/>
      <c r="AM582" s="3622" t="e">
        <f t="shared" si="748"/>
        <v>#REF!</v>
      </c>
      <c r="AN582" s="749"/>
      <c r="AO582" s="749"/>
      <c r="AP582" s="749"/>
      <c r="AQ582" s="749"/>
      <c r="AR582" s="749"/>
      <c r="AS582" s="749"/>
      <c r="AT582" s="749"/>
    </row>
    <row r="583" spans="1:46" ht="12.75" hidden="1" customHeight="1">
      <c r="A583" s="714"/>
      <c r="B583" s="714"/>
      <c r="C583" s="3482" t="s">
        <v>624</v>
      </c>
      <c r="D583" s="3623" t="s">
        <v>591</v>
      </c>
      <c r="E583" s="3526" t="s">
        <v>1439</v>
      </c>
      <c r="F583" s="3527"/>
      <c r="G583" s="3624">
        <f ca="1">+G551/'VVP2'!G$355</f>
        <v>0.15588042640758612</v>
      </c>
      <c r="H583" s="3624">
        <f>+H551/'VVP2'!H$355</f>
        <v>0.1569876967191251</v>
      </c>
      <c r="I583" s="3624">
        <f>+I551/'VVP2'!I$355</f>
        <v>0.15465593243666051</v>
      </c>
      <c r="J583" s="3624">
        <f>+J551/'VVP2'!J$355</f>
        <v>0.15199309478970496</v>
      </c>
      <c r="K583" s="3624">
        <f>+K551/'VVP2'!K$355</f>
        <v>0.14857222408752546</v>
      </c>
      <c r="L583" s="3624">
        <f>+L551/'VVP2'!L$355</f>
        <v>0.14422318779964527</v>
      </c>
      <c r="M583" s="3624">
        <f>+M551/'VVP2'!M$355</f>
        <v>0.14595031235373701</v>
      </c>
      <c r="N583" s="3624">
        <f>+N551/'VVP2'!N$355</f>
        <v>0.15077012678089663</v>
      </c>
      <c r="O583" s="3624">
        <f>+O551/'VVP2'!O$355</f>
        <v>0.15316705379524581</v>
      </c>
      <c r="P583" s="3624">
        <f>+P551/'VVP2'!P$355</f>
        <v>0.15071902321576591</v>
      </c>
      <c r="Q583" s="3624">
        <f>+Q551/'VVP2'!Q$355</f>
        <v>0.1498567487947893</v>
      </c>
      <c r="R583" s="3624">
        <f>+R551/'VVP2'!R$355</f>
        <v>0.1477790046656775</v>
      </c>
      <c r="S583" s="3624">
        <f>+S551/'VVP2'!S$355</f>
        <v>0.14733611342785657</v>
      </c>
      <c r="T583" s="3624">
        <f>+T551/'VVP2'!T$355</f>
        <v>0.15270123443121747</v>
      </c>
      <c r="U583" s="3624">
        <f>+U551/'VVP2'!U$355</f>
        <v>0.16685107077189679</v>
      </c>
      <c r="V583" s="3624">
        <f>+V551/'VVP2'!V$355</f>
        <v>0.16356866123163347</v>
      </c>
      <c r="W583" s="3624">
        <f>+W551/'VVP2'!W$355</f>
        <v>0.16406374676442992</v>
      </c>
      <c r="X583" s="3624">
        <f>+X551/'VVP2'!X$355</f>
        <v>0.16879479514973031</v>
      </c>
      <c r="Y583" s="3625">
        <f>+Y551/'VVP2'!Y$355</f>
        <v>0.17330168644628968</v>
      </c>
      <c r="Z583" s="3625">
        <f>+Z551/'VVP2'!Z$355</f>
        <v>0.17558144544605611</v>
      </c>
      <c r="AA583" s="3625">
        <f>+AA551/'VVP2'!AA$355</f>
        <v>0.17647482862546635</v>
      </c>
      <c r="AB583" s="3625">
        <f>+AB551/'VVP2'!AB$355</f>
        <v>0.17652145405628578</v>
      </c>
      <c r="AC583" s="3625">
        <f>+AC551/'VVP2'!AC$355</f>
        <v>0.17566105974324789</v>
      </c>
      <c r="AD583" s="3625">
        <f ca="1">+AD551/'VVP2'!AD$355</f>
        <v>0.17530588890017001</v>
      </c>
      <c r="AE583" s="3625">
        <f ca="1">+AE551/'VVP2'!AE$355</f>
        <v>0.17492083311326884</v>
      </c>
      <c r="AG583" s="749"/>
      <c r="AH583" s="749"/>
      <c r="AI583" s="749"/>
      <c r="AJ583" s="749"/>
      <c r="AK583" s="3625" t="e">
        <v>#REF!</v>
      </c>
      <c r="AL583" s="749"/>
      <c r="AM583" s="3625" t="e">
        <f t="shared" si="748"/>
        <v>#REF!</v>
      </c>
      <c r="AN583" s="749"/>
      <c r="AO583" s="749"/>
      <c r="AP583" s="749"/>
      <c r="AQ583" s="749"/>
      <c r="AR583" s="749"/>
      <c r="AS583" s="749"/>
      <c r="AT583" s="749"/>
    </row>
    <row r="584" spans="1:46" ht="30" customHeight="1">
      <c r="E584" s="1083"/>
      <c r="R584" s="2234"/>
      <c r="S584" s="2234"/>
      <c r="T584" s="2234"/>
      <c r="U584" s="2234"/>
      <c r="V584" s="2234"/>
      <c r="W584" s="2234"/>
      <c r="X584">
        <f>(X578-W578)*(X560+X561)/X557</f>
        <v>1.5258284564231709E-3</v>
      </c>
      <c r="Y584" s="2234"/>
      <c r="Z584" s="2234"/>
      <c r="AA584" s="2234"/>
      <c r="AB584" s="2234"/>
      <c r="AC584" s="2234"/>
      <c r="AD584" s="2234"/>
      <c r="AE584" s="2234"/>
      <c r="AK584" s="2234"/>
      <c r="AM584" s="2234">
        <f t="shared" si="748"/>
        <v>0</v>
      </c>
    </row>
    <row r="585" spans="1:46" ht="22.5" customHeight="1">
      <c r="A585" s="603"/>
      <c r="B585" s="603"/>
      <c r="C585" s="4124" t="s">
        <v>743</v>
      </c>
      <c r="D585" s="4124"/>
      <c r="E585" s="4124"/>
      <c r="F585" s="4124"/>
      <c r="N585" s="927"/>
      <c r="O585" s="927"/>
      <c r="P585" s="927"/>
      <c r="Q585" s="2968"/>
      <c r="R585" s="2957"/>
      <c r="S585" s="2990">
        <f>S589-S588</f>
        <v>1.1510000000000007</v>
      </c>
      <c r="T585" s="2990"/>
      <c r="U585" s="2990"/>
      <c r="V585" s="835"/>
      <c r="W585" s="835"/>
      <c r="X585" s="835"/>
      <c r="Y585" s="835"/>
      <c r="Z585" s="835"/>
      <c r="AA585" s="835"/>
      <c r="AB585" s="835"/>
      <c r="AC585" s="835"/>
      <c r="AD585" s="835"/>
      <c r="AE585" s="835"/>
      <c r="AK585" s="835"/>
      <c r="AM585" s="835">
        <f t="shared" si="748"/>
        <v>0</v>
      </c>
    </row>
    <row r="586" spans="1:46" ht="12.75" customHeight="1">
      <c r="A586" s="714"/>
      <c r="B586" s="714"/>
      <c r="C586" s="822"/>
      <c r="O586" s="888"/>
      <c r="P586" s="888"/>
      <c r="Q586" s="888"/>
      <c r="R586" s="2239"/>
      <c r="S586" s="2239"/>
      <c r="T586" s="2965"/>
      <c r="U586" s="2965"/>
      <c r="V586" s="2965"/>
      <c r="W586" s="2965"/>
      <c r="X586" s="2965"/>
      <c r="Y586" s="2965"/>
      <c r="Z586" s="2965"/>
      <c r="AA586" s="2965"/>
      <c r="AB586" s="2965"/>
      <c r="AC586" s="2965"/>
      <c r="AD586" s="2965"/>
      <c r="AE586" s="2965"/>
      <c r="AK586" s="2965"/>
      <c r="AM586" s="2965">
        <f t="shared" si="748"/>
        <v>0</v>
      </c>
    </row>
    <row r="587" spans="1:46" ht="12.75" customHeight="1">
      <c r="A587" s="714"/>
      <c r="B587" s="714"/>
      <c r="C587" s="822"/>
      <c r="D587" s="823"/>
      <c r="E587" s="824" t="s">
        <v>1803</v>
      </c>
      <c r="F587" s="825"/>
      <c r="G587" s="826">
        <f>+InputY!$G$3</f>
        <v>1995</v>
      </c>
      <c r="H587" s="826">
        <f>+G587+1</f>
        <v>1996</v>
      </c>
      <c r="I587" s="826">
        <f t="shared" ref="I587:S587" si="749">+H587+1</f>
        <v>1997</v>
      </c>
      <c r="J587" s="826">
        <f t="shared" si="749"/>
        <v>1998</v>
      </c>
      <c r="K587" s="826">
        <f t="shared" si="749"/>
        <v>1999</v>
      </c>
      <c r="L587" s="826">
        <f t="shared" si="749"/>
        <v>2000</v>
      </c>
      <c r="M587" s="826">
        <f t="shared" si="749"/>
        <v>2001</v>
      </c>
      <c r="N587" s="826">
        <f t="shared" si="749"/>
        <v>2002</v>
      </c>
      <c r="O587" s="826">
        <f t="shared" si="749"/>
        <v>2003</v>
      </c>
      <c r="P587" s="826">
        <f>+O587+1</f>
        <v>2004</v>
      </c>
      <c r="Q587" s="826">
        <f>+P587+1</f>
        <v>2005</v>
      </c>
      <c r="R587" s="826">
        <f>+Q587+1</f>
        <v>2006</v>
      </c>
      <c r="S587" s="2163">
        <f t="shared" si="749"/>
        <v>2007</v>
      </c>
      <c r="T587" s="2163">
        <f t="shared" ref="T587:AE587" si="750">+S587+1</f>
        <v>2008</v>
      </c>
      <c r="U587" s="2163">
        <f t="shared" si="750"/>
        <v>2009</v>
      </c>
      <c r="V587" s="2163">
        <f t="shared" si="750"/>
        <v>2010</v>
      </c>
      <c r="W587" s="2163">
        <f t="shared" si="750"/>
        <v>2011</v>
      </c>
      <c r="X587" s="2163">
        <f t="shared" si="750"/>
        <v>2012</v>
      </c>
      <c r="Y587" s="2163">
        <f t="shared" si="750"/>
        <v>2013</v>
      </c>
      <c r="Z587" s="2163">
        <f t="shared" si="750"/>
        <v>2014</v>
      </c>
      <c r="AA587" s="2163">
        <f t="shared" si="750"/>
        <v>2015</v>
      </c>
      <c r="AB587" s="2163">
        <f t="shared" si="750"/>
        <v>2016</v>
      </c>
      <c r="AC587" s="2163">
        <f t="shared" si="750"/>
        <v>2017</v>
      </c>
      <c r="AD587" s="2163">
        <f t="shared" si="750"/>
        <v>2018</v>
      </c>
      <c r="AE587" s="2163">
        <f t="shared" si="750"/>
        <v>2019</v>
      </c>
      <c r="AK587" s="2163">
        <v>2014</v>
      </c>
      <c r="AM587" s="2163">
        <f t="shared" si="748"/>
        <v>0</v>
      </c>
    </row>
    <row r="588" spans="1:46" ht="12.75" customHeight="1">
      <c r="A588" s="714">
        <f>+ROW(InputY!A200)</f>
        <v>200</v>
      </c>
      <c r="B588" s="714" t="s">
        <v>1104</v>
      </c>
      <c r="C588" s="827" t="s">
        <v>622</v>
      </c>
      <c r="D588" s="718" t="s">
        <v>589</v>
      </c>
      <c r="E588" s="750" t="s">
        <v>1440</v>
      </c>
      <c r="F588" s="751" t="str">
        <f>+InputY!B200</f>
        <v>$HTO</v>
      </c>
      <c r="G588" s="828">
        <f ca="1">+InputY!G200/1000</f>
        <v>5.7714999999999996</v>
      </c>
      <c r="H588" s="828">
        <f>+InputY!H200/1000</f>
        <v>6.1592000000000002</v>
      </c>
      <c r="I588" s="828">
        <f>+InputY!I200/1000</f>
        <v>6.1097999999999999</v>
      </c>
      <c r="J588" s="828">
        <f>+InputY!J200/1000</f>
        <v>6.5125000000000002</v>
      </c>
      <c r="K588" s="828">
        <f>+InputY!K200/1000</f>
        <v>6.8028000000000004</v>
      </c>
      <c r="L588" s="828">
        <f>+InputY!L200/1000</f>
        <v>7.2183000000000002</v>
      </c>
      <c r="M588" s="828">
        <f>+InputY!M200/1000</f>
        <v>7.5238999999999994</v>
      </c>
      <c r="N588" s="828">
        <f>+InputY!N200/1000</f>
        <v>7.3048999999999999</v>
      </c>
      <c r="O588" s="828">
        <f>+InputY!O200/1000</f>
        <v>7.6550000000000002</v>
      </c>
      <c r="P588" s="828">
        <f>+InputY!P200/1000</f>
        <v>7.9916999999999998</v>
      </c>
      <c r="Q588" s="828">
        <f>+InputY!Q200/1000</f>
        <v>8.8757000000000001</v>
      </c>
      <c r="R588" s="828">
        <f>+InputY!R200/1000</f>
        <v>8.2775999999999996</v>
      </c>
      <c r="S588" s="828">
        <f>+InputY!S200/1000</f>
        <v>7.2381000000000002</v>
      </c>
      <c r="T588" s="828">
        <f>+InputY!T200/1000</f>
        <v>7.9157999999999999</v>
      </c>
      <c r="U588" s="828">
        <f>+InputY!U200/1000</f>
        <v>8.7327999999999992</v>
      </c>
      <c r="V588" s="828">
        <f>+InputY!V200/1000</f>
        <v>8.8559999999999999</v>
      </c>
      <c r="W588" s="828">
        <f>+InputY!W200/1000</f>
        <v>9.0937999999999999</v>
      </c>
      <c r="X588" s="828">
        <f>+InputY!X200/1000</f>
        <v>9.7940000000000005</v>
      </c>
      <c r="Y588" s="828">
        <f>+InputY!Y200/1000</f>
        <v>9.8018000000000001</v>
      </c>
      <c r="Z588" s="828">
        <f>+InputY!Z200/1000</f>
        <v>9.9252000000000002</v>
      </c>
      <c r="AA588" s="828">
        <f>+InputY!AA200/1000</f>
        <v>9.9629999999999992</v>
      </c>
      <c r="AB588" s="828">
        <f>+InputY!AB200/1000</f>
        <v>9.9991000000000003</v>
      </c>
      <c r="AC588" s="2200">
        <f t="shared" ref="AC588:AE593" si="751">+AB588*(1+AC600/100)</f>
        <v>10.409063099999999</v>
      </c>
      <c r="AD588" s="2200">
        <f t="shared" si="751"/>
        <v>10.856652813299998</v>
      </c>
      <c r="AE588" s="2200">
        <f t="shared" si="751"/>
        <v>11.207322699169588</v>
      </c>
      <c r="AK588" s="828">
        <v>7.4753808572950682</v>
      </c>
      <c r="AM588" s="828">
        <f t="shared" si="748"/>
        <v>2.4498191427049321</v>
      </c>
    </row>
    <row r="589" spans="1:46" ht="12.75" customHeight="1">
      <c r="A589" s="714">
        <f>+ROW(InputY!A199)</f>
        <v>199</v>
      </c>
      <c r="B589" s="714" t="s">
        <v>269</v>
      </c>
      <c r="C589" s="829" t="s">
        <v>2133</v>
      </c>
      <c r="D589" s="724" t="s">
        <v>589</v>
      </c>
      <c r="E589" s="830" t="s">
        <v>1481</v>
      </c>
      <c r="F589" s="754" t="str">
        <f>+InputY!B199</f>
        <v>YHTO</v>
      </c>
      <c r="G589" s="756">
        <f ca="1">+InputY!G199/1000</f>
        <v>6.4878999999999998</v>
      </c>
      <c r="H589" s="756">
        <f>+InputY!H199/1000</f>
        <v>6.6266000000000007</v>
      </c>
      <c r="I589" s="756">
        <f>+InputY!I199/1000</f>
        <v>6.8475000000000001</v>
      </c>
      <c r="J589" s="756">
        <f>+InputY!J199/1000</f>
        <v>7.0491999999999999</v>
      </c>
      <c r="K589" s="756">
        <f>+InputY!K199/1000</f>
        <v>7.0804999999999998</v>
      </c>
      <c r="L589" s="756">
        <f>+InputY!L199/1000</f>
        <v>7.3998999999999997</v>
      </c>
      <c r="M589" s="756">
        <f>+InputY!M199/1000</f>
        <v>8.0670999999999999</v>
      </c>
      <c r="N589" s="756">
        <f>+InputY!N199/1000</f>
        <v>7.7969999999999997</v>
      </c>
      <c r="O589" s="756">
        <f>+InputY!O199/1000</f>
        <v>7.9718999999999998</v>
      </c>
      <c r="P589" s="756">
        <f>+InputY!P199/1000</f>
        <v>8.3895999999999997</v>
      </c>
      <c r="Q589" s="756">
        <f>+InputY!Q199/1000</f>
        <v>9.6702999999999992</v>
      </c>
      <c r="R589" s="756">
        <f>+InputY!R199/1000</f>
        <v>9.1707000000000001</v>
      </c>
      <c r="S589" s="756">
        <f>+InputY!S199/1000</f>
        <v>8.3891000000000009</v>
      </c>
      <c r="T589" s="756">
        <f>+InputY!T199/1000</f>
        <v>9.1127000000000002</v>
      </c>
      <c r="U589" s="756">
        <f>+InputY!U199/1000</f>
        <v>10.7826</v>
      </c>
      <c r="V589" s="756">
        <f>+InputY!V199/1000</f>
        <v>10.680399999999999</v>
      </c>
      <c r="W589" s="756">
        <f>+InputY!W199/1000</f>
        <v>10.790100000000001</v>
      </c>
      <c r="X589" s="756">
        <f>+InputY!X199/1000</f>
        <v>11.275</v>
      </c>
      <c r="Y589" s="756">
        <f>+InputY!Y199/1000</f>
        <v>11.3376</v>
      </c>
      <c r="Z589" s="756">
        <f>+InputY!Z199/1000</f>
        <v>11.893700000000001</v>
      </c>
      <c r="AA589" s="756">
        <f>+InputY!AA199/1000</f>
        <v>11.6701</v>
      </c>
      <c r="AB589" s="756">
        <f>+InputY!AB199/1000</f>
        <v>11.9595</v>
      </c>
      <c r="AC589" s="2135">
        <f t="shared" si="751"/>
        <v>12.43788</v>
      </c>
      <c r="AD589" s="2135">
        <f t="shared" si="751"/>
        <v>12.876937163999999</v>
      </c>
      <c r="AE589" s="2135">
        <f t="shared" si="751"/>
        <v>13.404891587723998</v>
      </c>
      <c r="AF589" s="3332"/>
      <c r="AK589" s="756">
        <v>11.035059000000002</v>
      </c>
      <c r="AM589" s="756">
        <f t="shared" si="748"/>
        <v>0.85864099999999866</v>
      </c>
    </row>
    <row r="590" spans="1:46" ht="12.75" customHeight="1">
      <c r="A590" s="714">
        <f>+ROW(InputY!A123)</f>
        <v>123</v>
      </c>
      <c r="B590" s="714" t="s">
        <v>1105</v>
      </c>
      <c r="C590" s="829" t="s">
        <v>622</v>
      </c>
      <c r="D590" s="724" t="s">
        <v>590</v>
      </c>
      <c r="E590" s="830" t="s">
        <v>1440</v>
      </c>
      <c r="F590" s="754" t="str">
        <f>+InputY!B123</f>
        <v>$ETO</v>
      </c>
      <c r="G590" s="756">
        <f ca="1">+InputY!G123/1000</f>
        <v>7.4355000000000002</v>
      </c>
      <c r="H590" s="756">
        <f>+InputY!H123/1000</f>
        <v>7.8162000000000003</v>
      </c>
      <c r="I590" s="756">
        <f>+InputY!I123/1000</f>
        <v>7.8411999999999997</v>
      </c>
      <c r="J590" s="756">
        <f>+InputY!J123/1000</f>
        <v>7.9358999999999993</v>
      </c>
      <c r="K590" s="756">
        <f>+InputY!K123/1000</f>
        <v>8.2545000000000002</v>
      </c>
      <c r="L590" s="756">
        <f>+InputY!L123/1000</f>
        <v>8.3047000000000004</v>
      </c>
      <c r="M590" s="756">
        <f>+InputY!M123/1000</f>
        <v>7.8238000000000003</v>
      </c>
      <c r="N590" s="756">
        <f>+InputY!N123/1000</f>
        <v>8.742700000000001</v>
      </c>
      <c r="O590" s="756">
        <f>+InputY!O123/1000</f>
        <v>8.6210000000000004</v>
      </c>
      <c r="P590" s="756">
        <f>+InputY!P123/1000</f>
        <v>8.2820999999999998</v>
      </c>
      <c r="Q590" s="756">
        <f>+InputY!Q123/1000</f>
        <v>8.1745999999999999</v>
      </c>
      <c r="R590" s="756">
        <f>+InputY!R123/1000</f>
        <v>8.2874999999999996</v>
      </c>
      <c r="S590" s="756">
        <f>+InputY!S123/1000</f>
        <v>9.3032000000000004</v>
      </c>
      <c r="T590" s="756">
        <f>+InputY!T123/1000</f>
        <v>10.979899999999999</v>
      </c>
      <c r="U590" s="756">
        <f>+InputY!U123/1000</f>
        <v>12.226299999999998</v>
      </c>
      <c r="V590" s="756">
        <f>+InputY!V123/1000</f>
        <v>13.0205</v>
      </c>
      <c r="W590" s="756">
        <f>+InputY!W123/1000</f>
        <v>12.914</v>
      </c>
      <c r="X590" s="756">
        <f>+InputY!X123/1000</f>
        <v>13.2311</v>
      </c>
      <c r="Y590" s="756">
        <f>+InputY!Y123/1000</f>
        <v>13.1213</v>
      </c>
      <c r="Z590" s="756">
        <f>+InputY!Z123/1000</f>
        <v>13.2645</v>
      </c>
      <c r="AA590" s="756">
        <f>+InputY!AA123/1000</f>
        <v>13.4261</v>
      </c>
      <c r="AB590" s="756">
        <f>+InputY!AB123/1000</f>
        <v>13.9785</v>
      </c>
      <c r="AC590" s="2135">
        <f t="shared" si="751"/>
        <v>14.167209750000001</v>
      </c>
      <c r="AD590" s="2135">
        <f t="shared" si="751"/>
        <v>14.549724413250001</v>
      </c>
      <c r="AE590" s="2135">
        <f t="shared" si="751"/>
        <v>14.986216145647502</v>
      </c>
      <c r="AK590" s="756">
        <v>12.07475</v>
      </c>
      <c r="AM590" s="756">
        <f t="shared" si="748"/>
        <v>1.1897500000000001</v>
      </c>
    </row>
    <row r="591" spans="1:46" ht="12.75" customHeight="1">
      <c r="A591" s="714">
        <f>+ROW(InputY!A122)</f>
        <v>122</v>
      </c>
      <c r="B591" s="714" t="s">
        <v>1105</v>
      </c>
      <c r="C591" s="829" t="s">
        <v>2133</v>
      </c>
      <c r="D591" s="724" t="s">
        <v>590</v>
      </c>
      <c r="E591" s="830" t="s">
        <v>1481</v>
      </c>
      <c r="F591" s="754" t="str">
        <f>+InputY!B122</f>
        <v>YETO</v>
      </c>
      <c r="G591" s="756">
        <f ca="1">+InputY!G122/1000</f>
        <v>8.1986000000000008</v>
      </c>
      <c r="H591" s="756">
        <f>+InputY!H122/1000</f>
        <v>8.4001000000000001</v>
      </c>
      <c r="I591" s="756">
        <f>+InputY!I122/1000</f>
        <v>8.4994999999999994</v>
      </c>
      <c r="J591" s="756">
        <f>+InputY!J122/1000</f>
        <v>8.5106000000000002</v>
      </c>
      <c r="K591" s="756">
        <f>+InputY!K122/1000</f>
        <v>8.9922000000000004</v>
      </c>
      <c r="L591" s="756">
        <f>+InputY!L122/1000</f>
        <v>9.2243999999999993</v>
      </c>
      <c r="M591" s="756">
        <f>+InputY!M122/1000</f>
        <v>8.7437000000000005</v>
      </c>
      <c r="N591" s="756">
        <f>+InputY!N122/1000</f>
        <v>9.5617000000000001</v>
      </c>
      <c r="O591" s="756">
        <f>+InputY!O122/1000</f>
        <v>9.430299999999999</v>
      </c>
      <c r="P591" s="756">
        <f>+InputY!P122/1000</f>
        <v>8.6647999999999996</v>
      </c>
      <c r="Q591" s="2846">
        <f>+InputY!Q122/1000</f>
        <v>8.3533999999999988</v>
      </c>
      <c r="R591" s="756">
        <f>+InputY!R122/1000</f>
        <v>8.3882999999999992</v>
      </c>
      <c r="S591" s="756">
        <f>+InputY!S122/1000</f>
        <v>9.4182000000000006</v>
      </c>
      <c r="T591" s="756">
        <f>+InputY!T122/1000</f>
        <v>10.2418</v>
      </c>
      <c r="U591" s="756">
        <f>+InputY!U122/1000</f>
        <v>11.423</v>
      </c>
      <c r="V591" s="756">
        <f>+InputY!V122/1000</f>
        <v>12.7325</v>
      </c>
      <c r="W591" s="756">
        <f>+InputY!W122/1000</f>
        <v>12.618</v>
      </c>
      <c r="X591" s="756">
        <f>+InputY!X122/1000</f>
        <v>12.015499999999999</v>
      </c>
      <c r="Y591" s="756">
        <f>+InputY!Y122/1000</f>
        <v>11.800799999999999</v>
      </c>
      <c r="Z591" s="756">
        <f>+InputY!Z122/1000</f>
        <v>11.7119</v>
      </c>
      <c r="AA591" s="756">
        <f>+InputY!AA122/1000</f>
        <v>12.341799999999999</v>
      </c>
      <c r="AB591" s="756">
        <f>+InputY!AB122/1000</f>
        <v>12.150600000000001</v>
      </c>
      <c r="AC591" s="2135">
        <f t="shared" si="751"/>
        <v>12.150600000000001</v>
      </c>
      <c r="AD591" s="2135">
        <f t="shared" si="751"/>
        <v>12.150600000000001</v>
      </c>
      <c r="AE591" s="2135">
        <f t="shared" si="751"/>
        <v>12.150600000000001</v>
      </c>
      <c r="AK591" s="756">
        <v>10.736723</v>
      </c>
      <c r="AM591" s="756">
        <f t="shared" si="748"/>
        <v>0.9751770000000004</v>
      </c>
    </row>
    <row r="592" spans="1:46" ht="12.75" customHeight="1">
      <c r="A592" s="714">
        <f>+ROW(InputY!A162)</f>
        <v>162</v>
      </c>
      <c r="B592" s="714" t="s">
        <v>643</v>
      </c>
      <c r="C592" s="829" t="s">
        <v>622</v>
      </c>
      <c r="D592" s="724" t="s">
        <v>591</v>
      </c>
      <c r="E592" s="830" t="s">
        <v>1440</v>
      </c>
      <c r="F592" s="754" t="str">
        <f>+InputY!B162</f>
        <v>$ATO</v>
      </c>
      <c r="G592" s="756">
        <f>+InputY!G162/1000</f>
        <v>4.7809999999999997</v>
      </c>
      <c r="H592" s="756">
        <f>+InputY!H162/1000</f>
        <v>4.1216999999999997</v>
      </c>
      <c r="I592" s="756">
        <f>+InputY!I162/1000</f>
        <v>4.3490000000000002</v>
      </c>
      <c r="J592" s="756">
        <f>+InputY!J162/1000</f>
        <v>4.4891999999999994</v>
      </c>
      <c r="K592" s="756">
        <f>+InputY!K162/1000</f>
        <v>4.5836000000000006</v>
      </c>
      <c r="L592" s="756">
        <f>+InputY!L162/1000</f>
        <v>4.7136000000000005</v>
      </c>
      <c r="M592" s="756">
        <f>+InputY!M162/1000</f>
        <v>4.931</v>
      </c>
      <c r="N592" s="756">
        <f>+InputY!N162/1000</f>
        <v>5.01</v>
      </c>
      <c r="O592" s="756">
        <f>+InputY!O162/1000</f>
        <v>5.4466999999999999</v>
      </c>
      <c r="P592" s="756">
        <f>+InputY!P162/1000</f>
        <v>5.8853</v>
      </c>
      <c r="Q592" s="756">
        <f>+InputY!Q162/1000</f>
        <v>6.2681000000000004</v>
      </c>
      <c r="R592" s="756">
        <f>+InputY!R162/1000</f>
        <v>6.3140000000000001</v>
      </c>
      <c r="S592" s="756">
        <f>+InputY!S162/1000</f>
        <v>5.9423999999999992</v>
      </c>
      <c r="T592" s="1469">
        <f>+InputY!T162/1000</f>
        <v>6.5183999999999997</v>
      </c>
      <c r="U592" s="1469">
        <f>+InputY!U162/1000</f>
        <v>7.7054999999999998</v>
      </c>
      <c r="V592" s="1469">
        <f>+InputY!V162/1000</f>
        <v>7.6926999999999994</v>
      </c>
      <c r="W592" s="1469">
        <f>+InputY!W162/1000</f>
        <v>7.9981999999999998</v>
      </c>
      <c r="X592" s="1469">
        <f>+InputY!X162/1000</f>
        <v>8.3178000000000001</v>
      </c>
      <c r="Y592" s="1469">
        <f>+InputY!Y162/1000</f>
        <v>8.5162999999999993</v>
      </c>
      <c r="Z592" s="1469">
        <f>+InputY!Z162/1000</f>
        <v>8.3675999999999995</v>
      </c>
      <c r="AA592" s="1469">
        <f>+InputY!AA162/1000</f>
        <v>8.4456000000000007</v>
      </c>
      <c r="AB592" s="1469">
        <f>+InputY!AB162/1000</f>
        <v>9.1624999999999996</v>
      </c>
      <c r="AC592" s="1469">
        <f>+InputY!AC162/1000</f>
        <v>7.9446000000000003</v>
      </c>
      <c r="AD592" s="2135">
        <f t="shared" si="751"/>
        <v>8.7477990600000002</v>
      </c>
      <c r="AE592" s="2135">
        <f t="shared" si="751"/>
        <v>9.091587563057999</v>
      </c>
      <c r="AK592" s="1469">
        <v>10.5205</v>
      </c>
      <c r="AM592" s="1469">
        <f t="shared" si="748"/>
        <v>-2.1529000000000007</v>
      </c>
    </row>
    <row r="593" spans="1:46" ht="12.75" customHeight="1">
      <c r="A593" s="714">
        <f>+ROW(InputY!A159)</f>
        <v>159</v>
      </c>
      <c r="B593" s="714" t="s">
        <v>1989</v>
      </c>
      <c r="C593" s="829" t="s">
        <v>2133</v>
      </c>
      <c r="D593" s="724" t="s">
        <v>591</v>
      </c>
      <c r="E593" s="830" t="s">
        <v>1481</v>
      </c>
      <c r="F593" s="754" t="str">
        <f>+InputY!B159</f>
        <v>YATO</v>
      </c>
      <c r="G593" s="756">
        <f>+InputY!G159/1000</f>
        <v>0.6855</v>
      </c>
      <c r="H593" s="756">
        <f>+InputY!H159/1000</f>
        <v>0.74239999999999995</v>
      </c>
      <c r="I593" s="756">
        <f>+InputY!I159/1000</f>
        <v>0.66449999999999998</v>
      </c>
      <c r="J593" s="756">
        <f>+InputY!J159/1000</f>
        <v>0.84310000000000007</v>
      </c>
      <c r="K593" s="756">
        <f>+InputY!K159/1000</f>
        <v>0.95010000000000006</v>
      </c>
      <c r="L593" s="756">
        <f>+InputY!L159/1000</f>
        <v>0.88600000000000001</v>
      </c>
      <c r="M593" s="756">
        <f>+InputY!M159/1000</f>
        <v>1.06</v>
      </c>
      <c r="N593" s="756">
        <f>+InputY!N159/1000</f>
        <v>1.0655999999999999</v>
      </c>
      <c r="O593" s="756">
        <f>+InputY!O159/1000</f>
        <v>0.93559999999999999</v>
      </c>
      <c r="P593" s="756">
        <f>+InputY!P159/1000</f>
        <v>1.2867999999999999</v>
      </c>
      <c r="Q593" s="756">
        <f>+InputY!Q159/1000</f>
        <v>1.4699</v>
      </c>
      <c r="R593" s="756">
        <f>+InputY!R159/1000</f>
        <v>1.5019</v>
      </c>
      <c r="S593" s="756">
        <f>+InputY!S159/1000</f>
        <v>1.4645999999999999</v>
      </c>
      <c r="T593" s="1469">
        <f>+InputY!T159/1000</f>
        <v>1.7404000000000002</v>
      </c>
      <c r="U593" s="1469">
        <f>+InputY!U159/1000</f>
        <v>2.1338000000000004</v>
      </c>
      <c r="V593" s="1469">
        <f>+InputY!V159/1000</f>
        <v>2.6238000000000001</v>
      </c>
      <c r="W593" s="1469">
        <f>+InputY!W159/1000</f>
        <v>2.8058000000000001</v>
      </c>
      <c r="X593" s="1469">
        <f>+InputY!X159/1000</f>
        <v>3.1826999999999996</v>
      </c>
      <c r="Y593" s="1469">
        <f>+InputY!Y159/1000</f>
        <v>2.8327</v>
      </c>
      <c r="Z593" s="1469">
        <f>+InputY!Z159/1000</f>
        <v>2.8565999999999998</v>
      </c>
      <c r="AA593" s="1469">
        <f>+InputY!AA159/1000</f>
        <v>2.6899000000000002</v>
      </c>
      <c r="AB593" s="1469">
        <f>+InputY!AB159/1000</f>
        <v>2.5316999999999998</v>
      </c>
      <c r="AC593" s="1469">
        <f>+InputY!AC159/1000</f>
        <v>2.7302</v>
      </c>
      <c r="AD593" s="2135">
        <f t="shared" si="751"/>
        <v>2.8989263600000004</v>
      </c>
      <c r="AE593" s="2135">
        <f t="shared" si="751"/>
        <v>2.8968971115480002</v>
      </c>
      <c r="AK593" s="1469">
        <v>2.9925999999999999</v>
      </c>
      <c r="AM593" s="1469">
        <f t="shared" si="748"/>
        <v>-0.13600000000000012</v>
      </c>
    </row>
    <row r="594" spans="1:46" ht="12.75" customHeight="1">
      <c r="A594" s="714"/>
      <c r="B594" s="714"/>
      <c r="C594" s="822"/>
      <c r="D594" s="724"/>
      <c r="E594" s="3478" t="s">
        <v>2621</v>
      </c>
      <c r="F594" s="754"/>
      <c r="G594" s="756"/>
      <c r="H594" s="756">
        <f>InputY!H160/1000</f>
        <v>0.1232</v>
      </c>
      <c r="I594" s="756">
        <f>InputY!I160/1000</f>
        <v>0.1026</v>
      </c>
      <c r="J594" s="756">
        <f>InputY!J160/1000</f>
        <v>0.1212</v>
      </c>
      <c r="K594" s="756">
        <f>InputY!K160/1000</f>
        <v>0.14730000000000001</v>
      </c>
      <c r="L594" s="756">
        <f>InputY!L160/1000</f>
        <v>9.4799999999999995E-2</v>
      </c>
      <c r="M594" s="756">
        <f>InputY!M160/1000</f>
        <v>0.1018</v>
      </c>
      <c r="N594" s="756">
        <f>InputY!N160/1000</f>
        <v>6.5500000000000003E-2</v>
      </c>
      <c r="O594" s="756">
        <f>InputY!O160/1000</f>
        <v>0.1062</v>
      </c>
      <c r="P594" s="756">
        <f>InputY!P160/1000</f>
        <v>5.5899999999999998E-2</v>
      </c>
      <c r="Q594" s="756">
        <f>InputY!Q160/1000</f>
        <v>9.9199999999999997E-2</v>
      </c>
      <c r="R594" s="756">
        <f>InputY!R160/1000</f>
        <v>0.13919999999999999</v>
      </c>
      <c r="S594" s="756">
        <f>InputY!S160/1000</f>
        <v>7.6599999999999988E-2</v>
      </c>
      <c r="T594" s="756">
        <f>InputY!T160/1000</f>
        <v>0.14230000000000001</v>
      </c>
      <c r="U594" s="756">
        <f>InputY!U160/1000</f>
        <v>0.1003</v>
      </c>
      <c r="V594" s="756">
        <f>InputY!V160/1000</f>
        <v>0.2351</v>
      </c>
      <c r="W594" s="756">
        <f>InputY!W160/1000</f>
        <v>0.25140000000000001</v>
      </c>
      <c r="X594" s="756">
        <f>InputY!X160/1000</f>
        <v>0.2913</v>
      </c>
      <c r="Y594" s="756">
        <f>InputY!Y160/1000</f>
        <v>0.2994</v>
      </c>
      <c r="Z594" s="756">
        <f>InputY!Z160/1000</f>
        <v>0.3085</v>
      </c>
      <c r="AA594" s="756">
        <f>InputY!AA160/1000</f>
        <v>0.3508</v>
      </c>
      <c r="AB594" s="756">
        <f>InputY!AB160/1000</f>
        <v>0.37460000000000004</v>
      </c>
      <c r="AC594" s="756">
        <f>InputY!AC160/1000</f>
        <v>0.35619999999999996</v>
      </c>
      <c r="AD594" s="2135">
        <f t="shared" ref="AD594:AE594" si="752">AC594*(1+AD606/100)</f>
        <v>0.36799021999999992</v>
      </c>
      <c r="AE594" s="2135">
        <f t="shared" si="752"/>
        <v>0.38083307867799987</v>
      </c>
      <c r="AK594" s="1469"/>
      <c r="AM594" s="1469"/>
    </row>
    <row r="595" spans="1:46" customFormat="1" ht="12.75" customHeight="1">
      <c r="A595" s="3475"/>
      <c r="B595" s="3475"/>
      <c r="C595" s="3476"/>
      <c r="D595" s="3477"/>
      <c r="E595" s="3478" t="s">
        <v>2718</v>
      </c>
      <c r="F595" s="1062"/>
      <c r="G595" s="1062"/>
      <c r="H595" s="1062"/>
      <c r="I595" s="1062"/>
      <c r="J595" s="1062"/>
      <c r="K595" s="1062"/>
      <c r="L595" s="1062"/>
      <c r="M595" s="1062"/>
      <c r="N595" s="1062"/>
      <c r="O595" s="1062"/>
      <c r="P595" s="1062"/>
      <c r="Q595" s="1062"/>
      <c r="R595" s="1062"/>
      <c r="S595" s="1062"/>
      <c r="T595" s="2854"/>
      <c r="U595" s="2854" t="s">
        <v>2401</v>
      </c>
      <c r="V595" s="3479" t="s">
        <v>2402</v>
      </c>
      <c r="W595" s="4039" t="s">
        <v>2401</v>
      </c>
      <c r="X595" s="4040" t="s">
        <v>2403</v>
      </c>
      <c r="Y595" s="4040" t="s">
        <v>2404</v>
      </c>
      <c r="Z595" s="4040" t="s">
        <v>2572</v>
      </c>
      <c r="AK595" t="s">
        <v>2599</v>
      </c>
      <c r="AM595">
        <f t="shared" si="748"/>
        <v>-12</v>
      </c>
    </row>
    <row r="596" spans="1:46" ht="12.75" customHeight="1">
      <c r="A596" s="1869">
        <f>ROW(InputY!A256)</f>
        <v>256</v>
      </c>
      <c r="B596" s="714" t="s">
        <v>897</v>
      </c>
      <c r="C596" s="831" t="s">
        <v>624</v>
      </c>
      <c r="D596" s="800" t="s">
        <v>592</v>
      </c>
      <c r="E596" s="801" t="s">
        <v>744</v>
      </c>
      <c r="F596" s="802" t="s">
        <v>745</v>
      </c>
      <c r="G596" s="832">
        <f>+InputY!G256/1000</f>
        <v>1.8432000000000002</v>
      </c>
      <c r="H596" s="832">
        <f>+InputY!H256/1000</f>
        <v>2.3280000000000003</v>
      </c>
      <c r="I596" s="832">
        <f>+InputY!I256/1000</f>
        <v>2.2884999999999995</v>
      </c>
      <c r="J596" s="832">
        <f>+InputY!J256/1000</f>
        <v>2.5347000000000004</v>
      </c>
      <c r="K596" s="832">
        <f>+InputY!K256/1000</f>
        <v>2.6181000000000005</v>
      </c>
      <c r="L596" s="832">
        <f>+InputY!L256/1000</f>
        <v>2.7263000000000002</v>
      </c>
      <c r="M596" s="832">
        <f>+InputY!M256/1000</f>
        <v>2.4079000000000006</v>
      </c>
      <c r="N596" s="832">
        <f>+InputY!N256/1000</f>
        <v>2.6333000000000002</v>
      </c>
      <c r="O596" s="832">
        <f>+InputY!O256/1000</f>
        <v>3.3849</v>
      </c>
      <c r="P596" s="832">
        <f>+InputY!P256/1000</f>
        <v>3.8216000000000001</v>
      </c>
      <c r="Q596" s="832">
        <f>+InputY!Q256/1000</f>
        <v>3.8138000000000001</v>
      </c>
      <c r="R596" s="832">
        <f>+InputY!R256/1000</f>
        <v>3.8023999999999996</v>
      </c>
      <c r="S596" s="2009">
        <f>+InputY!S256/1000</f>
        <v>3.2037000000000004</v>
      </c>
      <c r="T596" s="2009">
        <f>+InputY!T256/1000</f>
        <v>4.3076000000000008</v>
      </c>
      <c r="U596" s="2009">
        <f>+InputY!U256/1000</f>
        <v>4.3136000000000001</v>
      </c>
      <c r="V596" s="2009">
        <f>+InputY!V256/1000</f>
        <v>3.5213999999999994</v>
      </c>
      <c r="W596" s="2009">
        <f>+InputY!W256/1000</f>
        <v>3.7811999999999997</v>
      </c>
      <c r="X596" s="2009">
        <f>+InputY!X256/1000</f>
        <v>4.8591000000000006</v>
      </c>
      <c r="Y596" s="2009">
        <f>+InputY!Y256/1000</f>
        <v>5.4581</v>
      </c>
      <c r="Z596" s="2009">
        <f>+InputY!Z256/1000</f>
        <v>5.0854999999999997</v>
      </c>
      <c r="AA596" s="2009">
        <f>+InputY!AA256/1000</f>
        <v>5.0801999999999996</v>
      </c>
      <c r="AB596" s="2009">
        <f>+InputY!AB256/1000</f>
        <v>6.492</v>
      </c>
      <c r="AC596" s="2200">
        <f>+AC588-AC589+AC590-AC591+AC592-AC593</f>
        <v>5.2021928500000003</v>
      </c>
      <c r="AD596" s="2200">
        <f>+AD588-AD589+AD590-AD591+AD592-AD593</f>
        <v>6.2277127625499986</v>
      </c>
      <c r="AE596" s="2200">
        <f>+AE588-AE589+AE590-AE591+AE592-AE593</f>
        <v>6.8327377086030889</v>
      </c>
      <c r="AK596" s="2009">
        <v>5.306248857295067</v>
      </c>
      <c r="AM596" s="2009">
        <f t="shared" si="748"/>
        <v>-0.22074885729506732</v>
      </c>
    </row>
    <row r="597" spans="1:46" s="1881" customFormat="1" ht="12.75" customHeight="1">
      <c r="A597" s="1039"/>
      <c r="B597" s="1039"/>
      <c r="C597" s="1501"/>
      <c r="D597" s="1054"/>
      <c r="E597" s="1882" t="s">
        <v>474</v>
      </c>
      <c r="F597" s="1883"/>
      <c r="G597" s="1043">
        <f t="shared" ref="G597:AD597" ca="1" si="753">ABS(+G588-G589+G590-G591+G592-G593-G596)</f>
        <v>0.7727999999999986</v>
      </c>
      <c r="H597" s="1043">
        <f t="shared" si="753"/>
        <v>8.8817841970012523E-16</v>
      </c>
      <c r="I597" s="1043">
        <f t="shared" si="753"/>
        <v>8.8817841970012523E-16</v>
      </c>
      <c r="J597" s="1043">
        <f t="shared" si="753"/>
        <v>1.7763568394002505E-15</v>
      </c>
      <c r="K597" s="1043">
        <f t="shared" si="753"/>
        <v>4.4408920985006262E-16</v>
      </c>
      <c r="L597" s="1043">
        <f t="shared" si="753"/>
        <v>1.7763568394002505E-15</v>
      </c>
      <c r="M597" s="1043">
        <f t="shared" si="753"/>
        <v>1.3322676295501878E-15</v>
      </c>
      <c r="N597" s="1043">
        <f t="shared" si="753"/>
        <v>1.7763568394002505E-15</v>
      </c>
      <c r="O597" s="1043">
        <f t="shared" si="753"/>
        <v>2.6645352591003757E-15</v>
      </c>
      <c r="P597" s="1043">
        <f t="shared" si="753"/>
        <v>3.6999999999998145E-3</v>
      </c>
      <c r="Q597" s="1043">
        <f t="shared" si="753"/>
        <v>1.1000000000002341E-2</v>
      </c>
      <c r="R597" s="1043">
        <f t="shared" si="753"/>
        <v>1.580000000000048E-2</v>
      </c>
      <c r="S597" s="1043">
        <f t="shared" si="753"/>
        <v>8.0999999999988859E-3</v>
      </c>
      <c r="T597" s="1043">
        <f t="shared" si="753"/>
        <v>1.1599999999996946E-2</v>
      </c>
      <c r="U597" s="1043">
        <f t="shared" si="753"/>
        <v>1.1599999999996946E-2</v>
      </c>
      <c r="V597" s="2881">
        <f t="shared" si="753"/>
        <v>1.110000000000122E-2</v>
      </c>
      <c r="W597" s="2881">
        <f t="shared" si="753"/>
        <v>1.0899999999998577E-2</v>
      </c>
      <c r="X597" s="2881">
        <f t="shared" si="753"/>
        <v>1.0600000000000165E-2</v>
      </c>
      <c r="Y597" s="2881">
        <f t="shared" si="753"/>
        <v>1.0200000000000209E-2</v>
      </c>
      <c r="Z597" s="2881">
        <f t="shared" si="753"/>
        <v>9.5999999999989427E-3</v>
      </c>
      <c r="AA597" s="2881">
        <f t="shared" si="753"/>
        <v>5.2700000000001523E-2</v>
      </c>
      <c r="AB597" s="2881">
        <f t="shared" si="753"/>
        <v>6.2999999999995282E-3</v>
      </c>
      <c r="AC597" s="2881">
        <f t="shared" si="753"/>
        <v>0</v>
      </c>
      <c r="AD597" s="2881">
        <f t="shared" si="753"/>
        <v>0</v>
      </c>
      <c r="AE597" s="2881">
        <f t="shared" ref="AE597" si="754">ABS(+AE588-AE589+AE590-AE591+AE592-AE593-AE596)</f>
        <v>0</v>
      </c>
      <c r="AF597" s="2829"/>
      <c r="AG597" s="2829"/>
      <c r="AH597" s="2829"/>
      <c r="AI597" s="2829"/>
      <c r="AJ597" s="2829"/>
      <c r="AK597" s="2881">
        <v>0</v>
      </c>
      <c r="AL597" s="2829"/>
      <c r="AM597" s="2881">
        <f t="shared" si="748"/>
        <v>9.5999999999989427E-3</v>
      </c>
      <c r="AN597" s="2829"/>
      <c r="AO597" s="2829"/>
      <c r="AP597" s="2829"/>
      <c r="AQ597" s="2829"/>
      <c r="AR597" s="2829"/>
      <c r="AS597" s="2829"/>
      <c r="AT597" s="2829"/>
    </row>
    <row r="598" spans="1:46">
      <c r="A598" s="714"/>
      <c r="B598" s="714"/>
      <c r="P598" s="1787"/>
      <c r="Q598" s="1790"/>
      <c r="R598" s="2851"/>
      <c r="S598" s="3017"/>
      <c r="T598" s="2995"/>
      <c r="U598" s="2851"/>
      <c r="V598" s="3017"/>
      <c r="W598" s="3017"/>
      <c r="X598" s="3017"/>
      <c r="Y598" s="3017"/>
      <c r="Z598" s="3017"/>
      <c r="AA598" s="3017"/>
      <c r="AB598" s="3017"/>
      <c r="AC598" s="3017"/>
      <c r="AD598" s="3017"/>
      <c r="AE598" s="3017"/>
      <c r="AK598" s="3017"/>
      <c r="AM598" s="3017">
        <f t="shared" si="748"/>
        <v>0</v>
      </c>
    </row>
    <row r="599" spans="1:46" ht="12.75" customHeight="1">
      <c r="A599" s="714"/>
      <c r="B599" s="714"/>
      <c r="C599" s="822"/>
      <c r="D599" s="3073"/>
      <c r="E599" s="3074" t="s">
        <v>1804</v>
      </c>
      <c r="F599" s="3075"/>
      <c r="G599" s="939">
        <f>+InputY!$G$3</f>
        <v>1995</v>
      </c>
      <c r="H599" s="939">
        <f>+G599+1</f>
        <v>1996</v>
      </c>
      <c r="I599" s="939">
        <f t="shared" ref="I599:S599" si="755">+H599+1</f>
        <v>1997</v>
      </c>
      <c r="J599" s="939">
        <f t="shared" si="755"/>
        <v>1998</v>
      </c>
      <c r="K599" s="939">
        <f t="shared" si="755"/>
        <v>1999</v>
      </c>
      <c r="L599" s="939">
        <f t="shared" si="755"/>
        <v>2000</v>
      </c>
      <c r="M599" s="939">
        <f t="shared" si="755"/>
        <v>2001</v>
      </c>
      <c r="N599" s="939">
        <f t="shared" si="755"/>
        <v>2002</v>
      </c>
      <c r="O599" s="939">
        <f t="shared" si="755"/>
        <v>2003</v>
      </c>
      <c r="P599" s="939">
        <f>+O599+1</f>
        <v>2004</v>
      </c>
      <c r="Q599" s="939">
        <f>+P599+1</f>
        <v>2005</v>
      </c>
      <c r="R599" s="939">
        <f>+Q599+1</f>
        <v>2006</v>
      </c>
      <c r="S599" s="3474">
        <f t="shared" si="755"/>
        <v>2007</v>
      </c>
      <c r="T599" s="3474">
        <f t="shared" ref="T599:AE599" si="756">+S599+1</f>
        <v>2008</v>
      </c>
      <c r="U599" s="3474">
        <f t="shared" si="756"/>
        <v>2009</v>
      </c>
      <c r="V599" s="3474">
        <f t="shared" si="756"/>
        <v>2010</v>
      </c>
      <c r="W599" s="3474">
        <f t="shared" si="756"/>
        <v>2011</v>
      </c>
      <c r="X599" s="3474">
        <f t="shared" si="756"/>
        <v>2012</v>
      </c>
      <c r="Y599" s="3474">
        <f t="shared" si="756"/>
        <v>2013</v>
      </c>
      <c r="Z599" s="3474">
        <f t="shared" si="756"/>
        <v>2014</v>
      </c>
      <c r="AA599" s="3474">
        <f t="shared" si="756"/>
        <v>2015</v>
      </c>
      <c r="AB599" s="3474">
        <f t="shared" si="756"/>
        <v>2016</v>
      </c>
      <c r="AC599" s="3474">
        <f t="shared" si="756"/>
        <v>2017</v>
      </c>
      <c r="AD599" s="3474">
        <f t="shared" si="756"/>
        <v>2018</v>
      </c>
      <c r="AE599" s="3474">
        <f t="shared" si="756"/>
        <v>2019</v>
      </c>
      <c r="AK599" s="3474">
        <v>2014</v>
      </c>
      <c r="AM599" s="3474">
        <f t="shared" si="748"/>
        <v>0</v>
      </c>
    </row>
    <row r="600" spans="1:46" ht="12.75" customHeight="1">
      <c r="A600" s="714"/>
      <c r="B600" s="714"/>
      <c r="C600" s="866" t="s">
        <v>622</v>
      </c>
      <c r="D600" s="867" t="s">
        <v>589</v>
      </c>
      <c r="E600" s="868" t="s">
        <v>1440</v>
      </c>
      <c r="F600" s="869" t="s">
        <v>1942</v>
      </c>
      <c r="G600" s="3468"/>
      <c r="H600" s="3468">
        <f t="shared" ref="H600:AB600" ca="1" si="757">(H588/G588-1)*100</f>
        <v>6.7174911201594245</v>
      </c>
      <c r="I600" s="3468">
        <f t="shared" si="757"/>
        <v>-0.80205221457332332</v>
      </c>
      <c r="J600" s="3468">
        <f t="shared" si="757"/>
        <v>6.5910504435497064</v>
      </c>
      <c r="K600" s="3468">
        <f t="shared" si="757"/>
        <v>4.457581573896352</v>
      </c>
      <c r="L600" s="3468">
        <f t="shared" si="757"/>
        <v>6.1077791497618605</v>
      </c>
      <c r="M600" s="3468">
        <f t="shared" si="757"/>
        <v>4.2336838313730363</v>
      </c>
      <c r="N600" s="3468">
        <f t="shared" si="757"/>
        <v>-2.9107244912877528</v>
      </c>
      <c r="O600" s="3468">
        <f t="shared" si="757"/>
        <v>4.792673410998094</v>
      </c>
      <c r="P600" s="3468">
        <f t="shared" si="757"/>
        <v>4.3984323971260508</v>
      </c>
      <c r="Q600" s="3468">
        <f t="shared" si="757"/>
        <v>11.061476281642202</v>
      </c>
      <c r="R600" s="3468">
        <f t="shared" si="757"/>
        <v>-6.7386234325180094</v>
      </c>
      <c r="S600" s="3468">
        <f t="shared" si="757"/>
        <v>-12.557987822557259</v>
      </c>
      <c r="T600" s="3468">
        <f t="shared" si="757"/>
        <v>9.362954366477382</v>
      </c>
      <c r="U600" s="3468">
        <f t="shared" si="757"/>
        <v>10.321129892114488</v>
      </c>
      <c r="V600" s="3468">
        <f t="shared" si="757"/>
        <v>1.4107731769879228</v>
      </c>
      <c r="W600" s="3468">
        <f t="shared" si="757"/>
        <v>2.6851851851851904</v>
      </c>
      <c r="X600" s="3468">
        <f t="shared" si="757"/>
        <v>7.6997514790296817</v>
      </c>
      <c r="Y600" s="3468">
        <f t="shared" si="757"/>
        <v>7.964059628342568E-2</v>
      </c>
      <c r="Z600" s="3468">
        <f t="shared" si="757"/>
        <v>1.2589524373074257</v>
      </c>
      <c r="AA600" s="3468">
        <f t="shared" si="757"/>
        <v>0.3808487486398171</v>
      </c>
      <c r="AB600" s="3468">
        <f t="shared" si="757"/>
        <v>0.36234066044364965</v>
      </c>
      <c r="AC600" s="3755">
        <v>4.0999999999999996</v>
      </c>
      <c r="AD600" s="3755">
        <v>4.3</v>
      </c>
      <c r="AE600" s="3755">
        <v>3.23</v>
      </c>
      <c r="AK600" s="3468">
        <v>2.8972299315209824</v>
      </c>
      <c r="AM600" s="3468">
        <f t="shared" si="748"/>
        <v>-1.6382774942135567</v>
      </c>
    </row>
    <row r="601" spans="1:46" ht="12.75" customHeight="1">
      <c r="A601" s="714"/>
      <c r="B601" s="714"/>
      <c r="C601" s="870" t="s">
        <v>2133</v>
      </c>
      <c r="D601" s="724" t="s">
        <v>589</v>
      </c>
      <c r="E601" s="830" t="s">
        <v>1481</v>
      </c>
      <c r="F601" s="754" t="s">
        <v>1940</v>
      </c>
      <c r="G601" s="756"/>
      <c r="H601" s="756">
        <f t="shared" ref="H601:AB601" ca="1" si="758">(H589/G589-1)*100</f>
        <v>2.1378257987946903</v>
      </c>
      <c r="I601" s="756">
        <f t="shared" si="758"/>
        <v>3.3335345426010132</v>
      </c>
      <c r="J601" s="756">
        <f t="shared" si="758"/>
        <v>2.9456005841548061</v>
      </c>
      <c r="K601" s="756">
        <f t="shared" si="758"/>
        <v>0.44402201668274355</v>
      </c>
      <c r="L601" s="756">
        <f t="shared" si="758"/>
        <v>4.5109808629334003</v>
      </c>
      <c r="M601" s="756">
        <f t="shared" si="758"/>
        <v>9.0163380586224093</v>
      </c>
      <c r="N601" s="756">
        <f t="shared" si="758"/>
        <v>-3.3481672472139956</v>
      </c>
      <c r="O601" s="756">
        <f t="shared" si="758"/>
        <v>2.2431704501731486</v>
      </c>
      <c r="P601" s="756">
        <f t="shared" si="758"/>
        <v>5.2396542856784523</v>
      </c>
      <c r="Q601" s="756">
        <f t="shared" si="758"/>
        <v>15.265328501954789</v>
      </c>
      <c r="R601" s="756">
        <f t="shared" si="758"/>
        <v>-5.1663340330703189</v>
      </c>
      <c r="S601" s="756">
        <f t="shared" si="758"/>
        <v>-8.5227954245586375</v>
      </c>
      <c r="T601" s="756">
        <f t="shared" si="758"/>
        <v>8.6254782992216015</v>
      </c>
      <c r="U601" s="756">
        <f t="shared" si="758"/>
        <v>18.324975034841493</v>
      </c>
      <c r="V601" s="756">
        <f t="shared" si="758"/>
        <v>-0.94782334501883891</v>
      </c>
      <c r="W601" s="756">
        <f t="shared" si="758"/>
        <v>1.0271150893225167</v>
      </c>
      <c r="X601" s="756">
        <f t="shared" si="758"/>
        <v>4.4939342545481376</v>
      </c>
      <c r="Y601" s="756">
        <f t="shared" si="758"/>
        <v>0.55521064301551348</v>
      </c>
      <c r="Z601" s="756">
        <f t="shared" si="758"/>
        <v>4.9049181484617677</v>
      </c>
      <c r="AA601" s="756">
        <f t="shared" si="758"/>
        <v>-1.8799868838124456</v>
      </c>
      <c r="AB601" s="756">
        <f t="shared" si="758"/>
        <v>2.4798416466011552</v>
      </c>
      <c r="AC601" s="3481">
        <v>4</v>
      </c>
      <c r="AD601" s="3481">
        <v>3.53</v>
      </c>
      <c r="AE601" s="3481">
        <v>4.0999999999999996</v>
      </c>
      <c r="AK601" s="756">
        <v>3.4659647083091158</v>
      </c>
      <c r="AM601" s="756">
        <f t="shared" si="748"/>
        <v>1.4389534401526518</v>
      </c>
    </row>
    <row r="602" spans="1:46" ht="12.75" customHeight="1">
      <c r="A602" s="714"/>
      <c r="B602" s="714"/>
      <c r="C602" s="870" t="s">
        <v>622</v>
      </c>
      <c r="D602" s="724" t="s">
        <v>590</v>
      </c>
      <c r="E602" s="830" t="s">
        <v>1440</v>
      </c>
      <c r="F602" s="754" t="s">
        <v>1759</v>
      </c>
      <c r="G602" s="756"/>
      <c r="H602" s="756">
        <f t="shared" ref="H602:AB602" ca="1" si="759">(H590/G590-1)*100</f>
        <v>5.1200322775872609</v>
      </c>
      <c r="I602" s="756">
        <f t="shared" si="759"/>
        <v>0.31984851974105055</v>
      </c>
      <c r="J602" s="756">
        <f t="shared" si="759"/>
        <v>1.2077233076569938</v>
      </c>
      <c r="K602" s="756">
        <f t="shared" si="759"/>
        <v>4.0146675235323226</v>
      </c>
      <c r="L602" s="756">
        <f t="shared" si="759"/>
        <v>0.60815312859652249</v>
      </c>
      <c r="M602" s="756">
        <f t="shared" si="759"/>
        <v>-5.7906968343227394</v>
      </c>
      <c r="N602" s="756">
        <f t="shared" si="759"/>
        <v>11.744932130166941</v>
      </c>
      <c r="O602" s="756">
        <f t="shared" si="759"/>
        <v>-1.3920184839923633</v>
      </c>
      <c r="P602" s="756">
        <f t="shared" si="759"/>
        <v>-3.9310984804547089</v>
      </c>
      <c r="Q602" s="756">
        <f t="shared" si="759"/>
        <v>-1.2979799809227144</v>
      </c>
      <c r="R602" s="756">
        <f t="shared" si="759"/>
        <v>1.3811073324688561</v>
      </c>
      <c r="S602" s="756">
        <f t="shared" si="759"/>
        <v>12.255806938159886</v>
      </c>
      <c r="T602" s="756">
        <f t="shared" si="759"/>
        <v>18.022830853899706</v>
      </c>
      <c r="U602" s="756">
        <f t="shared" si="759"/>
        <v>11.351651654386652</v>
      </c>
      <c r="V602" s="756">
        <f t="shared" si="759"/>
        <v>6.4958327539811789</v>
      </c>
      <c r="W602" s="756">
        <f t="shared" si="759"/>
        <v>-0.81794093928805323</v>
      </c>
      <c r="X602" s="756">
        <f t="shared" si="759"/>
        <v>2.4554746786433324</v>
      </c>
      <c r="Y602" s="756">
        <f t="shared" si="759"/>
        <v>-0.82986297435587719</v>
      </c>
      <c r="Z602" s="756">
        <f t="shared" si="759"/>
        <v>1.0913552772972235</v>
      </c>
      <c r="AA602" s="756">
        <f t="shared" si="759"/>
        <v>1.2182894191262283</v>
      </c>
      <c r="AB602" s="756">
        <f t="shared" si="759"/>
        <v>4.114374241216745</v>
      </c>
      <c r="AC602" s="3481">
        <v>1.35</v>
      </c>
      <c r="AD602" s="3481">
        <v>2.7</v>
      </c>
      <c r="AE602" s="3481">
        <v>3</v>
      </c>
      <c r="AK602" s="756">
        <v>-1.1295618495500577</v>
      </c>
      <c r="AM602" s="756">
        <f t="shared" si="748"/>
        <v>2.2209171268472812</v>
      </c>
    </row>
    <row r="603" spans="1:46" ht="12.75" customHeight="1">
      <c r="A603" s="714"/>
      <c r="B603" s="714"/>
      <c r="C603" s="870" t="s">
        <v>2133</v>
      </c>
      <c r="D603" s="724" t="s">
        <v>590</v>
      </c>
      <c r="E603" s="830" t="s">
        <v>1481</v>
      </c>
      <c r="F603" s="754" t="s">
        <v>1758</v>
      </c>
      <c r="G603" s="756"/>
      <c r="H603" s="756">
        <f t="shared" ref="H603:AB603" ca="1" si="760">(H591/G591-1)*100</f>
        <v>2.4577366867513994</v>
      </c>
      <c r="I603" s="756">
        <f t="shared" si="760"/>
        <v>1.1833192461994324</v>
      </c>
      <c r="J603" s="756">
        <f t="shared" si="760"/>
        <v>0.13059591740691712</v>
      </c>
      <c r="K603" s="756">
        <f t="shared" si="760"/>
        <v>5.6588254647145897</v>
      </c>
      <c r="L603" s="756">
        <f t="shared" si="760"/>
        <v>2.5822379395475936</v>
      </c>
      <c r="M603" s="756">
        <f t="shared" si="760"/>
        <v>-5.2111790468756691</v>
      </c>
      <c r="N603" s="756">
        <f t="shared" si="760"/>
        <v>9.3553072497912773</v>
      </c>
      <c r="O603" s="756">
        <f t="shared" si="760"/>
        <v>-1.3742326155390838</v>
      </c>
      <c r="P603" s="756">
        <f t="shared" si="760"/>
        <v>-8.1174511945537162</v>
      </c>
      <c r="Q603" s="756">
        <f t="shared" si="760"/>
        <v>-3.5938509832887156</v>
      </c>
      <c r="R603" s="756">
        <f t="shared" si="760"/>
        <v>0.41779395216319237</v>
      </c>
      <c r="S603" s="756">
        <f t="shared" si="760"/>
        <v>12.27781552877223</v>
      </c>
      <c r="T603" s="756">
        <f t="shared" si="760"/>
        <v>8.7447707629907825</v>
      </c>
      <c r="U603" s="756">
        <f t="shared" si="760"/>
        <v>11.533128942178127</v>
      </c>
      <c r="V603" s="756">
        <f t="shared" si="760"/>
        <v>11.463713560360667</v>
      </c>
      <c r="W603" s="756">
        <f t="shared" si="760"/>
        <v>-0.89927351266443356</v>
      </c>
      <c r="X603" s="756">
        <f t="shared" si="760"/>
        <v>-4.7749247107307102</v>
      </c>
      <c r="Y603" s="756">
        <f t="shared" si="760"/>
        <v>-1.786858640922151</v>
      </c>
      <c r="Z603" s="756">
        <f t="shared" si="760"/>
        <v>-0.75333875669445494</v>
      </c>
      <c r="AA603" s="756">
        <f t="shared" si="760"/>
        <v>5.3782904567149625</v>
      </c>
      <c r="AB603" s="756">
        <f t="shared" si="760"/>
        <v>-1.5492067607642213</v>
      </c>
      <c r="AC603" s="3481">
        <v>0</v>
      </c>
      <c r="AD603" s="3481">
        <v>0</v>
      </c>
      <c r="AE603" s="3481">
        <v>0</v>
      </c>
      <c r="AK603" s="756">
        <v>-2.9361026985490213</v>
      </c>
      <c r="AM603" s="756">
        <f t="shared" si="748"/>
        <v>2.1827639418545663</v>
      </c>
    </row>
    <row r="604" spans="1:46" ht="12.75" customHeight="1">
      <c r="A604" s="714"/>
      <c r="B604" s="714"/>
      <c r="C604" s="870" t="s">
        <v>622</v>
      </c>
      <c r="D604" s="724" t="s">
        <v>591</v>
      </c>
      <c r="E604" s="830" t="s">
        <v>1440</v>
      </c>
      <c r="F604" s="754" t="s">
        <v>1068</v>
      </c>
      <c r="G604" s="756"/>
      <c r="H604" s="756">
        <f t="shared" ref="H604:AC604" si="761">(H592/G592-1)*100</f>
        <v>-13.79000209161263</v>
      </c>
      <c r="I604" s="756">
        <f t="shared" si="761"/>
        <v>5.5147148021447601</v>
      </c>
      <c r="J604" s="756">
        <f t="shared" si="761"/>
        <v>3.2237295930098719</v>
      </c>
      <c r="K604" s="756">
        <f t="shared" si="761"/>
        <v>2.1028245567139114</v>
      </c>
      <c r="L604" s="756">
        <f t="shared" si="761"/>
        <v>2.8361986211711265</v>
      </c>
      <c r="M604" s="756">
        <f t="shared" si="761"/>
        <v>4.6121860149354932</v>
      </c>
      <c r="N604" s="756">
        <f t="shared" si="761"/>
        <v>1.6021091056580783</v>
      </c>
      <c r="O604" s="756">
        <f t="shared" si="761"/>
        <v>8.7165668662674722</v>
      </c>
      <c r="P604" s="756">
        <f t="shared" si="761"/>
        <v>8.052582297537958</v>
      </c>
      <c r="Q604" s="756">
        <f t="shared" si="761"/>
        <v>6.5043413249961768</v>
      </c>
      <c r="R604" s="756">
        <f t="shared" si="761"/>
        <v>0.73227931909189969</v>
      </c>
      <c r="S604" s="756">
        <f t="shared" si="761"/>
        <v>-5.8853341780171213</v>
      </c>
      <c r="T604" s="756">
        <f t="shared" si="761"/>
        <v>9.6930533117932214</v>
      </c>
      <c r="U604" s="756">
        <f t="shared" si="761"/>
        <v>18.211524300441816</v>
      </c>
      <c r="V604" s="756">
        <f t="shared" si="761"/>
        <v>-0.16611511258192158</v>
      </c>
      <c r="W604" s="756">
        <f t="shared" si="761"/>
        <v>3.9712974638293597</v>
      </c>
      <c r="X604" s="756">
        <f t="shared" si="761"/>
        <v>3.9958990772923864</v>
      </c>
      <c r="Y604" s="756">
        <f t="shared" si="761"/>
        <v>2.386448339705205</v>
      </c>
      <c r="Z604" s="756">
        <f t="shared" si="761"/>
        <v>-1.7460634313023249</v>
      </c>
      <c r="AA604" s="756">
        <f t="shared" si="761"/>
        <v>0.93216692958555392</v>
      </c>
      <c r="AB604" s="756">
        <f t="shared" si="761"/>
        <v>8.488443686653401</v>
      </c>
      <c r="AC604" s="756">
        <f t="shared" si="761"/>
        <v>-13.292223738062747</v>
      </c>
      <c r="AD604" s="3481">
        <v>10.11</v>
      </c>
      <c r="AE604" s="3481">
        <v>3.93</v>
      </c>
      <c r="AK604" s="756">
        <v>-1.5653361776979291</v>
      </c>
      <c r="AM604" s="756">
        <f t="shared" si="748"/>
        <v>-0.18072725360439579</v>
      </c>
    </row>
    <row r="605" spans="1:46" ht="12.75" customHeight="1">
      <c r="A605" s="714"/>
      <c r="B605" s="714"/>
      <c r="C605" s="870" t="s">
        <v>2133</v>
      </c>
      <c r="D605" s="724" t="s">
        <v>591</v>
      </c>
      <c r="E605" s="830" t="s">
        <v>1481</v>
      </c>
      <c r="F605" s="754" t="s">
        <v>1067</v>
      </c>
      <c r="G605" s="756"/>
      <c r="H605" s="756">
        <f t="shared" ref="H605:AC606" si="762">(H593/G593-1)*100</f>
        <v>8.3005105762217202</v>
      </c>
      <c r="I605" s="756">
        <f t="shared" si="762"/>
        <v>-10.492995689655171</v>
      </c>
      <c r="J605" s="756">
        <f t="shared" si="762"/>
        <v>26.877351392024096</v>
      </c>
      <c r="K605" s="756">
        <f t="shared" si="762"/>
        <v>12.691258450954802</v>
      </c>
      <c r="L605" s="756">
        <f t="shared" si="762"/>
        <v>-6.7466582465003704</v>
      </c>
      <c r="M605" s="756">
        <f t="shared" si="762"/>
        <v>19.638826185101578</v>
      </c>
      <c r="N605" s="756">
        <f t="shared" si="762"/>
        <v>0.52830188679242607</v>
      </c>
      <c r="O605" s="756">
        <f t="shared" si="762"/>
        <v>-12.199699699699696</v>
      </c>
      <c r="P605" s="756">
        <f t="shared" si="762"/>
        <v>37.537409149209068</v>
      </c>
      <c r="Q605" s="756">
        <f t="shared" si="762"/>
        <v>14.22909543052533</v>
      </c>
      <c r="R605" s="756">
        <f t="shared" si="762"/>
        <v>2.1770188448193784</v>
      </c>
      <c r="S605" s="756">
        <f t="shared" si="762"/>
        <v>-2.4835208735601633</v>
      </c>
      <c r="T605" s="756">
        <f t="shared" si="762"/>
        <v>18.831080158405044</v>
      </c>
      <c r="U605" s="756">
        <f t="shared" si="762"/>
        <v>22.603999080671123</v>
      </c>
      <c r="V605" s="756">
        <f t="shared" si="762"/>
        <v>22.963726684787677</v>
      </c>
      <c r="W605" s="756">
        <f t="shared" si="762"/>
        <v>6.9365043067306953</v>
      </c>
      <c r="X605" s="756">
        <f t="shared" si="762"/>
        <v>13.432889015610506</v>
      </c>
      <c r="Y605" s="756">
        <f t="shared" si="762"/>
        <v>-10.996952273227123</v>
      </c>
      <c r="Z605" s="756">
        <f t="shared" si="762"/>
        <v>0.843718007554628</v>
      </c>
      <c r="AA605" s="756">
        <f t="shared" si="762"/>
        <v>-5.8356087656654676</v>
      </c>
      <c r="AB605" s="756">
        <f t="shared" si="762"/>
        <v>-5.8812595263764589</v>
      </c>
      <c r="AC605" s="756">
        <f t="shared" si="762"/>
        <v>7.8405814274993046</v>
      </c>
      <c r="AD605" s="3481">
        <v>6.18</v>
      </c>
      <c r="AE605" s="3481">
        <v>-7.0000000000000007E-2</v>
      </c>
      <c r="AK605" s="756">
        <v>-5.4948525232110139</v>
      </c>
      <c r="AM605" s="756">
        <f t="shared" si="748"/>
        <v>6.3385705307656419</v>
      </c>
    </row>
    <row r="606" spans="1:46" s="1506" customFormat="1" ht="12.75" customHeight="1">
      <c r="A606" s="1039"/>
      <c r="B606" s="1039"/>
      <c r="C606"/>
      <c r="D606" s="3469"/>
      <c r="E606" s="3478" t="s">
        <v>2621</v>
      </c>
      <c r="F606" s="785"/>
      <c r="G606" s="789"/>
      <c r="H606" s="756"/>
      <c r="I606" s="756">
        <f t="shared" si="762"/>
        <v>-16.720779220779225</v>
      </c>
      <c r="J606" s="756">
        <f t="shared" ref="J606" si="763">(J594/I594-1)*100</f>
        <v>18.128654970760238</v>
      </c>
      <c r="K606" s="756">
        <f t="shared" ref="K606" si="764">(K594/J594-1)*100</f>
        <v>21.534653465346555</v>
      </c>
      <c r="L606" s="756">
        <f t="shared" ref="L606" si="765">(L594/K594-1)*100</f>
        <v>-35.641547861507142</v>
      </c>
      <c r="M606" s="756">
        <f t="shared" ref="M606" si="766">(M594/L594-1)*100</f>
        <v>7.3839662447257481</v>
      </c>
      <c r="N606" s="756">
        <f t="shared" ref="N606" si="767">(N594/M594-1)*100</f>
        <v>-35.65815324165029</v>
      </c>
      <c r="O606" s="756">
        <f t="shared" ref="O606" si="768">(O594/N594-1)*100</f>
        <v>62.137404580152669</v>
      </c>
      <c r="P606" s="756">
        <f t="shared" ref="P606" si="769">(P594/O594-1)*100</f>
        <v>-47.363465160075336</v>
      </c>
      <c r="Q606" s="756">
        <f t="shared" ref="Q606" si="770">(Q594/P594-1)*100</f>
        <v>77.45974955277282</v>
      </c>
      <c r="R606" s="756">
        <f t="shared" ref="R606" si="771">(R594/Q594-1)*100</f>
        <v>40.322580645161274</v>
      </c>
      <c r="S606" s="756">
        <f t="shared" ref="S606" si="772">(S594/R594-1)*100</f>
        <v>-44.971264367816097</v>
      </c>
      <c r="T606" s="756">
        <f t="shared" ref="T606" si="773">(T594/S594-1)*100</f>
        <v>85.770234986945198</v>
      </c>
      <c r="U606" s="756">
        <f t="shared" ref="U606" si="774">(U594/T594-1)*100</f>
        <v>-29.515108924806754</v>
      </c>
      <c r="V606" s="756">
        <f t="shared" ref="V606" si="775">(V594/U594-1)*100</f>
        <v>134.39680957128616</v>
      </c>
      <c r="W606" s="756">
        <f t="shared" ref="W606" si="776">(W594/V594-1)*100</f>
        <v>6.933219906422794</v>
      </c>
      <c r="X606" s="756">
        <f t="shared" ref="X606" si="777">(X594/W594-1)*100</f>
        <v>15.871121718377079</v>
      </c>
      <c r="Y606" s="756">
        <f t="shared" ref="Y606" si="778">(Y594/X594-1)*100</f>
        <v>2.780638516992795</v>
      </c>
      <c r="Z606" s="756">
        <f t="shared" ref="Z606" si="779">(Z594/Y594-1)*100</f>
        <v>3.0394121576486244</v>
      </c>
      <c r="AA606" s="756">
        <f t="shared" ref="AA606:AC606" si="780">(AA594/Z594-1)*100</f>
        <v>13.711507293354952</v>
      </c>
      <c r="AB606" s="756">
        <f t="shared" si="780"/>
        <v>6.7844925883694618</v>
      </c>
      <c r="AC606" s="756">
        <f t="shared" si="780"/>
        <v>-4.9119060331019977</v>
      </c>
      <c r="AD606" s="4011">
        <v>3.31</v>
      </c>
      <c r="AE606" s="4011">
        <v>3.49</v>
      </c>
      <c r="AF606" s="2827"/>
      <c r="AG606" s="2827"/>
      <c r="AH606" s="2827"/>
      <c r="AI606" s="2827"/>
      <c r="AJ606" s="3358"/>
      <c r="AK606" s="789"/>
      <c r="AL606" s="3358"/>
      <c r="AM606" s="789"/>
      <c r="AN606" s="3358"/>
      <c r="AO606" s="3358"/>
      <c r="AP606" s="3358"/>
      <c r="AQ606" s="3358"/>
      <c r="AR606" s="3358"/>
      <c r="AS606" s="3358"/>
      <c r="AT606" s="3358"/>
    </row>
    <row r="607" spans="1:46" ht="12.75" customHeight="1">
      <c r="A607" s="714"/>
      <c r="B607" s="714"/>
      <c r="C607" s="822" t="s">
        <v>624</v>
      </c>
      <c r="D607" s="766" t="s">
        <v>592</v>
      </c>
      <c r="E607" s="771" t="s">
        <v>744</v>
      </c>
      <c r="F607" s="772" t="s">
        <v>745</v>
      </c>
      <c r="G607" s="770"/>
      <c r="H607" s="770">
        <f t="shared" ref="H607:AE607" si="781">(H596/G596-1)*100</f>
        <v>26.30208333333335</v>
      </c>
      <c r="I607" s="770">
        <f t="shared" si="781"/>
        <v>-1.6967353951890307</v>
      </c>
      <c r="J607" s="770">
        <f t="shared" si="781"/>
        <v>10.758138518680394</v>
      </c>
      <c r="K607" s="770">
        <f t="shared" si="781"/>
        <v>3.2903302165936843</v>
      </c>
      <c r="L607" s="770">
        <f t="shared" si="781"/>
        <v>4.1327680378900666</v>
      </c>
      <c r="M607" s="770">
        <f t="shared" si="781"/>
        <v>-11.678832116788307</v>
      </c>
      <c r="N607" s="770">
        <f t="shared" si="781"/>
        <v>9.3608538560571155</v>
      </c>
      <c r="O607" s="770">
        <f t="shared" si="781"/>
        <v>28.542133444727135</v>
      </c>
      <c r="P607" s="770">
        <f t="shared" si="781"/>
        <v>12.901415108274982</v>
      </c>
      <c r="Q607" s="770">
        <f t="shared" si="781"/>
        <v>-0.20410299351056871</v>
      </c>
      <c r="R607" s="770">
        <f t="shared" si="781"/>
        <v>-0.29891446850911496</v>
      </c>
      <c r="S607" s="770">
        <f t="shared" si="781"/>
        <v>-15.745318746055103</v>
      </c>
      <c r="T607" s="770">
        <f t="shared" si="781"/>
        <v>34.457034054374638</v>
      </c>
      <c r="U607" s="770">
        <f t="shared" si="781"/>
        <v>0.13928869904353824</v>
      </c>
      <c r="V607" s="770">
        <f t="shared" si="781"/>
        <v>-18.365170623145421</v>
      </c>
      <c r="W607" s="770">
        <f t="shared" si="781"/>
        <v>7.3777474867950277</v>
      </c>
      <c r="X607" s="770">
        <f t="shared" si="781"/>
        <v>28.506823230720425</v>
      </c>
      <c r="Y607" s="2141">
        <f t="shared" si="781"/>
        <v>12.327385729867647</v>
      </c>
      <c r="Z607" s="2141">
        <f t="shared" si="781"/>
        <v>-6.8265513640277771</v>
      </c>
      <c r="AA607" s="2141">
        <f t="shared" si="781"/>
        <v>-0.10421787434864438</v>
      </c>
      <c r="AB607" s="2141">
        <f t="shared" si="781"/>
        <v>27.790244478563842</v>
      </c>
      <c r="AC607" s="2141">
        <f t="shared" si="781"/>
        <v>-19.867639402341343</v>
      </c>
      <c r="AD607" s="2141">
        <f t="shared" si="781"/>
        <v>19.713223675473657</v>
      </c>
      <c r="AE607" s="2141">
        <f t="shared" si="781"/>
        <v>9.7150425705465171</v>
      </c>
      <c r="AK607" s="2141">
        <v>0.65154607058308667</v>
      </c>
      <c r="AM607" s="2141">
        <f t="shared" si="748"/>
        <v>-7.4780974346108637</v>
      </c>
    </row>
    <row r="608" spans="1:46" ht="12.75" customHeight="1">
      <c r="A608" s="714"/>
      <c r="B608" s="714"/>
      <c r="C608" s="822"/>
      <c r="E608" s="833"/>
      <c r="F608" s="834"/>
      <c r="G608" s="753"/>
      <c r="H608" s="835"/>
      <c r="I608" s="753"/>
      <c r="J608" s="753"/>
      <c r="K608" s="753"/>
      <c r="L608" s="753"/>
      <c r="M608" s="753"/>
      <c r="N608" s="753"/>
      <c r="O608" s="753"/>
      <c r="P608" s="753"/>
      <c r="Q608" s="885"/>
      <c r="R608" s="885"/>
      <c r="S608" s="2239"/>
      <c r="T608" s="2218"/>
      <c r="U608" s="2218"/>
      <c r="V608" s="2218"/>
      <c r="W608" s="2218"/>
      <c r="X608" s="2218"/>
      <c r="Y608" s="2218"/>
      <c r="Z608" s="2218"/>
      <c r="AA608" s="2218"/>
      <c r="AB608" s="2218"/>
      <c r="AC608" s="2218"/>
      <c r="AD608" s="2218"/>
      <c r="AE608" s="2218"/>
      <c r="AK608" s="2218"/>
      <c r="AM608" s="2218">
        <f t="shared" si="748"/>
        <v>0</v>
      </c>
    </row>
    <row r="609" spans="1:46" ht="12.75" customHeight="1">
      <c r="A609" s="714"/>
      <c r="B609" s="714"/>
      <c r="C609" s="822"/>
      <c r="D609" s="862"/>
      <c r="E609" s="863" t="s">
        <v>1805</v>
      </c>
      <c r="F609" s="864"/>
      <c r="G609" s="865">
        <f>+InputY!$G$3</f>
        <v>1995</v>
      </c>
      <c r="H609" s="865">
        <f>+G609+1</f>
        <v>1996</v>
      </c>
      <c r="I609" s="865">
        <f t="shared" ref="I609:S609" si="782">+H609+1</f>
        <v>1997</v>
      </c>
      <c r="J609" s="865">
        <f t="shared" si="782"/>
        <v>1998</v>
      </c>
      <c r="K609" s="865">
        <f t="shared" si="782"/>
        <v>1999</v>
      </c>
      <c r="L609" s="865">
        <f t="shared" si="782"/>
        <v>2000</v>
      </c>
      <c r="M609" s="865">
        <f t="shared" si="782"/>
        <v>2001</v>
      </c>
      <c r="N609" s="865">
        <f t="shared" si="782"/>
        <v>2002</v>
      </c>
      <c r="O609" s="865">
        <f t="shared" si="782"/>
        <v>2003</v>
      </c>
      <c r="P609" s="865">
        <f>+O609+1</f>
        <v>2004</v>
      </c>
      <c r="Q609" s="865">
        <f>+P609+1</f>
        <v>2005</v>
      </c>
      <c r="R609" s="865">
        <f>+Q609+1</f>
        <v>2006</v>
      </c>
      <c r="S609" s="2219">
        <f t="shared" si="782"/>
        <v>2007</v>
      </c>
      <c r="T609" s="2219">
        <f t="shared" ref="T609:AE609" si="783">+S609+1</f>
        <v>2008</v>
      </c>
      <c r="U609" s="2219">
        <f t="shared" si="783"/>
        <v>2009</v>
      </c>
      <c r="V609" s="2219">
        <f t="shared" si="783"/>
        <v>2010</v>
      </c>
      <c r="W609" s="2219">
        <f t="shared" si="783"/>
        <v>2011</v>
      </c>
      <c r="X609" s="2219">
        <f t="shared" si="783"/>
        <v>2012</v>
      </c>
      <c r="Y609" s="2219">
        <f t="shared" si="783"/>
        <v>2013</v>
      </c>
      <c r="Z609" s="2219">
        <f t="shared" si="783"/>
        <v>2014</v>
      </c>
      <c r="AA609" s="2219">
        <f t="shared" si="783"/>
        <v>2015</v>
      </c>
      <c r="AB609" s="2219">
        <f t="shared" si="783"/>
        <v>2016</v>
      </c>
      <c r="AC609" s="2219">
        <f t="shared" si="783"/>
        <v>2017</v>
      </c>
      <c r="AD609" s="2219">
        <f t="shared" si="783"/>
        <v>2018</v>
      </c>
      <c r="AE609" s="2219">
        <f t="shared" si="783"/>
        <v>2019</v>
      </c>
      <c r="AK609" s="2219">
        <v>2014</v>
      </c>
      <c r="AM609" s="2219">
        <f t="shared" si="748"/>
        <v>0</v>
      </c>
    </row>
    <row r="610" spans="1:46" ht="12.75" customHeight="1">
      <c r="A610" s="714"/>
      <c r="B610" s="714"/>
      <c r="C610" s="866" t="s">
        <v>622</v>
      </c>
      <c r="D610" s="867" t="s">
        <v>589</v>
      </c>
      <c r="E610" s="868" t="s">
        <v>1440</v>
      </c>
      <c r="F610" s="869" t="s">
        <v>1942</v>
      </c>
      <c r="G610" s="878">
        <f ca="1">+G588/'VVP2'!G$355</f>
        <v>2.7315434462835107E-2</v>
      </c>
      <c r="H610" s="878">
        <f>+H588/'VVP2'!H$355</f>
        <v>2.8522420793693135E-2</v>
      </c>
      <c r="I610" s="878">
        <f>+I588/'VVP2'!I$355</f>
        <v>2.7038257953424519E-2</v>
      </c>
      <c r="J610" s="878">
        <f>+J588/'VVP2'!J$355</f>
        <v>2.7773086738175169E-2</v>
      </c>
      <c r="K610" s="878">
        <f>+K588/'VVP2'!K$355</f>
        <v>2.785452818291255E-2</v>
      </c>
      <c r="L610" s="878">
        <f>+L588/'VVP2'!L$355</f>
        <v>2.7953853660803496E-2</v>
      </c>
      <c r="M610" s="878">
        <f>+M588/'VVP2'!M$355</f>
        <v>2.8307856926788371E-2</v>
      </c>
      <c r="N610" s="878">
        <f>+N588/'VVP2'!N$355</f>
        <v>2.6556985964413516E-2</v>
      </c>
      <c r="O610" s="878">
        <f>+O588/'VVP2'!O$355</f>
        <v>2.7084258402577163E-2</v>
      </c>
      <c r="P610" s="878">
        <f>+P588/'VVP2'!P$355</f>
        <v>2.6753970730217989E-2</v>
      </c>
      <c r="Q610" s="878">
        <f>+Q588/'VVP2'!Q$355</f>
        <v>2.8495175304545258E-2</v>
      </c>
      <c r="R610" s="878">
        <f>+R588/'VVP2'!R$355</f>
        <v>2.5339946078838042E-2</v>
      </c>
      <c r="S610" s="878">
        <f>+S588/'VVP2'!S$355</f>
        <v>2.0997497914929109E-2</v>
      </c>
      <c r="T610" s="878">
        <f>+T588/'VVP2'!T$355</f>
        <v>2.2356855037437947E-2</v>
      </c>
      <c r="U610" s="878">
        <f>+U588/'VVP2'!U$355</f>
        <v>2.5038053954185017E-2</v>
      </c>
      <c r="V610" s="878">
        <f>+V588/'VVP2'!V$355</f>
        <v>2.4256334899568747E-2</v>
      </c>
      <c r="W610" s="878">
        <f>+W588/'VVP2'!W$355</f>
        <v>2.3987467367332066E-2</v>
      </c>
      <c r="X610" s="878">
        <f>+X588/'VVP2'!X$355</f>
        <v>2.5274832187140085E-2</v>
      </c>
      <c r="Y610" s="2224">
        <f>+Y588/'VVP2'!Y$355</f>
        <v>2.4982935710320495E-2</v>
      </c>
      <c r="Z610" s="2224">
        <f>+Z588/'VVP2'!Z$355</f>
        <v>2.4795135105156733E-2</v>
      </c>
      <c r="AA610" s="2224">
        <f>+AA588/'VVP2'!AA$355</f>
        <v>2.4274233788914787E-2</v>
      </c>
      <c r="AB610" s="2224">
        <f>+AB588/'VVP2'!AB$355</f>
        <v>2.3635829848310502E-2</v>
      </c>
      <c r="AC610" s="2224">
        <f>+AC588/'VVP2'!AC$355</f>
        <v>2.3738719900311206E-2</v>
      </c>
      <c r="AD610" s="2224">
        <f ca="1">+AD588/'VVP2'!AD$355</f>
        <v>2.3946405019242528E-2</v>
      </c>
      <c r="AE610" s="2224">
        <f ca="1">+AE588/'VVP2'!AE$355</f>
        <v>2.3894123010922051E-2</v>
      </c>
      <c r="AK610" s="2224">
        <v>1.8582993654249803E-2</v>
      </c>
      <c r="AM610" s="2224">
        <f t="shared" si="748"/>
        <v>6.2121414509069307E-3</v>
      </c>
    </row>
    <row r="611" spans="1:46" ht="12.75" customHeight="1">
      <c r="A611" s="714"/>
      <c r="B611" s="714"/>
      <c r="C611" s="870" t="s">
        <v>2133</v>
      </c>
      <c r="D611" s="724" t="s">
        <v>589</v>
      </c>
      <c r="E611" s="830" t="s">
        <v>1481</v>
      </c>
      <c r="F611" s="754" t="s">
        <v>1940</v>
      </c>
      <c r="G611" s="879">
        <f ca="1">+G589/'VVP2'!G$355</f>
        <v>3.0706022221507041E-2</v>
      </c>
      <c r="H611" s="879">
        <f>+H589/'VVP2'!H$355</f>
        <v>3.0686886873536653E-2</v>
      </c>
      <c r="I611" s="879">
        <f>+I589/'VVP2'!I$355</f>
        <v>3.0302869379697277E-2</v>
      </c>
      <c r="J611" s="879">
        <f>+J589/'VVP2'!J$355</f>
        <v>3.0061887606102788E-2</v>
      </c>
      <c r="K611" s="879">
        <f>+K589/'VVP2'!K$355</f>
        <v>2.8991589757028327E-2</v>
      </c>
      <c r="L611" s="879">
        <f>+L589/'VVP2'!L$355</f>
        <v>2.8657124489780111E-2</v>
      </c>
      <c r="M611" s="879">
        <f>+M589/'VVP2'!M$355</f>
        <v>3.0351587954929558E-2</v>
      </c>
      <c r="N611" s="879">
        <f>+N589/'VVP2'!N$355</f>
        <v>2.8346016997430792E-2</v>
      </c>
      <c r="O611" s="879">
        <f>+O589/'VVP2'!O$355</f>
        <v>2.820548655251533E-2</v>
      </c>
      <c r="P611" s="879">
        <f>+P589/'VVP2'!P$355</f>
        <v>2.8086028359202278E-2</v>
      </c>
      <c r="Q611" s="879">
        <f>+Q589/'VVP2'!Q$355</f>
        <v>3.1046215368651934E-2</v>
      </c>
      <c r="R611" s="879">
        <f>+R589/'VVP2'!R$355</f>
        <v>2.807396389112787E-2</v>
      </c>
      <c r="S611" s="879">
        <f>+S589/'VVP2'!S$355</f>
        <v>2.4336512310983795E-2</v>
      </c>
      <c r="T611" s="879">
        <f>+T589/'VVP2'!T$355</f>
        <v>2.5737299186394398E-2</v>
      </c>
      <c r="U611" s="879">
        <f>+U589/'VVP2'!U$355</f>
        <v>3.091509258959273E-2</v>
      </c>
      <c r="V611" s="879">
        <f>+V589/'VVP2'!V$355</f>
        <v>2.9253315183079723E-2</v>
      </c>
      <c r="W611" s="879">
        <f>+W589/'VVP2'!W$355</f>
        <v>2.8461937984148512E-2</v>
      </c>
      <c r="X611" s="879">
        <f>+X589/'VVP2'!X$355</f>
        <v>2.9096766684705375E-2</v>
      </c>
      <c r="Y611" s="2225">
        <f>+Y589/'VVP2'!Y$355</f>
        <v>2.8897399652036325E-2</v>
      </c>
      <c r="Z611" s="2225">
        <f>+Z589/'VVP2'!Z$355</f>
        <v>2.9712841897412915E-2</v>
      </c>
      <c r="AA611" s="2225">
        <f>+AA589/'VVP2'!AA$355</f>
        <v>2.8433477440531416E-2</v>
      </c>
      <c r="AB611" s="2225">
        <f>+AB589/'VVP2'!AB$355</f>
        <v>2.8269814990436081E-2</v>
      </c>
      <c r="AC611" s="2225">
        <f>+AC589/'VVP2'!AC$355</f>
        <v>2.8365602805662957E-2</v>
      </c>
      <c r="AD611" s="2225">
        <f ca="1">+AD589/'VVP2'!AD$355</f>
        <v>2.8402524980694482E-2</v>
      </c>
      <c r="AE611" s="2225">
        <f ca="1">+AE589/'VVP2'!AE$355</f>
        <v>2.8579361649761732E-2</v>
      </c>
      <c r="AK611" s="2225">
        <v>2.7431971064210612E-2</v>
      </c>
      <c r="AM611" s="2225">
        <f t="shared" si="748"/>
        <v>2.2808708332023031E-3</v>
      </c>
    </row>
    <row r="612" spans="1:46" ht="12.75" customHeight="1">
      <c r="A612" s="714"/>
      <c r="B612" s="714"/>
      <c r="C612" s="870" t="s">
        <v>622</v>
      </c>
      <c r="D612" s="724" t="s">
        <v>590</v>
      </c>
      <c r="E612" s="830" t="s">
        <v>1440</v>
      </c>
      <c r="F612" s="754" t="s">
        <v>1759</v>
      </c>
      <c r="G612" s="879">
        <f ca="1">+G590/'VVP2'!G$355</f>
        <v>3.519083651536177E-2</v>
      </c>
      <c r="H612" s="879">
        <f>+H590/'VVP2'!H$355</f>
        <v>3.6195763314661691E-2</v>
      </c>
      <c r="I612" s="879">
        <f>+I590/'VVP2'!I$355</f>
        <v>3.4700381070475683E-2</v>
      </c>
      <c r="J612" s="879">
        <f>+J590/'VVP2'!J$355</f>
        <v>3.3843291983951522E-2</v>
      </c>
      <c r="K612" s="879">
        <f>+K590/'VVP2'!K$355</f>
        <v>3.3798612760312173E-2</v>
      </c>
      <c r="L612" s="879">
        <f>+L590/'VVP2'!L$355</f>
        <v>3.2161086197148192E-2</v>
      </c>
      <c r="M612" s="879">
        <f>+M590/'VVP2'!M$355</f>
        <v>2.9436198118503291E-2</v>
      </c>
      <c r="N612" s="879">
        <f>+N590/'VVP2'!N$355</f>
        <v>3.1784112197439811E-2</v>
      </c>
      <c r="O612" s="879">
        <f>+O590/'VVP2'!O$355</f>
        <v>3.0502075988062406E-2</v>
      </c>
      <c r="P612" s="879">
        <f>+P590/'VVP2'!P$355</f>
        <v>2.7726148502163296E-2</v>
      </c>
      <c r="Q612" s="879">
        <f>+Q590/'VVP2'!Q$355</f>
        <v>2.624431425628803E-2</v>
      </c>
      <c r="R612" s="879">
        <f>+R590/'VVP2'!R$355</f>
        <v>2.5370252624960166E-2</v>
      </c>
      <c r="S612" s="879">
        <f>+S590/'VVP2'!S$355</f>
        <v>2.6988287340900027E-2</v>
      </c>
      <c r="T612" s="879">
        <f>+T590/'VVP2'!T$355</f>
        <v>3.1010893734753894E-2</v>
      </c>
      <c r="U612" s="879">
        <f>+U590/'VVP2'!U$355</f>
        <v>3.5054365044436181E-2</v>
      </c>
      <c r="V612" s="879">
        <f>+V590/'VVP2'!V$355</f>
        <v>3.5662783261047298E-2</v>
      </c>
      <c r="W612" s="879">
        <f>+W590/'VVP2'!W$355</f>
        <v>3.406432443881835E-2</v>
      </c>
      <c r="X612" s="879">
        <f>+X590/'VVP2'!X$355</f>
        <v>3.4144765381996033E-2</v>
      </c>
      <c r="Y612" s="2225">
        <f>+Y590/'VVP2'!Y$355</f>
        <v>3.344371384192988E-2</v>
      </c>
      <c r="Z612" s="2225">
        <f>+Z590/'VVP2'!Z$355</f>
        <v>3.3137374521657145E-2</v>
      </c>
      <c r="AA612" s="2225">
        <f>+AA590/'VVP2'!AA$355</f>
        <v>3.2711862920139403E-2</v>
      </c>
      <c r="AB612" s="2225">
        <f>+AB590/'VVP2'!AB$355</f>
        <v>3.3042318562131426E-2</v>
      </c>
      <c r="AC612" s="2225">
        <f>+AC590/'VVP2'!AC$355</f>
        <v>3.2309480766257247E-2</v>
      </c>
      <c r="AD612" s="2225">
        <f ca="1">+AD590/'VVP2'!AD$355</f>
        <v>3.2092174237276845E-2</v>
      </c>
      <c r="AE612" s="2225">
        <f ca="1">+AE590/'VVP2'!AE$355</f>
        <v>3.1950761271369463E-2</v>
      </c>
      <c r="AK612" s="2225">
        <v>3.0016531185522163E-2</v>
      </c>
      <c r="AM612" s="2225">
        <f t="shared" si="748"/>
        <v>3.1208433361349826E-3</v>
      </c>
    </row>
    <row r="613" spans="1:46" ht="12.75" customHeight="1">
      <c r="A613" s="714"/>
      <c r="B613" s="714"/>
      <c r="C613" s="870" t="s">
        <v>2133</v>
      </c>
      <c r="D613" s="724" t="s">
        <v>590</v>
      </c>
      <c r="E613" s="830" t="s">
        <v>1481</v>
      </c>
      <c r="F613" s="754" t="s">
        <v>1758</v>
      </c>
      <c r="G613" s="879">
        <f ca="1">+G591/'VVP2'!G$355</f>
        <v>3.8802446675387667E-2</v>
      </c>
      <c r="H613" s="879">
        <f>+H591/'VVP2'!H$355</f>
        <v>3.8899725111881688E-2</v>
      </c>
      <c r="I613" s="879">
        <f>+I591/'VVP2'!I$355</f>
        <v>3.7613616399085358E-2</v>
      </c>
      <c r="J613" s="879">
        <f>+J591/'VVP2'!J$355</f>
        <v>3.6294146947242013E-2</v>
      </c>
      <c r="K613" s="879">
        <f>+K591/'VVP2'!K$355</f>
        <v>3.6819175681540868E-2</v>
      </c>
      <c r="L613" s="879">
        <f>+L591/'VVP2'!L$355</f>
        <v>3.5722750191695518E-2</v>
      </c>
      <c r="M613" s="879">
        <f>+M591/'VVP2'!M$355</f>
        <v>3.2897222000659171E-2</v>
      </c>
      <c r="N613" s="879">
        <f>+N591/'VVP2'!N$355</f>
        <v>3.476158916561934E-2</v>
      </c>
      <c r="O613" s="879">
        <f>+O591/'VVP2'!O$355</f>
        <v>3.3365471197102987E-2</v>
      </c>
      <c r="P613" s="879">
        <f>+P591/'VVP2'!P$355</f>
        <v>2.9007320793222071E-2</v>
      </c>
      <c r="Q613" s="879">
        <f>+Q591/'VVP2'!Q$355</f>
        <v>2.6818346427773393E-2</v>
      </c>
      <c r="R613" s="879">
        <f>+R591/'VVP2'!R$355</f>
        <v>2.5678828367294522E-2</v>
      </c>
      <c r="S613" s="879">
        <f>+S591/'VVP2'!S$355</f>
        <v>2.7321898683685685E-2</v>
      </c>
      <c r="T613" s="879">
        <f>+T591/'VVP2'!T$355</f>
        <v>2.8926253559012599E-2</v>
      </c>
      <c r="U613" s="879">
        <f>+U591/'VVP2'!U$355</f>
        <v>3.275120125488451E-2</v>
      </c>
      <c r="V613" s="879">
        <f>+V591/'VVP2'!V$355</f>
        <v>3.4873959361874332E-2</v>
      </c>
      <c r="W613" s="879">
        <f>+W591/'VVP2'!W$355</f>
        <v>3.328354079053817E-2</v>
      </c>
      <c r="X613" s="879">
        <f>+X591/'VVP2'!X$355</f>
        <v>3.1007733933488019E-2</v>
      </c>
      <c r="Y613" s="2225">
        <f>+Y591/'VVP2'!Y$355</f>
        <v>3.0078008909623748E-2</v>
      </c>
      <c r="Z613" s="2225">
        <f>+Z591/'VVP2'!Z$355</f>
        <v>2.925866912889263E-2</v>
      </c>
      <c r="AA613" s="2225">
        <f>+AA591/'VVP2'!AA$355</f>
        <v>3.0070032979627476E-2</v>
      </c>
      <c r="AB613" s="2225">
        <f>+AB591/'VVP2'!AB$355</f>
        <v>2.8721536353759996E-2</v>
      </c>
      <c r="AC613" s="2225">
        <f>+AC591/'VVP2'!AC$355</f>
        <v>2.771043726507157E-2</v>
      </c>
      <c r="AD613" s="2225">
        <f ca="1">+AD591/'VVP2'!AD$355</f>
        <v>2.6800450731035843E-2</v>
      </c>
      <c r="AE613" s="2225">
        <f ca="1">+AE591/'VVP2'!AE$355</f>
        <v>2.5905199560107384E-2</v>
      </c>
      <c r="AK613" s="2225">
        <v>2.6690339821512914E-2</v>
      </c>
      <c r="AM613" s="2225">
        <f t="shared" si="748"/>
        <v>2.5683293073797166E-3</v>
      </c>
    </row>
    <row r="614" spans="1:46" ht="12.75" customHeight="1">
      <c r="A614" s="714"/>
      <c r="B614" s="714"/>
      <c r="C614" s="870" t="s">
        <v>622</v>
      </c>
      <c r="D614" s="724" t="s">
        <v>591</v>
      </c>
      <c r="E614" s="830" t="s">
        <v>1440</v>
      </c>
      <c r="F614" s="754" t="s">
        <v>1068</v>
      </c>
      <c r="G614" s="879">
        <f ca="1">+G592/'VVP2'!G$355</f>
        <v>2.2627582459813677E-2</v>
      </c>
      <c r="H614" s="879">
        <f>+H592/'VVP2'!H$355</f>
        <v>1.908703432026318E-2</v>
      </c>
      <c r="I614" s="879">
        <f>+I592/'VVP2'!I$355</f>
        <v>1.9246028321621533E-2</v>
      </c>
      <c r="J614" s="879">
        <f>+J592/'VVP2'!J$355</f>
        <v>1.9144559076394004E-2</v>
      </c>
      <c r="K614" s="879">
        <f>+K592/'VVP2'!K$355</f>
        <v>1.876786255353648E-2</v>
      </c>
      <c r="L614" s="879">
        <f>+L592/'VVP2'!L$355</f>
        <v>1.8254060459604531E-2</v>
      </c>
      <c r="M614" s="879">
        <f>+M592/'VVP2'!M$355</f>
        <v>1.8552352171878079E-2</v>
      </c>
      <c r="N614" s="879">
        <f>+N592/'VVP2'!N$355</f>
        <v>1.8213870098387618E-2</v>
      </c>
      <c r="O614" s="879">
        <f>+O592/'VVP2'!O$355</f>
        <v>1.9271042487435275E-2</v>
      </c>
      <c r="P614" s="879">
        <f>+P592/'VVP2'!P$355</f>
        <v>1.9702334164014155E-2</v>
      </c>
      <c r="Q614" s="879">
        <f>+Q592/'VVP2'!Q$355</f>
        <v>2.0123551756641184E-2</v>
      </c>
      <c r="R614" s="879">
        <f>+R592/'VVP2'!R$355</f>
        <v>1.9328841637888207E-2</v>
      </c>
      <c r="S614" s="879">
        <f>+S592/'VVP2'!S$355</f>
        <v>1.7238713420604127E-2</v>
      </c>
      <c r="T614" s="879">
        <f>+T592/'VVP2'!T$355</f>
        <v>1.841013212512134E-2</v>
      </c>
      <c r="U614" s="3336">
        <f>+U592/'VVP2'!U$355</f>
        <v>2.2092653529678073E-2</v>
      </c>
      <c r="V614" s="3336">
        <f>+V592/'VVP2'!V$355</f>
        <v>2.1070088920721826E-2</v>
      </c>
      <c r="W614" s="3336">
        <f>+W592/'VVP2'!W$355</f>
        <v>2.1097512755657188E-2</v>
      </c>
      <c r="X614" s="3336">
        <f>+X592/'VVP2'!X$355</f>
        <v>2.1465284783152315E-2</v>
      </c>
      <c r="Y614" s="2225">
        <f>+Y592/'VVP2'!Y$355</f>
        <v>2.1706439163194761E-2</v>
      </c>
      <c r="Z614" s="2225">
        <f>+Z592/'VVP2'!Z$355</f>
        <v>2.0903938712157889E-2</v>
      </c>
      <c r="AA614" s="2225">
        <f>+AA592/'VVP2'!AA$355</f>
        <v>2.0577182463882241E-2</v>
      </c>
      <c r="AB614" s="2225">
        <f>+AB592/'VVP2'!AB$355</f>
        <v>2.1658278343565415E-2</v>
      </c>
      <c r="AC614" s="2225">
        <f>+AC592/'VVP2'!AC$355</f>
        <v>1.8118310198351324E-2</v>
      </c>
      <c r="AD614" s="2225">
        <f ca="1">+AD592/'VVP2'!AD$355</f>
        <v>1.9294928457239284E-2</v>
      </c>
      <c r="AE614" s="2225">
        <f ca="1">+AE592/'VVP2'!AE$355</f>
        <v>1.9383354742910461E-2</v>
      </c>
      <c r="AK614" s="2225">
        <v>2.6152832674571806E-2</v>
      </c>
      <c r="AM614" s="2225">
        <f t="shared" si="748"/>
        <v>-5.2488939624139169E-3</v>
      </c>
    </row>
    <row r="615" spans="1:46" ht="12.75" customHeight="1">
      <c r="A615" s="714"/>
      <c r="B615" s="714"/>
      <c r="C615" s="870" t="s">
        <v>2133</v>
      </c>
      <c r="D615" s="724" t="s">
        <v>591</v>
      </c>
      <c r="E615" s="830" t="s">
        <v>1481</v>
      </c>
      <c r="F615" s="754" t="s">
        <v>1067</v>
      </c>
      <c r="G615" s="879">
        <f ca="1">+G593/'VVP2'!G$355</f>
        <v>3.2443438143071068E-3</v>
      </c>
      <c r="H615" s="879">
        <f>+H593/'VVP2'!H$355</f>
        <v>3.4379538247236298E-3</v>
      </c>
      <c r="I615" s="879">
        <f>+I593/'VVP2'!I$355</f>
        <v>2.9406727568906665E-3</v>
      </c>
      <c r="J615" s="879">
        <f>+J593/'VVP2'!J$355</f>
        <v>3.5954686263271383E-3</v>
      </c>
      <c r="K615" s="879">
        <f>+K593/'VVP2'!K$355</f>
        <v>3.8902491954173595E-3</v>
      </c>
      <c r="L615" s="879">
        <f>+L593/'VVP2'!L$355</f>
        <v>3.431156136967416E-3</v>
      </c>
      <c r="M615" s="879">
        <f>+M593/'VVP2'!M$355</f>
        <v>3.9881349223668148E-3</v>
      </c>
      <c r="N615" s="879">
        <f>+N593/'VVP2'!N$355</f>
        <v>3.8739920113456776E-3</v>
      </c>
      <c r="O615" s="879">
        <f>+O593/'VVP2'!O$355</f>
        <v>3.3102589368322914E-3</v>
      </c>
      <c r="P615" s="879">
        <f>+P593/'VVP2'!P$355</f>
        <v>4.3078455817466259E-3</v>
      </c>
      <c r="Q615" s="879">
        <f>+Q593/'VVP2'!Q$355</f>
        <v>4.7190709668140061E-3</v>
      </c>
      <c r="R615" s="879">
        <f>+R593/'VVP2'!R$355</f>
        <v>4.5977173354362208E-3</v>
      </c>
      <c r="S615" s="879">
        <f>+S593/'VVP2'!S$355</f>
        <v>4.2487580229901732E-3</v>
      </c>
      <c r="T615" s="879">
        <f>+T593/'VVP2'!T$355</f>
        <v>4.9154691259451991E-3</v>
      </c>
      <c r="U615" s="879">
        <f>+U593/'VVP2'!U$355</f>
        <v>6.1178773735159403E-3</v>
      </c>
      <c r="V615" s="879">
        <f>+V593/'VVP2'!V$355</f>
        <v>7.1865143980903885E-3</v>
      </c>
      <c r="W615" s="879">
        <f>+W593/'VVP2'!W$355</f>
        <v>7.4010904065693458E-3</v>
      </c>
      <c r="X615" s="879">
        <f>+X593/'VVP2'!X$355</f>
        <v>8.2134172352471644E-3</v>
      </c>
      <c r="Y615" s="2225">
        <f>+Y593/'VVP2'!Y$355</f>
        <v>7.2200169343003186E-3</v>
      </c>
      <c r="Z615" s="2225">
        <f>+Z593/'VVP2'!Z$355</f>
        <v>7.1363582538780798E-3</v>
      </c>
      <c r="AA615" s="2225">
        <f>+AA593/'VVP2'!AA$355</f>
        <v>6.553775114804968E-3</v>
      </c>
      <c r="AB615" s="2225">
        <f>+AB593/'VVP2'!AB$355</f>
        <v>5.9844216406444266E-3</v>
      </c>
      <c r="AC615" s="2225">
        <f>+AC593/'VVP2'!AC$355</f>
        <v>6.2264444406941542E-3</v>
      </c>
      <c r="AD615" s="2225">
        <f ca="1">+AD593/'VVP2'!AD$355</f>
        <v>6.3941314078383854E-3</v>
      </c>
      <c r="AE615" s="2225">
        <f ca="1">+AE593/'VVP2'!AE$355</f>
        <v>6.1762133375923498E-3</v>
      </c>
      <c r="AK615" s="2226">
        <v>7.4392820742287518E-3</v>
      </c>
      <c r="AM615" s="2226">
        <f t="shared" si="748"/>
        <v>-3.0292382035067202E-4</v>
      </c>
    </row>
    <row r="616" spans="1:46" ht="12.75" customHeight="1">
      <c r="A616" s="714"/>
      <c r="B616" s="714"/>
      <c r="C616" s="871"/>
      <c r="D616" s="872"/>
      <c r="E616" s="4012" t="s">
        <v>2621</v>
      </c>
      <c r="F616" s="874"/>
      <c r="G616" s="880"/>
      <c r="H616" s="4013">
        <f>+H594/'VVP2'!H$355</f>
        <v>5.705225097062921E-4</v>
      </c>
      <c r="I616" s="4013">
        <f>+I594/'VVP2'!I$355</f>
        <v>4.5404518413390878E-4</v>
      </c>
      <c r="J616" s="4013">
        <f>+J594/'VVP2'!J$355</f>
        <v>5.1686727257840013E-4</v>
      </c>
      <c r="K616" s="4013">
        <f>+K594/'VVP2'!K$355</f>
        <v>6.0312988789072426E-4</v>
      </c>
      <c r="L616" s="4013">
        <f>+L594/'VVP2'!L$355</f>
        <v>3.6712596138206661E-4</v>
      </c>
      <c r="M616" s="4013">
        <f>+M594/'VVP2'!M$355</f>
        <v>3.8301144820466202E-4</v>
      </c>
      <c r="N616" s="4013">
        <f>+N594/'VVP2'!N$355</f>
        <v>2.3812544739408966E-4</v>
      </c>
      <c r="O616" s="4013">
        <f>+O594/'VVP2'!O$355</f>
        <v>3.7574764759682491E-4</v>
      </c>
      <c r="P616" s="4013">
        <f>+P594/'VVP2'!P$355</f>
        <v>1.8713752566027072E-4</v>
      </c>
      <c r="Q616" s="4013">
        <f>+Q594/'VVP2'!Q$355</f>
        <v>3.1847869916861647E-4</v>
      </c>
      <c r="R616" s="4013">
        <f>+R594/'VVP2'!R$355</f>
        <v>4.2612840608077893E-4</v>
      </c>
      <c r="S616" s="4013">
        <f>+S594/'VVP2'!S$355</f>
        <v>2.2221416397722737E-4</v>
      </c>
      <c r="T616" s="4013">
        <f>+T594/'VVP2'!T$355</f>
        <v>4.0190258367157075E-4</v>
      </c>
      <c r="U616" s="4013">
        <f>+U594/'VVP2'!U$355</f>
        <v>2.8757292181256383E-4</v>
      </c>
      <c r="V616" s="4013">
        <f>+V594/'VVP2'!V$355</f>
        <v>6.4393228713737719E-4</v>
      </c>
      <c r="W616" s="4013">
        <f>+W594/'VVP2'!W$355</f>
        <v>6.6313854451904397E-4</v>
      </c>
      <c r="X616" s="4013">
        <f>+X594/'VVP2'!X$355</f>
        <v>7.5174174148600226E-4</v>
      </c>
      <c r="Y616" s="4013">
        <f>+Y594/'VVP2'!Y$355</f>
        <v>7.6311401494316927E-4</v>
      </c>
      <c r="Z616" s="4013">
        <f>+Z594/'VVP2'!Z$355</f>
        <v>7.7069471445823275E-4</v>
      </c>
      <c r="AA616" s="4013">
        <f>+AA594/'VVP2'!AA$355</f>
        <v>8.5470252064150445E-4</v>
      </c>
      <c r="AB616" s="4013">
        <f>+AB594/'VVP2'!AB$355</f>
        <v>8.8547787912683282E-4</v>
      </c>
      <c r="AC616" s="4013">
        <f>+AC594/'VVP2'!AC$355</f>
        <v>8.1234323850826228E-4</v>
      </c>
      <c r="AD616" s="4013">
        <f ca="1">+AD594/'VVP2'!AD$355</f>
        <v>8.1167216109599846E-4</v>
      </c>
      <c r="AE616" s="4013">
        <f ca="1">+AE594/'VVP2'!AE$355</f>
        <v>8.1193989615686987E-4</v>
      </c>
      <c r="AK616" s="2227">
        <v>1.3190764554391497E-2</v>
      </c>
      <c r="AM616" s="2227">
        <f>Z617-AK616</f>
        <v>-4.8616821605327112E-4</v>
      </c>
    </row>
    <row r="617" spans="1:46" s="3466" customFormat="1" ht="12.75" customHeight="1">
      <c r="A617" s="3458"/>
      <c r="B617" s="3458"/>
      <c r="C617" s="822" t="s">
        <v>624</v>
      </c>
      <c r="D617" s="850" t="s">
        <v>592</v>
      </c>
      <c r="E617" s="851" t="s">
        <v>744</v>
      </c>
      <c r="F617" s="852" t="s">
        <v>745</v>
      </c>
      <c r="G617" s="881">
        <f ca="1">+G596/'VVP2'!G$355</f>
        <v>8.7235222735679938E-3</v>
      </c>
      <c r="H617" s="881">
        <f>+H596/'VVP2'!H$355</f>
        <v>1.0780652618476039E-2</v>
      </c>
      <c r="I617" s="881">
        <f>+I596/'VVP2'!I$355</f>
        <v>1.012750880984844E-2</v>
      </c>
      <c r="J617" s="881">
        <f>+J596/'VVP2'!J$355</f>
        <v>1.0809434618848769E-2</v>
      </c>
      <c r="K617" s="881">
        <f>+K596/'VVP2'!K$355</f>
        <v>1.0719988862774645E-2</v>
      </c>
      <c r="L617" s="881">
        <f>+L596/'VVP2'!L$355</f>
        <v>1.0557969499113168E-2</v>
      </c>
      <c r="M617" s="881">
        <f>+M596/'VVP2'!M$355</f>
        <v>9.0594623392142026E-3</v>
      </c>
      <c r="N617" s="881">
        <f>+N596/'VVP2'!N$355</f>
        <v>9.5733700858451343E-3</v>
      </c>
      <c r="O617" s="881">
        <f>+O596/'VVP2'!O$355</f>
        <v>1.1976160191624223E-2</v>
      </c>
      <c r="P617" s="881">
        <f>+P596/'VVP2'!P$355</f>
        <v>1.2793645224745808E-2</v>
      </c>
      <c r="Q617" s="881">
        <f>+Q596/'VVP2'!Q$355</f>
        <v>1.2244093375899896E-2</v>
      </c>
      <c r="R617" s="881">
        <f>+R596/'VVP2'!R$355</f>
        <v>1.1640162724723804E-2</v>
      </c>
      <c r="S617" s="881">
        <f>+S596/'VVP2'!S$355</f>
        <v>9.2938318163687146E-3</v>
      </c>
      <c r="T617" s="881">
        <f>+T596/'VVP2'!T$355</f>
        <v>1.2166096763342646E-2</v>
      </c>
      <c r="U617" s="881">
        <f>+U596/'VVP2'!U$355</f>
        <v>1.236764262742448E-2</v>
      </c>
      <c r="V617" s="881">
        <f>+V596/'VVP2'!V$355</f>
        <v>9.6450155505128018E-3</v>
      </c>
      <c r="W617" s="881">
        <f>+W596/'VVP2'!W$355</f>
        <v>9.9739835502601782E-3</v>
      </c>
      <c r="X617" s="881">
        <f>+X596/'VVP2'!X$355</f>
        <v>1.2539609667197507E-2</v>
      </c>
      <c r="Y617" s="2227">
        <f>+Y596/'VVP2'!Y$355</f>
        <v>1.391166534723217E-2</v>
      </c>
      <c r="Z617" s="2227">
        <f>+Z596/'VVP2'!Z$355</f>
        <v>1.2704596338338226E-2</v>
      </c>
      <c r="AA617" s="2227">
        <f>+AA596/'VVP2'!AA$355</f>
        <v>1.2377593344820326E-2</v>
      </c>
      <c r="AB617" s="2227">
        <f>+AB596/'VVP2'!AB$355</f>
        <v>1.5345761856090224E-2</v>
      </c>
      <c r="AC617" s="2227">
        <f>+AC596/'VVP2'!AC$355</f>
        <v>1.1864026353491092E-2</v>
      </c>
      <c r="AD617" s="2227">
        <f ca="1">+AD596/'VVP2'!AD$355</f>
        <v>1.3736400594189947E-2</v>
      </c>
      <c r="AE617" s="2227">
        <f ca="1">+AE596/'VVP2'!AE$355</f>
        <v>1.4567464477740513E-2</v>
      </c>
      <c r="AF617" s="3465"/>
      <c r="AG617" s="3465"/>
      <c r="AH617" s="3465"/>
      <c r="AI617" s="3465"/>
      <c r="AJ617" s="3465"/>
      <c r="AK617" s="3464"/>
      <c r="AL617" s="3465"/>
      <c r="AM617" s="3464" t="e">
        <f>#REF!-AK617</f>
        <v>#REF!</v>
      </c>
      <c r="AN617" s="3465"/>
      <c r="AO617" s="3465"/>
      <c r="AP617" s="3465"/>
      <c r="AQ617" s="3465"/>
      <c r="AR617" s="3465"/>
      <c r="AS617" s="3465"/>
      <c r="AT617" s="3465"/>
    </row>
    <row r="618" spans="1:46" ht="30" customHeight="1">
      <c r="A618" s="714"/>
      <c r="B618" s="714"/>
      <c r="C618" s="822"/>
      <c r="S618" s="2162"/>
      <c r="T618" s="2162"/>
      <c r="U618" s="2162"/>
      <c r="V618" s="2162"/>
      <c r="W618" s="2162"/>
      <c r="X618" s="2162"/>
      <c r="Y618" s="2162"/>
      <c r="Z618" s="2162"/>
      <c r="AA618" s="2162"/>
      <c r="AB618" s="2162"/>
      <c r="AC618" s="2162"/>
      <c r="AD618" s="2162"/>
      <c r="AE618" s="2162"/>
      <c r="AK618" s="2162"/>
      <c r="AM618" s="2162">
        <f t="shared" si="748"/>
        <v>0</v>
      </c>
    </row>
    <row r="619" spans="1:46" ht="30" customHeight="1">
      <c r="S619" s="2162"/>
      <c r="T619" s="2162"/>
      <c r="U619" s="2162"/>
      <c r="AM619" s="2827">
        <f t="shared" si="748"/>
        <v>0</v>
      </c>
    </row>
    <row r="620" spans="1:46" ht="22.5" customHeight="1">
      <c r="A620" s="603"/>
      <c r="B620" s="603"/>
      <c r="C620" s="4124" t="s">
        <v>1482</v>
      </c>
      <c r="D620" s="4124"/>
      <c r="E620" s="4124"/>
      <c r="F620" s="4124"/>
      <c r="S620" s="2162"/>
      <c r="T620" s="2162"/>
      <c r="U620" s="2162"/>
      <c r="AM620" s="2827">
        <f t="shared" si="748"/>
        <v>0</v>
      </c>
    </row>
    <row r="621" spans="1:46" ht="12.75" customHeight="1">
      <c r="A621" s="714"/>
      <c r="B621" s="714"/>
      <c r="C621" s="822"/>
      <c r="S621" s="2162"/>
      <c r="T621" s="2162"/>
      <c r="U621" s="2162"/>
      <c r="AF621" s="749"/>
      <c r="AG621" s="749"/>
      <c r="AH621" s="749"/>
      <c r="AI621" s="749"/>
      <c r="AJ621" s="749"/>
      <c r="AL621" s="749"/>
      <c r="AM621" s="2827">
        <f t="shared" si="748"/>
        <v>0</v>
      </c>
      <c r="AN621" s="749"/>
      <c r="AO621" s="749"/>
      <c r="AP621" s="749"/>
      <c r="AQ621" s="749"/>
      <c r="AR621" s="749"/>
      <c r="AS621" s="749"/>
      <c r="AT621" s="749"/>
    </row>
    <row r="622" spans="1:46" ht="12.75" customHeight="1">
      <c r="A622" s="714"/>
      <c r="B622" s="714"/>
      <c r="C622" s="822"/>
      <c r="D622" s="823"/>
      <c r="E622" s="824" t="s">
        <v>1803</v>
      </c>
      <c r="F622" s="825"/>
      <c r="G622" s="826">
        <f>+InputY!$G$3</f>
        <v>1995</v>
      </c>
      <c r="H622" s="826">
        <f>+G622+1</f>
        <v>1996</v>
      </c>
      <c r="I622" s="826">
        <f t="shared" ref="I622:S622" si="784">+H622+1</f>
        <v>1997</v>
      </c>
      <c r="J622" s="826">
        <f t="shared" si="784"/>
        <v>1998</v>
      </c>
      <c r="K622" s="826">
        <f t="shared" si="784"/>
        <v>1999</v>
      </c>
      <c r="L622" s="826">
        <f t="shared" si="784"/>
        <v>2000</v>
      </c>
      <c r="M622" s="826">
        <f t="shared" si="784"/>
        <v>2001</v>
      </c>
      <c r="N622" s="826">
        <f t="shared" si="784"/>
        <v>2002</v>
      </c>
      <c r="O622" s="826">
        <f t="shared" si="784"/>
        <v>2003</v>
      </c>
      <c r="P622" s="826">
        <f>+O622+1</f>
        <v>2004</v>
      </c>
      <c r="Q622" s="826">
        <f>+P622+1</f>
        <v>2005</v>
      </c>
      <c r="R622" s="826">
        <f>+Q622+1</f>
        <v>2006</v>
      </c>
      <c r="S622" s="2163">
        <f t="shared" si="784"/>
        <v>2007</v>
      </c>
      <c r="T622" s="2163">
        <f t="shared" ref="T622:AE622" si="785">+S622+1</f>
        <v>2008</v>
      </c>
      <c r="U622" s="2163">
        <f t="shared" si="785"/>
        <v>2009</v>
      </c>
      <c r="V622" s="2163">
        <f t="shared" si="785"/>
        <v>2010</v>
      </c>
      <c r="W622" s="2163">
        <f t="shared" si="785"/>
        <v>2011</v>
      </c>
      <c r="X622" s="2163">
        <f t="shared" si="785"/>
        <v>2012</v>
      </c>
      <c r="Y622" s="2163">
        <f t="shared" si="785"/>
        <v>2013</v>
      </c>
      <c r="Z622" s="2163">
        <f t="shared" si="785"/>
        <v>2014</v>
      </c>
      <c r="AA622" s="2163">
        <f t="shared" si="785"/>
        <v>2015</v>
      </c>
      <c r="AB622" s="2163">
        <f t="shared" si="785"/>
        <v>2016</v>
      </c>
      <c r="AC622" s="2163">
        <f t="shared" si="785"/>
        <v>2017</v>
      </c>
      <c r="AD622" s="2163">
        <f t="shared" si="785"/>
        <v>2018</v>
      </c>
      <c r="AE622" s="2163">
        <f t="shared" si="785"/>
        <v>2019</v>
      </c>
      <c r="AF622" s="749"/>
      <c r="AG622" s="749"/>
      <c r="AH622" s="749"/>
      <c r="AI622" s="749"/>
      <c r="AJ622" s="749"/>
      <c r="AK622" s="2163">
        <v>2014</v>
      </c>
      <c r="AL622" s="749"/>
      <c r="AM622" s="2163">
        <f t="shared" si="748"/>
        <v>0</v>
      </c>
      <c r="AN622" s="749"/>
      <c r="AO622" s="749"/>
      <c r="AP622" s="749"/>
      <c r="AQ622" s="749"/>
      <c r="AR622" s="749"/>
      <c r="AS622" s="749"/>
      <c r="AT622" s="749"/>
    </row>
    <row r="623" spans="1:46" ht="12.75" customHeight="1">
      <c r="A623" s="714"/>
      <c r="B623" s="714"/>
      <c r="C623" s="827" t="s">
        <v>622</v>
      </c>
      <c r="D623" s="718" t="s">
        <v>589</v>
      </c>
      <c r="E623" s="750" t="s">
        <v>1482</v>
      </c>
      <c r="F623" s="751"/>
      <c r="G623" s="828">
        <f t="shared" ref="G623:AD623" ca="1" si="786">+G275+G474+G522+G589</f>
        <v>215.43539999999999</v>
      </c>
      <c r="H623" s="828">
        <f t="shared" si="786"/>
        <v>217.64300000000003</v>
      </c>
      <c r="I623" s="828">
        <f t="shared" si="786"/>
        <v>224.69689999999997</v>
      </c>
      <c r="J623" s="828">
        <f t="shared" si="786"/>
        <v>232.90690000000004</v>
      </c>
      <c r="K623" s="828">
        <f t="shared" si="786"/>
        <v>239.51739999999998</v>
      </c>
      <c r="L623" s="828">
        <f t="shared" si="786"/>
        <v>251.59550000000004</v>
      </c>
      <c r="M623" s="828">
        <f t="shared" si="786"/>
        <v>263.9434</v>
      </c>
      <c r="N623" s="828">
        <f t="shared" si="786"/>
        <v>269.30110000000002</v>
      </c>
      <c r="O623" s="828">
        <f t="shared" si="786"/>
        <v>273.92649999999998</v>
      </c>
      <c r="P623" s="828">
        <f t="shared" si="786"/>
        <v>281.62240000000003</v>
      </c>
      <c r="Q623" s="828">
        <f t="shared" si="786"/>
        <v>292.0505</v>
      </c>
      <c r="R623" s="828">
        <f t="shared" si="786"/>
        <v>304.49980000000005</v>
      </c>
      <c r="S623" s="828">
        <f t="shared" si="786"/>
        <v>319.0915</v>
      </c>
      <c r="T623" s="828">
        <f t="shared" si="786"/>
        <v>337.45870000000002</v>
      </c>
      <c r="U623" s="828">
        <f t="shared" si="786"/>
        <v>342.32130000000001</v>
      </c>
      <c r="V623" s="828">
        <f t="shared" si="786"/>
        <v>347.97</v>
      </c>
      <c r="W623" s="828">
        <f t="shared" si="786"/>
        <v>357.8365</v>
      </c>
      <c r="X623" s="828">
        <f t="shared" si="786"/>
        <v>367.88179999999994</v>
      </c>
      <c r="Y623" s="2230">
        <f t="shared" si="786"/>
        <v>374.92569999999995</v>
      </c>
      <c r="Z623" s="2230">
        <f t="shared" si="786"/>
        <v>379.31639999999999</v>
      </c>
      <c r="AA623" s="2230">
        <f t="shared" si="786"/>
        <v>382.85329999999999</v>
      </c>
      <c r="AB623" s="2230">
        <f t="shared" si="786"/>
        <v>387.45949999999999</v>
      </c>
      <c r="AC623" s="2230">
        <f t="shared" si="786"/>
        <v>398.39760616774919</v>
      </c>
      <c r="AD623" s="2230">
        <f t="shared" si="786"/>
        <v>410.1783341202642</v>
      </c>
      <c r="AE623" s="2230">
        <f t="shared" ref="AE623" si="787">+AE275+AE474+AE522+AE589</f>
        <v>423.1959663150281</v>
      </c>
      <c r="AF623" s="749"/>
      <c r="AG623" s="749"/>
      <c r="AH623" s="749"/>
      <c r="AI623" s="749"/>
      <c r="AJ623" s="749"/>
      <c r="AK623" s="2230">
        <v>381.73896269565381</v>
      </c>
      <c r="AL623" s="749"/>
      <c r="AM623" s="2230">
        <f t="shared" si="748"/>
        <v>-2.4225626956538235</v>
      </c>
      <c r="AN623" s="749"/>
      <c r="AO623" s="749"/>
      <c r="AP623" s="749"/>
      <c r="AQ623" s="749"/>
      <c r="AR623" s="749"/>
      <c r="AS623" s="749"/>
      <c r="AT623" s="749"/>
    </row>
    <row r="624" spans="1:46" ht="12.75" customHeight="1">
      <c r="A624" s="714"/>
      <c r="B624" s="714"/>
      <c r="C624" s="829" t="s">
        <v>622</v>
      </c>
      <c r="D624" s="724" t="s">
        <v>590</v>
      </c>
      <c r="E624" s="830" t="s">
        <v>1482</v>
      </c>
      <c r="F624" s="754"/>
      <c r="G624" s="756">
        <f t="shared" ref="G624:AD624" ca="1" si="788">+G276+G475+G591</f>
        <v>51.830899999999993</v>
      </c>
      <c r="H624" s="756">
        <f t="shared" si="788"/>
        <v>53.914799999999993</v>
      </c>
      <c r="I624" s="756">
        <f t="shared" si="788"/>
        <v>57.108500000000028</v>
      </c>
      <c r="J624" s="756">
        <f t="shared" si="788"/>
        <v>58.459199999999996</v>
      </c>
      <c r="K624" s="756">
        <f t="shared" si="788"/>
        <v>60.844499999999982</v>
      </c>
      <c r="L624" s="756">
        <f t="shared" si="788"/>
        <v>64.092000000000013</v>
      </c>
      <c r="M624" s="756">
        <f t="shared" si="788"/>
        <v>60.536000000000016</v>
      </c>
      <c r="N624" s="756">
        <f t="shared" si="788"/>
        <v>65.986799999999974</v>
      </c>
      <c r="O624" s="756">
        <f t="shared" si="788"/>
        <v>70.772800000000004</v>
      </c>
      <c r="P624" s="756">
        <f t="shared" si="788"/>
        <v>76.808999999999997</v>
      </c>
      <c r="Q624" s="756">
        <f t="shared" si="788"/>
        <v>79.795899999999989</v>
      </c>
      <c r="R624" s="756">
        <f t="shared" si="788"/>
        <v>83.631199999999978</v>
      </c>
      <c r="S624" s="756">
        <f t="shared" si="788"/>
        <v>90.265499999999989</v>
      </c>
      <c r="T624" s="756">
        <f t="shared" si="788"/>
        <v>90.201499999999967</v>
      </c>
      <c r="U624" s="756">
        <f t="shared" si="788"/>
        <v>81.373599999999996</v>
      </c>
      <c r="V624" s="756">
        <f t="shared" si="788"/>
        <v>102.8847</v>
      </c>
      <c r="W624" s="756">
        <f t="shared" si="788"/>
        <v>99.645600000000002</v>
      </c>
      <c r="X624" s="756">
        <f t="shared" si="788"/>
        <v>105.44089999999997</v>
      </c>
      <c r="Y624" s="2228">
        <f t="shared" si="788"/>
        <v>101.44439999999999</v>
      </c>
      <c r="Z624" s="2228">
        <f t="shared" si="788"/>
        <v>102.90890000000002</v>
      </c>
      <c r="AA624" s="2228">
        <f t="shared" si="788"/>
        <v>107.36789999999999</v>
      </c>
      <c r="AB624" s="2228">
        <f t="shared" si="788"/>
        <v>117.70239999999997</v>
      </c>
      <c r="AC624" s="2228">
        <f t="shared" si="788"/>
        <v>123.163730667284</v>
      </c>
      <c r="AD624" s="2228">
        <f t="shared" ca="1" si="788"/>
        <v>128.25600049826406</v>
      </c>
      <c r="AE624" s="2228">
        <f t="shared" ref="AE624" ca="1" si="789">+AE276+AE475+AE591</f>
        <v>133.88863227349506</v>
      </c>
      <c r="AF624" s="749"/>
      <c r="AG624" s="749"/>
      <c r="AH624" s="749"/>
      <c r="AI624" s="749"/>
      <c r="AJ624" s="749"/>
      <c r="AK624" s="2228">
        <v>96.750623695087327</v>
      </c>
      <c r="AL624" s="749"/>
      <c r="AM624" s="2228">
        <f t="shared" si="748"/>
        <v>6.1582763049126896</v>
      </c>
      <c r="AN624" s="749"/>
      <c r="AO624" s="749"/>
      <c r="AP624" s="749"/>
      <c r="AQ624" s="749"/>
      <c r="AR624" s="749"/>
      <c r="AS624" s="749"/>
      <c r="AT624" s="749"/>
    </row>
    <row r="625" spans="1:46" ht="12.75" customHeight="1">
      <c r="A625" s="714"/>
      <c r="B625" s="714"/>
      <c r="C625" s="829" t="s">
        <v>622</v>
      </c>
      <c r="D625" s="724" t="s">
        <v>591</v>
      </c>
      <c r="E625" s="830" t="s">
        <v>1482</v>
      </c>
      <c r="F625" s="754"/>
      <c r="G625" s="756">
        <f t="shared" ref="G625:AD625" si="790">+G277+G319+G473+G593</f>
        <v>79.225700000000003</v>
      </c>
      <c r="H625" s="756">
        <f t="shared" si="790"/>
        <v>82.192300000000003</v>
      </c>
      <c r="I625" s="756">
        <f t="shared" si="790"/>
        <v>88.699699999999993</v>
      </c>
      <c r="J625" s="756">
        <f t="shared" si="790"/>
        <v>94.023100000000014</v>
      </c>
      <c r="K625" s="756">
        <f t="shared" si="790"/>
        <v>98.472799999999992</v>
      </c>
      <c r="L625" s="756">
        <f t="shared" si="790"/>
        <v>103.9485</v>
      </c>
      <c r="M625" s="756">
        <f t="shared" si="790"/>
        <v>107.8531</v>
      </c>
      <c r="N625" s="756">
        <f t="shared" si="790"/>
        <v>113.70979999999999</v>
      </c>
      <c r="O625" s="756">
        <f t="shared" si="790"/>
        <v>115.63720000000001</v>
      </c>
      <c r="P625" s="756">
        <f t="shared" si="790"/>
        <v>122.86220000000002</v>
      </c>
      <c r="Q625" s="756">
        <f t="shared" si="790"/>
        <v>128.52270000000001</v>
      </c>
      <c r="R625" s="756">
        <f t="shared" si="790"/>
        <v>134.357</v>
      </c>
      <c r="S625" s="756">
        <f t="shared" si="790"/>
        <v>140.37820000000002</v>
      </c>
      <c r="T625" s="756">
        <f t="shared" si="790"/>
        <v>146.2328</v>
      </c>
      <c r="U625" s="756">
        <f t="shared" si="790"/>
        <v>141.96370000000002</v>
      </c>
      <c r="V625" s="756">
        <f t="shared" si="790"/>
        <v>149.98170000000002</v>
      </c>
      <c r="W625" s="756">
        <f t="shared" si="790"/>
        <v>158.81710000000001</v>
      </c>
      <c r="X625" s="756">
        <f t="shared" si="790"/>
        <v>167.08120000000002</v>
      </c>
      <c r="Y625" s="2228">
        <f t="shared" si="790"/>
        <v>173.30149999999998</v>
      </c>
      <c r="Z625" s="2228">
        <f t="shared" si="790"/>
        <v>174.92179999999999</v>
      </c>
      <c r="AA625" s="2228">
        <f t="shared" si="790"/>
        <v>177.84689999999998</v>
      </c>
      <c r="AB625" s="2228">
        <f t="shared" si="790"/>
        <v>180.86529999999999</v>
      </c>
      <c r="AC625" s="2228">
        <f t="shared" si="790"/>
        <v>191.05919999999998</v>
      </c>
      <c r="AD625" s="2228">
        <f t="shared" si="790"/>
        <v>196.46145270351425</v>
      </c>
      <c r="AE625" s="2228">
        <f t="shared" ref="AE625" si="791">+AE277+AE319+AE473+AE593</f>
        <v>202.2151012355028</v>
      </c>
      <c r="AF625" s="749"/>
      <c r="AG625" s="749"/>
      <c r="AH625" s="749"/>
      <c r="AI625" s="749"/>
      <c r="AJ625" s="749"/>
      <c r="AK625" s="2228">
        <v>177.56030000000001</v>
      </c>
      <c r="AL625" s="749"/>
      <c r="AM625" s="2228">
        <f t="shared" si="748"/>
        <v>-2.6385000000000218</v>
      </c>
      <c r="AN625" s="749"/>
      <c r="AO625" s="749"/>
      <c r="AP625" s="749"/>
      <c r="AQ625" s="749"/>
      <c r="AR625" s="749"/>
      <c r="AS625" s="749"/>
      <c r="AT625" s="749"/>
    </row>
    <row r="626" spans="1:46" ht="12.75" customHeight="1">
      <c r="A626" s="714"/>
      <c r="B626" s="714"/>
      <c r="C626" s="831" t="s">
        <v>624</v>
      </c>
      <c r="D626" s="800"/>
      <c r="E626" s="801" t="s">
        <v>1482</v>
      </c>
      <c r="F626" s="802"/>
      <c r="G626" s="832">
        <f t="shared" ref="G626:Y626" ca="1" si="792">+G623+G624+G625</f>
        <v>346.49200000000002</v>
      </c>
      <c r="H626" s="832">
        <f t="shared" si="792"/>
        <v>353.75010000000003</v>
      </c>
      <c r="I626" s="832">
        <f t="shared" si="792"/>
        <v>370.50510000000003</v>
      </c>
      <c r="J626" s="832">
        <f t="shared" si="792"/>
        <v>385.38920000000002</v>
      </c>
      <c r="K626" s="832">
        <f t="shared" si="792"/>
        <v>398.8347</v>
      </c>
      <c r="L626" s="832">
        <f t="shared" si="792"/>
        <v>419.63600000000008</v>
      </c>
      <c r="M626" s="832">
        <f t="shared" si="792"/>
        <v>432.33249999999998</v>
      </c>
      <c r="N626" s="832">
        <f t="shared" si="792"/>
        <v>448.99769999999995</v>
      </c>
      <c r="O626" s="832">
        <f t="shared" si="792"/>
        <v>460.3365</v>
      </c>
      <c r="P626" s="832">
        <f t="shared" si="792"/>
        <v>481.29360000000008</v>
      </c>
      <c r="Q626" s="832">
        <f t="shared" si="792"/>
        <v>500.3691</v>
      </c>
      <c r="R626" s="832">
        <f t="shared" si="792"/>
        <v>522.48800000000006</v>
      </c>
      <c r="S626" s="832">
        <f t="shared" si="792"/>
        <v>549.73519999999996</v>
      </c>
      <c r="T626" s="832">
        <f t="shared" si="792"/>
        <v>573.89300000000003</v>
      </c>
      <c r="U626" s="832">
        <f t="shared" si="792"/>
        <v>565.65859999999998</v>
      </c>
      <c r="V626" s="832">
        <f>+V623+V624+V625</f>
        <v>600.83640000000003</v>
      </c>
      <c r="W626" s="832">
        <f>+W623+W624+W625</f>
        <v>616.29920000000004</v>
      </c>
      <c r="X626" s="832">
        <f>+X623+X624+X625</f>
        <v>640.40390000000002</v>
      </c>
      <c r="Y626" s="2238">
        <f t="shared" si="792"/>
        <v>649.6715999999999</v>
      </c>
      <c r="Z626" s="2238">
        <f t="shared" ref="Z626:AD626" si="793">+Z623+Z624+Z625</f>
        <v>657.14710000000002</v>
      </c>
      <c r="AA626" s="2238">
        <f t="shared" si="793"/>
        <v>668.06809999999996</v>
      </c>
      <c r="AB626" s="2238">
        <f t="shared" si="793"/>
        <v>686.02719999999999</v>
      </c>
      <c r="AC626" s="2238">
        <f t="shared" si="793"/>
        <v>712.62053683503314</v>
      </c>
      <c r="AD626" s="2238">
        <f t="shared" ca="1" si="793"/>
        <v>734.89578732204257</v>
      </c>
      <c r="AE626" s="2238">
        <f t="shared" ref="AE626" ca="1" si="794">+AE623+AE624+AE625</f>
        <v>759.29969982402599</v>
      </c>
      <c r="AF626" s="749"/>
      <c r="AG626" s="749"/>
      <c r="AH626" s="749"/>
      <c r="AI626" s="749"/>
      <c r="AJ626" s="749"/>
      <c r="AK626" s="2238">
        <v>656.04988639074111</v>
      </c>
      <c r="AL626" s="749"/>
      <c r="AM626" s="2238">
        <f t="shared" si="748"/>
        <v>1.0972136092589153</v>
      </c>
      <c r="AN626" s="749"/>
      <c r="AO626" s="749"/>
      <c r="AP626" s="749"/>
      <c r="AQ626" s="749"/>
      <c r="AR626" s="749"/>
      <c r="AS626" s="749"/>
      <c r="AT626" s="749"/>
    </row>
    <row r="627" spans="1:46">
      <c r="A627" s="714"/>
      <c r="B627" s="714"/>
      <c r="Q627" s="749"/>
      <c r="R627" s="749"/>
      <c r="S627" s="2162"/>
      <c r="T627" s="2162"/>
      <c r="U627" s="2162"/>
      <c r="V627" s="2162"/>
      <c r="W627" s="2162"/>
      <c r="X627" s="2162"/>
      <c r="Y627" s="2162"/>
      <c r="Z627" s="2162"/>
      <c r="AA627" s="2162"/>
      <c r="AB627" s="2162"/>
      <c r="AC627" s="2162"/>
      <c r="AD627" s="2162"/>
      <c r="AE627" s="2162"/>
      <c r="AF627" s="749"/>
      <c r="AG627" s="749"/>
      <c r="AH627" s="749"/>
      <c r="AI627" s="749"/>
      <c r="AJ627" s="749"/>
      <c r="AK627" s="2162"/>
      <c r="AL627" s="749"/>
      <c r="AM627" s="2162">
        <f t="shared" si="748"/>
        <v>0</v>
      </c>
      <c r="AN627" s="749"/>
      <c r="AO627" s="749"/>
      <c r="AP627" s="749"/>
      <c r="AQ627" s="749"/>
      <c r="AR627" s="749"/>
      <c r="AS627" s="749"/>
      <c r="AT627" s="749"/>
    </row>
    <row r="628" spans="1:46" ht="12.75" customHeight="1">
      <c r="A628" s="714"/>
      <c r="B628" s="714"/>
      <c r="C628" s="822"/>
      <c r="D628" s="790"/>
      <c r="E628" s="791" t="s">
        <v>1804</v>
      </c>
      <c r="F628" s="792"/>
      <c r="G628" s="793">
        <f>+InputY!$G$3</f>
        <v>1995</v>
      </c>
      <c r="H628" s="793">
        <f>+G628+1</f>
        <v>1996</v>
      </c>
      <c r="I628" s="793">
        <f t="shared" ref="I628:S628" si="795">+H628+1</f>
        <v>1997</v>
      </c>
      <c r="J628" s="793">
        <f t="shared" si="795"/>
        <v>1998</v>
      </c>
      <c r="K628" s="793">
        <f t="shared" si="795"/>
        <v>1999</v>
      </c>
      <c r="L628" s="793">
        <f t="shared" si="795"/>
        <v>2000</v>
      </c>
      <c r="M628" s="793">
        <f t="shared" si="795"/>
        <v>2001</v>
      </c>
      <c r="N628" s="793">
        <f t="shared" si="795"/>
        <v>2002</v>
      </c>
      <c r="O628" s="793">
        <f t="shared" si="795"/>
        <v>2003</v>
      </c>
      <c r="P628" s="793">
        <f>+O628+1</f>
        <v>2004</v>
      </c>
      <c r="Q628" s="793">
        <f>+P628+1</f>
        <v>2005</v>
      </c>
      <c r="R628" s="793">
        <f>+Q628+1</f>
        <v>2006</v>
      </c>
      <c r="S628" s="2126">
        <f t="shared" si="795"/>
        <v>2007</v>
      </c>
      <c r="T628" s="2126">
        <f t="shared" ref="T628:AE628" si="796">+S628+1</f>
        <v>2008</v>
      </c>
      <c r="U628" s="2126">
        <f t="shared" si="796"/>
        <v>2009</v>
      </c>
      <c r="V628" s="2126">
        <f>+U628+1</f>
        <v>2010</v>
      </c>
      <c r="W628" s="2126">
        <f t="shared" si="796"/>
        <v>2011</v>
      </c>
      <c r="X628" s="2126">
        <f t="shared" si="796"/>
        <v>2012</v>
      </c>
      <c r="Y628" s="2126">
        <f t="shared" si="796"/>
        <v>2013</v>
      </c>
      <c r="Z628" s="2126">
        <f t="shared" si="796"/>
        <v>2014</v>
      </c>
      <c r="AA628" s="2126">
        <f t="shared" si="796"/>
        <v>2015</v>
      </c>
      <c r="AB628" s="2126">
        <f t="shared" si="796"/>
        <v>2016</v>
      </c>
      <c r="AC628" s="2126">
        <f t="shared" si="796"/>
        <v>2017</v>
      </c>
      <c r="AD628" s="2126">
        <f t="shared" si="796"/>
        <v>2018</v>
      </c>
      <c r="AE628" s="2126">
        <f t="shared" si="796"/>
        <v>2019</v>
      </c>
      <c r="AF628" s="749"/>
      <c r="AG628" s="749"/>
      <c r="AH628" s="749"/>
      <c r="AI628" s="749"/>
      <c r="AJ628" s="749"/>
      <c r="AK628" s="2126">
        <v>2014</v>
      </c>
      <c r="AL628" s="749"/>
      <c r="AM628" s="2126">
        <f t="shared" si="748"/>
        <v>0</v>
      </c>
      <c r="AN628" s="749"/>
      <c r="AO628" s="749"/>
      <c r="AP628" s="749"/>
      <c r="AQ628" s="749"/>
      <c r="AR628" s="749"/>
      <c r="AS628" s="749"/>
      <c r="AT628" s="749"/>
    </row>
    <row r="629" spans="1:46" ht="12.75" customHeight="1">
      <c r="A629" s="714"/>
      <c r="B629" s="714"/>
      <c r="C629" s="839" t="s">
        <v>622</v>
      </c>
      <c r="D629" s="739" t="s">
        <v>589</v>
      </c>
      <c r="E629" s="787" t="s">
        <v>1482</v>
      </c>
      <c r="F629" s="782"/>
      <c r="G629" s="788"/>
      <c r="H629" s="788">
        <f t="shared" ref="H629:AE629" ca="1" si="797">(H623/G623-1)*100</f>
        <v>1.0247155295740829</v>
      </c>
      <c r="I629" s="788">
        <f t="shared" si="797"/>
        <v>3.2410415221256539</v>
      </c>
      <c r="J629" s="788">
        <f t="shared" si="797"/>
        <v>3.6538109782556338</v>
      </c>
      <c r="K629" s="788">
        <f t="shared" si="797"/>
        <v>2.8382585488020862</v>
      </c>
      <c r="L629" s="788">
        <f t="shared" si="797"/>
        <v>5.0426816590360746</v>
      </c>
      <c r="M629" s="788">
        <f t="shared" si="797"/>
        <v>4.9078381767559298</v>
      </c>
      <c r="N629" s="788">
        <f t="shared" si="797"/>
        <v>2.029867009366404</v>
      </c>
      <c r="O629" s="788">
        <f t="shared" si="797"/>
        <v>1.7175570393139772</v>
      </c>
      <c r="P629" s="788">
        <f t="shared" si="797"/>
        <v>2.809476264618449</v>
      </c>
      <c r="Q629" s="788">
        <f t="shared" si="797"/>
        <v>3.7028659652073026</v>
      </c>
      <c r="R629" s="788">
        <f t="shared" si="797"/>
        <v>4.262721686831572</v>
      </c>
      <c r="S629" s="788">
        <f t="shared" si="797"/>
        <v>4.7920228519033214</v>
      </c>
      <c r="T629" s="788">
        <f t="shared" si="797"/>
        <v>5.7560919046731218</v>
      </c>
      <c r="U629" s="788">
        <f t="shared" si="797"/>
        <v>1.4409466995516818</v>
      </c>
      <c r="V629" s="788">
        <f t="shared" si="797"/>
        <v>1.6501164257088252</v>
      </c>
      <c r="W629" s="788">
        <f t="shared" si="797"/>
        <v>2.8354455843894621</v>
      </c>
      <c r="X629" s="788">
        <f t="shared" si="797"/>
        <v>2.8072317944088931</v>
      </c>
      <c r="Y629" s="2231">
        <f t="shared" si="797"/>
        <v>1.9147182600498303</v>
      </c>
      <c r="Z629" s="2231">
        <f t="shared" si="797"/>
        <v>1.1710853643801977</v>
      </c>
      <c r="AA629" s="2231">
        <f t="shared" si="797"/>
        <v>0.93244056940327003</v>
      </c>
      <c r="AB629" s="2231">
        <f t="shared" si="797"/>
        <v>1.2031240164313672</v>
      </c>
      <c r="AC629" s="2231">
        <f t="shared" si="797"/>
        <v>2.8230321279383297</v>
      </c>
      <c r="AD629" s="2231">
        <f t="shared" si="797"/>
        <v>2.9570277958835378</v>
      </c>
      <c r="AE629" s="2231">
        <f t="shared" si="797"/>
        <v>3.1736518269995129</v>
      </c>
      <c r="AF629" s="749"/>
      <c r="AG629" s="749"/>
      <c r="AH629" s="749"/>
      <c r="AI629" s="749"/>
      <c r="AJ629" s="749"/>
      <c r="AK629" s="2231">
        <v>1.7196412905095215</v>
      </c>
      <c r="AL629" s="749"/>
      <c r="AM629" s="2231">
        <f t="shared" si="748"/>
        <v>-0.5485559261293238</v>
      </c>
      <c r="AN629" s="749"/>
      <c r="AO629" s="749"/>
      <c r="AP629" s="749"/>
      <c r="AQ629" s="749"/>
      <c r="AR629" s="749"/>
      <c r="AS629" s="749"/>
      <c r="AT629" s="749"/>
    </row>
    <row r="630" spans="1:46" ht="12.75" customHeight="1">
      <c r="A630" s="714"/>
      <c r="B630" s="714"/>
      <c r="C630" s="840" t="s">
        <v>622</v>
      </c>
      <c r="D630" s="724" t="s">
        <v>590</v>
      </c>
      <c r="E630" s="830" t="s">
        <v>1482</v>
      </c>
      <c r="F630" s="754"/>
      <c r="G630" s="756"/>
      <c r="H630" s="756">
        <f t="shared" ref="H630:AE630" ca="1" si="798">(H624/G624-1)*100</f>
        <v>4.0205745993220354</v>
      </c>
      <c r="I630" s="756">
        <f t="shared" si="798"/>
        <v>5.923605392211484</v>
      </c>
      <c r="J630" s="756">
        <f t="shared" si="798"/>
        <v>2.3651470446605538</v>
      </c>
      <c r="K630" s="756">
        <f t="shared" si="798"/>
        <v>4.0802816323179059</v>
      </c>
      <c r="L630" s="756">
        <f t="shared" si="798"/>
        <v>5.3373764267929502</v>
      </c>
      <c r="M630" s="756">
        <f t="shared" si="798"/>
        <v>-5.5482743556138026</v>
      </c>
      <c r="N630" s="756">
        <f t="shared" si="798"/>
        <v>9.004228888595156</v>
      </c>
      <c r="O630" s="756">
        <f t="shared" si="798"/>
        <v>7.2529657446641416</v>
      </c>
      <c r="P630" s="756">
        <f t="shared" si="798"/>
        <v>8.5289828860805272</v>
      </c>
      <c r="Q630" s="756">
        <f t="shared" si="798"/>
        <v>3.8887369969664798</v>
      </c>
      <c r="R630" s="756">
        <f t="shared" si="798"/>
        <v>4.8063872955878661</v>
      </c>
      <c r="S630" s="756">
        <f t="shared" si="798"/>
        <v>7.9328049818728097</v>
      </c>
      <c r="T630" s="756">
        <f t="shared" si="798"/>
        <v>-7.0901950357582511E-2</v>
      </c>
      <c r="U630" s="756">
        <f t="shared" si="798"/>
        <v>-9.7868660720719429</v>
      </c>
      <c r="V630" s="756">
        <f t="shared" si="798"/>
        <v>26.434986285478335</v>
      </c>
      <c r="W630" s="756">
        <f t="shared" si="798"/>
        <v>-3.1482815229086469</v>
      </c>
      <c r="X630" s="756">
        <f t="shared" si="798"/>
        <v>5.8159115906773362</v>
      </c>
      <c r="Y630" s="2228">
        <f t="shared" si="798"/>
        <v>-3.7902749312648032</v>
      </c>
      <c r="Z630" s="2228">
        <f t="shared" si="798"/>
        <v>1.4436479490243181</v>
      </c>
      <c r="AA630" s="2228">
        <f t="shared" si="798"/>
        <v>4.3329585682093219</v>
      </c>
      <c r="AB630" s="2228">
        <f t="shared" si="798"/>
        <v>9.625316318937017</v>
      </c>
      <c r="AC630" s="2228">
        <f t="shared" si="798"/>
        <v>4.6399484354473941</v>
      </c>
      <c r="AD630" s="2228">
        <f t="shared" ca="1" si="798"/>
        <v>4.1345530891203408</v>
      </c>
      <c r="AE630" s="2228">
        <f t="shared" ca="1" si="798"/>
        <v>4.3917101370296141</v>
      </c>
      <c r="AF630" s="749"/>
      <c r="AG630" s="749"/>
      <c r="AH630" s="749"/>
      <c r="AI630" s="749"/>
      <c r="AJ630" s="749"/>
      <c r="AK630" s="2228">
        <v>6.7452921438037938</v>
      </c>
      <c r="AL630" s="749"/>
      <c r="AM630" s="2228">
        <f t="shared" si="748"/>
        <v>-5.3016441947794757</v>
      </c>
      <c r="AN630" s="749"/>
      <c r="AO630" s="749"/>
      <c r="AP630" s="749"/>
      <c r="AQ630" s="749"/>
      <c r="AR630" s="749"/>
      <c r="AS630" s="749"/>
      <c r="AT630" s="749"/>
    </row>
    <row r="631" spans="1:46" ht="12.75" customHeight="1">
      <c r="A631" s="714"/>
      <c r="B631" s="714"/>
      <c r="C631" s="841" t="s">
        <v>622</v>
      </c>
      <c r="D631" s="741" t="s">
        <v>591</v>
      </c>
      <c r="E631" s="842" t="s">
        <v>1482</v>
      </c>
      <c r="F631" s="785"/>
      <c r="G631" s="789"/>
      <c r="H631" s="789">
        <f t="shared" ref="H631:AE631" si="799">(H625/G625-1)*100</f>
        <v>3.744492001964006</v>
      </c>
      <c r="I631" s="789">
        <f t="shared" si="799"/>
        <v>7.9172866558059551</v>
      </c>
      <c r="J631" s="789">
        <f t="shared" si="799"/>
        <v>6.0015986525321141</v>
      </c>
      <c r="K631" s="789">
        <f t="shared" si="799"/>
        <v>4.7325604027095292</v>
      </c>
      <c r="L631" s="789">
        <f t="shared" si="799"/>
        <v>5.5606218163797516</v>
      </c>
      <c r="M631" s="789">
        <f t="shared" si="799"/>
        <v>3.7562831594491586</v>
      </c>
      <c r="N631" s="789">
        <f t="shared" si="799"/>
        <v>5.4302565248472101</v>
      </c>
      <c r="O631" s="789">
        <f t="shared" si="799"/>
        <v>1.695016612464384</v>
      </c>
      <c r="P631" s="789">
        <f t="shared" si="799"/>
        <v>6.2479894013345305</v>
      </c>
      <c r="Q631" s="789">
        <f t="shared" si="799"/>
        <v>4.6071940759647712</v>
      </c>
      <c r="R631" s="789">
        <f t="shared" si="799"/>
        <v>4.5395093629374328</v>
      </c>
      <c r="S631" s="789">
        <f t="shared" si="799"/>
        <v>4.4814933349211605</v>
      </c>
      <c r="T631" s="789">
        <f t="shared" si="799"/>
        <v>4.1705905902768237</v>
      </c>
      <c r="U631" s="789">
        <f t="shared" si="799"/>
        <v>-2.9193860748067291</v>
      </c>
      <c r="V631" s="789">
        <f t="shared" si="799"/>
        <v>5.6479226731904086</v>
      </c>
      <c r="W631" s="789">
        <f t="shared" si="799"/>
        <v>5.8909853668814183</v>
      </c>
      <c r="X631" s="789">
        <f t="shared" si="799"/>
        <v>5.2035328689417071</v>
      </c>
      <c r="Y631" s="2203">
        <f t="shared" si="799"/>
        <v>3.7229203524992371</v>
      </c>
      <c r="Z631" s="2203">
        <f t="shared" si="799"/>
        <v>0.93496017056979852</v>
      </c>
      <c r="AA631" s="2203">
        <f t="shared" si="799"/>
        <v>1.6722329635299849</v>
      </c>
      <c r="AB631" s="2203">
        <f t="shared" si="799"/>
        <v>1.6971901112698751</v>
      </c>
      <c r="AC631" s="2203">
        <f t="shared" si="799"/>
        <v>5.6361833917285331</v>
      </c>
      <c r="AD631" s="2203">
        <f t="shared" si="799"/>
        <v>2.8275281711188427</v>
      </c>
      <c r="AE631" s="2203">
        <f t="shared" si="799"/>
        <v>2.928639920357079</v>
      </c>
      <c r="AF631" s="749"/>
      <c r="AG631" s="749"/>
      <c r="AH631" s="749"/>
      <c r="AI631" s="749"/>
      <c r="AJ631" s="749"/>
      <c r="AK631" s="2203">
        <v>1.1550547817843926</v>
      </c>
      <c r="AL631" s="749"/>
      <c r="AM631" s="2203">
        <f t="shared" si="748"/>
        <v>-0.22009461121459406</v>
      </c>
      <c r="AN631" s="749"/>
      <c r="AO631" s="749"/>
      <c r="AP631" s="749"/>
      <c r="AQ631" s="749"/>
      <c r="AR631" s="749"/>
      <c r="AS631" s="749"/>
      <c r="AT631" s="749"/>
    </row>
    <row r="632" spans="1:46" ht="12.75" customHeight="1">
      <c r="A632" s="714"/>
      <c r="B632" s="714"/>
      <c r="C632" s="822" t="s">
        <v>624</v>
      </c>
      <c r="D632" s="766" t="s">
        <v>592</v>
      </c>
      <c r="E632" s="771" t="s">
        <v>1482</v>
      </c>
      <c r="F632" s="772"/>
      <c r="G632" s="770"/>
      <c r="H632" s="770">
        <f t="shared" ref="H632:AE632" ca="1" si="800">(H626/G626-1)*100</f>
        <v>2.0947381180517866</v>
      </c>
      <c r="I632" s="770">
        <f t="shared" si="800"/>
        <v>4.7363944208072217</v>
      </c>
      <c r="J632" s="770">
        <f t="shared" si="800"/>
        <v>4.0172456465511486</v>
      </c>
      <c r="K632" s="770">
        <f t="shared" si="800"/>
        <v>3.4888107917917743</v>
      </c>
      <c r="L632" s="770">
        <f t="shared" si="800"/>
        <v>5.215519111050293</v>
      </c>
      <c r="M632" s="770">
        <f t="shared" si="800"/>
        <v>3.0255983757351279</v>
      </c>
      <c r="N632" s="770">
        <f t="shared" si="800"/>
        <v>3.854718301307436</v>
      </c>
      <c r="O632" s="770">
        <f t="shared" si="800"/>
        <v>2.5253581477143516</v>
      </c>
      <c r="P632" s="770">
        <f t="shared" si="800"/>
        <v>4.552561007002498</v>
      </c>
      <c r="Q632" s="770">
        <f t="shared" si="800"/>
        <v>3.9633811876991443</v>
      </c>
      <c r="R632" s="770">
        <f t="shared" si="800"/>
        <v>4.4205167745170693</v>
      </c>
      <c r="S632" s="770">
        <f t="shared" si="800"/>
        <v>5.2148948875380796</v>
      </c>
      <c r="T632" s="770">
        <f t="shared" si="800"/>
        <v>4.3944429972830656</v>
      </c>
      <c r="U632" s="770">
        <f t="shared" si="800"/>
        <v>-1.4348319285999445</v>
      </c>
      <c r="V632" s="770">
        <f t="shared" si="800"/>
        <v>6.2189101341339148</v>
      </c>
      <c r="W632" s="770">
        <f t="shared" si="800"/>
        <v>2.573545810473532</v>
      </c>
      <c r="X632" s="770">
        <f t="shared" si="800"/>
        <v>3.9112009231879519</v>
      </c>
      <c r="Y632" s="2141">
        <f t="shared" si="800"/>
        <v>1.4471648283216121</v>
      </c>
      <c r="Z632" s="2141">
        <f t="shared" si="800"/>
        <v>1.1506582710403501</v>
      </c>
      <c r="AA632" s="2141">
        <f t="shared" si="800"/>
        <v>1.6618805743797704</v>
      </c>
      <c r="AB632" s="2141">
        <f t="shared" si="800"/>
        <v>2.6882139710008746</v>
      </c>
      <c r="AC632" s="2141">
        <f t="shared" si="800"/>
        <v>3.8764260127051919</v>
      </c>
      <c r="AD632" s="2141">
        <f t="shared" ca="1" si="800"/>
        <v>3.1258221361316174</v>
      </c>
      <c r="AE632" s="2141">
        <f t="shared" ca="1" si="800"/>
        <v>3.3207310373775778</v>
      </c>
      <c r="AF632" s="749"/>
      <c r="AG632" s="749"/>
      <c r="AH632" s="749"/>
      <c r="AI632" s="749"/>
      <c r="AJ632" s="749"/>
      <c r="AK632" s="2141">
        <v>2.2752623512917847</v>
      </c>
      <c r="AL632" s="749"/>
      <c r="AM632" s="2141">
        <f t="shared" si="748"/>
        <v>-1.1246040802514345</v>
      </c>
      <c r="AN632" s="749"/>
      <c r="AO632" s="749"/>
      <c r="AP632" s="749"/>
      <c r="AQ632" s="749"/>
      <c r="AR632" s="749"/>
      <c r="AS632" s="749"/>
      <c r="AT632" s="749"/>
    </row>
    <row r="633" spans="1:46" ht="12.75" customHeight="1">
      <c r="A633" s="714"/>
      <c r="B633" s="714"/>
      <c r="C633" s="822"/>
      <c r="E633" s="833"/>
      <c r="F633" s="834"/>
      <c r="G633" s="753"/>
      <c r="H633" s="835"/>
      <c r="I633" s="753"/>
      <c r="J633" s="753"/>
      <c r="K633" s="753"/>
      <c r="L633" s="753"/>
      <c r="M633" s="753"/>
      <c r="N633" s="753"/>
      <c r="O633" s="753"/>
      <c r="P633" s="753"/>
      <c r="Q633" s="753"/>
      <c r="R633" s="753"/>
      <c r="S633" s="2218"/>
      <c r="T633" s="2218"/>
      <c r="U633" s="2218"/>
      <c r="V633" s="2218"/>
      <c r="W633" s="2218"/>
      <c r="X633" s="2218"/>
      <c r="Y633" s="2218"/>
      <c r="Z633" s="2218"/>
      <c r="AA633" s="2218"/>
      <c r="AB633" s="2218"/>
      <c r="AC633" s="2218"/>
      <c r="AD633" s="2218"/>
      <c r="AE633" s="2218"/>
      <c r="AF633" s="749"/>
      <c r="AG633" s="749"/>
      <c r="AH633" s="749"/>
      <c r="AI633" s="749"/>
      <c r="AJ633" s="749"/>
      <c r="AK633" s="2218"/>
      <c r="AL633" s="749"/>
      <c r="AM633" s="2218">
        <f t="shared" si="748"/>
        <v>0</v>
      </c>
      <c r="AN633" s="749"/>
      <c r="AO633" s="749"/>
      <c r="AP633" s="749"/>
      <c r="AQ633" s="749"/>
      <c r="AR633" s="749"/>
      <c r="AS633" s="749"/>
      <c r="AT633" s="749"/>
    </row>
    <row r="634" spans="1:46" ht="12.75" customHeight="1">
      <c r="A634" s="714"/>
      <c r="B634" s="714"/>
      <c r="C634" s="822"/>
      <c r="D634" s="862"/>
      <c r="E634" s="863" t="s">
        <v>1805</v>
      </c>
      <c r="F634" s="864"/>
      <c r="G634" s="865">
        <f>+InputY!$G$3</f>
        <v>1995</v>
      </c>
      <c r="H634" s="865">
        <f>+G634+1</f>
        <v>1996</v>
      </c>
      <c r="I634" s="865">
        <f t="shared" ref="I634:S634" si="801">+H634+1</f>
        <v>1997</v>
      </c>
      <c r="J634" s="865">
        <f t="shared" si="801"/>
        <v>1998</v>
      </c>
      <c r="K634" s="865">
        <f t="shared" si="801"/>
        <v>1999</v>
      </c>
      <c r="L634" s="865">
        <f t="shared" si="801"/>
        <v>2000</v>
      </c>
      <c r="M634" s="865">
        <f t="shared" si="801"/>
        <v>2001</v>
      </c>
      <c r="N634" s="865">
        <f t="shared" si="801"/>
        <v>2002</v>
      </c>
      <c r="O634" s="865">
        <f t="shared" si="801"/>
        <v>2003</v>
      </c>
      <c r="P634" s="865">
        <f>+O634+1</f>
        <v>2004</v>
      </c>
      <c r="Q634" s="865">
        <f>+P634+1</f>
        <v>2005</v>
      </c>
      <c r="R634" s="865">
        <f>+Q634+1</f>
        <v>2006</v>
      </c>
      <c r="S634" s="2219">
        <f t="shared" si="801"/>
        <v>2007</v>
      </c>
      <c r="T634" s="2219">
        <f t="shared" ref="T634:AE634" si="802">+S634+1</f>
        <v>2008</v>
      </c>
      <c r="U634" s="2219">
        <f t="shared" si="802"/>
        <v>2009</v>
      </c>
      <c r="V634" s="2219">
        <f>+U634+1</f>
        <v>2010</v>
      </c>
      <c r="W634" s="2219">
        <f t="shared" si="802"/>
        <v>2011</v>
      </c>
      <c r="X634" s="2219">
        <f t="shared" si="802"/>
        <v>2012</v>
      </c>
      <c r="Y634" s="2219">
        <f t="shared" si="802"/>
        <v>2013</v>
      </c>
      <c r="Z634" s="2219">
        <f t="shared" si="802"/>
        <v>2014</v>
      </c>
      <c r="AA634" s="2219">
        <f t="shared" si="802"/>
        <v>2015</v>
      </c>
      <c r="AB634" s="2219">
        <f t="shared" si="802"/>
        <v>2016</v>
      </c>
      <c r="AC634" s="2219">
        <f t="shared" si="802"/>
        <v>2017</v>
      </c>
      <c r="AD634" s="2219">
        <f t="shared" si="802"/>
        <v>2018</v>
      </c>
      <c r="AE634" s="2219">
        <f t="shared" si="802"/>
        <v>2019</v>
      </c>
      <c r="AF634" s="749"/>
      <c r="AG634" s="749"/>
      <c r="AH634" s="749"/>
      <c r="AI634" s="749"/>
      <c r="AJ634" s="749"/>
      <c r="AK634" s="2219">
        <v>2014</v>
      </c>
      <c r="AL634" s="749"/>
      <c r="AM634" s="2219">
        <f t="shared" si="748"/>
        <v>0</v>
      </c>
      <c r="AN634" s="749"/>
      <c r="AO634" s="749"/>
      <c r="AP634" s="749"/>
      <c r="AQ634" s="749"/>
      <c r="AR634" s="749"/>
      <c r="AS634" s="749"/>
      <c r="AT634" s="749"/>
    </row>
    <row r="635" spans="1:46" ht="12.75" customHeight="1">
      <c r="A635" s="714"/>
      <c r="B635" s="714"/>
      <c r="C635" s="866" t="s">
        <v>622</v>
      </c>
      <c r="D635" s="867" t="s">
        <v>589</v>
      </c>
      <c r="E635" s="868" t="s">
        <v>1482</v>
      </c>
      <c r="F635" s="869"/>
      <c r="G635" s="878">
        <f ca="1">+G623/'VVP2'!G$355</f>
        <v>1.019615619799821</v>
      </c>
      <c r="H635" s="878">
        <f>+H623/'VVP2'!H$355</f>
        <v>1.0078752482143387</v>
      </c>
      <c r="I635" s="878">
        <f>+I623/'VVP2'!I$355</f>
        <v>0.99437178688906902</v>
      </c>
      <c r="J635" s="878">
        <f>+J623/'VVP2'!J$355</f>
        <v>0.99325044692813691</v>
      </c>
      <c r="K635" s="878">
        <f>+K623/'VVP2'!K$355</f>
        <v>0.98072031642822621</v>
      </c>
      <c r="L635" s="878">
        <f>+L623/'VVP2'!L$355</f>
        <v>0.9743379727521283</v>
      </c>
      <c r="M635" s="878">
        <f>+M623/'VVP2'!M$355</f>
        <v>0.99305838780021993</v>
      </c>
      <c r="N635" s="878">
        <f>+N623/'VVP2'!N$355</f>
        <v>0.97904496062932023</v>
      </c>
      <c r="O635" s="878">
        <f>+O623/'VVP2'!O$355</f>
        <v>0.96918303191555222</v>
      </c>
      <c r="P635" s="878">
        <f>+P623/'VVP2'!P$355</f>
        <v>0.94279282838116341</v>
      </c>
      <c r="Q635" s="878">
        <f>+Q623/'VVP2'!Q$355</f>
        <v>0.93761959003572615</v>
      </c>
      <c r="R635" s="878">
        <f>+R623/'VVP2'!R$355</f>
        <v>0.93215527604824711</v>
      </c>
      <c r="S635" s="878">
        <f>+S623/'VVP2'!S$355</f>
        <v>0.92567429379555433</v>
      </c>
      <c r="T635" s="878">
        <f>+T623/'VVP2'!T$355</f>
        <v>0.9530957372624701</v>
      </c>
      <c r="U635" s="878">
        <f>+U623/'VVP2'!U$355</f>
        <v>0.98147892761391031</v>
      </c>
      <c r="V635" s="878">
        <f>+V623/'VVP2'!V$355</f>
        <v>0.95308004234450516</v>
      </c>
      <c r="W635" s="878">
        <f>+W623/'VVP2'!W$355</f>
        <v>0.94389489174935903</v>
      </c>
      <c r="X635" s="878">
        <f>+X623/'VVP2'!X$355</f>
        <v>0.94937214209751164</v>
      </c>
      <c r="Y635" s="2224">
        <f>+Y623/'VVP2'!Y$355</f>
        <v>0.95561475027514409</v>
      </c>
      <c r="Z635" s="2224">
        <f>+Z623/'VVP2'!Z$355</f>
        <v>0.94760824825713064</v>
      </c>
      <c r="AA635" s="2224">
        <f>+AA623/'VVP2'!AA$355</f>
        <v>0.93279840520501156</v>
      </c>
      <c r="AB635" s="2224">
        <f>+AB623/'VVP2'!AB$355</f>
        <v>0.9158751102710706</v>
      </c>
      <c r="AC635" s="2224">
        <f>+AC623/'VVP2'!AC$355</f>
        <v>0.90857833129772214</v>
      </c>
      <c r="AD635" s="2224">
        <f ca="1">+AD623/'VVP2'!AD$355</f>
        <v>0.90472604106204624</v>
      </c>
      <c r="AE635" s="2224">
        <f ca="1">+AE623/'VVP2'!AE$355</f>
        <v>0.90225799223275271</v>
      </c>
      <c r="AF635" s="749"/>
      <c r="AG635" s="749"/>
      <c r="AH635" s="749"/>
      <c r="AI635" s="749"/>
      <c r="AJ635" s="749"/>
      <c r="AK635" s="2224">
        <v>0.94896204712171883</v>
      </c>
      <c r="AL635" s="749"/>
      <c r="AM635" s="2224">
        <f t="shared" si="748"/>
        <v>-1.353798864588196E-3</v>
      </c>
      <c r="AN635" s="749"/>
      <c r="AO635" s="749"/>
      <c r="AP635" s="749"/>
      <c r="AQ635" s="749"/>
      <c r="AR635" s="749"/>
      <c r="AS635" s="749"/>
      <c r="AT635" s="749"/>
    </row>
    <row r="636" spans="1:46" ht="12.75" customHeight="1">
      <c r="A636" s="714"/>
      <c r="B636" s="714"/>
      <c r="C636" s="870" t="s">
        <v>622</v>
      </c>
      <c r="D636" s="724" t="s">
        <v>590</v>
      </c>
      <c r="E636" s="830" t="s">
        <v>1482</v>
      </c>
      <c r="F636" s="754"/>
      <c r="G636" s="879">
        <f ca="1">+G624/'VVP2'!G$355</f>
        <v>0.245305995339125</v>
      </c>
      <c r="H636" s="879">
        <f>+H624/'VVP2'!H$355</f>
        <v>0.24967213479149994</v>
      </c>
      <c r="I636" s="879">
        <f>+I624/'VVP2'!I$355</f>
        <v>0.25272747951375579</v>
      </c>
      <c r="J636" s="879">
        <f>+J624/'VVP2'!J$355</f>
        <v>0.24930402030623106</v>
      </c>
      <c r="K636" s="879">
        <f>+K624/'VVP2'!K$355</f>
        <v>0.24913195155306964</v>
      </c>
      <c r="L636" s="879">
        <f>+L624/'VVP2'!L$355</f>
        <v>0.24820503287868584</v>
      </c>
      <c r="M636" s="879">
        <f>+M624/'VVP2'!M$355</f>
        <v>0.22776012798150713</v>
      </c>
      <c r="N636" s="879">
        <f>+N624/'VVP2'!N$355</f>
        <v>0.23989521026113447</v>
      </c>
      <c r="O636" s="879">
        <f>+O624/'VVP2'!O$355</f>
        <v>0.25040219504557976</v>
      </c>
      <c r="P636" s="879">
        <f>+P624/'VVP2'!P$355</f>
        <v>0.25713499478425283</v>
      </c>
      <c r="Q636" s="879">
        <f>+Q624/'VVP2'!Q$355</f>
        <v>0.2561824035381956</v>
      </c>
      <c r="R636" s="879">
        <f>+R624/'VVP2'!R$355</f>
        <v>0.25601745657056629</v>
      </c>
      <c r="S636" s="879">
        <f>+S624/'VVP2'!S$355</f>
        <v>0.26185734488885665</v>
      </c>
      <c r="T636" s="879">
        <f>+T624/'VVP2'!T$355</f>
        <v>0.25475907168693729</v>
      </c>
      <c r="U636" s="879">
        <f>+U624/'VVP2'!U$355</f>
        <v>0.23330851356337828</v>
      </c>
      <c r="V636" s="879">
        <f>+V624/'VVP2'!V$355</f>
        <v>0.28179829937236456</v>
      </c>
      <c r="W636" s="879">
        <f>+W624/'VVP2'!W$355</f>
        <v>0.26284342940225475</v>
      </c>
      <c r="X636" s="879">
        <f>+X624/'VVP2'!X$355</f>
        <v>0.27210547816632813</v>
      </c>
      <c r="Y636" s="2225">
        <f>+Y624/'VVP2'!Y$355</f>
        <v>0.25856260313126528</v>
      </c>
      <c r="Z636" s="2225">
        <f>+Z624/'VVP2'!Z$355</f>
        <v>0.25708701880295248</v>
      </c>
      <c r="AA636" s="2225">
        <f>+AA624/'VVP2'!AA$355</f>
        <v>0.26159525303872572</v>
      </c>
      <c r="AB636" s="2225">
        <f>+AB624/'VVP2'!AB$355</f>
        <v>0.27822443011248821</v>
      </c>
      <c r="AC636" s="2225">
        <f>+AC624/'VVP2'!AC$355</f>
        <v>0.28088496304610011</v>
      </c>
      <c r="AD636" s="2225">
        <f ca="1">+AD624/'VVP2'!AD$355</f>
        <v>0.28289291247456377</v>
      </c>
      <c r="AE636" s="2225">
        <f ca="1">+AE624/'VVP2'!AE$355</f>
        <v>0.28545189026671303</v>
      </c>
      <c r="AF636" s="749"/>
      <c r="AG636" s="749"/>
      <c r="AH636" s="749"/>
      <c r="AI636" s="749"/>
      <c r="AJ636" s="749"/>
      <c r="AK636" s="2225">
        <v>0.24051165559223242</v>
      </c>
      <c r="AL636" s="749"/>
      <c r="AM636" s="2225">
        <f t="shared" si="748"/>
        <v>1.6575363210720062E-2</v>
      </c>
      <c r="AN636" s="749"/>
      <c r="AO636" s="749"/>
      <c r="AP636" s="749"/>
      <c r="AQ636" s="749"/>
      <c r="AR636" s="749"/>
      <c r="AS636" s="749"/>
      <c r="AT636" s="749"/>
    </row>
    <row r="637" spans="1:46" ht="12.75" customHeight="1">
      <c r="A637" s="714"/>
      <c r="B637" s="714"/>
      <c r="C637" s="871" t="s">
        <v>622</v>
      </c>
      <c r="D637" s="872" t="s">
        <v>591</v>
      </c>
      <c r="E637" s="873" t="s">
        <v>1482</v>
      </c>
      <c r="F637" s="874"/>
      <c r="G637" s="880">
        <f ca="1">+G625/'VVP2'!G$355</f>
        <v>0.37496048100532542</v>
      </c>
      <c r="H637" s="880">
        <f>+H625/'VVP2'!H$355</f>
        <v>0.38062140644912718</v>
      </c>
      <c r="I637" s="880">
        <f>+I625/'VVP2'!I$355</f>
        <v>0.39253091246708055</v>
      </c>
      <c r="J637" s="880">
        <f>+J625/'VVP2'!J$355</f>
        <v>0.40096916878189914</v>
      </c>
      <c r="K637" s="880">
        <f>+K625/'VVP2'!K$355</f>
        <v>0.4032035901173503</v>
      </c>
      <c r="L637" s="880">
        <f>+L625/'VVP2'!L$355</f>
        <v>0.40255477844645304</v>
      </c>
      <c r="M637" s="880">
        <f>+M625/'VVP2'!M$355</f>
        <v>0.40578557980709462</v>
      </c>
      <c r="N637" s="880">
        <f>+N625/'VVP2'!N$355</f>
        <v>0.41339232058156417</v>
      </c>
      <c r="O637" s="880">
        <f>+O625/'VVP2'!O$355</f>
        <v>0.40913753177668138</v>
      </c>
      <c r="P637" s="880">
        <f>+P625/'VVP2'!P$355</f>
        <v>0.41130819508367295</v>
      </c>
      <c r="Q637" s="880">
        <f>+Q625/'VVP2'!Q$355</f>
        <v>0.41261837005683821</v>
      </c>
      <c r="R637" s="880">
        <f>+R625/'VVP2'!R$355</f>
        <v>0.41130268861921854</v>
      </c>
      <c r="S637" s="880">
        <f>+S625/'VVP2'!S$355</f>
        <v>0.40723269391159306</v>
      </c>
      <c r="T637" s="880">
        <f>+T625/'VVP2'!T$355</f>
        <v>0.41301012043238278</v>
      </c>
      <c r="U637" s="880">
        <f>+U625/'VVP2'!U$355</f>
        <v>0.40702807577589506</v>
      </c>
      <c r="V637" s="880">
        <f>+V625/'VVP2'!V$355</f>
        <v>0.41079565763399395</v>
      </c>
      <c r="W637" s="880">
        <f>+W625/'VVP2'!W$355</f>
        <v>0.41892498225431762</v>
      </c>
      <c r="X637" s="880">
        <f>+X625/'VVP2'!X$355</f>
        <v>0.43117717905105063</v>
      </c>
      <c r="Y637" s="2226">
        <f>+Y625/'VVP2'!Y$355</f>
        <v>0.44171277040973156</v>
      </c>
      <c r="Z637" s="2226">
        <f>+Z625/'VVP2'!Z$355</f>
        <v>0.43698964895792575</v>
      </c>
      <c r="AA637" s="2226">
        <f>+AA625/'VVP2'!AA$355</f>
        <v>0.43331298095290066</v>
      </c>
      <c r="AB637" s="2226">
        <f>+AB625/'VVP2'!AB$355</f>
        <v>0.4275286232024515</v>
      </c>
      <c r="AC637" s="2226">
        <f>+AC625/'VVP2'!AC$355</f>
        <v>0.43572613496574331</v>
      </c>
      <c r="AD637" s="2226">
        <f ca="1">+AD625/'VVP2'!AD$355</f>
        <v>0.43333296164208041</v>
      </c>
      <c r="AE637" s="2226">
        <f ca="1">+AE625/'VVP2'!AE$355</f>
        <v>0.43112459891470523</v>
      </c>
      <c r="AF637" s="749"/>
      <c r="AG637" s="749"/>
      <c r="AH637" s="749"/>
      <c r="AI637" s="749"/>
      <c r="AJ637" s="749"/>
      <c r="AK637" s="2226">
        <v>0.44139582867228483</v>
      </c>
      <c r="AL637" s="749"/>
      <c r="AM637" s="2226">
        <f t="shared" si="748"/>
        <v>-4.406179714359082E-3</v>
      </c>
      <c r="AN637" s="749"/>
      <c r="AO637" s="749"/>
      <c r="AP637" s="749"/>
      <c r="AQ637" s="749"/>
      <c r="AR637" s="749"/>
      <c r="AS637" s="749"/>
      <c r="AT637" s="749"/>
    </row>
    <row r="638" spans="1:46" ht="12.75" customHeight="1">
      <c r="A638" s="714"/>
      <c r="B638" s="714"/>
      <c r="C638" s="822" t="s">
        <v>624</v>
      </c>
      <c r="D638" s="850" t="s">
        <v>592</v>
      </c>
      <c r="E638" s="851" t="s">
        <v>1482</v>
      </c>
      <c r="F638" s="852"/>
      <c r="G638" s="881">
        <f ca="1">+G626/'VVP2'!G$355</f>
        <v>1.6398820961442715</v>
      </c>
      <c r="H638" s="881">
        <f>+H626/'VVP2'!H$355</f>
        <v>1.6381687894549659</v>
      </c>
      <c r="I638" s="881">
        <f>+I626/'VVP2'!I$355</f>
        <v>1.6396301788699055</v>
      </c>
      <c r="J638" s="881">
        <f>+J626/'VVP2'!J$355</f>
        <v>1.6435236360162668</v>
      </c>
      <c r="K638" s="881">
        <f>+K626/'VVP2'!K$355</f>
        <v>1.6330558580986463</v>
      </c>
      <c r="L638" s="881">
        <f>+L626/'VVP2'!L$355</f>
        <v>1.6250977840772673</v>
      </c>
      <c r="M638" s="881">
        <f>+M626/'VVP2'!M$355</f>
        <v>1.6266040955888215</v>
      </c>
      <c r="N638" s="881">
        <f>+N626/'VVP2'!N$355</f>
        <v>1.6323324914720188</v>
      </c>
      <c r="O638" s="881">
        <f>+O626/'VVP2'!O$355</f>
        <v>1.6287227587378132</v>
      </c>
      <c r="P638" s="881">
        <f>+P626/'VVP2'!P$355</f>
        <v>1.6112360182490892</v>
      </c>
      <c r="Q638" s="881">
        <f>+Q626/'VVP2'!Q$355</f>
        <v>1.6064203636307599</v>
      </c>
      <c r="R638" s="881">
        <f>+R626/'VVP2'!R$355</f>
        <v>1.599475421238032</v>
      </c>
      <c r="S638" s="881">
        <f>+S626/'VVP2'!S$355</f>
        <v>1.5947643325960039</v>
      </c>
      <c r="T638" s="881">
        <f>+T626/'VVP2'!T$355</f>
        <v>1.6208649293817903</v>
      </c>
      <c r="U638" s="881">
        <f>+U626/'VVP2'!U$355</f>
        <v>1.6218155169531836</v>
      </c>
      <c r="V638" s="881">
        <f>+V626/'VVP2'!V$355</f>
        <v>1.6456739993508638</v>
      </c>
      <c r="W638" s="881">
        <f>+W626/'VVP2'!W$355</f>
        <v>1.6256633034059316</v>
      </c>
      <c r="X638" s="881">
        <f>+X626/'VVP2'!X$355</f>
        <v>1.6526547993148906</v>
      </c>
      <c r="Y638" s="2227">
        <f>+Y626/'VVP2'!Y$355</f>
        <v>1.655890123816141</v>
      </c>
      <c r="Z638" s="2227">
        <f>+Z626/'VVP2'!Z$355</f>
        <v>1.6416849160180089</v>
      </c>
      <c r="AA638" s="2227">
        <f>+AA626/'VVP2'!AA$355</f>
        <v>1.6277066391966379</v>
      </c>
      <c r="AB638" s="2227">
        <f>+AB626/'VVP2'!AB$355</f>
        <v>1.6216281635860104</v>
      </c>
      <c r="AC638" s="2227">
        <f>+AC626/'VVP2'!AC$355</f>
        <v>1.6251894293095657</v>
      </c>
      <c r="AD638" s="2227">
        <f ca="1">+AD626/'VVP2'!AD$355</f>
        <v>1.6209519151786904</v>
      </c>
      <c r="AE638" s="2227">
        <f ca="1">+AE626/'VVP2'!AE$355</f>
        <v>1.6188344814141711</v>
      </c>
      <c r="AF638" s="749"/>
      <c r="AG638" s="749"/>
      <c r="AH638" s="749"/>
      <c r="AI638" s="749"/>
      <c r="AJ638" s="749"/>
      <c r="AK638" s="2227">
        <v>1.630869531386236</v>
      </c>
      <c r="AL638" s="749"/>
      <c r="AM638" s="2227">
        <f t="shared" si="748"/>
        <v>1.0815384631772895E-2</v>
      </c>
      <c r="AN638" s="749"/>
      <c r="AO638" s="749"/>
      <c r="AP638" s="749"/>
      <c r="AQ638" s="749"/>
      <c r="AR638" s="749"/>
      <c r="AS638" s="749"/>
      <c r="AT638" s="749"/>
    </row>
    <row r="639" spans="1:46" ht="30" customHeight="1">
      <c r="A639" s="714"/>
      <c r="B639" s="714"/>
      <c r="C639" s="822"/>
      <c r="S639" s="2162"/>
      <c r="T639" s="2162"/>
      <c r="U639" s="2162"/>
      <c r="AF639" s="749"/>
      <c r="AG639" s="749"/>
      <c r="AH639" s="749"/>
      <c r="AI639" s="749"/>
      <c r="AJ639" s="749"/>
      <c r="AL639" s="749"/>
      <c r="AM639" s="2827">
        <f t="shared" si="748"/>
        <v>0</v>
      </c>
      <c r="AN639" s="749"/>
      <c r="AO639" s="749"/>
      <c r="AP639" s="749"/>
      <c r="AQ639" s="749"/>
      <c r="AR639" s="749"/>
      <c r="AS639" s="749"/>
      <c r="AT639" s="749"/>
    </row>
    <row r="640" spans="1:46" ht="30" customHeight="1">
      <c r="S640" s="2162"/>
      <c r="T640" s="2162"/>
      <c r="U640" s="2162"/>
      <c r="AF640" s="749"/>
      <c r="AG640" s="749"/>
      <c r="AH640" s="749"/>
      <c r="AI640" s="749"/>
      <c r="AJ640" s="749"/>
      <c r="AL640" s="749"/>
      <c r="AM640" s="2827">
        <f t="shared" si="748"/>
        <v>0</v>
      </c>
      <c r="AN640" s="749"/>
      <c r="AO640" s="749"/>
      <c r="AP640" s="749"/>
      <c r="AQ640" s="749"/>
      <c r="AR640" s="749"/>
      <c r="AS640" s="749"/>
      <c r="AT640" s="749"/>
    </row>
    <row r="641" spans="1:46" ht="22.5" customHeight="1">
      <c r="A641" s="603"/>
      <c r="B641" s="603"/>
      <c r="C641" s="4124" t="s">
        <v>1441</v>
      </c>
      <c r="D641" s="4124"/>
      <c r="E641" s="4124"/>
      <c r="F641" s="4124"/>
      <c r="S641" s="2162"/>
      <c r="T641" s="2162"/>
      <c r="U641" s="2162"/>
      <c r="AF641" s="749"/>
      <c r="AG641" s="749"/>
      <c r="AH641" s="749"/>
      <c r="AI641" s="749"/>
      <c r="AJ641" s="749"/>
      <c r="AL641" s="749"/>
      <c r="AM641" s="2827">
        <f t="shared" si="748"/>
        <v>0</v>
      </c>
      <c r="AN641" s="749"/>
      <c r="AO641" s="749"/>
      <c r="AP641" s="749"/>
      <c r="AQ641" s="749"/>
      <c r="AR641" s="749"/>
      <c r="AS641" s="749"/>
      <c r="AT641" s="749"/>
    </row>
    <row r="642" spans="1:46" ht="12.75" customHeight="1">
      <c r="A642" s="714"/>
      <c r="B642" s="714"/>
      <c r="C642" s="822"/>
      <c r="S642" s="2162"/>
      <c r="T642" s="2162"/>
      <c r="U642" s="2162"/>
      <c r="AF642" s="749"/>
      <c r="AG642" s="749"/>
      <c r="AH642" s="749"/>
      <c r="AI642" s="749"/>
      <c r="AJ642" s="749"/>
      <c r="AL642" s="749"/>
      <c r="AM642" s="2827">
        <f t="shared" si="748"/>
        <v>0</v>
      </c>
      <c r="AN642" s="749"/>
      <c r="AO642" s="749"/>
      <c r="AP642" s="749"/>
      <c r="AQ642" s="749"/>
      <c r="AR642" s="749"/>
      <c r="AS642" s="749"/>
      <c r="AT642" s="749"/>
    </row>
    <row r="643" spans="1:46" ht="12.75" customHeight="1">
      <c r="A643" s="714"/>
      <c r="B643" s="714"/>
      <c r="C643" s="822"/>
      <c r="D643" s="823"/>
      <c r="E643" s="824" t="s">
        <v>1803</v>
      </c>
      <c r="F643" s="825"/>
      <c r="G643" s="826">
        <f>+InputY!$G$3</f>
        <v>1995</v>
      </c>
      <c r="H643" s="826">
        <f>+G643+1</f>
        <v>1996</v>
      </c>
      <c r="I643" s="826">
        <f t="shared" ref="I643:S643" si="803">+H643+1</f>
        <v>1997</v>
      </c>
      <c r="J643" s="826">
        <f t="shared" si="803"/>
        <v>1998</v>
      </c>
      <c r="K643" s="826">
        <f t="shared" si="803"/>
        <v>1999</v>
      </c>
      <c r="L643" s="826">
        <f t="shared" si="803"/>
        <v>2000</v>
      </c>
      <c r="M643" s="826">
        <f t="shared" si="803"/>
        <v>2001</v>
      </c>
      <c r="N643" s="826">
        <f t="shared" si="803"/>
        <v>2002</v>
      </c>
      <c r="O643" s="826">
        <f t="shared" si="803"/>
        <v>2003</v>
      </c>
      <c r="P643" s="826">
        <f>+O643+1</f>
        <v>2004</v>
      </c>
      <c r="Q643" s="826">
        <f>+P643+1</f>
        <v>2005</v>
      </c>
      <c r="R643" s="826">
        <f>+Q643+1</f>
        <v>2006</v>
      </c>
      <c r="S643" s="2163">
        <f t="shared" si="803"/>
        <v>2007</v>
      </c>
      <c r="T643" s="2163">
        <f t="shared" ref="T643:AE643" si="804">+S643+1</f>
        <v>2008</v>
      </c>
      <c r="U643" s="2163">
        <f t="shared" si="804"/>
        <v>2009</v>
      </c>
      <c r="V643" s="2163">
        <f t="shared" si="804"/>
        <v>2010</v>
      </c>
      <c r="W643" s="2163">
        <f t="shared" si="804"/>
        <v>2011</v>
      </c>
      <c r="X643" s="2163">
        <f t="shared" si="804"/>
        <v>2012</v>
      </c>
      <c r="Y643" s="2163">
        <f t="shared" si="804"/>
        <v>2013</v>
      </c>
      <c r="Z643" s="2163">
        <f t="shared" si="804"/>
        <v>2014</v>
      </c>
      <c r="AA643" s="2163">
        <f t="shared" si="804"/>
        <v>2015</v>
      </c>
      <c r="AB643" s="2163">
        <f t="shared" si="804"/>
        <v>2016</v>
      </c>
      <c r="AC643" s="2163">
        <f t="shared" si="804"/>
        <v>2017</v>
      </c>
      <c r="AD643" s="2163">
        <f t="shared" si="804"/>
        <v>2018</v>
      </c>
      <c r="AE643" s="2163">
        <f t="shared" si="804"/>
        <v>2019</v>
      </c>
      <c r="AF643" s="749"/>
      <c r="AG643" s="749"/>
      <c r="AH643" s="749"/>
      <c r="AI643" s="749"/>
      <c r="AJ643" s="749"/>
      <c r="AK643" s="2163">
        <v>2014</v>
      </c>
      <c r="AL643" s="749"/>
      <c r="AM643" s="2163">
        <f t="shared" si="748"/>
        <v>0</v>
      </c>
      <c r="AN643" s="749"/>
      <c r="AO643" s="749"/>
      <c r="AP643" s="749"/>
      <c r="AQ643" s="749"/>
      <c r="AR643" s="749"/>
      <c r="AS643" s="749"/>
      <c r="AT643" s="749"/>
    </row>
    <row r="644" spans="1:46" ht="12.75" customHeight="1">
      <c r="A644" s="714"/>
      <c r="B644" s="714"/>
      <c r="C644" s="827" t="s">
        <v>622</v>
      </c>
      <c r="D644" s="718" t="s">
        <v>589</v>
      </c>
      <c r="E644" s="750" t="s">
        <v>1441</v>
      </c>
      <c r="F644" s="751" t="s">
        <v>647</v>
      </c>
      <c r="G644" s="828">
        <f t="shared" ref="G644:AD644" ca="1" si="805">+G275-G296+G474-G477-G518+G522-G588+G589</f>
        <v>139.64119999999994</v>
      </c>
      <c r="H644" s="828">
        <f t="shared" si="805"/>
        <v>140.26940000000005</v>
      </c>
      <c r="I644" s="828">
        <f t="shared" si="805"/>
        <v>143.56049999999999</v>
      </c>
      <c r="J644" s="828">
        <f t="shared" si="805"/>
        <v>148.27020000000002</v>
      </c>
      <c r="K644" s="828">
        <f t="shared" si="805"/>
        <v>152.35679999999999</v>
      </c>
      <c r="L644" s="828">
        <f t="shared" si="805"/>
        <v>160.36210000000003</v>
      </c>
      <c r="M644" s="828">
        <f t="shared" si="805"/>
        <v>168.15260000000001</v>
      </c>
      <c r="N644" s="828">
        <f t="shared" si="805"/>
        <v>169.7302</v>
      </c>
      <c r="O644" s="828">
        <f t="shared" si="805"/>
        <v>172.62010000000001</v>
      </c>
      <c r="P644" s="828">
        <f t="shared" si="805"/>
        <v>176.65700000000004</v>
      </c>
      <c r="Q644" s="828">
        <f t="shared" si="805"/>
        <v>183.20820000000001</v>
      </c>
      <c r="R644" s="828">
        <f t="shared" si="805"/>
        <v>193.18559999999999</v>
      </c>
      <c r="S644" s="828">
        <f t="shared" si="805"/>
        <v>202.89520000000005</v>
      </c>
      <c r="T644" s="828">
        <f t="shared" si="805"/>
        <v>214.3554</v>
      </c>
      <c r="U644" s="828">
        <f t="shared" si="805"/>
        <v>217.91899999999998</v>
      </c>
      <c r="V644" s="828">
        <f t="shared" si="805"/>
        <v>219.43230000000003</v>
      </c>
      <c r="W644" s="2230">
        <f t="shared" si="805"/>
        <v>223.8218</v>
      </c>
      <c r="X644" s="2230">
        <f t="shared" si="805"/>
        <v>228.16290000000004</v>
      </c>
      <c r="Y644" s="2230">
        <f t="shared" si="805"/>
        <v>230.79859999999996</v>
      </c>
      <c r="Z644" s="2230">
        <f t="shared" si="805"/>
        <v>233.36100000000002</v>
      </c>
      <c r="AA644" s="2230">
        <f t="shared" si="805"/>
        <v>235.38030000000001</v>
      </c>
      <c r="AB644" s="2230">
        <f t="shared" si="805"/>
        <v>241.02379999999997</v>
      </c>
      <c r="AC644" s="2230">
        <f t="shared" si="805"/>
        <v>247.57846462774921</v>
      </c>
      <c r="AD644" s="2230">
        <f t="shared" si="805"/>
        <v>254.87558901212017</v>
      </c>
      <c r="AE644" s="2230">
        <f t="shared" ref="AE644" si="806">+AE275-AE296+AE474-AE477-AE518+AE522-AE588+AE589</f>
        <v>263.98396981630998</v>
      </c>
      <c r="AF644" s="749"/>
      <c r="AG644" s="749"/>
      <c r="AH644" s="749"/>
      <c r="AI644" s="749"/>
      <c r="AJ644" s="749"/>
      <c r="AK644" s="2230">
        <v>237.47412895463464</v>
      </c>
      <c r="AL644" s="749"/>
      <c r="AM644" s="2230">
        <f t="shared" si="748"/>
        <v>-4.1131289546346181</v>
      </c>
      <c r="AN644" s="749"/>
      <c r="AO644" s="749"/>
      <c r="AP644" s="749"/>
      <c r="AQ644" s="749"/>
      <c r="AR644" s="749"/>
      <c r="AS644" s="749"/>
      <c r="AT644" s="749"/>
    </row>
    <row r="645" spans="1:46" ht="12.75" customHeight="1">
      <c r="A645" s="714"/>
      <c r="B645" s="714"/>
      <c r="C645" s="829" t="s">
        <v>622</v>
      </c>
      <c r="D645" s="724" t="s">
        <v>590</v>
      </c>
      <c r="E645" s="830" t="s">
        <v>1441</v>
      </c>
      <c r="F645" s="754" t="s">
        <v>1188</v>
      </c>
      <c r="G645" s="756">
        <f t="shared" ref="G645:AD645" ca="1" si="807">+G276-G310+G475-G519-G590+G591</f>
        <v>32.604599999999998</v>
      </c>
      <c r="H645" s="756">
        <f t="shared" si="807"/>
        <v>33.583499999999994</v>
      </c>
      <c r="I645" s="756">
        <f t="shared" si="807"/>
        <v>35.610700000000023</v>
      </c>
      <c r="J645" s="756">
        <f t="shared" si="807"/>
        <v>34.877499999999998</v>
      </c>
      <c r="K645" s="756">
        <f t="shared" si="807"/>
        <v>36.769199999999984</v>
      </c>
      <c r="L645" s="756">
        <f t="shared" si="807"/>
        <v>39.337800000000009</v>
      </c>
      <c r="M645" s="756">
        <f t="shared" si="807"/>
        <v>35.648200000000017</v>
      </c>
      <c r="N645" s="756">
        <f t="shared" si="807"/>
        <v>39.538399999999982</v>
      </c>
      <c r="O645" s="756">
        <f t="shared" si="807"/>
        <v>44.449099999999987</v>
      </c>
      <c r="P645" s="756">
        <f t="shared" si="807"/>
        <v>49.620499999999993</v>
      </c>
      <c r="Q645" s="756">
        <f t="shared" si="807"/>
        <v>51.860599999999991</v>
      </c>
      <c r="R645" s="756">
        <f t="shared" si="807"/>
        <v>53.590399999999974</v>
      </c>
      <c r="S645" s="756">
        <f t="shared" si="807"/>
        <v>58.803699999999992</v>
      </c>
      <c r="T645" s="756">
        <f t="shared" si="807"/>
        <v>57.150499999999965</v>
      </c>
      <c r="U645" s="756">
        <f t="shared" si="807"/>
        <v>49.933700000000002</v>
      </c>
      <c r="V645" s="756">
        <f t="shared" si="807"/>
        <v>70.061299999999974</v>
      </c>
      <c r="W645" s="2228">
        <f t="shared" si="807"/>
        <v>65.589200000000005</v>
      </c>
      <c r="X645" s="2228">
        <f t="shared" si="807"/>
        <v>69.441199999999967</v>
      </c>
      <c r="Y645" s="2228">
        <f t="shared" si="807"/>
        <v>64.684700000000007</v>
      </c>
      <c r="Z645" s="2228">
        <f t="shared" si="807"/>
        <v>65.69280000000002</v>
      </c>
      <c r="AA645" s="2228">
        <f t="shared" si="807"/>
        <v>68.704399999999978</v>
      </c>
      <c r="AB645" s="2228">
        <f t="shared" si="807"/>
        <v>77.644999999999982</v>
      </c>
      <c r="AC645" s="2228">
        <f t="shared" si="807"/>
        <v>79.651281527284013</v>
      </c>
      <c r="AD645" s="2228">
        <f t="shared" ca="1" si="807"/>
        <v>84.829875383612062</v>
      </c>
      <c r="AE645" s="2228">
        <f t="shared" ref="AE645" ca="1" si="808">+AE276-AE310+AE475-AE519-AE590+AE591</f>
        <v>88.592377838628948</v>
      </c>
      <c r="AF645" s="749"/>
      <c r="AG645" s="749"/>
      <c r="AH645" s="749"/>
      <c r="AI645" s="749"/>
      <c r="AJ645" s="749"/>
      <c r="AK645" s="2228">
        <v>60.236968043340966</v>
      </c>
      <c r="AL645" s="749"/>
      <c r="AM645" s="2228">
        <f t="shared" ref="AM645:AM708" si="809">Z645-AK645</f>
        <v>5.4558319566590541</v>
      </c>
      <c r="AN645" s="749"/>
      <c r="AO645" s="749"/>
      <c r="AP645" s="749"/>
      <c r="AQ645" s="749"/>
      <c r="AR645" s="749"/>
      <c r="AS645" s="749"/>
      <c r="AT645" s="749"/>
    </row>
    <row r="646" spans="1:46" ht="12.75" customHeight="1">
      <c r="A646" s="714"/>
      <c r="B646" s="714"/>
      <c r="C646" s="829" t="s">
        <v>622</v>
      </c>
      <c r="D646" s="724" t="s">
        <v>591</v>
      </c>
      <c r="E646" s="830" t="s">
        <v>1441</v>
      </c>
      <c r="F646" s="754" t="s">
        <v>658</v>
      </c>
      <c r="G646" s="756">
        <f t="shared" ref="G646:AD646" si="810">+G277-G317+G319+G473-G520-G592+G593</f>
        <v>41.490900000000011</v>
      </c>
      <c r="H646" s="756">
        <f t="shared" si="810"/>
        <v>44.150899999999993</v>
      </c>
      <c r="I646" s="756">
        <f t="shared" si="810"/>
        <v>49.374299999999984</v>
      </c>
      <c r="J646" s="756">
        <f t="shared" si="810"/>
        <v>53.854600000000005</v>
      </c>
      <c r="K646" s="756">
        <f t="shared" si="810"/>
        <v>57.558599999999991</v>
      </c>
      <c r="L646" s="756">
        <f t="shared" si="810"/>
        <v>61.938800000000008</v>
      </c>
      <c r="M646" s="756">
        <f t="shared" si="810"/>
        <v>64.068900000000014</v>
      </c>
      <c r="N646" s="756">
        <f t="shared" si="810"/>
        <v>67.1721</v>
      </c>
      <c r="O646" s="756">
        <f t="shared" si="810"/>
        <v>66.79079999999999</v>
      </c>
      <c r="P646" s="756">
        <f t="shared" si="810"/>
        <v>71.92410000000001</v>
      </c>
      <c r="Q646" s="756">
        <f t="shared" si="810"/>
        <v>75.543999999999983</v>
      </c>
      <c r="R646" s="756">
        <f t="shared" si="810"/>
        <v>79.716200000000015</v>
      </c>
      <c r="S646" s="756">
        <f t="shared" si="810"/>
        <v>83.580300000000008</v>
      </c>
      <c r="T646" s="756">
        <f t="shared" si="810"/>
        <v>85.640299999999982</v>
      </c>
      <c r="U646" s="756">
        <f t="shared" si="810"/>
        <v>76.044299999999978</v>
      </c>
      <c r="V646" s="756">
        <f t="shared" si="810"/>
        <v>82.548900000000017</v>
      </c>
      <c r="W646" s="756">
        <f t="shared" si="810"/>
        <v>88.603200000000015</v>
      </c>
      <c r="X646" s="2228">
        <f t="shared" si="810"/>
        <v>93.335499999999996</v>
      </c>
      <c r="Y646" s="2228">
        <f t="shared" si="810"/>
        <v>96.561700000000002</v>
      </c>
      <c r="Z646" s="2228">
        <f t="shared" si="810"/>
        <v>97.327400000000026</v>
      </c>
      <c r="AA646" s="2228">
        <f t="shared" si="810"/>
        <v>98.700699999999998</v>
      </c>
      <c r="AB646" s="2228">
        <f t="shared" si="810"/>
        <v>98.814199999999985</v>
      </c>
      <c r="AC646" s="2228">
        <f t="shared" si="810"/>
        <v>107.84879999999998</v>
      </c>
      <c r="AD646" s="2228">
        <f t="shared" si="810"/>
        <v>110.24395452351429</v>
      </c>
      <c r="AE646" s="2228">
        <f t="shared" ref="AE646" si="811">+AE277-AE317+AE319+AE473-AE520-AE592+AE593</f>
        <v>112.40982021931679</v>
      </c>
      <c r="AF646" s="749"/>
      <c r="AG646" s="749"/>
      <c r="AH646" s="749"/>
      <c r="AI646" s="749"/>
      <c r="AJ646" s="749"/>
      <c r="AK646" s="2228">
        <v>97.692399999999992</v>
      </c>
      <c r="AL646" s="749"/>
      <c r="AM646" s="2228">
        <f t="shared" si="809"/>
        <v>-0.36499999999996646</v>
      </c>
      <c r="AN646" s="749"/>
      <c r="AO646" s="749"/>
      <c r="AP646" s="749"/>
      <c r="AQ646" s="749"/>
      <c r="AR646" s="749"/>
      <c r="AS646" s="749"/>
      <c r="AT646" s="749"/>
    </row>
    <row r="647" spans="1:46" ht="12.75" customHeight="1">
      <c r="A647" s="714"/>
      <c r="B647" s="714"/>
      <c r="C647" s="831" t="s">
        <v>624</v>
      </c>
      <c r="D647" s="800"/>
      <c r="E647" s="801" t="s">
        <v>1441</v>
      </c>
      <c r="F647" s="802" t="s">
        <v>1189</v>
      </c>
      <c r="G647" s="832">
        <f ca="1">+G644+G645+G646</f>
        <v>213.73669999999996</v>
      </c>
      <c r="H647" s="832">
        <f t="shared" ref="H647:Y647" si="812">+H644+H645+H646</f>
        <v>218.00380000000001</v>
      </c>
      <c r="I647" s="832">
        <f t="shared" si="812"/>
        <v>228.54549999999998</v>
      </c>
      <c r="J647" s="832">
        <f t="shared" si="812"/>
        <v>237.00230000000002</v>
      </c>
      <c r="K647" s="832">
        <f t="shared" si="812"/>
        <v>246.68459999999996</v>
      </c>
      <c r="L647" s="832">
        <f t="shared" si="812"/>
        <v>261.63870000000003</v>
      </c>
      <c r="M647" s="832">
        <f t="shared" si="812"/>
        <v>267.86970000000008</v>
      </c>
      <c r="N647" s="832">
        <f t="shared" si="812"/>
        <v>276.44069999999999</v>
      </c>
      <c r="O647" s="832">
        <f t="shared" si="812"/>
        <v>283.86</v>
      </c>
      <c r="P647" s="832">
        <f t="shared" si="812"/>
        <v>298.20160000000004</v>
      </c>
      <c r="Q647" s="832">
        <f t="shared" si="812"/>
        <v>310.61279999999999</v>
      </c>
      <c r="R647" s="832">
        <f t="shared" si="812"/>
        <v>326.49219999999997</v>
      </c>
      <c r="S647" s="832">
        <f t="shared" si="812"/>
        <v>345.27920000000006</v>
      </c>
      <c r="T647" s="832">
        <f>+T644+T645+T646</f>
        <v>357.14619999999996</v>
      </c>
      <c r="U647" s="832">
        <f>+U644+U645+U646</f>
        <v>343.89699999999993</v>
      </c>
      <c r="V647" s="832">
        <f>+V644+V645+V646</f>
        <v>372.04250000000002</v>
      </c>
      <c r="W647" s="832">
        <f>+W644+W645+W646</f>
        <v>378.01420000000002</v>
      </c>
      <c r="X647" s="2238">
        <f t="shared" si="812"/>
        <v>390.93960000000004</v>
      </c>
      <c r="Y647" s="2238">
        <f t="shared" si="812"/>
        <v>392.04499999999996</v>
      </c>
      <c r="Z647" s="2238">
        <f t="shared" ref="Z647:AD647" si="813">+Z644+Z645+Z646</f>
        <v>396.38120000000004</v>
      </c>
      <c r="AA647" s="2238">
        <f t="shared" si="813"/>
        <v>402.78539999999998</v>
      </c>
      <c r="AB647" s="2238">
        <f t="shared" si="813"/>
        <v>417.48299999999989</v>
      </c>
      <c r="AC647" s="2238">
        <f t="shared" si="813"/>
        <v>435.07854615503322</v>
      </c>
      <c r="AD647" s="2238">
        <f t="shared" ca="1" si="813"/>
        <v>449.94941891924651</v>
      </c>
      <c r="AE647" s="2238">
        <f t="shared" ref="AE647" ca="1" si="814">+AE644+AE645+AE646</f>
        <v>464.98616787425567</v>
      </c>
      <c r="AF647" s="749"/>
      <c r="AG647" s="749"/>
      <c r="AH647" s="749"/>
      <c r="AI647" s="749"/>
      <c r="AJ647" s="749"/>
      <c r="AK647" s="2238">
        <v>395.40349699797559</v>
      </c>
      <c r="AL647" s="749"/>
      <c r="AM647" s="2238">
        <f t="shared" si="809"/>
        <v>0.97770300202444105</v>
      </c>
      <c r="AN647" s="749"/>
      <c r="AO647" s="749"/>
      <c r="AP647" s="749"/>
      <c r="AQ647" s="749"/>
      <c r="AR647" s="749"/>
      <c r="AS647" s="749"/>
      <c r="AT647" s="749"/>
    </row>
    <row r="648" spans="1:46">
      <c r="A648" s="714"/>
      <c r="B648" s="714"/>
      <c r="Q648" s="749"/>
      <c r="R648" s="749"/>
      <c r="S648" s="749"/>
      <c r="T648" s="2162"/>
      <c r="U648" s="2162"/>
      <c r="V648" s="2162"/>
      <c r="W648" s="2162"/>
      <c r="X648" s="2162"/>
      <c r="Y648" s="2162"/>
      <c r="Z648" s="2162"/>
      <c r="AA648" s="2162"/>
      <c r="AB648" s="2162"/>
      <c r="AC648" s="2162"/>
      <c r="AD648" s="2162"/>
      <c r="AE648" s="2162"/>
      <c r="AF648" s="749"/>
      <c r="AG648" s="749"/>
      <c r="AH648" s="749"/>
      <c r="AI648" s="749"/>
      <c r="AJ648" s="749"/>
      <c r="AK648" s="2162"/>
      <c r="AL648" s="749"/>
      <c r="AM648" s="2162">
        <f t="shared" si="809"/>
        <v>0</v>
      </c>
      <c r="AN648" s="749"/>
      <c r="AO648" s="749"/>
      <c r="AP648" s="749"/>
      <c r="AQ648" s="749"/>
      <c r="AR648" s="749"/>
      <c r="AS648" s="749"/>
      <c r="AT648" s="749"/>
    </row>
    <row r="649" spans="1:46" ht="12.75" customHeight="1">
      <c r="A649" s="714"/>
      <c r="B649" s="714"/>
      <c r="C649" s="822"/>
      <c r="D649" s="790"/>
      <c r="E649" s="791" t="s">
        <v>1804</v>
      </c>
      <c r="F649" s="792"/>
      <c r="G649" s="793">
        <f>+InputY!$G$3</f>
        <v>1995</v>
      </c>
      <c r="H649" s="793">
        <f>+G649+1</f>
        <v>1996</v>
      </c>
      <c r="I649" s="793">
        <f t="shared" ref="I649:O649" si="815">+H649+1</f>
        <v>1997</v>
      </c>
      <c r="J649" s="793">
        <f t="shared" si="815"/>
        <v>1998</v>
      </c>
      <c r="K649" s="793">
        <f t="shared" si="815"/>
        <v>1999</v>
      </c>
      <c r="L649" s="793">
        <f t="shared" si="815"/>
        <v>2000</v>
      </c>
      <c r="M649" s="793">
        <f t="shared" si="815"/>
        <v>2001</v>
      </c>
      <c r="N649" s="793">
        <f t="shared" si="815"/>
        <v>2002</v>
      </c>
      <c r="O649" s="793">
        <f t="shared" si="815"/>
        <v>2003</v>
      </c>
      <c r="P649" s="793">
        <f t="shared" ref="P649:U649" si="816">+O649+1</f>
        <v>2004</v>
      </c>
      <c r="Q649" s="793">
        <f t="shared" si="816"/>
        <v>2005</v>
      </c>
      <c r="R649" s="793">
        <f t="shared" si="816"/>
        <v>2006</v>
      </c>
      <c r="S649" s="793">
        <f t="shared" si="816"/>
        <v>2007</v>
      </c>
      <c r="T649" s="2126">
        <f t="shared" si="816"/>
        <v>2008</v>
      </c>
      <c r="U649" s="2126">
        <f t="shared" si="816"/>
        <v>2009</v>
      </c>
      <c r="V649" s="2126">
        <f t="shared" ref="V649:AE649" si="817">+U649+1</f>
        <v>2010</v>
      </c>
      <c r="W649" s="2126">
        <f t="shared" si="817"/>
        <v>2011</v>
      </c>
      <c r="X649" s="2126">
        <f t="shared" si="817"/>
        <v>2012</v>
      </c>
      <c r="Y649" s="2126">
        <f t="shared" si="817"/>
        <v>2013</v>
      </c>
      <c r="Z649" s="2126">
        <f t="shared" si="817"/>
        <v>2014</v>
      </c>
      <c r="AA649" s="2126">
        <f t="shared" si="817"/>
        <v>2015</v>
      </c>
      <c r="AB649" s="2126">
        <f t="shared" si="817"/>
        <v>2016</v>
      </c>
      <c r="AC649" s="2126">
        <f t="shared" si="817"/>
        <v>2017</v>
      </c>
      <c r="AD649" s="2126">
        <f t="shared" si="817"/>
        <v>2018</v>
      </c>
      <c r="AE649" s="2126">
        <f t="shared" si="817"/>
        <v>2019</v>
      </c>
      <c r="AF649" s="749"/>
      <c r="AG649" s="749"/>
      <c r="AH649" s="749"/>
      <c r="AI649" s="749"/>
      <c r="AJ649" s="749"/>
      <c r="AK649" s="2126">
        <v>2014</v>
      </c>
      <c r="AL649" s="749"/>
      <c r="AM649" s="2126">
        <f t="shared" si="809"/>
        <v>0</v>
      </c>
      <c r="AN649" s="749"/>
      <c r="AO649" s="749"/>
      <c r="AP649" s="749"/>
      <c r="AQ649" s="749"/>
      <c r="AR649" s="749"/>
      <c r="AS649" s="749"/>
      <c r="AT649" s="749"/>
    </row>
    <row r="650" spans="1:46" ht="12.75" customHeight="1">
      <c r="A650" s="714"/>
      <c r="B650" s="714"/>
      <c r="C650" s="839" t="s">
        <v>622</v>
      </c>
      <c r="D650" s="739" t="s">
        <v>589</v>
      </c>
      <c r="E650" s="787" t="s">
        <v>1441</v>
      </c>
      <c r="F650" s="782" t="s">
        <v>647</v>
      </c>
      <c r="G650" s="788"/>
      <c r="H650" s="788">
        <f t="shared" ref="H650:AE650" ca="1" si="818">(H644/G644-1)*100</f>
        <v>0.44986723116107186</v>
      </c>
      <c r="I650" s="788">
        <f t="shared" si="818"/>
        <v>2.3462708188670911</v>
      </c>
      <c r="J650" s="788">
        <f t="shared" si="818"/>
        <v>3.280637779890716</v>
      </c>
      <c r="K650" s="788">
        <f t="shared" si="818"/>
        <v>2.756184317549959</v>
      </c>
      <c r="L650" s="788">
        <f t="shared" si="818"/>
        <v>5.2543109332829463</v>
      </c>
      <c r="M650" s="788">
        <f t="shared" si="818"/>
        <v>4.8580680846658675</v>
      </c>
      <c r="N650" s="788">
        <f t="shared" si="818"/>
        <v>0.93819542487001417</v>
      </c>
      <c r="O650" s="788">
        <f t="shared" si="818"/>
        <v>1.7026433716569089</v>
      </c>
      <c r="P650" s="788">
        <f t="shared" si="818"/>
        <v>2.3386036736162463</v>
      </c>
      <c r="Q650" s="788">
        <f t="shared" si="818"/>
        <v>3.7084293291519632</v>
      </c>
      <c r="R650" s="788">
        <f t="shared" si="818"/>
        <v>5.4459352801894179</v>
      </c>
      <c r="S650" s="788">
        <f t="shared" si="818"/>
        <v>5.0260474900821084</v>
      </c>
      <c r="T650" s="788">
        <f t="shared" ref="T650:W653" si="819">(T644/S644-1)*100</f>
        <v>5.6483347067845635</v>
      </c>
      <c r="U650" s="788">
        <f t="shared" si="819"/>
        <v>1.6624726972121806</v>
      </c>
      <c r="V650" s="788">
        <f t="shared" si="819"/>
        <v>0.69443233495016798</v>
      </c>
      <c r="W650" s="2231">
        <f t="shared" si="818"/>
        <v>2.0003891860951972</v>
      </c>
      <c r="X650" s="2231">
        <f t="shared" si="818"/>
        <v>1.9395340400265138</v>
      </c>
      <c r="Y650" s="2231">
        <f t="shared" si="818"/>
        <v>1.1551834237730763</v>
      </c>
      <c r="Z650" s="2231">
        <f t="shared" si="818"/>
        <v>1.110232037802672</v>
      </c>
      <c r="AA650" s="2231">
        <f t="shared" si="818"/>
        <v>0.86531168447170348</v>
      </c>
      <c r="AB650" s="2231">
        <f t="shared" si="818"/>
        <v>2.3976093156478973</v>
      </c>
      <c r="AC650" s="2231">
        <f t="shared" si="818"/>
        <v>2.7195092881903138</v>
      </c>
      <c r="AD650" s="2231">
        <f t="shared" si="818"/>
        <v>2.9473986743324687</v>
      </c>
      <c r="AE650" s="2231">
        <f t="shared" si="818"/>
        <v>3.573657579171563</v>
      </c>
      <c r="AF650" s="749"/>
      <c r="AG650" s="749"/>
      <c r="AH650" s="749"/>
      <c r="AI650" s="749"/>
      <c r="AJ650" s="749"/>
      <c r="AK650" s="2231">
        <v>1.9651266843832005</v>
      </c>
      <c r="AL650" s="749"/>
      <c r="AM650" s="2231">
        <f t="shared" si="809"/>
        <v>-0.85489464658052849</v>
      </c>
      <c r="AN650" s="749"/>
      <c r="AO650" s="749"/>
      <c r="AP650" s="749"/>
      <c r="AQ650" s="749"/>
      <c r="AR650" s="749"/>
      <c r="AS650" s="749"/>
      <c r="AT650" s="749"/>
    </row>
    <row r="651" spans="1:46" ht="12.75" customHeight="1">
      <c r="A651" s="714"/>
      <c r="B651" s="714"/>
      <c r="C651" s="840" t="s">
        <v>622</v>
      </c>
      <c r="D651" s="724" t="s">
        <v>590</v>
      </c>
      <c r="E651" s="830" t="s">
        <v>1441</v>
      </c>
      <c r="F651" s="754" t="s">
        <v>1188</v>
      </c>
      <c r="G651" s="756"/>
      <c r="H651" s="756">
        <f t="shared" ref="H651:S651" ca="1" si="820">(H645/G645-1)*100</f>
        <v>3.0023370935389426</v>
      </c>
      <c r="I651" s="756">
        <f t="shared" si="820"/>
        <v>6.0362975866125712</v>
      </c>
      <c r="J651" s="756">
        <f t="shared" si="820"/>
        <v>-2.0589317255769291</v>
      </c>
      <c r="K651" s="756">
        <f t="shared" si="820"/>
        <v>5.4238405849042604</v>
      </c>
      <c r="L651" s="756">
        <f t="shared" si="820"/>
        <v>6.9857380633792099</v>
      </c>
      <c r="M651" s="756">
        <f t="shared" si="820"/>
        <v>-9.3792738790679504</v>
      </c>
      <c r="N651" s="756">
        <f t="shared" si="820"/>
        <v>10.912752958073524</v>
      </c>
      <c r="O651" s="756">
        <f t="shared" si="820"/>
        <v>12.420077696619014</v>
      </c>
      <c r="P651" s="756">
        <f t="shared" si="820"/>
        <v>11.634431293322045</v>
      </c>
      <c r="Q651" s="756">
        <f t="shared" si="820"/>
        <v>4.5144647877389366</v>
      </c>
      <c r="R651" s="756">
        <f t="shared" si="820"/>
        <v>3.3354801139978685</v>
      </c>
      <c r="S651" s="756">
        <f t="shared" si="820"/>
        <v>9.7280483071595203</v>
      </c>
      <c r="T651" s="756">
        <f t="shared" si="819"/>
        <v>-2.8113877188000513</v>
      </c>
      <c r="U651" s="756">
        <f t="shared" si="819"/>
        <v>-12.62771104364786</v>
      </c>
      <c r="V651" s="756">
        <f t="shared" si="819"/>
        <v>40.308649268930537</v>
      </c>
      <c r="W651" s="2228">
        <f t="shared" ref="W651:AE652" si="821">(W645/V645-1)*100</f>
        <v>-6.3831244924087542</v>
      </c>
      <c r="X651" s="2228">
        <f t="shared" si="821"/>
        <v>5.8729181023704502</v>
      </c>
      <c r="Y651" s="2228">
        <f t="shared" si="821"/>
        <v>-6.8496800170503409</v>
      </c>
      <c r="Z651" s="2228">
        <f t="shared" si="821"/>
        <v>1.5584829179079662</v>
      </c>
      <c r="AA651" s="2228">
        <f t="shared" si="821"/>
        <v>4.5843684543815488</v>
      </c>
      <c r="AB651" s="2228">
        <f t="shared" si="821"/>
        <v>13.013140352000763</v>
      </c>
      <c r="AC651" s="2228">
        <f t="shared" si="821"/>
        <v>2.5839159344246632</v>
      </c>
      <c r="AD651" s="2228">
        <f t="shared" ca="1" si="821"/>
        <v>6.5015825948188333</v>
      </c>
      <c r="AE651" s="2228">
        <f t="shared" ca="1" si="821"/>
        <v>4.4353506804087006</v>
      </c>
      <c r="AF651" s="749"/>
      <c r="AG651" s="749"/>
      <c r="AH651" s="749"/>
      <c r="AI651" s="749"/>
      <c r="AJ651" s="749"/>
      <c r="AK651" s="2228">
        <v>10.009200846917942</v>
      </c>
      <c r="AL651" s="749"/>
      <c r="AM651" s="2228">
        <f t="shared" si="809"/>
        <v>-8.4507179290099756</v>
      </c>
      <c r="AN651" s="749"/>
      <c r="AO651" s="749"/>
      <c r="AP651" s="749"/>
      <c r="AQ651" s="749"/>
      <c r="AR651" s="749"/>
      <c r="AS651" s="749"/>
      <c r="AT651" s="749"/>
    </row>
    <row r="652" spans="1:46" ht="12.75" customHeight="1">
      <c r="A652" s="714"/>
      <c r="B652" s="714"/>
      <c r="C652" s="841" t="s">
        <v>622</v>
      </c>
      <c r="D652" s="741" t="s">
        <v>591</v>
      </c>
      <c r="E652" s="842" t="s">
        <v>1441</v>
      </c>
      <c r="F652" s="785" t="s">
        <v>658</v>
      </c>
      <c r="G652" s="789"/>
      <c r="H652" s="789">
        <f t="shared" ref="H652:S652" si="822">(H646/G646-1)*100</f>
        <v>6.4110443494838076</v>
      </c>
      <c r="I652" s="789">
        <f t="shared" si="822"/>
        <v>11.830789406331444</v>
      </c>
      <c r="J652" s="789">
        <f t="shared" si="822"/>
        <v>9.0741539626891345</v>
      </c>
      <c r="K652" s="789">
        <f t="shared" si="822"/>
        <v>6.8777783142015547</v>
      </c>
      <c r="L652" s="789">
        <f t="shared" si="822"/>
        <v>7.6099835645759617</v>
      </c>
      <c r="M652" s="789">
        <f t="shared" si="822"/>
        <v>3.4390398264092958</v>
      </c>
      <c r="N652" s="789">
        <f t="shared" si="822"/>
        <v>4.8435356311720357</v>
      </c>
      <c r="O652" s="789">
        <f t="shared" si="822"/>
        <v>-0.56764638890255403</v>
      </c>
      <c r="P652" s="789">
        <f t="shared" si="822"/>
        <v>7.6856393395497991</v>
      </c>
      <c r="Q652" s="789">
        <f t="shared" si="822"/>
        <v>5.032944451164445</v>
      </c>
      <c r="R652" s="789">
        <f t="shared" si="822"/>
        <v>5.5228740866250625</v>
      </c>
      <c r="S652" s="789">
        <f t="shared" si="822"/>
        <v>4.847320870789118</v>
      </c>
      <c r="T652" s="789">
        <f t="shared" si="819"/>
        <v>2.4646956280367283</v>
      </c>
      <c r="U652" s="789">
        <f t="shared" si="819"/>
        <v>-11.205005120252975</v>
      </c>
      <c r="V652" s="789">
        <f t="shared" si="819"/>
        <v>8.5536983048039694</v>
      </c>
      <c r="W652" s="789">
        <f t="shared" si="819"/>
        <v>7.3341982752041401</v>
      </c>
      <c r="X652" s="2203">
        <f t="shared" si="821"/>
        <v>5.3410034852014121</v>
      </c>
      <c r="Y652" s="2203">
        <f t="shared" si="821"/>
        <v>3.4565626155107276</v>
      </c>
      <c r="Z652" s="2203">
        <f t="shared" si="821"/>
        <v>0.79296449834667104</v>
      </c>
      <c r="AA652" s="2203">
        <f t="shared" si="821"/>
        <v>1.4110106711984205</v>
      </c>
      <c r="AB652" s="2203">
        <f t="shared" si="821"/>
        <v>0.11499411858273412</v>
      </c>
      <c r="AC652" s="2203">
        <f t="shared" si="821"/>
        <v>9.143017906333295</v>
      </c>
      <c r="AD652" s="2203">
        <f t="shared" si="821"/>
        <v>2.2208448527144542</v>
      </c>
      <c r="AE652" s="2203">
        <f t="shared" si="821"/>
        <v>1.9646117604938951</v>
      </c>
      <c r="AF652" s="749"/>
      <c r="AG652" s="749"/>
      <c r="AH652" s="749"/>
      <c r="AI652" s="749"/>
      <c r="AJ652" s="749"/>
      <c r="AK652" s="2203">
        <v>0.93128493351652963</v>
      </c>
      <c r="AL652" s="749"/>
      <c r="AM652" s="2203">
        <f t="shared" si="809"/>
        <v>-0.13832043516985859</v>
      </c>
      <c r="AN652" s="749"/>
      <c r="AO652" s="749"/>
      <c r="AP652" s="749"/>
      <c r="AQ652" s="749"/>
      <c r="AR652" s="749"/>
      <c r="AS652" s="749"/>
      <c r="AT652" s="749"/>
    </row>
    <row r="653" spans="1:46" ht="12.75" customHeight="1">
      <c r="A653" s="714"/>
      <c r="B653" s="714"/>
      <c r="C653" s="822" t="s">
        <v>624</v>
      </c>
      <c r="D653" s="766" t="s">
        <v>592</v>
      </c>
      <c r="E653" s="771" t="s">
        <v>1441</v>
      </c>
      <c r="F653" s="772" t="s">
        <v>1189</v>
      </c>
      <c r="G653" s="770"/>
      <c r="H653" s="770">
        <f t="shared" ref="H653:S653" ca="1" si="823">(H647/G647-1)*100</f>
        <v>1.9964283157736018</v>
      </c>
      <c r="I653" s="770">
        <f t="shared" si="823"/>
        <v>4.8355579122932646</v>
      </c>
      <c r="J653" s="770">
        <f t="shared" si="823"/>
        <v>3.7002697493497161</v>
      </c>
      <c r="K653" s="770">
        <f t="shared" si="823"/>
        <v>4.0853190032332787</v>
      </c>
      <c r="L653" s="770">
        <f t="shared" si="823"/>
        <v>6.062032246844784</v>
      </c>
      <c r="M653" s="770">
        <f t="shared" si="823"/>
        <v>2.3815284206809118</v>
      </c>
      <c r="N653" s="770">
        <f t="shared" si="823"/>
        <v>3.1996899985328398</v>
      </c>
      <c r="O653" s="770">
        <f t="shared" si="823"/>
        <v>2.683866738870222</v>
      </c>
      <c r="P653" s="770">
        <f t="shared" si="823"/>
        <v>5.0523497498767167</v>
      </c>
      <c r="Q653" s="770">
        <f t="shared" si="823"/>
        <v>4.16201656865689</v>
      </c>
      <c r="R653" s="770">
        <f t="shared" si="823"/>
        <v>5.1122812710873378</v>
      </c>
      <c r="S653" s="770">
        <f t="shared" si="823"/>
        <v>5.7541956591918852</v>
      </c>
      <c r="T653" s="770">
        <f t="shared" si="819"/>
        <v>3.4369287231897916</v>
      </c>
      <c r="U653" s="770">
        <f t="shared" si="819"/>
        <v>-3.7097412768216542</v>
      </c>
      <c r="V653" s="770">
        <f t="shared" si="819"/>
        <v>8.1842819216219063</v>
      </c>
      <c r="W653" s="2141">
        <f t="shared" ref="W653:AE653" si="824">(W647/V647-1)*100</f>
        <v>1.605112319157076</v>
      </c>
      <c r="X653" s="2141">
        <f t="shared" si="824"/>
        <v>3.41928953991677</v>
      </c>
      <c r="Y653" s="2141">
        <f t="shared" si="824"/>
        <v>0.28275467616989403</v>
      </c>
      <c r="Z653" s="2141">
        <f t="shared" si="824"/>
        <v>1.1060464997640684</v>
      </c>
      <c r="AA653" s="2141">
        <f t="shared" si="824"/>
        <v>1.6156669387952682</v>
      </c>
      <c r="AB653" s="2141">
        <f t="shared" si="824"/>
        <v>3.6489902563498822</v>
      </c>
      <c r="AC653" s="2141">
        <f t="shared" si="824"/>
        <v>4.2146736885174674</v>
      </c>
      <c r="AD653" s="2141">
        <f t="shared" ca="1" si="824"/>
        <v>3.4179742705388039</v>
      </c>
      <c r="AE653" s="2141">
        <f t="shared" ca="1" si="824"/>
        <v>3.3418754026011577</v>
      </c>
      <c r="AK653" s="2141">
        <v>2.8505522375456227</v>
      </c>
      <c r="AM653" s="2141">
        <f t="shared" si="809"/>
        <v>-1.7445057377815543</v>
      </c>
    </row>
    <row r="654" spans="1:46" ht="12.75" customHeight="1">
      <c r="A654" s="714"/>
      <c r="B654" s="714"/>
      <c r="C654" s="822"/>
      <c r="E654" s="833"/>
      <c r="F654" s="834"/>
      <c r="G654" s="753"/>
      <c r="H654" s="835"/>
      <c r="I654" s="753"/>
      <c r="J654" s="753"/>
      <c r="K654" s="753"/>
      <c r="L654" s="753"/>
      <c r="M654" s="753"/>
      <c r="N654" s="753"/>
      <c r="O654" s="753"/>
      <c r="P654" s="753"/>
      <c r="Q654" s="753"/>
      <c r="R654" s="753"/>
      <c r="S654" s="753"/>
      <c r="T654" s="2218"/>
      <c r="U654" s="2218"/>
      <c r="V654" s="2218"/>
      <c r="W654" s="2218"/>
      <c r="X654" s="2218"/>
      <c r="Y654" s="2218"/>
      <c r="Z654" s="2218"/>
      <c r="AA654" s="2218"/>
      <c r="AB654" s="2218"/>
      <c r="AC654" s="2218"/>
      <c r="AD654" s="2218"/>
      <c r="AE654" s="2218"/>
      <c r="AK654" s="2218"/>
      <c r="AM654" s="2218">
        <f t="shared" si="809"/>
        <v>0</v>
      </c>
    </row>
    <row r="655" spans="1:46" ht="12.75" customHeight="1">
      <c r="A655" s="714"/>
      <c r="B655" s="714"/>
      <c r="C655" s="822"/>
      <c r="D655" s="862"/>
      <c r="E655" s="863" t="s">
        <v>1805</v>
      </c>
      <c r="F655" s="864"/>
      <c r="G655" s="865">
        <f>+InputY!$G$3</f>
        <v>1995</v>
      </c>
      <c r="H655" s="865">
        <f>+G655+1</f>
        <v>1996</v>
      </c>
      <c r="I655" s="865">
        <f t="shared" ref="I655:O655" si="825">+H655+1</f>
        <v>1997</v>
      </c>
      <c r="J655" s="865">
        <f t="shared" si="825"/>
        <v>1998</v>
      </c>
      <c r="K655" s="865">
        <f t="shared" si="825"/>
        <v>1999</v>
      </c>
      <c r="L655" s="865">
        <f t="shared" si="825"/>
        <v>2000</v>
      </c>
      <c r="M655" s="865">
        <f t="shared" si="825"/>
        <v>2001</v>
      </c>
      <c r="N655" s="865">
        <f t="shared" si="825"/>
        <v>2002</v>
      </c>
      <c r="O655" s="865">
        <f t="shared" si="825"/>
        <v>2003</v>
      </c>
      <c r="P655" s="865">
        <f t="shared" ref="P655:U655" si="826">+O655+1</f>
        <v>2004</v>
      </c>
      <c r="Q655" s="865">
        <f t="shared" si="826"/>
        <v>2005</v>
      </c>
      <c r="R655" s="865">
        <f t="shared" si="826"/>
        <v>2006</v>
      </c>
      <c r="S655" s="865">
        <f t="shared" si="826"/>
        <v>2007</v>
      </c>
      <c r="T655" s="2219">
        <f t="shared" si="826"/>
        <v>2008</v>
      </c>
      <c r="U655" s="2219">
        <f t="shared" si="826"/>
        <v>2009</v>
      </c>
      <c r="V655" s="2219">
        <f t="shared" ref="V655:AE655" si="827">+U655+1</f>
        <v>2010</v>
      </c>
      <c r="W655" s="2219">
        <f t="shared" si="827"/>
        <v>2011</v>
      </c>
      <c r="X655" s="2219">
        <f t="shared" si="827"/>
        <v>2012</v>
      </c>
      <c r="Y655" s="2219">
        <f t="shared" si="827"/>
        <v>2013</v>
      </c>
      <c r="Z655" s="2219">
        <f t="shared" si="827"/>
        <v>2014</v>
      </c>
      <c r="AA655" s="2219">
        <f t="shared" si="827"/>
        <v>2015</v>
      </c>
      <c r="AB655" s="2219">
        <f t="shared" si="827"/>
        <v>2016</v>
      </c>
      <c r="AC655" s="2219">
        <f t="shared" si="827"/>
        <v>2017</v>
      </c>
      <c r="AD655" s="2219">
        <f t="shared" si="827"/>
        <v>2018</v>
      </c>
      <c r="AE655" s="2219">
        <f t="shared" si="827"/>
        <v>2019</v>
      </c>
      <c r="AK655" s="2219">
        <v>2014</v>
      </c>
      <c r="AM655" s="2219">
        <f t="shared" si="809"/>
        <v>0</v>
      </c>
    </row>
    <row r="656" spans="1:46" ht="12.75" customHeight="1">
      <c r="A656" s="714"/>
      <c r="B656" s="714"/>
      <c r="C656" s="866" t="s">
        <v>622</v>
      </c>
      <c r="D656" s="867" t="s">
        <v>589</v>
      </c>
      <c r="E656" s="868" t="s">
        <v>1441</v>
      </c>
      <c r="F656" s="869" t="s">
        <v>647</v>
      </c>
      <c r="G656" s="878">
        <f ca="1">+G644/'VVP2'!G$355</f>
        <v>0.66089578912096481</v>
      </c>
      <c r="H656" s="878">
        <f>+H644/'VVP2'!H$355</f>
        <v>0.64956858866068012</v>
      </c>
      <c r="I656" s="878">
        <f>+I644/'VVP2'!I$355</f>
        <v>0.63531143915064336</v>
      </c>
      <c r="J656" s="878">
        <f>+J644/'VVP2'!J$355</f>
        <v>0.632310345533448</v>
      </c>
      <c r="K656" s="878">
        <f>+K644/'VVP2'!K$355</f>
        <v>0.62383530009089938</v>
      </c>
      <c r="L656" s="878">
        <f>+L644/'VVP2'!L$355</f>
        <v>0.62102415750788098</v>
      </c>
      <c r="M656" s="878">
        <f>+M644/'VVP2'!M$355</f>
        <v>0.63265590221394163</v>
      </c>
      <c r="N656" s="878">
        <f>+N644/'VVP2'!N$355</f>
        <v>0.61705465360745515</v>
      </c>
      <c r="O656" s="878">
        <f>+O644/'VVP2'!O$355</f>
        <v>0.61074949626109865</v>
      </c>
      <c r="P656" s="878">
        <f>+P644/'VVP2'!P$355</f>
        <v>0.59139810144126037</v>
      </c>
      <c r="Q656" s="878">
        <f>+Q644/'VVP2'!Q$355</f>
        <v>0.58818456867967472</v>
      </c>
      <c r="R656" s="878">
        <f>+R644/'VVP2'!R$355</f>
        <v>0.59139275722527962</v>
      </c>
      <c r="S656" s="878">
        <f>+S644/'VVP2'!S$355</f>
        <v>0.58859252275446949</v>
      </c>
      <c r="T656" s="878">
        <f>+T644/'VVP2'!T$355</f>
        <v>0.60541102659137747</v>
      </c>
      <c r="U656" s="878">
        <f>+U644/'VVP2'!U$355</f>
        <v>0.62480163059294214</v>
      </c>
      <c r="V656" s="878">
        <f>+V644/'VVP2'!V$355</f>
        <v>0.60101889753643178</v>
      </c>
      <c r="W656" s="2224">
        <f>+W644/'VVP2'!W$355</f>
        <v>0.59039324854269104</v>
      </c>
      <c r="X656" s="2224">
        <f>+X644/'VVP2'!X$355</f>
        <v>0.58880733192068868</v>
      </c>
      <c r="Y656" s="2224">
        <f>+Y644/'VVP2'!Y$355</f>
        <v>0.58826201165418335</v>
      </c>
      <c r="Z656" s="2224">
        <f>+Z644/'VVP2'!Z$355</f>
        <v>0.58298246113675101</v>
      </c>
      <c r="AA656" s="2224">
        <f>+AA644/'VVP2'!AA$355</f>
        <v>0.573489554502148</v>
      </c>
      <c r="AB656" s="2224">
        <f>+AB644/'VVP2'!AB$355</f>
        <v>0.56973102841187906</v>
      </c>
      <c r="AC656" s="2224">
        <f>+AC644/'VVP2'!AC$355</f>
        <v>0.56462294143910463</v>
      </c>
      <c r="AD656" s="2224">
        <f ca="1">+AD644/'VVP2'!AD$355</f>
        <v>0.5621764082319447</v>
      </c>
      <c r="AE656" s="2224">
        <f ca="1">+AE644/'VVP2'!AE$355</f>
        <v>0.56281643859240482</v>
      </c>
      <c r="AK656" s="2224">
        <v>0.59033517029516158</v>
      </c>
      <c r="AM656" s="2224">
        <f t="shared" si="809"/>
        <v>-7.3527091584105753E-3</v>
      </c>
    </row>
    <row r="657" spans="1:46" ht="12.75" customHeight="1">
      <c r="A657" s="714"/>
      <c r="B657" s="714"/>
      <c r="C657" s="870" t="s">
        <v>622</v>
      </c>
      <c r="D657" s="724" t="s">
        <v>589</v>
      </c>
      <c r="E657" s="830" t="s">
        <v>1441</v>
      </c>
      <c r="F657" s="754" t="s">
        <v>1188</v>
      </c>
      <c r="G657" s="879">
        <f ca="1">+G645/'VVP2'!G$355</f>
        <v>0.15431149865493432</v>
      </c>
      <c r="H657" s="879">
        <f>+H645/'VVP2'!H$355</f>
        <v>0.15552063883702319</v>
      </c>
      <c r="I657" s="879">
        <f>+I645/'VVP2'!I$355</f>
        <v>0.15759129472356137</v>
      </c>
      <c r="J657" s="879">
        <f>+J645/'VVP2'!J$355</f>
        <v>0.14873793976363983</v>
      </c>
      <c r="K657" s="879">
        <f>+K645/'VVP2'!K$355</f>
        <v>0.15055399507013989</v>
      </c>
      <c r="L657" s="879">
        <f>+L645/'VVP2'!L$355</f>
        <v>0.15234100889931923</v>
      </c>
      <c r="M657" s="879">
        <f>+M645/'VVP2'!M$355</f>
        <v>0.13412248239577051</v>
      </c>
      <c r="N657" s="879">
        <f>+N645/'VVP2'!N$355</f>
        <v>0.14374197235490793</v>
      </c>
      <c r="O657" s="879">
        <f>+O645/'VVP2'!O$355</f>
        <v>0.15726595821841829</v>
      </c>
      <c r="P657" s="879">
        <f>+P645/'VVP2'!P$355</f>
        <v>0.16611552042979361</v>
      </c>
      <c r="Q657" s="879">
        <f>+Q645/'VVP2'!Q$355</f>
        <v>0.16649693977927368</v>
      </c>
      <c r="R657" s="879">
        <f>+R645/'VVP2'!R$355</f>
        <v>0.16405453831344372</v>
      </c>
      <c r="S657" s="879">
        <f>+S645/'VVP2'!S$355</f>
        <v>0.17058766363273742</v>
      </c>
      <c r="T657" s="879">
        <f>+T645/'VVP2'!T$355</f>
        <v>0.16141204222151856</v>
      </c>
      <c r="U657" s="879">
        <f>+U645/'VVP2'!U$355</f>
        <v>0.14316630115565324</v>
      </c>
      <c r="V657" s="879">
        <f>+V645/'VVP2'!V$355</f>
        <v>0.19189593002474653</v>
      </c>
      <c r="W657" s="2225">
        <f>+W645/'VVP2'!W$355</f>
        <v>0.17301005021546731</v>
      </c>
      <c r="X657" s="2225">
        <f>+X645/'VVP2'!X$355</f>
        <v>0.17920305052824495</v>
      </c>
      <c r="Y657" s="2225">
        <f>+Y645/'VVP2'!Y$355</f>
        <v>0.16486907522509828</v>
      </c>
      <c r="Z657" s="2225">
        <f>+Z645/'VVP2'!Z$355</f>
        <v>0.16411375603877409</v>
      </c>
      <c r="AA657" s="2225">
        <f>+AA645/'VVP2'!AA$355</f>
        <v>0.16739402468404263</v>
      </c>
      <c r="AB657" s="2225">
        <f>+AB645/'VVP2'!AB$355</f>
        <v>0.18353691917993303</v>
      </c>
      <c r="AC657" s="2225">
        <f>+AC645/'VVP2'!AC$355</f>
        <v>0.18165126329929035</v>
      </c>
      <c r="AD657" s="2225">
        <f ca="1">+AD645/'VVP2'!AD$355</f>
        <v>0.18710836466828018</v>
      </c>
      <c r="AE657" s="2225">
        <f ca="1">+AE645/'VVP2'!AE$355</f>
        <v>0.18887982712081031</v>
      </c>
      <c r="AK657" s="2225">
        <v>0.1497426306792477</v>
      </c>
      <c r="AM657" s="2225">
        <f t="shared" si="809"/>
        <v>1.4371125359526393E-2</v>
      </c>
    </row>
    <row r="658" spans="1:46" ht="12.75" customHeight="1">
      <c r="A658" s="714"/>
      <c r="B658" s="714"/>
      <c r="C658" s="871" t="s">
        <v>622</v>
      </c>
      <c r="D658" s="872" t="s">
        <v>591</v>
      </c>
      <c r="E658" s="873" t="s">
        <v>1441</v>
      </c>
      <c r="F658" s="874" t="s">
        <v>658</v>
      </c>
      <c r="G658" s="880">
        <f ca="1">+G646/'VVP2'!G$355</f>
        <v>0.19636870133484285</v>
      </c>
      <c r="H658" s="880">
        <f>+H646/'VVP2'!H$355</f>
        <v>0.20445683663791822</v>
      </c>
      <c r="I658" s="880">
        <f>+I646/'VVP2'!I$355</f>
        <v>0.21850061535071</v>
      </c>
      <c r="J658" s="880">
        <f>+J646/'VVP2'!J$355</f>
        <v>0.22966732852970881</v>
      </c>
      <c r="K658" s="880">
        <f>+K646/'VVP2'!K$355</f>
        <v>0.23567761008246457</v>
      </c>
      <c r="L658" s="880">
        <f>+L646/'VVP2'!L$355</f>
        <v>0.23986647148577586</v>
      </c>
      <c r="M658" s="880">
        <f>+M646/'VVP2'!M$355</f>
        <v>0.24105228068644083</v>
      </c>
      <c r="N658" s="880">
        <f>+N646/'VVP2'!N$355</f>
        <v>0.24420437198321418</v>
      </c>
      <c r="O658" s="880">
        <f>+O646/'VVP2'!O$355</f>
        <v>0.23631342731742003</v>
      </c>
      <c r="P658" s="880">
        <f>+P646/'VVP2'!P$355</f>
        <v>0.2407817193084415</v>
      </c>
      <c r="Q658" s="880">
        <f>+Q646/'VVP2'!Q$355</f>
        <v>0.24253180292332621</v>
      </c>
      <c r="R658" s="880">
        <f>+R646/'VVP2'!R$355</f>
        <v>0.24403259514954451</v>
      </c>
      <c r="S658" s="880">
        <f>+S646/'VVP2'!S$355</f>
        <v>0.24246379229067705</v>
      </c>
      <c r="T658" s="880">
        <f>+T646/'VVP2'!T$355</f>
        <v>0.24187672407876606</v>
      </c>
      <c r="U658" s="880">
        <f>+U646/'VVP2'!U$355</f>
        <v>0.21802872919432842</v>
      </c>
      <c r="V658" s="880">
        <f>+V646/'VVP2'!V$355</f>
        <v>0.22609911517513676</v>
      </c>
      <c r="W658" s="880">
        <f>+W646/'VVP2'!W$355</f>
        <v>0.23371597886925125</v>
      </c>
      <c r="X658" s="2226">
        <f>+X646/'VVP2'!X$355</f>
        <v>0.24086574429271115</v>
      </c>
      <c r="Y658" s="2226">
        <f>+Y646/'VVP2'!Y$355</f>
        <v>0.24611752363639888</v>
      </c>
      <c r="Z658" s="2226">
        <f>+Z646/'VVP2'!Z$355</f>
        <v>0.24314331524136865</v>
      </c>
      <c r="AA658" s="2226">
        <f>+AA646/'VVP2'!AA$355</f>
        <v>0.24047815586967197</v>
      </c>
      <c r="AB658" s="2226">
        <f>+AB646/'VVP2'!AB$355</f>
        <v>0.23357658367222281</v>
      </c>
      <c r="AC658" s="2226">
        <f>+AC646/'VVP2'!AC$355</f>
        <v>0.24595801084006139</v>
      </c>
      <c r="AD658" s="2226">
        <f ca="1">+AD646/'VVP2'!AD$355</f>
        <v>0.24316393195414224</v>
      </c>
      <c r="AE658" s="2226">
        <f ca="1">+AE646/'VVP2'!AE$355</f>
        <v>0.23965885020469732</v>
      </c>
      <c r="AK658" s="2226">
        <v>0.24285281030153877</v>
      </c>
      <c r="AM658" s="2226">
        <f t="shared" si="809"/>
        <v>2.9050493982987757E-4</v>
      </c>
    </row>
    <row r="659" spans="1:46" ht="12.75" customHeight="1">
      <c r="A659" s="714"/>
      <c r="B659" s="714"/>
      <c r="C659" s="822" t="s">
        <v>624</v>
      </c>
      <c r="D659" s="850" t="s">
        <v>592</v>
      </c>
      <c r="E659" s="851" t="s">
        <v>1441</v>
      </c>
      <c r="F659" s="852" t="s">
        <v>1189</v>
      </c>
      <c r="G659" s="881">
        <f ca="1">+G647/'VVP2'!G$355</f>
        <v>1.0115759891107421</v>
      </c>
      <c r="H659" s="881">
        <f>+H647/'VVP2'!H$355</f>
        <v>1.0095460641356215</v>
      </c>
      <c r="I659" s="881">
        <f>+I647/'VVP2'!I$355</f>
        <v>1.0114033492249146</v>
      </c>
      <c r="J659" s="881">
        <f>+J647/'VVP2'!J$355</f>
        <v>1.0107156138267968</v>
      </c>
      <c r="K659" s="881">
        <f>+K647/'VVP2'!K$355</f>
        <v>1.0100669052435038</v>
      </c>
      <c r="L659" s="881">
        <f>+L647/'VVP2'!L$355</f>
        <v>1.013231637892976</v>
      </c>
      <c r="M659" s="881">
        <f>+M647/'VVP2'!M$355</f>
        <v>1.0078306652961531</v>
      </c>
      <c r="N659" s="881">
        <f>+N647/'VVP2'!N$355</f>
        <v>1.0050009979455774</v>
      </c>
      <c r="O659" s="881">
        <f>+O647/'VVP2'!O$355</f>
        <v>1.0043288817969371</v>
      </c>
      <c r="P659" s="881">
        <f>+P647/'VVP2'!P$355</f>
        <v>0.99829534117949548</v>
      </c>
      <c r="Q659" s="881">
        <f>+Q647/'VVP2'!Q$355</f>
        <v>0.99721331138227465</v>
      </c>
      <c r="R659" s="881">
        <f>+R647/'VVP2'!R$355</f>
        <v>0.99947989068826781</v>
      </c>
      <c r="S659" s="881">
        <f>+S647/'VVP2'!S$355</f>
        <v>1.0016439786778839</v>
      </c>
      <c r="T659" s="881">
        <f>+T647/'VVP2'!T$355</f>
        <v>1.0086997928916621</v>
      </c>
      <c r="U659" s="881">
        <f>+U647/'VVP2'!U$355</f>
        <v>0.98599666094292371</v>
      </c>
      <c r="V659" s="881">
        <f>+V647/'VVP2'!V$355</f>
        <v>1.0190139427363152</v>
      </c>
      <c r="W659" s="2227">
        <f>+W647/'VVP2'!W$355</f>
        <v>0.99711927762740959</v>
      </c>
      <c r="X659" s="2227">
        <f>+X647/'VVP2'!X$355</f>
        <v>1.0088761267416448</v>
      </c>
      <c r="Y659" s="2227">
        <f>+Y647/'VVP2'!Y$355</f>
        <v>0.99924861051568048</v>
      </c>
      <c r="Z659" s="2227">
        <f>+Z647/'VVP2'!Z$355</f>
        <v>0.99023953241689366</v>
      </c>
      <c r="AA659" s="2227">
        <f>+AA647/'VVP2'!AA$355</f>
        <v>0.98136173505586255</v>
      </c>
      <c r="AB659" s="2227">
        <f>+AB647/'VVP2'!AB$355</f>
        <v>0.98684453126403471</v>
      </c>
      <c r="AC659" s="2227">
        <f>+AC647/'VVP2'!AC$355</f>
        <v>0.99223221557845642</v>
      </c>
      <c r="AD659" s="2227">
        <f ca="1">+AD647/'VVP2'!AD$355</f>
        <v>0.99244870485436709</v>
      </c>
      <c r="AE659" s="2227">
        <f ca="1">+AE647/'VVP2'!AE$355</f>
        <v>0.99135511591791237</v>
      </c>
      <c r="AK659" s="2227">
        <v>0.98293061127594805</v>
      </c>
      <c r="AM659" s="2227">
        <f t="shared" si="809"/>
        <v>7.3089211409456123E-3</v>
      </c>
    </row>
    <row r="660" spans="1:46" s="927" customFormat="1" ht="12.75" customHeight="1">
      <c r="A660" s="714"/>
      <c r="B660" s="714"/>
      <c r="C660" s="822"/>
      <c r="D660" s="1082"/>
      <c r="E660" s="1083"/>
      <c r="F660" s="1084"/>
      <c r="G660" s="1411"/>
      <c r="H660" s="1411"/>
      <c r="I660" s="1411"/>
      <c r="J660" s="1411"/>
      <c r="K660" s="1411"/>
      <c r="L660" s="1411"/>
      <c r="M660" s="1411"/>
      <c r="N660" s="1411"/>
      <c r="O660" s="1411"/>
      <c r="P660" s="1411"/>
      <c r="Q660" s="1411"/>
      <c r="R660" s="1411"/>
      <c r="S660" s="1411"/>
      <c r="T660" s="1411"/>
      <c r="U660" s="1411"/>
      <c r="V660" s="2933"/>
      <c r="W660" s="2933"/>
      <c r="X660" s="2933"/>
      <c r="Y660" s="2933"/>
      <c r="Z660" s="2933"/>
      <c r="AA660" s="2933"/>
      <c r="AB660" s="2933"/>
      <c r="AC660" s="2933"/>
      <c r="AD660" s="2933"/>
      <c r="AE660" s="2933"/>
      <c r="AF660" s="2831"/>
      <c r="AG660" s="2831"/>
      <c r="AH660" s="2831"/>
      <c r="AI660" s="2831"/>
      <c r="AJ660" s="2831"/>
      <c r="AK660" s="2933"/>
      <c r="AL660" s="2831"/>
      <c r="AM660" s="2933">
        <f t="shared" si="809"/>
        <v>0</v>
      </c>
      <c r="AN660" s="2831"/>
      <c r="AO660" s="2831"/>
      <c r="AP660" s="2831"/>
      <c r="AQ660" s="2831"/>
      <c r="AR660" s="2831"/>
      <c r="AS660" s="2831"/>
      <c r="AT660" s="2831"/>
    </row>
    <row r="661" spans="1:46" ht="30" customHeight="1">
      <c r="A661" s="714"/>
      <c r="B661" s="714"/>
      <c r="C661" s="822"/>
      <c r="D661" s="720" t="s">
        <v>589</v>
      </c>
      <c r="E661" s="1083" t="s">
        <v>1249</v>
      </c>
      <c r="H661" s="753">
        <f ca="1">(1+H650/100)/(1+'VVP2'!H405/100)*100-100</f>
        <v>-4.7123728598819525</v>
      </c>
      <c r="I661" s="753">
        <f>(1+I650/100)/(1+'VVP2'!I405/100)*100-100</f>
        <v>0.8167956140074466</v>
      </c>
      <c r="J661" s="753">
        <f>(1+J650/100)/(1+'VVP2'!J405/100)*100-100</f>
        <v>2.0539789833372595</v>
      </c>
      <c r="K661" s="753">
        <f>(1+K650/100)/(1+'VVP2'!K405/100)*100-100</f>
        <v>2.1208755386280984</v>
      </c>
      <c r="L661" s="753">
        <f>(1+L650/100)/(1+'VVP2'!L405/100)*100-100</f>
        <v>1.9801429611928683</v>
      </c>
      <c r="M661" s="753">
        <f>(1+M650/100)/(1+'VVP2'!M405/100)*100-100</f>
        <v>2.7592739828951665</v>
      </c>
      <c r="N661" s="753">
        <f>(1+N650/100)/(1+'VVP2'!N405/100)*100-100</f>
        <v>-0.43986508057729168</v>
      </c>
      <c r="O661" s="753">
        <f>(1+O650/100)/(1+'VVP2'!O405/100)*100-100</f>
        <v>0.12347951717603678</v>
      </c>
      <c r="P661" s="753">
        <f>(1+P650/100)/(1+'VVP2'!P405/100)*100-100</f>
        <v>-7.3270175805504323E-2</v>
      </c>
      <c r="Q661" s="753">
        <f>(1+Q650/100)/(1+'VVP2'!Q405/100)*100-100</f>
        <v>0.98057649221534859</v>
      </c>
      <c r="R661" s="753">
        <f>(1+R650/100)/(1+'VVP2'!R405/100)*100-100</f>
        <v>2.2694764267895806</v>
      </c>
      <c r="S661" s="753">
        <f>(1+S650/100)/(1+'VVP2'!S405/100)*100-100</f>
        <v>2.0731655942174854</v>
      </c>
      <c r="T661" s="753">
        <f>(1+T650/100)/(1+'VVP2'!T405/100)*100-100</f>
        <v>2.389150466489383</v>
      </c>
      <c r="U661" s="753">
        <f>(1+U650/100)/(1+'VVP2'!U405/100)*100-100</f>
        <v>2.07725560957455</v>
      </c>
      <c r="V661" s="753">
        <f>(1+V650/100)/(1+'VVP2'!V405/100)*100-100</f>
        <v>-1.0224852222432048</v>
      </c>
      <c r="W661" s="753">
        <f>(1+W650/100)/(1+'VVP2'!W405/100)*100-100</f>
        <v>-0.97715826924184057</v>
      </c>
      <c r="X661" s="753">
        <f>(1+X650/100)/(1+'VVP2'!X405/100)*100-100</f>
        <v>-7.064710689293463E-2</v>
      </c>
      <c r="Y661" s="753">
        <f>(1+Y650/100)/(1+'VVP2'!Y405/100)*100-100</f>
        <v>0.313201385484291</v>
      </c>
      <c r="Z661" s="753">
        <f>(1+Z650/100)/(1+'VVP2'!Z405/100)*100-100</f>
        <v>0.49643391120477531</v>
      </c>
      <c r="AA661" s="753">
        <f>(1+AA650/100)/(1+'VVP2'!AA405/100)*100-100</f>
        <v>0.31348831303519376</v>
      </c>
      <c r="AB661" s="753">
        <f>(1+AB650/100)/(1+'VVP2'!AB405/100)*100-100</f>
        <v>0.88042112966317632</v>
      </c>
      <c r="AC661" s="753">
        <f>(1+AC650/100)/(1+'VVP2'!AC405/100)*100-100</f>
        <v>1.0086171986189783</v>
      </c>
      <c r="AD661" s="753">
        <f ca="1">(1+AD650/100)/(1+'VVP2'!AD405/100)*100-100</f>
        <v>1.226547369058494</v>
      </c>
      <c r="AE661" s="753">
        <f ca="1">(1+AE650/100)/(1+'VVP2'!AE405/100)*100-100</f>
        <v>2.2444793476521028</v>
      </c>
      <c r="AK661" s="753">
        <v>1.2438970807264695</v>
      </c>
      <c r="AM661" s="753">
        <f t="shared" si="809"/>
        <v>-0.74746316952169423</v>
      </c>
    </row>
    <row r="662" spans="1:46" ht="30" customHeight="1">
      <c r="S662" s="2162"/>
      <c r="T662" s="2162"/>
      <c r="U662" s="2162"/>
      <c r="V662" s="2162"/>
      <c r="W662" s="2162"/>
      <c r="X662" s="2162"/>
      <c r="Y662" s="2162"/>
      <c r="Z662" s="2162"/>
      <c r="AA662" s="2162"/>
      <c r="AM662" s="2827">
        <f t="shared" si="809"/>
        <v>0</v>
      </c>
    </row>
    <row r="663" spans="1:46" ht="22.5" customHeight="1">
      <c r="A663" s="603"/>
      <c r="B663" s="603"/>
      <c r="C663" s="4129" t="s">
        <v>1442</v>
      </c>
      <c r="D663" s="4129"/>
      <c r="E663" s="4129"/>
      <c r="F663" s="4129"/>
      <c r="S663" s="2162"/>
      <c r="T663" s="2218"/>
      <c r="U663" s="2162"/>
      <c r="AM663" s="2827">
        <f t="shared" si="809"/>
        <v>0</v>
      </c>
    </row>
    <row r="664" spans="1:46" ht="12.75" customHeight="1">
      <c r="A664" s="714"/>
      <c r="B664" s="714"/>
      <c r="C664" s="822"/>
      <c r="S664" s="2162"/>
      <c r="T664" s="2162"/>
      <c r="U664" s="2162"/>
      <c r="AM664" s="2827">
        <f t="shared" si="809"/>
        <v>0</v>
      </c>
    </row>
    <row r="665" spans="1:46" ht="12.75" customHeight="1">
      <c r="A665" s="714"/>
      <c r="B665" s="714"/>
      <c r="C665" s="822"/>
      <c r="D665" s="823"/>
      <c r="E665" s="824" t="s">
        <v>1803</v>
      </c>
      <c r="F665" s="825"/>
      <c r="G665" s="826">
        <f>+InputY!$G$3</f>
        <v>1995</v>
      </c>
      <c r="H665" s="826">
        <f>+G665+1</f>
        <v>1996</v>
      </c>
      <c r="I665" s="826">
        <f t="shared" ref="I665:S665" si="828">+H665+1</f>
        <v>1997</v>
      </c>
      <c r="J665" s="826">
        <f t="shared" si="828"/>
        <v>1998</v>
      </c>
      <c r="K665" s="826">
        <f t="shared" si="828"/>
        <v>1999</v>
      </c>
      <c r="L665" s="826">
        <f t="shared" si="828"/>
        <v>2000</v>
      </c>
      <c r="M665" s="826">
        <f t="shared" si="828"/>
        <v>2001</v>
      </c>
      <c r="N665" s="826">
        <f t="shared" si="828"/>
        <v>2002</v>
      </c>
      <c r="O665" s="826">
        <f t="shared" si="828"/>
        <v>2003</v>
      </c>
      <c r="P665" s="826">
        <f>+O665+1</f>
        <v>2004</v>
      </c>
      <c r="Q665" s="826">
        <f>+P665+1</f>
        <v>2005</v>
      </c>
      <c r="R665" s="826">
        <f>+Q665+1</f>
        <v>2006</v>
      </c>
      <c r="S665" s="2163">
        <f t="shared" si="828"/>
        <v>2007</v>
      </c>
      <c r="T665" s="2163">
        <f t="shared" ref="T665:AE665" si="829">+S665+1</f>
        <v>2008</v>
      </c>
      <c r="U665" s="2163">
        <f t="shared" si="829"/>
        <v>2009</v>
      </c>
      <c r="V665" s="2163">
        <f t="shared" si="829"/>
        <v>2010</v>
      </c>
      <c r="W665" s="2163">
        <f t="shared" si="829"/>
        <v>2011</v>
      </c>
      <c r="X665" s="2163">
        <f t="shared" si="829"/>
        <v>2012</v>
      </c>
      <c r="Y665" s="2163">
        <f t="shared" si="829"/>
        <v>2013</v>
      </c>
      <c r="Z665" s="2163">
        <f t="shared" si="829"/>
        <v>2014</v>
      </c>
      <c r="AA665" s="2163">
        <f t="shared" si="829"/>
        <v>2015</v>
      </c>
      <c r="AB665" s="2163">
        <f t="shared" si="829"/>
        <v>2016</v>
      </c>
      <c r="AC665" s="2163">
        <f t="shared" si="829"/>
        <v>2017</v>
      </c>
      <c r="AD665" s="2163">
        <f t="shared" si="829"/>
        <v>2018</v>
      </c>
      <c r="AE665" s="2163">
        <f t="shared" si="829"/>
        <v>2019</v>
      </c>
      <c r="AK665" s="2163">
        <v>2014</v>
      </c>
      <c r="AM665" s="2163">
        <f t="shared" si="809"/>
        <v>0</v>
      </c>
    </row>
    <row r="666" spans="1:46" ht="12.75" customHeight="1">
      <c r="A666" s="714">
        <f>+ROW(InputY!A202)</f>
        <v>202</v>
      </c>
      <c r="B666" s="714">
        <v>94</v>
      </c>
      <c r="C666" s="827" t="s">
        <v>622</v>
      </c>
      <c r="D666" s="718" t="s">
        <v>589</v>
      </c>
      <c r="E666" s="750" t="s">
        <v>1581</v>
      </c>
      <c r="F666" s="751" t="str">
        <f>InputY!B202</f>
        <v>HChEqPenR</v>
      </c>
      <c r="G666" s="828">
        <f ca="1">InputY!G202/1000</f>
        <v>1.0929</v>
      </c>
      <c r="H666" s="828">
        <f>InputY!H202/1000</f>
        <v>1.33</v>
      </c>
      <c r="I666" s="828">
        <f>InputY!I202/1000</f>
        <v>1.4627000000000001</v>
      </c>
      <c r="J666" s="828">
        <f>InputY!J202/1000</f>
        <v>1.4350000000000001</v>
      </c>
      <c r="K666" s="828">
        <f>InputY!K202/1000</f>
        <v>1.4472</v>
      </c>
      <c r="L666" s="828">
        <f>InputY!L202/1000</f>
        <v>1.3915</v>
      </c>
      <c r="M666" s="828">
        <f>InputY!M202/1000</f>
        <v>1.3982000000000001</v>
      </c>
      <c r="N666" s="828">
        <f>InputY!N202/1000</f>
        <v>1.4002999999999999</v>
      </c>
      <c r="O666" s="828">
        <f>InputY!O202/1000</f>
        <v>1.5860999999999998</v>
      </c>
      <c r="P666" s="828">
        <f>InputY!P202/1000</f>
        <v>1.7039000000000002</v>
      </c>
      <c r="Q666" s="828">
        <f>InputY!Q202/1000</f>
        <v>1.7681</v>
      </c>
      <c r="R666" s="828">
        <f>InputY!R202/1000</f>
        <v>1.8597999999999999</v>
      </c>
      <c r="S666" s="828">
        <f>InputY!S202/1000</f>
        <v>2.2318000000000002</v>
      </c>
      <c r="T666" s="828">
        <f>InputY!T202/1000</f>
        <v>2.6881999999999997</v>
      </c>
      <c r="U666" s="828">
        <f>InputY!U202/1000</f>
        <v>2.6683000000000003</v>
      </c>
      <c r="V666" s="2230">
        <f t="shared" ref="V666:AA666" si="830">+V667+V668</f>
        <v>3.3869999999999996</v>
      </c>
      <c r="W666" s="2230">
        <f t="shared" si="830"/>
        <v>2.9038999999999997</v>
      </c>
      <c r="X666" s="2230">
        <f t="shared" si="830"/>
        <v>2.8317999999999999</v>
      </c>
      <c r="Y666" s="2230">
        <f t="shared" si="830"/>
        <v>2.8161999999999998</v>
      </c>
      <c r="Z666" s="2230">
        <f t="shared" ref="Z666" si="831">+Z667+Z668</f>
        <v>2.6561999999999997</v>
      </c>
      <c r="AA666" s="2230">
        <f t="shared" si="830"/>
        <v>2.7558999999999996</v>
      </c>
      <c r="AB666" s="2230">
        <f t="shared" ref="AB666:AC666" si="832">+AB667+AB668</f>
        <v>2.8010000000000002</v>
      </c>
      <c r="AC666" s="2230">
        <f t="shared" si="832"/>
        <v>2.9410500000000002</v>
      </c>
      <c r="AD666" s="2230">
        <f t="shared" ref="AD666" si="833">+AD667+AD668</f>
        <v>3.0881025000000002</v>
      </c>
      <c r="AE666" s="2230">
        <f t="shared" ref="AE666" si="834">+AE667+AE668</f>
        <v>3.2425076250000004</v>
      </c>
      <c r="AK666" s="2230">
        <v>2.9586299999999999</v>
      </c>
      <c r="AM666" s="2230">
        <f t="shared" si="809"/>
        <v>-0.3024300000000002</v>
      </c>
    </row>
    <row r="667" spans="1:46" ht="12.75" customHeight="1">
      <c r="A667" s="714">
        <f>+ROW(InputY!A125)</f>
        <v>125</v>
      </c>
      <c r="B667" s="714">
        <v>108</v>
      </c>
      <c r="C667" s="829" t="s">
        <v>2133</v>
      </c>
      <c r="D667" s="724" t="s">
        <v>590</v>
      </c>
      <c r="E667" s="830" t="s">
        <v>557</v>
      </c>
      <c r="F667" s="754" t="str">
        <f>InputY!B125</f>
        <v>EChEqPenR</v>
      </c>
      <c r="G667" s="756">
        <f ca="1">InputY!G125/1000</f>
        <v>1.0911999999999999</v>
      </c>
      <c r="H667" s="756">
        <f>InputY!H125/1000</f>
        <v>1.3286</v>
      </c>
      <c r="I667" s="756">
        <f>InputY!I125/1000</f>
        <v>1.4609000000000001</v>
      </c>
      <c r="J667" s="756">
        <f>InputY!J125/1000</f>
        <v>1.4325999999999999</v>
      </c>
      <c r="K667" s="756">
        <f>InputY!K125/1000</f>
        <v>1.4438</v>
      </c>
      <c r="L667" s="756">
        <f>InputY!L125/1000</f>
        <v>1.3895</v>
      </c>
      <c r="M667" s="756">
        <f>InputY!M125/1000</f>
        <v>1.3974000000000002</v>
      </c>
      <c r="N667" s="756">
        <f>InputY!N125/1000</f>
        <v>1.3992</v>
      </c>
      <c r="O667" s="756">
        <f>InputY!O125/1000</f>
        <v>1.5906</v>
      </c>
      <c r="P667" s="756">
        <f>InputY!P125/1000</f>
        <v>1.7</v>
      </c>
      <c r="Q667" s="756">
        <f>InputY!Q125/1000</f>
        <v>1.7670999999999999</v>
      </c>
      <c r="R667" s="756">
        <f>InputY!R125/1000</f>
        <v>1.8569</v>
      </c>
      <c r="S667" s="756">
        <f>InputY!S125/1000</f>
        <v>2.2330000000000001</v>
      </c>
      <c r="T667" s="756">
        <f>InputY!T125/1000</f>
        <v>2.6844999999999999</v>
      </c>
      <c r="U667" s="756">
        <f>InputY!U125/1000</f>
        <v>2.6743000000000001</v>
      </c>
      <c r="V667" s="756">
        <f>InputY!V125/1000</f>
        <v>3.3941999999999997</v>
      </c>
      <c r="W667" s="756">
        <f>InputY!W125/1000</f>
        <v>2.9131999999999998</v>
      </c>
      <c r="X667" s="756">
        <f>InputY!X125/1000</f>
        <v>2.8687</v>
      </c>
      <c r="Y667" s="756">
        <f>InputY!Y125/1000</f>
        <v>2.8555999999999999</v>
      </c>
      <c r="Z667" s="756">
        <f>InputY!Z125/1000</f>
        <v>2.6986999999999997</v>
      </c>
      <c r="AA667" s="756">
        <f>InputY!AA125/1000</f>
        <v>2.8030999999999997</v>
      </c>
      <c r="AB667" s="756">
        <f>InputY!AB125/1000</f>
        <v>2.8010000000000002</v>
      </c>
      <c r="AC667" s="2135">
        <f t="shared" ref="AC667:AE668" si="835">+AB667*(1+AC673/100)</f>
        <v>2.9410500000000002</v>
      </c>
      <c r="AD667" s="2135">
        <f t="shared" si="835"/>
        <v>3.0881025000000002</v>
      </c>
      <c r="AE667" s="2135">
        <f t="shared" si="835"/>
        <v>3.2425076250000004</v>
      </c>
      <c r="AK667" s="756">
        <v>2.96583</v>
      </c>
      <c r="AM667" s="756">
        <f t="shared" si="809"/>
        <v>-0.26713000000000031</v>
      </c>
    </row>
    <row r="668" spans="1:46" ht="12.75" customHeight="1">
      <c r="A668" s="714">
        <f>+ROW(InputY!A164)</f>
        <v>164</v>
      </c>
      <c r="B668" s="714" t="s">
        <v>643</v>
      </c>
      <c r="C668" s="829" t="s">
        <v>2133</v>
      </c>
      <c r="D668" s="724" t="s">
        <v>591</v>
      </c>
      <c r="E668" s="830" t="s">
        <v>557</v>
      </c>
      <c r="F668" s="754" t="str">
        <f>InputY!B164</f>
        <v>AChEqPenR</v>
      </c>
      <c r="G668" s="756">
        <f>InputY!G164/1000</f>
        <v>1.6999999999999999E-3</v>
      </c>
      <c r="H668" s="756">
        <f>InputY!H164/1000</f>
        <v>1.4E-3</v>
      </c>
      <c r="I668" s="756">
        <f>InputY!I164/1000</f>
        <v>1.8E-3</v>
      </c>
      <c r="J668" s="756">
        <f>InputY!J164/1000</f>
        <v>2.3999999999999998E-3</v>
      </c>
      <c r="K668" s="756">
        <f>InputY!K164/1000</f>
        <v>3.3999999999999998E-3</v>
      </c>
      <c r="L668" s="756">
        <f>InputY!L164/1000</f>
        <v>2E-3</v>
      </c>
      <c r="M668" s="756">
        <f>InputY!M164/1000</f>
        <v>8.0000000000000004E-4</v>
      </c>
      <c r="N668" s="756">
        <f>InputY!N164/1000</f>
        <v>1.1000000000000001E-3</v>
      </c>
      <c r="O668" s="756">
        <f>InputY!O164/1000</f>
        <v>-4.4999999999999997E-3</v>
      </c>
      <c r="P668" s="756">
        <f>InputY!P164/1000</f>
        <v>3.8999999999999998E-3</v>
      </c>
      <c r="Q668" s="756">
        <f>InputY!Q164/1000</f>
        <v>1E-3</v>
      </c>
      <c r="R668" s="756">
        <f>InputY!R164/1000</f>
        <v>2.8999999999999998E-3</v>
      </c>
      <c r="S668" s="756">
        <f>InputY!S164/1000</f>
        <v>-1.1999999999999999E-3</v>
      </c>
      <c r="T668" s="756">
        <f>InputY!T164/1000</f>
        <v>3.7000000000000002E-3</v>
      </c>
      <c r="U668" s="756">
        <f>InputY!U164/1000</f>
        <v>-6.0000000000000001E-3</v>
      </c>
      <c r="V668" s="756">
        <f>InputY!V164/1000</f>
        <v>-7.1999999999999998E-3</v>
      </c>
      <c r="W668" s="756">
        <f>InputY!W164/1000</f>
        <v>-9.300000000000001E-3</v>
      </c>
      <c r="X668" s="756">
        <f>InputY!X164/1000</f>
        <v>-3.6899999999999995E-2</v>
      </c>
      <c r="Y668" s="3016">
        <f>InputY!Y164/1000</f>
        <v>-3.9399999999999998E-2</v>
      </c>
      <c r="Z668" s="3016">
        <f>InputY!Z164/1000</f>
        <v>-4.2500000000000003E-2</v>
      </c>
      <c r="AA668" s="3016">
        <f>InputY!AA164/1000</f>
        <v>-4.7200000000000006E-2</v>
      </c>
      <c r="AB668" s="3016">
        <f>InputY!AB164/1000</f>
        <v>0</v>
      </c>
      <c r="AC668" s="3016">
        <f>InputY!AC164/1000</f>
        <v>0</v>
      </c>
      <c r="AD668" s="3778">
        <f t="shared" si="835"/>
        <v>0</v>
      </c>
      <c r="AE668" s="3778">
        <f t="shared" si="835"/>
        <v>0</v>
      </c>
      <c r="AK668" s="3016">
        <v>-7.1999999999999998E-3</v>
      </c>
      <c r="AM668" s="3016">
        <f t="shared" si="809"/>
        <v>-3.5300000000000005E-2</v>
      </c>
    </row>
    <row r="669" spans="1:46" ht="12.75" customHeight="1">
      <c r="A669" s="714"/>
      <c r="B669" s="714" t="s">
        <v>1146</v>
      </c>
      <c r="C669" s="831" t="s">
        <v>624</v>
      </c>
      <c r="D669" s="800" t="s">
        <v>592</v>
      </c>
      <c r="E669" s="801" t="str">
        <f>+E668</f>
        <v>Adj. for change in net eq. of pens. fund res. (D.8p)</v>
      </c>
      <c r="F669" s="802" t="s">
        <v>823</v>
      </c>
      <c r="G669" s="832">
        <f ca="1">+G666-G667-G668</f>
        <v>3.4911309954033243E-17</v>
      </c>
      <c r="H669" s="832">
        <f>+H666-H667-H668</f>
        <v>6.7871055997592578E-17</v>
      </c>
      <c r="I669" s="832">
        <f t="shared" ref="I669:Y669" si="836">+I666-I667-I668</f>
        <v>2.3852447794681098E-17</v>
      </c>
      <c r="J669" s="832">
        <f t="shared" si="836"/>
        <v>1.7997756063259374E-16</v>
      </c>
      <c r="K669" s="832">
        <f t="shared" si="836"/>
        <v>6.9822619908066486E-17</v>
      </c>
      <c r="L669" s="832">
        <f t="shared" si="836"/>
        <v>0</v>
      </c>
      <c r="M669" s="832">
        <f t="shared" si="836"/>
        <v>-8.814563662307151E-17</v>
      </c>
      <c r="N669" s="832">
        <f t="shared" si="836"/>
        <v>-1.212138028838794E-16</v>
      </c>
      <c r="O669" s="832">
        <f t="shared" si="836"/>
        <v>-1.708702623837155E-16</v>
      </c>
      <c r="P669" s="832">
        <f t="shared" si="836"/>
        <v>2.3678975447083417E-16</v>
      </c>
      <c r="Q669" s="832">
        <f t="shared" si="836"/>
        <v>1.1188966420050406E-16</v>
      </c>
      <c r="R669" s="832">
        <f t="shared" si="836"/>
        <v>-9.7144514654701197E-17</v>
      </c>
      <c r="S669" s="832">
        <f t="shared" si="836"/>
        <v>1.3205582460873444E-16</v>
      </c>
      <c r="T669" s="832">
        <f>+T666-T667-T668</f>
        <v>-1.8561541192951836E-16</v>
      </c>
      <c r="U669" s="832">
        <f>+U666-U667-U668</f>
        <v>2.1684043449710089E-16</v>
      </c>
      <c r="V669" s="2238">
        <f t="shared" si="836"/>
        <v>-9.540979117872439E-17</v>
      </c>
      <c r="W669" s="2238">
        <f t="shared" si="836"/>
        <v>-8.5001450322863548E-17</v>
      </c>
      <c r="X669" s="2238">
        <f t="shared" si="836"/>
        <v>-1.5959455978986625E-16</v>
      </c>
      <c r="Y669" s="2238">
        <f t="shared" si="836"/>
        <v>-1.0408340855860843E-16</v>
      </c>
      <c r="Z669" s="2238">
        <f t="shared" ref="Z669" si="837">+Z666-Z667-Z668</f>
        <v>0</v>
      </c>
      <c r="AA669" s="2238">
        <f>+AA666-AA667-AA668</f>
        <v>-1.2490009027033011E-16</v>
      </c>
      <c r="AB669" s="2238">
        <f>+AB666-AB667-AB668</f>
        <v>0</v>
      </c>
      <c r="AC669" s="2238">
        <f>+AC666-AC667-AC668</f>
        <v>0</v>
      </c>
      <c r="AD669" s="2238">
        <f>+AD666-AD667-AD668</f>
        <v>0</v>
      </c>
      <c r="AE669" s="2238">
        <f>+AE666-AE667-AE668</f>
        <v>0</v>
      </c>
      <c r="AF669" s="749"/>
      <c r="AG669" s="749"/>
      <c r="AH669" s="749"/>
      <c r="AI669" s="749"/>
      <c r="AJ669" s="749"/>
      <c r="AK669" s="2238">
        <v>-9.540979117872439E-17</v>
      </c>
      <c r="AL669" s="749"/>
      <c r="AM669" s="2238">
        <f t="shared" si="809"/>
        <v>9.540979117872439E-17</v>
      </c>
      <c r="AN669" s="749"/>
      <c r="AO669" s="749"/>
      <c r="AP669" s="749"/>
      <c r="AQ669" s="749"/>
      <c r="AR669" s="749"/>
      <c r="AS669" s="749"/>
      <c r="AT669" s="749"/>
    </row>
    <row r="670" spans="1:46">
      <c r="A670" s="714"/>
      <c r="B670" s="714"/>
      <c r="G670" s="889"/>
      <c r="Q670" s="885"/>
      <c r="R670" s="885"/>
      <c r="S670" s="2162"/>
      <c r="T670" s="2162"/>
      <c r="U670" s="2162"/>
      <c r="V670" s="2162"/>
      <c r="W670" s="2162"/>
      <c r="X670" s="2162"/>
      <c r="Y670" s="2162"/>
      <c r="Z670" s="2162"/>
      <c r="AA670" s="2162"/>
      <c r="AB670" s="2162"/>
      <c r="AC670" s="2162"/>
      <c r="AD670" s="2162"/>
      <c r="AE670" s="2162"/>
      <c r="AF670" s="749"/>
      <c r="AG670" s="749"/>
      <c r="AH670" s="749"/>
      <c r="AI670" s="749"/>
      <c r="AJ670" s="749"/>
      <c r="AK670" s="2162"/>
      <c r="AL670" s="749"/>
      <c r="AM670" s="2162">
        <f t="shared" si="809"/>
        <v>0</v>
      </c>
      <c r="AN670" s="749"/>
      <c r="AO670" s="749"/>
      <c r="AP670" s="749"/>
      <c r="AQ670" s="749"/>
      <c r="AR670" s="749"/>
      <c r="AS670" s="749"/>
      <c r="AT670" s="749"/>
    </row>
    <row r="671" spans="1:46" ht="12.75" customHeight="1">
      <c r="A671" s="714"/>
      <c r="B671" s="714"/>
      <c r="C671" s="822"/>
      <c r="D671" s="790"/>
      <c r="E671" s="791" t="s">
        <v>1804</v>
      </c>
      <c r="F671" s="792"/>
      <c r="G671" s="793">
        <f>+InputY!$G$3</f>
        <v>1995</v>
      </c>
      <c r="H671" s="793">
        <f>+G671+1</f>
        <v>1996</v>
      </c>
      <c r="I671" s="793">
        <f t="shared" ref="I671:S671" si="838">+H671+1</f>
        <v>1997</v>
      </c>
      <c r="J671" s="793">
        <f t="shared" si="838"/>
        <v>1998</v>
      </c>
      <c r="K671" s="793">
        <f t="shared" si="838"/>
        <v>1999</v>
      </c>
      <c r="L671" s="793">
        <f t="shared" si="838"/>
        <v>2000</v>
      </c>
      <c r="M671" s="793">
        <f t="shared" si="838"/>
        <v>2001</v>
      </c>
      <c r="N671" s="793">
        <f t="shared" si="838"/>
        <v>2002</v>
      </c>
      <c r="O671" s="793">
        <f t="shared" si="838"/>
        <v>2003</v>
      </c>
      <c r="P671" s="793">
        <f>+O671+1</f>
        <v>2004</v>
      </c>
      <c r="Q671" s="793">
        <f>+P671+1</f>
        <v>2005</v>
      </c>
      <c r="R671" s="793">
        <f>+Q671+1</f>
        <v>2006</v>
      </c>
      <c r="S671" s="2126">
        <f t="shared" si="838"/>
        <v>2007</v>
      </c>
      <c r="T671" s="2126">
        <f t="shared" ref="T671:AE671" si="839">+S671+1</f>
        <v>2008</v>
      </c>
      <c r="U671" s="2126">
        <f t="shared" si="839"/>
        <v>2009</v>
      </c>
      <c r="V671" s="2126">
        <f t="shared" si="839"/>
        <v>2010</v>
      </c>
      <c r="W671" s="2126">
        <f t="shared" si="839"/>
        <v>2011</v>
      </c>
      <c r="X671" s="2126">
        <f t="shared" si="839"/>
        <v>2012</v>
      </c>
      <c r="Y671" s="2126">
        <f t="shared" si="839"/>
        <v>2013</v>
      </c>
      <c r="Z671" s="2126">
        <f t="shared" si="839"/>
        <v>2014</v>
      </c>
      <c r="AA671" s="2126">
        <f t="shared" si="839"/>
        <v>2015</v>
      </c>
      <c r="AB671" s="2126">
        <f t="shared" si="839"/>
        <v>2016</v>
      </c>
      <c r="AC671" s="2126">
        <f t="shared" si="839"/>
        <v>2017</v>
      </c>
      <c r="AD671" s="2126">
        <f t="shared" si="839"/>
        <v>2018</v>
      </c>
      <c r="AE671" s="2126">
        <f t="shared" si="839"/>
        <v>2019</v>
      </c>
      <c r="AF671" s="749"/>
      <c r="AG671" s="749"/>
      <c r="AH671" s="749"/>
      <c r="AI671" s="749"/>
      <c r="AJ671" s="749"/>
      <c r="AK671" s="2126">
        <v>2014</v>
      </c>
      <c r="AL671" s="749"/>
      <c r="AM671" s="2126">
        <f t="shared" si="809"/>
        <v>0</v>
      </c>
      <c r="AN671" s="749"/>
      <c r="AO671" s="749"/>
      <c r="AP671" s="749"/>
      <c r="AQ671" s="749"/>
      <c r="AR671" s="749"/>
      <c r="AS671" s="749"/>
      <c r="AT671" s="749"/>
    </row>
    <row r="672" spans="1:46" ht="12.75" customHeight="1">
      <c r="A672" s="714"/>
      <c r="B672" s="714"/>
      <c r="C672" s="839" t="s">
        <v>622</v>
      </c>
      <c r="D672" s="739" t="s">
        <v>589</v>
      </c>
      <c r="E672" s="787" t="s">
        <v>1581</v>
      </c>
      <c r="F672" s="782" t="s">
        <v>1943</v>
      </c>
      <c r="G672" s="788"/>
      <c r="H672" s="788">
        <f t="shared" ref="H672:AE672" ca="1" si="840">(H666/G666-1)*100</f>
        <v>21.694574068990757</v>
      </c>
      <c r="I672" s="788">
        <f t="shared" si="840"/>
        <v>9.9774436090225507</v>
      </c>
      <c r="J672" s="788">
        <f t="shared" si="840"/>
        <v>-1.8937581185478947</v>
      </c>
      <c r="K672" s="788">
        <f t="shared" si="840"/>
        <v>0.8501742160278658</v>
      </c>
      <c r="L672" s="788">
        <f t="shared" si="840"/>
        <v>-3.8488114980652299</v>
      </c>
      <c r="M672" s="788">
        <f t="shared" si="840"/>
        <v>0.48149478979520044</v>
      </c>
      <c r="N672" s="788">
        <f t="shared" si="840"/>
        <v>0.15019310542123687</v>
      </c>
      <c r="O672" s="788">
        <f t="shared" si="840"/>
        <v>13.268585303149315</v>
      </c>
      <c r="P672" s="788">
        <f t="shared" si="840"/>
        <v>7.4270222558477039</v>
      </c>
      <c r="Q672" s="788">
        <f t="shared" si="840"/>
        <v>3.7678267503961305</v>
      </c>
      <c r="R672" s="788">
        <f t="shared" si="840"/>
        <v>5.1863582376562301</v>
      </c>
      <c r="S672" s="788">
        <f t="shared" si="840"/>
        <v>20.002150768899906</v>
      </c>
      <c r="T672" s="788">
        <f t="shared" ref="T672:AB675" si="841">(T666/S666-1)*100</f>
        <v>20.449861098664734</v>
      </c>
      <c r="U672" s="788">
        <f t="shared" si="841"/>
        <v>-0.74027230116804343</v>
      </c>
      <c r="V672" s="788">
        <f t="shared" si="841"/>
        <v>26.934752464115697</v>
      </c>
      <c r="W672" s="2231">
        <f t="shared" si="840"/>
        <v>-14.263359905521112</v>
      </c>
      <c r="X672" s="2231">
        <f t="shared" si="840"/>
        <v>-2.482867867350802</v>
      </c>
      <c r="Y672" s="2231">
        <f t="shared" si="840"/>
        <v>-0.5508863620312221</v>
      </c>
      <c r="Z672" s="2231">
        <f t="shared" si="840"/>
        <v>-5.6814146722533927</v>
      </c>
      <c r="AA672" s="2231">
        <f t="shared" si="840"/>
        <v>3.7534824184925819</v>
      </c>
      <c r="AB672" s="2231">
        <f t="shared" si="840"/>
        <v>1.6364889872637178</v>
      </c>
      <c r="AC672" s="2231">
        <f t="shared" si="840"/>
        <v>5.0000000000000044</v>
      </c>
      <c r="AD672" s="2231">
        <f t="shared" si="840"/>
        <v>5.0000000000000044</v>
      </c>
      <c r="AE672" s="2231">
        <f t="shared" si="840"/>
        <v>5.0000000000000044</v>
      </c>
      <c r="AF672" s="749"/>
      <c r="AG672" s="749"/>
      <c r="AH672" s="749"/>
      <c r="AI672" s="749"/>
      <c r="AJ672" s="749"/>
      <c r="AK672" s="2231">
        <v>5.0127777383403238</v>
      </c>
      <c r="AL672" s="749"/>
      <c r="AM672" s="2231">
        <f t="shared" si="809"/>
        <v>-10.694192410593717</v>
      </c>
      <c r="AN672" s="749"/>
      <c r="AO672" s="749"/>
      <c r="AP672" s="749"/>
      <c r="AQ672" s="749"/>
      <c r="AR672" s="749"/>
      <c r="AS672" s="749"/>
      <c r="AT672" s="749"/>
    </row>
    <row r="673" spans="1:46" ht="12.75" customHeight="1">
      <c r="A673" s="714"/>
      <c r="B673" s="714"/>
      <c r="C673" s="840" t="s">
        <v>2133</v>
      </c>
      <c r="D673" s="724" t="s">
        <v>590</v>
      </c>
      <c r="E673" s="830" t="s">
        <v>557</v>
      </c>
      <c r="F673" s="754" t="s">
        <v>1757</v>
      </c>
      <c r="G673" s="756"/>
      <c r="H673" s="756">
        <f t="shared" ref="H673:S673" ca="1" si="842">(H667/G667-1)*100</f>
        <v>21.755865102639294</v>
      </c>
      <c r="I673" s="756">
        <f t="shared" si="842"/>
        <v>9.9578503688092734</v>
      </c>
      <c r="J673" s="756">
        <f t="shared" si="842"/>
        <v>-1.9371620234102438</v>
      </c>
      <c r="K673" s="756">
        <f t="shared" si="842"/>
        <v>0.7817953371492381</v>
      </c>
      <c r="L673" s="756">
        <f t="shared" si="842"/>
        <v>-3.7609087131181607</v>
      </c>
      <c r="M673" s="756">
        <f t="shared" si="842"/>
        <v>0.56854983807126391</v>
      </c>
      <c r="N673" s="756">
        <f t="shared" si="842"/>
        <v>0.12881064834691092</v>
      </c>
      <c r="O673" s="756">
        <f t="shared" si="842"/>
        <v>13.67924528301887</v>
      </c>
      <c r="P673" s="756">
        <f t="shared" si="842"/>
        <v>6.8779077077832262</v>
      </c>
      <c r="Q673" s="756">
        <f t="shared" si="842"/>
        <v>3.9470588235294146</v>
      </c>
      <c r="R673" s="756">
        <f t="shared" si="842"/>
        <v>5.0817723954501792</v>
      </c>
      <c r="S673" s="756">
        <f t="shared" si="842"/>
        <v>20.254187086003551</v>
      </c>
      <c r="T673" s="756">
        <f t="shared" si="841"/>
        <v>20.219435736677106</v>
      </c>
      <c r="U673" s="756">
        <f t="shared" si="841"/>
        <v>-0.37995902402681025</v>
      </c>
      <c r="V673" s="756">
        <f t="shared" si="841"/>
        <v>26.91919380772536</v>
      </c>
      <c r="W673" s="756">
        <f t="shared" si="841"/>
        <v>-14.171233280301687</v>
      </c>
      <c r="X673" s="756">
        <f t="shared" si="841"/>
        <v>-1.527529864067001</v>
      </c>
      <c r="Y673" s="756">
        <f t="shared" si="841"/>
        <v>-0.45665283926518141</v>
      </c>
      <c r="Z673" s="756">
        <f t="shared" si="841"/>
        <v>-5.494467012186588</v>
      </c>
      <c r="AA673" s="756">
        <f t="shared" si="841"/>
        <v>3.8685292918812841</v>
      </c>
      <c r="AB673" s="756">
        <f t="shared" si="841"/>
        <v>-7.4917056116430292E-2</v>
      </c>
      <c r="AC673" s="2129">
        <v>5</v>
      </c>
      <c r="AD673" s="2129">
        <v>5</v>
      </c>
      <c r="AE673" s="2129">
        <v>5</v>
      </c>
      <c r="AF673" s="749"/>
      <c r="AG673" s="749"/>
      <c r="AH673" s="749"/>
      <c r="AI673" s="749"/>
      <c r="AJ673" s="749"/>
      <c r="AK673" s="756">
        <v>5</v>
      </c>
      <c r="AL673" s="749"/>
      <c r="AM673" s="756">
        <f t="shared" si="809"/>
        <v>-10.494467012186588</v>
      </c>
      <c r="AN673" s="749"/>
      <c r="AO673" s="749"/>
      <c r="AP673" s="749"/>
      <c r="AQ673" s="749"/>
      <c r="AR673" s="749"/>
      <c r="AS673" s="749"/>
      <c r="AT673" s="749"/>
    </row>
    <row r="674" spans="1:46" ht="12.75" customHeight="1">
      <c r="A674" s="714"/>
      <c r="B674" s="714"/>
      <c r="C674" s="841" t="s">
        <v>2133</v>
      </c>
      <c r="D674" s="741" t="s">
        <v>591</v>
      </c>
      <c r="E674" s="842" t="s">
        <v>557</v>
      </c>
      <c r="F674" s="785" t="s">
        <v>682</v>
      </c>
      <c r="G674" s="789"/>
      <c r="H674" s="789">
        <f>(H668/G668-1)*100</f>
        <v>-17.647058823529406</v>
      </c>
      <c r="I674" s="789">
        <f t="shared" ref="I674:S675" si="843">(I668/H668-1)*100</f>
        <v>28.571428571428559</v>
      </c>
      <c r="J674" s="789">
        <f t="shared" si="843"/>
        <v>33.333333333333329</v>
      </c>
      <c r="K674" s="789">
        <f t="shared" si="843"/>
        <v>41.666666666666671</v>
      </c>
      <c r="L674" s="789">
        <f t="shared" si="843"/>
        <v>-41.17647058823529</v>
      </c>
      <c r="M674" s="789">
        <f t="shared" si="843"/>
        <v>-60</v>
      </c>
      <c r="N674" s="789">
        <f t="shared" si="843"/>
        <v>37.5</v>
      </c>
      <c r="O674" s="789">
        <f t="shared" si="843"/>
        <v>-509.09090909090901</v>
      </c>
      <c r="P674" s="789">
        <f t="shared" si="843"/>
        <v>-186.66666666666666</v>
      </c>
      <c r="Q674" s="789">
        <f t="shared" si="843"/>
        <v>-74.358974358974365</v>
      </c>
      <c r="R674" s="789">
        <f>(R668/Q668-1)*100</f>
        <v>190</v>
      </c>
      <c r="S674" s="789">
        <f>(S668/R668-1)*100</f>
        <v>-141.37931034482759</v>
      </c>
      <c r="T674" s="789">
        <f t="shared" si="841"/>
        <v>-408.33333333333337</v>
      </c>
      <c r="U674" s="789">
        <f t="shared" si="841"/>
        <v>-262.16216216216213</v>
      </c>
      <c r="V674" s="789">
        <f t="shared" si="841"/>
        <v>19.999999999999996</v>
      </c>
      <c r="W674" s="789">
        <f t="shared" si="841"/>
        <v>29.166666666666675</v>
      </c>
      <c r="X674" s="789">
        <f t="shared" si="841"/>
        <v>296.77419354838702</v>
      </c>
      <c r="Y674" s="789">
        <f t="shared" si="841"/>
        <v>6.7750677506775103</v>
      </c>
      <c r="Z674" s="789">
        <f t="shared" si="841"/>
        <v>7.868020304568546</v>
      </c>
      <c r="AA674" s="789">
        <f t="shared" si="841"/>
        <v>11.058823529411764</v>
      </c>
      <c r="AB674" s="789">
        <f t="shared" si="841"/>
        <v>-100</v>
      </c>
      <c r="AC674" s="2128">
        <v>0</v>
      </c>
      <c r="AD674" s="2128">
        <v>0</v>
      </c>
      <c r="AE674" s="2128">
        <v>0</v>
      </c>
      <c r="AF674" s="749"/>
      <c r="AG674" s="749"/>
      <c r="AH674" s="749"/>
      <c r="AI674" s="749"/>
      <c r="AJ674" s="749"/>
      <c r="AK674" s="789">
        <v>0</v>
      </c>
      <c r="AL674" s="749"/>
      <c r="AM674" s="789">
        <f t="shared" si="809"/>
        <v>7.868020304568546</v>
      </c>
      <c r="AN674" s="749"/>
      <c r="AO674" s="749"/>
      <c r="AP674" s="749"/>
      <c r="AQ674" s="749"/>
      <c r="AR674" s="749"/>
      <c r="AS674" s="749"/>
      <c r="AT674" s="749"/>
    </row>
    <row r="675" spans="1:46" ht="12.75" customHeight="1">
      <c r="A675" s="714"/>
      <c r="B675" s="714"/>
      <c r="C675" s="822"/>
      <c r="D675" s="766" t="s">
        <v>592</v>
      </c>
      <c r="E675" s="771" t="s">
        <v>557</v>
      </c>
      <c r="F675" s="772" t="s">
        <v>823</v>
      </c>
      <c r="G675" s="770"/>
      <c r="H675" s="770">
        <f ca="1">(H669/G669-1)*100</f>
        <v>94.409937888198755</v>
      </c>
      <c r="I675" s="770">
        <f>(I669/H669-1)*100</f>
        <v>-64.856230031948883</v>
      </c>
      <c r="J675" s="770">
        <f t="shared" si="843"/>
        <v>654.54545454545462</v>
      </c>
      <c r="K675" s="770">
        <f t="shared" si="843"/>
        <v>-61.204819277108435</v>
      </c>
      <c r="L675" s="770">
        <f t="shared" si="843"/>
        <v>-100</v>
      </c>
      <c r="M675" s="770" t="e">
        <f t="shared" si="843"/>
        <v>#DIV/0!</v>
      </c>
      <c r="N675" s="770">
        <f t="shared" si="843"/>
        <v>37.515375153751542</v>
      </c>
      <c r="O675" s="770">
        <f t="shared" si="843"/>
        <v>40.966010733452585</v>
      </c>
      <c r="P675" s="769">
        <f t="shared" si="843"/>
        <v>-238.57868020304568</v>
      </c>
      <c r="Q675" s="770">
        <f t="shared" si="843"/>
        <v>-52.747252747252752</v>
      </c>
      <c r="R675" s="770">
        <f t="shared" si="843"/>
        <v>-186.8217054263566</v>
      </c>
      <c r="S675" s="770">
        <f t="shared" si="843"/>
        <v>-235.9375</v>
      </c>
      <c r="T675" s="770">
        <f t="shared" si="841"/>
        <v>-240.55829228243022</v>
      </c>
      <c r="U675" s="770">
        <f t="shared" si="841"/>
        <v>-216.82242990654208</v>
      </c>
      <c r="V675" s="2223">
        <f t="shared" ref="V675:AE675" si="844">(V669/U669-1)*100</f>
        <v>-144</v>
      </c>
      <c r="W675" s="2223">
        <f t="shared" si="844"/>
        <v>-10.909090909090914</v>
      </c>
      <c r="X675" s="2223">
        <f t="shared" si="844"/>
        <v>87.75510204081634</v>
      </c>
      <c r="Y675" s="2223">
        <f t="shared" si="844"/>
        <v>-34.782608695652172</v>
      </c>
      <c r="Z675" s="2223">
        <f t="shared" si="844"/>
        <v>-100</v>
      </c>
      <c r="AA675" s="2223" t="e">
        <f t="shared" si="844"/>
        <v>#DIV/0!</v>
      </c>
      <c r="AB675" s="2223">
        <f t="shared" si="844"/>
        <v>-100</v>
      </c>
      <c r="AC675" s="2223" t="e">
        <f t="shared" si="844"/>
        <v>#DIV/0!</v>
      </c>
      <c r="AD675" s="2223" t="e">
        <f t="shared" si="844"/>
        <v>#DIV/0!</v>
      </c>
      <c r="AE675" s="2223" t="e">
        <f t="shared" si="844"/>
        <v>#DIV/0!</v>
      </c>
      <c r="AF675" s="749"/>
      <c r="AG675" s="749"/>
      <c r="AH675" s="749"/>
      <c r="AI675" s="749"/>
      <c r="AJ675" s="749"/>
      <c r="AK675" s="2223">
        <v>0</v>
      </c>
      <c r="AL675" s="749"/>
      <c r="AM675" s="2223">
        <f t="shared" si="809"/>
        <v>-100</v>
      </c>
      <c r="AN675" s="749"/>
      <c r="AO675" s="749"/>
      <c r="AP675" s="749"/>
      <c r="AQ675" s="749"/>
      <c r="AR675" s="749"/>
      <c r="AS675" s="749"/>
      <c r="AT675" s="749"/>
    </row>
    <row r="676" spans="1:46" ht="12.75" customHeight="1">
      <c r="A676" s="714"/>
      <c r="B676" s="714"/>
      <c r="C676" s="822"/>
      <c r="E676" s="833"/>
      <c r="F676" s="834"/>
      <c r="G676" s="753"/>
      <c r="H676" s="835"/>
      <c r="I676" s="753"/>
      <c r="J676" s="753"/>
      <c r="K676" s="753"/>
      <c r="L676" s="753"/>
      <c r="M676" s="753"/>
      <c r="N676" s="753"/>
      <c r="O676" s="753"/>
      <c r="P676" s="753"/>
      <c r="Q676" s="885"/>
      <c r="R676" s="885"/>
      <c r="S676" s="2218"/>
      <c r="T676" s="2218"/>
      <c r="U676" s="2218"/>
      <c r="V676" s="2218"/>
      <c r="W676" s="2218"/>
      <c r="X676" s="2218"/>
      <c r="Y676" s="2218"/>
      <c r="Z676" s="2218"/>
      <c r="AA676" s="2218"/>
      <c r="AB676" s="2218"/>
      <c r="AC676" s="2218"/>
      <c r="AD676" s="2218"/>
      <c r="AE676" s="2218"/>
      <c r="AF676" s="749"/>
      <c r="AG676" s="749"/>
      <c r="AH676" s="749"/>
      <c r="AI676" s="749"/>
      <c r="AJ676" s="749"/>
      <c r="AK676" s="2218"/>
      <c r="AL676" s="749"/>
      <c r="AM676" s="2218">
        <f t="shared" si="809"/>
        <v>0</v>
      </c>
      <c r="AN676" s="749"/>
      <c r="AO676" s="749"/>
      <c r="AP676" s="749"/>
      <c r="AQ676" s="749"/>
      <c r="AR676" s="749"/>
      <c r="AS676" s="749"/>
      <c r="AT676" s="749"/>
    </row>
    <row r="677" spans="1:46" ht="12.75" customHeight="1">
      <c r="A677" s="714"/>
      <c r="B677" s="714"/>
      <c r="C677" s="822"/>
      <c r="D677" s="862"/>
      <c r="E677" s="863" t="s">
        <v>1805</v>
      </c>
      <c r="F677" s="864"/>
      <c r="G677" s="865">
        <f>+InputY!$G$3</f>
        <v>1995</v>
      </c>
      <c r="H677" s="865">
        <f>+G677+1</f>
        <v>1996</v>
      </c>
      <c r="I677" s="865">
        <f t="shared" ref="I677:S677" si="845">+H677+1</f>
        <v>1997</v>
      </c>
      <c r="J677" s="865">
        <f t="shared" si="845"/>
        <v>1998</v>
      </c>
      <c r="K677" s="865">
        <f t="shared" si="845"/>
        <v>1999</v>
      </c>
      <c r="L677" s="865">
        <f t="shared" si="845"/>
        <v>2000</v>
      </c>
      <c r="M677" s="865">
        <f t="shared" si="845"/>
        <v>2001</v>
      </c>
      <c r="N677" s="865">
        <f t="shared" si="845"/>
        <v>2002</v>
      </c>
      <c r="O677" s="865">
        <f t="shared" si="845"/>
        <v>2003</v>
      </c>
      <c r="P677" s="865">
        <f>+O677+1</f>
        <v>2004</v>
      </c>
      <c r="Q677" s="865">
        <f>+P677+1</f>
        <v>2005</v>
      </c>
      <c r="R677" s="865">
        <f>+Q677+1</f>
        <v>2006</v>
      </c>
      <c r="S677" s="2219">
        <f t="shared" si="845"/>
        <v>2007</v>
      </c>
      <c r="T677" s="2219">
        <f t="shared" ref="T677:AE677" si="846">+S677+1</f>
        <v>2008</v>
      </c>
      <c r="U677" s="2219">
        <f t="shared" si="846"/>
        <v>2009</v>
      </c>
      <c r="V677" s="2219">
        <f t="shared" si="846"/>
        <v>2010</v>
      </c>
      <c r="W677" s="2219">
        <f t="shared" si="846"/>
        <v>2011</v>
      </c>
      <c r="X677" s="2219">
        <f t="shared" si="846"/>
        <v>2012</v>
      </c>
      <c r="Y677" s="2219">
        <f t="shared" si="846"/>
        <v>2013</v>
      </c>
      <c r="Z677" s="2219">
        <f t="shared" si="846"/>
        <v>2014</v>
      </c>
      <c r="AA677" s="2219">
        <f t="shared" si="846"/>
        <v>2015</v>
      </c>
      <c r="AB677" s="2219">
        <f t="shared" si="846"/>
        <v>2016</v>
      </c>
      <c r="AC677" s="2219">
        <f t="shared" si="846"/>
        <v>2017</v>
      </c>
      <c r="AD677" s="2219">
        <f t="shared" si="846"/>
        <v>2018</v>
      </c>
      <c r="AE677" s="2219">
        <f t="shared" si="846"/>
        <v>2019</v>
      </c>
      <c r="AF677" s="749"/>
      <c r="AG677" s="749"/>
      <c r="AH677" s="749"/>
      <c r="AI677" s="749"/>
      <c r="AJ677" s="749"/>
      <c r="AK677" s="2219">
        <v>2014</v>
      </c>
      <c r="AL677" s="749"/>
      <c r="AM677" s="2219">
        <f t="shared" si="809"/>
        <v>0</v>
      </c>
      <c r="AN677" s="749"/>
      <c r="AO677" s="749"/>
      <c r="AP677" s="749"/>
      <c r="AQ677" s="749"/>
      <c r="AR677" s="749"/>
      <c r="AS677" s="749"/>
      <c r="AT677" s="749"/>
    </row>
    <row r="678" spans="1:46" ht="12.75" customHeight="1">
      <c r="A678" s="714"/>
      <c r="B678" s="714"/>
      <c r="C678" s="866" t="s">
        <v>622</v>
      </c>
      <c r="D678" s="867" t="s">
        <v>589</v>
      </c>
      <c r="E678" s="868" t="s">
        <v>1581</v>
      </c>
      <c r="F678" s="869" t="s">
        <v>1943</v>
      </c>
      <c r="G678" s="878">
        <f ca="1">+G666/'VVP2'!G$355</f>
        <v>5.1724921293307613E-3</v>
      </c>
      <c r="H678" s="878">
        <f>+H666/'VVP2'!H$355</f>
        <v>6.1590498206929257E-3</v>
      </c>
      <c r="I678" s="878">
        <f>+I666/'VVP2'!I$355</f>
        <v>6.4730203784860475E-3</v>
      </c>
      <c r="J678" s="878">
        <f>+J666/'VVP2'!J$355</f>
        <v>6.1196743906766016E-3</v>
      </c>
      <c r="K678" s="878">
        <f>+K666/'VVP2'!K$355</f>
        <v>5.9256590207430824E-3</v>
      </c>
      <c r="L678" s="878">
        <f>+L666/'VVP2'!L$355</f>
        <v>5.3887740006660937E-3</v>
      </c>
      <c r="M678" s="878">
        <f>+M666/'VVP2'!M$355</f>
        <v>5.2605757060880005E-3</v>
      </c>
      <c r="N678" s="878">
        <f>+N666/'VVP2'!N$355</f>
        <v>5.0907948700144078E-3</v>
      </c>
      <c r="O678" s="878">
        <f>+O666/'VVP2'!O$355</f>
        <v>5.6118017311989066E-3</v>
      </c>
      <c r="P678" s="878">
        <f>+P666/'VVP2'!P$355</f>
        <v>5.7041794270578771E-3</v>
      </c>
      <c r="Q678" s="878">
        <f>+Q666/'VVP2'!Q$355</f>
        <v>5.6764333467745048E-3</v>
      </c>
      <c r="R678" s="878">
        <f>+R666/'VVP2'!R$355</f>
        <v>5.6933448967602922E-3</v>
      </c>
      <c r="S678" s="878">
        <f>+S666/'VVP2'!S$355</f>
        <v>6.4743808246002111E-3</v>
      </c>
      <c r="T678" s="878">
        <f>+T666/'VVP2'!T$355</f>
        <v>7.5923719285025748E-3</v>
      </c>
      <c r="U678" s="878">
        <f>+U666/'VVP2'!U$355</f>
        <v>7.6503572011212776E-3</v>
      </c>
      <c r="V678" s="878">
        <f>+V666/'VVP2'!V$355</f>
        <v>9.2768977308987505E-3</v>
      </c>
      <c r="W678" s="2224">
        <f>+W666/'VVP2'!W$355</f>
        <v>7.6598568791919307E-3</v>
      </c>
      <c r="X678" s="2224">
        <f>+X666/'VVP2'!X$355</f>
        <v>7.3078690818402367E-3</v>
      </c>
      <c r="Y678" s="2224">
        <f>+Y666/'VVP2'!Y$355</f>
        <v>7.1779615527152738E-3</v>
      </c>
      <c r="Z678" s="2224">
        <f>+Z666/'VVP2'!Z$355</f>
        <v>6.635718964486087E-3</v>
      </c>
      <c r="AA678" s="2224">
        <f>+AA666/'VVP2'!AA$355</f>
        <v>6.7145800360203008E-3</v>
      </c>
      <c r="AB678" s="2224">
        <f>+AB666/'VVP2'!AB$355</f>
        <v>6.6209918297764512E-3</v>
      </c>
      <c r="AC678" s="2224">
        <f>+AC666/'VVP2'!AC$355</f>
        <v>6.7073051140222485E-3</v>
      </c>
      <c r="AD678" s="2224">
        <f ca="1">+AD666/'VVP2'!AD$355</f>
        <v>6.8113952318106605E-3</v>
      </c>
      <c r="AE678" s="2224">
        <f ca="1">+AE666/'VVP2'!AE$355</f>
        <v>6.9130583757834882E-3</v>
      </c>
      <c r="AF678" s="749"/>
      <c r="AG678" s="749"/>
      <c r="AH678" s="749"/>
      <c r="AI678" s="749"/>
      <c r="AJ678" s="749"/>
      <c r="AK678" s="2224">
        <v>7.3548363039749425E-3</v>
      </c>
      <c r="AL678" s="749"/>
      <c r="AM678" s="2224">
        <f t="shared" si="809"/>
        <v>-7.1911733948885545E-4</v>
      </c>
      <c r="AN678" s="749"/>
      <c r="AO678" s="749"/>
      <c r="AP678" s="749"/>
      <c r="AQ678" s="749"/>
      <c r="AR678" s="749"/>
      <c r="AS678" s="749"/>
      <c r="AT678" s="749"/>
    </row>
    <row r="679" spans="1:46" ht="12.75" customHeight="1">
      <c r="A679" s="714"/>
      <c r="B679" s="714"/>
      <c r="C679" s="870" t="s">
        <v>2133</v>
      </c>
      <c r="D679" s="724" t="s">
        <v>590</v>
      </c>
      <c r="E679" s="830" t="s">
        <v>557</v>
      </c>
      <c r="F679" s="754" t="s">
        <v>1757</v>
      </c>
      <c r="G679" s="879">
        <f ca="1">+G667/'VVP2'!G$355</f>
        <v>5.1644463459838289E-3</v>
      </c>
      <c r="H679" s="879">
        <f>+H667/'VVP2'!H$355</f>
        <v>6.1525666103553539E-3</v>
      </c>
      <c r="I679" s="879">
        <f>+I667/'VVP2'!I$355</f>
        <v>6.4650546735012413E-3</v>
      </c>
      <c r="J679" s="879">
        <f>+J667/'VVP2'!J$355</f>
        <v>6.1094393951799993E-3</v>
      </c>
      <c r="K679" s="879">
        <f>+K667/'VVP2'!K$355</f>
        <v>5.9117374890470305E-3</v>
      </c>
      <c r="L679" s="879">
        <f>+L667/'VVP2'!L$355</f>
        <v>5.3810287272192149E-3</v>
      </c>
      <c r="M679" s="879">
        <f>+M667/'VVP2'!M$355</f>
        <v>5.2575657929390448E-3</v>
      </c>
      <c r="N679" s="879">
        <f>+N667/'VVP2'!N$355</f>
        <v>5.0867958166993929E-3</v>
      </c>
      <c r="O679" s="879">
        <f>+O667/'VVP2'!O$355</f>
        <v>5.6277232416902983E-3</v>
      </c>
      <c r="P679" s="879">
        <f>+P667/'VVP2'!P$355</f>
        <v>5.6911233206164624E-3</v>
      </c>
      <c r="Q679" s="879">
        <f>+Q667/'VVP2'!Q$355</f>
        <v>5.673222876016756E-3</v>
      </c>
      <c r="R679" s="879">
        <f>+R667/'VVP2'!R$355</f>
        <v>5.6844672216336094E-3</v>
      </c>
      <c r="S679" s="879">
        <f>+S667/'VVP2'!S$355</f>
        <v>6.4778619864379744E-3</v>
      </c>
      <c r="T679" s="879">
        <f>+T667/'VVP2'!T$355</f>
        <v>7.5819218964605171E-3</v>
      </c>
      <c r="U679" s="879">
        <f>+U667/'VVP2'!U$355</f>
        <v>7.6675599681290075E-3</v>
      </c>
      <c r="V679" s="879">
        <f>+V667/'VVP2'!V$355</f>
        <v>9.296618328378076E-3</v>
      </c>
      <c r="W679" s="2225">
        <f>+W667/'VVP2'!W$355</f>
        <v>7.6843882573304637E-3</v>
      </c>
      <c r="X679" s="2225">
        <f>+X667/'VVP2'!X$355</f>
        <v>7.403094863717455E-3</v>
      </c>
      <c r="Y679" s="2225">
        <f>+Y667/'VVP2'!Y$355</f>
        <v>7.2783847063183499E-3</v>
      </c>
      <c r="Z679" s="2225">
        <f>+Z667/'VVP2'!Z$355</f>
        <v>6.7418924664779016E-3</v>
      </c>
      <c r="AA679" s="2225">
        <f>+AA667/'VVP2'!AA$355</f>
        <v>6.8295799190712676E-3</v>
      </c>
      <c r="AB679" s="2225">
        <f>+AB667/'VVP2'!AB$355</f>
        <v>6.6209918297764512E-3</v>
      </c>
      <c r="AC679" s="2225">
        <f>+AC667/'VVP2'!AC$355</f>
        <v>6.7073051140222485E-3</v>
      </c>
      <c r="AD679" s="2225">
        <f ca="1">+AD667/'VVP2'!AD$355</f>
        <v>6.8113952318106605E-3</v>
      </c>
      <c r="AE679" s="2225">
        <f ca="1">+AE667/'VVP2'!AE$355</f>
        <v>6.9130583757834882E-3</v>
      </c>
      <c r="AF679" s="749"/>
      <c r="AG679" s="749"/>
      <c r="AH679" s="749"/>
      <c r="AI679" s="749"/>
      <c r="AJ679" s="749"/>
      <c r="AK679" s="2225">
        <v>7.3727347304049524E-3</v>
      </c>
      <c r="AL679" s="749"/>
      <c r="AM679" s="2225">
        <f t="shared" si="809"/>
        <v>-6.3084226392705074E-4</v>
      </c>
      <c r="AN679" s="749"/>
      <c r="AO679" s="749"/>
      <c r="AP679" s="749"/>
      <c r="AQ679" s="749"/>
      <c r="AR679" s="749"/>
      <c r="AS679" s="749"/>
      <c r="AT679" s="749"/>
    </row>
    <row r="680" spans="1:46" ht="12.75" customHeight="1">
      <c r="A680" s="714"/>
      <c r="B680" s="714"/>
      <c r="C680" s="871" t="s">
        <v>2133</v>
      </c>
      <c r="D680" s="872" t="s">
        <v>591</v>
      </c>
      <c r="E680" s="873" t="s">
        <v>557</v>
      </c>
      <c r="F680" s="874" t="s">
        <v>682</v>
      </c>
      <c r="G680" s="880">
        <f ca="1">+G668/'VVP2'!G$355</f>
        <v>8.0457833469322847E-6</v>
      </c>
      <c r="H680" s="880">
        <f>+H668/'VVP2'!H$355</f>
        <v>6.4832103375715005E-6</v>
      </c>
      <c r="I680" s="880">
        <f>+I668/'VVP2'!I$355</f>
        <v>7.9657049848054175E-6</v>
      </c>
      <c r="J680" s="880">
        <f>+J668/'VVP2'!J$355</f>
        <v>1.023499549660198E-5</v>
      </c>
      <c r="K680" s="880">
        <f>+K668/'VVP2'!K$355</f>
        <v>1.3921531696052017E-5</v>
      </c>
      <c r="L680" s="880">
        <f>+L668/'VVP2'!L$355</f>
        <v>7.745273446879043E-6</v>
      </c>
      <c r="M680" s="880">
        <f>+M668/'VVP2'!M$355</f>
        <v>3.0099131489560868E-6</v>
      </c>
      <c r="N680" s="880">
        <f>+N668/'VVP2'!N$355</f>
        <v>3.9990533150152463E-6</v>
      </c>
      <c r="O680" s="880">
        <f>+O668/'VVP2'!O$355</f>
        <v>-1.5921510491390885E-5</v>
      </c>
      <c r="P680" s="880">
        <f>+P668/'VVP2'!P$355</f>
        <v>1.3056106441414237E-5</v>
      </c>
      <c r="Q680" s="880">
        <f>+Q668/'VVP2'!Q$355</f>
        <v>3.2104707577481504E-6</v>
      </c>
      <c r="R680" s="880">
        <f>+R668/'VVP2'!R$355</f>
        <v>8.8776751266828944E-6</v>
      </c>
      <c r="S680" s="880">
        <f>+S668/'VVP2'!S$355</f>
        <v>-3.4811618377633535E-6</v>
      </c>
      <c r="T680" s="880">
        <f>+T668/'VVP2'!T$355</f>
        <v>1.0450032042057707E-5</v>
      </c>
      <c r="U680" s="880">
        <f>+U668/'VVP2'!U$355</f>
        <v>-1.720276700773064E-5</v>
      </c>
      <c r="V680" s="880">
        <f>+V668/'VVP2'!V$355</f>
        <v>-1.9720597479324185E-5</v>
      </c>
      <c r="W680" s="880">
        <f>+W668/'VVP2'!W$355</f>
        <v>-2.4531378138532652E-5</v>
      </c>
      <c r="X680" s="880">
        <f>+X668/'VVP2'!X$355</f>
        <v>-9.5225781877217576E-5</v>
      </c>
      <c r="Y680" s="2226">
        <f>+Y668/'VVP2'!Y$355</f>
        <v>-1.004231536030757E-4</v>
      </c>
      <c r="Z680" s="2226">
        <f>+Z668/'VVP2'!Z$355</f>
        <v>-1.061735019918149E-4</v>
      </c>
      <c r="AA680" s="2226">
        <f>+AA668/'VVP2'!AA$355</f>
        <v>-1.149998830509664E-4</v>
      </c>
      <c r="AB680" s="2226">
        <f>+AB668/'VVP2'!AB$355</f>
        <v>0</v>
      </c>
      <c r="AC680" s="2226">
        <f>+AC668/'VVP2'!AC$355</f>
        <v>0</v>
      </c>
      <c r="AD680" s="2226">
        <f ca="1">+AD668/'VVP2'!AD$355</f>
        <v>0</v>
      </c>
      <c r="AE680" s="2226">
        <f ca="1">+AE668/'VVP2'!AE$355</f>
        <v>0</v>
      </c>
      <c r="AF680" s="749"/>
      <c r="AG680" s="749"/>
      <c r="AH680" s="749"/>
      <c r="AI680" s="749"/>
      <c r="AJ680" s="749"/>
      <c r="AK680" s="2226">
        <v>-1.7898426430009695E-5</v>
      </c>
      <c r="AL680" s="749"/>
      <c r="AM680" s="2226">
        <f t="shared" si="809"/>
        <v>-8.8275075561805203E-5</v>
      </c>
      <c r="AN680" s="749"/>
      <c r="AO680" s="749"/>
      <c r="AP680" s="749"/>
      <c r="AQ680" s="749"/>
      <c r="AR680" s="749"/>
      <c r="AS680" s="749"/>
      <c r="AT680" s="749"/>
    </row>
    <row r="681" spans="1:46" ht="12.75" customHeight="1">
      <c r="A681" s="714"/>
      <c r="B681" s="714"/>
      <c r="C681" s="822" t="s">
        <v>624</v>
      </c>
      <c r="D681" s="850" t="s">
        <v>592</v>
      </c>
      <c r="E681" s="851" t="s">
        <v>557</v>
      </c>
      <c r="F681" s="852" t="s">
        <v>823</v>
      </c>
      <c r="G681" s="881">
        <f ca="1">+G669/'VVP2'!G$355</f>
        <v>1.6522872720456E-19</v>
      </c>
      <c r="H681" s="881">
        <f>+H669/'VVP2'!H$355</f>
        <v>3.1430166561820458E-19</v>
      </c>
      <c r="I681" s="881">
        <f>+I669/'VVP2'!I$355</f>
        <v>1.0555642349883455E-19</v>
      </c>
      <c r="J681" s="881">
        <f>+J669/'VVP2'!J$355</f>
        <v>7.6752896773500287E-19</v>
      </c>
      <c r="K681" s="881">
        <f>+K669/'VVP2'!K$355</f>
        <v>2.858934753386883E-19</v>
      </c>
      <c r="L681" s="881">
        <f>+L669/'VVP2'!L$355</f>
        <v>0</v>
      </c>
      <c r="M681" s="881">
        <f>+M669/'VVP2'!M$355</f>
        <v>-3.3163838836861013E-19</v>
      </c>
      <c r="N681" s="881">
        <f>+N669/'VVP2'!N$355</f>
        <v>-4.4067314568034774E-19</v>
      </c>
      <c r="O681" s="881">
        <f>+O669/'VVP2'!O$355</f>
        <v>-6.0455837226867547E-19</v>
      </c>
      <c r="P681" s="881">
        <f>+P669/'VVP2'!P$355</f>
        <v>7.9270570220706506E-19</v>
      </c>
      <c r="Q681" s="881">
        <f>+Q669/'VVP2'!Q$355</f>
        <v>3.5921849500997835E-19</v>
      </c>
      <c r="R681" s="881">
        <f>+R669/'VVP2'!R$355</f>
        <v>-2.9738532463576649E-19</v>
      </c>
      <c r="S681" s="881">
        <f>+S669/'VVP2'!S$355</f>
        <v>3.830897475685809E-19</v>
      </c>
      <c r="T681" s="881">
        <f>+T669/'VVP2'!T$355</f>
        <v>-5.2423973031438038E-19</v>
      </c>
      <c r="U681" s="881">
        <f>+U669/'VVP2'!U$355</f>
        <v>6.2170924541811727E-19</v>
      </c>
      <c r="V681" s="881">
        <f>+V669/'VVP2'!V$355</f>
        <v>-2.6132473436416654E-19</v>
      </c>
      <c r="W681" s="2227">
        <f>+W669/'VVP2'!W$355</f>
        <v>-2.2421534625740474E-19</v>
      </c>
      <c r="X681" s="2227">
        <f>+X669/'VVP2'!X$355</f>
        <v>-4.118568222043459E-19</v>
      </c>
      <c r="Y681" s="2227">
        <f>+Y669/'VVP2'!Y$355</f>
        <v>-2.6528893718814259E-19</v>
      </c>
      <c r="Z681" s="2227">
        <f>+Z669/'VVP2'!Z$355</f>
        <v>0</v>
      </c>
      <c r="AA681" s="2227">
        <f>+AA669/'VVP2'!AA$355</f>
        <v>-3.0431135114709973E-19</v>
      </c>
      <c r="AB681" s="2227">
        <f>+AB669/'VVP2'!AB$355</f>
        <v>0</v>
      </c>
      <c r="AC681" s="2227">
        <f>+AC669/'VVP2'!AC$355</f>
        <v>0</v>
      </c>
      <c r="AD681" s="2227">
        <f ca="1">+AD669/'VVP2'!AD$355</f>
        <v>0</v>
      </c>
      <c r="AE681" s="2227">
        <f ca="1">+AE669/'VVP2'!AE$355</f>
        <v>0</v>
      </c>
      <c r="AF681" s="749"/>
      <c r="AG681" s="749"/>
      <c r="AH681" s="749"/>
      <c r="AI681" s="749"/>
      <c r="AJ681" s="749"/>
      <c r="AK681" s="2227">
        <v>-2.3717849001597034E-19</v>
      </c>
      <c r="AL681" s="749"/>
      <c r="AM681" s="2227">
        <f t="shared" si="809"/>
        <v>2.3717849001597034E-19</v>
      </c>
      <c r="AN681" s="749"/>
      <c r="AO681" s="749"/>
      <c r="AP681" s="749"/>
      <c r="AQ681" s="749"/>
      <c r="AR681" s="749"/>
      <c r="AS681" s="749"/>
      <c r="AT681" s="749"/>
    </row>
    <row r="682" spans="1:46" ht="30" customHeight="1">
      <c r="A682" s="714"/>
      <c r="B682" s="714"/>
      <c r="C682" s="822"/>
      <c r="S682" s="2162"/>
      <c r="T682" s="2234"/>
      <c r="U682" s="2234"/>
      <c r="AF682" s="749"/>
      <c r="AG682" s="749"/>
      <c r="AH682" s="749"/>
      <c r="AI682" s="749"/>
      <c r="AJ682" s="749"/>
      <c r="AL682" s="749"/>
      <c r="AM682" s="2827">
        <f t="shared" si="809"/>
        <v>0</v>
      </c>
      <c r="AN682" s="749"/>
      <c r="AO682" s="749"/>
      <c r="AP682" s="749"/>
      <c r="AQ682" s="749"/>
      <c r="AR682" s="749"/>
      <c r="AS682" s="749"/>
      <c r="AT682" s="749"/>
    </row>
    <row r="683" spans="1:46" ht="30" customHeight="1">
      <c r="R683" s="883"/>
      <c r="S683" s="883"/>
      <c r="T683" s="2162"/>
      <c r="U683" s="2162"/>
      <c r="AF683" s="749"/>
      <c r="AG683" s="749"/>
      <c r="AH683" s="749"/>
      <c r="AI683" s="749"/>
      <c r="AJ683" s="749"/>
      <c r="AL683" s="749"/>
      <c r="AM683" s="2827">
        <f t="shared" si="809"/>
        <v>0</v>
      </c>
      <c r="AN683" s="749"/>
      <c r="AO683" s="749"/>
      <c r="AP683" s="749"/>
      <c r="AQ683" s="749"/>
      <c r="AR683" s="749"/>
      <c r="AS683" s="749"/>
      <c r="AT683" s="749"/>
    </row>
    <row r="684" spans="1:46" ht="22.5" customHeight="1">
      <c r="A684" s="603"/>
      <c r="B684" s="603"/>
      <c r="C684" s="4129" t="s">
        <v>1043</v>
      </c>
      <c r="D684" s="4129"/>
      <c r="E684" s="4129"/>
      <c r="F684" s="4129"/>
      <c r="S684" s="2162"/>
      <c r="T684" s="2162"/>
      <c r="U684" s="3352"/>
      <c r="AF684" s="749"/>
      <c r="AG684" s="749"/>
      <c r="AH684" s="749"/>
      <c r="AI684" s="749"/>
      <c r="AJ684" s="749"/>
      <c r="AL684" s="749"/>
      <c r="AM684" s="2827">
        <f t="shared" si="809"/>
        <v>0</v>
      </c>
      <c r="AN684" s="749"/>
      <c r="AO684" s="749"/>
      <c r="AP684" s="749"/>
      <c r="AQ684" s="749"/>
      <c r="AR684" s="749"/>
      <c r="AS684" s="749"/>
      <c r="AT684" s="749"/>
    </row>
    <row r="685" spans="1:46" ht="12.75" customHeight="1">
      <c r="A685" s="714"/>
      <c r="B685" s="714"/>
      <c r="C685" s="822"/>
      <c r="S685" s="2162"/>
      <c r="T685" s="2234"/>
      <c r="U685" s="2234"/>
      <c r="AM685" s="2827">
        <f t="shared" si="809"/>
        <v>0</v>
      </c>
    </row>
    <row r="686" spans="1:46" ht="12.75" customHeight="1">
      <c r="A686" s="714"/>
      <c r="B686" s="714"/>
      <c r="C686" s="822"/>
      <c r="S686" s="2162"/>
      <c r="T686" s="2218"/>
      <c r="U686" s="2162"/>
      <c r="AC686" s="889"/>
      <c r="AM686" s="2827">
        <f t="shared" si="809"/>
        <v>0</v>
      </c>
    </row>
    <row r="687" spans="1:46" ht="12.75" customHeight="1">
      <c r="A687" s="714"/>
      <c r="B687" s="714"/>
      <c r="C687" s="822"/>
      <c r="D687" s="823"/>
      <c r="E687" s="824" t="s">
        <v>1803</v>
      </c>
      <c r="F687" s="825"/>
      <c r="G687" s="826">
        <f>+InputY!$G$3</f>
        <v>1995</v>
      </c>
      <c r="H687" s="826">
        <f>+G687+1</f>
        <v>1996</v>
      </c>
      <c r="I687" s="826">
        <f t="shared" ref="I687:O687" si="847">+H687+1</f>
        <v>1997</v>
      </c>
      <c r="J687" s="826">
        <f t="shared" si="847"/>
        <v>1998</v>
      </c>
      <c r="K687" s="826">
        <f t="shared" si="847"/>
        <v>1999</v>
      </c>
      <c r="L687" s="826">
        <f t="shared" si="847"/>
        <v>2000</v>
      </c>
      <c r="M687" s="826">
        <f t="shared" si="847"/>
        <v>2001</v>
      </c>
      <c r="N687" s="826">
        <f t="shared" si="847"/>
        <v>2002</v>
      </c>
      <c r="O687" s="826">
        <f t="shared" si="847"/>
        <v>2003</v>
      </c>
      <c r="P687" s="826">
        <f t="shared" ref="P687:U687" si="848">+O687+1</f>
        <v>2004</v>
      </c>
      <c r="Q687" s="826">
        <f t="shared" si="848"/>
        <v>2005</v>
      </c>
      <c r="R687" s="2163">
        <f t="shared" si="848"/>
        <v>2006</v>
      </c>
      <c r="S687" s="2163">
        <f t="shared" si="848"/>
        <v>2007</v>
      </c>
      <c r="T687" s="2163">
        <f t="shared" si="848"/>
        <v>2008</v>
      </c>
      <c r="U687" s="2163">
        <f t="shared" si="848"/>
        <v>2009</v>
      </c>
      <c r="V687" s="2163">
        <f t="shared" ref="V687:AE687" si="849">+U687+1</f>
        <v>2010</v>
      </c>
      <c r="W687" s="2163">
        <f t="shared" si="849"/>
        <v>2011</v>
      </c>
      <c r="X687" s="2163">
        <f t="shared" si="849"/>
        <v>2012</v>
      </c>
      <c r="Y687" s="2163">
        <f t="shared" si="849"/>
        <v>2013</v>
      </c>
      <c r="Z687" s="2163">
        <f t="shared" si="849"/>
        <v>2014</v>
      </c>
      <c r="AA687" s="2163">
        <f t="shared" si="849"/>
        <v>2015</v>
      </c>
      <c r="AB687" s="2163">
        <f t="shared" si="849"/>
        <v>2016</v>
      </c>
      <c r="AC687" s="2163">
        <f t="shared" si="849"/>
        <v>2017</v>
      </c>
      <c r="AD687" s="2163">
        <f t="shared" si="849"/>
        <v>2018</v>
      </c>
      <c r="AE687" s="2163">
        <f t="shared" si="849"/>
        <v>2019</v>
      </c>
      <c r="AK687" s="2163">
        <v>2014</v>
      </c>
      <c r="AM687" s="2163">
        <f t="shared" si="809"/>
        <v>0</v>
      </c>
    </row>
    <row r="688" spans="1:46" ht="12.75" customHeight="1">
      <c r="A688" s="714"/>
      <c r="B688" s="714"/>
      <c r="C688" s="827" t="s">
        <v>622</v>
      </c>
      <c r="D688" s="718" t="s">
        <v>591</v>
      </c>
      <c r="E688" s="750" t="str">
        <f>+Labour1!E211</f>
        <v>Compensation of employees (D.1p)</v>
      </c>
      <c r="F688" s="751" t="s">
        <v>1081</v>
      </c>
      <c r="G688" s="828">
        <f>+Labour1!G211</f>
        <v>24.175999999999998</v>
      </c>
      <c r="H688" s="828">
        <f>+Labour1!H211</f>
        <v>24.9559</v>
      </c>
      <c r="I688" s="828">
        <f>+Labour1!I211</f>
        <v>25.796200000000002</v>
      </c>
      <c r="J688" s="828">
        <f>+Labour1!J211</f>
        <v>26.570900000000002</v>
      </c>
      <c r="K688" s="828">
        <f>+Labour1!K211</f>
        <v>27.7728</v>
      </c>
      <c r="L688" s="828">
        <f>+Labour1!L211</f>
        <v>28.776700000000002</v>
      </c>
      <c r="M688" s="828">
        <f>+Labour1!M211</f>
        <v>30.060200000000002</v>
      </c>
      <c r="N688" s="828">
        <f>+Labour1!N211</f>
        <v>32.275100000000002</v>
      </c>
      <c r="O688" s="828">
        <f>+Labour1!O211</f>
        <v>33.604199999999999</v>
      </c>
      <c r="P688" s="828">
        <f>+Labour1!P211</f>
        <v>34.612099999999998</v>
      </c>
      <c r="Q688" s="828">
        <f>+Labour1!Q211</f>
        <v>36.417699999999996</v>
      </c>
      <c r="R688" s="828">
        <f>+Labour1!R211</f>
        <v>38.011800000000001</v>
      </c>
      <c r="S688" s="828">
        <f>+Labour1!S211</f>
        <v>39.631699999999995</v>
      </c>
      <c r="T688" s="828">
        <f>+Labour1!T211</f>
        <v>41.896599999999999</v>
      </c>
      <c r="U688" s="828">
        <f>+Labour1!U211</f>
        <v>43.747800000000005</v>
      </c>
      <c r="V688" s="828">
        <f>+Labour1!V211</f>
        <v>44.9086</v>
      </c>
      <c r="W688" s="828">
        <f>+Labour1!W211</f>
        <v>46.770900000000005</v>
      </c>
      <c r="X688" s="828">
        <f>+Labour1!X211</f>
        <v>48.655199999999994</v>
      </c>
      <c r="Y688" s="828">
        <f>+Labour1!Y211</f>
        <v>50.193599999999996</v>
      </c>
      <c r="Z688" s="2847">
        <f>+Labour1!Z211</f>
        <v>50.880300000000005</v>
      </c>
      <c r="AA688" s="2847">
        <f>+Labour1!AA211</f>
        <v>51.093000000000004</v>
      </c>
      <c r="AB688" s="2847">
        <f>+Labour1!AB211</f>
        <v>52.288199999999996</v>
      </c>
      <c r="AC688" s="2847">
        <f>+Labour1!AC211</f>
        <v>53.776300000000006</v>
      </c>
      <c r="AD688" s="2230">
        <f>+Labour1!AD211</f>
        <v>54.768814395669409</v>
      </c>
      <c r="AE688" s="2230">
        <f>+Labour1!AE211</f>
        <v>55.860125941606945</v>
      </c>
      <c r="AK688" s="2847">
        <v>50.245400000000004</v>
      </c>
      <c r="AM688" s="2847">
        <f t="shared" si="809"/>
        <v>0.6349000000000018</v>
      </c>
    </row>
    <row r="689" spans="1:46" ht="12.75" customHeight="1">
      <c r="A689" s="714">
        <f>+ROW(InputY!A140)</f>
        <v>140</v>
      </c>
      <c r="B689" s="714">
        <v>145</v>
      </c>
      <c r="C689" s="829" t="s">
        <v>622</v>
      </c>
      <c r="D689" s="875" t="s">
        <v>591</v>
      </c>
      <c r="E689" s="876" t="s">
        <v>1366</v>
      </c>
      <c r="F689" s="754"/>
      <c r="G689" s="753">
        <f>+InputY!G140/1000</f>
        <v>7.2478999999999996</v>
      </c>
      <c r="H689" s="753">
        <f>+InputY!H140/1000</f>
        <v>7.9761000000000006</v>
      </c>
      <c r="I689" s="753">
        <f>+InputY!I140/1000</f>
        <v>8.1880000000000006</v>
      </c>
      <c r="J689" s="753">
        <f>+InputY!J140/1000</f>
        <v>8.5561000000000007</v>
      </c>
      <c r="K689" s="753">
        <f>+InputY!K140/1000</f>
        <v>9.0108999999999995</v>
      </c>
      <c r="L689" s="753">
        <f>+InputY!L140/1000</f>
        <v>9.4283999999999999</v>
      </c>
      <c r="M689" s="753">
        <f>+InputY!M140/1000</f>
        <v>9.9881000000000011</v>
      </c>
      <c r="N689" s="753">
        <f>+InputY!N140/1000</f>
        <v>11.4903</v>
      </c>
      <c r="O689" s="753">
        <f>+InputY!O140/1000</f>
        <v>11.7447</v>
      </c>
      <c r="P689" s="753">
        <f>+InputY!P140/1000</f>
        <v>12.1379</v>
      </c>
      <c r="Q689" s="753">
        <f>+InputY!Q140/1000</f>
        <v>12.4862</v>
      </c>
      <c r="R689" s="753">
        <f>+InputY!R140/1000</f>
        <v>12.8621</v>
      </c>
      <c r="S689" s="753">
        <f>+InputY!S140/1000</f>
        <v>12.9176</v>
      </c>
      <c r="T689" s="753">
        <f>+InputY!T140/1000</f>
        <v>14.008799999999999</v>
      </c>
      <c r="U689" s="753">
        <f>+InputY!U140/1000</f>
        <v>15.0093</v>
      </c>
      <c r="V689" s="753">
        <f>+InputY!V140/1000</f>
        <v>15.165799999999999</v>
      </c>
      <c r="W689" s="2269">
        <f>+InputY!W140/1000</f>
        <v>15.870200000000001</v>
      </c>
      <c r="X689" s="2269">
        <f>+InputY!X140/1000</f>
        <v>16.4953</v>
      </c>
      <c r="Y689" s="2269">
        <f>+InputY!Y140/1000</f>
        <v>17.093900000000001</v>
      </c>
      <c r="Z689" s="2269">
        <f>+InputY!Z140/1000</f>
        <v>16.9955</v>
      </c>
      <c r="AA689" s="2269">
        <f>+InputY!AA140/1000</f>
        <v>16.693099999999998</v>
      </c>
      <c r="AB689" s="2269">
        <f>+InputY!AB140/1000</f>
        <v>16.758700000000001</v>
      </c>
      <c r="AC689" s="2269">
        <f>+InputY!AC140/1000</f>
        <v>17.622599999999998</v>
      </c>
      <c r="AD689" s="4048">
        <f ca="1">+AD699-AD688-AD690-AD692-AD693-AD694+AD695+AD696</f>
        <v>18.253139009967271</v>
      </c>
      <c r="AE689" s="4048">
        <f ca="1">+AE699-AE688-AE690-AE692-AE693-AE694+AE695+AE696</f>
        <v>19.283382982206994</v>
      </c>
      <c r="AK689" s="2269">
        <v>15.9635</v>
      </c>
      <c r="AM689" s="2269">
        <f t="shared" si="809"/>
        <v>1.032</v>
      </c>
    </row>
    <row r="690" spans="1:46" ht="12.75" customHeight="1">
      <c r="A690" s="714">
        <f>+ROW(InputY!A161)</f>
        <v>161</v>
      </c>
      <c r="B690" s="714">
        <v>146</v>
      </c>
      <c r="C690" s="829" t="s">
        <v>622</v>
      </c>
      <c r="D690" s="724" t="s">
        <v>591</v>
      </c>
      <c r="E690" s="830" t="s">
        <v>523</v>
      </c>
      <c r="F690" s="754"/>
      <c r="G690" s="756">
        <f>+InputY!G161/1000</f>
        <v>12.1455</v>
      </c>
      <c r="H690" s="756">
        <f>+InputY!H161/1000</f>
        <v>12.952399999999999</v>
      </c>
      <c r="I690" s="756">
        <f>+InputY!I161/1000</f>
        <v>12.9475</v>
      </c>
      <c r="J690" s="756">
        <f>+InputY!J161/1000</f>
        <v>13.5101</v>
      </c>
      <c r="K690" s="756">
        <f>+InputY!K161/1000</f>
        <v>14.3796</v>
      </c>
      <c r="L690" s="756">
        <f>+InputY!L161/1000</f>
        <v>15.3498</v>
      </c>
      <c r="M690" s="756">
        <f>+InputY!M161/1000</f>
        <v>16.480499999999999</v>
      </c>
      <c r="N690" s="756">
        <f>+InputY!N161/1000</f>
        <v>17.067799999999998</v>
      </c>
      <c r="O690" s="756">
        <f>+InputY!O161/1000</f>
        <v>18.512499999999999</v>
      </c>
      <c r="P690" s="756">
        <f>+InputY!P161/1000</f>
        <v>20.0596</v>
      </c>
      <c r="Q690" s="756">
        <f>+InputY!Q161/1000</f>
        <v>21.032</v>
      </c>
      <c r="R690" s="756">
        <f>+InputY!R161/1000</f>
        <v>21.5001</v>
      </c>
      <c r="S690" s="756">
        <f>+InputY!S161/1000</f>
        <v>22.658099999999997</v>
      </c>
      <c r="T690" s="756">
        <f>+InputY!T161/1000</f>
        <v>24.9802</v>
      </c>
      <c r="U690" s="756">
        <f>+InputY!U161/1000</f>
        <v>26.692700000000002</v>
      </c>
      <c r="V690" s="756">
        <f>+InputY!V161/1000</f>
        <v>27.728300000000001</v>
      </c>
      <c r="W690" s="756">
        <f>+InputY!W161/1000</f>
        <v>29.384900000000002</v>
      </c>
      <c r="X690" s="756">
        <f>+InputY!X161/1000</f>
        <v>30.712700000000002</v>
      </c>
      <c r="Y690" s="1469">
        <f>+InputY!Y161/1000</f>
        <v>31.182700000000001</v>
      </c>
      <c r="Z690" s="1469">
        <f>+InputY!Z161/1000</f>
        <v>32.119199999999999</v>
      </c>
      <c r="AA690" s="1469">
        <f>+InputY!AA161/1000</f>
        <v>32.8825</v>
      </c>
      <c r="AB690" s="1469">
        <f>+InputY!AB161/1000</f>
        <v>33.738</v>
      </c>
      <c r="AC690" s="1469">
        <f>+InputY!AC161/1000</f>
        <v>34.874199999999995</v>
      </c>
      <c r="AD690" s="2135">
        <f>+AC690*(1+AD706/100)</f>
        <v>36.23080637999999</v>
      </c>
      <c r="AE690" s="2135">
        <f>+AD690*(1+AE706/100)</f>
        <v>37.596707780525989</v>
      </c>
      <c r="AK690" s="1469">
        <v>32.377699999999997</v>
      </c>
      <c r="AM690" s="1469">
        <f t="shared" si="809"/>
        <v>-0.25849999999999795</v>
      </c>
    </row>
    <row r="691" spans="1:46" s="1047" customFormat="1" ht="12.75" customHeight="1">
      <c r="A691" s="1039"/>
      <c r="B691" s="1039"/>
      <c r="C691" s="2115"/>
      <c r="D691" s="1054"/>
      <c r="E691" s="1882" t="s">
        <v>547</v>
      </c>
      <c r="F691" s="1883"/>
      <c r="G691" s="2116">
        <f>G690/'VVP2'!G198</f>
        <v>0.45560944867711767</v>
      </c>
      <c r="H691" s="2116">
        <f>H690/'VVP2'!H198</f>
        <v>0.46097969395908184</v>
      </c>
      <c r="I691" s="2116">
        <f>I690/'VVP2'!I198</f>
        <v>0.45275063274938787</v>
      </c>
      <c r="J691" s="2116">
        <f>J690/'VVP2'!J198</f>
        <v>0.45507858552786701</v>
      </c>
      <c r="K691" s="2116">
        <f>K690/'VVP2'!K198</f>
        <v>0.46441326308160658</v>
      </c>
      <c r="L691" s="2116">
        <f>L690/'VVP2'!L198</f>
        <v>0.47488682232226082</v>
      </c>
      <c r="M691" s="2116">
        <f>M690/'VVP2'!M198</f>
        <v>0.47815759398862723</v>
      </c>
      <c r="N691" s="2116">
        <f>N690/'VVP2'!N198</f>
        <v>0.47059868033407715</v>
      </c>
      <c r="O691" s="2116">
        <f>O690/'VVP2'!O198</f>
        <v>0.47918555151700892</v>
      </c>
      <c r="P691" s="2116">
        <f>P690/'VVP2'!P198</f>
        <v>0.49371509806445546</v>
      </c>
      <c r="Q691" s="2116">
        <f>Q690/'VVP2'!Q198</f>
        <v>0.49435517934125628</v>
      </c>
      <c r="R691" s="2116">
        <f>R690/'VVP2'!R198</f>
        <v>0.48710050581187492</v>
      </c>
      <c r="S691" s="2116">
        <f>S690/'VVP2'!S198</f>
        <v>0.49266763845860806</v>
      </c>
      <c r="T691" s="2116">
        <f>T690/'VVP2'!T198</f>
        <v>0.50225156892040701</v>
      </c>
      <c r="U691" s="2116">
        <f>U690/'VVP2'!U198</f>
        <v>0.50785893566274121</v>
      </c>
      <c r="V691" s="2116">
        <f>V690/'VVP2'!V198</f>
        <v>0.50642318387850072</v>
      </c>
      <c r="W691" s="2116">
        <f>W690/'VVP2'!W198</f>
        <v>0.50859359071239352</v>
      </c>
      <c r="X691" s="2116">
        <f>X690/'VVP2'!X198</f>
        <v>0.50927534218022652</v>
      </c>
      <c r="Y691" s="2889">
        <f>Y690/'VVP2'!Y198</f>
        <v>0.5097135504228637</v>
      </c>
      <c r="Z691" s="2889">
        <f>Z690/'VVP2'!Z198</f>
        <v>0.51075620197825955</v>
      </c>
      <c r="AA691" s="2889">
        <f>AA690/'VVP2'!AA198</f>
        <v>0.513110794168958</v>
      </c>
      <c r="AB691" s="2889">
        <f>AB690/'VVP2'!AB198</f>
        <v>0.51135854679473314</v>
      </c>
      <c r="AC691" s="4056">
        <f>AC690/'VVP2'!AC198</f>
        <v>0.51085730340551505</v>
      </c>
      <c r="AD691" s="2889">
        <f ca="1">AD690/'VVP2'!AD198</f>
        <v>0.51912139653862366</v>
      </c>
      <c r="AE691" s="2889">
        <f ca="1">AE690/'VVP2'!AE198</f>
        <v>0.52492886940592054</v>
      </c>
      <c r="AF691" s="2834"/>
      <c r="AG691" s="2834"/>
      <c r="AH691" s="2834"/>
      <c r="AI691" s="2834"/>
      <c r="AJ691" s="2834"/>
      <c r="AK691" s="2889">
        <v>0.52446092342780126</v>
      </c>
      <c r="AL691" s="2834"/>
      <c r="AM691" s="2889">
        <f t="shared" si="809"/>
        <v>-1.3704721449541712E-2</v>
      </c>
      <c r="AN691" s="2834"/>
      <c r="AO691" s="2834"/>
      <c r="AP691" s="2834"/>
      <c r="AQ691" s="2834"/>
      <c r="AR691" s="2834"/>
      <c r="AS691" s="2834"/>
      <c r="AT691" s="2834"/>
    </row>
    <row r="692" spans="1:46" ht="12.75" customHeight="1">
      <c r="A692" s="714">
        <f>+ROW(InputY!A142)</f>
        <v>142</v>
      </c>
      <c r="B692" s="714">
        <v>144</v>
      </c>
      <c r="C692" s="829" t="s">
        <v>622</v>
      </c>
      <c r="D692" s="724" t="s">
        <v>591</v>
      </c>
      <c r="E692" s="830" t="str">
        <f>+E203</f>
        <v>Consumption of fixed capital (K.1)</v>
      </c>
      <c r="F692" s="754"/>
      <c r="G692" s="753">
        <f>+InputY!G142/1000</f>
        <v>4.6923000000000004</v>
      </c>
      <c r="H692" s="753">
        <f>+InputY!H142/1000</f>
        <v>4.8239000000000001</v>
      </c>
      <c r="I692" s="753">
        <f>+InputY!I142/1000</f>
        <v>4.9175000000000004</v>
      </c>
      <c r="J692" s="753">
        <f>+InputY!J142/1000</f>
        <v>5.0739000000000001</v>
      </c>
      <c r="K692" s="753">
        <f>+InputY!K142/1000</f>
        <v>5.2344999999999997</v>
      </c>
      <c r="L692" s="753">
        <f>+InputY!L142/1000</f>
        <v>5.4876000000000005</v>
      </c>
      <c r="M692" s="753">
        <f>+InputY!M142/1000</f>
        <v>5.6321000000000003</v>
      </c>
      <c r="N692" s="753">
        <f>+InputY!N142/1000</f>
        <v>5.7755000000000001</v>
      </c>
      <c r="O692" s="753">
        <f>+InputY!O142/1000</f>
        <v>5.9971000000000005</v>
      </c>
      <c r="P692" s="753">
        <f>+InputY!P142/1000</f>
        <v>6.1106000000000007</v>
      </c>
      <c r="Q692" s="753">
        <f>+InputY!Q142/1000</f>
        <v>6.6166999999999998</v>
      </c>
      <c r="R692" s="753">
        <f>+InputY!R142/1000</f>
        <v>7.12</v>
      </c>
      <c r="S692" s="753">
        <f>+InputY!S142/1000</f>
        <v>7.4703999999999997</v>
      </c>
      <c r="T692" s="753">
        <f>+InputY!T142/1000</f>
        <v>7.8266999999999998</v>
      </c>
      <c r="U692" s="753">
        <f>+InputY!U142/1000</f>
        <v>7.6950000000000003</v>
      </c>
      <c r="V692" s="753">
        <f>+InputY!V142/1000</f>
        <v>8.0737000000000005</v>
      </c>
      <c r="W692" s="753">
        <f>+InputY!W142/1000</f>
        <v>8.5851000000000006</v>
      </c>
      <c r="X692" s="753">
        <f>+InputY!X142/1000</f>
        <v>8.8847999999999985</v>
      </c>
      <c r="Y692" s="2269">
        <f>+InputY!Y142/1000</f>
        <v>8.9925999999999995</v>
      </c>
      <c r="Z692" s="2269">
        <f>+InputY!Z142/1000</f>
        <v>9.0642000000000014</v>
      </c>
      <c r="AA692" s="2269">
        <f>+InputY!AA142/1000</f>
        <v>9.1327000000000016</v>
      </c>
      <c r="AB692" s="2269">
        <f>+InputY!AB142/1000</f>
        <v>9.2668999999999997</v>
      </c>
      <c r="AC692" s="2269">
        <f>+InputY!AC142/1000</f>
        <v>9.5069999999999997</v>
      </c>
      <c r="AD692" s="836">
        <f t="shared" ref="AD692:AE693" si="850">+AC692*(1+AD709/100)</f>
        <v>9.4971738518000048</v>
      </c>
      <c r="AE692" s="836">
        <f t="shared" si="850"/>
        <v>9.6196873944882242</v>
      </c>
      <c r="AK692" s="2269">
        <v>9.4371000000000009</v>
      </c>
      <c r="AM692" s="2269">
        <f t="shared" si="809"/>
        <v>-0.37289999999999957</v>
      </c>
    </row>
    <row r="693" spans="1:46" ht="12.75" customHeight="1">
      <c r="A693" s="714"/>
      <c r="B693" s="714"/>
      <c r="C693" s="829" t="s">
        <v>622</v>
      </c>
      <c r="D693" s="724" t="s">
        <v>591</v>
      </c>
      <c r="E693" s="830" t="str">
        <f>+E204</f>
        <v>Net operating surplus (B.2n)</v>
      </c>
      <c r="F693" s="754"/>
      <c r="G693" s="756">
        <f t="shared" ref="G693:AA693" si="851">+G200-G692</f>
        <v>1.3000000000000789E-2</v>
      </c>
      <c r="H693" s="756">
        <f t="shared" si="851"/>
        <v>1.3799999999999812E-2</v>
      </c>
      <c r="I693" s="756">
        <f t="shared" si="851"/>
        <v>9.3999999999967443E-3</v>
      </c>
      <c r="J693" s="756">
        <f t="shared" si="851"/>
        <v>1.7699999999998717E-2</v>
      </c>
      <c r="K693" s="756">
        <f t="shared" si="851"/>
        <v>1.8799999999997041E-2</v>
      </c>
      <c r="L693" s="756">
        <f t="shared" si="851"/>
        <v>1.8999999999997463E-2</v>
      </c>
      <c r="M693" s="756">
        <f t="shared" si="851"/>
        <v>1.7799999999997596E-2</v>
      </c>
      <c r="N693" s="756">
        <f t="shared" si="851"/>
        <v>2.4600000000002176E-2</v>
      </c>
      <c r="O693" s="756">
        <f t="shared" si="851"/>
        <v>2.5699999999998724E-2</v>
      </c>
      <c r="P693" s="756">
        <f t="shared" si="851"/>
        <v>2.8900000000001924E-2</v>
      </c>
      <c r="Q693" s="756">
        <f t="shared" si="851"/>
        <v>3.6600000000001742E-2</v>
      </c>
      <c r="R693" s="756">
        <f t="shared" si="851"/>
        <v>3.6200000000002674E-2</v>
      </c>
      <c r="S693" s="756">
        <f t="shared" si="851"/>
        <v>3.5300000000008325E-2</v>
      </c>
      <c r="T693" s="756">
        <f t="shared" si="851"/>
        <v>3.780000000000161E-2</v>
      </c>
      <c r="U693" s="756">
        <f t="shared" si="851"/>
        <v>3.849999999999465E-2</v>
      </c>
      <c r="V693" s="756">
        <f t="shared" si="851"/>
        <v>3.9400000000002322E-2</v>
      </c>
      <c r="W693" s="756">
        <f t="shared" si="851"/>
        <v>4.3200000000000571E-2</v>
      </c>
      <c r="X693" s="756">
        <f t="shared" si="851"/>
        <v>4.7100000000011022E-2</v>
      </c>
      <c r="Y693" s="1376">
        <f t="shared" si="851"/>
        <v>4.9100000000002808E-2</v>
      </c>
      <c r="Z693" s="1376">
        <f t="shared" si="851"/>
        <v>5.0199999999993139E-2</v>
      </c>
      <c r="AA693" s="1376">
        <f t="shared" si="851"/>
        <v>5.1299999999992352E-2</v>
      </c>
      <c r="AB693" s="1376">
        <f t="shared" ref="AB693:AC693" si="852">+AB200-AB692</f>
        <v>4.760000000000808E-2</v>
      </c>
      <c r="AC693" s="1376">
        <f t="shared" si="852"/>
        <v>3.2799999999991059E-2</v>
      </c>
      <c r="AD693" s="836">
        <f t="shared" si="850"/>
        <v>4.760000000000128E-2</v>
      </c>
      <c r="AE693" s="836">
        <f t="shared" si="850"/>
        <v>4.760000000000128E-2</v>
      </c>
      <c r="AK693" s="1376">
        <v>5.049999999999244E-2</v>
      </c>
      <c r="AM693" s="1376">
        <f t="shared" si="809"/>
        <v>-2.9999999999930083E-4</v>
      </c>
    </row>
    <row r="694" spans="1:46" ht="12.75" customHeight="1">
      <c r="A694" s="714"/>
      <c r="B694" s="714"/>
      <c r="C694" s="829" t="s">
        <v>622</v>
      </c>
      <c r="D694" s="724" t="s">
        <v>591</v>
      </c>
      <c r="E694" s="756" t="str">
        <f t="shared" ref="E694:AD694" si="853">+E30</f>
        <v>Other taxes on production (D.29p)</v>
      </c>
      <c r="F694" s="756" t="str">
        <f t="shared" si="853"/>
        <v>$ATaxProd</v>
      </c>
      <c r="G694" s="756">
        <f t="shared" si="853"/>
        <v>0</v>
      </c>
      <c r="H694" s="756">
        <f t="shared" si="853"/>
        <v>0</v>
      </c>
      <c r="I694" s="756">
        <f t="shared" si="853"/>
        <v>0</v>
      </c>
      <c r="J694" s="756">
        <f t="shared" si="853"/>
        <v>0</v>
      </c>
      <c r="K694" s="756">
        <f t="shared" si="853"/>
        <v>0</v>
      </c>
      <c r="L694" s="756">
        <f t="shared" si="853"/>
        <v>0</v>
      </c>
      <c r="M694" s="756">
        <f t="shared" si="853"/>
        <v>0</v>
      </c>
      <c r="N694" s="756">
        <f t="shared" si="853"/>
        <v>0</v>
      </c>
      <c r="O694" s="756">
        <f t="shared" si="853"/>
        <v>0</v>
      </c>
      <c r="P694" s="756">
        <f t="shared" si="853"/>
        <v>0</v>
      </c>
      <c r="Q694" s="756">
        <f t="shared" si="853"/>
        <v>0</v>
      </c>
      <c r="R694" s="756">
        <f t="shared" si="853"/>
        <v>0</v>
      </c>
      <c r="S694" s="756">
        <f t="shared" si="853"/>
        <v>0</v>
      </c>
      <c r="T694" s="756">
        <f t="shared" si="853"/>
        <v>0</v>
      </c>
      <c r="U694" s="756">
        <f t="shared" si="853"/>
        <v>0</v>
      </c>
      <c r="V694" s="756">
        <f t="shared" si="853"/>
        <v>0</v>
      </c>
      <c r="W694" s="756">
        <f t="shared" si="853"/>
        <v>0</v>
      </c>
      <c r="X694" s="756">
        <f t="shared" si="853"/>
        <v>0</v>
      </c>
      <c r="Y694" s="756">
        <f t="shared" si="853"/>
        <v>0</v>
      </c>
      <c r="Z694" s="756">
        <f t="shared" si="853"/>
        <v>0</v>
      </c>
      <c r="AA694" s="756">
        <f t="shared" si="853"/>
        <v>0</v>
      </c>
      <c r="AB694" s="756">
        <f t="shared" ref="AB694:AC694" si="854">+AB30</f>
        <v>0</v>
      </c>
      <c r="AC694" s="756">
        <f t="shared" si="854"/>
        <v>0</v>
      </c>
      <c r="AD694" s="2228">
        <f t="shared" si="853"/>
        <v>0</v>
      </c>
      <c r="AE694" s="2228">
        <f t="shared" ref="AE694" si="855">+AE30</f>
        <v>0</v>
      </c>
      <c r="AK694" s="756">
        <v>0</v>
      </c>
      <c r="AM694" s="756">
        <f t="shared" si="809"/>
        <v>0</v>
      </c>
    </row>
    <row r="695" spans="1:46" ht="12.75" customHeight="1">
      <c r="A695" s="714"/>
      <c r="B695" s="714"/>
      <c r="C695" s="829" t="s">
        <v>2133</v>
      </c>
      <c r="D695" s="724" t="s">
        <v>591</v>
      </c>
      <c r="E695" s="756" t="str">
        <f t="shared" ref="E695:AD695" si="856">+E139</f>
        <v>Other subsidies on production (D.39r)</v>
      </c>
      <c r="F695" s="756" t="str">
        <f t="shared" si="856"/>
        <v>YASubProd</v>
      </c>
      <c r="G695" s="756">
        <f t="shared" si="856"/>
        <v>0</v>
      </c>
      <c r="H695" s="756">
        <f t="shared" si="856"/>
        <v>0.18809999999999999</v>
      </c>
      <c r="I695" s="756">
        <f t="shared" si="856"/>
        <v>0.19080000000000003</v>
      </c>
      <c r="J695" s="756">
        <f t="shared" si="856"/>
        <v>0.2147</v>
      </c>
      <c r="K695" s="756">
        <f t="shared" si="856"/>
        <v>0.22159999999999999</v>
      </c>
      <c r="L695" s="756">
        <f t="shared" si="856"/>
        <v>0.2253</v>
      </c>
      <c r="M695" s="756">
        <f t="shared" si="856"/>
        <v>0.2283</v>
      </c>
      <c r="N695" s="756">
        <f t="shared" si="856"/>
        <v>0.24930000000000002</v>
      </c>
      <c r="O695" s="756">
        <f t="shared" si="856"/>
        <v>0.27089999999999997</v>
      </c>
      <c r="P695" s="756">
        <f t="shared" si="856"/>
        <v>0.3115</v>
      </c>
      <c r="Q695" s="756">
        <f t="shared" si="856"/>
        <v>0.38250000000000001</v>
      </c>
      <c r="R695" s="756">
        <f t="shared" si="856"/>
        <v>0.39050000000000001</v>
      </c>
      <c r="S695" s="756">
        <f t="shared" si="856"/>
        <v>0.43460000000000004</v>
      </c>
      <c r="T695" s="756">
        <f t="shared" si="856"/>
        <v>0.47320000000000001</v>
      </c>
      <c r="U695" s="756">
        <f t="shared" si="856"/>
        <v>0.54530000000000001</v>
      </c>
      <c r="V695" s="756">
        <f t="shared" si="856"/>
        <v>0.57020000000000004</v>
      </c>
      <c r="W695" s="756">
        <f t="shared" si="856"/>
        <v>0.58739999999999992</v>
      </c>
      <c r="X695" s="756">
        <f t="shared" si="856"/>
        <v>0.6177999999999999</v>
      </c>
      <c r="Y695" s="756">
        <f t="shared" si="856"/>
        <v>0.63449999999999995</v>
      </c>
      <c r="Z695" s="756">
        <f t="shared" si="856"/>
        <v>0.63</v>
      </c>
      <c r="AA695" s="756">
        <f t="shared" si="856"/>
        <v>0.54889999999999994</v>
      </c>
      <c r="AB695" s="756">
        <f t="shared" ref="AB695:AC695" si="857">+AB139</f>
        <v>0.52639999999999998</v>
      </c>
      <c r="AC695" s="756">
        <f t="shared" si="857"/>
        <v>0.53149999999999997</v>
      </c>
      <c r="AD695" s="2228">
        <f t="shared" si="856"/>
        <v>0.56652585</v>
      </c>
      <c r="AE695" s="2228">
        <f t="shared" ref="AE695" si="858">+AE139</f>
        <v>0.58782722196000003</v>
      </c>
      <c r="AK695" s="756">
        <v>0</v>
      </c>
      <c r="AM695" s="756">
        <f t="shared" si="809"/>
        <v>0.63</v>
      </c>
    </row>
    <row r="696" spans="1:46" ht="12.75" customHeight="1">
      <c r="A696" s="714">
        <f>+ROW(InputY!A138)</f>
        <v>138</v>
      </c>
      <c r="B696" s="714">
        <v>143</v>
      </c>
      <c r="C696" s="829" t="s">
        <v>2133</v>
      </c>
      <c r="D696" s="724" t="s">
        <v>591</v>
      </c>
      <c r="E696" s="830" t="s">
        <v>552</v>
      </c>
      <c r="F696" s="754"/>
      <c r="G696" s="756">
        <f>+InputY!G138/1000</f>
        <v>3.5063</v>
      </c>
      <c r="H696" s="756">
        <f>+InputY!H138/1000</f>
        <v>4.0960000000000001</v>
      </c>
      <c r="I696" s="756">
        <f>+InputY!I138/1000</f>
        <v>4.3142000000000005</v>
      </c>
      <c r="J696" s="756">
        <f>+InputY!J138/1000</f>
        <v>4.6071999999999997</v>
      </c>
      <c r="K696" s="756">
        <f>+InputY!K138/1000</f>
        <v>4.8688000000000002</v>
      </c>
      <c r="L696" s="756">
        <f>+InputY!L138/1000</f>
        <v>4.9340000000000002</v>
      </c>
      <c r="M696" s="756">
        <f>+InputY!M138/1000</f>
        <v>5.3940000000000001</v>
      </c>
      <c r="N696" s="756">
        <f>+InputY!N138/1000</f>
        <v>6.0997000000000003</v>
      </c>
      <c r="O696" s="756">
        <f>+InputY!O138/1000</f>
        <v>6.4394999999999998</v>
      </c>
      <c r="P696" s="756">
        <f>+InputY!P138/1000</f>
        <v>6.8159000000000001</v>
      </c>
      <c r="Q696" s="756">
        <f>+InputY!Q138/1000</f>
        <v>7.3449999999999998</v>
      </c>
      <c r="R696" s="756">
        <f>+InputY!R138/1000</f>
        <v>7.6260000000000003</v>
      </c>
      <c r="S696" s="756">
        <f>+InputY!S138/1000</f>
        <v>7.8668000000000005</v>
      </c>
      <c r="T696" s="756">
        <f>+InputY!T138/1000</f>
        <v>8.4194999999999993</v>
      </c>
      <c r="U696" s="756">
        <f>+InputY!U138/1000</f>
        <v>8.8562000000000012</v>
      </c>
      <c r="V696" s="756">
        <f>+InputY!V138/1000</f>
        <v>9.3468</v>
      </c>
      <c r="W696" s="1376">
        <f>+InputY!W138/1000</f>
        <v>9.9394000000000009</v>
      </c>
      <c r="X696" s="1376">
        <f>+InputY!X138/1000</f>
        <v>10.166599999999999</v>
      </c>
      <c r="Y696" s="1376">
        <f>+InputY!Y138/1000</f>
        <v>10.790299999999998</v>
      </c>
      <c r="Z696" s="1376">
        <f>+InputY!Z138/1000</f>
        <v>11.121600000000001</v>
      </c>
      <c r="AA696" s="1376">
        <f>+InputY!AA138/1000</f>
        <v>11.216099999999999</v>
      </c>
      <c r="AB696" s="1376">
        <f>+InputY!AB138/1000</f>
        <v>12.3329</v>
      </c>
      <c r="AC696" s="1376">
        <f>+InputY!AC138/1000</f>
        <v>12.8691</v>
      </c>
      <c r="AD696" s="3032">
        <f>+AC696*(1+AD713/100)</f>
        <v>13.633550880058674</v>
      </c>
      <c r="AE696" s="3032">
        <f>+AD696*(1+AE713/100)</f>
        <v>14.242970604397296</v>
      </c>
      <c r="AK696" s="1376">
        <v>9.2632999999999992</v>
      </c>
      <c r="AM696" s="1376">
        <f t="shared" si="809"/>
        <v>1.8583000000000016</v>
      </c>
    </row>
    <row r="697" spans="1:46" s="1506" customFormat="1" ht="12.75" hidden="1" customHeight="1">
      <c r="A697" s="1039"/>
      <c r="B697" s="1039"/>
      <c r="C697" s="3354"/>
      <c r="D697" s="1768"/>
      <c r="E697" s="3355" t="s">
        <v>2150</v>
      </c>
      <c r="F697" s="3356"/>
      <c r="G697" s="3357"/>
      <c r="H697" s="3357"/>
      <c r="I697" s="3357"/>
      <c r="J697" s="3357"/>
      <c r="K697" s="3357"/>
      <c r="L697" s="3357"/>
      <c r="M697" s="3357"/>
      <c r="N697" s="3357"/>
      <c r="O697" s="3357"/>
      <c r="P697" s="3357"/>
      <c r="Q697" s="3357"/>
      <c r="R697" s="3357"/>
      <c r="S697" s="3357"/>
      <c r="T697" s="3357"/>
      <c r="U697" s="3357"/>
      <c r="V697" s="3357"/>
      <c r="W697" s="3357"/>
      <c r="X697" s="3357"/>
      <c r="Y697" s="3364">
        <v>-0.41</v>
      </c>
      <c r="Z697" s="3364">
        <v>-0.152</v>
      </c>
      <c r="AA697" s="3364"/>
      <c r="AB697" s="3364"/>
      <c r="AC697" s="3364"/>
      <c r="AD697" s="3364"/>
      <c r="AE697" s="3364"/>
      <c r="AF697" s="3358"/>
      <c r="AG697" s="3358"/>
      <c r="AH697" s="3358"/>
      <c r="AI697" s="3358"/>
      <c r="AJ697" s="3358"/>
      <c r="AK697" s="3364">
        <v>-0.152</v>
      </c>
      <c r="AL697" s="3358"/>
      <c r="AM697" s="3364">
        <f t="shared" si="809"/>
        <v>0</v>
      </c>
      <c r="AN697" s="3358"/>
      <c r="AO697" s="3358"/>
      <c r="AP697" s="3358"/>
      <c r="AQ697" s="3358"/>
      <c r="AR697" s="3358"/>
      <c r="AS697" s="3358"/>
      <c r="AT697" s="3358"/>
    </row>
    <row r="698" spans="1:46" ht="12.75" customHeight="1">
      <c r="A698" s="714"/>
      <c r="B698" s="714"/>
      <c r="C698" s="831" t="s">
        <v>624</v>
      </c>
      <c r="D698" s="800" t="s">
        <v>591</v>
      </c>
      <c r="E698" s="801" t="s">
        <v>1793</v>
      </c>
      <c r="F698" s="802"/>
      <c r="G698" s="832">
        <f ca="1">+'VVP2'!G200</f>
        <v>44.768500000000003</v>
      </c>
      <c r="H698" s="832">
        <f>+'VVP2'!H200</f>
        <v>46.438000000000002</v>
      </c>
      <c r="I698" s="832">
        <f>+'VVP2'!I200</f>
        <v>47.353499999999997</v>
      </c>
      <c r="J698" s="832">
        <f>+'VVP2'!J200</f>
        <v>48.906800000000004</v>
      </c>
      <c r="K698" s="832">
        <f>+'VVP2'!K200</f>
        <v>51.3262</v>
      </c>
      <c r="L698" s="832">
        <f>+'VVP2'!L200</f>
        <v>53.902300000000004</v>
      </c>
      <c r="M698" s="832">
        <f>+'VVP2'!M200</f>
        <v>56.5563</v>
      </c>
      <c r="N698" s="832">
        <f>+'VVP2'!N200</f>
        <v>60.284300000000002</v>
      </c>
      <c r="O698" s="832">
        <f>+'VVP2'!O200</f>
        <v>63.1738</v>
      </c>
      <c r="P698" s="832">
        <f>+'VVP2'!P200</f>
        <v>65.821699999999993</v>
      </c>
      <c r="Q698" s="832">
        <f>+'VVP2'!Q200</f>
        <v>68.861699999999999</v>
      </c>
      <c r="R698" s="832">
        <f>+'VVP2'!R200</f>
        <v>71.5137</v>
      </c>
      <c r="S698" s="832">
        <f>+'VVP2'!S200</f>
        <v>74.411699999999996</v>
      </c>
      <c r="T698" s="832">
        <f>+'VVP2'!T200</f>
        <v>79.857399999999998</v>
      </c>
      <c r="U698" s="832">
        <f>+'VVP2'!U200</f>
        <v>83.781800000000004</v>
      </c>
      <c r="V698" s="832">
        <f>+'VVP2'!V200</f>
        <v>85.998899999999992</v>
      </c>
      <c r="W698" s="832">
        <f>+'VVP2'!W200</f>
        <v>90.127499999999998</v>
      </c>
      <c r="X698" s="832">
        <f>+'VVP2'!X200</f>
        <v>94.010600000000011</v>
      </c>
      <c r="Y698" s="2009">
        <f>+'VVP2'!Y200</f>
        <v>96.087100000000007</v>
      </c>
      <c r="Z698" s="2238">
        <f>+'VVP2'!Z200</f>
        <v>97.404200000000003</v>
      </c>
      <c r="AA698" s="2238">
        <f>+'VVP2'!AA200</f>
        <v>98.209500000000006</v>
      </c>
      <c r="AB698" s="2238">
        <f>+'VVP2'!AB200</f>
        <v>99.713499999999996</v>
      </c>
      <c r="AC698" s="2238">
        <f>+'VVP2'!AC200</f>
        <v>102.5765</v>
      </c>
      <c r="AD698" s="2238">
        <f ca="1">+'VVP2'!AD200</f>
        <v>104.76516041979002</v>
      </c>
      <c r="AE698" s="2238">
        <f ca="1">+'VVP2'!AE200</f>
        <v>107.74918648402686</v>
      </c>
      <c r="AK698" s="2238">
        <v>98.274000000000001</v>
      </c>
      <c r="AM698" s="2238">
        <f t="shared" si="809"/>
        <v>-0.86979999999999791</v>
      </c>
    </row>
    <row r="699" spans="1:46" ht="12.75" customHeight="1">
      <c r="A699" s="714"/>
      <c r="B699" s="714"/>
      <c r="C699" s="822"/>
      <c r="D699" s="794" t="s">
        <v>591</v>
      </c>
      <c r="E699" s="795" t="s">
        <v>2145</v>
      </c>
      <c r="F699" s="796"/>
      <c r="G699" s="843">
        <f>'VVP2'!G201</f>
        <v>44.768500000000003</v>
      </c>
      <c r="H699" s="843">
        <f>'VVP2'!H201</f>
        <v>46.438000000000002</v>
      </c>
      <c r="I699" s="843">
        <f>'VVP2'!I201</f>
        <v>47.353499999999997</v>
      </c>
      <c r="J699" s="843">
        <f>'VVP2'!J201</f>
        <v>48.906800000000004</v>
      </c>
      <c r="K699" s="843">
        <f>'VVP2'!K201</f>
        <v>51.3262</v>
      </c>
      <c r="L699" s="843">
        <f>'VVP2'!L201</f>
        <v>53.902299999999997</v>
      </c>
      <c r="M699" s="843">
        <f>'VVP2'!M201</f>
        <v>56.5563</v>
      </c>
      <c r="N699" s="843">
        <f>'VVP2'!N201</f>
        <v>60.284299999999988</v>
      </c>
      <c r="O699" s="843">
        <f>'VVP2'!O201</f>
        <v>63.1738</v>
      </c>
      <c r="P699" s="843">
        <f>'VVP2'!P201</f>
        <v>65.821700000000007</v>
      </c>
      <c r="Q699" s="843">
        <f>'VVP2'!Q201</f>
        <v>68.861699999999999</v>
      </c>
      <c r="R699" s="843">
        <f>'VVP2'!R201</f>
        <v>71.5137</v>
      </c>
      <c r="S699" s="843">
        <f>'VVP2'!S201</f>
        <v>74.411699999999996</v>
      </c>
      <c r="T699" s="843">
        <f>'VVP2'!T201</f>
        <v>79.857399999999998</v>
      </c>
      <c r="U699" s="843">
        <f>'VVP2'!U201</f>
        <v>83.781800000000004</v>
      </c>
      <c r="V699" s="843">
        <f>'VVP2'!V201</f>
        <v>85.998899999999992</v>
      </c>
      <c r="W699" s="843">
        <f>'VVP2'!W201</f>
        <v>90.127499999999998</v>
      </c>
      <c r="X699" s="843">
        <f>'VVP2'!X201</f>
        <v>94.010599999999997</v>
      </c>
      <c r="Y699" s="843">
        <f>'VVP2'!Y201</f>
        <v>96.087100000000007</v>
      </c>
      <c r="Z699" s="843">
        <f>'VVP2'!Z201</f>
        <v>97.357700000000008</v>
      </c>
      <c r="AA699" s="843">
        <f>'VVP2'!AA201</f>
        <v>98.087599999999995</v>
      </c>
      <c r="AB699" s="843">
        <f>'VVP2'!AB201</f>
        <v>99.240100000000012</v>
      </c>
      <c r="AC699" s="843">
        <f>'VVP2'!AC201</f>
        <v>102.41229999999999</v>
      </c>
      <c r="AD699" s="843">
        <f ca="1">'VVP2'!AD201</f>
        <v>104.597456907378</v>
      </c>
      <c r="AE699" s="843">
        <f ca="1">'VVP2'!AE201</f>
        <v>107.57670627247086</v>
      </c>
      <c r="AK699" s="843">
        <v>98.811000000000007</v>
      </c>
      <c r="AM699" s="843">
        <f t="shared" si="809"/>
        <v>-1.4532999999999987</v>
      </c>
    </row>
    <row r="700" spans="1:46" s="1881" customFormat="1" ht="12.75" customHeight="1">
      <c r="A700" s="1039"/>
      <c r="B700" s="1039"/>
      <c r="C700" s="1501"/>
      <c r="D700" s="1054"/>
      <c r="E700" s="1882" t="s">
        <v>474</v>
      </c>
      <c r="F700" s="1883"/>
      <c r="G700" s="2881">
        <f t="shared" ref="G700:U700" ca="1" si="859">ABS(+G688+G689+G690+G692+G693+G694-G695-G696-G698)</f>
        <v>1.0000000001042508E-4</v>
      </c>
      <c r="H700" s="2881">
        <f t="shared" si="859"/>
        <v>0</v>
      </c>
      <c r="I700" s="2881">
        <f t="shared" si="859"/>
        <v>9.9999999996214228E-5</v>
      </c>
      <c r="J700" s="2881">
        <f t="shared" si="859"/>
        <v>0</v>
      </c>
      <c r="K700" s="2881">
        <f t="shared" si="859"/>
        <v>1.4210854715202004E-14</v>
      </c>
      <c r="L700" s="2881">
        <f t="shared" si="859"/>
        <v>9.9999999996214228E-5</v>
      </c>
      <c r="M700" s="2881">
        <f t="shared" si="859"/>
        <v>1.0000000001042508E-4</v>
      </c>
      <c r="N700" s="2881">
        <f t="shared" si="859"/>
        <v>0</v>
      </c>
      <c r="O700" s="2881">
        <f t="shared" si="859"/>
        <v>7.1054273576010019E-15</v>
      </c>
      <c r="P700" s="2881">
        <f t="shared" si="859"/>
        <v>2.8421709430404007E-14</v>
      </c>
      <c r="Q700" s="2881">
        <f t="shared" si="859"/>
        <v>0</v>
      </c>
      <c r="R700" s="2881">
        <f t="shared" si="859"/>
        <v>0</v>
      </c>
      <c r="S700" s="2881">
        <f t="shared" si="859"/>
        <v>0</v>
      </c>
      <c r="T700" s="2881">
        <f t="shared" si="859"/>
        <v>0</v>
      </c>
      <c r="U700" s="2881">
        <f t="shared" si="859"/>
        <v>0</v>
      </c>
      <c r="V700" s="2881">
        <f>ABS(+V688+V689+V690+V692+V693+V694-V695-V696-V698)</f>
        <v>9.9999999989108801E-5</v>
      </c>
      <c r="W700" s="2881">
        <f t="shared" ref="W700:AB700" si="860">ABS(+W688+W689+W690+W692+W693+W694-W695-W696-W699)</f>
        <v>0</v>
      </c>
      <c r="X700" s="2881">
        <f t="shared" si="860"/>
        <v>1.0000000000331966E-4</v>
      </c>
      <c r="Y700" s="2881">
        <f t="shared" si="860"/>
        <v>1.4210854715202004E-14</v>
      </c>
      <c r="Z700" s="2881">
        <f t="shared" si="860"/>
        <v>9.9999999989108801E-5</v>
      </c>
      <c r="AA700" s="2881">
        <f t="shared" si="860"/>
        <v>0</v>
      </c>
      <c r="AB700" s="2881">
        <f t="shared" si="860"/>
        <v>1.4210854715202004E-14</v>
      </c>
      <c r="AC700" s="2881">
        <f t="shared" ref="AC700:AD700" si="861">ABS(+AC688+AC689+AC690+AC692+AC693+AC694-AC695-AC696-AC699)</f>
        <v>1.4210854715202004E-14</v>
      </c>
      <c r="AD700" s="2881">
        <f t="shared" ca="1" si="861"/>
        <v>1.4210854715202004E-14</v>
      </c>
      <c r="AE700" s="2881">
        <f t="shared" ref="AE700" ca="1" si="862">ABS(+AE688+AE689+AE690+AE692+AE693+AE694-AE695-AE696-AE699)</f>
        <v>0</v>
      </c>
      <c r="AF700" s="2829"/>
      <c r="AG700" s="2829"/>
      <c r="AH700" s="2829"/>
      <c r="AI700" s="2829"/>
      <c r="AJ700" s="2829"/>
      <c r="AK700" s="2881">
        <v>1.0000000001753051E-4</v>
      </c>
      <c r="AL700" s="2829"/>
      <c r="AM700" s="2881">
        <f t="shared" si="809"/>
        <v>-2.8421709430404007E-14</v>
      </c>
      <c r="AN700" s="2829"/>
      <c r="AO700" s="2829"/>
      <c r="AP700" s="2829"/>
      <c r="AQ700" s="2829"/>
      <c r="AR700" s="2829"/>
      <c r="AS700" s="2829"/>
      <c r="AT700" s="2829"/>
    </row>
    <row r="701" spans="1:46">
      <c r="A701" s="714"/>
      <c r="B701" s="714"/>
      <c r="D701" s="1697"/>
      <c r="E701" s="2870" t="s">
        <v>1</v>
      </c>
      <c r="F701" s="1697"/>
      <c r="G701" s="1697"/>
      <c r="H701" s="1697"/>
      <c r="I701" s="1697"/>
      <c r="J701" s="1697"/>
      <c r="K701" s="1697"/>
      <c r="L701" s="1697"/>
      <c r="M701" s="1697"/>
      <c r="N701" s="1697"/>
      <c r="O701" s="1697"/>
      <c r="P701" s="1697"/>
      <c r="Q701" s="1697"/>
      <c r="R701" s="1697"/>
      <c r="S701" s="2974">
        <f t="shared" ref="S701:AE701" si="863">S696-R696</f>
        <v>0.24080000000000013</v>
      </c>
      <c r="T701" s="2974">
        <f t="shared" si="863"/>
        <v>0.55269999999999886</v>
      </c>
      <c r="U701" s="2974">
        <f t="shared" si="863"/>
        <v>0.43670000000000186</v>
      </c>
      <c r="V701" s="2974">
        <f t="shared" si="863"/>
        <v>0.49059999999999881</v>
      </c>
      <c r="W701" s="2974">
        <f t="shared" si="863"/>
        <v>0.5926000000000009</v>
      </c>
      <c r="X701" s="2974">
        <f t="shared" si="863"/>
        <v>0.22719999999999807</v>
      </c>
      <c r="Y701" s="2974">
        <f t="shared" si="863"/>
        <v>0.62369999999999948</v>
      </c>
      <c r="Z701" s="2974">
        <f t="shared" si="863"/>
        <v>0.33130000000000237</v>
      </c>
      <c r="AA701" s="2974">
        <f t="shared" si="863"/>
        <v>9.4499999999998252E-2</v>
      </c>
      <c r="AB701" s="2974">
        <f t="shared" si="863"/>
        <v>1.1168000000000013</v>
      </c>
      <c r="AC701" s="2974">
        <f t="shared" si="863"/>
        <v>0.53619999999999912</v>
      </c>
      <c r="AD701" s="2974">
        <f t="shared" si="863"/>
        <v>0.7644508800586749</v>
      </c>
      <c r="AE701" s="2974">
        <f t="shared" si="863"/>
        <v>0.6094197243386219</v>
      </c>
      <c r="AK701" s="2974">
        <v>0.35590000000000011</v>
      </c>
      <c r="AM701" s="2974">
        <f t="shared" si="809"/>
        <v>-2.4599999999997735E-2</v>
      </c>
    </row>
    <row r="702" spans="1:46">
      <c r="A702" s="714"/>
      <c r="B702" s="714"/>
      <c r="G702" s="889"/>
      <c r="Q702" s="885"/>
      <c r="R702" s="2239"/>
      <c r="S702" s="2239"/>
      <c r="T702" s="2845"/>
      <c r="U702" s="2233"/>
      <c r="V702" s="2233"/>
      <c r="W702" s="2233"/>
      <c r="X702" s="2233"/>
      <c r="Y702" s="2233"/>
      <c r="Z702" s="2233"/>
      <c r="AA702" s="2233"/>
      <c r="AB702" s="2233"/>
      <c r="AC702" s="2233"/>
      <c r="AD702" s="2233"/>
      <c r="AE702" s="2233"/>
      <c r="AK702" s="2233"/>
      <c r="AM702" s="2233">
        <f t="shared" si="809"/>
        <v>0</v>
      </c>
    </row>
    <row r="703" spans="1:46" ht="12.75" customHeight="1">
      <c r="A703" s="714"/>
      <c r="B703" s="714"/>
      <c r="C703" s="822"/>
      <c r="D703" s="790"/>
      <c r="E703" s="791" t="s">
        <v>1804</v>
      </c>
      <c r="F703" s="792"/>
      <c r="G703" s="793">
        <f>+InputY!$G$3</f>
        <v>1995</v>
      </c>
      <c r="H703" s="793">
        <f>+G703+1</f>
        <v>1996</v>
      </c>
      <c r="I703" s="793">
        <f t="shared" ref="I703:O703" si="864">+H703+1</f>
        <v>1997</v>
      </c>
      <c r="J703" s="793">
        <f t="shared" si="864"/>
        <v>1998</v>
      </c>
      <c r="K703" s="793">
        <f t="shared" si="864"/>
        <v>1999</v>
      </c>
      <c r="L703" s="793">
        <f t="shared" si="864"/>
        <v>2000</v>
      </c>
      <c r="M703" s="793">
        <f t="shared" si="864"/>
        <v>2001</v>
      </c>
      <c r="N703" s="793">
        <f t="shared" si="864"/>
        <v>2002</v>
      </c>
      <c r="O703" s="793">
        <f t="shared" si="864"/>
        <v>2003</v>
      </c>
      <c r="P703" s="793">
        <f t="shared" ref="P703:U703" si="865">+O703+1</f>
        <v>2004</v>
      </c>
      <c r="Q703" s="793">
        <f t="shared" si="865"/>
        <v>2005</v>
      </c>
      <c r="R703" s="2126">
        <f t="shared" si="865"/>
        <v>2006</v>
      </c>
      <c r="S703" s="2126">
        <f t="shared" si="865"/>
        <v>2007</v>
      </c>
      <c r="T703" s="2126">
        <f t="shared" si="865"/>
        <v>2008</v>
      </c>
      <c r="U703" s="2126">
        <f t="shared" si="865"/>
        <v>2009</v>
      </c>
      <c r="V703" s="2126">
        <f t="shared" ref="V703:AE703" si="866">+U703+1</f>
        <v>2010</v>
      </c>
      <c r="W703" s="2126">
        <f t="shared" si="866"/>
        <v>2011</v>
      </c>
      <c r="X703" s="2126">
        <f t="shared" si="866"/>
        <v>2012</v>
      </c>
      <c r="Y703" s="2126">
        <f t="shared" si="866"/>
        <v>2013</v>
      </c>
      <c r="Z703" s="2126">
        <f t="shared" si="866"/>
        <v>2014</v>
      </c>
      <c r="AA703" s="2126">
        <f t="shared" si="866"/>
        <v>2015</v>
      </c>
      <c r="AB703" s="2126">
        <f t="shared" si="866"/>
        <v>2016</v>
      </c>
      <c r="AC703" s="2126">
        <f t="shared" si="866"/>
        <v>2017</v>
      </c>
      <c r="AD703" s="2126">
        <f t="shared" si="866"/>
        <v>2018</v>
      </c>
      <c r="AE703" s="2126">
        <f t="shared" si="866"/>
        <v>2019</v>
      </c>
      <c r="AK703" s="2126">
        <v>2014</v>
      </c>
      <c r="AM703" s="2126">
        <f t="shared" si="809"/>
        <v>0</v>
      </c>
    </row>
    <row r="704" spans="1:46" ht="12.75" customHeight="1">
      <c r="A704" s="714"/>
      <c r="B704" s="714"/>
      <c r="C704" s="839" t="s">
        <v>622</v>
      </c>
      <c r="D704" s="739" t="s">
        <v>591</v>
      </c>
      <c r="E704" s="787" t="str">
        <f>+E688</f>
        <v>Compensation of employees (D.1p)</v>
      </c>
      <c r="F704" s="782" t="s">
        <v>1943</v>
      </c>
      <c r="G704" s="788"/>
      <c r="H704" s="788">
        <f t="shared" ref="H704:P704" si="867">(H688/G688-1)*100</f>
        <v>3.2259265387160951</v>
      </c>
      <c r="I704" s="788">
        <f t="shared" si="867"/>
        <v>3.3671396343149418</v>
      </c>
      <c r="J704" s="788">
        <f t="shared" si="867"/>
        <v>3.0031555035237689</v>
      </c>
      <c r="K704" s="788">
        <f t="shared" si="867"/>
        <v>4.5233695508996696</v>
      </c>
      <c r="L704" s="788">
        <f t="shared" si="867"/>
        <v>3.6146877520451648</v>
      </c>
      <c r="M704" s="788">
        <f t="shared" si="867"/>
        <v>4.4602056524896794</v>
      </c>
      <c r="N704" s="788">
        <f t="shared" si="867"/>
        <v>7.3682144496709956</v>
      </c>
      <c r="O704" s="788">
        <f t="shared" si="867"/>
        <v>4.1180352655762364</v>
      </c>
      <c r="P704" s="788">
        <f t="shared" si="867"/>
        <v>2.9993274650192525</v>
      </c>
      <c r="Q704" s="788">
        <f>(Q688/P688-1)*100</f>
        <v>5.2166727820617709</v>
      </c>
      <c r="R704" s="2127">
        <f t="shared" ref="R704:AE704" si="868">(R688/Q688-1)*100</f>
        <v>4.3772670981418571</v>
      </c>
      <c r="S704" s="2127">
        <f t="shared" si="868"/>
        <v>4.2615714067736787</v>
      </c>
      <c r="T704" s="2127">
        <f t="shared" si="868"/>
        <v>5.7148696624167217</v>
      </c>
      <c r="U704" s="2127">
        <f t="shared" si="868"/>
        <v>4.4184969663409568</v>
      </c>
      <c r="V704" s="2127">
        <f t="shared" si="868"/>
        <v>2.6533905704972494</v>
      </c>
      <c r="W704" s="2127">
        <f t="shared" si="868"/>
        <v>4.1468671924753897</v>
      </c>
      <c r="X704" s="2127">
        <f t="shared" si="868"/>
        <v>4.0287871304593104</v>
      </c>
      <c r="Y704" s="2231">
        <f t="shared" si="868"/>
        <v>3.1618408720959001</v>
      </c>
      <c r="Z704" s="2231">
        <f t="shared" si="868"/>
        <v>1.3681027063211504</v>
      </c>
      <c r="AA704" s="2152">
        <f t="shared" si="868"/>
        <v>0.41803998797176334</v>
      </c>
      <c r="AB704" s="2152">
        <f t="shared" si="868"/>
        <v>2.3392636956138579</v>
      </c>
      <c r="AC704" s="2152">
        <f t="shared" si="868"/>
        <v>2.8459575965514405</v>
      </c>
      <c r="AD704" s="2152">
        <f t="shared" si="868"/>
        <v>1.8456353368852207</v>
      </c>
      <c r="AE704" s="2152">
        <f t="shared" si="868"/>
        <v>1.9925783641280059</v>
      </c>
      <c r="AK704" s="2231">
        <v>1.9453563443207811</v>
      </c>
      <c r="AM704" s="2231">
        <f t="shared" si="809"/>
        <v>-0.5772536379996307</v>
      </c>
    </row>
    <row r="705" spans="1:46" ht="12.75" customHeight="1">
      <c r="A705" s="714"/>
      <c r="B705" s="714"/>
      <c r="C705" s="840" t="s">
        <v>622</v>
      </c>
      <c r="D705" s="875" t="s">
        <v>591</v>
      </c>
      <c r="E705" s="876" t="str">
        <f>+E689</f>
        <v>Intermediate consumption (P.2)</v>
      </c>
      <c r="F705" s="754" t="s">
        <v>1757</v>
      </c>
      <c r="G705" s="756"/>
      <c r="H705" s="756">
        <f t="shared" ref="H705:P705" si="869">(H689/G689-1)*100</f>
        <v>10.0470481104872</v>
      </c>
      <c r="I705" s="756">
        <f t="shared" si="869"/>
        <v>2.6566868519702691</v>
      </c>
      <c r="J705" s="756">
        <f t="shared" si="869"/>
        <v>4.4956033219345493</v>
      </c>
      <c r="K705" s="756">
        <f t="shared" si="869"/>
        <v>5.3155058963780144</v>
      </c>
      <c r="L705" s="756">
        <f t="shared" si="869"/>
        <v>4.6332774750579953</v>
      </c>
      <c r="M705" s="756">
        <f t="shared" si="869"/>
        <v>5.9363200543040229</v>
      </c>
      <c r="N705" s="756">
        <f t="shared" si="869"/>
        <v>15.03989747799881</v>
      </c>
      <c r="O705" s="756">
        <f t="shared" si="869"/>
        <v>2.2140414088404947</v>
      </c>
      <c r="P705" s="756">
        <f t="shared" si="869"/>
        <v>3.3478930922032912</v>
      </c>
      <c r="Q705" s="756">
        <f>(Q689/P689-1)*100</f>
        <v>2.8695243823066541</v>
      </c>
      <c r="R705" s="2139">
        <f t="shared" ref="R705:AE705" si="870">(R689/Q689-1)*100</f>
        <v>3.0105236180743455</v>
      </c>
      <c r="S705" s="2139">
        <f t="shared" si="870"/>
        <v>0.43150029932903511</v>
      </c>
      <c r="T705" s="2139">
        <f t="shared" si="870"/>
        <v>8.4473896079767066</v>
      </c>
      <c r="U705" s="2139">
        <f t="shared" si="870"/>
        <v>7.1419393524070562</v>
      </c>
      <c r="V705" s="2139">
        <f t="shared" si="870"/>
        <v>1.0426868674754841</v>
      </c>
      <c r="W705" s="2139">
        <f t="shared" si="870"/>
        <v>4.6446610135963962</v>
      </c>
      <c r="X705" s="2139">
        <f t="shared" si="870"/>
        <v>3.9388287482199358</v>
      </c>
      <c r="Y705" s="2139">
        <f t="shared" si="870"/>
        <v>3.6289124780998216</v>
      </c>
      <c r="Z705" s="2139">
        <f t="shared" si="870"/>
        <v>-0.57564394316101941</v>
      </c>
      <c r="AA705" s="983">
        <f t="shared" si="870"/>
        <v>-1.779294519137431</v>
      </c>
      <c r="AB705" s="983">
        <f t="shared" si="870"/>
        <v>0.3929767388921368</v>
      </c>
      <c r="AC705" s="983">
        <f t="shared" si="870"/>
        <v>5.1549344519562723</v>
      </c>
      <c r="AD705" s="983">
        <f t="shared" ca="1" si="870"/>
        <v>3.5780135165484728</v>
      </c>
      <c r="AE705" s="983">
        <f t="shared" ca="1" si="870"/>
        <v>5.6442016448631227</v>
      </c>
      <c r="AK705" s="2139">
        <v>1.7567679549206794</v>
      </c>
      <c r="AM705" s="2139">
        <f t="shared" si="809"/>
        <v>-2.3324118980816988</v>
      </c>
    </row>
    <row r="706" spans="1:46" ht="12.75" customHeight="1">
      <c r="A706" s="714"/>
      <c r="B706" s="714"/>
      <c r="C706" s="840" t="s">
        <v>622</v>
      </c>
      <c r="D706" s="724" t="s">
        <v>591</v>
      </c>
      <c r="E706" s="830" t="str">
        <f>+E690</f>
        <v>Social transfers in kind via market producers (D.6311+D.63121+D.63122)</v>
      </c>
      <c r="F706" s="754"/>
      <c r="G706" s="756"/>
      <c r="H706" s="756">
        <f t="shared" ref="H706:P706" si="871">(H690/G690-1)*100</f>
        <v>6.6436128607302969</v>
      </c>
      <c r="I706" s="756">
        <f t="shared" si="871"/>
        <v>-3.7830826719364996E-2</v>
      </c>
      <c r="J706" s="756">
        <f t="shared" si="871"/>
        <v>4.3452403938984308</v>
      </c>
      <c r="K706" s="756">
        <f t="shared" si="871"/>
        <v>6.4359257148355775</v>
      </c>
      <c r="L706" s="756">
        <f t="shared" si="871"/>
        <v>6.7470583326379119</v>
      </c>
      <c r="M706" s="756">
        <f t="shared" si="871"/>
        <v>7.366219755306247</v>
      </c>
      <c r="N706" s="756">
        <f t="shared" si="871"/>
        <v>3.5636054731349009</v>
      </c>
      <c r="O706" s="756">
        <f t="shared" si="871"/>
        <v>8.4644769683263288</v>
      </c>
      <c r="P706" s="756">
        <f t="shared" si="871"/>
        <v>8.3570560432140404</v>
      </c>
      <c r="Q706" s="756">
        <f>(Q690/P690-1)*100</f>
        <v>4.8475542882211009</v>
      </c>
      <c r="R706" s="2139">
        <f t="shared" ref="R706:AC706" si="872">(R690/Q690-1)*100</f>
        <v>2.2256561430201494</v>
      </c>
      <c r="S706" s="2139">
        <f t="shared" si="872"/>
        <v>5.3860214603652867</v>
      </c>
      <c r="T706" s="2139">
        <f t="shared" si="872"/>
        <v>10.248432128024865</v>
      </c>
      <c r="U706" s="2139">
        <f t="shared" si="872"/>
        <v>6.8554295001641341</v>
      </c>
      <c r="V706" s="2139">
        <f t="shared" si="872"/>
        <v>3.8797124307394792</v>
      </c>
      <c r="W706" s="2139">
        <f t="shared" si="872"/>
        <v>5.9744016041372916</v>
      </c>
      <c r="X706" s="3449">
        <f t="shared" si="872"/>
        <v>4.518647332473491</v>
      </c>
      <c r="Y706" s="3449">
        <f t="shared" si="872"/>
        <v>1.5303115649226484</v>
      </c>
      <c r="Z706" s="3449">
        <f t="shared" si="872"/>
        <v>3.0032678376150868</v>
      </c>
      <c r="AA706" s="3449">
        <f t="shared" si="872"/>
        <v>2.3764601858078604</v>
      </c>
      <c r="AB706" s="3449">
        <f t="shared" si="872"/>
        <v>2.6016878278719568</v>
      </c>
      <c r="AC706" s="3449">
        <f t="shared" si="872"/>
        <v>3.367715928626458</v>
      </c>
      <c r="AD706" s="3481">
        <v>3.89</v>
      </c>
      <c r="AE706" s="3481">
        <v>3.77</v>
      </c>
      <c r="AK706" s="3449">
        <v>2.967113694835688</v>
      </c>
      <c r="AM706" s="3449">
        <f t="shared" si="809"/>
        <v>3.6154142779398768E-2</v>
      </c>
    </row>
    <row r="707" spans="1:46" s="603" customFormat="1" ht="7.5" customHeight="1">
      <c r="A707" s="1039"/>
      <c r="B707" s="1039"/>
      <c r="C707" s="1040"/>
      <c r="D707" s="1041"/>
      <c r="E707" s="1045"/>
      <c r="F707" s="1042"/>
      <c r="G707" s="1046"/>
      <c r="H707" s="1046"/>
      <c r="I707" s="1046"/>
      <c r="J707" s="1046"/>
      <c r="K707" s="1046"/>
      <c r="L707" s="1046"/>
      <c r="M707" s="1046"/>
      <c r="N707" s="1046"/>
      <c r="O707" s="1046"/>
      <c r="P707" s="1046"/>
      <c r="Q707" s="1046"/>
      <c r="R707" s="2257"/>
      <c r="S707" s="2257"/>
      <c r="T707" s="2257"/>
      <c r="U707" s="2257"/>
      <c r="V707" s="2257"/>
      <c r="W707" s="2257"/>
      <c r="X707" s="2257"/>
      <c r="Y707" s="2890"/>
      <c r="Z707" s="2890"/>
      <c r="AA707" s="2890"/>
      <c r="AB707" s="2890"/>
      <c r="AC707" s="2890"/>
      <c r="AD707" s="2890"/>
      <c r="AE707" s="2890"/>
      <c r="AF707" s="2835"/>
      <c r="AG707" s="2835"/>
      <c r="AH707" s="2835"/>
      <c r="AI707" s="2835"/>
      <c r="AJ707" s="2835"/>
      <c r="AK707" s="2890"/>
      <c r="AL707" s="2835"/>
      <c r="AM707" s="2890">
        <f t="shared" si="809"/>
        <v>0</v>
      </c>
      <c r="AN707" s="2835"/>
      <c r="AO707" s="2835"/>
      <c r="AP707" s="2835"/>
      <c r="AQ707" s="2835"/>
      <c r="AR707" s="2835"/>
      <c r="AS707" s="2835"/>
      <c r="AT707" s="2835"/>
    </row>
    <row r="708" spans="1:46" s="603" customFormat="1" ht="12.75" customHeight="1">
      <c r="A708" s="1039"/>
      <c r="B708" s="1039"/>
      <c r="C708" s="1040"/>
      <c r="D708" s="1041"/>
      <c r="E708" s="1045" t="s">
        <v>125</v>
      </c>
      <c r="F708" s="1042"/>
      <c r="G708" s="1046"/>
      <c r="H708" s="1046">
        <f>+'VVP2'!H205</f>
        <v>5.4012536715470461</v>
      </c>
      <c r="I708" s="1046">
        <f>+'VVP2'!I205</f>
        <v>1.779051910219942</v>
      </c>
      <c r="J708" s="1046">
        <f>+'VVP2'!J205</f>
        <v>3.8114627123705613</v>
      </c>
      <c r="K708" s="1046">
        <f>+'VVP2'!K205</f>
        <v>4.2965702621314161</v>
      </c>
      <c r="L708" s="1046">
        <f>+'VVP2'!L205</f>
        <v>4.3927676118611592</v>
      </c>
      <c r="M708" s="1046">
        <f>+'VVP2'!M205</f>
        <v>6.6317958040495562</v>
      </c>
      <c r="N708" s="1046">
        <f>+'VVP2'!N205</f>
        <v>5.2270787981548272</v>
      </c>
      <c r="O708" s="1046">
        <f>+'VVP2'!O205</f>
        <v>6.5208238496073934</v>
      </c>
      <c r="P708" s="1046">
        <f>+'VVP2'!P205</f>
        <v>5.1682151596836645</v>
      </c>
      <c r="Q708" s="1046">
        <f>+'VVP2'!Q205</f>
        <v>4.7117997554018576</v>
      </c>
      <c r="R708" s="2257">
        <f>+'VVP2'!R205</f>
        <v>3.7481627977983711</v>
      </c>
      <c r="S708" s="2257">
        <f>+'VVP2'!S205</f>
        <v>4.1951619137206242</v>
      </c>
      <c r="T708" s="2257">
        <f>+'VVP2'!T205</f>
        <v>8.1446790042495554</v>
      </c>
      <c r="U708" s="2257">
        <f>+'VVP2'!U205</f>
        <v>5.6756184551243427</v>
      </c>
      <c r="V708" s="2257">
        <f>+'VVP2'!V205</f>
        <v>4.1742200425880949</v>
      </c>
      <c r="W708" s="2257">
        <f>+'VVP2'!W205</f>
        <v>5.5221592446982992</v>
      </c>
      <c r="X708" s="2257">
        <f>+'VVP2'!X205</f>
        <v>4.3787313865535582</v>
      </c>
      <c r="Y708" s="2890">
        <f>+'VVP2'!Y205</f>
        <v>1.4430244614733523</v>
      </c>
      <c r="Z708" s="2890">
        <f>+'VVP2'!Z205</f>
        <v>2.792998207984021</v>
      </c>
      <c r="AA708" s="2890">
        <f>+'VVP2'!AA205</f>
        <v>1.9066692236916483</v>
      </c>
      <c r="AB708" s="2890">
        <f>+'VVP2'!AB205</f>
        <v>2.9532680238310238</v>
      </c>
      <c r="AC708" s="2890">
        <f>+'VVP2'!AC205</f>
        <v>3.4691383491779471</v>
      </c>
      <c r="AD708" s="2890">
        <f ca="1">+'VVP2'!AD205</f>
        <v>2.2361351404058816</v>
      </c>
      <c r="AE708" s="2890">
        <f ca="1">+'VVP2'!AE205</f>
        <v>2.6219559609639509</v>
      </c>
      <c r="AF708" s="2835"/>
      <c r="AG708" s="2835"/>
      <c r="AH708" s="2835"/>
      <c r="AI708" s="2835"/>
      <c r="AJ708" s="2835"/>
      <c r="AK708" s="2890">
        <v>2.2405572493926273</v>
      </c>
      <c r="AL708" s="2835"/>
      <c r="AM708" s="2890">
        <f t="shared" si="809"/>
        <v>0.55244095859139364</v>
      </c>
      <c r="AN708" s="2835"/>
      <c r="AO708" s="2835"/>
      <c r="AP708" s="2835"/>
      <c r="AQ708" s="2835"/>
      <c r="AR708" s="2835"/>
      <c r="AS708" s="2835"/>
      <c r="AT708" s="2835"/>
    </row>
    <row r="709" spans="1:46" ht="12.75" customHeight="1">
      <c r="A709" s="714"/>
      <c r="B709" s="714"/>
      <c r="C709" s="840" t="s">
        <v>622</v>
      </c>
      <c r="D709" s="724" t="s">
        <v>591</v>
      </c>
      <c r="E709" s="830" t="str">
        <f>+E692</f>
        <v>Consumption of fixed capital (K.1)</v>
      </c>
      <c r="F709" s="754"/>
      <c r="G709" s="756"/>
      <c r="H709" s="756">
        <f t="shared" ref="H709:Q709" si="873">(H692/G692-1)*100</f>
        <v>2.8045947616307521</v>
      </c>
      <c r="I709" s="756">
        <f t="shared" si="873"/>
        <v>1.9403387300731767</v>
      </c>
      <c r="J709" s="756">
        <f t="shared" si="873"/>
        <v>3.1804778851042048</v>
      </c>
      <c r="K709" s="756">
        <f t="shared" si="873"/>
        <v>3.1652180768245275</v>
      </c>
      <c r="L709" s="756">
        <f t="shared" si="873"/>
        <v>4.8352278154551787</v>
      </c>
      <c r="M709" s="756">
        <f t="shared" si="873"/>
        <v>2.6332094175960385</v>
      </c>
      <c r="N709" s="756">
        <f t="shared" si="873"/>
        <v>2.546119564638416</v>
      </c>
      <c r="O709" s="756">
        <f t="shared" si="873"/>
        <v>3.836897238334358</v>
      </c>
      <c r="P709" s="756">
        <f t="shared" si="873"/>
        <v>1.8925814143502695</v>
      </c>
      <c r="Q709" s="756">
        <f t="shared" si="873"/>
        <v>8.2823290675219994</v>
      </c>
      <c r="R709" s="2139">
        <f t="shared" ref="R709:AC709" si="874">(R692/Q692-1)*100</f>
        <v>7.6065107984342628</v>
      </c>
      <c r="S709" s="2139">
        <f t="shared" si="874"/>
        <v>4.9213483146067327</v>
      </c>
      <c r="T709" s="2139">
        <f t="shared" si="874"/>
        <v>4.7694902548725659</v>
      </c>
      <c r="U709" s="2139">
        <f t="shared" si="874"/>
        <v>-1.682701521714125</v>
      </c>
      <c r="V709" s="2139">
        <f t="shared" si="874"/>
        <v>4.9213775178687413</v>
      </c>
      <c r="W709" s="2139">
        <f t="shared" si="874"/>
        <v>6.3341466737679042</v>
      </c>
      <c r="X709" s="2139">
        <f t="shared" si="874"/>
        <v>3.4909319635181735</v>
      </c>
      <c r="Y709" s="2139">
        <f t="shared" si="874"/>
        <v>1.213308121736012</v>
      </c>
      <c r="Z709" s="2139">
        <f t="shared" si="874"/>
        <v>0.79621021728979446</v>
      </c>
      <c r="AA709" s="2139">
        <f t="shared" si="874"/>
        <v>0.75572030625978837</v>
      </c>
      <c r="AB709" s="2139">
        <f t="shared" si="874"/>
        <v>1.4694449615119121</v>
      </c>
      <c r="AC709" s="2139">
        <f t="shared" si="874"/>
        <v>2.5909419546989776</v>
      </c>
      <c r="AD709" s="3481">
        <v>-0.10335698117170944</v>
      </c>
      <c r="AE709" s="3481">
        <v>1.29</v>
      </c>
      <c r="AK709" s="2139">
        <v>4.6021348053070898</v>
      </c>
      <c r="AM709" s="2139">
        <f t="shared" ref="AM709:AM772" si="875">Z709-AK709</f>
        <v>-3.8059245880172954</v>
      </c>
    </row>
    <row r="710" spans="1:46" ht="12.75" customHeight="1">
      <c r="A710" s="714"/>
      <c r="B710" s="714"/>
      <c r="C710" s="840" t="s">
        <v>622</v>
      </c>
      <c r="D710" s="724" t="s">
        <v>591</v>
      </c>
      <c r="E710" s="830" t="str">
        <f>+E693</f>
        <v>Net operating surplus (B.2n)</v>
      </c>
      <c r="F710" s="754"/>
      <c r="G710" s="756"/>
      <c r="H710" s="756">
        <f t="shared" ref="H710:Q710" si="876">(H693/G693-1)*100</f>
        <v>6.1538461538382716</v>
      </c>
      <c r="I710" s="756">
        <f t="shared" si="876"/>
        <v>-31.884057971037162</v>
      </c>
      <c r="J710" s="756">
        <f t="shared" si="876"/>
        <v>88.297872340477099</v>
      </c>
      <c r="K710" s="756">
        <f t="shared" si="876"/>
        <v>6.2146892655277064</v>
      </c>
      <c r="L710" s="756">
        <f t="shared" si="876"/>
        <v>1.0638297872364477</v>
      </c>
      <c r="M710" s="756">
        <f t="shared" si="876"/>
        <v>-6.3157894736843634</v>
      </c>
      <c r="N710" s="756">
        <f t="shared" si="876"/>
        <v>38.202247191042126</v>
      </c>
      <c r="O710" s="756">
        <f t="shared" si="876"/>
        <v>4.4715447154327181</v>
      </c>
      <c r="P710" s="756">
        <f t="shared" si="876"/>
        <v>12.45136186771736</v>
      </c>
      <c r="Q710" s="756">
        <f t="shared" si="876"/>
        <v>26.643598615914541</v>
      </c>
      <c r="R710" s="2139">
        <f t="shared" ref="R710:AC710" si="877">(R693/Q693-1)*100</f>
        <v>-1.0928961748607913</v>
      </c>
      <c r="S710" s="2139">
        <f t="shared" si="877"/>
        <v>-2.4861878452880792</v>
      </c>
      <c r="T710" s="2139">
        <f t="shared" si="877"/>
        <v>7.0821529744835576</v>
      </c>
      <c r="U710" s="2139">
        <f t="shared" si="877"/>
        <v>1.8518518518333638</v>
      </c>
      <c r="V710" s="2139">
        <f t="shared" si="877"/>
        <v>2.3376623376826</v>
      </c>
      <c r="W710" s="2139">
        <f t="shared" si="877"/>
        <v>9.6446700507563996</v>
      </c>
      <c r="X710" s="2139">
        <f t="shared" si="877"/>
        <v>9.0277777778018589</v>
      </c>
      <c r="Y710" s="2139">
        <f t="shared" si="877"/>
        <v>4.2462845010431405</v>
      </c>
      <c r="Z710" s="2139">
        <f t="shared" si="877"/>
        <v>2.2403258655606217</v>
      </c>
      <c r="AA710" s="2139">
        <f t="shared" si="877"/>
        <v>2.1912350597596886</v>
      </c>
      <c r="AB710" s="2139">
        <f t="shared" si="877"/>
        <v>-7.2124756334986824</v>
      </c>
      <c r="AC710" s="2139">
        <f t="shared" si="877"/>
        <v>-31.092436974820401</v>
      </c>
      <c r="AD710" s="3481">
        <v>45.121951219555669</v>
      </c>
      <c r="AE710" s="3481">
        <v>0</v>
      </c>
      <c r="AK710" s="2139">
        <v>3.909465020571079</v>
      </c>
      <c r="AM710" s="2139">
        <f t="shared" si="875"/>
        <v>-1.6691391550104573</v>
      </c>
    </row>
    <row r="711" spans="1:46" ht="12.75" customHeight="1">
      <c r="A711" s="714"/>
      <c r="B711" s="714"/>
      <c r="C711" s="840" t="s">
        <v>622</v>
      </c>
      <c r="D711" s="724" t="s">
        <v>591</v>
      </c>
      <c r="E711" s="830" t="str">
        <f>+E694</f>
        <v>Other taxes on production (D.29p)</v>
      </c>
      <c r="F711" s="754" t="s">
        <v>616</v>
      </c>
      <c r="G711" s="756"/>
      <c r="H711" s="756"/>
      <c r="I711" s="756"/>
      <c r="J711" s="756"/>
      <c r="K711" s="756"/>
      <c r="L711" s="756"/>
      <c r="M711" s="756"/>
      <c r="N711" s="756"/>
      <c r="O711" s="756"/>
      <c r="P711" s="756"/>
      <c r="Q711" s="756"/>
      <c r="R711" s="2139"/>
      <c r="S711" s="2139"/>
      <c r="T711" s="2139"/>
      <c r="U711" s="2228"/>
      <c r="V711" s="2228"/>
      <c r="W711" s="2228"/>
      <c r="X711" s="2228"/>
      <c r="Y711" s="2228"/>
      <c r="Z711" s="2228"/>
      <c r="AA711" s="2228"/>
      <c r="AB711" s="2228"/>
      <c r="AC711" s="2228"/>
      <c r="AD711" s="3481">
        <v>0</v>
      </c>
      <c r="AE711" s="3481">
        <v>0</v>
      </c>
      <c r="AK711" s="2228"/>
      <c r="AM711" s="2228">
        <f t="shared" si="875"/>
        <v>0</v>
      </c>
    </row>
    <row r="712" spans="1:46" ht="12.75" customHeight="1">
      <c r="A712" s="714"/>
      <c r="B712" s="714"/>
      <c r="C712" s="840" t="s">
        <v>2133</v>
      </c>
      <c r="D712" s="724" t="s">
        <v>591</v>
      </c>
      <c r="E712" s="830" t="str">
        <f>+E695</f>
        <v>Other subsidies on production (D.39r)</v>
      </c>
      <c r="F712" s="754" t="s">
        <v>157</v>
      </c>
      <c r="G712" s="756"/>
      <c r="H712" s="756"/>
      <c r="I712" s="756"/>
      <c r="J712" s="756"/>
      <c r="K712" s="756"/>
      <c r="L712" s="756"/>
      <c r="M712" s="756"/>
      <c r="N712" s="756"/>
      <c r="O712" s="756"/>
      <c r="P712" s="756"/>
      <c r="Q712" s="756"/>
      <c r="R712" s="2139"/>
      <c r="S712" s="2139"/>
      <c r="T712" s="2139"/>
      <c r="U712" s="2228"/>
      <c r="V712" s="2228"/>
      <c r="W712" s="2228"/>
      <c r="X712" s="2228"/>
      <c r="Y712" s="2228"/>
      <c r="Z712" s="2228"/>
      <c r="AA712" s="2228"/>
      <c r="AB712" s="2228"/>
      <c r="AC712" s="2228"/>
      <c r="AD712" s="3481">
        <v>6.5904827819890821</v>
      </c>
      <c r="AE712" s="3481">
        <v>3.76</v>
      </c>
      <c r="AK712" s="2228"/>
      <c r="AM712" s="2228">
        <f t="shared" si="875"/>
        <v>0</v>
      </c>
    </row>
    <row r="713" spans="1:46" ht="12.75" customHeight="1">
      <c r="A713" s="714"/>
      <c r="B713" s="714"/>
      <c r="C713" s="841" t="s">
        <v>2133</v>
      </c>
      <c r="D713" s="741" t="s">
        <v>591</v>
      </c>
      <c r="E713" s="842" t="str">
        <f>+E696</f>
        <v>Sales (P.11 + P.12 + P.131)</v>
      </c>
      <c r="F713" s="785"/>
      <c r="G713" s="789"/>
      <c r="H713" s="789">
        <f>(H696/G696-1)*100</f>
        <v>16.818298491287109</v>
      </c>
      <c r="I713" s="789">
        <f t="shared" ref="I713:Q713" si="878">(I696/H696-1)*100</f>
        <v>5.3271484375000178</v>
      </c>
      <c r="J713" s="789">
        <f t="shared" si="878"/>
        <v>6.7915256594501594</v>
      </c>
      <c r="K713" s="789">
        <f t="shared" si="878"/>
        <v>5.6780691092203517</v>
      </c>
      <c r="L713" s="789">
        <f t="shared" si="878"/>
        <v>1.339139007558332</v>
      </c>
      <c r="M713" s="789">
        <f t="shared" si="878"/>
        <v>9.3230644507499072</v>
      </c>
      <c r="N713" s="789">
        <f t="shared" si="878"/>
        <v>13.083055246570275</v>
      </c>
      <c r="O713" s="789">
        <f t="shared" si="878"/>
        <v>5.5707657753659934</v>
      </c>
      <c r="P713" s="789">
        <f t="shared" si="878"/>
        <v>5.8451743147760027</v>
      </c>
      <c r="Q713" s="789">
        <f t="shared" si="878"/>
        <v>7.7627312607285948</v>
      </c>
      <c r="R713" s="2229">
        <f t="shared" ref="R713:AC713" si="879">(R696/Q696-1)*100</f>
        <v>3.8257317903335641</v>
      </c>
      <c r="S713" s="2229">
        <f t="shared" si="879"/>
        <v>3.1576186729609157</v>
      </c>
      <c r="T713" s="2229">
        <f t="shared" si="879"/>
        <v>7.0257283774851187</v>
      </c>
      <c r="U713" s="2229">
        <f t="shared" si="879"/>
        <v>5.1867688104994647</v>
      </c>
      <c r="V713" s="2229">
        <f t="shared" si="879"/>
        <v>5.5396219597569907</v>
      </c>
      <c r="W713" s="2229">
        <f t="shared" si="879"/>
        <v>6.3401378011725962</v>
      </c>
      <c r="X713" s="2229">
        <f t="shared" si="879"/>
        <v>2.2858522647242197</v>
      </c>
      <c r="Y713" s="2229">
        <f t="shared" si="879"/>
        <v>6.1347943265201765</v>
      </c>
      <c r="Z713" s="2229">
        <f t="shared" si="879"/>
        <v>3.0703502219586287</v>
      </c>
      <c r="AA713" s="2229">
        <f t="shared" si="879"/>
        <v>0.84969788519635436</v>
      </c>
      <c r="AB713" s="2229">
        <f t="shared" si="879"/>
        <v>9.9571152183022704</v>
      </c>
      <c r="AC713" s="2229">
        <f t="shared" si="879"/>
        <v>4.3477203253087238</v>
      </c>
      <c r="AD713" s="3787">
        <v>5.9402046767736305</v>
      </c>
      <c r="AE713" s="3787">
        <v>4.47</v>
      </c>
      <c r="AK713" s="2229">
        <v>3.9955542582571724</v>
      </c>
      <c r="AM713" s="2229">
        <f t="shared" si="875"/>
        <v>-0.92520403629854364</v>
      </c>
    </row>
    <row r="714" spans="1:46" ht="12.75" customHeight="1">
      <c r="A714" s="714"/>
      <c r="B714" s="714"/>
      <c r="C714" s="822"/>
      <c r="D714" s="766" t="s">
        <v>591</v>
      </c>
      <c r="E714" s="771" t="str">
        <f>+E698</f>
        <v>Final consumption expenditure</v>
      </c>
      <c r="F714" s="772" t="s">
        <v>823</v>
      </c>
      <c r="G714" s="770"/>
      <c r="H714" s="770">
        <f ca="1">(H698/G698-1)*100</f>
        <v>3.7291845829098502</v>
      </c>
      <c r="I714" s="770">
        <f t="shared" ref="I714:Q714" si="880">(I698/H698-1)*100</f>
        <v>1.9714457986993228</v>
      </c>
      <c r="J714" s="770">
        <f t="shared" si="880"/>
        <v>3.2802221588689395</v>
      </c>
      <c r="K714" s="770">
        <f t="shared" si="880"/>
        <v>4.9469603408932805</v>
      </c>
      <c r="L714" s="770">
        <f t="shared" si="880"/>
        <v>5.0190740791252964</v>
      </c>
      <c r="M714" s="770">
        <f t="shared" si="880"/>
        <v>4.9237231064351628</v>
      </c>
      <c r="N714" s="770">
        <f t="shared" si="880"/>
        <v>6.5916617600514815</v>
      </c>
      <c r="O714" s="770">
        <f t="shared" si="880"/>
        <v>4.7931219239503386</v>
      </c>
      <c r="P714" s="770">
        <f t="shared" si="880"/>
        <v>4.1914527858067707</v>
      </c>
      <c r="Q714" s="770">
        <f t="shared" si="880"/>
        <v>4.6185376555148316</v>
      </c>
      <c r="R714" s="2235">
        <f t="shared" ref="R714:AE714" si="881">(R698/Q698-1)*100</f>
        <v>3.8511974000061011</v>
      </c>
      <c r="S714" s="2235">
        <f t="shared" si="881"/>
        <v>4.0523703849751902</v>
      </c>
      <c r="T714" s="2235">
        <f t="shared" si="881"/>
        <v>7.3183383795827783</v>
      </c>
      <c r="U714" s="2235">
        <f t="shared" si="881"/>
        <v>4.9142596678579675</v>
      </c>
      <c r="V714" s="2235">
        <f t="shared" si="881"/>
        <v>2.6462787860847881</v>
      </c>
      <c r="W714" s="2235">
        <f t="shared" si="881"/>
        <v>4.8007590794766131</v>
      </c>
      <c r="X714" s="2235">
        <f t="shared" si="881"/>
        <v>4.3084519153421708</v>
      </c>
      <c r="Y714" s="2235">
        <f t="shared" si="881"/>
        <v>2.2087934764803085</v>
      </c>
      <c r="Z714" s="2235">
        <f t="shared" si="881"/>
        <v>1.370735509761456</v>
      </c>
      <c r="AA714" s="2235">
        <f t="shared" ref="AA714" si="882">(AA698/Z698-1)*100</f>
        <v>0.82676106369130586</v>
      </c>
      <c r="AB714" s="2235">
        <f t="shared" ref="AB714:AC714" si="883">(AB698/AA698-1)*100</f>
        <v>1.531420076469181</v>
      </c>
      <c r="AC714" s="2235">
        <f t="shared" si="883"/>
        <v>2.8712260626695407</v>
      </c>
      <c r="AD714" s="2141">
        <f t="shared" ca="1" si="881"/>
        <v>2.1336860000000346</v>
      </c>
      <c r="AE714" s="2141">
        <f t="shared" ca="1" si="881"/>
        <v>2.8482999999999592</v>
      </c>
      <c r="AK714" s="2235">
        <v>1.8351761085147578</v>
      </c>
      <c r="AM714" s="2235">
        <f t="shared" si="875"/>
        <v>-0.46444059875330179</v>
      </c>
    </row>
    <row r="715" spans="1:46" ht="12.75" customHeight="1">
      <c r="A715" s="714"/>
      <c r="B715" s="714"/>
      <c r="C715" s="822"/>
      <c r="E715" s="833"/>
      <c r="F715" s="834"/>
      <c r="G715" s="753"/>
      <c r="H715" s="835"/>
      <c r="I715" s="753"/>
      <c r="J715" s="753"/>
      <c r="K715" s="753"/>
      <c r="L715" s="753"/>
      <c r="M715" s="753"/>
      <c r="N715" s="753"/>
      <c r="O715" s="753"/>
      <c r="P715" s="753"/>
      <c r="Q715" s="885"/>
      <c r="R715" s="2218"/>
      <c r="S715" s="2845"/>
      <c r="T715" s="2845"/>
      <c r="U715" s="2218"/>
      <c r="AM715" s="2827">
        <f t="shared" si="875"/>
        <v>0</v>
      </c>
    </row>
    <row r="716" spans="1:46" ht="12.75" customHeight="1">
      <c r="A716" s="714"/>
      <c r="B716" s="714"/>
      <c r="C716" s="822"/>
      <c r="D716" s="862"/>
      <c r="E716" s="863" t="s">
        <v>1805</v>
      </c>
      <c r="F716" s="864"/>
      <c r="G716" s="865">
        <f>+InputY!$G$3</f>
        <v>1995</v>
      </c>
      <c r="H716" s="865">
        <f>+G716+1</f>
        <v>1996</v>
      </c>
      <c r="I716" s="865">
        <f t="shared" ref="I716:O716" si="884">+H716+1</f>
        <v>1997</v>
      </c>
      <c r="J716" s="865">
        <f t="shared" si="884"/>
        <v>1998</v>
      </c>
      <c r="K716" s="865">
        <f t="shared" si="884"/>
        <v>1999</v>
      </c>
      <c r="L716" s="865">
        <f t="shared" si="884"/>
        <v>2000</v>
      </c>
      <c r="M716" s="865">
        <f t="shared" si="884"/>
        <v>2001</v>
      </c>
      <c r="N716" s="865">
        <f t="shared" si="884"/>
        <v>2002</v>
      </c>
      <c r="O716" s="865">
        <f t="shared" si="884"/>
        <v>2003</v>
      </c>
      <c r="P716" s="865">
        <f t="shared" ref="P716:U716" si="885">+O716+1</f>
        <v>2004</v>
      </c>
      <c r="Q716" s="865">
        <f t="shared" si="885"/>
        <v>2005</v>
      </c>
      <c r="R716" s="2219">
        <f t="shared" si="885"/>
        <v>2006</v>
      </c>
      <c r="S716" s="2219">
        <f t="shared" si="885"/>
        <v>2007</v>
      </c>
      <c r="T716" s="2219">
        <f t="shared" si="885"/>
        <v>2008</v>
      </c>
      <c r="U716" s="2219">
        <f t="shared" si="885"/>
        <v>2009</v>
      </c>
      <c r="V716" s="2219">
        <f t="shared" ref="V716:AE716" si="886">+U716+1</f>
        <v>2010</v>
      </c>
      <c r="W716" s="2219">
        <f t="shared" si="886"/>
        <v>2011</v>
      </c>
      <c r="X716" s="2219">
        <f t="shared" si="886"/>
        <v>2012</v>
      </c>
      <c r="Y716" s="2219">
        <f t="shared" si="886"/>
        <v>2013</v>
      </c>
      <c r="Z716" s="2219">
        <f t="shared" si="886"/>
        <v>2014</v>
      </c>
      <c r="AA716" s="2219">
        <f t="shared" si="886"/>
        <v>2015</v>
      </c>
      <c r="AB716" s="2219">
        <f t="shared" si="886"/>
        <v>2016</v>
      </c>
      <c r="AC716" s="2219">
        <f t="shared" si="886"/>
        <v>2017</v>
      </c>
      <c r="AD716" s="2219">
        <f t="shared" si="886"/>
        <v>2018</v>
      </c>
      <c r="AE716" s="2219">
        <f t="shared" si="886"/>
        <v>2019</v>
      </c>
      <c r="AK716" s="2219">
        <v>2014</v>
      </c>
      <c r="AM716" s="2219">
        <f t="shared" si="875"/>
        <v>0</v>
      </c>
    </row>
    <row r="717" spans="1:46" ht="12.75" customHeight="1">
      <c r="A717" s="714"/>
      <c r="B717" s="714"/>
      <c r="C717" s="866" t="s">
        <v>622</v>
      </c>
      <c r="D717" s="867" t="s">
        <v>591</v>
      </c>
      <c r="E717" s="868" t="s">
        <v>829</v>
      </c>
      <c r="F717" s="869" t="s">
        <v>1943</v>
      </c>
      <c r="G717" s="878">
        <f ca="1">+G688/'VVP2'!G$355</f>
        <v>0.11442050482084407</v>
      </c>
      <c r="H717" s="878">
        <f>+H688/'VVP2'!H$355</f>
        <v>0.11556739204528615</v>
      </c>
      <c r="I717" s="878">
        <f>+I688/'VVP2'!I$355</f>
        <v>0.11415828829390974</v>
      </c>
      <c r="J717" s="878">
        <f>+J688/'VVP2'!J$355</f>
        <v>0.11331376743360901</v>
      </c>
      <c r="K717" s="878">
        <f>+K688/'VVP2'!K$355</f>
        <v>0.11371762220238632</v>
      </c>
      <c r="L717" s="878">
        <f>+L688/'VVP2'!L$355</f>
        <v>0.11144170519940208</v>
      </c>
      <c r="M717" s="878">
        <f>+M688/'VVP2'!M$355</f>
        <v>0.1130982390503122</v>
      </c>
      <c r="N717" s="878">
        <f>+N688/'VVP2'!N$355</f>
        <v>0.11733622331586234</v>
      </c>
      <c r="O717" s="878">
        <f>+O688/'VVP2'!O$355</f>
        <v>0.11889547174551057</v>
      </c>
      <c r="P717" s="878">
        <f>+P688/'VVP2'!P$355</f>
        <v>0.1158716055797112</v>
      </c>
      <c r="Q717" s="878">
        <f>+Q688/'VVP2'!Q$355</f>
        <v>0.1169179609144448</v>
      </c>
      <c r="R717" s="2247">
        <f>+R688/'VVP2'!R$355</f>
        <v>0.1163642797863603</v>
      </c>
      <c r="S717" s="2247">
        <f>+S688/'VVP2'!S$355</f>
        <v>0.11497030133807157</v>
      </c>
      <c r="T717" s="2247">
        <f>+T688/'VVP2'!T$355</f>
        <v>0.11832994931169592</v>
      </c>
      <c r="U717" s="2247">
        <f>+U688/'VVP2'!U$355</f>
        <v>0.12543053508346641</v>
      </c>
      <c r="V717" s="2247">
        <f>+V688/'VVP2'!V$355</f>
        <v>0.12300339221666362</v>
      </c>
      <c r="W717" s="2247">
        <f>+W688/'VVP2'!W$355</f>
        <v>0.12337146599779536</v>
      </c>
      <c r="X717" s="2247">
        <f>+X688/'VVP2'!X$355</f>
        <v>0.12556177404857444</v>
      </c>
      <c r="Y717" s="2247">
        <f>+Y688/'VVP2'!Y$355</f>
        <v>0.12793400006830813</v>
      </c>
      <c r="Z717" s="2247">
        <f>+Z688/'VVP2'!Z$355</f>
        <v>0.12710916784456799</v>
      </c>
      <c r="AA717" s="2247">
        <f>+AA688/'VVP2'!AA$355</f>
        <v>0.1244849369644709</v>
      </c>
      <c r="AB717" s="2224">
        <f>+AB688/'VVP2'!AB$355</f>
        <v>0.12359862370357622</v>
      </c>
      <c r="AC717" s="2224">
        <f>+AC688/'VVP2'!AC$355</f>
        <v>0.12264125125489016</v>
      </c>
      <c r="AD717" s="2224">
        <f ca="1">+AD688/'VVP2'!AD$355</f>
        <v>0.12080299835468081</v>
      </c>
      <c r="AE717" s="2224">
        <f ca="1">+AE688/'VVP2'!AE$355</f>
        <v>0.11909434184073703</v>
      </c>
      <c r="AK717" s="2247">
        <v>0.12490466602033462</v>
      </c>
      <c r="AM717" s="2247">
        <f t="shared" si="875"/>
        <v>2.2045018242333736E-3</v>
      </c>
    </row>
    <row r="718" spans="1:46" ht="12.75" customHeight="1">
      <c r="A718" s="714"/>
      <c r="B718" s="714"/>
      <c r="C718" s="870" t="s">
        <v>622</v>
      </c>
      <c r="D718" s="724" t="s">
        <v>591</v>
      </c>
      <c r="E718" s="830" t="s">
        <v>1366</v>
      </c>
      <c r="F718" s="754" t="s">
        <v>1757</v>
      </c>
      <c r="G718" s="879">
        <f ca="1">+G689/'VVP2'!G$355</f>
        <v>3.4302960658959124E-2</v>
      </c>
      <c r="H718" s="879">
        <f>+H689/'VVP2'!H$355</f>
        <v>3.6936238552502894E-2</v>
      </c>
      <c r="I718" s="879">
        <f>+I689/'VVP2'!I$355</f>
        <v>3.6235106897548199E-2</v>
      </c>
      <c r="J718" s="879">
        <f>+J689/'VVP2'!J$355</f>
        <v>3.6488185403531756E-2</v>
      </c>
      <c r="K718" s="879">
        <f>+K689/'VVP2'!K$355</f>
        <v>3.6895744105869155E-2</v>
      </c>
      <c r="L718" s="879">
        <f>+L689/'VVP2'!L$355</f>
        <v>3.6512768083277185E-2</v>
      </c>
      <c r="M718" s="879">
        <f>+M689/'VVP2'!M$355</f>
        <v>3.7579141903860365E-2</v>
      </c>
      <c r="N718" s="879">
        <f>+N689/'VVP2'!N$355</f>
        <v>4.1773020277745161E-2</v>
      </c>
      <c r="O718" s="879">
        <f>+O689/'VVP2'!O$355</f>
        <v>4.1554080948497447E-2</v>
      </c>
      <c r="P718" s="879">
        <f>+P689/'VVP2'!P$355</f>
        <v>4.0634285737241503E-2</v>
      </c>
      <c r="Q718" s="879">
        <f>+Q689/'VVP2'!Q$355</f>
        <v>4.0086579975394956E-2</v>
      </c>
      <c r="R718" s="2248">
        <f>+R689/'VVP2'!R$355</f>
        <v>3.9374325947209673E-2</v>
      </c>
      <c r="S718" s="2248">
        <f>+S689/'VVP2'!S$355</f>
        <v>3.7473546796243248E-2</v>
      </c>
      <c r="T718" s="2248">
        <f>+T689/'VVP2'!T$355</f>
        <v>3.9565515911021081E-2</v>
      </c>
      <c r="U718" s="2248">
        <f>+U689/'VVP2'!U$355</f>
        <v>4.3033581808188573E-2</v>
      </c>
      <c r="V718" s="2248">
        <f>+V689/'VVP2'!V$355</f>
        <v>4.1538699618324265E-2</v>
      </c>
      <c r="W718" s="2248">
        <f>+W689/'VVP2'!W$355</f>
        <v>4.1862137347757088E-2</v>
      </c>
      <c r="X718" s="2248">
        <f>+X689/'VVP2'!X$355</f>
        <v>4.256850514361158E-2</v>
      </c>
      <c r="Y718" s="2248">
        <f>+Y689/'VVP2'!Y$355</f>
        <v>4.3569120441005485E-2</v>
      </c>
      <c r="Z718" s="2248">
        <f>+Z689/'VVP2'!Z$355</f>
        <v>4.2458158896515059E-2</v>
      </c>
      <c r="AA718" s="2248">
        <f>+AA689/'VVP2'!AA$355</f>
        <v>4.0671706520298445E-2</v>
      </c>
      <c r="AB718" s="2225">
        <f>+AB689/'VVP2'!AB$355</f>
        <v>3.9614143440797792E-2</v>
      </c>
      <c r="AC718" s="2225">
        <f>+AC689/'VVP2'!AC$355</f>
        <v>4.0189780895383782E-2</v>
      </c>
      <c r="AD718" s="2225">
        <f ca="1">+AD689/'VVP2'!AD$355</f>
        <v>4.0260756894587607E-2</v>
      </c>
      <c r="AE718" s="2225">
        <f ca="1">+AE689/'VVP2'!AE$355</f>
        <v>4.1112363533327638E-2</v>
      </c>
      <c r="AF718" s="749"/>
      <c r="AG718" s="749"/>
      <c r="AH718" s="749"/>
      <c r="AI718" s="749"/>
      <c r="AJ718" s="749"/>
      <c r="AK718" s="2248">
        <v>3.9683545877147189E-2</v>
      </c>
      <c r="AL718" s="749"/>
      <c r="AM718" s="2248">
        <f t="shared" si="875"/>
        <v>2.7746130193678706E-3</v>
      </c>
      <c r="AN718" s="749"/>
      <c r="AO718" s="749"/>
      <c r="AP718" s="749"/>
      <c r="AQ718" s="749"/>
      <c r="AR718" s="749"/>
      <c r="AS718" s="749"/>
      <c r="AT718" s="749"/>
    </row>
    <row r="719" spans="1:46" ht="12.75" customHeight="1">
      <c r="A719" s="714"/>
      <c r="B719" s="714"/>
      <c r="C719" s="870" t="s">
        <v>622</v>
      </c>
      <c r="D719" s="724" t="s">
        <v>591</v>
      </c>
      <c r="E719" s="830" t="s">
        <v>523</v>
      </c>
      <c r="F719" s="754"/>
      <c r="G719" s="879">
        <f ca="1">+G690/'VVP2'!G$355</f>
        <v>5.748238920009769E-2</v>
      </c>
      <c r="H719" s="879">
        <f>+H690/'VVP2'!H$355</f>
        <v>5.9980809697400786E-2</v>
      </c>
      <c r="I719" s="879">
        <f>+I690/'VVP2'!I$355</f>
        <v>5.729775849487119E-2</v>
      </c>
      <c r="J719" s="879">
        <f>+J690/'VVP2'!J$355</f>
        <v>5.7614921941101009E-2</v>
      </c>
      <c r="K719" s="879">
        <f>+K690/'VVP2'!K$355</f>
        <v>5.887825211074988E-2</v>
      </c>
      <c r="L719" s="879">
        <f>+L690/'VVP2'!L$355</f>
        <v>5.9444199177451966E-2</v>
      </c>
      <c r="M719" s="879">
        <f>+M690/'VVP2'!M$355</f>
        <v>6.2006092064213481E-2</v>
      </c>
      <c r="N719" s="879">
        <f>+N690/'VVP2'!N$355</f>
        <v>6.205003833637928E-2</v>
      </c>
      <c r="O719" s="879">
        <f>+O690/'VVP2'!O$355</f>
        <v>6.5499325104860825E-2</v>
      </c>
      <c r="P719" s="879">
        <f>+P690/'VVP2'!P$355</f>
        <v>6.7153916095434113E-2</v>
      </c>
      <c r="Q719" s="879">
        <f>+Q690/'VVP2'!Q$355</f>
        <v>6.7522620976959102E-2</v>
      </c>
      <c r="R719" s="2248">
        <f>+R690/'VVP2'!R$355</f>
        <v>6.5817552755584444E-2</v>
      </c>
      <c r="S719" s="2248">
        <f>+S690/'VVP2'!S$355</f>
        <v>6.5730427530188193E-2</v>
      </c>
      <c r="T719" s="2248">
        <f>+T690/'VVP2'!T$355</f>
        <v>7.0552402815408088E-2</v>
      </c>
      <c r="U719" s="2248">
        <f>+U690/'VVP2'!U$355</f>
        <v>7.653138315120861E-2</v>
      </c>
      <c r="V719" s="2248">
        <f>+V690/'VVP2'!V$355</f>
        <v>7.5947033761936789E-2</v>
      </c>
      <c r="W719" s="2248">
        <f>+W690/'VVP2'!W$355</f>
        <v>7.7510977791717006E-2</v>
      </c>
      <c r="X719" s="2248">
        <f>+X690/'VVP2'!X$355</f>
        <v>7.9258560191339311E-2</v>
      </c>
      <c r="Y719" s="2248">
        <f>+Y690/'VVP2'!Y$355</f>
        <v>7.9478808930422057E-2</v>
      </c>
      <c r="Z719" s="2248">
        <f>+Z690/'VVP2'!Z$355</f>
        <v>8.0240186945305908E-2</v>
      </c>
      <c r="AA719" s="2248">
        <f>+AA690/'VVP2'!AA$355</f>
        <v>8.0116179119139874E-2</v>
      </c>
      <c r="AB719" s="2225">
        <f>+AB690/'VVP2'!AB$355</f>
        <v>7.974974021884966E-2</v>
      </c>
      <c r="AC719" s="2225">
        <f>+AC690/'VVP2'!AC$355</f>
        <v>7.9533465941563269E-2</v>
      </c>
      <c r="AD719" s="2225">
        <f ca="1">+AD690/'VVP2'!AD$355</f>
        <v>7.991390888786469E-2</v>
      </c>
      <c r="AE719" s="2225">
        <f ca="1">+AE690/'VVP2'!AE$355</f>
        <v>8.0156553409507988E-2</v>
      </c>
      <c r="AF719" s="749"/>
      <c r="AG719" s="749"/>
      <c r="AH719" s="749"/>
      <c r="AI719" s="749"/>
      <c r="AJ719" s="749"/>
      <c r="AK719" s="2248">
        <v>8.0487483530961787E-2</v>
      </c>
      <c r="AL719" s="749"/>
      <c r="AM719" s="2248">
        <f t="shared" si="875"/>
        <v>-2.4729658565587898E-4</v>
      </c>
      <c r="AN719" s="749"/>
      <c r="AO719" s="749"/>
      <c r="AP719" s="749"/>
      <c r="AQ719" s="749"/>
      <c r="AR719" s="749"/>
      <c r="AS719" s="749"/>
      <c r="AT719" s="749"/>
    </row>
    <row r="720" spans="1:46" ht="12.75" customHeight="1">
      <c r="A720" s="714"/>
      <c r="B720" s="714"/>
      <c r="C720" s="870" t="s">
        <v>622</v>
      </c>
      <c r="D720" s="724" t="s">
        <v>591</v>
      </c>
      <c r="E720" s="830" t="s">
        <v>1772</v>
      </c>
      <c r="F720" s="754"/>
      <c r="G720" s="879">
        <f ca="1">+G692/'VVP2'!G$355</f>
        <v>2.2207781881653156E-2</v>
      </c>
      <c r="H720" s="879">
        <f>+H692/'VVP2'!H$355</f>
        <v>2.2338827391007975E-2</v>
      </c>
      <c r="I720" s="879">
        <f>+I692/'VVP2'!I$355</f>
        <v>2.1761863479322581E-2</v>
      </c>
      <c r="J720" s="879">
        <f>+J692/'VVP2'!J$355</f>
        <v>2.1638059854253665E-2</v>
      </c>
      <c r="K720" s="879">
        <f>+K692/'VVP2'!K$355</f>
        <v>2.1433016959701259E-2</v>
      </c>
      <c r="L720" s="879">
        <f>+L692/'VVP2'!L$355</f>
        <v>2.125148128354672E-2</v>
      </c>
      <c r="M720" s="879">
        <f>+M692/'VVP2'!M$355</f>
        <v>2.1190164807794471E-2</v>
      </c>
      <c r="N720" s="879">
        <f>+N692/'VVP2'!N$355</f>
        <v>2.0996847655336867E-2</v>
      </c>
      <c r="O720" s="879">
        <f>+O692/'VVP2'!O$355</f>
        <v>2.1218420126204507E-2</v>
      </c>
      <c r="P720" s="879">
        <f>+P692/'VVP2'!P$355</f>
        <v>2.0456575389975858E-2</v>
      </c>
      <c r="Q720" s="879">
        <f>+Q692/'VVP2'!Q$355</f>
        <v>2.1242721862792184E-2</v>
      </c>
      <c r="R720" s="3341">
        <f>+R692/'VVP2'!R$355</f>
        <v>2.179622306964904E-2</v>
      </c>
      <c r="S720" s="3341">
        <f>+S692/'VVP2'!S$355</f>
        <v>2.1671392827356129E-2</v>
      </c>
      <c r="T720" s="3341">
        <f>+T692/'VVP2'!T$355</f>
        <v>2.2105206968533259E-2</v>
      </c>
      <c r="U720" s="3341">
        <f>+U692/'VVP2'!U$355</f>
        <v>2.2062548687414543E-2</v>
      </c>
      <c r="V720" s="3341">
        <f>+V692/'VVP2'!V$355</f>
        <v>2.2113637204002733E-2</v>
      </c>
      <c r="W720" s="3341">
        <f>+W692/'VVP2'!W$355</f>
        <v>2.2645627360980289E-2</v>
      </c>
      <c r="X720" s="3341">
        <f>+X692/'VVP2'!X$355</f>
        <v>2.2928510211997363E-2</v>
      </c>
      <c r="Y720" s="3341">
        <f>+Y692/'VVP2'!Y$355</f>
        <v>2.2920437844949709E-2</v>
      </c>
      <c r="Z720" s="3341">
        <f>+Z692/'VVP2'!Z$355</f>
        <v>2.2644184864804909E-2</v>
      </c>
      <c r="AA720" s="3341">
        <f>+AA692/'VVP2'!AA$355</f>
        <v>2.2251259151261884E-2</v>
      </c>
      <c r="AB720" s="2225">
        <f>+AB692/'VVP2'!AB$355</f>
        <v>2.1905058617406423E-2</v>
      </c>
      <c r="AC720" s="2225">
        <f>+AC692/'VVP2'!AC$355</f>
        <v>2.1681491208585205E-2</v>
      </c>
      <c r="AD720" s="2225">
        <f ca="1">+AD692/'VVP2'!AD$355</f>
        <v>2.0947816560437173E-2</v>
      </c>
      <c r="AE720" s="2225">
        <f ca="1">+AE692/'VVP2'!AE$355</f>
        <v>2.0509268814714245E-2</v>
      </c>
      <c r="AF720" s="749"/>
      <c r="AG720" s="749"/>
      <c r="AH720" s="749"/>
      <c r="AI720" s="749"/>
      <c r="AJ720" s="749"/>
      <c r="AK720" s="3341">
        <v>2.3459616675367292E-2</v>
      </c>
      <c r="AL720" s="749"/>
      <c r="AM720" s="3341">
        <f t="shared" si="875"/>
        <v>-8.1543181056238298E-4</v>
      </c>
      <c r="AN720" s="749"/>
      <c r="AO720" s="749"/>
      <c r="AP720" s="749"/>
      <c r="AQ720" s="749"/>
      <c r="AR720" s="749"/>
      <c r="AS720" s="749"/>
      <c r="AT720" s="749"/>
    </row>
    <row r="721" spans="1:46" ht="12.75" customHeight="1">
      <c r="A721" s="714"/>
      <c r="B721" s="714"/>
      <c r="C721" s="870" t="s">
        <v>622</v>
      </c>
      <c r="D721" s="724" t="s">
        <v>591</v>
      </c>
      <c r="E721" s="830" t="s">
        <v>1365</v>
      </c>
      <c r="F721" s="754"/>
      <c r="G721" s="879">
        <f ca="1">+G693/'VVP2'!G$355</f>
        <v>6.152657853536826E-5</v>
      </c>
      <c r="H721" s="879">
        <f>+H693/'VVP2'!H$355</f>
        <v>6.3905930470346787E-5</v>
      </c>
      <c r="I721" s="879">
        <f>+I693/'VVP2'!I$355</f>
        <v>4.1598681587302769E-5</v>
      </c>
      <c r="J721" s="879">
        <f>+J693/'VVP2'!J$355</f>
        <v>7.5483091787434148E-5</v>
      </c>
      <c r="K721" s="879">
        <f>+K693/'VVP2'!K$355</f>
        <v>7.6977881142863743E-5</v>
      </c>
      <c r="L721" s="879">
        <f>+L693/'VVP2'!L$355</f>
        <v>7.3580097745341088E-5</v>
      </c>
      <c r="M721" s="879">
        <f>+M693/'VVP2'!M$355</f>
        <v>6.6970567564263875E-5</v>
      </c>
      <c r="N721" s="879">
        <f>+N693/'VVP2'!N$355</f>
        <v>8.9433374135803402E-5</v>
      </c>
      <c r="O721" s="879">
        <f>+O693/'VVP2'!O$355</f>
        <v>9.0929515473050091E-5</v>
      </c>
      <c r="P721" s="879">
        <f>+P693/'VVP2'!P$355</f>
        <v>9.6749096450486302E-5</v>
      </c>
      <c r="Q721" s="879">
        <f>+Q693/'VVP2'!Q$355</f>
        <v>1.175032297335879E-4</v>
      </c>
      <c r="R721" s="2248">
        <f>+R693/'VVP2'!R$355</f>
        <v>1.1081787571929122E-4</v>
      </c>
      <c r="S721" s="2248">
        <f>+S693/'VVP2'!S$355</f>
        <v>1.0240417739422948E-4</v>
      </c>
      <c r="T721" s="2248">
        <f>+T693/'VVP2'!T$355</f>
        <v>1.0675978680805356E-4</v>
      </c>
      <c r="U721" s="2248">
        <f>+U693/'VVP2'!U$355</f>
        <v>1.1038442163292292E-4</v>
      </c>
      <c r="V721" s="2248">
        <f>+V693/'VVP2'!V$355</f>
        <v>1.0791549176186371E-4</v>
      </c>
      <c r="W721" s="2248">
        <f>+W693/'VVP2'!W$355</f>
        <v>1.1395220812737897E-4</v>
      </c>
      <c r="X721" s="2248">
        <f>+X693/'VVP2'!X$355</f>
        <v>1.2154835572948504E-4</v>
      </c>
      <c r="Y721" s="2248">
        <f>+Y693/'VVP2'!Y$355</f>
        <v>1.2514662035307866E-4</v>
      </c>
      <c r="Z721" s="2248">
        <f>+Z693/'VVP2'!Z$355</f>
        <v>1.2540964235266774E-4</v>
      </c>
      <c r="AA721" s="2248">
        <f>+AA693/'VVP2'!AA$355</f>
        <v>1.2498927967190035E-4</v>
      </c>
      <c r="AB721" s="2225">
        <f>+AB693/'VVP2'!AB$355</f>
        <v>1.1251667657886917E-4</v>
      </c>
      <c r="AC721" s="2225">
        <f>+AC693/'VVP2'!AC$355</f>
        <v>7.4803083164131786E-5</v>
      </c>
      <c r="AD721" s="2225">
        <f ca="1">+AD693/'VVP2'!AD$355</f>
        <v>1.0499081977822827E-4</v>
      </c>
      <c r="AE721" s="2225">
        <f ca="1">+AE693/'VVP2'!AE$355</f>
        <v>1.014836715109661E-4</v>
      </c>
      <c r="AF721" s="749"/>
      <c r="AG721" s="749"/>
      <c r="AH721" s="749"/>
      <c r="AI721" s="749"/>
      <c r="AJ721" s="749"/>
      <c r="AK721" s="2248">
        <v>1.2553757426602143E-4</v>
      </c>
      <c r="AL721" s="749"/>
      <c r="AM721" s="2248">
        <f t="shared" si="875"/>
        <v>-1.2793191335368974E-7</v>
      </c>
      <c r="AN721" s="749"/>
      <c r="AO721" s="749"/>
      <c r="AP721" s="749"/>
      <c r="AQ721" s="749"/>
      <c r="AR721" s="749"/>
      <c r="AS721" s="749"/>
      <c r="AT721" s="749"/>
    </row>
    <row r="722" spans="1:46" ht="12.75" customHeight="1">
      <c r="A722" s="714"/>
      <c r="B722" s="714"/>
      <c r="C722" s="870" t="s">
        <v>622</v>
      </c>
      <c r="D722" s="724" t="s">
        <v>591</v>
      </c>
      <c r="E722" s="830" t="s">
        <v>551</v>
      </c>
      <c r="F722" s="754" t="s">
        <v>616</v>
      </c>
      <c r="G722" s="879">
        <f ca="1">+G694/'VVP2'!G$355</f>
        <v>0</v>
      </c>
      <c r="H722" s="879">
        <f>+H694/'VVP2'!H$355</f>
        <v>0</v>
      </c>
      <c r="I722" s="879">
        <f>+I694/'VVP2'!I$355</f>
        <v>0</v>
      </c>
      <c r="J722" s="879">
        <f>+J694/'VVP2'!J$355</f>
        <v>0</v>
      </c>
      <c r="K722" s="879">
        <f>+K694/'VVP2'!K$355</f>
        <v>0</v>
      </c>
      <c r="L722" s="879">
        <f>+L694/'VVP2'!L$355</f>
        <v>0</v>
      </c>
      <c r="M722" s="879">
        <f>+M694/'VVP2'!M$355</f>
        <v>0</v>
      </c>
      <c r="N722" s="879">
        <f>+N694/'VVP2'!N$355</f>
        <v>0</v>
      </c>
      <c r="O722" s="879">
        <f>+O694/'VVP2'!O$355</f>
        <v>0</v>
      </c>
      <c r="P722" s="879">
        <f>+P694/'VVP2'!P$355</f>
        <v>0</v>
      </c>
      <c r="Q722" s="879">
        <f>+Q694/'VVP2'!Q$355</f>
        <v>0</v>
      </c>
      <c r="R722" s="2248">
        <f>+R694/'VVP2'!R$355</f>
        <v>0</v>
      </c>
      <c r="S722" s="2248">
        <f>+S694/'VVP2'!S$355</f>
        <v>0</v>
      </c>
      <c r="T722" s="2248">
        <f>+T694/'VVP2'!T$355</f>
        <v>0</v>
      </c>
      <c r="U722" s="2248">
        <f>+U694/'VVP2'!U$355</f>
        <v>0</v>
      </c>
      <c r="V722" s="2248">
        <f>+V694/'VVP2'!V$355</f>
        <v>0</v>
      </c>
      <c r="W722" s="2248">
        <f>+W694/'VVP2'!W$355</f>
        <v>0</v>
      </c>
      <c r="X722" s="2248">
        <f>+X694/'VVP2'!X$355</f>
        <v>0</v>
      </c>
      <c r="Y722" s="2248">
        <f>+Y694/'VVP2'!Y$355</f>
        <v>0</v>
      </c>
      <c r="Z722" s="2248">
        <f>+Z694/'VVP2'!Z$355</f>
        <v>0</v>
      </c>
      <c r="AA722" s="2248">
        <f>+AA694/'VVP2'!AA$355</f>
        <v>0</v>
      </c>
      <c r="AB722" s="2225">
        <f>+AB694/'VVP2'!AB$355</f>
        <v>0</v>
      </c>
      <c r="AC722" s="2225">
        <f>+AC694/'VVP2'!AC$355</f>
        <v>0</v>
      </c>
      <c r="AD722" s="2225">
        <f ca="1">+AD694/'VVP2'!AD$355</f>
        <v>0</v>
      </c>
      <c r="AE722" s="2225">
        <f ca="1">+AE694/'VVP2'!AE$355</f>
        <v>0</v>
      </c>
      <c r="AF722" s="749"/>
      <c r="AG722" s="749"/>
      <c r="AH722" s="749"/>
      <c r="AI722" s="749"/>
      <c r="AJ722" s="749"/>
      <c r="AK722" s="2248">
        <v>0</v>
      </c>
      <c r="AL722" s="749"/>
      <c r="AM722" s="2248">
        <f t="shared" si="875"/>
        <v>0</v>
      </c>
      <c r="AN722" s="749"/>
      <c r="AO722" s="749"/>
      <c r="AP722" s="749"/>
      <c r="AQ722" s="749"/>
      <c r="AR722" s="749"/>
      <c r="AS722" s="749"/>
      <c r="AT722" s="749"/>
    </row>
    <row r="723" spans="1:46" ht="12.75" customHeight="1">
      <c r="A723" s="714"/>
      <c r="B723" s="714"/>
      <c r="C723" s="870" t="s">
        <v>2133</v>
      </c>
      <c r="D723" s="724" t="s">
        <v>591</v>
      </c>
      <c r="E723" s="830" t="s">
        <v>550</v>
      </c>
      <c r="F723" s="754" t="s">
        <v>157</v>
      </c>
      <c r="G723" s="879">
        <f ca="1">+G695/'VVP2'!G$355</f>
        <v>0</v>
      </c>
      <c r="H723" s="879">
        <f>+H695/'VVP2'!H$355</f>
        <v>8.7106561749799943E-4</v>
      </c>
      <c r="I723" s="879">
        <f>+I695/'VVP2'!I$355</f>
        <v>8.4436472838937432E-4</v>
      </c>
      <c r="J723" s="879">
        <f>+J695/'VVP2'!J$355</f>
        <v>9.156056388001856E-4</v>
      </c>
      <c r="K723" s="879">
        <f>+K695/'VVP2'!K$355</f>
        <v>9.0735630113091968E-4</v>
      </c>
      <c r="L723" s="879">
        <f>+L695/'VVP2'!L$355</f>
        <v>8.7250505379092417E-4</v>
      </c>
      <c r="M723" s="879">
        <f>+M695/'VVP2'!M$355</f>
        <v>8.5895396488334323E-4</v>
      </c>
      <c r="N723" s="879">
        <f>+N695/'VVP2'!N$355</f>
        <v>9.0633090130300077E-4</v>
      </c>
      <c r="O723" s="879">
        <f>+O695/'VVP2'!O$355</f>
        <v>9.584749315817312E-4</v>
      </c>
      <c r="P723" s="879">
        <f>+P695/'VVP2'!P$355</f>
        <v>1.0428146555129577E-3</v>
      </c>
      <c r="Q723" s="879">
        <f>+Q695/'VVP2'!Q$355</f>
        <v>1.2280050648386675E-3</v>
      </c>
      <c r="R723" s="2248">
        <f>+R695/'VVP2'!R$355</f>
        <v>1.1954248748171279E-3</v>
      </c>
      <c r="S723" s="2248">
        <f>+S695/'VVP2'!S$355</f>
        <v>1.2607607789099614E-3</v>
      </c>
      <c r="T723" s="2248">
        <f>+T695/'VVP2'!T$355</f>
        <v>1.3364743681896507E-3</v>
      </c>
      <c r="U723" s="2248">
        <f>+U695/'VVP2'!U$355</f>
        <v>1.5634448082192528E-3</v>
      </c>
      <c r="V723" s="2248">
        <f>+V695/'VVP2'!V$355</f>
        <v>1.5617617614875905E-3</v>
      </c>
      <c r="W723" s="2248">
        <f>+W695/'VVP2'!W$355</f>
        <v>1.5494334966208686E-3</v>
      </c>
      <c r="X723" s="2248">
        <f>+X695/'VVP2'!X$355</f>
        <v>1.5943221692071819E-3</v>
      </c>
      <c r="Y723" s="2248">
        <f>+Y695/'VVP2'!Y$355</f>
        <v>1.6172205827703434E-3</v>
      </c>
      <c r="Z723" s="2248">
        <f>+Z695/'VVP2'!Z$355</f>
        <v>1.5738660295257266E-3</v>
      </c>
      <c r="AA723" s="2248">
        <f>+AA695/'VVP2'!AA$355</f>
        <v>1.3373609281075306E-3</v>
      </c>
      <c r="AB723" s="2225">
        <f>+AB695/'VVP2'!AB$355</f>
        <v>1.2443020704014007E-3</v>
      </c>
      <c r="AC723" s="2225">
        <f>+AC695/'VVP2'!AC$355</f>
        <v>1.2121292287117951E-3</v>
      </c>
      <c r="AD723" s="2225">
        <f ca="1">+AD695/'VVP2'!AD$355</f>
        <v>1.2495801138036971E-3</v>
      </c>
      <c r="AE723" s="2225">
        <f ca="1">+AE695/'VVP2'!AE$355</f>
        <v>1.2532534600544285E-3</v>
      </c>
      <c r="AF723" s="749"/>
      <c r="AG723" s="749"/>
      <c r="AH723" s="749"/>
      <c r="AI723" s="749"/>
      <c r="AJ723" s="749"/>
      <c r="AK723" s="2248">
        <v>0</v>
      </c>
      <c r="AL723" s="749"/>
      <c r="AM723" s="2248">
        <f t="shared" si="875"/>
        <v>1.5738660295257266E-3</v>
      </c>
      <c r="AN723" s="749"/>
      <c r="AO723" s="749"/>
      <c r="AP723" s="749"/>
      <c r="AQ723" s="749"/>
      <c r="AR723" s="749"/>
      <c r="AS723" s="749"/>
      <c r="AT723" s="749"/>
    </row>
    <row r="724" spans="1:46" ht="12.75" customHeight="1">
      <c r="A724" s="714"/>
      <c r="B724" s="714"/>
      <c r="C724" s="871" t="s">
        <v>2133</v>
      </c>
      <c r="D724" s="872" t="s">
        <v>591</v>
      </c>
      <c r="E724" s="873" t="s">
        <v>552</v>
      </c>
      <c r="F724" s="874"/>
      <c r="G724" s="880">
        <f ca="1">+G696/'VVP2'!G$355</f>
        <v>1.6594664793734514E-2</v>
      </c>
      <c r="H724" s="880">
        <f>+H696/'VVP2'!H$355</f>
        <v>1.8968021101923478E-2</v>
      </c>
      <c r="I724" s="880">
        <f>+I696/'VVP2'!I$355</f>
        <v>1.9092024691915298E-2</v>
      </c>
      <c r="J724" s="880">
        <f>+J696/'VVP2'!J$355</f>
        <v>1.9647779688310271E-2</v>
      </c>
      <c r="K724" s="880">
        <f>+K696/'VVP2'!K$355</f>
        <v>1.9935633388746491E-2</v>
      </c>
      <c r="L724" s="880">
        <f>+L696/'VVP2'!L$355</f>
        <v>1.9107589593450599E-2</v>
      </c>
      <c r="M724" s="880">
        <f>+M696/'VVP2'!M$355</f>
        <v>2.0294339406836413E-2</v>
      </c>
      <c r="N724" s="880">
        <f>+N696/'VVP2'!N$355</f>
        <v>2.2175477732362271E-2</v>
      </c>
      <c r="O724" s="880">
        <f>+O696/'VVP2'!O$355</f>
        <v>2.2783681513180356E-2</v>
      </c>
      <c r="P724" s="880">
        <f>+P696/'VVP2'!P$355</f>
        <v>2.2817722024111614E-2</v>
      </c>
      <c r="Q724" s="880">
        <f>+Q696/'VVP2'!Q$355</f>
        <v>2.3580907715660161E-2</v>
      </c>
      <c r="R724" s="2249">
        <f>+R696/'VVP2'!R$355</f>
        <v>2.334522431589095E-2</v>
      </c>
      <c r="S724" s="2249">
        <f>+S696/'VVP2'!S$355</f>
        <v>2.2821336621097293E-2</v>
      </c>
      <c r="T724" s="2249">
        <f>+T696/'VVP2'!T$355</f>
        <v>2.3779471561649963E-2</v>
      </c>
      <c r="U724" s="2249">
        <f>+U696/'VVP2'!U$355</f>
        <v>2.5391857528977348E-2</v>
      </c>
      <c r="V724" s="2249">
        <f>+V696/'VVP2'!V$355</f>
        <v>2.5600622294409348E-2</v>
      </c>
      <c r="W724" s="2249">
        <f>+W696/'VVP2'!W$355</f>
        <v>2.621797633012166E-2</v>
      </c>
      <c r="X724" s="2249">
        <f>+X696/'VVP2'!X$355</f>
        <v>2.6236380326095397E-2</v>
      </c>
      <c r="Y724" s="2249">
        <f>+Y696/'VVP2'!Y$355</f>
        <v>2.7502435388915423E-2</v>
      </c>
      <c r="Z724" s="2249">
        <f>+Z696/'VVP2'!Z$355</f>
        <v>2.7783981641227497E-2</v>
      </c>
      <c r="AA724" s="2249">
        <f>+AA696/'VVP2'!AA$355</f>
        <v>2.7327334497625932E-2</v>
      </c>
      <c r="AB724" s="2226">
        <f>+AB696/'VVP2'!AB$355</f>
        <v>2.915245631469118E-2</v>
      </c>
      <c r="AC724" s="2226">
        <f>+AC696/'VVP2'!AC$355</f>
        <v>2.9349035291091181E-2</v>
      </c>
      <c r="AD724" s="2226">
        <f ca="1">+AD696/'VVP2'!AD$355</f>
        <v>3.0071379903056875E-2</v>
      </c>
      <c r="AE724" s="2226">
        <f ca="1">+AE696/'VVP2'!AE$355</f>
        <v>3.0366154415062237E-2</v>
      </c>
      <c r="AF724" s="749"/>
      <c r="AG724" s="749"/>
      <c r="AH724" s="749"/>
      <c r="AI724" s="749"/>
      <c r="AJ724" s="749"/>
      <c r="AK724" s="2249">
        <v>2.3027568548487334E-2</v>
      </c>
      <c r="AL724" s="749"/>
      <c r="AM724" s="2249">
        <f t="shared" si="875"/>
        <v>4.7564130927401638E-3</v>
      </c>
      <c r="AN724" s="749"/>
      <c r="AO724" s="749"/>
      <c r="AP724" s="749"/>
      <c r="AQ724" s="749"/>
      <c r="AR724" s="749"/>
      <c r="AS724" s="749"/>
      <c r="AT724" s="749"/>
    </row>
    <row r="725" spans="1:46" ht="12.75" customHeight="1">
      <c r="A725" s="714"/>
      <c r="B725" s="714"/>
      <c r="C725" s="822"/>
      <c r="D725" s="850" t="s">
        <v>591</v>
      </c>
      <c r="E725" s="851" t="s">
        <v>1793</v>
      </c>
      <c r="F725" s="852" t="s">
        <v>823</v>
      </c>
      <c r="G725" s="881">
        <f ca="1">+G698/'VVP2'!G$355</f>
        <v>0.21188097162772826</v>
      </c>
      <c r="H725" s="881">
        <f>+H698/'VVP2'!H$355</f>
        <v>0.21504808689724669</v>
      </c>
      <c r="I725" s="881">
        <f>+I698/'VVP2'!I$355</f>
        <v>0.2095577838877685</v>
      </c>
      <c r="J725" s="881">
        <f>+J698/'VVP2'!J$355</f>
        <v>0.20856703239717242</v>
      </c>
      <c r="K725" s="881">
        <f>+K698/'VVP2'!K$355</f>
        <v>0.21015862356997209</v>
      </c>
      <c r="L725" s="881">
        <f>+L698/'VVP2'!L$355</f>
        <v>0.20874402645785411</v>
      </c>
      <c r="M725" s="881">
        <f>+M698/'VVP2'!M$355</f>
        <v>0.21278693878288141</v>
      </c>
      <c r="N725" s="881">
        <f>+N698/'VVP2'!N$355</f>
        <v>0.21916375432579419</v>
      </c>
      <c r="O725" s="881">
        <f>+O698/'VVP2'!O$355</f>
        <v>0.22351607099578433</v>
      </c>
      <c r="P725" s="881">
        <f>+P698/'VVP2'!P$355</f>
        <v>0.22035259521918857</v>
      </c>
      <c r="Q725" s="881">
        <f>+Q698/'VVP2'!Q$355</f>
        <v>0.22107847417882578</v>
      </c>
      <c r="R725" s="2258">
        <f>+R698/'VVP2'!R$355</f>
        <v>0.21892255024381466</v>
      </c>
      <c r="S725" s="2258">
        <f>+S698/'VVP2'!S$355</f>
        <v>0.21586597526924611</v>
      </c>
      <c r="T725" s="2258">
        <f>+T698/'VVP2'!T$355</f>
        <v>0.22554388886362681</v>
      </c>
      <c r="U725" s="2258">
        <f>+U698/'VVP2'!U$355</f>
        <v>0.24021313081471446</v>
      </c>
      <c r="V725" s="2258">
        <f>+V698/'VVP2'!V$355</f>
        <v>0.23554856813397951</v>
      </c>
      <c r="W725" s="2258">
        <f>+W698/'VVP2'!W$355</f>
        <v>0.23773675087963456</v>
      </c>
      <c r="X725" s="2258">
        <f>+X698/'VVP2'!X$355</f>
        <v>0.24260793739150008</v>
      </c>
      <c r="Y725" s="2258">
        <f>+Y698/'VVP2'!Y$355</f>
        <v>0.24490785793335271</v>
      </c>
      <c r="Z725" s="2258">
        <f>+Z698/'VVP2'!Z$355</f>
        <v>0.24333517700496793</v>
      </c>
      <c r="AA725" s="2258">
        <f>+AA698/'VVP2'!AA$355</f>
        <v>0.23928137742571787</v>
      </c>
      <c r="AB725" s="2227">
        <f>+AB698/'VVP2'!AB$355</f>
        <v>0.23570234516901611</v>
      </c>
      <c r="AC725" s="2227">
        <f>+AC698/'VVP2'!AC$355</f>
        <v>0.2339340993959651</v>
      </c>
      <c r="AD725" s="2227">
        <f ca="1">+AD698/'VVP2'!AD$355</f>
        <v>0.23107941337544227</v>
      </c>
      <c r="AE725" s="2227">
        <f ca="1">+AE698/'VVP2'!AE$355</f>
        <v>0.22972233291425453</v>
      </c>
      <c r="AF725" s="749"/>
      <c r="AG725" s="749"/>
      <c r="AH725" s="749"/>
      <c r="AI725" s="749"/>
      <c r="AJ725" s="749"/>
      <c r="AK725" s="2258">
        <v>0.24429860541427401</v>
      </c>
      <c r="AL725" s="749"/>
      <c r="AM725" s="2258">
        <f t="shared" si="875"/>
        <v>-9.6342840930607743E-4</v>
      </c>
      <c r="AN725" s="749"/>
      <c r="AO725" s="749"/>
      <c r="AP725" s="749"/>
      <c r="AQ725" s="749"/>
      <c r="AR725" s="749"/>
      <c r="AS725" s="749"/>
      <c r="AT725" s="749"/>
    </row>
    <row r="726" spans="1:46" ht="12.75" customHeight="1">
      <c r="A726" s="714"/>
      <c r="B726" s="714"/>
      <c r="C726" s="822"/>
      <c r="S726" s="2162"/>
      <c r="T726" s="2218"/>
      <c r="U726" s="2162"/>
      <c r="AM726" s="2827">
        <f t="shared" si="875"/>
        <v>0</v>
      </c>
    </row>
    <row r="727" spans="1:46" ht="12.75" customHeight="1">
      <c r="A727" s="714"/>
      <c r="B727" s="714"/>
      <c r="C727" s="822"/>
      <c r="S727" s="2162"/>
      <c r="T727" s="2218"/>
      <c r="U727" s="2162"/>
      <c r="AM727" s="2827">
        <f t="shared" si="875"/>
        <v>0</v>
      </c>
    </row>
    <row r="728" spans="1:46" ht="12.75" hidden="1" customHeight="1">
      <c r="A728" s="714"/>
      <c r="B728" s="714"/>
      <c r="C728" s="3482"/>
      <c r="D728" s="3483"/>
      <c r="E728" s="3529" t="s">
        <v>2455</v>
      </c>
      <c r="F728" s="3484"/>
      <c r="G728" s="3485">
        <f>+InputY!$G$3</f>
        <v>1995</v>
      </c>
      <c r="H728" s="3485">
        <f>+G728+1</f>
        <v>1996</v>
      </c>
      <c r="I728" s="3485">
        <f t="shared" ref="I728" si="887">+H728+1</f>
        <v>1997</v>
      </c>
      <c r="J728" s="3485">
        <f t="shared" ref="J728" si="888">+I728+1</f>
        <v>1998</v>
      </c>
      <c r="K728" s="3485">
        <f t="shared" ref="K728" si="889">+J728+1</f>
        <v>1999</v>
      </c>
      <c r="L728" s="3485">
        <f t="shared" ref="L728" si="890">+K728+1</f>
        <v>2000</v>
      </c>
      <c r="M728" s="3485">
        <f t="shared" ref="M728" si="891">+L728+1</f>
        <v>2001</v>
      </c>
      <c r="N728" s="3485">
        <f t="shared" ref="N728" si="892">+M728+1</f>
        <v>2002</v>
      </c>
      <c r="O728" s="3485">
        <f t="shared" ref="O728" si="893">+N728+1</f>
        <v>2003</v>
      </c>
      <c r="P728" s="3485">
        <f t="shared" ref="P728" si="894">+O728+1</f>
        <v>2004</v>
      </c>
      <c r="Q728" s="3485">
        <f t="shared" ref="Q728" si="895">+P728+1</f>
        <v>2005</v>
      </c>
      <c r="R728" s="3486">
        <f t="shared" ref="R728" si="896">+Q728+1</f>
        <v>2006</v>
      </c>
      <c r="S728" s="3486">
        <f t="shared" ref="S728" si="897">+R728+1</f>
        <v>2007</v>
      </c>
      <c r="T728" s="3486">
        <f t="shared" ref="T728" si="898">+S728+1</f>
        <v>2008</v>
      </c>
      <c r="U728" s="3486">
        <f t="shared" ref="U728" si="899">+T728+1</f>
        <v>2009</v>
      </c>
      <c r="V728" s="3486">
        <f t="shared" ref="V728" si="900">+U728+1</f>
        <v>2010</v>
      </c>
      <c r="W728" s="3486">
        <f t="shared" ref="W728" si="901">+V728+1</f>
        <v>2011</v>
      </c>
      <c r="X728" s="3486">
        <f t="shared" ref="X728" si="902">+W728+1</f>
        <v>2012</v>
      </c>
      <c r="Y728" s="3486">
        <f t="shared" ref="Y728" si="903">+X728+1</f>
        <v>2013</v>
      </c>
      <c r="Z728" s="3486">
        <f t="shared" ref="Z728" si="904">+Y728+1</f>
        <v>2014</v>
      </c>
      <c r="AA728" s="3486">
        <f t="shared" ref="AA728:AE728" si="905">+Z728+1</f>
        <v>2015</v>
      </c>
      <c r="AB728" s="3486">
        <f t="shared" si="905"/>
        <v>2016</v>
      </c>
      <c r="AC728" s="3486">
        <f t="shared" si="905"/>
        <v>2017</v>
      </c>
      <c r="AD728" s="3486">
        <f t="shared" si="905"/>
        <v>2018</v>
      </c>
      <c r="AE728" s="3486">
        <f t="shared" si="905"/>
        <v>2019</v>
      </c>
      <c r="AK728" s="3486">
        <v>2014</v>
      </c>
      <c r="AM728" s="3486">
        <f t="shared" si="875"/>
        <v>0</v>
      </c>
    </row>
    <row r="729" spans="1:46" ht="12.75" hidden="1" customHeight="1">
      <c r="A729" s="714"/>
      <c r="B729" s="714"/>
      <c r="C729" s="3552" t="s">
        <v>622</v>
      </c>
      <c r="D729" s="3627" t="s">
        <v>591</v>
      </c>
      <c r="E729" s="3628" t="s">
        <v>2447</v>
      </c>
      <c r="F729" s="3554"/>
      <c r="G729" s="3555"/>
      <c r="H729" s="3555"/>
      <c r="I729" s="3555"/>
      <c r="J729" s="3555"/>
      <c r="K729" s="3555"/>
      <c r="L729" s="3555"/>
      <c r="M729" s="3555"/>
      <c r="N729" s="3555"/>
      <c r="O729" s="3555"/>
      <c r="P729" s="3555"/>
      <c r="Q729" s="3555"/>
      <c r="R729" s="3555"/>
      <c r="S729" s="3555"/>
      <c r="T729" s="3555"/>
      <c r="U729" s="3555"/>
      <c r="V729" s="3555"/>
      <c r="W729" s="3555"/>
      <c r="X729" s="3555"/>
      <c r="Y729" s="3629">
        <f>Y736-Y730-Y733-Y734</f>
        <v>96.087100000000007</v>
      </c>
      <c r="Z729" s="3629">
        <f t="shared" ref="Z729:AA729" si="906">Z736-Z730-Z733-Z734</f>
        <v>97.404200000000003</v>
      </c>
      <c r="AA729" s="3629">
        <f t="shared" si="906"/>
        <v>98.209500000000006</v>
      </c>
      <c r="AB729" s="3629">
        <f t="shared" ref="AB729:AC729" si="907">AB736-AB730-AB733-AB734</f>
        <v>99.713499999999996</v>
      </c>
      <c r="AC729" s="3629">
        <f t="shared" si="907"/>
        <v>102.5765</v>
      </c>
      <c r="AD729" s="3629">
        <f t="shared" ref="AD729" ca="1" si="908">AD736-AD730-AD733-AD734</f>
        <v>104.76516041979002</v>
      </c>
      <c r="AE729" s="3629">
        <f t="shared" ref="AE729" ca="1" si="909">AE736-AE730-AE733-AE734</f>
        <v>107.74918648402686</v>
      </c>
      <c r="AK729" s="3629">
        <v>98.274000000000001</v>
      </c>
      <c r="AM729" s="3629">
        <f t="shared" si="875"/>
        <v>-0.86979999999999791</v>
      </c>
    </row>
    <row r="730" spans="1:46" ht="12.75" hidden="1" customHeight="1">
      <c r="A730" s="714"/>
      <c r="B730" s="714"/>
      <c r="C730" s="3493" t="s">
        <v>622</v>
      </c>
      <c r="D730" s="3494" t="s">
        <v>591</v>
      </c>
      <c r="E730" s="3630" t="s">
        <v>2454</v>
      </c>
      <c r="F730" s="3496"/>
      <c r="G730" s="3499"/>
      <c r="H730" s="3499"/>
      <c r="I730" s="3499"/>
      <c r="J730" s="3499"/>
      <c r="K730" s="3499"/>
      <c r="L730" s="3499"/>
      <c r="M730" s="3499"/>
      <c r="N730" s="3499"/>
      <c r="O730" s="3499"/>
      <c r="P730" s="3499"/>
      <c r="Q730" s="3499"/>
      <c r="R730" s="3499"/>
      <c r="S730" s="3499"/>
      <c r="T730" s="3499"/>
      <c r="U730" s="3499"/>
      <c r="V730" s="3499"/>
      <c r="W730" s="3499"/>
      <c r="X730" s="3499"/>
      <c r="Y730" s="3631">
        <f t="shared" ref="Y730:AE730" si="910">+X730*(1+Y742/100)</f>
        <v>0</v>
      </c>
      <c r="Z730" s="3631">
        <f t="shared" si="910"/>
        <v>0</v>
      </c>
      <c r="AA730" s="3631">
        <f t="shared" si="910"/>
        <v>0</v>
      </c>
      <c r="AB730" s="3631">
        <f t="shared" si="910"/>
        <v>0</v>
      </c>
      <c r="AC730" s="3631">
        <f t="shared" si="910"/>
        <v>0</v>
      </c>
      <c r="AD730" s="3631">
        <f t="shared" si="910"/>
        <v>0</v>
      </c>
      <c r="AE730" s="3631">
        <f t="shared" si="910"/>
        <v>0</v>
      </c>
      <c r="AK730" s="3631">
        <v>0</v>
      </c>
      <c r="AM730" s="3631">
        <f t="shared" si="875"/>
        <v>0</v>
      </c>
    </row>
    <row r="731" spans="1:46" s="1047" customFormat="1" ht="12.75" hidden="1" customHeight="1">
      <c r="A731" s="1039"/>
      <c r="B731" s="1039"/>
      <c r="C731" s="3632"/>
      <c r="D731" s="3572"/>
      <c r="E731" s="3573" t="s">
        <v>2448</v>
      </c>
      <c r="F731" s="3574"/>
      <c r="G731" s="3633">
        <f>G690</f>
        <v>12.1455</v>
      </c>
      <c r="H731" s="3633">
        <f t="shared" ref="H731:AA731" si="911">H690</f>
        <v>12.952399999999999</v>
      </c>
      <c r="I731" s="3633">
        <f t="shared" si="911"/>
        <v>12.9475</v>
      </c>
      <c r="J731" s="3633">
        <f t="shared" si="911"/>
        <v>13.5101</v>
      </c>
      <c r="K731" s="3633">
        <f t="shared" si="911"/>
        <v>14.3796</v>
      </c>
      <c r="L731" s="3633">
        <f t="shared" si="911"/>
        <v>15.3498</v>
      </c>
      <c r="M731" s="3633">
        <f t="shared" si="911"/>
        <v>16.480499999999999</v>
      </c>
      <c r="N731" s="3633">
        <f t="shared" si="911"/>
        <v>17.067799999999998</v>
      </c>
      <c r="O731" s="3633">
        <f t="shared" si="911"/>
        <v>18.512499999999999</v>
      </c>
      <c r="P731" s="3633">
        <f t="shared" si="911"/>
        <v>20.0596</v>
      </c>
      <c r="Q731" s="3633">
        <f t="shared" si="911"/>
        <v>21.032</v>
      </c>
      <c r="R731" s="3633">
        <f t="shared" si="911"/>
        <v>21.5001</v>
      </c>
      <c r="S731" s="3633">
        <f t="shared" si="911"/>
        <v>22.658099999999997</v>
      </c>
      <c r="T731" s="3633">
        <f t="shared" si="911"/>
        <v>24.9802</v>
      </c>
      <c r="U731" s="3633">
        <f t="shared" si="911"/>
        <v>26.692700000000002</v>
      </c>
      <c r="V731" s="3633">
        <f t="shared" si="911"/>
        <v>27.728300000000001</v>
      </c>
      <c r="W731" s="3633">
        <f t="shared" si="911"/>
        <v>29.384900000000002</v>
      </c>
      <c r="X731" s="3633">
        <f t="shared" si="911"/>
        <v>30.712700000000002</v>
      </c>
      <c r="Y731" s="3633">
        <f t="shared" si="911"/>
        <v>31.182700000000001</v>
      </c>
      <c r="Z731" s="3633">
        <f t="shared" si="911"/>
        <v>32.119199999999999</v>
      </c>
      <c r="AA731" s="3633">
        <f t="shared" si="911"/>
        <v>32.8825</v>
      </c>
      <c r="AB731" s="3633">
        <f t="shared" ref="AB731:AC731" si="912">AB690</f>
        <v>33.738</v>
      </c>
      <c r="AC731" s="3633">
        <f t="shared" si="912"/>
        <v>34.874199999999995</v>
      </c>
      <c r="AD731" s="3633">
        <f t="shared" ref="AD731" si="913">AD690</f>
        <v>36.23080637999999</v>
      </c>
      <c r="AE731" s="3633">
        <f t="shared" ref="AE731" si="914">AE690</f>
        <v>37.596707780525989</v>
      </c>
      <c r="AF731" s="2834"/>
      <c r="AG731" s="2834"/>
      <c r="AH731" s="2834"/>
      <c r="AI731" s="2834"/>
      <c r="AJ731" s="2834"/>
      <c r="AK731" s="3633">
        <v>32.377699999999997</v>
      </c>
      <c r="AL731" s="2834"/>
      <c r="AM731" s="3633">
        <f t="shared" si="875"/>
        <v>-0.25849999999999795</v>
      </c>
      <c r="AN731" s="2834"/>
      <c r="AO731" s="2834"/>
      <c r="AP731" s="2834"/>
      <c r="AQ731" s="2834"/>
      <c r="AR731" s="2834"/>
      <c r="AS731" s="2834"/>
      <c r="AT731" s="2834"/>
    </row>
    <row r="732" spans="1:46" ht="12.75" hidden="1" customHeight="1">
      <c r="A732" s="714"/>
      <c r="B732" s="714"/>
      <c r="C732" s="3634" t="s">
        <v>2449</v>
      </c>
      <c r="D732" s="3635" t="s">
        <v>591</v>
      </c>
      <c r="E732" s="3635" t="s">
        <v>2450</v>
      </c>
      <c r="F732" s="3635"/>
      <c r="G732" s="3635">
        <f>G729+G730</f>
        <v>0</v>
      </c>
      <c r="H732" s="3635">
        <f t="shared" ref="H732:AA732" si="915">H729+H730</f>
        <v>0</v>
      </c>
      <c r="I732" s="3635">
        <f t="shared" si="915"/>
        <v>0</v>
      </c>
      <c r="J732" s="3635">
        <f t="shared" si="915"/>
        <v>0</v>
      </c>
      <c r="K732" s="3635">
        <f t="shared" si="915"/>
        <v>0</v>
      </c>
      <c r="L732" s="3635">
        <f t="shared" si="915"/>
        <v>0</v>
      </c>
      <c r="M732" s="3635">
        <f t="shared" si="915"/>
        <v>0</v>
      </c>
      <c r="N732" s="3635">
        <f t="shared" si="915"/>
        <v>0</v>
      </c>
      <c r="O732" s="3635">
        <f t="shared" si="915"/>
        <v>0</v>
      </c>
      <c r="P732" s="3635">
        <f t="shared" si="915"/>
        <v>0</v>
      </c>
      <c r="Q732" s="3635">
        <f t="shared" si="915"/>
        <v>0</v>
      </c>
      <c r="R732" s="3635">
        <f t="shared" si="915"/>
        <v>0</v>
      </c>
      <c r="S732" s="3635">
        <f t="shared" si="915"/>
        <v>0</v>
      </c>
      <c r="T732" s="3635">
        <f t="shared" si="915"/>
        <v>0</v>
      </c>
      <c r="U732" s="3635">
        <f t="shared" si="915"/>
        <v>0</v>
      </c>
      <c r="V732" s="3635">
        <f t="shared" si="915"/>
        <v>0</v>
      </c>
      <c r="W732" s="3635">
        <f t="shared" si="915"/>
        <v>0</v>
      </c>
      <c r="X732" s="3635">
        <f t="shared" si="915"/>
        <v>0</v>
      </c>
      <c r="Y732" s="3636">
        <f t="shared" si="915"/>
        <v>96.087100000000007</v>
      </c>
      <c r="Z732" s="3636">
        <f t="shared" si="915"/>
        <v>97.404200000000003</v>
      </c>
      <c r="AA732" s="3636">
        <f t="shared" si="915"/>
        <v>98.209500000000006</v>
      </c>
      <c r="AB732" s="3636">
        <f t="shared" ref="AB732:AC732" si="916">AB729+AB730</f>
        <v>99.713499999999996</v>
      </c>
      <c r="AC732" s="3636">
        <f t="shared" si="916"/>
        <v>102.5765</v>
      </c>
      <c r="AD732" s="3636">
        <f t="shared" ref="AD732" ca="1" si="917">AD729+AD730</f>
        <v>104.76516041979002</v>
      </c>
      <c r="AE732" s="3636">
        <f t="shared" ref="AE732" ca="1" si="918">AE729+AE730</f>
        <v>107.74918648402686</v>
      </c>
      <c r="AK732" s="3636">
        <v>98.274000000000001</v>
      </c>
      <c r="AM732" s="3636">
        <f t="shared" si="875"/>
        <v>-0.86979999999999791</v>
      </c>
    </row>
    <row r="733" spans="1:46" ht="12.75" hidden="1" customHeight="1">
      <c r="A733" s="714"/>
      <c r="B733" s="714"/>
      <c r="C733" s="3493"/>
      <c r="D733" s="3494" t="s">
        <v>591</v>
      </c>
      <c r="E733" s="3630" t="s">
        <v>2453</v>
      </c>
      <c r="F733" s="3496"/>
      <c r="G733" s="3499"/>
      <c r="H733" s="3499"/>
      <c r="I733" s="3499"/>
      <c r="J733" s="3499"/>
      <c r="K733" s="3499"/>
      <c r="L733" s="3499"/>
      <c r="M733" s="3499"/>
      <c r="N733" s="3499"/>
      <c r="O733" s="3499"/>
      <c r="P733" s="3499"/>
      <c r="Q733" s="3499"/>
      <c r="R733" s="3499"/>
      <c r="S733" s="3499"/>
      <c r="T733" s="3499"/>
      <c r="U733" s="3499"/>
      <c r="V733" s="3499"/>
      <c r="W733" s="3499"/>
      <c r="X733" s="3499"/>
      <c r="Y733" s="3631">
        <f t="shared" ref="Y733:AE734" si="919">+X733*(1+Y745/100)</f>
        <v>0</v>
      </c>
      <c r="Z733" s="3631">
        <f t="shared" si="919"/>
        <v>0</v>
      </c>
      <c r="AA733" s="3631">
        <f t="shared" si="919"/>
        <v>0</v>
      </c>
      <c r="AB733" s="3631">
        <f t="shared" si="919"/>
        <v>0</v>
      </c>
      <c r="AC733" s="3631">
        <f t="shared" si="919"/>
        <v>0</v>
      </c>
      <c r="AD733" s="3631">
        <f t="shared" si="919"/>
        <v>0</v>
      </c>
      <c r="AE733" s="3631">
        <f t="shared" si="919"/>
        <v>0</v>
      </c>
      <c r="AK733" s="3631">
        <v>0</v>
      </c>
      <c r="AM733" s="3631">
        <f t="shared" si="875"/>
        <v>0</v>
      </c>
    </row>
    <row r="734" spans="1:46" ht="12.75" hidden="1" customHeight="1">
      <c r="A734" s="714"/>
      <c r="B734" s="714"/>
      <c r="C734" s="3493" t="s">
        <v>622</v>
      </c>
      <c r="D734" s="3494" t="s">
        <v>591</v>
      </c>
      <c r="E734" s="3637" t="s">
        <v>2451</v>
      </c>
      <c r="F734" s="3499"/>
      <c r="G734" s="3499"/>
      <c r="H734" s="3499"/>
      <c r="I734" s="3499"/>
      <c r="J734" s="3499"/>
      <c r="K734" s="3499"/>
      <c r="L734" s="3499"/>
      <c r="M734" s="3499"/>
      <c r="N734" s="3499"/>
      <c r="O734" s="3499"/>
      <c r="P734" s="3499"/>
      <c r="Q734" s="3499"/>
      <c r="R734" s="3499"/>
      <c r="S734" s="3499"/>
      <c r="T734" s="3499"/>
      <c r="U734" s="3499"/>
      <c r="V734" s="3499"/>
      <c r="W734" s="3499"/>
      <c r="X734" s="3499"/>
      <c r="Y734" s="3631">
        <f t="shared" si="919"/>
        <v>0</v>
      </c>
      <c r="Z734" s="3631">
        <f t="shared" si="919"/>
        <v>0</v>
      </c>
      <c r="AA734" s="3631">
        <f t="shared" si="919"/>
        <v>0</v>
      </c>
      <c r="AB734" s="3631">
        <f t="shared" si="919"/>
        <v>0</v>
      </c>
      <c r="AC734" s="3631">
        <f t="shared" si="919"/>
        <v>0</v>
      </c>
      <c r="AD734" s="3631">
        <f t="shared" si="919"/>
        <v>0</v>
      </c>
      <c r="AE734" s="3631">
        <f t="shared" si="919"/>
        <v>0</v>
      </c>
      <c r="AK734" s="3631">
        <v>0</v>
      </c>
      <c r="AM734" s="3631">
        <f t="shared" si="875"/>
        <v>0</v>
      </c>
    </row>
    <row r="735" spans="1:46" ht="12.75" hidden="1" customHeight="1">
      <c r="A735" s="714"/>
      <c r="B735" s="714"/>
      <c r="C735" s="3634" t="s">
        <v>2449</v>
      </c>
      <c r="D735" s="3635" t="s">
        <v>591</v>
      </c>
      <c r="E735" s="3635" t="s">
        <v>2452</v>
      </c>
      <c r="F735" s="3635"/>
      <c r="G735" s="3635">
        <f t="shared" ref="G735:W735" si="920">G733+G734</f>
        <v>0</v>
      </c>
      <c r="H735" s="3635">
        <f t="shared" si="920"/>
        <v>0</v>
      </c>
      <c r="I735" s="3635">
        <f t="shared" si="920"/>
        <v>0</v>
      </c>
      <c r="J735" s="3635">
        <f t="shared" si="920"/>
        <v>0</v>
      </c>
      <c r="K735" s="3635">
        <f t="shared" si="920"/>
        <v>0</v>
      </c>
      <c r="L735" s="3635">
        <f t="shared" si="920"/>
        <v>0</v>
      </c>
      <c r="M735" s="3635">
        <f t="shared" si="920"/>
        <v>0</v>
      </c>
      <c r="N735" s="3635">
        <f t="shared" si="920"/>
        <v>0</v>
      </c>
      <c r="O735" s="3635">
        <f t="shared" si="920"/>
        <v>0</v>
      </c>
      <c r="P735" s="3635">
        <f t="shared" si="920"/>
        <v>0</v>
      </c>
      <c r="Q735" s="3635">
        <f t="shared" si="920"/>
        <v>0</v>
      </c>
      <c r="R735" s="3635">
        <f t="shared" si="920"/>
        <v>0</v>
      </c>
      <c r="S735" s="3635">
        <f t="shared" si="920"/>
        <v>0</v>
      </c>
      <c r="T735" s="3635">
        <f t="shared" si="920"/>
        <v>0</v>
      </c>
      <c r="U735" s="3635">
        <f t="shared" si="920"/>
        <v>0</v>
      </c>
      <c r="V735" s="3635">
        <f t="shared" si="920"/>
        <v>0</v>
      </c>
      <c r="W735" s="3635">
        <f t="shared" si="920"/>
        <v>0</v>
      </c>
      <c r="X735" s="3635">
        <f>X733+X734</f>
        <v>0</v>
      </c>
      <c r="Y735" s="3636">
        <f>Y733+Y734</f>
        <v>0</v>
      </c>
      <c r="Z735" s="3636">
        <f t="shared" ref="Z735:AA735" si="921">Z733+Z734</f>
        <v>0</v>
      </c>
      <c r="AA735" s="3636">
        <f t="shared" si="921"/>
        <v>0</v>
      </c>
      <c r="AB735" s="3636">
        <f t="shared" ref="AB735:AC735" si="922">AB733+AB734</f>
        <v>0</v>
      </c>
      <c r="AC735" s="3636">
        <f t="shared" si="922"/>
        <v>0</v>
      </c>
      <c r="AD735" s="3636">
        <f t="shared" ref="AD735" si="923">AD733+AD734</f>
        <v>0</v>
      </c>
      <c r="AE735" s="3636">
        <f t="shared" ref="AE735" si="924">AE733+AE734</f>
        <v>0</v>
      </c>
      <c r="AK735" s="3636">
        <v>0</v>
      </c>
      <c r="AM735" s="3636">
        <f t="shared" si="875"/>
        <v>0</v>
      </c>
    </row>
    <row r="736" spans="1:46" ht="12.75" hidden="1" customHeight="1">
      <c r="A736" s="714"/>
      <c r="B736" s="714"/>
      <c r="C736" s="3504" t="s">
        <v>624</v>
      </c>
      <c r="D736" s="3505" t="s">
        <v>591</v>
      </c>
      <c r="E736" s="3506" t="s">
        <v>1793</v>
      </c>
      <c r="F736" s="3507"/>
      <c r="G736" s="3638">
        <f t="shared" ref="G736:AA736" ca="1" si="925">G698</f>
        <v>44.768500000000003</v>
      </c>
      <c r="H736" s="3638">
        <f t="shared" si="925"/>
        <v>46.438000000000002</v>
      </c>
      <c r="I736" s="3638">
        <f t="shared" si="925"/>
        <v>47.353499999999997</v>
      </c>
      <c r="J736" s="3638">
        <f t="shared" si="925"/>
        <v>48.906800000000004</v>
      </c>
      <c r="K736" s="3638">
        <f t="shared" si="925"/>
        <v>51.3262</v>
      </c>
      <c r="L736" s="3638">
        <f t="shared" si="925"/>
        <v>53.902300000000004</v>
      </c>
      <c r="M736" s="3638">
        <f t="shared" si="925"/>
        <v>56.5563</v>
      </c>
      <c r="N736" s="3638">
        <f t="shared" si="925"/>
        <v>60.284300000000002</v>
      </c>
      <c r="O736" s="3638">
        <f t="shared" si="925"/>
        <v>63.1738</v>
      </c>
      <c r="P736" s="3638">
        <f t="shared" si="925"/>
        <v>65.821699999999993</v>
      </c>
      <c r="Q736" s="3638">
        <f t="shared" si="925"/>
        <v>68.861699999999999</v>
      </c>
      <c r="R736" s="3638">
        <f t="shared" si="925"/>
        <v>71.5137</v>
      </c>
      <c r="S736" s="3638">
        <f t="shared" si="925"/>
        <v>74.411699999999996</v>
      </c>
      <c r="T736" s="3638">
        <f t="shared" si="925"/>
        <v>79.857399999999998</v>
      </c>
      <c r="U736" s="3638">
        <f t="shared" si="925"/>
        <v>83.781800000000004</v>
      </c>
      <c r="V736" s="3638">
        <f t="shared" si="925"/>
        <v>85.998899999999992</v>
      </c>
      <c r="W736" s="3638">
        <f t="shared" si="925"/>
        <v>90.127499999999998</v>
      </c>
      <c r="X736" s="3638">
        <f t="shared" si="925"/>
        <v>94.010600000000011</v>
      </c>
      <c r="Y736" s="3639">
        <f t="shared" si="925"/>
        <v>96.087100000000007</v>
      </c>
      <c r="Z736" s="3639">
        <f t="shared" si="925"/>
        <v>97.404200000000003</v>
      </c>
      <c r="AA736" s="3639">
        <f t="shared" si="925"/>
        <v>98.209500000000006</v>
      </c>
      <c r="AB736" s="3639">
        <f t="shared" ref="AB736:AC736" si="926">AB698</f>
        <v>99.713499999999996</v>
      </c>
      <c r="AC736" s="3639">
        <f t="shared" si="926"/>
        <v>102.5765</v>
      </c>
      <c r="AD736" s="3639">
        <f t="shared" ref="AD736" ca="1" si="927">AD698</f>
        <v>104.76516041979002</v>
      </c>
      <c r="AE736" s="3639">
        <f t="shared" ref="AE736" ca="1" si="928">AE698</f>
        <v>107.74918648402686</v>
      </c>
      <c r="AK736" s="3639">
        <v>98.274000000000001</v>
      </c>
      <c r="AM736" s="3639">
        <f t="shared" si="875"/>
        <v>-0.86979999999999791</v>
      </c>
    </row>
    <row r="737" spans="1:46" s="1881" customFormat="1" ht="12.75" hidden="1" customHeight="1">
      <c r="A737" s="1039"/>
      <c r="B737" s="1039"/>
      <c r="C737" s="3571"/>
      <c r="D737" s="3572"/>
      <c r="E737" s="3573" t="s">
        <v>474</v>
      </c>
      <c r="F737" s="3574"/>
      <c r="G737" s="3640">
        <f ca="1">ABS(G732+G735-G736)</f>
        <v>44.768500000000003</v>
      </c>
      <c r="H737" s="3640">
        <f t="shared" ref="H737:AA737" si="929">ABS(H732+H735-H736)</f>
        <v>46.438000000000002</v>
      </c>
      <c r="I737" s="3640">
        <f t="shared" si="929"/>
        <v>47.353499999999997</v>
      </c>
      <c r="J737" s="3640">
        <f t="shared" si="929"/>
        <v>48.906800000000004</v>
      </c>
      <c r="K737" s="3640">
        <f t="shared" si="929"/>
        <v>51.3262</v>
      </c>
      <c r="L737" s="3640">
        <f t="shared" si="929"/>
        <v>53.902300000000004</v>
      </c>
      <c r="M737" s="3640">
        <f t="shared" si="929"/>
        <v>56.5563</v>
      </c>
      <c r="N737" s="3640">
        <f t="shared" si="929"/>
        <v>60.284300000000002</v>
      </c>
      <c r="O737" s="3640">
        <f t="shared" si="929"/>
        <v>63.1738</v>
      </c>
      <c r="P737" s="3640">
        <f t="shared" si="929"/>
        <v>65.821699999999993</v>
      </c>
      <c r="Q737" s="3640">
        <f t="shared" si="929"/>
        <v>68.861699999999999</v>
      </c>
      <c r="R737" s="3640">
        <f t="shared" si="929"/>
        <v>71.5137</v>
      </c>
      <c r="S737" s="3640">
        <f t="shared" si="929"/>
        <v>74.411699999999996</v>
      </c>
      <c r="T737" s="3640">
        <f t="shared" si="929"/>
        <v>79.857399999999998</v>
      </c>
      <c r="U737" s="3640">
        <f t="shared" si="929"/>
        <v>83.781800000000004</v>
      </c>
      <c r="V737" s="3640">
        <f t="shared" si="929"/>
        <v>85.998899999999992</v>
      </c>
      <c r="W737" s="3640">
        <f t="shared" si="929"/>
        <v>90.127499999999998</v>
      </c>
      <c r="X737" s="3640">
        <f t="shared" si="929"/>
        <v>94.010600000000011</v>
      </c>
      <c r="Y737" s="3640">
        <f t="shared" si="929"/>
        <v>0</v>
      </c>
      <c r="Z737" s="3640">
        <f t="shared" si="929"/>
        <v>0</v>
      </c>
      <c r="AA737" s="3640">
        <f t="shared" si="929"/>
        <v>0</v>
      </c>
      <c r="AB737" s="3640">
        <f t="shared" ref="AB737:AC737" si="930">ABS(AB732+AB735-AB736)</f>
        <v>0</v>
      </c>
      <c r="AC737" s="3640">
        <f t="shared" si="930"/>
        <v>0</v>
      </c>
      <c r="AD737" s="3640">
        <f t="shared" ref="AD737" ca="1" si="931">ABS(AD732+AD735-AD736)</f>
        <v>0</v>
      </c>
      <c r="AE737" s="3640">
        <f t="shared" ref="AE737" ca="1" si="932">ABS(AE732+AE735-AE736)</f>
        <v>0</v>
      </c>
      <c r="AF737" s="2829"/>
      <c r="AG737" s="2829"/>
      <c r="AH737" s="2829"/>
      <c r="AI737" s="2829"/>
      <c r="AJ737" s="2829"/>
      <c r="AK737" s="3640">
        <v>0</v>
      </c>
      <c r="AL737" s="2829"/>
      <c r="AM737" s="3640">
        <f t="shared" si="875"/>
        <v>0</v>
      </c>
      <c r="AN737" s="2829"/>
      <c r="AO737" s="2829"/>
      <c r="AP737" s="2829"/>
      <c r="AQ737" s="2829"/>
      <c r="AR737" s="2829"/>
      <c r="AS737" s="2829"/>
      <c r="AT737" s="2829"/>
    </row>
    <row r="738" spans="1:46" ht="12.75" hidden="1" customHeight="1">
      <c r="A738" s="714"/>
      <c r="B738" s="714"/>
      <c r="C738" s="3524"/>
      <c r="D738" s="3641"/>
      <c r="E738" s="3642" t="s">
        <v>1</v>
      </c>
      <c r="F738" s="3641"/>
      <c r="G738" s="3641"/>
      <c r="H738" s="3641"/>
      <c r="I738" s="3641"/>
      <c r="J738" s="3641"/>
      <c r="K738" s="3641"/>
      <c r="L738" s="3641"/>
      <c r="M738" s="3641"/>
      <c r="N738" s="3641"/>
      <c r="O738" s="3641"/>
      <c r="P738" s="3641"/>
      <c r="Q738" s="3641"/>
      <c r="R738" s="3641"/>
      <c r="S738" s="3643"/>
      <c r="T738" s="3643"/>
      <c r="U738" s="3643"/>
      <c r="V738" s="3643"/>
      <c r="W738" s="3643"/>
      <c r="X738" s="3643"/>
      <c r="Y738" s="3643"/>
      <c r="Z738" s="3643"/>
      <c r="AA738" s="3643"/>
      <c r="AB738" s="3643"/>
      <c r="AC738" s="3643"/>
      <c r="AD738" s="3643"/>
      <c r="AE738" s="3643"/>
      <c r="AK738" s="3643"/>
      <c r="AM738" s="3643">
        <f t="shared" si="875"/>
        <v>0</v>
      </c>
    </row>
    <row r="739" spans="1:46" ht="12.75" hidden="1" customHeight="1">
      <c r="A739" s="714"/>
      <c r="B739" s="714"/>
      <c r="C739" s="3524"/>
      <c r="D739" s="3576"/>
      <c r="E739" s="3577"/>
      <c r="F739" s="3524"/>
      <c r="G739" s="3644"/>
      <c r="H739" s="3577"/>
      <c r="I739" s="3577"/>
      <c r="J739" s="3577"/>
      <c r="K739" s="3577"/>
      <c r="L739" s="3577"/>
      <c r="M739" s="3577"/>
      <c r="N739" s="3577"/>
      <c r="O739" s="3577"/>
      <c r="P739" s="3577"/>
      <c r="Q739" s="3578"/>
      <c r="R739" s="3645"/>
      <c r="S739" s="3645"/>
      <c r="T739" s="3580"/>
      <c r="U739" s="3646"/>
      <c r="V739" s="3646"/>
      <c r="W739" s="3646"/>
      <c r="X739" s="3646"/>
      <c r="Y739" s="3646"/>
      <c r="Z739" s="3646"/>
      <c r="AA739" s="3646"/>
      <c r="AB739" s="3646"/>
      <c r="AC739" s="3646"/>
      <c r="AD739" s="3646"/>
      <c r="AE739" s="3646"/>
      <c r="AK739" s="3646"/>
      <c r="AM739" s="3646">
        <f t="shared" si="875"/>
        <v>0</v>
      </c>
    </row>
    <row r="740" spans="1:46" ht="12.75" hidden="1" customHeight="1">
      <c r="A740" s="714"/>
      <c r="B740" s="714"/>
      <c r="C740" s="3482"/>
      <c r="D740" s="3581"/>
      <c r="E740" s="3647" t="s">
        <v>2456</v>
      </c>
      <c r="F740" s="3582"/>
      <c r="G740" s="3583">
        <f>+InputY!$G$3</f>
        <v>1995</v>
      </c>
      <c r="H740" s="3583">
        <f>+G740+1</f>
        <v>1996</v>
      </c>
      <c r="I740" s="3583">
        <f t="shared" ref="I740" si="933">+H740+1</f>
        <v>1997</v>
      </c>
      <c r="J740" s="3583">
        <f t="shared" ref="J740" si="934">+I740+1</f>
        <v>1998</v>
      </c>
      <c r="K740" s="3583">
        <f t="shared" ref="K740" si="935">+J740+1</f>
        <v>1999</v>
      </c>
      <c r="L740" s="3583">
        <f t="shared" ref="L740" si="936">+K740+1</f>
        <v>2000</v>
      </c>
      <c r="M740" s="3583">
        <f t="shared" ref="M740" si="937">+L740+1</f>
        <v>2001</v>
      </c>
      <c r="N740" s="3583">
        <f t="shared" ref="N740" si="938">+M740+1</f>
        <v>2002</v>
      </c>
      <c r="O740" s="3583">
        <f t="shared" ref="O740" si="939">+N740+1</f>
        <v>2003</v>
      </c>
      <c r="P740" s="3583">
        <f t="shared" ref="P740" si="940">+O740+1</f>
        <v>2004</v>
      </c>
      <c r="Q740" s="3583">
        <f t="shared" ref="Q740" si="941">+P740+1</f>
        <v>2005</v>
      </c>
      <c r="R740" s="3584">
        <f t="shared" ref="R740" si="942">+Q740+1</f>
        <v>2006</v>
      </c>
      <c r="S740" s="3584">
        <f t="shared" ref="S740" si="943">+R740+1</f>
        <v>2007</v>
      </c>
      <c r="T740" s="3584">
        <f t="shared" ref="T740" si="944">+S740+1</f>
        <v>2008</v>
      </c>
      <c r="U740" s="3584">
        <f t="shared" ref="U740" si="945">+T740+1</f>
        <v>2009</v>
      </c>
      <c r="V740" s="3584">
        <f t="shared" ref="V740" si="946">+U740+1</f>
        <v>2010</v>
      </c>
      <c r="W740" s="3584">
        <f t="shared" ref="W740" si="947">+V740+1</f>
        <v>2011</v>
      </c>
      <c r="X740" s="3584">
        <f t="shared" ref="X740" si="948">+W740+1</f>
        <v>2012</v>
      </c>
      <c r="Y740" s="3584">
        <f t="shared" ref="Y740" si="949">+X740+1</f>
        <v>2013</v>
      </c>
      <c r="Z740" s="3584">
        <f t="shared" ref="Z740" si="950">+Y740+1</f>
        <v>2014</v>
      </c>
      <c r="AA740" s="3584">
        <f t="shared" ref="AA740:AE740" si="951">+Z740+1</f>
        <v>2015</v>
      </c>
      <c r="AB740" s="3584">
        <f t="shared" si="951"/>
        <v>2016</v>
      </c>
      <c r="AC740" s="3584">
        <f t="shared" si="951"/>
        <v>2017</v>
      </c>
      <c r="AD740" s="3584">
        <f t="shared" si="951"/>
        <v>2018</v>
      </c>
      <c r="AE740" s="3584">
        <f t="shared" si="951"/>
        <v>2019</v>
      </c>
      <c r="AK740" s="3584">
        <v>2014</v>
      </c>
      <c r="AM740" s="3584">
        <f t="shared" si="875"/>
        <v>0</v>
      </c>
    </row>
    <row r="741" spans="1:46" ht="12.75" hidden="1" customHeight="1">
      <c r="A741" s="714"/>
      <c r="B741" s="714"/>
      <c r="C741" s="3585" t="s">
        <v>622</v>
      </c>
      <c r="D741" s="3648" t="s">
        <v>591</v>
      </c>
      <c r="E741" s="3586" t="str">
        <f>+E729</f>
        <v>Central government</v>
      </c>
      <c r="F741" s="3587"/>
      <c r="G741" s="3588"/>
      <c r="H741" s="3588" t="e">
        <f t="shared" ref="H741:X741" si="952">(H729/G729-1)*100</f>
        <v>#DIV/0!</v>
      </c>
      <c r="I741" s="3588" t="e">
        <f t="shared" si="952"/>
        <v>#DIV/0!</v>
      </c>
      <c r="J741" s="3588" t="e">
        <f t="shared" si="952"/>
        <v>#DIV/0!</v>
      </c>
      <c r="K741" s="3588" t="e">
        <f t="shared" si="952"/>
        <v>#DIV/0!</v>
      </c>
      <c r="L741" s="3588" t="e">
        <f t="shared" si="952"/>
        <v>#DIV/0!</v>
      </c>
      <c r="M741" s="3588" t="e">
        <f t="shared" si="952"/>
        <v>#DIV/0!</v>
      </c>
      <c r="N741" s="3588" t="e">
        <f t="shared" si="952"/>
        <v>#DIV/0!</v>
      </c>
      <c r="O741" s="3588" t="e">
        <f t="shared" si="952"/>
        <v>#DIV/0!</v>
      </c>
      <c r="P741" s="3588" t="e">
        <f t="shared" si="952"/>
        <v>#DIV/0!</v>
      </c>
      <c r="Q741" s="3588" t="e">
        <f t="shared" si="952"/>
        <v>#DIV/0!</v>
      </c>
      <c r="R741" s="3649" t="e">
        <f t="shared" si="952"/>
        <v>#DIV/0!</v>
      </c>
      <c r="S741" s="3649" t="e">
        <f t="shared" si="952"/>
        <v>#DIV/0!</v>
      </c>
      <c r="T741" s="3649" t="e">
        <f t="shared" si="952"/>
        <v>#DIV/0!</v>
      </c>
      <c r="U741" s="3649" t="e">
        <f t="shared" si="952"/>
        <v>#DIV/0!</v>
      </c>
      <c r="V741" s="3649" t="e">
        <f t="shared" si="952"/>
        <v>#DIV/0!</v>
      </c>
      <c r="W741" s="3649" t="e">
        <f t="shared" si="952"/>
        <v>#DIV/0!</v>
      </c>
      <c r="X741" s="3649" t="e">
        <f t="shared" si="952"/>
        <v>#DIV/0!</v>
      </c>
      <c r="Y741" s="3650" t="e">
        <f t="shared" ref="Y741:AE741" si="953">(Y729/X729-1)*100</f>
        <v>#DIV/0!</v>
      </c>
      <c r="Z741" s="3650">
        <f t="shared" si="953"/>
        <v>1.370735509761456</v>
      </c>
      <c r="AA741" s="3650">
        <f t="shared" si="953"/>
        <v>0.82676106369130586</v>
      </c>
      <c r="AB741" s="3650">
        <f t="shared" si="953"/>
        <v>1.531420076469181</v>
      </c>
      <c r="AC741" s="3650">
        <f t="shared" si="953"/>
        <v>2.8712260626695407</v>
      </c>
      <c r="AD741" s="3650">
        <f t="shared" ca="1" si="953"/>
        <v>2.1336860000000346</v>
      </c>
      <c r="AE741" s="3650">
        <f t="shared" ca="1" si="953"/>
        <v>2.8482999999999592</v>
      </c>
      <c r="AK741" s="3650">
        <v>1.8351761085147578</v>
      </c>
      <c r="AM741" s="3650">
        <f t="shared" si="875"/>
        <v>-0.46444059875330179</v>
      </c>
    </row>
    <row r="742" spans="1:46" ht="12.75" hidden="1" customHeight="1">
      <c r="A742" s="714"/>
      <c r="B742" s="714"/>
      <c r="C742" s="3589" t="s">
        <v>622</v>
      </c>
      <c r="D742" s="3494" t="s">
        <v>591</v>
      </c>
      <c r="E742" s="3557" t="str">
        <f>+E730</f>
        <v>Social security</v>
      </c>
      <c r="F742" s="3496"/>
      <c r="G742" s="3499"/>
      <c r="H742" s="3499" t="e">
        <f t="shared" ref="H742:X742" si="954">(H730/G730-1)*100</f>
        <v>#DIV/0!</v>
      </c>
      <c r="I742" s="3499" t="e">
        <f t="shared" si="954"/>
        <v>#DIV/0!</v>
      </c>
      <c r="J742" s="3499" t="e">
        <f t="shared" si="954"/>
        <v>#DIV/0!</v>
      </c>
      <c r="K742" s="3499" t="e">
        <f t="shared" si="954"/>
        <v>#DIV/0!</v>
      </c>
      <c r="L742" s="3499" t="e">
        <f t="shared" si="954"/>
        <v>#DIV/0!</v>
      </c>
      <c r="M742" s="3499" t="e">
        <f t="shared" si="954"/>
        <v>#DIV/0!</v>
      </c>
      <c r="N742" s="3499" t="e">
        <f t="shared" si="954"/>
        <v>#DIV/0!</v>
      </c>
      <c r="O742" s="3499" t="e">
        <f t="shared" si="954"/>
        <v>#DIV/0!</v>
      </c>
      <c r="P742" s="3499" t="e">
        <f t="shared" si="954"/>
        <v>#DIV/0!</v>
      </c>
      <c r="Q742" s="3499" t="e">
        <f t="shared" si="954"/>
        <v>#DIV/0!</v>
      </c>
      <c r="R742" s="3651" t="e">
        <f t="shared" si="954"/>
        <v>#DIV/0!</v>
      </c>
      <c r="S742" s="3651" t="e">
        <f t="shared" si="954"/>
        <v>#DIV/0!</v>
      </c>
      <c r="T742" s="3651" t="e">
        <f t="shared" si="954"/>
        <v>#DIV/0!</v>
      </c>
      <c r="U742" s="3651" t="e">
        <f t="shared" si="954"/>
        <v>#DIV/0!</v>
      </c>
      <c r="V742" s="3651" t="e">
        <f t="shared" si="954"/>
        <v>#DIV/0!</v>
      </c>
      <c r="W742" s="3651" t="e">
        <f t="shared" si="954"/>
        <v>#DIV/0!</v>
      </c>
      <c r="X742" s="3652" t="e">
        <f t="shared" si="954"/>
        <v>#DIV/0!</v>
      </c>
      <c r="Y742" s="3502"/>
      <c r="Z742" s="3502"/>
      <c r="AA742" s="3502"/>
      <c r="AB742" s="3502"/>
      <c r="AC742" s="3502"/>
      <c r="AD742" s="3502"/>
      <c r="AE742" s="3502"/>
      <c r="AK742" s="3502"/>
      <c r="AM742" s="3502">
        <f t="shared" si="875"/>
        <v>0</v>
      </c>
    </row>
    <row r="743" spans="1:46" s="603" customFormat="1" ht="12.75" hidden="1" customHeight="1">
      <c r="A743" s="1039"/>
      <c r="B743" s="1039"/>
      <c r="C743" s="3590"/>
      <c r="D743" s="3559"/>
      <c r="E743" s="3591" t="s">
        <v>2448</v>
      </c>
      <c r="F743" s="3592"/>
      <c r="G743" s="3532"/>
      <c r="H743" s="3532">
        <f>(H731/G731-1)*100</f>
        <v>6.6436128607302969</v>
      </c>
      <c r="I743" s="3532">
        <f t="shared" ref="I743:AE743" si="955">(I731/H731-1)*100</f>
        <v>-3.7830826719364996E-2</v>
      </c>
      <c r="J743" s="3532">
        <f t="shared" si="955"/>
        <v>4.3452403938984308</v>
      </c>
      <c r="K743" s="3532">
        <f t="shared" si="955"/>
        <v>6.4359257148355775</v>
      </c>
      <c r="L743" s="3532">
        <f t="shared" si="955"/>
        <v>6.7470583326379119</v>
      </c>
      <c r="M743" s="3532">
        <f t="shared" si="955"/>
        <v>7.366219755306247</v>
      </c>
      <c r="N743" s="3532">
        <f t="shared" si="955"/>
        <v>3.5636054731349009</v>
      </c>
      <c r="O743" s="3532">
        <f t="shared" si="955"/>
        <v>8.4644769683263288</v>
      </c>
      <c r="P743" s="3532">
        <f t="shared" si="955"/>
        <v>8.3570560432140404</v>
      </c>
      <c r="Q743" s="3532">
        <f t="shared" si="955"/>
        <v>4.8475542882211009</v>
      </c>
      <c r="R743" s="3532">
        <f t="shared" si="955"/>
        <v>2.2256561430201494</v>
      </c>
      <c r="S743" s="3532">
        <f t="shared" si="955"/>
        <v>5.3860214603652867</v>
      </c>
      <c r="T743" s="3532">
        <f t="shared" si="955"/>
        <v>10.248432128024865</v>
      </c>
      <c r="U743" s="3532">
        <f t="shared" si="955"/>
        <v>6.8554295001641341</v>
      </c>
      <c r="V743" s="3532">
        <f t="shared" si="955"/>
        <v>3.8797124307394792</v>
      </c>
      <c r="W743" s="3532">
        <f t="shared" si="955"/>
        <v>5.9744016041372916</v>
      </c>
      <c r="X743" s="3532">
        <f t="shared" si="955"/>
        <v>4.518647332473491</v>
      </c>
      <c r="Y743" s="3532">
        <f t="shared" si="955"/>
        <v>1.5303115649226484</v>
      </c>
      <c r="Z743" s="3532">
        <f t="shared" si="955"/>
        <v>3.0032678376150868</v>
      </c>
      <c r="AA743" s="3532">
        <f t="shared" si="955"/>
        <v>2.3764601858078604</v>
      </c>
      <c r="AB743" s="3532">
        <f t="shared" si="955"/>
        <v>2.6016878278719568</v>
      </c>
      <c r="AC743" s="3532">
        <f t="shared" si="955"/>
        <v>3.367715928626458</v>
      </c>
      <c r="AD743" s="3532">
        <f t="shared" si="955"/>
        <v>3.8899999999999935</v>
      </c>
      <c r="AE743" s="3532">
        <f t="shared" si="955"/>
        <v>3.7700000000000067</v>
      </c>
      <c r="AF743" s="2835"/>
      <c r="AG743" s="2835"/>
      <c r="AH743" s="2835"/>
      <c r="AI743" s="2835"/>
      <c r="AJ743" s="2835"/>
      <c r="AK743" s="3532">
        <v>2.967113694835688</v>
      </c>
      <c r="AL743" s="2835"/>
      <c r="AM743" s="3532">
        <f t="shared" si="875"/>
        <v>3.6154142779398768E-2</v>
      </c>
      <c r="AN743" s="2835"/>
      <c r="AO743" s="2835"/>
      <c r="AP743" s="2835"/>
      <c r="AQ743" s="2835"/>
      <c r="AR743" s="2835"/>
      <c r="AS743" s="2835"/>
      <c r="AT743" s="2835"/>
    </row>
    <row r="744" spans="1:46" ht="12.75" hidden="1" customHeight="1">
      <c r="A744" s="714"/>
      <c r="B744" s="714"/>
      <c r="C744" s="3653" t="s">
        <v>2449</v>
      </c>
      <c r="D744" s="3654" t="s">
        <v>591</v>
      </c>
      <c r="E744" s="3654" t="str">
        <f>+E732</f>
        <v>Entity I</v>
      </c>
      <c r="F744" s="3654"/>
      <c r="G744" s="3654"/>
      <c r="H744" s="3654" t="e">
        <f>(H732/G732-1)*100</f>
        <v>#DIV/0!</v>
      </c>
      <c r="I744" s="3654" t="e">
        <f t="shared" ref="I744:X744" si="956">(I732/H732-1)*100</f>
        <v>#DIV/0!</v>
      </c>
      <c r="J744" s="3654" t="e">
        <f t="shared" si="956"/>
        <v>#DIV/0!</v>
      </c>
      <c r="K744" s="3654" t="e">
        <f t="shared" si="956"/>
        <v>#DIV/0!</v>
      </c>
      <c r="L744" s="3654" t="e">
        <f t="shared" si="956"/>
        <v>#DIV/0!</v>
      </c>
      <c r="M744" s="3654" t="e">
        <f t="shared" si="956"/>
        <v>#DIV/0!</v>
      </c>
      <c r="N744" s="3654" t="e">
        <f t="shared" si="956"/>
        <v>#DIV/0!</v>
      </c>
      <c r="O744" s="3654" t="e">
        <f t="shared" si="956"/>
        <v>#DIV/0!</v>
      </c>
      <c r="P744" s="3654" t="e">
        <f t="shared" si="956"/>
        <v>#DIV/0!</v>
      </c>
      <c r="Q744" s="3654" t="e">
        <f t="shared" si="956"/>
        <v>#DIV/0!</v>
      </c>
      <c r="R744" s="3654" t="e">
        <f t="shared" si="956"/>
        <v>#DIV/0!</v>
      </c>
      <c r="S744" s="3654" t="e">
        <f t="shared" si="956"/>
        <v>#DIV/0!</v>
      </c>
      <c r="T744" s="3654" t="e">
        <f t="shared" si="956"/>
        <v>#DIV/0!</v>
      </c>
      <c r="U744" s="3654" t="e">
        <f t="shared" si="956"/>
        <v>#DIV/0!</v>
      </c>
      <c r="V744" s="3654" t="e">
        <f t="shared" si="956"/>
        <v>#DIV/0!</v>
      </c>
      <c r="W744" s="3654" t="e">
        <f t="shared" si="956"/>
        <v>#DIV/0!</v>
      </c>
      <c r="X744" s="3654" t="e">
        <f t="shared" si="956"/>
        <v>#DIV/0!</v>
      </c>
      <c r="Y744" s="3654" t="e">
        <f t="shared" ref="Y744:AE744" si="957">(Y732/X732-1)*100</f>
        <v>#DIV/0!</v>
      </c>
      <c r="Z744" s="3654">
        <f t="shared" si="957"/>
        <v>1.370735509761456</v>
      </c>
      <c r="AA744" s="3654">
        <f t="shared" si="957"/>
        <v>0.82676106369130586</v>
      </c>
      <c r="AB744" s="3654">
        <f t="shared" si="957"/>
        <v>1.531420076469181</v>
      </c>
      <c r="AC744" s="3654">
        <f t="shared" si="957"/>
        <v>2.8712260626695407</v>
      </c>
      <c r="AD744" s="3654">
        <f t="shared" ca="1" si="957"/>
        <v>2.1336860000000346</v>
      </c>
      <c r="AE744" s="3654">
        <f t="shared" ca="1" si="957"/>
        <v>2.8482999999999592</v>
      </c>
      <c r="AK744" s="3654">
        <v>1.8351761085147578</v>
      </c>
      <c r="AM744" s="3654">
        <f t="shared" si="875"/>
        <v>-0.46444059875330179</v>
      </c>
    </row>
    <row r="745" spans="1:46" ht="12.75" hidden="1" customHeight="1">
      <c r="A745" s="714"/>
      <c r="B745" s="714"/>
      <c r="C745" s="3589"/>
      <c r="D745" s="3494" t="s">
        <v>591</v>
      </c>
      <c r="E745" s="3557" t="str">
        <f>+E733</f>
        <v>State government (communities and regions)</v>
      </c>
      <c r="F745" s="3496"/>
      <c r="G745" s="3499"/>
      <c r="H745" s="3499" t="e">
        <f>(H733/G733-1)*100</f>
        <v>#DIV/0!</v>
      </c>
      <c r="I745" s="3499" t="e">
        <f t="shared" ref="I745:X745" si="958">(I733/H733-1)*100</f>
        <v>#DIV/0!</v>
      </c>
      <c r="J745" s="3499" t="e">
        <f t="shared" si="958"/>
        <v>#DIV/0!</v>
      </c>
      <c r="K745" s="3499" t="e">
        <f t="shared" si="958"/>
        <v>#DIV/0!</v>
      </c>
      <c r="L745" s="3499" t="e">
        <f t="shared" si="958"/>
        <v>#DIV/0!</v>
      </c>
      <c r="M745" s="3499" t="e">
        <f t="shared" si="958"/>
        <v>#DIV/0!</v>
      </c>
      <c r="N745" s="3499" t="e">
        <f t="shared" si="958"/>
        <v>#DIV/0!</v>
      </c>
      <c r="O745" s="3499" t="e">
        <f t="shared" si="958"/>
        <v>#DIV/0!</v>
      </c>
      <c r="P745" s="3499" t="e">
        <f t="shared" si="958"/>
        <v>#DIV/0!</v>
      </c>
      <c r="Q745" s="3499" t="e">
        <f t="shared" si="958"/>
        <v>#DIV/0!</v>
      </c>
      <c r="R745" s="3651" t="e">
        <f t="shared" si="958"/>
        <v>#DIV/0!</v>
      </c>
      <c r="S745" s="3651" t="e">
        <f t="shared" si="958"/>
        <v>#DIV/0!</v>
      </c>
      <c r="T745" s="3651" t="e">
        <f t="shared" si="958"/>
        <v>#DIV/0!</v>
      </c>
      <c r="U745" s="3651" t="e">
        <f t="shared" si="958"/>
        <v>#DIV/0!</v>
      </c>
      <c r="V745" s="3651" t="e">
        <f t="shared" si="958"/>
        <v>#DIV/0!</v>
      </c>
      <c r="W745" s="3651" t="e">
        <f t="shared" si="958"/>
        <v>#DIV/0!</v>
      </c>
      <c r="X745" s="3651" t="e">
        <f t="shared" si="958"/>
        <v>#DIV/0!</v>
      </c>
      <c r="Y745" s="3502"/>
      <c r="Z745" s="3502"/>
      <c r="AA745" s="3502"/>
      <c r="AB745" s="3502"/>
      <c r="AC745" s="3502"/>
      <c r="AD745" s="3502"/>
      <c r="AE745" s="3502"/>
      <c r="AK745" s="3502"/>
      <c r="AM745" s="3502">
        <f t="shared" si="875"/>
        <v>0</v>
      </c>
    </row>
    <row r="746" spans="1:46" ht="12.75" hidden="1" customHeight="1">
      <c r="A746" s="714"/>
      <c r="B746" s="714"/>
      <c r="C746" s="3589" t="s">
        <v>622</v>
      </c>
      <c r="D746" s="3494" t="s">
        <v>591</v>
      </c>
      <c r="E746" s="3557" t="str">
        <f>+E734</f>
        <v>Local government</v>
      </c>
      <c r="F746" s="3496"/>
      <c r="G746" s="3499"/>
      <c r="H746" s="3651" t="e">
        <f t="shared" ref="H746:W746" si="959">(H734/G734-1)*100</f>
        <v>#DIV/0!</v>
      </c>
      <c r="I746" s="3651" t="e">
        <f t="shared" si="959"/>
        <v>#DIV/0!</v>
      </c>
      <c r="J746" s="3651" t="e">
        <f t="shared" si="959"/>
        <v>#DIV/0!</v>
      </c>
      <c r="K746" s="3651" t="e">
        <f t="shared" si="959"/>
        <v>#DIV/0!</v>
      </c>
      <c r="L746" s="3651" t="e">
        <f t="shared" si="959"/>
        <v>#DIV/0!</v>
      </c>
      <c r="M746" s="3651" t="e">
        <f t="shared" si="959"/>
        <v>#DIV/0!</v>
      </c>
      <c r="N746" s="3651" t="e">
        <f t="shared" si="959"/>
        <v>#DIV/0!</v>
      </c>
      <c r="O746" s="3651" t="e">
        <f t="shared" si="959"/>
        <v>#DIV/0!</v>
      </c>
      <c r="P746" s="3651" t="e">
        <f t="shared" si="959"/>
        <v>#DIV/0!</v>
      </c>
      <c r="Q746" s="3651" t="e">
        <f t="shared" si="959"/>
        <v>#DIV/0!</v>
      </c>
      <c r="R746" s="3651" t="e">
        <f t="shared" si="959"/>
        <v>#DIV/0!</v>
      </c>
      <c r="S746" s="3651" t="e">
        <f t="shared" si="959"/>
        <v>#DIV/0!</v>
      </c>
      <c r="T746" s="3651" t="e">
        <f t="shared" si="959"/>
        <v>#DIV/0!</v>
      </c>
      <c r="U746" s="3651" t="e">
        <f t="shared" si="959"/>
        <v>#DIV/0!</v>
      </c>
      <c r="V746" s="3651" t="e">
        <f t="shared" si="959"/>
        <v>#DIV/0!</v>
      </c>
      <c r="W746" s="3651" t="e">
        <f t="shared" si="959"/>
        <v>#DIV/0!</v>
      </c>
      <c r="X746" s="3651" t="e">
        <f>(X734/W734-1)*100</f>
        <v>#DIV/0!</v>
      </c>
      <c r="Y746" s="3502"/>
      <c r="Z746" s="3502"/>
      <c r="AA746" s="3502"/>
      <c r="AB746" s="3502"/>
      <c r="AC746" s="3502"/>
      <c r="AD746" s="3502"/>
      <c r="AE746" s="3502"/>
      <c r="AK746" s="3502"/>
      <c r="AM746" s="3502">
        <f t="shared" si="875"/>
        <v>0</v>
      </c>
    </row>
    <row r="747" spans="1:46" ht="12.75" hidden="1" customHeight="1">
      <c r="A747" s="714"/>
      <c r="B747" s="714"/>
      <c r="C747" s="3655" t="s">
        <v>2449</v>
      </c>
      <c r="D747" s="3654" t="s">
        <v>591</v>
      </c>
      <c r="E747" s="3654" t="str">
        <f>+E735</f>
        <v>Entity II</v>
      </c>
      <c r="F747" s="3654"/>
      <c r="G747" s="3654"/>
      <c r="H747" s="3654" t="e">
        <f t="shared" ref="H747:Z747" si="960">(H735/G735-1)*100</f>
        <v>#DIV/0!</v>
      </c>
      <c r="I747" s="3654" t="e">
        <f t="shared" si="960"/>
        <v>#DIV/0!</v>
      </c>
      <c r="J747" s="3654" t="e">
        <f t="shared" si="960"/>
        <v>#DIV/0!</v>
      </c>
      <c r="K747" s="3654" t="e">
        <f t="shared" si="960"/>
        <v>#DIV/0!</v>
      </c>
      <c r="L747" s="3654" t="e">
        <f t="shared" si="960"/>
        <v>#DIV/0!</v>
      </c>
      <c r="M747" s="3654" t="e">
        <f t="shared" si="960"/>
        <v>#DIV/0!</v>
      </c>
      <c r="N747" s="3654" t="e">
        <f t="shared" si="960"/>
        <v>#DIV/0!</v>
      </c>
      <c r="O747" s="3654" t="e">
        <f t="shared" si="960"/>
        <v>#DIV/0!</v>
      </c>
      <c r="P747" s="3654" t="e">
        <f t="shared" si="960"/>
        <v>#DIV/0!</v>
      </c>
      <c r="Q747" s="3654" t="e">
        <f t="shared" si="960"/>
        <v>#DIV/0!</v>
      </c>
      <c r="R747" s="3654" t="e">
        <f t="shared" si="960"/>
        <v>#DIV/0!</v>
      </c>
      <c r="S747" s="3654" t="e">
        <f t="shared" si="960"/>
        <v>#DIV/0!</v>
      </c>
      <c r="T747" s="3654" t="e">
        <f t="shared" si="960"/>
        <v>#DIV/0!</v>
      </c>
      <c r="U747" s="3654" t="e">
        <f t="shared" si="960"/>
        <v>#DIV/0!</v>
      </c>
      <c r="V747" s="3654" t="e">
        <f t="shared" si="960"/>
        <v>#DIV/0!</v>
      </c>
      <c r="W747" s="3654" t="e">
        <f t="shared" si="960"/>
        <v>#DIV/0!</v>
      </c>
      <c r="X747" s="3654" t="e">
        <f t="shared" si="960"/>
        <v>#DIV/0!</v>
      </c>
      <c r="Y747" s="3654" t="e">
        <f t="shared" si="960"/>
        <v>#DIV/0!</v>
      </c>
      <c r="Z747" s="3654" t="e">
        <f t="shared" si="960"/>
        <v>#DIV/0!</v>
      </c>
      <c r="AA747" s="3654" t="e">
        <f t="shared" ref="AA747:AE747" si="961">(AA735/Z735-1)*100</f>
        <v>#DIV/0!</v>
      </c>
      <c r="AB747" s="3654" t="e">
        <f t="shared" si="961"/>
        <v>#DIV/0!</v>
      </c>
      <c r="AC747" s="3654" t="e">
        <f t="shared" si="961"/>
        <v>#DIV/0!</v>
      </c>
      <c r="AD747" s="3654" t="e">
        <f t="shared" si="961"/>
        <v>#DIV/0!</v>
      </c>
      <c r="AE747" s="3654" t="e">
        <f t="shared" si="961"/>
        <v>#DIV/0!</v>
      </c>
      <c r="AK747" s="3654" t="e">
        <v>#DIV/0!</v>
      </c>
      <c r="AM747" s="3654" t="e">
        <f t="shared" si="875"/>
        <v>#DIV/0!</v>
      </c>
    </row>
    <row r="748" spans="1:46" ht="12.75" hidden="1" customHeight="1">
      <c r="A748" s="714"/>
      <c r="B748" s="714"/>
      <c r="C748" s="3482"/>
      <c r="D748" s="3656" t="s">
        <v>591</v>
      </c>
      <c r="E748" s="3657" t="str">
        <f>+E736</f>
        <v>Final consumption expenditure</v>
      </c>
      <c r="F748" s="3658"/>
      <c r="G748" s="3659"/>
      <c r="H748" s="3659">
        <f t="shared" ref="H748:AE748" ca="1" si="962">(H736/G736-1)*100</f>
        <v>3.7291845829098502</v>
      </c>
      <c r="I748" s="3659">
        <f t="shared" si="962"/>
        <v>1.9714457986993228</v>
      </c>
      <c r="J748" s="3659">
        <f t="shared" si="962"/>
        <v>3.2802221588689395</v>
      </c>
      <c r="K748" s="3659">
        <f t="shared" si="962"/>
        <v>4.9469603408932805</v>
      </c>
      <c r="L748" s="3659">
        <f t="shared" si="962"/>
        <v>5.0190740791252964</v>
      </c>
      <c r="M748" s="3659">
        <f t="shared" si="962"/>
        <v>4.9237231064351628</v>
      </c>
      <c r="N748" s="3659">
        <f t="shared" si="962"/>
        <v>6.5916617600514815</v>
      </c>
      <c r="O748" s="3659">
        <f t="shared" si="962"/>
        <v>4.7931219239503386</v>
      </c>
      <c r="P748" s="3659">
        <f t="shared" si="962"/>
        <v>4.1914527858067707</v>
      </c>
      <c r="Q748" s="3659">
        <f t="shared" si="962"/>
        <v>4.6185376555148316</v>
      </c>
      <c r="R748" s="3660">
        <f t="shared" si="962"/>
        <v>3.8511974000061011</v>
      </c>
      <c r="S748" s="3660">
        <f t="shared" si="962"/>
        <v>4.0523703849751902</v>
      </c>
      <c r="T748" s="3660">
        <f t="shared" si="962"/>
        <v>7.3183383795827783</v>
      </c>
      <c r="U748" s="3660">
        <f t="shared" si="962"/>
        <v>4.9142596678579675</v>
      </c>
      <c r="V748" s="3660">
        <f t="shared" si="962"/>
        <v>2.6462787860847881</v>
      </c>
      <c r="W748" s="3660">
        <f t="shared" si="962"/>
        <v>4.8007590794766131</v>
      </c>
      <c r="X748" s="3660">
        <f t="shared" si="962"/>
        <v>4.3084519153421708</v>
      </c>
      <c r="Y748" s="3661">
        <f t="shared" si="962"/>
        <v>2.2087934764803085</v>
      </c>
      <c r="Z748" s="3661">
        <f t="shared" si="962"/>
        <v>1.370735509761456</v>
      </c>
      <c r="AA748" s="3661">
        <f t="shared" si="962"/>
        <v>0.82676106369130586</v>
      </c>
      <c r="AB748" s="3661">
        <f t="shared" si="962"/>
        <v>1.531420076469181</v>
      </c>
      <c r="AC748" s="3661">
        <f t="shared" si="962"/>
        <v>2.8712260626695407</v>
      </c>
      <c r="AD748" s="3661">
        <f t="shared" ca="1" si="962"/>
        <v>2.1336860000000346</v>
      </c>
      <c r="AE748" s="3661">
        <f t="shared" ca="1" si="962"/>
        <v>2.8482999999999592</v>
      </c>
      <c r="AK748" s="3661">
        <v>1.8351761085147578</v>
      </c>
      <c r="AM748" s="3661">
        <f t="shared" si="875"/>
        <v>-0.46444059875330179</v>
      </c>
    </row>
    <row r="749" spans="1:46" ht="12.75" hidden="1" customHeight="1">
      <c r="A749" s="714"/>
      <c r="B749" s="714"/>
      <c r="C749" s="3482"/>
      <c r="D749" s="3576"/>
      <c r="E749" s="3662"/>
      <c r="F749" s="3663"/>
      <c r="G749" s="3664"/>
      <c r="H749" s="3665"/>
      <c r="I749" s="3664"/>
      <c r="J749" s="3664"/>
      <c r="K749" s="3664"/>
      <c r="L749" s="3664"/>
      <c r="M749" s="3664"/>
      <c r="N749" s="3664"/>
      <c r="O749" s="3664"/>
      <c r="P749" s="3664"/>
      <c r="Q749" s="3578"/>
      <c r="R749" s="3666"/>
      <c r="S749" s="3580"/>
      <c r="T749" s="3580"/>
      <c r="U749" s="3666"/>
      <c r="V749" s="3667"/>
      <c r="W749" s="3667"/>
      <c r="X749" s="3667"/>
      <c r="Y749" s="3667"/>
      <c r="Z749" s="3667"/>
      <c r="AA749" s="3667"/>
      <c r="AB749" s="3667"/>
      <c r="AC749" s="3667"/>
      <c r="AD749" s="3667"/>
      <c r="AE749" s="3667"/>
      <c r="AK749" s="3667"/>
      <c r="AM749" s="3667">
        <f t="shared" si="875"/>
        <v>0</v>
      </c>
    </row>
    <row r="750" spans="1:46" ht="12.75" hidden="1" customHeight="1">
      <c r="A750" s="714"/>
      <c r="B750" s="714"/>
      <c r="C750" s="3482"/>
      <c r="D750" s="3538"/>
      <c r="E750" s="3668" t="s">
        <v>2457</v>
      </c>
      <c r="F750" s="3612"/>
      <c r="G750" s="3515">
        <f>+InputY!$G$3</f>
        <v>1995</v>
      </c>
      <c r="H750" s="3515">
        <f>+G750+1</f>
        <v>1996</v>
      </c>
      <c r="I750" s="3515">
        <f t="shared" ref="I750" si="963">+H750+1</f>
        <v>1997</v>
      </c>
      <c r="J750" s="3515">
        <f t="shared" ref="J750" si="964">+I750+1</f>
        <v>1998</v>
      </c>
      <c r="K750" s="3515">
        <f t="shared" ref="K750" si="965">+J750+1</f>
        <v>1999</v>
      </c>
      <c r="L750" s="3515">
        <f t="shared" ref="L750" si="966">+K750+1</f>
        <v>2000</v>
      </c>
      <c r="M750" s="3515">
        <f t="shared" ref="M750" si="967">+L750+1</f>
        <v>2001</v>
      </c>
      <c r="N750" s="3515">
        <f t="shared" ref="N750" si="968">+M750+1</f>
        <v>2002</v>
      </c>
      <c r="O750" s="3515">
        <f t="shared" ref="O750" si="969">+N750+1</f>
        <v>2003</v>
      </c>
      <c r="P750" s="3515">
        <f t="shared" ref="P750" si="970">+O750+1</f>
        <v>2004</v>
      </c>
      <c r="Q750" s="3515">
        <f t="shared" ref="Q750" si="971">+P750+1</f>
        <v>2005</v>
      </c>
      <c r="R750" s="3613">
        <f t="shared" ref="R750" si="972">+Q750+1</f>
        <v>2006</v>
      </c>
      <c r="S750" s="3613">
        <f t="shared" ref="S750" si="973">+R750+1</f>
        <v>2007</v>
      </c>
      <c r="T750" s="3613">
        <f t="shared" ref="T750" si="974">+S750+1</f>
        <v>2008</v>
      </c>
      <c r="U750" s="3613">
        <f t="shared" ref="U750" si="975">+T750+1</f>
        <v>2009</v>
      </c>
      <c r="V750" s="3613">
        <f t="shared" ref="V750" si="976">+U750+1</f>
        <v>2010</v>
      </c>
      <c r="W750" s="3613">
        <f t="shared" ref="W750" si="977">+V750+1</f>
        <v>2011</v>
      </c>
      <c r="X750" s="3613">
        <f t="shared" ref="X750" si="978">+W750+1</f>
        <v>2012</v>
      </c>
      <c r="Y750" s="3613">
        <f t="shared" ref="Y750" si="979">+X750+1</f>
        <v>2013</v>
      </c>
      <c r="Z750" s="3613">
        <f t="shared" ref="Z750" si="980">+Y750+1</f>
        <v>2014</v>
      </c>
      <c r="AA750" s="3613">
        <f t="shared" ref="AA750:AE750" si="981">+Z750+1</f>
        <v>2015</v>
      </c>
      <c r="AB750" s="3613">
        <f t="shared" si="981"/>
        <v>2016</v>
      </c>
      <c r="AC750" s="3613">
        <f t="shared" si="981"/>
        <v>2017</v>
      </c>
      <c r="AD750" s="3613">
        <f t="shared" si="981"/>
        <v>2018</v>
      </c>
      <c r="AE750" s="3613">
        <f t="shared" si="981"/>
        <v>2019</v>
      </c>
      <c r="AK750" s="3613">
        <v>2014</v>
      </c>
      <c r="AM750" s="3613">
        <f t="shared" si="875"/>
        <v>0</v>
      </c>
    </row>
    <row r="751" spans="1:46" ht="12.75" hidden="1" customHeight="1">
      <c r="A751" s="714"/>
      <c r="B751" s="714"/>
      <c r="C751" s="3540" t="s">
        <v>622</v>
      </c>
      <c r="D751" s="3541" t="str">
        <f>D717</f>
        <v>GVT</v>
      </c>
      <c r="E751" s="3600" t="str">
        <f>E729</f>
        <v>Central government</v>
      </c>
      <c r="F751" s="3564"/>
      <c r="G751" s="3549">
        <f ca="1">+G729/'VVP2'!G$355</f>
        <v>0</v>
      </c>
      <c r="H751" s="3549">
        <f>+H729/'VVP2'!H$355</f>
        <v>0</v>
      </c>
      <c r="I751" s="3549">
        <f>+I729/'VVP2'!I$355</f>
        <v>0</v>
      </c>
      <c r="J751" s="3549">
        <f>+J729/'VVP2'!J$355</f>
        <v>0</v>
      </c>
      <c r="K751" s="3549">
        <f>+K729/'VVP2'!K$355</f>
        <v>0</v>
      </c>
      <c r="L751" s="3549">
        <f>+L729/'VVP2'!L$355</f>
        <v>0</v>
      </c>
      <c r="M751" s="3549">
        <f>+M729/'VVP2'!M$355</f>
        <v>0</v>
      </c>
      <c r="N751" s="3549">
        <f>+N729/'VVP2'!N$355</f>
        <v>0</v>
      </c>
      <c r="O751" s="3549">
        <f>+O729/'VVP2'!O$355</f>
        <v>0</v>
      </c>
      <c r="P751" s="3549">
        <f>+P729/'VVP2'!P$355</f>
        <v>0</v>
      </c>
      <c r="Q751" s="3549">
        <f>+Q729/'VVP2'!Q$355</f>
        <v>0</v>
      </c>
      <c r="R751" s="3669">
        <f>+R729/'VVP2'!R$355</f>
        <v>0</v>
      </c>
      <c r="S751" s="3669">
        <f>+S729/'VVP2'!S$355</f>
        <v>0</v>
      </c>
      <c r="T751" s="3669">
        <f>+T729/'VVP2'!T$355</f>
        <v>0</v>
      </c>
      <c r="U751" s="3669">
        <f>+U729/'VVP2'!U$355</f>
        <v>0</v>
      </c>
      <c r="V751" s="3669">
        <f>+V729/'VVP2'!V$355</f>
        <v>0</v>
      </c>
      <c r="W751" s="3669">
        <f>+W729/'VVP2'!W$355</f>
        <v>0</v>
      </c>
      <c r="X751" s="3669">
        <f>+X729/'VVP2'!X$355</f>
        <v>0</v>
      </c>
      <c r="Y751" s="3669">
        <f>+Y729/'VVP2'!Y$355</f>
        <v>0.24490785793335271</v>
      </c>
      <c r="Z751" s="3669">
        <f>+Z729/'VVP2'!Z$355</f>
        <v>0.24333517700496793</v>
      </c>
      <c r="AA751" s="3669">
        <f>+AA729/'VVP2'!AA$355</f>
        <v>0.23928137742571787</v>
      </c>
      <c r="AB751" s="3669">
        <f>+AB729/'VVP2'!AB$355</f>
        <v>0.23570234516901611</v>
      </c>
      <c r="AC751" s="3669">
        <f>+AC729/'VVP2'!AC$355</f>
        <v>0.2339340993959651</v>
      </c>
      <c r="AD751" s="3669">
        <f ca="1">+AD729/'VVP2'!AD$355</f>
        <v>0.23107941337544227</v>
      </c>
      <c r="AE751" s="3669">
        <f ca="1">+AE729/'VVP2'!AE$355</f>
        <v>0.22972233291425453</v>
      </c>
      <c r="AK751" s="3669">
        <v>0.24429860541427401</v>
      </c>
      <c r="AM751" s="3669">
        <f t="shared" si="875"/>
        <v>-9.6342840930607743E-4</v>
      </c>
    </row>
    <row r="752" spans="1:46" ht="12.75" hidden="1" customHeight="1">
      <c r="A752" s="714"/>
      <c r="B752" s="714"/>
      <c r="C752" s="3544" t="s">
        <v>622</v>
      </c>
      <c r="D752" s="3494" t="s">
        <v>591</v>
      </c>
      <c r="E752" s="3557" t="str">
        <f>E730</f>
        <v>Social security</v>
      </c>
      <c r="F752" s="3496"/>
      <c r="G752" s="3615">
        <f ca="1">+G730/'VVP2'!G$355</f>
        <v>0</v>
      </c>
      <c r="H752" s="3615">
        <f>+H730/'VVP2'!H$355</f>
        <v>0</v>
      </c>
      <c r="I752" s="3615">
        <f>+I730/'VVP2'!I$355</f>
        <v>0</v>
      </c>
      <c r="J752" s="3615">
        <f>+J730/'VVP2'!J$355</f>
        <v>0</v>
      </c>
      <c r="K752" s="3615">
        <f>+K730/'VVP2'!K$355</f>
        <v>0</v>
      </c>
      <c r="L752" s="3615">
        <f>+L730/'VVP2'!L$355</f>
        <v>0</v>
      </c>
      <c r="M752" s="3615">
        <f>+M730/'VVP2'!M$355</f>
        <v>0</v>
      </c>
      <c r="N752" s="3615">
        <f>+N730/'VVP2'!N$355</f>
        <v>0</v>
      </c>
      <c r="O752" s="3615">
        <f>+O730/'VVP2'!O$355</f>
        <v>0</v>
      </c>
      <c r="P752" s="3615">
        <f>+P730/'VVP2'!P$355</f>
        <v>0</v>
      </c>
      <c r="Q752" s="3615">
        <f>+Q730/'VVP2'!Q$355</f>
        <v>0</v>
      </c>
      <c r="R752" s="3670">
        <f>+R730/'VVP2'!R$355</f>
        <v>0</v>
      </c>
      <c r="S752" s="3670">
        <f>+S730/'VVP2'!S$355</f>
        <v>0</v>
      </c>
      <c r="T752" s="3670">
        <f>+T730/'VVP2'!T$355</f>
        <v>0</v>
      </c>
      <c r="U752" s="3670">
        <f>+U730/'VVP2'!U$355</f>
        <v>0</v>
      </c>
      <c r="V752" s="3670">
        <f>+V730/'VVP2'!V$355</f>
        <v>0</v>
      </c>
      <c r="W752" s="3670">
        <f>+W730/'VVP2'!W$355</f>
        <v>0</v>
      </c>
      <c r="X752" s="3670">
        <f>+X730/'VVP2'!X$355</f>
        <v>0</v>
      </c>
      <c r="Y752" s="3670">
        <f>+Y730/'VVP2'!Y$355</f>
        <v>0</v>
      </c>
      <c r="Z752" s="3670">
        <f>+Z730/'VVP2'!Z$355</f>
        <v>0</v>
      </c>
      <c r="AA752" s="3670">
        <f>+AA730/'VVP2'!AA$355</f>
        <v>0</v>
      </c>
      <c r="AB752" s="3670">
        <f>+AB730/'VVP2'!AB$355</f>
        <v>0</v>
      </c>
      <c r="AC752" s="3670">
        <f>+AC730/'VVP2'!AC$355</f>
        <v>0</v>
      </c>
      <c r="AD752" s="3670">
        <f ca="1">+AD730/'VVP2'!AD$355</f>
        <v>0</v>
      </c>
      <c r="AE752" s="3670">
        <f ca="1">+AE730/'VVP2'!AE$355</f>
        <v>0</v>
      </c>
      <c r="AF752" s="749"/>
      <c r="AG752" s="749"/>
      <c r="AH752" s="749"/>
      <c r="AI752" s="749"/>
      <c r="AJ752" s="749"/>
      <c r="AK752" s="3670">
        <v>0</v>
      </c>
      <c r="AL752" s="749"/>
      <c r="AM752" s="3670">
        <f t="shared" si="875"/>
        <v>0</v>
      </c>
      <c r="AN752" s="749"/>
      <c r="AO752" s="749"/>
      <c r="AP752" s="749"/>
      <c r="AQ752" s="749"/>
      <c r="AR752" s="749"/>
      <c r="AS752" s="749"/>
      <c r="AT752" s="749"/>
    </row>
    <row r="753" spans="1:46" s="1047" customFormat="1" ht="12.75" hidden="1" customHeight="1">
      <c r="A753" s="1039"/>
      <c r="B753" s="1039"/>
      <c r="C753" s="3596"/>
      <c r="D753" s="3559" t="s">
        <v>591</v>
      </c>
      <c r="E753" s="3591" t="str">
        <f>E731</f>
        <v>p.m. social transfers in kind via market producers</v>
      </c>
      <c r="F753" s="3592"/>
      <c r="G753" s="3671">
        <f ca="1">+G732/'VVP2'!G$355</f>
        <v>0</v>
      </c>
      <c r="H753" s="3671">
        <f>+H732/'VVP2'!H$355</f>
        <v>0</v>
      </c>
      <c r="I753" s="3671">
        <f>+I732/'VVP2'!I$355</f>
        <v>0</v>
      </c>
      <c r="J753" s="3671">
        <f>+J732/'VVP2'!J$355</f>
        <v>0</v>
      </c>
      <c r="K753" s="3671">
        <f>+K732/'VVP2'!K$355</f>
        <v>0</v>
      </c>
      <c r="L753" s="3671">
        <f>+L732/'VVP2'!L$355</f>
        <v>0</v>
      </c>
      <c r="M753" s="3671">
        <f>+M732/'VVP2'!M$355</f>
        <v>0</v>
      </c>
      <c r="N753" s="3671">
        <f>+N732/'VVP2'!N$355</f>
        <v>0</v>
      </c>
      <c r="O753" s="3671">
        <f>+O732/'VVP2'!O$355</f>
        <v>0</v>
      </c>
      <c r="P753" s="3671">
        <f>+P732/'VVP2'!P$355</f>
        <v>0</v>
      </c>
      <c r="Q753" s="3671">
        <f>+Q732/'VVP2'!Q$355</f>
        <v>0</v>
      </c>
      <c r="R753" s="3672">
        <f>+R732/'VVP2'!R$355</f>
        <v>0</v>
      </c>
      <c r="S753" s="3672">
        <f>+S732/'VVP2'!S$355</f>
        <v>0</v>
      </c>
      <c r="T753" s="3672">
        <f>+T732/'VVP2'!T$355</f>
        <v>0</v>
      </c>
      <c r="U753" s="3672">
        <f>+U732/'VVP2'!U$355</f>
        <v>0</v>
      </c>
      <c r="V753" s="3672">
        <f>+V732/'VVP2'!V$355</f>
        <v>0</v>
      </c>
      <c r="W753" s="3672">
        <f>+W732/'VVP2'!W$355</f>
        <v>0</v>
      </c>
      <c r="X753" s="3672">
        <f>+X732/'VVP2'!X$355</f>
        <v>0</v>
      </c>
      <c r="Y753" s="3672">
        <f>+Y732/'VVP2'!Y$355</f>
        <v>0.24490785793335271</v>
      </c>
      <c r="Z753" s="3672">
        <f>+Z732/'VVP2'!Z$355</f>
        <v>0.24333517700496793</v>
      </c>
      <c r="AA753" s="3672">
        <f>+AA732/'VVP2'!AA$355</f>
        <v>0.23928137742571787</v>
      </c>
      <c r="AB753" s="3672">
        <f>+AB732/'VVP2'!AB$355</f>
        <v>0.23570234516901611</v>
      </c>
      <c r="AC753" s="3672">
        <f>+AC732/'VVP2'!AC$355</f>
        <v>0.2339340993959651</v>
      </c>
      <c r="AD753" s="3672">
        <f ca="1">+AD732/'VVP2'!AD$355</f>
        <v>0.23107941337544227</v>
      </c>
      <c r="AE753" s="3672">
        <f ca="1">+AE732/'VVP2'!AE$355</f>
        <v>0.22972233291425453</v>
      </c>
      <c r="AK753" s="3672">
        <v>0.24429860541427401</v>
      </c>
      <c r="AM753" s="3672">
        <f t="shared" si="875"/>
        <v>-9.6342840930607743E-4</v>
      </c>
    </row>
    <row r="754" spans="1:46" ht="12.75" hidden="1" customHeight="1">
      <c r="A754" s="714"/>
      <c r="B754" s="714"/>
      <c r="C754" s="3544" t="s">
        <v>2449</v>
      </c>
      <c r="D754" s="3673" t="s">
        <v>591</v>
      </c>
      <c r="E754" s="3674" t="str">
        <f>E732</f>
        <v>Entity I</v>
      </c>
      <c r="F754" s="3675"/>
      <c r="G754" s="3676">
        <f ca="1">+G732/'VVP2'!G$355</f>
        <v>0</v>
      </c>
      <c r="H754" s="3676">
        <f>+H732/'VVP2'!H$355</f>
        <v>0</v>
      </c>
      <c r="I754" s="3676">
        <f>+I732/'VVP2'!I$355</f>
        <v>0</v>
      </c>
      <c r="J754" s="3676">
        <f>+J732/'VVP2'!J$355</f>
        <v>0</v>
      </c>
      <c r="K754" s="3676">
        <f>+K732/'VVP2'!K$355</f>
        <v>0</v>
      </c>
      <c r="L754" s="3676">
        <f>+L732/'VVP2'!L$355</f>
        <v>0</v>
      </c>
      <c r="M754" s="3676">
        <f>+M732/'VVP2'!M$355</f>
        <v>0</v>
      </c>
      <c r="N754" s="3676">
        <f>+N732/'VVP2'!N$355</f>
        <v>0</v>
      </c>
      <c r="O754" s="3676">
        <f>+O732/'VVP2'!O$355</f>
        <v>0</v>
      </c>
      <c r="P754" s="3676">
        <f>+P732/'VVP2'!P$355</f>
        <v>0</v>
      </c>
      <c r="Q754" s="3676">
        <f>+Q732/'VVP2'!Q$355</f>
        <v>0</v>
      </c>
      <c r="R754" s="3676">
        <f>+R732/'VVP2'!R$355</f>
        <v>0</v>
      </c>
      <c r="S754" s="3676">
        <f>+S732/'VVP2'!S$355</f>
        <v>0</v>
      </c>
      <c r="T754" s="3676">
        <f>+T732/'VVP2'!T$355</f>
        <v>0</v>
      </c>
      <c r="U754" s="3676">
        <f>+U732/'VVP2'!U$355</f>
        <v>0</v>
      </c>
      <c r="V754" s="3676">
        <f>+V732/'VVP2'!V$355</f>
        <v>0</v>
      </c>
      <c r="W754" s="3676">
        <f>+W732/'VVP2'!W$355</f>
        <v>0</v>
      </c>
      <c r="X754" s="3676">
        <f>+X732/'VVP2'!X$355</f>
        <v>0</v>
      </c>
      <c r="Y754" s="3676">
        <f>+Y732/'VVP2'!Y$355</f>
        <v>0.24490785793335271</v>
      </c>
      <c r="Z754" s="3676">
        <f>+Z732/'VVP2'!Z$355</f>
        <v>0.24333517700496793</v>
      </c>
      <c r="AA754" s="3676">
        <f>+AA732/'VVP2'!AA$355</f>
        <v>0.23928137742571787</v>
      </c>
      <c r="AB754" s="3676">
        <f>+AB732/'VVP2'!AB$355</f>
        <v>0.23570234516901611</v>
      </c>
      <c r="AC754" s="3676">
        <f>+AC732/'VVP2'!AC$355</f>
        <v>0.2339340993959651</v>
      </c>
      <c r="AD754" s="3676">
        <f ca="1">+AD732/'VVP2'!AD$355</f>
        <v>0.23107941337544227</v>
      </c>
      <c r="AE754" s="3676">
        <f ca="1">+AE732/'VVP2'!AE$355</f>
        <v>0.22972233291425453</v>
      </c>
      <c r="AF754" s="749"/>
      <c r="AG754" s="749"/>
      <c r="AH754" s="749"/>
      <c r="AI754" s="749"/>
      <c r="AJ754" s="749"/>
      <c r="AK754" s="3676">
        <v>0.24429860541427401</v>
      </c>
      <c r="AL754" s="749"/>
      <c r="AM754" s="3676">
        <f t="shared" si="875"/>
        <v>-9.6342840930607743E-4</v>
      </c>
      <c r="AN754" s="749"/>
      <c r="AO754" s="749"/>
      <c r="AP754" s="749"/>
      <c r="AQ754" s="749"/>
      <c r="AR754" s="749"/>
      <c r="AS754" s="749"/>
      <c r="AT754" s="749"/>
    </row>
    <row r="755" spans="1:46" ht="12.75" hidden="1" customHeight="1">
      <c r="A755" s="714"/>
      <c r="B755" s="714"/>
      <c r="C755" s="3544"/>
      <c r="D755" s="3494" t="s">
        <v>591</v>
      </c>
      <c r="E755" s="3557" t="str">
        <f t="shared" ref="E755:E756" si="982">E733</f>
        <v>State government (communities and regions)</v>
      </c>
      <c r="F755" s="3496"/>
      <c r="G755" s="3615">
        <f ca="1">+G733/'VVP2'!G$355</f>
        <v>0</v>
      </c>
      <c r="H755" s="3615">
        <f>+H733/'VVP2'!H$355</f>
        <v>0</v>
      </c>
      <c r="I755" s="3615">
        <f>+I733/'VVP2'!I$355</f>
        <v>0</v>
      </c>
      <c r="J755" s="3615">
        <f>+J733/'VVP2'!J$355</f>
        <v>0</v>
      </c>
      <c r="K755" s="3615">
        <f>+K733/'VVP2'!K$355</f>
        <v>0</v>
      </c>
      <c r="L755" s="3615">
        <f>+L733/'VVP2'!L$355</f>
        <v>0</v>
      </c>
      <c r="M755" s="3615">
        <f>+M733/'VVP2'!M$355</f>
        <v>0</v>
      </c>
      <c r="N755" s="3615">
        <f>+N733/'VVP2'!N$355</f>
        <v>0</v>
      </c>
      <c r="O755" s="3615">
        <f>+O733/'VVP2'!O$355</f>
        <v>0</v>
      </c>
      <c r="P755" s="3615">
        <f>+P733/'VVP2'!P$355</f>
        <v>0</v>
      </c>
      <c r="Q755" s="3615">
        <f>+Q733/'VVP2'!Q$355</f>
        <v>0</v>
      </c>
      <c r="R755" s="3615">
        <f>+R733/'VVP2'!R$355</f>
        <v>0</v>
      </c>
      <c r="S755" s="3615">
        <f>+S733/'VVP2'!S$355</f>
        <v>0</v>
      </c>
      <c r="T755" s="3615">
        <f>+T733/'VVP2'!T$355</f>
        <v>0</v>
      </c>
      <c r="U755" s="3615">
        <f>+U733/'VVP2'!U$355</f>
        <v>0</v>
      </c>
      <c r="V755" s="3615">
        <f>+V733/'VVP2'!V$355</f>
        <v>0</v>
      </c>
      <c r="W755" s="3615">
        <f>+W733/'VVP2'!W$355</f>
        <v>0</v>
      </c>
      <c r="X755" s="3615">
        <f>+X733/'VVP2'!X$355</f>
        <v>0</v>
      </c>
      <c r="Y755" s="3615">
        <f>+Y733/'VVP2'!Y$355</f>
        <v>0</v>
      </c>
      <c r="Z755" s="3615">
        <f>+Z733/'VVP2'!Z$355</f>
        <v>0</v>
      </c>
      <c r="AA755" s="3615">
        <f>+AA733/'VVP2'!AA$355</f>
        <v>0</v>
      </c>
      <c r="AB755" s="3615">
        <f>+AB733/'VVP2'!AB$355</f>
        <v>0</v>
      </c>
      <c r="AC755" s="3615">
        <f>+AC733/'VVP2'!AC$355</f>
        <v>0</v>
      </c>
      <c r="AD755" s="3615">
        <f ca="1">+AD733/'VVP2'!AD$355</f>
        <v>0</v>
      </c>
      <c r="AE755" s="3615">
        <f ca="1">+AE733/'VVP2'!AE$355</f>
        <v>0</v>
      </c>
      <c r="AF755" s="749"/>
      <c r="AG755" s="749"/>
      <c r="AH755" s="749"/>
      <c r="AI755" s="749"/>
      <c r="AJ755" s="749"/>
      <c r="AK755" s="3615">
        <v>0</v>
      </c>
      <c r="AL755" s="749"/>
      <c r="AM755" s="3615">
        <f t="shared" si="875"/>
        <v>0</v>
      </c>
      <c r="AN755" s="749"/>
      <c r="AO755" s="749"/>
      <c r="AP755" s="749"/>
      <c r="AQ755" s="749"/>
      <c r="AR755" s="749"/>
      <c r="AS755" s="749"/>
      <c r="AT755" s="749"/>
    </row>
    <row r="756" spans="1:46" ht="12.75" hidden="1" customHeight="1">
      <c r="A756" s="714"/>
      <c r="B756" s="714"/>
      <c r="C756" s="3544" t="s">
        <v>622</v>
      </c>
      <c r="D756" s="3494" t="s">
        <v>591</v>
      </c>
      <c r="E756" s="3557" t="str">
        <f t="shared" si="982"/>
        <v>Local government</v>
      </c>
      <c r="F756" s="3496"/>
      <c r="G756" s="3615">
        <f ca="1">+G734/'VVP2'!G$355</f>
        <v>0</v>
      </c>
      <c r="H756" s="3615">
        <f>+H735/'VVP2'!H$355</f>
        <v>0</v>
      </c>
      <c r="I756" s="3615">
        <f>+I735/'VVP2'!I$355</f>
        <v>0</v>
      </c>
      <c r="J756" s="3615">
        <f>+J735/'VVP2'!J$355</f>
        <v>0</v>
      </c>
      <c r="K756" s="3615">
        <f>+K735/'VVP2'!K$355</f>
        <v>0</v>
      </c>
      <c r="L756" s="3615">
        <f>+L735/'VVP2'!L$355</f>
        <v>0</v>
      </c>
      <c r="M756" s="3615">
        <f>+M735/'VVP2'!M$355</f>
        <v>0</v>
      </c>
      <c r="N756" s="3615">
        <f>+N735/'VVP2'!N$355</f>
        <v>0</v>
      </c>
      <c r="O756" s="3615">
        <f>+O735/'VVP2'!O$355</f>
        <v>0</v>
      </c>
      <c r="P756" s="3615">
        <f>+P735/'VVP2'!P$355</f>
        <v>0</v>
      </c>
      <c r="Q756" s="3615">
        <f>+Q735/'VVP2'!Q$355</f>
        <v>0</v>
      </c>
      <c r="R756" s="3670">
        <f>+R735/'VVP2'!R$355</f>
        <v>0</v>
      </c>
      <c r="S756" s="3670">
        <f>+S735/'VVP2'!S$355</f>
        <v>0</v>
      </c>
      <c r="T756" s="3670">
        <f>+T735/'VVP2'!T$355</f>
        <v>0</v>
      </c>
      <c r="U756" s="3670">
        <f>+U735/'VVP2'!U$355</f>
        <v>0</v>
      </c>
      <c r="V756" s="3670">
        <f>+V735/'VVP2'!V$355</f>
        <v>0</v>
      </c>
      <c r="W756" s="3670">
        <f>+W735/'VVP2'!W$355</f>
        <v>0</v>
      </c>
      <c r="X756" s="3670">
        <f>+X735/'VVP2'!X$355</f>
        <v>0</v>
      </c>
      <c r="Y756" s="3677">
        <f>+Y735/'VVP2'!Y$355</f>
        <v>0</v>
      </c>
      <c r="Z756" s="3677">
        <f>+Z735/'VVP2'!Z$355</f>
        <v>0</v>
      </c>
      <c r="AA756" s="3677">
        <f>+AA735/'VVP2'!AA$355</f>
        <v>0</v>
      </c>
      <c r="AB756" s="3677">
        <f>+AB735/'VVP2'!AB$355</f>
        <v>0</v>
      </c>
      <c r="AC756" s="3677">
        <f>+AC735/'VVP2'!AC$355</f>
        <v>0</v>
      </c>
      <c r="AD756" s="3677">
        <f ca="1">+AD735/'VVP2'!AD$355</f>
        <v>0</v>
      </c>
      <c r="AE756" s="3677">
        <f ca="1">+AE735/'VVP2'!AE$355</f>
        <v>0</v>
      </c>
      <c r="AF756" s="749"/>
      <c r="AG756" s="749"/>
      <c r="AH756" s="749"/>
      <c r="AI756" s="749"/>
      <c r="AJ756" s="749"/>
      <c r="AK756" s="3677">
        <v>0</v>
      </c>
      <c r="AL756" s="749"/>
      <c r="AM756" s="3677">
        <f t="shared" si="875"/>
        <v>0</v>
      </c>
      <c r="AN756" s="749"/>
      <c r="AO756" s="749"/>
      <c r="AP756" s="749"/>
      <c r="AQ756" s="749"/>
      <c r="AR756" s="749"/>
      <c r="AS756" s="749"/>
      <c r="AT756" s="749"/>
    </row>
    <row r="757" spans="1:46" ht="12.75" hidden="1" customHeight="1">
      <c r="A757" s="714"/>
      <c r="B757" s="714"/>
      <c r="C757" s="3618" t="s">
        <v>2449</v>
      </c>
      <c r="D757" s="3678" t="s">
        <v>591</v>
      </c>
      <c r="E757" s="3679" t="str">
        <f>E735</f>
        <v>Entity II</v>
      </c>
      <c r="F757" s="3680"/>
      <c r="G757" s="3681">
        <f ca="1">G735/'VVP2'!G$355</f>
        <v>0</v>
      </c>
      <c r="H757" s="3681">
        <f>H735/'VVP2'!H$355</f>
        <v>0</v>
      </c>
      <c r="I757" s="3681">
        <f>I735/'VVP2'!I$355</f>
        <v>0</v>
      </c>
      <c r="J757" s="3681">
        <f>J735/'VVP2'!J$355</f>
        <v>0</v>
      </c>
      <c r="K757" s="3681">
        <f>K735/'VVP2'!K$355</f>
        <v>0</v>
      </c>
      <c r="L757" s="3681">
        <f>L735/'VVP2'!L$355</f>
        <v>0</v>
      </c>
      <c r="M757" s="3681">
        <f>M735/'VVP2'!M$355</f>
        <v>0</v>
      </c>
      <c r="N757" s="3681">
        <f>N735/'VVP2'!N$355</f>
        <v>0</v>
      </c>
      <c r="O757" s="3681">
        <f>O735/'VVP2'!O$355</f>
        <v>0</v>
      </c>
      <c r="P757" s="3681">
        <f>P735/'VVP2'!P$355</f>
        <v>0</v>
      </c>
      <c r="Q757" s="3681">
        <f>Q735/'VVP2'!Q$355</f>
        <v>0</v>
      </c>
      <c r="R757" s="3681">
        <f>R735/'VVP2'!R$355</f>
        <v>0</v>
      </c>
      <c r="S757" s="3681">
        <f>S735/'VVP2'!S$355</f>
        <v>0</v>
      </c>
      <c r="T757" s="3681">
        <f>T735/'VVP2'!T$355</f>
        <v>0</v>
      </c>
      <c r="U757" s="3681">
        <f>U735/'VVP2'!U$355</f>
        <v>0</v>
      </c>
      <c r="V757" s="3681">
        <f>V735/'VVP2'!V$355</f>
        <v>0</v>
      </c>
      <c r="W757" s="3681">
        <f>W735/'VVP2'!W$355</f>
        <v>0</v>
      </c>
      <c r="X757" s="3681">
        <f>X735/'VVP2'!X$355</f>
        <v>0</v>
      </c>
      <c r="Y757" s="3681">
        <f>Y735/'VVP2'!Y$355</f>
        <v>0</v>
      </c>
      <c r="Z757" s="3681">
        <f>Z735/'VVP2'!Z$355</f>
        <v>0</v>
      </c>
      <c r="AA757" s="3681">
        <f>AA735/'VVP2'!AA$355</f>
        <v>0</v>
      </c>
      <c r="AB757" s="3681">
        <f>AB735/'VVP2'!AB$355</f>
        <v>0</v>
      </c>
      <c r="AC757" s="3681">
        <f>AC735/'VVP2'!AC$355</f>
        <v>0</v>
      </c>
      <c r="AD757" s="3681">
        <f ca="1">AD735/'VVP2'!AD$355</f>
        <v>0</v>
      </c>
      <c r="AE757" s="3681">
        <f ca="1">AE735/'VVP2'!AE$355</f>
        <v>0</v>
      </c>
      <c r="AF757" s="749"/>
      <c r="AG757" s="749"/>
      <c r="AH757" s="749"/>
      <c r="AI757" s="749"/>
      <c r="AJ757" s="749"/>
      <c r="AK757" s="3681">
        <v>0</v>
      </c>
      <c r="AL757" s="749"/>
      <c r="AM757" s="3681">
        <f t="shared" si="875"/>
        <v>0</v>
      </c>
      <c r="AN757" s="749"/>
      <c r="AO757" s="749"/>
      <c r="AP757" s="749"/>
      <c r="AQ757" s="749"/>
      <c r="AR757" s="749"/>
      <c r="AS757" s="749"/>
      <c r="AT757" s="749"/>
    </row>
    <row r="758" spans="1:46" ht="12.75" hidden="1" customHeight="1">
      <c r="A758" s="714"/>
      <c r="B758" s="714"/>
      <c r="C758" s="3482" t="s">
        <v>624</v>
      </c>
      <c r="D758" s="3525" t="s">
        <v>591</v>
      </c>
      <c r="E758" s="3526" t="s">
        <v>1793</v>
      </c>
      <c r="F758" s="3527"/>
      <c r="G758" s="3624">
        <f ca="1">+G736/'VVP2'!G$355</f>
        <v>0.21188097162772826</v>
      </c>
      <c r="H758" s="3624">
        <f>+H736/'VVP2'!H$355</f>
        <v>0.21504808689724669</v>
      </c>
      <c r="I758" s="3624">
        <f>+I736/'VVP2'!I$355</f>
        <v>0.2095577838877685</v>
      </c>
      <c r="J758" s="3624">
        <f>+J736/'VVP2'!J$355</f>
        <v>0.20856703239717242</v>
      </c>
      <c r="K758" s="3624">
        <f>+K736/'VVP2'!K$355</f>
        <v>0.21015862356997209</v>
      </c>
      <c r="L758" s="3624">
        <f>+L736/'VVP2'!L$355</f>
        <v>0.20874402645785411</v>
      </c>
      <c r="M758" s="3624">
        <f>+M736/'VVP2'!M$355</f>
        <v>0.21278693878288141</v>
      </c>
      <c r="N758" s="3624">
        <f>+N736/'VVP2'!N$355</f>
        <v>0.21916375432579419</v>
      </c>
      <c r="O758" s="3624">
        <f>+O736/'VVP2'!O$355</f>
        <v>0.22351607099578433</v>
      </c>
      <c r="P758" s="3624">
        <f>+P736/'VVP2'!P$355</f>
        <v>0.22035259521918857</v>
      </c>
      <c r="Q758" s="3624">
        <f>+Q736/'VVP2'!Q$355</f>
        <v>0.22107847417882578</v>
      </c>
      <c r="R758" s="3682">
        <f>+R736/'VVP2'!R$355</f>
        <v>0.21892255024381466</v>
      </c>
      <c r="S758" s="3682">
        <f>+S736/'VVP2'!S$355</f>
        <v>0.21586597526924611</v>
      </c>
      <c r="T758" s="3682">
        <f>+T736/'VVP2'!T$355</f>
        <v>0.22554388886362681</v>
      </c>
      <c r="U758" s="3682">
        <f>+U736/'VVP2'!U$355</f>
        <v>0.24021313081471446</v>
      </c>
      <c r="V758" s="3682">
        <f>+V736/'VVP2'!V$355</f>
        <v>0.23554856813397951</v>
      </c>
      <c r="W758" s="3682">
        <f>+W736/'VVP2'!W$355</f>
        <v>0.23773675087963456</v>
      </c>
      <c r="X758" s="3682">
        <f>+X736/'VVP2'!X$355</f>
        <v>0.24260793739150008</v>
      </c>
      <c r="Y758" s="3683">
        <f>+Y736/'VVP2'!Y$355</f>
        <v>0.24490785793335271</v>
      </c>
      <c r="Z758" s="3683">
        <f>+Z736/'VVP2'!Z$355</f>
        <v>0.24333517700496793</v>
      </c>
      <c r="AA758" s="3683">
        <f>+AA736/'VVP2'!AA$355</f>
        <v>0.23928137742571787</v>
      </c>
      <c r="AB758" s="3683">
        <f>+AB736/'VVP2'!AB$355</f>
        <v>0.23570234516901611</v>
      </c>
      <c r="AC758" s="3683">
        <f>+AC736/'VVP2'!AC$355</f>
        <v>0.2339340993959651</v>
      </c>
      <c r="AD758" s="3683">
        <f ca="1">+AD736/'VVP2'!AD$355</f>
        <v>0.23107941337544227</v>
      </c>
      <c r="AE758" s="3683">
        <f ca="1">+AE736/'VVP2'!AE$355</f>
        <v>0.22972233291425453</v>
      </c>
      <c r="AF758" s="749"/>
      <c r="AG758" s="749"/>
      <c r="AH758" s="749"/>
      <c r="AI758" s="749"/>
      <c r="AJ758" s="749"/>
      <c r="AK758" s="3683">
        <v>0.24429860541427401</v>
      </c>
      <c r="AL758" s="749"/>
      <c r="AM758" s="3683">
        <f t="shared" si="875"/>
        <v>-9.6342840930607743E-4</v>
      </c>
      <c r="AN758" s="749"/>
      <c r="AO758" s="749"/>
      <c r="AP758" s="749"/>
      <c r="AQ758" s="749"/>
      <c r="AR758" s="749"/>
      <c r="AS758" s="749"/>
      <c r="AT758" s="749"/>
    </row>
    <row r="759" spans="1:46" ht="30" hidden="1" customHeight="1">
      <c r="A759" s="714"/>
      <c r="B759" s="714"/>
      <c r="C759" s="822"/>
      <c r="S759" s="2162"/>
      <c r="T759" s="2162"/>
      <c r="U759" s="2162"/>
      <c r="AF759" s="749"/>
      <c r="AG759" s="749"/>
      <c r="AH759" s="749"/>
      <c r="AI759" s="749"/>
      <c r="AJ759" s="749"/>
      <c r="AL759" s="749"/>
      <c r="AM759" s="2827">
        <f t="shared" si="875"/>
        <v>0</v>
      </c>
      <c r="AN759" s="749"/>
      <c r="AO759" s="749"/>
      <c r="AP759" s="749"/>
      <c r="AQ759" s="749"/>
      <c r="AR759" s="749"/>
      <c r="AS759" s="749"/>
      <c r="AT759" s="749"/>
    </row>
    <row r="760" spans="1:46" ht="30" customHeight="1">
      <c r="S760" s="2162"/>
      <c r="T760" s="2162"/>
      <c r="U760" s="2162"/>
      <c r="AF760" s="749"/>
      <c r="AG760" s="749"/>
      <c r="AH760" s="749"/>
      <c r="AI760" s="749"/>
      <c r="AJ760" s="749"/>
      <c r="AL760" s="749"/>
      <c r="AM760" s="2827">
        <f t="shared" si="875"/>
        <v>0</v>
      </c>
      <c r="AN760" s="749"/>
      <c r="AO760" s="749"/>
      <c r="AP760" s="749"/>
      <c r="AQ760" s="749"/>
      <c r="AR760" s="749"/>
      <c r="AS760" s="749"/>
      <c r="AT760" s="749"/>
    </row>
    <row r="761" spans="1:46" ht="22.5" customHeight="1">
      <c r="A761" s="603"/>
      <c r="B761" s="603"/>
      <c r="C761" s="4124" t="s">
        <v>249</v>
      </c>
      <c r="D761" s="4124"/>
      <c r="E761" s="4124"/>
      <c r="F761" s="4124"/>
      <c r="S761" s="2162"/>
      <c r="T761" s="2162"/>
      <c r="U761" s="2162"/>
      <c r="AF761" s="749"/>
      <c r="AG761" s="749"/>
      <c r="AH761" s="749"/>
      <c r="AI761" s="749"/>
      <c r="AJ761" s="749"/>
      <c r="AL761" s="749"/>
      <c r="AM761" s="2827">
        <f t="shared" si="875"/>
        <v>0</v>
      </c>
      <c r="AN761" s="749"/>
      <c r="AO761" s="749"/>
      <c r="AP761" s="749"/>
      <c r="AQ761" s="749"/>
      <c r="AR761" s="749"/>
      <c r="AS761" s="749"/>
      <c r="AT761" s="749"/>
    </row>
    <row r="762" spans="1:46" ht="12.75" customHeight="1">
      <c r="A762" s="714"/>
      <c r="B762" s="714"/>
      <c r="C762" s="822"/>
      <c r="S762" s="2162"/>
      <c r="T762" s="2162"/>
      <c r="U762" s="2162"/>
      <c r="AF762" s="749"/>
      <c r="AG762" s="749"/>
      <c r="AH762" s="749"/>
      <c r="AI762" s="749"/>
      <c r="AJ762" s="749"/>
      <c r="AL762" s="749"/>
      <c r="AM762" s="2827">
        <f t="shared" si="875"/>
        <v>0</v>
      </c>
      <c r="AN762" s="749"/>
      <c r="AO762" s="749"/>
      <c r="AP762" s="749"/>
      <c r="AQ762" s="749"/>
      <c r="AR762" s="749"/>
      <c r="AS762" s="749"/>
      <c r="AT762" s="749"/>
    </row>
    <row r="763" spans="1:46" ht="12.75" customHeight="1">
      <c r="A763" s="714"/>
      <c r="B763" s="714"/>
      <c r="C763" s="822"/>
      <c r="D763" s="823"/>
      <c r="E763" s="824" t="s">
        <v>1803</v>
      </c>
      <c r="F763" s="825"/>
      <c r="G763" s="826">
        <f>+InputY!$G$3</f>
        <v>1995</v>
      </c>
      <c r="H763" s="826">
        <f>+G763+1</f>
        <v>1996</v>
      </c>
      <c r="I763" s="826">
        <f t="shared" ref="I763:O763" si="983">+H763+1</f>
        <v>1997</v>
      </c>
      <c r="J763" s="826">
        <f t="shared" si="983"/>
        <v>1998</v>
      </c>
      <c r="K763" s="826">
        <f t="shared" si="983"/>
        <v>1999</v>
      </c>
      <c r="L763" s="826">
        <f t="shared" si="983"/>
        <v>2000</v>
      </c>
      <c r="M763" s="826">
        <f t="shared" si="983"/>
        <v>2001</v>
      </c>
      <c r="N763" s="826">
        <f t="shared" si="983"/>
        <v>2002</v>
      </c>
      <c r="O763" s="826">
        <f t="shared" si="983"/>
        <v>2003</v>
      </c>
      <c r="P763" s="826">
        <f t="shared" ref="P763:U763" si="984">+O763+1</f>
        <v>2004</v>
      </c>
      <c r="Q763" s="826">
        <f t="shared" si="984"/>
        <v>2005</v>
      </c>
      <c r="R763" s="826">
        <f t="shared" si="984"/>
        <v>2006</v>
      </c>
      <c r="S763" s="826">
        <f t="shared" si="984"/>
        <v>2007</v>
      </c>
      <c r="T763" s="826">
        <f t="shared" si="984"/>
        <v>2008</v>
      </c>
      <c r="U763" s="826">
        <f t="shared" si="984"/>
        <v>2009</v>
      </c>
      <c r="V763" s="826">
        <f t="shared" ref="V763:AE763" si="985">+U763+1</f>
        <v>2010</v>
      </c>
      <c r="W763" s="826">
        <f t="shared" si="985"/>
        <v>2011</v>
      </c>
      <c r="X763" s="826">
        <f t="shared" si="985"/>
        <v>2012</v>
      </c>
      <c r="Y763" s="826">
        <f t="shared" si="985"/>
        <v>2013</v>
      </c>
      <c r="Z763" s="826">
        <f t="shared" si="985"/>
        <v>2014</v>
      </c>
      <c r="AA763" s="826">
        <f t="shared" si="985"/>
        <v>2015</v>
      </c>
      <c r="AB763" s="826">
        <f t="shared" si="985"/>
        <v>2016</v>
      </c>
      <c r="AC763" s="826">
        <f t="shared" si="985"/>
        <v>2017</v>
      </c>
      <c r="AD763" s="826">
        <f t="shared" si="985"/>
        <v>2018</v>
      </c>
      <c r="AE763" s="826">
        <f t="shared" si="985"/>
        <v>2019</v>
      </c>
      <c r="AF763" s="749"/>
      <c r="AG763" s="749"/>
      <c r="AH763" s="749"/>
      <c r="AI763" s="749"/>
      <c r="AJ763" s="749"/>
      <c r="AK763" s="826">
        <v>2014</v>
      </c>
      <c r="AL763" s="749"/>
      <c r="AM763" s="826">
        <f t="shared" si="875"/>
        <v>0</v>
      </c>
      <c r="AN763" s="749"/>
      <c r="AO763" s="749"/>
      <c r="AP763" s="749"/>
      <c r="AQ763" s="749"/>
      <c r="AR763" s="749"/>
      <c r="AS763" s="749"/>
      <c r="AT763" s="749"/>
    </row>
    <row r="764" spans="1:46" ht="12.75" customHeight="1">
      <c r="A764" s="714"/>
      <c r="B764" s="714"/>
      <c r="C764" s="827" t="s">
        <v>622</v>
      </c>
      <c r="D764" s="718" t="s">
        <v>589</v>
      </c>
      <c r="E764" s="750" t="s">
        <v>249</v>
      </c>
      <c r="F764" s="751" t="s">
        <v>2059</v>
      </c>
      <c r="G764" s="828">
        <f ca="1">+G644+G666-'VVP2'!G192</f>
        <v>27.766199999999927</v>
      </c>
      <c r="H764" s="828">
        <f>+H644+H666-'VVP2'!H192</f>
        <v>24.992500000000064</v>
      </c>
      <c r="I764" s="828">
        <f>+I644+I666-'VVP2'!I192</f>
        <v>24.532000000000011</v>
      </c>
      <c r="J764" s="828">
        <f>+J644+J666-'VVP2'!J192</f>
        <v>24.448400000000021</v>
      </c>
      <c r="K764" s="828">
        <f>+K644+K666-'VVP2'!K192</f>
        <v>25.655600000000021</v>
      </c>
      <c r="L764" s="828">
        <f>+L644+L666-'VVP2'!L192</f>
        <v>25.650800000000032</v>
      </c>
      <c r="M764" s="828">
        <f>+M644+M666-'VVP2'!M192</f>
        <v>29.259900000000016</v>
      </c>
      <c r="N764" s="828">
        <f>+N644+N666-'VVP2'!N192</f>
        <v>28.3322</v>
      </c>
      <c r="O764" s="828">
        <f>+O644+O666-'VVP2'!O192</f>
        <v>28.405799999999999</v>
      </c>
      <c r="P764" s="828">
        <f>+P644+P666-'VVP2'!P192</f>
        <v>26.711900000000043</v>
      </c>
      <c r="Q764" s="828">
        <f>+Q644+Q666-'VVP2'!Q192</f>
        <v>27.315100000000001</v>
      </c>
      <c r="R764" s="828">
        <f>+R644+R666-'VVP2'!R192</f>
        <v>30.096699999999998</v>
      </c>
      <c r="S764" s="828">
        <f>+S644+S666-'VVP2'!S192</f>
        <v>32.260900000000021</v>
      </c>
      <c r="T764" s="828">
        <f>+T644+T666-'VVP2'!T192</f>
        <v>35.65130000000002</v>
      </c>
      <c r="U764" s="828">
        <f>+U644+U666-'VVP2'!U192</f>
        <v>39.04159999999996</v>
      </c>
      <c r="V764" s="828">
        <f>+V644+V666-'VVP2'!V192</f>
        <v>33.126400000000046</v>
      </c>
      <c r="W764" s="828">
        <f>+W644+W666-'VVP2'!W192</f>
        <v>30.656499999999966</v>
      </c>
      <c r="X764" s="886">
        <f>+X644+X666-'VVP2'!X192</f>
        <v>29.8125</v>
      </c>
      <c r="Y764" s="886">
        <f>+Y644+Y666-'VVP2'!Y192</f>
        <v>29.22999999999999</v>
      </c>
      <c r="Z764" s="886">
        <f>+Z644+Z666-'VVP2'!Z192</f>
        <v>29.128200000000021</v>
      </c>
      <c r="AA764" s="886">
        <f>+AA644+AA666-'VVP2'!AA192</f>
        <v>28.248099999999994</v>
      </c>
      <c r="AB764" s="886">
        <f>+AB644+AB666-'VVP2'!AB192</f>
        <v>27.25049999999996</v>
      </c>
      <c r="AC764" s="886">
        <f>+AC644+AC666-'VVP2'!AC192</f>
        <v>27.79651462774919</v>
      </c>
      <c r="AD764" s="886">
        <f ca="1">+AD644+AD666-'VVP2'!AD192</f>
        <v>27.716997210620235</v>
      </c>
      <c r="AE764" s="886">
        <f ca="1">+AE644+AE666-'VVP2'!AE192</f>
        <v>29.881553850527951</v>
      </c>
      <c r="AF764" s="749"/>
      <c r="AG764" s="749"/>
      <c r="AH764" s="749"/>
      <c r="AI764" s="749"/>
      <c r="AJ764" s="749"/>
      <c r="AK764" s="886">
        <v>33.010758954634639</v>
      </c>
      <c r="AL764" s="749"/>
      <c r="AM764" s="886">
        <f t="shared" si="875"/>
        <v>-3.882558954634618</v>
      </c>
      <c r="AN764" s="749"/>
      <c r="AO764" s="749"/>
      <c r="AP764" s="749"/>
      <c r="AQ764" s="749"/>
      <c r="AR764" s="749"/>
      <c r="AS764" s="749"/>
      <c r="AT764" s="749"/>
    </row>
    <row r="765" spans="1:46" ht="12.75" customHeight="1">
      <c r="A765" s="714"/>
      <c r="B765" s="714"/>
      <c r="C765" s="829" t="s">
        <v>622</v>
      </c>
      <c r="D765" s="724" t="s">
        <v>590</v>
      </c>
      <c r="E765" s="830" t="s">
        <v>249</v>
      </c>
      <c r="F765" s="754" t="s">
        <v>2060</v>
      </c>
      <c r="G765" s="756">
        <f t="shared" ref="G765:AA765" ca="1" si="986">+G645-G667</f>
        <v>31.513399999999997</v>
      </c>
      <c r="H765" s="756">
        <f t="shared" si="986"/>
        <v>32.254899999999992</v>
      </c>
      <c r="I765" s="756">
        <f t="shared" si="986"/>
        <v>34.14980000000002</v>
      </c>
      <c r="J765" s="756">
        <f t="shared" si="986"/>
        <v>33.444899999999997</v>
      </c>
      <c r="K765" s="756">
        <f t="shared" si="986"/>
        <v>35.325399999999981</v>
      </c>
      <c r="L765" s="756">
        <f t="shared" si="986"/>
        <v>37.94830000000001</v>
      </c>
      <c r="M765" s="756">
        <f t="shared" si="986"/>
        <v>34.250800000000019</v>
      </c>
      <c r="N765" s="756">
        <f t="shared" si="986"/>
        <v>38.139199999999981</v>
      </c>
      <c r="O765" s="756">
        <f t="shared" si="986"/>
        <v>42.858499999999985</v>
      </c>
      <c r="P765" s="756">
        <f t="shared" si="986"/>
        <v>47.92049999999999</v>
      </c>
      <c r="Q765" s="756">
        <f t="shared" si="986"/>
        <v>50.093499999999992</v>
      </c>
      <c r="R765" s="756">
        <f t="shared" si="986"/>
        <v>51.733499999999971</v>
      </c>
      <c r="S765" s="756">
        <f t="shared" si="986"/>
        <v>56.570699999999995</v>
      </c>
      <c r="T765" s="756">
        <f t="shared" si="986"/>
        <v>54.465999999999966</v>
      </c>
      <c r="U765" s="756">
        <f t="shared" si="986"/>
        <v>47.259399999999999</v>
      </c>
      <c r="V765" s="756">
        <f t="shared" si="986"/>
        <v>66.667099999999976</v>
      </c>
      <c r="W765" s="756">
        <f t="shared" si="986"/>
        <v>62.676000000000002</v>
      </c>
      <c r="X765" s="836">
        <f t="shared" si="986"/>
        <v>66.572499999999962</v>
      </c>
      <c r="Y765" s="836">
        <f t="shared" si="986"/>
        <v>61.829100000000004</v>
      </c>
      <c r="Z765" s="836">
        <f t="shared" si="986"/>
        <v>62.994100000000017</v>
      </c>
      <c r="AA765" s="836">
        <f t="shared" si="986"/>
        <v>65.901299999999978</v>
      </c>
      <c r="AB765" s="836">
        <f t="shared" ref="AB765:AC765" si="987">+AB645-AB667</f>
        <v>74.84399999999998</v>
      </c>
      <c r="AC765" s="836">
        <f t="shared" si="987"/>
        <v>76.710231527284009</v>
      </c>
      <c r="AD765" s="836">
        <f t="shared" ref="AD765" ca="1" si="988">+AD645-AD667</f>
        <v>81.741772883612057</v>
      </c>
      <c r="AE765" s="836">
        <f t="shared" ref="AE765" ca="1" si="989">+AE645-AE667</f>
        <v>85.349870213628947</v>
      </c>
      <c r="AF765" s="749"/>
      <c r="AG765" s="749"/>
      <c r="AH765" s="749"/>
      <c r="AI765" s="749"/>
      <c r="AJ765" s="749"/>
      <c r="AK765" s="836">
        <v>57.271138043340969</v>
      </c>
      <c r="AL765" s="749"/>
      <c r="AM765" s="836">
        <f t="shared" si="875"/>
        <v>5.7229619566590486</v>
      </c>
      <c r="AN765" s="749"/>
      <c r="AO765" s="749"/>
      <c r="AP765" s="749"/>
      <c r="AQ765" s="749"/>
      <c r="AR765" s="749"/>
      <c r="AS765" s="749"/>
      <c r="AT765" s="749"/>
    </row>
    <row r="766" spans="1:46" ht="12.75" customHeight="1">
      <c r="A766" s="714"/>
      <c r="B766" s="714"/>
      <c r="C766" s="829" t="s">
        <v>622</v>
      </c>
      <c r="D766" s="724" t="s">
        <v>591</v>
      </c>
      <c r="E766" s="830" t="s">
        <v>249</v>
      </c>
      <c r="F766" s="754" t="s">
        <v>2061</v>
      </c>
      <c r="G766" s="756">
        <f>+G646-G668-'VVP2'!G201</f>
        <v>-3.2792999999999921</v>
      </c>
      <c r="H766" s="756">
        <f>+H646-H668-'VVP2'!H201</f>
        <v>-2.2885000000000062</v>
      </c>
      <c r="I766" s="756">
        <f>+I646-I668-'VVP2'!I201</f>
        <v>2.0189999999999841</v>
      </c>
      <c r="J766" s="756">
        <f>+J646-J668-'VVP2'!J201</f>
        <v>4.9453999999999994</v>
      </c>
      <c r="K766" s="756">
        <f>+K646-K668-'VVP2'!K201</f>
        <v>6.2289999999999921</v>
      </c>
      <c r="L766" s="756">
        <f>+L646-L668-'VVP2'!L201</f>
        <v>8.0345000000000084</v>
      </c>
      <c r="M766" s="756">
        <f>+M646-M668-'VVP2'!M201</f>
        <v>7.5118000000000151</v>
      </c>
      <c r="N766" s="756">
        <f>+N646-N668-'VVP2'!N201</f>
        <v>6.8867000000000189</v>
      </c>
      <c r="O766" s="756">
        <f>+O646-O668-'VVP2'!O201</f>
        <v>3.6214999999999833</v>
      </c>
      <c r="P766" s="756">
        <f>+P646-P668-'VVP2'!P201</f>
        <v>6.0985000000000014</v>
      </c>
      <c r="Q766" s="756">
        <f>+Q646-Q668-'VVP2'!Q201</f>
        <v>6.6812999999999789</v>
      </c>
      <c r="R766" s="756">
        <f>+R646-R668-'VVP2'!R201</f>
        <v>8.199600000000018</v>
      </c>
      <c r="S766" s="756">
        <f>+S646-S668-'VVP2'!S201</f>
        <v>9.1698000000000093</v>
      </c>
      <c r="T766" s="756">
        <f>+T646-T668-'VVP2'!T201</f>
        <v>5.7791999999999888</v>
      </c>
      <c r="U766" s="756">
        <f>+U646-U668-'VVP2'!U201</f>
        <v>-7.7315000000000254</v>
      </c>
      <c r="V766" s="756">
        <f>+V646-V668-'VVP2'!V201</f>
        <v>-3.442799999999977</v>
      </c>
      <c r="W766" s="756">
        <f>+W646-W668-'VVP2'!W201</f>
        <v>-1.5149999999999864</v>
      </c>
      <c r="X766" s="756">
        <f>+X646-X668-'VVP2'!X201</f>
        <v>-0.63819999999999766</v>
      </c>
      <c r="Y766" s="756">
        <f>+Y646-Y668-'VVP2'!Y201</f>
        <v>0.51399999999999579</v>
      </c>
      <c r="Z766" s="1376">
        <f>+Z646-Z668-'VVP2'!Z201</f>
        <v>1.2200000000021305E-2</v>
      </c>
      <c r="AA766" s="1376">
        <f>+AA646-AA668-'VVP2'!AA201</f>
        <v>0.66030000000000655</v>
      </c>
      <c r="AB766" s="1376">
        <f>+AB646-AB668-'VVP2'!AB201</f>
        <v>-0.42590000000002703</v>
      </c>
      <c r="AC766" s="1376">
        <f>+AC646-AC668-'VVP2'!AC201</f>
        <v>5.4364999999999952</v>
      </c>
      <c r="AD766" s="1376">
        <f ca="1">+AD646-AD668-'VVP2'!AD201</f>
        <v>5.646497616136287</v>
      </c>
      <c r="AE766" s="1376">
        <f ca="1">+AE646-AE668-'VVP2'!AE201</f>
        <v>4.833113946845927</v>
      </c>
      <c r="AF766" s="749"/>
      <c r="AG766" s="749"/>
      <c r="AH766" s="749"/>
      <c r="AI766" s="749"/>
      <c r="AJ766" s="749"/>
      <c r="AK766" s="1376">
        <v>-1.1114000000000175</v>
      </c>
      <c r="AL766" s="749"/>
      <c r="AM766" s="1376">
        <f t="shared" si="875"/>
        <v>1.1236000000000388</v>
      </c>
      <c r="AN766" s="749"/>
      <c r="AO766" s="749"/>
      <c r="AP766" s="749"/>
      <c r="AQ766" s="749"/>
      <c r="AR766" s="749"/>
      <c r="AS766" s="749"/>
      <c r="AT766" s="749"/>
    </row>
    <row r="767" spans="1:46" ht="12.75" customHeight="1">
      <c r="A767" s="714"/>
      <c r="B767" s="714"/>
      <c r="C767" s="831" t="s">
        <v>624</v>
      </c>
      <c r="D767" s="800"/>
      <c r="E767" s="801" t="s">
        <v>249</v>
      </c>
      <c r="F767" s="802" t="s">
        <v>2062</v>
      </c>
      <c r="G767" s="832">
        <f ca="1">+G764+G765+G766</f>
        <v>56.000299999999932</v>
      </c>
      <c r="H767" s="832">
        <f t="shared" ref="H767:Q767" si="990">+H764+H765+H766</f>
        <v>54.95890000000005</v>
      </c>
      <c r="I767" s="832">
        <f t="shared" si="990"/>
        <v>60.700800000000015</v>
      </c>
      <c r="J767" s="832">
        <f t="shared" si="990"/>
        <v>62.838700000000017</v>
      </c>
      <c r="K767" s="832">
        <f t="shared" si="990"/>
        <v>67.209999999999994</v>
      </c>
      <c r="L767" s="832">
        <f t="shared" si="990"/>
        <v>71.633600000000058</v>
      </c>
      <c r="M767" s="832">
        <f t="shared" si="990"/>
        <v>71.022500000000051</v>
      </c>
      <c r="N767" s="832">
        <f t="shared" si="990"/>
        <v>73.358100000000007</v>
      </c>
      <c r="O767" s="832">
        <f t="shared" si="990"/>
        <v>74.885799999999975</v>
      </c>
      <c r="P767" s="832">
        <f t="shared" si="990"/>
        <v>80.730900000000034</v>
      </c>
      <c r="Q767" s="832">
        <f t="shared" si="990"/>
        <v>84.089899999999972</v>
      </c>
      <c r="R767" s="832">
        <f t="shared" ref="R767:Y767" si="991">+R764+R765+R766</f>
        <v>90.02979999999998</v>
      </c>
      <c r="S767" s="832">
        <f t="shared" si="991"/>
        <v>98.001400000000018</v>
      </c>
      <c r="T767" s="832">
        <f>+T764+T765+T766</f>
        <v>95.896499999999975</v>
      </c>
      <c r="U767" s="832">
        <f>+U764+U765+U766</f>
        <v>78.569499999999934</v>
      </c>
      <c r="V767" s="832">
        <f>+V764+V765+V766</f>
        <v>96.350700000000046</v>
      </c>
      <c r="W767" s="832">
        <f>+W764+W765+W766</f>
        <v>91.817499999999981</v>
      </c>
      <c r="X767" s="884">
        <f t="shared" si="991"/>
        <v>95.746799999999965</v>
      </c>
      <c r="Y767" s="884">
        <f t="shared" si="991"/>
        <v>91.573099999999997</v>
      </c>
      <c r="Z767" s="884">
        <f t="shared" ref="Z767:AD767" si="992">+Z764+Z765+Z766</f>
        <v>92.13450000000006</v>
      </c>
      <c r="AA767" s="884">
        <f t="shared" si="992"/>
        <v>94.809699999999978</v>
      </c>
      <c r="AB767" s="884">
        <f t="shared" si="992"/>
        <v>101.66859999999991</v>
      </c>
      <c r="AC767" s="884">
        <f t="shared" si="992"/>
        <v>109.94324615503319</v>
      </c>
      <c r="AD767" s="884">
        <f t="shared" ca="1" si="992"/>
        <v>115.10526771036858</v>
      </c>
      <c r="AE767" s="884">
        <f t="shared" ref="AE767" ca="1" si="993">+AE764+AE765+AE766</f>
        <v>120.06453801100282</v>
      </c>
      <c r="AF767" s="749"/>
      <c r="AG767" s="749"/>
      <c r="AH767" s="749"/>
      <c r="AI767" s="749"/>
      <c r="AJ767" s="749"/>
      <c r="AK767" s="884">
        <v>89.17049699797559</v>
      </c>
      <c r="AL767" s="749"/>
      <c r="AM767" s="884">
        <f t="shared" si="875"/>
        <v>2.9640030020244694</v>
      </c>
      <c r="AN767" s="749"/>
      <c r="AO767" s="749"/>
      <c r="AP767" s="749"/>
      <c r="AQ767" s="749"/>
      <c r="AR767" s="749"/>
      <c r="AS767" s="749"/>
      <c r="AT767" s="749"/>
    </row>
    <row r="768" spans="1:46">
      <c r="A768" s="714"/>
      <c r="B768" s="714"/>
      <c r="Q768" s="749"/>
      <c r="R768" s="749"/>
      <c r="S768" s="883"/>
      <c r="T768" s="883"/>
      <c r="U768" s="883"/>
      <c r="V768" s="883"/>
      <c r="W768" s="883"/>
      <c r="X768" s="883"/>
      <c r="Y768" s="883"/>
      <c r="Z768" s="883"/>
      <c r="AA768" s="883"/>
      <c r="AB768" s="883"/>
      <c r="AC768" s="883"/>
      <c r="AD768" s="883"/>
      <c r="AE768" s="883"/>
      <c r="AF768" s="749"/>
      <c r="AG768" s="749"/>
      <c r="AH768" s="749"/>
      <c r="AI768" s="749"/>
      <c r="AJ768" s="749"/>
      <c r="AK768" s="883"/>
      <c r="AL768" s="749"/>
      <c r="AM768" s="883">
        <f t="shared" si="875"/>
        <v>0</v>
      </c>
      <c r="AN768" s="749"/>
      <c r="AO768" s="749"/>
      <c r="AP768" s="749"/>
      <c r="AQ768" s="749"/>
      <c r="AR768" s="749"/>
      <c r="AS768" s="749"/>
      <c r="AT768" s="749"/>
    </row>
    <row r="769" spans="1:46" ht="12.75" customHeight="1">
      <c r="A769" s="714"/>
      <c r="B769" s="714"/>
      <c r="C769" s="822"/>
      <c r="D769" s="790"/>
      <c r="E769" s="791" t="s">
        <v>1804</v>
      </c>
      <c r="F769" s="792"/>
      <c r="G769" s="793">
        <f>+InputY!$G$3</f>
        <v>1995</v>
      </c>
      <c r="H769" s="793">
        <f>+G769+1</f>
        <v>1996</v>
      </c>
      <c r="I769" s="793">
        <f t="shared" ref="I769:O769" si="994">+H769+1</f>
        <v>1997</v>
      </c>
      <c r="J769" s="793">
        <f t="shared" si="994"/>
        <v>1998</v>
      </c>
      <c r="K769" s="793">
        <f t="shared" si="994"/>
        <v>1999</v>
      </c>
      <c r="L769" s="793">
        <f t="shared" si="994"/>
        <v>2000</v>
      </c>
      <c r="M769" s="793">
        <f t="shared" si="994"/>
        <v>2001</v>
      </c>
      <c r="N769" s="793">
        <f t="shared" si="994"/>
        <v>2002</v>
      </c>
      <c r="O769" s="793">
        <f t="shared" si="994"/>
        <v>2003</v>
      </c>
      <c r="P769" s="793">
        <f t="shared" ref="P769:U769" si="995">+O769+1</f>
        <v>2004</v>
      </c>
      <c r="Q769" s="793">
        <f t="shared" si="995"/>
        <v>2005</v>
      </c>
      <c r="R769" s="793">
        <f t="shared" si="995"/>
        <v>2006</v>
      </c>
      <c r="S769" s="793">
        <f t="shared" si="995"/>
        <v>2007</v>
      </c>
      <c r="T769" s="793">
        <f t="shared" si="995"/>
        <v>2008</v>
      </c>
      <c r="U769" s="793">
        <f t="shared" si="995"/>
        <v>2009</v>
      </c>
      <c r="V769" s="793">
        <f t="shared" ref="V769:AE769" si="996">+U769+1</f>
        <v>2010</v>
      </c>
      <c r="W769" s="793">
        <f t="shared" si="996"/>
        <v>2011</v>
      </c>
      <c r="X769" s="793">
        <f t="shared" si="996"/>
        <v>2012</v>
      </c>
      <c r="Y769" s="793">
        <f t="shared" si="996"/>
        <v>2013</v>
      </c>
      <c r="Z769" s="793">
        <f t="shared" si="996"/>
        <v>2014</v>
      </c>
      <c r="AA769" s="793">
        <f t="shared" si="996"/>
        <v>2015</v>
      </c>
      <c r="AB769" s="793">
        <f t="shared" si="996"/>
        <v>2016</v>
      </c>
      <c r="AC769" s="793">
        <f t="shared" si="996"/>
        <v>2017</v>
      </c>
      <c r="AD769" s="793">
        <f t="shared" si="996"/>
        <v>2018</v>
      </c>
      <c r="AE769" s="793">
        <f t="shared" si="996"/>
        <v>2019</v>
      </c>
      <c r="AF769" s="749"/>
      <c r="AG769" s="749"/>
      <c r="AH769" s="749"/>
      <c r="AI769" s="749"/>
      <c r="AJ769" s="749"/>
      <c r="AK769" s="793">
        <v>2014</v>
      </c>
      <c r="AL769" s="749"/>
      <c r="AM769" s="793">
        <f t="shared" si="875"/>
        <v>0</v>
      </c>
      <c r="AN769" s="749"/>
      <c r="AO769" s="749"/>
      <c r="AP769" s="749"/>
      <c r="AQ769" s="749"/>
      <c r="AR769" s="749"/>
      <c r="AS769" s="749"/>
      <c r="AT769" s="749"/>
    </row>
    <row r="770" spans="1:46" ht="12.75" customHeight="1">
      <c r="A770" s="714"/>
      <c r="B770" s="714"/>
      <c r="C770" s="839" t="s">
        <v>622</v>
      </c>
      <c r="D770" s="739" t="s">
        <v>589</v>
      </c>
      <c r="E770" s="787" t="s">
        <v>249</v>
      </c>
      <c r="F770" s="782" t="s">
        <v>2059</v>
      </c>
      <c r="G770" s="788"/>
      <c r="H770" s="788">
        <f t="shared" ref="H770:Q770" ca="1" si="997">(H764/G764-1)*100</f>
        <v>-9.9894836167710004</v>
      </c>
      <c r="I770" s="788">
        <f t="shared" si="997"/>
        <v>-1.8425527658299523</v>
      </c>
      <c r="J770" s="788">
        <f t="shared" si="997"/>
        <v>-0.34077939018420933</v>
      </c>
      <c r="K770" s="788">
        <f t="shared" si="997"/>
        <v>4.9377464373946633</v>
      </c>
      <c r="L770" s="788">
        <f t="shared" si="997"/>
        <v>-1.8709365596547567E-2</v>
      </c>
      <c r="M770" s="788">
        <f t="shared" si="997"/>
        <v>14.0701264677904</v>
      </c>
      <c r="N770" s="788">
        <f t="shared" si="997"/>
        <v>-3.1705508221149592</v>
      </c>
      <c r="O770" s="788">
        <f t="shared" si="997"/>
        <v>0.25977509688621669</v>
      </c>
      <c r="P770" s="788">
        <f t="shared" si="997"/>
        <v>-5.9632187792632347</v>
      </c>
      <c r="Q770" s="788">
        <f t="shared" si="997"/>
        <v>2.2581695798500112</v>
      </c>
      <c r="R770" s="788">
        <f t="shared" ref="R770:AE773" si="998">(R764/Q764-1)*100</f>
        <v>10.183378424387968</v>
      </c>
      <c r="S770" s="788">
        <f t="shared" si="998"/>
        <v>7.1908215850907897</v>
      </c>
      <c r="T770" s="788">
        <f t="shared" ref="T770:X773" si="999">(T764/S764-1)*100</f>
        <v>10.509316231103272</v>
      </c>
      <c r="U770" s="788">
        <f t="shared" si="999"/>
        <v>9.5096111502243517</v>
      </c>
      <c r="V770" s="788">
        <f t="shared" si="999"/>
        <v>-15.151018400885008</v>
      </c>
      <c r="W770" s="788">
        <f t="shared" si="999"/>
        <v>-7.4559867658425816</v>
      </c>
      <c r="X770" s="2882">
        <f t="shared" si="998"/>
        <v>-2.7530866211079807</v>
      </c>
      <c r="Y770" s="2882">
        <f t="shared" si="998"/>
        <v>-1.9538784067086312</v>
      </c>
      <c r="Z770" s="2882">
        <f t="shared" si="998"/>
        <v>-0.34827232295575605</v>
      </c>
      <c r="AA770" s="2882">
        <f t="shared" si="998"/>
        <v>-3.0214706023716786</v>
      </c>
      <c r="AB770" s="2882">
        <f t="shared" si="998"/>
        <v>-3.5315649548112393</v>
      </c>
      <c r="AC770" s="2882">
        <f t="shared" si="998"/>
        <v>2.0036866396918596</v>
      </c>
      <c r="AD770" s="2882">
        <f t="shared" ca="1" si="998"/>
        <v>-0.28606974001543772</v>
      </c>
      <c r="AE770" s="2882">
        <f t="shared" ca="1" si="998"/>
        <v>7.8094918560598137</v>
      </c>
      <c r="AF770" s="749"/>
      <c r="AG770" s="749"/>
      <c r="AH770" s="749"/>
      <c r="AI770" s="749"/>
      <c r="AJ770" s="749"/>
      <c r="AK770" s="2882">
        <v>3.9879254386062213</v>
      </c>
      <c r="AL770" s="749"/>
      <c r="AM770" s="2882">
        <f t="shared" si="875"/>
        <v>-4.3361977615619773</v>
      </c>
      <c r="AN770" s="749"/>
      <c r="AO770" s="749"/>
      <c r="AP770" s="749"/>
      <c r="AQ770" s="749"/>
      <c r="AR770" s="749"/>
      <c r="AS770" s="749"/>
      <c r="AT770" s="749"/>
    </row>
    <row r="771" spans="1:46" ht="12.75" customHeight="1">
      <c r="A771" s="714"/>
      <c r="B771" s="714"/>
      <c r="C771" s="840" t="s">
        <v>622</v>
      </c>
      <c r="D771" s="724" t="s">
        <v>590</v>
      </c>
      <c r="E771" s="830" t="s">
        <v>249</v>
      </c>
      <c r="F771" s="754" t="s">
        <v>2060</v>
      </c>
      <c r="G771" s="756"/>
      <c r="H771" s="756">
        <f t="shared" ref="H771:Q771" ca="1" si="1000">(H765/G765-1)*100</f>
        <v>2.3529673091446712</v>
      </c>
      <c r="I771" s="756">
        <f t="shared" si="1000"/>
        <v>5.8747663145755524</v>
      </c>
      <c r="J771" s="756">
        <f t="shared" si="1000"/>
        <v>-2.0641409320113824</v>
      </c>
      <c r="K771" s="756">
        <f t="shared" si="1000"/>
        <v>5.6226808870709188</v>
      </c>
      <c r="L771" s="756">
        <f t="shared" si="1000"/>
        <v>7.4249690024742243</v>
      </c>
      <c r="M771" s="756">
        <f t="shared" si="1000"/>
        <v>-9.7435194725455148</v>
      </c>
      <c r="N771" s="756">
        <f t="shared" si="1000"/>
        <v>11.352727527532092</v>
      </c>
      <c r="O771" s="756">
        <f t="shared" si="1000"/>
        <v>12.373883038973045</v>
      </c>
      <c r="P771" s="756">
        <f t="shared" si="1000"/>
        <v>11.810959319621549</v>
      </c>
      <c r="Q771" s="756">
        <f t="shared" si="1000"/>
        <v>4.5345937542387915</v>
      </c>
      <c r="R771" s="756">
        <f t="shared" si="998"/>
        <v>3.2738778484234121</v>
      </c>
      <c r="S771" s="756">
        <f t="shared" si="998"/>
        <v>9.3502276088028644</v>
      </c>
      <c r="T771" s="756">
        <f t="shared" si="999"/>
        <v>-3.7204772081661175</v>
      </c>
      <c r="U771" s="756">
        <f t="shared" si="999"/>
        <v>-13.23137370102444</v>
      </c>
      <c r="V771" s="756">
        <f t="shared" si="999"/>
        <v>41.066327545419476</v>
      </c>
      <c r="W771" s="756">
        <f t="shared" si="999"/>
        <v>-5.9866110870278932</v>
      </c>
      <c r="X771" s="836">
        <f t="shared" si="998"/>
        <v>6.2168932286680079</v>
      </c>
      <c r="Y771" s="836">
        <f t="shared" si="998"/>
        <v>-7.1251642945660105</v>
      </c>
      <c r="Z771" s="836">
        <f t="shared" si="998"/>
        <v>1.8842260359604346</v>
      </c>
      <c r="AA771" s="836">
        <f t="shared" si="998"/>
        <v>4.6150353763288354</v>
      </c>
      <c r="AB771" s="836">
        <f t="shared" si="998"/>
        <v>13.569838531258128</v>
      </c>
      <c r="AC771" s="836">
        <f t="shared" si="998"/>
        <v>2.4934951730052335</v>
      </c>
      <c r="AD771" s="836">
        <f t="shared" ca="1" si="998"/>
        <v>6.5591528745920336</v>
      </c>
      <c r="AE771" s="836">
        <f t="shared" ca="1" si="998"/>
        <v>4.414018931488406</v>
      </c>
      <c r="AF771" s="749"/>
      <c r="AG771" s="749"/>
      <c r="AH771" s="749"/>
      <c r="AI771" s="749"/>
      <c r="AJ771" s="749"/>
      <c r="AK771" s="836">
        <v>10.281654641270999</v>
      </c>
      <c r="AL771" s="749"/>
      <c r="AM771" s="836">
        <f t="shared" si="875"/>
        <v>-8.397428605310564</v>
      </c>
      <c r="AN771" s="749"/>
      <c r="AO771" s="749"/>
      <c r="AP771" s="749"/>
      <c r="AQ771" s="749"/>
      <c r="AR771" s="749"/>
      <c r="AS771" s="749"/>
      <c r="AT771" s="749"/>
    </row>
    <row r="772" spans="1:46" ht="12.75" customHeight="1">
      <c r="A772" s="714"/>
      <c r="B772" s="714"/>
      <c r="C772" s="841" t="s">
        <v>622</v>
      </c>
      <c r="D772" s="741" t="s">
        <v>591</v>
      </c>
      <c r="E772" s="842" t="s">
        <v>249</v>
      </c>
      <c r="F772" s="785" t="s">
        <v>2061</v>
      </c>
      <c r="G772" s="789"/>
      <c r="H772" s="789">
        <f t="shared" ref="H772:Q772" si="1001">(H766/G766-1)*100</f>
        <v>-30.213765132802372</v>
      </c>
      <c r="I772" s="789">
        <f t="shared" si="1001"/>
        <v>-188.22372733231282</v>
      </c>
      <c r="J772" s="789">
        <f t="shared" si="1001"/>
        <v>144.943041109462</v>
      </c>
      <c r="K772" s="789">
        <f t="shared" si="1001"/>
        <v>25.955433331985134</v>
      </c>
      <c r="L772" s="789">
        <f t="shared" si="1001"/>
        <v>28.985390913469566</v>
      </c>
      <c r="M772" s="789">
        <f t="shared" si="1001"/>
        <v>-6.505694193789191</v>
      </c>
      <c r="N772" s="789">
        <f t="shared" si="1001"/>
        <v>-8.3215740568172052</v>
      </c>
      <c r="O772" s="789">
        <f t="shared" si="1001"/>
        <v>-47.413129655713568</v>
      </c>
      <c r="P772" s="789">
        <f t="shared" si="1001"/>
        <v>68.397073036035621</v>
      </c>
      <c r="Q772" s="789">
        <f t="shared" si="1001"/>
        <v>9.5564483069603625</v>
      </c>
      <c r="R772" s="789">
        <f t="shared" si="998"/>
        <v>22.724619460285322</v>
      </c>
      <c r="S772" s="789">
        <f t="shared" si="998"/>
        <v>11.832284501682878</v>
      </c>
      <c r="T772" s="789">
        <f t="shared" si="999"/>
        <v>-36.975724661388654</v>
      </c>
      <c r="U772" s="789">
        <f t="shared" si="999"/>
        <v>-233.78149224806268</v>
      </c>
      <c r="V772" s="789">
        <f t="shared" si="999"/>
        <v>-55.470477915023395</v>
      </c>
      <c r="W772" s="789">
        <f t="shared" si="999"/>
        <v>-55.995120250958628</v>
      </c>
      <c r="X772" s="789">
        <f t="shared" si="999"/>
        <v>-57.874587458745651</v>
      </c>
      <c r="Y772" s="2883">
        <f t="shared" si="998"/>
        <v>-180.53901598245028</v>
      </c>
      <c r="Z772" s="2883">
        <f t="shared" si="998"/>
        <v>-97.626459143964709</v>
      </c>
      <c r="AA772" s="2883">
        <f t="shared" si="998"/>
        <v>5312.2950819578155</v>
      </c>
      <c r="AB772" s="2883">
        <f t="shared" si="998"/>
        <v>-164.50098440103329</v>
      </c>
      <c r="AC772" s="2883">
        <f t="shared" si="998"/>
        <v>-1376.4733505516906</v>
      </c>
      <c r="AD772" s="2883">
        <f t="shared" ca="1" si="998"/>
        <v>3.8627355124858154</v>
      </c>
      <c r="AE772" s="2883">
        <f t="shared" ca="1" si="998"/>
        <v>-14.405100729448851</v>
      </c>
      <c r="AF772" s="749"/>
      <c r="AG772" s="749"/>
      <c r="AH772" s="749"/>
      <c r="AI772" s="749"/>
      <c r="AJ772" s="749"/>
      <c r="AK772" s="2883">
        <v>-614.53703703702558</v>
      </c>
      <c r="AL772" s="749"/>
      <c r="AM772" s="2883">
        <f t="shared" si="875"/>
        <v>516.91057789306092</v>
      </c>
      <c r="AN772" s="749"/>
      <c r="AO772" s="749"/>
      <c r="AP772" s="749"/>
      <c r="AQ772" s="749"/>
      <c r="AR772" s="749"/>
      <c r="AS772" s="749"/>
      <c r="AT772" s="749"/>
    </row>
    <row r="773" spans="1:46" ht="12.75" customHeight="1">
      <c r="A773" s="714"/>
      <c r="B773" s="714"/>
      <c r="C773" s="822" t="s">
        <v>624</v>
      </c>
      <c r="D773" s="766"/>
      <c r="E773" s="771" t="s">
        <v>249</v>
      </c>
      <c r="F773" s="772" t="s">
        <v>2062</v>
      </c>
      <c r="G773" s="770"/>
      <c r="H773" s="770">
        <f t="shared" ref="H773:Q773" ca="1" si="1002">(H767/G767-1)*100</f>
        <v>-1.8596328948235707</v>
      </c>
      <c r="I773" s="770">
        <f t="shared" si="1002"/>
        <v>10.447625407349781</v>
      </c>
      <c r="J773" s="770">
        <f t="shared" si="1002"/>
        <v>3.5220293636986755</v>
      </c>
      <c r="K773" s="770">
        <f t="shared" si="1002"/>
        <v>6.9563819748021061</v>
      </c>
      <c r="L773" s="770">
        <f t="shared" si="1002"/>
        <v>6.5817586668651451</v>
      </c>
      <c r="M773" s="770">
        <f t="shared" si="1002"/>
        <v>-0.85309128677046875</v>
      </c>
      <c r="N773" s="770">
        <f t="shared" si="1002"/>
        <v>3.2885353233129688</v>
      </c>
      <c r="O773" s="770">
        <f t="shared" si="1002"/>
        <v>2.0825239475940283</v>
      </c>
      <c r="P773" s="770">
        <f t="shared" si="1002"/>
        <v>7.8053516153931302</v>
      </c>
      <c r="Q773" s="770">
        <f t="shared" si="1002"/>
        <v>4.1607364714129735</v>
      </c>
      <c r="R773" s="770">
        <f t="shared" si="998"/>
        <v>7.0637496298604274</v>
      </c>
      <c r="S773" s="770">
        <f t="shared" si="998"/>
        <v>8.8544015426003764</v>
      </c>
      <c r="T773" s="770">
        <f t="shared" si="999"/>
        <v>-2.1478264596220487</v>
      </c>
      <c r="U773" s="770">
        <f t="shared" si="999"/>
        <v>-18.068438368449367</v>
      </c>
      <c r="V773" s="770">
        <f t="shared" si="999"/>
        <v>22.631173674263081</v>
      </c>
      <c r="W773" s="770">
        <f t="shared" si="999"/>
        <v>-4.7048957610064672</v>
      </c>
      <c r="X773" s="845">
        <f t="shared" si="998"/>
        <v>4.2794674217877748</v>
      </c>
      <c r="Y773" s="845">
        <f t="shared" si="998"/>
        <v>-4.3591012963357212</v>
      </c>
      <c r="Z773" s="845">
        <f t="shared" si="998"/>
        <v>0.61306213287533051</v>
      </c>
      <c r="AA773" s="845">
        <f t="shared" si="998"/>
        <v>2.9035811775175668</v>
      </c>
      <c r="AB773" s="845">
        <f t="shared" si="998"/>
        <v>7.2343863549825915</v>
      </c>
      <c r="AC773" s="845">
        <f t="shared" si="998"/>
        <v>8.1388414466544212</v>
      </c>
      <c r="AD773" s="845">
        <f t="shared" ca="1" si="998"/>
        <v>4.695169313134806</v>
      </c>
      <c r="AE773" s="845">
        <f t="shared" ca="1" si="998"/>
        <v>4.3084651113560746</v>
      </c>
      <c r="AF773" s="749"/>
      <c r="AG773" s="749"/>
      <c r="AH773" s="749"/>
      <c r="AI773" s="749"/>
      <c r="AJ773" s="749"/>
      <c r="AK773" s="845">
        <v>6.2913812295205984</v>
      </c>
      <c r="AL773" s="749"/>
      <c r="AM773" s="845">
        <f t="shared" ref="AM773:AM839" si="1003">Z773-AK773</f>
        <v>-5.6783190966452679</v>
      </c>
      <c r="AN773" s="749"/>
      <c r="AO773" s="749"/>
      <c r="AP773" s="749"/>
      <c r="AQ773" s="749"/>
      <c r="AR773" s="749"/>
      <c r="AS773" s="749"/>
      <c r="AT773" s="749"/>
    </row>
    <row r="774" spans="1:46" ht="12.75" customHeight="1">
      <c r="A774" s="714"/>
      <c r="B774" s="714"/>
      <c r="C774" s="822"/>
      <c r="E774" s="833"/>
      <c r="F774" s="834"/>
      <c r="G774" s="753"/>
      <c r="H774" s="835"/>
      <c r="I774" s="753"/>
      <c r="J774" s="753"/>
      <c r="K774" s="753"/>
      <c r="L774" s="753"/>
      <c r="M774" s="753"/>
      <c r="N774" s="753"/>
      <c r="O774" s="753"/>
      <c r="P774" s="753"/>
      <c r="Q774" s="753"/>
      <c r="R774" s="753"/>
      <c r="S774" s="885"/>
      <c r="T774" s="885"/>
      <c r="U774" s="885"/>
      <c r="V774" s="885"/>
      <c r="W774" s="885"/>
      <c r="X774" s="885"/>
      <c r="Y774" s="885"/>
      <c r="Z774" s="885"/>
      <c r="AA774" s="885"/>
      <c r="AB774" s="885"/>
      <c r="AC774" s="885"/>
      <c r="AD774" s="885"/>
      <c r="AE774" s="885"/>
      <c r="AF774" s="749"/>
      <c r="AG774" s="749"/>
      <c r="AH774" s="749"/>
      <c r="AI774" s="749"/>
      <c r="AJ774" s="749"/>
      <c r="AK774" s="885"/>
      <c r="AL774" s="749"/>
      <c r="AM774" s="885">
        <f t="shared" si="1003"/>
        <v>0</v>
      </c>
      <c r="AN774" s="749"/>
      <c r="AO774" s="749"/>
      <c r="AP774" s="749"/>
      <c r="AQ774" s="749"/>
      <c r="AR774" s="749"/>
      <c r="AS774" s="749"/>
      <c r="AT774" s="749"/>
    </row>
    <row r="775" spans="1:46" ht="12.75" customHeight="1">
      <c r="A775" s="714"/>
      <c r="B775" s="714"/>
      <c r="C775" s="822"/>
      <c r="D775" s="862"/>
      <c r="E775" s="863" t="s">
        <v>957</v>
      </c>
      <c r="F775" s="864"/>
      <c r="G775" s="865">
        <f>+InputY!$G$3</f>
        <v>1995</v>
      </c>
      <c r="H775" s="865">
        <f>+G775+1</f>
        <v>1996</v>
      </c>
      <c r="I775" s="865">
        <f t="shared" ref="I775:O775" si="1004">+H775+1</f>
        <v>1997</v>
      </c>
      <c r="J775" s="865">
        <f t="shared" si="1004"/>
        <v>1998</v>
      </c>
      <c r="K775" s="865">
        <f t="shared" si="1004"/>
        <v>1999</v>
      </c>
      <c r="L775" s="865">
        <f t="shared" si="1004"/>
        <v>2000</v>
      </c>
      <c r="M775" s="865">
        <f t="shared" si="1004"/>
        <v>2001</v>
      </c>
      <c r="N775" s="865">
        <f t="shared" si="1004"/>
        <v>2002</v>
      </c>
      <c r="O775" s="865">
        <f t="shared" si="1004"/>
        <v>2003</v>
      </c>
      <c r="P775" s="865">
        <f t="shared" ref="P775:U775" si="1005">+O775+1</f>
        <v>2004</v>
      </c>
      <c r="Q775" s="865">
        <f t="shared" si="1005"/>
        <v>2005</v>
      </c>
      <c r="R775" s="865">
        <f t="shared" si="1005"/>
        <v>2006</v>
      </c>
      <c r="S775" s="865">
        <f t="shared" si="1005"/>
        <v>2007</v>
      </c>
      <c r="T775" s="865">
        <f t="shared" si="1005"/>
        <v>2008</v>
      </c>
      <c r="U775" s="865">
        <f t="shared" si="1005"/>
        <v>2009</v>
      </c>
      <c r="V775" s="865">
        <f t="shared" ref="V775:AE775" si="1006">+U775+1</f>
        <v>2010</v>
      </c>
      <c r="W775" s="865">
        <f t="shared" si="1006"/>
        <v>2011</v>
      </c>
      <c r="X775" s="865">
        <f t="shared" si="1006"/>
        <v>2012</v>
      </c>
      <c r="Y775" s="865">
        <f t="shared" si="1006"/>
        <v>2013</v>
      </c>
      <c r="Z775" s="865">
        <f t="shared" si="1006"/>
        <v>2014</v>
      </c>
      <c r="AA775" s="865">
        <f t="shared" si="1006"/>
        <v>2015</v>
      </c>
      <c r="AB775" s="865">
        <f t="shared" si="1006"/>
        <v>2016</v>
      </c>
      <c r="AC775" s="865">
        <f t="shared" si="1006"/>
        <v>2017</v>
      </c>
      <c r="AD775" s="865">
        <f t="shared" si="1006"/>
        <v>2018</v>
      </c>
      <c r="AE775" s="865">
        <f t="shared" si="1006"/>
        <v>2019</v>
      </c>
      <c r="AF775" s="749"/>
      <c r="AG775" s="749"/>
      <c r="AH775" s="749"/>
      <c r="AI775" s="749"/>
      <c r="AJ775" s="749"/>
      <c r="AK775" s="865">
        <v>2014</v>
      </c>
      <c r="AL775" s="749"/>
      <c r="AM775" s="865">
        <f t="shared" si="1003"/>
        <v>0</v>
      </c>
      <c r="AN775" s="749"/>
      <c r="AO775" s="749"/>
      <c r="AP775" s="749"/>
      <c r="AQ775" s="749"/>
      <c r="AR775" s="749"/>
      <c r="AS775" s="749"/>
      <c r="AT775" s="749"/>
    </row>
    <row r="776" spans="1:46" ht="12.75" customHeight="1">
      <c r="A776" s="714"/>
      <c r="B776" s="714"/>
      <c r="C776" s="866" t="s">
        <v>622</v>
      </c>
      <c r="D776" s="867" t="s">
        <v>589</v>
      </c>
      <c r="E776" s="868" t="s">
        <v>249</v>
      </c>
      <c r="F776" s="869" t="s">
        <v>958</v>
      </c>
      <c r="G776" s="878">
        <f ca="1">+G764/'VVP2'!G$355</f>
        <v>0.13141225268681803</v>
      </c>
      <c r="H776" s="878">
        <f>+H764/'VVP2'!H$355</f>
        <v>0.11573688168696868</v>
      </c>
      <c r="I776" s="878">
        <f>+I764/'VVP2'!I$355</f>
        <v>0.10856370815958144</v>
      </c>
      <c r="J776" s="878">
        <f>+J764/'VVP2'!J$355</f>
        <v>0.10426219329130171</v>
      </c>
      <c r="K776" s="878">
        <f>+K764/'VVP2'!K$355</f>
        <v>0.10504860252389189</v>
      </c>
      <c r="L776" s="878">
        <f>+L764/'VVP2'!L$355</f>
        <v>9.9336230065602604E-2</v>
      </c>
      <c r="M776" s="878">
        <f>+M764/'VVP2'!M$355</f>
        <v>0.1100871971839253</v>
      </c>
      <c r="N776" s="878">
        <f>+N764/'VVP2'!N$355</f>
        <v>0.10300179848334086</v>
      </c>
      <c r="O776" s="878">
        <f>+O764/'VVP2'!O$355</f>
        <v>0.10050294282585581</v>
      </c>
      <c r="P776" s="878">
        <f>+P764/'VVP2'!P$355</f>
        <v>8.9423951192926537E-2</v>
      </c>
      <c r="Q776" s="878">
        <f>+Q764/'VVP2'!Q$355</f>
        <v>8.7694329794966497E-2</v>
      </c>
      <c r="R776" s="878">
        <f>+R764/'VVP2'!R$355</f>
        <v>9.2134043098357613E-2</v>
      </c>
      <c r="S776" s="878">
        <f>+S764/'VVP2'!S$355</f>
        <v>9.358784494324987E-2</v>
      </c>
      <c r="T776" s="878">
        <f>+T764/'VVP2'!T$355</f>
        <v>0.10069114252459788</v>
      </c>
      <c r="U776" s="878">
        <f>+U764/'VVP2'!U$355</f>
        <v>0.1119372580681693</v>
      </c>
      <c r="V776" s="878">
        <f>+V764/'VVP2'!V$355</f>
        <v>9.0732277824873003E-2</v>
      </c>
      <c r="W776" s="878">
        <f>+W764/'VVP2'!W$355</f>
        <v>8.0865182140207034E-2</v>
      </c>
      <c r="X776" s="2884">
        <f>+X764/'VVP2'!X$355</f>
        <v>7.6935464016654451E-2</v>
      </c>
      <c r="Y776" s="2884">
        <f>+Y764/'VVP2'!Y$355</f>
        <v>7.4501745680657414E-2</v>
      </c>
      <c r="Z776" s="2884">
        <f>+Z764/'VVP2'!Z$355</f>
        <v>7.2768070605129048E-2</v>
      </c>
      <c r="AA776" s="2884">
        <f>+AA764/'VVP2'!AA$355</f>
        <v>6.8824749923983117E-2</v>
      </c>
      <c r="AB776" s="2884">
        <f>+AB764/'VVP2'!AB$355</f>
        <v>6.4414615443528347E-2</v>
      </c>
      <c r="AC776" s="2884">
        <f>+AC764/'VVP2'!AC$355</f>
        <v>6.3392225468691915E-2</v>
      </c>
      <c r="AD776" s="2884">
        <f ca="1">+AD764/'VVP2'!AD$355</f>
        <v>6.1135089473399296E-2</v>
      </c>
      <c r="AE776" s="2884">
        <f ca="1">+AE764/'VVP2'!AE$355</f>
        <v>6.3707768806809686E-2</v>
      </c>
      <c r="AF776" s="749"/>
      <c r="AG776" s="749"/>
      <c r="AH776" s="749"/>
      <c r="AI776" s="749"/>
      <c r="AJ776" s="749"/>
      <c r="AK776" s="2884">
        <v>8.2061200076154431E-2</v>
      </c>
      <c r="AL776" s="749"/>
      <c r="AM776" s="2884">
        <f t="shared" si="1003"/>
        <v>-9.2931294710253826E-3</v>
      </c>
      <c r="AN776" s="749"/>
      <c r="AO776" s="749"/>
      <c r="AP776" s="749"/>
      <c r="AQ776" s="749"/>
      <c r="AR776" s="749"/>
      <c r="AS776" s="749"/>
      <c r="AT776" s="749"/>
    </row>
    <row r="777" spans="1:46" ht="12.75" customHeight="1">
      <c r="A777" s="714"/>
      <c r="B777" s="714"/>
      <c r="C777" s="870" t="s">
        <v>622</v>
      </c>
      <c r="D777" s="724" t="s">
        <v>590</v>
      </c>
      <c r="E777" s="830" t="s">
        <v>249</v>
      </c>
      <c r="F777" s="754" t="s">
        <v>2060</v>
      </c>
      <c r="G777" s="879">
        <f ca="1">+G765/'VVP2'!G$355</f>
        <v>0.14914705230895051</v>
      </c>
      <c r="H777" s="879">
        <f>+H765/'VVP2'!H$355</f>
        <v>0.14936807222666781</v>
      </c>
      <c r="I777" s="879">
        <f>+I765/'VVP2'!I$355</f>
        <v>0.15112624005006012</v>
      </c>
      <c r="J777" s="879">
        <f>+J765/'VVP2'!J$355</f>
        <v>0.14262850036845984</v>
      </c>
      <c r="K777" s="879">
        <f>+K765/'VVP2'!K$355</f>
        <v>0.14464225758109284</v>
      </c>
      <c r="L777" s="879">
        <f>+L765/'VVP2'!L$355</f>
        <v>0.14695998017210002</v>
      </c>
      <c r="M777" s="879">
        <f>+M765/'VVP2'!M$355</f>
        <v>0.12886491660283148</v>
      </c>
      <c r="N777" s="879">
        <f>+N765/'VVP2'!N$355</f>
        <v>0.13865517653820852</v>
      </c>
      <c r="O777" s="879">
        <f>+O765/'VVP2'!O$355</f>
        <v>0.15163823497672799</v>
      </c>
      <c r="P777" s="879">
        <f>+P765/'VVP2'!P$355</f>
        <v>0.16042439710917714</v>
      </c>
      <c r="Q777" s="879">
        <f>+Q765/'VVP2'!Q$355</f>
        <v>0.16082371690325695</v>
      </c>
      <c r="R777" s="879">
        <f>+R765/'VVP2'!R$355</f>
        <v>0.15837007109181009</v>
      </c>
      <c r="S777" s="879">
        <f>+S765/'VVP2'!S$355</f>
        <v>0.16410980164629946</v>
      </c>
      <c r="T777" s="879">
        <f>+T765/'VVP2'!T$355</f>
        <v>0.15383012032505802</v>
      </c>
      <c r="U777" s="879">
        <f>+U765/'VVP2'!U$355</f>
        <v>0.13549874118752422</v>
      </c>
      <c r="V777" s="879">
        <f>+V765/'VVP2'!V$355</f>
        <v>0.18259931169636848</v>
      </c>
      <c r="W777" s="879">
        <f>+W765/'VVP2'!W$355</f>
        <v>0.16532566195813683</v>
      </c>
      <c r="X777" s="2885">
        <f>+X765/'VVP2'!X$355</f>
        <v>0.17179995566452749</v>
      </c>
      <c r="Y777" s="2885">
        <f>+Y765/'VVP2'!Y$355</f>
        <v>0.15759069051877991</v>
      </c>
      <c r="Z777" s="2885">
        <f>+Z765/'VVP2'!Z$355</f>
        <v>0.15737186357229618</v>
      </c>
      <c r="AA777" s="2885">
        <f>+AA765/'VVP2'!AA$355</f>
        <v>0.16056444476497136</v>
      </c>
      <c r="AB777" s="2885">
        <f>+AB765/'VVP2'!AB$355</f>
        <v>0.17691592735015657</v>
      </c>
      <c r="AC777" s="2885">
        <f>+AC765/'VVP2'!AC$355</f>
        <v>0.17494395818526809</v>
      </c>
      <c r="AD777" s="2885">
        <f ca="1">+AD765/'VVP2'!AD$355</f>
        <v>0.18029696943646953</v>
      </c>
      <c r="AE777" s="2885">
        <f ca="1">+AE765/'VVP2'!AE$355</f>
        <v>0.18196676874502682</v>
      </c>
      <c r="AF777" s="749"/>
      <c r="AG777" s="749"/>
      <c r="AH777" s="749"/>
      <c r="AI777" s="749"/>
      <c r="AJ777" s="749"/>
      <c r="AK777" s="2885">
        <v>0.14236989594884275</v>
      </c>
      <c r="AL777" s="749"/>
      <c r="AM777" s="2885">
        <f t="shared" si="1003"/>
        <v>1.5001967623453433E-2</v>
      </c>
      <c r="AN777" s="749"/>
      <c r="AO777" s="749"/>
      <c r="AP777" s="749"/>
      <c r="AQ777" s="749"/>
      <c r="AR777" s="749"/>
      <c r="AS777" s="749"/>
      <c r="AT777" s="749"/>
    </row>
    <row r="778" spans="1:46" ht="12.75" customHeight="1">
      <c r="A778" s="714"/>
      <c r="B778" s="714"/>
      <c r="C778" s="871" t="s">
        <v>622</v>
      </c>
      <c r="D778" s="872" t="s">
        <v>591</v>
      </c>
      <c r="E778" s="873" t="s">
        <v>249</v>
      </c>
      <c r="F778" s="874" t="s">
        <v>2061</v>
      </c>
      <c r="G778" s="880">
        <f ca="1">+G766/'VVP2'!G$355</f>
        <v>-1.5520316076232341E-2</v>
      </c>
      <c r="H778" s="880">
        <f>+H766/'VVP2'!H$355</f>
        <v>-1.0597733469666014E-2</v>
      </c>
      <c r="I778" s="880">
        <f>+I766/'VVP2'!I$355</f>
        <v>8.9348657579566733E-3</v>
      </c>
      <c r="J778" s="880">
        <f>+J766/'VVP2'!J$355</f>
        <v>2.1090061137039765E-2</v>
      </c>
      <c r="K778" s="880">
        <f>+K766/'VVP2'!K$355</f>
        <v>2.5505064980796441E-2</v>
      </c>
      <c r="L778" s="880">
        <f>+L766/'VVP2'!L$355</f>
        <v>3.1114699754474867E-2</v>
      </c>
      <c r="M778" s="880">
        <f>+M766/'VVP2'!M$355</f>
        <v>2.8262331990410471E-2</v>
      </c>
      <c r="N778" s="880">
        <f>+N766/'VVP2'!N$355</f>
        <v>2.5036618604105065E-2</v>
      </c>
      <c r="O778" s="880">
        <f>+O766/'VVP2'!O$355</f>
        <v>1.2813277832127072E-2</v>
      </c>
      <c r="P778" s="880">
        <f>+P766/'VVP2'!P$355</f>
        <v>2.0416067982811474E-2</v>
      </c>
      <c r="Q778" s="880">
        <f>+Q766/'VVP2'!Q$355</f>
        <v>2.1450118273742647E-2</v>
      </c>
      <c r="R778" s="880">
        <f>+R766/'VVP2'!R$355</f>
        <v>2.510116723060318E-2</v>
      </c>
      <c r="S778" s="880">
        <f>+S766/'VVP2'!S$355</f>
        <v>2.6601298183268694E-2</v>
      </c>
      <c r="T778" s="880">
        <f>+T766/'VVP2'!T$355</f>
        <v>1.6322385183097241E-2</v>
      </c>
      <c r="U778" s="880">
        <f>+U766/'VVP2'!U$355</f>
        <v>-2.2167198853378312E-2</v>
      </c>
      <c r="V778" s="880">
        <f>+V766/'VVP2'!V$355</f>
        <v>-9.429732361363451E-3</v>
      </c>
      <c r="W778" s="880">
        <f>+W766/'VVP2'!W$355</f>
        <v>-3.9962406322447989E-3</v>
      </c>
      <c r="X778" s="880">
        <f>+X766/'VVP2'!X$355</f>
        <v>-1.6469673169116543E-3</v>
      </c>
      <c r="Y778" s="2886">
        <f>+Y766/'VVP2'!Y$355</f>
        <v>1.3100888566492512E-3</v>
      </c>
      <c r="Z778" s="2886">
        <f>+Z766/'VVP2'!Z$355</f>
        <v>3.0478040571821265E-5</v>
      </c>
      <c r="AA778" s="2886">
        <f>+AA766/'VVP2'!AA$355</f>
        <v>1.6087801436134293E-3</v>
      </c>
      <c r="AB778" s="2886">
        <f>+AB766/'VVP2'!AB$355</f>
        <v>-1.0067405998935984E-3</v>
      </c>
      <c r="AC778" s="2886">
        <f>+AC766/'VVP2'!AC$355</f>
        <v>1.2398382976277834E-2</v>
      </c>
      <c r="AD778" s="2886">
        <f ca="1">+AD766/'VVP2'!AD$355</f>
        <v>1.2454420453654295E-2</v>
      </c>
      <c r="AE778" s="2886">
        <f ca="1">+AE766/'VVP2'!AE$355</f>
        <v>1.0304246810016128E-2</v>
      </c>
      <c r="AF778" s="749"/>
      <c r="AG778" s="749"/>
      <c r="AH778" s="749"/>
      <c r="AI778" s="749"/>
      <c r="AJ778" s="749"/>
      <c r="AK778" s="2886">
        <v>-2.7628209908768177E-3</v>
      </c>
      <c r="AL778" s="749"/>
      <c r="AM778" s="2886">
        <f t="shared" si="1003"/>
        <v>2.7932990314486388E-3</v>
      </c>
      <c r="AN778" s="749"/>
      <c r="AO778" s="749"/>
      <c r="AP778" s="749"/>
      <c r="AQ778" s="749"/>
      <c r="AR778" s="749"/>
      <c r="AS778" s="749"/>
      <c r="AT778" s="749"/>
    </row>
    <row r="779" spans="1:46" ht="12.75" customHeight="1">
      <c r="A779" s="714"/>
      <c r="B779" s="714"/>
      <c r="C779" s="822" t="s">
        <v>624</v>
      </c>
      <c r="D779" s="850"/>
      <c r="E779" s="851" t="s">
        <v>249</v>
      </c>
      <c r="F779" s="852" t="s">
        <v>2062</v>
      </c>
      <c r="G779" s="881">
        <f ca="1">+G767/'VVP2'!G$355</f>
        <v>0.2650389889195362</v>
      </c>
      <c r="H779" s="881">
        <f>+H767/'VVP2'!H$355</f>
        <v>0.25450722044397051</v>
      </c>
      <c r="I779" s="881">
        <f>+I767/'VVP2'!I$355</f>
        <v>0.26862481396759824</v>
      </c>
      <c r="J779" s="881">
        <f>+J767/'VVP2'!J$355</f>
        <v>0.26798075479680128</v>
      </c>
      <c r="K779" s="881">
        <f>+K767/'VVP2'!K$355</f>
        <v>0.27519592508578117</v>
      </c>
      <c r="L779" s="881">
        <f>+L767/'VVP2'!L$355</f>
        <v>0.27741090999217755</v>
      </c>
      <c r="M779" s="881">
        <f>+M767/'VVP2'!M$355</f>
        <v>0.26721444577716724</v>
      </c>
      <c r="N779" s="881">
        <f>+N767/'VVP2'!N$355</f>
        <v>0.26669359362565448</v>
      </c>
      <c r="O779" s="881">
        <f>+O767/'VVP2'!O$355</f>
        <v>0.26495445563471093</v>
      </c>
      <c r="P779" s="881">
        <f>+P767/'VVP2'!P$355</f>
        <v>0.27026441628491515</v>
      </c>
      <c r="Q779" s="881">
        <f>+Q767/'VVP2'!Q$355</f>
        <v>0.26996816497196607</v>
      </c>
      <c r="R779" s="881">
        <f>+R767/'VVP2'!R$355</f>
        <v>0.27560528142077084</v>
      </c>
      <c r="S779" s="881">
        <f>+S767/'VVP2'!S$355</f>
        <v>0.28429894477281797</v>
      </c>
      <c r="T779" s="881">
        <f>+T767/'VVP2'!T$355</f>
        <v>0.27084364803275318</v>
      </c>
      <c r="U779" s="881">
        <f>+U767/'VVP2'!U$355</f>
        <v>0.2252688004023152</v>
      </c>
      <c r="V779" s="881">
        <f>+V767/'VVP2'!V$355</f>
        <v>0.26390185715987802</v>
      </c>
      <c r="W779" s="881">
        <f>+W767/'VVP2'!W$355</f>
        <v>0.24219460346609906</v>
      </c>
      <c r="X779" s="2887">
        <f>+X767/'VVP2'!X$355</f>
        <v>0.24708845236427029</v>
      </c>
      <c r="Y779" s="2887">
        <f>+Y767/'VVP2'!Y$355</f>
        <v>0.23340252505608661</v>
      </c>
      <c r="Z779" s="2887">
        <f>+Z767/'VVP2'!Z$355</f>
        <v>0.23017041221799708</v>
      </c>
      <c r="AA779" s="2887">
        <f>+AA767/'VVP2'!AA$355</f>
        <v>0.2309979748325679</v>
      </c>
      <c r="AB779" s="2887">
        <f>+AB767/'VVP2'!AB$355</f>
        <v>0.24032380219379132</v>
      </c>
      <c r="AC779" s="2887">
        <f>+AC767/'VVP2'!AC$355</f>
        <v>0.25073456663023785</v>
      </c>
      <c r="AD779" s="2887">
        <f ca="1">+AD767/'VVP2'!AD$355</f>
        <v>0.2538864793635231</v>
      </c>
      <c r="AE779" s="2887">
        <f ca="1">+AE767/'VVP2'!AE$355</f>
        <v>0.25597878436185262</v>
      </c>
      <c r="AF779" s="749"/>
      <c r="AG779" s="749"/>
      <c r="AH779" s="749"/>
      <c r="AI779" s="749"/>
      <c r="AJ779" s="749"/>
      <c r="AK779" s="2887">
        <v>0.22166827503412034</v>
      </c>
      <c r="AL779" s="749"/>
      <c r="AM779" s="2887">
        <f t="shared" si="1003"/>
        <v>8.5021371838767401E-3</v>
      </c>
      <c r="AN779" s="749"/>
      <c r="AO779" s="749"/>
      <c r="AP779" s="749"/>
      <c r="AQ779" s="749"/>
      <c r="AR779" s="749"/>
      <c r="AS779" s="749"/>
      <c r="AT779" s="749"/>
    </row>
    <row r="780" spans="1:46" ht="12.75" customHeight="1">
      <c r="A780" s="714"/>
      <c r="B780" s="714"/>
      <c r="C780" s="822"/>
      <c r="E780" s="833"/>
      <c r="F780" s="834"/>
      <c r="G780" s="753"/>
      <c r="H780" s="835"/>
      <c r="I780" s="753"/>
      <c r="J780" s="753"/>
      <c r="K780" s="753"/>
      <c r="L780" s="753"/>
      <c r="M780" s="753"/>
      <c r="N780" s="753"/>
      <c r="O780" s="753"/>
      <c r="P780" s="753"/>
      <c r="Q780" s="753"/>
      <c r="R780" s="753"/>
      <c r="S780" s="885"/>
      <c r="T780" s="885"/>
      <c r="U780" s="885"/>
      <c r="V780" s="885"/>
      <c r="AF780" s="749"/>
      <c r="AG780" s="749"/>
      <c r="AH780" s="749"/>
      <c r="AI780" s="749"/>
      <c r="AJ780" s="749"/>
      <c r="AL780" s="749"/>
      <c r="AM780" s="2827">
        <f t="shared" si="1003"/>
        <v>0</v>
      </c>
      <c r="AN780" s="749"/>
      <c r="AO780" s="749"/>
      <c r="AP780" s="749"/>
      <c r="AQ780" s="749"/>
      <c r="AR780" s="749"/>
      <c r="AS780" s="749"/>
      <c r="AT780" s="749"/>
    </row>
    <row r="781" spans="1:46" ht="12.75" customHeight="1">
      <c r="A781" s="714"/>
      <c r="B781" s="714"/>
      <c r="C781" s="822"/>
      <c r="D781" s="862"/>
      <c r="E781" s="859" t="s">
        <v>959</v>
      </c>
      <c r="F781" s="860"/>
      <c r="G781" s="861">
        <f>+InputY!$G$3</f>
        <v>1995</v>
      </c>
      <c r="H781" s="861">
        <f>+G781+1</f>
        <v>1996</v>
      </c>
      <c r="I781" s="861">
        <f t="shared" ref="I781:O781" si="1007">+H781+1</f>
        <v>1997</v>
      </c>
      <c r="J781" s="861">
        <f t="shared" si="1007"/>
        <v>1998</v>
      </c>
      <c r="K781" s="861">
        <f t="shared" si="1007"/>
        <v>1999</v>
      </c>
      <c r="L781" s="861">
        <f t="shared" si="1007"/>
        <v>2000</v>
      </c>
      <c r="M781" s="861">
        <f t="shared" si="1007"/>
        <v>2001</v>
      </c>
      <c r="N781" s="861">
        <f t="shared" si="1007"/>
        <v>2002</v>
      </c>
      <c r="O781" s="861">
        <f t="shared" si="1007"/>
        <v>2003</v>
      </c>
      <c r="P781" s="861">
        <f t="shared" ref="P781:U781" si="1008">+O781+1</f>
        <v>2004</v>
      </c>
      <c r="Q781" s="861">
        <f t="shared" si="1008"/>
        <v>2005</v>
      </c>
      <c r="R781" s="861">
        <f t="shared" si="1008"/>
        <v>2006</v>
      </c>
      <c r="S781" s="861">
        <f t="shared" si="1008"/>
        <v>2007</v>
      </c>
      <c r="T781" s="861">
        <f t="shared" si="1008"/>
        <v>2008</v>
      </c>
      <c r="U781" s="861">
        <f t="shared" si="1008"/>
        <v>2009</v>
      </c>
      <c r="V781" s="861">
        <f t="shared" ref="V781:AE781" si="1009">+U781+1</f>
        <v>2010</v>
      </c>
      <c r="W781" s="861">
        <f t="shared" si="1009"/>
        <v>2011</v>
      </c>
      <c r="X781" s="861">
        <f t="shared" si="1009"/>
        <v>2012</v>
      </c>
      <c r="Y781" s="861">
        <f t="shared" si="1009"/>
        <v>2013</v>
      </c>
      <c r="Z781" s="861">
        <f t="shared" si="1009"/>
        <v>2014</v>
      </c>
      <c r="AA781" s="861">
        <f t="shared" si="1009"/>
        <v>2015</v>
      </c>
      <c r="AB781" s="861">
        <f t="shared" si="1009"/>
        <v>2016</v>
      </c>
      <c r="AC781" s="861">
        <f t="shared" si="1009"/>
        <v>2017</v>
      </c>
      <c r="AD781" s="861">
        <f t="shared" si="1009"/>
        <v>2018</v>
      </c>
      <c r="AE781" s="861">
        <f t="shared" si="1009"/>
        <v>2019</v>
      </c>
      <c r="AF781" s="749"/>
      <c r="AG781" s="749"/>
      <c r="AH781" s="749"/>
      <c r="AI781" s="749"/>
      <c r="AJ781" s="749"/>
      <c r="AK781" s="861">
        <v>2014</v>
      </c>
      <c r="AL781" s="749"/>
      <c r="AM781" s="861">
        <f t="shared" si="1003"/>
        <v>0</v>
      </c>
      <c r="AN781" s="749"/>
      <c r="AO781" s="749"/>
      <c r="AP781" s="749"/>
      <c r="AQ781" s="749"/>
      <c r="AR781" s="749"/>
      <c r="AS781" s="749"/>
      <c r="AT781" s="749"/>
    </row>
    <row r="782" spans="1:46" ht="12.75" customHeight="1">
      <c r="A782" s="714"/>
      <c r="B782" s="714"/>
      <c r="C782" s="854" t="s">
        <v>622</v>
      </c>
      <c r="D782" s="855" t="s">
        <v>589</v>
      </c>
      <c r="E782" s="1416" t="s">
        <v>2111</v>
      </c>
      <c r="F782" s="1417" t="s">
        <v>261</v>
      </c>
      <c r="G782" s="1448">
        <f t="shared" ref="G782:AA782" ca="1" si="1010">+G764/(G644+G666)</f>
        <v>0.19729546712559318</v>
      </c>
      <c r="H782" s="1448">
        <f t="shared" si="1010"/>
        <v>0.17650145410220702</v>
      </c>
      <c r="I782" s="1448">
        <f t="shared" si="1010"/>
        <v>0.16915914143392236</v>
      </c>
      <c r="J782" s="1448">
        <f t="shared" si="1010"/>
        <v>0.16331029249484999</v>
      </c>
      <c r="K782" s="1448">
        <f t="shared" si="1010"/>
        <v>0.16680710514681035</v>
      </c>
      <c r="L782" s="1448">
        <f t="shared" si="1010"/>
        <v>0.15857946901954595</v>
      </c>
      <c r="M782" s="1448">
        <f t="shared" si="1010"/>
        <v>0.17257305775024367</v>
      </c>
      <c r="N782" s="1448">
        <f t="shared" si="1010"/>
        <v>0.16555903243431183</v>
      </c>
      <c r="O782" s="1448">
        <f t="shared" si="1010"/>
        <v>0.16305849045556359</v>
      </c>
      <c r="P782" s="1448">
        <f t="shared" si="1010"/>
        <v>0.14976320482796418</v>
      </c>
      <c r="Q782" s="1448">
        <f t="shared" si="1010"/>
        <v>0.14766810667096272</v>
      </c>
      <c r="R782" s="1448">
        <f t="shared" si="1010"/>
        <v>0.15430612565074592</v>
      </c>
      <c r="S782" s="1448">
        <f t="shared" si="1010"/>
        <v>0.1572728114777675</v>
      </c>
      <c r="T782" s="1448">
        <f t="shared" si="1010"/>
        <v>0.16425870193822817</v>
      </c>
      <c r="U782" s="1448">
        <f t="shared" si="1010"/>
        <v>0.17698933710145581</v>
      </c>
      <c r="V782" s="1448">
        <f t="shared" si="1010"/>
        <v>0.14866934776296328</v>
      </c>
      <c r="W782" s="1448">
        <f t="shared" si="1010"/>
        <v>0.13521404939978118</v>
      </c>
      <c r="X782" s="2891">
        <f t="shared" si="1010"/>
        <v>0.12906140270750799</v>
      </c>
      <c r="Y782" s="2891">
        <f t="shared" si="1010"/>
        <v>0.12512049750272669</v>
      </c>
      <c r="Z782" s="2891">
        <f t="shared" si="1010"/>
        <v>0.12341558157625808</v>
      </c>
      <c r="AA782" s="2891">
        <f t="shared" si="1010"/>
        <v>0.11862161233781338</v>
      </c>
      <c r="AB782" s="2891">
        <f t="shared" ref="AB782:AC782" si="1011">+AB764/(AB644+AB666)</f>
        <v>0.11176262627919704</v>
      </c>
      <c r="AC782" s="2891">
        <f t="shared" si="1011"/>
        <v>0.11095548651789645</v>
      </c>
      <c r="AD782" s="2891">
        <f t="shared" ref="AD782" ca="1" si="1012">+AD764/(AD644+AD666)</f>
        <v>0.10744534259123818</v>
      </c>
      <c r="AE782" s="2891">
        <f t="shared" ref="AE782" ca="1" si="1013">+AE764/(AE644+AE666)</f>
        <v>0.11182108201493894</v>
      </c>
      <c r="AF782" s="749"/>
      <c r="AG782" s="749"/>
      <c r="AH782" s="749"/>
      <c r="AI782" s="749"/>
      <c r="AJ782" s="749"/>
      <c r="AK782" s="2891">
        <v>0.13729725973349238</v>
      </c>
      <c r="AL782" s="749"/>
      <c r="AM782" s="2891">
        <f t="shared" si="1003"/>
        <v>-1.3881678157234303E-2</v>
      </c>
      <c r="AN782" s="749"/>
      <c r="AO782" s="749"/>
      <c r="AP782" s="749"/>
      <c r="AQ782" s="749"/>
      <c r="AR782" s="749"/>
      <c r="AS782" s="749"/>
      <c r="AT782" s="749"/>
    </row>
    <row r="783" spans="1:46" ht="30" customHeight="1">
      <c r="A783" s="714"/>
      <c r="B783" s="714"/>
      <c r="C783" s="822"/>
      <c r="S783" s="2162"/>
      <c r="T783" s="2162"/>
      <c r="U783" s="2162"/>
      <c r="AM783" s="2827">
        <f t="shared" si="1003"/>
        <v>0</v>
      </c>
    </row>
    <row r="784" spans="1:46" ht="30" customHeight="1">
      <c r="S784" s="2162"/>
      <c r="T784" s="2162"/>
      <c r="U784" s="2162"/>
      <c r="AM784" s="2827">
        <f t="shared" si="1003"/>
        <v>0</v>
      </c>
    </row>
    <row r="785" spans="1:46" ht="22.5" customHeight="1">
      <c r="A785" s="603"/>
      <c r="B785" s="603"/>
      <c r="C785" s="4124" t="s">
        <v>250</v>
      </c>
      <c r="D785" s="4124"/>
      <c r="E785" s="4124"/>
      <c r="F785" s="4124"/>
      <c r="R785" s="2218"/>
      <c r="S785" s="2845">
        <v>4040.5</v>
      </c>
      <c r="T785" s="2845">
        <v>3906.7</v>
      </c>
      <c r="U785" s="2233">
        <v>5169.8999999999996</v>
      </c>
      <c r="AM785" s="2827">
        <f t="shared" si="1003"/>
        <v>0</v>
      </c>
    </row>
    <row r="786" spans="1:46" ht="12.75" customHeight="1">
      <c r="A786" s="714"/>
      <c r="B786" s="714"/>
      <c r="C786" s="822"/>
      <c r="R786" s="2233"/>
      <c r="S786" s="2233"/>
      <c r="T786" s="2233"/>
      <c r="U786" s="2233"/>
      <c r="V786" s="2233"/>
      <c r="W786" s="2233"/>
      <c r="X786" s="2233"/>
      <c r="Y786" s="2233"/>
      <c r="Z786" s="2233"/>
      <c r="AA786" s="2233"/>
      <c r="AB786" s="2233"/>
      <c r="AC786" s="2233"/>
      <c r="AD786" s="2233"/>
      <c r="AE786" s="2233"/>
      <c r="AK786" s="2233"/>
      <c r="AM786" s="2233">
        <f t="shared" si="1003"/>
        <v>0</v>
      </c>
    </row>
    <row r="787" spans="1:46" ht="12.75" customHeight="1">
      <c r="A787" s="714"/>
      <c r="B787" s="714"/>
      <c r="C787" s="822"/>
      <c r="D787" s="823"/>
      <c r="E787" s="824" t="s">
        <v>1803</v>
      </c>
      <c r="F787" s="825"/>
      <c r="G787" s="826">
        <f>+InputY!$G$3</f>
        <v>1995</v>
      </c>
      <c r="H787" s="826">
        <f>+G787+1</f>
        <v>1996</v>
      </c>
      <c r="I787" s="826">
        <f t="shared" ref="I787:S787" si="1014">+H787+1</f>
        <v>1997</v>
      </c>
      <c r="J787" s="826">
        <f t="shared" si="1014"/>
        <v>1998</v>
      </c>
      <c r="K787" s="826">
        <f t="shared" si="1014"/>
        <v>1999</v>
      </c>
      <c r="L787" s="826">
        <f t="shared" si="1014"/>
        <v>2000</v>
      </c>
      <c r="M787" s="826">
        <f t="shared" si="1014"/>
        <v>2001</v>
      </c>
      <c r="N787" s="826">
        <f t="shared" si="1014"/>
        <v>2002</v>
      </c>
      <c r="O787" s="826">
        <f t="shared" si="1014"/>
        <v>2003</v>
      </c>
      <c r="P787" s="826">
        <f>+O787+1</f>
        <v>2004</v>
      </c>
      <c r="Q787" s="826">
        <f>+P787+1</f>
        <v>2005</v>
      </c>
      <c r="R787" s="826">
        <f>+Q787+1</f>
        <v>2006</v>
      </c>
      <c r="S787" s="2163">
        <f t="shared" si="1014"/>
        <v>2007</v>
      </c>
      <c r="T787" s="2163">
        <f t="shared" ref="T787:AE787" si="1015">+S787+1</f>
        <v>2008</v>
      </c>
      <c r="U787" s="2163">
        <f t="shared" si="1015"/>
        <v>2009</v>
      </c>
      <c r="V787" s="2163">
        <f t="shared" si="1015"/>
        <v>2010</v>
      </c>
      <c r="W787" s="2163">
        <f t="shared" si="1015"/>
        <v>2011</v>
      </c>
      <c r="X787" s="2163">
        <f t="shared" si="1015"/>
        <v>2012</v>
      </c>
      <c r="Y787" s="2163">
        <f t="shared" si="1015"/>
        <v>2013</v>
      </c>
      <c r="Z787" s="2163">
        <f t="shared" si="1015"/>
        <v>2014</v>
      </c>
      <c r="AA787" s="2163">
        <f t="shared" si="1015"/>
        <v>2015</v>
      </c>
      <c r="AB787" s="2163">
        <f t="shared" si="1015"/>
        <v>2016</v>
      </c>
      <c r="AC787" s="2163">
        <f t="shared" si="1015"/>
        <v>2017</v>
      </c>
      <c r="AD787" s="2163">
        <f t="shared" si="1015"/>
        <v>2018</v>
      </c>
      <c r="AE787" s="2163">
        <f t="shared" si="1015"/>
        <v>2019</v>
      </c>
      <c r="AK787" s="2163">
        <v>2014</v>
      </c>
      <c r="AM787" s="2163">
        <f t="shared" si="1003"/>
        <v>0</v>
      </c>
    </row>
    <row r="788" spans="1:46" ht="12.75" customHeight="1">
      <c r="A788" s="714">
        <f>+ROW(InputY!A167)</f>
        <v>167</v>
      </c>
      <c r="B788" s="714">
        <v>130</v>
      </c>
      <c r="C788" s="827" t="s">
        <v>622</v>
      </c>
      <c r="D788" s="718" t="s">
        <v>591</v>
      </c>
      <c r="E788" s="750" t="s">
        <v>1694</v>
      </c>
      <c r="F788" s="751" t="str">
        <f>+InputY!B167</f>
        <v>YACapTax</v>
      </c>
      <c r="G788" s="828">
        <f>+InputY!G167/1000</f>
        <v>0.7612000000000001</v>
      </c>
      <c r="H788" s="828">
        <f>+InputY!H167/1000</f>
        <v>0.83029999999999993</v>
      </c>
      <c r="I788" s="828">
        <f>+InputY!I167/1000</f>
        <v>0.81599999999999995</v>
      </c>
      <c r="J788" s="828">
        <f>+InputY!J167/1000</f>
        <v>0.95620000000000005</v>
      </c>
      <c r="K788" s="828">
        <f>+InputY!K167/1000</f>
        <v>1.0222</v>
      </c>
      <c r="L788" s="828">
        <f>+InputY!L167/1000</f>
        <v>1.1747999999999998</v>
      </c>
      <c r="M788" s="828">
        <f>+InputY!M167/1000</f>
        <v>1.2061999999999999</v>
      </c>
      <c r="N788" s="828">
        <f>+InputY!N167/1000</f>
        <v>1.2559</v>
      </c>
      <c r="O788" s="828">
        <f>+InputY!O167/1000</f>
        <v>1.3904000000000001</v>
      </c>
      <c r="P788" s="828">
        <f>+InputY!P167/1000</f>
        <v>2.1766000000000001</v>
      </c>
      <c r="Q788" s="828">
        <f>+InputY!Q167/1000</f>
        <v>1.8728</v>
      </c>
      <c r="R788" s="828">
        <f>+InputY!R167/1000</f>
        <v>2.1533000000000002</v>
      </c>
      <c r="S788" s="828">
        <f>+InputY!S167/1000</f>
        <v>2.2157</v>
      </c>
      <c r="T788" s="828">
        <f>+InputY!T167/1000</f>
        <v>2.3700999999999999</v>
      </c>
      <c r="U788" s="828">
        <f>+InputY!U167/1000</f>
        <v>2.2346999999999997</v>
      </c>
      <c r="V788" s="828">
        <f>+InputY!V167/1000</f>
        <v>2.5963000000000003</v>
      </c>
      <c r="W788" s="828">
        <f>+InputY!W167/1000</f>
        <v>2.7716999999999996</v>
      </c>
      <c r="X788" s="2956">
        <f>+InputY!X167/1000</f>
        <v>3.3180000000000001</v>
      </c>
      <c r="Y788" s="2956">
        <f>+InputY!Y167/1000</f>
        <v>3.9729999999999999</v>
      </c>
      <c r="Z788" s="2956">
        <f>+InputY!Z167/1000</f>
        <v>3.8996</v>
      </c>
      <c r="AA788" s="2956">
        <f>+InputY!AA167/1000</f>
        <v>3.6375000000000002</v>
      </c>
      <c r="AB788" s="2956">
        <f>+InputY!AB167/1000</f>
        <v>3.3464999999999998</v>
      </c>
      <c r="AC788" s="2956">
        <f>+InputY!AC167/1000</f>
        <v>3.6185</v>
      </c>
      <c r="AD788" s="3366">
        <f t="shared" ref="AD788:AE790" si="1016">+AC788*(1+AD801/100)</f>
        <v>3.8460691613307296</v>
      </c>
      <c r="AE788" s="3366">
        <f t="shared" si="1016"/>
        <v>4.1226336221253046</v>
      </c>
      <c r="AK788" s="2956">
        <v>3.9064000000000001</v>
      </c>
      <c r="AM788" s="2956">
        <f t="shared" si="1003"/>
        <v>-6.8000000000001393E-3</v>
      </c>
    </row>
    <row r="789" spans="1:46" ht="12.75" customHeight="1">
      <c r="A789" s="714">
        <f>+ROW(InputY!A169)</f>
        <v>169</v>
      </c>
      <c r="B789" s="714">
        <v>148</v>
      </c>
      <c r="C789" s="829" t="s">
        <v>2133</v>
      </c>
      <c r="D789" s="1082" t="s">
        <v>591</v>
      </c>
      <c r="E789" s="1083" t="s">
        <v>599</v>
      </c>
      <c r="F789" s="754"/>
      <c r="G789" s="756">
        <f>+InputY!G169/1000</f>
        <v>0</v>
      </c>
      <c r="H789" s="756">
        <f>+InputY!H169/1000</f>
        <v>0</v>
      </c>
      <c r="I789" s="756">
        <f>+InputY!I169/1000</f>
        <v>0</v>
      </c>
      <c r="J789" s="756">
        <f>+InputY!J169/1000</f>
        <v>0</v>
      </c>
      <c r="K789" s="756">
        <f>+InputY!K169/1000</f>
        <v>0</v>
      </c>
      <c r="L789" s="756">
        <f>+InputY!L169/1000</f>
        <v>0</v>
      </c>
      <c r="M789" s="756">
        <f>+InputY!M169/1000</f>
        <v>0</v>
      </c>
      <c r="N789" s="756">
        <f>+InputY!N169/1000</f>
        <v>0</v>
      </c>
      <c r="O789" s="756">
        <f>+InputY!O169/1000</f>
        <v>0</v>
      </c>
      <c r="P789" s="756">
        <f>+InputY!P169/1000</f>
        <v>0</v>
      </c>
      <c r="Q789" s="756">
        <f>+InputY!Q169/1000</f>
        <v>0</v>
      </c>
      <c r="R789" s="756">
        <f>+InputY!R169/1000</f>
        <v>0</v>
      </c>
      <c r="S789" s="756">
        <f>+InputY!S169/1000</f>
        <v>0</v>
      </c>
      <c r="T789" s="756">
        <f>+InputY!T169/1000</f>
        <v>0</v>
      </c>
      <c r="U789" s="756">
        <f>+InputY!U169/1000</f>
        <v>0</v>
      </c>
      <c r="V789" s="756">
        <f>+InputY!V169/1000</f>
        <v>0</v>
      </c>
      <c r="W789" s="756">
        <f>+InputY!W169/1000</f>
        <v>0</v>
      </c>
      <c r="X789" s="756">
        <f>+InputY!X169/1000</f>
        <v>0</v>
      </c>
      <c r="Y789" s="756">
        <f>+InputY!Y169/1000</f>
        <v>0</v>
      </c>
      <c r="Z789" s="756">
        <f>+InputY!Z169/1000</f>
        <v>0</v>
      </c>
      <c r="AA789" s="756">
        <f>+InputY!AA169/1000</f>
        <v>0</v>
      </c>
      <c r="AB789" s="756">
        <f>+InputY!AB169/1000</f>
        <v>0</v>
      </c>
      <c r="AC789" s="756">
        <f>+InputY!AC169/1000</f>
        <v>0</v>
      </c>
      <c r="AD789" s="2240">
        <f t="shared" si="1016"/>
        <v>0</v>
      </c>
      <c r="AE789" s="2240">
        <f t="shared" si="1016"/>
        <v>0</v>
      </c>
      <c r="AK789" s="756">
        <v>0</v>
      </c>
      <c r="AM789" s="756">
        <f t="shared" si="1003"/>
        <v>0</v>
      </c>
    </row>
    <row r="790" spans="1:46" ht="12.75" customHeight="1">
      <c r="B790" s="714"/>
      <c r="C790" s="829" t="s">
        <v>622</v>
      </c>
      <c r="D790" s="724" t="s">
        <v>591</v>
      </c>
      <c r="E790" s="830" t="s">
        <v>598</v>
      </c>
      <c r="F790" s="754" t="str">
        <f>+InputY!B165</f>
        <v>YACap</v>
      </c>
      <c r="G790" s="756">
        <f>+G791-G788+G789</f>
        <v>0.15250000000000008</v>
      </c>
      <c r="H790" s="756">
        <f t="shared" ref="H790:R790" si="1017">+H791-H788+H789</f>
        <v>0.15140000000000009</v>
      </c>
      <c r="I790" s="756">
        <f t="shared" si="1017"/>
        <v>0.52700000000000002</v>
      </c>
      <c r="J790" s="756">
        <f t="shared" si="1017"/>
        <v>0.10550000000000004</v>
      </c>
      <c r="K790" s="756">
        <f t="shared" si="1017"/>
        <v>0.49249999999999994</v>
      </c>
      <c r="L790" s="756">
        <f t="shared" si="1017"/>
        <v>0.15510000000000024</v>
      </c>
      <c r="M790" s="756">
        <f t="shared" si="1017"/>
        <v>0.26229999999999998</v>
      </c>
      <c r="N790" s="756">
        <f t="shared" si="1017"/>
        <v>0.19340000000000002</v>
      </c>
      <c r="O790" s="756">
        <f t="shared" si="1017"/>
        <v>0.27410000000000001</v>
      </c>
      <c r="P790" s="756">
        <f t="shared" si="1017"/>
        <v>0.21599999999999975</v>
      </c>
      <c r="Q790" s="756">
        <f t="shared" si="1017"/>
        <v>0.42579999999999996</v>
      </c>
      <c r="R790" s="756">
        <f t="shared" si="1017"/>
        <v>0.26529999999999987</v>
      </c>
      <c r="S790" s="756">
        <f t="shared" ref="S790:Y790" si="1018">+S791-S788+S789</f>
        <v>0.15520000000000023</v>
      </c>
      <c r="T790" s="1376">
        <f t="shared" si="1018"/>
        <v>0.16320000000000023</v>
      </c>
      <c r="U790" s="1376">
        <f t="shared" si="1018"/>
        <v>0.1875</v>
      </c>
      <c r="V790" s="1376">
        <f t="shared" si="1018"/>
        <v>0.21199999999999974</v>
      </c>
      <c r="W790" s="1376">
        <f t="shared" si="1018"/>
        <v>0.27380000000000049</v>
      </c>
      <c r="X790" s="1376">
        <f t="shared" si="1018"/>
        <v>0.53350000000000009</v>
      </c>
      <c r="Y790" s="1376">
        <f t="shared" si="1018"/>
        <v>0.52590000000000003</v>
      </c>
      <c r="Z790" s="1376">
        <f t="shared" ref="Z790:AA790" si="1019">+Z791-Z788+Z789</f>
        <v>0.2258</v>
      </c>
      <c r="AA790" s="1376">
        <f t="shared" si="1019"/>
        <v>0.20080000000000009</v>
      </c>
      <c r="AB790" s="1376">
        <f t="shared" ref="AB790:AC790" si="1020">+AB791-AB788+AB789</f>
        <v>0.62469999999999981</v>
      </c>
      <c r="AC790" s="1376">
        <f t="shared" si="1020"/>
        <v>0.4341999999999997</v>
      </c>
      <c r="AD790" s="2240">
        <f t="shared" si="1016"/>
        <v>0.31023571428571406</v>
      </c>
      <c r="AE790" s="2240">
        <f t="shared" si="1016"/>
        <v>0.31023571428571406</v>
      </c>
      <c r="AK790" s="1376">
        <v>0.23370000000000024</v>
      </c>
      <c r="AM790" s="1376">
        <f t="shared" si="1003"/>
        <v>-7.9000000000002402E-3</v>
      </c>
    </row>
    <row r="791" spans="1:46" ht="12.75" customHeight="1">
      <c r="A791" s="714">
        <f>+ROW(InputY!A165)</f>
        <v>165</v>
      </c>
      <c r="B791" s="714">
        <v>125</v>
      </c>
      <c r="C791" s="829" t="s">
        <v>624</v>
      </c>
      <c r="D791" s="794" t="s">
        <v>591</v>
      </c>
      <c r="E791" s="795" t="s">
        <v>613</v>
      </c>
      <c r="F791" s="796" t="s">
        <v>570</v>
      </c>
      <c r="G791" s="843">
        <f>+InputY!G165/1000</f>
        <v>0.91370000000000018</v>
      </c>
      <c r="H791" s="843">
        <f>+InputY!H165/1000</f>
        <v>0.98170000000000002</v>
      </c>
      <c r="I791" s="843">
        <f>+InputY!I165/1000</f>
        <v>1.343</v>
      </c>
      <c r="J791" s="843">
        <f>+InputY!J165/1000</f>
        <v>1.0617000000000001</v>
      </c>
      <c r="K791" s="843">
        <f>+InputY!K165/1000</f>
        <v>1.5146999999999999</v>
      </c>
      <c r="L791" s="843">
        <f>+InputY!L165/1000</f>
        <v>1.3299000000000001</v>
      </c>
      <c r="M791" s="843">
        <f>+InputY!M165/1000</f>
        <v>1.4684999999999999</v>
      </c>
      <c r="N791" s="843">
        <f>+InputY!N165/1000</f>
        <v>1.4493</v>
      </c>
      <c r="O791" s="843">
        <f>+InputY!O165/1000</f>
        <v>1.6645000000000001</v>
      </c>
      <c r="P791" s="843">
        <f>+InputY!P165/1000</f>
        <v>2.3925999999999998</v>
      </c>
      <c r="Q791" s="843">
        <f>+InputY!Q165/1000</f>
        <v>2.2986</v>
      </c>
      <c r="R791" s="843">
        <f>+InputY!R165/1000</f>
        <v>2.4186000000000001</v>
      </c>
      <c r="S791" s="843">
        <f>+InputY!S165/1000</f>
        <v>2.3709000000000002</v>
      </c>
      <c r="T791" s="843">
        <f>+InputY!T165/1000</f>
        <v>2.5333000000000001</v>
      </c>
      <c r="U791" s="843">
        <f>+InputY!U165/1000</f>
        <v>2.4221999999999997</v>
      </c>
      <c r="V791" s="843">
        <f>+InputY!V165/1000</f>
        <v>2.8083</v>
      </c>
      <c r="W791" s="843">
        <f>+InputY!W165/1000</f>
        <v>3.0455000000000001</v>
      </c>
      <c r="X791" s="843">
        <f>+InputY!X165/1000</f>
        <v>3.8515000000000001</v>
      </c>
      <c r="Y791" s="843">
        <f>+InputY!Y165/1000</f>
        <v>4.4988999999999999</v>
      </c>
      <c r="Z791" s="843">
        <f>+InputY!Z165/1000</f>
        <v>4.1254</v>
      </c>
      <c r="AA791" s="843">
        <f>+InputY!AA165/1000</f>
        <v>3.8383000000000003</v>
      </c>
      <c r="AB791" s="843">
        <f>+InputY!AB165/1000</f>
        <v>3.9711999999999996</v>
      </c>
      <c r="AC791" s="843">
        <f>+InputY!AC165/1000</f>
        <v>4.0526999999999997</v>
      </c>
      <c r="AD791" s="2850">
        <f>+AD788+AD790</f>
        <v>4.1563048756164438</v>
      </c>
      <c r="AE791" s="2850">
        <f>+AE788+AE790</f>
        <v>4.4328693364110183</v>
      </c>
      <c r="AK791" s="843">
        <v>4.1401000000000003</v>
      </c>
      <c r="AM791" s="843">
        <f t="shared" si="1003"/>
        <v>-1.4700000000000379E-2</v>
      </c>
    </row>
    <row r="792" spans="1:46" ht="12.75" customHeight="1">
      <c r="A792" s="714"/>
      <c r="B792" s="714"/>
      <c r="C792" s="829"/>
      <c r="D792" s="1082"/>
      <c r="E792" s="3478" t="s">
        <v>2626</v>
      </c>
      <c r="F792" s="1084"/>
      <c r="G792" s="1085"/>
      <c r="H792" s="1085">
        <f>InputY!H166/1000</f>
        <v>1.03E-2</v>
      </c>
      <c r="I792" s="1085">
        <f>InputY!I166/1000</f>
        <v>1.2500000000000001E-2</v>
      </c>
      <c r="J792" s="1085">
        <f>InputY!J166/1000</f>
        <v>2.3999999999999998E-3</v>
      </c>
      <c r="K792" s="1085">
        <f>InputY!K166/1000</f>
        <v>1.32E-2</v>
      </c>
      <c r="L792" s="1085">
        <f>InputY!L166/1000</f>
        <v>1.9300000000000001E-2</v>
      </c>
      <c r="M792" s="1085">
        <f>InputY!M166/1000</f>
        <v>1.2500000000000001E-2</v>
      </c>
      <c r="N792" s="1085">
        <f>InputY!N166/1000</f>
        <v>1.7899999999999999E-2</v>
      </c>
      <c r="O792" s="1085">
        <f>InputY!O166/1000</f>
        <v>1.1800000000000001E-2</v>
      </c>
      <c r="P792" s="1085">
        <f>InputY!P166/1000</f>
        <v>5.7999999999999996E-3</v>
      </c>
      <c r="Q792" s="1085">
        <f>InputY!Q166/1000</f>
        <v>1.0699999999999999E-2</v>
      </c>
      <c r="R792" s="1085">
        <f>InputY!R166/1000</f>
        <v>2.46E-2</v>
      </c>
      <c r="S792" s="1085">
        <f>InputY!S166/1000</f>
        <v>1.4999999999999999E-2</v>
      </c>
      <c r="T792" s="1085">
        <f>InputY!T166/1000</f>
        <v>1.2E-2</v>
      </c>
      <c r="U792" s="1085">
        <f>InputY!U166/1000</f>
        <v>2.06E-2</v>
      </c>
      <c r="V792" s="1085">
        <f>InputY!V166/1000</f>
        <v>5.9499999999999997E-2</v>
      </c>
      <c r="W792" s="1085">
        <f>InputY!W166/1000</f>
        <v>2.9499999999999998E-2</v>
      </c>
      <c r="X792" s="1085">
        <f>InputY!X166/1000</f>
        <v>3.7100000000000001E-2</v>
      </c>
      <c r="Y792" s="1085">
        <f>InputY!Y166/1000</f>
        <v>0.1709</v>
      </c>
      <c r="Z792" s="1085">
        <f>InputY!Z166/1000</f>
        <v>3.5299999999999998E-2</v>
      </c>
      <c r="AA792" s="1085">
        <f>InputY!AA166/1000</f>
        <v>2.4799999999999999E-2</v>
      </c>
      <c r="AB792" s="1085">
        <f>InputY!AB166/1000</f>
        <v>5.5399999999999998E-2</v>
      </c>
      <c r="AC792" s="1085">
        <f>InputY!AC166/1000</f>
        <v>5.1200000000000002E-2</v>
      </c>
      <c r="AD792" s="2135">
        <f t="shared" ref="AD792:AE792" si="1021">AC792*(1+AD805/100)</f>
        <v>5.2893860209135758E-2</v>
      </c>
      <c r="AE792" s="2135">
        <f t="shared" si="1021"/>
        <v>5.4732201351003838E-2</v>
      </c>
      <c r="AK792" s="843"/>
      <c r="AM792" s="843"/>
    </row>
    <row r="793" spans="1:46" ht="12.75" customHeight="1">
      <c r="A793" s="714">
        <f>+ROW(InputY!A168)</f>
        <v>168</v>
      </c>
      <c r="B793" s="714" t="s">
        <v>667</v>
      </c>
      <c r="C793" s="829" t="s">
        <v>2133</v>
      </c>
      <c r="D793" s="724" t="s">
        <v>591</v>
      </c>
      <c r="E793" s="830" t="s">
        <v>1078</v>
      </c>
      <c r="F793" s="754" t="str">
        <f>+InputY!B168</f>
        <v>$ACapT</v>
      </c>
      <c r="G793" s="756">
        <f>+InputY!G168/1000</f>
        <v>2.423</v>
      </c>
      <c r="H793" s="756">
        <f>+InputY!H168/1000</f>
        <v>2.5951</v>
      </c>
      <c r="I793" s="756">
        <f>+InputY!I168/1000</f>
        <v>3.3073999999999999</v>
      </c>
      <c r="J793" s="756">
        <f>+InputY!J168/1000</f>
        <v>3.2728999999999999</v>
      </c>
      <c r="K793" s="756">
        <f>+InputY!K168/1000</f>
        <v>3.1726000000000001</v>
      </c>
      <c r="L793" s="756">
        <f>+InputY!L168/1000</f>
        <v>3.3184999999999998</v>
      </c>
      <c r="M793" s="756">
        <f>+InputY!M168/1000</f>
        <v>2.6915</v>
      </c>
      <c r="N793" s="756">
        <f>+InputY!N168/1000</f>
        <v>2.5646999999999998</v>
      </c>
      <c r="O793" s="756">
        <f>+InputY!O168/1000</f>
        <v>4.2113000000000005</v>
      </c>
      <c r="P793" s="756">
        <f>+InputY!P168/1000</f>
        <v>2.8041999999999998</v>
      </c>
      <c r="Q793" s="756">
        <f>+InputY!Q168/1000</f>
        <v>11.0641</v>
      </c>
      <c r="R793" s="756">
        <f>+InputY!R168/1000</f>
        <v>3.9685999999999999</v>
      </c>
      <c r="S793" s="756">
        <f>+InputY!S168/1000</f>
        <v>4.3313999999999995</v>
      </c>
      <c r="T793" s="756">
        <f>+InputY!T168/1000</f>
        <v>4.5134999999999996</v>
      </c>
      <c r="U793" s="756">
        <f>+InputY!U168/1000</f>
        <v>4.92</v>
      </c>
      <c r="V793" s="756">
        <f>+InputY!V168/1000</f>
        <v>5.3414999999999999</v>
      </c>
      <c r="W793" s="756">
        <f>+InputY!W168/1000</f>
        <v>7.3594999999999997</v>
      </c>
      <c r="X793" s="756">
        <f>+InputY!X168/1000</f>
        <v>9.3437000000000001</v>
      </c>
      <c r="Y793" s="1376">
        <f>+InputY!Y168/1000</f>
        <v>7.6079999999999997</v>
      </c>
      <c r="Z793" s="1376">
        <f>+InputY!Z168/1000</f>
        <v>7.1178999999999997</v>
      </c>
      <c r="AA793" s="1376">
        <f>+InputY!AA168/1000</f>
        <v>5.2138999999999998</v>
      </c>
      <c r="AB793" s="1376">
        <f>+InputY!AB168/1000</f>
        <v>4.6886000000000001</v>
      </c>
      <c r="AC793" s="1376">
        <f>+InputY!AC168/1000</f>
        <v>4.2385999999999999</v>
      </c>
      <c r="AD793" s="2135">
        <f>+AC793*(1+AD806/100)</f>
        <v>3.8568627361122965</v>
      </c>
      <c r="AE793" s="2135">
        <f>+AD793*(1+AE806/100)</f>
        <v>3.841290581887332</v>
      </c>
      <c r="AK793" s="1376">
        <v>6.9731000000000005</v>
      </c>
      <c r="AM793" s="1376">
        <f t="shared" si="1003"/>
        <v>0.14479999999999915</v>
      </c>
    </row>
    <row r="794" spans="1:46" ht="12.75" customHeight="1">
      <c r="A794" s="714"/>
      <c r="B794" s="714"/>
      <c r="C794" s="829" t="s">
        <v>624</v>
      </c>
      <c r="D794" s="794" t="s">
        <v>591</v>
      </c>
      <c r="E794" s="795" t="s">
        <v>417</v>
      </c>
      <c r="F794" s="1063" t="s">
        <v>1826</v>
      </c>
      <c r="G794" s="843">
        <f t="shared" ref="G794:AD794" si="1022">+G791-G793</f>
        <v>-1.5092999999999999</v>
      </c>
      <c r="H794" s="843">
        <f t="shared" si="1022"/>
        <v>-1.6133999999999999</v>
      </c>
      <c r="I794" s="843">
        <f t="shared" si="1022"/>
        <v>-1.9643999999999999</v>
      </c>
      <c r="J794" s="843">
        <f t="shared" si="1022"/>
        <v>-2.2111999999999998</v>
      </c>
      <c r="K794" s="843">
        <f t="shared" si="1022"/>
        <v>-1.6579000000000002</v>
      </c>
      <c r="L794" s="843">
        <f t="shared" si="1022"/>
        <v>-1.9885999999999997</v>
      </c>
      <c r="M794" s="843">
        <f t="shared" si="1022"/>
        <v>-1.2230000000000001</v>
      </c>
      <c r="N794" s="843">
        <f t="shared" si="1022"/>
        <v>-1.1153999999999997</v>
      </c>
      <c r="O794" s="843">
        <f t="shared" si="1022"/>
        <v>-2.5468000000000002</v>
      </c>
      <c r="P794" s="843">
        <f t="shared" si="1022"/>
        <v>-0.41159999999999997</v>
      </c>
      <c r="Q794" s="843">
        <f t="shared" si="1022"/>
        <v>-8.7654999999999994</v>
      </c>
      <c r="R794" s="843">
        <f t="shared" si="1022"/>
        <v>-1.5499999999999998</v>
      </c>
      <c r="S794" s="843">
        <f t="shared" si="1022"/>
        <v>-1.9604999999999992</v>
      </c>
      <c r="T794" s="843">
        <f t="shared" si="1022"/>
        <v>-1.9801999999999995</v>
      </c>
      <c r="U794" s="843">
        <f t="shared" si="1022"/>
        <v>-2.4978000000000002</v>
      </c>
      <c r="V794" s="2852">
        <f t="shared" si="1022"/>
        <v>-2.5331999999999999</v>
      </c>
      <c r="W794" s="843">
        <f t="shared" si="1022"/>
        <v>-4.3140000000000001</v>
      </c>
      <c r="X794" s="843">
        <f t="shared" si="1022"/>
        <v>-5.4922000000000004</v>
      </c>
      <c r="Y794" s="2984">
        <f t="shared" si="1022"/>
        <v>-3.1090999999999998</v>
      </c>
      <c r="Z794" s="2984">
        <f t="shared" si="1022"/>
        <v>-2.9924999999999997</v>
      </c>
      <c r="AA794" s="2984">
        <f t="shared" si="1022"/>
        <v>-1.3755999999999995</v>
      </c>
      <c r="AB794" s="2984">
        <f t="shared" ref="AB794:AC794" si="1023">+AB791-AB793</f>
        <v>-0.71740000000000048</v>
      </c>
      <c r="AC794" s="2984">
        <f t="shared" si="1023"/>
        <v>-0.18590000000000018</v>
      </c>
      <c r="AD794" s="3626">
        <f t="shared" si="1022"/>
        <v>0.29944213950414733</v>
      </c>
      <c r="AE794" s="3626">
        <f t="shared" ref="AE794" si="1024">+AE791-AE793</f>
        <v>0.59157875452368636</v>
      </c>
      <c r="AK794" s="2984">
        <v>-2.8330000000000002</v>
      </c>
      <c r="AM794" s="2984">
        <f t="shared" si="1003"/>
        <v>-0.15949999999999953</v>
      </c>
    </row>
    <row r="795" spans="1:46" ht="12.75" customHeight="1">
      <c r="A795" s="714">
        <f>+ROW(InputY!A205)</f>
        <v>205</v>
      </c>
      <c r="B795" s="714" t="s">
        <v>663</v>
      </c>
      <c r="C795" s="829" t="s">
        <v>622</v>
      </c>
      <c r="D795" s="724" t="s">
        <v>589</v>
      </c>
      <c r="E795" s="830" t="s">
        <v>417</v>
      </c>
      <c r="F795" s="1064" t="s">
        <v>1827</v>
      </c>
      <c r="G795" s="756">
        <f ca="1">+InputY!G205/1000</f>
        <v>0.59199999999999997</v>
      </c>
      <c r="H795" s="756">
        <f>+InputY!H205/1000</f>
        <v>0.10340000000000009</v>
      </c>
      <c r="I795" s="756">
        <f>+InputY!I205/1000</f>
        <v>-2.1699999999999931E-2</v>
      </c>
      <c r="J795" s="756">
        <f>+InputY!J205/1000</f>
        <v>-0.16729999999999995</v>
      </c>
      <c r="K795" s="756">
        <f>+InputY!K205/1000</f>
        <v>-0.10130000000000018</v>
      </c>
      <c r="L795" s="756">
        <f>+InputY!L205/1000</f>
        <v>-0.27950000000000003</v>
      </c>
      <c r="M795" s="756">
        <f>+InputY!M205/1000</f>
        <v>-0.90979999999999994</v>
      </c>
      <c r="N795" s="756">
        <f>+InputY!N205/1000</f>
        <v>-0.56590000000000007</v>
      </c>
      <c r="O795" s="756">
        <f>+InputY!O205/1000</f>
        <v>-0.95559999999999989</v>
      </c>
      <c r="P795" s="756">
        <f>+InputY!P205/1000</f>
        <v>-1.2715000000000001</v>
      </c>
      <c r="Q795" s="756">
        <f>+InputY!Q205/1000</f>
        <v>-1.2925</v>
      </c>
      <c r="R795" s="756">
        <f>+InputY!R205/1000</f>
        <v>-1.6690999999999998</v>
      </c>
      <c r="S795" s="756">
        <f>+InputY!S205/1000</f>
        <v>-1.6176999999999999</v>
      </c>
      <c r="T795" s="756">
        <f>+InputY!T205/1000</f>
        <v>-1.6184999999999998</v>
      </c>
      <c r="U795" s="756">
        <f>+InputY!U205/1000</f>
        <v>-1.1763000000000001</v>
      </c>
      <c r="V795" s="756">
        <f>+InputY!V205/1000</f>
        <v>-1.5324</v>
      </c>
      <c r="W795" s="756">
        <f>+InputY!W205/1000</f>
        <v>-1.1284000000000001</v>
      </c>
      <c r="X795" s="756">
        <f>+InputY!X205/1000</f>
        <v>-1.4658000000000002</v>
      </c>
      <c r="Y795" s="1376">
        <f>+InputY!Y205/1000</f>
        <v>-2.5019999999999998</v>
      </c>
      <c r="Z795" s="1376">
        <f>+InputY!Z205/1000</f>
        <v>-2.9704999999999999</v>
      </c>
      <c r="AA795" s="1376">
        <f>+InputY!AA205/1000</f>
        <v>-3.028</v>
      </c>
      <c r="AB795" s="1376">
        <f>+InputY!AB205/1000</f>
        <v>-2.8125</v>
      </c>
      <c r="AC795" s="2240">
        <f t="shared" ref="AC795:AE796" si="1025">+AB795*(1+AC808/100)</f>
        <v>-2.953125</v>
      </c>
      <c r="AD795" s="2240">
        <f t="shared" si="1025"/>
        <v>-3.1007812500000003</v>
      </c>
      <c r="AE795" s="2240">
        <f t="shared" si="1025"/>
        <v>-3.2558203125000005</v>
      </c>
      <c r="AK795" s="1376">
        <v>-2.2461000000000002</v>
      </c>
      <c r="AM795" s="1376">
        <f t="shared" si="1003"/>
        <v>-0.72439999999999971</v>
      </c>
    </row>
    <row r="796" spans="1:46" ht="12.75" customHeight="1">
      <c r="A796" s="714">
        <f>+ROW(InputY!A128)</f>
        <v>128</v>
      </c>
      <c r="B796" s="714" t="s">
        <v>664</v>
      </c>
      <c r="C796" s="829" t="s">
        <v>622</v>
      </c>
      <c r="D796" s="724" t="s">
        <v>590</v>
      </c>
      <c r="E796" s="830" t="s">
        <v>417</v>
      </c>
      <c r="F796" s="1064" t="s">
        <v>1828</v>
      </c>
      <c r="G796" s="756">
        <f ca="1">+InputY!G128/1000</f>
        <v>0.66820000000000002</v>
      </c>
      <c r="H796" s="756">
        <f>+InputY!H128/1000</f>
        <v>1.4042999999999999</v>
      </c>
      <c r="I796" s="756">
        <f>+InputY!I128/1000</f>
        <v>2.3801000000000001</v>
      </c>
      <c r="J796" s="756">
        <f>+InputY!J128/1000</f>
        <v>2.246</v>
      </c>
      <c r="K796" s="756">
        <f>+InputY!K128/1000</f>
        <v>1.7175000000000002</v>
      </c>
      <c r="L796" s="756">
        <f>+InputY!L128/1000</f>
        <v>2.0594000000000001</v>
      </c>
      <c r="M796" s="756">
        <f>+InputY!M128/1000</f>
        <v>1.6375999999999999</v>
      </c>
      <c r="N796" s="756">
        <f>+InputY!N128/1000</f>
        <v>1.3277999999999999</v>
      </c>
      <c r="O796" s="756">
        <f>+InputY!O128/1000</f>
        <v>3.4469000000000003</v>
      </c>
      <c r="P796" s="756">
        <f>+InputY!P128/1000</f>
        <v>1.6475000000000002</v>
      </c>
      <c r="Q796" s="756">
        <f>+InputY!Q128/1000</f>
        <v>9.8975000000000009</v>
      </c>
      <c r="R796" s="756">
        <f>+InputY!R128/1000</f>
        <v>3.1446000000000001</v>
      </c>
      <c r="S796" s="756">
        <f>+InputY!S128/1000</f>
        <v>3.3786999999999998</v>
      </c>
      <c r="T796" s="756">
        <f>+InputY!T128/1000</f>
        <v>3.4189000000000003</v>
      </c>
      <c r="U796" s="756">
        <f>+InputY!U128/1000</f>
        <v>3.4713999999999996</v>
      </c>
      <c r="V796" s="756">
        <f>+InputY!V128/1000</f>
        <v>3.7886000000000002</v>
      </c>
      <c r="W796" s="756">
        <f>+InputY!W128/1000</f>
        <v>4.9819000000000004</v>
      </c>
      <c r="X796" s="756">
        <f>+InputY!X128/1000</f>
        <v>9.2680000000000007</v>
      </c>
      <c r="Y796" s="1376">
        <f>+InputY!Y128/1000</f>
        <v>5.4373000000000005</v>
      </c>
      <c r="Z796" s="1376">
        <f>+InputY!Z128/1000</f>
        <v>5.6782999999999992</v>
      </c>
      <c r="AA796" s="1376">
        <f>+InputY!AA128/1000</f>
        <v>4.3631000000000002</v>
      </c>
      <c r="AB796" s="1376">
        <f>+InputY!AB128/1000</f>
        <v>3.0581</v>
      </c>
      <c r="AC796" s="2240">
        <f t="shared" si="1025"/>
        <v>2.9969380000000001</v>
      </c>
      <c r="AD796" s="2240">
        <f t="shared" si="1025"/>
        <v>2.93699924</v>
      </c>
      <c r="AE796" s="2240">
        <f t="shared" si="1025"/>
        <v>2.8782592552000001</v>
      </c>
      <c r="AK796" s="1376">
        <v>5.4745900000000001</v>
      </c>
      <c r="AM796" s="1376">
        <f t="shared" si="1003"/>
        <v>0.20370999999999917</v>
      </c>
    </row>
    <row r="797" spans="1:46" ht="12.75" customHeight="1">
      <c r="A797" s="1869">
        <f>+ROW(InputY!A258)</f>
        <v>258</v>
      </c>
      <c r="B797" s="714" t="s">
        <v>1146</v>
      </c>
      <c r="C797" s="831" t="s">
        <v>624</v>
      </c>
      <c r="D797" s="800" t="s">
        <v>592</v>
      </c>
      <c r="E797" s="801" t="s">
        <v>960</v>
      </c>
      <c r="F797" s="802" t="s">
        <v>1695</v>
      </c>
      <c r="G797" s="832">
        <f>+InputY!G258/1000</f>
        <v>-0.22929999999999995</v>
      </c>
      <c r="H797" s="832">
        <f>+InputY!H258/1000</f>
        <v>-0.10569999999999999</v>
      </c>
      <c r="I797" s="832">
        <f>+InputY!I258/1000</f>
        <v>0.39400000000000002</v>
      </c>
      <c r="J797" s="832">
        <f>+InputY!J258/1000</f>
        <v>-0.13250000000000001</v>
      </c>
      <c r="K797" s="832">
        <f>+InputY!K258/1000</f>
        <v>-4.1700000000000043E-2</v>
      </c>
      <c r="L797" s="832">
        <f>+InputY!L258/1000</f>
        <v>-0.20869999999999994</v>
      </c>
      <c r="M797" s="832">
        <f>+InputY!M258/1000</f>
        <v>-0.49519999999999997</v>
      </c>
      <c r="N797" s="832">
        <f>+InputY!N258/1000</f>
        <v>-0.35350000000000004</v>
      </c>
      <c r="O797" s="832">
        <f>+InputY!O258/1000</f>
        <v>-5.5500000000000001E-2</v>
      </c>
      <c r="P797" s="832">
        <f>+InputY!P258/1000</f>
        <v>-3.5599999999999965E-2</v>
      </c>
      <c r="Q797" s="832">
        <f>+InputY!Q258/1000</f>
        <v>-0.1605</v>
      </c>
      <c r="R797" s="832">
        <f>+InputY!R258/1000</f>
        <v>-7.4499999999999997E-2</v>
      </c>
      <c r="S797" s="832">
        <f>+InputY!S258/1000</f>
        <v>-0.19950000000000001</v>
      </c>
      <c r="T797" s="832">
        <f>+InputY!T258/1000</f>
        <v>-0.17979999999999996</v>
      </c>
      <c r="U797" s="832">
        <f>+InputY!U258/1000</f>
        <v>-0.20269999999999999</v>
      </c>
      <c r="V797" s="832">
        <f>+InputY!V258/1000</f>
        <v>-0.27700000000000002</v>
      </c>
      <c r="W797" s="832">
        <f>+InputY!W258/1000</f>
        <v>-0.46050000000000002</v>
      </c>
      <c r="X797" s="832">
        <f>+InputY!X258/1000</f>
        <v>2.31</v>
      </c>
      <c r="Y797" s="832">
        <f>+InputY!Y258/1000</f>
        <v>-0.17380000000000001</v>
      </c>
      <c r="Z797" s="832">
        <f>+InputY!Z258/1000</f>
        <v>-0.28999999999999998</v>
      </c>
      <c r="AA797" s="832">
        <f>+InputY!AA258/1000</f>
        <v>2.519999999999999E-2</v>
      </c>
      <c r="AB797" s="832">
        <f>+InputY!AB258/1000</f>
        <v>-0.35199999999999998</v>
      </c>
      <c r="AC797" s="2238">
        <f>+AC794+AC795+AC796</f>
        <v>-0.14208700000000007</v>
      </c>
      <c r="AD797" s="2238">
        <f>+AD794+AD795+AD796</f>
        <v>0.13566012950414708</v>
      </c>
      <c r="AE797" s="2238">
        <f>+AE794+AE795+AE796</f>
        <v>0.21401769722368602</v>
      </c>
      <c r="AK797" s="832">
        <v>0.39548999999999968</v>
      </c>
      <c r="AM797" s="832">
        <f t="shared" si="1003"/>
        <v>-0.68548999999999971</v>
      </c>
    </row>
    <row r="798" spans="1:46" s="1881" customFormat="1" ht="12.75" customHeight="1">
      <c r="A798" s="1039"/>
      <c r="B798" s="1039"/>
      <c r="C798" s="1501"/>
      <c r="D798" s="1054"/>
      <c r="E798" s="1882" t="s">
        <v>474</v>
      </c>
      <c r="F798" s="1883"/>
      <c r="G798" s="1043">
        <f ca="1">ABS(+G794+G795+G796-G797)</f>
        <v>1.9799999999999929E-2</v>
      </c>
      <c r="H798" s="1043">
        <f t="shared" ref="H798:Y798" si="1026">ABS(+H794+H795+H796-H797)</f>
        <v>8.3266726846886741E-17</v>
      </c>
      <c r="I798" s="1043">
        <f t="shared" si="1026"/>
        <v>3.3306690738754696E-16</v>
      </c>
      <c r="J798" s="1043">
        <f t="shared" si="1026"/>
        <v>1.6653345369377348E-16</v>
      </c>
      <c r="K798" s="1043">
        <f t="shared" si="1026"/>
        <v>2.7755575615628914E-17</v>
      </c>
      <c r="L798" s="1043">
        <f t="shared" si="1026"/>
        <v>4.9960036108132044E-16</v>
      </c>
      <c r="M798" s="1043">
        <f t="shared" si="1026"/>
        <v>1.1102230246251565E-16</v>
      </c>
      <c r="N798" s="1043">
        <f t="shared" si="1026"/>
        <v>1.1102230246251565E-16</v>
      </c>
      <c r="O798" s="1043">
        <f t="shared" si="1026"/>
        <v>1.1796119636642288E-16</v>
      </c>
      <c r="P798" s="1043">
        <f t="shared" si="1026"/>
        <v>1.1102230246251565E-16</v>
      </c>
      <c r="Q798" s="1043">
        <f t="shared" si="1026"/>
        <v>1.0269562977782698E-15</v>
      </c>
      <c r="R798" s="1043">
        <f t="shared" si="1026"/>
        <v>4.3021142204224816E-16</v>
      </c>
      <c r="S798" s="1043">
        <f>ABS(+S794+S795+S796-S797)</f>
        <v>8.8817841970012523E-16</v>
      </c>
      <c r="T798" s="1043">
        <f>ABS(+T794+T795+T796-T797)</f>
        <v>1.1102230246251565E-15</v>
      </c>
      <c r="U798" s="1043">
        <f>ABS(+U794+U795+U796-U797)</f>
        <v>5.5511151231257827E-16</v>
      </c>
      <c r="V798" s="2881">
        <f>ABS(+V794+V795+V796-V797)</f>
        <v>3.3306690738754696E-16</v>
      </c>
      <c r="W798" s="2881">
        <f t="shared" si="1026"/>
        <v>3.3306690738754696E-16</v>
      </c>
      <c r="X798" s="2881">
        <f t="shared" si="1026"/>
        <v>4.4408920985006262E-16</v>
      </c>
      <c r="Y798" s="2881">
        <f t="shared" si="1026"/>
        <v>9.4368957093138306E-16</v>
      </c>
      <c r="Z798" s="2881">
        <f t="shared" ref="Z798" si="1027">ABS(+Z794+Z795+Z796-Z797)</f>
        <v>5.3000000000000269E-3</v>
      </c>
      <c r="AA798" s="2881">
        <f>ABS(+AA794+AA795+AA796-AA797)</f>
        <v>6.5699999999998857E-2</v>
      </c>
      <c r="AB798" s="2881">
        <f>ABS(+AB794+AB795+AB796-AB797)</f>
        <v>0.11980000000000046</v>
      </c>
      <c r="AC798" s="2881">
        <f>ABS(+AC794+AC795+AC796-AC797)</f>
        <v>0</v>
      </c>
      <c r="AD798" s="2881">
        <f>ABS(+AD794+AD795+AD796-AD797)</f>
        <v>0</v>
      </c>
      <c r="AE798" s="2881">
        <f>ABS(+AE794+AE795+AE796-AE797)</f>
        <v>0</v>
      </c>
      <c r="AF798" s="2829"/>
      <c r="AG798" s="2829"/>
      <c r="AH798" s="2829"/>
      <c r="AI798" s="2829"/>
      <c r="AJ798" s="2829"/>
      <c r="AK798" s="2881">
        <v>0</v>
      </c>
      <c r="AL798" s="2829"/>
      <c r="AM798" s="2881">
        <f t="shared" si="1003"/>
        <v>5.3000000000000269E-3</v>
      </c>
      <c r="AN798" s="2829"/>
      <c r="AO798" s="2829"/>
      <c r="AP798" s="2829"/>
      <c r="AQ798" s="2829"/>
      <c r="AR798" s="2829"/>
      <c r="AS798" s="2829"/>
      <c r="AT798" s="2829"/>
    </row>
    <row r="799" spans="1:46" s="1047" customFormat="1" ht="10.199999999999999">
      <c r="A799" s="1039"/>
      <c r="B799" s="1039"/>
      <c r="C799" s="1048"/>
      <c r="D799" s="1048"/>
      <c r="E799" s="1047" t="s">
        <v>2149</v>
      </c>
      <c r="F799" s="1048"/>
      <c r="M799" s="3342">
        <v>4.0776699029126284E-2</v>
      </c>
      <c r="N799" s="3342">
        <v>2.332089552238803E-2</v>
      </c>
      <c r="O799" s="3342">
        <v>0.11759343664539657</v>
      </c>
      <c r="P799" s="3342">
        <v>0.13132137030995117</v>
      </c>
      <c r="Q799" s="3342">
        <v>4.9747656813265984E-2</v>
      </c>
      <c r="R799" s="3342">
        <v>8.8598901098901006E-2</v>
      </c>
      <c r="S799" s="3342">
        <v>5.8675078864353303E-2</v>
      </c>
      <c r="T799" s="3343">
        <v>0.1430274135876044</v>
      </c>
      <c r="U799" s="3343">
        <v>-6.7778936392075106E-2</v>
      </c>
      <c r="V799" s="3343">
        <v>7.7740492170022435E-2</v>
      </c>
      <c r="W799" s="3343">
        <v>6.8500259470679836E-2</v>
      </c>
      <c r="X799" s="3344"/>
      <c r="Y799" s="3344"/>
      <c r="Z799" s="3344"/>
      <c r="AA799" s="3344"/>
      <c r="AB799" s="3344"/>
      <c r="AC799" s="3344"/>
      <c r="AD799" s="3344"/>
      <c r="AE799" s="3344"/>
      <c r="AF799" s="2834"/>
      <c r="AG799" s="2834"/>
      <c r="AH799" s="2834"/>
      <c r="AI799" s="2834"/>
      <c r="AJ799" s="2834"/>
      <c r="AK799" s="3344"/>
      <c r="AL799" s="2834"/>
      <c r="AM799" s="3344">
        <f t="shared" si="1003"/>
        <v>0</v>
      </c>
      <c r="AN799" s="2834"/>
      <c r="AO799" s="2834"/>
      <c r="AP799" s="2834"/>
      <c r="AQ799" s="2834"/>
      <c r="AR799" s="2834"/>
      <c r="AS799" s="2834"/>
      <c r="AT799" s="2834"/>
    </row>
    <row r="800" spans="1:46" ht="12.75" customHeight="1">
      <c r="A800" s="714"/>
      <c r="B800" s="714"/>
      <c r="C800" s="822"/>
      <c r="D800" s="790"/>
      <c r="E800" s="791" t="s">
        <v>1804</v>
      </c>
      <c r="F800" s="792"/>
      <c r="G800" s="793">
        <f>+InputY!$G$3</f>
        <v>1995</v>
      </c>
      <c r="H800" s="793">
        <f>+G800+1</f>
        <v>1996</v>
      </c>
      <c r="I800" s="793">
        <f t="shared" ref="I800:S800" si="1028">+H800+1</f>
        <v>1997</v>
      </c>
      <c r="J800" s="793">
        <f t="shared" si="1028"/>
        <v>1998</v>
      </c>
      <c r="K800" s="793">
        <f t="shared" si="1028"/>
        <v>1999</v>
      </c>
      <c r="L800" s="793">
        <f t="shared" si="1028"/>
        <v>2000</v>
      </c>
      <c r="M800" s="793">
        <f t="shared" si="1028"/>
        <v>2001</v>
      </c>
      <c r="N800" s="793">
        <f t="shared" si="1028"/>
        <v>2002</v>
      </c>
      <c r="O800" s="793">
        <f t="shared" si="1028"/>
        <v>2003</v>
      </c>
      <c r="P800" s="793">
        <f>+O800+1</f>
        <v>2004</v>
      </c>
      <c r="Q800" s="793">
        <f t="shared" si="1028"/>
        <v>2005</v>
      </c>
      <c r="R800" s="793">
        <f>+Q800+1</f>
        <v>2006</v>
      </c>
      <c r="S800" s="2126">
        <f t="shared" si="1028"/>
        <v>2007</v>
      </c>
      <c r="T800" s="2126">
        <f t="shared" ref="T800:AE800" si="1029">+S800+1</f>
        <v>2008</v>
      </c>
      <c r="U800" s="2126">
        <f t="shared" si="1029"/>
        <v>2009</v>
      </c>
      <c r="V800" s="2126">
        <f t="shared" si="1029"/>
        <v>2010</v>
      </c>
      <c r="W800" s="2126">
        <f t="shared" si="1029"/>
        <v>2011</v>
      </c>
      <c r="X800" s="2126">
        <f t="shared" si="1029"/>
        <v>2012</v>
      </c>
      <c r="Y800" s="2126">
        <f t="shared" si="1029"/>
        <v>2013</v>
      </c>
      <c r="Z800" s="2126">
        <f t="shared" si="1029"/>
        <v>2014</v>
      </c>
      <c r="AA800" s="2126">
        <f t="shared" si="1029"/>
        <v>2015</v>
      </c>
      <c r="AB800" s="2126">
        <f t="shared" si="1029"/>
        <v>2016</v>
      </c>
      <c r="AC800" s="2126">
        <f t="shared" si="1029"/>
        <v>2017</v>
      </c>
      <c r="AD800" s="2126">
        <f t="shared" si="1029"/>
        <v>2018</v>
      </c>
      <c r="AE800" s="2126">
        <f t="shared" si="1029"/>
        <v>2019</v>
      </c>
      <c r="AI800" s="749"/>
      <c r="AJ800" s="749"/>
      <c r="AK800" s="2126">
        <v>2014</v>
      </c>
      <c r="AL800" s="749"/>
      <c r="AM800" s="2126">
        <f t="shared" si="1003"/>
        <v>0</v>
      </c>
      <c r="AN800" s="749"/>
      <c r="AO800" s="749"/>
      <c r="AP800" s="749"/>
      <c r="AQ800" s="749"/>
      <c r="AR800" s="749"/>
      <c r="AS800" s="749"/>
      <c r="AT800" s="749"/>
    </row>
    <row r="801" spans="1:46" ht="12.75" customHeight="1">
      <c r="A801" s="714"/>
      <c r="B801" s="714"/>
      <c r="C801" s="839" t="s">
        <v>622</v>
      </c>
      <c r="D801" s="739" t="s">
        <v>591</v>
      </c>
      <c r="E801" s="787" t="s">
        <v>1694</v>
      </c>
      <c r="F801" s="782" t="s">
        <v>1079</v>
      </c>
      <c r="G801" s="788"/>
      <c r="H801" s="788">
        <f t="shared" ref="H801:AC801" si="1030">(H788/G788-1)*100</f>
        <v>9.0777719390436005</v>
      </c>
      <c r="I801" s="788">
        <f t="shared" si="1030"/>
        <v>-1.7222690593761247</v>
      </c>
      <c r="J801" s="788">
        <f t="shared" si="1030"/>
        <v>17.181372549019613</v>
      </c>
      <c r="K801" s="788">
        <f t="shared" si="1030"/>
        <v>6.9023216900230056</v>
      </c>
      <c r="L801" s="788">
        <f t="shared" si="1030"/>
        <v>14.928585404030503</v>
      </c>
      <c r="M801" s="788">
        <f t="shared" si="1030"/>
        <v>2.6727953694245965</v>
      </c>
      <c r="N801" s="788">
        <f t="shared" si="1030"/>
        <v>4.1203780467584217</v>
      </c>
      <c r="O801" s="788">
        <f t="shared" si="1030"/>
        <v>10.709451389441838</v>
      </c>
      <c r="P801" s="788">
        <f t="shared" si="1030"/>
        <v>56.544879171461446</v>
      </c>
      <c r="Q801" s="788">
        <f t="shared" si="1030"/>
        <v>-13.957548470090975</v>
      </c>
      <c r="R801" s="788">
        <f t="shared" si="1030"/>
        <v>14.977573686458779</v>
      </c>
      <c r="S801" s="788">
        <f t="shared" si="1030"/>
        <v>2.8978776761250158</v>
      </c>
      <c r="T801" s="788">
        <f t="shared" si="1030"/>
        <v>6.9684524078169385</v>
      </c>
      <c r="U801" s="788">
        <f t="shared" si="1030"/>
        <v>-5.7128391207122098</v>
      </c>
      <c r="V801" s="788">
        <f t="shared" si="1030"/>
        <v>16.181142882713594</v>
      </c>
      <c r="W801" s="788">
        <f t="shared" si="1030"/>
        <v>6.7557678234410279</v>
      </c>
      <c r="X801" s="788">
        <f t="shared" si="1030"/>
        <v>19.709925316592724</v>
      </c>
      <c r="Y801" s="788">
        <f t="shared" si="1030"/>
        <v>19.74080771549125</v>
      </c>
      <c r="Z801" s="788">
        <f t="shared" si="1030"/>
        <v>-1.8474704253712559</v>
      </c>
      <c r="AA801" s="788">
        <f t="shared" si="1030"/>
        <v>-6.7212021745820083</v>
      </c>
      <c r="AB801" s="788">
        <f t="shared" si="1030"/>
        <v>-8.0000000000000071</v>
      </c>
      <c r="AC801" s="788">
        <f t="shared" si="1030"/>
        <v>8.1278948154788644</v>
      </c>
      <c r="AD801" s="3730">
        <v>6.28904687939007</v>
      </c>
      <c r="AE801" s="3730">
        <v>7.1908343088371351</v>
      </c>
      <c r="AI801" s="749"/>
      <c r="AJ801" s="749"/>
      <c r="AK801" s="788">
        <v>-1.6763151271079746</v>
      </c>
      <c r="AL801" s="749"/>
      <c r="AM801" s="788">
        <f t="shared" si="1003"/>
        <v>-0.17115529826328135</v>
      </c>
      <c r="AN801" s="749"/>
      <c r="AO801" s="749"/>
      <c r="AP801" s="749"/>
      <c r="AQ801" s="749"/>
      <c r="AR801" s="749"/>
      <c r="AS801" s="749"/>
      <c r="AT801" s="749"/>
    </row>
    <row r="802" spans="1:46" ht="12.75" customHeight="1">
      <c r="A802" s="714"/>
      <c r="B802" s="714"/>
      <c r="C802" s="840" t="s">
        <v>2133</v>
      </c>
      <c r="D802" s="724" t="s">
        <v>591</v>
      </c>
      <c r="E802" s="830" t="s">
        <v>599</v>
      </c>
      <c r="F802" s="754" t="s">
        <v>212</v>
      </c>
      <c r="G802" s="756"/>
      <c r="H802" s="756" t="e">
        <f t="shared" ref="H802:R802" si="1031">(H789/G789-1)*100</f>
        <v>#DIV/0!</v>
      </c>
      <c r="I802" s="756" t="e">
        <f t="shared" si="1031"/>
        <v>#DIV/0!</v>
      </c>
      <c r="J802" s="756" t="e">
        <f t="shared" si="1031"/>
        <v>#DIV/0!</v>
      </c>
      <c r="K802" s="756" t="e">
        <f t="shared" si="1031"/>
        <v>#DIV/0!</v>
      </c>
      <c r="L802" s="756" t="e">
        <f t="shared" si="1031"/>
        <v>#DIV/0!</v>
      </c>
      <c r="M802" s="756" t="e">
        <f t="shared" si="1031"/>
        <v>#DIV/0!</v>
      </c>
      <c r="N802" s="756" t="e">
        <f t="shared" si="1031"/>
        <v>#DIV/0!</v>
      </c>
      <c r="O802" s="756" t="e">
        <f t="shared" si="1031"/>
        <v>#DIV/0!</v>
      </c>
      <c r="P802" s="756" t="e">
        <f t="shared" si="1031"/>
        <v>#DIV/0!</v>
      </c>
      <c r="Q802" s="756" t="e">
        <f t="shared" si="1031"/>
        <v>#DIV/0!</v>
      </c>
      <c r="R802" s="756" t="e">
        <f t="shared" si="1031"/>
        <v>#DIV/0!</v>
      </c>
      <c r="S802" s="756"/>
      <c r="T802" s="756"/>
      <c r="U802" s="756"/>
      <c r="V802" s="756"/>
      <c r="W802" s="756"/>
      <c r="X802" s="756"/>
      <c r="Y802" s="756"/>
      <c r="Z802" s="756"/>
      <c r="AA802" s="756"/>
      <c r="AB802" s="756"/>
      <c r="AC802" s="756"/>
      <c r="AD802" s="3481">
        <v>1</v>
      </c>
      <c r="AE802" s="3481">
        <v>1</v>
      </c>
      <c r="AI802" s="749"/>
      <c r="AJ802" s="749"/>
      <c r="AK802" s="756"/>
      <c r="AL802" s="749"/>
      <c r="AM802" s="756">
        <f t="shared" si="1003"/>
        <v>0</v>
      </c>
      <c r="AN802" s="749"/>
      <c r="AO802" s="749"/>
      <c r="AP802" s="749"/>
      <c r="AQ802" s="749"/>
      <c r="AR802" s="749"/>
      <c r="AS802" s="749"/>
      <c r="AT802" s="749"/>
    </row>
    <row r="803" spans="1:46" ht="12.75" customHeight="1">
      <c r="A803" s="714"/>
      <c r="B803" s="714"/>
      <c r="C803" s="840" t="s">
        <v>622</v>
      </c>
      <c r="D803" s="724" t="s">
        <v>591</v>
      </c>
      <c r="E803" s="830" t="s">
        <v>1556</v>
      </c>
      <c r="F803" s="754" t="s">
        <v>1080</v>
      </c>
      <c r="G803" s="756"/>
      <c r="H803" s="756">
        <f t="shared" ref="H803:R803" si="1032">(H790/G790-1)*100</f>
        <v>-0.72131147540982488</v>
      </c>
      <c r="I803" s="756">
        <f t="shared" si="1032"/>
        <v>248.08454425363257</v>
      </c>
      <c r="J803" s="756">
        <f t="shared" si="1032"/>
        <v>-79.981024667931692</v>
      </c>
      <c r="K803" s="756">
        <f t="shared" si="1032"/>
        <v>366.82464454976281</v>
      </c>
      <c r="L803" s="756">
        <f t="shared" si="1032"/>
        <v>-68.507614213197911</v>
      </c>
      <c r="M803" s="756">
        <f t="shared" si="1032"/>
        <v>69.116698903932686</v>
      </c>
      <c r="N803" s="756">
        <f t="shared" si="1032"/>
        <v>-26.267632481890956</v>
      </c>
      <c r="O803" s="756">
        <f t="shared" si="1032"/>
        <v>41.726990692864518</v>
      </c>
      <c r="P803" s="756">
        <f t="shared" si="1032"/>
        <v>-21.196643560744345</v>
      </c>
      <c r="Q803" s="756">
        <f t="shared" si="1032"/>
        <v>97.129629629629832</v>
      </c>
      <c r="R803" s="756">
        <f t="shared" si="1032"/>
        <v>-37.693752935650558</v>
      </c>
      <c r="S803" s="756">
        <f t="shared" ref="S803:AC803" si="1033">(S790/R790-1)*100</f>
        <v>-41.500188465887554</v>
      </c>
      <c r="T803" s="756">
        <f t="shared" si="1033"/>
        <v>5.1546391752577359</v>
      </c>
      <c r="U803" s="756">
        <f t="shared" si="1033"/>
        <v>14.889705882352766</v>
      </c>
      <c r="V803" s="756">
        <f t="shared" si="1033"/>
        <v>13.066666666666539</v>
      </c>
      <c r="W803" s="756">
        <f t="shared" si="1033"/>
        <v>29.150943396226793</v>
      </c>
      <c r="X803" s="756">
        <f t="shared" si="1033"/>
        <v>94.850255661066157</v>
      </c>
      <c r="Y803" s="756">
        <f t="shared" si="1033"/>
        <v>-1.4245548266166863</v>
      </c>
      <c r="Z803" s="756">
        <f t="shared" si="1033"/>
        <v>-57.064080623692725</v>
      </c>
      <c r="AA803" s="756">
        <f t="shared" si="1033"/>
        <v>-11.071744906997305</v>
      </c>
      <c r="AB803" s="756">
        <f t="shared" si="1033"/>
        <v>211.10557768924281</v>
      </c>
      <c r="AC803" s="756">
        <f t="shared" si="1033"/>
        <v>-30.494637425964488</v>
      </c>
      <c r="AD803" s="3481">
        <v>-28.55004277159966</v>
      </c>
      <c r="AE803" s="3481">
        <v>0</v>
      </c>
      <c r="AI803" s="749"/>
      <c r="AJ803" s="749"/>
      <c r="AK803" s="756">
        <v>-55.855685681903985</v>
      </c>
      <c r="AL803" s="749"/>
      <c r="AM803" s="756">
        <f t="shared" si="1003"/>
        <v>-1.2083949417887396</v>
      </c>
      <c r="AN803" s="749"/>
      <c r="AO803" s="749"/>
      <c r="AP803" s="749"/>
      <c r="AQ803" s="749"/>
      <c r="AR803" s="749"/>
      <c r="AS803" s="749"/>
      <c r="AT803" s="749"/>
    </row>
    <row r="804" spans="1:46" ht="12.75" customHeight="1">
      <c r="A804" s="714"/>
      <c r="B804" s="714"/>
      <c r="C804" s="840" t="s">
        <v>624</v>
      </c>
      <c r="D804" s="766" t="s">
        <v>591</v>
      </c>
      <c r="E804" s="771" t="s">
        <v>613</v>
      </c>
      <c r="F804" s="772" t="s">
        <v>570</v>
      </c>
      <c r="G804" s="770"/>
      <c r="H804" s="770">
        <f t="shared" ref="H804:R804" si="1034">(H791/G791-1)*100</f>
        <v>7.4422677027470518</v>
      </c>
      <c r="I804" s="770">
        <f t="shared" si="1034"/>
        <v>36.80350412549658</v>
      </c>
      <c r="J804" s="770">
        <f t="shared" si="1034"/>
        <v>-20.945644080416969</v>
      </c>
      <c r="K804" s="770">
        <f t="shared" si="1034"/>
        <v>42.66742017519072</v>
      </c>
      <c r="L804" s="770">
        <f t="shared" si="1034"/>
        <v>-12.200435729847481</v>
      </c>
      <c r="M804" s="770">
        <f t="shared" si="1034"/>
        <v>10.421836228287829</v>
      </c>
      <c r="N804" s="770">
        <f t="shared" si="1034"/>
        <v>-1.3074565883554601</v>
      </c>
      <c r="O804" s="770">
        <f t="shared" si="1034"/>
        <v>14.848547574691228</v>
      </c>
      <c r="P804" s="770">
        <f t="shared" si="1034"/>
        <v>43.74286572544306</v>
      </c>
      <c r="Q804" s="770">
        <f t="shared" si="1034"/>
        <v>-3.9287804062526077</v>
      </c>
      <c r="R804" s="770">
        <f t="shared" si="1034"/>
        <v>5.2205690420255912</v>
      </c>
      <c r="S804" s="770">
        <f t="shared" ref="S804:AC804" si="1035">(S791/R791-1)*100</f>
        <v>-1.9722153311833246</v>
      </c>
      <c r="T804" s="770">
        <f t="shared" si="1035"/>
        <v>6.8497195157956936</v>
      </c>
      <c r="U804" s="770">
        <f t="shared" si="1035"/>
        <v>-4.3855840208423924</v>
      </c>
      <c r="V804" s="770">
        <f t="shared" si="1035"/>
        <v>15.940054495912825</v>
      </c>
      <c r="W804" s="770">
        <f t="shared" si="1035"/>
        <v>8.4463910550867105</v>
      </c>
      <c r="X804" s="770">
        <f t="shared" si="1035"/>
        <v>26.465276637662114</v>
      </c>
      <c r="Y804" s="770">
        <f t="shared" si="1035"/>
        <v>16.809035440737375</v>
      </c>
      <c r="Z804" s="770">
        <f t="shared" si="1035"/>
        <v>-8.3020293849607629</v>
      </c>
      <c r="AA804" s="770">
        <f t="shared" si="1035"/>
        <v>-6.9593251563484726</v>
      </c>
      <c r="AB804" s="770">
        <f t="shared" si="1035"/>
        <v>3.4624703644842603</v>
      </c>
      <c r="AC804" s="770">
        <f t="shared" si="1035"/>
        <v>2.0522763900080676</v>
      </c>
      <c r="AD804" s="770">
        <f>(AD791/AC791-1)*100</f>
        <v>2.5564407830938496</v>
      </c>
      <c r="AE804" s="770">
        <f>(AE791/AD791-1)*100</f>
        <v>6.6540946603094397</v>
      </c>
      <c r="AI804" s="749"/>
      <c r="AJ804" s="749"/>
      <c r="AK804" s="770">
        <v>-8.0468194740582639</v>
      </c>
      <c r="AL804" s="749"/>
      <c r="AM804" s="770">
        <f t="shared" si="1003"/>
        <v>-0.255209910902499</v>
      </c>
      <c r="AN804" s="749"/>
      <c r="AO804" s="749"/>
      <c r="AP804" s="749"/>
      <c r="AQ804" s="749"/>
      <c r="AR804" s="749"/>
      <c r="AS804" s="749"/>
      <c r="AT804" s="749"/>
    </row>
    <row r="805" spans="1:46" s="927" customFormat="1" ht="12.75" customHeight="1">
      <c r="A805" s="714"/>
      <c r="B805" s="714"/>
      <c r="C805" s="840"/>
      <c r="D805" s="1082"/>
      <c r="E805" s="3478" t="s">
        <v>2626</v>
      </c>
      <c r="F805" s="1084"/>
      <c r="G805" s="1085"/>
      <c r="H805" s="1085"/>
      <c r="I805" s="1085">
        <f>(I792/H792-1)*100</f>
        <v>21.359223300970886</v>
      </c>
      <c r="J805" s="1085">
        <f t="shared" ref="J805:AC805" si="1036">(J792/I792-1)*100</f>
        <v>-80.800000000000011</v>
      </c>
      <c r="K805" s="1085">
        <f t="shared" si="1036"/>
        <v>450.00000000000011</v>
      </c>
      <c r="L805" s="1085">
        <f t="shared" si="1036"/>
        <v>46.212121212121218</v>
      </c>
      <c r="M805" s="1085">
        <f t="shared" si="1036"/>
        <v>-35.233160621761662</v>
      </c>
      <c r="N805" s="1085">
        <f t="shared" si="1036"/>
        <v>43.199999999999996</v>
      </c>
      <c r="O805" s="1085">
        <f t="shared" si="1036"/>
        <v>-34.078212290502783</v>
      </c>
      <c r="P805" s="1085">
        <f t="shared" si="1036"/>
        <v>-50.847457627118651</v>
      </c>
      <c r="Q805" s="1085">
        <f t="shared" si="1036"/>
        <v>84.482758620689651</v>
      </c>
      <c r="R805" s="1085">
        <f t="shared" si="1036"/>
        <v>129.90654205607478</v>
      </c>
      <c r="S805" s="1085">
        <f t="shared" si="1036"/>
        <v>-39.024390243902438</v>
      </c>
      <c r="T805" s="1085">
        <f t="shared" si="1036"/>
        <v>-19.999999999999996</v>
      </c>
      <c r="U805" s="1085">
        <f t="shared" si="1036"/>
        <v>71.666666666666657</v>
      </c>
      <c r="V805" s="1085">
        <f t="shared" si="1036"/>
        <v>188.83495145631065</v>
      </c>
      <c r="W805" s="1085">
        <f t="shared" si="1036"/>
        <v>-50.420168067226889</v>
      </c>
      <c r="X805" s="1085">
        <f t="shared" si="1036"/>
        <v>25.762711864406796</v>
      </c>
      <c r="Y805" s="1085">
        <f t="shared" si="1036"/>
        <v>360.64690026954179</v>
      </c>
      <c r="Z805" s="1085">
        <f t="shared" si="1036"/>
        <v>-79.344645991808065</v>
      </c>
      <c r="AA805" s="1085">
        <f t="shared" si="1036"/>
        <v>-29.74504249291785</v>
      </c>
      <c r="AB805" s="1085">
        <f t="shared" si="1036"/>
        <v>123.38709677419355</v>
      </c>
      <c r="AC805" s="1085">
        <f t="shared" si="1036"/>
        <v>-7.5812274368231014</v>
      </c>
      <c r="AD805" s="4046">
        <v>3.3083207209682719</v>
      </c>
      <c r="AE805" s="4046">
        <v>3.4755284159626587</v>
      </c>
      <c r="AF805" s="2831"/>
      <c r="AG805" s="2831"/>
      <c r="AH805" s="2831"/>
      <c r="AK805" s="1085"/>
      <c r="AM805" s="1085"/>
    </row>
    <row r="806" spans="1:46" ht="12.75" customHeight="1">
      <c r="A806" s="714"/>
      <c r="B806" s="714"/>
      <c r="C806" s="840" t="s">
        <v>2133</v>
      </c>
      <c r="D806" s="724" t="s">
        <v>591</v>
      </c>
      <c r="E806" s="830" t="s">
        <v>1078</v>
      </c>
      <c r="F806" s="754" t="s">
        <v>212</v>
      </c>
      <c r="G806" s="756"/>
      <c r="H806" s="756">
        <f t="shared" ref="H806:R806" si="1037">(H793/G793-1)*100</f>
        <v>7.1027651671481618</v>
      </c>
      <c r="I806" s="756">
        <f t="shared" si="1037"/>
        <v>27.447882547878688</v>
      </c>
      <c r="J806" s="756">
        <f t="shared" si="1037"/>
        <v>-1.0431154381084884</v>
      </c>
      <c r="K806" s="756">
        <f t="shared" si="1037"/>
        <v>-3.0645604815301319</v>
      </c>
      <c r="L806" s="756">
        <f t="shared" si="1037"/>
        <v>4.59875181239362</v>
      </c>
      <c r="M806" s="756">
        <f t="shared" si="1037"/>
        <v>-18.894078649992462</v>
      </c>
      <c r="N806" s="756">
        <f t="shared" si="1037"/>
        <v>-4.7111276240014988</v>
      </c>
      <c r="O806" s="756">
        <f t="shared" si="1037"/>
        <v>64.202440831286339</v>
      </c>
      <c r="P806" s="756">
        <f t="shared" si="1037"/>
        <v>-33.412485455797515</v>
      </c>
      <c r="Q806" s="756">
        <f t="shared" si="1037"/>
        <v>294.55459667641401</v>
      </c>
      <c r="R806" s="756">
        <f t="shared" si="1037"/>
        <v>-64.130837573774642</v>
      </c>
      <c r="S806" s="756">
        <f t="shared" ref="S806:AC806" si="1038">(S793/R793-1)*100</f>
        <v>9.1417628382804992</v>
      </c>
      <c r="T806" s="756">
        <f t="shared" si="1038"/>
        <v>4.2041834049037385</v>
      </c>
      <c r="U806" s="756">
        <f t="shared" si="1038"/>
        <v>9.0063143901628617</v>
      </c>
      <c r="V806" s="756">
        <f t="shared" si="1038"/>
        <v>8.5670731707317103</v>
      </c>
      <c r="W806" s="756">
        <f t="shared" si="1038"/>
        <v>37.779649911073676</v>
      </c>
      <c r="X806" s="756">
        <f t="shared" si="1038"/>
        <v>26.961070724913384</v>
      </c>
      <c r="Y806" s="756">
        <f t="shared" si="1038"/>
        <v>-18.576152915868448</v>
      </c>
      <c r="Z806" s="756">
        <f t="shared" si="1038"/>
        <v>-6.4419032597266002</v>
      </c>
      <c r="AA806" s="756">
        <f t="shared" si="1038"/>
        <v>-26.749462622402675</v>
      </c>
      <c r="AB806" s="756">
        <f t="shared" si="1038"/>
        <v>-10.07499184871209</v>
      </c>
      <c r="AC806" s="756">
        <f t="shared" si="1038"/>
        <v>-9.5977477285330455</v>
      </c>
      <c r="AD806" s="3481">
        <v>-9.0062111047917615</v>
      </c>
      <c r="AE806" s="3481">
        <v>-0.40375183900532852</v>
      </c>
      <c r="AF806" s="3450"/>
      <c r="AG806" s="3450"/>
      <c r="AH806" s="2831"/>
      <c r="AI806" s="749"/>
      <c r="AJ806" s="749"/>
      <c r="AK806" s="756">
        <v>-7.2318969760666203</v>
      </c>
      <c r="AL806" s="749"/>
      <c r="AM806" s="756">
        <f t="shared" si="1003"/>
        <v>0.78999371634002014</v>
      </c>
      <c r="AN806" s="749"/>
      <c r="AO806" s="749"/>
      <c r="AP806" s="749"/>
      <c r="AQ806" s="749"/>
      <c r="AR806" s="749"/>
      <c r="AS806" s="749"/>
      <c r="AT806" s="749"/>
    </row>
    <row r="807" spans="1:46" ht="12.75" customHeight="1">
      <c r="A807" s="714"/>
      <c r="B807" s="714"/>
      <c r="C807" s="840" t="s">
        <v>624</v>
      </c>
      <c r="D807" s="766" t="s">
        <v>591</v>
      </c>
      <c r="E807" s="771" t="s">
        <v>418</v>
      </c>
      <c r="F807" s="772" t="s">
        <v>1826</v>
      </c>
      <c r="G807" s="770"/>
      <c r="H807" s="770">
        <f t="shared" ref="H807:R807" si="1039">(H794/G794-1)*100</f>
        <v>6.8972371297952861</v>
      </c>
      <c r="I807" s="770">
        <f t="shared" si="1039"/>
        <v>21.755299367794724</v>
      </c>
      <c r="J807" s="770">
        <f t="shared" si="1039"/>
        <v>12.563632661372415</v>
      </c>
      <c r="K807" s="770">
        <f t="shared" si="1039"/>
        <v>-25.02261215629521</v>
      </c>
      <c r="L807" s="770">
        <f t="shared" si="1039"/>
        <v>19.946920803425993</v>
      </c>
      <c r="M807" s="770">
        <f t="shared" si="1039"/>
        <v>-38.499446847028054</v>
      </c>
      <c r="N807" s="770">
        <f t="shared" si="1039"/>
        <v>-8.7980376124284891</v>
      </c>
      <c r="O807" s="770">
        <f t="shared" si="1039"/>
        <v>128.33064371525916</v>
      </c>
      <c r="P807" s="770">
        <f t="shared" si="1039"/>
        <v>-83.83854248468667</v>
      </c>
      <c r="Q807" s="770">
        <f t="shared" si="1039"/>
        <v>2029.6161321671527</v>
      </c>
      <c r="R807" s="770">
        <f t="shared" si="1039"/>
        <v>-82.317038389139242</v>
      </c>
      <c r="S807" s="770">
        <f t="shared" ref="S807:AC807" si="1040">(S794/R794-1)*100</f>
        <v>26.483870967741897</v>
      </c>
      <c r="T807" s="770">
        <f t="shared" si="1040"/>
        <v>1.0048457026268887</v>
      </c>
      <c r="U807" s="770">
        <f t="shared" si="1040"/>
        <v>26.138773861226184</v>
      </c>
      <c r="V807" s="770">
        <f t="shared" si="1040"/>
        <v>1.4172471775161899</v>
      </c>
      <c r="W807" s="770">
        <f t="shared" si="1040"/>
        <v>70.298436759829471</v>
      </c>
      <c r="X807" s="770">
        <f t="shared" si="1040"/>
        <v>27.311080203987025</v>
      </c>
      <c r="Y807" s="770">
        <f t="shared" si="1040"/>
        <v>-43.390626706966252</v>
      </c>
      <c r="Z807" s="770">
        <f t="shared" si="1040"/>
        <v>-3.7502814319256395</v>
      </c>
      <c r="AA807" s="770">
        <f t="shared" si="1040"/>
        <v>-54.031746031746039</v>
      </c>
      <c r="AB807" s="770">
        <f t="shared" si="1040"/>
        <v>-47.848211689444554</v>
      </c>
      <c r="AC807" s="770">
        <f t="shared" si="1040"/>
        <v>-74.086980763869519</v>
      </c>
      <c r="AD807" s="770">
        <f>(AD794/AC794-1)*100</f>
        <v>-261.07699811949817</v>
      </c>
      <c r="AE807" s="770">
        <f>(AE794/AD794-1)*100</f>
        <v>97.560288442800442</v>
      </c>
      <c r="AI807" s="749"/>
      <c r="AJ807" s="749"/>
      <c r="AK807" s="770">
        <v>-6.0146634376140433</v>
      </c>
      <c r="AL807" s="749"/>
      <c r="AM807" s="770">
        <f t="shared" si="1003"/>
        <v>2.2643820056884039</v>
      </c>
      <c r="AN807" s="749"/>
      <c r="AO807" s="749"/>
      <c r="AP807" s="749"/>
      <c r="AQ807" s="749"/>
      <c r="AR807" s="749"/>
      <c r="AS807" s="749"/>
      <c r="AT807" s="749"/>
    </row>
    <row r="808" spans="1:46" ht="12.75" customHeight="1">
      <c r="A808" s="714"/>
      <c r="B808" s="714"/>
      <c r="C808" s="840" t="s">
        <v>622</v>
      </c>
      <c r="D808" s="724" t="s">
        <v>589</v>
      </c>
      <c r="E808" s="830" t="s">
        <v>418</v>
      </c>
      <c r="F808" s="754" t="s">
        <v>1827</v>
      </c>
      <c r="G808" s="756"/>
      <c r="H808" s="756">
        <f t="shared" ref="H808:R808" ca="1" si="1041">(H795/G795-1)*100</f>
        <v>-82.533783783783761</v>
      </c>
      <c r="I808" s="756">
        <f t="shared" si="1041"/>
        <v>-120.98646034816238</v>
      </c>
      <c r="J808" s="756">
        <f t="shared" si="1041"/>
        <v>670.96774193548617</v>
      </c>
      <c r="K808" s="756">
        <f t="shared" si="1041"/>
        <v>-39.450089659294548</v>
      </c>
      <c r="L808" s="756">
        <f t="shared" si="1041"/>
        <v>175.9131293188544</v>
      </c>
      <c r="M808" s="756">
        <f t="shared" si="1041"/>
        <v>225.50983899821105</v>
      </c>
      <c r="N808" s="756">
        <f t="shared" si="1041"/>
        <v>-37.79951637722575</v>
      </c>
      <c r="O808" s="756">
        <f t="shared" si="1041"/>
        <v>68.863756847499531</v>
      </c>
      <c r="P808" s="756">
        <f t="shared" si="1041"/>
        <v>33.057764755127693</v>
      </c>
      <c r="Q808" s="756">
        <f t="shared" si="1041"/>
        <v>1.6515926071569043</v>
      </c>
      <c r="R808" s="756">
        <f t="shared" si="1041"/>
        <v>29.137330754352007</v>
      </c>
      <c r="S808" s="756">
        <f t="shared" ref="S808:AB808" si="1042">(S795/R795-1)*100</f>
        <v>-3.0795039242705546</v>
      </c>
      <c r="T808" s="756">
        <f t="shared" si="1042"/>
        <v>4.9452926995119384E-2</v>
      </c>
      <c r="U808" s="756">
        <f t="shared" si="1042"/>
        <v>-27.321594068582002</v>
      </c>
      <c r="V808" s="756">
        <f t="shared" si="1042"/>
        <v>30.27288956898748</v>
      </c>
      <c r="W808" s="756">
        <f t="shared" si="1042"/>
        <v>-26.363873662229174</v>
      </c>
      <c r="X808" s="756">
        <f t="shared" si="1042"/>
        <v>29.900744416873472</v>
      </c>
      <c r="Y808" s="756">
        <f t="shared" si="1042"/>
        <v>70.691772410970088</v>
      </c>
      <c r="Z808" s="756">
        <f t="shared" si="1042"/>
        <v>18.725019984012793</v>
      </c>
      <c r="AA808" s="756">
        <f t="shared" si="1042"/>
        <v>1.9357010604275304</v>
      </c>
      <c r="AB808" s="756">
        <f t="shared" si="1042"/>
        <v>-7.1169088507265554</v>
      </c>
      <c r="AC808" s="3481">
        <v>5</v>
      </c>
      <c r="AD808" s="3481">
        <v>5</v>
      </c>
      <c r="AE808" s="3481">
        <v>5</v>
      </c>
      <c r="AI808" s="749"/>
      <c r="AJ808" s="749"/>
      <c r="AK808" s="756">
        <v>0</v>
      </c>
      <c r="AL808" s="749"/>
      <c r="AM808" s="756">
        <f t="shared" si="1003"/>
        <v>18.725019984012793</v>
      </c>
      <c r="AN808" s="749"/>
      <c r="AO808" s="749"/>
      <c r="AP808" s="749"/>
      <c r="AQ808" s="749"/>
      <c r="AR808" s="749"/>
      <c r="AS808" s="749"/>
      <c r="AT808" s="749"/>
    </row>
    <row r="809" spans="1:46" ht="12.75" customHeight="1">
      <c r="A809" s="714"/>
      <c r="B809" s="714"/>
      <c r="C809" s="841" t="s">
        <v>622</v>
      </c>
      <c r="D809" s="741" t="s">
        <v>590</v>
      </c>
      <c r="E809" s="842" t="s">
        <v>418</v>
      </c>
      <c r="F809" s="785" t="s">
        <v>1828</v>
      </c>
      <c r="G809" s="789"/>
      <c r="H809" s="789">
        <f t="shared" ref="H809:P809" ca="1" si="1043">(H796/G796-1)*100</f>
        <v>110.16162825501343</v>
      </c>
      <c r="I809" s="789">
        <f t="shared" si="1043"/>
        <v>69.486576942248817</v>
      </c>
      <c r="J809" s="789">
        <f t="shared" si="1043"/>
        <v>-5.6342170497037936</v>
      </c>
      <c r="K809" s="789">
        <f t="shared" si="1043"/>
        <v>-23.5307212822796</v>
      </c>
      <c r="L809" s="789">
        <f t="shared" si="1043"/>
        <v>19.906841339155747</v>
      </c>
      <c r="M809" s="789">
        <f t="shared" si="1043"/>
        <v>-20.481693697193361</v>
      </c>
      <c r="N809" s="789">
        <f t="shared" si="1043"/>
        <v>-18.917928676111384</v>
      </c>
      <c r="O809" s="789">
        <f t="shared" si="1043"/>
        <v>159.59481849676163</v>
      </c>
      <c r="P809" s="789">
        <f t="shared" si="1043"/>
        <v>-52.203429168238124</v>
      </c>
      <c r="Q809" s="789">
        <v>519.07127715951287</v>
      </c>
      <c r="R809" s="789">
        <v>-70.768819217805358</v>
      </c>
      <c r="S809" s="789">
        <v>17.281645801303092</v>
      </c>
      <c r="T809" s="789">
        <v>18.2816458013031</v>
      </c>
      <c r="U809" s="789">
        <v>19.2816458013031</v>
      </c>
      <c r="V809" s="789">
        <v>20.2816458013031</v>
      </c>
      <c r="W809" s="789">
        <v>21.2816458013031</v>
      </c>
      <c r="X809" s="789">
        <v>22.2816458013031</v>
      </c>
      <c r="Y809" s="789">
        <v>23.2816458013031</v>
      </c>
      <c r="Z809" s="789">
        <v>24.2816458013031</v>
      </c>
      <c r="AA809" s="789">
        <v>25.2816458013031</v>
      </c>
      <c r="AB809" s="789">
        <v>26.2816458013031</v>
      </c>
      <c r="AC809" s="3722">
        <v>-2</v>
      </c>
      <c r="AD809" s="3722">
        <v>-2</v>
      </c>
      <c r="AE809" s="3722">
        <v>-2</v>
      </c>
      <c r="AI809" s="749"/>
      <c r="AJ809" s="749"/>
      <c r="AK809" s="789">
        <v>10</v>
      </c>
      <c r="AL809" s="749"/>
      <c r="AM809" s="789">
        <f t="shared" si="1003"/>
        <v>14.2816458013031</v>
      </c>
      <c r="AN809" s="749"/>
      <c r="AO809" s="749"/>
      <c r="AP809" s="749"/>
      <c r="AQ809" s="749"/>
      <c r="AR809" s="749"/>
      <c r="AS809" s="749"/>
      <c r="AT809" s="749"/>
    </row>
    <row r="810" spans="1:46" ht="12.75" customHeight="1">
      <c r="A810" s="714"/>
      <c r="B810" s="714"/>
      <c r="C810" s="822" t="s">
        <v>624</v>
      </c>
      <c r="D810" s="766" t="s">
        <v>592</v>
      </c>
      <c r="E810" s="771" t="s">
        <v>961</v>
      </c>
      <c r="F810" s="772" t="s">
        <v>1695</v>
      </c>
      <c r="G810" s="770"/>
      <c r="H810" s="770">
        <f t="shared" ref="H810:P810" si="1044">(H797/G797-1)*100</f>
        <v>-53.903183602267767</v>
      </c>
      <c r="I810" s="770">
        <f t="shared" si="1044"/>
        <v>-472.7530747398298</v>
      </c>
      <c r="J810" s="770">
        <f t="shared" si="1044"/>
        <v>-133.62944162436548</v>
      </c>
      <c r="K810" s="770">
        <f t="shared" si="1044"/>
        <v>-68.52830188679242</v>
      </c>
      <c r="L810" s="770">
        <f t="shared" si="1044"/>
        <v>400.4796163069538</v>
      </c>
      <c r="M810" s="770">
        <f t="shared" si="1044"/>
        <v>137.27839003354103</v>
      </c>
      <c r="N810" s="770">
        <f t="shared" si="1044"/>
        <v>-28.614701130856211</v>
      </c>
      <c r="O810" s="770">
        <f t="shared" si="1044"/>
        <v>-84.299858557284296</v>
      </c>
      <c r="P810" s="770">
        <f t="shared" si="1044"/>
        <v>-35.855855855855921</v>
      </c>
      <c r="Q810" s="770">
        <f t="shared" ref="Q810:AE810" si="1045">(Q797/P797-1)*100</f>
        <v>350.84269662921395</v>
      </c>
      <c r="R810" s="770">
        <f t="shared" si="1045"/>
        <v>-53.582554517133964</v>
      </c>
      <c r="S810" s="770">
        <f t="shared" si="1045"/>
        <v>167.78523489932891</v>
      </c>
      <c r="T810" s="770">
        <f t="shared" si="1045"/>
        <v>-9.8746867167920023</v>
      </c>
      <c r="U810" s="770">
        <f t="shared" si="1045"/>
        <v>12.736373748609587</v>
      </c>
      <c r="V810" s="770">
        <f t="shared" si="1045"/>
        <v>36.655155402072047</v>
      </c>
      <c r="W810" s="770">
        <f t="shared" si="1045"/>
        <v>66.245487364620928</v>
      </c>
      <c r="X810" s="770">
        <f t="shared" si="1045"/>
        <v>-601.62866449511398</v>
      </c>
      <c r="Y810" s="770">
        <f t="shared" si="1045"/>
        <v>-107.52380952380953</v>
      </c>
      <c r="Z810" s="2223">
        <f t="shared" si="1045"/>
        <v>66.85845799769848</v>
      </c>
      <c r="AA810" s="2223">
        <f t="shared" si="1045"/>
        <v>-108.68965517241378</v>
      </c>
      <c r="AB810" s="2223">
        <f t="shared" si="1045"/>
        <v>-1496.8253968253973</v>
      </c>
      <c r="AC810" s="2223">
        <f t="shared" si="1045"/>
        <v>-59.63437499999997</v>
      </c>
      <c r="AD810" s="2223">
        <f t="shared" si="1045"/>
        <v>-195.47680611466708</v>
      </c>
      <c r="AE810" s="2223">
        <f t="shared" si="1045"/>
        <v>57.760204126256262</v>
      </c>
      <c r="AI810" s="749"/>
      <c r="AJ810" s="749"/>
      <c r="AK810" s="2141">
        <v>-324.58262350936945</v>
      </c>
      <c r="AL810" s="749"/>
      <c r="AM810" s="2141">
        <f t="shared" si="1003"/>
        <v>391.44108150706791</v>
      </c>
      <c r="AN810" s="749"/>
      <c r="AO810" s="749"/>
      <c r="AP810" s="749"/>
      <c r="AQ810" s="749"/>
      <c r="AR810" s="749"/>
      <c r="AS810" s="749"/>
      <c r="AT810" s="749"/>
    </row>
    <row r="811" spans="1:46" ht="12.75" customHeight="1">
      <c r="A811" s="714"/>
      <c r="B811" s="714"/>
      <c r="C811" s="822"/>
      <c r="E811" s="833"/>
      <c r="F811" s="834"/>
      <c r="G811" s="753"/>
      <c r="H811" s="835"/>
      <c r="I811" s="753"/>
      <c r="J811" s="753"/>
      <c r="K811" s="753"/>
      <c r="L811" s="753"/>
      <c r="M811" s="753"/>
      <c r="N811" s="753"/>
      <c r="O811" s="753"/>
      <c r="P811" s="753"/>
      <c r="Q811" s="885"/>
      <c r="R811" s="885"/>
      <c r="S811" s="2218"/>
      <c r="T811" s="2233"/>
      <c r="U811" s="2218"/>
      <c r="V811" s="2218"/>
      <c r="W811" s="2218"/>
      <c r="X811" s="2218"/>
      <c r="Y811" s="2218"/>
      <c r="Z811" s="2218"/>
      <c r="AA811" s="2218"/>
      <c r="AB811" s="2218"/>
      <c r="AC811" s="2218"/>
      <c r="AD811" s="2218"/>
      <c r="AE811" s="2218"/>
      <c r="AI811" s="749"/>
      <c r="AJ811" s="749"/>
      <c r="AK811" s="2218"/>
      <c r="AL811" s="749"/>
      <c r="AM811" s="2218">
        <f t="shared" si="1003"/>
        <v>0</v>
      </c>
      <c r="AN811" s="749"/>
      <c r="AO811" s="749"/>
      <c r="AP811" s="749"/>
      <c r="AQ811" s="749"/>
      <c r="AR811" s="749"/>
      <c r="AS811" s="749"/>
      <c r="AT811" s="749"/>
    </row>
    <row r="812" spans="1:46" ht="12.75" customHeight="1">
      <c r="A812" s="714"/>
      <c r="B812" s="714"/>
      <c r="C812" s="822"/>
      <c r="D812" s="862"/>
      <c r="E812" s="863" t="s">
        <v>1805</v>
      </c>
      <c r="F812" s="864"/>
      <c r="G812" s="865">
        <f>+InputY!$G$3</f>
        <v>1995</v>
      </c>
      <c r="H812" s="865">
        <f>+G812+1</f>
        <v>1996</v>
      </c>
      <c r="I812" s="865">
        <f t="shared" ref="I812:S812" si="1046">+H812+1</f>
        <v>1997</v>
      </c>
      <c r="J812" s="865">
        <f t="shared" si="1046"/>
        <v>1998</v>
      </c>
      <c r="K812" s="865">
        <f t="shared" si="1046"/>
        <v>1999</v>
      </c>
      <c r="L812" s="865">
        <f t="shared" si="1046"/>
        <v>2000</v>
      </c>
      <c r="M812" s="865">
        <f t="shared" si="1046"/>
        <v>2001</v>
      </c>
      <c r="N812" s="865">
        <f t="shared" si="1046"/>
        <v>2002</v>
      </c>
      <c r="O812" s="865">
        <f t="shared" si="1046"/>
        <v>2003</v>
      </c>
      <c r="P812" s="865">
        <f>+O812+1</f>
        <v>2004</v>
      </c>
      <c r="Q812" s="865">
        <f>+P812+1</f>
        <v>2005</v>
      </c>
      <c r="R812" s="865">
        <f>+Q812+1</f>
        <v>2006</v>
      </c>
      <c r="S812" s="2219">
        <f t="shared" si="1046"/>
        <v>2007</v>
      </c>
      <c r="T812" s="2219">
        <f t="shared" ref="T812:AE812" si="1047">+S812+1</f>
        <v>2008</v>
      </c>
      <c r="U812" s="2219">
        <f t="shared" si="1047"/>
        <v>2009</v>
      </c>
      <c r="V812" s="2219">
        <f t="shared" si="1047"/>
        <v>2010</v>
      </c>
      <c r="W812" s="2219">
        <f t="shared" si="1047"/>
        <v>2011</v>
      </c>
      <c r="X812" s="2219">
        <f t="shared" si="1047"/>
        <v>2012</v>
      </c>
      <c r="Y812" s="2219">
        <f t="shared" si="1047"/>
        <v>2013</v>
      </c>
      <c r="Z812" s="2219">
        <f t="shared" si="1047"/>
        <v>2014</v>
      </c>
      <c r="AA812" s="2219">
        <f t="shared" si="1047"/>
        <v>2015</v>
      </c>
      <c r="AB812" s="2219">
        <f t="shared" si="1047"/>
        <v>2016</v>
      </c>
      <c r="AC812" s="2219">
        <f t="shared" si="1047"/>
        <v>2017</v>
      </c>
      <c r="AD812" s="2219">
        <f t="shared" si="1047"/>
        <v>2018</v>
      </c>
      <c r="AE812" s="2219">
        <f t="shared" si="1047"/>
        <v>2019</v>
      </c>
      <c r="AI812" s="749"/>
      <c r="AJ812" s="749"/>
      <c r="AK812" s="2219">
        <v>2014</v>
      </c>
      <c r="AL812" s="749"/>
      <c r="AM812" s="2219">
        <f t="shared" si="1003"/>
        <v>0</v>
      </c>
      <c r="AN812" s="749"/>
      <c r="AO812" s="749"/>
      <c r="AP812" s="749"/>
      <c r="AQ812" s="749"/>
      <c r="AR812" s="749"/>
      <c r="AS812" s="749"/>
      <c r="AT812" s="749"/>
    </row>
    <row r="813" spans="1:46" ht="12.75" customHeight="1">
      <c r="A813" s="714"/>
      <c r="B813" s="714"/>
      <c r="C813" s="866" t="s">
        <v>622</v>
      </c>
      <c r="D813" s="867" t="s">
        <v>591</v>
      </c>
      <c r="E813" s="868" t="s">
        <v>1694</v>
      </c>
      <c r="F813" s="869" t="s">
        <v>1079</v>
      </c>
      <c r="G813" s="878">
        <f ca="1">+G788/'VVP2'!G$355</f>
        <v>3.6026178139322686E-3</v>
      </c>
      <c r="H813" s="878">
        <f>+H788/'VVP2'!H$355</f>
        <v>3.8450068166325834E-3</v>
      </c>
      <c r="I813" s="878">
        <f>+I788/'VVP2'!I$355</f>
        <v>3.6111195931117892E-3</v>
      </c>
      <c r="J813" s="878">
        <f>+J788/'VVP2'!J$355</f>
        <v>4.0777927891045068E-3</v>
      </c>
      <c r="K813" s="878">
        <f>+K788/'VVP2'!K$355</f>
        <v>4.1854675587365804E-3</v>
      </c>
      <c r="L813" s="878">
        <f>+L788/'VVP2'!L$355</f>
        <v>4.5495736226967487E-3</v>
      </c>
      <c r="M813" s="878">
        <f>+M788/'VVP2'!M$355</f>
        <v>4.538196550338539E-3</v>
      </c>
      <c r="N813" s="878">
        <f>+N788/'VVP2'!N$355</f>
        <v>4.5658282348433159E-3</v>
      </c>
      <c r="O813" s="878">
        <f>+O788/'VVP2'!O$355</f>
        <v>4.9193929304955303E-3</v>
      </c>
      <c r="P813" s="878">
        <f>+P788/'VVP2'!P$355</f>
        <v>7.28664648214929E-3</v>
      </c>
      <c r="Q813" s="878">
        <f>+Q788/'VVP2'!Q$355</f>
        <v>6.0125696351107354E-3</v>
      </c>
      <c r="R813" s="878">
        <f>+R788/'VVP2'!R$355</f>
        <v>6.5918268449263028E-3</v>
      </c>
      <c r="S813" s="878">
        <f>+S788/'VVP2'!S$355</f>
        <v>6.4276752366102191E-3</v>
      </c>
      <c r="T813" s="878">
        <f>+T788/'VVP2'!T$355</f>
        <v>6.6939516061840466E-3</v>
      </c>
      <c r="U813" s="878">
        <f>+U788/'VVP2'!U$355</f>
        <v>6.4071705720292749E-3</v>
      </c>
      <c r="V813" s="878">
        <f>+V788/'VVP2'!V$355</f>
        <v>7.1111926716068592E-3</v>
      </c>
      <c r="W813" s="878">
        <f>+W788/'VVP2'!W$355</f>
        <v>7.3111420200613914E-3</v>
      </c>
      <c r="X813" s="878">
        <f>+X788/'VVP2'!X$355</f>
        <v>8.5625784354636299E-3</v>
      </c>
      <c r="Y813" s="878">
        <f>+Y788/'VVP2'!Y$355</f>
        <v>1.012642612347766E-2</v>
      </c>
      <c r="Z813" s="2224">
        <f>+Z788/'VVP2'!Z$355</f>
        <v>9.7419809027595606E-3</v>
      </c>
      <c r="AA813" s="2224">
        <f>+AA788/'VVP2'!AA$355</f>
        <v>8.8625439533451325E-3</v>
      </c>
      <c r="AB813" s="2224">
        <f>+AB788/'VVP2'!AB$355</f>
        <v>7.9104423985529772E-3</v>
      </c>
      <c r="AC813" s="2224">
        <f>+AC788/'VVP2'!AC$355</f>
        <v>8.252285256996483E-3</v>
      </c>
      <c r="AD813" s="2224">
        <f ca="1">+AD788/'VVP2'!AD$355</f>
        <v>8.4832343313417085E-3</v>
      </c>
      <c r="AE813" s="2224">
        <f ca="1">+AE788/'VVP2'!AE$355</f>
        <v>8.7894957199121312E-3</v>
      </c>
      <c r="AI813" s="749"/>
      <c r="AJ813" s="749"/>
      <c r="AK813" s="2224">
        <v>9.7108906953041491E-3</v>
      </c>
      <c r="AL813" s="749"/>
      <c r="AM813" s="2224">
        <f t="shared" si="1003"/>
        <v>3.1090207455411467E-5</v>
      </c>
      <c r="AN813" s="749"/>
      <c r="AO813" s="749"/>
      <c r="AP813" s="749"/>
      <c r="AQ813" s="749"/>
      <c r="AR813" s="749"/>
      <c r="AS813" s="749"/>
      <c r="AT813" s="749"/>
    </row>
    <row r="814" spans="1:46" ht="12.75" customHeight="1">
      <c r="A814" s="714"/>
      <c r="B814" s="714"/>
      <c r="C814" s="870" t="s">
        <v>2133</v>
      </c>
      <c r="D814" s="724" t="s">
        <v>591</v>
      </c>
      <c r="E814" s="830" t="s">
        <v>599</v>
      </c>
      <c r="F814" s="754" t="s">
        <v>212</v>
      </c>
      <c r="G814" s="879">
        <f ca="1">+G789/'VVP2'!G$355</f>
        <v>0</v>
      </c>
      <c r="H814" s="879">
        <f>+H789/'VVP2'!H$355</f>
        <v>0</v>
      </c>
      <c r="I814" s="879">
        <f>+I789/'VVP2'!I$355</f>
        <v>0</v>
      </c>
      <c r="J814" s="879">
        <f>+J789/'VVP2'!J$355</f>
        <v>0</v>
      </c>
      <c r="K814" s="879">
        <f>+K789/'VVP2'!K$355</f>
        <v>0</v>
      </c>
      <c r="L814" s="879">
        <f>+L789/'VVP2'!L$355</f>
        <v>0</v>
      </c>
      <c r="M814" s="879">
        <f>+M789/'VVP2'!M$355</f>
        <v>0</v>
      </c>
      <c r="N814" s="879">
        <f>+N789/'VVP2'!N$355</f>
        <v>0</v>
      </c>
      <c r="O814" s="879">
        <f>+O789/'VVP2'!O$355</f>
        <v>0</v>
      </c>
      <c r="P814" s="879">
        <f>+P789/'VVP2'!P$355</f>
        <v>0</v>
      </c>
      <c r="Q814" s="879">
        <f>+Q789/'VVP2'!Q$355</f>
        <v>0</v>
      </c>
      <c r="R814" s="879">
        <f>+R789/'VVP2'!R$355</f>
        <v>0</v>
      </c>
      <c r="S814" s="879">
        <f>+S789/'VVP2'!S$355</f>
        <v>0</v>
      </c>
      <c r="T814" s="879">
        <f>+T789/'VVP2'!T$355</f>
        <v>0</v>
      </c>
      <c r="U814" s="879">
        <f>+U789/'VVP2'!U$355</f>
        <v>0</v>
      </c>
      <c r="V814" s="879">
        <f>+V789/'VVP2'!V$355</f>
        <v>0</v>
      </c>
      <c r="W814" s="879">
        <f>+W789/'VVP2'!W$355</f>
        <v>0</v>
      </c>
      <c r="X814" s="879">
        <f>+X789/'VVP2'!X$355</f>
        <v>0</v>
      </c>
      <c r="Y814" s="879">
        <f>+Y789/'VVP2'!Y$355</f>
        <v>0</v>
      </c>
      <c r="Z814" s="2225">
        <f>+Z789/'VVP2'!Z$355</f>
        <v>0</v>
      </c>
      <c r="AA814" s="2225">
        <f>+AA789/'VVP2'!AA$355</f>
        <v>0</v>
      </c>
      <c r="AB814" s="2225">
        <f>+AB789/'VVP2'!AB$355</f>
        <v>0</v>
      </c>
      <c r="AC814" s="2225">
        <f>+AC789/'VVP2'!AC$355</f>
        <v>0</v>
      </c>
      <c r="AD814" s="2225">
        <f ca="1">+AD789/'VVP2'!AD$355</f>
        <v>0</v>
      </c>
      <c r="AE814" s="2225">
        <f ca="1">+AE789/'VVP2'!AE$355</f>
        <v>0</v>
      </c>
      <c r="AI814" s="749"/>
      <c r="AJ814" s="749"/>
      <c r="AK814" s="2225">
        <v>0</v>
      </c>
      <c r="AL814" s="749"/>
      <c r="AM814" s="2225">
        <f t="shared" si="1003"/>
        <v>0</v>
      </c>
      <c r="AN814" s="749"/>
      <c r="AO814" s="749"/>
      <c r="AP814" s="749"/>
      <c r="AQ814" s="749"/>
      <c r="AR814" s="749"/>
      <c r="AS814" s="749"/>
      <c r="AT814" s="749"/>
    </row>
    <row r="815" spans="1:46" ht="12.75" customHeight="1">
      <c r="A815" s="714"/>
      <c r="B815" s="714"/>
      <c r="C815" s="870" t="s">
        <v>622</v>
      </c>
      <c r="D815" s="724" t="s">
        <v>591</v>
      </c>
      <c r="E815" s="830" t="s">
        <v>1556</v>
      </c>
      <c r="F815" s="754" t="s">
        <v>1080</v>
      </c>
      <c r="G815" s="879">
        <f ca="1">+G790/'VVP2'!G$355</f>
        <v>7.2175409435716121E-4</v>
      </c>
      <c r="H815" s="879">
        <f>+H790/'VVP2'!H$355</f>
        <v>7.0111288936308984E-4</v>
      </c>
      <c r="I815" s="879">
        <f>+I790/'VVP2'!I$355</f>
        <v>2.3321814038846974E-3</v>
      </c>
      <c r="J815" s="879">
        <f>+J790/'VVP2'!J$355</f>
        <v>4.4991334370479561E-4</v>
      </c>
      <c r="K815" s="879">
        <f>+K790/'VVP2'!K$355</f>
        <v>2.0165748118545932E-3</v>
      </c>
      <c r="L815" s="879">
        <f>+L790/'VVP2'!L$355</f>
        <v>6.0064595580547071E-4</v>
      </c>
      <c r="M815" s="879">
        <f>+M790/'VVP2'!M$355</f>
        <v>9.8687527371397674E-4</v>
      </c>
      <c r="N815" s="879">
        <f>+N790/'VVP2'!N$355</f>
        <v>7.0310628283995328E-4</v>
      </c>
      <c r="O815" s="879">
        <f>+O790/'VVP2'!O$355</f>
        <v>9.6979689459783145E-4</v>
      </c>
      <c r="P815" s="879">
        <f>+P790/'VVP2'!P$355</f>
        <v>7.2310743367832617E-4</v>
      </c>
      <c r="Q815" s="879">
        <f>+Q790/'VVP2'!Q$355</f>
        <v>1.3670184486491623E-3</v>
      </c>
      <c r="R815" s="879">
        <f>+R790/'VVP2'!R$355</f>
        <v>8.1215421072723128E-4</v>
      </c>
      <c r="S815" s="879">
        <f>+S790/'VVP2'!S$355</f>
        <v>4.5023026435072775E-4</v>
      </c>
      <c r="T815" s="879">
        <f>+T790/'VVP2'!T$355</f>
        <v>4.6093114304427573E-4</v>
      </c>
      <c r="U815" s="879">
        <f>+U790/'VVP2'!U$355</f>
        <v>5.3758646899158239E-4</v>
      </c>
      <c r="V815" s="879">
        <f>+V790/'VVP2'!V$355</f>
        <v>5.8066203689121146E-4</v>
      </c>
      <c r="W815" s="879">
        <f>+W790/'VVP2'!W$355</f>
        <v>7.2222487465916686E-4</v>
      </c>
      <c r="X815" s="879">
        <f>+X790/'VVP2'!X$355</f>
        <v>1.376773838251913E-3</v>
      </c>
      <c r="Y815" s="879">
        <f>+Y790/'VVP2'!Y$355</f>
        <v>1.3404197076105969E-3</v>
      </c>
      <c r="Z815" s="2225">
        <f>+Z790/'VVP2'!Z$355</f>
        <v>5.6409357058239535E-4</v>
      </c>
      <c r="AA815" s="2225">
        <f>+AA790/'VVP2'!AA$355</f>
        <v>4.8923679060665381E-4</v>
      </c>
      <c r="AB815" s="2225">
        <f>+AB790/'VVP2'!AB$355</f>
        <v>1.4766631903110844E-3</v>
      </c>
      <c r="AC815" s="2225">
        <f>+AC790/'VVP2'!AC$355</f>
        <v>9.9022861920350152E-4</v>
      </c>
      <c r="AD815" s="2225">
        <f ca="1">+AD790/'VVP2'!AD$355</f>
        <v>6.8428365477605981E-4</v>
      </c>
      <c r="AE815" s="2225">
        <f ca="1">+AE790/'VVP2'!AE$355</f>
        <v>6.6142561595673298E-4</v>
      </c>
      <c r="AI815" s="749"/>
      <c r="AJ815" s="749"/>
      <c r="AK815" s="2225">
        <v>5.8095309120739867E-4</v>
      </c>
      <c r="AL815" s="749"/>
      <c r="AM815" s="2225">
        <f t="shared" si="1003"/>
        <v>-1.6859520625003323E-5</v>
      </c>
      <c r="AN815" s="749"/>
      <c r="AO815" s="749"/>
      <c r="AP815" s="749"/>
      <c r="AQ815" s="749"/>
      <c r="AR815" s="749"/>
      <c r="AS815" s="749"/>
      <c r="AT815" s="749"/>
    </row>
    <row r="816" spans="1:46" ht="12.75" customHeight="1">
      <c r="A816" s="714"/>
      <c r="B816" s="714"/>
      <c r="C816" s="870" t="s">
        <v>624</v>
      </c>
      <c r="D816" s="850" t="s">
        <v>591</v>
      </c>
      <c r="E816" s="851" t="s">
        <v>613</v>
      </c>
      <c r="F816" s="852" t="s">
        <v>570</v>
      </c>
      <c r="G816" s="881">
        <f ca="1">+G791/'VVP2'!G$355</f>
        <v>4.3243719082894294E-3</v>
      </c>
      <c r="H816" s="881">
        <f>+H791/'VVP2'!H$355</f>
        <v>4.5461197059956729E-3</v>
      </c>
      <c r="I816" s="881">
        <f>+I791/'VVP2'!I$355</f>
        <v>5.9433009969964866E-3</v>
      </c>
      <c r="J816" s="881">
        <f>+J791/'VVP2'!J$355</f>
        <v>4.527706132809302E-3</v>
      </c>
      <c r="K816" s="881">
        <f>+K791/'VVP2'!K$355</f>
        <v>6.2020423705911737E-3</v>
      </c>
      <c r="L816" s="881">
        <f>+L791/'VVP2'!L$355</f>
        <v>5.1502195785022194E-3</v>
      </c>
      <c r="M816" s="881">
        <f>+M791/'VVP2'!M$355</f>
        <v>5.5250718240525158E-3</v>
      </c>
      <c r="N816" s="881">
        <f>+N791/'VVP2'!N$355</f>
        <v>5.2689345176832689E-3</v>
      </c>
      <c r="O816" s="881">
        <f>+O791/'VVP2'!O$355</f>
        <v>5.8891898250933621E-3</v>
      </c>
      <c r="P816" s="881">
        <f>+P791/'VVP2'!P$355</f>
        <v>8.0097539158276165E-3</v>
      </c>
      <c r="Q816" s="881">
        <f>+Q791/'VVP2'!Q$355</f>
        <v>7.3795880837598977E-3</v>
      </c>
      <c r="R816" s="881">
        <f>+R791/'VVP2'!R$355</f>
        <v>7.4039810556535343E-3</v>
      </c>
      <c r="S816" s="881">
        <f>+S791/'VVP2'!S$355</f>
        <v>6.8779055009609465E-3</v>
      </c>
      <c r="T816" s="881">
        <f>+T791/'VVP2'!T$355</f>
        <v>7.1548827492283222E-3</v>
      </c>
      <c r="U816" s="881">
        <f>+U791/'VVP2'!U$355</f>
        <v>6.9447570410208579E-3</v>
      </c>
      <c r="V816" s="881">
        <f>+V791/'VVP2'!V$355</f>
        <v>7.6918547084980707E-3</v>
      </c>
      <c r="W816" s="881">
        <f>+W791/'VVP2'!W$355</f>
        <v>8.0333668947205582E-3</v>
      </c>
      <c r="X816" s="881">
        <f>+X791/'VVP2'!X$355</f>
        <v>9.9393522737155435E-3</v>
      </c>
      <c r="Y816" s="881">
        <f>+Y791/'VVP2'!Y$355</f>
        <v>1.1466845831088257E-2</v>
      </c>
      <c r="Z816" s="2227">
        <f>+Z791/'VVP2'!Z$355</f>
        <v>1.0306074473341956E-2</v>
      </c>
      <c r="AA816" s="2227">
        <f>+AA791/'VVP2'!AA$355</f>
        <v>9.3517807439517861E-3</v>
      </c>
      <c r="AB816" s="2227">
        <f>+AB791/'VVP2'!AB$355</f>
        <v>9.3871055888640632E-3</v>
      </c>
      <c r="AC816" s="2227">
        <f>+AC791/'VVP2'!AC$355</f>
        <v>9.2425138761999849E-3</v>
      </c>
      <c r="AD816" s="2227">
        <f ca="1">+AD791/'VVP2'!AD$355</f>
        <v>9.1675179861177691E-3</v>
      </c>
      <c r="AE816" s="2227">
        <f ca="1">+AE791/'VVP2'!AE$355</f>
        <v>9.450921335868865E-3</v>
      </c>
      <c r="AI816" s="749"/>
      <c r="AJ816" s="749"/>
      <c r="AK816" s="2227">
        <v>1.0291843786511549E-2</v>
      </c>
      <c r="AL816" s="749"/>
      <c r="AM816" s="2227">
        <f t="shared" si="1003"/>
        <v>1.4230686830407277E-5</v>
      </c>
      <c r="AN816" s="749"/>
      <c r="AO816" s="749"/>
      <c r="AP816" s="749"/>
      <c r="AQ816" s="749"/>
      <c r="AR816" s="749"/>
      <c r="AS816" s="749"/>
      <c r="AT816" s="749"/>
    </row>
    <row r="817" spans="1:46" s="927" customFormat="1" ht="12.75" customHeight="1">
      <c r="A817" s="714"/>
      <c r="B817" s="714"/>
      <c r="C817" s="870"/>
      <c r="D817" s="1082"/>
      <c r="E817" s="3478" t="s">
        <v>2626</v>
      </c>
      <c r="F817" s="1084"/>
      <c r="G817" s="879">
        <f ca="1">+G792/'VVP2'!G$355</f>
        <v>0</v>
      </c>
      <c r="H817" s="879">
        <f>+H792/'VVP2'!H$355</f>
        <v>4.76979046264189E-5</v>
      </c>
      <c r="I817" s="879">
        <f>+I792/'VVP2'!I$355</f>
        <v>5.5317395727815404E-5</v>
      </c>
      <c r="J817" s="879">
        <f>+J792/'VVP2'!J$355</f>
        <v>1.023499549660198E-5</v>
      </c>
      <c r="K817" s="879">
        <f>+K792/'VVP2'!K$355</f>
        <v>5.404829952584901E-5</v>
      </c>
      <c r="L817" s="879">
        <f>+L792/'VVP2'!L$355</f>
        <v>7.4741888762382762E-5</v>
      </c>
      <c r="M817" s="879">
        <f>+M792/'VVP2'!M$355</f>
        <v>4.7029892952438859E-5</v>
      </c>
      <c r="N817" s="879">
        <f>+N792/'VVP2'!N$355</f>
        <v>6.5075503944339E-5</v>
      </c>
      <c r="O817" s="879">
        <f>+O792/'VVP2'!O$355</f>
        <v>4.1749738621869433E-5</v>
      </c>
      <c r="P817" s="879">
        <f>+P792/'VVP2'!P$355</f>
        <v>1.9416773682103225E-5</v>
      </c>
      <c r="Q817" s="879">
        <f>+Q792/'VVP2'!Q$355</f>
        <v>3.4352037107905208E-5</v>
      </c>
      <c r="R817" s="879">
        <f>+R792/'VVP2'!R$355</f>
        <v>7.5307175212551447E-5</v>
      </c>
      <c r="S817" s="879">
        <f>+S792/'VVP2'!S$355</f>
        <v>4.3514522972041917E-5</v>
      </c>
      <c r="T817" s="879">
        <f>+T792/'VVP2'!T$355</f>
        <v>3.3891995812079048E-5</v>
      </c>
      <c r="U817" s="879">
        <f>+U792/'VVP2'!U$355</f>
        <v>5.9062833393208527E-5</v>
      </c>
      <c r="V817" s="879">
        <f>+V792/'VVP2'!V$355</f>
        <v>1.6296882639163735E-4</v>
      </c>
      <c r="W817" s="879">
        <f>+W792/'VVP2'!W$355</f>
        <v>7.7814586568463774E-5</v>
      </c>
      <c r="X817" s="879">
        <f>+X792/'VVP2'!X$355</f>
        <v>9.5741910776281098E-5</v>
      </c>
      <c r="Y817" s="879">
        <f>+Y792/'VVP2'!Y$355</f>
        <v>4.3559180078085377E-4</v>
      </c>
      <c r="Z817" s="879">
        <f>+Z792/'VVP2'!Z$355</f>
        <v>8.8186461654378014E-5</v>
      </c>
      <c r="AA817" s="879">
        <f>+AA792/'VVP2'!AA$355</f>
        <v>6.0423667365761998E-5</v>
      </c>
      <c r="AB817" s="879">
        <f>+AB792/'VVP2'!AB$355</f>
        <v>1.3095428324513223E-4</v>
      </c>
      <c r="AC817" s="879">
        <f>+AC792/'VVP2'!AC$355</f>
        <v>1.1676578835379851E-4</v>
      </c>
      <c r="AD817" s="879">
        <f ca="1">+AD792/'VVP2'!AD$355</f>
        <v>1.166674316090761E-4</v>
      </c>
      <c r="AE817" s="879">
        <f ca="1">+AE792/'VVP2'!AE$355</f>
        <v>1.1668959544069703E-4</v>
      </c>
      <c r="AF817" s="2831"/>
      <c r="AG817" s="2831"/>
      <c r="AH817" s="2831"/>
      <c r="AK817" s="2933"/>
      <c r="AM817" s="2933"/>
    </row>
    <row r="818" spans="1:46" ht="12.75" customHeight="1">
      <c r="A818" s="714"/>
      <c r="B818" s="714"/>
      <c r="C818" s="870" t="s">
        <v>2133</v>
      </c>
      <c r="D818" s="724" t="s">
        <v>591</v>
      </c>
      <c r="E818" s="830" t="s">
        <v>1078</v>
      </c>
      <c r="F818" s="754" t="s">
        <v>212</v>
      </c>
      <c r="G818" s="879">
        <f ca="1">+G793/'VVP2'!G$355</f>
        <v>1.1467607676245252E-2</v>
      </c>
      <c r="H818" s="879">
        <f>+H793/'VVP2'!H$355</f>
        <v>1.2017556533594143E-2</v>
      </c>
      <c r="I818" s="879">
        <f>+I793/'VVP2'!I$355</f>
        <v>1.4636540370414132E-2</v>
      </c>
      <c r="J818" s="879">
        <f>+J793/'VVP2'!J$355</f>
        <v>1.395754865034526E-2</v>
      </c>
      <c r="K818" s="879">
        <f>+K793/'VVP2'!K$355</f>
        <v>1.2990426899674891E-2</v>
      </c>
      <c r="L818" s="879">
        <f>+L793/'VVP2'!L$355</f>
        <v>1.2851344966734051E-2</v>
      </c>
      <c r="M818" s="879">
        <f>+M793/'VVP2'!M$355</f>
        <v>1.0126476550519134E-2</v>
      </c>
      <c r="N818" s="879">
        <f>+N793/'VVP2'!N$355</f>
        <v>9.3239745791087267E-3</v>
      </c>
      <c r="O818" s="879">
        <f>+O793/'VVP2'!O$355</f>
        <v>1.4900057140532098E-2</v>
      </c>
      <c r="P818" s="879">
        <f>+P793/'VVP2'!P$355</f>
        <v>9.3876753033368728E-3</v>
      </c>
      <c r="Q818" s="879">
        <f>+Q793/'VVP2'!Q$355</f>
        <v>3.552096951080131E-2</v>
      </c>
      <c r="R818" s="879">
        <f>+R793/'VVP2'!R$355</f>
        <v>1.2148945347501288E-2</v>
      </c>
      <c r="S818" s="879">
        <f>+S793/'VVP2'!S$355</f>
        <v>1.2565253653406824E-2</v>
      </c>
      <c r="T818" s="879">
        <f>+T793/'VVP2'!T$355</f>
        <v>1.2747626924818232E-2</v>
      </c>
      <c r="U818" s="879">
        <f>+U793/'VVP2'!U$355</f>
        <v>1.4106268946339123E-2</v>
      </c>
      <c r="V818" s="879">
        <f>+V793/'VVP2'!V$355</f>
        <v>1.4630218254973629E-2</v>
      </c>
      <c r="W818" s="879">
        <f>+W793/'VVP2'!W$355</f>
        <v>1.9412761011885056E-2</v>
      </c>
      <c r="X818" s="879">
        <f>+X793/'VVP2'!X$355</f>
        <v>2.4112767970898591E-2</v>
      </c>
      <c r="Y818" s="879">
        <f>+Y793/'VVP2'!Y$355</f>
        <v>1.9391354127213198E-2</v>
      </c>
      <c r="Z818" s="2225">
        <f>+Z793/'VVP2'!Z$355</f>
        <v>1.7781938113589156E-2</v>
      </c>
      <c r="AA818" s="2225">
        <f>+AA793/'VVP2'!AA$355</f>
        <v>1.2703345132191389E-2</v>
      </c>
      <c r="AB818" s="2225">
        <f>+AB793/'VVP2'!AB$355</f>
        <v>1.1082892643016732E-2</v>
      </c>
      <c r="AC818" s="2225">
        <f>+AC793/'VVP2'!AC$355</f>
        <v>9.66647403352364E-3</v>
      </c>
      <c r="AD818" s="2225">
        <f ca="1">+AD793/'VVP2'!AD$355</f>
        <v>8.507041605809236E-3</v>
      </c>
      <c r="AE818" s="2225">
        <f ca="1">+AE793/'VVP2'!AE$355</f>
        <v>8.1896695712271282E-3</v>
      </c>
      <c r="AK818" s="2225">
        <v>1.733437740820842E-2</v>
      </c>
      <c r="AM818" s="2225">
        <f t="shared" si="1003"/>
        <v>4.4756070538073608E-4</v>
      </c>
    </row>
    <row r="819" spans="1:46" ht="12.75" customHeight="1">
      <c r="A819" s="714"/>
      <c r="B819" s="714"/>
      <c r="C819" s="870" t="s">
        <v>624</v>
      </c>
      <c r="D819" s="850" t="s">
        <v>591</v>
      </c>
      <c r="E819" s="851" t="s">
        <v>418</v>
      </c>
      <c r="F819" s="852" t="s">
        <v>1826</v>
      </c>
      <c r="G819" s="881">
        <f ca="1">+G794/'VVP2'!G$355</f>
        <v>-7.1432357679558217E-3</v>
      </c>
      <c r="H819" s="881">
        <f>+H794/'VVP2'!H$355</f>
        <v>-7.4714368275984704E-3</v>
      </c>
      <c r="I819" s="881">
        <f>+I794/'VVP2'!I$355</f>
        <v>-8.6932393734176459E-3</v>
      </c>
      <c r="J819" s="881">
        <f>+J794/'VVP2'!J$355</f>
        <v>-9.4298425175359576E-3</v>
      </c>
      <c r="K819" s="881">
        <f>+K794/'VVP2'!K$355</f>
        <v>-6.7883845290837184E-3</v>
      </c>
      <c r="L819" s="881">
        <f>+L794/'VVP2'!L$355</f>
        <v>-7.7011253882318309E-3</v>
      </c>
      <c r="M819" s="881">
        <f>+M794/'VVP2'!M$355</f>
        <v>-4.6014047264666177E-3</v>
      </c>
      <c r="N819" s="881">
        <f>+N794/'VVP2'!N$355</f>
        <v>-4.0550400614254587E-3</v>
      </c>
      <c r="O819" s="881">
        <f>+O794/'VVP2'!O$355</f>
        <v>-9.0108673154387347E-3</v>
      </c>
      <c r="P819" s="881">
        <f>+P794/'VVP2'!P$355</f>
        <v>-1.3779213875092563E-3</v>
      </c>
      <c r="Q819" s="881">
        <f>+Q794/'VVP2'!Q$355</f>
        <v>-2.8141381427041409E-2</v>
      </c>
      <c r="R819" s="881">
        <f>+R794/'VVP2'!R$355</f>
        <v>-4.7449642918477534E-3</v>
      </c>
      <c r="S819" s="881">
        <f>+S794/'VVP2'!S$355</f>
        <v>-5.6873481524458772E-3</v>
      </c>
      <c r="T819" s="881">
        <f>+T794/'VVP2'!T$355</f>
        <v>-5.59274417558991E-3</v>
      </c>
      <c r="U819" s="881">
        <f>+U794/'VVP2'!U$355</f>
        <v>-7.1615119053182654E-3</v>
      </c>
      <c r="V819" s="881">
        <f>+V794/'VVP2'!V$355</f>
        <v>-6.9383635464755587E-3</v>
      </c>
      <c r="W819" s="881">
        <f>+W794/'VVP2'!W$355</f>
        <v>-1.1379394117164501E-2</v>
      </c>
      <c r="X819" s="881">
        <f>+X794/'VVP2'!X$355</f>
        <v>-1.4173415697183047E-2</v>
      </c>
      <c r="Y819" s="881">
        <f>+Y794/'VVP2'!Y$355</f>
        <v>-7.9245082961249408E-3</v>
      </c>
      <c r="Z819" s="2227">
        <f>+Z794/'VVP2'!Z$355</f>
        <v>-7.4758636402472009E-3</v>
      </c>
      <c r="AA819" s="2227">
        <f>+AA794/'VVP2'!AA$355</f>
        <v>-3.3515643882396037E-3</v>
      </c>
      <c r="AB819" s="2227">
        <f>+AB794/'VVP2'!AB$355</f>
        <v>-1.6957870541526702E-3</v>
      </c>
      <c r="AC819" s="2227">
        <f>+AC794/'VVP2'!AC$355</f>
        <v>-4.2396015732365554E-4</v>
      </c>
      <c r="AD819" s="2227">
        <f ca="1">+AD794/'VVP2'!AD$355</f>
        <v>6.6047638030853305E-4</v>
      </c>
      <c r="AE819" s="2227">
        <f ca="1">+AE794/'VVP2'!AE$355</f>
        <v>1.2612517646417357E-3</v>
      </c>
      <c r="AK819" s="2227">
        <v>-7.0425336216968712E-3</v>
      </c>
      <c r="AM819" s="2227">
        <f t="shared" si="1003"/>
        <v>-4.3333001855032968E-4</v>
      </c>
    </row>
    <row r="820" spans="1:46" ht="12.75" customHeight="1">
      <c r="A820" s="714"/>
      <c r="B820" s="714"/>
      <c r="C820" s="870" t="s">
        <v>622</v>
      </c>
      <c r="D820" s="724" t="s">
        <v>589</v>
      </c>
      <c r="E820" s="830" t="s">
        <v>418</v>
      </c>
      <c r="F820" s="754" t="s">
        <v>1827</v>
      </c>
      <c r="G820" s="879">
        <f ca="1">+G795/'VVP2'!G$355</f>
        <v>2.8018257302258307E-3</v>
      </c>
      <c r="H820" s="879">
        <f>+H795/'VVP2'!H$355</f>
        <v>4.7883139207492411E-4</v>
      </c>
      <c r="I820" s="879">
        <f>+I795/'VVP2'!I$355</f>
        <v>-9.6030998983487228E-5</v>
      </c>
      <c r="J820" s="879">
        <f>+J795/'VVP2'!J$355</f>
        <v>-7.1346447774229627E-4</v>
      </c>
      <c r="K820" s="879">
        <f>+K795/'VVP2'!K$355</f>
        <v>-4.1477975317943293E-4</v>
      </c>
      <c r="L820" s="879">
        <f>+L795/'VVP2'!L$355</f>
        <v>-1.0824019642013463E-3</v>
      </c>
      <c r="M820" s="879">
        <f>+M795/'VVP2'!M$355</f>
        <v>-3.4230237286503092E-3</v>
      </c>
      <c r="N820" s="879">
        <f>+N795/'VVP2'!N$355</f>
        <v>-2.0573311554246618E-3</v>
      </c>
      <c r="O820" s="879">
        <f>+O795/'VVP2'!O$355</f>
        <v>-3.3810212056829174E-3</v>
      </c>
      <c r="P820" s="879">
        <f>+P795/'VVP2'!P$355</f>
        <v>-4.256625471861078E-3</v>
      </c>
      <c r="Q820" s="879">
        <f>+Q795/'VVP2'!Q$355</f>
        <v>-4.1495334543894839E-3</v>
      </c>
      <c r="R820" s="879">
        <f>+R795/'VVP2'!R$355</f>
        <v>-5.1095612254987649E-3</v>
      </c>
      <c r="S820" s="879">
        <f>+S795/'VVP2'!S$355</f>
        <v>-4.6928962541248143E-3</v>
      </c>
      <c r="T820" s="879">
        <f>+T795/'VVP2'!T$355</f>
        <v>-4.5711829351541616E-3</v>
      </c>
      <c r="U820" s="879">
        <f>+U795/'VVP2'!U$355</f>
        <v>-3.3726024718655919E-3</v>
      </c>
      <c r="V820" s="879">
        <f>+V795/'VVP2'!V$355</f>
        <v>-4.1972004968494972E-3</v>
      </c>
      <c r="W820" s="879">
        <f>+W795/'VVP2'!W$355</f>
        <v>-2.9764738808086286E-3</v>
      </c>
      <c r="X820" s="879">
        <f>+X795/'VVP2'!X$355</f>
        <v>-3.7827087012364648E-3</v>
      </c>
      <c r="Y820" s="879">
        <f>+Y795/'VVP2'!Y$355</f>
        <v>-6.3771251348958228E-3</v>
      </c>
      <c r="Z820" s="2225">
        <f>+Z795/'VVP2'!Z$355</f>
        <v>-7.4209032392161438E-3</v>
      </c>
      <c r="AA820" s="2225">
        <f>+AA795/'VVP2'!AA$355</f>
        <v>-7.3775348703035218E-3</v>
      </c>
      <c r="AB820" s="2225">
        <f>+AB795/'VVP2'!AB$355</f>
        <v>-6.6481754806305849E-3</v>
      </c>
      <c r="AC820" s="2225">
        <f>+AC795/'VVP2'!AC$355</f>
        <v>-6.7348431393029536E-3</v>
      </c>
      <c r="AD820" s="2225">
        <f ca="1">+AD795/'VVP2'!AD$355</f>
        <v>-6.8393606174464421E-3</v>
      </c>
      <c r="AE820" s="2225">
        <f ca="1">+AE795/'VVP2'!AE$355</f>
        <v>-6.9414411574048769E-3</v>
      </c>
      <c r="AK820" s="2225">
        <v>-5.5835632783951088E-3</v>
      </c>
      <c r="AM820" s="2225">
        <f t="shared" si="1003"/>
        <v>-1.837339960821035E-3</v>
      </c>
    </row>
    <row r="821" spans="1:46" ht="12.75" customHeight="1">
      <c r="A821" s="714"/>
      <c r="B821" s="714"/>
      <c r="C821" s="871" t="s">
        <v>622</v>
      </c>
      <c r="D821" s="872" t="s">
        <v>590</v>
      </c>
      <c r="E821" s="873" t="s">
        <v>418</v>
      </c>
      <c r="F821" s="874" t="s">
        <v>1828</v>
      </c>
      <c r="G821" s="880">
        <f ca="1">+G796/'VVP2'!G$355</f>
        <v>3.162466136717737E-3</v>
      </c>
      <c r="H821" s="880">
        <f>+H796/'VVP2'!H$355</f>
        <v>6.5031230550368982E-3</v>
      </c>
      <c r="I821" s="880">
        <f>+I796/'VVP2'!I$355</f>
        <v>1.0532874685741874E-2</v>
      </c>
      <c r="J821" s="880">
        <f>+J796/'VVP2'!J$355</f>
        <v>9.5782499522366876E-3</v>
      </c>
      <c r="K821" s="880">
        <f>+K796/'VVP2'!K$355</f>
        <v>7.0324207905792186E-3</v>
      </c>
      <c r="L821" s="880">
        <f>+L796/'VVP2'!L$355</f>
        <v>7.9753080682513511E-3</v>
      </c>
      <c r="M821" s="880">
        <f>+M796/'VVP2'!M$355</f>
        <v>6.1612922159131091E-3</v>
      </c>
      <c r="N821" s="880">
        <f>+N796/'VVP2'!N$355</f>
        <v>4.8272209015247664E-3</v>
      </c>
      <c r="O821" s="880">
        <f>+O796/'VVP2'!O$355</f>
        <v>1.2195523225061166E-2</v>
      </c>
      <c r="P821" s="880">
        <f>+P796/'VVP2'!P$355</f>
        <v>5.5153680415974248E-3</v>
      </c>
      <c r="Q821" s="880">
        <f>+Q796/'VVP2'!Q$355</f>
        <v>3.177563432481232E-2</v>
      </c>
      <c r="R821" s="880">
        <f>+R796/'VVP2'!R$355</f>
        <v>9.6264611046093206E-3</v>
      </c>
      <c r="S821" s="880">
        <f>+S796/'VVP2'!S$355</f>
        <v>9.8015012510425364E-3</v>
      </c>
      <c r="T821" s="880">
        <f>+T796/'VVP2'!T$355</f>
        <v>9.6561120401597571E-3</v>
      </c>
      <c r="U821" s="880">
        <f>+U796/'VVP2'!U$355</f>
        <v>9.9529475651060212E-3</v>
      </c>
      <c r="V821" s="880">
        <f>+V796/'VVP2'!V$355</f>
        <v>1.0376868834745501E-2</v>
      </c>
      <c r="W821" s="880">
        <f>+W796/'VVP2'!W$355</f>
        <v>1.3141169112726432E-2</v>
      </c>
      <c r="X821" s="880">
        <f>+X796/'VVP2'!X$355</f>
        <v>2.3917413182603053E-2</v>
      </c>
      <c r="Y821" s="880">
        <f>+Y796/'VVP2'!Y$355</f>
        <v>1.3858650078324965E-2</v>
      </c>
      <c r="Z821" s="2226">
        <f>+Z796/'VVP2'!Z$355</f>
        <v>1.4185529326120527E-2</v>
      </c>
      <c r="AA821" s="2226">
        <f>+AA796/'VVP2'!AA$355</f>
        <v>1.0630423511433718E-2</v>
      </c>
      <c r="AB821" s="2226">
        <f>+AB796/'VVP2'!AB$355</f>
        <v>7.2287237110458284E-3</v>
      </c>
      <c r="AC821" s="2226">
        <f>+AC796/'VVP2'!AC$355</f>
        <v>6.8347622698721917E-3</v>
      </c>
      <c r="AD821" s="2226">
        <f ca="1">+AD796/'VVP2'!AD$355</f>
        <v>6.478108359151788E-3</v>
      </c>
      <c r="AE821" s="2226">
        <f ca="1">+AE796/'VVP2'!AE$355</f>
        <v>6.1364772432375399E-3</v>
      </c>
      <c r="AK821" s="2226">
        <v>1.3609242548537053E-2</v>
      </c>
      <c r="AM821" s="2226">
        <f t="shared" si="1003"/>
        <v>5.7628677758347381E-4</v>
      </c>
    </row>
    <row r="822" spans="1:46" ht="12.75" customHeight="1">
      <c r="A822" s="714"/>
      <c r="B822" s="714"/>
      <c r="C822" s="822" t="s">
        <v>624</v>
      </c>
      <c r="D822" s="850" t="s">
        <v>592</v>
      </c>
      <c r="E822" s="851" t="s">
        <v>961</v>
      </c>
      <c r="F822" s="852" t="s">
        <v>1695</v>
      </c>
      <c r="G822" s="881">
        <f ca="1">+G797/'VVP2'!G$355</f>
        <v>-1.0852341890891604E-3</v>
      </c>
      <c r="H822" s="881">
        <f>+H797/'VVP2'!H$355</f>
        <v>-4.8948238048664822E-4</v>
      </c>
      <c r="I822" s="881">
        <f>+I797/'VVP2'!I$355</f>
        <v>1.7436043133407413E-3</v>
      </c>
      <c r="J822" s="881">
        <f>+J797/'VVP2'!J$355</f>
        <v>-5.6505704304156781E-4</v>
      </c>
      <c r="K822" s="881">
        <f>+K797/'VVP2'!K$355</f>
        <v>-1.7074349168393226E-4</v>
      </c>
      <c r="L822" s="881">
        <f>+L797/'VVP2'!L$355</f>
        <v>-8.0821928418182791E-4</v>
      </c>
      <c r="M822" s="881">
        <f>+M797/'VVP2'!M$355</f>
        <v>-1.8631362392038176E-3</v>
      </c>
      <c r="N822" s="881">
        <f>+N797/'VVP2'!N$355</f>
        <v>-1.2851503153253542E-3</v>
      </c>
      <c r="O822" s="881">
        <f>+O797/'VVP2'!O$355</f>
        <v>-1.9636529606048759E-4</v>
      </c>
      <c r="P822" s="881">
        <f>+P797/'VVP2'!P$355</f>
        <v>-1.1917881777290933E-4</v>
      </c>
      <c r="Q822" s="881">
        <f>+Q797/'VVP2'!Q$355</f>
        <v>-5.1528055661857817E-4</v>
      </c>
      <c r="R822" s="881">
        <f>+R797/'VVP2'!R$355</f>
        <v>-2.2806441273719849E-4</v>
      </c>
      <c r="S822" s="881">
        <f>+S797/'VVP2'!S$355</f>
        <v>-5.7874315552815757E-4</v>
      </c>
      <c r="T822" s="881">
        <f>+T797/'VVP2'!T$355</f>
        <v>-5.0781507058431769E-4</v>
      </c>
      <c r="U822" s="881">
        <f>+U797/'VVP2'!U$355</f>
        <v>-5.811668120778334E-4</v>
      </c>
      <c r="V822" s="881">
        <f>+V797/'VVP2'!V$355</f>
        <v>-7.5869520857955552E-4</v>
      </c>
      <c r="W822" s="881">
        <f>+W797/'VVP2'!W$355</f>
        <v>-1.2146988852466975E-3</v>
      </c>
      <c r="X822" s="881">
        <f>+X797/'VVP2'!X$355</f>
        <v>5.9612887841835405E-3</v>
      </c>
      <c r="Y822" s="881">
        <f>+Y797/'VVP2'!Y$355</f>
        <v>-4.4298335269580099E-4</v>
      </c>
      <c r="Z822" s="2227">
        <f>+Z797/'VVP2'!Z$355</f>
        <v>-7.2447801359120745E-4</v>
      </c>
      <c r="AA822" s="2227">
        <f>+AA797/'VVP2'!AA$355</f>
        <v>6.1398242645854903E-5</v>
      </c>
      <c r="AB822" s="2227">
        <f>+AB797/'VVP2'!AB$355</f>
        <v>-8.3205609570914337E-4</v>
      </c>
      <c r="AC822" s="2227">
        <f>+AC797/'VVP2'!AC$355</f>
        <v>-3.2404102675441754E-4</v>
      </c>
      <c r="AD822" s="2227">
        <f ca="1">+AD797/'VVP2'!AD$355</f>
        <v>2.9922412201387877E-4</v>
      </c>
      <c r="AE822" s="2227">
        <f ca="1">+AE797/'VVP2'!AE$355</f>
        <v>4.5628785047439847E-4</v>
      </c>
      <c r="AK822" s="2227">
        <v>9.831456484450734E-4</v>
      </c>
      <c r="AM822" s="2227">
        <f t="shared" si="1003"/>
        <v>-1.707623662036281E-3</v>
      </c>
    </row>
    <row r="823" spans="1:46" ht="30" customHeight="1">
      <c r="S823" s="2162"/>
      <c r="T823" s="2162"/>
      <c r="U823" s="2162"/>
      <c r="AM823" s="2827">
        <f t="shared" si="1003"/>
        <v>0</v>
      </c>
    </row>
    <row r="824" spans="1:46" ht="30" customHeight="1">
      <c r="S824" s="2162"/>
      <c r="T824" s="2162"/>
      <c r="U824" s="2162"/>
      <c r="AM824" s="2827">
        <f t="shared" si="1003"/>
        <v>0</v>
      </c>
    </row>
    <row r="825" spans="1:46" ht="22.5" customHeight="1">
      <c r="A825" s="603"/>
      <c r="B825" s="603"/>
      <c r="C825" s="4124" t="s">
        <v>1373</v>
      </c>
      <c r="D825" s="4124"/>
      <c r="E825" s="4124"/>
      <c r="F825" s="4124"/>
      <c r="S825" s="2162"/>
      <c r="T825" s="2233"/>
      <c r="U825" s="2233"/>
      <c r="AM825" s="2827">
        <f t="shared" si="1003"/>
        <v>0</v>
      </c>
    </row>
    <row r="826" spans="1:46" ht="12.75" customHeight="1">
      <c r="A826" s="714"/>
      <c r="B826" s="714"/>
      <c r="C826" s="822"/>
      <c r="S826" s="2162"/>
      <c r="T826" s="2233"/>
      <c r="U826" s="2233"/>
      <c r="V826" s="2233"/>
      <c r="W826" s="2233"/>
      <c r="X826" s="2233"/>
      <c r="Y826" s="2233"/>
      <c r="Z826" s="2233"/>
      <c r="AA826" s="2233"/>
      <c r="AB826" s="2233"/>
      <c r="AC826" s="2233"/>
      <c r="AD826" s="2233"/>
      <c r="AE826" s="2233"/>
      <c r="AK826" s="2233"/>
      <c r="AM826" s="2233">
        <f t="shared" si="1003"/>
        <v>0</v>
      </c>
    </row>
    <row r="827" spans="1:46" ht="12.75" customHeight="1">
      <c r="A827" s="714"/>
      <c r="B827" s="714"/>
      <c r="C827" s="822"/>
      <c r="D827" s="823"/>
      <c r="E827" s="824" t="s">
        <v>1803</v>
      </c>
      <c r="F827" s="825"/>
      <c r="G827" s="826">
        <f>+InputY!$G$3</f>
        <v>1995</v>
      </c>
      <c r="H827" s="826">
        <f>+G827+1</f>
        <v>1996</v>
      </c>
      <c r="I827" s="826">
        <f t="shared" ref="I827:S827" si="1048">+H827+1</f>
        <v>1997</v>
      </c>
      <c r="J827" s="826">
        <f t="shared" si="1048"/>
        <v>1998</v>
      </c>
      <c r="K827" s="826">
        <f t="shared" si="1048"/>
        <v>1999</v>
      </c>
      <c r="L827" s="826">
        <f t="shared" si="1048"/>
        <v>2000</v>
      </c>
      <c r="M827" s="826">
        <f t="shared" si="1048"/>
        <v>2001</v>
      </c>
      <c r="N827" s="826">
        <f t="shared" si="1048"/>
        <v>2002</v>
      </c>
      <c r="O827" s="826">
        <f t="shared" si="1048"/>
        <v>2003</v>
      </c>
      <c r="P827" s="826">
        <f>+O827+1</f>
        <v>2004</v>
      </c>
      <c r="Q827" s="826">
        <f>+P827+1</f>
        <v>2005</v>
      </c>
      <c r="R827" s="826">
        <f>+Q827+1</f>
        <v>2006</v>
      </c>
      <c r="S827" s="2163">
        <f t="shared" si="1048"/>
        <v>2007</v>
      </c>
      <c r="T827" s="2163">
        <f t="shared" ref="T827:AE827" si="1049">+S827+1</f>
        <v>2008</v>
      </c>
      <c r="U827" s="2163">
        <f t="shared" si="1049"/>
        <v>2009</v>
      </c>
      <c r="V827" s="2163">
        <f t="shared" si="1049"/>
        <v>2010</v>
      </c>
      <c r="W827" s="2163">
        <f t="shared" si="1049"/>
        <v>2011</v>
      </c>
      <c r="X827" s="2163">
        <f t="shared" si="1049"/>
        <v>2012</v>
      </c>
      <c r="Y827" s="2163">
        <f t="shared" si="1049"/>
        <v>2013</v>
      </c>
      <c r="Z827" s="2163">
        <f t="shared" si="1049"/>
        <v>2014</v>
      </c>
      <c r="AA827" s="2163">
        <f t="shared" si="1049"/>
        <v>2015</v>
      </c>
      <c r="AB827" s="2163">
        <f t="shared" si="1049"/>
        <v>2016</v>
      </c>
      <c r="AC827" s="2163">
        <f t="shared" si="1049"/>
        <v>2017</v>
      </c>
      <c r="AD827" s="2163">
        <f t="shared" si="1049"/>
        <v>2018</v>
      </c>
      <c r="AE827" s="2163">
        <f t="shared" si="1049"/>
        <v>2019</v>
      </c>
      <c r="AK827" s="2163">
        <v>2014</v>
      </c>
      <c r="AM827" s="2163">
        <f t="shared" si="1003"/>
        <v>0</v>
      </c>
    </row>
    <row r="828" spans="1:46" ht="12.75" customHeight="1">
      <c r="A828" s="714">
        <f>+ROW(InputY!A207)</f>
        <v>207</v>
      </c>
      <c r="B828" s="714" t="s">
        <v>663</v>
      </c>
      <c r="C828" s="827" t="s">
        <v>2133</v>
      </c>
      <c r="D828" s="718" t="s">
        <v>589</v>
      </c>
      <c r="E828" s="750" t="s">
        <v>1247</v>
      </c>
      <c r="F828" s="751" t="str">
        <f>+InputY!B207</f>
        <v>HNonFinN</v>
      </c>
      <c r="G828" s="828">
        <f ca="1">+InputY!G207/1000</f>
        <v>-0.189</v>
      </c>
      <c r="H828" s="828">
        <f>+InputY!H207/1000</f>
        <v>-0.17980000000000002</v>
      </c>
      <c r="I828" s="828">
        <f>+InputY!I207/1000</f>
        <v>-0.19900000000000001</v>
      </c>
      <c r="J828" s="828">
        <f>+InputY!J207/1000</f>
        <v>-0.193</v>
      </c>
      <c r="K828" s="828">
        <f>+InputY!K207/1000</f>
        <v>-0.21</v>
      </c>
      <c r="L828" s="828">
        <f>+InputY!L207/1000</f>
        <v>-0.1988</v>
      </c>
      <c r="M828" s="828">
        <f>+InputY!M207/1000</f>
        <v>-0.27910000000000001</v>
      </c>
      <c r="N828" s="828">
        <f>+InputY!N207/1000</f>
        <v>-0.2356</v>
      </c>
      <c r="O828" s="828">
        <f>+InputY!O207/1000</f>
        <v>-0.20899999999999999</v>
      </c>
      <c r="P828" s="828">
        <f>+InputY!P207/1000</f>
        <v>-0.28939999999999999</v>
      </c>
      <c r="Q828" s="828">
        <f>+InputY!Q207/1000</f>
        <v>-9.8400000000000001E-2</v>
      </c>
      <c r="R828" s="828">
        <f>+InputY!R207/1000</f>
        <v>-0.34100000000000003</v>
      </c>
      <c r="S828" s="828">
        <f>+InputY!S207/1000</f>
        <v>-0.51370000000000005</v>
      </c>
      <c r="T828" s="828">
        <f>+InputY!T207/1000</f>
        <v>-0.42460000000000003</v>
      </c>
      <c r="U828" s="828">
        <f>+InputY!U207/1000</f>
        <v>-0.30060000000000003</v>
      </c>
      <c r="V828" s="828">
        <f>+InputY!V207/1000</f>
        <v>-0.47420000000000001</v>
      </c>
      <c r="W828" s="828">
        <f>+InputY!W207/1000</f>
        <v>-0.78039999999999998</v>
      </c>
      <c r="X828" s="828">
        <f>+InputY!X207/1000</f>
        <v>-0.58220000000000005</v>
      </c>
      <c r="Y828" s="828">
        <f>+InputY!Y207/1000</f>
        <v>-0.91459999999999997</v>
      </c>
      <c r="Z828" s="828">
        <f>+InputY!Z207/1000</f>
        <v>-0.86799999999999999</v>
      </c>
      <c r="AA828" s="828">
        <f>+InputY!AA207/1000</f>
        <v>-0.50390000000000001</v>
      </c>
      <c r="AB828" s="828">
        <f>+InputY!AB207/1000</f>
        <v>-0.66749999999999998</v>
      </c>
      <c r="AC828" s="2200">
        <f t="shared" ref="AC828:AE829" si="1050">+AB828*(1+AC835/100)</f>
        <v>-0.66749999999999998</v>
      </c>
      <c r="AD828" s="2200">
        <f t="shared" si="1050"/>
        <v>-0.66749999999999998</v>
      </c>
      <c r="AE828" s="2200">
        <f t="shared" si="1050"/>
        <v>-0.66749999999999998</v>
      </c>
      <c r="AK828" s="828">
        <v>-0.66670000000000007</v>
      </c>
      <c r="AM828" s="828">
        <f t="shared" si="1003"/>
        <v>-0.20129999999999992</v>
      </c>
    </row>
    <row r="829" spans="1:46" ht="12.75" customHeight="1">
      <c r="A829" s="714">
        <f>+ROW(InputY!A130)</f>
        <v>130</v>
      </c>
      <c r="B829" s="714" t="s">
        <v>664</v>
      </c>
      <c r="C829" s="829" t="s">
        <v>2133</v>
      </c>
      <c r="D829" s="724" t="s">
        <v>590</v>
      </c>
      <c r="E829" s="830" t="s">
        <v>1247</v>
      </c>
      <c r="F829" s="754" t="str">
        <f>+InputY!B130</f>
        <v>ENonFinN</v>
      </c>
      <c r="G829" s="756">
        <f ca="1">+InputY!G130/1000</f>
        <v>0.19119999999999998</v>
      </c>
      <c r="H829" s="756">
        <f>+InputY!H130/1000</f>
        <v>0.191</v>
      </c>
      <c r="I829" s="756">
        <f>+InputY!I130/1000</f>
        <v>0.25509999999999999</v>
      </c>
      <c r="J829" s="756">
        <f>+InputY!J130/1000</f>
        <v>0.21659999999999999</v>
      </c>
      <c r="K829" s="756">
        <f>+InputY!K130/1000</f>
        <v>0.1585</v>
      </c>
      <c r="L829" s="756">
        <f>+InputY!L130/1000</f>
        <v>0.2747</v>
      </c>
      <c r="M829" s="756">
        <f>+InputY!M130/1000</f>
        <v>0.15390000000000001</v>
      </c>
      <c r="N829" s="756">
        <f>+InputY!N130/1000</f>
        <v>0.46539999999999998</v>
      </c>
      <c r="O829" s="756">
        <f>+InputY!O130/1000</f>
        <v>0.25660000000000005</v>
      </c>
      <c r="P829" s="756">
        <f>+InputY!P130/1000</f>
        <v>0.3553</v>
      </c>
      <c r="Q829" s="756">
        <f>+InputY!Q130/1000</f>
        <v>0.3029</v>
      </c>
      <c r="R829" s="756">
        <f>+InputY!R130/1000</f>
        <v>0.73480000000000001</v>
      </c>
      <c r="S829" s="756">
        <f>+InputY!S130/1000</f>
        <v>1.2899</v>
      </c>
      <c r="T829" s="756">
        <f>+InputY!T130/1000</f>
        <v>1.5078</v>
      </c>
      <c r="U829" s="756">
        <f>+InputY!U130/1000</f>
        <v>0.51639999999999997</v>
      </c>
      <c r="V829" s="756">
        <f>+InputY!V130/1000</f>
        <v>0.60639999999999994</v>
      </c>
      <c r="W829" s="756">
        <f>+InputY!W130/1000</f>
        <v>0.72010000000000007</v>
      </c>
      <c r="X829" s="756">
        <f>+InputY!X130/1000</f>
        <v>0.10909999999999999</v>
      </c>
      <c r="Y829" s="756">
        <f>+InputY!Y130/1000</f>
        <v>0.77889999999999993</v>
      </c>
      <c r="Z829" s="756">
        <f>+InputY!Z130/1000</f>
        <v>1.3807</v>
      </c>
      <c r="AA829" s="756">
        <f>+InputY!AA130/1000</f>
        <v>0.30399999999999999</v>
      </c>
      <c r="AB829" s="756">
        <f>+InputY!AB130/1000</f>
        <v>-0.19419999999999998</v>
      </c>
      <c r="AC829" s="2135">
        <f t="shared" si="1050"/>
        <v>-0.19419999999999998</v>
      </c>
      <c r="AD829" s="2135">
        <f t="shared" si="1050"/>
        <v>-0.19419999999999998</v>
      </c>
      <c r="AE829" s="2135">
        <f t="shared" si="1050"/>
        <v>-0.19419999999999998</v>
      </c>
      <c r="AK829" s="756">
        <v>0.93899999999999995</v>
      </c>
      <c r="AM829" s="756">
        <f t="shared" si="1003"/>
        <v>0.44170000000000009</v>
      </c>
    </row>
    <row r="830" spans="1:46" ht="12.75" customHeight="1">
      <c r="A830" s="714">
        <f>+ROW(InputY!A173)</f>
        <v>173</v>
      </c>
      <c r="B830" s="714" t="s">
        <v>667</v>
      </c>
      <c r="C830" s="829" t="s">
        <v>2133</v>
      </c>
      <c r="D830" s="724" t="s">
        <v>591</v>
      </c>
      <c r="E830" s="830" t="s">
        <v>1247</v>
      </c>
      <c r="F830" s="754" t="str">
        <f>+InputY!B173</f>
        <v>ANonFinN</v>
      </c>
      <c r="G830" s="756">
        <f>+InputY!G173/1000</f>
        <v>4.0000000000000001E-3</v>
      </c>
      <c r="H830" s="756">
        <f>+InputY!H173/1000</f>
        <v>5.7999999999999996E-3</v>
      </c>
      <c r="I830" s="756">
        <f>+InputY!I173/1000</f>
        <v>-3.0999999999999999E-3</v>
      </c>
      <c r="J830" s="756">
        <f>+InputY!J173/1000</f>
        <v>2.3999999999999998E-3</v>
      </c>
      <c r="K830" s="756">
        <f>+InputY!K173/1000</f>
        <v>1.78E-2</v>
      </c>
      <c r="L830" s="756">
        <f>+InputY!L173/1000</f>
        <v>1.5E-3</v>
      </c>
      <c r="M830" s="756">
        <f>+InputY!M173/1000</f>
        <v>8.6499999999999994E-2</v>
      </c>
      <c r="N830" s="756">
        <f>+InputY!N173/1000</f>
        <v>-0.14549999999999999</v>
      </c>
      <c r="O830" s="756">
        <f>+InputY!O173/1000</f>
        <v>2.3600000000000003E-2</v>
      </c>
      <c r="P830" s="756">
        <f>+InputY!P173/1000</f>
        <v>1.54E-2</v>
      </c>
      <c r="Q830" s="756">
        <f>+InputY!Q173/1000</f>
        <v>-4.9100000000000005E-2</v>
      </c>
      <c r="R830" s="756">
        <f>+InputY!R173/1000</f>
        <v>-0.4627</v>
      </c>
      <c r="S830" s="1376">
        <f>+InputY!S173/1000</f>
        <v>5.7999999999999996E-3</v>
      </c>
      <c r="T830" s="1376">
        <f>+InputY!T173/1000</f>
        <v>4.1799999999999997E-2</v>
      </c>
      <c r="U830" s="1376">
        <f>+InputY!U173/1000</f>
        <v>4.7100000000000003E-2</v>
      </c>
      <c r="V830" s="1376">
        <f>+InputY!V173/1000</f>
        <v>-0.10059999999999999</v>
      </c>
      <c r="W830" s="1376">
        <f>+InputY!W173/1000</f>
        <v>-2.47E-2</v>
      </c>
      <c r="X830" s="1376">
        <f>+InputY!X173/1000</f>
        <v>9.9099999999999994E-2</v>
      </c>
      <c r="Y830" s="1376">
        <f>+InputY!Y173/1000</f>
        <v>0.22319999999999998</v>
      </c>
      <c r="Z830" s="1376">
        <f>+InputY!Z173/1000</f>
        <v>0.1123</v>
      </c>
      <c r="AA830" s="1376">
        <f>+InputY!AA173/1000</f>
        <v>0.1138</v>
      </c>
      <c r="AB830" s="1376">
        <f>+InputY!AB173/1000</f>
        <v>4.5700000000000005E-2</v>
      </c>
      <c r="AC830" s="1376">
        <f>+InputY!AC173/1000</f>
        <v>0.15240000000000001</v>
      </c>
      <c r="AD830" s="3756">
        <v>0.10100000000000001</v>
      </c>
      <c r="AE830" s="3756">
        <v>9.0999999999999998E-2</v>
      </c>
      <c r="AK830" s="1376">
        <v>5.7700000000000001E-2</v>
      </c>
      <c r="AM830" s="1376">
        <f t="shared" si="1003"/>
        <v>5.4599999999999996E-2</v>
      </c>
    </row>
    <row r="831" spans="1:46" ht="12.75" customHeight="1">
      <c r="A831" s="1869">
        <f>+ROW(InputY!A259)</f>
        <v>259</v>
      </c>
      <c r="B831" s="714" t="s">
        <v>1146</v>
      </c>
      <c r="C831" s="831" t="s">
        <v>624</v>
      </c>
      <c r="D831" s="800" t="s">
        <v>592</v>
      </c>
      <c r="E831" s="801" t="s">
        <v>1247</v>
      </c>
      <c r="F831" s="802" t="s">
        <v>333</v>
      </c>
      <c r="G831" s="832">
        <f>+InputY!G259/1000</f>
        <v>-6.7000000000000002E-3</v>
      </c>
      <c r="H831" s="832">
        <f>+InputY!H259/1000</f>
        <v>-1.7000000000000001E-2</v>
      </c>
      <c r="I831" s="832">
        <f>+InputY!I259/1000</f>
        <v>-5.2999999999999999E-2</v>
      </c>
      <c r="J831" s="832">
        <f>+InputY!J259/1000</f>
        <v>-2.5999999999999999E-2</v>
      </c>
      <c r="K831" s="832">
        <f>+InputY!K259/1000</f>
        <v>3.3700000000000001E-2</v>
      </c>
      <c r="L831" s="832">
        <f>+InputY!L259/1000</f>
        <v>-7.740000000000001E-2</v>
      </c>
      <c r="M831" s="832">
        <f>+InputY!M259/1000</f>
        <v>3.8700000000000005E-2</v>
      </c>
      <c r="N831" s="832">
        <f>+InputY!N259/1000</f>
        <v>-8.43E-2</v>
      </c>
      <c r="O831" s="832">
        <f>+InputY!O259/1000</f>
        <v>-7.1199999999999999E-2</v>
      </c>
      <c r="P831" s="832">
        <f>+InputY!P259/1000</f>
        <v>-8.1299999999999997E-2</v>
      </c>
      <c r="Q831" s="832">
        <f>+InputY!Q259/1000</f>
        <v>-0.15540000000000001</v>
      </c>
      <c r="R831" s="832">
        <f>+InputY!R259/1000</f>
        <v>6.8900000000000003E-2</v>
      </c>
      <c r="S831" s="832">
        <f>+InputY!S259/1000</f>
        <v>-0.78200000000000003</v>
      </c>
      <c r="T831" s="832">
        <f>+InputY!T259/1000</f>
        <v>-1.125</v>
      </c>
      <c r="U831" s="832">
        <f>+InputY!U259/1000</f>
        <v>-0.26289999999999997</v>
      </c>
      <c r="V831" s="832">
        <f>+InputY!V259/1000</f>
        <v>-3.1600000000000003E-2</v>
      </c>
      <c r="W831" s="2238">
        <f t="shared" ref="W831:AB831" si="1051">-W828-W829-W830</f>
        <v>8.4999999999999909E-2</v>
      </c>
      <c r="X831" s="2238">
        <f t="shared" si="1051"/>
        <v>0.37400000000000011</v>
      </c>
      <c r="Y831" s="2238">
        <f t="shared" si="1051"/>
        <v>-8.7499999999999939E-2</v>
      </c>
      <c r="Z831" s="2238">
        <f t="shared" si="1051"/>
        <v>-0.625</v>
      </c>
      <c r="AA831" s="2238">
        <f t="shared" si="1051"/>
        <v>8.6100000000000024E-2</v>
      </c>
      <c r="AB831" s="2238">
        <f t="shared" si="1051"/>
        <v>0.81599999999999995</v>
      </c>
      <c r="AC831" s="2238">
        <f t="shared" ref="AC831:AD831" si="1052">-AC828-AC829-AC830</f>
        <v>0.70929999999999993</v>
      </c>
      <c r="AD831" s="2238">
        <f t="shared" si="1052"/>
        <v>0.76069999999999993</v>
      </c>
      <c r="AE831" s="2238">
        <f t="shared" ref="AE831" si="1053">-AE828-AE829-AE830</f>
        <v>0.77069999999999994</v>
      </c>
      <c r="AK831" s="2238">
        <v>-0.32999999999999985</v>
      </c>
      <c r="AM831" s="2238">
        <f t="shared" si="1003"/>
        <v>-0.29500000000000015</v>
      </c>
    </row>
    <row r="832" spans="1:46" s="1881" customFormat="1" ht="12.75" customHeight="1">
      <c r="A832" s="1039"/>
      <c r="B832" s="1039"/>
      <c r="C832" s="1501"/>
      <c r="D832" s="1054"/>
      <c r="E832" s="1882" t="s">
        <v>474</v>
      </c>
      <c r="F832" s="1883"/>
      <c r="G832" s="1043">
        <f ca="1">ABS(-G828-G829-G830-G831)</f>
        <v>5.0000000000002039E-4</v>
      </c>
      <c r="H832" s="1043">
        <f t="shared" ref="H832:Y832" si="1054">ABS(-H828-H829-H830-H831)</f>
        <v>1.3877787807814457E-17</v>
      </c>
      <c r="I832" s="1043">
        <f t="shared" si="1054"/>
        <v>1.3877787807814457E-17</v>
      </c>
      <c r="J832" s="1043">
        <f t="shared" si="1054"/>
        <v>1.7347234759768071E-17</v>
      </c>
      <c r="K832" s="1043">
        <f t="shared" si="1054"/>
        <v>6.9388939039072284E-18</v>
      </c>
      <c r="L832" s="1043">
        <f t="shared" si="1054"/>
        <v>1.3877787807814457E-17</v>
      </c>
      <c r="M832" s="1043">
        <f t="shared" si="1054"/>
        <v>6.9388939039072284E-18</v>
      </c>
      <c r="N832" s="1043">
        <f t="shared" si="1054"/>
        <v>1.3877787807814457E-17</v>
      </c>
      <c r="O832" s="1043">
        <f t="shared" si="1054"/>
        <v>6.9388939039072284E-17</v>
      </c>
      <c r="P832" s="1043">
        <f t="shared" si="1054"/>
        <v>1.3877787807814457E-17</v>
      </c>
      <c r="Q832" s="1043">
        <f>ABS(-Q828-Q829-Q830-Q831)</f>
        <v>0</v>
      </c>
      <c r="R832" s="1043">
        <f>ABS(-R828-R829-R830-R831)</f>
        <v>1.3877787807814457E-17</v>
      </c>
      <c r="S832" s="1043">
        <f>ABS(-S828-S829-S830-S831)</f>
        <v>0</v>
      </c>
      <c r="T832" s="1043">
        <f>ABS(-T828-T829-T830-T831)</f>
        <v>0</v>
      </c>
      <c r="U832" s="1043">
        <f>ABS(-U828-U829-U830-U831)</f>
        <v>5.5511151231257827E-17</v>
      </c>
      <c r="V832" s="2881">
        <f t="shared" si="1054"/>
        <v>6.9388939039072284E-17</v>
      </c>
      <c r="W832" s="2881">
        <f t="shared" si="1054"/>
        <v>0</v>
      </c>
      <c r="X832" s="2881">
        <f t="shared" si="1054"/>
        <v>0</v>
      </c>
      <c r="Y832" s="2881">
        <f t="shared" si="1054"/>
        <v>0</v>
      </c>
      <c r="Z832" s="2881">
        <f t="shared" ref="Z832:AD832" si="1055">ABS(-Z828-Z829-Z830-Z831)</f>
        <v>0</v>
      </c>
      <c r="AA832" s="2881">
        <f t="shared" si="1055"/>
        <v>0</v>
      </c>
      <c r="AB832" s="2881">
        <f t="shared" si="1055"/>
        <v>0</v>
      </c>
      <c r="AC832" s="2881">
        <f t="shared" si="1055"/>
        <v>0</v>
      </c>
      <c r="AD832" s="2881">
        <f t="shared" si="1055"/>
        <v>0</v>
      </c>
      <c r="AE832" s="2881">
        <f t="shared" ref="AE832" si="1056">ABS(-AE828-AE829-AE830-AE831)</f>
        <v>0</v>
      </c>
      <c r="AF832" s="2829"/>
      <c r="AG832" s="2829"/>
      <c r="AH832" s="2829"/>
      <c r="AI832" s="2829"/>
      <c r="AJ832" s="2829"/>
      <c r="AK832" s="2881">
        <v>0</v>
      </c>
      <c r="AL832" s="2829"/>
      <c r="AM832" s="2881">
        <f t="shared" si="1003"/>
        <v>0</v>
      </c>
      <c r="AN832" s="2829"/>
      <c r="AO832" s="2829"/>
      <c r="AP832" s="2829"/>
      <c r="AQ832" s="2829"/>
      <c r="AR832" s="2829"/>
      <c r="AS832" s="2829"/>
      <c r="AT832" s="2829"/>
    </row>
    <row r="833" spans="1:46" ht="12.75" customHeight="1">
      <c r="A833" s="714"/>
      <c r="B833" s="714"/>
      <c r="C833" s="822"/>
      <c r="E833" s="833"/>
      <c r="F833" s="834"/>
      <c r="G833" s="753"/>
      <c r="H833" s="835"/>
      <c r="I833" s="753"/>
      <c r="J833" s="753"/>
      <c r="K833" s="753"/>
      <c r="L833" s="753"/>
      <c r="M833" s="753"/>
      <c r="N833" s="753"/>
      <c r="O833" s="753"/>
      <c r="P833" s="753"/>
      <c r="Q833" s="753"/>
      <c r="R833" s="753"/>
      <c r="S833" s="2218"/>
      <c r="T833" s="2233"/>
      <c r="U833" s="2233"/>
      <c r="V833" s="2233"/>
      <c r="W833" s="2218"/>
      <c r="X833" s="2218"/>
      <c r="Y833" s="2218"/>
      <c r="Z833" s="2218"/>
      <c r="AA833" s="2218"/>
      <c r="AB833" s="2218"/>
      <c r="AC833" s="2218"/>
      <c r="AD833" s="2218"/>
      <c r="AE833" s="2218"/>
      <c r="AK833" s="2218"/>
      <c r="AM833" s="2218">
        <f t="shared" si="1003"/>
        <v>0</v>
      </c>
    </row>
    <row r="834" spans="1:46" ht="12.75" customHeight="1">
      <c r="A834" s="714"/>
      <c r="B834" s="714"/>
      <c r="C834" s="822"/>
      <c r="D834" s="790"/>
      <c r="E834" s="791" t="s">
        <v>1804</v>
      </c>
      <c r="F834" s="792"/>
      <c r="G834" s="793">
        <f>+G827</f>
        <v>1995</v>
      </c>
      <c r="H834" s="793">
        <f>+G834+1</f>
        <v>1996</v>
      </c>
      <c r="I834" s="793">
        <f t="shared" ref="I834:S834" si="1057">+H834+1</f>
        <v>1997</v>
      </c>
      <c r="J834" s="793">
        <f t="shared" si="1057"/>
        <v>1998</v>
      </c>
      <c r="K834" s="793">
        <f t="shared" si="1057"/>
        <v>1999</v>
      </c>
      <c r="L834" s="793">
        <f t="shared" si="1057"/>
        <v>2000</v>
      </c>
      <c r="M834" s="793">
        <f t="shared" si="1057"/>
        <v>2001</v>
      </c>
      <c r="N834" s="793">
        <f t="shared" si="1057"/>
        <v>2002</v>
      </c>
      <c r="O834" s="793">
        <f t="shared" si="1057"/>
        <v>2003</v>
      </c>
      <c r="P834" s="793">
        <f>+O834+1</f>
        <v>2004</v>
      </c>
      <c r="Q834" s="793">
        <f>+P834+1</f>
        <v>2005</v>
      </c>
      <c r="R834" s="793">
        <f>+Q834+1</f>
        <v>2006</v>
      </c>
      <c r="S834" s="2126">
        <f t="shared" si="1057"/>
        <v>2007</v>
      </c>
      <c r="T834" s="2126">
        <f t="shared" ref="T834:AE834" si="1058">+S834+1</f>
        <v>2008</v>
      </c>
      <c r="U834" s="2126">
        <f t="shared" si="1058"/>
        <v>2009</v>
      </c>
      <c r="V834" s="2126">
        <f t="shared" si="1058"/>
        <v>2010</v>
      </c>
      <c r="W834" s="2126">
        <f t="shared" si="1058"/>
        <v>2011</v>
      </c>
      <c r="X834" s="2126">
        <f t="shared" si="1058"/>
        <v>2012</v>
      </c>
      <c r="Y834" s="2126">
        <f t="shared" si="1058"/>
        <v>2013</v>
      </c>
      <c r="Z834" s="2126">
        <f t="shared" si="1058"/>
        <v>2014</v>
      </c>
      <c r="AA834" s="2126">
        <f t="shared" si="1058"/>
        <v>2015</v>
      </c>
      <c r="AB834" s="2126">
        <f t="shared" si="1058"/>
        <v>2016</v>
      </c>
      <c r="AC834" s="2126">
        <f t="shared" si="1058"/>
        <v>2017</v>
      </c>
      <c r="AD834" s="2126">
        <f t="shared" si="1058"/>
        <v>2018</v>
      </c>
      <c r="AE834" s="2126">
        <f t="shared" si="1058"/>
        <v>2019</v>
      </c>
      <c r="AF834" s="749"/>
      <c r="AG834" s="749"/>
      <c r="AH834" s="749"/>
      <c r="AI834" s="749"/>
      <c r="AJ834" s="749"/>
      <c r="AK834" s="2126">
        <v>2014</v>
      </c>
      <c r="AL834" s="749"/>
      <c r="AM834" s="2126">
        <f t="shared" si="1003"/>
        <v>0</v>
      </c>
      <c r="AN834" s="749"/>
      <c r="AO834" s="749"/>
      <c r="AP834" s="749"/>
      <c r="AQ834" s="749"/>
      <c r="AR834" s="749"/>
      <c r="AS834" s="749"/>
      <c r="AT834" s="749"/>
    </row>
    <row r="835" spans="1:46" ht="12.75" customHeight="1">
      <c r="A835" s="714"/>
      <c r="B835" s="714"/>
      <c r="C835" s="839" t="s">
        <v>2133</v>
      </c>
      <c r="D835" s="739" t="s">
        <v>589</v>
      </c>
      <c r="E835" s="787" t="s">
        <v>1247</v>
      </c>
      <c r="F835" s="782" t="s">
        <v>921</v>
      </c>
      <c r="G835" s="788"/>
      <c r="H835" s="788">
        <f t="shared" ref="H835:S835" ca="1" si="1059">(H828/G828-1)*100</f>
        <v>-4.8677248677248652</v>
      </c>
      <c r="I835" s="788">
        <f t="shared" si="1059"/>
        <v>10.678531701890993</v>
      </c>
      <c r="J835" s="788">
        <f t="shared" si="1059"/>
        <v>-3.0150753768844241</v>
      </c>
      <c r="K835" s="788">
        <f t="shared" si="1059"/>
        <v>8.8082901554404014</v>
      </c>
      <c r="L835" s="788">
        <f t="shared" si="1059"/>
        <v>-5.3333333333333233</v>
      </c>
      <c r="M835" s="788">
        <f t="shared" si="1059"/>
        <v>40.392354124748486</v>
      </c>
      <c r="N835" s="788">
        <f t="shared" si="1059"/>
        <v>-15.585811537083483</v>
      </c>
      <c r="O835" s="788">
        <f t="shared" si="1059"/>
        <v>-11.290322580645162</v>
      </c>
      <c r="P835" s="788">
        <f t="shared" si="1059"/>
        <v>38.4688995215311</v>
      </c>
      <c r="Q835" s="788">
        <f t="shared" si="1059"/>
        <v>-65.998617829993094</v>
      </c>
      <c r="R835" s="788">
        <f t="shared" si="1059"/>
        <v>246.54471544715452</v>
      </c>
      <c r="S835" s="788">
        <f t="shared" si="1059"/>
        <v>50.645161290322591</v>
      </c>
      <c r="T835" s="788">
        <f t="shared" ref="T835:AB838" si="1060">(T828/S828-1)*100</f>
        <v>-17.344753747323338</v>
      </c>
      <c r="U835" s="788">
        <f t="shared" si="1060"/>
        <v>-29.203956665096563</v>
      </c>
      <c r="V835" s="788">
        <f t="shared" si="1060"/>
        <v>57.75116433799068</v>
      </c>
      <c r="W835" s="788">
        <f t="shared" si="1060"/>
        <v>64.57191058625051</v>
      </c>
      <c r="X835" s="788">
        <f t="shared" si="1060"/>
        <v>-25.39723218862121</v>
      </c>
      <c r="Y835" s="788">
        <f t="shared" si="1060"/>
        <v>57.093782205427665</v>
      </c>
      <c r="Z835" s="788">
        <f t="shared" si="1060"/>
        <v>-5.0951235512792454</v>
      </c>
      <c r="AA835">
        <v>0</v>
      </c>
      <c r="AB835">
        <v>0</v>
      </c>
      <c r="AC835">
        <v>0</v>
      </c>
      <c r="AD835">
        <v>0</v>
      </c>
      <c r="AE835">
        <v>0</v>
      </c>
      <c r="AF835" s="749"/>
      <c r="AG835" s="749"/>
      <c r="AH835" s="749"/>
      <c r="AI835" s="749"/>
      <c r="AJ835" s="749"/>
      <c r="AK835" s="788">
        <v>0</v>
      </c>
      <c r="AL835" s="749"/>
      <c r="AM835" s="788">
        <f t="shared" si="1003"/>
        <v>-5.0951235512792454</v>
      </c>
      <c r="AN835" s="749"/>
      <c r="AO835" s="749"/>
      <c r="AP835" s="749"/>
      <c r="AQ835" s="749"/>
      <c r="AR835" s="749"/>
      <c r="AS835" s="749"/>
      <c r="AT835" s="749"/>
    </row>
    <row r="836" spans="1:46" ht="12.75" customHeight="1">
      <c r="A836" s="714"/>
      <c r="B836" s="714"/>
      <c r="C836" s="840" t="s">
        <v>2133</v>
      </c>
      <c r="D836" s="724" t="s">
        <v>590</v>
      </c>
      <c r="E836" s="830" t="s">
        <v>1247</v>
      </c>
      <c r="F836" s="754" t="s">
        <v>1762</v>
      </c>
      <c r="G836" s="756"/>
      <c r="H836" s="756">
        <f t="shared" ref="H836:S836" ca="1" si="1061">(H829/G829-1)*100</f>
        <v>-0.10460251046023883</v>
      </c>
      <c r="I836" s="756">
        <f t="shared" si="1061"/>
        <v>33.560209424083752</v>
      </c>
      <c r="J836" s="756">
        <f t="shared" si="1061"/>
        <v>-15.092120736965898</v>
      </c>
      <c r="K836" s="756">
        <f t="shared" si="1061"/>
        <v>-26.823638042474606</v>
      </c>
      <c r="L836" s="756">
        <f t="shared" si="1061"/>
        <v>73.312302839116711</v>
      </c>
      <c r="M836" s="756">
        <f t="shared" si="1061"/>
        <v>-43.975245722606481</v>
      </c>
      <c r="N836" s="756">
        <f t="shared" si="1061"/>
        <v>202.40415854450936</v>
      </c>
      <c r="O836" s="756">
        <f t="shared" si="1061"/>
        <v>-44.864632574129772</v>
      </c>
      <c r="P836" s="756">
        <f t="shared" si="1061"/>
        <v>38.464536243180028</v>
      </c>
      <c r="Q836" s="756">
        <f t="shared" si="1061"/>
        <v>-14.748100197016612</v>
      </c>
      <c r="R836" s="756">
        <f t="shared" si="1061"/>
        <v>142.58831297457908</v>
      </c>
      <c r="S836" s="756">
        <f t="shared" si="1061"/>
        <v>75.544365813826886</v>
      </c>
      <c r="T836" s="756">
        <f t="shared" si="1060"/>
        <v>16.892782386231488</v>
      </c>
      <c r="U836" s="756">
        <f t="shared" si="1060"/>
        <v>-65.751425918556833</v>
      </c>
      <c r="V836" s="756">
        <f t="shared" si="1060"/>
        <v>17.428350116188994</v>
      </c>
      <c r="W836" s="756">
        <f t="shared" si="1060"/>
        <v>18.750000000000021</v>
      </c>
      <c r="X836" s="756">
        <f t="shared" si="1060"/>
        <v>-84.849326482433</v>
      </c>
      <c r="Y836" s="756">
        <f t="shared" si="1060"/>
        <v>613.93217231897347</v>
      </c>
      <c r="Z836" s="756">
        <f t="shared" si="1060"/>
        <v>77.262806522018252</v>
      </c>
      <c r="AA836" s="756">
        <f t="shared" si="1060"/>
        <v>-77.982182950677199</v>
      </c>
      <c r="AB836" s="756">
        <f t="shared" si="1060"/>
        <v>-163.88157894736844</v>
      </c>
      <c r="AC836" s="3471">
        <v>0</v>
      </c>
      <c r="AD836" s="3471">
        <v>0</v>
      </c>
      <c r="AE836" s="3471">
        <v>0</v>
      </c>
      <c r="AF836" s="749"/>
      <c r="AG836" s="749"/>
      <c r="AH836" s="749"/>
      <c r="AI836" s="749"/>
      <c r="AJ836" s="749"/>
      <c r="AK836" s="756">
        <v>0</v>
      </c>
      <c r="AL836" s="749"/>
      <c r="AM836" s="756">
        <f t="shared" si="1003"/>
        <v>77.262806522018252</v>
      </c>
      <c r="AN836" s="749"/>
      <c r="AO836" s="749"/>
      <c r="AP836" s="749"/>
      <c r="AQ836" s="749"/>
      <c r="AR836" s="749"/>
      <c r="AS836" s="749"/>
      <c r="AT836" s="749"/>
    </row>
    <row r="837" spans="1:46" ht="12.75" customHeight="1">
      <c r="A837" s="714"/>
      <c r="B837" s="714"/>
      <c r="C837" s="841" t="s">
        <v>2133</v>
      </c>
      <c r="D837" s="741" t="s">
        <v>591</v>
      </c>
      <c r="E837" s="842" t="s">
        <v>1247</v>
      </c>
      <c r="F837" s="785" t="s">
        <v>1648</v>
      </c>
      <c r="G837" s="789"/>
      <c r="H837" s="789">
        <f>(H830/G830-1)*100</f>
        <v>44.999999999999993</v>
      </c>
      <c r="I837" s="789">
        <f t="shared" ref="I837:S837" si="1062">(I830/H830-1)*100</f>
        <v>-153.44827586206898</v>
      </c>
      <c r="J837" s="789">
        <f t="shared" si="1062"/>
        <v>-177.41935483870967</v>
      </c>
      <c r="K837" s="789">
        <f t="shared" si="1062"/>
        <v>641.66666666666674</v>
      </c>
      <c r="L837" s="789">
        <f t="shared" si="1062"/>
        <v>-91.573033707865164</v>
      </c>
      <c r="M837" s="789">
        <f t="shared" si="1062"/>
        <v>5666.6666666666661</v>
      </c>
      <c r="N837" s="789">
        <f t="shared" si="1062"/>
        <v>-268.20809248554912</v>
      </c>
      <c r="O837" s="789">
        <f t="shared" si="1062"/>
        <v>-116.21993127147768</v>
      </c>
      <c r="P837" s="789">
        <f t="shared" si="1062"/>
        <v>-34.745762711864415</v>
      </c>
      <c r="Q837" s="789">
        <f t="shared" si="1062"/>
        <v>-418.8311688311689</v>
      </c>
      <c r="R837" s="789">
        <f t="shared" si="1062"/>
        <v>842.36252545824846</v>
      </c>
      <c r="S837" s="789">
        <f t="shared" si="1062"/>
        <v>-101.25351199481305</v>
      </c>
      <c r="T837" s="789">
        <f t="shared" si="1060"/>
        <v>620.68965517241384</v>
      </c>
      <c r="U837" s="789">
        <f t="shared" si="1060"/>
        <v>12.679425837320579</v>
      </c>
      <c r="V837" s="789">
        <f t="shared" si="1060"/>
        <v>-313.58811040339702</v>
      </c>
      <c r="W837" s="789">
        <f t="shared" si="1060"/>
        <v>-75.44731610337972</v>
      </c>
      <c r="X837" s="789">
        <f t="shared" si="1060"/>
        <v>-501.21457489878543</v>
      </c>
      <c r="Y837" s="789">
        <f t="shared" si="1060"/>
        <v>125.22704339051462</v>
      </c>
      <c r="Z837" s="789">
        <f t="shared" si="1060"/>
        <v>-49.686379928315404</v>
      </c>
      <c r="AA837" s="789">
        <f t="shared" ref="AA837:AE837" si="1063">(AA830/Z830-1)*100</f>
        <v>1.3357079252003468</v>
      </c>
      <c r="AB837" s="789">
        <f t="shared" si="1063"/>
        <v>-59.841827768014056</v>
      </c>
      <c r="AC837" s="789">
        <f t="shared" si="1063"/>
        <v>233.4792122538293</v>
      </c>
      <c r="AD837" s="789">
        <f t="shared" si="1063"/>
        <v>-33.727034120734913</v>
      </c>
      <c r="AE837" s="789">
        <f t="shared" si="1063"/>
        <v>-9.9009900990099098</v>
      </c>
      <c r="AF837" s="749"/>
      <c r="AG837" s="749"/>
      <c r="AH837" s="749"/>
      <c r="AI837" s="749"/>
      <c r="AJ837" s="749"/>
      <c r="AK837" s="789">
        <v>-121.66729252722493</v>
      </c>
      <c r="AL837" s="749"/>
      <c r="AM837" s="789">
        <f t="shared" si="1003"/>
        <v>71.980912598909526</v>
      </c>
      <c r="AN837" s="749"/>
      <c r="AO837" s="749"/>
      <c r="AP837" s="749"/>
      <c r="AQ837" s="749"/>
      <c r="AR837" s="749"/>
      <c r="AS837" s="749"/>
      <c r="AT837" s="749"/>
    </row>
    <row r="838" spans="1:46" ht="12.75" customHeight="1">
      <c r="A838" s="714"/>
      <c r="B838" s="714"/>
      <c r="C838" s="822" t="s">
        <v>624</v>
      </c>
      <c r="D838" s="766" t="s">
        <v>592</v>
      </c>
      <c r="E838" s="771" t="s">
        <v>1247</v>
      </c>
      <c r="F838" s="772" t="s">
        <v>333</v>
      </c>
      <c r="G838" s="770"/>
      <c r="H838" s="770">
        <f>(H831/G831-1)*100</f>
        <v>153.73134328358211</v>
      </c>
      <c r="I838" s="770">
        <f t="shared" ref="I838:AE838" si="1064">(I831/H831-1)*100</f>
        <v>211.7647058823529</v>
      </c>
      <c r="J838" s="770">
        <f t="shared" si="1064"/>
        <v>-50.943396226415096</v>
      </c>
      <c r="K838" s="770">
        <f t="shared" si="1064"/>
        <v>-229.61538461538458</v>
      </c>
      <c r="L838" s="770">
        <f t="shared" si="1064"/>
        <v>-329.67359050445111</v>
      </c>
      <c r="M838" s="770">
        <f t="shared" si="1064"/>
        <v>-150</v>
      </c>
      <c r="N838" s="770">
        <f t="shared" si="1064"/>
        <v>-317.82945736434107</v>
      </c>
      <c r="O838" s="770">
        <f t="shared" si="1064"/>
        <v>-15.539739027283517</v>
      </c>
      <c r="P838" s="770">
        <f t="shared" si="1064"/>
        <v>14.185393258426959</v>
      </c>
      <c r="Q838" s="770">
        <f t="shared" si="1064"/>
        <v>91.143911439114405</v>
      </c>
      <c r="R838" s="770">
        <f t="shared" si="1064"/>
        <v>-144.33719433719435</v>
      </c>
      <c r="S838" s="770">
        <f t="shared" si="1064"/>
        <v>-1234.9782293178519</v>
      </c>
      <c r="T838" s="770">
        <f t="shared" si="1060"/>
        <v>43.861892583120209</v>
      </c>
      <c r="U838" s="770">
        <f t="shared" si="1060"/>
        <v>-76.63111111111111</v>
      </c>
      <c r="V838" s="770">
        <f>(V831/U831-1)*100</f>
        <v>-87.98022061620388</v>
      </c>
      <c r="W838" s="770">
        <f>(W831/V831-1)*100</f>
        <v>-368.98734177215158</v>
      </c>
      <c r="X838" s="770">
        <f>(X831/W831-1)*100</f>
        <v>340.00000000000057</v>
      </c>
      <c r="Y838" s="770">
        <f>(Y831/X831-1)*100</f>
        <v>-123.39572192513366</v>
      </c>
      <c r="Z838" s="770">
        <f>(Z831/Y831-1)*100</f>
        <v>614.28571428571479</v>
      </c>
      <c r="AA838" s="2223">
        <f t="shared" si="1064"/>
        <v>-113.77600000000001</v>
      </c>
      <c r="AB838" s="2223">
        <f t="shared" si="1064"/>
        <v>847.73519163763035</v>
      </c>
      <c r="AC838" s="2223">
        <f t="shared" si="1064"/>
        <v>-13.075980392156861</v>
      </c>
      <c r="AD838" s="2223">
        <f t="shared" si="1064"/>
        <v>7.2465811363315868</v>
      </c>
      <c r="AE838" s="2223">
        <f t="shared" si="1064"/>
        <v>1.3145786775338619</v>
      </c>
      <c r="AF838" s="749"/>
      <c r="AG838" s="749"/>
      <c r="AH838" s="749"/>
      <c r="AI838" s="749"/>
      <c r="AJ838" s="749"/>
      <c r="AK838" s="770">
        <v>5400.0000000001446</v>
      </c>
      <c r="AL838" s="749"/>
      <c r="AM838" s="770">
        <f t="shared" si="1003"/>
        <v>-4785.7142857144299</v>
      </c>
      <c r="AN838" s="749"/>
      <c r="AO838" s="749"/>
      <c r="AP838" s="749"/>
      <c r="AQ838" s="749"/>
      <c r="AR838" s="749"/>
      <c r="AS838" s="749"/>
      <c r="AT838" s="749"/>
    </row>
    <row r="839" spans="1:46" ht="12.75" customHeight="1">
      <c r="A839" s="714"/>
      <c r="B839" s="714"/>
      <c r="C839" s="822"/>
      <c r="E839" s="833"/>
      <c r="F839" s="834"/>
      <c r="G839" s="753"/>
      <c r="H839" s="835"/>
      <c r="I839" s="835"/>
      <c r="J839" s="835"/>
      <c r="K839" s="835"/>
      <c r="L839" s="835"/>
      <c r="M839" s="835"/>
      <c r="N839" s="835"/>
      <c r="O839" s="835"/>
      <c r="P839" s="835"/>
      <c r="Q839" s="835"/>
      <c r="R839" s="835"/>
      <c r="S839" s="2239"/>
      <c r="T839" s="2239"/>
      <c r="U839" s="2239"/>
      <c r="V839" s="2239"/>
      <c r="W839" s="2239"/>
      <c r="X839" s="2239"/>
      <c r="Y839" s="2239"/>
      <c r="Z839" s="2239"/>
      <c r="AA839" s="2239"/>
      <c r="AB839" s="2239"/>
      <c r="AC839" s="2239"/>
      <c r="AD839" s="2239"/>
      <c r="AE839" s="2239"/>
      <c r="AF839" s="749"/>
      <c r="AG839" s="749"/>
      <c r="AH839" s="749"/>
      <c r="AI839" s="749"/>
      <c r="AJ839" s="749"/>
      <c r="AK839" s="2239"/>
      <c r="AL839" s="749"/>
      <c r="AM839" s="2239">
        <f t="shared" si="1003"/>
        <v>0</v>
      </c>
      <c r="AN839" s="749"/>
      <c r="AO839" s="749"/>
      <c r="AP839" s="749"/>
      <c r="AQ839" s="749"/>
      <c r="AR839" s="749"/>
      <c r="AS839" s="749"/>
      <c r="AT839" s="749"/>
    </row>
    <row r="840" spans="1:46" ht="12.75" customHeight="1">
      <c r="A840" s="714"/>
      <c r="B840" s="714"/>
      <c r="C840" s="822"/>
      <c r="D840" s="862"/>
      <c r="E840" s="863" t="s">
        <v>1805</v>
      </c>
      <c r="F840" s="864"/>
      <c r="G840" s="865">
        <f>+InputY!$G$3</f>
        <v>1995</v>
      </c>
      <c r="H840" s="865">
        <f>+G840+1</f>
        <v>1996</v>
      </c>
      <c r="I840" s="865">
        <f t="shared" ref="I840:S840" si="1065">+H840+1</f>
        <v>1997</v>
      </c>
      <c r="J840" s="865">
        <f t="shared" si="1065"/>
        <v>1998</v>
      </c>
      <c r="K840" s="865">
        <f t="shared" si="1065"/>
        <v>1999</v>
      </c>
      <c r="L840" s="865">
        <f t="shared" si="1065"/>
        <v>2000</v>
      </c>
      <c r="M840" s="865">
        <f t="shared" si="1065"/>
        <v>2001</v>
      </c>
      <c r="N840" s="865">
        <f t="shared" si="1065"/>
        <v>2002</v>
      </c>
      <c r="O840" s="865">
        <f t="shared" si="1065"/>
        <v>2003</v>
      </c>
      <c r="P840" s="865">
        <f>+O840+1</f>
        <v>2004</v>
      </c>
      <c r="Q840" s="865">
        <f>+P840+1</f>
        <v>2005</v>
      </c>
      <c r="R840" s="865">
        <f>+Q840+1</f>
        <v>2006</v>
      </c>
      <c r="S840" s="2219">
        <f t="shared" si="1065"/>
        <v>2007</v>
      </c>
      <c r="T840" s="2219">
        <f t="shared" ref="T840:AE840" si="1066">+S840+1</f>
        <v>2008</v>
      </c>
      <c r="U840" s="2219">
        <f t="shared" si="1066"/>
        <v>2009</v>
      </c>
      <c r="V840" s="2219">
        <f t="shared" si="1066"/>
        <v>2010</v>
      </c>
      <c r="W840" s="2219">
        <f t="shared" si="1066"/>
        <v>2011</v>
      </c>
      <c r="X840" s="2219">
        <f t="shared" si="1066"/>
        <v>2012</v>
      </c>
      <c r="Y840" s="2219">
        <f t="shared" si="1066"/>
        <v>2013</v>
      </c>
      <c r="Z840" s="2219">
        <f t="shared" si="1066"/>
        <v>2014</v>
      </c>
      <c r="AA840" s="2219">
        <f t="shared" si="1066"/>
        <v>2015</v>
      </c>
      <c r="AB840" s="2219">
        <f t="shared" si="1066"/>
        <v>2016</v>
      </c>
      <c r="AC840" s="2219">
        <f t="shared" si="1066"/>
        <v>2017</v>
      </c>
      <c r="AD840" s="2219">
        <f t="shared" si="1066"/>
        <v>2018</v>
      </c>
      <c r="AE840" s="2219">
        <f t="shared" si="1066"/>
        <v>2019</v>
      </c>
      <c r="AF840" s="749"/>
      <c r="AG840" s="749"/>
      <c r="AH840" s="749"/>
      <c r="AI840" s="749"/>
      <c r="AJ840" s="749"/>
      <c r="AK840" s="2219">
        <v>2014</v>
      </c>
      <c r="AL840" s="749"/>
      <c r="AM840" s="2219">
        <f t="shared" ref="AM840:AM903" si="1067">Z840-AK840</f>
        <v>0</v>
      </c>
      <c r="AN840" s="749"/>
      <c r="AO840" s="749"/>
      <c r="AP840" s="749"/>
      <c r="AQ840" s="749"/>
      <c r="AR840" s="749"/>
      <c r="AS840" s="749"/>
      <c r="AT840" s="749"/>
    </row>
    <row r="841" spans="1:46" ht="12.75" customHeight="1">
      <c r="A841" s="714"/>
      <c r="B841" s="714"/>
      <c r="C841" s="866" t="s">
        <v>2133</v>
      </c>
      <c r="D841" s="867" t="s">
        <v>589</v>
      </c>
      <c r="E841" s="868" t="s">
        <v>1247</v>
      </c>
      <c r="F841" s="869" t="s">
        <v>921</v>
      </c>
      <c r="G841" s="878">
        <f ca="1">+G828/'VVP2'!G$355</f>
        <v>-8.9450179562953049E-4</v>
      </c>
      <c r="H841" s="878">
        <f>+H828/'VVP2'!H$355</f>
        <v>-8.3262944192525419E-4</v>
      </c>
      <c r="I841" s="878">
        <f>+I828/'VVP2'!I$355</f>
        <v>-8.8065293998682123E-4</v>
      </c>
      <c r="J841" s="878">
        <f>+J828/'VVP2'!J$355</f>
        <v>-8.2306422118507609E-4</v>
      </c>
      <c r="K841" s="878">
        <f>+K828/'VVP2'!K$355</f>
        <v>-8.5985931063850692E-4</v>
      </c>
      <c r="L841" s="878">
        <f>+L828/'VVP2'!L$355</f>
        <v>-7.6988018061977686E-4</v>
      </c>
      <c r="M841" s="878">
        <f>+M828/'VVP2'!M$355</f>
        <v>-1.0500834498420547E-3</v>
      </c>
      <c r="N841" s="878">
        <f>+N828/'VVP2'!N$355</f>
        <v>-8.5652451001599266E-4</v>
      </c>
      <c r="O841" s="878">
        <f>+O828/'VVP2'!O$355</f>
        <v>-7.3946570948904328E-4</v>
      </c>
      <c r="P841" s="878">
        <f>+P828/'VVP2'!P$355</f>
        <v>-9.6883005234494365E-4</v>
      </c>
      <c r="Q841" s="878">
        <f>+Q828/'VVP2'!Q$355</f>
        <v>-3.1591032256241799E-4</v>
      </c>
      <c r="R841" s="878">
        <f>+R828/'VVP2'!R$355</f>
        <v>-1.0438921442065059E-3</v>
      </c>
      <c r="S841" s="878">
        <f>+S828/'VVP2'!S$355</f>
        <v>-1.4902273633825291E-3</v>
      </c>
      <c r="T841" s="878">
        <f>+T828/'VVP2'!T$355</f>
        <v>-1.1992117851507306E-3</v>
      </c>
      <c r="U841" s="878">
        <f>+U828/'VVP2'!U$355</f>
        <v>-8.61858627087305E-4</v>
      </c>
      <c r="V841" s="878">
        <f>+V828/'VVP2'!V$355</f>
        <v>-1.2988204617632678E-3</v>
      </c>
      <c r="W841" s="878">
        <f>+W828/'VVP2'!W$355</f>
        <v>-2.0585255375603095E-3</v>
      </c>
      <c r="X841" s="2224">
        <f>+X828/'VVP2'!X$355</f>
        <v>-1.5024512251738775E-3</v>
      </c>
      <c r="Y841" s="2224">
        <f>+Y828/'VVP2'!Y$355</f>
        <v>-2.3311425453140366E-3</v>
      </c>
      <c r="Z841" s="2224">
        <f>+Z828/'VVP2'!Z$355</f>
        <v>-2.1684376406798898E-3</v>
      </c>
      <c r="AA841" s="2224">
        <f>+AA828/'VVP2'!AA$355</f>
        <v>-1.2277212090970756E-3</v>
      </c>
      <c r="AB841" s="2224">
        <f>+AB828/'VVP2'!AB$355</f>
        <v>-1.5778336474029922E-3</v>
      </c>
      <c r="AC841" s="2224">
        <f>+AC828/'VVP2'!AC$355</f>
        <v>-1.5222883540265723E-3</v>
      </c>
      <c r="AD841" s="2224">
        <f ca="1">+AD828/'VVP2'!AD$355</f>
        <v>-1.4722977353354093E-3</v>
      </c>
      <c r="AE841" s="2224">
        <f ca="1">+AE828/'VVP2'!AE$355</f>
        <v>-1.4231166120497489E-3</v>
      </c>
      <c r="AF841" s="749"/>
      <c r="AG841" s="749"/>
      <c r="AH841" s="749"/>
      <c r="AI841" s="749"/>
      <c r="AJ841" s="749"/>
      <c r="AK841" s="2224">
        <v>-1.6573445695677036E-3</v>
      </c>
      <c r="AL841" s="749"/>
      <c r="AM841" s="2224">
        <f t="shared" si="1067"/>
        <v>-5.1109307111218624E-4</v>
      </c>
      <c r="AN841" s="749"/>
      <c r="AO841" s="749"/>
      <c r="AP841" s="749"/>
      <c r="AQ841" s="749"/>
      <c r="AR841" s="749"/>
      <c r="AS841" s="749"/>
      <c r="AT841" s="749"/>
    </row>
    <row r="842" spans="1:46" ht="12.75" customHeight="1">
      <c r="A842" s="714"/>
      <c r="B842" s="714"/>
      <c r="C842" s="870" t="s">
        <v>2133</v>
      </c>
      <c r="D842" s="724" t="s">
        <v>590</v>
      </c>
      <c r="E842" s="830" t="s">
        <v>1247</v>
      </c>
      <c r="F842" s="754" t="s">
        <v>1762</v>
      </c>
      <c r="G842" s="879">
        <f ca="1">+G829/'VVP2'!G$355</f>
        <v>9.0491398584320755E-4</v>
      </c>
      <c r="H842" s="879">
        <f>+H829/'VVP2'!H$355</f>
        <v>8.8449512462582616E-4</v>
      </c>
      <c r="I842" s="879">
        <f>+I829/'VVP2'!I$355</f>
        <v>1.1289174120132565E-3</v>
      </c>
      <c r="J842" s="879">
        <f>+J829/'VVP2'!J$355</f>
        <v>9.2370834356832882E-4</v>
      </c>
      <c r="K842" s="879">
        <f>+K829/'VVP2'!K$355</f>
        <v>6.489890511247779E-4</v>
      </c>
      <c r="L842" s="879">
        <f>+L829/'VVP2'!L$355</f>
        <v>1.0638133079288366E-3</v>
      </c>
      <c r="M842" s="879">
        <f>+M829/'VVP2'!M$355</f>
        <v>5.7903204203042715E-4</v>
      </c>
      <c r="N842" s="879">
        <f>+N829/'VVP2'!N$355</f>
        <v>1.691963102552814E-3</v>
      </c>
      <c r="O842" s="879">
        <f>+O829/'VVP2'!O$355</f>
        <v>9.0787990935353377E-4</v>
      </c>
      <c r="P842" s="879">
        <f>+P829/'VVP2'!P$355</f>
        <v>1.1894447740088407E-3</v>
      </c>
      <c r="Q842" s="879">
        <f>+Q829/'VVP2'!Q$355</f>
        <v>9.7245159252191472E-4</v>
      </c>
      <c r="R842" s="879">
        <f>+R829/'VVP2'!R$355</f>
        <v>2.2494192010643417E-3</v>
      </c>
      <c r="S842" s="879">
        <f>+S829/'VVP2'!S$355</f>
        <v>3.7419588787757918E-3</v>
      </c>
      <c r="T842" s="879">
        <f>+T829/'VVP2'!T$355</f>
        <v>4.2585292737877325E-3</v>
      </c>
      <c r="U842" s="879">
        <f>+U829/'VVP2'!U$355</f>
        <v>1.4805848137986835E-3</v>
      </c>
      <c r="V842" s="879">
        <f>+V829/'VVP2'!V$355</f>
        <v>1.6609125432586367E-3</v>
      </c>
      <c r="W842" s="879">
        <f>+W829/'VVP2'!W$355</f>
        <v>1.8994672470491788E-3</v>
      </c>
      <c r="X842" s="2225">
        <f>+X829/'VVP2'!X$355</f>
        <v>2.8154831443914465E-4</v>
      </c>
      <c r="Y842" s="2225">
        <f>+Y829/'VVP2'!Y$355</f>
        <v>1.9852688919146108E-3</v>
      </c>
      <c r="Z842" s="2225">
        <f>+Z829/'VVP2'!Z$355</f>
        <v>3.4492648047082077E-3</v>
      </c>
      <c r="AA842" s="2225">
        <f>+AA829/'VVP2'!AA$355</f>
        <v>7.4067721287063098E-4</v>
      </c>
      <c r="AB842" s="2225">
        <f>+AB829/'VVP2'!AB$355</f>
        <v>-4.5904913007589672E-4</v>
      </c>
      <c r="AC842" s="2225">
        <f>+AC829/'VVP2'!AC$355</f>
        <v>-4.4288898629507166E-4</v>
      </c>
      <c r="AD842" s="2225">
        <f ca="1">+AD829/'VVP2'!AD$355</f>
        <v>-4.2834489917923068E-4</v>
      </c>
      <c r="AE842" s="2225">
        <f ca="1">+AE829/'VVP2'!AE$355</f>
        <v>-4.1403632368548494E-4</v>
      </c>
      <c r="AF842" s="749"/>
      <c r="AG842" s="749"/>
      <c r="AH842" s="749"/>
      <c r="AI842" s="749"/>
      <c r="AJ842" s="749"/>
      <c r="AK842" s="2225">
        <v>2.3342531135804312E-3</v>
      </c>
      <c r="AL842" s="749"/>
      <c r="AM842" s="2225">
        <f t="shared" si="1067"/>
        <v>1.1150116911277765E-3</v>
      </c>
      <c r="AN842" s="749"/>
      <c r="AO842" s="749"/>
      <c r="AP842" s="749"/>
      <c r="AQ842" s="749"/>
      <c r="AR842" s="749"/>
      <c r="AS842" s="749"/>
      <c r="AT842" s="749"/>
    </row>
    <row r="843" spans="1:46" ht="12.75" customHeight="1">
      <c r="A843" s="714"/>
      <c r="B843" s="714"/>
      <c r="C843" s="871" t="s">
        <v>2133</v>
      </c>
      <c r="D843" s="872" t="s">
        <v>591</v>
      </c>
      <c r="E843" s="873" t="s">
        <v>1247</v>
      </c>
      <c r="F843" s="874" t="s">
        <v>1648</v>
      </c>
      <c r="G843" s="880">
        <f ca="1">+G830/'VVP2'!G$355</f>
        <v>1.8931254933958318E-5</v>
      </c>
      <c r="H843" s="880">
        <f>+H830/'VVP2'!H$355</f>
        <v>2.6859014255653358E-5</v>
      </c>
      <c r="I843" s="880">
        <f>+I830/'VVP2'!I$355</f>
        <v>-1.3718714140498219E-5</v>
      </c>
      <c r="J843" s="880">
        <f>+J830/'VVP2'!J$355</f>
        <v>1.023499549660198E-5</v>
      </c>
      <c r="K843" s="880">
        <f>+K830/'VVP2'!K$355</f>
        <v>7.2883312996978203E-5</v>
      </c>
      <c r="L843" s="880">
        <f>+L830/'VVP2'!L$355</f>
        <v>5.8089550851592822E-6</v>
      </c>
      <c r="M843" s="880">
        <f>+M830/'VVP2'!M$355</f>
        <v>3.2544685923087684E-4</v>
      </c>
      <c r="N843" s="880">
        <f>+N830/'VVP2'!N$355</f>
        <v>-5.2896568848610748E-4</v>
      </c>
      <c r="O843" s="880">
        <f>+O830/'VVP2'!O$355</f>
        <v>8.3499477243738866E-5</v>
      </c>
      <c r="P843" s="880">
        <f>+P830/'VVP2'!P$355</f>
        <v>5.1554881845584424E-5</v>
      </c>
      <c r="Q843" s="880">
        <f>+Q830/'VVP2'!Q$355</f>
        <v>-1.576341142054342E-4</v>
      </c>
      <c r="R843" s="880">
        <f>+R830/'VVP2'!R$355</f>
        <v>-1.4164483727986811E-3</v>
      </c>
      <c r="S843" s="880">
        <f>+S830/'VVP2'!S$355</f>
        <v>1.682561554918954E-5</v>
      </c>
      <c r="T843" s="880">
        <f>+T830/'VVP2'!T$355</f>
        <v>1.1805711874540869E-4</v>
      </c>
      <c r="U843" s="880">
        <f>+U830/'VVP2'!U$355</f>
        <v>1.3504172101068551E-4</v>
      </c>
      <c r="V843" s="880">
        <f>+V830/'VVP2'!V$355</f>
        <v>-2.7554057033611293E-4</v>
      </c>
      <c r="W843" s="880">
        <f>+W830/'VVP2'!W$355</f>
        <v>-6.5153230109866293E-5</v>
      </c>
      <c r="X843" s="880">
        <f>+X830/'VVP2'!X$355</f>
        <v>2.5574186948596915E-4</v>
      </c>
      <c r="Y843" s="880">
        <f>+Y830/'VVP2'!Y$355</f>
        <v>5.6889461635041875E-4</v>
      </c>
      <c r="Z843" s="880">
        <f>+Z830/'VVP2'!Z$355</f>
        <v>2.8054786526307795E-4</v>
      </c>
      <c r="AA843" s="2226">
        <f>+AA830/'VVP2'!AA$355</f>
        <v>2.7726666718644013E-4</v>
      </c>
      <c r="AB843" s="2226">
        <f>+AB830/'VVP2'!AB$355</f>
        <v>1.0802546469860187E-4</v>
      </c>
      <c r="AC843" s="2226">
        <f>+AC830/'VVP2'!AC$355</f>
        <v>3.475606668968534E-4</v>
      </c>
      <c r="AD843" s="2226">
        <f ca="1">+AD830/'VVP2'!AD$355</f>
        <v>2.227746386050582E-4</v>
      </c>
      <c r="AE843" s="2226">
        <f ca="1">+AE830/'VVP2'!AE$355</f>
        <v>1.9401290141801819E-4</v>
      </c>
      <c r="AF843" s="749"/>
      <c r="AG843" s="749"/>
      <c r="AH843" s="749"/>
      <c r="AI843" s="749"/>
      <c r="AJ843" s="749"/>
      <c r="AK843" s="880">
        <v>1.4343600069604992E-4</v>
      </c>
      <c r="AL843" s="749"/>
      <c r="AM843" s="880">
        <f t="shared" si="1067"/>
        <v>1.3711186456702803E-4</v>
      </c>
      <c r="AN843" s="749"/>
      <c r="AO843" s="749"/>
      <c r="AP843" s="749"/>
      <c r="AQ843" s="749"/>
      <c r="AR843" s="749"/>
      <c r="AS843" s="749"/>
      <c r="AT843" s="749"/>
    </row>
    <row r="844" spans="1:46" ht="12.75" customHeight="1">
      <c r="A844" s="714"/>
      <c r="B844" s="714"/>
      <c r="C844" s="822" t="s">
        <v>624</v>
      </c>
      <c r="D844" s="850" t="s">
        <v>592</v>
      </c>
      <c r="E844" s="851" t="s">
        <v>1247</v>
      </c>
      <c r="F844" s="852" t="s">
        <v>333</v>
      </c>
      <c r="G844" s="881">
        <f ca="1">+G831/'VVP2'!G$355</f>
        <v>-3.1709852014380181E-5</v>
      </c>
      <c r="H844" s="881">
        <f>+H831/'VVP2'!H$355</f>
        <v>-7.8724696956225372E-5</v>
      </c>
      <c r="I844" s="881">
        <f>+I831/'VVP2'!I$355</f>
        <v>-2.3454575788593729E-4</v>
      </c>
      <c r="J844" s="881">
        <f>+J831/'VVP2'!J$355</f>
        <v>-1.108791178798548E-4</v>
      </c>
      <c r="K844" s="881">
        <f>+K831/'VVP2'!K$355</f>
        <v>1.3798694651675087E-4</v>
      </c>
      <c r="L844" s="881">
        <f>+L831/'VVP2'!L$355</f>
        <v>-2.9974208239421897E-4</v>
      </c>
      <c r="M844" s="881">
        <f>+M831/'VVP2'!M$355</f>
        <v>1.456045485807507E-4</v>
      </c>
      <c r="N844" s="881">
        <f>+N831/'VVP2'!N$355</f>
        <v>-3.0647290405071386E-4</v>
      </c>
      <c r="O844" s="881">
        <f>+O831/'VVP2'!O$355</f>
        <v>-2.5191367710822912E-4</v>
      </c>
      <c r="P844" s="881">
        <f>+P831/'VVP2'!P$355</f>
        <v>-2.7216960350948138E-4</v>
      </c>
      <c r="Q844" s="881">
        <f>+Q831/'VVP2'!Q$355</f>
        <v>-4.9890715575406257E-4</v>
      </c>
      <c r="R844" s="881">
        <f>+R831/'VVP2'!R$355</f>
        <v>2.1092131594084533E-4</v>
      </c>
      <c r="S844" s="881">
        <f>+S831/'VVP2'!S$355</f>
        <v>-2.2685571309424522E-3</v>
      </c>
      <c r="T844" s="881">
        <f>+T831/'VVP2'!T$355</f>
        <v>-3.177374607382411E-3</v>
      </c>
      <c r="U844" s="881">
        <f>+U831/'VVP2'!U$355</f>
        <v>-7.5376790772206399E-4</v>
      </c>
      <c r="V844" s="881">
        <f>+V831/'VVP2'!V$355</f>
        <v>-8.655151115925615E-5</v>
      </c>
      <c r="W844" s="881">
        <f>+W831/'VVP2'!W$355</f>
        <v>2.2421152062099712E-4</v>
      </c>
      <c r="X844" s="2227">
        <f>+X831/'VVP2'!X$355</f>
        <v>9.6516104124876392E-4</v>
      </c>
      <c r="Y844" s="2227">
        <f>+Y831/'VVP2'!Y$355</f>
        <v>-2.2302096295099286E-4</v>
      </c>
      <c r="Z844" s="2227">
        <f>+Z831/'VVP2'!Z$355</f>
        <v>-1.5613750292913955E-3</v>
      </c>
      <c r="AA844" s="2227">
        <f>+AA831/'VVP2'!AA$355</f>
        <v>2.0977732904000441E-4</v>
      </c>
      <c r="AB844" s="2227">
        <f>+AB831/'VVP2'!AB$355</f>
        <v>1.9288573127802869E-3</v>
      </c>
      <c r="AC844" s="2227">
        <f>+AC831/'VVP2'!AC$355</f>
        <v>1.6176166734247906E-3</v>
      </c>
      <c r="AD844" s="2227">
        <f ca="1">+AD831/'VVP2'!AD$355</f>
        <v>1.6778679959095818E-3</v>
      </c>
      <c r="AE844" s="2227">
        <f ca="1">+AE831/'VVP2'!AE$355</f>
        <v>1.6431400343172155E-3</v>
      </c>
      <c r="AF844" s="749"/>
      <c r="AG844" s="749"/>
      <c r="AH844" s="749"/>
      <c r="AI844" s="749"/>
      <c r="AJ844" s="749"/>
      <c r="AK844" s="2227">
        <v>-8.203445447087773E-4</v>
      </c>
      <c r="AL844" s="749"/>
      <c r="AM844" s="2227">
        <f t="shared" si="1067"/>
        <v>-7.4103048458261823E-4</v>
      </c>
      <c r="AN844" s="749"/>
      <c r="AO844" s="749"/>
      <c r="AP844" s="749"/>
      <c r="AQ844" s="749"/>
      <c r="AR844" s="749"/>
      <c r="AS844" s="749"/>
      <c r="AT844" s="749"/>
    </row>
    <row r="845" spans="1:46" ht="30" customHeight="1">
      <c r="S845" s="2162"/>
      <c r="T845" s="2162"/>
      <c r="U845" s="2162"/>
      <c r="AF845" s="749"/>
      <c r="AG845" s="749"/>
      <c r="AH845" s="749"/>
      <c r="AI845" s="749"/>
      <c r="AJ845" s="749"/>
      <c r="AL845" s="749"/>
      <c r="AM845" s="2827">
        <f t="shared" si="1067"/>
        <v>0</v>
      </c>
      <c r="AN845" s="749"/>
      <c r="AO845" s="749"/>
      <c r="AP845" s="749"/>
      <c r="AQ845" s="749"/>
      <c r="AR845" s="749"/>
      <c r="AS845" s="749"/>
      <c r="AT845" s="749"/>
    </row>
    <row r="846" spans="1:46" ht="30" customHeight="1">
      <c r="S846" s="2162"/>
      <c r="T846" s="2162"/>
      <c r="U846" s="2162"/>
      <c r="AF846" s="749"/>
      <c r="AG846" s="749"/>
      <c r="AH846" s="749"/>
      <c r="AI846" s="749"/>
      <c r="AJ846" s="749"/>
      <c r="AL846" s="749"/>
      <c r="AM846" s="2827">
        <f t="shared" si="1067"/>
        <v>0</v>
      </c>
      <c r="AN846" s="749"/>
      <c r="AO846" s="749"/>
      <c r="AP846" s="749"/>
      <c r="AQ846" s="749"/>
      <c r="AR846" s="749"/>
      <c r="AS846" s="749"/>
      <c r="AT846" s="749"/>
    </row>
    <row r="847" spans="1:46" ht="22.5" customHeight="1">
      <c r="A847" s="603"/>
      <c r="B847" s="603"/>
      <c r="C847" s="4124" t="s">
        <v>1528</v>
      </c>
      <c r="D847" s="4124"/>
      <c r="E847" s="4124"/>
      <c r="F847" s="4124"/>
      <c r="S847" s="2162"/>
      <c r="T847" s="2162"/>
      <c r="U847" s="2162"/>
      <c r="AF847" s="749"/>
      <c r="AG847" s="749"/>
      <c r="AH847" s="749"/>
      <c r="AI847" s="749"/>
      <c r="AJ847" s="749"/>
      <c r="AL847" s="749"/>
      <c r="AM847" s="2827">
        <f t="shared" si="1067"/>
        <v>0</v>
      </c>
      <c r="AN847" s="749"/>
      <c r="AO847" s="749"/>
      <c r="AP847" s="749"/>
      <c r="AQ847" s="749"/>
      <c r="AR847" s="749"/>
      <c r="AS847" s="749"/>
      <c r="AT847" s="749"/>
    </row>
    <row r="848" spans="1:46" ht="12.75" customHeight="1">
      <c r="A848" s="714"/>
      <c r="B848" s="714"/>
      <c r="C848" s="822"/>
      <c r="S848" s="2162"/>
      <c r="T848" s="2162"/>
      <c r="U848" s="2162"/>
      <c r="AF848" s="749"/>
      <c r="AG848" s="749"/>
      <c r="AH848" s="749"/>
      <c r="AI848" s="749"/>
      <c r="AJ848" s="749"/>
      <c r="AL848" s="749"/>
      <c r="AM848" s="2827">
        <f t="shared" si="1067"/>
        <v>0</v>
      </c>
      <c r="AN848" s="749"/>
      <c r="AO848" s="749"/>
      <c r="AP848" s="749"/>
      <c r="AQ848" s="749"/>
      <c r="AR848" s="749"/>
      <c r="AS848" s="749"/>
      <c r="AT848" s="749"/>
    </row>
    <row r="849" spans="1:46" ht="12.75" customHeight="1">
      <c r="A849" s="714"/>
      <c r="B849" s="714"/>
      <c r="C849" s="822"/>
      <c r="D849" s="823"/>
      <c r="E849" s="824" t="s">
        <v>1803</v>
      </c>
      <c r="F849" s="825"/>
      <c r="G849" s="826">
        <f>+InputY!$G$3</f>
        <v>1995</v>
      </c>
      <c r="H849" s="826">
        <f>+G849+1</f>
        <v>1996</v>
      </c>
      <c r="I849" s="826">
        <f t="shared" ref="I849:S849" si="1068">+H849+1</f>
        <v>1997</v>
      </c>
      <c r="J849" s="826">
        <f t="shared" si="1068"/>
        <v>1998</v>
      </c>
      <c r="K849" s="826">
        <f t="shared" si="1068"/>
        <v>1999</v>
      </c>
      <c r="L849" s="826">
        <f t="shared" si="1068"/>
        <v>2000</v>
      </c>
      <c r="M849" s="826">
        <f t="shared" si="1068"/>
        <v>2001</v>
      </c>
      <c r="N849" s="826">
        <f t="shared" si="1068"/>
        <v>2002</v>
      </c>
      <c r="O849" s="826">
        <f t="shared" si="1068"/>
        <v>2003</v>
      </c>
      <c r="P849" s="826">
        <f>+O849+1</f>
        <v>2004</v>
      </c>
      <c r="Q849" s="826">
        <f>+P849+1</f>
        <v>2005</v>
      </c>
      <c r="R849" s="826">
        <f>+Q849+1</f>
        <v>2006</v>
      </c>
      <c r="S849" s="2163">
        <f t="shared" si="1068"/>
        <v>2007</v>
      </c>
      <c r="T849" s="2163">
        <f t="shared" ref="T849:Y849" si="1069">+S849+1</f>
        <v>2008</v>
      </c>
      <c r="U849" s="2163">
        <f t="shared" si="1069"/>
        <v>2009</v>
      </c>
      <c r="V849" s="2163">
        <f t="shared" si="1069"/>
        <v>2010</v>
      </c>
      <c r="W849" s="2163">
        <f t="shared" si="1069"/>
        <v>2011</v>
      </c>
      <c r="X849" s="2163">
        <f t="shared" si="1069"/>
        <v>2012</v>
      </c>
      <c r="Y849" s="2163">
        <f t="shared" si="1069"/>
        <v>2013</v>
      </c>
      <c r="Z849" s="2163">
        <f t="shared" ref="Z849:AE849" si="1070">+Y849+1</f>
        <v>2014</v>
      </c>
      <c r="AA849" s="2163">
        <f t="shared" si="1070"/>
        <v>2015</v>
      </c>
      <c r="AB849" s="2163">
        <f t="shared" si="1070"/>
        <v>2016</v>
      </c>
      <c r="AC849" s="2163">
        <f t="shared" si="1070"/>
        <v>2017</v>
      </c>
      <c r="AD849" s="2163">
        <f t="shared" si="1070"/>
        <v>2018</v>
      </c>
      <c r="AE849" s="2163">
        <f t="shared" si="1070"/>
        <v>2019</v>
      </c>
      <c r="AF849" s="749"/>
      <c r="AG849" s="749"/>
      <c r="AH849" s="749"/>
      <c r="AI849" s="749"/>
      <c r="AJ849" s="749"/>
      <c r="AK849" s="2163">
        <v>2014</v>
      </c>
      <c r="AL849" s="749"/>
      <c r="AM849" s="2163">
        <f t="shared" si="1067"/>
        <v>0</v>
      </c>
      <c r="AN849" s="749"/>
      <c r="AO849" s="749"/>
      <c r="AP849" s="749"/>
      <c r="AQ849" s="749"/>
      <c r="AR849" s="749"/>
      <c r="AS849" s="749"/>
      <c r="AT849" s="749"/>
    </row>
    <row r="850" spans="1:46" ht="12.75" customHeight="1">
      <c r="A850" s="714">
        <f>+ROW(InputY!A211)</f>
        <v>211</v>
      </c>
      <c r="B850" s="714" t="s">
        <v>903</v>
      </c>
      <c r="C850" s="827" t="s">
        <v>622</v>
      </c>
      <c r="D850" s="718" t="s">
        <v>589</v>
      </c>
      <c r="E850" s="750" t="s">
        <v>1528</v>
      </c>
      <c r="F850" s="751" t="s">
        <v>807</v>
      </c>
      <c r="G850" s="828">
        <f ca="1">+InputY!G211/1000</f>
        <v>1.5499999999999998E-2</v>
      </c>
      <c r="H850" s="828">
        <f>+InputY!H211/1000</f>
        <v>-1.78E-2</v>
      </c>
      <c r="I850" s="828">
        <f>+InputY!I211/1000</f>
        <v>-1.8900000000000004E-2</v>
      </c>
      <c r="J850" s="828">
        <f>+InputY!J211/1000</f>
        <v>7.1300000000000002E-2</v>
      </c>
      <c r="K850" s="828">
        <f>+InputY!K211/1000</f>
        <v>-3.0799999999999998E-2</v>
      </c>
      <c r="L850" s="828">
        <f>+InputY!L211/1000</f>
        <v>-2.29E-2</v>
      </c>
      <c r="M850" s="828">
        <f>+InputY!M211/1000</f>
        <v>-6.2900000000000011E-2</v>
      </c>
      <c r="N850" s="828">
        <f>+InputY!N211/1000</f>
        <v>-8.1500000000000003E-2</v>
      </c>
      <c r="O850" s="828">
        <f>+InputY!O211/1000</f>
        <v>-8.1299999999999997E-2</v>
      </c>
      <c r="P850" s="828">
        <f>+InputY!P211/1000</f>
        <v>-9.7500000000000003E-2</v>
      </c>
      <c r="Q850" s="828">
        <f>+InputY!Q211/1000</f>
        <v>-8.270000000000001E-2</v>
      </c>
      <c r="R850" s="828">
        <f>+InputY!R211/1000</f>
        <v>-1.4099999999999994E-2</v>
      </c>
      <c r="S850" s="828">
        <f>+InputY!S211/1000</f>
        <v>-3.6099999999999993E-2</v>
      </c>
      <c r="T850" s="828">
        <f>+InputY!T211/1000</f>
        <v>-1.4200000000000003E-2</v>
      </c>
      <c r="U850" s="828">
        <f>+InputY!U211/1000</f>
        <v>2.2299999999999997E-2</v>
      </c>
      <c r="V850" s="828">
        <f>+InputY!V211/1000</f>
        <v>2.0299999999999999E-2</v>
      </c>
      <c r="W850" s="828">
        <f>+InputY!W211/1000</f>
        <v>0.2278</v>
      </c>
      <c r="X850" s="828">
        <f>+InputY!X211/1000</f>
        <v>7.640000000000001E-2</v>
      </c>
      <c r="Y850" s="828">
        <f>+InputY!Y211/1000</f>
        <v>0.10110000000000001</v>
      </c>
      <c r="Z850" s="828">
        <f>+InputY!Z211/1000</f>
        <v>6.1999999999999989E-3</v>
      </c>
      <c r="AA850" s="828">
        <f>+InputY!AA211/1000</f>
        <v>-9.9699999999999997E-2</v>
      </c>
      <c r="AB850" s="828">
        <f>+InputY!AB211/1000</f>
        <v>-1.41E-2</v>
      </c>
      <c r="AC850" s="2200">
        <f>+AB850*(1+AC857/100)</f>
        <v>-1.41E-2</v>
      </c>
      <c r="AD850" s="2200">
        <f>+AC850*(1+AD857/100)</f>
        <v>-1.41E-2</v>
      </c>
      <c r="AE850" s="2200">
        <f>+AD850*(1+AE857/100)</f>
        <v>-1.41E-2</v>
      </c>
      <c r="AK850" s="828">
        <v>1.8109E-2</v>
      </c>
      <c r="AM850" s="828">
        <f t="shared" si="1067"/>
        <v>-1.1909000000000001E-2</v>
      </c>
    </row>
    <row r="851" spans="1:46" ht="12.75" customHeight="1">
      <c r="A851" s="714">
        <f>+ROW(InputY!A134)</f>
        <v>134</v>
      </c>
      <c r="B851" s="714" t="s">
        <v>904</v>
      </c>
      <c r="C851" s="829" t="s">
        <v>622</v>
      </c>
      <c r="D851" s="875" t="s">
        <v>590</v>
      </c>
      <c r="E851" s="876" t="s">
        <v>1528</v>
      </c>
      <c r="F851" s="754" t="s">
        <v>1907</v>
      </c>
      <c r="G851" s="756">
        <f ca="1">+InputY!G134/1000</f>
        <v>1.0882000000000001</v>
      </c>
      <c r="H851" s="756">
        <f>+InputY!H134/1000</f>
        <v>0.89479999999999993</v>
      </c>
      <c r="I851" s="756">
        <f>+InputY!I134/1000</f>
        <v>0.91020000000000001</v>
      </c>
      <c r="J851" s="756">
        <f>+InputY!J134/1000</f>
        <v>1.1325000000000001</v>
      </c>
      <c r="K851" s="756">
        <f>+InputY!K134/1000</f>
        <v>1.1903999999999999</v>
      </c>
      <c r="L851" s="756">
        <f>+InputY!L134/1000</f>
        <v>3.3982000000000001</v>
      </c>
      <c r="M851" s="756">
        <f>+InputY!M134/1000</f>
        <v>0.57950000000000002</v>
      </c>
      <c r="N851" s="756">
        <f>+InputY!N134/1000</f>
        <v>0.13059999999999999</v>
      </c>
      <c r="O851" s="756">
        <f>+InputY!O134/1000</f>
        <v>1.3355999999999999</v>
      </c>
      <c r="P851" s="756">
        <f>+InputY!P134/1000</f>
        <v>3.5648</v>
      </c>
      <c r="Q851" s="756">
        <f>+InputY!Q134/1000</f>
        <v>4.6634000000000002</v>
      </c>
      <c r="R851" s="756">
        <f>+InputY!R134/1000</f>
        <v>5.0633999999999997</v>
      </c>
      <c r="S851" s="756">
        <f>+InputY!S134/1000</f>
        <v>4.2675999999999998</v>
      </c>
      <c r="T851" s="756">
        <f>+InputY!T134/1000</f>
        <v>5.9844999999999997</v>
      </c>
      <c r="U851" s="756">
        <f>+InputY!U134/1000</f>
        <v>-3.6092999999999997</v>
      </c>
      <c r="V851" s="756">
        <f>+InputY!V134/1000</f>
        <v>2.8279000000000001</v>
      </c>
      <c r="W851" s="756">
        <f>+InputY!W134/1000</f>
        <v>4.5380000000000003</v>
      </c>
      <c r="X851" s="756">
        <f>+InputY!X134/1000</f>
        <v>1.633</v>
      </c>
      <c r="Y851" s="756">
        <f>+InputY!Y134/1000</f>
        <v>-0.29120000000000001</v>
      </c>
      <c r="Z851" s="756">
        <f>+InputY!Z134/1000</f>
        <v>1.2723</v>
      </c>
      <c r="AA851" s="877">
        <f>+AA853-AA850-AA852</f>
        <v>1.7552999999999999</v>
      </c>
      <c r="AB851" s="877">
        <f>+AB853-AB850-AB852</f>
        <v>2.0428999999999999</v>
      </c>
      <c r="AC851" s="877">
        <f>+AC853-AC850-AC852</f>
        <v>5.6830000000000007</v>
      </c>
      <c r="AD851" s="877">
        <f ca="1">+AD853-AD850-AD852</f>
        <v>5.6832000000000003</v>
      </c>
      <c r="AE851" s="877">
        <f ca="1">+AE853-AE850-AE852</f>
        <v>5.6832000000000003</v>
      </c>
      <c r="AK851" s="756">
        <v>-4.1006089999999995</v>
      </c>
      <c r="AM851" s="756">
        <f t="shared" si="1067"/>
        <v>5.3729089999999999</v>
      </c>
    </row>
    <row r="852" spans="1:46" ht="12.75" customHeight="1">
      <c r="A852" s="714">
        <f>+ROW(InputY!A172)</f>
        <v>172</v>
      </c>
      <c r="B852" s="714" t="s">
        <v>1508</v>
      </c>
      <c r="C852" s="829" t="s">
        <v>622</v>
      </c>
      <c r="D852" s="724" t="s">
        <v>591</v>
      </c>
      <c r="E852" s="830" t="s">
        <v>1528</v>
      </c>
      <c r="F852" s="754" t="s">
        <v>214</v>
      </c>
      <c r="G852" s="756">
        <f>+InputY!G172/1000</f>
        <v>-9.2299999999999993E-2</v>
      </c>
      <c r="H852" s="756">
        <f>+InputY!H172/1000</f>
        <v>-7.3900000000000007E-2</v>
      </c>
      <c r="I852" s="756">
        <f>+InputY!I172/1000</f>
        <v>-0.1128</v>
      </c>
      <c r="J852" s="756">
        <f>+InputY!J172/1000</f>
        <v>-7.7700000000000005E-2</v>
      </c>
      <c r="K852" s="756">
        <f>+InputY!K172/1000</f>
        <v>-5.7500000000000002E-2</v>
      </c>
      <c r="L852" s="756">
        <f>+InputY!L172/1000</f>
        <v>-3.9600000000000003E-2</v>
      </c>
      <c r="M852" s="756">
        <f>+InputY!M172/1000</f>
        <v>-4.6600000000000003E-2</v>
      </c>
      <c r="N852" s="756">
        <f>+InputY!N172/1000</f>
        <v>-4.0899999999999999E-2</v>
      </c>
      <c r="O852" s="756">
        <f>+InputY!O172/1000</f>
        <v>-6.3899999999999998E-2</v>
      </c>
      <c r="P852" s="756">
        <f>+InputY!P172/1000</f>
        <v>-5.3399999999999996E-2</v>
      </c>
      <c r="Q852" s="756">
        <f>+InputY!Q172/1000</f>
        <v>-5.8700000000000002E-2</v>
      </c>
      <c r="R852" s="756">
        <f>+InputY!R172/1000</f>
        <v>-2.1700000000000001E-2</v>
      </c>
      <c r="S852" s="756">
        <f>+InputY!S172/1000</f>
        <v>-5.2299999999999999E-2</v>
      </c>
      <c r="T852" s="756">
        <f>+InputY!T172/1000</f>
        <v>0.24669999999999997</v>
      </c>
      <c r="U852" s="756">
        <f>+InputY!U172/1000</f>
        <v>0.36810000000000004</v>
      </c>
      <c r="V852" s="756">
        <f>+InputY!V172/1000</f>
        <v>0.3397</v>
      </c>
      <c r="W852" s="756">
        <f>+InputY!W172/1000</f>
        <v>0.57279999999999998</v>
      </c>
      <c r="X852" s="756">
        <f>+InputY!X172/1000</f>
        <v>0.53639999999999999</v>
      </c>
      <c r="Y852" s="1376">
        <f>+InputY!Y172/1000</f>
        <v>0.24159999999999998</v>
      </c>
      <c r="Z852" s="1376">
        <f>+InputY!Z172/1000</f>
        <v>-0.13550000000000001</v>
      </c>
      <c r="AA852" s="1376">
        <f>+InputY!AA172/1000</f>
        <v>-8.1599999999999992E-2</v>
      </c>
      <c r="AB852" s="1376">
        <f>+InputY!AB172/1000</f>
        <v>-4.7E-2</v>
      </c>
      <c r="AC852" s="1376">
        <f>+InputY!AC172/1000</f>
        <v>-8.3799999999999999E-2</v>
      </c>
      <c r="AD852" s="3806">
        <v>-8.4000000000000005E-2</v>
      </c>
      <c r="AE852" s="3806">
        <v>-8.4000000000000005E-2</v>
      </c>
      <c r="AK852" s="1376">
        <v>-0.1085</v>
      </c>
      <c r="AM852" s="1376">
        <f t="shared" si="1067"/>
        <v>-2.700000000000001E-2</v>
      </c>
    </row>
    <row r="853" spans="1:46" ht="12.75" customHeight="1">
      <c r="A853" s="714">
        <f>+ROW(InputY!A81)</f>
        <v>81</v>
      </c>
      <c r="B853" s="714"/>
      <c r="C853" s="831" t="s">
        <v>624</v>
      </c>
      <c r="D853" s="800"/>
      <c r="E853" s="801" t="s">
        <v>1528</v>
      </c>
      <c r="F853" s="802" t="s">
        <v>1100</v>
      </c>
      <c r="G853" s="832">
        <f ca="1">+InputY!G81/1000</f>
        <v>1.3454000000000002</v>
      </c>
      <c r="H853" s="832">
        <f>+InputY!H81/1000</f>
        <v>0.80310000000000004</v>
      </c>
      <c r="I853" s="832">
        <f>+InputY!I81/1000</f>
        <v>0.77849999999999997</v>
      </c>
      <c r="J853" s="832">
        <f>+InputY!J81/1000</f>
        <v>1.1260999999999999</v>
      </c>
      <c r="K853" s="832">
        <f>+InputY!K81/1000</f>
        <v>1.1020999999999999</v>
      </c>
      <c r="L853" s="832">
        <f>+InputY!L81/1000</f>
        <v>3.3356999999999997</v>
      </c>
      <c r="M853" s="832">
        <f>+InputY!M81/1000</f>
        <v>0.47</v>
      </c>
      <c r="N853" s="832">
        <f>+InputY!N81/1000</f>
        <v>8.199999999999999E-3</v>
      </c>
      <c r="O853" s="832">
        <f>+InputY!O81/1000</f>
        <v>1.1904000000000001</v>
      </c>
      <c r="P853" s="832">
        <f>+InputY!P81/1000</f>
        <v>3.4138999999999999</v>
      </c>
      <c r="Q853" s="832">
        <f>+InputY!Q81/1000</f>
        <v>4.5220000000000002</v>
      </c>
      <c r="R853" s="832">
        <f>+InputY!R81/1000</f>
        <v>5.0276000000000005</v>
      </c>
      <c r="S853" s="832">
        <f>+InputY!S81/1000</f>
        <v>4.1791999999999998</v>
      </c>
      <c r="T853" s="832">
        <f>+InputY!T81/1000</f>
        <v>6.2169999999999996</v>
      </c>
      <c r="U853" s="832">
        <f>+InputY!U81/1000</f>
        <v>-3.2189000000000001</v>
      </c>
      <c r="V853" s="832">
        <f>+InputY!V81/1000</f>
        <v>3.1879</v>
      </c>
      <c r="W853" s="832">
        <f>+InputY!W81/1000</f>
        <v>5.3386000000000005</v>
      </c>
      <c r="X853" s="832">
        <f>+InputY!X81/1000</f>
        <v>2.2458</v>
      </c>
      <c r="Y853" s="832">
        <f>+InputY!Y81/1000</f>
        <v>5.1499999999999997E-2</v>
      </c>
      <c r="Z853" s="832">
        <f>+InputY!Z81/1000</f>
        <v>1.1437999999999999</v>
      </c>
      <c r="AA853" s="832">
        <f>+InputY!AA81/1000</f>
        <v>1.5740000000000001</v>
      </c>
      <c r="AB853" s="832">
        <f>+InputY!AB81/1000</f>
        <v>1.9818</v>
      </c>
      <c r="AC853" s="832">
        <f>+InputY!AC81/1000</f>
        <v>5.5851000000000006</v>
      </c>
      <c r="AD853" s="2238">
        <f ca="1">+'VVP2'!AD274</f>
        <v>5.5851000000000006</v>
      </c>
      <c r="AE853" s="2238">
        <f ca="1">+'VVP2'!AE274</f>
        <v>5.5851000000000006</v>
      </c>
      <c r="AK853" s="832">
        <v>-4.1909999999999998</v>
      </c>
      <c r="AM853" s="832">
        <f t="shared" si="1067"/>
        <v>5.3347999999999995</v>
      </c>
    </row>
    <row r="854" spans="1:46" s="1881" customFormat="1" ht="12.75" customHeight="1">
      <c r="A854" s="1039"/>
      <c r="B854" s="1039"/>
      <c r="C854" s="1501"/>
      <c r="D854" s="1054"/>
      <c r="E854" s="1882" t="s">
        <v>474</v>
      </c>
      <c r="F854" s="1883"/>
      <c r="G854" s="1043">
        <f ca="1">ABS(+G850+G851+G852-G853)</f>
        <v>0.33400000000000007</v>
      </c>
      <c r="H854" s="1043">
        <f t="shared" ref="H854:X854" si="1071">ABS(+H850+H851+H852-H853)</f>
        <v>1.1102230246251565E-16</v>
      </c>
      <c r="I854" s="1043">
        <f t="shared" si="1071"/>
        <v>0</v>
      </c>
      <c r="J854" s="1043">
        <f t="shared" si="1071"/>
        <v>0</v>
      </c>
      <c r="K854" s="1043">
        <f t="shared" si="1071"/>
        <v>0</v>
      </c>
      <c r="L854" s="1043">
        <f t="shared" si="1071"/>
        <v>4.4408920985006262E-16</v>
      </c>
      <c r="M854" s="1043">
        <f t="shared" si="1071"/>
        <v>0</v>
      </c>
      <c r="N854" s="1043">
        <f t="shared" si="1071"/>
        <v>6.9388939039072284E-18</v>
      </c>
      <c r="O854" s="1043">
        <f t="shared" si="1071"/>
        <v>2.2204460492503131E-16</v>
      </c>
      <c r="P854" s="1043">
        <f t="shared" si="1071"/>
        <v>0</v>
      </c>
      <c r="Q854" s="1043">
        <f t="shared" si="1071"/>
        <v>0</v>
      </c>
      <c r="R854" s="1043">
        <f t="shared" si="1071"/>
        <v>8.8817841970012523E-16</v>
      </c>
      <c r="S854" s="1043">
        <f t="shared" si="1071"/>
        <v>0</v>
      </c>
      <c r="T854" s="1043">
        <f>ABS(+T850+T851+T852-T853)</f>
        <v>0</v>
      </c>
      <c r="U854" s="1043">
        <f>ABS(+U850+U851+U852-U853)</f>
        <v>4.4408920985006262E-16</v>
      </c>
      <c r="V854" s="1043">
        <f>ABS(+V850+V851+V852-V853)</f>
        <v>4.4408920985006262E-16</v>
      </c>
      <c r="W854" s="2881">
        <f t="shared" si="1071"/>
        <v>0</v>
      </c>
      <c r="X854" s="2881">
        <f t="shared" si="1071"/>
        <v>0</v>
      </c>
      <c r="Y854" s="2881">
        <f t="shared" ref="Y854" si="1072">ABS(+Y850+Y851+Y852-Y853)</f>
        <v>6.9388939039072284E-18</v>
      </c>
      <c r="Z854" s="2881">
        <f t="shared" ref="Z854" si="1073">ABS(+Z850+Z851+Z852-Z853)</f>
        <v>7.9999999999991189E-4</v>
      </c>
      <c r="AA854" s="2881">
        <f>ABS(+AA850+AA851+AA852-AA853)</f>
        <v>0</v>
      </c>
      <c r="AB854" s="2881">
        <f>ABS(+AB850+AB851+AB852-AB853)</f>
        <v>0</v>
      </c>
      <c r="AC854" s="2881">
        <f>ABS(+AC850+AC851+AC852-AC853)</f>
        <v>0</v>
      </c>
      <c r="AD854" s="2881">
        <f ca="1">ABS(+AD850+AD851+AD852-AD853)</f>
        <v>0</v>
      </c>
      <c r="AE854" s="2881">
        <f ca="1">ABS(+AE850+AE851+AE852-AE853)</f>
        <v>0</v>
      </c>
      <c r="AF854" s="2829"/>
      <c r="AG854" s="2829"/>
      <c r="AH854" s="2829"/>
      <c r="AI854" s="2829"/>
      <c r="AJ854" s="2829"/>
      <c r="AK854" s="2881">
        <v>0</v>
      </c>
      <c r="AL854" s="2829"/>
      <c r="AM854" s="2881">
        <f t="shared" si="1067"/>
        <v>7.9999999999991189E-4</v>
      </c>
      <c r="AN854" s="2829"/>
      <c r="AO854" s="2829"/>
      <c r="AP854" s="2829"/>
      <c r="AQ854" s="2829"/>
      <c r="AR854" s="2829"/>
      <c r="AS854" s="2829"/>
      <c r="AT854" s="2829"/>
    </row>
    <row r="855" spans="1:46" ht="12.75" customHeight="1">
      <c r="A855" s="714"/>
      <c r="B855" s="714"/>
      <c r="C855" s="822"/>
      <c r="E855" s="833"/>
      <c r="F855" s="834"/>
      <c r="G855" s="753"/>
      <c r="Q855" s="749"/>
      <c r="R855" s="749"/>
      <c r="S855" s="2162"/>
      <c r="T855" s="2162"/>
      <c r="U855" s="2162"/>
      <c r="V855" s="2162"/>
      <c r="W855" s="2162"/>
      <c r="X855" s="2162"/>
      <c r="Y855" s="2162"/>
      <c r="Z855" s="2162"/>
      <c r="AA855" s="2162"/>
      <c r="AB855" s="2162"/>
      <c r="AC855" s="2162"/>
      <c r="AD855" s="2162"/>
      <c r="AE855" s="2162"/>
      <c r="AK855" s="2162"/>
      <c r="AM855" s="2162">
        <f t="shared" si="1067"/>
        <v>0</v>
      </c>
    </row>
    <row r="856" spans="1:46" ht="12.75" customHeight="1">
      <c r="A856" s="714"/>
      <c r="B856" s="714"/>
      <c r="C856" s="822"/>
      <c r="D856" s="790"/>
      <c r="E856" s="791" t="s">
        <v>1804</v>
      </c>
      <c r="F856" s="792"/>
      <c r="G856" s="793">
        <f>+InputY!$G$3</f>
        <v>1995</v>
      </c>
      <c r="H856" s="793">
        <f>+G856+1</f>
        <v>1996</v>
      </c>
      <c r="I856" s="793">
        <f t="shared" ref="I856:S856" si="1074">+H856+1</f>
        <v>1997</v>
      </c>
      <c r="J856" s="793">
        <f t="shared" si="1074"/>
        <v>1998</v>
      </c>
      <c r="K856" s="793">
        <f t="shared" si="1074"/>
        <v>1999</v>
      </c>
      <c r="L856" s="793">
        <f t="shared" si="1074"/>
        <v>2000</v>
      </c>
      <c r="M856" s="793">
        <f t="shared" si="1074"/>
        <v>2001</v>
      </c>
      <c r="N856" s="793">
        <f t="shared" si="1074"/>
        <v>2002</v>
      </c>
      <c r="O856" s="793">
        <f t="shared" si="1074"/>
        <v>2003</v>
      </c>
      <c r="P856" s="793">
        <f>+O856+1</f>
        <v>2004</v>
      </c>
      <c r="Q856" s="793">
        <f>+P856+1</f>
        <v>2005</v>
      </c>
      <c r="R856" s="793">
        <f>+Q856+1</f>
        <v>2006</v>
      </c>
      <c r="S856" s="2126">
        <f t="shared" si="1074"/>
        <v>2007</v>
      </c>
      <c r="T856" s="2126">
        <f t="shared" ref="T856:AE856" si="1075">+S856+1</f>
        <v>2008</v>
      </c>
      <c r="U856" s="2126">
        <f t="shared" si="1075"/>
        <v>2009</v>
      </c>
      <c r="V856" s="2126">
        <f t="shared" si="1075"/>
        <v>2010</v>
      </c>
      <c r="W856" s="2126">
        <f t="shared" si="1075"/>
        <v>2011</v>
      </c>
      <c r="X856" s="2126">
        <f t="shared" si="1075"/>
        <v>2012</v>
      </c>
      <c r="Y856" s="2126">
        <f t="shared" si="1075"/>
        <v>2013</v>
      </c>
      <c r="Z856" s="2126">
        <f t="shared" si="1075"/>
        <v>2014</v>
      </c>
      <c r="AA856" s="2126">
        <f t="shared" si="1075"/>
        <v>2015</v>
      </c>
      <c r="AB856" s="2126">
        <f t="shared" si="1075"/>
        <v>2016</v>
      </c>
      <c r="AC856" s="2126">
        <f t="shared" si="1075"/>
        <v>2017</v>
      </c>
      <c r="AD856" s="2126">
        <f t="shared" si="1075"/>
        <v>2018</v>
      </c>
      <c r="AE856" s="2126">
        <f t="shared" si="1075"/>
        <v>2019</v>
      </c>
      <c r="AK856" s="2126">
        <v>2014</v>
      </c>
      <c r="AM856" s="2126">
        <f t="shared" si="1067"/>
        <v>0</v>
      </c>
    </row>
    <row r="857" spans="1:46" ht="12.75" customHeight="1">
      <c r="A857" s="714"/>
      <c r="B857" s="714"/>
      <c r="C857" s="839" t="s">
        <v>622</v>
      </c>
      <c r="D857" s="739" t="s">
        <v>589</v>
      </c>
      <c r="E857" s="787" t="s">
        <v>1528</v>
      </c>
      <c r="F857" s="782" t="s">
        <v>807</v>
      </c>
      <c r="G857" s="788"/>
      <c r="H857" s="788">
        <f t="shared" ref="H857:S857" ca="1" si="1076">(H850/G850-1)*100</f>
        <v>-214.83870967741936</v>
      </c>
      <c r="I857" s="788">
        <f t="shared" si="1076"/>
        <v>6.1797752808989026</v>
      </c>
      <c r="J857" s="788">
        <f t="shared" si="1076"/>
        <v>-477.24867724867721</v>
      </c>
      <c r="K857" s="788">
        <f t="shared" si="1076"/>
        <v>-143.1977559607293</v>
      </c>
      <c r="L857" s="788">
        <f t="shared" si="1076"/>
        <v>-25.649350649350644</v>
      </c>
      <c r="M857" s="788">
        <f t="shared" si="1076"/>
        <v>174.67248908296949</v>
      </c>
      <c r="N857" s="788">
        <f t="shared" si="1076"/>
        <v>29.570747217806016</v>
      </c>
      <c r="O857" s="788">
        <f t="shared" si="1076"/>
        <v>-0.24539877300614465</v>
      </c>
      <c r="P857" s="788">
        <f t="shared" si="1076"/>
        <v>19.92619926199264</v>
      </c>
      <c r="Q857" s="788">
        <f t="shared" si="1076"/>
        <v>-15.179487179487172</v>
      </c>
      <c r="R857" s="788">
        <f t="shared" si="1076"/>
        <v>-82.950423216444989</v>
      </c>
      <c r="S857" s="788">
        <f t="shared" si="1076"/>
        <v>156.0283687943263</v>
      </c>
      <c r="T857" s="788">
        <f t="shared" ref="T857:AB860" si="1077">(T850/S850-1)*100</f>
        <v>-60.664819944598328</v>
      </c>
      <c r="U857" s="788">
        <f t="shared" si="1077"/>
        <v>-257.04225352112672</v>
      </c>
      <c r="V857" s="788">
        <f t="shared" si="1077"/>
        <v>-8.9686098654708442</v>
      </c>
      <c r="W857" s="788">
        <f t="shared" si="1077"/>
        <v>1022.1674876847292</v>
      </c>
      <c r="X857" s="788">
        <f t="shared" si="1077"/>
        <v>-66.461808604038623</v>
      </c>
      <c r="Y857" s="788">
        <f t="shared" si="1077"/>
        <v>32.329842931937172</v>
      </c>
      <c r="Z857" s="788">
        <f t="shared" si="1077"/>
        <v>-93.867457962413454</v>
      </c>
      <c r="AA857" s="788">
        <f t="shared" si="1077"/>
        <v>-1708.0645161290324</v>
      </c>
      <c r="AB857" s="788">
        <f t="shared" si="1077"/>
        <v>-85.857572718154458</v>
      </c>
      <c r="AC857" s="3730">
        <v>0</v>
      </c>
      <c r="AD857" s="3730">
        <v>0</v>
      </c>
      <c r="AE857" s="3730">
        <v>0</v>
      </c>
      <c r="AK857" s="788">
        <v>-9</v>
      </c>
      <c r="AM857" s="788">
        <f t="shared" si="1067"/>
        <v>-84.867457962413454</v>
      </c>
    </row>
    <row r="858" spans="1:46" ht="12.75" customHeight="1">
      <c r="A858" s="714"/>
      <c r="B858" s="714"/>
      <c r="C858" s="840" t="s">
        <v>622</v>
      </c>
      <c r="D858" s="875" t="s">
        <v>590</v>
      </c>
      <c r="E858" s="876" t="s">
        <v>1528</v>
      </c>
      <c r="F858" s="754" t="s">
        <v>1907</v>
      </c>
      <c r="G858" s="756"/>
      <c r="H858" s="756">
        <f t="shared" ref="H858:S858" ca="1" si="1078">(H851/G851-1)*100</f>
        <v>-17.772468296269082</v>
      </c>
      <c r="I858" s="756">
        <f t="shared" si="1078"/>
        <v>1.7210549843540646</v>
      </c>
      <c r="J858" s="756">
        <f t="shared" si="1078"/>
        <v>24.423203691496376</v>
      </c>
      <c r="K858" s="756">
        <f t="shared" si="1078"/>
        <v>5.1125827814569424</v>
      </c>
      <c r="L858" s="756">
        <f t="shared" si="1078"/>
        <v>185.46706989247315</v>
      </c>
      <c r="M858" s="756">
        <f t="shared" si="1078"/>
        <v>-82.946854216938377</v>
      </c>
      <c r="N858" s="756">
        <f t="shared" si="1078"/>
        <v>-77.463330457290766</v>
      </c>
      <c r="O858" s="756">
        <f t="shared" si="1078"/>
        <v>922.6646248085757</v>
      </c>
      <c r="P858" s="756">
        <f t="shared" si="1078"/>
        <v>166.90625935908957</v>
      </c>
      <c r="Q858" s="756">
        <f t="shared" si="1078"/>
        <v>30.817998204667862</v>
      </c>
      <c r="R858" s="756">
        <f t="shared" si="1078"/>
        <v>8.5774327743706191</v>
      </c>
      <c r="S858" s="756">
        <f t="shared" si="1078"/>
        <v>-15.716712090690043</v>
      </c>
      <c r="T858" s="756">
        <f t="shared" si="1077"/>
        <v>40.231043209297958</v>
      </c>
      <c r="U858" s="756">
        <f t="shared" si="1077"/>
        <v>-160.31080290751106</v>
      </c>
      <c r="V858" s="756">
        <f t="shared" si="1077"/>
        <v>-178.35037264843598</v>
      </c>
      <c r="W858" s="756">
        <f t="shared" si="1077"/>
        <v>60.472435376074117</v>
      </c>
      <c r="X858" s="756">
        <f t="shared" si="1077"/>
        <v>-64.01498457470251</v>
      </c>
      <c r="Y858" s="756">
        <f t="shared" si="1077"/>
        <v>-117.83221065523577</v>
      </c>
      <c r="Z858" s="756">
        <f t="shared" si="1077"/>
        <v>-536.91620879120876</v>
      </c>
      <c r="AA858" s="877">
        <f>(AA851/Z851-1)*100</f>
        <v>37.96274463569911</v>
      </c>
      <c r="AB858" s="877">
        <f>(AB851/AA851-1)*100</f>
        <v>16.384663590269465</v>
      </c>
      <c r="AC858" s="877">
        <f>(AC851/AB851-1)*100</f>
        <v>178.18297518233885</v>
      </c>
      <c r="AD858" s="877">
        <f ca="1">(AD851/AC851-1)*100</f>
        <v>3.5192679922468884E-3</v>
      </c>
      <c r="AE858" s="877">
        <f ca="1">(AE851/AD851-1)*100</f>
        <v>0</v>
      </c>
      <c r="AK858" s="756">
        <v>-439.73562551781271</v>
      </c>
      <c r="AM858" s="756">
        <f t="shared" si="1067"/>
        <v>-97.180583273396053</v>
      </c>
    </row>
    <row r="859" spans="1:46" ht="12.75" customHeight="1">
      <c r="A859" s="714"/>
      <c r="B859" s="714"/>
      <c r="C859" s="841" t="s">
        <v>622</v>
      </c>
      <c r="D859" s="741" t="s">
        <v>591</v>
      </c>
      <c r="E859" s="842" t="s">
        <v>1528</v>
      </c>
      <c r="F859" s="785" t="s">
        <v>214</v>
      </c>
      <c r="G859" s="789"/>
      <c r="H859" s="789">
        <f t="shared" ref="H859:S859" si="1079">(H852/G852-1)*100</f>
        <v>-19.934994582881892</v>
      </c>
      <c r="I859" s="789">
        <f t="shared" si="1079"/>
        <v>52.638700947225956</v>
      </c>
      <c r="J859" s="789">
        <f t="shared" si="1079"/>
        <v>-31.117021276595736</v>
      </c>
      <c r="K859" s="789">
        <f t="shared" si="1079"/>
        <v>-25.997425997426006</v>
      </c>
      <c r="L859" s="789">
        <f t="shared" si="1079"/>
        <v>-31.130434782608695</v>
      </c>
      <c r="M859" s="789">
        <f t="shared" si="1079"/>
        <v>17.676767676767668</v>
      </c>
      <c r="N859" s="789">
        <f t="shared" si="1079"/>
        <v>-12.231759656652363</v>
      </c>
      <c r="O859" s="789">
        <f t="shared" si="1079"/>
        <v>56.234718826405874</v>
      </c>
      <c r="P859" s="789">
        <f t="shared" si="1079"/>
        <v>-16.431924882629112</v>
      </c>
      <c r="Q859" s="789">
        <f t="shared" si="1079"/>
        <v>9.9250936329588146</v>
      </c>
      <c r="R859" s="789">
        <f t="shared" si="1079"/>
        <v>-63.032367972742762</v>
      </c>
      <c r="S859" s="789">
        <f t="shared" si="1079"/>
        <v>141.01382488479263</v>
      </c>
      <c r="T859" s="789">
        <f t="shared" si="1077"/>
        <v>-571.70172084130013</v>
      </c>
      <c r="U859" s="789">
        <f t="shared" si="1077"/>
        <v>49.20956627482775</v>
      </c>
      <c r="V859" s="789">
        <f t="shared" si="1077"/>
        <v>-7.7152947568595582</v>
      </c>
      <c r="W859" s="789">
        <f t="shared" si="1077"/>
        <v>68.619370032381497</v>
      </c>
      <c r="X859" s="789">
        <f t="shared" si="1077"/>
        <v>-6.3547486033519558</v>
      </c>
      <c r="Y859" s="789">
        <f t="shared" si="1077"/>
        <v>-54.95898583146905</v>
      </c>
      <c r="Z859" s="789">
        <f t="shared" si="1077"/>
        <v>-156.08443708609272</v>
      </c>
      <c r="AA859" s="789">
        <f t="shared" si="1077"/>
        <v>-39.778597785977865</v>
      </c>
      <c r="AB859" s="789">
        <f t="shared" ref="AB859:AE859" si="1080">(AB852/AA852-1)*100</f>
        <v>-42.401960784313722</v>
      </c>
      <c r="AC859" s="789">
        <f t="shared" si="1080"/>
        <v>78.297872340425528</v>
      </c>
      <c r="AD859" s="789">
        <f t="shared" si="1080"/>
        <v>0.23866348448688957</v>
      </c>
      <c r="AE859" s="789">
        <f t="shared" si="1080"/>
        <v>0</v>
      </c>
      <c r="AK859" s="789">
        <v>-150.89118198874297</v>
      </c>
      <c r="AM859" s="789">
        <f t="shared" si="1067"/>
        <v>-5.1932550973497484</v>
      </c>
    </row>
    <row r="860" spans="1:46" ht="12.75" customHeight="1">
      <c r="A860" s="714"/>
      <c r="B860" s="714"/>
      <c r="C860" s="822" t="s">
        <v>624</v>
      </c>
      <c r="D860" s="766"/>
      <c r="E860" s="771" t="s">
        <v>1528</v>
      </c>
      <c r="F860" s="772" t="s">
        <v>1100</v>
      </c>
      <c r="G860" s="770"/>
      <c r="H860" s="770">
        <f t="shared" ref="H860:R860" ca="1" si="1081">(H853/G853-1)*100</f>
        <v>-40.307715177642343</v>
      </c>
      <c r="I860" s="770">
        <f t="shared" si="1081"/>
        <v>-3.0631303698169687</v>
      </c>
      <c r="J860" s="770">
        <f t="shared" si="1081"/>
        <v>44.649967886962095</v>
      </c>
      <c r="K860" s="770">
        <f t="shared" si="1081"/>
        <v>-2.1312494449871267</v>
      </c>
      <c r="L860" s="770">
        <f t="shared" si="1081"/>
        <v>202.66763451592414</v>
      </c>
      <c r="M860" s="770">
        <f t="shared" si="1081"/>
        <v>-85.910003897232968</v>
      </c>
      <c r="N860" s="770">
        <f t="shared" si="1081"/>
        <v>-98.255319148936167</v>
      </c>
      <c r="O860" s="770">
        <f t="shared" si="1081"/>
        <v>14417.073170731712</v>
      </c>
      <c r="P860" s="770">
        <f t="shared" si="1081"/>
        <v>186.78595430107526</v>
      </c>
      <c r="Q860" s="770">
        <f t="shared" si="1081"/>
        <v>32.458478572893192</v>
      </c>
      <c r="R860" s="770">
        <f t="shared" si="1081"/>
        <v>11.180893409995573</v>
      </c>
      <c r="S860" s="770">
        <f t="shared" ref="S860:AE860" si="1082">(S853/R853-1)*100</f>
        <v>-16.874850823454544</v>
      </c>
      <c r="T860" s="770">
        <f t="shared" si="1077"/>
        <v>48.760528330781014</v>
      </c>
      <c r="U860" s="770">
        <f t="shared" si="1077"/>
        <v>-151.77577609779638</v>
      </c>
      <c r="V860" s="2141">
        <f t="shared" si="1082"/>
        <v>-199.03693808443879</v>
      </c>
      <c r="W860" s="2141">
        <f t="shared" si="1082"/>
        <v>67.464475046268717</v>
      </c>
      <c r="X860" s="2141">
        <f t="shared" si="1082"/>
        <v>-57.932791368523581</v>
      </c>
      <c r="Y860" s="2141">
        <f t="shared" si="1082"/>
        <v>-97.706830528096887</v>
      </c>
      <c r="Z860" s="2141">
        <f t="shared" si="1082"/>
        <v>2120.9708737864075</v>
      </c>
      <c r="AA860" s="2141">
        <f t="shared" si="1082"/>
        <v>37.611470536807154</v>
      </c>
      <c r="AB860" s="2141">
        <f t="shared" si="1082"/>
        <v>25.908513341804309</v>
      </c>
      <c r="AC860" s="2141">
        <f t="shared" si="1082"/>
        <v>181.81955797759616</v>
      </c>
      <c r="AD860" s="2141">
        <f t="shared" ca="1" si="1082"/>
        <v>0</v>
      </c>
      <c r="AE860" s="2141">
        <f t="shared" ca="1" si="1082"/>
        <v>0</v>
      </c>
      <c r="AK860" s="2141">
        <v>-391.04166666666669</v>
      </c>
      <c r="AM860" s="2141">
        <f t="shared" si="1067"/>
        <v>2512.0125404530741</v>
      </c>
    </row>
    <row r="861" spans="1:46" ht="12.75" customHeight="1">
      <c r="A861" s="714"/>
      <c r="B861" s="714"/>
      <c r="C861" s="822"/>
      <c r="E861" s="833"/>
      <c r="F861" s="834"/>
      <c r="G861" s="753"/>
      <c r="H861" s="835"/>
      <c r="I861" s="835"/>
      <c r="J861" s="835"/>
      <c r="K861" s="835"/>
      <c r="L861" s="835"/>
      <c r="M861" s="835"/>
      <c r="N861" s="835"/>
      <c r="O861" s="835"/>
      <c r="P861" s="835"/>
      <c r="Q861" s="835"/>
      <c r="R861" s="835"/>
      <c r="S861" s="2239"/>
      <c r="T861" s="2239"/>
      <c r="U861" s="2239"/>
      <c r="V861" s="2239"/>
      <c r="W861" s="2239"/>
      <c r="X861" s="2239"/>
      <c r="Y861" s="2239"/>
      <c r="Z861" s="2239"/>
      <c r="AA861" s="2239"/>
      <c r="AB861" s="2239"/>
      <c r="AC861" s="2239"/>
      <c r="AD861" s="2239"/>
      <c r="AE861" s="2239"/>
      <c r="AK861" s="2239"/>
      <c r="AM861" s="2239">
        <f t="shared" si="1067"/>
        <v>0</v>
      </c>
    </row>
    <row r="862" spans="1:46" ht="12.75" customHeight="1">
      <c r="A862" s="714"/>
      <c r="B862" s="714"/>
      <c r="C862" s="822"/>
      <c r="D862" s="862"/>
      <c r="E862" s="863" t="s">
        <v>1805</v>
      </c>
      <c r="F862" s="864"/>
      <c r="G862" s="865">
        <f>+InputY!$G$3</f>
        <v>1995</v>
      </c>
      <c r="H862" s="865">
        <f>+G862+1</f>
        <v>1996</v>
      </c>
      <c r="I862" s="865">
        <f t="shared" ref="I862:O862" si="1083">+H862+1</f>
        <v>1997</v>
      </c>
      <c r="J862" s="865">
        <f t="shared" si="1083"/>
        <v>1998</v>
      </c>
      <c r="K862" s="865">
        <f t="shared" si="1083"/>
        <v>1999</v>
      </c>
      <c r="L862" s="865">
        <f t="shared" si="1083"/>
        <v>2000</v>
      </c>
      <c r="M862" s="865">
        <f t="shared" si="1083"/>
        <v>2001</v>
      </c>
      <c r="N862" s="865">
        <f t="shared" si="1083"/>
        <v>2002</v>
      </c>
      <c r="O862" s="865">
        <f t="shared" si="1083"/>
        <v>2003</v>
      </c>
      <c r="P862" s="865">
        <f t="shared" ref="P862:U862" si="1084">+O862+1</f>
        <v>2004</v>
      </c>
      <c r="Q862" s="865">
        <f t="shared" si="1084"/>
        <v>2005</v>
      </c>
      <c r="R862" s="865">
        <f>+Q862+1</f>
        <v>2006</v>
      </c>
      <c r="S862" s="865">
        <f t="shared" si="1084"/>
        <v>2007</v>
      </c>
      <c r="T862" s="865">
        <f t="shared" si="1084"/>
        <v>2008</v>
      </c>
      <c r="U862" s="865">
        <f t="shared" si="1084"/>
        <v>2009</v>
      </c>
      <c r="V862" s="865">
        <f t="shared" ref="V862:AE862" si="1085">+U862+1</f>
        <v>2010</v>
      </c>
      <c r="W862" s="865">
        <f t="shared" si="1085"/>
        <v>2011</v>
      </c>
      <c r="X862" s="865">
        <f t="shared" si="1085"/>
        <v>2012</v>
      </c>
      <c r="Y862" s="865">
        <f t="shared" si="1085"/>
        <v>2013</v>
      </c>
      <c r="Z862" s="865">
        <f t="shared" si="1085"/>
        <v>2014</v>
      </c>
      <c r="AA862" s="865">
        <f t="shared" si="1085"/>
        <v>2015</v>
      </c>
      <c r="AB862" s="865">
        <f t="shared" si="1085"/>
        <v>2016</v>
      </c>
      <c r="AC862" s="865">
        <f t="shared" si="1085"/>
        <v>2017</v>
      </c>
      <c r="AD862" s="865">
        <f t="shared" si="1085"/>
        <v>2018</v>
      </c>
      <c r="AE862" s="865">
        <f t="shared" si="1085"/>
        <v>2019</v>
      </c>
      <c r="AK862" s="865">
        <v>2014</v>
      </c>
      <c r="AM862" s="865">
        <f t="shared" si="1067"/>
        <v>0</v>
      </c>
    </row>
    <row r="863" spans="1:46" ht="12.75" customHeight="1">
      <c r="A863" s="714"/>
      <c r="B863" s="714"/>
      <c r="C863" s="866" t="s">
        <v>622</v>
      </c>
      <c r="D863" s="867" t="s">
        <v>589</v>
      </c>
      <c r="E863" s="868" t="s">
        <v>1528</v>
      </c>
      <c r="F863" s="869" t="s">
        <v>807</v>
      </c>
      <c r="G863" s="878">
        <f ca="1">+G850/'VVP2'!G$355</f>
        <v>7.3358612869088471E-5</v>
      </c>
      <c r="H863" s="878">
        <f>+H850/'VVP2'!H$355</f>
        <v>-8.2429388577694794E-5</v>
      </c>
      <c r="I863" s="878">
        <f>+I850/'VVP2'!I$355</f>
        <v>-8.3639902340456901E-5</v>
      </c>
      <c r="J863" s="878">
        <f>+J850/'VVP2'!J$355</f>
        <v>3.0406465787821723E-4</v>
      </c>
      <c r="K863" s="878">
        <f>+K850/'VVP2'!K$355</f>
        <v>-1.2611269889364768E-4</v>
      </c>
      <c r="L863" s="878">
        <f>+L850/'VVP2'!L$355</f>
        <v>-8.8683380966765043E-5</v>
      </c>
      <c r="M863" s="878">
        <f>+M850/'VVP2'!M$355</f>
        <v>-2.3665442133667235E-4</v>
      </c>
      <c r="N863" s="878">
        <f>+N850/'VVP2'!N$355</f>
        <v>-2.962934956124932E-4</v>
      </c>
      <c r="O863" s="878">
        <f>+O850/'VVP2'!O$355</f>
        <v>-2.8764862287779529E-4</v>
      </c>
      <c r="P863" s="878">
        <f>+P850/'VVP2'!P$355</f>
        <v>-3.2640266103535595E-4</v>
      </c>
      <c r="Q863" s="878">
        <f>+Q850/'VVP2'!Q$355</f>
        <v>-2.6550593166577206E-4</v>
      </c>
      <c r="R863" s="878">
        <f>+R850/'VVP2'!R$355</f>
        <v>-4.316386871938923E-5</v>
      </c>
      <c r="S863" s="878">
        <f>+S850/'VVP2'!S$355</f>
        <v>-1.047249519527142E-4</v>
      </c>
      <c r="T863" s="878">
        <f>+T850/'VVP2'!T$355</f>
        <v>-4.0105528377626886E-5</v>
      </c>
      <c r="U863" s="878">
        <f>+U850/'VVP2'!U$355</f>
        <v>6.3936950712065529E-5</v>
      </c>
      <c r="V863" s="878">
        <f>+V850/'VVP2'!V$355</f>
        <v>5.5601129004205686E-5</v>
      </c>
      <c r="W863" s="878">
        <f>+W850/'VVP2'!W$355</f>
        <v>6.0088687526427286E-4</v>
      </c>
      <c r="X863" s="2884">
        <f>+X850/'VVP2'!X$355</f>
        <v>1.9716123944226084E-4</v>
      </c>
      <c r="Y863" s="2884">
        <f>+Y850/'VVP2'!Y$355</f>
        <v>2.5768479262109023E-4</v>
      </c>
      <c r="Z863" s="2884">
        <f>+Z850/'VVP2'!Z$355</f>
        <v>1.548884029057064E-5</v>
      </c>
      <c r="AA863" s="2884">
        <f>+AA850/'VVP2'!AA$355</f>
        <v>-2.4291288856316415E-4</v>
      </c>
      <c r="AB863" s="2884">
        <f>+AB850/'VVP2'!AB$355</f>
        <v>-3.3329519742894663E-5</v>
      </c>
      <c r="AC863" s="2884">
        <f>+AC850/'VVP2'!AC$355</f>
        <v>-3.2156203433370296E-5</v>
      </c>
      <c r="AD863" s="2884">
        <f ca="1">+AD850/'VVP2'!AD$355</f>
        <v>-3.1100221825062581E-5</v>
      </c>
      <c r="AE863" s="2884">
        <f ca="1">+AE850/'VVP2'!AE$355</f>
        <v>-3.0061339670264357E-5</v>
      </c>
      <c r="AK863" s="2884">
        <v>4.5017028364034109E-5</v>
      </c>
      <c r="AM863" s="2884">
        <f t="shared" si="1067"/>
        <v>-2.9528188073463469E-5</v>
      </c>
    </row>
    <row r="864" spans="1:46" ht="12.75" customHeight="1">
      <c r="A864" s="714"/>
      <c r="B864" s="714"/>
      <c r="C864" s="870" t="s">
        <v>622</v>
      </c>
      <c r="D864" s="724" t="s">
        <v>590</v>
      </c>
      <c r="E864" s="830" t="s">
        <v>1528</v>
      </c>
      <c r="F864" s="754" t="s">
        <v>1907</v>
      </c>
      <c r="G864" s="879">
        <f ca="1">+G851/'VVP2'!G$355</f>
        <v>5.1502479047833604E-3</v>
      </c>
      <c r="H864" s="879">
        <f>+H851/'VVP2'!H$355</f>
        <v>4.1436975786135564E-3</v>
      </c>
      <c r="I864" s="879">
        <f>+I851/'VVP2'!I$355</f>
        <v>4.0279914873166062E-3</v>
      </c>
      <c r="J864" s="879">
        <f>+J851/'VVP2'!J$355</f>
        <v>4.8296384999590601E-3</v>
      </c>
      <c r="K864" s="879">
        <f>+K851/'VVP2'!K$355</f>
        <v>4.874173920876565E-3</v>
      </c>
      <c r="L864" s="879">
        <f>+L851/'VVP2'!L$355</f>
        <v>1.3159994113592182E-2</v>
      </c>
      <c r="M864" s="879">
        <f>+M851/'VVP2'!M$355</f>
        <v>2.1803058372750653E-3</v>
      </c>
      <c r="N864" s="879">
        <f>+N851/'VVP2'!N$355</f>
        <v>4.7479669358271918E-4</v>
      </c>
      <c r="O864" s="879">
        <f>+O851/'VVP2'!O$355</f>
        <v>4.725504313844814E-3</v>
      </c>
      <c r="P864" s="879">
        <f>+P851/'VVP2'!P$355</f>
        <v>1.1933950831372685E-2</v>
      </c>
      <c r="Q864" s="879">
        <f>+Q851/'VVP2'!Q$355</f>
        <v>1.4971709331682724E-2</v>
      </c>
      <c r="R864" s="879">
        <f>+R851/'VVP2'!R$355</f>
        <v>1.5500420771188333E-2</v>
      </c>
      <c r="S864" s="879">
        <f>+S851/'VVP2'!S$355</f>
        <v>1.238017188236574E-2</v>
      </c>
      <c r="T864" s="879">
        <f>+T851/'VVP2'!T$355</f>
        <v>1.6902220744782256E-2</v>
      </c>
      <c r="U864" s="879">
        <f>+U851/'VVP2'!U$355</f>
        <v>-1.0348324493500365E-2</v>
      </c>
      <c r="V864" s="879">
        <f>+V851/'VVP2'!V$355</f>
        <v>7.7455385571917872E-3</v>
      </c>
      <c r="W864" s="879">
        <f>+W851/'VVP2'!W$355</f>
        <v>1.1970257418565718E-2</v>
      </c>
      <c r="X864" s="2885">
        <f>+X851/'VVP2'!X$355</f>
        <v>4.2141924608535587E-3</v>
      </c>
      <c r="Y864" s="2885">
        <f>+Y851/'VVP2'!Y$355</f>
        <v>-7.4221376470090473E-4</v>
      </c>
      <c r="Z864" s="2885">
        <f>+Z851/'VVP2'!Z$355</f>
        <v>3.1784599196279079E-3</v>
      </c>
      <c r="AA864" s="2885">
        <f>+AA851/'VVP2'!AA$355</f>
        <v>4.2766799728678239E-3</v>
      </c>
      <c r="AB864" s="2885">
        <f>+AB851/'VVP2'!AB$355</f>
        <v>4.828998289557412E-3</v>
      </c>
      <c r="AC864" s="2885">
        <f>+AC851/'VVP2'!AC$355</f>
        <v>1.296054639091088E-2</v>
      </c>
      <c r="AD864" s="2885">
        <f ca="1">+AD851/'VVP2'!AD$355</f>
        <v>1.2535374516042246E-2</v>
      </c>
      <c r="AE864" s="2885">
        <f ca="1">+AE851/'VVP2'!AE$355</f>
        <v>1.211663869603166E-2</v>
      </c>
      <c r="AK864" s="2885">
        <v>-1.0193673403435502E-2</v>
      </c>
      <c r="AM864" s="2885">
        <f t="shared" si="1067"/>
        <v>1.3372133323063411E-2</v>
      </c>
    </row>
    <row r="865" spans="1:46" ht="12.75" customHeight="1">
      <c r="A865" s="714"/>
      <c r="B865" s="714"/>
      <c r="C865" s="871" t="s">
        <v>622</v>
      </c>
      <c r="D865" s="872" t="s">
        <v>591</v>
      </c>
      <c r="E865" s="873" t="s">
        <v>1528</v>
      </c>
      <c r="F865" s="874" t="s">
        <v>214</v>
      </c>
      <c r="G865" s="880">
        <f ca="1">+G852/'VVP2'!G$355</f>
        <v>-4.3683870760108818E-4</v>
      </c>
      <c r="H865" s="880">
        <f>+H852/'VVP2'!H$355</f>
        <v>-3.4222088853323854E-4</v>
      </c>
      <c r="I865" s="880">
        <f>+I852/'VVP2'!I$355</f>
        <v>-4.9918417904780616E-4</v>
      </c>
      <c r="J865" s="880">
        <f>+J852/'VVP2'!J$355</f>
        <v>-3.3135797920248917E-4</v>
      </c>
      <c r="K865" s="880">
        <f>+K852/'VVP2'!K$355</f>
        <v>-2.3543766838911501E-4</v>
      </c>
      <c r="L865" s="880">
        <f>+L852/'VVP2'!L$355</f>
        <v>-1.5335641424820505E-4</v>
      </c>
      <c r="M865" s="880">
        <f>+M852/'VVP2'!M$355</f>
        <v>-1.7532744092669205E-4</v>
      </c>
      <c r="N865" s="880">
        <f>+N852/'VVP2'!N$355</f>
        <v>-1.4869207325829414E-4</v>
      </c>
      <c r="O865" s="880">
        <f>+O852/'VVP2'!O$355</f>
        <v>-2.2608544897775057E-4</v>
      </c>
      <c r="P865" s="880">
        <f>+P852/'VVP2'!P$355</f>
        <v>-1.7876822665936415E-4</v>
      </c>
      <c r="Q865" s="880">
        <f>+Q852/'VVP2'!Q$355</f>
        <v>-1.8845463347981644E-4</v>
      </c>
      <c r="R865" s="880">
        <f>+R852/'VVP2'!R$355</f>
        <v>-6.6429500085868559E-5</v>
      </c>
      <c r="S865" s="880">
        <f>+S852/'VVP2'!S$355</f>
        <v>-1.5172063676251949E-4</v>
      </c>
      <c r="T865" s="880">
        <f>+T852/'VVP2'!T$355</f>
        <v>6.9676294723665844E-4</v>
      </c>
      <c r="U865" s="880">
        <f>+U852/'VVP2'!U$355</f>
        <v>1.0553897559242747E-3</v>
      </c>
      <c r="V865" s="880">
        <f>+V852/'VVP2'!V$355</f>
        <v>9.3042874496200361E-4</v>
      </c>
      <c r="W865" s="880">
        <f>+W852/'VVP2'!W$355</f>
        <v>1.5109218707259678E-3</v>
      </c>
      <c r="X865" s="880">
        <f>+X852/'VVP2'!X$355</f>
        <v>1.3842577072883337E-3</v>
      </c>
      <c r="Y865" s="2886">
        <f>+Y852/'VVP2'!Y$355</f>
        <v>6.1579273884525612E-4</v>
      </c>
      <c r="Z865" s="2886">
        <f>+Z852/'VVP2'!Z$355</f>
        <v>-3.3850610635037455E-4</v>
      </c>
      <c r="AA865" s="2886">
        <f>+AA852/'VVP2'!AA$355</f>
        <v>-1.9881335713895881E-4</v>
      </c>
      <c r="AB865" s="2886">
        <f>+AB852/'VVP2'!AB$355</f>
        <v>-1.1109839914298221E-4</v>
      </c>
      <c r="AC865" s="2886">
        <f>+AC852/'VVP2'!AC$355</f>
        <v>-1.9111275515719365E-4</v>
      </c>
      <c r="AD865" s="2886">
        <f ca="1">+AD852/'VVP2'!AD$355</f>
        <v>-1.8527791725569197E-4</v>
      </c>
      <c r="AE865" s="2886">
        <f ca="1">+AE852/'VVP2'!AE$355</f>
        <v>-1.7908883207817065E-4</v>
      </c>
      <c r="AK865" s="2886">
        <v>-2.6971934273000721E-4</v>
      </c>
      <c r="AM865" s="2886">
        <f t="shared" si="1067"/>
        <v>-6.8786763620367339E-5</v>
      </c>
    </row>
    <row r="866" spans="1:46" ht="12.75" customHeight="1">
      <c r="A866" s="714"/>
      <c r="B866" s="714"/>
      <c r="C866" s="822" t="s">
        <v>624</v>
      </c>
      <c r="D866" s="850"/>
      <c r="E866" s="851" t="s">
        <v>1528</v>
      </c>
      <c r="F866" s="852" t="s">
        <v>1100</v>
      </c>
      <c r="G866" s="881">
        <f ca="1">+G853/'VVP2'!G$355</f>
        <v>6.3675275970368813E-3</v>
      </c>
      <c r="H866" s="881">
        <f>+H853/'VVP2'!H$355</f>
        <v>3.7190473015026233E-3</v>
      </c>
      <c r="I866" s="881">
        <f>+I853/'VVP2'!I$355</f>
        <v>3.4451674059283429E-3</v>
      </c>
      <c r="J866" s="881">
        <f>+J853/'VVP2'!J$355</f>
        <v>4.8023451786347879E-3</v>
      </c>
      <c r="K866" s="881">
        <f>+K853/'VVP2'!K$355</f>
        <v>4.5126235535938022E-3</v>
      </c>
      <c r="L866" s="881">
        <f>+L853/'VVP2'!L$355</f>
        <v>1.2917954318377211E-2</v>
      </c>
      <c r="M866" s="881">
        <f>+M853/'VVP2'!M$355</f>
        <v>1.7683239750117007E-3</v>
      </c>
      <c r="N866" s="881">
        <f>+N853/'VVP2'!N$355</f>
        <v>2.9811124711931828E-5</v>
      </c>
      <c r="O866" s="881">
        <f>+O853/'VVP2'!O$355</f>
        <v>4.211770241989269E-3</v>
      </c>
      <c r="P866" s="881">
        <f>+P853/'VVP2'!P$355</f>
        <v>1.1428779943677966E-2</v>
      </c>
      <c r="Q866" s="881">
        <f>+Q853/'VVP2'!Q$355</f>
        <v>1.4517748766537136E-2</v>
      </c>
      <c r="R866" s="881">
        <f>+R853/'VVP2'!R$355</f>
        <v>1.5390827402383078E-2</v>
      </c>
      <c r="S866" s="881">
        <f>+S853/'VVP2'!S$355</f>
        <v>1.2123726293650506E-2</v>
      </c>
      <c r="T866" s="881">
        <f>+T853/'VVP2'!T$355</f>
        <v>1.7558878163641288E-2</v>
      </c>
      <c r="U866" s="881">
        <f>+U853/'VVP2'!U$355</f>
        <v>-9.2289977868640245E-3</v>
      </c>
      <c r="V866" s="881">
        <f>+V853/'VVP2'!V$355</f>
        <v>8.731568431157995E-3</v>
      </c>
      <c r="W866" s="881">
        <f>+W853/'VVP2'!W$355</f>
        <v>1.408206616455596E-2</v>
      </c>
      <c r="X866" s="2887">
        <f>+X853/'VVP2'!X$355</f>
        <v>5.7956114075841531E-3</v>
      </c>
      <c r="Y866" s="2887">
        <f>+Y853/'VVP2'!Y$355</f>
        <v>1.3126376676544159E-4</v>
      </c>
      <c r="Z866" s="2887">
        <f>+Z853/'VVP2'!Z$355</f>
        <v>2.8574412136055968E-3</v>
      </c>
      <c r="AA866" s="2887">
        <f>+AA853/'VVP2'!AA$355</f>
        <v>3.8349537271657012E-3</v>
      </c>
      <c r="AB866" s="2887">
        <f>+AB853/'VVP2'!AB$355</f>
        <v>4.684570370671535E-3</v>
      </c>
      <c r="AC866" s="2887">
        <f>+AC853/'VVP2'!AC$355</f>
        <v>1.2737277432320315E-2</v>
      </c>
      <c r="AD866" s="2887">
        <f ca="1">+AD853/'VVP2'!AD$355</f>
        <v>1.2318996376961492E-2</v>
      </c>
      <c r="AE866" s="2887">
        <f ca="1">+AE853/'VVP2'!AE$355</f>
        <v>1.1907488524283225E-2</v>
      </c>
      <c r="AK866" s="2887">
        <v>-1.0418375717801477E-2</v>
      </c>
      <c r="AM866" s="2887">
        <f t="shared" si="1067"/>
        <v>1.3275816931407074E-2</v>
      </c>
    </row>
    <row r="867" spans="1:46" ht="30" customHeight="1">
      <c r="A867" s="714"/>
      <c r="B867" s="714"/>
      <c r="C867" s="822"/>
      <c r="S867" s="2162"/>
      <c r="T867" s="2162"/>
      <c r="U867" s="2162"/>
      <c r="AM867" s="2827">
        <f t="shared" si="1067"/>
        <v>0</v>
      </c>
    </row>
    <row r="868" spans="1:46" ht="30" customHeight="1">
      <c r="S868" s="2162"/>
      <c r="T868" s="2162"/>
      <c r="U868" s="2162"/>
      <c r="AM868" s="2827">
        <f t="shared" si="1067"/>
        <v>0</v>
      </c>
    </row>
    <row r="869" spans="1:46" ht="22.5" customHeight="1">
      <c r="A869" s="603"/>
      <c r="B869" s="603"/>
      <c r="C869" s="4124" t="s">
        <v>1529</v>
      </c>
      <c r="D869" s="4124"/>
      <c r="E869" s="4124"/>
      <c r="F869" s="4124"/>
      <c r="R869" s="2162">
        <v>591.70000000000005</v>
      </c>
      <c r="S869" s="2162">
        <v>-811.4</v>
      </c>
      <c r="T869" s="2162">
        <v>-4228.7</v>
      </c>
      <c r="U869" s="2827">
        <v>-20424.2</v>
      </c>
      <c r="AM869" s="2827">
        <f t="shared" si="1067"/>
        <v>0</v>
      </c>
    </row>
    <row r="870" spans="1:46" ht="12.75" customHeight="1">
      <c r="A870" s="714"/>
      <c r="B870" s="714"/>
      <c r="C870" s="822"/>
      <c r="P870" s="753"/>
      <c r="R870" s="2845"/>
      <c r="S870" s="2162"/>
      <c r="T870" s="2162"/>
      <c r="U870" s="2162"/>
      <c r="V870" s="2827" t="s">
        <v>2141</v>
      </c>
      <c r="AM870" s="2827">
        <f t="shared" si="1067"/>
        <v>0</v>
      </c>
    </row>
    <row r="871" spans="1:46" ht="12.75" customHeight="1">
      <c r="A871" s="714"/>
      <c r="B871" s="714"/>
      <c r="C871" s="822"/>
      <c r="D871" s="823"/>
      <c r="E871" s="824" t="s">
        <v>1803</v>
      </c>
      <c r="F871" s="825"/>
      <c r="G871" s="826">
        <f>+InputY!$G$3</f>
        <v>1995</v>
      </c>
      <c r="H871" s="826">
        <f>+G871+1</f>
        <v>1996</v>
      </c>
      <c r="I871" s="826">
        <f t="shared" ref="I871:S871" si="1086">+H871+1</f>
        <v>1997</v>
      </c>
      <c r="J871" s="826">
        <f t="shared" si="1086"/>
        <v>1998</v>
      </c>
      <c r="K871" s="826">
        <f t="shared" si="1086"/>
        <v>1999</v>
      </c>
      <c r="L871" s="826">
        <f t="shared" si="1086"/>
        <v>2000</v>
      </c>
      <c r="M871" s="826">
        <f t="shared" si="1086"/>
        <v>2001</v>
      </c>
      <c r="N871" s="826">
        <f t="shared" si="1086"/>
        <v>2002</v>
      </c>
      <c r="O871" s="826">
        <f t="shared" si="1086"/>
        <v>2003</v>
      </c>
      <c r="P871" s="826">
        <f>+O871+1</f>
        <v>2004</v>
      </c>
      <c r="Q871" s="826">
        <f>+P871+1</f>
        <v>2005</v>
      </c>
      <c r="R871" s="826">
        <f>+Q871+1</f>
        <v>2006</v>
      </c>
      <c r="S871" s="2163">
        <f t="shared" si="1086"/>
        <v>2007</v>
      </c>
      <c r="T871" s="2163">
        <f t="shared" ref="T871:AE871" si="1087">+S871+1</f>
        <v>2008</v>
      </c>
      <c r="U871" s="2163">
        <f t="shared" si="1087"/>
        <v>2009</v>
      </c>
      <c r="V871" s="2163">
        <f t="shared" si="1087"/>
        <v>2010</v>
      </c>
      <c r="W871" s="2163">
        <f t="shared" si="1087"/>
        <v>2011</v>
      </c>
      <c r="X871" s="2163">
        <f t="shared" si="1087"/>
        <v>2012</v>
      </c>
      <c r="Y871" s="2163">
        <f t="shared" si="1087"/>
        <v>2013</v>
      </c>
      <c r="Z871" s="2163">
        <f t="shared" si="1087"/>
        <v>2014</v>
      </c>
      <c r="AA871" s="2163">
        <f t="shared" si="1087"/>
        <v>2015</v>
      </c>
      <c r="AB871" s="2163">
        <f t="shared" si="1087"/>
        <v>2016</v>
      </c>
      <c r="AC871" s="2163">
        <f t="shared" si="1087"/>
        <v>2017</v>
      </c>
      <c r="AD871" s="2163">
        <f t="shared" si="1087"/>
        <v>2018</v>
      </c>
      <c r="AE871" s="2163">
        <f t="shared" si="1087"/>
        <v>2019</v>
      </c>
      <c r="AK871" s="2163">
        <v>2014</v>
      </c>
      <c r="AM871" s="2163">
        <f t="shared" si="1067"/>
        <v>0</v>
      </c>
    </row>
    <row r="872" spans="1:46" ht="12.75" customHeight="1">
      <c r="A872" s="714"/>
      <c r="B872" s="714"/>
      <c r="C872" s="827" t="s">
        <v>2133</v>
      </c>
      <c r="D872" s="718" t="s">
        <v>589</v>
      </c>
      <c r="E872" s="750" t="s">
        <v>1529</v>
      </c>
      <c r="F872" s="751" t="s">
        <v>908</v>
      </c>
      <c r="G872" s="828">
        <f ca="1">+G764+G795-G828-G850-'VVP2'!G236</f>
        <v>14.052399999999928</v>
      </c>
      <c r="H872" s="828">
        <f>+H764+H795-H828-H850-'VVP2'!H236</f>
        <v>11.831200000000067</v>
      </c>
      <c r="I872" s="828">
        <f>+I764+I795-I828-I850-'VVP2'!I236</f>
        <v>9.851900000000013</v>
      </c>
      <c r="J872" s="828">
        <f>+J764+J795-J828-J850-'VVP2'!J236</f>
        <v>10.039800000000021</v>
      </c>
      <c r="K872" s="828">
        <f>+K764+K795-K828-K850-'VVP2'!K236</f>
        <v>10.800000000000018</v>
      </c>
      <c r="L872" s="828">
        <f>+L764+L795-L828-L850-'VVP2'!L236</f>
        <v>10.455200000000033</v>
      </c>
      <c r="M872" s="828">
        <f>+M764+M795-M828-M850-'VVP2'!M236</f>
        <v>14.137100000000014</v>
      </c>
      <c r="N872" s="828">
        <f>+N764+N795-N828-N850-'VVP2'!N236</f>
        <v>13.6837</v>
      </c>
      <c r="O872" s="828">
        <f>+O764+O795-O828-O850-'VVP2'!O236</f>
        <v>12.773299999999997</v>
      </c>
      <c r="P872" s="828">
        <f>+P764+P795-P828-P850-'VVP2'!P236</f>
        <v>9.3667000000000442</v>
      </c>
      <c r="Q872" s="828">
        <f>+Q764+Q795-Q828-Q850-'VVP2'!Q236</f>
        <v>7.0027000000000008</v>
      </c>
      <c r="R872" s="828">
        <f>+R764+R795-R828-R850-'VVP2'!R236</f>
        <v>7.614499999999996</v>
      </c>
      <c r="S872" s="828">
        <f>+S764+S795-S828-S850-'VVP2'!S236</f>
        <v>8.1683000000000234</v>
      </c>
      <c r="T872" s="828">
        <f>+T764+T795-T828-T850-'VVP2'!T236</f>
        <v>10.419000000000025</v>
      </c>
      <c r="U872" s="828">
        <f>+U764+U795-U828-U850-'VVP2'!U236</f>
        <v>16.344799999999964</v>
      </c>
      <c r="V872" s="828">
        <f>+V764+V795-V828-V850-'VVP2'!V236</f>
        <v>9.6073000000000484</v>
      </c>
      <c r="W872" s="828">
        <f>+W764+W795-W828-W850-'VVP2'!W236</f>
        <v>7.7493999999999694</v>
      </c>
      <c r="X872" s="828">
        <f>+X764+X795-X828-X850-'VVP2'!X236</f>
        <v>6.0577999999999967</v>
      </c>
      <c r="Y872" s="2230">
        <f>+Y764+Y795-Y828-Y850-'VVP2'!Y236</f>
        <v>5.3376999999999946</v>
      </c>
      <c r="Z872" s="2230">
        <f>+Z764+Z795-Z828-Z850-'VVP2'!Z236</f>
        <v>3.4781000000000155</v>
      </c>
      <c r="AA872" s="2230">
        <f>+AA764+AA795-AA828-AA850-'VVP2'!AA236</f>
        <v>2.0017999999999923</v>
      </c>
      <c r="AB872" s="2230">
        <f>+AB764+AB795-AB828-AB850-'VVP2'!AB236</f>
        <v>0.640399999999957</v>
      </c>
      <c r="AC872" s="2230">
        <f ca="1">+AC764+AC795-AC828-AC850-'VVP2'!AC236</f>
        <v>0.600573202480291</v>
      </c>
      <c r="AD872" s="2230">
        <f ca="1">+AD764+AD795-AD828-AD850-'VVP2'!AD236</f>
        <v>-5.206025302800299E-2</v>
      </c>
      <c r="AE872" s="2230">
        <f ca="1">+AE764+AE795-AE828-AE850-'VVP2'!AE236</f>
        <v>1.4736802867184551</v>
      </c>
      <c r="AK872" s="2230">
        <v>7.5561547821506352</v>
      </c>
      <c r="AM872" s="2230">
        <f t="shared" si="1067"/>
        <v>-4.0780547821506197</v>
      </c>
    </row>
    <row r="873" spans="1:46" ht="12.75" customHeight="1">
      <c r="A873" s="714"/>
      <c r="B873" s="714"/>
      <c r="C873" s="829" t="s">
        <v>2133</v>
      </c>
      <c r="D873" s="724" t="s">
        <v>590</v>
      </c>
      <c r="E873" s="830" t="s">
        <v>1529</v>
      </c>
      <c r="F873" s="754" t="s">
        <v>2063</v>
      </c>
      <c r="G873" s="756">
        <f ca="1">+G765+G796-G829-G851-'VVP2'!G240</f>
        <v>5.0951999999999984</v>
      </c>
      <c r="H873" s="756">
        <f>+H765+H796-H829-H851-'VVP2'!H240</f>
        <v>4.6982999999999926</v>
      </c>
      <c r="I873" s="756">
        <f>+I765+I796-I829-I851-'VVP2'!I240</f>
        <v>5.6112000000000144</v>
      </c>
      <c r="J873" s="756">
        <f>+J765+J796-J829-J851-'VVP2'!J240</f>
        <v>2.2989999999999995</v>
      </c>
      <c r="K873" s="756">
        <f>+K765+K796-K829-K851-'VVP2'!K240</f>
        <v>2.2770999999999901</v>
      </c>
      <c r="L873" s="756">
        <f>+L765+L796-L829-L851-'VVP2'!L240</f>
        <v>-0.33189999999999031</v>
      </c>
      <c r="M873" s="756">
        <f>+M765+M796-M829-M851-'VVP2'!M240</f>
        <v>-4.0751999999999811</v>
      </c>
      <c r="N873" s="756">
        <f>+N765+N796-N829-N851-'VVP2'!N240</f>
        <v>2.2708999999999833</v>
      </c>
      <c r="O873" s="756">
        <f>+O765+O796-O829-O851-'VVP2'!O240</f>
        <v>8.0031999999999854</v>
      </c>
      <c r="P873" s="756">
        <f>+P765+P796-P829-P851-'VVP2'!P240</f>
        <v>4.521499999999989</v>
      </c>
      <c r="Q873" s="756">
        <f>+Q765+Q796-Q829-Q851-'VVP2'!Q240</f>
        <v>11.83359999999999</v>
      </c>
      <c r="R873" s="756">
        <f>+R765+R796-R829-R851-'VVP2'!R240</f>
        <v>3.6726999999999705</v>
      </c>
      <c r="S873" s="756">
        <f>+S765+S796-S829-S851-'VVP2'!S240</f>
        <v>4.352499999999992</v>
      </c>
      <c r="T873" s="756">
        <f>+T765+T796-T829-T851-'VVP2'!T240</f>
        <v>-3.0239000000000331</v>
      </c>
      <c r="U873" s="756">
        <f>+U765+U796-U829-U851-'VVP2'!U240</f>
        <v>4.9727999999999994</v>
      </c>
      <c r="V873" s="756">
        <f>+V765+V796-V829-V851-'VVP2'!V240</f>
        <v>18.195099999999982</v>
      </c>
      <c r="W873" s="756">
        <f>+W765+W796-W829-W851-'VVP2'!W240</f>
        <v>8.3963999999999999</v>
      </c>
      <c r="X873" s="756">
        <f>+X765+X796-X829-X851-'VVP2'!X240</f>
        <v>18.864799999999974</v>
      </c>
      <c r="Y873" s="2228">
        <f>+Y765+Y796-Y829-Y851-'VVP2'!Y240</f>
        <v>11.289100000000019</v>
      </c>
      <c r="Z873" s="2228">
        <f>+Z765+Z796-Z829-Z851-'VVP2'!Z240</f>
        <v>6.8164000000000016</v>
      </c>
      <c r="AA873" s="2228">
        <f>+AA765+AA796-AA829-AA851-'VVP2'!AA240</f>
        <v>6.4679999999999751</v>
      </c>
      <c r="AB873" s="2228">
        <f>+AB765+AB796-AB829-AB851-'VVP2'!AB240</f>
        <v>10.768699999999967</v>
      </c>
      <c r="AC873" s="2228">
        <f ca="1">+AC765+AC796-AC829-AC851-'VVP2'!AC240</f>
        <v>6.9352859525528885</v>
      </c>
      <c r="AD873" s="2228">
        <f ca="1">+AD765+AD796-AD829-AD851-'VVP2'!AD240</f>
        <v>8.3813771471202898</v>
      </c>
      <c r="AE873" s="2228">
        <f ca="1">+AE765+AE796-AE829-AE851-'VVP2'!AE240</f>
        <v>8.994478754300971</v>
      </c>
      <c r="AK873" s="2228">
        <v>6.7995637528104851</v>
      </c>
      <c r="AM873" s="2228">
        <f t="shared" si="1067"/>
        <v>1.6836247189516484E-2</v>
      </c>
    </row>
    <row r="874" spans="1:46" ht="12.75" customHeight="1">
      <c r="A874" s="714"/>
      <c r="B874" s="714"/>
      <c r="C874" s="829" t="s">
        <v>2133</v>
      </c>
      <c r="D874" s="724" t="s">
        <v>591</v>
      </c>
      <c r="E874" s="830" t="s">
        <v>1529</v>
      </c>
      <c r="F874" s="754" t="s">
        <v>1707</v>
      </c>
      <c r="G874" s="756">
        <f>+G766+G794-G830-G852-'VVP2'!G237</f>
        <v>-9.39299999999999</v>
      </c>
      <c r="H874" s="756">
        <f>+H766+H794-H830-H852-'VVP2'!H237</f>
        <v>-8.4894000000000069</v>
      </c>
      <c r="I874" s="756">
        <f>+I766+I794-I830-I852-'VVP2'!I237</f>
        <v>-4.8017000000000154</v>
      </c>
      <c r="J874" s="756">
        <f>+J766+J794-J830-J852-'VVP2'!J237</f>
        <v>-2.2229000000000005</v>
      </c>
      <c r="K874" s="756">
        <f>+K766+K794-K830-K852-'VVP2'!K237</f>
        <v>-1.3454000000000077</v>
      </c>
      <c r="L874" s="756">
        <f>+L766+L794-L830-L852-'VVP2'!L237</f>
        <v>-0.18569999999999087</v>
      </c>
      <c r="M874" s="756">
        <f>+M766+M794-M830-M852-'VVP2'!M237</f>
        <v>0.45690000000001518</v>
      </c>
      <c r="N874" s="1376">
        <f>+N766+N794-N830-N852-'VVP2'!N237</f>
        <v>0.12460000000001958</v>
      </c>
      <c r="O874" s="756">
        <f>+O766+O794-O830-O852-'VVP2'!O237</f>
        <v>-4.9773000000000165</v>
      </c>
      <c r="P874" s="756">
        <f>+P766+P794-P830-P852-'VVP2'!P237</f>
        <v>-0.46859999999999857</v>
      </c>
      <c r="Q874" s="756">
        <f>+Q766+Q794-Q830-Q852-'VVP2'!Q237</f>
        <v>-8.6006000000000213</v>
      </c>
      <c r="R874" s="756">
        <f>+R766+R794-R830-R852-'VVP2'!R237</f>
        <v>0.71650000000001768</v>
      </c>
      <c r="S874" s="756">
        <f>+S766+S794-S830-S852-'VVP2'!S237</f>
        <v>0.22570000000000956</v>
      </c>
      <c r="T874" s="756">
        <f>+T766+T794-T830-T852-'VVP2'!T237</f>
        <v>-3.9062000000000103</v>
      </c>
      <c r="U874" s="756">
        <f>+U766+U794-U830-U852-'VVP2'!U237</f>
        <v>-18.775100000000027</v>
      </c>
      <c r="V874" s="756">
        <f>+V766+V794-V830-V852-'VVP2'!V237</f>
        <v>-14.609099999999977</v>
      </c>
      <c r="W874" s="756">
        <f>+W766+W794-W830-W852-'VVP2'!W237</f>
        <v>-15.651799999999987</v>
      </c>
      <c r="X874" s="756">
        <f>+X766+X794-X830-X852-'VVP2'!X237</f>
        <v>-16.409399999999998</v>
      </c>
      <c r="Y874" s="1376">
        <f>+Y766+Y794-Y830-Y852-'VVP2'!Y237</f>
        <v>-12.310200000000004</v>
      </c>
      <c r="Z874" s="1376">
        <f>+Z766+Z794-Z830-Z852-'VVP2'!Z237</f>
        <v>-12.324699999999979</v>
      </c>
      <c r="AA874" s="1376">
        <f>+AA766+AA794-AA830-AA852-'VVP2'!AA237</f>
        <v>-10.179399999999992</v>
      </c>
      <c r="AB874" s="1376">
        <f>+AB766+AB794-AB830-AB852-'VVP2'!AB237</f>
        <v>-10.492300000000027</v>
      </c>
      <c r="AC874" s="3775">
        <f>+AC766+AC794-AC830-AC852-'VVP2'!AC237</f>
        <v>-4.5226000000000059</v>
      </c>
      <c r="AD874" s="3775">
        <f ca="1">+AD766+AD794-AD830-AD852-'VVP2'!AD237</f>
        <v>-4.9425568757195668</v>
      </c>
      <c r="AE874" s="3775">
        <f ca="1">+AE766+AE794-AE830-AE852-'VVP2'!AE237</f>
        <v>-6.281124823636886</v>
      </c>
      <c r="AK874" s="756">
        <v>-13.057900000000016</v>
      </c>
      <c r="AM874" s="756">
        <f t="shared" si="1067"/>
        <v>0.73320000000003738</v>
      </c>
    </row>
    <row r="875" spans="1:46" ht="12.75" customHeight="1">
      <c r="A875" s="1869">
        <f>+ROW(InputY!A83)</f>
        <v>83</v>
      </c>
      <c r="B875" s="714"/>
      <c r="C875" s="831" t="s">
        <v>624</v>
      </c>
      <c r="D875" s="800" t="s">
        <v>592</v>
      </c>
      <c r="E875" s="801" t="s">
        <v>1529</v>
      </c>
      <c r="F875" s="802" t="s">
        <v>2064</v>
      </c>
      <c r="G875" s="832">
        <f ca="1">-InputY!G83/1000</f>
        <v>-9.0254999999999992</v>
      </c>
      <c r="H875" s="832">
        <f>-InputY!H83/1000</f>
        <v>-8.0399999999999991</v>
      </c>
      <c r="I875" s="832">
        <f>-InputY!I83/1000</f>
        <v>-10.6614</v>
      </c>
      <c r="J875" s="832">
        <f>-InputY!J83/1000</f>
        <v>-10.1158</v>
      </c>
      <c r="K875" s="832">
        <f>-InputY!K83/1000</f>
        <v>-11.7317</v>
      </c>
      <c r="L875" s="832">
        <f>-InputY!L83/1000</f>
        <v>-9.9375999999999998</v>
      </c>
      <c r="M875" s="832">
        <f>-InputY!M83/1000</f>
        <v>-10.518700000000001</v>
      </c>
      <c r="N875" s="832">
        <f>-InputY!N83/1000</f>
        <v>-16.0792</v>
      </c>
      <c r="O875" s="832">
        <f>-InputY!O83/1000</f>
        <v>-15.799200000000001</v>
      </c>
      <c r="P875" s="832">
        <f>-InputY!P83/1000</f>
        <v>-13.415799999999999</v>
      </c>
      <c r="Q875" s="832">
        <f>-InputY!Q83/1000</f>
        <v>-10.246700000000001</v>
      </c>
      <c r="R875" s="832">
        <f>-InputY!R83/1000</f>
        <v>-12.015700000000001</v>
      </c>
      <c r="S875" s="832">
        <f>-InputY!S83/1000</f>
        <v>-12.758299999999998</v>
      </c>
      <c r="T875" s="832">
        <f>-InputY!T83/1000</f>
        <v>-3.5005000000000002</v>
      </c>
      <c r="U875" s="832">
        <f>-InputY!U83/1000</f>
        <v>-2.5541</v>
      </c>
      <c r="V875" s="832">
        <f>-InputY!V83/1000</f>
        <v>-13.2081</v>
      </c>
      <c r="W875" s="832">
        <f>-InputY!W83/1000</f>
        <v>-0.50490000000000002</v>
      </c>
      <c r="X875" s="832">
        <f>-InputY!X83/1000</f>
        <v>-8.5449000000000002</v>
      </c>
      <c r="Y875" s="832">
        <f>-InputY!Y83/1000</f>
        <v>-4.3166000000000002</v>
      </c>
      <c r="Z875" s="832">
        <f>-InputY!Z83/1000</f>
        <v>1.9396</v>
      </c>
      <c r="AA875" s="832">
        <f>-InputY!AA83/1000</f>
        <v>1.6818</v>
      </c>
      <c r="AB875" s="832">
        <f>-InputY!AB83/1000</f>
        <v>-0.877</v>
      </c>
      <c r="AC875" s="2135">
        <f ca="1">-AC872-AC873-AC874</f>
        <v>-3.0132591550331735</v>
      </c>
      <c r="AD875" s="2135">
        <f ca="1">-AD872-AD873-AD874</f>
        <v>-3.38676001837272</v>
      </c>
      <c r="AE875" s="2135">
        <f ca="1">-AE872-AE873-AE874</f>
        <v>-4.1870342173825401</v>
      </c>
      <c r="AK875" s="832">
        <v>-1.2978185349611042</v>
      </c>
      <c r="AM875" s="832">
        <f t="shared" si="1067"/>
        <v>3.2374185349611042</v>
      </c>
    </row>
    <row r="876" spans="1:46" s="1885" customFormat="1" ht="12.75" customHeight="1">
      <c r="A876" s="1039"/>
      <c r="B876" s="1039"/>
      <c r="C876" s="1501"/>
      <c r="D876" s="1884"/>
      <c r="E876" s="1882" t="s">
        <v>474</v>
      </c>
      <c r="F876" s="1883"/>
      <c r="G876" s="1043">
        <f ca="1">ABS(-G872-G873-G874-G875)</f>
        <v>0.7290999999999368</v>
      </c>
      <c r="H876" s="1043">
        <f t="shared" ref="H876:Y876" si="1088">ABS(-H872-H873-H874-H875)</f>
        <v>1.0000000005305765E-4</v>
      </c>
      <c r="I876" s="1043">
        <f t="shared" si="1088"/>
        <v>1.0658141036401503E-14</v>
      </c>
      <c r="J876" s="1043">
        <f t="shared" si="1088"/>
        <v>1.0000000001930687E-4</v>
      </c>
      <c r="K876" s="1043">
        <f t="shared" si="1088"/>
        <v>0</v>
      </c>
      <c r="L876" s="1043">
        <f t="shared" si="1088"/>
        <v>5.3290705182007514E-14</v>
      </c>
      <c r="M876" s="1043">
        <f t="shared" si="1088"/>
        <v>1.0000000004772858E-4</v>
      </c>
      <c r="N876" s="1043">
        <f t="shared" si="1088"/>
        <v>3.5527136788005009E-15</v>
      </c>
      <c r="O876" s="1043">
        <f t="shared" si="1088"/>
        <v>3.3750779948604759E-14</v>
      </c>
      <c r="P876" s="1043">
        <f t="shared" si="1088"/>
        <v>3.8000000000355527E-3</v>
      </c>
      <c r="Q876" s="1043">
        <f>ABS(-Q872-Q873-Q874-Q875)</f>
        <v>1.1000000000031207E-2</v>
      </c>
      <c r="R876" s="1043">
        <f>ABS(-R872-R873-R874-R875)</f>
        <v>1.2000000000016442E-2</v>
      </c>
      <c r="S876" s="1043">
        <f>ABS(-S872-S873-S874-S875)</f>
        <v>1.1799999999972499E-2</v>
      </c>
      <c r="T876" s="1043">
        <f>ABS(-T872-T873-T874-T875)</f>
        <v>1.1600000000018262E-2</v>
      </c>
      <c r="U876" s="1043">
        <f>ABS(-U872-U873-U874-U875)</f>
        <v>1.1600000000063559E-2</v>
      </c>
      <c r="V876" s="2881">
        <f t="shared" si="1088"/>
        <v>1.4799999999945967E-2</v>
      </c>
      <c r="W876" s="2881">
        <f t="shared" si="1088"/>
        <v>1.0900000000018006E-2</v>
      </c>
      <c r="X876" s="2881">
        <f t="shared" ref="X876" si="1089">ABS(-X872-X873-X874-X875)</f>
        <v>3.1700000000027373E-2</v>
      </c>
      <c r="Y876" s="2881">
        <f t="shared" si="1088"/>
        <v>9.7699626167013776E-15</v>
      </c>
      <c r="Z876" s="2881">
        <f t="shared" ref="Z876" si="1090">ABS(-Z872-Z873-Z874-Z875)</f>
        <v>9.05999999999616E-2</v>
      </c>
      <c r="AA876" s="2881">
        <f>ABS(-AA872-AA873-AA874-AA875)</f>
        <v>2.7800000000024916E-2</v>
      </c>
      <c r="AB876" s="2881">
        <f>ABS(-AB872-AB873-AB874-AB875)</f>
        <v>3.9799999999897251E-2</v>
      </c>
      <c r="AC876" s="2881">
        <f ca="1">ABS(-AC872-AC873-AC874-AC875)</f>
        <v>0</v>
      </c>
      <c r="AD876" s="2881">
        <f ca="1">ABS(-AD872-AD873-AD874-AD875)</f>
        <v>0</v>
      </c>
      <c r="AE876" s="2881">
        <f ca="1">ABS(-AE872-AE873-AE874-AE875)</f>
        <v>0</v>
      </c>
      <c r="AF876" s="2836"/>
      <c r="AG876" s="2836"/>
      <c r="AH876" s="2836"/>
      <c r="AI876" s="2836"/>
      <c r="AJ876" s="2836"/>
      <c r="AK876" s="2881">
        <v>0</v>
      </c>
      <c r="AL876" s="2836"/>
      <c r="AM876" s="2881">
        <f t="shared" si="1067"/>
        <v>9.05999999999616E-2</v>
      </c>
      <c r="AN876" s="2836"/>
      <c r="AO876" s="2836"/>
      <c r="AP876" s="2836"/>
      <c r="AQ876" s="2836"/>
      <c r="AR876" s="2836"/>
      <c r="AS876" s="2836"/>
      <c r="AT876" s="2836"/>
    </row>
    <row r="877" spans="1:46" ht="12.75" customHeight="1">
      <c r="A877" s="1039"/>
      <c r="B877" s="714"/>
      <c r="C877" s="822" t="s">
        <v>624</v>
      </c>
      <c r="D877" s="794" t="s">
        <v>592</v>
      </c>
      <c r="E877" s="795" t="s">
        <v>1529</v>
      </c>
      <c r="F877" s="796" t="s">
        <v>2064</v>
      </c>
      <c r="G877" s="843">
        <f ca="1">-'VVP2'!G345-Labour1!G216+Sector1!G31-Sector1!G140+Sector1!G234+Sector1!G476+Sector1!G596-Sector1!G318+Sector1!G521-Sector1!G669-Sector1!G797-Sector1!G831</f>
        <v>-9.3330000000000037</v>
      </c>
      <c r="H877" s="843">
        <f>-'VVP2'!H345-Labour1!H216+Sector1!H31-Sector1!H140+Sector1!H234+Sector1!H476+Sector1!H596-Sector1!H318+Sector1!H521-Sector1!H669-Sector1!H797-Sector1!H831</f>
        <v>-8.0400000000000116</v>
      </c>
      <c r="I877" s="843">
        <f>-'VVP2'!I345-Labour1!I216+Sector1!I31-Sector1!I140+Sector1!I234+Sector1!I476+Sector1!I596-Sector1!I318+Sector1!I521-Sector1!I669-Sector1!I797-Sector1!I831</f>
        <v>-10.661400000000016</v>
      </c>
      <c r="J877" s="843">
        <f>-'VVP2'!J345-Labour1!J216+Sector1!J31-Sector1!J140+Sector1!J234+Sector1!J476+Sector1!J596-Sector1!J318+Sector1!J521-Sector1!J669-Sector1!J797-Sector1!J831</f>
        <v>-10.115800000000018</v>
      </c>
      <c r="K877" s="843">
        <f>-'VVP2'!K345-Labour1!K216+Sector1!K31-Sector1!K140+Sector1!K234+Sector1!K476+Sector1!K596-Sector1!K318+Sector1!K521-Sector1!K669-Sector1!K797-Sector1!K831</f>
        <v>-11.731699999999977</v>
      </c>
      <c r="L877" s="843">
        <f>-'VVP2'!L345-Labour1!L216+Sector1!L31-Sector1!L140+Sector1!L234+Sector1!L476+Sector1!L596-Sector1!L318+Sector1!L521-Sector1!L669-Sector1!L797-Sector1!L831</f>
        <v>-9.9375999999999891</v>
      </c>
      <c r="M877" s="843">
        <f>-'VVP2'!M345-Labour1!M216+Sector1!M31-Sector1!M140+Sector1!M234+Sector1!M476+Sector1!M596-Sector1!M318+Sector1!M521-Sector1!M669-Sector1!M797-Sector1!M831</f>
        <v>-10.518700000000003</v>
      </c>
      <c r="N877" s="843">
        <f>-'VVP2'!N345-Labour1!N216+Sector1!N31-Sector1!N140+Sector1!N234+Sector1!N476+Sector1!N596-Sector1!N318+Sector1!N521-Sector1!N669-Sector1!N797-Sector1!N831</f>
        <v>-16.079199999999975</v>
      </c>
      <c r="O877" s="843">
        <f>-'VVP2'!O345-Labour1!O216+Sector1!O31-Sector1!O140+Sector1!O234+Sector1!O476+Sector1!O596-Sector1!O318+Sector1!O521-Sector1!O669-Sector1!O797-Sector1!O831</f>
        <v>-15.799199999999983</v>
      </c>
      <c r="P877" s="843">
        <f>-'VVP2'!P345-Labour1!P216+Sector1!P31-Sector1!P140+Sector1!P234+Sector1!P476+Sector1!P596-Sector1!P318+Sector1!P521-Sector1!P669-Sector1!P797-Sector1!P831</f>
        <v>-13.41580000000001</v>
      </c>
      <c r="Q877" s="843">
        <f>-'VVP2'!Q345-Labour1!Q216+Sector1!Q31-Sector1!Q140+Sector1!Q234+Sector1!Q476+Sector1!Q596-Sector1!Q318+Sector1!Q521-Sector1!Q669-Sector1!Q797-Sector1!Q831</f>
        <v>-10.246700000000001</v>
      </c>
      <c r="R877" s="843">
        <f>-'VVP2'!R345-Labour1!R216+Sector1!R31-Sector1!R140+Sector1!R234+Sector1!R476+Sector1!R596-Sector1!R318+Sector1!R521-Sector1!R669-Sector1!R797-Sector1!R831</f>
        <v>-12.015700000000017</v>
      </c>
      <c r="S877" s="843">
        <f>-'VVP2'!S345-Labour1!S216+Sector1!S31-Sector1!S140+Sector1!S234+Sector1!S476+Sector1!S596-Sector1!S318+Sector1!S521-Sector1!S669-Sector1!S797-Sector1!S831</f>
        <v>-12.758299999999984</v>
      </c>
      <c r="T877" s="843">
        <f>-'VVP2'!T345-Labour1!T216+Sector1!T31-Sector1!T140+Sector1!T234+Sector1!T476+Sector1!T596-Sector1!T318+Sector1!T521-Sector1!T669-Sector1!T797-Sector1!T831</f>
        <v>-3.5004999999999278</v>
      </c>
      <c r="U877" s="843">
        <f>-'VVP2'!U345-Labour1!U216+Sector1!U31-Sector1!U140+Sector1!U234+Sector1!U476+Sector1!U596-Sector1!U318+Sector1!U521-Sector1!U669-Sector1!U797-Sector1!U831</f>
        <v>-2.5540999999999809</v>
      </c>
      <c r="V877" s="843">
        <f>-'VVP2'!V345-Labour1!V216+Sector1!V31-Sector1!V140+Sector1!V234+Sector1!V476+Sector1!V596-Sector1!V318+Sector1!V521-Sector1!V669-Sector1!V797-Sector1!V831</f>
        <v>-13.208100000000028</v>
      </c>
      <c r="W877" s="843">
        <f>-'VVP2'!W345-Labour1!W216+Sector1!W31-Sector1!W140+Sector1!W234+Sector1!W476+Sector1!W596-Sector1!W318+Sector1!W521-Sector1!W669-Sector1!W797-Sector1!W831</f>
        <v>-0.50499999999997591</v>
      </c>
      <c r="X877" s="843">
        <f>-'VVP2'!X345-Labour1!X216+Sector1!X31-Sector1!X140+Sector1!X234+Sector1!X476+Sector1!X596-Sector1!X318+Sector1!X521-Sector1!X669-Sector1!X797-Sector1!X831</f>
        <v>-8.5449000000000055</v>
      </c>
      <c r="Y877" s="844">
        <f>-'VVP2'!Y345-Labour1!Y216+Sector1!Y31-Sector1!Y140+Sector1!Y234+Sector1!Y476+Sector1!Y596-Sector1!Y318+Sector1!Y521-Sector1!Y669-Sector1!Y797-Sector1!Y831</f>
        <v>-4.3166000000000047</v>
      </c>
      <c r="Z877" s="844">
        <f>-'VVP2'!Z345-Labour1!Z216+Sector1!Z31-Sector1!Z140+Sector1!Z234+Sector1!Z476+Sector1!Z596-Sector1!Z318+Sector1!Z521-Sector1!Z669-Sector1!Z797-Sector1!Z831</f>
        <v>1.939600000000024</v>
      </c>
      <c r="AA877" s="844">
        <f>-'VVP2'!AA345-Labour1!AA216+Sector1!AA31-Sector1!AA140+Sector1!AA234+Sector1!AA476+Sector1!AA596-Sector1!AA318+Sector1!AA521-Sector1!AA669-Sector1!AA797-Sector1!AA831</f>
        <v>1.6817000000000109</v>
      </c>
      <c r="AB877" s="844">
        <f>-'VVP2'!AB345-Labour1!AB216+Sector1!AB31-Sector1!AB140+Sector1!AB234+Sector1!AB476+Sector1!AB596-Sector1!AB318+Sector1!AB521-Sector1!AB669-Sector1!AB797-Sector1!AB831</f>
        <v>-0.87200000000001032</v>
      </c>
      <c r="AC877" s="844">
        <f>-'VVP2'!AC345-Labour1!AC216+Sector1!AC31-Sector1!AC140+Sector1!AC234+Sector1!AC476+Sector1!AC596-Sector1!AC318+Sector1!AC521-Sector1!AC669-Sector1!AC797-Sector1!AC831</f>
        <v>-3.3691990077492844</v>
      </c>
      <c r="AD877" s="844">
        <f ca="1">-'VVP2'!AD345-Labour1!AD216+Sector1!AD31-Sector1!AD140+Sector1!AD234+Sector1!AD476+Sector1!AD596-Sector1!AD318+Sector1!AD521-Sector1!AD669-Sector1!AD797-Sector1!AD831</f>
        <v>-3.2190565059606775</v>
      </c>
      <c r="AE877" s="844">
        <f ca="1">-'VVP2'!AE345-Labour1!AE216+Sector1!AE31-Sector1!AE140+Sector1!AE234+Sector1!AE476+Sector1!AE596-Sector1!AE318+Sector1!AE521-Sector1!AE669-Sector1!AE797-Sector1!AE831</f>
        <v>-4.0145540058266205</v>
      </c>
      <c r="AK877" s="844">
        <v>-1.8349869979756359</v>
      </c>
      <c r="AM877" s="844">
        <f t="shared" si="1067"/>
        <v>3.7745869979756597</v>
      </c>
    </row>
    <row r="878" spans="1:46" s="1881" customFormat="1" ht="12.75" customHeight="1">
      <c r="A878" s="1039"/>
      <c r="B878" s="1039"/>
      <c r="C878" s="1501"/>
      <c r="D878" s="1054"/>
      <c r="E878" s="1882" t="s">
        <v>474</v>
      </c>
      <c r="F878" s="1883"/>
      <c r="G878" s="1043">
        <f ca="1">ABS(+G875-G877)</f>
        <v>0.30750000000000455</v>
      </c>
      <c r="H878" s="1043">
        <f t="shared" ref="H878:P878" si="1091">ABS(+H875-H877)</f>
        <v>1.2434497875801753E-14</v>
      </c>
      <c r="I878" s="1043">
        <f t="shared" si="1091"/>
        <v>1.5987211554602254E-14</v>
      </c>
      <c r="J878" s="1043">
        <f t="shared" si="1091"/>
        <v>1.7763568394002505E-14</v>
      </c>
      <c r="K878" s="1043">
        <f t="shared" si="1091"/>
        <v>2.3092638912203256E-14</v>
      </c>
      <c r="L878" s="1043">
        <f t="shared" si="1091"/>
        <v>1.0658141036401503E-14</v>
      </c>
      <c r="M878" s="1043">
        <f t="shared" si="1091"/>
        <v>1.7763568394002505E-15</v>
      </c>
      <c r="N878" s="1043">
        <f t="shared" si="1091"/>
        <v>2.4868995751603507E-14</v>
      </c>
      <c r="O878" s="1043">
        <f t="shared" si="1091"/>
        <v>1.7763568394002505E-14</v>
      </c>
      <c r="P878" s="1043">
        <f t="shared" si="1091"/>
        <v>1.0658141036401503E-14</v>
      </c>
      <c r="Q878" s="1043">
        <f>ABS(+Q875-Q877)</f>
        <v>0</v>
      </c>
      <c r="R878" s="1043">
        <f>ABS(+R875-R877)</f>
        <v>1.5987211554602254E-14</v>
      </c>
      <c r="S878" s="2881">
        <f t="shared" ref="S878:AD878" si="1092">ABS(+S875-S877)+S699-S698</f>
        <v>0</v>
      </c>
      <c r="T878" s="2881">
        <f t="shared" si="1092"/>
        <v>0</v>
      </c>
      <c r="U878" s="2881">
        <f t="shared" si="1092"/>
        <v>0</v>
      </c>
      <c r="V878" s="2881">
        <f t="shared" si="1092"/>
        <v>0</v>
      </c>
      <c r="W878" s="2881">
        <f t="shared" si="1092"/>
        <v>9.9999999974897946E-5</v>
      </c>
      <c r="X878" s="2881">
        <f t="shared" si="1092"/>
        <v>0</v>
      </c>
      <c r="Y878" s="2881">
        <f t="shared" si="1092"/>
        <v>0</v>
      </c>
      <c r="Z878" s="2881">
        <f t="shared" si="1092"/>
        <v>-4.6499999999966235E-2</v>
      </c>
      <c r="AA878" s="2881">
        <f t="shared" si="1092"/>
        <v>-0.12180000000002167</v>
      </c>
      <c r="AB878" s="2881">
        <f t="shared" si="1092"/>
        <v>-0.46839999999998838</v>
      </c>
      <c r="AC878" s="2881">
        <f t="shared" ca="1" si="1092"/>
        <v>0.19173985271609695</v>
      </c>
      <c r="AD878" s="2881">
        <f t="shared" ca="1" si="1092"/>
        <v>0</v>
      </c>
      <c r="AE878" s="2881">
        <f t="shared" ref="AE878" ca="1" si="1093">ABS(+AE875-AE877)+AE699-AE698</f>
        <v>0</v>
      </c>
      <c r="AF878" s="2829"/>
      <c r="AG878" s="2829"/>
      <c r="AH878" s="2829"/>
      <c r="AI878" s="2829"/>
      <c r="AJ878" s="2829"/>
      <c r="AK878" s="2881">
        <v>1.0741684630145443</v>
      </c>
      <c r="AL878" s="2829"/>
      <c r="AM878" s="2881">
        <f t="shared" si="1067"/>
        <v>-1.1206684630145105</v>
      </c>
      <c r="AN878" s="2829"/>
      <c r="AO878" s="2829"/>
      <c r="AP878" s="2829"/>
      <c r="AQ878" s="2829"/>
      <c r="AR878" s="2829"/>
      <c r="AS878" s="2829"/>
      <c r="AT878" s="2829"/>
    </row>
    <row r="879" spans="1:46">
      <c r="A879" s="714"/>
      <c r="B879" s="714"/>
      <c r="P879" s="753"/>
      <c r="Q879" s="753"/>
      <c r="R879" s="753"/>
      <c r="S879" s="2218"/>
      <c r="T879" s="2218"/>
      <c r="U879" s="2218"/>
      <c r="V879" s="2218"/>
      <c r="W879" s="2218"/>
      <c r="X879" s="2218"/>
      <c r="Y879" s="2218"/>
      <c r="Z879" s="2218"/>
      <c r="AA879" s="2218"/>
      <c r="AB879" s="2218"/>
      <c r="AC879" s="2218"/>
      <c r="AD879" s="2218"/>
      <c r="AE879" s="2218"/>
      <c r="AK879" s="2218"/>
      <c r="AM879" s="2218">
        <f t="shared" si="1067"/>
        <v>0</v>
      </c>
    </row>
    <row r="880" spans="1:46" ht="12.75" customHeight="1">
      <c r="A880" s="714"/>
      <c r="B880" s="714"/>
      <c r="C880" s="822"/>
      <c r="D880" s="790"/>
      <c r="E880" s="791" t="s">
        <v>1804</v>
      </c>
      <c r="F880" s="792"/>
      <c r="G880" s="793">
        <f>+InputY!$G$3</f>
        <v>1995</v>
      </c>
      <c r="H880" s="793">
        <f>+G880+1</f>
        <v>1996</v>
      </c>
      <c r="I880" s="793">
        <f t="shared" ref="I880:O880" si="1094">+H880+1</f>
        <v>1997</v>
      </c>
      <c r="J880" s="793">
        <f t="shared" si="1094"/>
        <v>1998</v>
      </c>
      <c r="K880" s="793">
        <f t="shared" si="1094"/>
        <v>1999</v>
      </c>
      <c r="L880" s="793">
        <f t="shared" si="1094"/>
        <v>2000</v>
      </c>
      <c r="M880" s="793">
        <f t="shared" si="1094"/>
        <v>2001</v>
      </c>
      <c r="N880" s="793">
        <f t="shared" si="1094"/>
        <v>2002</v>
      </c>
      <c r="O880" s="793">
        <f t="shared" si="1094"/>
        <v>2003</v>
      </c>
      <c r="P880" s="793">
        <f t="shared" ref="P880:U880" si="1095">+O880+1</f>
        <v>2004</v>
      </c>
      <c r="Q880" s="793">
        <f t="shared" si="1095"/>
        <v>2005</v>
      </c>
      <c r="R880" s="793">
        <f t="shared" si="1095"/>
        <v>2006</v>
      </c>
      <c r="S880" s="793">
        <f t="shared" si="1095"/>
        <v>2007</v>
      </c>
      <c r="T880" s="793">
        <f t="shared" si="1095"/>
        <v>2008</v>
      </c>
      <c r="U880" s="793">
        <f t="shared" si="1095"/>
        <v>2009</v>
      </c>
      <c r="V880" s="793">
        <f t="shared" ref="V880:AE880" si="1096">+U880+1</f>
        <v>2010</v>
      </c>
      <c r="W880" s="793">
        <f t="shared" si="1096"/>
        <v>2011</v>
      </c>
      <c r="X880" s="793">
        <f t="shared" si="1096"/>
        <v>2012</v>
      </c>
      <c r="Y880" s="793">
        <f t="shared" si="1096"/>
        <v>2013</v>
      </c>
      <c r="Z880" s="793">
        <f t="shared" si="1096"/>
        <v>2014</v>
      </c>
      <c r="AA880" s="793">
        <f t="shared" si="1096"/>
        <v>2015</v>
      </c>
      <c r="AB880" s="793">
        <f t="shared" si="1096"/>
        <v>2016</v>
      </c>
      <c r="AC880" s="793">
        <f t="shared" si="1096"/>
        <v>2017</v>
      </c>
      <c r="AD880" s="793">
        <f t="shared" si="1096"/>
        <v>2018</v>
      </c>
      <c r="AE880" s="793">
        <f t="shared" si="1096"/>
        <v>2019</v>
      </c>
      <c r="AK880" s="793">
        <v>2014</v>
      </c>
      <c r="AM880" s="793">
        <f t="shared" si="1067"/>
        <v>0</v>
      </c>
    </row>
    <row r="881" spans="1:46" ht="12.75" customHeight="1">
      <c r="A881" s="714"/>
      <c r="B881" s="714"/>
      <c r="C881" s="839" t="s">
        <v>2133</v>
      </c>
      <c r="D881" s="739" t="s">
        <v>589</v>
      </c>
      <c r="E881" s="787" t="s">
        <v>1529</v>
      </c>
      <c r="F881" s="782" t="s">
        <v>908</v>
      </c>
      <c r="G881" s="788"/>
      <c r="H881" s="788">
        <f t="shared" ref="H881:P881" ca="1" si="1097">(H872/G872-1)*100</f>
        <v>-15.806552617345593</v>
      </c>
      <c r="I881" s="788">
        <f t="shared" si="1097"/>
        <v>-16.729494894854646</v>
      </c>
      <c r="J881" s="788">
        <f t="shared" si="1097"/>
        <v>1.9072463179691912</v>
      </c>
      <c r="K881" s="788">
        <f t="shared" si="1097"/>
        <v>7.5718639813541655</v>
      </c>
      <c r="L881" s="788">
        <f t="shared" si="1097"/>
        <v>-3.192592592592447</v>
      </c>
      <c r="M881" s="788">
        <f t="shared" si="1097"/>
        <v>35.215969087152523</v>
      </c>
      <c r="N881" s="788">
        <f t="shared" si="1097"/>
        <v>-3.2071641284281305</v>
      </c>
      <c r="O881" s="788">
        <f t="shared" si="1097"/>
        <v>-6.6531712913905032</v>
      </c>
      <c r="P881" s="788">
        <f t="shared" si="1097"/>
        <v>-26.669693814440699</v>
      </c>
      <c r="Q881" s="788">
        <f>(Q872/P872-1)*100</f>
        <v>-25.238344347529353</v>
      </c>
      <c r="R881" s="788">
        <f t="shared" ref="R881:AE884" si="1098">(R872/Q872-1)*100</f>
        <v>8.7366301569393947</v>
      </c>
      <c r="S881" s="788">
        <f t="shared" si="1098"/>
        <v>7.2729660516124284</v>
      </c>
      <c r="T881" s="788">
        <f t="shared" ref="T881:X884" si="1099">(T872/S872-1)*100</f>
        <v>27.554081020530539</v>
      </c>
      <c r="U881" s="788">
        <f t="shared" si="1099"/>
        <v>56.874940013436273</v>
      </c>
      <c r="V881" s="788">
        <f t="shared" si="1099"/>
        <v>-41.221061132592205</v>
      </c>
      <c r="W881" s="788">
        <f t="shared" si="1099"/>
        <v>-19.338419743320912</v>
      </c>
      <c r="X881" s="2882">
        <f t="shared" si="1098"/>
        <v>-21.828786744779972</v>
      </c>
      <c r="Y881" s="2882">
        <f t="shared" si="1098"/>
        <v>-11.887153752187308</v>
      </c>
      <c r="Z881" s="2882">
        <f t="shared" si="1098"/>
        <v>-34.838975588736368</v>
      </c>
      <c r="AA881" s="2882">
        <f t="shared" si="1098"/>
        <v>-42.445588108450494</v>
      </c>
      <c r="AB881" s="2882">
        <f t="shared" si="1098"/>
        <v>-68.008792087123609</v>
      </c>
      <c r="AC881" s="2882">
        <f t="shared" ca="1" si="1098"/>
        <v>-6.2190502060694319</v>
      </c>
      <c r="AD881" s="2882">
        <f t="shared" ca="1" si="1098"/>
        <v>-108.66842756436697</v>
      </c>
      <c r="AE881" s="2882">
        <f t="shared" ca="1" si="1098"/>
        <v>-2930.7205612807311</v>
      </c>
      <c r="AK881" s="2882">
        <v>14.527104629653852</v>
      </c>
      <c r="AM881" s="2882">
        <f t="shared" si="1067"/>
        <v>-49.366080218390223</v>
      </c>
    </row>
    <row r="882" spans="1:46" ht="12.75" customHeight="1">
      <c r="A882" s="714"/>
      <c r="B882" s="714"/>
      <c r="C882" s="840" t="s">
        <v>2133</v>
      </c>
      <c r="D882" s="724" t="s">
        <v>590</v>
      </c>
      <c r="E882" s="830" t="s">
        <v>1529</v>
      </c>
      <c r="F882" s="754" t="s">
        <v>2063</v>
      </c>
      <c r="G882" s="756"/>
      <c r="H882" s="756">
        <f t="shared" ref="H882:P882" ca="1" si="1100">(H873/G873-1)*100</f>
        <v>-7.7896844088555124</v>
      </c>
      <c r="I882" s="756">
        <f t="shared" si="1100"/>
        <v>19.430432284018128</v>
      </c>
      <c r="J882" s="756">
        <f t="shared" si="1100"/>
        <v>-59.028371827773142</v>
      </c>
      <c r="K882" s="756">
        <f t="shared" si="1100"/>
        <v>-0.95258808177509646</v>
      </c>
      <c r="L882" s="756">
        <f t="shared" si="1100"/>
        <v>-114.57555662904535</v>
      </c>
      <c r="M882" s="756">
        <f t="shared" si="1100"/>
        <v>1127.8397107562821</v>
      </c>
      <c r="N882" s="756">
        <f t="shared" si="1100"/>
        <v>-155.72487239890052</v>
      </c>
      <c r="O882" s="756">
        <f t="shared" si="1100"/>
        <v>252.42414901581066</v>
      </c>
      <c r="P882" s="756">
        <f t="shared" si="1100"/>
        <v>-43.503848460615792</v>
      </c>
      <c r="Q882" s="756">
        <f>(Q873/P873-1)*100</f>
        <v>161.71845626451443</v>
      </c>
      <c r="R882" s="756">
        <f t="shared" si="1098"/>
        <v>-68.963797998918565</v>
      </c>
      <c r="S882" s="756">
        <f t="shared" si="1098"/>
        <v>18.509543387699168</v>
      </c>
      <c r="T882" s="756">
        <f t="shared" si="1099"/>
        <v>-169.47501435956437</v>
      </c>
      <c r="U882" s="756">
        <f t="shared" si="1099"/>
        <v>-264.44988260193611</v>
      </c>
      <c r="V882" s="756">
        <f t="shared" si="1099"/>
        <v>265.89245495495464</v>
      </c>
      <c r="W882" s="756">
        <f t="shared" si="1099"/>
        <v>-53.853510010936965</v>
      </c>
      <c r="X882" s="836">
        <f t="shared" si="1098"/>
        <v>124.67724262779254</v>
      </c>
      <c r="Y882" s="836">
        <f t="shared" si="1098"/>
        <v>-40.157860141639269</v>
      </c>
      <c r="Z882" s="836">
        <f t="shared" si="1098"/>
        <v>-39.619633097412631</v>
      </c>
      <c r="AA882" s="836">
        <f t="shared" si="1098"/>
        <v>-5.111202394226078</v>
      </c>
      <c r="AB882" s="836">
        <f t="shared" si="1098"/>
        <v>66.491960420531981</v>
      </c>
      <c r="AC882" s="836">
        <f t="shared" ca="1" si="1098"/>
        <v>-35.597742043580851</v>
      </c>
      <c r="AD882" s="836">
        <f t="shared" ca="1" si="1098"/>
        <v>20.851212256577444</v>
      </c>
      <c r="AE882" s="836">
        <f t="shared" ca="1" si="1098"/>
        <v>7.315046160299965</v>
      </c>
      <c r="AF882" s="749"/>
      <c r="AG882" s="749"/>
      <c r="AH882" s="749"/>
      <c r="AI882" s="749"/>
      <c r="AJ882" s="749"/>
      <c r="AK882" s="836">
        <v>-693.95210978430441</v>
      </c>
      <c r="AL882" s="749"/>
      <c r="AM882" s="836">
        <f t="shared" si="1067"/>
        <v>654.33247668689182</v>
      </c>
      <c r="AN882" s="749"/>
      <c r="AO882" s="749"/>
      <c r="AP882" s="749"/>
      <c r="AQ882" s="749"/>
      <c r="AR882" s="749"/>
      <c r="AS882" s="749"/>
      <c r="AT882" s="749"/>
    </row>
    <row r="883" spans="1:46" ht="12.75" customHeight="1">
      <c r="A883" s="714"/>
      <c r="B883" s="714"/>
      <c r="C883" s="841" t="s">
        <v>2133</v>
      </c>
      <c r="D883" s="741" t="s">
        <v>591</v>
      </c>
      <c r="E883" s="842" t="s">
        <v>1529</v>
      </c>
      <c r="F883" s="785" t="s">
        <v>1707</v>
      </c>
      <c r="G883" s="789"/>
      <c r="H883" s="789">
        <f t="shared" ref="H883:P883" si="1101">(H874/G874-1)*100</f>
        <v>-9.6199297349088049</v>
      </c>
      <c r="I883" s="789">
        <f t="shared" si="1101"/>
        <v>-43.43887671684675</v>
      </c>
      <c r="J883" s="789">
        <f t="shared" si="1101"/>
        <v>-53.705979132390745</v>
      </c>
      <c r="K883" s="789">
        <f t="shared" si="1101"/>
        <v>-39.475459984704329</v>
      </c>
      <c r="L883" s="789">
        <f t="shared" si="1101"/>
        <v>-86.197413408652451</v>
      </c>
      <c r="M883" s="789">
        <f t="shared" si="1101"/>
        <v>-346.042003231038</v>
      </c>
      <c r="N883" s="789">
        <f t="shared" si="1101"/>
        <v>-72.729262420657605</v>
      </c>
      <c r="O883" s="789">
        <f t="shared" si="1101"/>
        <v>-4094.6227929367851</v>
      </c>
      <c r="P883" s="789">
        <f t="shared" si="1101"/>
        <v>-90.585257067084626</v>
      </c>
      <c r="Q883" s="789">
        <f>(Q874/P874-1)*100</f>
        <v>1735.3819889031256</v>
      </c>
      <c r="R883" s="789">
        <f t="shared" si="1098"/>
        <v>-108.33081412924699</v>
      </c>
      <c r="S883" s="789">
        <f t="shared" si="1098"/>
        <v>-68.499651081646334</v>
      </c>
      <c r="T883" s="789">
        <f t="shared" si="1099"/>
        <v>-1830.7044749667014</v>
      </c>
      <c r="U883" s="789">
        <f t="shared" si="1099"/>
        <v>380.64871230351696</v>
      </c>
      <c r="V883" s="789">
        <f t="shared" si="1099"/>
        <v>-22.188963041475386</v>
      </c>
      <c r="W883" s="789">
        <f t="shared" si="1099"/>
        <v>7.1373322107454396</v>
      </c>
      <c r="X883" s="789">
        <f t="shared" si="1099"/>
        <v>4.8403378525154306</v>
      </c>
      <c r="Y883" s="789">
        <f t="shared" si="1098"/>
        <v>-24.980803685692322</v>
      </c>
      <c r="Z883" s="789">
        <f t="shared" si="1098"/>
        <v>0.1177885005928081</v>
      </c>
      <c r="AA883" s="2883">
        <f t="shared" si="1098"/>
        <v>-17.406508880540628</v>
      </c>
      <c r="AB883" s="2883">
        <f t="shared" si="1098"/>
        <v>3.0738550405724707</v>
      </c>
      <c r="AC883" s="2883">
        <f t="shared" si="1098"/>
        <v>-56.896009454552441</v>
      </c>
      <c r="AD883" s="2883">
        <f t="shared" ca="1" si="1098"/>
        <v>9.2857399663812892</v>
      </c>
      <c r="AE883" s="2883">
        <f t="shared" ca="1" si="1098"/>
        <v>27.082499636839131</v>
      </c>
      <c r="AF883" s="749"/>
      <c r="AG883" s="749"/>
      <c r="AH883" s="749"/>
      <c r="AI883" s="749"/>
      <c r="AJ883" s="749"/>
      <c r="AK883" s="789">
        <v>13.208315993896736</v>
      </c>
      <c r="AL883" s="749"/>
      <c r="AM883" s="789">
        <f t="shared" si="1067"/>
        <v>-13.090527493303927</v>
      </c>
      <c r="AN883" s="749"/>
      <c r="AO883" s="749"/>
      <c r="AP883" s="749"/>
      <c r="AQ883" s="749"/>
      <c r="AR883" s="749"/>
      <c r="AS883" s="749"/>
      <c r="AT883" s="749"/>
    </row>
    <row r="884" spans="1:46" ht="12.75" customHeight="1">
      <c r="A884" s="714"/>
      <c r="B884" s="714"/>
      <c r="C884" s="822" t="s">
        <v>624</v>
      </c>
      <c r="D884" s="766" t="s">
        <v>592</v>
      </c>
      <c r="E884" s="771" t="s">
        <v>1529</v>
      </c>
      <c r="F884" s="772" t="s">
        <v>2064</v>
      </c>
      <c r="G884" s="770"/>
      <c r="H884" s="770">
        <f t="shared" ref="H884:P884" ca="1" si="1102">(H875/G875-1)*100</f>
        <v>-10.919062655808542</v>
      </c>
      <c r="I884" s="770">
        <f t="shared" si="1102"/>
        <v>32.604477611940318</v>
      </c>
      <c r="J884" s="770">
        <f t="shared" si="1102"/>
        <v>-5.1175267788470595</v>
      </c>
      <c r="K884" s="770">
        <f t="shared" si="1102"/>
        <v>15.974020838687997</v>
      </c>
      <c r="L884" s="770">
        <f t="shared" si="1102"/>
        <v>-15.292753820844386</v>
      </c>
      <c r="M884" s="770">
        <f t="shared" si="1102"/>
        <v>5.8474883271614875</v>
      </c>
      <c r="N884" s="770">
        <f t="shared" si="1102"/>
        <v>52.862996377879391</v>
      </c>
      <c r="O884" s="770">
        <f t="shared" si="1102"/>
        <v>-1.7413801681675611</v>
      </c>
      <c r="P884" s="770">
        <f t="shared" si="1102"/>
        <v>-15.085573953111563</v>
      </c>
      <c r="Q884" s="770">
        <f>(Q875/P875-1)*100</f>
        <v>-23.622147020677097</v>
      </c>
      <c r="R884" s="770">
        <f t="shared" si="1098"/>
        <v>17.264094781734606</v>
      </c>
      <c r="S884" s="770">
        <f t="shared" si="1098"/>
        <v>6.1802475095083631</v>
      </c>
      <c r="T884" s="770">
        <f t="shared" si="1099"/>
        <v>-72.562959014915776</v>
      </c>
      <c r="U884" s="770">
        <f t="shared" si="1099"/>
        <v>-27.036137694615057</v>
      </c>
      <c r="V884" s="770">
        <f t="shared" si="1099"/>
        <v>417.13323675658739</v>
      </c>
      <c r="W884" s="770">
        <f t="shared" si="1099"/>
        <v>-96.177345719672019</v>
      </c>
      <c r="X884" s="845">
        <f t="shared" si="1098"/>
        <v>1592.3945335710041</v>
      </c>
      <c r="Y884" s="845">
        <f t="shared" si="1098"/>
        <v>-49.483317534435741</v>
      </c>
      <c r="Z884" s="845">
        <f t="shared" si="1098"/>
        <v>-144.93351248667935</v>
      </c>
      <c r="AA884" s="845">
        <f t="shared" si="1098"/>
        <v>-13.291400288719323</v>
      </c>
      <c r="AB884" s="845">
        <f t="shared" si="1098"/>
        <v>-152.14650969199667</v>
      </c>
      <c r="AC884" s="845">
        <f t="shared" ca="1" si="1098"/>
        <v>243.58713284300725</v>
      </c>
      <c r="AD884" s="845">
        <f t="shared" ca="1" si="1098"/>
        <v>12.395245285015477</v>
      </c>
      <c r="AE884" s="845">
        <f t="shared" ca="1" si="1098"/>
        <v>23.629492336877721</v>
      </c>
      <c r="AF884" s="749"/>
      <c r="AG884" s="749"/>
      <c r="AH884" s="749"/>
      <c r="AI884" s="749"/>
      <c r="AJ884" s="749"/>
      <c r="AK884" s="845">
        <v>-121.58857101206175</v>
      </c>
      <c r="AL884" s="749"/>
      <c r="AM884" s="845">
        <f t="shared" si="1067"/>
        <v>-23.344941474617599</v>
      </c>
      <c r="AN884" s="749"/>
      <c r="AO884" s="749"/>
      <c r="AP884" s="749"/>
      <c r="AQ884" s="749"/>
      <c r="AR884" s="749"/>
      <c r="AS884" s="749"/>
      <c r="AT884" s="749"/>
    </row>
    <row r="885" spans="1:46" ht="12.75" customHeight="1">
      <c r="A885" s="714"/>
      <c r="B885" s="714"/>
      <c r="C885" s="822"/>
      <c r="E885" s="833"/>
      <c r="F885" s="834"/>
      <c r="G885" s="753"/>
      <c r="H885" s="835"/>
      <c r="I885" s="753"/>
      <c r="J885" s="753"/>
      <c r="K885" s="753"/>
      <c r="L885" s="753"/>
      <c r="M885" s="753"/>
      <c r="N885" s="753"/>
      <c r="O885" s="753"/>
      <c r="P885" s="753"/>
      <c r="Q885" s="753"/>
      <c r="R885" s="753"/>
      <c r="S885" s="2218"/>
      <c r="T885" s="2218"/>
      <c r="U885" s="2218"/>
      <c r="V885" s="2218"/>
      <c r="W885" s="2218"/>
      <c r="X885" s="2218"/>
      <c r="Y885" s="2218"/>
      <c r="Z885" s="2218"/>
      <c r="AA885" s="2218"/>
      <c r="AB885" s="2218"/>
      <c r="AC885" s="2218"/>
      <c r="AD885" s="2218"/>
      <c r="AE885" s="2218"/>
      <c r="AF885" s="749"/>
      <c r="AG885" s="749"/>
      <c r="AH885" s="749"/>
      <c r="AI885" s="749"/>
      <c r="AJ885" s="749"/>
      <c r="AK885" s="2218"/>
      <c r="AL885" s="749"/>
      <c r="AM885" s="2218">
        <f t="shared" si="1067"/>
        <v>0</v>
      </c>
      <c r="AN885" s="749"/>
      <c r="AO885" s="749"/>
      <c r="AP885" s="749"/>
      <c r="AQ885" s="749"/>
      <c r="AR885" s="749"/>
      <c r="AS885" s="749"/>
      <c r="AT885" s="749"/>
    </row>
    <row r="886" spans="1:46" ht="12.75" customHeight="1">
      <c r="A886" s="714"/>
      <c r="B886" s="714"/>
      <c r="C886" s="822"/>
      <c r="D886" s="862"/>
      <c r="E886" s="863" t="s">
        <v>1805</v>
      </c>
      <c r="F886" s="864"/>
      <c r="G886" s="865">
        <f>+InputY!$G$3</f>
        <v>1995</v>
      </c>
      <c r="H886" s="865">
        <f>+G886+1</f>
        <v>1996</v>
      </c>
      <c r="I886" s="865">
        <f t="shared" ref="I886:O886" si="1103">+H886+1</f>
        <v>1997</v>
      </c>
      <c r="J886" s="865">
        <f t="shared" si="1103"/>
        <v>1998</v>
      </c>
      <c r="K886" s="865">
        <f t="shared" si="1103"/>
        <v>1999</v>
      </c>
      <c r="L886" s="865">
        <f t="shared" si="1103"/>
        <v>2000</v>
      </c>
      <c r="M886" s="865">
        <f t="shared" si="1103"/>
        <v>2001</v>
      </c>
      <c r="N886" s="865">
        <f t="shared" si="1103"/>
        <v>2002</v>
      </c>
      <c r="O886" s="865">
        <f t="shared" si="1103"/>
        <v>2003</v>
      </c>
      <c r="P886" s="865">
        <f t="shared" ref="P886:U886" si="1104">+O886+1</f>
        <v>2004</v>
      </c>
      <c r="Q886" s="865">
        <f t="shared" si="1104"/>
        <v>2005</v>
      </c>
      <c r="R886" s="865">
        <f t="shared" si="1104"/>
        <v>2006</v>
      </c>
      <c r="S886" s="865">
        <f t="shared" si="1104"/>
        <v>2007</v>
      </c>
      <c r="T886" s="865">
        <f t="shared" si="1104"/>
        <v>2008</v>
      </c>
      <c r="U886" s="865">
        <f t="shared" si="1104"/>
        <v>2009</v>
      </c>
      <c r="V886" s="865">
        <f t="shared" ref="V886:AE886" si="1105">+U886+1</f>
        <v>2010</v>
      </c>
      <c r="W886" s="865">
        <f t="shared" si="1105"/>
        <v>2011</v>
      </c>
      <c r="X886" s="865">
        <f t="shared" si="1105"/>
        <v>2012</v>
      </c>
      <c r="Y886" s="865">
        <f t="shared" si="1105"/>
        <v>2013</v>
      </c>
      <c r="Z886" s="865">
        <f t="shared" si="1105"/>
        <v>2014</v>
      </c>
      <c r="AA886" s="865">
        <f t="shared" si="1105"/>
        <v>2015</v>
      </c>
      <c r="AB886" s="865">
        <f t="shared" si="1105"/>
        <v>2016</v>
      </c>
      <c r="AC886" s="865">
        <f t="shared" si="1105"/>
        <v>2017</v>
      </c>
      <c r="AD886" s="865">
        <f t="shared" si="1105"/>
        <v>2018</v>
      </c>
      <c r="AE886" s="865">
        <f t="shared" si="1105"/>
        <v>2019</v>
      </c>
      <c r="AF886" s="749"/>
      <c r="AG886" s="749"/>
      <c r="AH886" s="749"/>
      <c r="AI886" s="749"/>
      <c r="AJ886" s="749"/>
      <c r="AK886" s="865">
        <v>2014</v>
      </c>
      <c r="AL886" s="749"/>
      <c r="AM886" s="865">
        <f t="shared" si="1067"/>
        <v>0</v>
      </c>
      <c r="AN886" s="749"/>
      <c r="AO886" s="749"/>
      <c r="AP886" s="749"/>
      <c r="AQ886" s="749"/>
      <c r="AR886" s="749"/>
      <c r="AS886" s="749"/>
      <c r="AT886" s="749"/>
    </row>
    <row r="887" spans="1:46" ht="12.75" customHeight="1">
      <c r="A887" s="714"/>
      <c r="B887" s="714"/>
      <c r="C887" s="866" t="s">
        <v>2133</v>
      </c>
      <c r="D887" s="867" t="s">
        <v>589</v>
      </c>
      <c r="E887" s="868" t="s">
        <v>1529</v>
      </c>
      <c r="F887" s="869" t="s">
        <v>908</v>
      </c>
      <c r="G887" s="878">
        <f ca="1">+G872/'VVP2'!G$355</f>
        <v>6.6507391708488628E-2</v>
      </c>
      <c r="H887" s="878">
        <f>+H872/'VVP2'!H$355</f>
        <v>5.4788684389911697E-2</v>
      </c>
      <c r="I887" s="878">
        <f>+I872/'VVP2'!I$355</f>
        <v>4.3598516077669222E-2</v>
      </c>
      <c r="J887" s="878">
        <f>+J872/'VVP2'!J$355</f>
        <v>4.2815544911160332E-2</v>
      </c>
      <c r="K887" s="878">
        <f>+K872/'VVP2'!K$355</f>
        <v>4.422133597569472E-2</v>
      </c>
      <c r="L887" s="878">
        <f>+L872/'VVP2'!L$355</f>
        <v>4.048919147090501E-2</v>
      </c>
      <c r="M887" s="878">
        <f>+M872/'VVP2'!M$355</f>
        <v>5.3189303972633918E-2</v>
      </c>
      <c r="N887" s="878">
        <f>+N872/'VVP2'!N$355</f>
        <v>4.9747132587885566E-2</v>
      </c>
      <c r="O887" s="878">
        <f>+O872/'VVP2'!O$355</f>
        <v>4.5193384435485144E-2</v>
      </c>
      <c r="P887" s="878">
        <f>+P872/'VVP2'!P$355</f>
        <v>3.1357085180716747E-2</v>
      </c>
      <c r="Q887" s="878">
        <f>+Q872/'VVP2'!Q$355</f>
        <v>2.2481963575282975E-2</v>
      </c>
      <c r="R887" s="878">
        <f>+R872/'VVP2'!R$355</f>
        <v>2.3310019742112713E-2</v>
      </c>
      <c r="S887" s="878">
        <f>+S872/'VVP2'!S$355</f>
        <v>2.3695978532835404E-2</v>
      </c>
      <c r="T887" s="878">
        <f>+T872/'VVP2'!T$355</f>
        <v>2.9426725363837707E-2</v>
      </c>
      <c r="U887" s="878">
        <f>+U872/'VVP2'!U$355</f>
        <v>4.6862631031325853E-2</v>
      </c>
      <c r="V887" s="878">
        <f>+V872/'VVP2'!V$355</f>
        <v>2.6314124467098916E-2</v>
      </c>
      <c r="W887" s="878">
        <f>+W872/'VVP2'!W$355</f>
        <v>2.044123244588647E-2</v>
      </c>
      <c r="X887" s="2884">
        <f>+X872/'VVP2'!X$355</f>
        <v>1.5633028223734646E-2</v>
      </c>
      <c r="Y887" s="2884">
        <f>+Y872/'VVP2'!Y$355</f>
        <v>1.3604788502211591E-2</v>
      </c>
      <c r="Z887" s="2884">
        <f>+Z872/'VVP2'!Z$355</f>
        <v>8.6889895830054836E-3</v>
      </c>
      <c r="AA887" s="2884">
        <f>+AA872/'VVP2'!AA$355</f>
        <v>4.8772619892250768E-3</v>
      </c>
      <c r="AB887" s="2884">
        <f>+AB872/'VVP2'!AB$355</f>
        <v>1.5137747832161923E-3</v>
      </c>
      <c r="AC887" s="2884">
        <f ca="1">+AC872/'VVP2'!AC$355</f>
        <v>1.3696563174175125E-3</v>
      </c>
      <c r="AD887" s="2884">
        <f ca="1">+AD872/'VVP2'!AD$355</f>
        <v>-1.1482875300991339E-4</v>
      </c>
      <c r="AE887" s="2884">
        <f ca="1">+AE872/'VVP2'!AE$355</f>
        <v>3.1419009691075212E-3</v>
      </c>
      <c r="AF887" s="749"/>
      <c r="AG887" s="749"/>
      <c r="AH887" s="749"/>
      <c r="AI887" s="749"/>
      <c r="AJ887" s="749"/>
      <c r="AK887" s="2884">
        <v>1.8783788953067929E-2</v>
      </c>
      <c r="AL887" s="749"/>
      <c r="AM887" s="2884">
        <f t="shared" si="1067"/>
        <v>-1.0094799370062446E-2</v>
      </c>
      <c r="AN887" s="749"/>
      <c r="AO887" s="749"/>
      <c r="AP887" s="749"/>
      <c r="AQ887" s="749"/>
      <c r="AR887" s="749"/>
      <c r="AS887" s="749"/>
      <c r="AT887" s="749"/>
    </row>
    <row r="888" spans="1:46" ht="12.75" customHeight="1">
      <c r="A888" s="714"/>
      <c r="B888" s="714"/>
      <c r="C888" s="870" t="s">
        <v>2133</v>
      </c>
      <c r="D888" s="724" t="s">
        <v>590</v>
      </c>
      <c r="E888" s="830" t="s">
        <v>1529</v>
      </c>
      <c r="F888" s="754" t="s">
        <v>2063</v>
      </c>
      <c r="G888" s="879">
        <f ca="1">+G873/'VVP2'!G$355</f>
        <v>2.4114632534876099E-2</v>
      </c>
      <c r="H888" s="879">
        <f>+H873/'VVP2'!H$355</f>
        <v>2.1757190806437239E-2</v>
      </c>
      <c r="I888" s="879">
        <f>+I873/'VVP2'!I$355</f>
        <v>2.4831757672633483E-2</v>
      </c>
      <c r="J888" s="879">
        <f>+J873/'VVP2'!J$355</f>
        <v>9.8042727694533129E-3</v>
      </c>
      <c r="K888" s="879">
        <f>+K873/'VVP2'!K$355</f>
        <v>9.3237411250235037E-3</v>
      </c>
      <c r="L888" s="879">
        <f>+L873/'VVP2'!L$355</f>
        <v>-1.2853281285095397E-3</v>
      </c>
      <c r="M888" s="879">
        <f>+M873/'VVP2'!M$355</f>
        <v>-1.5332497580782234E-2</v>
      </c>
      <c r="N888" s="879">
        <f>+N873/'VVP2'!N$355</f>
        <v>8.2558637936982326E-3</v>
      </c>
      <c r="O888" s="879">
        <f>+O873/'VVP2'!O$355</f>
        <v>2.831622950326651E-2</v>
      </c>
      <c r="P888" s="879">
        <f>+P873/'VVP2'!P$355</f>
        <v>1.5136714173039571E-2</v>
      </c>
      <c r="Q888" s="879">
        <f>+Q873/'VVP2'!Q$355</f>
        <v>3.7991426758888482E-2</v>
      </c>
      <c r="R888" s="879">
        <f>+R873/'VVP2'!R$355</f>
        <v>1.1243116357851036E-2</v>
      </c>
      <c r="S888" s="879">
        <f>+S873/'VVP2'!S$355</f>
        <v>1.2626464082387474E-2</v>
      </c>
      <c r="T888" s="879">
        <f>+T873/'VVP2'!T$355</f>
        <v>-8.5405005113455799E-3</v>
      </c>
      <c r="U888" s="879">
        <f>+U873/'VVP2'!U$355</f>
        <v>1.4257653296007151E-2</v>
      </c>
      <c r="V888" s="879">
        <f>+V873/'VVP2'!V$355</f>
        <v>4.9835867110562655E-2</v>
      </c>
      <c r="W888" s="879">
        <f>+W873/'VVP2'!W$355</f>
        <v>2.2147877785201671E-2</v>
      </c>
      <c r="X888" s="2885">
        <f>+X873/'VVP2'!X$355</f>
        <v>4.8683342275266446E-2</v>
      </c>
      <c r="Y888" s="2885">
        <f>+Y873/'VVP2'!Y$355</f>
        <v>2.8773782318286395E-2</v>
      </c>
      <c r="Z888" s="2885">
        <f>+Z873/'VVP2'!Z$355</f>
        <v>1.7028730799458994E-2</v>
      </c>
      <c r="AA888" s="2885">
        <f>+AA873/'VVP2'!AA$355</f>
        <v>1.5758882279102705E-2</v>
      </c>
      <c r="AB888" s="2885">
        <f>+AB873/'VVP2'!AB$355</f>
        <v>2.5455007039383595E-2</v>
      </c>
      <c r="AC888" s="2885">
        <f ca="1">+AC873/'VVP2'!AC$355</f>
        <v>1.5816486947438722E-2</v>
      </c>
      <c r="AD888" s="2885">
        <f ca="1">+AD873/'VVP2'!AD$355</f>
        <v>1.8486715494677387E-2</v>
      </c>
      <c r="AE888" s="2885">
        <f ca="1">+AE873/'VVP2'!AE$355</f>
        <v>1.9176317800710475E-2</v>
      </c>
      <c r="AF888" s="749"/>
      <c r="AG888" s="749"/>
      <c r="AH888" s="749"/>
      <c r="AI888" s="749"/>
      <c r="AJ888" s="749"/>
      <c r="AK888" s="2885">
        <v>1.6902984942477654E-2</v>
      </c>
      <c r="AL888" s="749"/>
      <c r="AM888" s="2885">
        <f t="shared" si="1067"/>
        <v>1.2574585698134008E-4</v>
      </c>
      <c r="AN888" s="749"/>
      <c r="AO888" s="749"/>
      <c r="AP888" s="749"/>
      <c r="AQ888" s="749"/>
      <c r="AR888" s="749"/>
      <c r="AS888" s="749"/>
      <c r="AT888" s="749"/>
    </row>
    <row r="889" spans="1:46" ht="12.75" customHeight="1">
      <c r="A889" s="714"/>
      <c r="B889" s="714"/>
      <c r="C889" s="871" t="s">
        <v>2133</v>
      </c>
      <c r="D889" s="872" t="s">
        <v>591</v>
      </c>
      <c r="E889" s="873" t="s">
        <v>1529</v>
      </c>
      <c r="F889" s="874" t="s">
        <v>1707</v>
      </c>
      <c r="G889" s="880">
        <f ca="1">+G874/'VVP2'!G$355</f>
        <v>-4.4455319398667571E-2</v>
      </c>
      <c r="H889" s="880">
        <f>+H874/'VVP2'!H$355</f>
        <v>-3.9313261314128246E-2</v>
      </c>
      <c r="I889" s="880">
        <f>+I874/'VVP2'!I$355</f>
        <v>-2.1249403125300163E-2</v>
      </c>
      <c r="J889" s="880">
        <f>+J874/'VVP2'!J$355</f>
        <v>-9.4797381205818966E-3</v>
      </c>
      <c r="K889" s="880">
        <f>+K874/'VVP2'!K$355</f>
        <v>-5.5088319834907329E-3</v>
      </c>
      <c r="L889" s="880">
        <f>+L874/'VVP2'!L$355</f>
        <v>-7.1914863954268375E-4</v>
      </c>
      <c r="M889" s="880">
        <f>+M874/'VVP2'!M$355</f>
        <v>1.7190366471976021E-3</v>
      </c>
      <c r="N889" s="880">
        <f>+N874/'VVP2'!N$355</f>
        <v>4.5298367550088907E-4</v>
      </c>
      <c r="O889" s="880">
        <f>+O874/'VVP2'!O$355</f>
        <v>-1.7610252037511136E-2</v>
      </c>
      <c r="P889" s="880">
        <f>+P874/'VVP2'!P$355</f>
        <v>-1.5687414047299213E-3</v>
      </c>
      <c r="Q889" s="880">
        <f>+Q874/'VVP2'!Q$355</f>
        <v>-2.761197479908881E-2</v>
      </c>
      <c r="R889" s="880">
        <f>+R874/'VVP2'!R$355</f>
        <v>2.1933980097477417E-3</v>
      </c>
      <c r="S889" s="880">
        <f>+S874/'VVP2'!S$355</f>
        <v>6.5474852231935186E-4</v>
      </c>
      <c r="T889" s="880">
        <f>+T874/'VVP2'!T$355</f>
        <v>-1.1032409503428629E-2</v>
      </c>
      <c r="U889" s="880">
        <f>+U874/'VVP2'!U$355</f>
        <v>-5.3830611807807328E-2</v>
      </c>
      <c r="V889" s="880">
        <f>+V874/'VVP2'!V$355</f>
        <v>-4.0013913977110349E-2</v>
      </c>
      <c r="W889" s="880">
        <f>+W874/'VVP2'!W$355</f>
        <v>-4.1286045628890863E-2</v>
      </c>
      <c r="X889" s="880">
        <f>+X874/'VVP2'!X$355</f>
        <v>-4.2346827781463793E-2</v>
      </c>
      <c r="Y889" s="880">
        <f>+Y874/'VVP2'!Y$355</f>
        <v>-3.1376373235649312E-2</v>
      </c>
      <c r="Z889" s="880">
        <f>+Z874/'VVP2'!Z$355</f>
        <v>-3.0789566117612206E-2</v>
      </c>
      <c r="AA889" s="2886">
        <f>+AA874/'VVP2'!AA$355</f>
        <v>-2.4801479015445049E-2</v>
      </c>
      <c r="AB889" s="2886">
        <f>+AB874/'VVP2'!AB$355</f>
        <v>-2.4801653900593943E-2</v>
      </c>
      <c r="AC889" s="2886">
        <f>+AC874/'VVP2'!AC$355</f>
        <v>-1.0314159265798629E-2</v>
      </c>
      <c r="AD889" s="2886">
        <f ca="1">+AD874/'VVP2'!AD$355</f>
        <v>-1.0901745760132395E-2</v>
      </c>
      <c r="AE889" s="2886">
        <f ca="1">+AE874/'VVP2'!AE$355</f>
        <v>-1.3391420342884945E-2</v>
      </c>
      <c r="AF889" s="749"/>
      <c r="AG889" s="749"/>
      <c r="AH889" s="749"/>
      <c r="AI889" s="749"/>
      <c r="AJ889" s="749"/>
      <c r="AK889" s="880">
        <v>-3.2460536455614426E-2</v>
      </c>
      <c r="AL889" s="749"/>
      <c r="AM889" s="880">
        <f t="shared" si="1067"/>
        <v>1.6709703380022208E-3</v>
      </c>
      <c r="AN889" s="749"/>
      <c r="AO889" s="749"/>
      <c r="AP889" s="749"/>
      <c r="AQ889" s="749"/>
      <c r="AR889" s="749"/>
      <c r="AS889" s="749"/>
      <c r="AT889" s="749"/>
    </row>
    <row r="890" spans="1:46" ht="12.75" customHeight="1">
      <c r="A890" s="714"/>
      <c r="B890" s="714"/>
      <c r="C890" s="822" t="s">
        <v>624</v>
      </c>
      <c r="D890" s="850" t="s">
        <v>592</v>
      </c>
      <c r="E890" s="851" t="s">
        <v>1529</v>
      </c>
      <c r="F890" s="852" t="s">
        <v>2064</v>
      </c>
      <c r="G890" s="881">
        <f ca="1">+G875/'VVP2'!G$355</f>
        <v>-4.2716010351610198E-2</v>
      </c>
      <c r="H890" s="881">
        <f>+H875/'VVP2'!H$355</f>
        <v>-3.7232150795767756E-2</v>
      </c>
      <c r="I890" s="881">
        <f>+I875/'VVP2'!I$355</f>
        <v>-4.7180870625002487E-2</v>
      </c>
      <c r="J890" s="881">
        <f>+J875/'VVP2'!J$355</f>
        <v>-4.3139653101885972E-2</v>
      </c>
      <c r="K890" s="881">
        <f>+K875/'VVP2'!K$355</f>
        <v>-4.8036245117227483E-2</v>
      </c>
      <c r="L890" s="881">
        <f>+L875/'VVP2'!L$355</f>
        <v>-3.8484714702852585E-2</v>
      </c>
      <c r="M890" s="881">
        <f>+M875/'VVP2'!M$355</f>
        <v>-3.9575466799905486E-2</v>
      </c>
      <c r="N890" s="881">
        <f>+N875/'VVP2'!N$355</f>
        <v>-5.8455980057084675E-2</v>
      </c>
      <c r="O890" s="881">
        <f>+O875/'VVP2'!O$355</f>
        <v>-5.5899361901240639E-2</v>
      </c>
      <c r="P890" s="881">
        <f>+P875/'VVP2'!P$355</f>
        <v>-4.4912336614544898E-2</v>
      </c>
      <c r="Q890" s="881">
        <f>+Q875/'VVP2'!Q$355</f>
        <v>-3.2896730713417976E-2</v>
      </c>
      <c r="R890" s="881">
        <f>+R875/'VVP2'!R$355</f>
        <v>-3.67832693171323E-2</v>
      </c>
      <c r="S890" s="881">
        <f>+S875/'VVP2'!S$355</f>
        <v>-3.7011422562280162E-2</v>
      </c>
      <c r="T890" s="881">
        <f>+T875/'VVP2'!T$355</f>
        <v>-9.8865776116818932E-3</v>
      </c>
      <c r="U890" s="881">
        <f>+U875/'VVP2'!U$355</f>
        <v>-7.3229312024074705E-3</v>
      </c>
      <c r="V890" s="881">
        <f>+V875/'VVP2'!V$355</f>
        <v>-3.6176614384258579E-2</v>
      </c>
      <c r="W890" s="881">
        <f>+W875/'VVP2'!W$355</f>
        <v>-1.3318164324887243E-3</v>
      </c>
      <c r="X890" s="2887">
        <f>+X875/'VVP2'!X$355</f>
        <v>-2.205134914803893E-2</v>
      </c>
      <c r="Y890" s="2887">
        <f>+Y875/'VVP2'!Y$355</f>
        <v>-1.1002197584848645E-2</v>
      </c>
      <c r="Z890" s="2887">
        <f>+Z875/'VVP2'!Z$355</f>
        <v>4.8455088109017452E-3</v>
      </c>
      <c r="AA890" s="2887">
        <f>+AA875/'VVP2'!AA$355</f>
        <v>4.0976017651507468E-3</v>
      </c>
      <c r="AB890" s="2887">
        <f>+AB875/'VVP2'!AB$355</f>
        <v>-2.0730488520935191E-3</v>
      </c>
      <c r="AC890" s="2887">
        <f ca="1">+AC875/'VVP2'!AC$355</f>
        <v>-6.8719839990576031E-3</v>
      </c>
      <c r="AD890" s="2887">
        <f ca="1">+AD875/'VVP2'!AD$355</f>
        <v>-7.470140981535079E-3</v>
      </c>
      <c r="AE890" s="2887">
        <f ca="1">+AE875/'VVP2'!AE$355</f>
        <v>-8.9267984269330528E-3</v>
      </c>
      <c r="AF890" s="749"/>
      <c r="AG890" s="749"/>
      <c r="AH890" s="749"/>
      <c r="AI890" s="749"/>
      <c r="AJ890" s="749"/>
      <c r="AK890" s="2887">
        <v>-3.2262374399311513E-3</v>
      </c>
      <c r="AL890" s="749"/>
      <c r="AM890" s="2887">
        <f t="shared" si="1067"/>
        <v>8.0717462508328973E-3</v>
      </c>
      <c r="AN890" s="749"/>
      <c r="AO890" s="749"/>
      <c r="AP890" s="749"/>
      <c r="AQ890" s="749"/>
      <c r="AR890" s="749"/>
      <c r="AS890" s="749"/>
      <c r="AT890" s="749"/>
    </row>
    <row r="891" spans="1:46" ht="30" customHeight="1">
      <c r="S891" s="2162"/>
      <c r="T891" s="2162"/>
      <c r="U891" s="2162"/>
      <c r="AF891" s="749"/>
      <c r="AG891" s="749"/>
      <c r="AH891" s="749"/>
      <c r="AI891" s="749"/>
      <c r="AJ891" s="749"/>
      <c r="AL891" s="749"/>
      <c r="AM891" s="2827">
        <f t="shared" si="1067"/>
        <v>0</v>
      </c>
      <c r="AN891" s="749"/>
      <c r="AO891" s="749"/>
      <c r="AP891" s="749"/>
      <c r="AQ891" s="749"/>
      <c r="AR891" s="749"/>
      <c r="AS891" s="749"/>
      <c r="AT891" s="749"/>
    </row>
    <row r="892" spans="1:46" ht="30" customHeight="1">
      <c r="S892" s="2162"/>
      <c r="T892" s="2162"/>
      <c r="U892" s="2239"/>
      <c r="X892" s="2269"/>
      <c r="Y892" s="2269"/>
      <c r="AF892" s="749"/>
      <c r="AG892" s="749"/>
      <c r="AH892" s="749"/>
      <c r="AI892" s="749"/>
      <c r="AJ892" s="749"/>
      <c r="AL892" s="749"/>
      <c r="AM892" s="2827">
        <f t="shared" si="1067"/>
        <v>0</v>
      </c>
      <c r="AN892" s="749"/>
      <c r="AO892" s="749"/>
      <c r="AP892" s="749"/>
      <c r="AQ892" s="749"/>
      <c r="AR892" s="749"/>
      <c r="AS892" s="749"/>
      <c r="AT892" s="749"/>
    </row>
    <row r="893" spans="1:46" ht="22.5" customHeight="1">
      <c r="A893" s="603"/>
      <c r="B893" s="603"/>
      <c r="C893" s="4124" t="s">
        <v>868</v>
      </c>
      <c r="D893" s="4124"/>
      <c r="E893" s="4124"/>
      <c r="F893" s="4124"/>
      <c r="S893" s="2162"/>
      <c r="T893" s="2239"/>
      <c r="U893" s="2162"/>
      <c r="X893" s="3360"/>
      <c r="Y893" s="3360"/>
      <c r="AF893" s="749"/>
      <c r="AG893" s="749"/>
      <c r="AH893" s="749"/>
      <c r="AI893" s="749"/>
      <c r="AJ893" s="749"/>
      <c r="AL893" s="749"/>
      <c r="AM893" s="2827">
        <f t="shared" si="1067"/>
        <v>0</v>
      </c>
      <c r="AN893" s="749"/>
      <c r="AO893" s="749"/>
      <c r="AP893" s="749"/>
      <c r="AQ893" s="749"/>
      <c r="AR893" s="749"/>
      <c r="AS893" s="749"/>
      <c r="AT893" s="749"/>
    </row>
    <row r="894" spans="1:46">
      <c r="AM894" s="2827">
        <f t="shared" si="1067"/>
        <v>0</v>
      </c>
    </row>
    <row r="895" spans="1:46" ht="12.75" customHeight="1">
      <c r="A895" s="714"/>
      <c r="B895" s="714"/>
      <c r="C895" s="822"/>
      <c r="D895" s="745"/>
      <c r="E895" s="746" t="s">
        <v>977</v>
      </c>
      <c r="F895" s="747"/>
      <c r="G895" s="748">
        <f>+InputY!$G$3</f>
        <v>1995</v>
      </c>
      <c r="H895" s="748">
        <f>+G895+1</f>
        <v>1996</v>
      </c>
      <c r="I895" s="748">
        <f t="shared" ref="I895:S895" si="1106">+H895+1</f>
        <v>1997</v>
      </c>
      <c r="J895" s="748">
        <f t="shared" si="1106"/>
        <v>1998</v>
      </c>
      <c r="K895" s="748">
        <f t="shared" si="1106"/>
        <v>1999</v>
      </c>
      <c r="L895" s="748">
        <f t="shared" si="1106"/>
        <v>2000</v>
      </c>
      <c r="M895" s="748">
        <f t="shared" si="1106"/>
        <v>2001</v>
      </c>
      <c r="N895" s="748">
        <f t="shared" si="1106"/>
        <v>2002</v>
      </c>
      <c r="O895" s="748">
        <f t="shared" si="1106"/>
        <v>2003</v>
      </c>
      <c r="P895" s="748">
        <f>+O895+1</f>
        <v>2004</v>
      </c>
      <c r="Q895" s="748">
        <f>+P895+1</f>
        <v>2005</v>
      </c>
      <c r="R895" s="748">
        <f>+Q895+1</f>
        <v>2006</v>
      </c>
      <c r="S895" s="2122">
        <f t="shared" si="1106"/>
        <v>2007</v>
      </c>
      <c r="T895" s="2122">
        <f t="shared" ref="T895:AE895" si="1107">+S895+1</f>
        <v>2008</v>
      </c>
      <c r="U895" s="2122">
        <f t="shared" si="1107"/>
        <v>2009</v>
      </c>
      <c r="V895" s="2122">
        <f t="shared" si="1107"/>
        <v>2010</v>
      </c>
      <c r="W895" s="2122">
        <f t="shared" si="1107"/>
        <v>2011</v>
      </c>
      <c r="X895" s="2122">
        <f t="shared" si="1107"/>
        <v>2012</v>
      </c>
      <c r="Y895" s="2122">
        <f t="shared" si="1107"/>
        <v>2013</v>
      </c>
      <c r="Z895" s="2122">
        <f t="shared" si="1107"/>
        <v>2014</v>
      </c>
      <c r="AA895" s="2122">
        <f t="shared" si="1107"/>
        <v>2015</v>
      </c>
      <c r="AB895" s="2122">
        <f t="shared" si="1107"/>
        <v>2016</v>
      </c>
      <c r="AC895" s="2122">
        <f t="shared" si="1107"/>
        <v>2017</v>
      </c>
      <c r="AD895" s="2122">
        <f t="shared" si="1107"/>
        <v>2018</v>
      </c>
      <c r="AE895" s="2122">
        <f t="shared" si="1107"/>
        <v>2019</v>
      </c>
      <c r="AF895" s="749"/>
      <c r="AG895" s="749"/>
      <c r="AH895" s="749"/>
      <c r="AI895" s="749"/>
      <c r="AJ895" s="749"/>
      <c r="AK895" s="2122">
        <v>2014</v>
      </c>
      <c r="AL895" s="749"/>
      <c r="AM895" s="2122">
        <f t="shared" si="1067"/>
        <v>0</v>
      </c>
      <c r="AN895" s="749"/>
      <c r="AO895" s="749"/>
      <c r="AP895" s="749"/>
      <c r="AQ895" s="749"/>
      <c r="AR895" s="749"/>
      <c r="AS895" s="749"/>
      <c r="AT895" s="749"/>
    </row>
    <row r="896" spans="1:46">
      <c r="C896" s="1261" t="s">
        <v>622</v>
      </c>
      <c r="D896" s="1262" t="s">
        <v>591</v>
      </c>
      <c r="E896" s="1263" t="s">
        <v>1702</v>
      </c>
      <c r="F896" s="1264" t="s">
        <v>910</v>
      </c>
      <c r="G896" s="1265">
        <f t="shared" ref="G896:W896" si="1108">+G874</f>
        <v>-9.39299999999999</v>
      </c>
      <c r="H896" s="3772">
        <f t="shared" si="1108"/>
        <v>-8.4894000000000069</v>
      </c>
      <c r="I896" s="3772">
        <f t="shared" si="1108"/>
        <v>-4.8017000000000154</v>
      </c>
      <c r="J896" s="3772">
        <f t="shared" si="1108"/>
        <v>-2.2229000000000005</v>
      </c>
      <c r="K896" s="3772">
        <f t="shared" si="1108"/>
        <v>-1.3454000000000077</v>
      </c>
      <c r="L896" s="3772">
        <f t="shared" si="1108"/>
        <v>-0.18569999999999087</v>
      </c>
      <c r="M896" s="3772">
        <f t="shared" si="1108"/>
        <v>0.45690000000001518</v>
      </c>
      <c r="N896" s="3772">
        <f t="shared" si="1108"/>
        <v>0.12460000000001958</v>
      </c>
      <c r="O896" s="3772">
        <f t="shared" si="1108"/>
        <v>-4.9773000000000165</v>
      </c>
      <c r="P896" s="3772">
        <f t="shared" si="1108"/>
        <v>-0.46859999999999857</v>
      </c>
      <c r="Q896" s="3772">
        <f t="shared" si="1108"/>
        <v>-8.6006000000000213</v>
      </c>
      <c r="R896" s="3772">
        <f t="shared" si="1108"/>
        <v>0.71650000000001768</v>
      </c>
      <c r="S896" s="3772">
        <f t="shared" si="1108"/>
        <v>0.22570000000000956</v>
      </c>
      <c r="T896" s="3772">
        <f t="shared" si="1108"/>
        <v>-3.9062000000000103</v>
      </c>
      <c r="U896" s="3772">
        <f t="shared" si="1108"/>
        <v>-18.775100000000027</v>
      </c>
      <c r="V896" s="3772">
        <f t="shared" si="1108"/>
        <v>-14.609099999999977</v>
      </c>
      <c r="W896" s="3772">
        <f t="shared" si="1108"/>
        <v>-15.651799999999987</v>
      </c>
      <c r="X896" s="3772">
        <f t="shared" ref="X896:AC896" si="1109">+X874</f>
        <v>-16.409399999999998</v>
      </c>
      <c r="Y896" s="3772">
        <f t="shared" si="1109"/>
        <v>-12.310200000000004</v>
      </c>
      <c r="Z896" s="3772">
        <f t="shared" si="1109"/>
        <v>-12.324699999999979</v>
      </c>
      <c r="AA896" s="3777">
        <f t="shared" si="1109"/>
        <v>-10.179399999999992</v>
      </c>
      <c r="AB896" s="3777">
        <f t="shared" si="1109"/>
        <v>-10.492300000000027</v>
      </c>
      <c r="AC896" s="3777">
        <f t="shared" si="1109"/>
        <v>-4.5226000000000059</v>
      </c>
      <c r="AD896" s="3777">
        <f t="shared" ref="AD896" ca="1" si="1110">+AD874</f>
        <v>-4.9425568757195668</v>
      </c>
      <c r="AE896" s="3777">
        <f t="shared" ref="AE896" ca="1" si="1111">+AE874</f>
        <v>-6.281124823636886</v>
      </c>
      <c r="AF896" s="749"/>
      <c r="AG896" s="749"/>
      <c r="AH896" s="749"/>
      <c r="AI896" s="749"/>
      <c r="AJ896" s="749"/>
      <c r="AK896" s="3772">
        <v>-13.057900000000016</v>
      </c>
      <c r="AL896" s="749"/>
      <c r="AM896" s="3772">
        <f t="shared" si="1067"/>
        <v>0.73320000000003738</v>
      </c>
      <c r="AN896" s="749"/>
      <c r="AO896" s="749"/>
      <c r="AP896" s="749"/>
      <c r="AQ896" s="749"/>
      <c r="AR896" s="749"/>
      <c r="AS896" s="749"/>
      <c r="AT896" s="749"/>
    </row>
    <row r="897" spans="1:46">
      <c r="C897" s="1266" t="s">
        <v>622</v>
      </c>
      <c r="D897" s="1267" t="s">
        <v>591</v>
      </c>
      <c r="E897" s="1268" t="s">
        <v>965</v>
      </c>
      <c r="F897" s="1269" t="s">
        <v>966</v>
      </c>
      <c r="G897" s="1268">
        <f t="shared" ref="G897:AD897" si="1112">+G256</f>
        <v>-0.45749999999999957</v>
      </c>
      <c r="H897" s="3773">
        <f t="shared" si="1112"/>
        <v>0</v>
      </c>
      <c r="I897" s="3773">
        <f t="shared" si="1112"/>
        <v>0</v>
      </c>
      <c r="J897" s="3773">
        <f t="shared" si="1112"/>
        <v>0</v>
      </c>
      <c r="K897" s="3773">
        <f t="shared" si="1112"/>
        <v>0</v>
      </c>
      <c r="L897" s="3773">
        <f t="shared" si="1112"/>
        <v>0</v>
      </c>
      <c r="M897" s="3773">
        <f t="shared" si="1112"/>
        <v>0</v>
      </c>
      <c r="N897" s="3773">
        <f t="shared" si="1112"/>
        <v>0</v>
      </c>
      <c r="O897" s="3773">
        <f t="shared" si="1112"/>
        <v>0</v>
      </c>
      <c r="P897" s="3773">
        <f t="shared" si="1112"/>
        <v>0</v>
      </c>
      <c r="Q897" s="3773">
        <f t="shared" si="1112"/>
        <v>0</v>
      </c>
      <c r="R897" s="3773">
        <f t="shared" si="1112"/>
        <v>0</v>
      </c>
      <c r="S897" s="3773">
        <f t="shared" si="1112"/>
        <v>0</v>
      </c>
      <c r="T897" s="3773">
        <f t="shared" si="1112"/>
        <v>0</v>
      </c>
      <c r="U897" s="3773">
        <f t="shared" si="1112"/>
        <v>0</v>
      </c>
      <c r="V897" s="3773">
        <f t="shared" si="1112"/>
        <v>0</v>
      </c>
      <c r="W897" s="3773">
        <f t="shared" si="1112"/>
        <v>0</v>
      </c>
      <c r="X897" s="3773">
        <f t="shared" si="1112"/>
        <v>0</v>
      </c>
      <c r="Y897" s="3773">
        <f t="shared" si="1112"/>
        <v>0</v>
      </c>
      <c r="Z897" s="3773">
        <f t="shared" si="1112"/>
        <v>0</v>
      </c>
      <c r="AA897" s="1268">
        <f t="shared" si="1112"/>
        <v>0</v>
      </c>
      <c r="AB897" s="1268">
        <f t="shared" si="1112"/>
        <v>0</v>
      </c>
      <c r="AC897" s="1268">
        <f t="shared" si="1112"/>
        <v>0</v>
      </c>
      <c r="AD897" s="1268">
        <f t="shared" si="1112"/>
        <v>0</v>
      </c>
      <c r="AE897" s="1268">
        <f t="shared" ref="AE897" si="1113">+AE256</f>
        <v>0</v>
      </c>
      <c r="AF897" s="749"/>
      <c r="AG897" s="749"/>
      <c r="AH897" s="749"/>
      <c r="AI897" s="749"/>
      <c r="AJ897" s="749"/>
      <c r="AK897" s="3773">
        <v>0</v>
      </c>
      <c r="AL897" s="749"/>
      <c r="AM897" s="3773">
        <f t="shared" si="1067"/>
        <v>0</v>
      </c>
      <c r="AN897" s="749"/>
      <c r="AO897" s="749"/>
      <c r="AP897" s="749"/>
      <c r="AQ897" s="749"/>
      <c r="AR897" s="749"/>
      <c r="AS897" s="749"/>
      <c r="AT897" s="749"/>
    </row>
    <row r="898" spans="1:46">
      <c r="B898" s="713">
        <v>137</v>
      </c>
      <c r="C898" s="744" t="s">
        <v>624</v>
      </c>
      <c r="D898" s="817" t="s">
        <v>591</v>
      </c>
      <c r="E898" s="1258" t="s">
        <v>1703</v>
      </c>
      <c r="F898" s="819" t="s">
        <v>1710</v>
      </c>
      <c r="G898" s="1259">
        <f>+G896+G897</f>
        <v>-9.8504999999999896</v>
      </c>
      <c r="H898" s="3324">
        <f t="shared" ref="H898:W898" si="1114">+H896+H897</f>
        <v>-8.4894000000000069</v>
      </c>
      <c r="I898" s="3324">
        <f t="shared" si="1114"/>
        <v>-4.8017000000000154</v>
      </c>
      <c r="J898" s="3324">
        <f t="shared" si="1114"/>
        <v>-2.2229000000000005</v>
      </c>
      <c r="K898" s="3324">
        <f t="shared" si="1114"/>
        <v>-1.3454000000000077</v>
      </c>
      <c r="L898" s="3324">
        <f t="shared" si="1114"/>
        <v>-0.18569999999999087</v>
      </c>
      <c r="M898" s="3324">
        <f t="shared" si="1114"/>
        <v>0.45690000000001518</v>
      </c>
      <c r="N898" s="3324">
        <f t="shared" si="1114"/>
        <v>0.12460000000001958</v>
      </c>
      <c r="O898" s="3324">
        <f t="shared" si="1114"/>
        <v>-4.9773000000000165</v>
      </c>
      <c r="P898" s="3324">
        <f t="shared" si="1114"/>
        <v>-0.46859999999999857</v>
      </c>
      <c r="Q898" s="3324">
        <f t="shared" si="1114"/>
        <v>-8.6006000000000213</v>
      </c>
      <c r="R898" s="3324">
        <f t="shared" si="1114"/>
        <v>0.71650000000001768</v>
      </c>
      <c r="S898" s="3324">
        <f t="shared" si="1114"/>
        <v>0.22570000000000956</v>
      </c>
      <c r="T898" s="3324">
        <f t="shared" si="1114"/>
        <v>-3.9062000000000103</v>
      </c>
      <c r="U898" s="3324">
        <f t="shared" si="1114"/>
        <v>-18.775100000000027</v>
      </c>
      <c r="V898" s="3324">
        <f t="shared" si="1114"/>
        <v>-14.609099999999977</v>
      </c>
      <c r="W898" s="3324">
        <f t="shared" si="1114"/>
        <v>-15.651799999999987</v>
      </c>
      <c r="X898" s="3324">
        <f t="shared" ref="X898:AC898" si="1115">+X896+X897</f>
        <v>-16.409399999999998</v>
      </c>
      <c r="Y898" s="3324">
        <f t="shared" si="1115"/>
        <v>-12.310200000000004</v>
      </c>
      <c r="Z898" s="3324">
        <f t="shared" si="1115"/>
        <v>-12.324699999999979</v>
      </c>
      <c r="AA898" s="3422">
        <f t="shared" si="1115"/>
        <v>-10.179399999999992</v>
      </c>
      <c r="AB898" s="3422">
        <f t="shared" si="1115"/>
        <v>-10.492300000000027</v>
      </c>
      <c r="AC898" s="3422">
        <f t="shared" si="1115"/>
        <v>-4.5226000000000059</v>
      </c>
      <c r="AD898" s="3422">
        <f t="shared" ref="AD898" ca="1" si="1116">+AD896+AD897</f>
        <v>-4.9425568757195668</v>
      </c>
      <c r="AE898" s="3422">
        <f t="shared" ref="AE898" ca="1" si="1117">+AE896+AE897</f>
        <v>-6.281124823636886</v>
      </c>
      <c r="AI898" s="749"/>
      <c r="AJ898" s="749"/>
      <c r="AK898" s="3324">
        <v>-13.057900000000016</v>
      </c>
      <c r="AL898" s="749"/>
      <c r="AM898" s="3324">
        <f t="shared" si="1067"/>
        <v>0.73320000000003738</v>
      </c>
      <c r="AN898" s="749"/>
      <c r="AO898" s="749"/>
      <c r="AP898" s="749"/>
      <c r="AQ898" s="749"/>
      <c r="AR898" s="749"/>
      <c r="AS898" s="749"/>
      <c r="AT898" s="749"/>
    </row>
    <row r="899" spans="1:46">
      <c r="Q899" s="749"/>
      <c r="R899" s="749"/>
      <c r="S899" s="2162"/>
      <c r="T899" s="2162"/>
      <c r="U899" s="2162"/>
      <c r="V899" s="2162"/>
      <c r="W899" s="2162"/>
      <c r="X899" s="2162"/>
      <c r="Y899" s="2162"/>
      <c r="Z899" s="2162"/>
      <c r="AA899" s="2233">
        <f>AA970-AA1003+AA897-(AA698-AA699)</f>
        <v>-10.301300000000026</v>
      </c>
      <c r="AB899" s="2233">
        <f>AB970-AB1003+AB897-(AB698-AB699)</f>
        <v>-10.965699999999956</v>
      </c>
      <c r="AC899" s="2233">
        <f>AC970-AC1003+AC897-(AC698-AC699)</f>
        <v>-4.6868000000000194</v>
      </c>
      <c r="AD899" s="2233">
        <f ca="1">AD970-AD1003+AD897-(AD698-AD699)</f>
        <v>-5.1102603881316071</v>
      </c>
      <c r="AE899" s="2233">
        <f ca="1">AE970-AE1003+AE897-(AE698-AE699)</f>
        <v>-6.4536050351928793</v>
      </c>
      <c r="AI899" s="749"/>
      <c r="AJ899" s="749"/>
      <c r="AK899" s="2162"/>
      <c r="AL899" s="749"/>
      <c r="AM899" s="2162">
        <f t="shared" si="1067"/>
        <v>0</v>
      </c>
      <c r="AN899" s="749"/>
      <c r="AO899" s="749"/>
      <c r="AP899" s="749"/>
      <c r="AQ899" s="749"/>
      <c r="AR899" s="749"/>
      <c r="AS899" s="749"/>
      <c r="AT899" s="749"/>
    </row>
    <row r="900" spans="1:46" ht="12.75" customHeight="1">
      <c r="A900" s="714"/>
      <c r="B900" s="714"/>
      <c r="C900" s="822"/>
      <c r="D900" s="790"/>
      <c r="E900" s="791" t="s">
        <v>2084</v>
      </c>
      <c r="F900" s="792"/>
      <c r="G900" s="793">
        <f>+InputY!$G$3</f>
        <v>1995</v>
      </c>
      <c r="H900" s="793">
        <f>+G900+1</f>
        <v>1996</v>
      </c>
      <c r="I900" s="793">
        <f t="shared" ref="I900:S900" si="1118">+H900+1</f>
        <v>1997</v>
      </c>
      <c r="J900" s="793">
        <f t="shared" si="1118"/>
        <v>1998</v>
      </c>
      <c r="K900" s="793">
        <f t="shared" si="1118"/>
        <v>1999</v>
      </c>
      <c r="L900" s="793">
        <f t="shared" si="1118"/>
        <v>2000</v>
      </c>
      <c r="M900" s="793">
        <f t="shared" si="1118"/>
        <v>2001</v>
      </c>
      <c r="N900" s="793">
        <f t="shared" si="1118"/>
        <v>2002</v>
      </c>
      <c r="O900" s="793">
        <f t="shared" si="1118"/>
        <v>2003</v>
      </c>
      <c r="P900" s="793">
        <f>+O900+1</f>
        <v>2004</v>
      </c>
      <c r="Q900" s="793">
        <f>+P900+1</f>
        <v>2005</v>
      </c>
      <c r="R900" s="793">
        <f>+Q900+1</f>
        <v>2006</v>
      </c>
      <c r="S900" s="2126">
        <f t="shared" si="1118"/>
        <v>2007</v>
      </c>
      <c r="T900" s="2126">
        <f t="shared" ref="T900:AE900" si="1119">+S900+1</f>
        <v>2008</v>
      </c>
      <c r="U900" s="2126">
        <f t="shared" si="1119"/>
        <v>2009</v>
      </c>
      <c r="V900" s="2126">
        <f t="shared" si="1119"/>
        <v>2010</v>
      </c>
      <c r="W900" s="2126">
        <f t="shared" si="1119"/>
        <v>2011</v>
      </c>
      <c r="X900" s="2126">
        <f t="shared" si="1119"/>
        <v>2012</v>
      </c>
      <c r="Y900" s="2126">
        <f t="shared" si="1119"/>
        <v>2013</v>
      </c>
      <c r="Z900" s="2126">
        <f t="shared" si="1119"/>
        <v>2014</v>
      </c>
      <c r="AA900" s="2126">
        <f t="shared" si="1119"/>
        <v>2015</v>
      </c>
      <c r="AB900" s="2126">
        <f t="shared" si="1119"/>
        <v>2016</v>
      </c>
      <c r="AC900" s="2126">
        <f t="shared" si="1119"/>
        <v>2017</v>
      </c>
      <c r="AD900" s="2126">
        <f t="shared" si="1119"/>
        <v>2018</v>
      </c>
      <c r="AE900" s="2126">
        <f t="shared" si="1119"/>
        <v>2019</v>
      </c>
      <c r="AI900" s="749"/>
      <c r="AJ900" s="749"/>
      <c r="AK900" s="2126">
        <v>2014</v>
      </c>
      <c r="AL900" s="749"/>
      <c r="AM900" s="2126">
        <f t="shared" si="1067"/>
        <v>0</v>
      </c>
      <c r="AN900" s="749"/>
      <c r="AO900" s="749"/>
      <c r="AP900" s="749"/>
      <c r="AQ900" s="749"/>
      <c r="AR900" s="749"/>
      <c r="AS900" s="749"/>
      <c r="AT900" s="749"/>
    </row>
    <row r="901" spans="1:46" ht="12.75" customHeight="1">
      <c r="A901" s="714"/>
      <c r="B901" s="714"/>
      <c r="C901" s="839" t="s">
        <v>622</v>
      </c>
      <c r="D901" s="739" t="s">
        <v>591</v>
      </c>
      <c r="E901" s="787" t="s">
        <v>1702</v>
      </c>
      <c r="F901" s="782" t="s">
        <v>910</v>
      </c>
      <c r="G901" s="788"/>
      <c r="H901" s="788">
        <f>(H896/G896-1)*100</f>
        <v>-9.6199297349088049</v>
      </c>
      <c r="I901" s="788">
        <f t="shared" ref="I901:S901" si="1120">(I896/H896-1)*100</f>
        <v>-43.43887671684675</v>
      </c>
      <c r="J901" s="788">
        <f t="shared" si="1120"/>
        <v>-53.705979132390745</v>
      </c>
      <c r="K901" s="788">
        <f t="shared" si="1120"/>
        <v>-39.475459984704329</v>
      </c>
      <c r="L901" s="788">
        <f t="shared" si="1120"/>
        <v>-86.197413408652451</v>
      </c>
      <c r="M901" s="788">
        <f t="shared" si="1120"/>
        <v>-346.042003231038</v>
      </c>
      <c r="N901" s="788">
        <f t="shared" si="1120"/>
        <v>-72.729262420657605</v>
      </c>
      <c r="O901" s="788">
        <f t="shared" si="1120"/>
        <v>-4094.6227929367851</v>
      </c>
      <c r="P901" s="788">
        <f t="shared" si="1120"/>
        <v>-90.585257067084626</v>
      </c>
      <c r="Q901" s="788">
        <f t="shared" si="1120"/>
        <v>1735.3819889031256</v>
      </c>
      <c r="R901" s="788">
        <f t="shared" si="1120"/>
        <v>-108.33081412924699</v>
      </c>
      <c r="S901" s="788">
        <f t="shared" si="1120"/>
        <v>-68.499651081646334</v>
      </c>
      <c r="T901" s="788">
        <f t="shared" ref="T901:Z903" si="1121">(T896/S896-1)*100</f>
        <v>-1830.7044749667014</v>
      </c>
      <c r="U901" s="788">
        <f t="shared" si="1121"/>
        <v>380.64871230351696</v>
      </c>
      <c r="V901" s="788">
        <f t="shared" si="1121"/>
        <v>-22.188963041475386</v>
      </c>
      <c r="W901" s="788">
        <f t="shared" si="1121"/>
        <v>7.1373322107454396</v>
      </c>
      <c r="X901" s="788">
        <f t="shared" si="1121"/>
        <v>4.8403378525154306</v>
      </c>
      <c r="Y901" s="788">
        <f t="shared" si="1121"/>
        <v>-24.980803685692322</v>
      </c>
      <c r="Z901" s="788">
        <f t="shared" si="1121"/>
        <v>0.1177885005928081</v>
      </c>
      <c r="AA901" s="2231">
        <f t="shared" ref="AA901:AE901" si="1122">(AA896/Z896-1)*100</f>
        <v>-17.406508880540628</v>
      </c>
      <c r="AB901" s="2231">
        <f t="shared" si="1122"/>
        <v>3.0738550405724707</v>
      </c>
      <c r="AC901" s="2231">
        <f t="shared" si="1122"/>
        <v>-56.896009454552441</v>
      </c>
      <c r="AD901" s="2231">
        <f t="shared" ca="1" si="1122"/>
        <v>9.2857399663812892</v>
      </c>
      <c r="AE901" s="2231">
        <f t="shared" ca="1" si="1122"/>
        <v>27.082499636839131</v>
      </c>
      <c r="AI901" s="749"/>
      <c r="AJ901" s="749"/>
      <c r="AK901" s="788">
        <v>13.208315993896736</v>
      </c>
      <c r="AL901" s="749"/>
      <c r="AM901" s="788">
        <f t="shared" si="1067"/>
        <v>-13.090527493303927</v>
      </c>
      <c r="AN901" s="749"/>
      <c r="AO901" s="749"/>
      <c r="AP901" s="749"/>
      <c r="AQ901" s="749"/>
      <c r="AR901" s="749"/>
      <c r="AS901" s="749"/>
      <c r="AT901" s="749"/>
    </row>
    <row r="902" spans="1:46" ht="12.75" customHeight="1">
      <c r="A902" s="714"/>
      <c r="B902" s="714"/>
      <c r="C902" s="841" t="s">
        <v>622</v>
      </c>
      <c r="D902" s="741" t="s">
        <v>591</v>
      </c>
      <c r="E902" s="842" t="s">
        <v>965</v>
      </c>
      <c r="F902" s="785" t="s">
        <v>966</v>
      </c>
      <c r="G902" s="789"/>
      <c r="H902" s="789"/>
      <c r="I902" s="789"/>
      <c r="J902" s="789"/>
      <c r="K902" s="789"/>
      <c r="L902" s="789"/>
      <c r="M902" s="789"/>
      <c r="N902" s="789"/>
      <c r="O902" s="789"/>
      <c r="P902" s="789"/>
      <c r="Q902" s="789"/>
      <c r="R902" s="789"/>
      <c r="S902" s="789"/>
      <c r="T902" s="789"/>
      <c r="U902" s="789"/>
      <c r="V902" s="789"/>
      <c r="W902" s="789"/>
      <c r="X902" s="789"/>
      <c r="Y902" s="789"/>
      <c r="Z902" s="789"/>
      <c r="AA902" s="2203"/>
      <c r="AB902" s="2203"/>
      <c r="AC902" s="2203"/>
      <c r="AD902" s="2203"/>
      <c r="AE902" s="2203"/>
      <c r="AI902" s="749"/>
      <c r="AJ902" s="749"/>
      <c r="AK902" s="789"/>
      <c r="AL902" s="749"/>
      <c r="AM902" s="789">
        <f t="shared" si="1067"/>
        <v>0</v>
      </c>
      <c r="AN902" s="749"/>
      <c r="AO902" s="749"/>
      <c r="AP902" s="749"/>
      <c r="AQ902" s="749"/>
      <c r="AR902" s="749"/>
      <c r="AS902" s="749"/>
      <c r="AT902" s="749"/>
    </row>
    <row r="903" spans="1:46" ht="12.75" customHeight="1">
      <c r="A903" s="714"/>
      <c r="B903" s="714"/>
      <c r="C903" s="822" t="s">
        <v>624</v>
      </c>
      <c r="D903" s="766" t="s">
        <v>591</v>
      </c>
      <c r="E903" s="771" t="s">
        <v>1703</v>
      </c>
      <c r="F903" s="772" t="s">
        <v>1710</v>
      </c>
      <c r="G903" s="770"/>
      <c r="H903" s="770">
        <f t="shared" ref="H903:AE903" si="1123">(H898/G898-1)*100</f>
        <v>-13.817572712044912</v>
      </c>
      <c r="I903" s="770">
        <f t="shared" si="1123"/>
        <v>-43.43887671684675</v>
      </c>
      <c r="J903" s="770">
        <f t="shared" si="1123"/>
        <v>-53.705979132390745</v>
      </c>
      <c r="K903" s="770">
        <f t="shared" si="1123"/>
        <v>-39.475459984704329</v>
      </c>
      <c r="L903" s="770">
        <f t="shared" si="1123"/>
        <v>-86.197413408652451</v>
      </c>
      <c r="M903" s="770">
        <f t="shared" si="1123"/>
        <v>-346.042003231038</v>
      </c>
      <c r="N903" s="770">
        <f t="shared" si="1123"/>
        <v>-72.729262420657605</v>
      </c>
      <c r="O903" s="770">
        <f t="shared" si="1123"/>
        <v>-4094.6227929367851</v>
      </c>
      <c r="P903" s="770">
        <f t="shared" si="1123"/>
        <v>-90.585257067084626</v>
      </c>
      <c r="Q903" s="770">
        <f>(Q898/P898-1)*100</f>
        <v>1735.3819889031256</v>
      </c>
      <c r="R903" s="770">
        <f>(R898/Q898-1)*100</f>
        <v>-108.33081412924699</v>
      </c>
      <c r="S903" s="770">
        <f>(S898/R898-1)*100</f>
        <v>-68.499651081646334</v>
      </c>
      <c r="T903" s="770">
        <f t="shared" si="1121"/>
        <v>-1830.7044749667014</v>
      </c>
      <c r="U903" s="770">
        <f t="shared" si="1121"/>
        <v>380.64871230351696</v>
      </c>
      <c r="V903" s="770">
        <f t="shared" si="1121"/>
        <v>-22.188963041475386</v>
      </c>
      <c r="W903" s="770">
        <f t="shared" si="1121"/>
        <v>7.1373322107454396</v>
      </c>
      <c r="X903" s="3882" t="s">
        <v>1999</v>
      </c>
      <c r="Y903" s="770">
        <f t="shared" si="1121"/>
        <v>-24.980803685692322</v>
      </c>
      <c r="Z903" s="770">
        <f t="shared" si="1121"/>
        <v>0.1177885005928081</v>
      </c>
      <c r="AA903" s="2223">
        <f t="shared" si="1123"/>
        <v>-17.406508880540628</v>
      </c>
      <c r="AB903" s="2223">
        <f t="shared" si="1123"/>
        <v>3.0738550405724707</v>
      </c>
      <c r="AC903" s="2223">
        <f t="shared" si="1123"/>
        <v>-56.896009454552441</v>
      </c>
      <c r="AD903" s="2223">
        <f t="shared" ca="1" si="1123"/>
        <v>9.2857399663812892</v>
      </c>
      <c r="AE903" s="2223">
        <f t="shared" ca="1" si="1123"/>
        <v>27.082499636839131</v>
      </c>
      <c r="AI903" s="749"/>
      <c r="AJ903" s="749"/>
      <c r="AK903" s="770">
        <v>13.208315993896736</v>
      </c>
      <c r="AL903" s="749"/>
      <c r="AM903" s="770">
        <f t="shared" si="1067"/>
        <v>-13.090527493303927</v>
      </c>
      <c r="AN903" s="749"/>
      <c r="AO903" s="749"/>
      <c r="AP903" s="749"/>
      <c r="AQ903" s="749"/>
      <c r="AR903" s="749"/>
      <c r="AS903" s="749"/>
      <c r="AT903" s="749"/>
    </row>
    <row r="904" spans="1:46">
      <c r="Q904" s="749"/>
      <c r="R904" s="749"/>
      <c r="S904" s="2162"/>
      <c r="T904" s="2162"/>
      <c r="U904" s="2162"/>
      <c r="V904" s="2162"/>
      <c r="W904" s="2162"/>
      <c r="X904" s="2162"/>
      <c r="Y904" s="2162"/>
      <c r="Z904" s="2162"/>
      <c r="AA904" s="2162"/>
      <c r="AB904" s="2162"/>
      <c r="AC904" s="2162"/>
      <c r="AD904" s="2162"/>
      <c r="AE904" s="2162"/>
      <c r="AI904" s="749"/>
      <c r="AJ904" s="749"/>
      <c r="AK904" s="2162"/>
      <c r="AL904" s="749"/>
      <c r="AM904" s="2162">
        <f t="shared" ref="AM904:AM967" si="1124">Z904-AK904</f>
        <v>0</v>
      </c>
      <c r="AN904" s="749"/>
      <c r="AO904" s="749"/>
      <c r="AP904" s="749"/>
      <c r="AQ904" s="749"/>
      <c r="AR904" s="749"/>
      <c r="AS904" s="749"/>
      <c r="AT904" s="749"/>
    </row>
    <row r="905" spans="1:46" ht="12.75" customHeight="1">
      <c r="A905" s="714"/>
      <c r="B905" s="714"/>
      <c r="C905" s="822"/>
      <c r="D905" s="862"/>
      <c r="E905" s="863" t="s">
        <v>1300</v>
      </c>
      <c r="F905" s="864"/>
      <c r="G905" s="865">
        <f>+InputY!$G$3</f>
        <v>1995</v>
      </c>
      <c r="H905" s="865">
        <f>+G905+1</f>
        <v>1996</v>
      </c>
      <c r="I905" s="865">
        <f t="shared" ref="I905:S905" si="1125">+H905+1</f>
        <v>1997</v>
      </c>
      <c r="J905" s="865">
        <f t="shared" si="1125"/>
        <v>1998</v>
      </c>
      <c r="K905" s="865">
        <f t="shared" si="1125"/>
        <v>1999</v>
      </c>
      <c r="L905" s="865">
        <f t="shared" si="1125"/>
        <v>2000</v>
      </c>
      <c r="M905" s="865">
        <f t="shared" si="1125"/>
        <v>2001</v>
      </c>
      <c r="N905" s="865">
        <f t="shared" si="1125"/>
        <v>2002</v>
      </c>
      <c r="O905" s="865">
        <f t="shared" si="1125"/>
        <v>2003</v>
      </c>
      <c r="P905" s="865">
        <f>+O905+1</f>
        <v>2004</v>
      </c>
      <c r="Q905" s="865">
        <f>+P905+1</f>
        <v>2005</v>
      </c>
      <c r="R905" s="865">
        <f>+Q905+1</f>
        <v>2006</v>
      </c>
      <c r="S905" s="2219">
        <f t="shared" si="1125"/>
        <v>2007</v>
      </c>
      <c r="T905" s="2219">
        <f t="shared" ref="T905:AE905" si="1126">+S905+1</f>
        <v>2008</v>
      </c>
      <c r="U905" s="2219">
        <f t="shared" si="1126"/>
        <v>2009</v>
      </c>
      <c r="V905" s="2219">
        <f t="shared" si="1126"/>
        <v>2010</v>
      </c>
      <c r="W905" s="2219">
        <f t="shared" si="1126"/>
        <v>2011</v>
      </c>
      <c r="X905" s="2219">
        <f t="shared" si="1126"/>
        <v>2012</v>
      </c>
      <c r="Y905" s="2219">
        <f t="shared" si="1126"/>
        <v>2013</v>
      </c>
      <c r="Z905" s="2219">
        <f t="shared" si="1126"/>
        <v>2014</v>
      </c>
      <c r="AA905" s="2219">
        <f t="shared" si="1126"/>
        <v>2015</v>
      </c>
      <c r="AB905" s="2219">
        <f t="shared" si="1126"/>
        <v>2016</v>
      </c>
      <c r="AC905" s="2219">
        <f t="shared" si="1126"/>
        <v>2017</v>
      </c>
      <c r="AD905" s="2219">
        <f t="shared" si="1126"/>
        <v>2018</v>
      </c>
      <c r="AE905" s="2219">
        <f t="shared" si="1126"/>
        <v>2019</v>
      </c>
      <c r="AI905" s="749"/>
      <c r="AJ905" s="749"/>
      <c r="AK905" s="2219">
        <v>2014</v>
      </c>
      <c r="AL905" s="749"/>
      <c r="AM905" s="2219">
        <f t="shared" si="1124"/>
        <v>0</v>
      </c>
      <c r="AN905" s="749"/>
      <c r="AO905" s="749"/>
      <c r="AP905" s="749"/>
      <c r="AQ905" s="749"/>
      <c r="AR905" s="749"/>
      <c r="AS905" s="749"/>
      <c r="AT905" s="749"/>
    </row>
    <row r="906" spans="1:46" ht="12.75" customHeight="1">
      <c r="A906" s="714"/>
      <c r="B906" s="714"/>
      <c r="C906" s="866" t="s">
        <v>622</v>
      </c>
      <c r="D906" s="867" t="s">
        <v>591</v>
      </c>
      <c r="E906" s="868" t="s">
        <v>1702</v>
      </c>
      <c r="F906" s="869" t="s">
        <v>910</v>
      </c>
      <c r="G906" s="878">
        <f ca="1">+G896/'VVP2'!G$355</f>
        <v>-4.4455319398667571E-2</v>
      </c>
      <c r="H906" s="878">
        <f>+H896/'VVP2'!H$355</f>
        <v>-3.9313261314128246E-2</v>
      </c>
      <c r="I906" s="878">
        <f>+I896/'VVP2'!I$355</f>
        <v>-2.1249403125300163E-2</v>
      </c>
      <c r="J906" s="878">
        <f>+J896/'VVP2'!J$355</f>
        <v>-9.4797381205818966E-3</v>
      </c>
      <c r="K906" s="878">
        <f>+K896/'VVP2'!K$355</f>
        <v>-5.5088319834907329E-3</v>
      </c>
      <c r="L906" s="878">
        <f>+L896/'VVP2'!L$355</f>
        <v>-7.1914863954268375E-4</v>
      </c>
      <c r="M906" s="878">
        <f>+M896/'VVP2'!M$355</f>
        <v>1.7190366471976021E-3</v>
      </c>
      <c r="N906" s="878">
        <f>+N896/'VVP2'!N$355</f>
        <v>4.5298367550088907E-4</v>
      </c>
      <c r="O906" s="878">
        <f>+O896/'VVP2'!O$355</f>
        <v>-1.7610252037511136E-2</v>
      </c>
      <c r="P906" s="878">
        <f>+P896/'VVP2'!P$355</f>
        <v>-1.5687414047299213E-3</v>
      </c>
      <c r="Q906" s="878">
        <f>+Q896/'VVP2'!Q$355</f>
        <v>-2.761197479908881E-2</v>
      </c>
      <c r="R906" s="878">
        <f>+R896/'VVP2'!R$355</f>
        <v>2.1933980097477417E-3</v>
      </c>
      <c r="S906" s="878">
        <f>+S896/'VVP2'!S$355</f>
        <v>6.5474852231935186E-4</v>
      </c>
      <c r="T906" s="878">
        <f>+T896/'VVP2'!T$355</f>
        <v>-1.1032409503428629E-2</v>
      </c>
      <c r="U906" s="878">
        <f>+U896/'VVP2'!U$355</f>
        <v>-5.3830611807807328E-2</v>
      </c>
      <c r="V906" s="878">
        <f>+V896/'VVP2'!V$355</f>
        <v>-4.0013913977110349E-2</v>
      </c>
      <c r="W906" s="878">
        <f>+W896/'VVP2'!W$355</f>
        <v>-4.1286045628890863E-2</v>
      </c>
      <c r="X906" s="3774">
        <f>+X896/'VVP2'!X$355</f>
        <v>-4.2346827781463793E-2</v>
      </c>
      <c r="Y906" s="3774">
        <f>+Y896/'VVP2'!Y$355</f>
        <v>-3.1376373235649312E-2</v>
      </c>
      <c r="Z906" s="3774">
        <f>+Z896/'VVP2'!Z$355</f>
        <v>-3.0789566117612206E-2</v>
      </c>
      <c r="AA906" s="3774">
        <f>+AA896/'VVP2'!AA$355</f>
        <v>-2.4801479015445049E-2</v>
      </c>
      <c r="AB906" s="2259">
        <f>+AB896/'VVP2'!AB$355</f>
        <v>-2.4801653900593943E-2</v>
      </c>
      <c r="AC906" s="2259">
        <f>+AC896/'VVP2'!AC$355</f>
        <v>-1.0314159265798629E-2</v>
      </c>
      <c r="AD906" s="2259">
        <f ca="1">+AD896/'VVP2'!AD$355</f>
        <v>-1.0901745760132395E-2</v>
      </c>
      <c r="AE906" s="2259">
        <f ca="1">+AE896/'VVP2'!AE$355</f>
        <v>-1.3391420342884945E-2</v>
      </c>
      <c r="AI906" s="749"/>
      <c r="AJ906" s="749"/>
      <c r="AK906" s="3774">
        <v>-3.2460536455614426E-2</v>
      </c>
      <c r="AL906" s="749"/>
      <c r="AM906" s="3774">
        <f t="shared" si="1124"/>
        <v>1.6709703380022208E-3</v>
      </c>
      <c r="AN906" s="749"/>
      <c r="AO906" s="749"/>
      <c r="AP906" s="749"/>
      <c r="AQ906" s="749"/>
      <c r="AR906" s="749"/>
      <c r="AS906" s="749"/>
      <c r="AT906" s="749"/>
    </row>
    <row r="907" spans="1:46" ht="12.75" customHeight="1" thickBot="1">
      <c r="A907" s="714"/>
      <c r="B907" s="714"/>
      <c r="C907" s="871" t="s">
        <v>622</v>
      </c>
      <c r="D907" s="872" t="s">
        <v>591</v>
      </c>
      <c r="E907" s="873" t="s">
        <v>965</v>
      </c>
      <c r="F907" s="874" t="s">
        <v>966</v>
      </c>
      <c r="G907" s="880">
        <f ca="1">+G897/'VVP2'!G$355</f>
        <v>-2.1652622830714806E-3</v>
      </c>
      <c r="H907" s="880">
        <f>+H897/'VVP2'!H$355</f>
        <v>0</v>
      </c>
      <c r="I907" s="880">
        <f>+I897/'VVP2'!I$355</f>
        <v>0</v>
      </c>
      <c r="J907" s="880">
        <f>+J897/'VVP2'!J$355</f>
        <v>0</v>
      </c>
      <c r="K907" s="880">
        <f>+K897/'VVP2'!K$355</f>
        <v>0</v>
      </c>
      <c r="L907" s="880">
        <f>+L897/'VVP2'!L$355</f>
        <v>0</v>
      </c>
      <c r="M907" s="880">
        <f>+M897/'VVP2'!M$355</f>
        <v>0</v>
      </c>
      <c r="N907" s="880">
        <f>+N897/'VVP2'!N$355</f>
        <v>0</v>
      </c>
      <c r="O907" s="880">
        <f>+O897/'VVP2'!O$355</f>
        <v>0</v>
      </c>
      <c r="P907" s="880">
        <f>+P897/'VVP2'!P$355</f>
        <v>0</v>
      </c>
      <c r="Q907" s="880">
        <f>+Q897/'VVP2'!Q$355</f>
        <v>0</v>
      </c>
      <c r="R907" s="880">
        <f>+R897/'VVP2'!R$355</f>
        <v>0</v>
      </c>
      <c r="S907" s="880">
        <f>+S897/'VVP2'!S$355</f>
        <v>0</v>
      </c>
      <c r="T907" s="3310">
        <f>+T897/'VVP2'!T$355</f>
        <v>0</v>
      </c>
      <c r="U907" s="3310">
        <f>+U897/'VVP2'!U$355</f>
        <v>0</v>
      </c>
      <c r="V907" s="3311">
        <f>+V897/'VVP2'!V$355</f>
        <v>0</v>
      </c>
      <c r="W907" s="3311">
        <f>+W897/'VVP2'!W$355</f>
        <v>0</v>
      </c>
      <c r="X907" s="3310">
        <f>+X897/'VVP2'!X$355</f>
        <v>0</v>
      </c>
      <c r="Y907" s="3310">
        <f>+Y897/'VVP2'!Y$355</f>
        <v>0</v>
      </c>
      <c r="Z907" s="3310">
        <f>+Z897/'VVP2'!Z$355</f>
        <v>0</v>
      </c>
      <c r="AA907" s="3310">
        <f>+AA897/'VVP2'!AA$355</f>
        <v>0</v>
      </c>
      <c r="AB907" s="3312">
        <f>+AB897/'VVP2'!AB$355</f>
        <v>0</v>
      </c>
      <c r="AC907" s="3312">
        <f>+AC897/'VVP2'!AC$355</f>
        <v>0</v>
      </c>
      <c r="AD907" s="3312">
        <f ca="1">+AD897/'VVP2'!AD$355</f>
        <v>0</v>
      </c>
      <c r="AE907" s="3312">
        <f ca="1">+AE897/'VVP2'!AE$355</f>
        <v>0</v>
      </c>
      <c r="AI907" s="749"/>
      <c r="AJ907" s="749"/>
      <c r="AK907" s="3310">
        <v>0</v>
      </c>
      <c r="AL907" s="749"/>
      <c r="AM907" s="3310">
        <f t="shared" si="1124"/>
        <v>0</v>
      </c>
      <c r="AN907" s="749"/>
      <c r="AO907" s="749"/>
      <c r="AP907" s="749"/>
      <c r="AQ907" s="749"/>
      <c r="AR907" s="749"/>
      <c r="AS907" s="749"/>
      <c r="AT907" s="749"/>
    </row>
    <row r="908" spans="1:46" ht="12.75" customHeight="1" thickBot="1">
      <c r="A908" s="714"/>
      <c r="B908" s="714"/>
      <c r="C908" s="822" t="s">
        <v>624</v>
      </c>
      <c r="D908" s="850" t="s">
        <v>591</v>
      </c>
      <c r="E908" s="851" t="s">
        <v>1703</v>
      </c>
      <c r="F908" s="852" t="s">
        <v>1710</v>
      </c>
      <c r="G908" s="881">
        <f ca="1">+G898/'VVP2'!G$355</f>
        <v>-4.6620581681739055E-2</v>
      </c>
      <c r="H908" s="881">
        <f>+H898/'VVP2'!H$355</f>
        <v>-3.9313261314128246E-2</v>
      </c>
      <c r="I908" s="881">
        <f>+I898/'VVP2'!I$355</f>
        <v>-2.1249403125300163E-2</v>
      </c>
      <c r="J908" s="881">
        <f>+J898/'VVP2'!J$355</f>
        <v>-9.4797381205818966E-3</v>
      </c>
      <c r="K908" s="881">
        <f>+K898/'VVP2'!K$355</f>
        <v>-5.5088319834907329E-3</v>
      </c>
      <c r="L908" s="881">
        <f>+L898/'VVP2'!L$355</f>
        <v>-7.1914863954268375E-4</v>
      </c>
      <c r="M908" s="881">
        <f>+M898/'VVP2'!M$355</f>
        <v>1.7190366471976021E-3</v>
      </c>
      <c r="N908" s="881">
        <f>+N898/'VVP2'!N$355</f>
        <v>4.5298367550088907E-4</v>
      </c>
      <c r="O908" s="881">
        <f>+O898/'VVP2'!O$355</f>
        <v>-1.7610252037511136E-2</v>
      </c>
      <c r="P908" s="881">
        <f>+P898/'VVP2'!P$355</f>
        <v>-1.5687414047299213E-3</v>
      </c>
      <c r="Q908" s="881">
        <f>+Q898/'VVP2'!Q$355</f>
        <v>-2.761197479908881E-2</v>
      </c>
      <c r="R908" s="881">
        <f>+R898/'VVP2'!R$355</f>
        <v>2.1933980097477417E-3</v>
      </c>
      <c r="S908" s="881">
        <f>+S898/'VVP2'!S$355</f>
        <v>6.5474852231935186E-4</v>
      </c>
      <c r="T908" s="3395">
        <f>+T898/'VVP2'!T$355</f>
        <v>-1.1032409503428629E-2</v>
      </c>
      <c r="U908" s="3395">
        <f>+U898/'VVP2'!U$355</f>
        <v>-5.3830611807807328E-2</v>
      </c>
      <c r="V908" s="3395">
        <f>+V898/'VVP2'!V$355</f>
        <v>-4.0013913977110349E-2</v>
      </c>
      <c r="W908" s="3395">
        <f>+W898/'VVP2'!W$355</f>
        <v>-4.1286045628890863E-2</v>
      </c>
      <c r="X908" s="3395">
        <f>+X898/'VVP2'!X$355</f>
        <v>-4.2346827781463793E-2</v>
      </c>
      <c r="Y908" s="3395">
        <f>+Y898/'VVP2'!Y$355</f>
        <v>-3.1376373235649312E-2</v>
      </c>
      <c r="Z908" s="3395">
        <f>+Z898/'VVP2'!Z$355</f>
        <v>-3.0789566117612206E-2</v>
      </c>
      <c r="AA908" s="3395">
        <f>+AA898/'VVP2'!AA$355</f>
        <v>-2.4801479015445049E-2</v>
      </c>
      <c r="AB908" s="3395">
        <f>+AB898/'VVP2'!AB$355</f>
        <v>-2.4801653900593943E-2</v>
      </c>
      <c r="AC908" s="3395">
        <f>+AC898/'VVP2'!AC$355</f>
        <v>-1.0314159265798629E-2</v>
      </c>
      <c r="AD908" s="3297">
        <f ca="1">+AD898/'VVP2'!AD$355</f>
        <v>-1.0901745760132395E-2</v>
      </c>
      <c r="AE908" s="3297">
        <f ca="1">+AE898/'VVP2'!AE$355</f>
        <v>-1.3391420342884945E-2</v>
      </c>
      <c r="AI908" s="749"/>
      <c r="AJ908" s="749"/>
      <c r="AK908" s="3395">
        <v>-3.2460536455614426E-2</v>
      </c>
      <c r="AL908" s="749"/>
      <c r="AM908" s="3395">
        <f t="shared" si="1124"/>
        <v>1.6709703380022208E-3</v>
      </c>
      <c r="AN908" s="749"/>
      <c r="AO908" s="749"/>
      <c r="AP908" s="749"/>
      <c r="AQ908" s="749"/>
      <c r="AR908" s="749"/>
      <c r="AS908" s="749"/>
      <c r="AT908" s="749"/>
    </row>
    <row r="909" spans="1:46" ht="30" customHeight="1">
      <c r="S909" s="2162"/>
      <c r="T909" s="2233"/>
      <c r="U909" s="2233"/>
      <c r="V909" s="2233"/>
      <c r="W909" s="2233"/>
      <c r="X909" s="3424"/>
      <c r="Y909" s="2233"/>
      <c r="Z909" s="2233"/>
      <c r="AA909" s="2233"/>
      <c r="AB909" s="2233"/>
      <c r="AC909" s="2233"/>
      <c r="AD909" s="2233"/>
      <c r="AE909" s="2233"/>
      <c r="AI909" s="749"/>
      <c r="AJ909" s="749"/>
      <c r="AK909" s="2233"/>
      <c r="AL909" s="749"/>
      <c r="AM909" s="2233">
        <f t="shared" si="1124"/>
        <v>0</v>
      </c>
      <c r="AN909" s="749"/>
      <c r="AO909" s="749"/>
      <c r="AP909" s="749"/>
      <c r="AQ909" s="749"/>
      <c r="AR909" s="749"/>
      <c r="AS909" s="749"/>
      <c r="AT909" s="749"/>
    </row>
    <row r="910" spans="1:46" ht="12.75" hidden="1" customHeight="1">
      <c r="A910" s="714"/>
      <c r="B910" s="714"/>
      <c r="C910" s="3704" t="s">
        <v>2461</v>
      </c>
      <c r="E910" s="3705" t="s">
        <v>2462</v>
      </c>
      <c r="S910" s="2162"/>
      <c r="T910" s="2218"/>
      <c r="U910" s="2162"/>
      <c r="AM910" s="2827">
        <f t="shared" si="1124"/>
        <v>0</v>
      </c>
    </row>
    <row r="911" spans="1:46" ht="12.75" hidden="1" customHeight="1">
      <c r="A911" s="714"/>
      <c r="B911" s="714"/>
      <c r="C911" s="3482"/>
      <c r="D911" s="3483"/>
      <c r="E911" s="3529" t="s">
        <v>2460</v>
      </c>
      <c r="F911" s="3484"/>
      <c r="G911" s="3485">
        <f>+InputY!$G$3</f>
        <v>1995</v>
      </c>
      <c r="H911" s="3485">
        <f>+G911+1</f>
        <v>1996</v>
      </c>
      <c r="I911" s="3485">
        <f t="shared" ref="I911" si="1127">+H911+1</f>
        <v>1997</v>
      </c>
      <c r="J911" s="3485">
        <f t="shared" ref="J911" si="1128">+I911+1</f>
        <v>1998</v>
      </c>
      <c r="K911" s="3485">
        <f t="shared" ref="K911" si="1129">+J911+1</f>
        <v>1999</v>
      </c>
      <c r="L911" s="3485">
        <f t="shared" ref="L911" si="1130">+K911+1</f>
        <v>2000</v>
      </c>
      <c r="M911" s="3485">
        <f t="shared" ref="M911" si="1131">+L911+1</f>
        <v>2001</v>
      </c>
      <c r="N911" s="3485">
        <f t="shared" ref="N911" si="1132">+M911+1</f>
        <v>2002</v>
      </c>
      <c r="O911" s="3485">
        <f t="shared" ref="O911" si="1133">+N911+1</f>
        <v>2003</v>
      </c>
      <c r="P911" s="3485">
        <f t="shared" ref="P911" si="1134">+O911+1</f>
        <v>2004</v>
      </c>
      <c r="Q911" s="3485">
        <f t="shared" ref="Q911" si="1135">+P911+1</f>
        <v>2005</v>
      </c>
      <c r="R911" s="3486">
        <f t="shared" ref="R911" si="1136">+Q911+1</f>
        <v>2006</v>
      </c>
      <c r="S911" s="3486">
        <f t="shared" ref="S911" si="1137">+R911+1</f>
        <v>2007</v>
      </c>
      <c r="T911" s="3486">
        <f t="shared" ref="T911" si="1138">+S911+1</f>
        <v>2008</v>
      </c>
      <c r="U911" s="3486">
        <f t="shared" ref="U911" si="1139">+T911+1</f>
        <v>2009</v>
      </c>
      <c r="V911" s="3486">
        <f t="shared" ref="V911" si="1140">+U911+1</f>
        <v>2010</v>
      </c>
      <c r="W911" s="3486">
        <f t="shared" ref="W911" si="1141">+V911+1</f>
        <v>2011</v>
      </c>
      <c r="X911" s="3486">
        <f t="shared" ref="X911" si="1142">+W911+1</f>
        <v>2012</v>
      </c>
      <c r="Y911" s="3486">
        <f t="shared" ref="Y911" si="1143">+X911+1</f>
        <v>2013</v>
      </c>
      <c r="Z911" s="3486">
        <f t="shared" ref="Z911" si="1144">+Y911+1</f>
        <v>2014</v>
      </c>
      <c r="AA911" s="3486">
        <f t="shared" ref="AA911:AE911" si="1145">+Z911+1</f>
        <v>2015</v>
      </c>
      <c r="AB911" s="3486">
        <f t="shared" si="1145"/>
        <v>2016</v>
      </c>
      <c r="AC911" s="3486">
        <f t="shared" si="1145"/>
        <v>2017</v>
      </c>
      <c r="AD911" s="3486">
        <f t="shared" si="1145"/>
        <v>2018</v>
      </c>
      <c r="AE911" s="3486">
        <f t="shared" si="1145"/>
        <v>2019</v>
      </c>
      <c r="AK911" s="3486">
        <v>2014</v>
      </c>
      <c r="AM911" s="3486">
        <f t="shared" si="1124"/>
        <v>0</v>
      </c>
    </row>
    <row r="912" spans="1:46" ht="12.75" hidden="1" customHeight="1">
      <c r="A912" s="714"/>
      <c r="B912" s="714"/>
      <c r="C912" s="3552" t="s">
        <v>622</v>
      </c>
      <c r="D912" s="3627" t="s">
        <v>591</v>
      </c>
      <c r="E912" s="3628" t="s">
        <v>2447</v>
      </c>
      <c r="F912" s="3554"/>
      <c r="G912" s="3555"/>
      <c r="H912" s="3555"/>
      <c r="I912" s="3555"/>
      <c r="J912" s="3555"/>
      <c r="K912" s="3555"/>
      <c r="L912" s="3555"/>
      <c r="M912" s="3555"/>
      <c r="N912" s="3555"/>
      <c r="O912" s="3555"/>
      <c r="P912" s="3555"/>
      <c r="Q912" s="3555"/>
      <c r="R912" s="3555"/>
      <c r="S912" s="3555"/>
      <c r="T912" s="3555"/>
      <c r="U912" s="3555"/>
      <c r="V912" s="3555"/>
      <c r="W912" s="3555"/>
      <c r="X912" s="3555"/>
      <c r="Y912" s="3629">
        <f>Y919-Y913-Y915-Y916-Y918</f>
        <v>-11.510200000000005</v>
      </c>
      <c r="Z912" s="3629">
        <f t="shared" ref="Z912:AA912" si="1146">Z919-Z913-Z915-Z916-Z918</f>
        <v>-11.724699999999979</v>
      </c>
      <c r="AA912" s="3629">
        <f t="shared" si="1146"/>
        <v>-9.5793999999999926</v>
      </c>
      <c r="AB912" s="3629">
        <f t="shared" ref="AB912:AC912" si="1147">AB919-AB913-AB915-AB916-AB918</f>
        <v>-9.8923000000000272</v>
      </c>
      <c r="AC912" s="3629">
        <f t="shared" si="1147"/>
        <v>-3.9226000000000059</v>
      </c>
      <c r="AD912" s="3629">
        <f t="shared" ref="AD912" ca="1" si="1148">AD919-AD913-AD915-AD916-AD918</f>
        <v>-4.3425568757195672</v>
      </c>
      <c r="AE912" s="3629">
        <f t="shared" ref="AE912" ca="1" si="1149">AE919-AE913-AE915-AE916-AE918</f>
        <v>-5.6811248236368863</v>
      </c>
      <c r="AK912" s="3629">
        <v>-12.457900000000016</v>
      </c>
      <c r="AM912" s="3629">
        <f t="shared" si="1124"/>
        <v>0.73320000000003738</v>
      </c>
    </row>
    <row r="913" spans="1:46" ht="12.75" hidden="1" customHeight="1">
      <c r="A913" s="714"/>
      <c r="B913" s="714"/>
      <c r="C913" s="3493" t="s">
        <v>622</v>
      </c>
      <c r="D913" s="3494" t="s">
        <v>591</v>
      </c>
      <c r="E913" s="3630" t="s">
        <v>2454</v>
      </c>
      <c r="F913" s="3496"/>
      <c r="G913" s="3499"/>
      <c r="H913" s="3499"/>
      <c r="I913" s="3499"/>
      <c r="J913" s="3499"/>
      <c r="K913" s="3499"/>
      <c r="L913" s="3499"/>
      <c r="M913" s="3499"/>
      <c r="N913" s="3499"/>
      <c r="O913" s="3499"/>
      <c r="P913" s="3499"/>
      <c r="Q913" s="3499"/>
      <c r="R913" s="3499"/>
      <c r="S913" s="3499"/>
      <c r="T913" s="3499"/>
      <c r="U913" s="3499"/>
      <c r="V913" s="3499"/>
      <c r="W913" s="3499"/>
      <c r="X913" s="3499"/>
      <c r="Y913" s="3684"/>
      <c r="Z913" s="3684"/>
      <c r="AA913" s="3684"/>
      <c r="AB913" s="3684"/>
      <c r="AC913" s="3684"/>
      <c r="AD913" s="3684"/>
      <c r="AE913" s="3684"/>
      <c r="AK913" s="3684"/>
      <c r="AM913" s="3684">
        <f t="shared" si="1124"/>
        <v>0</v>
      </c>
    </row>
    <row r="914" spans="1:46" ht="12.75" hidden="1" customHeight="1">
      <c r="A914" s="714"/>
      <c r="B914" s="714"/>
      <c r="C914" s="3634" t="s">
        <v>2449</v>
      </c>
      <c r="D914" s="3635" t="s">
        <v>591</v>
      </c>
      <c r="E914" s="3635" t="s">
        <v>2450</v>
      </c>
      <c r="F914" s="3635"/>
      <c r="G914" s="3635">
        <f t="shared" ref="G914:X914" si="1150">G912+G913</f>
        <v>0</v>
      </c>
      <c r="H914" s="3635">
        <f t="shared" si="1150"/>
        <v>0</v>
      </c>
      <c r="I914" s="3635">
        <f t="shared" si="1150"/>
        <v>0</v>
      </c>
      <c r="J914" s="3635">
        <f t="shared" si="1150"/>
        <v>0</v>
      </c>
      <c r="K914" s="3635">
        <f t="shared" si="1150"/>
        <v>0</v>
      </c>
      <c r="L914" s="3635">
        <f t="shared" si="1150"/>
        <v>0</v>
      </c>
      <c r="M914" s="3635">
        <f t="shared" si="1150"/>
        <v>0</v>
      </c>
      <c r="N914" s="3635">
        <f t="shared" si="1150"/>
        <v>0</v>
      </c>
      <c r="O914" s="3635">
        <f t="shared" si="1150"/>
        <v>0</v>
      </c>
      <c r="P914" s="3635">
        <f t="shared" si="1150"/>
        <v>0</v>
      </c>
      <c r="Q914" s="3635">
        <f t="shared" si="1150"/>
        <v>0</v>
      </c>
      <c r="R914" s="3635">
        <f t="shared" si="1150"/>
        <v>0</v>
      </c>
      <c r="S914" s="3635">
        <f t="shared" si="1150"/>
        <v>0</v>
      </c>
      <c r="T914" s="3635">
        <f t="shared" si="1150"/>
        <v>0</v>
      </c>
      <c r="U914" s="3635">
        <f t="shared" si="1150"/>
        <v>0</v>
      </c>
      <c r="V914" s="3635">
        <f t="shared" si="1150"/>
        <v>0</v>
      </c>
      <c r="W914" s="3635">
        <f t="shared" si="1150"/>
        <v>0</v>
      </c>
      <c r="X914" s="3635">
        <f t="shared" si="1150"/>
        <v>0</v>
      </c>
      <c r="Y914" s="3686">
        <f t="shared" ref="Y914:AA914" si="1151">Y912+Y913</f>
        <v>-11.510200000000005</v>
      </c>
      <c r="Z914" s="3686">
        <f t="shared" si="1151"/>
        <v>-11.724699999999979</v>
      </c>
      <c r="AA914" s="3686">
        <f t="shared" si="1151"/>
        <v>-9.5793999999999926</v>
      </c>
      <c r="AB914" s="3686">
        <f t="shared" ref="AB914:AC914" si="1152">AB912+AB913</f>
        <v>-9.8923000000000272</v>
      </c>
      <c r="AC914" s="3686">
        <f t="shared" si="1152"/>
        <v>-3.9226000000000059</v>
      </c>
      <c r="AD914" s="3686">
        <f t="shared" ref="AD914" ca="1" si="1153">AD912+AD913</f>
        <v>-4.3425568757195672</v>
      </c>
      <c r="AE914" s="3686">
        <f t="shared" ref="AE914" ca="1" si="1154">AE912+AE913</f>
        <v>-5.6811248236368863</v>
      </c>
      <c r="AK914" s="3686">
        <v>-12.457900000000016</v>
      </c>
      <c r="AM914" s="3686">
        <f t="shared" si="1124"/>
        <v>0.73320000000003738</v>
      </c>
    </row>
    <row r="915" spans="1:46" ht="12.75" hidden="1" customHeight="1">
      <c r="A915" s="714"/>
      <c r="B915" s="714"/>
      <c r="C915" s="3493"/>
      <c r="D915" s="3494" t="s">
        <v>591</v>
      </c>
      <c r="E915" s="3630" t="s">
        <v>2453</v>
      </c>
      <c r="F915" s="3496"/>
      <c r="G915" s="3499"/>
      <c r="H915" s="3499"/>
      <c r="I915" s="3499"/>
      <c r="J915" s="3499"/>
      <c r="K915" s="3499"/>
      <c r="L915" s="3499"/>
      <c r="M915" s="3499"/>
      <c r="N915" s="3499"/>
      <c r="O915" s="3499"/>
      <c r="P915" s="3499"/>
      <c r="Q915" s="3499"/>
      <c r="R915" s="3499"/>
      <c r="S915" s="3499"/>
      <c r="T915" s="3499"/>
      <c r="U915" s="3499"/>
      <c r="V915" s="3499"/>
      <c r="W915" s="3499"/>
      <c r="X915" s="3499"/>
      <c r="Y915" s="3684">
        <v>-0.6</v>
      </c>
      <c r="Z915" s="3684">
        <v>-0.6</v>
      </c>
      <c r="AA915" s="3684">
        <v>-0.6</v>
      </c>
      <c r="AB915" s="3684">
        <v>-0.6</v>
      </c>
      <c r="AC915" s="3684">
        <v>-0.6</v>
      </c>
      <c r="AD915" s="3684">
        <v>-0.6</v>
      </c>
      <c r="AE915" s="3684">
        <v>-0.6</v>
      </c>
      <c r="AK915" s="3684">
        <v>-0.6</v>
      </c>
      <c r="AM915" s="3684">
        <f t="shared" si="1124"/>
        <v>0</v>
      </c>
    </row>
    <row r="916" spans="1:46" ht="12.75" hidden="1" customHeight="1">
      <c r="A916" s="714"/>
      <c r="B916" s="714"/>
      <c r="C916" s="3493" t="s">
        <v>622</v>
      </c>
      <c r="D916" s="3494" t="s">
        <v>591</v>
      </c>
      <c r="E916" s="3637" t="s">
        <v>2451</v>
      </c>
      <c r="F916" s="3499"/>
      <c r="G916" s="3499"/>
      <c r="H916" s="3499"/>
      <c r="I916" s="3499"/>
      <c r="J916" s="3499"/>
      <c r="K916" s="3499"/>
      <c r="L916" s="3499"/>
      <c r="M916" s="3499"/>
      <c r="N916" s="3499"/>
      <c r="O916" s="3499"/>
      <c r="P916" s="3499"/>
      <c r="Q916" s="3499"/>
      <c r="R916" s="3499"/>
      <c r="S916" s="3499"/>
      <c r="T916" s="3499"/>
      <c r="U916" s="3499"/>
      <c r="V916" s="3499"/>
      <c r="W916" s="3499"/>
      <c r="X916" s="3499"/>
      <c r="Y916" s="3684">
        <v>-0.2</v>
      </c>
      <c r="Z916" s="3684">
        <v>0</v>
      </c>
      <c r="AA916" s="3684">
        <v>0</v>
      </c>
      <c r="AB916" s="3684">
        <v>0</v>
      </c>
      <c r="AC916" s="3684">
        <v>0</v>
      </c>
      <c r="AD916" s="3684">
        <v>0</v>
      </c>
      <c r="AE916" s="3684">
        <v>0</v>
      </c>
      <c r="AK916" s="3684">
        <v>0</v>
      </c>
      <c r="AM916" s="3684">
        <f t="shared" si="1124"/>
        <v>0</v>
      </c>
    </row>
    <row r="917" spans="1:46" ht="12.75" hidden="1" customHeight="1">
      <c r="A917" s="714"/>
      <c r="B917" s="714"/>
      <c r="C917" s="3634" t="s">
        <v>2449</v>
      </c>
      <c r="D917" s="3635" t="s">
        <v>591</v>
      </c>
      <c r="E917" s="3635" t="s">
        <v>2452</v>
      </c>
      <c r="F917" s="3635"/>
      <c r="G917" s="3635">
        <f t="shared" ref="G917:W917" si="1155">G915+G916</f>
        <v>0</v>
      </c>
      <c r="H917" s="3635">
        <f t="shared" si="1155"/>
        <v>0</v>
      </c>
      <c r="I917" s="3635">
        <f t="shared" si="1155"/>
        <v>0</v>
      </c>
      <c r="J917" s="3635">
        <f t="shared" si="1155"/>
        <v>0</v>
      </c>
      <c r="K917" s="3635">
        <f t="shared" si="1155"/>
        <v>0</v>
      </c>
      <c r="L917" s="3635">
        <f t="shared" si="1155"/>
        <v>0</v>
      </c>
      <c r="M917" s="3635">
        <f t="shared" si="1155"/>
        <v>0</v>
      </c>
      <c r="N917" s="3635">
        <f t="shared" si="1155"/>
        <v>0</v>
      </c>
      <c r="O917" s="3635">
        <f t="shared" si="1155"/>
        <v>0</v>
      </c>
      <c r="P917" s="3635">
        <f t="shared" si="1155"/>
        <v>0</v>
      </c>
      <c r="Q917" s="3635">
        <f t="shared" si="1155"/>
        <v>0</v>
      </c>
      <c r="R917" s="3635">
        <f t="shared" si="1155"/>
        <v>0</v>
      </c>
      <c r="S917" s="3635">
        <f t="shared" si="1155"/>
        <v>0</v>
      </c>
      <c r="T917" s="3635">
        <f t="shared" si="1155"/>
        <v>0</v>
      </c>
      <c r="U917" s="3635">
        <f t="shared" si="1155"/>
        <v>0</v>
      </c>
      <c r="V917" s="3635">
        <f t="shared" si="1155"/>
        <v>0</v>
      </c>
      <c r="W917" s="3635">
        <f t="shared" si="1155"/>
        <v>0</v>
      </c>
      <c r="X917" s="3635">
        <f>X915+X916</f>
        <v>0</v>
      </c>
      <c r="Y917" s="3686">
        <f>Y915+Y916</f>
        <v>-0.8</v>
      </c>
      <c r="Z917" s="3686">
        <f t="shared" ref="Z917:AA917" si="1156">Z915+Z916</f>
        <v>-0.6</v>
      </c>
      <c r="AA917" s="3686">
        <f t="shared" si="1156"/>
        <v>-0.6</v>
      </c>
      <c r="AB917" s="3686">
        <f t="shared" ref="AB917:AC917" si="1157">AB915+AB916</f>
        <v>-0.6</v>
      </c>
      <c r="AC917" s="3686">
        <f t="shared" si="1157"/>
        <v>-0.6</v>
      </c>
      <c r="AD917" s="3686">
        <f t="shared" ref="AD917" si="1158">AD915+AD916</f>
        <v>-0.6</v>
      </c>
      <c r="AE917" s="3686">
        <f t="shared" ref="AE917" si="1159">AE915+AE916</f>
        <v>-0.6</v>
      </c>
      <c r="AK917" s="3686">
        <v>-0.6</v>
      </c>
      <c r="AM917" s="3686">
        <f t="shared" si="1124"/>
        <v>0</v>
      </c>
    </row>
    <row r="918" spans="1:46" ht="12.75" hidden="1" customHeight="1">
      <c r="A918" s="714"/>
      <c r="B918" s="714"/>
      <c r="C918" s="3685" t="s">
        <v>2459</v>
      </c>
      <c r="D918" s="3635" t="str">
        <f>D897</f>
        <v>GVT</v>
      </c>
      <c r="E918" s="3635" t="str">
        <f>E897</f>
        <v>Swaps</v>
      </c>
      <c r="F918" s="3635" t="str">
        <f t="shared" ref="F918:AA918" si="1160">F897</f>
        <v>$Swap</v>
      </c>
      <c r="G918" s="3635">
        <f t="shared" si="1160"/>
        <v>-0.45749999999999957</v>
      </c>
      <c r="H918" s="3635">
        <f t="shared" si="1160"/>
        <v>0</v>
      </c>
      <c r="I918" s="3635">
        <f t="shared" si="1160"/>
        <v>0</v>
      </c>
      <c r="J918" s="3635">
        <f t="shared" si="1160"/>
        <v>0</v>
      </c>
      <c r="K918" s="3635">
        <f t="shared" si="1160"/>
        <v>0</v>
      </c>
      <c r="L918" s="3635">
        <f t="shared" si="1160"/>
        <v>0</v>
      </c>
      <c r="M918" s="3635">
        <f t="shared" si="1160"/>
        <v>0</v>
      </c>
      <c r="N918" s="3635">
        <f t="shared" si="1160"/>
        <v>0</v>
      </c>
      <c r="O918" s="3635">
        <f t="shared" si="1160"/>
        <v>0</v>
      </c>
      <c r="P918" s="3635">
        <f t="shared" si="1160"/>
        <v>0</v>
      </c>
      <c r="Q918" s="3635">
        <f t="shared" si="1160"/>
        <v>0</v>
      </c>
      <c r="R918" s="3635">
        <f t="shared" si="1160"/>
        <v>0</v>
      </c>
      <c r="S918" s="3635">
        <f t="shared" si="1160"/>
        <v>0</v>
      </c>
      <c r="T918" s="3635">
        <f t="shared" si="1160"/>
        <v>0</v>
      </c>
      <c r="U918" s="3635">
        <f t="shared" si="1160"/>
        <v>0</v>
      </c>
      <c r="V918" s="3635">
        <f t="shared" si="1160"/>
        <v>0</v>
      </c>
      <c r="W918" s="3635">
        <f t="shared" si="1160"/>
        <v>0</v>
      </c>
      <c r="X918" s="3635">
        <f t="shared" si="1160"/>
        <v>0</v>
      </c>
      <c r="Y918" s="3686">
        <f t="shared" si="1160"/>
        <v>0</v>
      </c>
      <c r="Z918" s="3686">
        <f t="shared" si="1160"/>
        <v>0</v>
      </c>
      <c r="AA918" s="3686">
        <f t="shared" si="1160"/>
        <v>0</v>
      </c>
      <c r="AB918" s="3686">
        <f t="shared" ref="AB918:AC918" si="1161">AB897</f>
        <v>0</v>
      </c>
      <c r="AC918" s="3686">
        <f t="shared" si="1161"/>
        <v>0</v>
      </c>
      <c r="AD918" s="3686">
        <f t="shared" ref="AD918" si="1162">AD897</f>
        <v>0</v>
      </c>
      <c r="AE918" s="3686">
        <f t="shared" ref="AE918" si="1163">AE897</f>
        <v>0</v>
      </c>
      <c r="AK918" s="3686">
        <v>0</v>
      </c>
      <c r="AM918" s="3686">
        <f t="shared" si="1124"/>
        <v>0</v>
      </c>
    </row>
    <row r="919" spans="1:46" ht="12.75" hidden="1" customHeight="1">
      <c r="A919" s="714"/>
      <c r="B919" s="714"/>
      <c r="C919" s="3504" t="s">
        <v>624</v>
      </c>
      <c r="D919" s="3505" t="s">
        <v>591</v>
      </c>
      <c r="E919" s="3506" t="str">
        <f>E898</f>
        <v>Net-lending (EDP)</v>
      </c>
      <c r="F919" s="3507"/>
      <c r="G919" s="3638">
        <f t="shared" ref="G919:AA919" si="1164">G898</f>
        <v>-9.8504999999999896</v>
      </c>
      <c r="H919" s="3638">
        <f t="shared" si="1164"/>
        <v>-8.4894000000000069</v>
      </c>
      <c r="I919" s="3638">
        <f t="shared" si="1164"/>
        <v>-4.8017000000000154</v>
      </c>
      <c r="J919" s="3638">
        <f t="shared" si="1164"/>
        <v>-2.2229000000000005</v>
      </c>
      <c r="K919" s="3638">
        <f t="shared" si="1164"/>
        <v>-1.3454000000000077</v>
      </c>
      <c r="L919" s="3638">
        <f t="shared" si="1164"/>
        <v>-0.18569999999999087</v>
      </c>
      <c r="M919" s="3638">
        <f t="shared" si="1164"/>
        <v>0.45690000000001518</v>
      </c>
      <c r="N919" s="3638">
        <f t="shared" si="1164"/>
        <v>0.12460000000001958</v>
      </c>
      <c r="O919" s="3638">
        <f t="shared" si="1164"/>
        <v>-4.9773000000000165</v>
      </c>
      <c r="P919" s="3638">
        <f t="shared" si="1164"/>
        <v>-0.46859999999999857</v>
      </c>
      <c r="Q919" s="3638">
        <f t="shared" si="1164"/>
        <v>-8.6006000000000213</v>
      </c>
      <c r="R919" s="3638">
        <f t="shared" si="1164"/>
        <v>0.71650000000001768</v>
      </c>
      <c r="S919" s="3638">
        <f t="shared" si="1164"/>
        <v>0.22570000000000956</v>
      </c>
      <c r="T919" s="3638">
        <f t="shared" si="1164"/>
        <v>-3.9062000000000103</v>
      </c>
      <c r="U919" s="3638">
        <f t="shared" si="1164"/>
        <v>-18.775100000000027</v>
      </c>
      <c r="V919" s="3638">
        <f t="shared" si="1164"/>
        <v>-14.609099999999977</v>
      </c>
      <c r="W919" s="3638">
        <f t="shared" si="1164"/>
        <v>-15.651799999999987</v>
      </c>
      <c r="X919" s="3638">
        <f t="shared" si="1164"/>
        <v>-16.409399999999998</v>
      </c>
      <c r="Y919" s="3638">
        <f t="shared" si="1164"/>
        <v>-12.310200000000004</v>
      </c>
      <c r="Z919" s="3638">
        <f t="shared" si="1164"/>
        <v>-12.324699999999979</v>
      </c>
      <c r="AA919" s="3638">
        <f t="shared" si="1164"/>
        <v>-10.179399999999992</v>
      </c>
      <c r="AB919" s="3638">
        <f t="shared" ref="AB919:AC919" si="1165">AB898</f>
        <v>-10.492300000000027</v>
      </c>
      <c r="AC919" s="3638">
        <f t="shared" si="1165"/>
        <v>-4.5226000000000059</v>
      </c>
      <c r="AD919" s="3638">
        <f t="shared" ref="AD919" ca="1" si="1166">AD898</f>
        <v>-4.9425568757195668</v>
      </c>
      <c r="AE919" s="3638">
        <f t="shared" ref="AE919" ca="1" si="1167">AE898</f>
        <v>-6.281124823636886</v>
      </c>
      <c r="AK919" s="3638">
        <v>-13.057900000000016</v>
      </c>
      <c r="AM919" s="3638">
        <f t="shared" si="1124"/>
        <v>0.73320000000003738</v>
      </c>
    </row>
    <row r="920" spans="1:46" s="1881" customFormat="1" ht="12.75" hidden="1" customHeight="1">
      <c r="A920" s="1039"/>
      <c r="B920" s="1039"/>
      <c r="C920" s="3571"/>
      <c r="D920" s="3572"/>
      <c r="E920" s="3573" t="s">
        <v>474</v>
      </c>
      <c r="F920" s="3574"/>
      <c r="G920" s="3640">
        <f>ABS(G914+G917+G918-G919)</f>
        <v>9.39299999999999</v>
      </c>
      <c r="H920" s="3640">
        <f t="shared" ref="H920:AA920" si="1168">ABS(H914+H917+H918-H919)</f>
        <v>8.4894000000000069</v>
      </c>
      <c r="I920" s="3640">
        <f t="shared" si="1168"/>
        <v>4.8017000000000154</v>
      </c>
      <c r="J920" s="3640">
        <f t="shared" si="1168"/>
        <v>2.2229000000000005</v>
      </c>
      <c r="K920" s="3640">
        <f t="shared" si="1168"/>
        <v>1.3454000000000077</v>
      </c>
      <c r="L920" s="3640">
        <f t="shared" si="1168"/>
        <v>0.18569999999999087</v>
      </c>
      <c r="M920" s="3640">
        <f t="shared" si="1168"/>
        <v>0.45690000000001518</v>
      </c>
      <c r="N920" s="3640">
        <f t="shared" si="1168"/>
        <v>0.12460000000001958</v>
      </c>
      <c r="O920" s="3640">
        <f t="shared" si="1168"/>
        <v>4.9773000000000165</v>
      </c>
      <c r="P920" s="3640">
        <f t="shared" si="1168"/>
        <v>0.46859999999999857</v>
      </c>
      <c r="Q920" s="3640">
        <f t="shared" si="1168"/>
        <v>8.6006000000000213</v>
      </c>
      <c r="R920" s="3640">
        <f t="shared" si="1168"/>
        <v>0.71650000000001768</v>
      </c>
      <c r="S920" s="3640">
        <f t="shared" si="1168"/>
        <v>0.22570000000000956</v>
      </c>
      <c r="T920" s="3640">
        <f t="shared" si="1168"/>
        <v>3.9062000000000103</v>
      </c>
      <c r="U920" s="3640">
        <f t="shared" si="1168"/>
        <v>18.775100000000027</v>
      </c>
      <c r="V920" s="3640">
        <f t="shared" si="1168"/>
        <v>14.609099999999977</v>
      </c>
      <c r="W920" s="3640">
        <f t="shared" si="1168"/>
        <v>15.651799999999987</v>
      </c>
      <c r="X920" s="3640">
        <f t="shared" si="1168"/>
        <v>16.409399999999998</v>
      </c>
      <c r="Y920" s="3640">
        <f t="shared" si="1168"/>
        <v>1.7763568394002505E-15</v>
      </c>
      <c r="Z920" s="3640">
        <f t="shared" si="1168"/>
        <v>0</v>
      </c>
      <c r="AA920" s="3640">
        <f t="shared" si="1168"/>
        <v>0</v>
      </c>
      <c r="AB920" s="3640">
        <f t="shared" ref="AB920:AC920" si="1169">ABS(AB914+AB917+AB918-AB919)</f>
        <v>0</v>
      </c>
      <c r="AC920" s="3640">
        <f t="shared" si="1169"/>
        <v>0</v>
      </c>
      <c r="AD920" s="3640">
        <f t="shared" ref="AD920" ca="1" si="1170">ABS(AD914+AD917+AD918-AD919)</f>
        <v>0</v>
      </c>
      <c r="AE920" s="3640">
        <f t="shared" ref="AE920" ca="1" si="1171">ABS(AE914+AE917+AE918-AE919)</f>
        <v>0</v>
      </c>
      <c r="AF920" s="2829"/>
      <c r="AG920" s="2829"/>
      <c r="AH920" s="2829"/>
      <c r="AI920" s="2829"/>
      <c r="AJ920" s="2829"/>
      <c r="AK920" s="3640">
        <v>0</v>
      </c>
      <c r="AL920" s="2829"/>
      <c r="AM920" s="3640">
        <f t="shared" si="1124"/>
        <v>0</v>
      </c>
      <c r="AN920" s="2829"/>
      <c r="AO920" s="2829"/>
      <c r="AP920" s="2829"/>
      <c r="AQ920" s="2829"/>
      <c r="AR920" s="2829"/>
      <c r="AS920" s="2829"/>
      <c r="AT920" s="2829"/>
    </row>
    <row r="921" spans="1:46" hidden="1">
      <c r="A921" s="714"/>
      <c r="B921" s="714"/>
      <c r="C921" s="3524"/>
      <c r="D921" s="3576"/>
      <c r="E921" s="3577"/>
      <c r="F921" s="3524"/>
      <c r="G921" s="3644"/>
      <c r="H921" s="3577"/>
      <c r="I921" s="3577"/>
      <c r="J921" s="3577"/>
      <c r="K921" s="3577"/>
      <c r="L921" s="3577"/>
      <c r="M921" s="3577"/>
      <c r="N921" s="3577"/>
      <c r="O921" s="3577"/>
      <c r="P921" s="3577"/>
      <c r="Q921" s="3578"/>
      <c r="R921" s="3645"/>
      <c r="S921" s="3645"/>
      <c r="T921" s="3580"/>
      <c r="U921" s="3646"/>
      <c r="V921" s="3646"/>
      <c r="W921" s="3646"/>
      <c r="X921" s="3646"/>
      <c r="Y921" s="3646"/>
      <c r="Z921" s="3646"/>
      <c r="AA921" s="3646"/>
      <c r="AB921" s="3646"/>
      <c r="AC921" s="3646"/>
      <c r="AD921" s="3646"/>
      <c r="AE921" s="3646"/>
      <c r="AK921" s="3646"/>
      <c r="AM921" s="3646">
        <f t="shared" si="1124"/>
        <v>0</v>
      </c>
    </row>
    <row r="922" spans="1:46" ht="12.75" hidden="1" customHeight="1">
      <c r="A922" s="714"/>
      <c r="B922" s="714"/>
      <c r="C922" s="3482"/>
      <c r="D922" s="3538"/>
      <c r="E922" s="3668" t="s">
        <v>2458</v>
      </c>
      <c r="F922" s="3612"/>
      <c r="G922" s="3515">
        <f>+InputY!$G$3</f>
        <v>1995</v>
      </c>
      <c r="H922" s="3515">
        <f>+G922+1</f>
        <v>1996</v>
      </c>
      <c r="I922" s="3515">
        <f t="shared" ref="I922" si="1172">+H922+1</f>
        <v>1997</v>
      </c>
      <c r="J922" s="3515">
        <f t="shared" ref="J922" si="1173">+I922+1</f>
        <v>1998</v>
      </c>
      <c r="K922" s="3515">
        <f t="shared" ref="K922" si="1174">+J922+1</f>
        <v>1999</v>
      </c>
      <c r="L922" s="3515">
        <f t="shared" ref="L922" si="1175">+K922+1</f>
        <v>2000</v>
      </c>
      <c r="M922" s="3515">
        <f t="shared" ref="M922" si="1176">+L922+1</f>
        <v>2001</v>
      </c>
      <c r="N922" s="3515">
        <f t="shared" ref="N922" si="1177">+M922+1</f>
        <v>2002</v>
      </c>
      <c r="O922" s="3515">
        <f t="shared" ref="O922" si="1178">+N922+1</f>
        <v>2003</v>
      </c>
      <c r="P922" s="3515">
        <f t="shared" ref="P922" si="1179">+O922+1</f>
        <v>2004</v>
      </c>
      <c r="Q922" s="3515">
        <f t="shared" ref="Q922" si="1180">+P922+1</f>
        <v>2005</v>
      </c>
      <c r="R922" s="3613">
        <f t="shared" ref="R922" si="1181">+Q922+1</f>
        <v>2006</v>
      </c>
      <c r="S922" s="3613">
        <f t="shared" ref="S922" si="1182">+R922+1</f>
        <v>2007</v>
      </c>
      <c r="T922" s="3613">
        <f t="shared" ref="T922" si="1183">+S922+1</f>
        <v>2008</v>
      </c>
      <c r="U922" s="3613">
        <f t="shared" ref="U922" si="1184">+T922+1</f>
        <v>2009</v>
      </c>
      <c r="V922" s="3613">
        <f t="shared" ref="V922" si="1185">+U922+1</f>
        <v>2010</v>
      </c>
      <c r="W922" s="3613">
        <f t="shared" ref="W922" si="1186">+V922+1</f>
        <v>2011</v>
      </c>
      <c r="X922" s="3613">
        <f t="shared" ref="X922" si="1187">+W922+1</f>
        <v>2012</v>
      </c>
      <c r="Y922" s="3613">
        <f t="shared" ref="Y922" si="1188">+X922+1</f>
        <v>2013</v>
      </c>
      <c r="Z922" s="3613">
        <f t="shared" ref="Z922" si="1189">+Y922+1</f>
        <v>2014</v>
      </c>
      <c r="AA922" s="3613">
        <f t="shared" ref="AA922:AE922" si="1190">+Z922+1</f>
        <v>2015</v>
      </c>
      <c r="AB922" s="3613">
        <f t="shared" si="1190"/>
        <v>2016</v>
      </c>
      <c r="AC922" s="3613">
        <f t="shared" si="1190"/>
        <v>2017</v>
      </c>
      <c r="AD922" s="3613">
        <f t="shared" si="1190"/>
        <v>2018</v>
      </c>
      <c r="AE922" s="3613">
        <f t="shared" si="1190"/>
        <v>2019</v>
      </c>
      <c r="AK922" s="3613">
        <v>2014</v>
      </c>
      <c r="AM922" s="3613">
        <f t="shared" si="1124"/>
        <v>0</v>
      </c>
    </row>
    <row r="923" spans="1:46" ht="12.75" hidden="1" customHeight="1">
      <c r="A923" s="714"/>
      <c r="B923" s="714"/>
      <c r="C923" s="3540" t="s">
        <v>622</v>
      </c>
      <c r="D923" s="3541">
        <f>D900</f>
        <v>0</v>
      </c>
      <c r="E923" s="3600" t="str">
        <f t="shared" ref="E923:E930" si="1191">E912</f>
        <v>Central government</v>
      </c>
      <c r="F923" s="3564"/>
      <c r="G923" s="3549">
        <f ca="1">+G912/'VVP2'!G$355</f>
        <v>0</v>
      </c>
      <c r="H923" s="3549">
        <f>+H912/'VVP2'!H$355</f>
        <v>0</v>
      </c>
      <c r="I923" s="3549">
        <f>+I912/'VVP2'!I$355</f>
        <v>0</v>
      </c>
      <c r="J923" s="3549">
        <f>+J912/'VVP2'!J$355</f>
        <v>0</v>
      </c>
      <c r="K923" s="3549">
        <f>+K912/'VVP2'!K$355</f>
        <v>0</v>
      </c>
      <c r="L923" s="3549">
        <f>+L912/'VVP2'!L$355</f>
        <v>0</v>
      </c>
      <c r="M923" s="3549">
        <f>+M912/'VVP2'!M$355</f>
        <v>0</v>
      </c>
      <c r="N923" s="3549">
        <f>+N912/'VVP2'!N$355</f>
        <v>0</v>
      </c>
      <c r="O923" s="3549">
        <f>+O912/'VVP2'!O$355</f>
        <v>0</v>
      </c>
      <c r="P923" s="3549">
        <f>+P912/'VVP2'!P$355</f>
        <v>0</v>
      </c>
      <c r="Q923" s="3549">
        <f>+Q912/'VVP2'!Q$355</f>
        <v>0</v>
      </c>
      <c r="R923" s="3669">
        <f>+R912/'VVP2'!R$355</f>
        <v>0</v>
      </c>
      <c r="S923" s="3669">
        <f>+S912/'VVP2'!S$355</f>
        <v>0</v>
      </c>
      <c r="T923" s="3669">
        <f>+T912/'VVP2'!T$355</f>
        <v>0</v>
      </c>
      <c r="U923" s="3669">
        <f>+U912/'VVP2'!U$355</f>
        <v>0</v>
      </c>
      <c r="V923" s="3669">
        <f>+V912/'VVP2'!V$355</f>
        <v>0</v>
      </c>
      <c r="W923" s="3669">
        <f>+W912/'VVP2'!W$355</f>
        <v>0</v>
      </c>
      <c r="X923" s="3669">
        <f>+X912/'VVP2'!X$355</f>
        <v>0</v>
      </c>
      <c r="Y923" s="3690">
        <f>+Y912/'VVP2'!Y$355</f>
        <v>-2.9337324431525952E-2</v>
      </c>
      <c r="Z923" s="3690">
        <f>+Z912/'VVP2'!Z$355</f>
        <v>-2.9290646089492466E-2</v>
      </c>
      <c r="AA923" s="3690">
        <f>+AA912/'VVP2'!AA$355</f>
        <v>-2.3339616095305646E-2</v>
      </c>
      <c r="AB923" s="3690">
        <f>+AB912/'VVP2'!AB$355</f>
        <v>-2.3383376464726085E-2</v>
      </c>
      <c r="AC923" s="3690">
        <f>+AC912/'VVP2'!AC$355</f>
        <v>-8.9458101835275528E-3</v>
      </c>
      <c r="AD923" s="3690">
        <f ca="1">+AD912/'VVP2'!AD$355</f>
        <v>-9.5783320654488826E-3</v>
      </c>
      <c r="AE923" s="3690">
        <f ca="1">+AE912/'VVP2'!AE$355</f>
        <v>-1.2112214399469442E-2</v>
      </c>
      <c r="AK923" s="3690">
        <v>-3.096900091978029E-2</v>
      </c>
      <c r="AM923" s="3690">
        <f t="shared" si="1124"/>
        <v>1.6783548302878246E-3</v>
      </c>
    </row>
    <row r="924" spans="1:46" ht="12.75" hidden="1" customHeight="1">
      <c r="A924" s="714"/>
      <c r="B924" s="714"/>
      <c r="C924" s="3544" t="s">
        <v>622</v>
      </c>
      <c r="D924" s="3494" t="s">
        <v>591</v>
      </c>
      <c r="E924" s="3557" t="str">
        <f t="shared" si="1191"/>
        <v>Social security</v>
      </c>
      <c r="F924" s="3496"/>
      <c r="G924" s="3615">
        <f ca="1">+G913/'VVP2'!G$355</f>
        <v>0</v>
      </c>
      <c r="H924" s="3615">
        <f>+H913/'VVP2'!H$355</f>
        <v>0</v>
      </c>
      <c r="I924" s="3615">
        <f>+I913/'VVP2'!I$355</f>
        <v>0</v>
      </c>
      <c r="J924" s="3615">
        <f>+J913/'VVP2'!J$355</f>
        <v>0</v>
      </c>
      <c r="K924" s="3615">
        <f>+K913/'VVP2'!K$355</f>
        <v>0</v>
      </c>
      <c r="L924" s="3615">
        <f>+L913/'VVP2'!L$355</f>
        <v>0</v>
      </c>
      <c r="M924" s="3615">
        <f>+M913/'VVP2'!M$355</f>
        <v>0</v>
      </c>
      <c r="N924" s="3615">
        <f>+N913/'VVP2'!N$355</f>
        <v>0</v>
      </c>
      <c r="O924" s="3615">
        <f>+O913/'VVP2'!O$355</f>
        <v>0</v>
      </c>
      <c r="P924" s="3615">
        <f>+P913/'VVP2'!P$355</f>
        <v>0</v>
      </c>
      <c r="Q924" s="3615">
        <f>+Q913/'VVP2'!Q$355</f>
        <v>0</v>
      </c>
      <c r="R924" s="3670">
        <f>+R913/'VVP2'!R$355</f>
        <v>0</v>
      </c>
      <c r="S924" s="3670">
        <f>+S913/'VVP2'!S$355</f>
        <v>0</v>
      </c>
      <c r="T924" s="3670">
        <f>+T913/'VVP2'!T$355</f>
        <v>0</v>
      </c>
      <c r="U924" s="3670">
        <f>+U913/'VVP2'!U$355</f>
        <v>0</v>
      </c>
      <c r="V924" s="3670">
        <f>+V913/'VVP2'!V$355</f>
        <v>0</v>
      </c>
      <c r="W924" s="3670">
        <f>+W913/'VVP2'!W$355</f>
        <v>0</v>
      </c>
      <c r="X924" s="3670">
        <f>+X913/'VVP2'!X$355</f>
        <v>0</v>
      </c>
      <c r="Y924" s="3688">
        <f>+Y913/'VVP2'!Y$355</f>
        <v>0</v>
      </c>
      <c r="Z924" s="3688">
        <f>+Z913/'VVP2'!Z$355</f>
        <v>0</v>
      </c>
      <c r="AA924" s="3688">
        <f>+AA913/'VVP2'!AA$355</f>
        <v>0</v>
      </c>
      <c r="AB924" s="3688">
        <f>+AB913/'VVP2'!AB$355</f>
        <v>0</v>
      </c>
      <c r="AC924" s="3688">
        <f>+AC913/'VVP2'!AC$355</f>
        <v>0</v>
      </c>
      <c r="AD924" s="3688">
        <f ca="1">+AD913/'VVP2'!AD$355</f>
        <v>0</v>
      </c>
      <c r="AE924" s="3688">
        <f ca="1">+AE913/'VVP2'!AE$355</f>
        <v>0</v>
      </c>
      <c r="AF924" s="749"/>
      <c r="AG924" s="749"/>
      <c r="AH924" s="749"/>
      <c r="AI924" s="749"/>
      <c r="AJ924" s="749"/>
      <c r="AK924" s="3688">
        <v>0</v>
      </c>
      <c r="AL924" s="749"/>
      <c r="AM924" s="3688">
        <f t="shared" si="1124"/>
        <v>0</v>
      </c>
      <c r="AN924" s="749"/>
      <c r="AO924" s="749"/>
      <c r="AP924" s="749"/>
      <c r="AQ924" s="749"/>
      <c r="AR924" s="749"/>
      <c r="AS924" s="749"/>
      <c r="AT924" s="749"/>
    </row>
    <row r="925" spans="1:46" ht="12.75" hidden="1" customHeight="1">
      <c r="A925" s="714"/>
      <c r="B925" s="714"/>
      <c r="C925" s="3544" t="s">
        <v>2449</v>
      </c>
      <c r="D925" s="3673" t="s">
        <v>591</v>
      </c>
      <c r="E925" s="3674" t="str">
        <f t="shared" si="1191"/>
        <v>Entity I</v>
      </c>
      <c r="F925" s="3675"/>
      <c r="G925" s="3676">
        <f ca="1">+G914/'VVP2'!G$355</f>
        <v>0</v>
      </c>
      <c r="H925" s="3676">
        <f>+H914/'VVP2'!H$355</f>
        <v>0</v>
      </c>
      <c r="I925" s="3676">
        <f>+I914/'VVP2'!I$355</f>
        <v>0</v>
      </c>
      <c r="J925" s="3676">
        <f>+J914/'VVP2'!J$355</f>
        <v>0</v>
      </c>
      <c r="K925" s="3676">
        <f>+K914/'VVP2'!K$355</f>
        <v>0</v>
      </c>
      <c r="L925" s="3676">
        <f>+L914/'VVP2'!L$355</f>
        <v>0</v>
      </c>
      <c r="M925" s="3676">
        <f>+M914/'VVP2'!M$355</f>
        <v>0</v>
      </c>
      <c r="N925" s="3676">
        <f>+N914/'VVP2'!N$355</f>
        <v>0</v>
      </c>
      <c r="O925" s="3676">
        <f>+O914/'VVP2'!O$355</f>
        <v>0</v>
      </c>
      <c r="P925" s="3676">
        <f>+P914/'VVP2'!P$355</f>
        <v>0</v>
      </c>
      <c r="Q925" s="3676">
        <f>+Q914/'VVP2'!Q$355</f>
        <v>0</v>
      </c>
      <c r="R925" s="3676">
        <f>+R914/'VVP2'!R$355</f>
        <v>0</v>
      </c>
      <c r="S925" s="3676">
        <f>+S914/'VVP2'!S$355</f>
        <v>0</v>
      </c>
      <c r="T925" s="3676">
        <f>+T914/'VVP2'!T$355</f>
        <v>0</v>
      </c>
      <c r="U925" s="3676">
        <f>+U914/'VVP2'!U$355</f>
        <v>0</v>
      </c>
      <c r="V925" s="3676">
        <f>+V914/'VVP2'!V$355</f>
        <v>0</v>
      </c>
      <c r="W925" s="3676">
        <f>+W914/'VVP2'!W$355</f>
        <v>0</v>
      </c>
      <c r="X925" s="3676">
        <f>+X914/'VVP2'!X$355</f>
        <v>0</v>
      </c>
      <c r="Y925" s="3691">
        <f>+Y914/'VVP2'!Y$355</f>
        <v>-2.9337324431525952E-2</v>
      </c>
      <c r="Z925" s="3691">
        <f>+Z914/'VVP2'!Z$355</f>
        <v>-2.9290646089492466E-2</v>
      </c>
      <c r="AA925" s="3691">
        <f>+AA914/'VVP2'!AA$355</f>
        <v>-2.3339616095305646E-2</v>
      </c>
      <c r="AB925" s="3691">
        <f>+AB914/'VVP2'!AB$355</f>
        <v>-2.3383376464726085E-2</v>
      </c>
      <c r="AC925" s="3691">
        <f>+AC914/'VVP2'!AC$355</f>
        <v>-8.9458101835275528E-3</v>
      </c>
      <c r="AD925" s="3691">
        <f ca="1">+AD914/'VVP2'!AD$355</f>
        <v>-9.5783320654488826E-3</v>
      </c>
      <c r="AE925" s="3691">
        <f ca="1">+AE914/'VVP2'!AE$355</f>
        <v>-1.2112214399469442E-2</v>
      </c>
      <c r="AF925" s="749"/>
      <c r="AG925" s="749"/>
      <c r="AH925" s="749"/>
      <c r="AI925" s="749"/>
      <c r="AJ925" s="749"/>
      <c r="AK925" s="3691">
        <v>-3.096900091978029E-2</v>
      </c>
      <c r="AL925" s="749"/>
      <c r="AM925" s="3691">
        <f t="shared" si="1124"/>
        <v>1.6783548302878246E-3</v>
      </c>
      <c r="AN925" s="749"/>
      <c r="AO925" s="749"/>
      <c r="AP925" s="749"/>
      <c r="AQ925" s="749"/>
      <c r="AR925" s="749"/>
      <c r="AS925" s="749"/>
      <c r="AT925" s="749"/>
    </row>
    <row r="926" spans="1:46" ht="12.75" hidden="1" customHeight="1">
      <c r="A926" s="714"/>
      <c r="B926" s="714"/>
      <c r="C926" s="3544"/>
      <c r="D926" s="3494" t="s">
        <v>591</v>
      </c>
      <c r="E926" s="3557" t="str">
        <f t="shared" si="1191"/>
        <v>State government (communities and regions)</v>
      </c>
      <c r="F926" s="3496"/>
      <c r="G926" s="3615">
        <f ca="1">+G915/'VVP2'!G$355</f>
        <v>0</v>
      </c>
      <c r="H926" s="3615">
        <f>+H915/'VVP2'!H$355</f>
        <v>0</v>
      </c>
      <c r="I926" s="3615">
        <f>+I915/'VVP2'!I$355</f>
        <v>0</v>
      </c>
      <c r="J926" s="3615">
        <f>+J915/'VVP2'!J$355</f>
        <v>0</v>
      </c>
      <c r="K926" s="3615">
        <f>+K915/'VVP2'!K$355</f>
        <v>0</v>
      </c>
      <c r="L926" s="3615">
        <f>+L915/'VVP2'!L$355</f>
        <v>0</v>
      </c>
      <c r="M926" s="3615">
        <f>+M915/'VVP2'!M$355</f>
        <v>0</v>
      </c>
      <c r="N926" s="3615">
        <f>+N915/'VVP2'!N$355</f>
        <v>0</v>
      </c>
      <c r="O926" s="3615">
        <f>+O915/'VVP2'!O$355</f>
        <v>0</v>
      </c>
      <c r="P926" s="3615">
        <f>+P915/'VVP2'!P$355</f>
        <v>0</v>
      </c>
      <c r="Q926" s="3615">
        <f>+Q915/'VVP2'!Q$355</f>
        <v>0</v>
      </c>
      <c r="R926" s="3615">
        <f>+R915/'VVP2'!R$355</f>
        <v>0</v>
      </c>
      <c r="S926" s="3615">
        <f>+S915/'VVP2'!S$355</f>
        <v>0</v>
      </c>
      <c r="T926" s="3615">
        <f>+T915/'VVP2'!T$355</f>
        <v>0</v>
      </c>
      <c r="U926" s="3615">
        <f>+U915/'VVP2'!U$355</f>
        <v>0</v>
      </c>
      <c r="V926" s="3615">
        <f>+V915/'VVP2'!V$355</f>
        <v>0</v>
      </c>
      <c r="W926" s="3615">
        <f>+W915/'VVP2'!W$355</f>
        <v>0</v>
      </c>
      <c r="X926" s="3615">
        <f>+X915/'VVP2'!X$355</f>
        <v>0</v>
      </c>
      <c r="Y926" s="3692">
        <f>+Y915/'VVP2'!Y$355</f>
        <v>-1.5292866030925233E-3</v>
      </c>
      <c r="Z926" s="3692">
        <f>+Z915/'VVP2'!Z$355</f>
        <v>-1.4989200281197395E-3</v>
      </c>
      <c r="AA926" s="3692">
        <f>+AA915/'VVP2'!AA$355</f>
        <v>-1.4618629201394032E-3</v>
      </c>
      <c r="AB926" s="3692">
        <f>+AB915/'VVP2'!AB$355</f>
        <v>-1.418277435867858E-3</v>
      </c>
      <c r="AC926" s="3692">
        <f>+AC915/'VVP2'!AC$355</f>
        <v>-1.3683490822710763E-3</v>
      </c>
      <c r="AD926" s="3692">
        <f ca="1">+AD915/'VVP2'!AD$355</f>
        <v>-1.3234136946835139E-3</v>
      </c>
      <c r="AE926" s="3692">
        <f ca="1">+AE915/'VVP2'!AE$355</f>
        <v>-1.2792059434155046E-3</v>
      </c>
      <c r="AF926" s="749"/>
      <c r="AG926" s="749"/>
      <c r="AH926" s="749"/>
      <c r="AI926" s="749"/>
      <c r="AJ926" s="749"/>
      <c r="AK926" s="3692">
        <v>-1.4915355358341412E-3</v>
      </c>
      <c r="AL926" s="749"/>
      <c r="AM926" s="3692">
        <f t="shared" si="1124"/>
        <v>-7.3844922855983899E-6</v>
      </c>
      <c r="AN926" s="749"/>
      <c r="AO926" s="749"/>
      <c r="AP926" s="749"/>
      <c r="AQ926" s="749"/>
      <c r="AR926" s="749"/>
      <c r="AS926" s="749"/>
      <c r="AT926" s="749"/>
    </row>
    <row r="927" spans="1:46" ht="12.75" hidden="1" customHeight="1">
      <c r="A927" s="714"/>
      <c r="B927" s="714"/>
      <c r="C927" s="3544" t="s">
        <v>622</v>
      </c>
      <c r="D927" s="3494" t="s">
        <v>591</v>
      </c>
      <c r="E927" s="3557" t="str">
        <f t="shared" si="1191"/>
        <v>Local government</v>
      </c>
      <c r="F927" s="3496"/>
      <c r="G927" s="3615">
        <f ca="1">+G916/'VVP2'!G$355</f>
        <v>0</v>
      </c>
      <c r="H927" s="3615">
        <f>+H917/'VVP2'!H$355</f>
        <v>0</v>
      </c>
      <c r="I927" s="3615">
        <f>+I917/'VVP2'!I$355</f>
        <v>0</v>
      </c>
      <c r="J927" s="3615">
        <f>+J917/'VVP2'!J$355</f>
        <v>0</v>
      </c>
      <c r="K927" s="3615">
        <f>+K917/'VVP2'!K$355</f>
        <v>0</v>
      </c>
      <c r="L927" s="3615">
        <f>+L917/'VVP2'!L$355</f>
        <v>0</v>
      </c>
      <c r="M927" s="3615">
        <f>+M917/'VVP2'!M$355</f>
        <v>0</v>
      </c>
      <c r="N927" s="3615">
        <f>+N917/'VVP2'!N$355</f>
        <v>0</v>
      </c>
      <c r="O927" s="3615">
        <f>+O917/'VVP2'!O$355</f>
        <v>0</v>
      </c>
      <c r="P927" s="3615">
        <f>+P917/'VVP2'!P$355</f>
        <v>0</v>
      </c>
      <c r="Q927" s="3615">
        <f>+Q917/'VVP2'!Q$355</f>
        <v>0</v>
      </c>
      <c r="R927" s="3670">
        <f>+R917/'VVP2'!R$355</f>
        <v>0</v>
      </c>
      <c r="S927" s="3670">
        <f>+S917/'VVP2'!S$355</f>
        <v>0</v>
      </c>
      <c r="T927" s="3670">
        <f>+T917/'VVP2'!T$355</f>
        <v>0</v>
      </c>
      <c r="U927" s="3670">
        <f>+U917/'VVP2'!U$355</f>
        <v>0</v>
      </c>
      <c r="V927" s="3670">
        <f>+V917/'VVP2'!V$355</f>
        <v>0</v>
      </c>
      <c r="W927" s="3670">
        <f>+W917/'VVP2'!W$355</f>
        <v>0</v>
      </c>
      <c r="X927" s="3670">
        <f>+X917/'VVP2'!X$355</f>
        <v>0</v>
      </c>
      <c r="Y927" s="3688">
        <f>+Y917/'VVP2'!Y$355</f>
        <v>-2.0390488041233646E-3</v>
      </c>
      <c r="Z927" s="3688">
        <f>+Z917/'VVP2'!Z$355</f>
        <v>-1.4989200281197395E-3</v>
      </c>
      <c r="AA927" s="3688">
        <f>+AA917/'VVP2'!AA$355</f>
        <v>-1.4618629201394032E-3</v>
      </c>
      <c r="AB927" s="3688">
        <f>+AB917/'VVP2'!AB$355</f>
        <v>-1.418277435867858E-3</v>
      </c>
      <c r="AC927" s="3688">
        <f>+AC917/'VVP2'!AC$355</f>
        <v>-1.3683490822710763E-3</v>
      </c>
      <c r="AD927" s="3688">
        <f ca="1">+AD917/'VVP2'!AD$355</f>
        <v>-1.3234136946835139E-3</v>
      </c>
      <c r="AE927" s="3688">
        <f ca="1">+AE917/'VVP2'!AE$355</f>
        <v>-1.2792059434155046E-3</v>
      </c>
      <c r="AF927" s="749"/>
      <c r="AG927" s="749"/>
      <c r="AH927" s="749"/>
      <c r="AI927" s="749"/>
      <c r="AJ927" s="749"/>
      <c r="AK927" s="3688">
        <v>-1.4915355358341412E-3</v>
      </c>
      <c r="AL927" s="749"/>
      <c r="AM927" s="3688">
        <f t="shared" si="1124"/>
        <v>-7.3844922855983899E-6</v>
      </c>
      <c r="AN927" s="749"/>
      <c r="AO927" s="749"/>
      <c r="AP927" s="749"/>
      <c r="AQ927" s="749"/>
      <c r="AR927" s="749"/>
      <c r="AS927" s="749"/>
      <c r="AT927" s="749"/>
    </row>
    <row r="928" spans="1:46" ht="12.75" hidden="1" customHeight="1">
      <c r="A928" s="714"/>
      <c r="B928" s="714"/>
      <c r="C928" s="3544" t="s">
        <v>2449</v>
      </c>
      <c r="D928" s="3674" t="s">
        <v>591</v>
      </c>
      <c r="E928" s="3674" t="str">
        <f t="shared" si="1191"/>
        <v>Entity II</v>
      </c>
      <c r="F928" s="3674"/>
      <c r="G928" s="3676">
        <f ca="1">G917/'VVP2'!G$355</f>
        <v>0</v>
      </c>
      <c r="H928" s="3676">
        <f>H917/'VVP2'!H$355</f>
        <v>0</v>
      </c>
      <c r="I928" s="3676">
        <f>I917/'VVP2'!I$355</f>
        <v>0</v>
      </c>
      <c r="J928" s="3676">
        <f>J917/'VVP2'!J$355</f>
        <v>0</v>
      </c>
      <c r="K928" s="3676">
        <f>K917/'VVP2'!K$355</f>
        <v>0</v>
      </c>
      <c r="L928" s="3676">
        <f>L917/'VVP2'!L$355</f>
        <v>0</v>
      </c>
      <c r="M928" s="3676">
        <f>M917/'VVP2'!M$355</f>
        <v>0</v>
      </c>
      <c r="N928" s="3676">
        <f>N917/'VVP2'!N$355</f>
        <v>0</v>
      </c>
      <c r="O928" s="3676">
        <f>O917/'VVP2'!O$355</f>
        <v>0</v>
      </c>
      <c r="P928" s="3676">
        <f>P917/'VVP2'!P$355</f>
        <v>0</v>
      </c>
      <c r="Q928" s="3676">
        <f>Q917/'VVP2'!Q$355</f>
        <v>0</v>
      </c>
      <c r="R928" s="3676">
        <f>R917/'VVP2'!R$355</f>
        <v>0</v>
      </c>
      <c r="S928" s="3676">
        <f>S917/'VVP2'!S$355</f>
        <v>0</v>
      </c>
      <c r="T928" s="3676">
        <f>T917/'VVP2'!T$355</f>
        <v>0</v>
      </c>
      <c r="U928" s="3676">
        <f>U917/'VVP2'!U$355</f>
        <v>0</v>
      </c>
      <c r="V928" s="3676">
        <f>V917/'VVP2'!V$355</f>
        <v>0</v>
      </c>
      <c r="W928" s="3676">
        <f>W917/'VVP2'!W$355</f>
        <v>0</v>
      </c>
      <c r="X928" s="3676">
        <f>X917/'VVP2'!X$355</f>
        <v>0</v>
      </c>
      <c r="Y928" s="3691">
        <f>Y917/'VVP2'!Y$355</f>
        <v>-2.0390488041233646E-3</v>
      </c>
      <c r="Z928" s="3691">
        <f>Z917/'VVP2'!Z$355</f>
        <v>-1.4989200281197395E-3</v>
      </c>
      <c r="AA928" s="3691">
        <f>AA917/'VVP2'!AA$355</f>
        <v>-1.4618629201394032E-3</v>
      </c>
      <c r="AB928" s="3691">
        <f>AB917/'VVP2'!AB$355</f>
        <v>-1.418277435867858E-3</v>
      </c>
      <c r="AC928" s="3691">
        <f>AC917/'VVP2'!AC$355</f>
        <v>-1.3683490822710763E-3</v>
      </c>
      <c r="AD928" s="3691">
        <f ca="1">AD917/'VVP2'!AD$355</f>
        <v>-1.3234136946835139E-3</v>
      </c>
      <c r="AE928" s="3691">
        <f ca="1">AE917/'VVP2'!AE$355</f>
        <v>-1.2792059434155046E-3</v>
      </c>
      <c r="AF928" s="749"/>
      <c r="AG928" s="749"/>
      <c r="AH928" s="749"/>
      <c r="AI928" s="749"/>
      <c r="AJ928" s="749"/>
      <c r="AK928" s="3691">
        <v>-1.4915355358341412E-3</v>
      </c>
      <c r="AL928" s="749"/>
      <c r="AM928" s="3691">
        <f t="shared" si="1124"/>
        <v>-7.3844922855983899E-6</v>
      </c>
      <c r="AN928" s="749"/>
      <c r="AO928" s="749"/>
      <c r="AP928" s="749"/>
      <c r="AQ928" s="749"/>
      <c r="AR928" s="749"/>
      <c r="AS928" s="749"/>
      <c r="AT928" s="749"/>
    </row>
    <row r="929" spans="1:46" ht="12.75" hidden="1" customHeight="1">
      <c r="A929" s="714"/>
      <c r="B929" s="714"/>
      <c r="C929" s="3687" t="s">
        <v>2459</v>
      </c>
      <c r="D929" s="3678" t="s">
        <v>591</v>
      </c>
      <c r="E929" s="3679" t="str">
        <f t="shared" si="1191"/>
        <v>Swaps</v>
      </c>
      <c r="F929" s="3680"/>
      <c r="G929" s="3681">
        <f ca="1">G918/'VVP2'!G$355</f>
        <v>-2.1652622830714806E-3</v>
      </c>
      <c r="H929" s="3681">
        <f>H918/'VVP2'!H$355</f>
        <v>0</v>
      </c>
      <c r="I929" s="3681">
        <f>I918/'VVP2'!I$355</f>
        <v>0</v>
      </c>
      <c r="J929" s="3681">
        <f>J918/'VVP2'!J$355</f>
        <v>0</v>
      </c>
      <c r="K929" s="3681">
        <f>K918/'VVP2'!K$355</f>
        <v>0</v>
      </c>
      <c r="L929" s="3681">
        <f>L918/'VVP2'!L$355</f>
        <v>0</v>
      </c>
      <c r="M929" s="3681">
        <f>M918/'VVP2'!M$355</f>
        <v>0</v>
      </c>
      <c r="N929" s="3681">
        <f>N918/'VVP2'!N$355</f>
        <v>0</v>
      </c>
      <c r="O929" s="3681">
        <f>O918/'VVP2'!O$355</f>
        <v>0</v>
      </c>
      <c r="P929" s="3681">
        <f>P918/'VVP2'!P$355</f>
        <v>0</v>
      </c>
      <c r="Q929" s="3681">
        <f>Q918/'VVP2'!Q$355</f>
        <v>0</v>
      </c>
      <c r="R929" s="3681">
        <f>R918/'VVP2'!R$355</f>
        <v>0</v>
      </c>
      <c r="S929" s="3681">
        <f>S918/'VVP2'!S$355</f>
        <v>0</v>
      </c>
      <c r="T929" s="3681">
        <f>T918/'VVP2'!T$355</f>
        <v>0</v>
      </c>
      <c r="U929" s="3681">
        <f>U918/'VVP2'!U$355</f>
        <v>0</v>
      </c>
      <c r="V929" s="3681">
        <f>V918/'VVP2'!V$355</f>
        <v>0</v>
      </c>
      <c r="W929" s="3681">
        <f>W918/'VVP2'!W$355</f>
        <v>0</v>
      </c>
      <c r="X929" s="3681">
        <f>X918/'VVP2'!X$355</f>
        <v>0</v>
      </c>
      <c r="Y929" s="3693">
        <f>Y918/'VVP2'!Y$355</f>
        <v>0</v>
      </c>
      <c r="Z929" s="3693">
        <f>Z918/'VVP2'!Z$355</f>
        <v>0</v>
      </c>
      <c r="AA929" s="3693">
        <f>AA918/'VVP2'!AA$355</f>
        <v>0</v>
      </c>
      <c r="AB929" s="3693">
        <f>AB918/'VVP2'!AB$355</f>
        <v>0</v>
      </c>
      <c r="AC929" s="3693">
        <f>AC918/'VVP2'!AC$355</f>
        <v>0</v>
      </c>
      <c r="AD929" s="3693">
        <f ca="1">AD918/'VVP2'!AD$355</f>
        <v>0</v>
      </c>
      <c r="AE929" s="3693">
        <f ca="1">AE918/'VVP2'!AE$355</f>
        <v>0</v>
      </c>
      <c r="AF929" s="749"/>
      <c r="AG929" s="749"/>
      <c r="AH929" s="749"/>
      <c r="AI929" s="749"/>
      <c r="AJ929" s="749"/>
      <c r="AK929" s="3693">
        <v>0</v>
      </c>
      <c r="AL929" s="749"/>
      <c r="AM929" s="3693">
        <f t="shared" si="1124"/>
        <v>0</v>
      </c>
      <c r="AN929" s="749"/>
      <c r="AO929" s="749"/>
      <c r="AP929" s="749"/>
      <c r="AQ929" s="749"/>
      <c r="AR929" s="749"/>
      <c r="AS929" s="749"/>
      <c r="AT929" s="749"/>
    </row>
    <row r="930" spans="1:46" ht="12.75" hidden="1" customHeight="1">
      <c r="A930" s="714"/>
      <c r="B930" s="714"/>
      <c r="C930" s="3482" t="s">
        <v>624</v>
      </c>
      <c r="D930" s="3525" t="s">
        <v>591</v>
      </c>
      <c r="E930" s="3526" t="str">
        <f t="shared" si="1191"/>
        <v>Net-lending (EDP)</v>
      </c>
      <c r="F930" s="3527"/>
      <c r="G930" s="3624">
        <f ca="1">+G919/'VVP2'!G$355</f>
        <v>-4.6620581681739055E-2</v>
      </c>
      <c r="H930" s="3624">
        <f>+H919/'VVP2'!H$355</f>
        <v>-3.9313261314128246E-2</v>
      </c>
      <c r="I930" s="3624">
        <f>+I919/'VVP2'!I$355</f>
        <v>-2.1249403125300163E-2</v>
      </c>
      <c r="J930" s="3624">
        <f>+J919/'VVP2'!J$355</f>
        <v>-9.4797381205818966E-3</v>
      </c>
      <c r="K930" s="3624">
        <f>+K919/'VVP2'!K$355</f>
        <v>-5.5088319834907329E-3</v>
      </c>
      <c r="L930" s="3624">
        <f>+L919/'VVP2'!L$355</f>
        <v>-7.1914863954268375E-4</v>
      </c>
      <c r="M930" s="3624">
        <f>+M919/'VVP2'!M$355</f>
        <v>1.7190366471976021E-3</v>
      </c>
      <c r="N930" s="3624">
        <f>+N919/'VVP2'!N$355</f>
        <v>4.5298367550088907E-4</v>
      </c>
      <c r="O930" s="3624">
        <f>+O919/'VVP2'!O$355</f>
        <v>-1.7610252037511136E-2</v>
      </c>
      <c r="P930" s="3624">
        <f>+P919/'VVP2'!P$355</f>
        <v>-1.5687414047299213E-3</v>
      </c>
      <c r="Q930" s="3624">
        <f>+Q919/'VVP2'!Q$355</f>
        <v>-2.761197479908881E-2</v>
      </c>
      <c r="R930" s="3682">
        <f>+R919/'VVP2'!R$355</f>
        <v>2.1933980097477417E-3</v>
      </c>
      <c r="S930" s="3682">
        <f>+S919/'VVP2'!S$355</f>
        <v>6.5474852231935186E-4</v>
      </c>
      <c r="T930" s="3682">
        <f>+T919/'VVP2'!T$355</f>
        <v>-1.1032409503428629E-2</v>
      </c>
      <c r="U930" s="3682">
        <f>+U919/'VVP2'!U$355</f>
        <v>-5.3830611807807328E-2</v>
      </c>
      <c r="V930" s="3682">
        <f>+V919/'VVP2'!V$355</f>
        <v>-4.0013913977110349E-2</v>
      </c>
      <c r="W930" s="3682">
        <f>+W919/'VVP2'!W$355</f>
        <v>-4.1286045628890863E-2</v>
      </c>
      <c r="X930" s="3682">
        <f>+X919/'VVP2'!X$355</f>
        <v>-4.2346827781463793E-2</v>
      </c>
      <c r="Y930" s="3689">
        <f>+Y919/'VVP2'!Y$355</f>
        <v>-3.1376373235649312E-2</v>
      </c>
      <c r="Z930" s="3689">
        <f>+Z919/'VVP2'!Z$355</f>
        <v>-3.0789566117612206E-2</v>
      </c>
      <c r="AA930" s="3689">
        <f>+AA919/'VVP2'!AA$355</f>
        <v>-2.4801479015445049E-2</v>
      </c>
      <c r="AB930" s="3689">
        <f>+AB919/'VVP2'!AB$355</f>
        <v>-2.4801653900593943E-2</v>
      </c>
      <c r="AC930" s="3689">
        <f>+AC919/'VVP2'!AC$355</f>
        <v>-1.0314159265798629E-2</v>
      </c>
      <c r="AD930" s="3689">
        <f ca="1">+AD919/'VVP2'!AD$355</f>
        <v>-1.0901745760132395E-2</v>
      </c>
      <c r="AE930" s="3689">
        <f ca="1">+AE919/'VVP2'!AE$355</f>
        <v>-1.3391420342884945E-2</v>
      </c>
      <c r="AF930" s="749"/>
      <c r="AG930" s="749"/>
      <c r="AH930" s="749"/>
      <c r="AI930" s="749"/>
      <c r="AJ930" s="749"/>
      <c r="AK930" s="3689">
        <v>-3.2460536455614426E-2</v>
      </c>
      <c r="AL930" s="749"/>
      <c r="AM930" s="3689">
        <f t="shared" si="1124"/>
        <v>1.6709703380022208E-3</v>
      </c>
      <c r="AN930" s="749"/>
      <c r="AO930" s="749"/>
      <c r="AP930" s="749"/>
      <c r="AQ930" s="749"/>
      <c r="AR930" s="749"/>
      <c r="AS930" s="749"/>
      <c r="AT930" s="749"/>
    </row>
    <row r="931" spans="1:46" ht="30" hidden="1" customHeight="1">
      <c r="A931" s="714"/>
      <c r="B931" s="714"/>
      <c r="C931" s="822"/>
      <c r="S931" s="2162"/>
      <c r="T931" s="2162"/>
      <c r="U931" s="2162"/>
      <c r="AF931" s="749"/>
      <c r="AG931" s="749"/>
      <c r="AH931" s="749"/>
      <c r="AI931" s="749"/>
      <c r="AJ931" s="749"/>
      <c r="AL931" s="749"/>
      <c r="AM931" s="2827">
        <f t="shared" si="1124"/>
        <v>0</v>
      </c>
      <c r="AN931" s="749"/>
      <c r="AO931" s="749"/>
      <c r="AP931" s="749"/>
      <c r="AQ931" s="749"/>
      <c r="AR931" s="749"/>
      <c r="AS931" s="749"/>
      <c r="AT931" s="749"/>
    </row>
    <row r="932" spans="1:46" ht="12.75" customHeight="1">
      <c r="A932" s="714"/>
      <c r="B932" s="714"/>
      <c r="C932" s="822"/>
      <c r="D932" s="745"/>
      <c r="E932" s="746" t="s">
        <v>1117</v>
      </c>
      <c r="F932" s="747"/>
      <c r="G932" s="748">
        <f>+InputY!$G$3</f>
        <v>1995</v>
      </c>
      <c r="H932" s="748">
        <f>+G932+1</f>
        <v>1996</v>
      </c>
      <c r="I932" s="748">
        <f t="shared" ref="I932:S932" si="1192">+H932+1</f>
        <v>1997</v>
      </c>
      <c r="J932" s="748">
        <f t="shared" si="1192"/>
        <v>1998</v>
      </c>
      <c r="K932" s="748">
        <f t="shared" si="1192"/>
        <v>1999</v>
      </c>
      <c r="L932" s="748">
        <f t="shared" si="1192"/>
        <v>2000</v>
      </c>
      <c r="M932" s="748">
        <f t="shared" si="1192"/>
        <v>2001</v>
      </c>
      <c r="N932" s="748">
        <f t="shared" si="1192"/>
        <v>2002</v>
      </c>
      <c r="O932" s="748">
        <f t="shared" si="1192"/>
        <v>2003</v>
      </c>
      <c r="P932" s="748">
        <f>+O932+1</f>
        <v>2004</v>
      </c>
      <c r="Q932" s="748">
        <f t="shared" si="1192"/>
        <v>2005</v>
      </c>
      <c r="R932" s="2122">
        <f t="shared" si="1192"/>
        <v>2006</v>
      </c>
      <c r="S932" s="2122">
        <f t="shared" si="1192"/>
        <v>2007</v>
      </c>
      <c r="T932" s="2122">
        <f t="shared" ref="T932:AE932" si="1193">+S932+1</f>
        <v>2008</v>
      </c>
      <c r="U932" s="2122">
        <f t="shared" si="1193"/>
        <v>2009</v>
      </c>
      <c r="V932" s="2122">
        <f t="shared" si="1193"/>
        <v>2010</v>
      </c>
      <c r="W932" s="2122">
        <f t="shared" si="1193"/>
        <v>2011</v>
      </c>
      <c r="X932" s="2122">
        <f t="shared" si="1193"/>
        <v>2012</v>
      </c>
      <c r="Y932" s="2122">
        <f t="shared" si="1193"/>
        <v>2013</v>
      </c>
      <c r="Z932" s="2122">
        <f t="shared" si="1193"/>
        <v>2014</v>
      </c>
      <c r="AA932" s="2122">
        <f t="shared" si="1193"/>
        <v>2015</v>
      </c>
      <c r="AB932" s="2122">
        <f t="shared" si="1193"/>
        <v>2016</v>
      </c>
      <c r="AC932" s="2122">
        <f t="shared" si="1193"/>
        <v>2017</v>
      </c>
      <c r="AD932" s="2122">
        <f t="shared" si="1193"/>
        <v>2018</v>
      </c>
      <c r="AE932" s="2122">
        <f t="shared" si="1193"/>
        <v>2019</v>
      </c>
      <c r="AI932" s="749"/>
      <c r="AJ932" s="749"/>
      <c r="AK932" s="2122">
        <v>2014</v>
      </c>
      <c r="AL932" s="749"/>
      <c r="AM932" s="2122">
        <f t="shared" si="1124"/>
        <v>0</v>
      </c>
      <c r="AN932" s="749"/>
      <c r="AO932" s="749"/>
      <c r="AP932" s="749"/>
      <c r="AQ932" s="749"/>
      <c r="AR932" s="749"/>
      <c r="AS932" s="749"/>
      <c r="AT932" s="749"/>
    </row>
    <row r="933" spans="1:46">
      <c r="C933" s="1112"/>
      <c r="D933" s="718" t="s">
        <v>591</v>
      </c>
      <c r="E933" s="1270" t="s">
        <v>1704</v>
      </c>
      <c r="F933" s="1271" t="s">
        <v>519</v>
      </c>
      <c r="G933" s="1095"/>
      <c r="H933" s="828">
        <f>+G936</f>
        <v>276.2534</v>
      </c>
      <c r="I933" s="828">
        <f t="shared" ref="I933:P933" si="1194">+H936</f>
        <v>276.34899999999999</v>
      </c>
      <c r="J933" s="828">
        <f t="shared" si="1194"/>
        <v>278.40659999999997</v>
      </c>
      <c r="K933" s="828">
        <f t="shared" si="1194"/>
        <v>277.15859999999998</v>
      </c>
      <c r="L933" s="828">
        <f t="shared" si="1194"/>
        <v>279.43509999999998</v>
      </c>
      <c r="M933" s="828">
        <f t="shared" si="1194"/>
        <v>280.87</v>
      </c>
      <c r="N933" s="828">
        <f t="shared" si="1194"/>
        <v>285.97000000000003</v>
      </c>
      <c r="O933" s="828">
        <f t="shared" si="1194"/>
        <v>288.02800000000002</v>
      </c>
      <c r="P933" s="828">
        <f t="shared" si="1194"/>
        <v>285.78800000000001</v>
      </c>
      <c r="Q933" s="828">
        <f t="shared" ref="Q933:AE933" si="1195">+P936</f>
        <v>288.33</v>
      </c>
      <c r="R933" s="828">
        <f t="shared" si="1195"/>
        <v>294.90499999999997</v>
      </c>
      <c r="S933" s="828">
        <f t="shared" si="1195"/>
        <v>297.42700000000002</v>
      </c>
      <c r="T933" s="828">
        <f t="shared" si="1195"/>
        <v>299.99799999999999</v>
      </c>
      <c r="U933" s="828">
        <f t="shared" si="1195"/>
        <v>327.62799999999999</v>
      </c>
      <c r="V933" s="828">
        <f t="shared" si="1195"/>
        <v>347.17099999999999</v>
      </c>
      <c r="W933" s="828">
        <f t="shared" si="1195"/>
        <v>364.08300000000003</v>
      </c>
      <c r="X933" s="828">
        <f t="shared" si="1195"/>
        <v>388.93799999999999</v>
      </c>
      <c r="Y933" s="828">
        <f t="shared" si="1195"/>
        <v>404.29300000000001</v>
      </c>
      <c r="Z933" s="828">
        <f t="shared" si="1195"/>
        <v>413.733</v>
      </c>
      <c r="AA933" s="828">
        <f t="shared" si="1195"/>
        <v>428.1224603</v>
      </c>
      <c r="AB933" s="2230">
        <f t="shared" si="1195"/>
        <v>435.31235900000001</v>
      </c>
      <c r="AC933" s="2230">
        <f t="shared" si="1195"/>
        <v>448.16092609999998</v>
      </c>
      <c r="AD933" s="2230">
        <f t="shared" si="1195"/>
        <v>452.17036289999999</v>
      </c>
      <c r="AE933" s="2230">
        <f t="shared" ca="1" si="1195"/>
        <v>460.39291977571952</v>
      </c>
      <c r="AI933" s="749"/>
      <c r="AJ933" s="749"/>
      <c r="AK933" s="828">
        <v>412.77040970000002</v>
      </c>
      <c r="AL933" s="749"/>
      <c r="AM933" s="828">
        <f t="shared" si="1124"/>
        <v>0.96259029999998802</v>
      </c>
      <c r="AN933" s="749"/>
      <c r="AO933" s="749"/>
      <c r="AP933" s="749"/>
      <c r="AQ933" s="749"/>
      <c r="AR933" s="749"/>
      <c r="AS933" s="749"/>
      <c r="AT933" s="749"/>
    </row>
    <row r="934" spans="1:46">
      <c r="C934" s="1113" t="s">
        <v>2133</v>
      </c>
      <c r="D934" s="724" t="s">
        <v>591</v>
      </c>
      <c r="E934" s="1272" t="str">
        <f>+E896</f>
        <v>Net-lending</v>
      </c>
      <c r="F934" s="1273" t="s">
        <v>1707</v>
      </c>
      <c r="G934" s="756">
        <f t="shared" ref="G934:X934" si="1196">+G874</f>
        <v>-9.39299999999999</v>
      </c>
      <c r="H934" s="756">
        <f t="shared" si="1196"/>
        <v>-8.4894000000000069</v>
      </c>
      <c r="I934" s="756">
        <f t="shared" si="1196"/>
        <v>-4.8017000000000154</v>
      </c>
      <c r="J934" s="756">
        <f t="shared" si="1196"/>
        <v>-2.2229000000000005</v>
      </c>
      <c r="K934" s="756">
        <f t="shared" si="1196"/>
        <v>-1.3454000000000077</v>
      </c>
      <c r="L934" s="756">
        <f t="shared" si="1196"/>
        <v>-0.18569999999999087</v>
      </c>
      <c r="M934" s="756">
        <f t="shared" si="1196"/>
        <v>0.45690000000001518</v>
      </c>
      <c r="N934" s="756">
        <f t="shared" si="1196"/>
        <v>0.12460000000001958</v>
      </c>
      <c r="O934" s="756">
        <f t="shared" si="1196"/>
        <v>-4.9773000000000165</v>
      </c>
      <c r="P934" s="756">
        <f t="shared" si="1196"/>
        <v>-0.46859999999999857</v>
      </c>
      <c r="Q934" s="756">
        <f t="shared" si="1196"/>
        <v>-8.6006000000000213</v>
      </c>
      <c r="R934" s="756">
        <f t="shared" si="1196"/>
        <v>0.71650000000001768</v>
      </c>
      <c r="S934" s="756">
        <f t="shared" si="1196"/>
        <v>0.22570000000000956</v>
      </c>
      <c r="T934" s="756">
        <f t="shared" si="1196"/>
        <v>-3.9062000000000103</v>
      </c>
      <c r="U934" s="756">
        <f t="shared" si="1196"/>
        <v>-18.775100000000027</v>
      </c>
      <c r="V934" s="756">
        <f t="shared" si="1196"/>
        <v>-14.609099999999977</v>
      </c>
      <c r="W934" s="756">
        <f t="shared" si="1196"/>
        <v>-15.651799999999987</v>
      </c>
      <c r="X934" s="756">
        <f t="shared" si="1196"/>
        <v>-16.409399999999998</v>
      </c>
      <c r="Y934" s="756">
        <f t="shared" ref="Y934:AA934" si="1197">+Y874</f>
        <v>-12.310200000000004</v>
      </c>
      <c r="Z934" s="756">
        <f t="shared" si="1197"/>
        <v>-12.324699999999979</v>
      </c>
      <c r="AA934" s="756">
        <f t="shared" si="1197"/>
        <v>-10.179399999999992</v>
      </c>
      <c r="AB934" s="2228">
        <f t="shared" ref="AB934:AC934" si="1198">+AB874</f>
        <v>-10.492300000000027</v>
      </c>
      <c r="AC934" s="2228">
        <f t="shared" si="1198"/>
        <v>-4.5226000000000059</v>
      </c>
      <c r="AD934" s="2228">
        <f t="shared" ref="AD934" ca="1" si="1199">+AD874</f>
        <v>-4.9425568757195668</v>
      </c>
      <c r="AE934" s="2228">
        <f t="shared" ref="AE934" ca="1" si="1200">+AE874</f>
        <v>-6.281124823636886</v>
      </c>
      <c r="AI934" s="749"/>
      <c r="AJ934" s="749"/>
      <c r="AK934" s="756">
        <v>-13.057900000000016</v>
      </c>
      <c r="AL934" s="749"/>
      <c r="AM934" s="756">
        <f t="shared" si="1124"/>
        <v>0.73320000000003738</v>
      </c>
      <c r="AN934" s="749"/>
      <c r="AO934" s="749"/>
      <c r="AP934" s="749"/>
      <c r="AQ934" s="749"/>
      <c r="AR934" s="749"/>
      <c r="AS934" s="749"/>
      <c r="AT934" s="749"/>
    </row>
    <row r="935" spans="1:46">
      <c r="C935" s="1114" t="s">
        <v>622</v>
      </c>
      <c r="D935" s="726" t="s">
        <v>591</v>
      </c>
      <c r="E935" s="1274" t="s">
        <v>1705</v>
      </c>
      <c r="F935" s="1275" t="s">
        <v>1708</v>
      </c>
      <c r="G935" s="1168"/>
      <c r="H935" s="1124">
        <f t="shared" ref="H935:V935" si="1201">H936-H933+H934</f>
        <v>-8.3938000000000166</v>
      </c>
      <c r="I935" s="1124">
        <f t="shared" si="1201"/>
        <v>-2.744100000000036</v>
      </c>
      <c r="J935" s="1124">
        <f t="shared" si="1201"/>
        <v>-3.470899999999991</v>
      </c>
      <c r="K935" s="1124">
        <f t="shared" si="1201"/>
        <v>0.93109999999999093</v>
      </c>
      <c r="L935" s="1124">
        <f t="shared" si="1201"/>
        <v>1.2492000000000365</v>
      </c>
      <c r="M935" s="1124">
        <f t="shared" si="1201"/>
        <v>5.5569000000000379</v>
      </c>
      <c r="N935" s="1124">
        <f t="shared" si="1201"/>
        <v>2.1826000000000123</v>
      </c>
      <c r="O935" s="1124">
        <f t="shared" si="1201"/>
        <v>-7.2173000000000256</v>
      </c>
      <c r="P935" s="1124">
        <f t="shared" si="1201"/>
        <v>2.0733999999999746</v>
      </c>
      <c r="Q935" s="1124">
        <f t="shared" si="1201"/>
        <v>-2.0256000000000327</v>
      </c>
      <c r="R935" s="1124">
        <f t="shared" si="1201"/>
        <v>3.2385000000000659</v>
      </c>
      <c r="S935" s="1124">
        <f t="shared" si="1201"/>
        <v>2.7966999999999791</v>
      </c>
      <c r="T935" s="1124">
        <f t="shared" si="1201"/>
        <v>23.723799999999986</v>
      </c>
      <c r="U935" s="1124">
        <f t="shared" si="1201"/>
        <v>0.7678999999999796</v>
      </c>
      <c r="V935" s="1124">
        <f t="shared" si="1201"/>
        <v>2.3029000000000579</v>
      </c>
      <c r="W935" s="1124">
        <f t="shared" ref="W935:AC935" si="1202">W936-W933+W934</f>
        <v>9.2031999999999741</v>
      </c>
      <c r="X935" s="1124">
        <f t="shared" si="1202"/>
        <v>-1.0543999999999798</v>
      </c>
      <c r="Y935" s="1124">
        <f t="shared" si="1202"/>
        <v>-2.8702000000000059</v>
      </c>
      <c r="Z935" s="1124">
        <f t="shared" si="1202"/>
        <v>2.0647603000000174</v>
      </c>
      <c r="AA935" s="1124">
        <f t="shared" si="1202"/>
        <v>-2.9895012999999775</v>
      </c>
      <c r="AB935" s="1124">
        <f t="shared" si="1202"/>
        <v>2.3562670999999415</v>
      </c>
      <c r="AC935" s="1124">
        <f t="shared" si="1202"/>
        <v>-0.51316320000000282</v>
      </c>
      <c r="AD935" s="3754">
        <v>3.28</v>
      </c>
      <c r="AE935" s="3754">
        <v>3.24</v>
      </c>
      <c r="AI935" s="749"/>
      <c r="AJ935" s="749"/>
      <c r="AK935" s="1124">
        <v>2.5362430999999805</v>
      </c>
      <c r="AL935" s="749"/>
      <c r="AM935" s="1124">
        <f t="shared" si="1124"/>
        <v>-0.47148279999996312</v>
      </c>
      <c r="AN935" s="749"/>
      <c r="AO935" s="749"/>
      <c r="AP935" s="749"/>
      <c r="AQ935" s="749"/>
      <c r="AR935" s="749"/>
      <c r="AS935" s="749"/>
      <c r="AT935" s="749"/>
    </row>
    <row r="936" spans="1:46">
      <c r="A936" s="714">
        <f>+ROW(InputY!A175)</f>
        <v>175</v>
      </c>
      <c r="B936" s="713">
        <v>128</v>
      </c>
      <c r="C936" s="744" t="s">
        <v>624</v>
      </c>
      <c r="D936" s="817" t="s">
        <v>591</v>
      </c>
      <c r="E936" s="1258" t="s">
        <v>1706</v>
      </c>
      <c r="F936" s="1260" t="s">
        <v>1709</v>
      </c>
      <c r="G936" s="1259">
        <f>+InputY!G175/1000</f>
        <v>276.2534</v>
      </c>
      <c r="H936" s="1259">
        <f>+InputY!H175/1000</f>
        <v>276.34899999999999</v>
      </c>
      <c r="I936" s="1259">
        <f>+InputY!I175/1000</f>
        <v>278.40659999999997</v>
      </c>
      <c r="J936" s="1259">
        <f>+InputY!J175/1000</f>
        <v>277.15859999999998</v>
      </c>
      <c r="K936" s="1259">
        <f>+InputY!K175/1000</f>
        <v>279.43509999999998</v>
      </c>
      <c r="L936" s="1259">
        <f>+InputY!L175/1000</f>
        <v>280.87</v>
      </c>
      <c r="M936" s="1259">
        <f>+InputY!M175/1000</f>
        <v>285.97000000000003</v>
      </c>
      <c r="N936" s="1259">
        <f>+InputY!N175/1000</f>
        <v>288.02800000000002</v>
      </c>
      <c r="O936" s="1259">
        <f>+InputY!O175/1000</f>
        <v>285.78800000000001</v>
      </c>
      <c r="P936" s="1259">
        <f>+InputY!P175/1000</f>
        <v>288.33</v>
      </c>
      <c r="Q936" s="1259">
        <f>+InputY!Q175/1000</f>
        <v>294.90499999999997</v>
      </c>
      <c r="R936" s="1259">
        <f>+InputY!R175/1000</f>
        <v>297.42700000000002</v>
      </c>
      <c r="S936" s="1259">
        <f>+InputY!S175/1000</f>
        <v>299.99799999999999</v>
      </c>
      <c r="T936" s="1259">
        <f>+InputY!T175/1000</f>
        <v>327.62799999999999</v>
      </c>
      <c r="U936" s="3324">
        <f>+InputY!U175/1000</f>
        <v>347.17099999999999</v>
      </c>
      <c r="V936" s="3324">
        <f>+InputY!V175/1000</f>
        <v>364.08300000000003</v>
      </c>
      <c r="W936" s="3324">
        <f>+InputY!W175/1000</f>
        <v>388.93799999999999</v>
      </c>
      <c r="X936" s="3324">
        <f>+InputY!X175/1000</f>
        <v>404.29300000000001</v>
      </c>
      <c r="Y936" s="3324">
        <f>+InputY!Y175/1000</f>
        <v>413.733</v>
      </c>
      <c r="Z936" s="3324">
        <f>+InputY!Z175/1000</f>
        <v>428.1224603</v>
      </c>
      <c r="AA936" s="3324">
        <f>+InputY!AA175/1000</f>
        <v>435.31235900000001</v>
      </c>
      <c r="AB936" s="3324">
        <f>+InputY!AB175/1000</f>
        <v>448.16092609999998</v>
      </c>
      <c r="AC936" s="3324">
        <f>+InputY!AC175/1000</f>
        <v>452.17036289999999</v>
      </c>
      <c r="AD936" s="3333">
        <f ca="1">+AD933-AD934+AD935</f>
        <v>460.39291977571952</v>
      </c>
      <c r="AE936" s="3333">
        <f ca="1">+AE933-AE934+AE935</f>
        <v>469.91404459935643</v>
      </c>
      <c r="AK936" s="3324">
        <v>428.36455280000001</v>
      </c>
      <c r="AM936" s="3324">
        <f t="shared" si="1124"/>
        <v>-0.24209250000001248</v>
      </c>
    </row>
    <row r="937" spans="1:46" ht="13.8" thickBot="1">
      <c r="D937" s="1278"/>
      <c r="E937" s="1279" t="s">
        <v>87</v>
      </c>
      <c r="F937" s="1280"/>
      <c r="G937" s="1279"/>
      <c r="H937" s="1287">
        <f>(H936/G936-1)*100</f>
        <v>3.4605908922746842E-2</v>
      </c>
      <c r="I937" s="1287">
        <f t="shared" ref="I937:AE937" si="1203">(I936/H936-1)*100</f>
        <v>0.74456574838337453</v>
      </c>
      <c r="J937" s="1287">
        <f t="shared" si="1203"/>
        <v>-0.44826523509140515</v>
      </c>
      <c r="K937" s="1287">
        <f t="shared" si="1203"/>
        <v>0.82137086852076546</v>
      </c>
      <c r="L937" s="1287">
        <f t="shared" si="1203"/>
        <v>0.51350027251408914</v>
      </c>
      <c r="M937" s="1287">
        <f t="shared" si="1203"/>
        <v>1.8157866628689456</v>
      </c>
      <c r="N937" s="1287">
        <f t="shared" si="1203"/>
        <v>0.71965590796236878</v>
      </c>
      <c r="O937" s="1287">
        <f t="shared" si="1203"/>
        <v>-0.77770216784479596</v>
      </c>
      <c r="P937" s="1287">
        <f t="shared" si="1203"/>
        <v>0.88947051660670517</v>
      </c>
      <c r="Q937" s="1287">
        <f t="shared" si="1203"/>
        <v>2.2803731835050023</v>
      </c>
      <c r="R937" s="1287">
        <f t="shared" si="1203"/>
        <v>0.85519065461761024</v>
      </c>
      <c r="S937" s="1287">
        <f t="shared" si="1203"/>
        <v>0.86441378892971876</v>
      </c>
      <c r="T937" s="1287">
        <f t="shared" ref="T937:Y937" si="1204">(T936/S936-1)*100</f>
        <v>9.2100614004093408</v>
      </c>
      <c r="U937" s="1287">
        <f t="shared" si="1204"/>
        <v>5.9649968867129921</v>
      </c>
      <c r="V937" s="1287">
        <f t="shared" si="1204"/>
        <v>4.8713746251847212</v>
      </c>
      <c r="W937" s="1287">
        <f t="shared" si="1204"/>
        <v>6.8267400565255709</v>
      </c>
      <c r="X937" s="1287">
        <f t="shared" si="1204"/>
        <v>3.9479300042680299</v>
      </c>
      <c r="Y937" s="1287">
        <f t="shared" si="1204"/>
        <v>2.3349402537268693</v>
      </c>
      <c r="Z937" s="2260">
        <f t="shared" si="1203"/>
        <v>3.4779580792443365</v>
      </c>
      <c r="AA937" s="2260">
        <f t="shared" si="1203"/>
        <v>1.6794023595402496</v>
      </c>
      <c r="AB937" s="2260">
        <f t="shared" si="1203"/>
        <v>2.9515741591889855</v>
      </c>
      <c r="AC937" s="2260">
        <f t="shared" si="1203"/>
        <v>0.89464220696147123</v>
      </c>
      <c r="AD937" s="2260">
        <f t="shared" ca="1" si="1203"/>
        <v>1.8184643555548607</v>
      </c>
      <c r="AE937" s="2260">
        <f t="shared" ca="1" si="1203"/>
        <v>2.0680432766592372</v>
      </c>
      <c r="AK937" s="2260">
        <v>3.7779217534836818</v>
      </c>
      <c r="AM937" s="2260">
        <f t="shared" si="1124"/>
        <v>-0.29996367423934522</v>
      </c>
    </row>
    <row r="938" spans="1:46" ht="13.8" thickBot="1">
      <c r="D938" s="1281" t="s">
        <v>591</v>
      </c>
      <c r="E938" s="1282" t="s">
        <v>1301</v>
      </c>
      <c r="F938" s="1283"/>
      <c r="G938" s="1364">
        <f ca="1">+G936/'VVP2'!G$355</f>
        <v>1.3074558854431901</v>
      </c>
      <c r="H938" s="1364">
        <f>+H936/'VVP2'!H$355</f>
        <v>1.2797347811268189</v>
      </c>
      <c r="I938" s="1364">
        <f>+I936/'VVP2'!I$355</f>
        <v>1.2320582452348487</v>
      </c>
      <c r="J938" s="1364">
        <f>+J936/'VVP2'!J$355</f>
        <v>1.1819654261852124</v>
      </c>
      <c r="K938" s="1364">
        <f>+K936/'VVP2'!K$355</f>
        <v>1.144166059305725</v>
      </c>
      <c r="L938" s="1364">
        <f>+L936/'VVP2'!L$355</f>
        <v>1.0877074765124584</v>
      </c>
      <c r="M938" s="1364">
        <f>+M936/'VVP2'!M$355</f>
        <v>1.0759310790087153</v>
      </c>
      <c r="N938" s="1364">
        <f>+N936/'VVP2'!N$355</f>
        <v>1.0471266620156467</v>
      </c>
      <c r="O938" s="1364">
        <f>+O936/'VVP2'!O$355</f>
        <v>1.0111503645141373</v>
      </c>
      <c r="P938" s="1364">
        <f>+P936/'VVP2'!P$355</f>
        <v>0.96524799237255554</v>
      </c>
      <c r="Q938" s="1364">
        <f>+Q936/'VVP2'!Q$355</f>
        <v>0.94678387881371817</v>
      </c>
      <c r="R938" s="1364">
        <f>+R936/'VVP2'!R$355</f>
        <v>0.91050354479445295</v>
      </c>
      <c r="S938" s="1364">
        <f>+S936/'VVP2'!S$355</f>
        <v>0.87028465750444217</v>
      </c>
      <c r="T938" s="1364">
        <f>+T936/'VVP2'!T$355</f>
        <v>0.92533056699331961</v>
      </c>
      <c r="U938" s="1364">
        <f>+U936/'VVP2'!U$355</f>
        <v>0.99538363747347547</v>
      </c>
      <c r="V938" s="1364">
        <f>+V936/'VVP2'!V$355</f>
        <v>0.99721309612010944</v>
      </c>
      <c r="W938" s="1364">
        <f>+W936/'VVP2'!W$355</f>
        <v>1.025933887144582</v>
      </c>
      <c r="X938" s="1364">
        <f>+X936/'VVP2'!X$355</f>
        <v>1.0433365049454182</v>
      </c>
      <c r="Y938" s="1364">
        <f>+Y936/'VVP2'!Y$355</f>
        <v>1.054527223595465</v>
      </c>
      <c r="Z938" s="1364">
        <f>+Z936/'VVP2'!Z$355</f>
        <v>1.0695355503859469</v>
      </c>
      <c r="AA938" s="1364">
        <f>+AA936/'VVP2'!AA$355</f>
        <v>1.0606116605008538</v>
      </c>
      <c r="AB938" s="1364">
        <f>+AB936/'VVP2'!AB$355</f>
        <v>1.0593608818754543</v>
      </c>
      <c r="AC938" s="1364">
        <f>+AC936/'VVP2'!AC$355</f>
        <v>1.0312115018406576</v>
      </c>
      <c r="AD938" s="2261">
        <f ca="1">+AD936/'VVP2'!AD$355</f>
        <v>1.0154838249441926</v>
      </c>
      <c r="AE938" s="2261">
        <f ca="1">+AE936/'VVP2'!AE$355</f>
        <v>1.0018613979098587</v>
      </c>
      <c r="AK938" s="1364">
        <v>1.0648682546548338</v>
      </c>
      <c r="AM938" s="1364">
        <f t="shared" si="1124"/>
        <v>4.6672957311131302E-3</v>
      </c>
    </row>
    <row r="939" spans="1:46" ht="30" customHeight="1">
      <c r="R939" s="2233"/>
      <c r="S939" s="3340"/>
      <c r="T939" s="3340"/>
      <c r="U939" s="3340"/>
      <c r="V939" s="3340"/>
      <c r="W939" s="3340"/>
      <c r="X939" s="3340"/>
      <c r="Y939" s="3340"/>
      <c r="Z939" s="3340"/>
      <c r="AA939" s="3340"/>
      <c r="AB939" s="3340"/>
      <c r="AC939" s="3340"/>
      <c r="AD939" s="3340"/>
      <c r="AE939" s="3340"/>
      <c r="AK939" s="3340"/>
      <c r="AM939" s="3340">
        <f t="shared" si="1124"/>
        <v>0</v>
      </c>
    </row>
    <row r="940" spans="1:46" ht="12.75" customHeight="1">
      <c r="A940" s="714"/>
      <c r="B940" s="714"/>
      <c r="C940" s="822"/>
      <c r="D940" s="858"/>
      <c r="E940" s="859" t="s">
        <v>1117</v>
      </c>
      <c r="F940" s="860"/>
      <c r="G940" s="861">
        <f>+InputY!$G$3</f>
        <v>1995</v>
      </c>
      <c r="H940" s="861">
        <f>+G940+1</f>
        <v>1996</v>
      </c>
      <c r="I940" s="861">
        <f t="shared" ref="I940:S940" si="1205">+H940+1</f>
        <v>1997</v>
      </c>
      <c r="J940" s="861">
        <f t="shared" si="1205"/>
        <v>1998</v>
      </c>
      <c r="K940" s="861">
        <f t="shared" si="1205"/>
        <v>1999</v>
      </c>
      <c r="L940" s="861">
        <f t="shared" si="1205"/>
        <v>2000</v>
      </c>
      <c r="M940" s="861">
        <f t="shared" si="1205"/>
        <v>2001</v>
      </c>
      <c r="N940" s="861">
        <f t="shared" si="1205"/>
        <v>2002</v>
      </c>
      <c r="O940" s="861">
        <f t="shared" si="1205"/>
        <v>2003</v>
      </c>
      <c r="P940" s="861">
        <f>+O940+1</f>
        <v>2004</v>
      </c>
      <c r="Q940" s="861">
        <f t="shared" si="1205"/>
        <v>2005</v>
      </c>
      <c r="R940" s="2196">
        <f t="shared" si="1205"/>
        <v>2006</v>
      </c>
      <c r="S940" s="2196">
        <f t="shared" si="1205"/>
        <v>2007</v>
      </c>
      <c r="T940" s="2196">
        <f t="shared" ref="T940:AE940" si="1206">+S940+1</f>
        <v>2008</v>
      </c>
      <c r="U940" s="2196">
        <f t="shared" si="1206"/>
        <v>2009</v>
      </c>
      <c r="V940" s="2196">
        <f t="shared" si="1206"/>
        <v>2010</v>
      </c>
      <c r="W940" s="2196">
        <f t="shared" si="1206"/>
        <v>2011</v>
      </c>
      <c r="X940" s="2196">
        <f t="shared" si="1206"/>
        <v>2012</v>
      </c>
      <c r="Y940" s="2196">
        <f t="shared" si="1206"/>
        <v>2013</v>
      </c>
      <c r="Z940" s="2196">
        <f t="shared" si="1206"/>
        <v>2014</v>
      </c>
      <c r="AA940" s="2196">
        <f t="shared" si="1206"/>
        <v>2015</v>
      </c>
      <c r="AB940" s="2196">
        <f t="shared" si="1206"/>
        <v>2016</v>
      </c>
      <c r="AC940" s="2196">
        <f t="shared" si="1206"/>
        <v>2017</v>
      </c>
      <c r="AD940" s="2196">
        <f t="shared" si="1206"/>
        <v>2018</v>
      </c>
      <c r="AE940" s="2196">
        <f t="shared" si="1206"/>
        <v>2019</v>
      </c>
      <c r="AK940" s="2196">
        <v>2014</v>
      </c>
      <c r="AM940" s="2196">
        <f t="shared" si="1124"/>
        <v>0</v>
      </c>
    </row>
    <row r="941" spans="1:46">
      <c r="C941" s="1437"/>
      <c r="D941" s="867" t="s">
        <v>591</v>
      </c>
      <c r="E941" s="1438" t="s">
        <v>169</v>
      </c>
      <c r="F941" s="1439"/>
      <c r="G941" s="1085"/>
      <c r="H941" s="878">
        <f t="shared" ref="H941:R941" ca="1" si="1207">+H944-H943-H942</f>
        <v>-2.8163814965136758E-2</v>
      </c>
      <c r="I941" s="878">
        <f t="shared" si="1207"/>
        <v>-5.6782221767934335E-2</v>
      </c>
      <c r="J941" s="878">
        <f t="shared" si="1207"/>
        <v>-4.4770621391403365E-2</v>
      </c>
      <c r="K941" s="878">
        <f t="shared" si="1207"/>
        <v>-4.7120651263623373E-2</v>
      </c>
      <c r="L941" s="878">
        <f t="shared" si="1207"/>
        <v>-6.201542922773013E-2</v>
      </c>
      <c r="M941" s="878">
        <f t="shared" si="1207"/>
        <v>-3.0964593828338181E-2</v>
      </c>
      <c r="N941" s="878">
        <f t="shared" si="1207"/>
        <v>-3.6286282195160703E-2</v>
      </c>
      <c r="O941" s="878">
        <f t="shared" si="1207"/>
        <v>-2.8050923390239273E-2</v>
      </c>
      <c r="P941" s="878">
        <f>+P944-P943-P942</f>
        <v>-5.4412275365703471E-2</v>
      </c>
      <c r="Q941" s="878">
        <f t="shared" si="1207"/>
        <v>-3.9572958791031419E-2</v>
      </c>
      <c r="R941" s="2247">
        <f t="shared" si="1207"/>
        <v>-4.4000850112194428E-2</v>
      </c>
      <c r="S941" s="2247">
        <f t="shared" ref="S941:U941" si="1208">+S944-S943-S942</f>
        <v>-4.7677276527418669E-2</v>
      </c>
      <c r="T941" s="2247">
        <f t="shared" si="1208"/>
        <v>-2.2990410868434567E-2</v>
      </c>
      <c r="U941" s="2247">
        <f t="shared" si="1208"/>
        <v>1.4020791208142529E-2</v>
      </c>
      <c r="V941" s="2247">
        <f>+V944-V943-V942</f>
        <v>-4.4492033654800929E-2</v>
      </c>
      <c r="W941" s="2247">
        <f>+W944-W943-W942</f>
        <v>-3.6841295387702505E-2</v>
      </c>
      <c r="X941" s="2247">
        <f t="shared" ref="X941:Y941" si="1209">+X944-X943-X942</f>
        <v>-2.2223178424764838E-2</v>
      </c>
      <c r="Y941" s="2247">
        <f t="shared" si="1209"/>
        <v>-1.2870057238608859E-2</v>
      </c>
      <c r="Z941" s="2204">
        <f t="shared" ref="Z941:AD941" si="1210">+Z944-Z943-Z942</f>
        <v>-2.0939423605357867E-2</v>
      </c>
      <c r="AA941" s="2204">
        <f t="shared" si="1210"/>
        <v>-2.6441633733574051E-2</v>
      </c>
      <c r="AB941" s="2204">
        <f t="shared" si="1210"/>
        <v>-3.162216662733959E-2</v>
      </c>
      <c r="AC941" s="2204">
        <f t="shared" si="1210"/>
        <v>-3.7293228644303199E-2</v>
      </c>
      <c r="AD941" s="2204">
        <f t="shared" ca="1" si="1210"/>
        <v>-3.3864084187533866E-2</v>
      </c>
      <c r="AE941" s="2204">
        <f t="shared" ref="AE941" ca="1" si="1211">+AE944-AE943-AE942</f>
        <v>-3.3921559471662588E-2</v>
      </c>
      <c r="AK941" s="2204">
        <v>-1.819281655093008E-2</v>
      </c>
      <c r="AM941" s="2204">
        <f t="shared" si="1124"/>
        <v>-2.7466070544277868E-3</v>
      </c>
    </row>
    <row r="942" spans="1:46">
      <c r="C942" s="1440" t="s">
        <v>622</v>
      </c>
      <c r="D942" s="724" t="s">
        <v>591</v>
      </c>
      <c r="E942" s="1272" t="s">
        <v>170</v>
      </c>
      <c r="F942" s="1436" t="s">
        <v>171</v>
      </c>
      <c r="G942" s="1085"/>
      <c r="H942" s="879">
        <f>-H934/'VVP2'!H$355</f>
        <v>3.9313261314128246E-2</v>
      </c>
      <c r="I942" s="879">
        <f>-I934/'VVP2'!I$355</f>
        <v>2.1249403125300163E-2</v>
      </c>
      <c r="J942" s="879">
        <f>-J934/'VVP2'!J$355</f>
        <v>9.4797381205818966E-3</v>
      </c>
      <c r="K942" s="879">
        <f>-K934/'VVP2'!K$355</f>
        <v>5.5088319834907329E-3</v>
      </c>
      <c r="L942" s="879">
        <f>-L934/'VVP2'!L$355</f>
        <v>7.1914863954268375E-4</v>
      </c>
      <c r="M942" s="879">
        <f>-M934/'VVP2'!M$355</f>
        <v>-1.7190366471976021E-3</v>
      </c>
      <c r="N942" s="879">
        <f>-N934/'VVP2'!N$355</f>
        <v>-4.5298367550088907E-4</v>
      </c>
      <c r="O942" s="879">
        <f>-O934/'VVP2'!O$355</f>
        <v>1.7610252037511136E-2</v>
      </c>
      <c r="P942" s="879">
        <f>-P934/'VVP2'!P$355</f>
        <v>1.5687414047299213E-3</v>
      </c>
      <c r="Q942" s="879">
        <f>-Q934/'VVP2'!Q$355</f>
        <v>2.761197479908881E-2</v>
      </c>
      <c r="R942" s="2248">
        <f>-R934/'VVP2'!R$355</f>
        <v>-2.1933980097477417E-3</v>
      </c>
      <c r="S942" s="2248">
        <f>-S934/'VVP2'!S$355</f>
        <v>-6.5474852231935186E-4</v>
      </c>
      <c r="T942" s="2248">
        <f>-T934/'VVP2'!T$355</f>
        <v>1.1032409503428629E-2</v>
      </c>
      <c r="U942" s="2248">
        <f>-U934/'VVP2'!U$355</f>
        <v>5.3830611807807328E-2</v>
      </c>
      <c r="V942" s="2248">
        <f>-V934/'VVP2'!V$355</f>
        <v>4.0013913977110349E-2</v>
      </c>
      <c r="W942" s="2248">
        <f>-W934/'VVP2'!W$355</f>
        <v>4.1286045628890863E-2</v>
      </c>
      <c r="X942" s="2248">
        <f>-X934/'VVP2'!X$355</f>
        <v>4.2346827781463793E-2</v>
      </c>
      <c r="Y942" s="2248">
        <f>-Y934/'VVP2'!Y$355</f>
        <v>3.1376373235649312E-2</v>
      </c>
      <c r="Z942" s="2138">
        <f>-Z934/'VVP2'!Z$355</f>
        <v>3.0789566117612206E-2</v>
      </c>
      <c r="AA942" s="2138">
        <f>-AA934/'VVP2'!AA$355</f>
        <v>2.4801479015445049E-2</v>
      </c>
      <c r="AB942" s="2138">
        <f>-AB934/'VVP2'!AB$355</f>
        <v>2.4801653900593943E-2</v>
      </c>
      <c r="AC942" s="2138">
        <f>-AC934/'VVP2'!AC$355</f>
        <v>1.0314159265798629E-2</v>
      </c>
      <c r="AD942" s="2138">
        <f ca="1">-AD934/'VVP2'!AD$355</f>
        <v>1.0901745760132395E-2</v>
      </c>
      <c r="AE942" s="2138">
        <f ca="1">-AE934/'VVP2'!AE$355</f>
        <v>1.3391420342884945E-2</v>
      </c>
      <c r="AK942" s="2138">
        <v>3.2460536455614426E-2</v>
      </c>
      <c r="AM942" s="2138">
        <f t="shared" si="1124"/>
        <v>-1.6709703380022208E-3</v>
      </c>
    </row>
    <row r="943" spans="1:46">
      <c r="C943" s="1441" t="s">
        <v>622</v>
      </c>
      <c r="D943" s="872" t="s">
        <v>591</v>
      </c>
      <c r="E943" s="1442" t="s">
        <v>168</v>
      </c>
      <c r="F943" s="1443" t="s">
        <v>1708</v>
      </c>
      <c r="G943" s="1418"/>
      <c r="H943" s="880">
        <f>(H935)/'VVP2'!H$355</f>
        <v>-3.8870550665362692E-2</v>
      </c>
      <c r="I943" s="880">
        <f>(I935)/'VVP2'!I$355</f>
        <v>-1.2143717249336017E-2</v>
      </c>
      <c r="J943" s="880">
        <f>(J935)/'VVP2'!J$355</f>
        <v>-1.4801935778814886E-2</v>
      </c>
      <c r="K943" s="880">
        <f>(K935)/'VVP2'!K$355</f>
        <v>3.812452400645267E-3</v>
      </c>
      <c r="L943" s="880">
        <f>(L935)/'VVP2'!L$355</f>
        <v>4.8376977949207917E-3</v>
      </c>
      <c r="M943" s="880">
        <f>(M935)/'VVP2'!M$355</f>
        <v>2.0907232971792741E-2</v>
      </c>
      <c r="N943" s="880">
        <f>(N935)/'VVP2'!N$355</f>
        <v>7.9348488775930221E-3</v>
      </c>
      <c r="O943" s="880">
        <f>(O935)/'VVP2'!O$355</f>
        <v>-2.5535626148781299E-2</v>
      </c>
      <c r="P943" s="880">
        <f>(P935)/'VVP2'!P$355</f>
        <v>6.9411618193917814E-3</v>
      </c>
      <c r="Q943" s="880">
        <f>(Q935)/'VVP2'!Q$355</f>
        <v>-6.5031295668947584E-3</v>
      </c>
      <c r="R943" s="2262">
        <f>(R935)/'VVP2'!R$355</f>
        <v>9.9139141026769444E-3</v>
      </c>
      <c r="S943" s="2262">
        <f>(S935)/'VVP2'!S$355</f>
        <v>8.1131377597272493E-3</v>
      </c>
      <c r="T943" s="2262">
        <f>(T935)/'VVP2'!T$355</f>
        <v>6.7003910853883381E-2</v>
      </c>
      <c r="U943" s="2262">
        <f>(U935)/'VVP2'!U$355</f>
        <v>2.2016674642060009E-3</v>
      </c>
      <c r="V943" s="2262">
        <f>(V935)/'VVP2'!V$355</f>
        <v>6.3075783243245571E-3</v>
      </c>
      <c r="W943" s="2262">
        <f>(W935)/'VVP2'!W$355</f>
        <v>2.42760407832842E-2</v>
      </c>
      <c r="X943" s="2262">
        <f>(X935)/'VVP2'!X$355</f>
        <v>-2.7210315558627725E-3</v>
      </c>
      <c r="Y943" s="2262">
        <f>(Y935)/'VVP2'!Y$355</f>
        <v>-7.3155973469936162E-3</v>
      </c>
      <c r="Z943" s="2226">
        <f>(Z935)/'VVP2'!Z$355</f>
        <v>5.1581842782275804E-3</v>
      </c>
      <c r="AA943" s="2226">
        <f>(AA935)/'VVP2'!AA$355</f>
        <v>-7.2837351669641816E-3</v>
      </c>
      <c r="AB943" s="2226">
        <f>(AB935)/'VVP2'!AB$355</f>
        <v>5.5697341013461847E-3</v>
      </c>
      <c r="AC943" s="2226">
        <f>(AC935)/'VVP2'!AC$355</f>
        <v>-1.1703106562921544E-3</v>
      </c>
      <c r="AD943" s="2226">
        <f ca="1">(AD935)/'VVP2'!AD$355</f>
        <v>7.2346615309365429E-3</v>
      </c>
      <c r="AE943" s="2226">
        <f ca="1">(AE935)/'VVP2'!AE$355</f>
        <v>6.9077120944437253E-3</v>
      </c>
      <c r="AK943" s="2226">
        <v>6.304827851940191E-3</v>
      </c>
      <c r="AM943" s="2226">
        <f t="shared" si="1124"/>
        <v>-1.1466435737126105E-3</v>
      </c>
    </row>
    <row r="944" spans="1:46" s="941" customFormat="1" ht="26.4">
      <c r="A944" s="714"/>
      <c r="B944" s="1433"/>
      <c r="C944" s="1434" t="s">
        <v>624</v>
      </c>
      <c r="D944" s="1444" t="s">
        <v>591</v>
      </c>
      <c r="E944" s="1445" t="s">
        <v>167</v>
      </c>
      <c r="F944" s="1446" t="s">
        <v>172</v>
      </c>
      <c r="G944" s="1447"/>
      <c r="H944" s="1435">
        <f ca="1">+H938-G938</f>
        <v>-2.7721104316371203E-2</v>
      </c>
      <c r="I944" s="1435">
        <f t="shared" ref="I944:AE944" si="1212">+I938-H938</f>
        <v>-4.7676535891970184E-2</v>
      </c>
      <c r="J944" s="1435">
        <f t="shared" si="1212"/>
        <v>-5.0092819049636361E-2</v>
      </c>
      <c r="K944" s="1435">
        <f t="shared" si="1212"/>
        <v>-3.7799366879487373E-2</v>
      </c>
      <c r="L944" s="1435">
        <f t="shared" si="1212"/>
        <v>-5.6458582793266654E-2</v>
      </c>
      <c r="M944" s="1435">
        <f t="shared" si="1212"/>
        <v>-1.1776397503743041E-2</v>
      </c>
      <c r="N944" s="1435">
        <f t="shared" si="1212"/>
        <v>-2.8804416993068571E-2</v>
      </c>
      <c r="O944" s="1435">
        <f t="shared" si="1212"/>
        <v>-3.5976297501509436E-2</v>
      </c>
      <c r="P944" s="1435">
        <f t="shared" si="1212"/>
        <v>-4.5902372141581771E-2</v>
      </c>
      <c r="Q944" s="1435">
        <f t="shared" si="1212"/>
        <v>-1.8464113558837369E-2</v>
      </c>
      <c r="R944" s="2263">
        <f t="shared" si="1212"/>
        <v>-3.6280334019265226E-2</v>
      </c>
      <c r="S944" s="2263">
        <f t="shared" si="1212"/>
        <v>-4.0218887290010774E-2</v>
      </c>
      <c r="T944" s="2263">
        <f>+T938-S938</f>
        <v>5.5045909488877443E-2</v>
      </c>
      <c r="U944" s="2263">
        <f>+U938-T938</f>
        <v>7.0053070480155855E-2</v>
      </c>
      <c r="V944" s="2263">
        <f>+V938-U938</f>
        <v>1.8294586466339746E-3</v>
      </c>
      <c r="W944" s="2263">
        <f>+W938-V938</f>
        <v>2.8720791024472558E-2</v>
      </c>
      <c r="X944" s="2263">
        <f t="shared" ref="X944:Y944" si="1213">+X938-W938</f>
        <v>1.7402617800836184E-2</v>
      </c>
      <c r="Y944" s="2263">
        <f t="shared" si="1213"/>
        <v>1.1190718650046838E-2</v>
      </c>
      <c r="Z944" s="2892">
        <f t="shared" si="1212"/>
        <v>1.5008326790481918E-2</v>
      </c>
      <c r="AA944" s="2892">
        <f t="shared" si="1212"/>
        <v>-8.9238898850931836E-3</v>
      </c>
      <c r="AB944" s="2892">
        <f t="shared" si="1212"/>
        <v>-1.2507786253994624E-3</v>
      </c>
      <c r="AC944" s="2892">
        <f t="shared" si="1212"/>
        <v>-2.8149380034796723E-2</v>
      </c>
      <c r="AD944" s="2892">
        <f t="shared" ca="1" si="1212"/>
        <v>-1.5727676896464926E-2</v>
      </c>
      <c r="AE944" s="2892">
        <f t="shared" ca="1" si="1212"/>
        <v>-1.3622427034333917E-2</v>
      </c>
      <c r="AF944" s="2830"/>
      <c r="AG944" s="2830"/>
      <c r="AH944" s="2830"/>
      <c r="AI944" s="2830"/>
      <c r="AJ944" s="2830"/>
      <c r="AK944" s="2892">
        <v>2.0572547756624537E-2</v>
      </c>
      <c r="AL944" s="2830"/>
      <c r="AM944" s="2892">
        <f t="shared" si="1124"/>
        <v>-5.564220966142619E-3</v>
      </c>
      <c r="AN944" s="2830"/>
      <c r="AO944" s="2830"/>
      <c r="AP944" s="2830"/>
      <c r="AQ944" s="2830"/>
      <c r="AR944" s="2830"/>
      <c r="AS944" s="2830"/>
      <c r="AT944" s="2830"/>
    </row>
    <row r="945" spans="1:47" ht="30" customHeight="1">
      <c r="F945" s="1066"/>
      <c r="Q945" s="1823"/>
      <c r="S945" s="2162"/>
      <c r="T945" s="2162"/>
      <c r="U945" s="2928"/>
      <c r="AM945" s="2827">
        <f t="shared" si="1124"/>
        <v>0</v>
      </c>
    </row>
    <row r="946" spans="1:47" customFormat="1">
      <c r="A946" s="1123"/>
      <c r="B946" s="1123"/>
      <c r="C946" s="744"/>
      <c r="D946" s="1107"/>
      <c r="E946" s="1108" t="s">
        <v>988</v>
      </c>
      <c r="F946" s="1109"/>
      <c r="G946" s="748">
        <f>+InputY!$G$3</f>
        <v>1995</v>
      </c>
      <c r="H946" s="748">
        <f>+G946+1</f>
        <v>1996</v>
      </c>
      <c r="I946" s="748">
        <f t="shared" ref="I946:S946" si="1214">+H946+1</f>
        <v>1997</v>
      </c>
      <c r="J946" s="748">
        <f t="shared" si="1214"/>
        <v>1998</v>
      </c>
      <c r="K946" s="748">
        <f t="shared" si="1214"/>
        <v>1999</v>
      </c>
      <c r="L946" s="748">
        <f t="shared" si="1214"/>
        <v>2000</v>
      </c>
      <c r="M946" s="748">
        <f t="shared" si="1214"/>
        <v>2001</v>
      </c>
      <c r="N946" s="748">
        <f t="shared" si="1214"/>
        <v>2002</v>
      </c>
      <c r="O946" s="748">
        <f t="shared" si="1214"/>
        <v>2003</v>
      </c>
      <c r="P946" s="748">
        <f>+O946+1</f>
        <v>2004</v>
      </c>
      <c r="Q946" s="748">
        <f t="shared" si="1214"/>
        <v>2005</v>
      </c>
      <c r="R946" s="2122">
        <f t="shared" si="1214"/>
        <v>2006</v>
      </c>
      <c r="S946" s="2122">
        <f t="shared" si="1214"/>
        <v>2007</v>
      </c>
      <c r="T946" s="2122">
        <f t="shared" ref="T946:AE946" si="1215">+S946+1</f>
        <v>2008</v>
      </c>
      <c r="U946" s="2122">
        <f t="shared" si="1215"/>
        <v>2009</v>
      </c>
      <c r="V946" s="2122">
        <f t="shared" si="1215"/>
        <v>2010</v>
      </c>
      <c r="W946" s="2122">
        <f t="shared" si="1215"/>
        <v>2011</v>
      </c>
      <c r="X946" s="2122">
        <f t="shared" si="1215"/>
        <v>2012</v>
      </c>
      <c r="Y946" s="2122">
        <f t="shared" si="1215"/>
        <v>2013</v>
      </c>
      <c r="Z946" s="2122">
        <f t="shared" si="1215"/>
        <v>2014</v>
      </c>
      <c r="AA946" s="2122">
        <f t="shared" si="1215"/>
        <v>2015</v>
      </c>
      <c r="AB946" s="2122">
        <f t="shared" si="1215"/>
        <v>2016</v>
      </c>
      <c r="AC946" s="2122">
        <f t="shared" si="1215"/>
        <v>2017</v>
      </c>
      <c r="AD946" s="2122">
        <f t="shared" si="1215"/>
        <v>2018</v>
      </c>
      <c r="AE946" s="2122">
        <f t="shared" si="1215"/>
        <v>2019</v>
      </c>
      <c r="AF946" s="2837"/>
      <c r="AG946" s="2837"/>
      <c r="AH946" s="2837"/>
      <c r="AI946" s="2837"/>
      <c r="AJ946" s="2837"/>
      <c r="AK946" s="2122">
        <v>2014</v>
      </c>
      <c r="AL946" s="2837"/>
      <c r="AM946" s="2122">
        <f t="shared" si="1124"/>
        <v>0</v>
      </c>
      <c r="AN946" s="2837"/>
      <c r="AO946" s="2837"/>
      <c r="AP946" s="2837"/>
      <c r="AQ946" s="2837"/>
      <c r="AR946" s="2837"/>
      <c r="AS946" s="2837"/>
      <c r="AT946" s="2837"/>
    </row>
    <row r="947" spans="1:47" customFormat="1">
      <c r="A947" s="714">
        <f>+ROW(InputY!A278)</f>
        <v>278</v>
      </c>
      <c r="B947" s="1123">
        <v>134</v>
      </c>
      <c r="C947" s="1112"/>
      <c r="D947" s="1105" t="s">
        <v>591</v>
      </c>
      <c r="E947" s="1100" t="s">
        <v>1829</v>
      </c>
      <c r="F947" s="2911" t="s">
        <v>1830</v>
      </c>
      <c r="G947" s="2912"/>
      <c r="H947" s="2912"/>
      <c r="I947" s="2912"/>
      <c r="J947" s="2912"/>
      <c r="K947" s="2912"/>
      <c r="L947" s="2912"/>
      <c r="M947" s="2912">
        <f>InputY!M278/1000</f>
        <v>1.0629999999999999</v>
      </c>
      <c r="N947" s="2912">
        <f>InputY!N278/1000</f>
        <v>0.624</v>
      </c>
      <c r="O947" s="1375">
        <f>InputY!O278/1000</f>
        <v>5.4029999999999996</v>
      </c>
      <c r="P947" s="1375">
        <f>InputY!P278/1000</f>
        <v>1.2969999999999999</v>
      </c>
      <c r="Q947" s="1375">
        <f>InputY!Q278/1000</f>
        <v>1.411</v>
      </c>
      <c r="R947" s="1375">
        <f>InputY!R278/1000</f>
        <v>1.79</v>
      </c>
      <c r="S947" s="1375">
        <f>InputY!S278/1000</f>
        <v>0.44400000000000001</v>
      </c>
      <c r="U947" s="3378">
        <v>-1.17</v>
      </c>
      <c r="V947" s="3326">
        <v>-5.5E-2</v>
      </c>
      <c r="W947" s="3378">
        <v>-0.40600000000000003</v>
      </c>
      <c r="X947" s="3744">
        <v>1.4992000000000001</v>
      </c>
      <c r="Y947" s="3744">
        <v>2.4980000000000002</v>
      </c>
      <c r="Z947" s="3917">
        <f>InputDFM!P3</f>
        <v>1.8600000000000001E-3</v>
      </c>
      <c r="AA947" s="3917">
        <f>InputDFM!Q3</f>
        <v>6.4000000000000005E-4</v>
      </c>
      <c r="AB947" s="3917">
        <f>InputDFM!R3</f>
        <v>7.9799999999999999E-4</v>
      </c>
      <c r="AC947" s="3917">
        <f>InputDFM!S3</f>
        <v>2.0019999999999999E-3</v>
      </c>
      <c r="AD947" s="3917">
        <f>InputDFM!T3</f>
        <v>9.7999999999999997E-4</v>
      </c>
      <c r="AE947" s="3917">
        <f>InputDFM!U3</f>
        <v>4.6100000000000004E-4</v>
      </c>
      <c r="AF947" s="2837"/>
      <c r="AG947" s="2837"/>
      <c r="AH947" s="2837"/>
      <c r="AI947" s="2837"/>
      <c r="AJ947" s="2837"/>
      <c r="AK947" s="3917">
        <v>1.71</v>
      </c>
      <c r="AL947" s="2837"/>
      <c r="AM947" s="3917">
        <f t="shared" si="1124"/>
        <v>-1.70814</v>
      </c>
      <c r="AN947" s="2837"/>
      <c r="AO947" s="2837"/>
      <c r="AP947" s="2837"/>
      <c r="AQ947" s="2837"/>
      <c r="AR947" s="2837"/>
      <c r="AS947" s="2837"/>
      <c r="AT947" s="2837"/>
    </row>
    <row r="948" spans="1:47" customFormat="1">
      <c r="A948" s="714"/>
      <c r="B948" s="1123"/>
      <c r="C948" s="1113"/>
      <c r="D948" s="877" t="s">
        <v>1003</v>
      </c>
      <c r="E948" s="1"/>
      <c r="F948" s="3021"/>
      <c r="G948" s="3022"/>
      <c r="H948" s="3022"/>
      <c r="I948" s="3022"/>
      <c r="J948" s="3022"/>
      <c r="K948" s="3022"/>
      <c r="L948" s="3022"/>
      <c r="M948" s="3022"/>
      <c r="N948" s="3022"/>
      <c r="O948" s="1600"/>
      <c r="P948" s="1600"/>
      <c r="Q948" s="1600"/>
      <c r="R948" s="1600"/>
      <c r="S948" s="1600"/>
      <c r="T948" s="1600"/>
      <c r="U948" s="3033"/>
      <c r="V948" s="3033"/>
      <c r="W948" s="3033"/>
      <c r="AF948" s="2837"/>
      <c r="AG948" s="2837"/>
      <c r="AH948" s="2837"/>
      <c r="AI948" s="2837"/>
      <c r="AJ948" s="2837"/>
      <c r="AL948" s="2837"/>
      <c r="AM948">
        <f t="shared" si="1124"/>
        <v>0</v>
      </c>
      <c r="AN948" s="2837"/>
      <c r="AO948" s="2837"/>
      <c r="AP948" s="2837"/>
      <c r="AQ948" s="2837"/>
      <c r="AR948" s="2837"/>
      <c r="AS948" s="2837"/>
      <c r="AT948" s="2837"/>
    </row>
    <row r="949" spans="1:47" customFormat="1">
      <c r="A949" s="714">
        <v>272</v>
      </c>
      <c r="B949" s="1123">
        <v>135</v>
      </c>
      <c r="C949" s="1113"/>
      <c r="D949" s="724" t="s">
        <v>591</v>
      </c>
      <c r="E949" s="1272" t="s">
        <v>1831</v>
      </c>
      <c r="F949" s="1273" t="s">
        <v>1832</v>
      </c>
      <c r="G949" s="924"/>
      <c r="H949" s="924"/>
      <c r="I949" s="924"/>
      <c r="J949" s="924"/>
      <c r="K949" s="924"/>
      <c r="L949" s="924"/>
      <c r="M949" s="924"/>
      <c r="N949" s="924"/>
      <c r="O949" s="756">
        <f>InputY!O279/1000</f>
        <v>-1.552</v>
      </c>
      <c r="P949" s="756">
        <f>InputY!P279/1000</f>
        <v>1.3819999999999999</v>
      </c>
      <c r="Q949" s="756">
        <f>InputY!Q279/1000</f>
        <v>-7.2290000000000001</v>
      </c>
      <c r="R949" s="756">
        <f>InputY!R279/1000</f>
        <v>1.139</v>
      </c>
      <c r="S949" s="756">
        <f>InputY!S279/1000</f>
        <v>-0.68799999999999994</v>
      </c>
      <c r="T949">
        <v>0</v>
      </c>
      <c r="U949" s="3378">
        <v>0</v>
      </c>
      <c r="V949" s="3326">
        <v>0.29299999999999998</v>
      </c>
      <c r="W949" s="3378">
        <v>-1.1299999999999999</v>
      </c>
      <c r="X949" s="3744">
        <v>-2.9</v>
      </c>
      <c r="Y949" s="3744">
        <v>8.9999999999999993E-3</v>
      </c>
      <c r="Z949" s="3918">
        <f>InputDFM!P4</f>
        <v>-5.1100000000000006E-4</v>
      </c>
      <c r="AA949" s="3918">
        <f>InputDFM!Q4</f>
        <v>-2.0999999999999998E-4</v>
      </c>
      <c r="AB949" s="3918">
        <f>InputDFM!R4</f>
        <v>-9.7319999999999991E-4</v>
      </c>
      <c r="AC949" s="3918">
        <f>InputDFM!S4</f>
        <v>-1.9600000000000002E-4</v>
      </c>
      <c r="AD949" s="3918">
        <f>InputDFM!T4</f>
        <v>0</v>
      </c>
      <c r="AE949" s="3918">
        <f>InputDFM!U4</f>
        <v>0</v>
      </c>
      <c r="AF949" s="2837"/>
      <c r="AG949" s="2837"/>
      <c r="AH949" s="2837"/>
      <c r="AI949" s="2837"/>
      <c r="AJ949" s="2837"/>
      <c r="AK949" s="3918">
        <v>-0.41099999999999998</v>
      </c>
      <c r="AL949" s="2837"/>
      <c r="AM949" s="3918">
        <f t="shared" si="1124"/>
        <v>0.41048899999999999</v>
      </c>
      <c r="AN949" s="2837"/>
      <c r="AO949" s="2837"/>
      <c r="AP949" s="2837"/>
      <c r="AQ949" s="2837"/>
      <c r="AR949" s="2837"/>
      <c r="AS949" s="2837"/>
      <c r="AT949" s="2837"/>
    </row>
    <row r="950" spans="1:47" customFormat="1">
      <c r="A950" s="714"/>
      <c r="B950" s="1123"/>
      <c r="C950" s="1114"/>
      <c r="D950" s="3023" t="s">
        <v>1004</v>
      </c>
      <c r="E950" s="1274"/>
      <c r="F950" s="1275"/>
      <c r="G950" s="1168"/>
      <c r="H950" s="1168"/>
      <c r="I950" s="1168"/>
      <c r="J950" s="1168"/>
      <c r="K950" s="1168"/>
      <c r="L950" s="1168"/>
      <c r="M950" s="1168"/>
      <c r="N950" s="1168"/>
      <c r="O950" s="1124"/>
      <c r="P950" s="1124"/>
      <c r="Q950" s="1124"/>
      <c r="R950" s="1124"/>
      <c r="S950" s="1124"/>
      <c r="T950" s="1124"/>
      <c r="U950" s="1124"/>
      <c r="V950" s="1124"/>
      <c r="W950" s="1124"/>
      <c r="X950" s="1124"/>
      <c r="Y950" s="1124"/>
      <c r="Z950" s="1124"/>
      <c r="AA950" s="1124"/>
      <c r="AB950" s="1124"/>
      <c r="AC950" s="1124"/>
      <c r="AD950" s="1124"/>
      <c r="AE950" s="1124"/>
      <c r="AF950" s="2837"/>
      <c r="AG950" s="2837"/>
      <c r="AH950" s="2837"/>
      <c r="AI950" s="2837"/>
      <c r="AJ950" s="2837"/>
      <c r="AK950" s="1124"/>
      <c r="AL950" s="2837"/>
      <c r="AM950" s="1124">
        <f t="shared" si="1124"/>
        <v>0</v>
      </c>
      <c r="AN950" s="2837"/>
      <c r="AO950" s="2837"/>
      <c r="AP950" s="2837"/>
      <c r="AQ950" s="2837"/>
      <c r="AR950" s="2837"/>
      <c r="AS950" s="2837"/>
      <c r="AT950" s="2837"/>
    </row>
    <row r="951" spans="1:47" customFormat="1">
      <c r="A951" s="714"/>
      <c r="B951" s="1123"/>
      <c r="C951" s="759"/>
      <c r="D951" s="2118" t="s">
        <v>591</v>
      </c>
      <c r="E951" s="1101" t="s">
        <v>989</v>
      </c>
      <c r="F951" s="2119" t="s">
        <v>990</v>
      </c>
      <c r="G951" s="1102"/>
      <c r="H951" s="1102"/>
      <c r="I951" s="1102"/>
      <c r="J951" s="1102"/>
      <c r="K951" s="1102"/>
      <c r="L951" s="1102"/>
      <c r="M951" s="1102">
        <f t="shared" ref="M951:R951" si="1216">M947+M949</f>
        <v>1.0629999999999999</v>
      </c>
      <c r="N951" s="1102">
        <f t="shared" si="1216"/>
        <v>0.624</v>
      </c>
      <c r="O951" s="3019">
        <f t="shared" si="1216"/>
        <v>3.8509999999999995</v>
      </c>
      <c r="P951" s="3019">
        <f t="shared" si="1216"/>
        <v>2.6789999999999998</v>
      </c>
      <c r="Q951" s="3019">
        <f t="shared" si="1216"/>
        <v>-5.8179999999999996</v>
      </c>
      <c r="R951" s="3019">
        <f t="shared" si="1216"/>
        <v>2.9290000000000003</v>
      </c>
      <c r="S951" s="3019">
        <f t="shared" ref="S951:X951" si="1217">S947+S949</f>
        <v>-0.24399999999999994</v>
      </c>
      <c r="T951" s="3019">
        <f t="shared" si="1217"/>
        <v>0</v>
      </c>
      <c r="U951" s="3019">
        <f t="shared" si="1217"/>
        <v>-1.17</v>
      </c>
      <c r="V951" s="1102">
        <f t="shared" si="1217"/>
        <v>0.23799999999999999</v>
      </c>
      <c r="W951" s="1102">
        <f t="shared" si="1217"/>
        <v>-1.536</v>
      </c>
      <c r="X951" s="1102">
        <f t="shared" si="1217"/>
        <v>-1.4007999999999998</v>
      </c>
      <c r="Y951" s="3019">
        <f t="shared" ref="Y951:AD951" si="1218">Y947+Y949</f>
        <v>2.5070000000000001</v>
      </c>
      <c r="Z951" s="1102">
        <f t="shared" si="1218"/>
        <v>1.3489999999999999E-3</v>
      </c>
      <c r="AA951" s="1102">
        <f t="shared" si="1218"/>
        <v>4.3000000000000004E-4</v>
      </c>
      <c r="AB951" s="1102">
        <f t="shared" si="1218"/>
        <v>-1.7519999999999992E-4</v>
      </c>
      <c r="AC951" s="1102">
        <f t="shared" si="1218"/>
        <v>1.8059999999999999E-3</v>
      </c>
      <c r="AD951" s="1102">
        <f t="shared" si="1218"/>
        <v>9.7999999999999997E-4</v>
      </c>
      <c r="AE951" s="1102">
        <f t="shared" ref="AE951" si="1219">AE947+AE949</f>
        <v>4.6100000000000004E-4</v>
      </c>
      <c r="AF951" s="2837"/>
      <c r="AG951" s="2837"/>
      <c r="AH951" s="2837"/>
      <c r="AI951" s="2837"/>
      <c r="AJ951" s="2837"/>
      <c r="AK951" s="1102">
        <v>1.2989999999999999</v>
      </c>
      <c r="AL951" s="2837"/>
      <c r="AM951" s="1102">
        <f t="shared" si="1124"/>
        <v>-1.2976509999999999</v>
      </c>
      <c r="AN951" s="2837"/>
      <c r="AO951" s="2837"/>
      <c r="AP951" s="2837"/>
      <c r="AQ951" s="2837"/>
      <c r="AR951" s="2837"/>
      <c r="AS951" s="2837"/>
      <c r="AT951" s="2837"/>
    </row>
    <row r="952" spans="1:47" customFormat="1">
      <c r="A952" s="714"/>
      <c r="B952" s="1123"/>
      <c r="C952" s="759"/>
      <c r="D952" s="1371"/>
      <c r="E952" s="50" t="s">
        <v>64</v>
      </c>
      <c r="F952" s="1372"/>
      <c r="G952" s="1373"/>
      <c r="H952" s="1373"/>
      <c r="I952" s="1373"/>
      <c r="J952" s="1373"/>
      <c r="K952" s="1373"/>
      <c r="L952" s="1373"/>
      <c r="M952" s="1364">
        <f>+M951/'VVP2'!M$355</f>
        <v>3.9994220966754002E-3</v>
      </c>
      <c r="N952" s="1364">
        <f>+N951/'VVP2'!N$355</f>
        <v>2.2685538805177394E-3</v>
      </c>
      <c r="O952" s="1364">
        <f>+O951/'VVP2'!O$355</f>
        <v>1.3625274867188064E-2</v>
      </c>
      <c r="P952" s="1364">
        <f>+P951/'VVP2'!P$355</f>
        <v>8.9685408093714714E-3</v>
      </c>
      <c r="Q952" s="1364">
        <f>+Q951/'VVP2'!Q$355</f>
        <v>-1.8678518868578738E-2</v>
      </c>
      <c r="R952" s="1364">
        <f>+R951/'VVP2'!R$355</f>
        <v>8.9664518779497236E-3</v>
      </c>
      <c r="S952" s="1364">
        <f>+S951/'VVP2'!S$355</f>
        <v>-7.0783624034521507E-4</v>
      </c>
      <c r="T952" s="2913">
        <f>+T951/'VVP2'!T$355</f>
        <v>0</v>
      </c>
      <c r="U952" s="2913">
        <f>+U951/'VVP2'!U$355</f>
        <v>-3.3545395665074743E-3</v>
      </c>
      <c r="V952" s="2913">
        <f>+V951/'VVP2'!V$355</f>
        <v>6.5187530556654939E-4</v>
      </c>
      <c r="W952" s="2913">
        <f>+W951/'VVP2'!W$355</f>
        <v>-4.0516340667511993E-3</v>
      </c>
      <c r="X952" s="2913">
        <f>+X951/'VVP2'!X$355</f>
        <v>-3.6149668090408233E-3</v>
      </c>
      <c r="Y952" s="3367">
        <f>+Y951/'VVP2'!Y$355</f>
        <v>6.3898691899215944E-3</v>
      </c>
      <c r="Z952" s="2913">
        <f>+Z951/'VVP2'!Z$355</f>
        <v>3.370071863222548E-6</v>
      </c>
      <c r="AA952" s="2913">
        <f>+AA951/'VVP2'!AA$355</f>
        <v>1.0476684260999058E-6</v>
      </c>
      <c r="AB952" s="2913">
        <f>+AB951/'VVP2'!AB$355</f>
        <v>-4.1413701127341439E-7</v>
      </c>
      <c r="AC952" s="2913">
        <f>+AC951/'VVP2'!AC$355</f>
        <v>4.1187307376359397E-6</v>
      </c>
      <c r="AD952" s="2913">
        <f ca="1">+AD951/'VVP2'!AD$355</f>
        <v>2.1615757013164062E-6</v>
      </c>
      <c r="AE952" s="2913">
        <f ca="1">+AE951/'VVP2'!AE$355</f>
        <v>9.828565665242462E-7</v>
      </c>
      <c r="AF952" s="2837"/>
      <c r="AG952" s="2837"/>
      <c r="AH952" s="2837"/>
      <c r="AI952" s="2837"/>
      <c r="AJ952" s="2837"/>
      <c r="AK952" s="2913">
        <v>3.2291744350809158E-3</v>
      </c>
      <c r="AL952" s="2837"/>
      <c r="AM952" s="2913">
        <f t="shared" si="1124"/>
        <v>-3.2258043632176934E-3</v>
      </c>
      <c r="AN952" s="2837"/>
      <c r="AO952" s="2837"/>
      <c r="AP952" s="2837"/>
      <c r="AQ952" s="2837"/>
      <c r="AR952" s="2837"/>
      <c r="AS952" s="2837"/>
      <c r="AT952" s="2837"/>
    </row>
    <row r="953" spans="1:47" customFormat="1">
      <c r="A953" s="714"/>
      <c r="B953" s="713"/>
      <c r="C953" s="744"/>
      <c r="D953" s="720"/>
      <c r="E953" s="749"/>
      <c r="F953" s="1066"/>
      <c r="G953" s="749"/>
      <c r="H953" s="749"/>
      <c r="I953" s="749"/>
      <c r="J953" s="749"/>
      <c r="K953" s="749"/>
      <c r="L953" s="749"/>
      <c r="M953" s="749"/>
      <c r="N953" s="749"/>
      <c r="O953" s="749"/>
      <c r="P953" s="749"/>
      <c r="Q953" s="749"/>
      <c r="R953" s="749"/>
      <c r="S953" s="749"/>
      <c r="T953" s="749"/>
      <c r="U953" s="835"/>
      <c r="V953" s="835"/>
      <c r="W953" s="835"/>
      <c r="X953" s="835"/>
      <c r="Y953" s="835"/>
      <c r="Z953" s="835"/>
      <c r="AA953" s="835"/>
      <c r="AB953" s="835"/>
      <c r="AC953" s="835"/>
      <c r="AD953" s="835"/>
      <c r="AE953" s="835"/>
      <c r="AF953" s="2837"/>
      <c r="AG953" s="2837"/>
      <c r="AH953" s="2837"/>
      <c r="AI953" s="2837"/>
      <c r="AJ953" s="2837"/>
      <c r="AK953" s="835"/>
      <c r="AL953" s="2837"/>
      <c r="AM953" s="835">
        <f t="shared" si="1124"/>
        <v>0</v>
      </c>
      <c r="AN953" s="2837"/>
      <c r="AO953" s="2837"/>
      <c r="AP953" s="2837"/>
      <c r="AQ953" s="2837"/>
      <c r="AR953" s="2837"/>
      <c r="AS953" s="2837"/>
      <c r="AT953" s="2837"/>
    </row>
    <row r="954" spans="1:47" s="3368" customFormat="1">
      <c r="A954" s="1039"/>
      <c r="B954" s="3345"/>
      <c r="C954" s="1048"/>
      <c r="D954" s="1048"/>
      <c r="E954" s="1047" t="s">
        <v>2394</v>
      </c>
      <c r="F954"/>
      <c r="G954" s="1047"/>
      <c r="H954" s="1047"/>
      <c r="I954" s="1047"/>
      <c r="J954" s="1047"/>
      <c r="K954" s="1047"/>
      <c r="L954" s="1047"/>
      <c r="M954">
        <f t="shared" ref="M954:W954" si="1220">M960-L960</f>
        <v>-0.46949240934927727</v>
      </c>
      <c r="N954">
        <f t="shared" si="1220"/>
        <v>0.2221663205198017</v>
      </c>
      <c r="O954">
        <f t="shared" si="1220"/>
        <v>-2.287454774395119</v>
      </c>
      <c r="P954">
        <f t="shared" si="1220"/>
        <v>1.0825506287677999</v>
      </c>
      <c r="Q954">
        <f t="shared" si="1220"/>
        <v>7.6421175511192541E-2</v>
      </c>
      <c r="R954">
        <f t="shared" si="1220"/>
        <v>-0.16487952721622534</v>
      </c>
      <c r="S954">
        <f t="shared" si="1220"/>
        <v>-7.6979899949193964E-2</v>
      </c>
      <c r="T954">
        <f t="shared" si="1220"/>
        <v>-0.63656021258343953</v>
      </c>
      <c r="U954" s="3378">
        <f t="shared" si="1220"/>
        <v>-1.7644317348625194</v>
      </c>
      <c r="V954" s="3378">
        <f t="shared" si="1220"/>
        <v>7.3134068886114623E-2</v>
      </c>
      <c r="W954" s="3378">
        <f t="shared" si="1220"/>
        <v>0.10103264486007468</v>
      </c>
      <c r="X954" s="3378">
        <f t="shared" ref="X954:AE954" si="1221">X960-W960</f>
        <v>0.33446531335896612</v>
      </c>
      <c r="Y954" s="3731">
        <f t="shared" si="1221"/>
        <v>0.4597195454756795</v>
      </c>
      <c r="Z954" s="3732">
        <f t="shared" si="1221"/>
        <v>0.45522549641589904</v>
      </c>
      <c r="AA954" s="3732">
        <f t="shared" si="1221"/>
        <v>0.47798838696360368</v>
      </c>
      <c r="AB954" s="3732">
        <f t="shared" si="1221"/>
        <v>-6.0397589769563886E-2</v>
      </c>
      <c r="AC954" s="3732">
        <f t="shared" si="1221"/>
        <v>1.3272436131078162</v>
      </c>
      <c r="AD954" s="3732">
        <f t="shared" ca="1" si="1221"/>
        <v>-0.30066806112339284</v>
      </c>
      <c r="AE954" s="3732">
        <f t="shared" ca="1" si="1221"/>
        <v>-0.4304284317570124</v>
      </c>
      <c r="AF954" s="2841"/>
      <c r="AG954" s="2841"/>
      <c r="AH954" s="2841"/>
      <c r="AI954" s="2841"/>
      <c r="AJ954" s="2841"/>
      <c r="AK954" s="3732">
        <v>-0.4067107226060811</v>
      </c>
      <c r="AL954" s="2841"/>
      <c r="AM954" s="3732">
        <f t="shared" si="1124"/>
        <v>0.86193621902198014</v>
      </c>
      <c r="AN954" s="2841"/>
      <c r="AO954" s="2841"/>
      <c r="AP954" s="2841"/>
      <c r="AQ954" s="2841"/>
      <c r="AR954" s="2841"/>
      <c r="AS954" s="2841"/>
      <c r="AT954" s="2841"/>
    </row>
    <row r="955" spans="1:47" customFormat="1">
      <c r="A955" s="714"/>
      <c r="B955" s="713"/>
      <c r="C955" s="744"/>
      <c r="D955" s="1107"/>
      <c r="E955" s="1108" t="s">
        <v>1259</v>
      </c>
      <c r="F955" s="1109"/>
      <c r="G955" s="748">
        <f>+InputY!$G$3</f>
        <v>1995</v>
      </c>
      <c r="H955" s="748">
        <f>+G955+1</f>
        <v>1996</v>
      </c>
      <c r="I955" s="748">
        <f t="shared" ref="I955:O955" si="1222">+H955+1</f>
        <v>1997</v>
      </c>
      <c r="J955" s="748">
        <f t="shared" si="1222"/>
        <v>1998</v>
      </c>
      <c r="K955" s="748">
        <f t="shared" si="1222"/>
        <v>1999</v>
      </c>
      <c r="L955" s="748">
        <f t="shared" si="1222"/>
        <v>2000</v>
      </c>
      <c r="M955" s="748">
        <f t="shared" si="1222"/>
        <v>2001</v>
      </c>
      <c r="N955" s="748">
        <f t="shared" si="1222"/>
        <v>2002</v>
      </c>
      <c r="O955" s="748">
        <f t="shared" si="1222"/>
        <v>2003</v>
      </c>
      <c r="P955" s="748">
        <f t="shared" ref="P955:W955" si="1223">+O955+1</f>
        <v>2004</v>
      </c>
      <c r="Q955" s="748">
        <f t="shared" si="1223"/>
        <v>2005</v>
      </c>
      <c r="R955" s="2122">
        <f t="shared" si="1223"/>
        <v>2006</v>
      </c>
      <c r="S955" s="2122">
        <f t="shared" si="1223"/>
        <v>2007</v>
      </c>
      <c r="T955" s="2122">
        <f t="shared" si="1223"/>
        <v>2008</v>
      </c>
      <c r="U955" s="2122">
        <f t="shared" si="1223"/>
        <v>2009</v>
      </c>
      <c r="V955" s="2122">
        <f t="shared" si="1223"/>
        <v>2010</v>
      </c>
      <c r="W955" s="2122">
        <f t="shared" si="1223"/>
        <v>2011</v>
      </c>
      <c r="X955" s="2122">
        <f t="shared" ref="X955:AE955" si="1224">+W955+1</f>
        <v>2012</v>
      </c>
      <c r="Y955" s="2122">
        <f t="shared" si="1224"/>
        <v>2013</v>
      </c>
      <c r="Z955" s="2122">
        <f t="shared" si="1224"/>
        <v>2014</v>
      </c>
      <c r="AA955" s="2122">
        <f t="shared" si="1224"/>
        <v>2015</v>
      </c>
      <c r="AB955" s="2122">
        <f t="shared" si="1224"/>
        <v>2016</v>
      </c>
      <c r="AC955" s="2122">
        <f t="shared" si="1224"/>
        <v>2017</v>
      </c>
      <c r="AD955" s="2122">
        <f t="shared" si="1224"/>
        <v>2018</v>
      </c>
      <c r="AE955" s="2122">
        <f t="shared" si="1224"/>
        <v>2019</v>
      </c>
      <c r="AF955" s="2837"/>
      <c r="AG955" s="2837"/>
      <c r="AH955" s="2837"/>
      <c r="AI955" s="2837"/>
      <c r="AJ955" s="2837"/>
      <c r="AK955" s="2122">
        <v>2014</v>
      </c>
      <c r="AL955" s="2837"/>
      <c r="AM955" s="2122">
        <f t="shared" si="1124"/>
        <v>0</v>
      </c>
      <c r="AN955" s="2837"/>
      <c r="AO955" s="2837"/>
      <c r="AP955" s="2837"/>
      <c r="AQ955" s="2837"/>
      <c r="AR955" s="2837"/>
      <c r="AS955" s="2837"/>
      <c r="AT955" s="2837"/>
    </row>
    <row r="956" spans="1:47" customFormat="1">
      <c r="A956" s="714"/>
      <c r="B956" s="713"/>
      <c r="C956" s="1112"/>
      <c r="D956" s="1105" t="s">
        <v>591</v>
      </c>
      <c r="E956" s="1100" t="s">
        <v>1042</v>
      </c>
      <c r="F956" s="2911"/>
      <c r="G956" s="3285">
        <f t="shared" ref="G956:AA956" ca="1" si="1225">G908*100</f>
        <v>-4.6620581681739059</v>
      </c>
      <c r="H956" s="3285">
        <f t="shared" si="1225"/>
        <v>-3.9313261314128245</v>
      </c>
      <c r="I956" s="3285">
        <f t="shared" si="1225"/>
        <v>-2.1249403125300161</v>
      </c>
      <c r="J956" s="3285">
        <f t="shared" si="1225"/>
        <v>-0.94797381205818965</v>
      </c>
      <c r="K956" s="3285">
        <f t="shared" si="1225"/>
        <v>-0.55088319834907329</v>
      </c>
      <c r="L956" s="3285">
        <f t="shared" si="1225"/>
        <v>-7.1914863954268382E-2</v>
      </c>
      <c r="M956" s="3285">
        <f t="shared" si="1225"/>
        <v>0.17190366471976021</v>
      </c>
      <c r="N956" s="3285">
        <f t="shared" si="1225"/>
        <v>4.5298367550088904E-2</v>
      </c>
      <c r="O956" s="3285">
        <f t="shared" si="1225"/>
        <v>-1.7610252037511136</v>
      </c>
      <c r="P956" s="3285">
        <f t="shared" si="1225"/>
        <v>-0.15687414047299211</v>
      </c>
      <c r="Q956" s="3285">
        <f t="shared" si="1225"/>
        <v>-2.7611974799088812</v>
      </c>
      <c r="R956" s="3285">
        <f t="shared" si="1225"/>
        <v>0.21933980097477418</v>
      </c>
      <c r="S956" s="3285">
        <f t="shared" si="1225"/>
        <v>6.5474852231935179E-2</v>
      </c>
      <c r="T956" s="3285">
        <f t="shared" si="1225"/>
        <v>-1.1032409503428628</v>
      </c>
      <c r="U956" s="3285">
        <f t="shared" si="1225"/>
        <v>-5.3830611807807331</v>
      </c>
      <c r="V956" s="3285">
        <f t="shared" si="1225"/>
        <v>-4.0013913977110347</v>
      </c>
      <c r="W956" s="3285">
        <f t="shared" si="1225"/>
        <v>-4.1286045628890866</v>
      </c>
      <c r="X956" s="3285">
        <f t="shared" si="1225"/>
        <v>-4.2346827781463796</v>
      </c>
      <c r="Y956" s="3285">
        <f t="shared" si="1225"/>
        <v>-3.1376373235649311</v>
      </c>
      <c r="Z956" s="3285">
        <f t="shared" si="1225"/>
        <v>-3.0789566117612206</v>
      </c>
      <c r="AA956" s="3285">
        <f t="shared" si="1225"/>
        <v>-2.4801479015445049</v>
      </c>
      <c r="AB956" s="3285">
        <f t="shared" ref="AB956:AC956" si="1226">AB908*100</f>
        <v>-2.4801653900593945</v>
      </c>
      <c r="AC956" s="3285">
        <f t="shared" si="1226"/>
        <v>-1.031415926579863</v>
      </c>
      <c r="AD956" s="3285">
        <f t="shared" ref="AD956" ca="1" si="1227">AD908*100</f>
        <v>-1.0901745760132395</v>
      </c>
      <c r="AE956" s="3285">
        <f t="shared" ref="AE956" ca="1" si="1228">AE908*100</f>
        <v>-1.3391420342884945</v>
      </c>
      <c r="AF956" s="2837"/>
      <c r="AG956" s="2837"/>
      <c r="AH956" s="2837"/>
      <c r="AI956" s="2837"/>
      <c r="AJ956" s="2837"/>
      <c r="AK956" s="3285">
        <v>-3.2460536455614428</v>
      </c>
      <c r="AL956" s="2837"/>
      <c r="AM956" s="3285">
        <f t="shared" si="1124"/>
        <v>0.16709703380022223</v>
      </c>
      <c r="AN956" s="2837"/>
      <c r="AO956" s="2837"/>
      <c r="AP956" s="2837"/>
      <c r="AQ956" s="2837"/>
      <c r="AR956" s="2837"/>
      <c r="AS956" s="2837"/>
      <c r="AT956" s="2837"/>
    </row>
    <row r="957" spans="1:47" customFormat="1" ht="13.8" thickBot="1">
      <c r="A957" s="714"/>
      <c r="B957" s="713"/>
      <c r="C957" s="3770"/>
      <c r="D957" s="724"/>
      <c r="E957" s="3852" t="s">
        <v>2719</v>
      </c>
      <c r="F957" s="3021"/>
      <c r="G957" s="3771">
        <v>-0.59174800000000005</v>
      </c>
      <c r="H957" s="3771">
        <v>-1.0615300000000001</v>
      </c>
      <c r="I957" s="3771">
        <v>0.210782</v>
      </c>
      <c r="J957" s="3771">
        <v>-0.23858199999999999</v>
      </c>
      <c r="K957" s="3771">
        <v>0.80449700000000002</v>
      </c>
      <c r="L957" s="3771">
        <v>1.9265749999999999</v>
      </c>
      <c r="M957" s="3771">
        <v>0.398924</v>
      </c>
      <c r="N957" s="3771">
        <v>0.10866199999999999</v>
      </c>
      <c r="O957" s="3771">
        <v>-0.97275400000000001</v>
      </c>
      <c r="P957" s="3771">
        <v>0.65839499999999995</v>
      </c>
      <c r="Q957" s="3771">
        <v>0.79711399999999999</v>
      </c>
      <c r="R957" s="3771">
        <v>1.4264600000000001</v>
      </c>
      <c r="S957" s="3771">
        <v>2.8977940000000002</v>
      </c>
      <c r="T957" s="3771">
        <v>1.9016329999999999</v>
      </c>
      <c r="U957" s="4057">
        <v>-1.7</v>
      </c>
      <c r="V957" s="4057">
        <v>-0.2</v>
      </c>
      <c r="W957" s="4057">
        <v>0.2</v>
      </c>
      <c r="X957" s="4057">
        <v>-0.6</v>
      </c>
      <c r="Y957" s="4057">
        <v>-1.2</v>
      </c>
      <c r="Z957" s="4057">
        <v>-0.8</v>
      </c>
      <c r="AA957" s="4057">
        <v>-0.6</v>
      </c>
      <c r="AB957" s="4057">
        <v>-0.5</v>
      </c>
      <c r="AC957" s="4057">
        <v>-0.3</v>
      </c>
      <c r="AD957" s="4058">
        <v>0.1</v>
      </c>
      <c r="AE957" s="4058">
        <v>0.4</v>
      </c>
      <c r="AF957" s="3708"/>
      <c r="AG957" s="2837"/>
      <c r="AH957" s="2837"/>
      <c r="AI957" s="2837"/>
      <c r="AJ957" s="2837"/>
      <c r="AK957" s="3796">
        <v>-1.058227</v>
      </c>
      <c r="AL957" s="2837"/>
      <c r="AM957" s="3796">
        <f t="shared" si="1124"/>
        <v>0.25822699999999998</v>
      </c>
      <c r="AN957" s="2837"/>
      <c r="AO957" s="2837"/>
      <c r="AP957" s="2837"/>
      <c r="AQ957" s="2837"/>
      <c r="AR957" s="2837"/>
      <c r="AS957" s="2837"/>
      <c r="AT957" s="2837"/>
      <c r="AU957" s="2837"/>
    </row>
    <row r="958" spans="1:47" customFormat="1" ht="13.8" thickBot="1">
      <c r="A958" s="714"/>
      <c r="B958" s="713"/>
      <c r="C958" s="1114"/>
      <c r="D958" s="726" t="s">
        <v>591</v>
      </c>
      <c r="E958" s="1274" t="s">
        <v>1258</v>
      </c>
      <c r="F958" s="3703">
        <v>0.60526281798412096</v>
      </c>
      <c r="G958" s="1124"/>
      <c r="H958" s="1124"/>
      <c r="I958" s="1124"/>
      <c r="J958" s="1124"/>
      <c r="K958" s="1124"/>
      <c r="L958" s="1124"/>
      <c r="M958" s="1124">
        <f>M956-M957*$F$958</f>
        <v>-6.9550199681737257E-2</v>
      </c>
      <c r="N958" s="1124">
        <f t="shared" ref="N958:Y958" si="1229">N956-N957*$F$958</f>
        <v>-2.0470700777701641E-2</v>
      </c>
      <c r="O958" s="1124">
        <f t="shared" si="1229"/>
        <v>-1.1722533765057879</v>
      </c>
      <c r="P958" s="1124">
        <f t="shared" si="1229"/>
        <v>-0.55537615351964742</v>
      </c>
      <c r="Q958" s="1124">
        <f t="shared" si="1229"/>
        <v>-3.2436609458034757</v>
      </c>
      <c r="R958" s="1124">
        <f t="shared" si="1229"/>
        <v>-0.64404339836685498</v>
      </c>
      <c r="S958" s="1124">
        <f t="shared" si="1229"/>
        <v>-1.6884521101455428</v>
      </c>
      <c r="T958" s="1124">
        <f t="shared" si="1229"/>
        <v>-2.2542286986944609</v>
      </c>
      <c r="U958" s="1124">
        <f t="shared" si="1229"/>
        <v>-4.3541143902077275</v>
      </c>
      <c r="V958" s="1124">
        <f t="shared" si="1229"/>
        <v>-3.8803388341142107</v>
      </c>
      <c r="W958" s="1124">
        <f t="shared" si="1229"/>
        <v>-4.2496571264859107</v>
      </c>
      <c r="X958" s="1124">
        <f t="shared" si="1229"/>
        <v>-3.8715250873559071</v>
      </c>
      <c r="Y958" s="1124">
        <f t="shared" si="1229"/>
        <v>-2.411321941983986</v>
      </c>
      <c r="Z958" s="1124">
        <f t="shared" ref="Z958:AD958" si="1230">Z956-Z957*$F$958</f>
        <v>-2.594746357373924</v>
      </c>
      <c r="AA958" s="1124">
        <f t="shared" si="1230"/>
        <v>-2.1169902107540324</v>
      </c>
      <c r="AB958" s="1124">
        <f t="shared" si="1230"/>
        <v>-2.177533981067334</v>
      </c>
      <c r="AC958" s="1124">
        <f t="shared" si="1230"/>
        <v>-0.84983708118462675</v>
      </c>
      <c r="AD958" s="1124">
        <f t="shared" ca="1" si="1230"/>
        <v>-1.1507008578116515</v>
      </c>
      <c r="AE958" s="1124">
        <f t="shared" ref="AE958" ca="1" si="1231">AE956-AE957*$F$958</f>
        <v>-1.5812471614821431</v>
      </c>
      <c r="AF958" s="2837"/>
      <c r="AG958" s="2837"/>
      <c r="AH958" s="2837"/>
      <c r="AI958" s="2837"/>
      <c r="AJ958" s="2837"/>
      <c r="AK958" s="1124">
        <v>-2.6055481894745602</v>
      </c>
      <c r="AL958" s="2837"/>
      <c r="AM958" s="1124">
        <f t="shared" si="1124"/>
        <v>1.0801832100636233E-2</v>
      </c>
      <c r="AN958" s="2837"/>
      <c r="AO958" s="2837"/>
      <c r="AP958" s="2837"/>
      <c r="AQ958" s="2837"/>
      <c r="AR958" s="2837"/>
      <c r="AS958" s="2837"/>
      <c r="AT958" s="2837"/>
    </row>
    <row r="959" spans="1:47" customFormat="1">
      <c r="A959" s="714"/>
      <c r="B959" s="713"/>
      <c r="C959" s="759"/>
      <c r="D959" s="2118" t="s">
        <v>591</v>
      </c>
      <c r="E959" s="1101" t="s">
        <v>1901</v>
      </c>
      <c r="F959" s="2119" t="s">
        <v>990</v>
      </c>
      <c r="G959" s="1102">
        <f>G952*100</f>
        <v>0</v>
      </c>
      <c r="H959" s="1102">
        <f t="shared" ref="H959:W959" si="1232">H952*100</f>
        <v>0</v>
      </c>
      <c r="I959" s="1102">
        <f t="shared" si="1232"/>
        <v>0</v>
      </c>
      <c r="J959" s="1102">
        <f t="shared" si="1232"/>
        <v>0</v>
      </c>
      <c r="K959" s="1102">
        <f t="shared" si="1232"/>
        <v>0</v>
      </c>
      <c r="L959" s="1102">
        <f t="shared" si="1232"/>
        <v>0</v>
      </c>
      <c r="M959" s="1102">
        <f t="shared" si="1232"/>
        <v>0.39994220966754002</v>
      </c>
      <c r="N959" s="1102">
        <f t="shared" si="1232"/>
        <v>0.22685538805177394</v>
      </c>
      <c r="O959" s="1102">
        <f t="shared" si="1232"/>
        <v>1.3625274867188064</v>
      </c>
      <c r="P959" s="1102">
        <f t="shared" si="1232"/>
        <v>0.89685408093714714</v>
      </c>
      <c r="Q959" s="1102">
        <f t="shared" si="1232"/>
        <v>-1.8678518868578737</v>
      </c>
      <c r="R959" s="1102">
        <f t="shared" si="1232"/>
        <v>0.89664518779497238</v>
      </c>
      <c r="S959" s="1102">
        <f t="shared" si="1232"/>
        <v>-7.0783624034521514E-2</v>
      </c>
      <c r="T959" s="1102">
        <f t="shared" si="1232"/>
        <v>0</v>
      </c>
      <c r="U959" s="1102">
        <f t="shared" si="1232"/>
        <v>-0.33545395665074745</v>
      </c>
      <c r="V959" s="1102">
        <f>V952*100</f>
        <v>6.5187530556654938E-2</v>
      </c>
      <c r="W959" s="3394">
        <f t="shared" si="1232"/>
        <v>-0.40516340667511991</v>
      </c>
      <c r="X959" s="3394">
        <f t="shared" ref="X959:AC959" si="1233">X952*100</f>
        <v>-0.36149668090408232</v>
      </c>
      <c r="Y959" s="3394">
        <f t="shared" si="1233"/>
        <v>0.63898691899215943</v>
      </c>
      <c r="Z959" s="3394">
        <f t="shared" si="1233"/>
        <v>3.3700718632225478E-4</v>
      </c>
      <c r="AA959" s="3394">
        <f t="shared" si="1233"/>
        <v>1.0476684260999058E-4</v>
      </c>
      <c r="AB959" s="3394">
        <f t="shared" si="1233"/>
        <v>-4.1413701127341438E-5</v>
      </c>
      <c r="AC959" s="3394">
        <f t="shared" si="1233"/>
        <v>4.1187307376359397E-4</v>
      </c>
      <c r="AD959" s="3394">
        <f t="shared" ref="AD959" ca="1" si="1234">AD952*100</f>
        <v>2.1615757013164063E-4</v>
      </c>
      <c r="AE959" s="3394">
        <f t="shared" ref="AE959" ca="1" si="1235">AE952*100</f>
        <v>9.8285656652424613E-5</v>
      </c>
      <c r="AF959" s="2837"/>
      <c r="AG959" s="2837"/>
      <c r="AH959" s="2837"/>
      <c r="AI959" s="2837"/>
      <c r="AJ959" s="2837"/>
      <c r="AK959" s="3394">
        <v>0.3229174435080916</v>
      </c>
      <c r="AL959" s="2837"/>
      <c r="AM959" s="3394">
        <f t="shared" si="1124"/>
        <v>-0.32258043632176936</v>
      </c>
      <c r="AN959" s="2837"/>
      <c r="AO959" s="2837"/>
      <c r="AP959" s="2837"/>
      <c r="AQ959" s="2837"/>
      <c r="AR959" s="2837"/>
      <c r="AS959" s="2837"/>
      <c r="AT959" s="2837"/>
    </row>
    <row r="960" spans="1:47" customFormat="1">
      <c r="A960" s="714"/>
      <c r="B960" s="713"/>
      <c r="C960" s="759"/>
      <c r="D960" s="2118" t="s">
        <v>591</v>
      </c>
      <c r="E960" s="50" t="s">
        <v>1902</v>
      </c>
      <c r="F960" s="1372"/>
      <c r="G960" s="1373"/>
      <c r="H960" s="1373"/>
      <c r="I960" s="1373"/>
      <c r="J960" s="1373"/>
      <c r="K960" s="1373"/>
      <c r="L960" s="1373"/>
      <c r="M960" s="3286">
        <f>M958-M959</f>
        <v>-0.46949240934927727</v>
      </c>
      <c r="N960" s="3286">
        <f t="shared" ref="N960:Y960" si="1236">N958-N959</f>
        <v>-0.24732608882947557</v>
      </c>
      <c r="O960" s="3286">
        <f t="shared" si="1236"/>
        <v>-2.5347808632245945</v>
      </c>
      <c r="P960" s="3286">
        <f t="shared" si="1236"/>
        <v>-1.4522302344567946</v>
      </c>
      <c r="Q960" s="3286">
        <f t="shared" si="1236"/>
        <v>-1.375809058945602</v>
      </c>
      <c r="R960" s="3286">
        <f t="shared" si="1236"/>
        <v>-1.5406885861618274</v>
      </c>
      <c r="S960" s="3286">
        <f t="shared" si="1236"/>
        <v>-1.6176684861110213</v>
      </c>
      <c r="T960" s="3286">
        <f t="shared" si="1236"/>
        <v>-2.2542286986944609</v>
      </c>
      <c r="U960" s="3361">
        <f t="shared" si="1236"/>
        <v>-4.0186604335569802</v>
      </c>
      <c r="V960" s="3361">
        <f t="shared" si="1236"/>
        <v>-3.9455263646708656</v>
      </c>
      <c r="W960" s="3361">
        <f t="shared" si="1236"/>
        <v>-3.8444937198107909</v>
      </c>
      <c r="X960" s="3361">
        <f t="shared" si="1236"/>
        <v>-3.5100284064518248</v>
      </c>
      <c r="Y960" s="3361">
        <f t="shared" si="1236"/>
        <v>-3.0503088609761453</v>
      </c>
      <c r="Z960" s="3361">
        <f t="shared" ref="Z960:AD960" si="1237">Z958-Z959</f>
        <v>-2.5950833645602462</v>
      </c>
      <c r="AA960" s="3361">
        <f t="shared" si="1237"/>
        <v>-2.1170949775966426</v>
      </c>
      <c r="AB960" s="3361">
        <f t="shared" si="1237"/>
        <v>-2.1774925673662064</v>
      </c>
      <c r="AC960" s="3361">
        <f t="shared" si="1237"/>
        <v>-0.85024895425839031</v>
      </c>
      <c r="AD960" s="3361">
        <f t="shared" ca="1" si="1237"/>
        <v>-1.1509170153817831</v>
      </c>
      <c r="AE960" s="3361">
        <f t="shared" ref="AE960" ca="1" si="1238">AE958-AE959</f>
        <v>-1.5813454471387955</v>
      </c>
      <c r="AF960" s="2837"/>
      <c r="AG960" s="2837"/>
      <c r="AH960" s="2837"/>
      <c r="AI960" s="2837"/>
      <c r="AJ960" s="2837"/>
      <c r="AK960" s="3361">
        <v>-2.9284656329826517</v>
      </c>
      <c r="AL960" s="2837"/>
      <c r="AM960" s="3361">
        <f t="shared" si="1124"/>
        <v>0.33338226842240548</v>
      </c>
      <c r="AN960" s="2837"/>
      <c r="AO960" s="2837"/>
      <c r="AP960" s="2837"/>
      <c r="AQ960" s="2837"/>
      <c r="AR960" s="2837"/>
      <c r="AS960" s="2837"/>
      <c r="AT960" s="2837"/>
    </row>
    <row r="961" spans="1:46" ht="30" customHeight="1">
      <c r="F961" s="1066"/>
      <c r="M961" s="753"/>
      <c r="N961" s="753"/>
      <c r="O961" s="753"/>
      <c r="P961" s="753"/>
      <c r="Q961" s="753"/>
      <c r="R961" s="753">
        <v>-1.3005124419217697</v>
      </c>
      <c r="S961" s="753">
        <v>-1.2775883681679947</v>
      </c>
      <c r="T961" s="753">
        <v>-1.9338160259039312</v>
      </c>
      <c r="U961" s="2239"/>
      <c r="V961" s="835"/>
      <c r="W961" s="835"/>
      <c r="X961" s="835"/>
      <c r="Y961" s="835"/>
      <c r="Z961" s="835"/>
      <c r="AA961" s="835"/>
      <c r="AB961" s="835"/>
      <c r="AC961" s="835"/>
      <c r="AD961" s="835"/>
      <c r="AE961" s="835"/>
      <c r="AK961" s="835"/>
      <c r="AM961" s="835">
        <f t="shared" si="1124"/>
        <v>0</v>
      </c>
    </row>
    <row r="962" spans="1:46" ht="12.75" customHeight="1">
      <c r="B962" s="714"/>
      <c r="C962" s="822"/>
      <c r="D962" s="823"/>
      <c r="E962" s="824" t="s">
        <v>535</v>
      </c>
      <c r="F962" s="825"/>
      <c r="G962" s="826">
        <f>+InputY!$G$3</f>
        <v>1995</v>
      </c>
      <c r="H962" s="826">
        <f>+G962+1</f>
        <v>1996</v>
      </c>
      <c r="I962" s="826">
        <f t="shared" ref="I962:S962" si="1239">+H962+1</f>
        <v>1997</v>
      </c>
      <c r="J962" s="826">
        <f t="shared" si="1239"/>
        <v>1998</v>
      </c>
      <c r="K962" s="826">
        <f t="shared" si="1239"/>
        <v>1999</v>
      </c>
      <c r="L962" s="826">
        <f t="shared" si="1239"/>
        <v>2000</v>
      </c>
      <c r="M962" s="826">
        <f t="shared" si="1239"/>
        <v>2001</v>
      </c>
      <c r="N962" s="826">
        <f t="shared" si="1239"/>
        <v>2002</v>
      </c>
      <c r="O962" s="826">
        <f t="shared" si="1239"/>
        <v>2003</v>
      </c>
      <c r="P962" s="826">
        <f>+O962+1</f>
        <v>2004</v>
      </c>
      <c r="Q962" s="826">
        <f>+P962+1</f>
        <v>2005</v>
      </c>
      <c r="R962" s="826">
        <f>+Q962+1</f>
        <v>2006</v>
      </c>
      <c r="S962" s="2163">
        <f t="shared" si="1239"/>
        <v>2007</v>
      </c>
      <c r="T962" s="2163">
        <f t="shared" ref="T962:AE962" si="1240">+S962+1</f>
        <v>2008</v>
      </c>
      <c r="U962" s="2163">
        <f t="shared" si="1240"/>
        <v>2009</v>
      </c>
      <c r="V962" s="2163">
        <f t="shared" si="1240"/>
        <v>2010</v>
      </c>
      <c r="W962" s="2163">
        <f t="shared" si="1240"/>
        <v>2011</v>
      </c>
      <c r="X962" s="2163">
        <f t="shared" si="1240"/>
        <v>2012</v>
      </c>
      <c r="Y962" s="2163">
        <f t="shared" si="1240"/>
        <v>2013</v>
      </c>
      <c r="Z962" s="2163">
        <f t="shared" si="1240"/>
        <v>2014</v>
      </c>
      <c r="AA962" s="2163">
        <f t="shared" si="1240"/>
        <v>2015</v>
      </c>
      <c r="AB962" s="2163">
        <f t="shared" si="1240"/>
        <v>2016</v>
      </c>
      <c r="AC962" s="2163">
        <f t="shared" si="1240"/>
        <v>2017</v>
      </c>
      <c r="AD962" s="2163">
        <f t="shared" si="1240"/>
        <v>2018</v>
      </c>
      <c r="AE962" s="2163">
        <f t="shared" si="1240"/>
        <v>2019</v>
      </c>
      <c r="AK962" s="2163">
        <v>2014</v>
      </c>
      <c r="AM962" s="2163">
        <f t="shared" si="1124"/>
        <v>0</v>
      </c>
    </row>
    <row r="963" spans="1:46" ht="12.75" customHeight="1">
      <c r="B963" s="714"/>
      <c r="C963" s="827" t="s">
        <v>622</v>
      </c>
      <c r="D963" s="718" t="s">
        <v>591</v>
      </c>
      <c r="E963" s="828" t="s">
        <v>1415</v>
      </c>
      <c r="F963" s="751" t="s">
        <v>1537</v>
      </c>
      <c r="G963" s="828">
        <f t="shared" ref="G963:AD963" si="1241">+G32</f>
        <v>25.7408</v>
      </c>
      <c r="H963" s="828">
        <f t="shared" si="1241"/>
        <v>27.295300000000001</v>
      </c>
      <c r="I963" s="828">
        <f t="shared" si="1241"/>
        <v>28.959299999999999</v>
      </c>
      <c r="J963" s="828">
        <f t="shared" si="1241"/>
        <v>29.978200000000001</v>
      </c>
      <c r="K963" s="828">
        <f t="shared" si="1241"/>
        <v>32.108699999999999</v>
      </c>
      <c r="L963" s="828">
        <f t="shared" si="1241"/>
        <v>33.5182</v>
      </c>
      <c r="M963" s="828">
        <f t="shared" si="1241"/>
        <v>33.305300000000003</v>
      </c>
      <c r="N963" s="828">
        <f t="shared" si="1241"/>
        <v>34.563400000000001</v>
      </c>
      <c r="O963" s="828">
        <f t="shared" si="1241"/>
        <v>35.598500000000001</v>
      </c>
      <c r="P963" s="828">
        <f t="shared" si="1241"/>
        <v>38.029900000000005</v>
      </c>
      <c r="Q963" s="2847">
        <f t="shared" si="1241"/>
        <v>39.959499999999998</v>
      </c>
      <c r="R963" s="828">
        <f t="shared" si="1241"/>
        <v>41.810099999999998</v>
      </c>
      <c r="S963" s="828">
        <f t="shared" si="1241"/>
        <v>43.749699999999997</v>
      </c>
      <c r="T963" s="2847">
        <f t="shared" si="1241"/>
        <v>44.250300000000003</v>
      </c>
      <c r="U963" s="2847">
        <f t="shared" si="1241"/>
        <v>43.5304</v>
      </c>
      <c r="V963" s="2847">
        <f t="shared" si="1241"/>
        <v>46.652099999999997</v>
      </c>
      <c r="W963" s="2847">
        <f t="shared" si="1241"/>
        <v>48.230400000000003</v>
      </c>
      <c r="X963" s="2847">
        <f t="shared" si="1241"/>
        <v>50.688400000000001</v>
      </c>
      <c r="Y963" s="2847">
        <f t="shared" si="1241"/>
        <v>51.2592</v>
      </c>
      <c r="Z963" s="2847">
        <f t="shared" si="1241"/>
        <v>52.1006</v>
      </c>
      <c r="AA963" s="2230">
        <f t="shared" si="1241"/>
        <v>52.859300000000005</v>
      </c>
      <c r="AB963" s="2230">
        <f t="shared" si="1241"/>
        <v>55.320900000000002</v>
      </c>
      <c r="AC963" s="2230">
        <f t="shared" si="1241"/>
        <v>57.298099999999998</v>
      </c>
      <c r="AD963" s="2230">
        <f t="shared" si="1241"/>
        <v>59.120098280130293</v>
      </c>
      <c r="AE963" s="2230">
        <f t="shared" ref="AE963" si="1242">+AE32</f>
        <v>61.054472535494071</v>
      </c>
      <c r="AK963" s="2847">
        <v>51.761699999999998</v>
      </c>
      <c r="AM963" s="2847">
        <f t="shared" si="1124"/>
        <v>0.33890000000000242</v>
      </c>
    </row>
    <row r="964" spans="1:46" ht="12.75" customHeight="1">
      <c r="B964" s="714"/>
      <c r="C964" s="829" t="s">
        <v>622</v>
      </c>
      <c r="D964" s="724" t="s">
        <v>591</v>
      </c>
      <c r="E964" s="756" t="s">
        <v>2127</v>
      </c>
      <c r="F964" s="754" t="s">
        <v>1716</v>
      </c>
      <c r="G964" s="756">
        <f t="shared" ref="G964:AD964" si="1243">+G319</f>
        <v>33.709699999999998</v>
      </c>
      <c r="H964" s="756">
        <f t="shared" si="1243"/>
        <v>34.418399999999998</v>
      </c>
      <c r="I964" s="756">
        <f t="shared" si="1243"/>
        <v>36.979300000000002</v>
      </c>
      <c r="J964" s="756">
        <f t="shared" si="1243"/>
        <v>39.622599999999998</v>
      </c>
      <c r="K964" s="756">
        <f t="shared" si="1243"/>
        <v>40.1768</v>
      </c>
      <c r="L964" s="756">
        <f t="shared" si="1243"/>
        <v>42.835300000000004</v>
      </c>
      <c r="M964" s="756">
        <f t="shared" si="1243"/>
        <v>44.580800000000004</v>
      </c>
      <c r="N964" s="756">
        <f t="shared" si="1243"/>
        <v>45.8964</v>
      </c>
      <c r="O964" s="756">
        <f t="shared" si="1243"/>
        <v>45.6723</v>
      </c>
      <c r="P964" s="756">
        <f t="shared" si="1243"/>
        <v>48.301099999999998</v>
      </c>
      <c r="Q964" s="1469">
        <f t="shared" si="1243"/>
        <v>50.676099999999998</v>
      </c>
      <c r="R964" s="756">
        <f t="shared" si="1243"/>
        <v>52.663699999999999</v>
      </c>
      <c r="S964" s="756">
        <f t="shared" si="1243"/>
        <v>54.700900000000004</v>
      </c>
      <c r="T964" s="756">
        <f t="shared" si="1243"/>
        <v>57.118300000000005</v>
      </c>
      <c r="U964" s="756">
        <f t="shared" si="1243"/>
        <v>52.131500000000003</v>
      </c>
      <c r="V964" s="756">
        <f t="shared" si="1243"/>
        <v>55.681800000000003</v>
      </c>
      <c r="W964" s="756">
        <f t="shared" si="1243"/>
        <v>59.729900000000001</v>
      </c>
      <c r="X964" s="756">
        <f t="shared" si="1243"/>
        <v>62.513300000000001</v>
      </c>
      <c r="Y964" s="756">
        <f t="shared" si="1243"/>
        <v>65.682199999999995</v>
      </c>
      <c r="Z964" s="756">
        <f t="shared" si="1243"/>
        <v>67.108199999999997</v>
      </c>
      <c r="AA964" s="2228">
        <f t="shared" si="1243"/>
        <v>68.038699999999992</v>
      </c>
      <c r="AB964" s="2228">
        <f t="shared" si="1243"/>
        <v>68.753399999999999</v>
      </c>
      <c r="AC964" s="2228">
        <f t="shared" si="1243"/>
        <v>73.776699999999991</v>
      </c>
      <c r="AD964" s="2228">
        <f t="shared" si="1243"/>
        <v>74.224751359659976</v>
      </c>
      <c r="AE964" s="2228">
        <f t="shared" ref="AE964" si="1244">+AE319</f>
        <v>76.022804492324838</v>
      </c>
      <c r="AK964" s="756">
        <v>67.512500000000003</v>
      </c>
      <c r="AM964" s="756">
        <f t="shared" si="1124"/>
        <v>-0.40430000000000632</v>
      </c>
    </row>
    <row r="965" spans="1:46" ht="12.75" customHeight="1">
      <c r="B965" s="714"/>
      <c r="C965" s="829" t="s">
        <v>622</v>
      </c>
      <c r="D965" s="724" t="s">
        <v>591</v>
      </c>
      <c r="E965" s="756" t="s">
        <v>1417</v>
      </c>
      <c r="F965" s="754" t="s">
        <v>1395</v>
      </c>
      <c r="G965" s="756">
        <f t="shared" ref="G965:AD965" si="1245">+G473</f>
        <v>33.588999999999999</v>
      </c>
      <c r="H965" s="756">
        <f t="shared" si="1245"/>
        <v>34.655699999999996</v>
      </c>
      <c r="I965" s="756">
        <f t="shared" si="1245"/>
        <v>35.863399999999999</v>
      </c>
      <c r="J965" s="756">
        <f t="shared" si="1245"/>
        <v>37.373399999999997</v>
      </c>
      <c r="K965" s="756">
        <f t="shared" si="1245"/>
        <v>38.713899999999995</v>
      </c>
      <c r="L965" s="756">
        <f t="shared" si="1245"/>
        <v>39.853200000000001</v>
      </c>
      <c r="M965" s="756">
        <f t="shared" si="1245"/>
        <v>41.686999999999998</v>
      </c>
      <c r="N965" s="756">
        <f t="shared" si="1245"/>
        <v>43.892199999999995</v>
      </c>
      <c r="O965" s="756">
        <f t="shared" si="1245"/>
        <v>44.8384</v>
      </c>
      <c r="P965" s="756">
        <f t="shared" si="1245"/>
        <v>46.319699999999997</v>
      </c>
      <c r="Q965" s="1469">
        <f t="shared" si="1245"/>
        <v>47.5501</v>
      </c>
      <c r="R965" s="756">
        <f t="shared" si="1245"/>
        <v>49.774600000000007</v>
      </c>
      <c r="S965" s="756">
        <f t="shared" si="1245"/>
        <v>52.850700000000003</v>
      </c>
      <c r="T965" s="756">
        <f t="shared" si="1245"/>
        <v>55.912800000000004</v>
      </c>
      <c r="U965" s="756">
        <f t="shared" si="1245"/>
        <v>57.320599999999999</v>
      </c>
      <c r="V965" s="756">
        <f t="shared" si="1245"/>
        <v>58.714500000000001</v>
      </c>
      <c r="W965" s="756">
        <f t="shared" si="1245"/>
        <v>61.775800000000004</v>
      </c>
      <c r="X965" s="756">
        <f t="shared" si="1245"/>
        <v>64.338899999999995</v>
      </c>
      <c r="Y965" s="756">
        <f t="shared" si="1245"/>
        <v>65.9893</v>
      </c>
      <c r="Z965" s="756">
        <f t="shared" si="1245"/>
        <v>66.7727</v>
      </c>
      <c r="AA965" s="2228">
        <f t="shared" si="1245"/>
        <v>67.944400000000002</v>
      </c>
      <c r="AB965" s="2228">
        <f t="shared" si="1245"/>
        <v>67.528700000000001</v>
      </c>
      <c r="AC965" s="2228">
        <f t="shared" si="1245"/>
        <v>69.342799999999997</v>
      </c>
      <c r="AD965" s="2228">
        <f t="shared" si="1245"/>
        <v>71.271879679999998</v>
      </c>
      <c r="AE965" s="2228">
        <f t="shared" ref="AE965" si="1246">+AE473</f>
        <v>73.410592586023995</v>
      </c>
      <c r="AK965" s="756">
        <v>66.457099999999997</v>
      </c>
      <c r="AM965" s="756">
        <f t="shared" si="1124"/>
        <v>0.31560000000000343</v>
      </c>
    </row>
    <row r="966" spans="1:46" ht="12.75" customHeight="1">
      <c r="B966" s="714"/>
      <c r="C966" s="829" t="s">
        <v>622</v>
      </c>
      <c r="D966" s="724" t="s">
        <v>591</v>
      </c>
      <c r="E966" s="756" t="s">
        <v>552</v>
      </c>
      <c r="F966" s="754"/>
      <c r="G966" s="756">
        <f t="shared" ref="G966:AD966" si="1247">+G696</f>
        <v>3.5063</v>
      </c>
      <c r="H966" s="756">
        <f t="shared" si="1247"/>
        <v>4.0960000000000001</v>
      </c>
      <c r="I966" s="756">
        <f t="shared" si="1247"/>
        <v>4.3142000000000005</v>
      </c>
      <c r="J966" s="756">
        <f t="shared" si="1247"/>
        <v>4.6071999999999997</v>
      </c>
      <c r="K966" s="756">
        <f t="shared" si="1247"/>
        <v>4.8688000000000002</v>
      </c>
      <c r="L966" s="756">
        <f t="shared" si="1247"/>
        <v>4.9340000000000002</v>
      </c>
      <c r="M966" s="756">
        <f t="shared" si="1247"/>
        <v>5.3940000000000001</v>
      </c>
      <c r="N966" s="756">
        <f t="shared" si="1247"/>
        <v>6.0997000000000003</v>
      </c>
      <c r="O966" s="756">
        <f t="shared" si="1247"/>
        <v>6.4394999999999998</v>
      </c>
      <c r="P966" s="756">
        <f t="shared" si="1247"/>
        <v>6.8159000000000001</v>
      </c>
      <c r="Q966" s="1469">
        <f t="shared" si="1247"/>
        <v>7.3449999999999998</v>
      </c>
      <c r="R966" s="756">
        <f t="shared" si="1247"/>
        <v>7.6260000000000003</v>
      </c>
      <c r="S966" s="756">
        <f t="shared" si="1247"/>
        <v>7.8668000000000005</v>
      </c>
      <c r="T966" s="756">
        <f t="shared" si="1247"/>
        <v>8.4194999999999993</v>
      </c>
      <c r="U966" s="756">
        <f t="shared" si="1247"/>
        <v>8.8562000000000012</v>
      </c>
      <c r="V966" s="756">
        <f t="shared" si="1247"/>
        <v>9.3468</v>
      </c>
      <c r="W966" s="756">
        <f t="shared" si="1247"/>
        <v>9.9394000000000009</v>
      </c>
      <c r="X966" s="756">
        <f t="shared" si="1247"/>
        <v>10.166599999999999</v>
      </c>
      <c r="Y966" s="756">
        <f t="shared" si="1247"/>
        <v>10.790299999999998</v>
      </c>
      <c r="Z966" s="756">
        <f t="shared" si="1247"/>
        <v>11.121600000000001</v>
      </c>
      <c r="AA966" s="2228">
        <f t="shared" si="1247"/>
        <v>11.216099999999999</v>
      </c>
      <c r="AB966" s="2228">
        <f t="shared" si="1247"/>
        <v>12.3329</v>
      </c>
      <c r="AC966" s="2228">
        <f t="shared" si="1247"/>
        <v>12.8691</v>
      </c>
      <c r="AD966" s="2228">
        <f t="shared" si="1247"/>
        <v>13.633550880058674</v>
      </c>
      <c r="AE966" s="2228">
        <f t="shared" ref="AE966" si="1248">+AE696</f>
        <v>14.242970604397296</v>
      </c>
      <c r="AK966" s="756">
        <v>9.2632999999999992</v>
      </c>
      <c r="AM966" s="756">
        <f t="shared" si="1124"/>
        <v>1.8583000000000016</v>
      </c>
    </row>
    <row r="967" spans="1:46" ht="12.75" customHeight="1">
      <c r="B967" s="714"/>
      <c r="C967" s="829" t="s">
        <v>622</v>
      </c>
      <c r="D967" s="724" t="s">
        <v>591</v>
      </c>
      <c r="E967" s="756" t="s">
        <v>1579</v>
      </c>
      <c r="F967" s="754" t="s">
        <v>1372</v>
      </c>
      <c r="G967" s="756">
        <f>+G1099</f>
        <v>2.9690000000000003</v>
      </c>
      <c r="H967" s="756">
        <f t="shared" ref="H967:Q967" si="1249">+H1099</f>
        <v>3.7919999999999998</v>
      </c>
      <c r="I967" s="756">
        <f t="shared" si="1249"/>
        <v>3.5174999999999996</v>
      </c>
      <c r="J967" s="756">
        <f t="shared" si="1249"/>
        <v>3.6922000000000006</v>
      </c>
      <c r="K967" s="756">
        <f t="shared" si="1249"/>
        <v>3.552</v>
      </c>
      <c r="L967" s="756">
        <f>+L1099</f>
        <v>4.0074999999999994</v>
      </c>
      <c r="M967" s="756">
        <f>+M1099</f>
        <v>4.7571000000000003</v>
      </c>
      <c r="N967" s="756">
        <f t="shared" si="1249"/>
        <v>4.3989999999999991</v>
      </c>
      <c r="O967" s="756">
        <f t="shared" si="1249"/>
        <v>4.1474000000000002</v>
      </c>
      <c r="P967" s="756">
        <f t="shared" si="1249"/>
        <v>3.84</v>
      </c>
      <c r="Q967" s="1469">
        <f t="shared" si="1249"/>
        <v>4.3809000000000005</v>
      </c>
      <c r="R967" s="756">
        <f t="shared" ref="R967:W967" si="1250">+R1099</f>
        <v>4.6943999999999999</v>
      </c>
      <c r="S967" s="756">
        <f t="shared" si="1250"/>
        <v>5.0069999999999997</v>
      </c>
      <c r="T967" s="756">
        <f t="shared" si="1250"/>
        <v>5.8865000000000007</v>
      </c>
      <c r="U967" s="756">
        <f t="shared" si="1250"/>
        <v>5.8295000000000012</v>
      </c>
      <c r="V967" s="756">
        <f t="shared" si="1250"/>
        <v>6.9374000000000002</v>
      </c>
      <c r="W967" s="756">
        <f t="shared" si="1250"/>
        <v>8.0603999999999996</v>
      </c>
      <c r="X967" s="756">
        <f t="shared" ref="X967:AC967" si="1251">+X1099</f>
        <v>8.5108999999999995</v>
      </c>
      <c r="Y967" s="756">
        <f t="shared" si="1251"/>
        <v>8.5322999999999993</v>
      </c>
      <c r="Z967" s="756">
        <f t="shared" ref="Z967" si="1252">+Z1099</f>
        <v>7.5191999999999997</v>
      </c>
      <c r="AA967" s="2228">
        <f t="shared" si="1251"/>
        <v>6.8463999999999992</v>
      </c>
      <c r="AB967" s="2228">
        <f t="shared" si="1251"/>
        <v>6.8486000000000002</v>
      </c>
      <c r="AC967" s="2228">
        <f t="shared" si="1251"/>
        <v>7.1141000000000005</v>
      </c>
      <c r="AD967" s="2228">
        <f t="shared" ref="AD967" si="1253">+AD1099</f>
        <v>7.2800986900000009</v>
      </c>
      <c r="AE967" s="2228">
        <f t="shared" ref="AE967" si="1254">+AE1099</f>
        <v>7.3119591468920007</v>
      </c>
      <c r="AK967" s="756">
        <v>6.3921999999999999</v>
      </c>
      <c r="AM967" s="756">
        <f t="shared" si="1124"/>
        <v>1.1269999999999998</v>
      </c>
    </row>
    <row r="968" spans="1:46" ht="12.75" customHeight="1">
      <c r="B968" s="714"/>
      <c r="C968" s="829" t="s">
        <v>624</v>
      </c>
      <c r="D968" s="794" t="s">
        <v>591</v>
      </c>
      <c r="E968" s="843" t="s">
        <v>574</v>
      </c>
      <c r="F968" s="796" t="s">
        <v>501</v>
      </c>
      <c r="G968" s="843">
        <f t="shared" ref="G968:V968" si="1255">+G963+G964+G965+G966+G967</f>
        <v>99.514799999999994</v>
      </c>
      <c r="H968" s="843">
        <f t="shared" si="1255"/>
        <v>104.2574</v>
      </c>
      <c r="I968" s="843">
        <f t="shared" si="1255"/>
        <v>109.6337</v>
      </c>
      <c r="J968" s="843">
        <f t="shared" si="1255"/>
        <v>115.2736</v>
      </c>
      <c r="K968" s="843">
        <f t="shared" si="1255"/>
        <v>119.42020000000001</v>
      </c>
      <c r="L968" s="843">
        <f t="shared" si="1255"/>
        <v>125.14819999999999</v>
      </c>
      <c r="M968" s="843">
        <f t="shared" si="1255"/>
        <v>129.7242</v>
      </c>
      <c r="N968" s="843">
        <f t="shared" si="1255"/>
        <v>134.85070000000002</v>
      </c>
      <c r="O968" s="843">
        <f t="shared" si="1255"/>
        <v>136.69610000000003</v>
      </c>
      <c r="P968" s="843">
        <f t="shared" si="1255"/>
        <v>143.3066</v>
      </c>
      <c r="Q968" s="2852">
        <f t="shared" si="1255"/>
        <v>149.91159999999999</v>
      </c>
      <c r="R968" s="843">
        <f t="shared" si="1255"/>
        <v>156.56880000000001</v>
      </c>
      <c r="S968" s="843">
        <f t="shared" si="1255"/>
        <v>164.17510000000004</v>
      </c>
      <c r="T968" s="843">
        <f t="shared" si="1255"/>
        <v>171.58740000000003</v>
      </c>
      <c r="U968" s="843">
        <f t="shared" si="1255"/>
        <v>167.66820000000001</v>
      </c>
      <c r="V968" s="843">
        <f t="shared" si="1255"/>
        <v>177.33260000000001</v>
      </c>
      <c r="W968" s="843">
        <f t="shared" ref="W968:AB968" si="1256">+W963+W964+W965+W966+W967</f>
        <v>187.73590000000002</v>
      </c>
      <c r="X968" s="843">
        <f t="shared" si="1256"/>
        <v>196.21809999999996</v>
      </c>
      <c r="Y968" s="843">
        <f t="shared" si="1256"/>
        <v>202.2533</v>
      </c>
      <c r="Z968" s="843">
        <f t="shared" ref="Z968" si="1257">+Z963+Z964+Z965+Z966+Z967</f>
        <v>204.6223</v>
      </c>
      <c r="AA968" s="2264">
        <f t="shared" si="1256"/>
        <v>206.9049</v>
      </c>
      <c r="AB968" s="2264">
        <f t="shared" si="1256"/>
        <v>210.78450000000001</v>
      </c>
      <c r="AC968" s="2264">
        <f t="shared" ref="AC968:AD968" si="1258">+AC963+AC964+AC965+AC966+AC967</f>
        <v>220.4008</v>
      </c>
      <c r="AD968" s="2264">
        <f t="shared" si="1258"/>
        <v>225.53037888984889</v>
      </c>
      <c r="AE968" s="2264">
        <f t="shared" ref="AE968" si="1259">+AE963+AE964+AE965+AE966+AE967</f>
        <v>232.04279936513223</v>
      </c>
      <c r="AK968" s="843">
        <v>201.38679999999999</v>
      </c>
      <c r="AM968" s="843">
        <f t="shared" ref="AM968:AM1031" si="1260">Z968-AK968</f>
        <v>3.2355000000000018</v>
      </c>
    </row>
    <row r="969" spans="1:46" s="927" customFormat="1" ht="12.75" customHeight="1">
      <c r="A969" s="713"/>
      <c r="B969" s="714"/>
      <c r="C969" s="882" t="s">
        <v>622</v>
      </c>
      <c r="D969" s="933" t="s">
        <v>591</v>
      </c>
      <c r="E969" s="1368" t="s">
        <v>613</v>
      </c>
      <c r="F969" s="1369" t="s">
        <v>575</v>
      </c>
      <c r="G969" s="1368">
        <f t="shared" ref="G969:AD969" si="1261">+G791</f>
        <v>0.91370000000000018</v>
      </c>
      <c r="H969" s="1368">
        <f t="shared" si="1261"/>
        <v>0.98170000000000002</v>
      </c>
      <c r="I969" s="1368">
        <f t="shared" si="1261"/>
        <v>1.343</v>
      </c>
      <c r="J969" s="1368">
        <f t="shared" si="1261"/>
        <v>1.0617000000000001</v>
      </c>
      <c r="K969" s="1368">
        <f t="shared" si="1261"/>
        <v>1.5146999999999999</v>
      </c>
      <c r="L969" s="1368">
        <f t="shared" si="1261"/>
        <v>1.3299000000000001</v>
      </c>
      <c r="M969" s="1368">
        <f t="shared" si="1261"/>
        <v>1.4684999999999999</v>
      </c>
      <c r="N969" s="1368">
        <f t="shared" si="1261"/>
        <v>1.4493</v>
      </c>
      <c r="O969" s="1368">
        <f t="shared" si="1261"/>
        <v>1.6645000000000001</v>
      </c>
      <c r="P969" s="1368">
        <f t="shared" si="1261"/>
        <v>2.3925999999999998</v>
      </c>
      <c r="Q969" s="1368">
        <f t="shared" si="1261"/>
        <v>2.2986</v>
      </c>
      <c r="R969" s="1368">
        <f t="shared" si="1261"/>
        <v>2.4186000000000001</v>
      </c>
      <c r="S969" s="1368">
        <f t="shared" si="1261"/>
        <v>2.3709000000000002</v>
      </c>
      <c r="T969" s="1368">
        <f t="shared" si="1261"/>
        <v>2.5333000000000001</v>
      </c>
      <c r="U969" s="1368">
        <f t="shared" si="1261"/>
        <v>2.4221999999999997</v>
      </c>
      <c r="V969" s="1368">
        <f t="shared" si="1261"/>
        <v>2.8083</v>
      </c>
      <c r="W969" s="1368">
        <f t="shared" si="1261"/>
        <v>3.0455000000000001</v>
      </c>
      <c r="X969" s="1368">
        <f t="shared" si="1261"/>
        <v>3.8515000000000001</v>
      </c>
      <c r="Y969" s="1368">
        <f t="shared" si="1261"/>
        <v>4.4988999999999999</v>
      </c>
      <c r="Z969" s="1368">
        <f t="shared" si="1261"/>
        <v>4.1254</v>
      </c>
      <c r="AA969" s="2265">
        <f t="shared" si="1261"/>
        <v>3.8383000000000003</v>
      </c>
      <c r="AB969" s="2265">
        <f t="shared" si="1261"/>
        <v>3.9711999999999996</v>
      </c>
      <c r="AC969" s="2265">
        <f t="shared" si="1261"/>
        <v>4.0526999999999997</v>
      </c>
      <c r="AD969" s="2265">
        <f t="shared" si="1261"/>
        <v>4.1563048756164438</v>
      </c>
      <c r="AE969" s="2265">
        <f t="shared" ref="AE969" si="1262">+AE791</f>
        <v>4.4328693364110183</v>
      </c>
      <c r="AF969" s="2831"/>
      <c r="AG969" s="2831"/>
      <c r="AH969" s="2831"/>
      <c r="AI969" s="2831"/>
      <c r="AJ969" s="2831"/>
      <c r="AK969" s="1368">
        <v>4.1401000000000003</v>
      </c>
      <c r="AL969" s="2831"/>
      <c r="AM969" s="1368">
        <f t="shared" si="1260"/>
        <v>-1.4700000000000379E-2</v>
      </c>
      <c r="AN969" s="2831"/>
      <c r="AO969" s="2831"/>
      <c r="AP969" s="2831"/>
      <c r="AQ969" s="2831"/>
      <c r="AR969" s="2831"/>
      <c r="AS969" s="2831"/>
      <c r="AT969" s="2831"/>
    </row>
    <row r="970" spans="1:46" s="1" customFormat="1">
      <c r="A970" s="714">
        <f>+ROW(InputY!A177)</f>
        <v>177</v>
      </c>
      <c r="B970" s="2117"/>
      <c r="C970" s="759"/>
      <c r="D970" s="2118" t="s">
        <v>591</v>
      </c>
      <c r="E970" s="1101" t="s">
        <v>2140</v>
      </c>
      <c r="F970" s="2119" t="s">
        <v>234</v>
      </c>
      <c r="G970" s="1102">
        <f ca="1">+InputY!G177/1000</f>
        <v>100.4285</v>
      </c>
      <c r="H970" s="1102">
        <f>+InputY!H177/1000</f>
        <v>105.23910000000001</v>
      </c>
      <c r="I970" s="1102">
        <f>+InputY!I177/1000</f>
        <v>110.97669999999999</v>
      </c>
      <c r="J970" s="1102">
        <f>+InputY!J177/1000</f>
        <v>116.3353</v>
      </c>
      <c r="K970" s="1102">
        <f>+InputY!K177/1000</f>
        <v>120.9349</v>
      </c>
      <c r="L970" s="1102">
        <f>+InputY!L177/1000</f>
        <v>126.47810000000001</v>
      </c>
      <c r="M970" s="1102">
        <f>+InputY!M177/1000</f>
        <v>131.1927</v>
      </c>
      <c r="N970" s="1102">
        <f>+InputY!N177/1000</f>
        <v>136.30000000000001</v>
      </c>
      <c r="O970" s="1102">
        <f>+InputY!O177/1000</f>
        <v>138.36060000000001</v>
      </c>
      <c r="P970" s="1102">
        <f>+InputY!P177/1000</f>
        <v>145.69920000000002</v>
      </c>
      <c r="Q970" s="1102">
        <f>+InputY!Q177/1000</f>
        <v>152.21020000000001</v>
      </c>
      <c r="R970" s="1102">
        <f>+InputY!R177/1000</f>
        <v>158.98740000000001</v>
      </c>
      <c r="S970" s="1102">
        <f>+InputY!S177/1000</f>
        <v>166.54599999999999</v>
      </c>
      <c r="T970" s="1102">
        <f>+InputY!T177/1000</f>
        <v>174.1207</v>
      </c>
      <c r="U970" s="1102">
        <f>+InputY!U177/1000</f>
        <v>170.09039999999999</v>
      </c>
      <c r="V970" s="1102">
        <f>+InputY!V177/1000</f>
        <v>180.14089999999999</v>
      </c>
      <c r="W970" s="1102">
        <f>+InputY!W177/1000</f>
        <v>190.78139999999999</v>
      </c>
      <c r="X970" s="1102">
        <f>+InputY!X177/1000</f>
        <v>200.06960000000001</v>
      </c>
      <c r="Y970" s="1102">
        <f>+InputY!Y177/1000</f>
        <v>206.75220000000002</v>
      </c>
      <c r="Z970" s="1102">
        <f>+InputY!Z177/1000</f>
        <v>208.74770000000001</v>
      </c>
      <c r="AA970" s="1102">
        <f>+InputY!AA177/1000</f>
        <v>210.7432</v>
      </c>
      <c r="AB970" s="1102">
        <f>+InputY!AB177/1000</f>
        <v>214.75570000000002</v>
      </c>
      <c r="AC970" s="1102">
        <f>+InputY!AC177/1000</f>
        <v>224.45349999999999</v>
      </c>
      <c r="AD970" s="3779">
        <f>+AD968+AD969</f>
        <v>229.68668376546535</v>
      </c>
      <c r="AE970" s="3779">
        <f>+AE968+AE969</f>
        <v>236.47566870154324</v>
      </c>
      <c r="AF970" s="2839"/>
      <c r="AG970" s="2839"/>
      <c r="AH970" s="2839"/>
      <c r="AI970" s="2839"/>
      <c r="AJ970" s="2839"/>
      <c r="AK970" s="1102">
        <v>205.52689999999998</v>
      </c>
      <c r="AL970" s="2839"/>
      <c r="AM970" s="1102">
        <f t="shared" si="1260"/>
        <v>3.2208000000000254</v>
      </c>
      <c r="AN970" s="2839"/>
      <c r="AO970" s="2839"/>
      <c r="AP970" s="2839"/>
      <c r="AQ970" s="2839"/>
      <c r="AR970" s="2839"/>
      <c r="AS970" s="2839"/>
      <c r="AT970" s="2839"/>
    </row>
    <row r="971" spans="1:46" s="1885" customFormat="1" ht="12.75" customHeight="1">
      <c r="A971" s="1039"/>
      <c r="B971" s="1039"/>
      <c r="C971" s="1501"/>
      <c r="D971" s="1884"/>
      <c r="E971" s="1882" t="s">
        <v>474</v>
      </c>
      <c r="F971" s="1883"/>
      <c r="G971" s="2120">
        <f ca="1">ABS(G970-G969-G968)</f>
        <v>0</v>
      </c>
      <c r="H971" s="2120">
        <f t="shared" ref="H971:Y971" si="1263">ABS(H970-H969-H968)</f>
        <v>0</v>
      </c>
      <c r="I971" s="2120">
        <f t="shared" si="1263"/>
        <v>1.4210854715202004E-14</v>
      </c>
      <c r="J971" s="2120">
        <f t="shared" si="1263"/>
        <v>0</v>
      </c>
      <c r="K971" s="2120">
        <f t="shared" si="1263"/>
        <v>1.4210854715202004E-14</v>
      </c>
      <c r="L971" s="2120">
        <f>ABS(L970-L969-L968)</f>
        <v>2.8421709430404007E-14</v>
      </c>
      <c r="M971" s="2120">
        <f>ABS(M970-M969-M968)</f>
        <v>0</v>
      </c>
      <c r="N971" s="2120">
        <f t="shared" si="1263"/>
        <v>0</v>
      </c>
      <c r="O971" s="2120">
        <f t="shared" si="1263"/>
        <v>2.8421709430404007E-14</v>
      </c>
      <c r="P971" s="2120">
        <f t="shared" si="1263"/>
        <v>2.8421709430404007E-14</v>
      </c>
      <c r="Q971" s="2120">
        <f>ABS(Q970-Q969-Q968)</f>
        <v>2.8421709430404007E-14</v>
      </c>
      <c r="R971" s="2120">
        <f>ABS(R970-R969-R968)</f>
        <v>0</v>
      </c>
      <c r="S971" s="2893">
        <f>ABS(S970-S969-S968)</f>
        <v>5.6843418860808015E-14</v>
      </c>
      <c r="T971" s="2985">
        <f>ABS(T970-T969-T968)</f>
        <v>2.8421709430404007E-14</v>
      </c>
      <c r="U971" s="2894">
        <f t="shared" si="1263"/>
        <v>2.8421709430404007E-14</v>
      </c>
      <c r="V971" s="2894">
        <f t="shared" si="1263"/>
        <v>2.8421709430404007E-14</v>
      </c>
      <c r="W971" s="2894">
        <f t="shared" si="1263"/>
        <v>2.8421709430404007E-14</v>
      </c>
      <c r="X971" s="2894">
        <f t="shared" si="1263"/>
        <v>5.6843418860808015E-14</v>
      </c>
      <c r="Y971" s="2894">
        <f t="shared" si="1263"/>
        <v>2.8421709430404007E-14</v>
      </c>
      <c r="Z971" s="2894">
        <f t="shared" ref="Z971:AD971" si="1264">ABS(Z970-Z969-Z968)</f>
        <v>0</v>
      </c>
      <c r="AA971" s="2894">
        <f t="shared" si="1264"/>
        <v>0</v>
      </c>
      <c r="AB971" s="2894">
        <f t="shared" si="1264"/>
        <v>0</v>
      </c>
      <c r="AC971" s="2894">
        <f t="shared" si="1264"/>
        <v>0</v>
      </c>
      <c r="AD971" s="2894">
        <f t="shared" si="1264"/>
        <v>0</v>
      </c>
      <c r="AE971" s="2894">
        <f t="shared" ref="AE971" si="1265">ABS(AE970-AE969-AE968)</f>
        <v>0</v>
      </c>
      <c r="AF971" s="2836"/>
      <c r="AG971" s="2836"/>
      <c r="AH971" s="2836"/>
      <c r="AI971" s="2836"/>
      <c r="AJ971" s="2836"/>
      <c r="AK971" s="2894">
        <v>0</v>
      </c>
      <c r="AL971" s="2836"/>
      <c r="AM971" s="2894">
        <f t="shared" si="1260"/>
        <v>0</v>
      </c>
      <c r="AN971" s="2836"/>
      <c r="AO971" s="2836"/>
      <c r="AP971" s="2836"/>
      <c r="AQ971" s="2836"/>
      <c r="AR971" s="2836"/>
      <c r="AS971" s="2836"/>
      <c r="AT971" s="2836"/>
    </row>
    <row r="972" spans="1:46">
      <c r="F972" s="1066"/>
      <c r="Q972" s="749"/>
      <c r="R972" s="749"/>
      <c r="S972" s="2233"/>
      <c r="T972" s="2218"/>
      <c r="U972" s="2162"/>
      <c r="AM972" s="2827">
        <f t="shared" si="1260"/>
        <v>0</v>
      </c>
    </row>
    <row r="973" spans="1:46" ht="12.75" customHeight="1">
      <c r="B973" s="714"/>
      <c r="C973" s="822"/>
      <c r="D973" s="898"/>
      <c r="E973" s="899" t="s">
        <v>1482</v>
      </c>
      <c r="F973" s="900"/>
      <c r="G973" s="901">
        <f>+InputY!$G$3</f>
        <v>1995</v>
      </c>
      <c r="H973" s="901">
        <f>+G973+1</f>
        <v>1996</v>
      </c>
      <c r="I973" s="901">
        <f t="shared" ref="I973:O973" si="1266">+H973+1</f>
        <v>1997</v>
      </c>
      <c r="J973" s="901">
        <f t="shared" si="1266"/>
        <v>1998</v>
      </c>
      <c r="K973" s="901">
        <f t="shared" si="1266"/>
        <v>1999</v>
      </c>
      <c r="L973" s="901">
        <f t="shared" si="1266"/>
        <v>2000</v>
      </c>
      <c r="M973" s="901">
        <f t="shared" si="1266"/>
        <v>2001</v>
      </c>
      <c r="N973" s="901">
        <f t="shared" si="1266"/>
        <v>2002</v>
      </c>
      <c r="O973" s="901">
        <f t="shared" si="1266"/>
        <v>2003</v>
      </c>
      <c r="P973" s="901">
        <f t="shared" ref="P973:U973" si="1267">+O973+1</f>
        <v>2004</v>
      </c>
      <c r="Q973" s="901">
        <f t="shared" si="1267"/>
        <v>2005</v>
      </c>
      <c r="R973" s="901">
        <f>+Q973+1</f>
        <v>2006</v>
      </c>
      <c r="S973" s="2130">
        <f t="shared" si="1267"/>
        <v>2007</v>
      </c>
      <c r="T973" s="2130">
        <f t="shared" si="1267"/>
        <v>2008</v>
      </c>
      <c r="U973" s="2130">
        <f t="shared" si="1267"/>
        <v>2009</v>
      </c>
      <c r="V973" s="2130">
        <f t="shared" ref="V973:AE973" si="1268">+U973+1</f>
        <v>2010</v>
      </c>
      <c r="W973" s="2130">
        <f t="shared" si="1268"/>
        <v>2011</v>
      </c>
      <c r="X973" s="2130">
        <f t="shared" si="1268"/>
        <v>2012</v>
      </c>
      <c r="Y973" s="2130">
        <f t="shared" si="1268"/>
        <v>2013</v>
      </c>
      <c r="Z973" s="2130">
        <f t="shared" si="1268"/>
        <v>2014</v>
      </c>
      <c r="AA973" s="2130">
        <f t="shared" si="1268"/>
        <v>2015</v>
      </c>
      <c r="AB973" s="2130">
        <f t="shared" si="1268"/>
        <v>2016</v>
      </c>
      <c r="AC973" s="2130">
        <f t="shared" si="1268"/>
        <v>2017</v>
      </c>
      <c r="AD973" s="2130">
        <f t="shared" si="1268"/>
        <v>2018</v>
      </c>
      <c r="AE973" s="2130">
        <f t="shared" si="1268"/>
        <v>2019</v>
      </c>
      <c r="AF973" s="2827">
        <v>2015</v>
      </c>
      <c r="AG973" s="2827">
        <v>2016</v>
      </c>
      <c r="AK973" s="2130">
        <v>2014</v>
      </c>
      <c r="AM973" s="2130">
        <f t="shared" si="1260"/>
        <v>0</v>
      </c>
    </row>
    <row r="974" spans="1:46" ht="12.75" customHeight="1">
      <c r="B974" s="714"/>
      <c r="C974" s="1791" t="s">
        <v>622</v>
      </c>
      <c r="D974" s="903" t="s">
        <v>591</v>
      </c>
      <c r="E974" s="1805" t="s">
        <v>1415</v>
      </c>
      <c r="F974" s="905" t="s">
        <v>1537</v>
      </c>
      <c r="G974" s="1809">
        <f ca="1">+G963/'VVP2'!G$355</f>
        <v>0.12182641175100857</v>
      </c>
      <c r="H974" s="1809">
        <f>+H963/'VVP2'!H$355</f>
        <v>0.12640083651936815</v>
      </c>
      <c r="I974" s="1809">
        <f>+I963/'VVP2'!I$355</f>
        <v>0.12815624464804196</v>
      </c>
      <c r="J974" s="1809">
        <f>+J963/'VVP2'!J$355</f>
        <v>0.12784447583176398</v>
      </c>
      <c r="K974" s="1809">
        <f>+K963/'VVP2'!K$355</f>
        <v>0.13147126022618394</v>
      </c>
      <c r="L974" s="1809">
        <f>+L963/'VVP2'!L$355</f>
        <v>0.12980381222359055</v>
      </c>
      <c r="M974" s="1809">
        <f>+M963/'VVP2'!M$355</f>
        <v>0.12530757549990895</v>
      </c>
      <c r="N974" s="1809">
        <f>+N963/'VVP2'!N$355</f>
        <v>0.12565534486199814</v>
      </c>
      <c r="O974" s="1809">
        <f>+O963/'VVP2'!O$355</f>
        <v>0.12595153138395077</v>
      </c>
      <c r="P974" s="1809">
        <f>+P963/'VVP2'!P$355</f>
        <v>0.1273134416298306</v>
      </c>
      <c r="Q974" s="1809">
        <f>+Q963/'VVP2'!Q$355</f>
        <v>0.12828880624423719</v>
      </c>
      <c r="R974" s="1809">
        <f>+R963/'VVP2'!R$355</f>
        <v>0.12799189131521535</v>
      </c>
      <c r="S974" s="2970">
        <f>+S963/'VVP2'!S$355</f>
        <v>0.12691648837799616</v>
      </c>
      <c r="T974" s="1809">
        <f>+T963/'VVP2'!T$355</f>
        <v>0.1249775818569368</v>
      </c>
      <c r="U974" s="1809">
        <f>+U963/'VVP2'!U$355</f>
        <v>0.12480722149221962</v>
      </c>
      <c r="V974" s="1809">
        <f>+V963/'VVP2'!V$355</f>
        <v>0.1277787896757194</v>
      </c>
      <c r="W974" s="1809">
        <f>+W963/'VVP2'!W$355</f>
        <v>0.12722130969598766</v>
      </c>
      <c r="X974" s="1809">
        <f>+X963/'VVP2'!X$355</f>
        <v>0.1308087404364541</v>
      </c>
      <c r="Y974" s="1809">
        <f>+Y963/'VVP2'!Y$355</f>
        <v>0.13065001307540047</v>
      </c>
      <c r="Z974" s="2969">
        <f>+Z963/'VVP2'!Z$355</f>
        <v>0.13015772136175885</v>
      </c>
      <c r="AA974" s="2969">
        <f>+AA963/'VVP2'!AA$355</f>
        <v>0.12878841775754127</v>
      </c>
      <c r="AB974" s="2969">
        <f>+AB963/'VVP2'!AB$355</f>
        <v>0.13076730700317032</v>
      </c>
      <c r="AC974" s="2969">
        <f>+AC963/'VVP2'!AC$355</f>
        <v>0.13067300425146058</v>
      </c>
      <c r="AD974" s="2969">
        <f ca="1">+AD963/'VVP2'!AD$355</f>
        <v>0.1304005794915995</v>
      </c>
      <c r="AE974" s="2969">
        <f ca="1">+AE963/'VVP2'!AE$355</f>
        <v>0.13016874023250452</v>
      </c>
      <c r="AF974" s="3360">
        <f t="shared" ref="AF974:AF981" si="1269">AA974-Z974</f>
        <v>-1.369303604217581E-3</v>
      </c>
      <c r="AG974" s="3360">
        <f t="shared" ref="AG974:AG981" si="1270">AB974-AA974</f>
        <v>1.9788892456290563E-3</v>
      </c>
      <c r="AK974" s="2969">
        <v>0.12867402490864344</v>
      </c>
      <c r="AM974" s="2969">
        <f t="shared" si="1260"/>
        <v>1.4836964531154129E-3</v>
      </c>
    </row>
    <row r="975" spans="1:46" ht="12.75" customHeight="1">
      <c r="B975" s="714"/>
      <c r="C975" s="1792" t="s">
        <v>622</v>
      </c>
      <c r="D975" s="724" t="s">
        <v>591</v>
      </c>
      <c r="E975" s="756" t="s">
        <v>2127</v>
      </c>
      <c r="F975" s="754" t="s">
        <v>1716</v>
      </c>
      <c r="G975" s="879">
        <f ca="1">+G964/'VVP2'!G$355</f>
        <v>0.15954173111181366</v>
      </c>
      <c r="H975" s="879">
        <f>+H964/'VVP2'!H$355</f>
        <v>0.15938694763047923</v>
      </c>
      <c r="I975" s="879">
        <f>+I964/'VVP2'!I$355</f>
        <v>0.16364788574700834</v>
      </c>
      <c r="J975" s="879">
        <f>+J964/'VVP2'!J$355</f>
        <v>0.16897380523485903</v>
      </c>
      <c r="K975" s="879">
        <f>+K964/'VVP2'!K$355</f>
        <v>0.16450664548410079</v>
      </c>
      <c r="L975" s="879">
        <f>+L964/'VVP2'!L$355</f>
        <v>0.16588555583954895</v>
      </c>
      <c r="M975" s="879">
        <f>+M964/'VVP2'!M$355</f>
        <v>0.16773042013872688</v>
      </c>
      <c r="N975" s="879">
        <f>+N964/'VVP2'!N$355</f>
        <v>0.16685650051569612</v>
      </c>
      <c r="O975" s="879">
        <f>+O964/'VVP2'!O$355</f>
        <v>0.16159377858132265</v>
      </c>
      <c r="P975" s="879">
        <f>+P964/'VVP2'!P$355</f>
        <v>0.16169853918907517</v>
      </c>
      <c r="Q975" s="879">
        <f>+Q964/'VVP2'!Q$355</f>
        <v>0.16269413716672104</v>
      </c>
      <c r="R975" s="879">
        <f>+R964/'VVP2'!R$355</f>
        <v>0.16121766192037584</v>
      </c>
      <c r="S975" s="879">
        <f>+S964/'VVP2'!S$355</f>
        <v>0.15868557130942454</v>
      </c>
      <c r="T975" s="879">
        <f>+T964/'VVP2'!T$355</f>
        <v>0.1613210986994229</v>
      </c>
      <c r="U975" s="879">
        <f>+U964/'VVP2'!U$355</f>
        <v>0.14946767471058497</v>
      </c>
      <c r="V975" s="879">
        <f>+V964/'VVP2'!V$355</f>
        <v>0.15251088398947688</v>
      </c>
      <c r="W975" s="879">
        <f>+W964/'VVP2'!W$355</f>
        <v>0.15755449065341307</v>
      </c>
      <c r="X975" s="879">
        <f>+X964/'VVP2'!X$355</f>
        <v>0.16132460352913458</v>
      </c>
      <c r="Y975" s="879">
        <f>+Y964/'VVP2'!Y$355</f>
        <v>0.16741151420273956</v>
      </c>
      <c r="Z975" s="2138">
        <f>+Z964/'VVP2'!Z$355</f>
        <v>0.16764970838510851</v>
      </c>
      <c r="AA975" s="2138">
        <f>+AA964/'VVP2'!AA$355</f>
        <v>0.16577208777414801</v>
      </c>
      <c r="AB975" s="2138">
        <f>+AB964/'VVP2'!AB$355</f>
        <v>0.162518993098662</v>
      </c>
      <c r="AC975" s="2138">
        <f>+AC964/'VVP2'!AC$355</f>
        <v>0.16825379956331418</v>
      </c>
      <c r="AD975" s="2138">
        <f ca="1">+AD964/'VVP2'!AD$355</f>
        <v>0.1637167540564213</v>
      </c>
      <c r="AE975" s="2138">
        <f ca="1">+AE964/'VVP2'!AE$355</f>
        <v>0.16208137223616143</v>
      </c>
      <c r="AF975" s="3360">
        <f t="shared" si="1269"/>
        <v>-1.8776206109605009E-3</v>
      </c>
      <c r="AG975" s="3360">
        <f t="shared" si="1270"/>
        <v>-3.2530946754860124E-3</v>
      </c>
      <c r="AK975" s="2138">
        <v>0.16782882143833744</v>
      </c>
      <c r="AM975" s="2138">
        <f t="shared" si="1260"/>
        <v>-1.7911305322892979E-4</v>
      </c>
    </row>
    <row r="976" spans="1:46" ht="12.75" customHeight="1">
      <c r="B976" s="714"/>
      <c r="C976" s="1792" t="s">
        <v>622</v>
      </c>
      <c r="D976" s="724" t="s">
        <v>591</v>
      </c>
      <c r="E976" s="756" t="s">
        <v>1417</v>
      </c>
      <c r="F976" s="754" t="s">
        <v>1395</v>
      </c>
      <c r="G976" s="879">
        <f ca="1">+G965/'VVP2'!G$355</f>
        <v>0.15897048049418147</v>
      </c>
      <c r="H976" s="879">
        <f>+H965/'VVP2'!H$355</f>
        <v>0.16048585178269759</v>
      </c>
      <c r="I976" s="879">
        <f>+I965/'VVP2'!I$355</f>
        <v>0.15870959119559477</v>
      </c>
      <c r="J976" s="879">
        <f>+J965/'VVP2'!J$355</f>
        <v>0.15938190862196019</v>
      </c>
      <c r="K976" s="879">
        <f>+K965/'VVP2'!K$355</f>
        <v>0.1585167017434671</v>
      </c>
      <c r="L976" s="879">
        <f>+L965/'VVP2'!L$355</f>
        <v>0.15433696586657994</v>
      </c>
      <c r="M976" s="879">
        <f>+M965/'VVP2'!M$355</f>
        <v>0.15684281180066548</v>
      </c>
      <c r="N976" s="879">
        <f>+N965/'VVP2'!N$355</f>
        <v>0.15957022537573831</v>
      </c>
      <c r="O976" s="879">
        <f>+O965/'VVP2'!O$355</f>
        <v>0.15864334578159578</v>
      </c>
      <c r="P976" s="879">
        <f>+P965/'VVP2'!P$355</f>
        <v>0.15506536757291667</v>
      </c>
      <c r="Q976" s="879">
        <f>+Q965/'VVP2'!Q$355</f>
        <v>0.15265820557800033</v>
      </c>
      <c r="R976" s="879">
        <f>+R965/'VVP2'!R$355</f>
        <v>0.15237335460710016</v>
      </c>
      <c r="S976" s="879">
        <f>+S965/'VVP2'!S$355</f>
        <v>0.15331819994923307</v>
      </c>
      <c r="T976" s="879">
        <f>+T965/'VVP2'!T$355</f>
        <v>0.15791636528680114</v>
      </c>
      <c r="U976" s="879">
        <f>+U965/'VVP2'!U$355</f>
        <v>0.1643454877572208</v>
      </c>
      <c r="V976" s="879">
        <f>+V965/'VVP2'!V$355</f>
        <v>0.16081736398608054</v>
      </c>
      <c r="W976" s="879">
        <f>+W965/'VVP2'!W$355</f>
        <v>0.16295113006563069</v>
      </c>
      <c r="X976" s="879">
        <f>+X965/'VVP2'!X$355</f>
        <v>0.16603582811978629</v>
      </c>
      <c r="Y976" s="879">
        <f>+Y965/'VVP2'!Y$355</f>
        <v>0.16819425406242244</v>
      </c>
      <c r="Z976" s="2138">
        <f>+Z965/'VVP2'!Z$355</f>
        <v>0.1668115622693849</v>
      </c>
      <c r="AA976" s="2138">
        <f>+AA965/'VVP2'!AA$355</f>
        <v>0.1655423316518661</v>
      </c>
      <c r="AB976" s="2138">
        <f>+AB965/'VVP2'!AB$355</f>
        <v>0.15962405247248304</v>
      </c>
      <c r="AC976" s="2138">
        <f>+AC965/'VVP2'!AC$355</f>
        <v>0.15814192790351131</v>
      </c>
      <c r="AD976" s="2138">
        <f ca="1">+AD965/'VVP2'!AD$355</f>
        <v>0.15720363602391277</v>
      </c>
      <c r="AE976" s="2138">
        <f ca="1">+AE965/'VVP2'!AE$355</f>
        <v>0.15651211057616013</v>
      </c>
      <c r="AF976" s="3360">
        <f t="shared" si="1269"/>
        <v>-1.2692306175187962E-3</v>
      </c>
      <c r="AG976" s="3360">
        <f t="shared" si="1270"/>
        <v>-5.9182791793830625E-3</v>
      </c>
      <c r="AK976" s="2138">
        <v>0.16520521043080519</v>
      </c>
      <c r="AM976" s="2138">
        <f t="shared" si="1260"/>
        <v>1.6063518385797115E-3</v>
      </c>
    </row>
    <row r="977" spans="1:46" ht="12.75" customHeight="1">
      <c r="B977" s="714"/>
      <c r="C977" s="1792" t="s">
        <v>622</v>
      </c>
      <c r="D977" s="724" t="s">
        <v>591</v>
      </c>
      <c r="E977" s="756" t="s">
        <v>552</v>
      </c>
      <c r="F977" s="754"/>
      <c r="G977" s="879">
        <f ca="1">+G966/'VVP2'!G$355</f>
        <v>1.6594664793734514E-2</v>
      </c>
      <c r="H977" s="879">
        <f>+H966/'VVP2'!H$355</f>
        <v>1.8968021101923478E-2</v>
      </c>
      <c r="I977" s="879">
        <f>+I966/'VVP2'!I$355</f>
        <v>1.9092024691915298E-2</v>
      </c>
      <c r="J977" s="879">
        <f>+J966/'VVP2'!J$355</f>
        <v>1.9647779688310271E-2</v>
      </c>
      <c r="K977" s="879">
        <f>+K966/'VVP2'!K$355</f>
        <v>1.9935633388746491E-2</v>
      </c>
      <c r="L977" s="879">
        <f>+L966/'VVP2'!L$355</f>
        <v>1.9107589593450599E-2</v>
      </c>
      <c r="M977" s="879">
        <f>+M966/'VVP2'!M$355</f>
        <v>2.0294339406836413E-2</v>
      </c>
      <c r="N977" s="879">
        <f>+N966/'VVP2'!N$355</f>
        <v>2.2175477732362271E-2</v>
      </c>
      <c r="O977" s="879">
        <f>+O966/'VVP2'!O$355</f>
        <v>2.2783681513180356E-2</v>
      </c>
      <c r="P977" s="879">
        <f>+P966/'VVP2'!P$355</f>
        <v>2.2817722024111614E-2</v>
      </c>
      <c r="Q977" s="879">
        <f>+Q966/'VVP2'!Q$355</f>
        <v>2.3580907715660161E-2</v>
      </c>
      <c r="R977" s="879">
        <f>+R966/'VVP2'!R$355</f>
        <v>2.334522431589095E-2</v>
      </c>
      <c r="S977" s="879">
        <f>+S966/'VVP2'!S$355</f>
        <v>2.2821336621097293E-2</v>
      </c>
      <c r="T977" s="879">
        <f>+T966/'VVP2'!T$355</f>
        <v>2.3779471561649963E-2</v>
      </c>
      <c r="U977" s="879">
        <f>+U966/'VVP2'!U$355</f>
        <v>2.5391857528977348E-2</v>
      </c>
      <c r="V977" s="879">
        <f>+V966/'VVP2'!V$355</f>
        <v>2.5600622294409348E-2</v>
      </c>
      <c r="W977" s="879">
        <f>+W966/'VVP2'!W$355</f>
        <v>2.621797633012166E-2</v>
      </c>
      <c r="X977" s="879">
        <f>+X966/'VVP2'!X$355</f>
        <v>2.6236380326095397E-2</v>
      </c>
      <c r="Y977" s="879">
        <f>+Y966/'VVP2'!Y$355</f>
        <v>2.7502435388915423E-2</v>
      </c>
      <c r="Z977" s="2138">
        <f>+Z966/'VVP2'!Z$355</f>
        <v>2.7783981641227497E-2</v>
      </c>
      <c r="AA977" s="2138">
        <f>+AA966/'VVP2'!AA$355</f>
        <v>2.7327334497625932E-2</v>
      </c>
      <c r="AB977" s="2138">
        <f>+AB966/'VVP2'!AB$355</f>
        <v>2.915245631469118E-2</v>
      </c>
      <c r="AC977" s="2138">
        <f>+AC966/'VVP2'!AC$355</f>
        <v>2.9349035291091181E-2</v>
      </c>
      <c r="AD977" s="2138">
        <f ca="1">+AD966/'VVP2'!AD$355</f>
        <v>3.0071379903056875E-2</v>
      </c>
      <c r="AE977" s="2138">
        <f ca="1">+AE966/'VVP2'!AE$355</f>
        <v>3.0366154415062237E-2</v>
      </c>
      <c r="AF977" s="3360">
        <f t="shared" si="1269"/>
        <v>-4.5664714360156566E-4</v>
      </c>
      <c r="AG977" s="3360">
        <f t="shared" si="1270"/>
        <v>1.8251218170652478E-3</v>
      </c>
      <c r="AK977" s="2138">
        <v>2.3027568548487334E-2</v>
      </c>
      <c r="AM977" s="2138">
        <f t="shared" si="1260"/>
        <v>4.7564130927401638E-3</v>
      </c>
    </row>
    <row r="978" spans="1:46" ht="12.75" customHeight="1">
      <c r="B978" s="714"/>
      <c r="C978" s="1792" t="s">
        <v>622</v>
      </c>
      <c r="D978" s="724" t="s">
        <v>591</v>
      </c>
      <c r="E978" s="756" t="s">
        <v>124</v>
      </c>
      <c r="F978" s="754" t="s">
        <v>1372</v>
      </c>
      <c r="G978" s="879">
        <f ca="1">+G967/'VVP2'!G$355</f>
        <v>1.4051723974730562E-2</v>
      </c>
      <c r="H978" s="879">
        <f>+H967/'VVP2'!H$355</f>
        <v>1.7560238285765091E-2</v>
      </c>
      <c r="I978" s="879">
        <f>+I967/'VVP2'!I$355</f>
        <v>1.5566315157807251E-2</v>
      </c>
      <c r="J978" s="879">
        <f>+J967/'VVP2'!J$355</f>
        <v>1.5745687655230767E-2</v>
      </c>
      <c r="K978" s="879">
        <f>+K967/'VVP2'!K$355</f>
        <v>1.4543906054228461E-2</v>
      </c>
      <c r="L978" s="879">
        <f>+L967/'VVP2'!L$355</f>
        <v>1.5519591669183879E-2</v>
      </c>
      <c r="M978" s="879">
        <f>+M967/'VVP2'!M$355</f>
        <v>1.7898072301123752E-2</v>
      </c>
      <c r="N978" s="879">
        <f>+N967/'VVP2'!N$355</f>
        <v>1.5992577757047328E-2</v>
      </c>
      <c r="O978" s="879">
        <f>+O967/'VVP2'!O$355</f>
        <v>1.4673971691554346E-2</v>
      </c>
      <c r="P978" s="879">
        <f>+P967/'VVP2'!P$355</f>
        <v>1.2855243265392479E-2</v>
      </c>
      <c r="Q978" s="879">
        <f>+Q967/'VVP2'!Q$355</f>
        <v>1.4064751342618873E-2</v>
      </c>
      <c r="R978" s="879">
        <f>+R967/'VVP2'!R$355</f>
        <v>1.4370813143000063E-2</v>
      </c>
      <c r="S978" s="879">
        <f>+S967/'VVP2'!S$355</f>
        <v>1.4525147768067593E-2</v>
      </c>
      <c r="T978" s="879">
        <f>+T967/'VVP2'!T$355</f>
        <v>1.6625436112316948E-2</v>
      </c>
      <c r="U978" s="879">
        <f>+U967/'VVP2'!U$355</f>
        <v>1.6713921711927628E-2</v>
      </c>
      <c r="V978" s="879">
        <f>+V967/'VVP2'!V$355</f>
        <v>1.9001343465703278E-2</v>
      </c>
      <c r="W978" s="879">
        <f>+W967/'VVP2'!W$355</f>
        <v>2.1261582833099847E-2</v>
      </c>
      <c r="X978" s="879">
        <f>+X967/'VVP2'!X$355</f>
        <v>2.1963607235198131E-2</v>
      </c>
      <c r="Y978" s="879">
        <f>+Y967/'VVP2'!Y$355</f>
        <v>2.174722013927723E-2</v>
      </c>
      <c r="Z978" s="2138">
        <f>+Z967/'VVP2'!Z$355</f>
        <v>1.8784465792396576E-2</v>
      </c>
      <c r="AA978" s="2138">
        <f>+AA967/'VVP2'!AA$355</f>
        <v>1.6680830494070681E-2</v>
      </c>
      <c r="AB978" s="2138">
        <f>+AB967/'VVP2'!AB$355</f>
        <v>1.6188691412141021E-2</v>
      </c>
      <c r="AC978" s="2138">
        <f>+AC967/'VVP2'!AC$355</f>
        <v>1.6224287010307776E-2</v>
      </c>
      <c r="AD978" s="2138">
        <f ca="1">+AD967/'VVP2'!AD$355</f>
        <v>1.6057637174989186E-2</v>
      </c>
      <c r="AE978" s="2138">
        <f ca="1">+AE967/'VVP2'!AE$355</f>
        <v>1.5589169331192683E-2</v>
      </c>
      <c r="AF978" s="3360">
        <f t="shared" si="1269"/>
        <v>-2.1036352983258948E-3</v>
      </c>
      <c r="AG978" s="3360">
        <f t="shared" si="1270"/>
        <v>-4.9213908192966005E-4</v>
      </c>
      <c r="AK978" s="2138">
        <v>1.5890322420264998E-2</v>
      </c>
      <c r="AM978" s="2138">
        <f t="shared" si="1260"/>
        <v>2.8941433721315774E-3</v>
      </c>
    </row>
    <row r="979" spans="1:46" ht="12.75" customHeight="1">
      <c r="B979" s="714"/>
      <c r="C979" s="1792" t="s">
        <v>624</v>
      </c>
      <c r="D979" s="850" t="s">
        <v>591</v>
      </c>
      <c r="E979" s="853" t="s">
        <v>1586</v>
      </c>
      <c r="F979" s="852" t="s">
        <v>501</v>
      </c>
      <c r="G979" s="881">
        <f ca="1">+G968/'VVP2'!G$355</f>
        <v>0.47098501212546878</v>
      </c>
      <c r="H979" s="881">
        <f>+H968/'VVP2'!H$355</f>
        <v>0.4828018953202336</v>
      </c>
      <c r="I979" s="881">
        <f>+I968/'VVP2'!I$355</f>
        <v>0.48517206144036762</v>
      </c>
      <c r="J979" s="881">
        <f>+J968/'VVP2'!J$355</f>
        <v>0.49159365703212426</v>
      </c>
      <c r="K979" s="881">
        <f>+K968/'VVP2'!K$355</f>
        <v>0.48897414689672686</v>
      </c>
      <c r="L979" s="881">
        <f>+L968/'VVP2'!L$355</f>
        <v>0.48465351519235383</v>
      </c>
      <c r="M979" s="881">
        <f>+M968/'VVP2'!M$355</f>
        <v>0.48807321914726143</v>
      </c>
      <c r="N979" s="881">
        <f>+N968/'VVP2'!N$355</f>
        <v>0.49025012624284225</v>
      </c>
      <c r="O979" s="881">
        <f>+O968/'VVP2'!O$355</f>
        <v>0.48364630895160399</v>
      </c>
      <c r="P979" s="881">
        <f>+P968/'VVP2'!P$355</f>
        <v>0.47975031368132653</v>
      </c>
      <c r="Q979" s="881">
        <f>+Q968/'VVP2'!Q$355</f>
        <v>0.48128680804723756</v>
      </c>
      <c r="R979" s="881">
        <f>+R968/'VVP2'!R$355</f>
        <v>0.4792989453015824</v>
      </c>
      <c r="S979" s="881">
        <f>+S968/'VVP2'!S$355</f>
        <v>0.47626674402581876</v>
      </c>
      <c r="T979" s="881">
        <f>+T968/'VVP2'!T$355</f>
        <v>0.48461995351712783</v>
      </c>
      <c r="U979" s="881">
        <f>+U968/'VVP2'!U$355</f>
        <v>0.48072616320093037</v>
      </c>
      <c r="V979" s="881">
        <f>+V968/'VVP2'!V$355</f>
        <v>0.48570900341138951</v>
      </c>
      <c r="W979" s="881">
        <f>+W968/'VVP2'!W$355</f>
        <v>0.49520648957825292</v>
      </c>
      <c r="X979" s="881">
        <f>+X968/'VVP2'!X$355</f>
        <v>0.5063691596466684</v>
      </c>
      <c r="Y979" s="881">
        <f>+Y968/'VVP2'!Y$355</f>
        <v>0.51550543686875516</v>
      </c>
      <c r="Z979" s="2227">
        <f>+Z968/'VVP2'!Z$355</f>
        <v>0.51118743944987632</v>
      </c>
      <c r="AA979" s="2227">
        <f>+AA968/'VVP2'!AA$355</f>
        <v>0.50411100217525195</v>
      </c>
      <c r="AB979" s="2227">
        <f>+AB968/'VVP2'!AB$355</f>
        <v>0.49825150030114757</v>
      </c>
      <c r="AC979" s="2227">
        <f>+AC968/'VVP2'!AC$355</f>
        <v>0.50264205401968509</v>
      </c>
      <c r="AD979" s="2227">
        <f ca="1">+AD968/'VVP2'!AD$355</f>
        <v>0.49744998664997953</v>
      </c>
      <c r="AE979" s="2227">
        <f ca="1">+AE968/'VVP2'!AE$355</f>
        <v>0.49471754679108104</v>
      </c>
      <c r="AF979" s="3360">
        <f t="shared" si="1269"/>
        <v>-7.0764372746243698E-3</v>
      </c>
      <c r="AG979" s="3360">
        <f t="shared" si="1270"/>
        <v>-5.8595018741043892E-3</v>
      </c>
      <c r="AK979" s="2227">
        <v>0.50062594774653835</v>
      </c>
      <c r="AM979" s="2227">
        <f t="shared" si="1260"/>
        <v>1.0561491703337977E-2</v>
      </c>
    </row>
    <row r="980" spans="1:46" s="927" customFormat="1" ht="12.75" customHeight="1">
      <c r="A980" s="713"/>
      <c r="B980" s="714"/>
      <c r="C980" s="1793" t="s">
        <v>622</v>
      </c>
      <c r="D980" s="1806" t="s">
        <v>591</v>
      </c>
      <c r="E980" s="1807" t="s">
        <v>613</v>
      </c>
      <c r="F980" s="1808" t="s">
        <v>503</v>
      </c>
      <c r="G980" s="1795">
        <f ca="1">+G969/'VVP2'!G$355</f>
        <v>4.3243719082894294E-3</v>
      </c>
      <c r="H980" s="1795">
        <f>+H969/'VVP2'!H$355</f>
        <v>4.5461197059956729E-3</v>
      </c>
      <c r="I980" s="1795">
        <f>+I969/'VVP2'!I$355</f>
        <v>5.9433009969964866E-3</v>
      </c>
      <c r="J980" s="1795">
        <f>+J969/'VVP2'!J$355</f>
        <v>4.527706132809302E-3</v>
      </c>
      <c r="K980" s="1795">
        <f>+K969/'VVP2'!K$355</f>
        <v>6.2020423705911737E-3</v>
      </c>
      <c r="L980" s="1795">
        <f>+L969/'VVP2'!L$355</f>
        <v>5.1502195785022194E-3</v>
      </c>
      <c r="M980" s="1795">
        <f>+M969/'VVP2'!M$355</f>
        <v>5.5250718240525158E-3</v>
      </c>
      <c r="N980" s="1795">
        <f>+N969/'VVP2'!N$355</f>
        <v>5.2689345176832689E-3</v>
      </c>
      <c r="O980" s="1795">
        <f>+O969/'VVP2'!O$355</f>
        <v>5.8891898250933621E-3</v>
      </c>
      <c r="P980" s="1795">
        <f>+P969/'VVP2'!P$355</f>
        <v>8.0097539158276165E-3</v>
      </c>
      <c r="Q980" s="1795">
        <f>+Q969/'VVP2'!Q$355</f>
        <v>7.3795880837598977E-3</v>
      </c>
      <c r="R980" s="1795">
        <f>+R969/'VVP2'!R$355</f>
        <v>7.4039810556535343E-3</v>
      </c>
      <c r="S980" s="1795">
        <f>+S969/'VVP2'!S$355</f>
        <v>6.8779055009609465E-3</v>
      </c>
      <c r="T980" s="1795">
        <f>+T969/'VVP2'!T$355</f>
        <v>7.1548827492283222E-3</v>
      </c>
      <c r="U980" s="1795">
        <f>+U969/'VVP2'!U$355</f>
        <v>6.9447570410208579E-3</v>
      </c>
      <c r="V980" s="1795">
        <f>+V969/'VVP2'!V$355</f>
        <v>7.6918547084980707E-3</v>
      </c>
      <c r="W980" s="1795">
        <f>+W969/'VVP2'!W$355</f>
        <v>8.0333668947205582E-3</v>
      </c>
      <c r="X980" s="1795">
        <f>+X969/'VVP2'!X$355</f>
        <v>9.9393522737155435E-3</v>
      </c>
      <c r="Y980" s="1795">
        <f>+Y969/'VVP2'!Y$355</f>
        <v>1.1466845831088257E-2</v>
      </c>
      <c r="Z980" s="2971">
        <f>+Z969/'VVP2'!Z$355</f>
        <v>1.0306074473341956E-2</v>
      </c>
      <c r="AA980" s="2971">
        <f>+AA969/'VVP2'!AA$355</f>
        <v>9.3517807439517861E-3</v>
      </c>
      <c r="AB980" s="2971">
        <f>+AB969/'VVP2'!AB$355</f>
        <v>9.3871055888640632E-3</v>
      </c>
      <c r="AC980" s="2971">
        <f>+AC969/'VVP2'!AC$355</f>
        <v>9.2425138761999849E-3</v>
      </c>
      <c r="AD980" s="2971">
        <f ca="1">+AD969/'VVP2'!AD$355</f>
        <v>9.1675179861177691E-3</v>
      </c>
      <c r="AE980" s="2971">
        <f ca="1">+AE969/'VVP2'!AE$355</f>
        <v>9.450921335868865E-3</v>
      </c>
      <c r="AF980" s="3360">
        <f t="shared" si="1269"/>
        <v>-9.5429372939016995E-4</v>
      </c>
      <c r="AG980" s="3360">
        <f t="shared" si="1270"/>
        <v>3.5324844912277067E-5</v>
      </c>
      <c r="AH980" s="2831"/>
      <c r="AI980" s="2831"/>
      <c r="AJ980" s="2831"/>
      <c r="AK980" s="2971">
        <v>1.0291843786511549E-2</v>
      </c>
      <c r="AL980" s="2831"/>
      <c r="AM980" s="2971">
        <f t="shared" si="1260"/>
        <v>1.4230686830407277E-5</v>
      </c>
      <c r="AN980" s="2831"/>
      <c r="AO980" s="2831"/>
      <c r="AP980" s="2831"/>
      <c r="AQ980" s="2831"/>
      <c r="AR980" s="2831"/>
      <c r="AS980" s="2831"/>
      <c r="AT980" s="2831"/>
    </row>
    <row r="981" spans="1:46" ht="12.75" customHeight="1">
      <c r="B981" s="714"/>
      <c r="C981" s="822" t="s">
        <v>624</v>
      </c>
      <c r="D981" s="850" t="s">
        <v>591</v>
      </c>
      <c r="E981" s="853" t="s">
        <v>1482</v>
      </c>
      <c r="F981" s="852"/>
      <c r="G981" s="881">
        <f ca="1">+G970/'VVP2'!G$355</f>
        <v>0.47530938403375822</v>
      </c>
      <c r="H981" s="881">
        <f>+H970/'VVP2'!H$355</f>
        <v>0.48734801502622926</v>
      </c>
      <c r="I981" s="881">
        <f>+I970/'VVP2'!I$355</f>
        <v>0.49111536243736403</v>
      </c>
      <c r="J981" s="881">
        <f>+J970/'VVP2'!J$355</f>
        <v>0.49612136316493355</v>
      </c>
      <c r="K981" s="881">
        <f>+K970/'VVP2'!K$355</f>
        <v>0.49517618926731799</v>
      </c>
      <c r="L981" s="881">
        <f>+L970/'VVP2'!L$355</f>
        <v>0.48980373477085615</v>
      </c>
      <c r="M981" s="881">
        <f>+M970/'VVP2'!M$355</f>
        <v>0.49359829097131397</v>
      </c>
      <c r="N981" s="881">
        <f>+N970/'VVP2'!N$355</f>
        <v>0.49551906076052549</v>
      </c>
      <c r="O981" s="881">
        <f>+O970/'VVP2'!O$355</f>
        <v>0.48953549877669728</v>
      </c>
      <c r="P981" s="881">
        <f>+P970/'VVP2'!P$355</f>
        <v>0.48776006759715423</v>
      </c>
      <c r="Q981" s="881">
        <f>+Q970/'VVP2'!Q$355</f>
        <v>0.48866639613099755</v>
      </c>
      <c r="R981" s="881">
        <f>+R970/'VVP2'!R$355</f>
        <v>0.48670292635723589</v>
      </c>
      <c r="S981" s="881">
        <f>+S970/'VVP2'!S$355</f>
        <v>0.48314464952677955</v>
      </c>
      <c r="T981" s="881">
        <f>+T970/'VVP2'!T$355</f>
        <v>0.49177483626635604</v>
      </c>
      <c r="U981" s="881">
        <f>+U970/'VVP2'!U$355</f>
        <v>0.48767092024195119</v>
      </c>
      <c r="V981" s="881">
        <f>+V970/'VVP2'!V$355</f>
        <v>0.49340085811988749</v>
      </c>
      <c r="W981" s="881">
        <f>+W970/'VVP2'!W$355</f>
        <v>0.50323985647297342</v>
      </c>
      <c r="X981" s="881">
        <f>+X970/'VVP2'!X$355</f>
        <v>0.51630851192038407</v>
      </c>
      <c r="Y981" s="881">
        <f>+Y970/'VVP2'!Y$355</f>
        <v>0.52697228269984342</v>
      </c>
      <c r="Z981" s="2205">
        <f>+Z970/'VVP2'!Z$355</f>
        <v>0.5214935139232183</v>
      </c>
      <c r="AA981" s="2205">
        <f>+AA970/'VVP2'!AA$355</f>
        <v>0.51346278291920378</v>
      </c>
      <c r="AB981" s="2205">
        <f>+AB970/'VVP2'!AB$355</f>
        <v>0.50763860589001164</v>
      </c>
      <c r="AC981" s="2205">
        <f>+AC970/'VVP2'!AC$355</f>
        <v>0.51188456789588499</v>
      </c>
      <c r="AD981" s="2205">
        <f ca="1">+AD970/'VVP2'!AD$355</f>
        <v>0.50661750463609734</v>
      </c>
      <c r="AE981" s="2205">
        <f ca="1">+AE970/'VVP2'!AE$355</f>
        <v>0.50416846812694993</v>
      </c>
      <c r="AF981" s="3360">
        <f t="shared" si="1269"/>
        <v>-8.0307310040145241E-3</v>
      </c>
      <c r="AG981" s="3360">
        <f t="shared" si="1270"/>
        <v>-5.8241770291921346E-3</v>
      </c>
      <c r="AK981" s="2205">
        <v>0.51091779153304995</v>
      </c>
      <c r="AM981" s="2205">
        <f t="shared" si="1260"/>
        <v>1.0575722390168352E-2</v>
      </c>
    </row>
    <row r="982" spans="1:46" ht="12.75" customHeight="1">
      <c r="A982" s="3452"/>
      <c r="B982" s="3453"/>
      <c r="C982" s="822"/>
      <c r="D982" s="3453"/>
      <c r="E982" s="3454"/>
      <c r="F982" s="3453"/>
      <c r="G982" s="3453"/>
      <c r="H982" s="3453"/>
      <c r="I982" s="3453"/>
      <c r="J982" s="3453"/>
      <c r="K982" s="3453"/>
      <c r="L982" s="3453"/>
      <c r="M982" s="3453"/>
      <c r="N982" s="3453"/>
      <c r="O982" s="3453"/>
      <c r="P982" s="3453"/>
      <c r="Q982" s="3453"/>
      <c r="R982" s="3453"/>
      <c r="S982" s="3453"/>
      <c r="T982" s="3453"/>
      <c r="U982" s="3453"/>
      <c r="V982" s="3455"/>
      <c r="W982" s="3455"/>
      <c r="X982" s="3455"/>
      <c r="Y982" s="3455"/>
      <c r="Z982" s="3455"/>
      <c r="AA982" s="3455"/>
      <c r="AB982" s="3455"/>
      <c r="AC982" s="3455"/>
      <c r="AD982" s="3455"/>
      <c r="AE982" s="3455"/>
      <c r="AF982" s="3360"/>
      <c r="AK982" s="3455"/>
      <c r="AM982" s="3455">
        <f t="shared" si="1260"/>
        <v>0</v>
      </c>
    </row>
    <row r="983" spans="1:46" ht="12.75" customHeight="1">
      <c r="B983" s="714"/>
      <c r="C983" s="822"/>
      <c r="D983" s="823"/>
      <c r="E983" s="824" t="s">
        <v>1005</v>
      </c>
      <c r="F983" s="825"/>
      <c r="G983" s="826">
        <f>InputY!$G$3</f>
        <v>1995</v>
      </c>
      <c r="H983" s="826">
        <f>+G983+1</f>
        <v>1996</v>
      </c>
      <c r="I983" s="826">
        <f t="shared" ref="I983:V983" si="1271">+H983+1</f>
        <v>1997</v>
      </c>
      <c r="J983" s="826">
        <f t="shared" si="1271"/>
        <v>1998</v>
      </c>
      <c r="K983" s="826">
        <f t="shared" si="1271"/>
        <v>1999</v>
      </c>
      <c r="L983" s="826">
        <f t="shared" si="1271"/>
        <v>2000</v>
      </c>
      <c r="M983" s="826">
        <f t="shared" si="1271"/>
        <v>2001</v>
      </c>
      <c r="N983" s="826">
        <f t="shared" si="1271"/>
        <v>2002</v>
      </c>
      <c r="O983" s="826">
        <f t="shared" si="1271"/>
        <v>2003</v>
      </c>
      <c r="P983" s="826">
        <f t="shared" si="1271"/>
        <v>2004</v>
      </c>
      <c r="Q983" s="826">
        <f t="shared" si="1271"/>
        <v>2005</v>
      </c>
      <c r="R983" s="826">
        <f t="shared" si="1271"/>
        <v>2006</v>
      </c>
      <c r="S983" s="826">
        <f t="shared" si="1271"/>
        <v>2007</v>
      </c>
      <c r="T983" s="2163">
        <f t="shared" si="1271"/>
        <v>2008</v>
      </c>
      <c r="U983" s="2163">
        <f t="shared" si="1271"/>
        <v>2009</v>
      </c>
      <c r="V983" s="2163">
        <f t="shared" si="1271"/>
        <v>2010</v>
      </c>
      <c r="W983" s="2163">
        <f t="shared" ref="W983:AE983" si="1272">+V983+1</f>
        <v>2011</v>
      </c>
      <c r="X983" s="2163">
        <f t="shared" si="1272"/>
        <v>2012</v>
      </c>
      <c r="Y983" s="2163">
        <f t="shared" si="1272"/>
        <v>2013</v>
      </c>
      <c r="Z983" s="2163">
        <f t="shared" si="1272"/>
        <v>2014</v>
      </c>
      <c r="AA983" s="2163">
        <f t="shared" si="1272"/>
        <v>2015</v>
      </c>
      <c r="AB983" s="2163">
        <f t="shared" si="1272"/>
        <v>2016</v>
      </c>
      <c r="AC983" s="2163">
        <f t="shared" si="1272"/>
        <v>2017</v>
      </c>
      <c r="AD983" s="2163">
        <f t="shared" si="1272"/>
        <v>2018</v>
      </c>
      <c r="AE983" s="2163">
        <f t="shared" si="1272"/>
        <v>2019</v>
      </c>
      <c r="AF983" s="3360"/>
      <c r="AK983" s="2163">
        <v>2014</v>
      </c>
      <c r="AM983" s="2163">
        <f t="shared" si="1260"/>
        <v>0</v>
      </c>
    </row>
    <row r="984" spans="1:46" ht="12.75" customHeight="1">
      <c r="B984" s="714"/>
      <c r="C984" s="827" t="s">
        <v>622</v>
      </c>
      <c r="D984" s="718" t="s">
        <v>591</v>
      </c>
      <c r="E984" s="828" t="s">
        <v>1006</v>
      </c>
      <c r="F984" s="751"/>
      <c r="G984" s="828"/>
      <c r="H984" s="828"/>
      <c r="I984" s="828"/>
      <c r="J984" s="828"/>
      <c r="K984" s="828"/>
      <c r="L984" s="828"/>
      <c r="M984" s="828"/>
      <c r="N984" s="828"/>
      <c r="O984" s="828"/>
      <c r="P984" s="828"/>
      <c r="Q984" s="828"/>
      <c r="R984" s="828"/>
      <c r="S984" s="828"/>
      <c r="T984" s="828"/>
      <c r="U984" s="3756">
        <v>-0.61399999999999999</v>
      </c>
      <c r="V984" s="3756">
        <v>2.3220000000000001</v>
      </c>
      <c r="W984" s="3756">
        <v>1.204</v>
      </c>
      <c r="X984" s="3756">
        <v>5.1770500000000004</v>
      </c>
      <c r="Y984" s="3756">
        <v>1.8580000000000001</v>
      </c>
      <c r="Z984" s="3783">
        <f>InputDFM!P6</f>
        <v>-3.9100000000000002E-4</v>
      </c>
      <c r="AA984" s="3783">
        <f>InputDFM!Q6</f>
        <v>-7.2099000000000002E-4</v>
      </c>
      <c r="AB984" s="3783">
        <f>InputDFM!R6</f>
        <v>-6.1910000000000003E-4</v>
      </c>
      <c r="AC984" s="3783">
        <f>InputDFM!S6</f>
        <v>5.4656000000000001E-3</v>
      </c>
      <c r="AD984" s="3783">
        <f>InputDFM!T6</f>
        <v>-2.2190000000000001E-3</v>
      </c>
      <c r="AE984" s="3783">
        <f>InputDFM!U6</f>
        <v>-2.5875E-3</v>
      </c>
      <c r="AF984" s="3360"/>
      <c r="AK984" s="3783">
        <v>-0.54100000000000004</v>
      </c>
      <c r="AM984" s="3783">
        <f t="shared" si="1260"/>
        <v>0.54060900000000001</v>
      </c>
    </row>
    <row r="985" spans="1:46" s="927" customFormat="1" ht="12.75" customHeight="1">
      <c r="A985" s="713"/>
      <c r="B985" s="714"/>
      <c r="C985" s="882" t="s">
        <v>622</v>
      </c>
      <c r="D985" s="933" t="s">
        <v>591</v>
      </c>
      <c r="E985" s="1368" t="s">
        <v>1007</v>
      </c>
      <c r="F985" s="1369"/>
      <c r="G985" s="1368"/>
      <c r="H985" s="1368"/>
      <c r="I985" s="1368"/>
      <c r="J985" s="1368"/>
      <c r="K985" s="1368"/>
      <c r="L985" s="1368"/>
      <c r="M985" s="1368"/>
      <c r="N985" s="1368"/>
      <c r="O985" s="1368"/>
      <c r="P985" s="1368"/>
      <c r="Q985" s="1368"/>
      <c r="R985" s="1368"/>
      <c r="S985" s="1368"/>
      <c r="T985" s="1368"/>
      <c r="U985" s="3805">
        <v>0</v>
      </c>
      <c r="V985" s="3805">
        <v>0</v>
      </c>
      <c r="W985" s="3805">
        <v>0</v>
      </c>
      <c r="X985" s="3805">
        <v>0.6</v>
      </c>
      <c r="Y985" s="3805">
        <v>0.439</v>
      </c>
      <c r="Z985" s="3916">
        <f>InputDFM!P8</f>
        <v>-8.7000000000000001E-5</v>
      </c>
      <c r="AA985" s="3916">
        <f>InputDFM!Q8</f>
        <v>-5.2999999999999998E-4</v>
      </c>
      <c r="AB985" s="3916">
        <f>InputDFM!R8</f>
        <v>1.83E-4</v>
      </c>
      <c r="AC985" s="3916">
        <f>InputDFM!S8</f>
        <v>-8.599999999999999E-5</v>
      </c>
      <c r="AD985" s="3916">
        <f>InputDFM!T8</f>
        <v>-3.4500000000000005E-5</v>
      </c>
      <c r="AE985" s="3916">
        <f>InputDFM!U8</f>
        <v>-8.8999999999999995E-5</v>
      </c>
      <c r="AF985" s="2831"/>
      <c r="AG985" s="2831"/>
      <c r="AH985" s="2831"/>
      <c r="AI985" s="2831"/>
      <c r="AJ985" s="2831"/>
      <c r="AK985" s="3916">
        <v>-8.6999999999999994E-2</v>
      </c>
      <c r="AL985" s="2831"/>
      <c r="AM985" s="3916">
        <f t="shared" si="1260"/>
        <v>8.691299999999999E-2</v>
      </c>
      <c r="AN985" s="2831"/>
      <c r="AO985" s="2831"/>
      <c r="AP985" s="2831"/>
      <c r="AQ985" s="2831"/>
      <c r="AR985" s="2831"/>
      <c r="AS985" s="2831"/>
      <c r="AT985" s="2831"/>
    </row>
    <row r="986" spans="1:46">
      <c r="D986" s="877" t="s">
        <v>1008</v>
      </c>
      <c r="F986" s="1066"/>
      <c r="Q986" s="749"/>
      <c r="R986" s="749"/>
      <c r="S986" s="749"/>
      <c r="T986" s="2162"/>
      <c r="U986" s="2928"/>
      <c r="V986" s="2928"/>
      <c r="W986" s="2928"/>
      <c r="X986" s="2928"/>
      <c r="Y986" s="2928"/>
      <c r="Z986" s="2928"/>
      <c r="AA986" s="2928"/>
      <c r="AB986" s="2928"/>
      <c r="AC986" s="2928"/>
      <c r="AD986" s="2928"/>
      <c r="AE986" s="2928"/>
      <c r="AK986" s="2928"/>
      <c r="AM986" s="2928">
        <f t="shared" si="1260"/>
        <v>0</v>
      </c>
    </row>
    <row r="987" spans="1:46">
      <c r="E987" s="749" t="s">
        <v>2409</v>
      </c>
      <c r="F987" s="1066"/>
      <c r="Q987" s="749"/>
      <c r="R987" s="749"/>
      <c r="S987" s="749"/>
      <c r="T987" s="2162"/>
      <c r="U987" s="2162"/>
      <c r="V987" s="2162"/>
      <c r="W987" s="2162"/>
      <c r="X987" s="3015">
        <f>X984*100/'VVP2'!X$355</f>
        <v>1.3360125584483722</v>
      </c>
      <c r="Y987" s="3015">
        <f>Y984*100/'VVP2'!Y$355</f>
        <v>0.47356908475765147</v>
      </c>
      <c r="Z987" s="3015">
        <f>Z984*100/'VVP2'!Z$355</f>
        <v>-9.767962183246971E-5</v>
      </c>
      <c r="AA987" s="3015">
        <f>AA984*100/'VVP2'!AA$355</f>
        <v>-1.7566475779855138E-4</v>
      </c>
      <c r="AB987" s="3015">
        <f>AB984*100/'VVP2'!AB$355</f>
        <v>-1.4634259342429851E-4</v>
      </c>
      <c r="AC987" s="3015">
        <f>AC984*100/'VVP2'!AC$355</f>
        <v>1.2464747906767992E-3</v>
      </c>
      <c r="AD987" s="3015">
        <f ca="1">AD984*100/'VVP2'!AD$355</f>
        <v>-4.8944249808378633E-4</v>
      </c>
      <c r="AE987" s="3015">
        <f ca="1">AE984*100/'VVP2'!AE$355</f>
        <v>-5.5165756309793633E-4</v>
      </c>
      <c r="AK987" s="3015">
        <v>-0.13448678748104509</v>
      </c>
      <c r="AM987" s="3015">
        <f t="shared" si="1260"/>
        <v>0.13438910785921263</v>
      </c>
    </row>
    <row r="988" spans="1:46" ht="12.75" customHeight="1">
      <c r="B988" s="714"/>
      <c r="C988" s="822"/>
      <c r="D988" s="898"/>
      <c r="E988" s="899" t="s">
        <v>1009</v>
      </c>
      <c r="F988" s="900"/>
      <c r="G988" s="901">
        <f>InputY!$G$3</f>
        <v>1995</v>
      </c>
      <c r="H988" s="901">
        <f>+G988+1</f>
        <v>1996</v>
      </c>
      <c r="I988" s="901">
        <f t="shared" ref="I988:V988" si="1273">+H988+1</f>
        <v>1997</v>
      </c>
      <c r="J988" s="901">
        <f t="shared" si="1273"/>
        <v>1998</v>
      </c>
      <c r="K988" s="901">
        <f t="shared" si="1273"/>
        <v>1999</v>
      </c>
      <c r="L988" s="901">
        <f t="shared" si="1273"/>
        <v>2000</v>
      </c>
      <c r="M988" s="901">
        <f t="shared" si="1273"/>
        <v>2001</v>
      </c>
      <c r="N988" s="901">
        <f t="shared" si="1273"/>
        <v>2002</v>
      </c>
      <c r="O988" s="901">
        <f t="shared" si="1273"/>
        <v>2003</v>
      </c>
      <c r="P988" s="901">
        <f t="shared" si="1273"/>
        <v>2004</v>
      </c>
      <c r="Q988" s="901">
        <f t="shared" si="1273"/>
        <v>2005</v>
      </c>
      <c r="R988" s="901">
        <f t="shared" si="1273"/>
        <v>2006</v>
      </c>
      <c r="S988" s="901">
        <f t="shared" si="1273"/>
        <v>2007</v>
      </c>
      <c r="T988" s="2130">
        <f t="shared" si="1273"/>
        <v>2008</v>
      </c>
      <c r="U988" s="2130">
        <f t="shared" si="1273"/>
        <v>2009</v>
      </c>
      <c r="V988" s="2130">
        <f t="shared" si="1273"/>
        <v>2010</v>
      </c>
      <c r="W988" s="2130">
        <f t="shared" ref="W988:AE988" si="1274">+V988+1</f>
        <v>2011</v>
      </c>
      <c r="X988" s="2130">
        <f t="shared" si="1274"/>
        <v>2012</v>
      </c>
      <c r="Y988" s="2130">
        <f t="shared" si="1274"/>
        <v>2013</v>
      </c>
      <c r="Z988" s="2130">
        <f t="shared" si="1274"/>
        <v>2014</v>
      </c>
      <c r="AA988" s="2130">
        <f t="shared" si="1274"/>
        <v>2015</v>
      </c>
      <c r="AB988" s="2130">
        <f t="shared" si="1274"/>
        <v>2016</v>
      </c>
      <c r="AC988" s="2130">
        <f t="shared" si="1274"/>
        <v>2017</v>
      </c>
      <c r="AD988" s="2130">
        <f t="shared" si="1274"/>
        <v>2018</v>
      </c>
      <c r="AE988" s="2130">
        <f t="shared" si="1274"/>
        <v>2019</v>
      </c>
      <c r="AK988" s="2130">
        <v>2014</v>
      </c>
      <c r="AM988" s="2130">
        <f t="shared" si="1260"/>
        <v>0</v>
      </c>
    </row>
    <row r="989" spans="1:46" ht="12.75" customHeight="1">
      <c r="B989" s="714"/>
      <c r="C989" s="1791" t="s">
        <v>622</v>
      </c>
      <c r="D989" s="903" t="s">
        <v>591</v>
      </c>
      <c r="E989" s="1805" t="s">
        <v>1006</v>
      </c>
      <c r="F989" s="905"/>
      <c r="G989" s="1089"/>
      <c r="H989" s="1089"/>
      <c r="I989" s="1089"/>
      <c r="J989" s="1089"/>
      <c r="K989" s="1089"/>
      <c r="L989" s="1089"/>
      <c r="M989" s="1089"/>
      <c r="N989" s="1089"/>
      <c r="O989" s="1089"/>
      <c r="P989" s="1089"/>
      <c r="Q989" s="1089"/>
      <c r="R989" s="1089"/>
      <c r="S989" s="1089"/>
      <c r="T989" s="1089"/>
      <c r="U989" s="1089">
        <f>+U968-IF(Last_forecast_year-Sector1!U988=2,Sector1!U984,IF(Last_forecast_year-Sector1!U988=1,Sector1!U984+Sector1!T984,Sector1!U984+Sector1!T984+Sector1!S984))</f>
        <v>168.28220000000002</v>
      </c>
      <c r="V989" s="1089">
        <f>+V968-IF(Last_forecast_year-Sector1!V988=2,Sector1!V984,IF(Last_forecast_year-Sector1!V988=1,Sector1!V984+Sector1!U984,Sector1!V984+Sector1!U984+Sector1!T984))</f>
        <v>175.62460000000002</v>
      </c>
      <c r="W989" s="1089">
        <f>+W968-IF(Last_forecast_year-Sector1!W988=2,Sector1!W984,IF(Last_forecast_year-Sector1!W988=1,Sector1!W984+Sector1!V984,Sector1!W984+Sector1!V984+Sector1!U984))</f>
        <v>184.82390000000001</v>
      </c>
      <c r="X989" s="1089">
        <f>+X968-IF(Last_forecast_year-Sector1!X988=2,Sector1!X984,IF(Last_forecast_year-Sector1!X988=1,Sector1!X984+Sector1!W984,Sector1!X984+Sector1!W984+Sector1!V984))</f>
        <v>187.51504999999997</v>
      </c>
      <c r="Y989" s="1089">
        <f>+Y968-IF(Last_forecast_year-Sector1!Y988=2,Sector1!Y984,IF(Last_forecast_year-Sector1!Y988=1,Sector1!Y984+Sector1!X984,Sector1!Y984+Sector1!X984+Sector1!W984))</f>
        <v>194.01425</v>
      </c>
      <c r="Z989" s="1089">
        <f>+Z968-IF(Last_forecast_year-Sector1!Z988=2,Sector1!Z984,IF(Last_forecast_year-Sector1!Z988=1,Sector1!Z984+Sector1!Y984,Sector1!Z984+Sector1!Y984+Sector1!X984))</f>
        <v>197.58764099999999</v>
      </c>
      <c r="AA989" s="1089">
        <f>+AA968-IF(Last_forecast_year-Sector1!AA988=2,Sector1!AA984,IF(Last_forecast_year-Sector1!AA988=1,Sector1!AA984+Sector1!Z984,Sector1!AA984+Sector1!Z984+Sector1!Y984))</f>
        <v>205.04801198999999</v>
      </c>
      <c r="AB989" s="1089">
        <f>+AB968-IF(Last_forecast_year-Sector1!AB988=2,Sector1!AB984,IF(Last_forecast_year-Sector1!AB988=1,Sector1!AB984+Sector1!AA984,Sector1!AB984+Sector1!AA984+Sector1!Z984))</f>
        <v>210.78623109</v>
      </c>
      <c r="AC989" s="1089">
        <f>+AC968-IF(Last_forecast_year-Sector1!AC988=2,Sector1!AC984,IF(Last_forecast_year-Sector1!AC988=1,Sector1!AC984+Sector1!AB984,Sector1!AC984+Sector1!AB984+Sector1!AA984))</f>
        <v>220.3953344</v>
      </c>
      <c r="AD989" s="1089">
        <f>+AD968-IF(Last_forecast_year-Sector1!AD988=2,Sector1!AD984,IF(Last_forecast_year-Sector1!AD988=1,Sector1!AD984+Sector1!AC984,Sector1!AD984+Sector1!AC984+Sector1!AB984))</f>
        <v>225.52713228984888</v>
      </c>
      <c r="AE989" s="1089">
        <f>+AE968-IF(Last_forecast_year-Sector1!AE988=2,Sector1!AE984,IF(Last_forecast_year-Sector1!AE988=1,Sector1!AE984+Sector1!AD984,Sector1!AE984+Sector1!AD984+Sector1!AC984))</f>
        <v>232.04214026513222</v>
      </c>
      <c r="AK989" s="1089">
        <v>201.92779999999999</v>
      </c>
      <c r="AM989" s="1089">
        <f t="shared" si="1260"/>
        <v>-4.3401589999999999</v>
      </c>
    </row>
    <row r="990" spans="1:46" s="927" customFormat="1" ht="12.75" customHeight="1">
      <c r="A990" s="713"/>
      <c r="B990" s="714"/>
      <c r="C990" s="1793" t="s">
        <v>622</v>
      </c>
      <c r="D990" s="1806" t="s">
        <v>591</v>
      </c>
      <c r="E990" s="1807" t="s">
        <v>1007</v>
      </c>
      <c r="F990" s="1808"/>
      <c r="G990" s="1570"/>
      <c r="H990" s="1570"/>
      <c r="I990" s="1570"/>
      <c r="J990" s="1570"/>
      <c r="K990" s="1570"/>
      <c r="L990" s="1570"/>
      <c r="M990" s="1570"/>
      <c r="N990" s="1570"/>
      <c r="O990" s="1570"/>
      <c r="P990" s="1570"/>
      <c r="Q990" s="1570"/>
      <c r="R990" s="1570"/>
      <c r="S990" s="1570"/>
      <c r="T990" s="1570"/>
      <c r="U990" s="1570">
        <f>+U969-IF(Last_forecast_year-Sector1!U988=2,Sector1!U985,IF(Last_forecast_year-Sector1!U988=1,Sector1!U985+Sector1!T985,Sector1!U985+Sector1!T985+Sector1!S985))</f>
        <v>2.4221999999999997</v>
      </c>
      <c r="V990" s="1570">
        <f>+V969-IF(Last_forecast_year-Sector1!V988=2,Sector1!V985,IF(Last_forecast_year-Sector1!V988=1,Sector1!V985+Sector1!U985,Sector1!V985+Sector1!U985+Sector1!T985))</f>
        <v>2.8083</v>
      </c>
      <c r="W990" s="1570">
        <f>+W969-IF(Last_forecast_year-Sector1!W988=2,Sector1!W985,IF(Last_forecast_year-Sector1!W988=1,Sector1!W985+Sector1!V985,Sector1!W985+Sector1!V985+Sector1!U985))</f>
        <v>3.0455000000000001</v>
      </c>
      <c r="X990" s="1570">
        <f>+X969-IF(Last_forecast_year-Sector1!X988=2,Sector1!X985,IF(Last_forecast_year-Sector1!X988=1,Sector1!X985+Sector1!W985,Sector1!X985+Sector1!W985+Sector1!V985))</f>
        <v>3.2515000000000001</v>
      </c>
      <c r="Y990" s="1570">
        <f>+Y969-IF(Last_forecast_year-Sector1!Y988=2,Sector1!Y985,IF(Last_forecast_year-Sector1!Y988=1,Sector1!Y985+Sector1!X985,Sector1!Y985+Sector1!X985+Sector1!W985))</f>
        <v>3.4599000000000002</v>
      </c>
      <c r="Z990" s="1570">
        <f>+Z969-IF(Last_forecast_year-Sector1!Z988=2,Sector1!Z985,IF(Last_forecast_year-Sector1!Z988=1,Sector1!Z985+Sector1!Y985,Sector1!Z985+Sector1!Y985+Sector1!X985))</f>
        <v>3.086487</v>
      </c>
      <c r="AA990" s="1570">
        <f>+AA969-IF(Last_forecast_year-Sector1!AA988=2,Sector1!AA985,IF(Last_forecast_year-Sector1!AA988=1,Sector1!AA985+Sector1!Z985,Sector1!AA985+Sector1!Z985+Sector1!Y985))</f>
        <v>3.3999170000000003</v>
      </c>
      <c r="AB990" s="1570">
        <f>+AB969-IF(Last_forecast_year-Sector1!AB988=2,Sector1!AB985,IF(Last_forecast_year-Sector1!AB988=1,Sector1!AB985+Sector1!AA985,Sector1!AB985+Sector1!AA985+Sector1!Z985))</f>
        <v>3.9716339999999994</v>
      </c>
      <c r="AC990" s="1570">
        <f>+AC969-IF(Last_forecast_year-Sector1!AC988=2,Sector1!AC985,IF(Last_forecast_year-Sector1!AC988=1,Sector1!AC985+Sector1!AB985,Sector1!AC985+Sector1!AB985+Sector1!AA985))</f>
        <v>4.0527859999999993</v>
      </c>
      <c r="AD990" s="1570">
        <f>+AD969-IF(Last_forecast_year-Sector1!AD988=2,Sector1!AD985,IF(Last_forecast_year-Sector1!AD988=1,Sector1!AD985+Sector1!AC985,Sector1!AD985+Sector1!AC985+Sector1!AB985))</f>
        <v>4.1564253756164442</v>
      </c>
      <c r="AE990" s="1570">
        <f>+AE969-IF(Last_forecast_year-Sector1!AE988=2,Sector1!AE985,IF(Last_forecast_year-Sector1!AE988=1,Sector1!AE985+Sector1!AD985,Sector1!AE985+Sector1!AD985+Sector1!AC985))</f>
        <v>4.4330788364110187</v>
      </c>
      <c r="AF990" s="2831"/>
      <c r="AG990" s="2831"/>
      <c r="AH990" s="2831"/>
      <c r="AI990" s="2831"/>
      <c r="AJ990" s="2831"/>
      <c r="AK990" s="1570">
        <v>4.2271000000000001</v>
      </c>
      <c r="AL990" s="2831"/>
      <c r="AM990" s="1570">
        <f t="shared" si="1260"/>
        <v>-1.1406130000000001</v>
      </c>
      <c r="AN990" s="2831"/>
      <c r="AO990" s="2831"/>
      <c r="AP990" s="2831"/>
      <c r="AQ990" s="2831"/>
      <c r="AR990" s="2831"/>
      <c r="AS990" s="2831"/>
      <c r="AT990" s="2831"/>
    </row>
    <row r="991" spans="1:46" ht="30" customHeight="1">
      <c r="K991" s="889"/>
      <c r="L991" s="2269"/>
      <c r="M991" s="889"/>
      <c r="S991" s="2239"/>
      <c r="T991" s="2162"/>
      <c r="U991" s="753"/>
      <c r="V991" s="753"/>
      <c r="W991" s="753"/>
    </row>
    <row r="992" spans="1:46" ht="12.75" customHeight="1">
      <c r="B992" s="714"/>
      <c r="C992" s="822"/>
      <c r="D992" s="823"/>
      <c r="E992" s="824" t="s">
        <v>2092</v>
      </c>
      <c r="F992" s="825"/>
      <c r="G992" s="826">
        <f>+InputY!$G$3</f>
        <v>1995</v>
      </c>
      <c r="H992" s="826">
        <f>+G992+1</f>
        <v>1996</v>
      </c>
      <c r="I992" s="826">
        <f t="shared" ref="I992:S992" si="1275">+H992+1</f>
        <v>1997</v>
      </c>
      <c r="J992" s="826">
        <f t="shared" si="1275"/>
        <v>1998</v>
      </c>
      <c r="K992" s="826">
        <f t="shared" si="1275"/>
        <v>1999</v>
      </c>
      <c r="L992" s="826">
        <f t="shared" si="1275"/>
        <v>2000</v>
      </c>
      <c r="M992" s="826">
        <f t="shared" si="1275"/>
        <v>2001</v>
      </c>
      <c r="N992" s="826">
        <f t="shared" si="1275"/>
        <v>2002</v>
      </c>
      <c r="O992" s="826">
        <f t="shared" si="1275"/>
        <v>2003</v>
      </c>
      <c r="P992" s="826">
        <f>+O992+1</f>
        <v>2004</v>
      </c>
      <c r="Q992" s="826">
        <f>+P992+1</f>
        <v>2005</v>
      </c>
      <c r="R992" s="826">
        <f>+Q992+1</f>
        <v>2006</v>
      </c>
      <c r="S992" s="2163">
        <f t="shared" si="1275"/>
        <v>2007</v>
      </c>
      <c r="T992" s="2163">
        <f t="shared" ref="T992:AE992" si="1276">+S992+1</f>
        <v>2008</v>
      </c>
      <c r="U992" s="2163">
        <f t="shared" si="1276"/>
        <v>2009</v>
      </c>
      <c r="V992" s="2163">
        <f t="shared" si="1276"/>
        <v>2010</v>
      </c>
      <c r="W992" s="2163">
        <f t="shared" si="1276"/>
        <v>2011</v>
      </c>
      <c r="X992" s="2163">
        <f t="shared" si="1276"/>
        <v>2012</v>
      </c>
      <c r="Y992" s="2163">
        <f t="shared" si="1276"/>
        <v>2013</v>
      </c>
      <c r="Z992" s="2163">
        <f t="shared" si="1276"/>
        <v>2014</v>
      </c>
      <c r="AA992" s="2163">
        <f t="shared" si="1276"/>
        <v>2015</v>
      </c>
      <c r="AB992" s="2163">
        <f t="shared" si="1276"/>
        <v>2016</v>
      </c>
      <c r="AC992" s="2163">
        <f t="shared" si="1276"/>
        <v>2017</v>
      </c>
      <c r="AD992" s="2163">
        <f t="shared" si="1276"/>
        <v>2018</v>
      </c>
      <c r="AE992" s="2163">
        <f t="shared" si="1276"/>
        <v>2019</v>
      </c>
      <c r="AK992" s="2163">
        <v>2014</v>
      </c>
      <c r="AM992" s="2163">
        <f t="shared" si="1260"/>
        <v>0</v>
      </c>
    </row>
    <row r="993" spans="1:46" ht="12.75" customHeight="1">
      <c r="B993" s="714"/>
      <c r="C993" s="827" t="s">
        <v>622</v>
      </c>
      <c r="D993" s="718" t="s">
        <v>591</v>
      </c>
      <c r="E993" s="828" t="s">
        <v>829</v>
      </c>
      <c r="F993" s="751" t="str">
        <f t="shared" ref="F993:AD993" si="1277">+F688</f>
        <v>$AComp</v>
      </c>
      <c r="G993" s="828">
        <f t="shared" si="1277"/>
        <v>24.175999999999998</v>
      </c>
      <c r="H993" s="828">
        <f t="shared" si="1277"/>
        <v>24.9559</v>
      </c>
      <c r="I993" s="828">
        <f t="shared" si="1277"/>
        <v>25.796200000000002</v>
      </c>
      <c r="J993" s="828">
        <f t="shared" si="1277"/>
        <v>26.570900000000002</v>
      </c>
      <c r="K993" s="828">
        <f t="shared" si="1277"/>
        <v>27.7728</v>
      </c>
      <c r="L993" s="828">
        <f t="shared" si="1277"/>
        <v>28.776700000000002</v>
      </c>
      <c r="M993" s="828">
        <f t="shared" si="1277"/>
        <v>30.060200000000002</v>
      </c>
      <c r="N993" s="828">
        <f t="shared" si="1277"/>
        <v>32.275100000000002</v>
      </c>
      <c r="O993" s="828">
        <f t="shared" si="1277"/>
        <v>33.604199999999999</v>
      </c>
      <c r="P993" s="828">
        <f t="shared" si="1277"/>
        <v>34.612099999999998</v>
      </c>
      <c r="Q993" s="828">
        <f t="shared" si="1277"/>
        <v>36.417699999999996</v>
      </c>
      <c r="R993" s="2847">
        <f t="shared" si="1277"/>
        <v>38.011800000000001</v>
      </c>
      <c r="S993" s="2847">
        <f t="shared" si="1277"/>
        <v>39.631699999999995</v>
      </c>
      <c r="T993" s="2847">
        <f t="shared" si="1277"/>
        <v>41.896599999999999</v>
      </c>
      <c r="U993" s="2847">
        <f t="shared" si="1277"/>
        <v>43.747800000000005</v>
      </c>
      <c r="V993" s="2847">
        <f t="shared" si="1277"/>
        <v>44.9086</v>
      </c>
      <c r="W993" s="2847">
        <f t="shared" si="1277"/>
        <v>46.770900000000005</v>
      </c>
      <c r="X993" s="2847">
        <f t="shared" si="1277"/>
        <v>48.655199999999994</v>
      </c>
      <c r="Y993" s="2847">
        <f t="shared" si="1277"/>
        <v>50.193599999999996</v>
      </c>
      <c r="Z993" s="2847">
        <f t="shared" si="1277"/>
        <v>50.880300000000005</v>
      </c>
      <c r="AA993" s="2230">
        <f t="shared" si="1277"/>
        <v>51.093000000000004</v>
      </c>
      <c r="AB993" s="2230">
        <f t="shared" si="1277"/>
        <v>52.288199999999996</v>
      </c>
      <c r="AC993" s="2230">
        <f t="shared" si="1277"/>
        <v>53.776300000000006</v>
      </c>
      <c r="AD993" s="2230">
        <f t="shared" si="1277"/>
        <v>54.768814395669409</v>
      </c>
      <c r="AE993" s="2230">
        <f t="shared" ref="AE993" si="1278">+AE688</f>
        <v>55.860125941606945</v>
      </c>
      <c r="AK993" s="2847">
        <v>50.245400000000004</v>
      </c>
      <c r="AM993" s="2847">
        <f t="shared" si="1260"/>
        <v>0.6349000000000018</v>
      </c>
    </row>
    <row r="994" spans="1:46" ht="12.75" customHeight="1">
      <c r="B994" s="714"/>
      <c r="C994" s="829" t="s">
        <v>622</v>
      </c>
      <c r="D994" s="724" t="s">
        <v>591</v>
      </c>
      <c r="E994" s="756" t="s">
        <v>1366</v>
      </c>
      <c r="F994" s="756"/>
      <c r="G994" s="756">
        <f t="shared" ref="G994:AD994" si="1279">+G689</f>
        <v>7.2478999999999996</v>
      </c>
      <c r="H994" s="756">
        <f t="shared" si="1279"/>
        <v>7.9761000000000006</v>
      </c>
      <c r="I994" s="756">
        <f t="shared" si="1279"/>
        <v>8.1880000000000006</v>
      </c>
      <c r="J994" s="756">
        <f t="shared" si="1279"/>
        <v>8.5561000000000007</v>
      </c>
      <c r="K994" s="756">
        <f t="shared" si="1279"/>
        <v>9.0108999999999995</v>
      </c>
      <c r="L994" s="756">
        <f t="shared" si="1279"/>
        <v>9.4283999999999999</v>
      </c>
      <c r="M994" s="756">
        <f t="shared" si="1279"/>
        <v>9.9881000000000011</v>
      </c>
      <c r="N994" s="756">
        <f t="shared" si="1279"/>
        <v>11.4903</v>
      </c>
      <c r="O994" s="756">
        <f t="shared" si="1279"/>
        <v>11.7447</v>
      </c>
      <c r="P994" s="756">
        <f t="shared" si="1279"/>
        <v>12.1379</v>
      </c>
      <c r="Q994" s="756">
        <f t="shared" si="1279"/>
        <v>12.4862</v>
      </c>
      <c r="R994" s="756">
        <f t="shared" si="1279"/>
        <v>12.8621</v>
      </c>
      <c r="S994" s="756">
        <f t="shared" si="1279"/>
        <v>12.9176</v>
      </c>
      <c r="T994" s="756">
        <f t="shared" si="1279"/>
        <v>14.008799999999999</v>
      </c>
      <c r="U994" s="756">
        <f t="shared" si="1279"/>
        <v>15.0093</v>
      </c>
      <c r="V994" s="756">
        <f t="shared" si="1279"/>
        <v>15.165799999999999</v>
      </c>
      <c r="W994" s="756">
        <f t="shared" si="1279"/>
        <v>15.870200000000001</v>
      </c>
      <c r="X994" s="756">
        <f t="shared" si="1279"/>
        <v>16.4953</v>
      </c>
      <c r="Y994" s="756">
        <f t="shared" si="1279"/>
        <v>17.093900000000001</v>
      </c>
      <c r="Z994" s="756">
        <f t="shared" si="1279"/>
        <v>16.9955</v>
      </c>
      <c r="AA994" s="2228">
        <f t="shared" si="1279"/>
        <v>16.693099999999998</v>
      </c>
      <c r="AB994" s="2228">
        <f t="shared" si="1279"/>
        <v>16.758700000000001</v>
      </c>
      <c r="AC994" s="2228">
        <f t="shared" si="1279"/>
        <v>17.622599999999998</v>
      </c>
      <c r="AD994" s="2228">
        <f t="shared" ca="1" si="1279"/>
        <v>18.253139009967271</v>
      </c>
      <c r="AE994" s="2228">
        <f t="shared" ref="AE994" ca="1" si="1280">+AE689</f>
        <v>19.283382982206994</v>
      </c>
      <c r="AK994" s="756">
        <v>15.9635</v>
      </c>
      <c r="AM994" s="756">
        <f t="shared" si="1260"/>
        <v>1.032</v>
      </c>
    </row>
    <row r="995" spans="1:46" ht="12.75" customHeight="1">
      <c r="B995" s="714"/>
      <c r="C995" s="829" t="s">
        <v>622</v>
      </c>
      <c r="D995" s="724" t="s">
        <v>591</v>
      </c>
      <c r="E995" s="756" t="s">
        <v>523</v>
      </c>
      <c r="F995" s="756"/>
      <c r="G995" s="756">
        <f t="shared" ref="G995:AD995" si="1281">+G690</f>
        <v>12.1455</v>
      </c>
      <c r="H995" s="756">
        <f t="shared" si="1281"/>
        <v>12.952399999999999</v>
      </c>
      <c r="I995" s="756">
        <f t="shared" si="1281"/>
        <v>12.9475</v>
      </c>
      <c r="J995" s="756">
        <f t="shared" si="1281"/>
        <v>13.5101</v>
      </c>
      <c r="K995" s="756">
        <f t="shared" si="1281"/>
        <v>14.3796</v>
      </c>
      <c r="L995" s="756">
        <f t="shared" si="1281"/>
        <v>15.3498</v>
      </c>
      <c r="M995" s="756">
        <f t="shared" si="1281"/>
        <v>16.480499999999999</v>
      </c>
      <c r="N995" s="756">
        <f t="shared" si="1281"/>
        <v>17.067799999999998</v>
      </c>
      <c r="O995" s="756">
        <f t="shared" si="1281"/>
        <v>18.512499999999999</v>
      </c>
      <c r="P995" s="756">
        <f t="shared" si="1281"/>
        <v>20.0596</v>
      </c>
      <c r="Q995" s="756">
        <f t="shared" si="1281"/>
        <v>21.032</v>
      </c>
      <c r="R995" s="756">
        <f t="shared" si="1281"/>
        <v>21.5001</v>
      </c>
      <c r="S995" s="756">
        <f t="shared" si="1281"/>
        <v>22.658099999999997</v>
      </c>
      <c r="T995" s="756">
        <f t="shared" si="1281"/>
        <v>24.9802</v>
      </c>
      <c r="U995" s="756">
        <f t="shared" si="1281"/>
        <v>26.692700000000002</v>
      </c>
      <c r="V995" s="756">
        <f t="shared" si="1281"/>
        <v>27.728300000000001</v>
      </c>
      <c r="W995" s="756">
        <f t="shared" si="1281"/>
        <v>29.384900000000002</v>
      </c>
      <c r="X995" s="756">
        <f t="shared" si="1281"/>
        <v>30.712700000000002</v>
      </c>
      <c r="Y995" s="756">
        <f t="shared" si="1281"/>
        <v>31.182700000000001</v>
      </c>
      <c r="Z995" s="756">
        <f t="shared" si="1281"/>
        <v>32.119199999999999</v>
      </c>
      <c r="AA995" s="2228">
        <f t="shared" si="1281"/>
        <v>32.8825</v>
      </c>
      <c r="AB995" s="2228">
        <f t="shared" si="1281"/>
        <v>33.738</v>
      </c>
      <c r="AC995" s="2228">
        <f t="shared" si="1281"/>
        <v>34.874199999999995</v>
      </c>
      <c r="AD995" s="2228">
        <f t="shared" si="1281"/>
        <v>36.23080637999999</v>
      </c>
      <c r="AE995" s="2228">
        <f t="shared" ref="AE995" si="1282">+AE690</f>
        <v>37.596707780525989</v>
      </c>
      <c r="AK995" s="756">
        <v>32.377699999999997</v>
      </c>
      <c r="AM995" s="756">
        <f t="shared" si="1260"/>
        <v>-0.25849999999999795</v>
      </c>
    </row>
    <row r="996" spans="1:46" ht="12.75" customHeight="1">
      <c r="B996" s="714"/>
      <c r="C996" s="829" t="s">
        <v>622</v>
      </c>
      <c r="D996" s="724" t="s">
        <v>591</v>
      </c>
      <c r="E996" s="756" t="s">
        <v>1439</v>
      </c>
      <c r="F996" s="754" t="s">
        <v>1925</v>
      </c>
      <c r="G996" s="756">
        <f t="shared" ref="G996:AD996" si="1283">+G520</f>
        <v>32.936099999999996</v>
      </c>
      <c r="H996" s="756">
        <f t="shared" si="1283"/>
        <v>33.900300000000001</v>
      </c>
      <c r="I996" s="756">
        <f t="shared" si="1283"/>
        <v>34.947400000000002</v>
      </c>
      <c r="J996" s="756">
        <f t="shared" si="1283"/>
        <v>35.640800000000006</v>
      </c>
      <c r="K996" s="756">
        <f t="shared" si="1283"/>
        <v>36.285199999999996</v>
      </c>
      <c r="L996" s="756">
        <f t="shared" si="1283"/>
        <v>37.241599999999998</v>
      </c>
      <c r="M996" s="756">
        <f t="shared" si="1283"/>
        <v>38.791899999999998</v>
      </c>
      <c r="N996" s="756">
        <f t="shared" si="1283"/>
        <v>41.471599999999995</v>
      </c>
      <c r="O996" s="756">
        <f t="shared" si="1283"/>
        <v>43.290599999999998</v>
      </c>
      <c r="P996" s="756">
        <f t="shared" si="1283"/>
        <v>45.0214</v>
      </c>
      <c r="Q996" s="756">
        <f t="shared" si="1283"/>
        <v>46.677500000000002</v>
      </c>
      <c r="R996" s="756">
        <f t="shared" si="1283"/>
        <v>48.273800000000001</v>
      </c>
      <c r="S996" s="756">
        <f t="shared" si="1283"/>
        <v>50.788599999999995</v>
      </c>
      <c r="T996" s="756">
        <f t="shared" si="1283"/>
        <v>54.066300000000005</v>
      </c>
      <c r="U996" s="756">
        <f t="shared" si="1283"/>
        <v>58.194499999999998</v>
      </c>
      <c r="V996" s="756">
        <f t="shared" si="1283"/>
        <v>59.719000000000001</v>
      </c>
      <c r="W996" s="756">
        <f t="shared" si="1283"/>
        <v>62.197600000000001</v>
      </c>
      <c r="X996" s="756">
        <f t="shared" si="1283"/>
        <v>65.408000000000001</v>
      </c>
      <c r="Y996" s="756">
        <f t="shared" si="1283"/>
        <v>68.186899999999994</v>
      </c>
      <c r="Z996" s="756">
        <f t="shared" si="1283"/>
        <v>69.181899999999999</v>
      </c>
      <c r="AA996" s="2228">
        <f t="shared" si="1283"/>
        <v>70.655699999999996</v>
      </c>
      <c r="AB996" s="2228">
        <f t="shared" si="1283"/>
        <v>72.838100000000011</v>
      </c>
      <c r="AC996" s="2228">
        <f t="shared" si="1283"/>
        <v>75.218399999999988</v>
      </c>
      <c r="AD996" s="2228">
        <f t="shared" si="1283"/>
        <v>77.422299119999991</v>
      </c>
      <c r="AE996" s="2228">
        <f t="shared" ref="AE996" si="1284">+AE520</f>
        <v>80.666293453127992</v>
      </c>
      <c r="AK996" s="756">
        <v>69.331800000000001</v>
      </c>
      <c r="AM996" s="756">
        <f t="shared" si="1260"/>
        <v>-0.14990000000000236</v>
      </c>
    </row>
    <row r="997" spans="1:46" ht="12.75" customHeight="1">
      <c r="B997" s="714"/>
      <c r="C997" s="829" t="s">
        <v>622</v>
      </c>
      <c r="D997" s="724" t="s">
        <v>591</v>
      </c>
      <c r="E997" s="756" t="s">
        <v>1565</v>
      </c>
      <c r="F997" s="754" t="s">
        <v>1175</v>
      </c>
      <c r="G997" s="756">
        <f t="shared" ref="G997:AD997" si="1285">+G231</f>
        <v>18.4833</v>
      </c>
      <c r="H997" s="756">
        <f t="shared" si="1285"/>
        <v>18.371099999999998</v>
      </c>
      <c r="I997" s="756">
        <f t="shared" si="1285"/>
        <v>17.513099999999998</v>
      </c>
      <c r="J997" s="756">
        <f t="shared" si="1285"/>
        <v>17.3751</v>
      </c>
      <c r="K997" s="756">
        <f t="shared" si="1285"/>
        <v>16.807099999999998</v>
      </c>
      <c r="L997" s="756">
        <f t="shared" si="1285"/>
        <v>17.2136</v>
      </c>
      <c r="M997" s="756">
        <f t="shared" si="1285"/>
        <v>17.370699999999999</v>
      </c>
      <c r="N997" s="756">
        <f t="shared" si="1285"/>
        <v>15.9564</v>
      </c>
      <c r="O997" s="756">
        <f t="shared" si="1285"/>
        <v>15.232200000000001</v>
      </c>
      <c r="P997" s="756">
        <f t="shared" si="1285"/>
        <v>14.352799999999998</v>
      </c>
      <c r="Q997" s="756">
        <f t="shared" si="1285"/>
        <v>13.5745</v>
      </c>
      <c r="R997" s="756">
        <f t="shared" si="1285"/>
        <v>13.3719</v>
      </c>
      <c r="S997" s="756">
        <f t="shared" si="1285"/>
        <v>13.7224</v>
      </c>
      <c r="T997" s="756">
        <f t="shared" si="1285"/>
        <v>14.032299999999999</v>
      </c>
      <c r="U997" s="756">
        <f t="shared" si="1285"/>
        <v>13.3378</v>
      </c>
      <c r="V997" s="756">
        <f t="shared" si="1285"/>
        <v>13.1707</v>
      </c>
      <c r="W997" s="756">
        <f t="shared" si="1285"/>
        <v>13.6379</v>
      </c>
      <c r="X997" s="756">
        <f t="shared" si="1285"/>
        <v>13.969200000000001</v>
      </c>
      <c r="Y997" s="756">
        <f t="shared" si="1285"/>
        <v>12.9718</v>
      </c>
      <c r="Z997" s="756">
        <f t="shared" si="1285"/>
        <v>13.0557</v>
      </c>
      <c r="AA997" s="2228">
        <f t="shared" si="1285"/>
        <v>12.417399999999999</v>
      </c>
      <c r="AB997" s="2228">
        <f t="shared" si="1285"/>
        <v>12.116200000000001</v>
      </c>
      <c r="AC997" s="2228">
        <f t="shared" si="1285"/>
        <v>10.7761</v>
      </c>
      <c r="AD997" s="2228">
        <f t="shared" si="1285"/>
        <v>10.213587579999999</v>
      </c>
      <c r="AE997" s="2228">
        <f t="shared" ref="AE997" si="1286">+AE231</f>
        <v>10.148220619487999</v>
      </c>
      <c r="AK997" s="756">
        <v>12.3665</v>
      </c>
      <c r="AM997" s="756">
        <f t="shared" si="1260"/>
        <v>0.68919999999999959</v>
      </c>
    </row>
    <row r="998" spans="1:46" ht="12.75" customHeight="1">
      <c r="B998" s="714"/>
      <c r="C998" s="829" t="s">
        <v>622</v>
      </c>
      <c r="D998" s="724" t="s">
        <v>591</v>
      </c>
      <c r="E998" s="756" t="s">
        <v>1645</v>
      </c>
      <c r="F998" s="754" t="s">
        <v>282</v>
      </c>
      <c r="G998" s="756">
        <f t="shared" ref="G998:AD998" si="1287">+G141</f>
        <v>3.0030999999999999</v>
      </c>
      <c r="H998" s="756">
        <f t="shared" si="1287"/>
        <v>4.2462</v>
      </c>
      <c r="I998" s="756">
        <f t="shared" si="1287"/>
        <v>3.8410000000000002</v>
      </c>
      <c r="J998" s="756">
        <f t="shared" si="1287"/>
        <v>4.1426999999999996</v>
      </c>
      <c r="K998" s="756">
        <f t="shared" si="1287"/>
        <v>4.2998000000000003</v>
      </c>
      <c r="L998" s="756">
        <f t="shared" si="1287"/>
        <v>4.3295000000000003</v>
      </c>
      <c r="M998" s="756">
        <f t="shared" si="1287"/>
        <v>4.524</v>
      </c>
      <c r="N998" s="756">
        <f t="shared" si="1287"/>
        <v>4.6268000000000002</v>
      </c>
      <c r="O998" s="756">
        <f t="shared" si="1287"/>
        <v>5.1334999999999997</v>
      </c>
      <c r="P998" s="756">
        <f t="shared" si="1287"/>
        <v>5.0979999999999999</v>
      </c>
      <c r="Q998" s="756">
        <f t="shared" si="1287"/>
        <v>6.7347000000000001</v>
      </c>
      <c r="R998" s="756">
        <f t="shared" si="1287"/>
        <v>7.9693000000000005</v>
      </c>
      <c r="S998" s="756">
        <f t="shared" si="1287"/>
        <v>9.2723999999999993</v>
      </c>
      <c r="T998" s="756">
        <f t="shared" si="1287"/>
        <v>10.2913</v>
      </c>
      <c r="U998" s="756">
        <f t="shared" si="1287"/>
        <v>10.694900000000001</v>
      </c>
      <c r="V998" s="756">
        <f t="shared" si="1287"/>
        <v>12.371499999999999</v>
      </c>
      <c r="W998" s="756">
        <f t="shared" si="1287"/>
        <v>13.3751</v>
      </c>
      <c r="X998" s="756">
        <f t="shared" si="1287"/>
        <v>13.308200000000001</v>
      </c>
      <c r="Y998" s="756">
        <f t="shared" si="1287"/>
        <v>13.5905</v>
      </c>
      <c r="Z998" s="756">
        <f t="shared" si="1287"/>
        <v>14.005100000000001</v>
      </c>
      <c r="AA998" s="2228">
        <f t="shared" si="1287"/>
        <v>14.058200000000001</v>
      </c>
      <c r="AB998" s="2228">
        <f t="shared" si="1287"/>
        <v>14.2582</v>
      </c>
      <c r="AC998" s="2228">
        <f t="shared" si="1287"/>
        <v>14.704700000000001</v>
      </c>
      <c r="AD998" s="2228">
        <f t="shared" si="1287"/>
        <v>14.200035728075999</v>
      </c>
      <c r="AE998" s="2228">
        <f t="shared" ref="AE998" si="1288">+AE141</f>
        <v>14.515967078272361</v>
      </c>
      <c r="AK998" s="756">
        <v>11.679500000000001</v>
      </c>
      <c r="AM998" s="756">
        <f t="shared" si="1260"/>
        <v>2.3255999999999997</v>
      </c>
    </row>
    <row r="999" spans="1:46" ht="12.75" customHeight="1">
      <c r="B999" s="714"/>
      <c r="C999" s="829" t="s">
        <v>622</v>
      </c>
      <c r="D999" s="724" t="s">
        <v>591</v>
      </c>
      <c r="E999" s="756" t="s">
        <v>1245</v>
      </c>
      <c r="F999" s="754" t="s">
        <v>502</v>
      </c>
      <c r="G999" s="756">
        <f>+G1107</f>
        <v>4.8021000000000003</v>
      </c>
      <c r="H999" s="756">
        <f t="shared" ref="H999:Q999" si="1289">+H1107</f>
        <v>4.1439000000000012</v>
      </c>
      <c r="I999" s="756">
        <f t="shared" si="1289"/>
        <v>4.3816000000000033</v>
      </c>
      <c r="J999" s="756">
        <f t="shared" si="1289"/>
        <v>4.5325000000000006</v>
      </c>
      <c r="K999" s="756">
        <f t="shared" si="1289"/>
        <v>4.6358000000000024</v>
      </c>
      <c r="L999" s="756">
        <f>+L1107</f>
        <v>4.7740000000000018</v>
      </c>
      <c r="M999" s="756">
        <f t="shared" si="1289"/>
        <v>4.9970999999999997</v>
      </c>
      <c r="N999" s="756">
        <f t="shared" si="1289"/>
        <v>5.0760000000000014</v>
      </c>
      <c r="O999" s="756">
        <f t="shared" si="1289"/>
        <v>5.556899999999998</v>
      </c>
      <c r="P999" s="756">
        <f t="shared" si="1289"/>
        <v>5.9263000000000003</v>
      </c>
      <c r="Q999" s="756">
        <f t="shared" si="1289"/>
        <v>6.3077000000000005</v>
      </c>
      <c r="R999" s="756">
        <f t="shared" ref="R999:V999" si="1290">+R1107</f>
        <v>6.3802000000000012</v>
      </c>
      <c r="S999" s="756">
        <f t="shared" si="1290"/>
        <v>6.0144999999999991</v>
      </c>
      <c r="T999" s="756">
        <f t="shared" si="1290"/>
        <v>6.5327000000000011</v>
      </c>
      <c r="U999" s="756">
        <f t="shared" si="1290"/>
        <v>7.7227000000000006</v>
      </c>
      <c r="V999" s="756">
        <f t="shared" si="1290"/>
        <v>7.7113999999999985</v>
      </c>
      <c r="W999" s="756">
        <f t="shared" ref="W999:AB999" si="1291">+W1107</f>
        <v>8.0143000000000004</v>
      </c>
      <c r="X999" s="756">
        <f t="shared" si="1291"/>
        <v>8.3078000000000003</v>
      </c>
      <c r="Y999" s="756">
        <f t="shared" si="1291"/>
        <v>8.5198999999999998</v>
      </c>
      <c r="Z999" s="756">
        <f t="shared" ref="Z999" si="1292">+Z1107</f>
        <v>8.3724999999999987</v>
      </c>
      <c r="AA999" s="2228">
        <f t="shared" si="1291"/>
        <v>8.444700000000001</v>
      </c>
      <c r="AB999" s="2228">
        <f t="shared" si="1291"/>
        <v>9.2129999999999992</v>
      </c>
      <c r="AC999" s="2228">
        <f t="shared" ref="AC999:AD999" si="1293">+AC1107</f>
        <v>7.992</v>
      </c>
      <c r="AD999" s="2228">
        <f t="shared" si="1293"/>
        <v>8.7951990599999998</v>
      </c>
      <c r="AE999" s="2228">
        <f t="shared" ref="AE999" si="1294">+AE1107</f>
        <v>9.1389875630579986</v>
      </c>
      <c r="AK999" s="756">
        <v>10.5337</v>
      </c>
      <c r="AM999" s="756">
        <f t="shared" si="1260"/>
        <v>-2.1612000000000009</v>
      </c>
    </row>
    <row r="1000" spans="1:46" ht="12.75" customHeight="1">
      <c r="B1000" s="714"/>
      <c r="C1000" s="829" t="s">
        <v>624</v>
      </c>
      <c r="D1000" s="794" t="s">
        <v>591</v>
      </c>
      <c r="E1000" s="843" t="s">
        <v>500</v>
      </c>
      <c r="F1000" s="796" t="s">
        <v>576</v>
      </c>
      <c r="G1000" s="843">
        <f>+G993+G994+G995+G996+G997+G998+G999</f>
        <v>102.79399999999998</v>
      </c>
      <c r="H1000" s="843">
        <f t="shared" ref="H1000:S1000" si="1295">+H993+H994+H995+H996+H997+H998+H999</f>
        <v>106.5459</v>
      </c>
      <c r="I1000" s="843">
        <f t="shared" si="1295"/>
        <v>107.61479999999999</v>
      </c>
      <c r="J1000" s="843">
        <f t="shared" si="1295"/>
        <v>110.32820000000002</v>
      </c>
      <c r="K1000" s="843">
        <f t="shared" si="1295"/>
        <v>113.19119999999999</v>
      </c>
      <c r="L1000" s="843">
        <f>+L993+L994+L995+L996+L997+L998+L999</f>
        <v>117.11360000000001</v>
      </c>
      <c r="M1000" s="843">
        <f t="shared" si="1295"/>
        <v>122.21250000000001</v>
      </c>
      <c r="N1000" s="843">
        <f t="shared" si="1295"/>
        <v>127.96400000000001</v>
      </c>
      <c r="O1000" s="843">
        <f t="shared" si="1295"/>
        <v>133.0746</v>
      </c>
      <c r="P1000" s="843">
        <f t="shared" si="1295"/>
        <v>137.2081</v>
      </c>
      <c r="Q1000" s="843">
        <f>+Q993+Q994+Q995+Q996+Q997+Q998+Q999</f>
        <v>143.2303</v>
      </c>
      <c r="R1000" s="843">
        <f t="shared" si="1295"/>
        <v>148.36920000000001</v>
      </c>
      <c r="S1000" s="843">
        <f t="shared" si="1295"/>
        <v>155.00529999999998</v>
      </c>
      <c r="T1000" s="843">
        <f t="shared" ref="T1000:AA1000" si="1296">+T993+T994+T995+T996+T997+T998+T999</f>
        <v>165.8082</v>
      </c>
      <c r="U1000" s="843">
        <f t="shared" si="1296"/>
        <v>175.3997</v>
      </c>
      <c r="V1000" s="843">
        <f t="shared" si="1296"/>
        <v>180.77530000000002</v>
      </c>
      <c r="W1000" s="843">
        <f t="shared" si="1296"/>
        <v>189.2509</v>
      </c>
      <c r="X1000" s="843">
        <f t="shared" si="1296"/>
        <v>196.85640000000001</v>
      </c>
      <c r="Y1000" s="843">
        <f t="shared" si="1296"/>
        <v>201.73929999999999</v>
      </c>
      <c r="Z1000" s="843">
        <f t="shared" ref="Z1000" si="1297">+Z993+Z994+Z995+Z996+Z997+Z998+Z999</f>
        <v>204.61019999999999</v>
      </c>
      <c r="AA1000" s="2264">
        <f t="shared" si="1296"/>
        <v>206.24459999999999</v>
      </c>
      <c r="AB1000" s="2264">
        <f t="shared" ref="AB1000:AC1000" si="1298">+AB993+AB994+AB995+AB996+AB997+AB998+AB999</f>
        <v>211.21039999999996</v>
      </c>
      <c r="AC1000" s="2264">
        <f t="shared" si="1298"/>
        <v>214.96429999999995</v>
      </c>
      <c r="AD1000" s="2264">
        <f t="shared" ref="AD1000" ca="1" si="1299">+AD993+AD994+AD995+AD996+AD997+AD998+AD999</f>
        <v>219.88388127371263</v>
      </c>
      <c r="AE1000" s="2264">
        <f t="shared" ref="AE1000" ca="1" si="1300">+AE993+AE994+AE995+AE996+AE997+AE998+AE999</f>
        <v>227.20968541828628</v>
      </c>
      <c r="AK1000" s="843">
        <v>202.49810000000002</v>
      </c>
      <c r="AM1000" s="843">
        <f t="shared" si="1260"/>
        <v>2.1120999999999697</v>
      </c>
    </row>
    <row r="1001" spans="1:46" ht="12.75" customHeight="1">
      <c r="B1001" s="714"/>
      <c r="C1001" s="829" t="s">
        <v>622</v>
      </c>
      <c r="D1001" s="724" t="s">
        <v>591</v>
      </c>
      <c r="E1001" s="756" t="str">
        <f>+'VVP2'!E237</f>
        <v>Gross fixed capital formation (P.51)</v>
      </c>
      <c r="F1001" s="754" t="str">
        <f>+'VVP2'!F237</f>
        <v>$AI</v>
      </c>
      <c r="G1001" s="756">
        <f>+'VVP2'!G237</f>
        <v>4.6926999999999994</v>
      </c>
      <c r="H1001" s="756">
        <f>+'VVP2'!H237</f>
        <v>4.6556000000000006</v>
      </c>
      <c r="I1001" s="756">
        <f>+'VVP2'!I237</f>
        <v>4.9722</v>
      </c>
      <c r="J1001" s="756">
        <f>+'VVP2'!J237</f>
        <v>5.0324</v>
      </c>
      <c r="K1001" s="756">
        <f>+'VVP2'!K237</f>
        <v>5.9561999999999999</v>
      </c>
      <c r="L1001" s="756">
        <f>+'VVP2'!L237</f>
        <v>6.2696999999999994</v>
      </c>
      <c r="M1001" s="756">
        <f>+'VVP2'!M237</f>
        <v>5.7919999999999998</v>
      </c>
      <c r="N1001" s="756">
        <f>+'VVP2'!N237</f>
        <v>5.8331</v>
      </c>
      <c r="O1001" s="756">
        <f>+'VVP2'!O237</f>
        <v>6.0922999999999998</v>
      </c>
      <c r="P1001" s="756">
        <f>+'VVP2'!P237</f>
        <v>6.1935000000000002</v>
      </c>
      <c r="Q1001" s="1376">
        <f>+'VVP2'!Q237</f>
        <v>6.6242000000000001</v>
      </c>
      <c r="R1001" s="756">
        <f>+'VVP2'!R237</f>
        <v>6.4175000000000004</v>
      </c>
      <c r="S1001" s="756">
        <f>+'VVP2'!S237</f>
        <v>7.0301</v>
      </c>
      <c r="T1001" s="756">
        <f>+'VVP2'!T237</f>
        <v>7.4166999999999996</v>
      </c>
      <c r="U1001" s="756">
        <f>+'VVP2'!U237</f>
        <v>8.1306000000000012</v>
      </c>
      <c r="V1001" s="756">
        <f>+'VVP2'!V237</f>
        <v>8.3940000000000001</v>
      </c>
      <c r="W1001" s="756">
        <f>+'VVP2'!W237</f>
        <v>9.2747000000000011</v>
      </c>
      <c r="X1001" s="756">
        <f>+'VVP2'!X237</f>
        <v>9.6434999999999995</v>
      </c>
      <c r="Y1001" s="756">
        <f>+'VVP2'!Y237</f>
        <v>9.2502999999999993</v>
      </c>
      <c r="Z1001" s="756">
        <f>+'VVP2'!Z237</f>
        <v>9.3675999999999995</v>
      </c>
      <c r="AA1001" s="2228">
        <f>+'VVP2'!AA237</f>
        <v>9.4318999999999988</v>
      </c>
      <c r="AB1001" s="2228">
        <f>+'VVP2'!AB237</f>
        <v>9.3502999999999989</v>
      </c>
      <c r="AC1001" s="2228">
        <f>+'VVP2'!AC237</f>
        <v>9.704600000000001</v>
      </c>
      <c r="AD1001" s="2228">
        <f ca="1">+'VVP2'!AD237</f>
        <v>10.871496631360001</v>
      </c>
      <c r="AE1001" s="2228">
        <f ca="1">+'VVP2'!AE237</f>
        <v>11.698817525006499</v>
      </c>
      <c r="AK1001" s="756">
        <v>9.164299999999999</v>
      </c>
      <c r="AM1001" s="1376">
        <f t="shared" si="1260"/>
        <v>0.20330000000000048</v>
      </c>
    </row>
    <row r="1002" spans="1:46" s="927" customFormat="1" ht="12.75" customHeight="1">
      <c r="A1002" s="713"/>
      <c r="B1002" s="714"/>
      <c r="C1002" s="882" t="s">
        <v>622</v>
      </c>
      <c r="D1002" s="933" t="s">
        <v>591</v>
      </c>
      <c r="E1002" s="1368" t="s">
        <v>1580</v>
      </c>
      <c r="F1002" s="1369" t="s">
        <v>577</v>
      </c>
      <c r="G1002" s="1368">
        <f>+G1113</f>
        <v>2.3347000000000002</v>
      </c>
      <c r="H1002" s="1368">
        <f t="shared" ref="H1002:O1002" si="1301">+H1113</f>
        <v>2.5269999999999997</v>
      </c>
      <c r="I1002" s="1368">
        <f t="shared" si="1301"/>
        <v>3.1915</v>
      </c>
      <c r="J1002" s="1368">
        <f t="shared" si="1301"/>
        <v>3.1976</v>
      </c>
      <c r="K1002" s="1368">
        <f t="shared" si="1301"/>
        <v>3.1328999999999998</v>
      </c>
      <c r="L1002" s="1368">
        <f>+L1113</f>
        <v>3.2803999999999998</v>
      </c>
      <c r="M1002" s="1368">
        <f t="shared" si="1301"/>
        <v>2.7313999999999998</v>
      </c>
      <c r="N1002" s="1368">
        <f t="shared" si="1301"/>
        <v>2.3782999999999994</v>
      </c>
      <c r="O1002" s="1368">
        <f t="shared" si="1301"/>
        <v>4.1710000000000003</v>
      </c>
      <c r="P1002" s="1368">
        <f t="shared" ref="P1002:W1002" si="1302">+P1113</f>
        <v>2.7662</v>
      </c>
      <c r="Q1002" s="1368">
        <f t="shared" si="1302"/>
        <v>10.956300000000001</v>
      </c>
      <c r="R1002" s="1368">
        <f t="shared" si="1302"/>
        <v>3.4842</v>
      </c>
      <c r="S1002" s="1368">
        <f t="shared" si="1302"/>
        <v>4.2848999999999995</v>
      </c>
      <c r="T1002" s="1368">
        <f t="shared" si="1302"/>
        <v>4.8019999999999996</v>
      </c>
      <c r="U1002" s="1368">
        <f t="shared" si="1302"/>
        <v>5.3352000000000004</v>
      </c>
      <c r="V1002" s="1368">
        <f t="shared" si="1302"/>
        <v>5.5805999999999996</v>
      </c>
      <c r="W1002" s="1368">
        <f t="shared" si="1302"/>
        <v>7.9075999999999995</v>
      </c>
      <c r="X1002" s="1368">
        <f t="shared" ref="X1002:AC1002" si="1303">+X1113</f>
        <v>9.9792000000000005</v>
      </c>
      <c r="Y1002" s="1368">
        <f t="shared" si="1303"/>
        <v>8.0727999999999991</v>
      </c>
      <c r="Z1002" s="1368">
        <f t="shared" ref="Z1002" si="1304">+Z1113</f>
        <v>7.0946999999999996</v>
      </c>
      <c r="AA1002" s="2265">
        <f t="shared" si="1303"/>
        <v>5.2461000000000002</v>
      </c>
      <c r="AB1002" s="2265">
        <f t="shared" si="1303"/>
        <v>4.6873000000000005</v>
      </c>
      <c r="AC1002" s="2265">
        <f t="shared" si="1303"/>
        <v>4.3071999999999999</v>
      </c>
      <c r="AD1002" s="2265">
        <f t="shared" ref="AD1002" si="1305">+AD1113</f>
        <v>3.8738627361122964</v>
      </c>
      <c r="AE1002" s="2265">
        <f t="shared" ref="AE1002" si="1306">+AE1113</f>
        <v>3.8482905818873321</v>
      </c>
      <c r="AF1002" s="2831"/>
      <c r="AG1002" s="2831"/>
      <c r="AH1002" s="2831"/>
      <c r="AI1002" s="2831"/>
      <c r="AJ1002" s="2831"/>
      <c r="AK1002" s="1368">
        <v>6.9222999999999999</v>
      </c>
      <c r="AL1002" s="2831"/>
      <c r="AM1002" s="1368">
        <f t="shared" si="1260"/>
        <v>0.17239999999999966</v>
      </c>
      <c r="AN1002" s="2831"/>
      <c r="AO1002" s="2831"/>
      <c r="AP1002" s="2831"/>
      <c r="AQ1002" s="2831"/>
      <c r="AR1002" s="2831"/>
      <c r="AS1002" s="2831"/>
      <c r="AT1002" s="2831"/>
    </row>
    <row r="1003" spans="1:46" s="1" customFormat="1">
      <c r="A1003" s="714">
        <f>+ROW(InputY!A176)</f>
        <v>176</v>
      </c>
      <c r="B1003" s="2117">
        <v>129</v>
      </c>
      <c r="C1003" s="759"/>
      <c r="D1003" s="2118" t="s">
        <v>591</v>
      </c>
      <c r="E1003" s="1101" t="s">
        <v>1094</v>
      </c>
      <c r="F1003" s="2119" t="s">
        <v>234</v>
      </c>
      <c r="G1003" s="1102">
        <f ca="1">+InputY!G176/1000</f>
        <v>109.8214</v>
      </c>
      <c r="H1003" s="1102">
        <f>+InputY!H176/1000</f>
        <v>113.7285</v>
      </c>
      <c r="I1003" s="1102">
        <f>+InputY!I176/1000</f>
        <v>115.77849999999999</v>
      </c>
      <c r="J1003" s="1102">
        <f>+InputY!J176/1000</f>
        <v>118.5582</v>
      </c>
      <c r="K1003" s="1102">
        <f>+InputY!K176/1000</f>
        <v>122.2803</v>
      </c>
      <c r="L1003" s="1102">
        <f>+InputY!L176/1000</f>
        <v>126.66369999999999</v>
      </c>
      <c r="M1003" s="1102">
        <f>+InputY!M176/1000</f>
        <v>130.73589999999999</v>
      </c>
      <c r="N1003" s="1102">
        <f>+InputY!N176/1000</f>
        <v>136.1754</v>
      </c>
      <c r="O1003" s="1102">
        <f>+InputY!O176/1000</f>
        <v>143.33789999999999</v>
      </c>
      <c r="P1003" s="1102">
        <f>+InputY!P176/1000</f>
        <v>146.1678</v>
      </c>
      <c r="Q1003" s="1102">
        <f>+InputY!Q176/1000</f>
        <v>160.8108</v>
      </c>
      <c r="R1003" s="1102">
        <f>+InputY!R176/1000</f>
        <v>158.27089999999998</v>
      </c>
      <c r="S1003" s="1102">
        <f>+InputY!S176/1000</f>
        <v>166.32029999999997</v>
      </c>
      <c r="T1003" s="1102">
        <f>+InputY!T176/1000</f>
        <v>178.02689999999998</v>
      </c>
      <c r="U1003" s="1102">
        <f>+InputY!U176/1000</f>
        <v>188.8655</v>
      </c>
      <c r="V1003" s="1102">
        <f>+InputY!V176/1000</f>
        <v>194.7499</v>
      </c>
      <c r="W1003" s="3323">
        <f>+InputY!W176/1000</f>
        <v>206.4332</v>
      </c>
      <c r="X1003" s="3323">
        <f>+InputY!X176/1000</f>
        <v>216.47910000000002</v>
      </c>
      <c r="Y1003" s="3323">
        <f>+InputY!Y176/1000</f>
        <v>219.0624</v>
      </c>
      <c r="Z1003" s="3323">
        <f>+InputY!Z176/1000</f>
        <v>221.07249999999999</v>
      </c>
      <c r="AA1003" s="3323">
        <f>+InputY!AA176/1000</f>
        <v>220.92260000000002</v>
      </c>
      <c r="AB1003" s="3323">
        <f>+InputY!AB176/1000</f>
        <v>225.24799999999999</v>
      </c>
      <c r="AC1003" s="3323">
        <f>+InputY!AC176/1000</f>
        <v>228.9761</v>
      </c>
      <c r="AD1003" s="3779">
        <f ca="1">+AD1000+AD1001+AD1002</f>
        <v>234.62924064118494</v>
      </c>
      <c r="AE1003" s="3779">
        <f ca="1">+AE1000+AE1001+AE1002</f>
        <v>242.75679352518011</v>
      </c>
      <c r="AF1003" s="2839"/>
      <c r="AG1003" s="2839"/>
      <c r="AH1003" s="2839"/>
      <c r="AI1003" s="2839"/>
      <c r="AJ1003" s="2839"/>
      <c r="AK1003" s="3323">
        <v>218.58470000000003</v>
      </c>
      <c r="AL1003" s="2839"/>
      <c r="AM1003" s="3323">
        <f t="shared" si="1260"/>
        <v>2.4877999999999645</v>
      </c>
      <c r="AN1003" s="2839"/>
      <c r="AO1003" s="2839"/>
      <c r="AP1003" s="2839"/>
      <c r="AQ1003" s="2839"/>
      <c r="AR1003" s="2839"/>
      <c r="AS1003" s="2839"/>
      <c r="AT1003" s="2839"/>
    </row>
    <row r="1004" spans="1:46" s="1885" customFormat="1" ht="12.75" customHeight="1">
      <c r="A1004" s="1039"/>
      <c r="B1004" s="1039"/>
      <c r="C1004" s="1501"/>
      <c r="D1004" s="1884"/>
      <c r="E1004" s="1882" t="s">
        <v>474</v>
      </c>
      <c r="F1004" s="1883"/>
      <c r="G1004" s="2120">
        <f ca="1">ABS(G1003-G1000-G1001-G1002)</f>
        <v>1.4654943925052066E-14</v>
      </c>
      <c r="H1004" s="2120">
        <f t="shared" ref="H1004:O1004" si="1307">ABS(H1003-H1000-H1001-H1002)</f>
        <v>6.6613381477509392E-15</v>
      </c>
      <c r="I1004" s="2120">
        <f t="shared" si="1307"/>
        <v>5.773159728050814E-15</v>
      </c>
      <c r="J1004" s="2120">
        <f t="shared" si="1307"/>
        <v>2.4424906541753444E-14</v>
      </c>
      <c r="K1004" s="2120">
        <f t="shared" si="1307"/>
        <v>2.2204460492503131E-15</v>
      </c>
      <c r="L1004" s="2120">
        <f>ABS(L1003-L1000-L1001-L1002)</f>
        <v>1.2878587085651816E-14</v>
      </c>
      <c r="M1004" s="2120">
        <f t="shared" si="1307"/>
        <v>1.865174681370263E-14</v>
      </c>
      <c r="N1004" s="2120">
        <f t="shared" si="1307"/>
        <v>1.5987211554602254E-14</v>
      </c>
      <c r="O1004" s="2120">
        <f t="shared" si="1307"/>
        <v>1.3322676295501878E-14</v>
      </c>
      <c r="P1004" s="2120">
        <f>ABS(P1003-P1000-P1001-P1002)</f>
        <v>2.2204460492503131E-15</v>
      </c>
      <c r="Q1004" s="2120">
        <f t="shared" ref="Q1004:Y1004" si="1308">ABS(Q1003-Q1000-Q1001-Q1002)</f>
        <v>0</v>
      </c>
      <c r="R1004" s="2120">
        <f t="shared" si="1308"/>
        <v>2.3536728122053319E-14</v>
      </c>
      <c r="S1004" s="2120">
        <f t="shared" si="1308"/>
        <v>1.7763568394002505E-15</v>
      </c>
      <c r="T1004" s="2120">
        <f>ABS(T1003-T1000-T1001-T1002)</f>
        <v>1.5099033134902129E-14</v>
      </c>
      <c r="U1004" s="2120">
        <f>ABS(U1003-U1000-U1001-U1002)</f>
        <v>0</v>
      </c>
      <c r="V1004" s="2894">
        <f t="shared" si="1308"/>
        <v>1.865174681370263E-14</v>
      </c>
      <c r="W1004" s="2894">
        <f t="shared" si="1308"/>
        <v>2.6645352591003757E-15</v>
      </c>
      <c r="X1004" s="2894">
        <f t="shared" si="1308"/>
        <v>8.8817841970012523E-15</v>
      </c>
      <c r="Y1004" s="2894">
        <f t="shared" si="1308"/>
        <v>1.2434497875801753E-14</v>
      </c>
      <c r="Z1004" s="2894">
        <f t="shared" ref="Z1004" si="1309">ABS(Z1003-Z1000-Z1001-Z1002)</f>
        <v>0</v>
      </c>
      <c r="AA1004" s="2894">
        <f>ABS(AA1003-AA1000-AA1001-AA1002)</f>
        <v>2.6645352591003757E-14</v>
      </c>
      <c r="AB1004" s="2894">
        <f>ABS(AB1003-AB1000-AB1001-AB1002)</f>
        <v>2.6645352591003757E-14</v>
      </c>
      <c r="AC1004" s="2894">
        <f>ABS(AC1003-AC1000-AC1001-AC1002)</f>
        <v>4.9737991503207013E-14</v>
      </c>
      <c r="AD1004" s="2894">
        <f ca="1">ABS(AD1003-AD1000-AD1001-AD1002)</f>
        <v>6.2172489379008766E-15</v>
      </c>
      <c r="AE1004" s="2894">
        <f ca="1">ABS(AE1003-AE1000-AE1001-AE1002)</f>
        <v>4.4408920985006262E-16</v>
      </c>
      <c r="AF1004" s="2836"/>
      <c r="AG1004" s="2836"/>
      <c r="AH1004" s="2836"/>
      <c r="AI1004" s="2836"/>
      <c r="AJ1004" s="2836"/>
      <c r="AK1004" s="2894">
        <v>5.3290705182007514E-15</v>
      </c>
      <c r="AL1004" s="2836"/>
      <c r="AM1004" s="2894">
        <f t="shared" si="1260"/>
        <v>-5.3290705182007514E-15</v>
      </c>
      <c r="AN1004" s="2836"/>
      <c r="AO1004" s="2836"/>
      <c r="AP1004" s="2836"/>
      <c r="AQ1004" s="2836"/>
      <c r="AR1004" s="2836"/>
      <c r="AS1004" s="2836"/>
      <c r="AT1004" s="2836"/>
    </row>
    <row r="1005" spans="1:46">
      <c r="G1005" s="2234"/>
      <c r="H1005" s="2234"/>
      <c r="I1005" s="2234"/>
      <c r="J1005" s="2234"/>
      <c r="K1005" s="2234"/>
      <c r="L1005" s="2234"/>
      <c r="M1005" s="2234"/>
      <c r="N1005" s="2234"/>
      <c r="O1005" s="2234"/>
      <c r="P1005" s="2234"/>
      <c r="Q1005" s="2234"/>
      <c r="R1005" s="2234"/>
      <c r="S1005" s="2234"/>
      <c r="T1005" s="3006"/>
      <c r="U1005" s="2234"/>
      <c r="V1005" s="2234"/>
      <c r="W1005" s="2234"/>
      <c r="X1005" s="2234"/>
      <c r="Y1005" s="2234"/>
      <c r="Z1005" s="2234"/>
      <c r="AA1005" s="2234"/>
      <c r="AB1005" s="2234"/>
      <c r="AC1005" s="2234"/>
      <c r="AD1005" s="2234"/>
      <c r="AE1005" s="2234"/>
      <c r="AK1005" s="2234"/>
      <c r="AM1005" s="2234">
        <f t="shared" si="1260"/>
        <v>0</v>
      </c>
    </row>
    <row r="1006" spans="1:46" ht="12.75" customHeight="1">
      <c r="B1006" s="714"/>
      <c r="C1006" s="822"/>
      <c r="D1006" s="1025"/>
      <c r="E1006" s="1026" t="s">
        <v>517</v>
      </c>
      <c r="F1006" s="1794"/>
      <c r="G1006" s="1027">
        <f>+InputY!$G$3</f>
        <v>1995</v>
      </c>
      <c r="H1006" s="1027">
        <f>+G1006+1</f>
        <v>1996</v>
      </c>
      <c r="I1006" s="1027">
        <f t="shared" ref="I1006:O1006" si="1310">+H1006+1</f>
        <v>1997</v>
      </c>
      <c r="J1006" s="1027">
        <f t="shared" si="1310"/>
        <v>1998</v>
      </c>
      <c r="K1006" s="1027">
        <f t="shared" si="1310"/>
        <v>1999</v>
      </c>
      <c r="L1006" s="1027">
        <f t="shared" si="1310"/>
        <v>2000</v>
      </c>
      <c r="M1006" s="1027">
        <f t="shared" si="1310"/>
        <v>2001</v>
      </c>
      <c r="N1006" s="1027">
        <f t="shared" si="1310"/>
        <v>2002</v>
      </c>
      <c r="O1006" s="1027">
        <f t="shared" si="1310"/>
        <v>2003</v>
      </c>
      <c r="P1006" s="1027">
        <f t="shared" ref="P1006:U1006" si="1311">+O1006+1</f>
        <v>2004</v>
      </c>
      <c r="Q1006" s="1027">
        <f t="shared" si="1311"/>
        <v>2005</v>
      </c>
      <c r="R1006" s="1027">
        <f>+Q1006+1</f>
        <v>2006</v>
      </c>
      <c r="S1006" s="2180">
        <f t="shared" si="1311"/>
        <v>2007</v>
      </c>
      <c r="T1006" s="2180">
        <f t="shared" si="1311"/>
        <v>2008</v>
      </c>
      <c r="U1006" s="2180">
        <f t="shared" si="1311"/>
        <v>2009</v>
      </c>
      <c r="V1006" s="2180">
        <f t="shared" ref="V1006:AE1006" si="1312">+U1006+1</f>
        <v>2010</v>
      </c>
      <c r="W1006" s="2180">
        <f t="shared" si="1312"/>
        <v>2011</v>
      </c>
      <c r="X1006" s="2180">
        <f t="shared" si="1312"/>
        <v>2012</v>
      </c>
      <c r="Y1006" s="2180">
        <f t="shared" si="1312"/>
        <v>2013</v>
      </c>
      <c r="Z1006" s="2180">
        <f t="shared" si="1312"/>
        <v>2014</v>
      </c>
      <c r="AA1006" s="2180">
        <f t="shared" si="1312"/>
        <v>2015</v>
      </c>
      <c r="AB1006" s="2180">
        <f t="shared" si="1312"/>
        <v>2016</v>
      </c>
      <c r="AC1006" s="2180">
        <f t="shared" si="1312"/>
        <v>2017</v>
      </c>
      <c r="AD1006" s="2180">
        <f t="shared" si="1312"/>
        <v>2018</v>
      </c>
      <c r="AE1006" s="2180">
        <f t="shared" si="1312"/>
        <v>2019</v>
      </c>
      <c r="AF1006" s="2827">
        <v>2015</v>
      </c>
      <c r="AG1006" s="2827">
        <v>2016</v>
      </c>
      <c r="AK1006" s="2180">
        <v>2014</v>
      </c>
      <c r="AM1006" s="2180">
        <f t="shared" si="1260"/>
        <v>0</v>
      </c>
    </row>
    <row r="1007" spans="1:46" ht="12.75" customHeight="1">
      <c r="B1007" s="714"/>
      <c r="C1007" s="1791" t="s">
        <v>622</v>
      </c>
      <c r="D1007" s="724" t="s">
        <v>591</v>
      </c>
      <c r="E1007" s="756" t="s">
        <v>829</v>
      </c>
      <c r="F1007" s="754" t="s">
        <v>1081</v>
      </c>
      <c r="G1007" s="1810">
        <f ca="1">+G993/'VVP2'!G$355</f>
        <v>0.11442050482084407</v>
      </c>
      <c r="H1007" s="1810">
        <f>+H993/'VVP2'!H$355</f>
        <v>0.11556739204528615</v>
      </c>
      <c r="I1007" s="1810">
        <f>+I993/'VVP2'!I$355</f>
        <v>0.11415828829390974</v>
      </c>
      <c r="J1007" s="1810">
        <f>+J993/'VVP2'!J$355</f>
        <v>0.11331376743360901</v>
      </c>
      <c r="K1007" s="1810">
        <f>+K993/'VVP2'!K$355</f>
        <v>0.11371762220238632</v>
      </c>
      <c r="L1007" s="1810">
        <f>+L993/'VVP2'!L$355</f>
        <v>0.11144170519940208</v>
      </c>
      <c r="M1007" s="1810">
        <f>+M993/'VVP2'!M$355</f>
        <v>0.1130982390503122</v>
      </c>
      <c r="N1007" s="1810">
        <f>+N993/'VVP2'!N$355</f>
        <v>0.11733622331586234</v>
      </c>
      <c r="O1007" s="1810">
        <f>+O993/'VVP2'!O$355</f>
        <v>0.11889547174551057</v>
      </c>
      <c r="P1007" s="1810">
        <f>+P993/'VVP2'!P$355</f>
        <v>0.1158716055797112</v>
      </c>
      <c r="Q1007" s="1810">
        <f>+Q993/'VVP2'!Q$355</f>
        <v>0.1169179609144448</v>
      </c>
      <c r="R1007" s="1810">
        <f>+R993/'VVP2'!R$355</f>
        <v>0.1163642797863603</v>
      </c>
      <c r="S1007" s="1810">
        <f>+S993/'VVP2'!S$355</f>
        <v>0.11497030133807157</v>
      </c>
      <c r="T1007" s="1810">
        <f>+T993/'VVP2'!T$355</f>
        <v>0.11832994931169592</v>
      </c>
      <c r="U1007" s="1810">
        <f>+U993/'VVP2'!U$355</f>
        <v>0.12543053508346641</v>
      </c>
      <c r="V1007" s="1810">
        <f>+V993/'VVP2'!V$355</f>
        <v>0.12300339221666362</v>
      </c>
      <c r="W1007" s="1810">
        <f>+W993/'VVP2'!W$355</f>
        <v>0.12337146599779536</v>
      </c>
      <c r="X1007" s="1810">
        <f>+X993/'VVP2'!X$355</f>
        <v>0.12556177404857444</v>
      </c>
      <c r="Y1007" s="1810">
        <f>+Y993/'VVP2'!Y$355</f>
        <v>0.12793400006830813</v>
      </c>
      <c r="Z1007" s="2972">
        <f>+Z993/'VVP2'!Z$355</f>
        <v>0.12710916784456799</v>
      </c>
      <c r="AA1007" s="2972">
        <f>+AA993/'VVP2'!AA$355</f>
        <v>0.1244849369644709</v>
      </c>
      <c r="AB1007" s="2972">
        <f>+AB993/'VVP2'!AB$355</f>
        <v>0.12359862370357622</v>
      </c>
      <c r="AC1007" s="2972">
        <f>+AC993/'VVP2'!AC$355</f>
        <v>0.12264125125489016</v>
      </c>
      <c r="AD1007" s="2972">
        <f ca="1">+AD993/'VVP2'!AD$355</f>
        <v>0.12080299835468081</v>
      </c>
      <c r="AE1007" s="2972">
        <f ca="1">+AE993/'VVP2'!AE$355</f>
        <v>0.11909434184073703</v>
      </c>
      <c r="AF1007" s="3360">
        <f t="shared" ref="AF1007:AF1017" si="1313">AA1007-Z1007</f>
        <v>-2.6242308800970976E-3</v>
      </c>
      <c r="AG1007" s="3360">
        <f t="shared" ref="AG1007:AG1017" si="1314">AB1007-AA1007</f>
        <v>-8.8631326089468054E-4</v>
      </c>
      <c r="AH1007" s="3360"/>
      <c r="AK1007" s="2972">
        <v>0.12490466602033462</v>
      </c>
      <c r="AM1007" s="2972">
        <f t="shared" si="1260"/>
        <v>2.2045018242333736E-3</v>
      </c>
    </row>
    <row r="1008" spans="1:46" ht="12.75" customHeight="1">
      <c r="B1008" s="714"/>
      <c r="C1008" s="1792" t="s">
        <v>622</v>
      </c>
      <c r="D1008" s="724" t="s">
        <v>591</v>
      </c>
      <c r="E1008" s="756" t="s">
        <v>1366</v>
      </c>
      <c r="F1008" s="754"/>
      <c r="G1008" s="1810">
        <f ca="1">+G994/'VVP2'!G$355</f>
        <v>3.4302960658959124E-2</v>
      </c>
      <c r="H1008" s="1810">
        <f>+H994/'VVP2'!H$355</f>
        <v>3.6936238552502894E-2</v>
      </c>
      <c r="I1008" s="1810">
        <f>+I994/'VVP2'!I$355</f>
        <v>3.6235106897548199E-2</v>
      </c>
      <c r="J1008" s="1810">
        <f>+J994/'VVP2'!J$355</f>
        <v>3.6488185403531756E-2</v>
      </c>
      <c r="K1008" s="1810">
        <f>+K994/'VVP2'!K$355</f>
        <v>3.6895744105869155E-2</v>
      </c>
      <c r="L1008" s="1810">
        <f>+L994/'VVP2'!L$355</f>
        <v>3.6512768083277185E-2</v>
      </c>
      <c r="M1008" s="1810">
        <f>+M994/'VVP2'!M$355</f>
        <v>3.7579141903860365E-2</v>
      </c>
      <c r="N1008" s="1810">
        <f>+N994/'VVP2'!N$355</f>
        <v>4.1773020277745161E-2</v>
      </c>
      <c r="O1008" s="1810">
        <f>+O994/'VVP2'!O$355</f>
        <v>4.1554080948497447E-2</v>
      </c>
      <c r="P1008" s="1810">
        <f>+P994/'VVP2'!P$355</f>
        <v>4.0634285737241503E-2</v>
      </c>
      <c r="Q1008" s="1810">
        <f>+Q994/'VVP2'!Q$355</f>
        <v>4.0086579975394956E-2</v>
      </c>
      <c r="R1008" s="1810">
        <f>+R994/'VVP2'!R$355</f>
        <v>3.9374325947209673E-2</v>
      </c>
      <c r="S1008" s="1810">
        <f>+S994/'VVP2'!S$355</f>
        <v>3.7473546796243248E-2</v>
      </c>
      <c r="T1008" s="1810">
        <f>+T994/'VVP2'!T$355</f>
        <v>3.9565515911021081E-2</v>
      </c>
      <c r="U1008" s="1810">
        <f>+U994/'VVP2'!U$355</f>
        <v>4.3033581808188573E-2</v>
      </c>
      <c r="V1008" s="1810">
        <f>+V994/'VVP2'!V$355</f>
        <v>4.1538699618324265E-2</v>
      </c>
      <c r="W1008" s="1810">
        <f>+W994/'VVP2'!W$355</f>
        <v>4.1862137347757088E-2</v>
      </c>
      <c r="X1008" s="1810">
        <f>+X994/'VVP2'!X$355</f>
        <v>4.256850514361158E-2</v>
      </c>
      <c r="Y1008" s="1810">
        <f>+Y994/'VVP2'!Y$355</f>
        <v>4.3569120441005485E-2</v>
      </c>
      <c r="Z1008" s="2972">
        <f>+Z994/'VVP2'!Z$355</f>
        <v>4.2458158896515059E-2</v>
      </c>
      <c r="AA1008" s="2972">
        <f>+AA994/'VVP2'!AA$355</f>
        <v>4.0671706520298445E-2</v>
      </c>
      <c r="AB1008" s="2972">
        <f>+AB994/'VVP2'!AB$355</f>
        <v>3.9614143440797792E-2</v>
      </c>
      <c r="AC1008" s="2972">
        <f>+AC994/'VVP2'!AC$355</f>
        <v>4.0189780895383782E-2</v>
      </c>
      <c r="AD1008" s="2972">
        <f ca="1">+AD994/'VVP2'!AD$355</f>
        <v>4.0260756894587607E-2</v>
      </c>
      <c r="AE1008" s="2972">
        <f ca="1">+AE994/'VVP2'!AE$355</f>
        <v>4.1112363533327638E-2</v>
      </c>
      <c r="AF1008" s="3360">
        <f t="shared" si="1313"/>
        <v>-1.7864523762166143E-3</v>
      </c>
      <c r="AG1008" s="3360">
        <f t="shared" si="1314"/>
        <v>-1.0575630795006535E-3</v>
      </c>
      <c r="AH1008" s="3360"/>
      <c r="AK1008" s="2972">
        <v>3.9683545877147189E-2</v>
      </c>
      <c r="AM1008" s="2972">
        <f t="shared" si="1260"/>
        <v>2.7746130193678706E-3</v>
      </c>
    </row>
    <row r="1009" spans="1:46" ht="12.75" customHeight="1">
      <c r="B1009" s="714"/>
      <c r="C1009" s="1792" t="s">
        <v>622</v>
      </c>
      <c r="D1009" s="724" t="s">
        <v>591</v>
      </c>
      <c r="E1009" s="756" t="s">
        <v>523</v>
      </c>
      <c r="F1009" s="754"/>
      <c r="G1009" s="1810">
        <f ca="1">+G995/'VVP2'!G$355</f>
        <v>5.748238920009769E-2</v>
      </c>
      <c r="H1009" s="1810">
        <f>+H995/'VVP2'!H$355</f>
        <v>5.9980809697400786E-2</v>
      </c>
      <c r="I1009" s="1810">
        <f>+I995/'VVP2'!I$355</f>
        <v>5.729775849487119E-2</v>
      </c>
      <c r="J1009" s="1810">
        <f>+J995/'VVP2'!J$355</f>
        <v>5.7614921941101009E-2</v>
      </c>
      <c r="K1009" s="1810">
        <f>+K995/'VVP2'!K$355</f>
        <v>5.887825211074988E-2</v>
      </c>
      <c r="L1009" s="1810">
        <f>+L995/'VVP2'!L$355</f>
        <v>5.9444199177451966E-2</v>
      </c>
      <c r="M1009" s="1810">
        <f>+M995/'VVP2'!M$355</f>
        <v>6.2006092064213481E-2</v>
      </c>
      <c r="N1009" s="1810">
        <f>+N995/'VVP2'!N$355</f>
        <v>6.205003833637928E-2</v>
      </c>
      <c r="O1009" s="1810">
        <f>+O995/'VVP2'!O$355</f>
        <v>6.5499325104860825E-2</v>
      </c>
      <c r="P1009" s="1810">
        <f>+P995/'VVP2'!P$355</f>
        <v>6.7153916095434113E-2</v>
      </c>
      <c r="Q1009" s="1810">
        <f>+Q995/'VVP2'!Q$355</f>
        <v>6.7522620976959102E-2</v>
      </c>
      <c r="R1009" s="1810">
        <f>+R995/'VVP2'!R$355</f>
        <v>6.5817552755584444E-2</v>
      </c>
      <c r="S1009" s="1810">
        <f>+S995/'VVP2'!S$355</f>
        <v>6.5730427530188193E-2</v>
      </c>
      <c r="T1009" s="1810">
        <f>+T995/'VVP2'!T$355</f>
        <v>7.0552402815408088E-2</v>
      </c>
      <c r="U1009" s="1810">
        <f>+U995/'VVP2'!U$355</f>
        <v>7.653138315120861E-2</v>
      </c>
      <c r="V1009" s="1810">
        <f>+V995/'VVP2'!V$355</f>
        <v>7.5947033761936789E-2</v>
      </c>
      <c r="W1009" s="1810">
        <f>+W995/'VVP2'!W$355</f>
        <v>7.7510977791717006E-2</v>
      </c>
      <c r="X1009" s="1810">
        <f>+X995/'VVP2'!X$355</f>
        <v>7.9258560191339311E-2</v>
      </c>
      <c r="Y1009" s="1810">
        <f>+Y995/'VVP2'!Y$355</f>
        <v>7.9478808930422057E-2</v>
      </c>
      <c r="Z1009" s="2972">
        <f>+Z995/'VVP2'!Z$355</f>
        <v>8.0240186945305908E-2</v>
      </c>
      <c r="AA1009" s="2972">
        <f>+AA995/'VVP2'!AA$355</f>
        <v>8.0116179119139874E-2</v>
      </c>
      <c r="AB1009" s="2972">
        <f>+AB995/'VVP2'!AB$355</f>
        <v>7.974974021884966E-2</v>
      </c>
      <c r="AC1009" s="2972">
        <f>+AC995/'VVP2'!AC$355</f>
        <v>7.9533465941563269E-2</v>
      </c>
      <c r="AD1009" s="2972">
        <f ca="1">+AD995/'VVP2'!AD$355</f>
        <v>7.991390888786469E-2</v>
      </c>
      <c r="AE1009" s="2972">
        <f ca="1">+AE995/'VVP2'!AE$355</f>
        <v>8.0156553409507988E-2</v>
      </c>
      <c r="AF1009" s="3360">
        <f t="shared" si="1313"/>
        <v>-1.2400782616603379E-4</v>
      </c>
      <c r="AG1009" s="3360">
        <f t="shared" si="1314"/>
        <v>-3.6643890029021409E-4</v>
      </c>
      <c r="AH1009" s="3360"/>
      <c r="AK1009" s="2972">
        <v>8.0487483530961787E-2</v>
      </c>
      <c r="AM1009" s="2972">
        <f t="shared" si="1260"/>
        <v>-2.4729658565587898E-4</v>
      </c>
    </row>
    <row r="1010" spans="1:46" ht="12.75" customHeight="1">
      <c r="B1010" s="714"/>
      <c r="C1010" s="1792" t="s">
        <v>622</v>
      </c>
      <c r="D1010" s="724" t="s">
        <v>591</v>
      </c>
      <c r="E1010" s="756" t="s">
        <v>1439</v>
      </c>
      <c r="F1010" s="754" t="s">
        <v>1925</v>
      </c>
      <c r="G1010" s="1810">
        <f ca="1">+G996/'VVP2'!G$355</f>
        <v>0.15588042640758612</v>
      </c>
      <c r="H1010" s="1810">
        <f>+H996/'VVP2'!H$355</f>
        <v>0.1569876967191251</v>
      </c>
      <c r="I1010" s="1810">
        <f>+I996/'VVP2'!I$355</f>
        <v>0.15465593243666048</v>
      </c>
      <c r="J1010" s="1810">
        <f>+J996/'VVP2'!J$355</f>
        <v>0.15199309478970499</v>
      </c>
      <c r="K1010" s="1810">
        <f>+K996/'VVP2'!K$355</f>
        <v>0.14857222408752546</v>
      </c>
      <c r="L1010" s="1810">
        <f>+L996/'VVP2'!L$355</f>
        <v>0.14422318779964527</v>
      </c>
      <c r="M1010" s="1810">
        <f>+M996/'VVP2'!M$355</f>
        <v>0.14595031235373701</v>
      </c>
      <c r="N1010" s="1810">
        <f>+N996/'VVP2'!N$355</f>
        <v>0.1507701267808966</v>
      </c>
      <c r="O1010" s="1810">
        <f>+O996/'VVP2'!O$355</f>
        <v>0.15316705379524581</v>
      </c>
      <c r="P1010" s="1810">
        <f>+P996/'VVP2'!P$355</f>
        <v>0.15071902321576588</v>
      </c>
      <c r="Q1010" s="1810">
        <f>+Q996/'VVP2'!Q$355</f>
        <v>0.1498567487947893</v>
      </c>
      <c r="R1010" s="1810">
        <f>+R996/'VVP2'!R$355</f>
        <v>0.1477790046656775</v>
      </c>
      <c r="S1010" s="1810">
        <f>+S996/'VVP2'!S$355</f>
        <v>0.14733611342785655</v>
      </c>
      <c r="T1010" s="1810">
        <f>+T996/'VVP2'!T$355</f>
        <v>0.15270123443121747</v>
      </c>
      <c r="U1010" s="1810">
        <f>+U996/'VVP2'!U$355</f>
        <v>0.16685107077189676</v>
      </c>
      <c r="V1010" s="1810">
        <f>+V996/'VVP2'!V$355</f>
        <v>0.16356866123163347</v>
      </c>
      <c r="W1010" s="1810">
        <f>+W996/'VVP2'!W$355</f>
        <v>0.16406374676442995</v>
      </c>
      <c r="X1010" s="1810">
        <f>+X996/'VVP2'!X$355</f>
        <v>0.16879479514973031</v>
      </c>
      <c r="Y1010" s="1810">
        <f>+Y996/'VVP2'!Y$355</f>
        <v>0.17379552112734931</v>
      </c>
      <c r="Z1010" s="2972">
        <f>+Z996/'VVP2'!Z$355</f>
        <v>0.17283022582229501</v>
      </c>
      <c r="AA1010" s="2972">
        <f>+AA996/'VVP2'!AA$355</f>
        <v>0.17214824654415603</v>
      </c>
      <c r="AB1010" s="2972">
        <f>+AB996/'VVP2'!AB$355</f>
        <v>0.17217438950247776</v>
      </c>
      <c r="AC1010" s="2972">
        <f>+AC996/'VVP2'!AC$355</f>
        <v>0.17154171434983118</v>
      </c>
      <c r="AD1010" s="2972">
        <f ca="1">+AD996/'VVP2'!AD$355</f>
        <v>0.17076955154881893</v>
      </c>
      <c r="AE1010" s="2972">
        <f ca="1">+AE996/'VVP2'!AE$355</f>
        <v>0.17198133669756754</v>
      </c>
      <c r="AF1010" s="3360">
        <f t="shared" si="1313"/>
        <v>-6.8197927813898329E-4</v>
      </c>
      <c r="AG1010" s="3360">
        <f t="shared" si="1314"/>
        <v>2.61429583217343E-5</v>
      </c>
      <c r="AH1010" s="3360"/>
      <c r="AK1010" s="2972">
        <v>0.17235140577224253</v>
      </c>
      <c r="AM1010" s="2972">
        <f t="shared" si="1260"/>
        <v>4.7882005005248085E-4</v>
      </c>
    </row>
    <row r="1011" spans="1:46" ht="12.75" customHeight="1">
      <c r="B1011" s="714"/>
      <c r="C1011" s="1792" t="s">
        <v>622</v>
      </c>
      <c r="D1011" s="724" t="s">
        <v>591</v>
      </c>
      <c r="E1011" s="756" t="s">
        <v>1565</v>
      </c>
      <c r="F1011" s="754" t="s">
        <v>1175</v>
      </c>
      <c r="G1011" s="1810">
        <f ca="1">+G997/'VVP2'!G$355</f>
        <v>8.7478016080207943E-2</v>
      </c>
      <c r="H1011" s="1810">
        <f>+H997/'VVP2'!H$355</f>
        <v>8.5074075308971278E-2</v>
      </c>
      <c r="I1011" s="1810">
        <f>+I997/'VVP2'!I$355</f>
        <v>7.7502326649664305E-2</v>
      </c>
      <c r="J1011" s="1810">
        <f>+J997/'VVP2'!J$355</f>
        <v>7.4097529272087126E-2</v>
      </c>
      <c r="K1011" s="1810">
        <f>+K997/'VVP2'!K$355</f>
        <v>6.8817816284916428E-2</v>
      </c>
      <c r="L1011" s="1810">
        <f>+L997/'VVP2'!L$355</f>
        <v>6.6662019502598549E-2</v>
      </c>
      <c r="M1011" s="1810">
        <f>+M997/'VVP2'!M$355</f>
        <v>6.5355372920714361E-2</v>
      </c>
      <c r="N1011" s="1810">
        <f>+N997/'VVP2'!N$355</f>
        <v>5.8009540287008429E-2</v>
      </c>
      <c r="O1011" s="1810">
        <f>+O997/'VVP2'!O$355</f>
        <v>5.3893251579325389E-2</v>
      </c>
      <c r="P1011" s="1810">
        <f>+P997/'VVP2'!P$355</f>
        <v>4.8049149880084678E-2</v>
      </c>
      <c r="Q1011" s="1810">
        <f>+Q997/'VVP2'!Q$355</f>
        <v>4.358053530105227E-2</v>
      </c>
      <c r="R1011" s="1810">
        <f>+R997/'VVP2'!R$355</f>
        <v>4.0934960009134831E-2</v>
      </c>
      <c r="S1011" s="1810">
        <f>+S997/'VVP2'!S$355</f>
        <v>3.9808246002103205E-2</v>
      </c>
      <c r="T1011" s="1810">
        <f>+T997/'VVP2'!T$355</f>
        <v>3.9631887736153074E-2</v>
      </c>
      <c r="U1011" s="1810">
        <f>+U997/'VVP2'!U$355</f>
        <v>3.8241177632618285E-2</v>
      </c>
      <c r="V1011" s="1810">
        <f>+V997/'VVP2'!V$355</f>
        <v>3.6074176836240979E-2</v>
      </c>
      <c r="W1011" s="1810">
        <f>+W997/'VVP2'!W$355</f>
        <v>3.5973815259730584E-2</v>
      </c>
      <c r="X1011" s="1810">
        <f>+X997/'VVP2'!X$355</f>
        <v>3.6049539083989918E-2</v>
      </c>
      <c r="Y1011" s="1810">
        <f>+Y997/'VVP2'!Y$355</f>
        <v>3.3062666596659324E-2</v>
      </c>
      <c r="Z1011" s="2972">
        <f>+Z997/'VVP2'!Z$355</f>
        <v>3.2615750351871475E-2</v>
      </c>
      <c r="AA1011" s="2972">
        <f>+AA997/'VVP2'!AA$355</f>
        <v>3.0254227707565039E-2</v>
      </c>
      <c r="AB1011" s="2972">
        <f>+AB997/'VVP2'!AB$355</f>
        <v>2.8640221780770241E-2</v>
      </c>
      <c r="AC1011" s="2972">
        <f>+AC997/'VVP2'!AC$355</f>
        <v>2.4575777575768908E-2</v>
      </c>
      <c r="AD1011" s="2972">
        <f ca="1">+AD997/'VVP2'!AD$355</f>
        <v>2.2528002792035748E-2</v>
      </c>
      <c r="AE1011" s="2972">
        <f ca="1">+AE997/'VVP2'!AE$355</f>
        <v>2.1636106885901372E-2</v>
      </c>
      <c r="AF1011" s="3360">
        <f t="shared" si="1313"/>
        <v>-2.3615226443064359E-3</v>
      </c>
      <c r="AG1011" s="3360">
        <f t="shared" si="1314"/>
        <v>-1.6140059267947988E-3</v>
      </c>
      <c r="AH1011" s="3360"/>
      <c r="AK1011" s="2972">
        <v>3.0741790339821516E-2</v>
      </c>
      <c r="AM1011" s="2972">
        <f t="shared" si="1260"/>
        <v>1.8739600120499592E-3</v>
      </c>
    </row>
    <row r="1012" spans="1:46" ht="12.75" customHeight="1">
      <c r="B1012" s="714"/>
      <c r="C1012" s="1792" t="s">
        <v>622</v>
      </c>
      <c r="D1012" s="724" t="s">
        <v>591</v>
      </c>
      <c r="E1012" s="756" t="s">
        <v>1645</v>
      </c>
      <c r="F1012" s="754" t="s">
        <v>282</v>
      </c>
      <c r="G1012" s="1810">
        <f ca="1">+G998/'VVP2'!G$355</f>
        <v>1.4213112923042556E-2</v>
      </c>
      <c r="H1012" s="1810">
        <f>+H998/'VVP2'!H$355</f>
        <v>1.9663576953854362E-2</v>
      </c>
      <c r="I1012" s="1810">
        <f>+I998/'VVP2'!I$355</f>
        <v>1.6997929359243116E-2</v>
      </c>
      <c r="J1012" s="1810">
        <f>+J998/'VVP2'!J$355</f>
        <v>1.7666881601572093E-2</v>
      </c>
      <c r="K1012" s="1810">
        <f>+K998/'VVP2'!K$355</f>
        <v>1.7605824113730725E-2</v>
      </c>
      <c r="L1012" s="1810">
        <f>+L998/'VVP2'!L$355</f>
        <v>1.6766580694131408E-2</v>
      </c>
      <c r="M1012" s="1810">
        <f>+M998/'VVP2'!M$355</f>
        <v>1.7021058857346671E-2</v>
      </c>
      <c r="N1012" s="1810">
        <f>+N998/'VVP2'!N$355</f>
        <v>1.6820745343556855E-2</v>
      </c>
      <c r="O1012" s="1810">
        <f>+O998/'VVP2'!O$355</f>
        <v>1.8162905357234468E-2</v>
      </c>
      <c r="P1012" s="1810">
        <f>+P998/'VVP2'!P$355</f>
        <v>1.7066674522648661E-2</v>
      </c>
      <c r="Q1012" s="1810">
        <f>+Q998/'VVP2'!Q$355</f>
        <v>2.1621557412206466E-2</v>
      </c>
      <c r="R1012" s="1810">
        <f>+R998/'VVP2'!R$355</f>
        <v>2.4396157374853102E-2</v>
      </c>
      <c r="S1012" s="1810">
        <f>+S998/'VVP2'!S$355</f>
        <v>2.6898937520397431E-2</v>
      </c>
      <c r="T1012" s="1810">
        <f>+T998/'VVP2'!T$355</f>
        <v>2.9066058041737428E-2</v>
      </c>
      <c r="U1012" s="1810">
        <f>+U998/'VVP2'!U$355</f>
        <v>3.0663645478496402E-2</v>
      </c>
      <c r="V1012" s="1810">
        <f>+V998/'VVP2'!V$355</f>
        <v>3.3885190516035994E-2</v>
      </c>
      <c r="W1012" s="1810">
        <f>+W998/'VVP2'!W$355</f>
        <v>3.5280605993622371E-2</v>
      </c>
      <c r="X1012" s="1810">
        <f>+X998/'VVP2'!X$355</f>
        <v>3.4343733072585016E-2</v>
      </c>
      <c r="Y1012" s="1810">
        <f>+Y998/'VVP2'!Y$355</f>
        <v>3.4639615965548237E-2</v>
      </c>
      <c r="Z1012" s="2972">
        <f>+Z998/'VVP2'!Z$355</f>
        <v>3.4987541476366277E-2</v>
      </c>
      <c r="AA1012" s="2972">
        <f>+AA998/'VVP2'!AA$355</f>
        <v>3.4251935506506265E-2</v>
      </c>
      <c r="AB1012" s="2972">
        <f>+AB998/'VVP2'!AB$355</f>
        <v>3.3703472226818493E-2</v>
      </c>
      <c r="AC1012" s="2972">
        <f>+AC998/'VVP2'!AC$355</f>
        <v>3.353527125011916E-2</v>
      </c>
      <c r="AD1012" s="2972">
        <f ca="1">+AD998/'VVP2'!AD$355</f>
        <v>3.1320869579218272E-2</v>
      </c>
      <c r="AE1012" s="2972">
        <f ca="1">+AE998/'VVP2'!AE$355</f>
        <v>3.0948185601583002E-2</v>
      </c>
      <c r="AF1012" s="3360">
        <f t="shared" si="1313"/>
        <v>-7.3560596986001203E-4</v>
      </c>
      <c r="AG1012" s="3360">
        <f t="shared" si="1314"/>
        <v>-5.4846327968777198E-4</v>
      </c>
      <c r="AH1012" s="3360"/>
      <c r="AK1012" s="2972">
        <v>2.9033982151291424E-2</v>
      </c>
      <c r="AM1012" s="2972">
        <f t="shared" si="1260"/>
        <v>5.9535593250748531E-3</v>
      </c>
    </row>
    <row r="1013" spans="1:46" ht="12.75" customHeight="1">
      <c r="B1013" s="714"/>
      <c r="C1013" s="1792" t="s">
        <v>622</v>
      </c>
      <c r="D1013" s="724" t="s">
        <v>591</v>
      </c>
      <c r="E1013" s="756" t="s">
        <v>866</v>
      </c>
      <c r="F1013" s="754" t="s">
        <v>502</v>
      </c>
      <c r="G1013" s="1810">
        <f ca="1">+G999/'VVP2'!G$355</f>
        <v>2.2727444829590313E-2</v>
      </c>
      <c r="H1013" s="1810">
        <f>+H999/'VVP2'!H$355</f>
        <v>1.9189839512758964E-2</v>
      </c>
      <c r="I1013" s="1810">
        <f>+I999/'VVP2'!I$355</f>
        <v>1.9390296089679689E-2</v>
      </c>
      <c r="J1013" s="1810">
        <f>+J999/'VVP2'!J$355</f>
        <v>1.9329215453478536E-2</v>
      </c>
      <c r="K1013" s="1810">
        <f>+K999/'VVP2'!K$355</f>
        <v>1.8981599010752345E-2</v>
      </c>
      <c r="L1013" s="1810">
        <f>+L999/'VVP2'!L$355</f>
        <v>1.8487967717700282E-2</v>
      </c>
      <c r="M1013" s="1810">
        <f>+M999/'VVP2'!M$355</f>
        <v>1.8801046245810575E-2</v>
      </c>
      <c r="N1013" s="1810">
        <f>+N999/'VVP2'!N$355</f>
        <v>1.845381329728854E-2</v>
      </c>
      <c r="O1013" s="1810">
        <f>+O999/'VVP2'!O$355</f>
        <v>1.9660942588802216E-2</v>
      </c>
      <c r="P1013" s="1810">
        <f>+P999/'VVP2'!P$355</f>
        <v>1.9839590667629026E-2</v>
      </c>
      <c r="Q1013" s="1810">
        <f>+Q999/'VVP2'!Q$355</f>
        <v>2.0250686398648007E-2</v>
      </c>
      <c r="R1013" s="1810">
        <f>+R999/'VVP2'!R$355</f>
        <v>1.9531497532159384E-2</v>
      </c>
      <c r="S1013" s="1810">
        <f>+S999/'VVP2'!S$355</f>
        <v>1.7447873227689741E-2</v>
      </c>
      <c r="T1013" s="1810">
        <f>+T999/'VVP2'!T$355</f>
        <v>1.8450520086797404E-2</v>
      </c>
      <c r="U1013" s="1810">
        <f>+U999/'VVP2'!U$355</f>
        <v>2.2141968128433567E-2</v>
      </c>
      <c r="V1013" s="1810">
        <f>+V999/'VVP2'!V$355</f>
        <v>2.1121307694730623E-2</v>
      </c>
      <c r="W1013" s="1810">
        <f>+W999/'VVP2'!W$355</f>
        <v>2.11399810554454E-2</v>
      </c>
      <c r="X1013" s="1810">
        <f>+X999/'VVP2'!X$355</f>
        <v>2.143947833819914E-2</v>
      </c>
      <c r="Y1013" s="1810">
        <f>+Y999/'VVP2'!Y$355</f>
        <v>2.1715614882813317E-2</v>
      </c>
      <c r="Z1013" s="2972">
        <f>+Z999/'VVP2'!Z$355</f>
        <v>2.0916179892387532E-2</v>
      </c>
      <c r="AA1013" s="2972">
        <f>+AA999/'VVP2'!AA$355</f>
        <v>2.0574989669502032E-2</v>
      </c>
      <c r="AB1013" s="2972">
        <f>+AB999/'VVP2'!AB$355</f>
        <v>2.177765002775096E-2</v>
      </c>
      <c r="AC1013" s="2972">
        <f>+AC999/'VVP2'!AC$355</f>
        <v>1.8226409775850737E-2</v>
      </c>
      <c r="AD1013" s="2972">
        <f ca="1">+AD999/'VVP2'!AD$355</f>
        <v>1.9399478139119283E-2</v>
      </c>
      <c r="AE1013" s="2972">
        <f ca="1">+AE999/'VVP2'!AE$355</f>
        <v>1.9484412012440284E-2</v>
      </c>
      <c r="AF1013" s="3360">
        <f t="shared" si="1313"/>
        <v>-3.4119022288549988E-4</v>
      </c>
      <c r="AG1013" s="3360">
        <f t="shared" si="1314"/>
        <v>1.2026603582489283E-3</v>
      </c>
      <c r="AH1013" s="3360"/>
      <c r="AK1013" s="2972">
        <v>2.6185646456360158E-2</v>
      </c>
      <c r="AM1013" s="2972">
        <f t="shared" si="1260"/>
        <v>-5.269466563972626E-3</v>
      </c>
    </row>
    <row r="1014" spans="1:46" ht="12.75" customHeight="1">
      <c r="B1014" s="714"/>
      <c r="C1014" s="1792" t="s">
        <v>624</v>
      </c>
      <c r="D1014" s="850" t="s">
        <v>591</v>
      </c>
      <c r="E1014" s="853" t="s">
        <v>500</v>
      </c>
      <c r="F1014" s="852" t="s">
        <v>576</v>
      </c>
      <c r="G1014" s="1811">
        <f ca="1">+G1000/'VVP2'!G$355</f>
        <v>0.48650485492032775</v>
      </c>
      <c r="H1014" s="1811">
        <f>+H1000/'VVP2'!H$355</f>
        <v>0.49339962878989957</v>
      </c>
      <c r="I1014" s="1811">
        <f>+I1000/'VVP2'!I$355</f>
        <v>0.47623763822157661</v>
      </c>
      <c r="J1014" s="1811">
        <f>+J1000/'VVP2'!J$355</f>
        <v>0.47050359589508456</v>
      </c>
      <c r="K1014" s="1811">
        <f>+K1000/'VVP2'!K$355</f>
        <v>0.46346908191593028</v>
      </c>
      <c r="L1014" s="1811">
        <f>+L1000/'VVP2'!L$355</f>
        <v>0.45353842817420675</v>
      </c>
      <c r="M1014" s="1811">
        <f>+M1000/'VVP2'!M$355</f>
        <v>0.45981126339599471</v>
      </c>
      <c r="N1014" s="1811">
        <f>+N1000/'VVP2'!N$355</f>
        <v>0.46521350763873726</v>
      </c>
      <c r="O1014" s="1811">
        <f>+O1000/'VVP2'!O$355</f>
        <v>0.47083303111947677</v>
      </c>
      <c r="P1014" s="1811">
        <f>+P1000/'VVP2'!P$355</f>
        <v>0.45933424569851511</v>
      </c>
      <c r="Q1014" s="1811">
        <f>+Q1000/'VVP2'!Q$355</f>
        <v>0.4598366897734949</v>
      </c>
      <c r="R1014" s="1811">
        <f>+R1000/'VVP2'!R$355</f>
        <v>0.45419777807097922</v>
      </c>
      <c r="S1014" s="1811">
        <f>+S1000/'VVP2'!S$355</f>
        <v>0.44966544584254992</v>
      </c>
      <c r="T1014" s="1811">
        <f>+T1000/'VVP2'!T$355</f>
        <v>0.46829756833403047</v>
      </c>
      <c r="U1014" s="1811">
        <f>+U1000/'VVP2'!U$355</f>
        <v>0.50289336205430857</v>
      </c>
      <c r="V1014" s="1811">
        <f>+V1000/'VVP2'!V$355</f>
        <v>0.49513846187556582</v>
      </c>
      <c r="W1014" s="1811">
        <f>+W1000/'VVP2'!W$355</f>
        <v>0.49920273021049771</v>
      </c>
      <c r="X1014" s="1811">
        <f>+X1000/'VVP2'!X$355</f>
        <v>0.5080163850280297</v>
      </c>
      <c r="Y1014" s="1811">
        <f>+Y1000/'VVP2'!Y$355</f>
        <v>0.51419534801210587</v>
      </c>
      <c r="Z1014" s="2205">
        <f>+Z1000/'VVP2'!Z$355</f>
        <v>0.51115721122930924</v>
      </c>
      <c r="AA1014" s="2205">
        <f>+AA1000/'VVP2'!AA$355</f>
        <v>0.50250222203163863</v>
      </c>
      <c r="AB1014" s="2205">
        <f>+AB1000/'VVP2'!AB$355</f>
        <v>0.49925824090104098</v>
      </c>
      <c r="AC1014" s="2205">
        <f>+AC1000/'VVP2'!AC$355</f>
        <v>0.4902436710434071</v>
      </c>
      <c r="AD1014" s="2205">
        <f ca="1">+AD1000/'VVP2'!AD$355</f>
        <v>0.48499556619632528</v>
      </c>
      <c r="AE1014" s="2205">
        <f ca="1">+AE1000/'VVP2'!AE$355</f>
        <v>0.48441329998106486</v>
      </c>
      <c r="AF1014" s="3360">
        <f t="shared" si="1313"/>
        <v>-8.6549891976706039E-3</v>
      </c>
      <c r="AG1014" s="3360">
        <f t="shared" si="1314"/>
        <v>-3.2439811305976507E-3</v>
      </c>
      <c r="AH1014" s="3360"/>
      <c r="AK1014" s="2205">
        <v>0.50338852014815927</v>
      </c>
      <c r="AM1014" s="2205">
        <f t="shared" si="1260"/>
        <v>7.7686910811499699E-3</v>
      </c>
    </row>
    <row r="1015" spans="1:46" ht="12.75" customHeight="1">
      <c r="B1015" s="714"/>
      <c r="C1015" s="1792" t="s">
        <v>622</v>
      </c>
      <c r="D1015" s="724" t="s">
        <v>591</v>
      </c>
      <c r="E1015" s="756" t="str">
        <f>+'VVP2'!E253</f>
        <v>Gross fixed capital formation (P.51)</v>
      </c>
      <c r="F1015" s="754" t="s">
        <v>213</v>
      </c>
      <c r="G1015" s="1810">
        <f ca="1">+G1001/'VVP2'!G$355</f>
        <v>2.2209675007146545E-2</v>
      </c>
      <c r="H1015" s="1810">
        <f>+H1001/'VVP2'!H$355</f>
        <v>2.1559452891141345E-2</v>
      </c>
      <c r="I1015" s="1810">
        <f>+I1001/'VVP2'!I$355</f>
        <v>2.2003932403027497E-2</v>
      </c>
      <c r="J1015" s="1810">
        <f>+J1001/'VVP2'!J$355</f>
        <v>2.146107972379159E-2</v>
      </c>
      <c r="K1015" s="1810">
        <f>+K1001/'VVP2'!K$355</f>
        <v>2.4388066790595596E-2</v>
      </c>
      <c r="L1015" s="1810">
        <f>+L1001/'VVP2'!L$355</f>
        <v>2.4280270464948763E-2</v>
      </c>
      <c r="M1015" s="1810">
        <f>+M1001/'VVP2'!M$355</f>
        <v>2.1791771198442066E-2</v>
      </c>
      <c r="N1015" s="1810">
        <f>+N1001/'VVP2'!N$355</f>
        <v>2.120625262892312E-2</v>
      </c>
      <c r="O1015" s="1810">
        <f>+O1001/'VVP2'!O$355</f>
        <v>2.1555248525933487E-2</v>
      </c>
      <c r="P1015" s="1810">
        <f>+P1001/'VVP2'!P$355</f>
        <v>2.0734101344845917E-2</v>
      </c>
      <c r="Q1015" s="1810">
        <f>+Q1001/'VVP2'!Q$355</f>
        <v>2.1266800393475296E-2</v>
      </c>
      <c r="R1015" s="1810">
        <f>+R1001/'VVP2'!R$355</f>
        <v>1.9645682801892234E-2</v>
      </c>
      <c r="S1015" s="1810">
        <f>+S1001/'VVP2'!S$355</f>
        <v>2.0394096529716795E-2</v>
      </c>
      <c r="T1015" s="1810">
        <f>+T1001/'VVP2'!T$355</f>
        <v>2.094723044495389E-2</v>
      </c>
      <c r="U1015" s="1810">
        <f>+U1001/'VVP2'!U$355</f>
        <v>2.3311469572175791E-2</v>
      </c>
      <c r="V1015" s="1810">
        <f>+V1001/'VVP2'!V$355</f>
        <v>2.2990929894645448E-2</v>
      </c>
      <c r="W1015" s="1810">
        <f>+W1001/'VVP2'!W$355</f>
        <v>2.4464642238865464E-2</v>
      </c>
      <c r="X1015" s="1810">
        <f>+X1001/'VVP2'!X$355</f>
        <v>2.488644519059479E-2</v>
      </c>
      <c r="Y1015" s="1810">
        <f>+Y1001/'VVP2'!Y$355</f>
        <v>2.3577266440977948E-2</v>
      </c>
      <c r="Z1015" s="2138">
        <f>+Z1001/'VVP2'!Z$355</f>
        <v>2.3402138759024121E-2</v>
      </c>
      <c r="AA1015" s="2138">
        <f>+AA1001/'VVP2'!AA$355</f>
        <v>2.2980241460771392E-2</v>
      </c>
      <c r="AB1015" s="2138">
        <f>+AB1001/'VVP2'!AB$355</f>
        <v>2.2102199180992054E-2</v>
      </c>
      <c r="AC1015" s="2138">
        <f>+AC1001/'VVP2'!AC$355</f>
        <v>2.2132134173013147E-2</v>
      </c>
      <c r="AD1015" s="2138">
        <f ca="1">+AD1001/'VVP2'!AD$355</f>
        <v>2.3979145872745859E-2</v>
      </c>
      <c r="AE1015" s="2138">
        <f ca="1">+AE1001/'VVP2'!AE$355</f>
        <v>2.4941994848202961E-2</v>
      </c>
      <c r="AF1015" s="3360">
        <f t="shared" si="1313"/>
        <v>-4.2189729825272901E-4</v>
      </c>
      <c r="AG1015" s="3360">
        <f t="shared" si="1314"/>
        <v>-8.780422797793376E-4</v>
      </c>
      <c r="AH1015" s="3360"/>
      <c r="AK1015" s="2138">
        <v>2.2781465185074699E-2</v>
      </c>
      <c r="AM1015" s="2138">
        <f t="shared" si="1260"/>
        <v>6.2067357394942138E-4</v>
      </c>
    </row>
    <row r="1016" spans="1:46" s="927" customFormat="1" ht="12.75" customHeight="1">
      <c r="A1016" s="713"/>
      <c r="B1016" s="714"/>
      <c r="C1016" s="1793" t="s">
        <v>622</v>
      </c>
      <c r="D1016" s="1806" t="s">
        <v>591</v>
      </c>
      <c r="E1016" s="1807" t="s">
        <v>1824</v>
      </c>
      <c r="F1016" s="1808" t="s">
        <v>577</v>
      </c>
      <c r="G1016" s="1812">
        <f ca="1">+G1002/'VVP2'!G$355</f>
        <v>1.1049700223578122E-2</v>
      </c>
      <c r="H1016" s="1812">
        <f>+H1002/'VVP2'!H$355</f>
        <v>1.1702194659316557E-2</v>
      </c>
      <c r="I1016" s="1812">
        <f>+I1002/'VVP2'!I$355</f>
        <v>1.4123637477225828E-2</v>
      </c>
      <c r="J1016" s="1812">
        <f>+J1002/'VVP2'!J$355</f>
        <v>1.3636425666639373E-2</v>
      </c>
      <c r="K1016" s="1812">
        <f>+K1002/'VVP2'!K$355</f>
        <v>1.2827872544282753E-2</v>
      </c>
      <c r="L1016" s="1812">
        <f>+L1002/'VVP2'!L$355</f>
        <v>1.2703797507571005E-2</v>
      </c>
      <c r="M1016" s="1812">
        <f>+M1002/'VVP2'!M$355</f>
        <v>1.0276595968823318E-2</v>
      </c>
      <c r="N1016" s="1812">
        <f>+N1002/'VVP2'!N$355</f>
        <v>8.6463168173643249E-3</v>
      </c>
      <c r="O1016" s="1812">
        <f>+O1002/'VVP2'!O$355</f>
        <v>1.4757471168798086E-2</v>
      </c>
      <c r="P1016" s="1812">
        <f>+P1002/'VVP2'!P$355</f>
        <v>9.2604619585230936E-3</v>
      </c>
      <c r="Q1016" s="1812">
        <f>+Q1002/'VVP2'!Q$355</f>
        <v>3.5174880763116062E-2</v>
      </c>
      <c r="R1016" s="1812">
        <f>+R1002/'VVP2'!R$355</f>
        <v>1.0666067474616738E-2</v>
      </c>
      <c r="S1016" s="1812">
        <f>+S1002/'VVP2'!S$355</f>
        <v>1.2430358632193494E-2</v>
      </c>
      <c r="T1016" s="1812">
        <f>+T1002/'VVP2'!T$355</f>
        <v>1.3562446990800298E-2</v>
      </c>
      <c r="U1016" s="1812">
        <f>+U1002/'VVP2'!U$355</f>
        <v>1.5296700423274084E-2</v>
      </c>
      <c r="V1016" s="1812">
        <f>+V1002/'VVP2'!V$355</f>
        <v>1.5285106429599519E-2</v>
      </c>
      <c r="W1016" s="1812">
        <f>+W1002/'VVP2'!W$355</f>
        <v>2.0858529652501158E-2</v>
      </c>
      <c r="X1016" s="1812">
        <f>+X1002/'VVP2'!X$355</f>
        <v>2.5752767547672892E-2</v>
      </c>
      <c r="Y1016" s="1812">
        <f>+Y1002/'VVP2'!Y$355</f>
        <v>2.057604148240887E-2</v>
      </c>
      <c r="Z1016" s="2971">
        <f>+Z1002/'VVP2'!Z$355</f>
        <v>1.772397987250186E-2</v>
      </c>
      <c r="AA1016" s="2971">
        <f>+AA1002/'VVP2'!AA$355</f>
        <v>1.2781798442238873E-2</v>
      </c>
      <c r="AB1016" s="2971">
        <f>+AB1002/'VVP2'!AB$355</f>
        <v>1.1079819708572353E-2</v>
      </c>
      <c r="AC1016" s="2971">
        <f>+AC1002/'VVP2'!AC$355</f>
        <v>9.8229219452633E-3</v>
      </c>
      <c r="AD1016" s="2971">
        <f ca="1">+AD1002/'VVP2'!AD$355</f>
        <v>8.5445383271586014E-3</v>
      </c>
      <c r="AE1016" s="2971">
        <f ca="1">+AE1002/'VVP2'!AE$355</f>
        <v>8.2045936405669758E-3</v>
      </c>
      <c r="AF1016" s="3360">
        <f t="shared" si="1313"/>
        <v>-4.942181430262987E-3</v>
      </c>
      <c r="AG1016" s="3360">
        <f t="shared" si="1314"/>
        <v>-1.7019787336665197E-3</v>
      </c>
      <c r="AH1016" s="3360"/>
      <c r="AI1016" s="2831"/>
      <c r="AJ1016" s="2831"/>
      <c r="AK1016" s="2971">
        <v>1.7208094066174462E-2</v>
      </c>
      <c r="AL1016" s="2831"/>
      <c r="AM1016" s="2971">
        <f t="shared" si="1260"/>
        <v>5.1588580632739786E-4</v>
      </c>
      <c r="AN1016" s="2831"/>
      <c r="AO1016" s="2831"/>
      <c r="AP1016" s="2831"/>
      <c r="AQ1016" s="2831"/>
      <c r="AR1016" s="2831"/>
      <c r="AS1016" s="2831"/>
      <c r="AT1016" s="2831"/>
    </row>
    <row r="1017" spans="1:46" ht="12.75" customHeight="1">
      <c r="B1017" s="714"/>
      <c r="C1017" s="822" t="s">
        <v>624</v>
      </c>
      <c r="D1017" s="850" t="s">
        <v>591</v>
      </c>
      <c r="E1017" s="853" t="s">
        <v>517</v>
      </c>
      <c r="F1017" s="852" t="s">
        <v>234</v>
      </c>
      <c r="G1017" s="881">
        <f ca="1">G1003/'VVP2'!G$355</f>
        <v>0.51976423015105244</v>
      </c>
      <c r="H1017" s="881">
        <f>H1003/'VVP2'!H$355</f>
        <v>0.52666127634035742</v>
      </c>
      <c r="I1017" s="881">
        <f>I1003/'VVP2'!I$355</f>
        <v>0.51236520810182995</v>
      </c>
      <c r="J1017" s="881">
        <f>J1003/'VVP2'!J$355</f>
        <v>0.50560110128551539</v>
      </c>
      <c r="K1017" s="881">
        <f>K1003/'VVP2'!K$355</f>
        <v>0.50068502125080872</v>
      </c>
      <c r="L1017" s="881">
        <f>L1003/'VVP2'!L$355</f>
        <v>0.49052249614672644</v>
      </c>
      <c r="M1017" s="881">
        <f>M1003/'VVP2'!M$355</f>
        <v>0.49187963056326001</v>
      </c>
      <c r="N1017" s="881">
        <f>N1003/'VVP2'!N$355</f>
        <v>0.49506607708502465</v>
      </c>
      <c r="O1017" s="881">
        <f>O1003/'VVP2'!O$355</f>
        <v>0.50714575081420832</v>
      </c>
      <c r="P1017" s="881">
        <f>P1003/'VVP2'!P$355</f>
        <v>0.48932880900188408</v>
      </c>
      <c r="Q1017" s="881">
        <f>Q1003/'VVP2'!Q$355</f>
        <v>0.51627837093008622</v>
      </c>
      <c r="R1017" s="881">
        <f>R1003/'VVP2'!R$355</f>
        <v>0.48450952834748812</v>
      </c>
      <c r="S1017" s="881">
        <f>S1003/'VVP2'!S$355</f>
        <v>0.48248990100446021</v>
      </c>
      <c r="T1017" s="881">
        <f>T1003/'VVP2'!T$355</f>
        <v>0.50280724576978464</v>
      </c>
      <c r="U1017" s="881">
        <f>U1003/'VVP2'!U$355</f>
        <v>0.54150153204975848</v>
      </c>
      <c r="V1017" s="881">
        <f>V1003/'VVP2'!V$355</f>
        <v>0.53341449819981068</v>
      </c>
      <c r="W1017" s="881">
        <f>W1003/'VVP2'!W$355</f>
        <v>0.54452590210186436</v>
      </c>
      <c r="X1017" s="881">
        <f>X1003/'VVP2'!X$355</f>
        <v>0.55865559776629747</v>
      </c>
      <c r="Y1017" s="881">
        <f>Y1003/'VVP2'!Y$355</f>
        <v>0.55834865593549265</v>
      </c>
      <c r="Z1017" s="2205">
        <f>Z1003/'VVP2'!Z$355</f>
        <v>0.55228332986083517</v>
      </c>
      <c r="AA1017" s="2205">
        <f>AA1003/'VVP2'!AA$355</f>
        <v>0.53826426193464894</v>
      </c>
      <c r="AB1017" s="2205">
        <f>AB1003/'VVP2'!AB$355</f>
        <v>0.5324402597906055</v>
      </c>
      <c r="AC1017" s="2205">
        <f>AC1003/'VVP2'!AC$355</f>
        <v>0.5221987271616837</v>
      </c>
      <c r="AD1017" s="2205">
        <f ca="1">AD1003/'VVP2'!AD$355</f>
        <v>0.51751925039622981</v>
      </c>
      <c r="AE1017" s="2205">
        <f ca="1">AE1003/'VVP2'!AE$355</f>
        <v>0.51755988846983481</v>
      </c>
      <c r="AF1017" s="3360">
        <f t="shared" si="1313"/>
        <v>-1.4019067926186235E-2</v>
      </c>
      <c r="AG1017" s="3360">
        <f t="shared" si="1314"/>
        <v>-5.8240021440434386E-3</v>
      </c>
      <c r="AH1017" s="3360"/>
      <c r="AK1017" s="2205">
        <v>0.54337807939940841</v>
      </c>
      <c r="AM1017" s="2205">
        <f t="shared" si="1260"/>
        <v>8.9052504614267614E-3</v>
      </c>
    </row>
    <row r="1018" spans="1:46" ht="15" customHeight="1">
      <c r="Q1018" s="1813"/>
      <c r="R1018" s="2266"/>
      <c r="S1018" s="2266"/>
      <c r="T1018" s="2266"/>
      <c r="U1018" s="2266"/>
      <c r="X1018" s="2827">
        <f>(X1007+X1010)/X1017</f>
        <v>0.5269016731869266</v>
      </c>
      <c r="Y1018" s="3360"/>
      <c r="AM1018" s="2827">
        <f t="shared" si="1260"/>
        <v>0</v>
      </c>
    </row>
    <row r="1019" spans="1:46" ht="12.75" customHeight="1">
      <c r="B1019" s="714"/>
      <c r="C1019" s="822"/>
      <c r="D1019" s="823"/>
      <c r="E1019" s="824" t="s">
        <v>1010</v>
      </c>
      <c r="F1019" s="825"/>
      <c r="G1019" s="826">
        <f>InputY!$G$3</f>
        <v>1995</v>
      </c>
      <c r="H1019" s="826">
        <f>+G1019+1</f>
        <v>1996</v>
      </c>
      <c r="I1019" s="826">
        <f t="shared" ref="I1019:V1019" si="1315">+H1019+1</f>
        <v>1997</v>
      </c>
      <c r="J1019" s="826">
        <f t="shared" si="1315"/>
        <v>1998</v>
      </c>
      <c r="K1019" s="826">
        <f t="shared" si="1315"/>
        <v>1999</v>
      </c>
      <c r="L1019" s="826">
        <f t="shared" si="1315"/>
        <v>2000</v>
      </c>
      <c r="M1019" s="826">
        <f t="shared" si="1315"/>
        <v>2001</v>
      </c>
      <c r="N1019" s="826">
        <f t="shared" si="1315"/>
        <v>2002</v>
      </c>
      <c r="O1019" s="826">
        <f t="shared" si="1315"/>
        <v>2003</v>
      </c>
      <c r="P1019" s="826">
        <f t="shared" si="1315"/>
        <v>2004</v>
      </c>
      <c r="Q1019" s="826">
        <f t="shared" si="1315"/>
        <v>2005</v>
      </c>
      <c r="R1019" s="826">
        <f t="shared" si="1315"/>
        <v>2006</v>
      </c>
      <c r="S1019" s="826">
        <f t="shared" si="1315"/>
        <v>2007</v>
      </c>
      <c r="T1019" s="2163">
        <f t="shared" si="1315"/>
        <v>2008</v>
      </c>
      <c r="U1019" s="2163">
        <f t="shared" si="1315"/>
        <v>2009</v>
      </c>
      <c r="V1019" s="2163">
        <f t="shared" si="1315"/>
        <v>2010</v>
      </c>
      <c r="W1019" s="2163">
        <f t="shared" ref="W1019:AE1019" si="1316">+V1019+1</f>
        <v>2011</v>
      </c>
      <c r="X1019" s="2163">
        <f t="shared" si="1316"/>
        <v>2012</v>
      </c>
      <c r="Y1019" s="2163">
        <f t="shared" si="1316"/>
        <v>2013</v>
      </c>
      <c r="Z1019" s="2163">
        <f t="shared" si="1316"/>
        <v>2014</v>
      </c>
      <c r="AA1019" s="2163">
        <f t="shared" si="1316"/>
        <v>2015</v>
      </c>
      <c r="AB1019" s="2163">
        <f t="shared" si="1316"/>
        <v>2016</v>
      </c>
      <c r="AC1019" s="2163">
        <f t="shared" si="1316"/>
        <v>2017</v>
      </c>
      <c r="AD1019" s="2163">
        <f t="shared" si="1316"/>
        <v>2018</v>
      </c>
      <c r="AE1019" s="2163">
        <f t="shared" si="1316"/>
        <v>2019</v>
      </c>
      <c r="AK1019" s="2163">
        <v>2014</v>
      </c>
      <c r="AM1019" s="2163">
        <f t="shared" si="1260"/>
        <v>0</v>
      </c>
    </row>
    <row r="1020" spans="1:46" ht="12.75" customHeight="1">
      <c r="B1020" s="714"/>
      <c r="C1020" s="827" t="s">
        <v>622</v>
      </c>
      <c r="D1020" s="718" t="s">
        <v>591</v>
      </c>
      <c r="E1020" s="828" t="s">
        <v>1011</v>
      </c>
      <c r="F1020" s="751"/>
      <c r="G1020" s="828"/>
      <c r="H1020" s="828"/>
      <c r="I1020" s="828"/>
      <c r="J1020" s="828"/>
      <c r="K1020" s="828"/>
      <c r="L1020" s="828"/>
      <c r="M1020" s="828"/>
      <c r="N1020" s="828"/>
      <c r="O1020" s="828"/>
      <c r="P1020" s="828"/>
      <c r="Q1020" s="828"/>
      <c r="R1020" s="828"/>
      <c r="S1020" s="828"/>
      <c r="T1020" s="2230"/>
      <c r="U1020" s="3756">
        <v>0</v>
      </c>
      <c r="V1020" s="3756">
        <v>-0.19</v>
      </c>
      <c r="W1020" s="3756">
        <v>-1.1240000000000001</v>
      </c>
      <c r="X1020" s="3756">
        <v>-2.2504</v>
      </c>
      <c r="Y1020" s="3756">
        <v>-2.0646</v>
      </c>
      <c r="Z1020" s="3783">
        <f>InputDFM!P5</f>
        <v>-1.0654999999999998E-3</v>
      </c>
      <c r="AA1020" s="3783">
        <f>InputDFM!Q5</f>
        <v>-3.153E-3</v>
      </c>
      <c r="AB1020" s="3783">
        <f>InputDFM!R5</f>
        <v>-3.1430000000000005E-4</v>
      </c>
      <c r="AC1020" s="3783">
        <f>InputDFM!S5</f>
        <v>-2.5442999999999998E-3</v>
      </c>
      <c r="AD1020" s="3783">
        <f>InputDFM!T5</f>
        <v>-2.6413000000000001E-3</v>
      </c>
      <c r="AE1020" s="3783">
        <f>InputDFM!U5</f>
        <v>-3.835E-4</v>
      </c>
      <c r="AK1020" s="3783">
        <v>-1.0545</v>
      </c>
      <c r="AM1020" s="3783">
        <f t="shared" si="1260"/>
        <v>1.0534345000000001</v>
      </c>
    </row>
    <row r="1021" spans="1:46" s="927" customFormat="1" ht="12.75" customHeight="1">
      <c r="A1021" s="713"/>
      <c r="B1021" s="714"/>
      <c r="C1021" s="882" t="s">
        <v>622</v>
      </c>
      <c r="D1021" s="933" t="s">
        <v>591</v>
      </c>
      <c r="E1021" s="1368" t="s">
        <v>1012</v>
      </c>
      <c r="F1021" s="1369"/>
      <c r="G1021" s="1368"/>
      <c r="H1021" s="1368"/>
      <c r="I1021" s="1368"/>
      <c r="J1021" s="1368"/>
      <c r="K1021" s="1368"/>
      <c r="L1021" s="1368"/>
      <c r="M1021" s="1368"/>
      <c r="N1021" s="1368"/>
      <c r="O1021" s="1368"/>
      <c r="P1021" s="1368"/>
      <c r="Q1021" s="1368"/>
      <c r="R1021" s="1368"/>
      <c r="S1021" s="1368"/>
      <c r="T1021" s="2265"/>
      <c r="U1021" s="3756">
        <v>0</v>
      </c>
      <c r="V1021" s="3756">
        <v>-0.29299999999999998</v>
      </c>
      <c r="W1021" s="3756">
        <v>1.385</v>
      </c>
      <c r="X1021" s="3756">
        <v>1.5669999999999999</v>
      </c>
      <c r="Y1021" s="3756">
        <v>-3.3405</v>
      </c>
      <c r="Z1021" s="3783">
        <f>InputDFM!P7</f>
        <v>-5.4500000000000002E-4</v>
      </c>
      <c r="AA1021" s="3783">
        <f>InputDFM!Q7</f>
        <v>-6.4700000000000001E-4</v>
      </c>
      <c r="AB1021" s="3783">
        <f>InputDFM!R7</f>
        <v>5.6599999999999999E-4</v>
      </c>
      <c r="AC1021" s="3783">
        <f>InputDFM!S7</f>
        <v>-6.2699999999999995E-4</v>
      </c>
      <c r="AD1021" s="3783">
        <f>InputDFM!T7</f>
        <v>-2.5399999999999999E-4</v>
      </c>
      <c r="AE1021" s="3783">
        <f>InputDFM!U7</f>
        <v>-5.7000000000000003E-5</v>
      </c>
      <c r="AF1021" s="2831"/>
      <c r="AG1021" s="2831"/>
      <c r="AH1021" s="2831"/>
      <c r="AI1021" s="2831"/>
      <c r="AJ1021" s="2831"/>
      <c r="AK1021" s="3783">
        <v>-0.23</v>
      </c>
      <c r="AL1021" s="2831"/>
      <c r="AM1021" s="3783">
        <f t="shared" si="1260"/>
        <v>0.22945500000000002</v>
      </c>
      <c r="AN1021" s="2831"/>
      <c r="AO1021" s="2831"/>
      <c r="AP1021" s="2831"/>
      <c r="AQ1021" s="2831"/>
      <c r="AR1021" s="2831"/>
      <c r="AS1021" s="2831"/>
      <c r="AT1021" s="2831"/>
    </row>
    <row r="1022" spans="1:46">
      <c r="D1022" s="877" t="s">
        <v>1918</v>
      </c>
      <c r="F1022" s="1066"/>
      <c r="Q1022" s="749"/>
      <c r="R1022" s="749"/>
      <c r="S1022" s="749"/>
      <c r="T1022" s="2162"/>
      <c r="U1022" s="3706"/>
      <c r="V1022" s="3706"/>
      <c r="W1022" s="3706"/>
      <c r="X1022" s="3706"/>
      <c r="Y1022" s="3706"/>
      <c r="Z1022" s="3706"/>
      <c r="AA1022" s="3706"/>
      <c r="AB1022" s="3706"/>
      <c r="AC1022" s="3706"/>
      <c r="AD1022" s="3706"/>
      <c r="AE1022" s="3706"/>
      <c r="AK1022" s="3706"/>
      <c r="AM1022" s="3706">
        <f t="shared" si="1260"/>
        <v>0</v>
      </c>
    </row>
    <row r="1023" spans="1:46">
      <c r="F1023" s="1066"/>
      <c r="Q1023" s="749"/>
      <c r="R1023" s="749"/>
      <c r="S1023" s="749"/>
      <c r="T1023" s="2162"/>
      <c r="U1023" s="2239"/>
      <c r="V1023" s="2239"/>
      <c r="W1023" s="2239"/>
      <c r="X1023" s="2239"/>
      <c r="Y1023" s="2239"/>
      <c r="Z1023" s="2239"/>
      <c r="AA1023" s="2239"/>
      <c r="AB1023" s="2239"/>
      <c r="AC1023" s="2239"/>
      <c r="AD1023" s="2239"/>
      <c r="AE1023" s="2239"/>
      <c r="AK1023" s="2239"/>
      <c r="AM1023" s="2239">
        <f t="shared" si="1260"/>
        <v>0</v>
      </c>
    </row>
    <row r="1024" spans="1:46" ht="12.75" customHeight="1">
      <c r="B1024" s="714"/>
      <c r="C1024" s="822"/>
      <c r="D1024" s="898"/>
      <c r="E1024" s="3456" t="s">
        <v>2372</v>
      </c>
      <c r="F1024" s="900"/>
      <c r="G1024" s="901">
        <f>InputY!$G$3</f>
        <v>1995</v>
      </c>
      <c r="H1024" s="901">
        <f>+G1024+1</f>
        <v>1996</v>
      </c>
      <c r="I1024" s="901">
        <f t="shared" ref="I1024:V1024" si="1317">+H1024+1</f>
        <v>1997</v>
      </c>
      <c r="J1024" s="901">
        <f t="shared" si="1317"/>
        <v>1998</v>
      </c>
      <c r="K1024" s="901">
        <f t="shared" si="1317"/>
        <v>1999</v>
      </c>
      <c r="L1024" s="901">
        <f t="shared" si="1317"/>
        <v>2000</v>
      </c>
      <c r="M1024" s="901">
        <f t="shared" si="1317"/>
        <v>2001</v>
      </c>
      <c r="N1024" s="901">
        <f t="shared" si="1317"/>
        <v>2002</v>
      </c>
      <c r="O1024" s="901">
        <f t="shared" si="1317"/>
        <v>2003</v>
      </c>
      <c r="P1024" s="901">
        <f t="shared" si="1317"/>
        <v>2004</v>
      </c>
      <c r="Q1024" s="901">
        <f t="shared" si="1317"/>
        <v>2005</v>
      </c>
      <c r="R1024" s="901">
        <f t="shared" si="1317"/>
        <v>2006</v>
      </c>
      <c r="S1024" s="901">
        <f t="shared" si="1317"/>
        <v>2007</v>
      </c>
      <c r="T1024" s="2130">
        <f t="shared" si="1317"/>
        <v>2008</v>
      </c>
      <c r="U1024" s="2130">
        <f t="shared" si="1317"/>
        <v>2009</v>
      </c>
      <c r="V1024" s="2130">
        <f t="shared" si="1317"/>
        <v>2010</v>
      </c>
      <c r="W1024" s="2130">
        <f t="shared" ref="W1024:AE1024" si="1318">+V1024+1</f>
        <v>2011</v>
      </c>
      <c r="X1024" s="2130">
        <f t="shared" si="1318"/>
        <v>2012</v>
      </c>
      <c r="Y1024" s="2130">
        <f t="shared" si="1318"/>
        <v>2013</v>
      </c>
      <c r="Z1024" s="2130">
        <f t="shared" si="1318"/>
        <v>2014</v>
      </c>
      <c r="AA1024" s="2130">
        <f t="shared" si="1318"/>
        <v>2015</v>
      </c>
      <c r="AB1024" s="2130">
        <f t="shared" si="1318"/>
        <v>2016</v>
      </c>
      <c r="AC1024" s="2130">
        <f t="shared" si="1318"/>
        <v>2017</v>
      </c>
      <c r="AD1024" s="2130">
        <f t="shared" si="1318"/>
        <v>2018</v>
      </c>
      <c r="AE1024" s="2130">
        <f t="shared" si="1318"/>
        <v>2019</v>
      </c>
      <c r="AK1024" s="2130">
        <v>2014</v>
      </c>
      <c r="AM1024" s="2130">
        <f t="shared" si="1260"/>
        <v>0</v>
      </c>
    </row>
    <row r="1025" spans="1:46" ht="12.75" customHeight="1">
      <c r="B1025" s="714"/>
      <c r="C1025" s="1791" t="s">
        <v>622</v>
      </c>
      <c r="D1025" s="903" t="s">
        <v>591</v>
      </c>
      <c r="E1025" s="1805" t="s">
        <v>1011</v>
      </c>
      <c r="F1025" s="905"/>
      <c r="G1025" s="1089"/>
      <c r="H1025" s="1089"/>
      <c r="I1025" s="1089"/>
      <c r="J1025" s="1089"/>
      <c r="K1025" s="1089"/>
      <c r="L1025" s="1089"/>
      <c r="M1025" s="1089"/>
      <c r="N1025" s="1089"/>
      <c r="O1025" s="1089"/>
      <c r="P1025" s="1089"/>
      <c r="Q1025" s="1089"/>
      <c r="R1025" s="1089"/>
      <c r="S1025" s="1089"/>
      <c r="T1025" s="1089"/>
      <c r="U1025" s="1089">
        <f>+U1000-IF(Last_forecast_year-Sector1!U1024=2,Sector1!U1020,IF(Last_forecast_year-Sector1!U1024=1,Sector1!U1020+Sector1!T1020,Sector1!U1020+Sector1!T1020+Sector1!S1020))</f>
        <v>175.3997</v>
      </c>
      <c r="V1025" s="1089">
        <f>+V1000-IF(Last_forecast_year-Sector1!V1024=2,Sector1!V1020,IF(Last_forecast_year-Sector1!V1024=1,Sector1!V1020+Sector1!U1020,Sector1!V1020+Sector1!U1020+Sector1!T1020))</f>
        <v>180.96530000000001</v>
      </c>
      <c r="W1025" s="1089">
        <f>+W1000-IF(Last_forecast_year-Sector1!W1024=2,Sector1!W1020,IF(Last_forecast_year-Sector1!W1024=1,Sector1!W1020+Sector1!V1020,Sector1!W1020+Sector1!V1020+Sector1!U1020))</f>
        <v>190.56489999999999</v>
      </c>
      <c r="X1025" s="1089">
        <f>+X1000-IF(Last_forecast_year-Sector1!X1024=2,Sector1!X1020,IF(Last_forecast_year-Sector1!X1024=1,Sector1!X1020+Sector1!W1020,Sector1!X1020+Sector1!W1020+Sector1!V1020))</f>
        <v>200.42080000000001</v>
      </c>
      <c r="Y1025" s="1089">
        <f>+Y1000-IF(Last_forecast_year-Sector1!Y1024=2,Sector1!Y1020,IF(Last_forecast_year-Sector1!Y1024=1,Sector1!Y1020+Sector1!X1020,Sector1!Y1020+Sector1!X1020+Sector1!W1020))</f>
        <v>207.17829999999998</v>
      </c>
      <c r="Z1025" s="1089">
        <f>+Z1000-IF(Last_forecast_year-Sector1!Z1024=2,Sector1!Z1020,IF(Last_forecast_year-Sector1!Z1024=1,Sector1!Z1020+Sector1!Y1020,Sector1!Z1020+Sector1!Y1020+Sector1!X1020))</f>
        <v>208.9262655</v>
      </c>
      <c r="AA1025" s="1089">
        <f>+AA1000-IF(Last_forecast_year-Sector1!AA1024=2,Sector1!AA1020,IF(Last_forecast_year-Sector1!AA1024=1,Sector1!AA1020+Sector1!Z1020,Sector1!AA1020+Sector1!Z1020+Sector1!Y1020))</f>
        <v>208.31341849999998</v>
      </c>
      <c r="AB1025" s="1089">
        <f>+AB1000-IF(Last_forecast_year-Sector1!AB1024=2,Sector1!AB1020,IF(Last_forecast_year-Sector1!AB1024=1,Sector1!AB1020+Sector1!AA1020,Sector1!AB1020+Sector1!AA1020+Sector1!Z1020))</f>
        <v>211.21493279999996</v>
      </c>
      <c r="AC1025" s="1089">
        <f>+AC1000-IF(Last_forecast_year-Sector1!AC1024=2,Sector1!AC1020,IF(Last_forecast_year-Sector1!AC1024=1,Sector1!AC1020+Sector1!AB1020,Sector1!AC1020+Sector1!AB1020+Sector1!AA1020))</f>
        <v>214.96684429999996</v>
      </c>
      <c r="AD1025" s="1089">
        <f ca="1">+AD1000-IF(Last_forecast_year-Sector1!AD1024=2,Sector1!AD1020,IF(Last_forecast_year-Sector1!AD1024=1,Sector1!AD1020+Sector1!AC1020,Sector1!AD1020+Sector1!AC1020+Sector1!AB1020))</f>
        <v>219.88906687371264</v>
      </c>
      <c r="AE1025" s="1089">
        <f ca="1">+AE1000-IF(Last_forecast_year-Sector1!AE1024=2,Sector1!AE1020,IF(Last_forecast_year-Sector1!AE1024=1,Sector1!AE1020+Sector1!AD1020,Sector1!AE1020+Sector1!AD1020+Sector1!AC1020))</f>
        <v>227.21525451828629</v>
      </c>
      <c r="AK1025" s="1089">
        <v>203.55260000000001</v>
      </c>
      <c r="AM1025" s="1089">
        <f t="shared" si="1260"/>
        <v>5.3736654999999871</v>
      </c>
    </row>
    <row r="1026" spans="1:46" s="927" customFormat="1" ht="12.75" customHeight="1">
      <c r="A1026" s="713"/>
      <c r="B1026" s="714"/>
      <c r="C1026" s="1793" t="s">
        <v>622</v>
      </c>
      <c r="D1026" s="1806" t="s">
        <v>591</v>
      </c>
      <c r="E1026" s="1807" t="s">
        <v>1012</v>
      </c>
      <c r="F1026" s="1808"/>
      <c r="G1026" s="1570"/>
      <c r="H1026" s="1570"/>
      <c r="I1026" s="1570"/>
      <c r="J1026" s="1570"/>
      <c r="K1026" s="1570"/>
      <c r="L1026" s="1570"/>
      <c r="M1026" s="1570"/>
      <c r="N1026" s="1570"/>
      <c r="O1026" s="1570"/>
      <c r="P1026" s="1570"/>
      <c r="Q1026" s="1570"/>
      <c r="R1026" s="1570"/>
      <c r="S1026" s="1570"/>
      <c r="T1026" s="1570"/>
      <c r="U1026" s="1570">
        <f>+U1003-IF(Last_forecast_year-Sector1!U1024=2,Sector1!U1021,IF(Last_forecast_year-Sector1!U1024=1,Sector1!U1021+Sector1!T1021,Sector1!U1021+Sector1!T1021+Sector1!S1021))</f>
        <v>188.8655</v>
      </c>
      <c r="V1026" s="1570">
        <f>+V1003-IF(Last_forecast_year-Sector1!V1024=2,Sector1!V1021,IF(Last_forecast_year-Sector1!V1024=1,Sector1!V1021+Sector1!U1021,Sector1!V1021+Sector1!U1021+Sector1!T1021))</f>
        <v>195.0429</v>
      </c>
      <c r="W1026" s="1570">
        <f>+W1003-IF(Last_forecast_year-Sector1!W1024=2,Sector1!W1021,IF(Last_forecast_year-Sector1!W1024=1,Sector1!W1021+Sector1!V1021,Sector1!W1021+Sector1!V1021+Sector1!U1021))</f>
        <v>205.34119999999999</v>
      </c>
      <c r="X1026" s="1570">
        <f>+X1003-IF(Last_forecast_year-Sector1!X1024=2,Sector1!X1021,IF(Last_forecast_year-Sector1!X1024=1,Sector1!X1021+Sector1!W1021,Sector1!X1021+Sector1!W1021+Sector1!V1021))</f>
        <v>213.82010000000002</v>
      </c>
      <c r="Y1026" s="1570">
        <f>+Y1003-IF(Last_forecast_year-Sector1!Y1024=2,Sector1!Y1021,IF(Last_forecast_year-Sector1!Y1024=1,Sector1!Y1021+Sector1!X1021,Sector1!Y1021+Sector1!X1021+Sector1!W1021))</f>
        <v>219.45089999999999</v>
      </c>
      <c r="Z1026" s="1570">
        <f>+Z1003-IF(Last_forecast_year-Sector1!Z1024=2,Sector1!Z1021,IF(Last_forecast_year-Sector1!Z1024=1,Sector1!Z1021+Sector1!Y1021,Sector1!Z1021+Sector1!Y1021+Sector1!X1021))</f>
        <v>222.84654499999999</v>
      </c>
      <c r="AA1026" s="1570">
        <f>+AA1003-IF(Last_forecast_year-Sector1!AA1024=2,Sector1!AA1021,IF(Last_forecast_year-Sector1!AA1024=1,Sector1!AA1021+Sector1!Z1021,Sector1!AA1021+Sector1!Z1021+Sector1!Y1021))</f>
        <v>224.26429200000001</v>
      </c>
      <c r="AB1026" s="1570">
        <f>+AB1003-IF(Last_forecast_year-Sector1!AB1024=2,Sector1!AB1021,IF(Last_forecast_year-Sector1!AB1024=1,Sector1!AB1021+Sector1!AA1021,Sector1!AB1021+Sector1!AA1021+Sector1!Z1021))</f>
        <v>225.248626</v>
      </c>
      <c r="AC1026" s="1570">
        <f>+AC1003-IF(Last_forecast_year-Sector1!AC1024=2,Sector1!AC1021,IF(Last_forecast_year-Sector1!AC1024=1,Sector1!AC1021+Sector1!AB1021,Sector1!AC1021+Sector1!AB1021+Sector1!AA1021))</f>
        <v>228.97672700000001</v>
      </c>
      <c r="AD1026" s="1570">
        <f ca="1">+AD1003-IF(Last_forecast_year-Sector1!AD1024=2,Sector1!AD1021,IF(Last_forecast_year-Sector1!AD1024=1,Sector1!AD1021+Sector1!AC1021,Sector1!AD1021+Sector1!AC1021+Sector1!AB1021))</f>
        <v>234.63012164118493</v>
      </c>
      <c r="AE1026" s="1570">
        <f ca="1">+AE1003-IF(Last_forecast_year-Sector1!AE1024=2,Sector1!AE1021,IF(Last_forecast_year-Sector1!AE1024=1,Sector1!AE1021+Sector1!AD1021,Sector1!AE1021+Sector1!AD1021+Sector1!AC1021))</f>
        <v>242.75773152518011</v>
      </c>
      <c r="AF1026" s="2831"/>
      <c r="AG1026" s="2831"/>
      <c r="AH1026" s="2831"/>
      <c r="AI1026" s="2831"/>
      <c r="AJ1026" s="2831"/>
      <c r="AK1026" s="1570">
        <v>218.81470000000002</v>
      </c>
      <c r="AL1026" s="2831"/>
      <c r="AM1026" s="1570">
        <f t="shared" si="1260"/>
        <v>4.0318449999999757</v>
      </c>
      <c r="AN1026" s="2831"/>
      <c r="AO1026" s="2831"/>
      <c r="AP1026" s="2831"/>
      <c r="AQ1026" s="2831"/>
      <c r="AR1026" s="2831"/>
      <c r="AS1026" s="2831"/>
      <c r="AT1026" s="2831"/>
    </row>
    <row r="1027" spans="1:46" ht="30" customHeight="1">
      <c r="Q1027" s="1813"/>
      <c r="R1027" s="2266"/>
      <c r="S1027" s="2266"/>
      <c r="T1027" s="2266"/>
      <c r="U1027" s="2239"/>
      <c r="V1027" s="2239"/>
      <c r="W1027" s="2239"/>
      <c r="X1027" s="2239"/>
      <c r="Y1027" s="2239"/>
      <c r="Z1027" s="2239"/>
      <c r="AA1027" s="2239"/>
      <c r="AB1027" s="2239"/>
      <c r="AC1027" s="2239"/>
      <c r="AD1027" s="2239"/>
      <c r="AE1027" s="2239"/>
      <c r="AK1027" s="2239"/>
      <c r="AM1027" s="2239">
        <f t="shared" si="1260"/>
        <v>0</v>
      </c>
    </row>
    <row r="1028" spans="1:46" ht="30" customHeight="1">
      <c r="F1028" s="1066"/>
      <c r="S1028" s="2162"/>
      <c r="T1028" s="2162"/>
      <c r="U1028" s="2928"/>
      <c r="V1028" s="2928"/>
      <c r="W1028" s="2928"/>
      <c r="X1028" s="2928"/>
      <c r="Y1028" s="2928"/>
      <c r="Z1028" s="2928"/>
      <c r="AA1028" s="2928"/>
      <c r="AB1028" s="2928"/>
      <c r="AC1028" s="2928"/>
      <c r="AD1028" s="2928"/>
      <c r="AE1028" s="2928"/>
      <c r="AK1028" s="2928"/>
      <c r="AM1028" s="2928">
        <f t="shared" si="1260"/>
        <v>0</v>
      </c>
    </row>
    <row r="1029" spans="1:46" ht="12.75" customHeight="1">
      <c r="B1029" s="714"/>
      <c r="C1029" s="822"/>
      <c r="D1029" s="898"/>
      <c r="E1029" s="3694" t="s">
        <v>2380</v>
      </c>
      <c r="F1029" s="3695"/>
      <c r="G1029" s="3696">
        <f>InputY!$G$3</f>
        <v>1995</v>
      </c>
      <c r="H1029" s="3696">
        <f t="shared" ref="H1029:AE1029" si="1319">+G1029+1</f>
        <v>1996</v>
      </c>
      <c r="I1029" s="3696">
        <f t="shared" si="1319"/>
        <v>1997</v>
      </c>
      <c r="J1029" s="3696">
        <f t="shared" si="1319"/>
        <v>1998</v>
      </c>
      <c r="K1029" s="3696">
        <f t="shared" si="1319"/>
        <v>1999</v>
      </c>
      <c r="L1029" s="3696">
        <f t="shared" si="1319"/>
        <v>2000</v>
      </c>
      <c r="M1029" s="3696">
        <f t="shared" si="1319"/>
        <v>2001</v>
      </c>
      <c r="N1029" s="3696">
        <f t="shared" si="1319"/>
        <v>2002</v>
      </c>
      <c r="O1029" s="3696">
        <f t="shared" si="1319"/>
        <v>2003</v>
      </c>
      <c r="P1029" s="3696">
        <f t="shared" si="1319"/>
        <v>2004</v>
      </c>
      <c r="Q1029" s="3696">
        <f t="shared" si="1319"/>
        <v>2005</v>
      </c>
      <c r="R1029" s="3696">
        <f t="shared" si="1319"/>
        <v>2006</v>
      </c>
      <c r="S1029" s="3696">
        <f t="shared" si="1319"/>
        <v>2007</v>
      </c>
      <c r="T1029" s="3697">
        <f t="shared" si="1319"/>
        <v>2008</v>
      </c>
      <c r="U1029" s="3697">
        <f t="shared" si="1319"/>
        <v>2009</v>
      </c>
      <c r="V1029" s="3697">
        <f t="shared" si="1319"/>
        <v>2010</v>
      </c>
      <c r="W1029" s="3697">
        <f t="shared" si="1319"/>
        <v>2011</v>
      </c>
      <c r="X1029" s="3697">
        <f t="shared" si="1319"/>
        <v>2012</v>
      </c>
      <c r="Y1029" s="3697">
        <f t="shared" si="1319"/>
        <v>2013</v>
      </c>
      <c r="Z1029" s="3697">
        <f t="shared" si="1319"/>
        <v>2014</v>
      </c>
      <c r="AA1029" s="3697">
        <f t="shared" si="1319"/>
        <v>2015</v>
      </c>
      <c r="AB1029" s="3697">
        <f t="shared" si="1319"/>
        <v>2016</v>
      </c>
      <c r="AC1029" s="3697">
        <f t="shared" si="1319"/>
        <v>2017</v>
      </c>
      <c r="AD1029" s="3697">
        <f t="shared" si="1319"/>
        <v>2018</v>
      </c>
      <c r="AE1029" s="3697">
        <f t="shared" si="1319"/>
        <v>2019</v>
      </c>
      <c r="AK1029" s="3697">
        <v>2014</v>
      </c>
      <c r="AM1029" s="3697">
        <f t="shared" si="1260"/>
        <v>0</v>
      </c>
    </row>
    <row r="1030" spans="1:46" ht="12.75" customHeight="1">
      <c r="B1030" s="714"/>
      <c r="C1030" s="1791"/>
      <c r="D1030" s="903"/>
      <c r="E1030" s="3698" t="s">
        <v>2373</v>
      </c>
      <c r="F1030" s="3699"/>
      <c r="G1030" s="3543"/>
      <c r="H1030" s="3543"/>
      <c r="I1030" s="3543"/>
      <c r="J1030" s="3543"/>
      <c r="K1030" s="3543"/>
      <c r="L1030" s="3543"/>
      <c r="M1030" s="3543"/>
      <c r="N1030" s="3543"/>
      <c r="O1030" s="3543"/>
      <c r="P1030" s="3543"/>
      <c r="Q1030" s="3543"/>
      <c r="R1030" s="3543"/>
      <c r="S1030" s="3543"/>
      <c r="T1030" s="3543"/>
      <c r="U1030" s="3700">
        <f>SUM(U984:U985)/'VVP2'!U$355</f>
        <v>-1.7604164904577685E-3</v>
      </c>
      <c r="V1030" s="3700">
        <f>SUM(V984:V985)/'VVP2'!V$355</f>
        <v>6.3598926870820499E-3</v>
      </c>
      <c r="W1030" s="3700">
        <f>SUM(W984:W985)/'VVP2'!W$355</f>
        <v>3.1758902450315387E-3</v>
      </c>
      <c r="X1030" s="3700">
        <f>SUM(X984:X985)/'VVP2'!X$355</f>
        <v>1.490851228167425E-2</v>
      </c>
      <c r="Y1030" s="3700">
        <f>SUM(Y984:Y985)/'VVP2'!Y$355</f>
        <v>5.8546188788392113E-3</v>
      </c>
      <c r="Z1030" s="3700">
        <f>SUM(Z984:Z985)/'VVP2'!Z$355</f>
        <v>-1.1941396224020593E-6</v>
      </c>
      <c r="AA1030" s="3700">
        <f>SUM(AA984:AA985)/'VVP2'!AA$355</f>
        <v>-3.0479598241086534E-6</v>
      </c>
      <c r="AB1030" s="3700">
        <f>SUM(AB984:AB985)/'VVP2'!AB$355</f>
        <v>-1.0308513163032884E-6</v>
      </c>
      <c r="AC1030" s="3700">
        <f>SUM(AC984:AC985)/'VVP2'!AC$355</f>
        <v>1.2268617871642471E-5</v>
      </c>
      <c r="AD1030" s="3700">
        <f ca="1">SUM(AD984:AD985)/'VVP2'!AD$355</f>
        <v>-4.9705212682821642E-6</v>
      </c>
      <c r="AE1030" s="3700">
        <f ca="1">SUM(AE984:AE985)/'VVP2'!AE$355</f>
        <v>-5.7063245125859968E-6</v>
      </c>
      <c r="AK1030" s="3700">
        <v>-1.5611405275064013E-3</v>
      </c>
      <c r="AM1030" s="3700">
        <f t="shared" si="1260"/>
        <v>1.5599463878839992E-3</v>
      </c>
    </row>
    <row r="1031" spans="1:46" ht="12.75" customHeight="1">
      <c r="B1031" s="714"/>
      <c r="C1031" s="1792"/>
      <c r="D1031" s="724"/>
      <c r="E1031" s="3499" t="s">
        <v>2375</v>
      </c>
      <c r="F1031" s="3496"/>
      <c r="G1031" s="3499"/>
      <c r="H1031" s="3499"/>
      <c r="I1031" s="3499"/>
      <c r="J1031" s="3499"/>
      <c r="K1031" s="3499"/>
      <c r="L1031" s="3499"/>
      <c r="M1031" s="3499"/>
      <c r="N1031" s="3499"/>
      <c r="O1031" s="3499"/>
      <c r="P1031" s="3499"/>
      <c r="Q1031" s="3499"/>
      <c r="R1031" s="3499"/>
      <c r="S1031" s="3499"/>
      <c r="T1031" s="3499"/>
      <c r="U1031" s="3701">
        <f t="shared" ref="U1031:AE1031" si="1320">U981-T981</f>
        <v>-4.1039160244048523E-3</v>
      </c>
      <c r="V1031" s="3701">
        <f t="shared" si="1320"/>
        <v>5.7299378779362975E-3</v>
      </c>
      <c r="W1031" s="3701">
        <f t="shared" si="1320"/>
        <v>9.8389983530859371E-3</v>
      </c>
      <c r="X1031" s="3701">
        <f t="shared" si="1320"/>
        <v>1.3068655447410649E-2</v>
      </c>
      <c r="Y1031" s="3701">
        <f t="shared" si="1320"/>
        <v>1.0663770779459347E-2</v>
      </c>
      <c r="Z1031" s="3701">
        <f t="shared" si="1320"/>
        <v>-5.4787687766251203E-3</v>
      </c>
      <c r="AA1031" s="3701">
        <f t="shared" si="1320"/>
        <v>-8.0307310040145241E-3</v>
      </c>
      <c r="AB1031" s="3701">
        <f t="shared" si="1320"/>
        <v>-5.8241770291921346E-3</v>
      </c>
      <c r="AC1031" s="3701">
        <f t="shared" si="1320"/>
        <v>4.2459620058733494E-3</v>
      </c>
      <c r="AD1031" s="3701">
        <f t="shared" ca="1" si="1320"/>
        <v>-5.2670632597876521E-3</v>
      </c>
      <c r="AE1031" s="3701">
        <f t="shared" ca="1" si="1320"/>
        <v>-2.4490365091474064E-3</v>
      </c>
      <c r="AK1031" s="3701">
        <v>-4.4836384045611188E-3</v>
      </c>
      <c r="AM1031" s="3701">
        <f t="shared" si="1260"/>
        <v>-9.9513037206400146E-4</v>
      </c>
    </row>
    <row r="1032" spans="1:46" s="1506" customFormat="1" ht="12.75" customHeight="1">
      <c r="A1032" s="3345"/>
      <c r="B1032" s="1039"/>
      <c r="C1032" s="3457"/>
      <c r="D1032" s="1768"/>
      <c r="E1032" s="3562" t="s">
        <v>2379</v>
      </c>
      <c r="F1032" s="3561"/>
      <c r="G1032" s="3562"/>
      <c r="H1032" s="3562"/>
      <c r="I1032" s="3562"/>
      <c r="J1032" s="3562"/>
      <c r="K1032" s="3562"/>
      <c r="L1032" s="3562"/>
      <c r="M1032" s="3562"/>
      <c r="N1032" s="3562"/>
      <c r="O1032" s="3562"/>
      <c r="P1032" s="3562"/>
      <c r="Q1032" s="3562"/>
      <c r="R1032" s="3562"/>
      <c r="S1032" s="3562"/>
      <c r="T1032" s="3562"/>
      <c r="U1032" s="3702">
        <f t="shared" ref="U1032:Z1032" si="1321">U1031-U1030</f>
        <v>-2.3434995339470838E-3</v>
      </c>
      <c r="V1032" s="3702">
        <f t="shared" si="1321"/>
        <v>-6.2995480914575241E-4</v>
      </c>
      <c r="W1032" s="3702">
        <f t="shared" si="1321"/>
        <v>6.6631081080543979E-3</v>
      </c>
      <c r="X1032" s="3702">
        <f t="shared" si="1321"/>
        <v>-1.8398568342636017E-3</v>
      </c>
      <c r="Y1032" s="3748">
        <f t="shared" si="1321"/>
        <v>4.809151900620136E-3</v>
      </c>
      <c r="Z1032" s="3702">
        <f t="shared" si="1321"/>
        <v>-5.4775746370027186E-3</v>
      </c>
      <c r="AA1032" s="3702">
        <f>AA1031-AA1030</f>
        <v>-8.027683044190416E-3</v>
      </c>
      <c r="AB1032" s="3702">
        <f>AB1031-AB1030</f>
        <v>-5.8231461778758316E-3</v>
      </c>
      <c r="AC1032" s="3702">
        <f>AC1031-AC1030</f>
        <v>4.2336933880017073E-3</v>
      </c>
      <c r="AD1032" s="3702">
        <f ca="1">AD1031-AD1030</f>
        <v>-5.2620927385193701E-3</v>
      </c>
      <c r="AE1032" s="3702">
        <f ca="1">AE1031-AE1030</f>
        <v>-2.4433301846348205E-3</v>
      </c>
      <c r="AF1032" s="3358"/>
      <c r="AG1032" s="3358"/>
      <c r="AH1032" s="3358"/>
      <c r="AI1032" s="3358"/>
      <c r="AJ1032" s="3358"/>
      <c r="AK1032" s="3702">
        <v>-2.9224978770547175E-3</v>
      </c>
      <c r="AL1032" s="3358"/>
      <c r="AM1032" s="3702">
        <f t="shared" ref="AM1032:AM1050" si="1322">Z1032-AK1032</f>
        <v>-2.5550767599480011E-3</v>
      </c>
      <c r="AN1032" s="3358"/>
      <c r="AO1032" s="3358"/>
      <c r="AP1032" s="3358"/>
      <c r="AQ1032" s="3358"/>
      <c r="AR1032" s="3358"/>
      <c r="AS1032" s="3358"/>
      <c r="AT1032" s="3358"/>
    </row>
    <row r="1033" spans="1:46" s="1506" customFormat="1" ht="12.75" customHeight="1">
      <c r="A1033" s="3345"/>
      <c r="B1033" s="1039"/>
      <c r="C1033" s="3457"/>
      <c r="D1033" s="1768"/>
      <c r="E1033" s="3562"/>
      <c r="F1033" s="3561"/>
      <c r="G1033" s="3562"/>
      <c r="H1033" s="3562"/>
      <c r="I1033" s="3562"/>
      <c r="J1033" s="3562"/>
      <c r="K1033" s="3562"/>
      <c r="L1033" s="3562"/>
      <c r="M1033" s="3562"/>
      <c r="N1033" s="3562"/>
      <c r="O1033" s="3562"/>
      <c r="P1033" s="3562"/>
      <c r="Q1033" s="3562"/>
      <c r="R1033" s="3562"/>
      <c r="S1033" s="3562"/>
      <c r="T1033" s="3562"/>
      <c r="U1033" s="3702"/>
      <c r="V1033" s="3702"/>
      <c r="W1033" s="3702"/>
      <c r="X1033" s="3702"/>
      <c r="Y1033" s="3702"/>
      <c r="Z1033" s="3702"/>
      <c r="AA1033" s="3702"/>
      <c r="AB1033" s="3702"/>
      <c r="AC1033" s="3702"/>
      <c r="AD1033" s="3702"/>
      <c r="AE1033" s="3702"/>
      <c r="AF1033" s="3358"/>
      <c r="AG1033" s="3358"/>
      <c r="AH1033" s="3358"/>
      <c r="AI1033" s="3358"/>
      <c r="AJ1033" s="3358"/>
      <c r="AK1033" s="3702"/>
      <c r="AL1033" s="3358"/>
      <c r="AM1033" s="3702">
        <f t="shared" si="1322"/>
        <v>0</v>
      </c>
      <c r="AN1033" s="3358"/>
      <c r="AO1033" s="3358"/>
      <c r="AP1033" s="3358"/>
      <c r="AQ1033" s="3358"/>
      <c r="AR1033" s="3358"/>
      <c r="AS1033" s="3358"/>
      <c r="AT1033" s="3358"/>
    </row>
    <row r="1034" spans="1:46" ht="12.75" customHeight="1">
      <c r="B1034" s="714"/>
      <c r="C1034" s="1792"/>
      <c r="D1034" s="724"/>
      <c r="E1034" s="3499" t="s">
        <v>2377</v>
      </c>
      <c r="F1034" s="3496"/>
      <c r="G1034" s="3499"/>
      <c r="H1034" s="3499"/>
      <c r="I1034" s="3499"/>
      <c r="J1034" s="3499"/>
      <c r="K1034" s="3499"/>
      <c r="L1034" s="3499"/>
      <c r="M1034" s="3499"/>
      <c r="N1034" s="3499"/>
      <c r="O1034" s="3499"/>
      <c r="P1034" s="3499"/>
      <c r="Q1034" s="3499"/>
      <c r="R1034" s="3499"/>
      <c r="S1034" s="3499"/>
      <c r="T1034" s="3499"/>
      <c r="U1034" s="3701">
        <f>(U1020+U1021)/'VVP2'!U$355</f>
        <v>0</v>
      </c>
      <c r="V1034" s="3701">
        <f>(V1020+V1021)/'VVP2'!V$355</f>
        <v>-1.3229234142379974E-3</v>
      </c>
      <c r="W1034" s="3701">
        <f>(W1020+W1021)/'VVP2'!W$355</f>
        <v>6.8846125743623869E-4</v>
      </c>
      <c r="X1034" s="3701">
        <f>(X1020+X1021)/'VVP2'!X$355</f>
        <v>-1.7636124481000136E-3</v>
      </c>
      <c r="Y1034" s="3701">
        <f>(Y1020+Y1021)/'VVP2'!Y$355</f>
        <v>-1.3776578363958998E-2</v>
      </c>
      <c r="Z1034" s="3701">
        <f>(Z1020+Z1021)/'VVP2'!Z$355</f>
        <v>-4.0233511754780678E-6</v>
      </c>
      <c r="AA1034" s="3701">
        <f>(AA1020+AA1021)/'VVP2'!AA$355</f>
        <v>-9.2584651608828872E-6</v>
      </c>
      <c r="AB1034" s="3701">
        <f>(AB1020+AB1021)/'VVP2'!AB$355</f>
        <v>5.9496738434656636E-7</v>
      </c>
      <c r="AC1034" s="3701">
        <f>(AC1020+AC1021)/'VVP2'!AC$355</f>
        <v>-7.2324090743437735E-6</v>
      </c>
      <c r="AD1034" s="3701">
        <f ca="1">(AD1020+AD1021)/'VVP2'!AD$355</f>
        <v>-6.3861327836952969E-6</v>
      </c>
      <c r="AE1034" s="3701">
        <f ca="1">(AE1020+AE1021)/'VVP2'!AE$355</f>
        <v>-9.3915036345754971E-7</v>
      </c>
      <c r="AK1034" s="3701">
        <v>-3.1931289929649242E-3</v>
      </c>
      <c r="AM1034" s="3701">
        <f t="shared" si="1322"/>
        <v>3.189105641789446E-3</v>
      </c>
    </row>
    <row r="1035" spans="1:46" ht="12.75" customHeight="1">
      <c r="B1035" s="714"/>
      <c r="C1035" s="1792"/>
      <c r="D1035" s="724"/>
      <c r="E1035" s="3499" t="s">
        <v>2376</v>
      </c>
      <c r="F1035" s="3496"/>
      <c r="G1035" s="3499"/>
      <c r="H1035" s="3499"/>
      <c r="I1035" s="3499"/>
      <c r="J1035" s="3499"/>
      <c r="K1035" s="3499"/>
      <c r="L1035" s="3499"/>
      <c r="M1035" s="3499"/>
      <c r="N1035" s="3499"/>
      <c r="O1035" s="3499"/>
      <c r="P1035" s="3499"/>
      <c r="Q1035" s="3499"/>
      <c r="R1035" s="3499"/>
      <c r="S1035" s="3499"/>
      <c r="T1035" s="3499"/>
      <c r="U1035" s="3701">
        <f t="shared" ref="U1035:AE1035" si="1323">(U1017-U1011)-(T1017-T1011)</f>
        <v>4.0084996383508653E-2</v>
      </c>
      <c r="V1035" s="3701">
        <f t="shared" si="1323"/>
        <v>-5.9200330535705281E-3</v>
      </c>
      <c r="W1035" s="3701">
        <f t="shared" si="1323"/>
        <v>1.1211765478564117E-2</v>
      </c>
      <c r="X1035" s="3701">
        <f t="shared" si="1323"/>
        <v>1.4053971840173762E-2</v>
      </c>
      <c r="Y1035" s="3701">
        <f t="shared" si="1323"/>
        <v>2.6799306565257197E-3</v>
      </c>
      <c r="Z1035" s="3701">
        <f t="shared" si="1323"/>
        <v>-5.6184098298696084E-3</v>
      </c>
      <c r="AA1035" s="3701">
        <f t="shared" si="1323"/>
        <v>-1.1657545281879789E-2</v>
      </c>
      <c r="AB1035" s="3701">
        <f t="shared" si="1323"/>
        <v>-4.2099962172486016E-3</v>
      </c>
      <c r="AC1035" s="3701">
        <f t="shared" si="1323"/>
        <v>-6.1770884239205071E-3</v>
      </c>
      <c r="AD1035" s="3701">
        <f t="shared" ca="1" si="1323"/>
        <v>-2.6317019817207465E-3</v>
      </c>
      <c r="AE1035" s="3701">
        <f t="shared" ca="1" si="1323"/>
        <v>9.3253397973935837E-4</v>
      </c>
      <c r="AK1035" s="3701">
        <v>-7.7582746059468022E-4</v>
      </c>
      <c r="AM1035" s="3701">
        <f t="shared" si="1322"/>
        <v>-4.8425823692749281E-3</v>
      </c>
    </row>
    <row r="1036" spans="1:46" s="1506" customFormat="1" ht="12.75" customHeight="1">
      <c r="A1036" s="3345"/>
      <c r="B1036" s="1039"/>
      <c r="C1036" s="3457"/>
      <c r="D1036" s="1768"/>
      <c r="E1036" s="3562" t="s">
        <v>2378</v>
      </c>
      <c r="F1036" s="3561"/>
      <c r="G1036" s="3562"/>
      <c r="H1036" s="3562"/>
      <c r="I1036" s="3562"/>
      <c r="J1036" s="3562"/>
      <c r="K1036" s="3562"/>
      <c r="L1036" s="3562"/>
      <c r="M1036" s="3562"/>
      <c r="N1036" s="3562"/>
      <c r="O1036" s="3562"/>
      <c r="P1036" s="3562"/>
      <c r="Q1036" s="3562"/>
      <c r="R1036" s="3562"/>
      <c r="S1036" s="3562"/>
      <c r="T1036" s="3562"/>
      <c r="U1036" s="3702">
        <f t="shared" ref="U1036:Z1036" si="1324">U1035-U1034</f>
        <v>4.0084996383508653E-2</v>
      </c>
      <c r="V1036" s="3702">
        <f t="shared" si="1324"/>
        <v>-4.5971096393325308E-3</v>
      </c>
      <c r="W1036" s="3702">
        <f t="shared" si="1324"/>
        <v>1.0523304221127879E-2</v>
      </c>
      <c r="X1036" s="3702">
        <f t="shared" si="1324"/>
        <v>1.5817584288273775E-2</v>
      </c>
      <c r="Y1036" s="3702">
        <f t="shared" si="1324"/>
        <v>1.6456509020484719E-2</v>
      </c>
      <c r="Z1036" s="3702">
        <f t="shared" si="1324"/>
        <v>-5.6143864786941302E-3</v>
      </c>
      <c r="AA1036" s="3702">
        <f>AA1035-AA1034</f>
        <v>-1.1648286816718905E-2</v>
      </c>
      <c r="AB1036" s="3702">
        <f>AB1035-AB1034</f>
        <v>-4.2105911846329483E-3</v>
      </c>
      <c r="AC1036" s="3702">
        <f>AC1035-AC1034</f>
        <v>-6.169856014846163E-3</v>
      </c>
      <c r="AD1036" s="3702">
        <f ca="1">AD1035-AD1034</f>
        <v>-2.6253158489370513E-3</v>
      </c>
      <c r="AE1036" s="3702">
        <f ca="1">AE1035-AE1034</f>
        <v>9.3347313010281588E-4</v>
      </c>
      <c r="AF1036" s="3358"/>
      <c r="AG1036" s="3358"/>
      <c r="AH1036" s="3358"/>
      <c r="AI1036" s="3358"/>
      <c r="AJ1036" s="3358"/>
      <c r="AK1036" s="3702">
        <v>2.417301532370244E-3</v>
      </c>
      <c r="AL1036" s="3358"/>
      <c r="AM1036" s="3702">
        <f t="shared" si="1322"/>
        <v>-8.0316880110643737E-3</v>
      </c>
      <c r="AN1036" s="3358"/>
      <c r="AO1036" s="3358"/>
      <c r="AP1036" s="3358"/>
      <c r="AQ1036" s="3358"/>
      <c r="AR1036" s="3358"/>
      <c r="AS1036" s="3358"/>
      <c r="AT1036" s="3358"/>
    </row>
    <row r="1037" spans="1:46" s="1506" customFormat="1" ht="12.75" customHeight="1">
      <c r="A1037" s="3345"/>
      <c r="B1037" s="1039"/>
      <c r="C1037" s="3457"/>
      <c r="D1037" s="1768"/>
      <c r="E1037" s="3562"/>
      <c r="F1037" s="3561"/>
      <c r="G1037" s="3562"/>
      <c r="H1037" s="3562"/>
      <c r="I1037" s="3562"/>
      <c r="J1037" s="3562"/>
      <c r="K1037" s="3562"/>
      <c r="L1037" s="3562"/>
      <c r="M1037" s="3562"/>
      <c r="N1037" s="3562"/>
      <c r="O1037" s="3562"/>
      <c r="P1037" s="3562"/>
      <c r="Q1037" s="3562"/>
      <c r="R1037" s="3562"/>
      <c r="S1037" s="3562"/>
      <c r="T1037" s="3562"/>
      <c r="U1037" s="3702"/>
      <c r="V1037" s="3702"/>
      <c r="W1037" s="3702"/>
      <c r="X1037" s="3702"/>
      <c r="Y1037" s="3702"/>
      <c r="Z1037" s="3702"/>
      <c r="AA1037" s="3702"/>
      <c r="AB1037" s="3702"/>
      <c r="AC1037" s="3702"/>
      <c r="AD1037" s="3702"/>
      <c r="AE1037" s="3702"/>
      <c r="AF1037" s="3358"/>
      <c r="AG1037" s="3358"/>
      <c r="AH1037" s="3358"/>
      <c r="AI1037" s="3358"/>
      <c r="AJ1037" s="3358"/>
      <c r="AK1037" s="3702"/>
      <c r="AL1037" s="3358"/>
      <c r="AM1037" s="3702">
        <f t="shared" si="1322"/>
        <v>0</v>
      </c>
      <c r="AN1037" s="3358"/>
      <c r="AO1037" s="3358"/>
      <c r="AP1037" s="3358"/>
      <c r="AQ1037" s="3358"/>
      <c r="AR1037" s="3358"/>
      <c r="AS1037" s="3358"/>
      <c r="AT1037" s="3358"/>
    </row>
    <row r="1038" spans="1:46" ht="12.75" customHeight="1">
      <c r="B1038" s="714"/>
      <c r="C1038" s="1792"/>
      <c r="D1038" s="724"/>
      <c r="E1038" s="3499" t="s">
        <v>2374</v>
      </c>
      <c r="F1038" s="3496"/>
      <c r="G1038" s="3499"/>
      <c r="H1038" s="3499"/>
      <c r="I1038" s="3499"/>
      <c r="J1038" s="3499"/>
      <c r="K1038" s="3499"/>
      <c r="L1038" s="3499"/>
      <c r="M1038" s="3499"/>
      <c r="N1038" s="3499"/>
      <c r="O1038" s="3499"/>
      <c r="P1038" s="3499"/>
      <c r="Q1038" s="3499"/>
      <c r="R1038" s="3499"/>
      <c r="S1038" s="3499"/>
      <c r="T1038" s="3499"/>
      <c r="U1038" s="3701">
        <f t="shared" ref="U1038:Z1038" si="1325">U1030-U1034</f>
        <v>-1.7604164904577685E-3</v>
      </c>
      <c r="V1038" s="3701">
        <f t="shared" si="1325"/>
        <v>7.6828161013200473E-3</v>
      </c>
      <c r="W1038" s="3701">
        <f t="shared" si="1325"/>
        <v>2.4874289875953001E-3</v>
      </c>
      <c r="X1038" s="3701">
        <f t="shared" si="1325"/>
        <v>1.6672124729774265E-2</v>
      </c>
      <c r="Y1038" s="3701">
        <f t="shared" si="1325"/>
        <v>1.9631197242798208E-2</v>
      </c>
      <c r="Z1038" s="3701">
        <f t="shared" si="1325"/>
        <v>2.8292115530760083E-6</v>
      </c>
      <c r="AA1038" s="3701">
        <f>AA1030-AA1034</f>
        <v>6.2105053367742338E-6</v>
      </c>
      <c r="AB1038" s="3701">
        <f>AB1030-AB1034</f>
        <v>-1.6258187006498547E-6</v>
      </c>
      <c r="AC1038" s="3701">
        <f>AC1030-AC1034</f>
        <v>1.9501026945986243E-5</v>
      </c>
      <c r="AD1038" s="3701">
        <f ca="1">AD1030-AD1034</f>
        <v>1.4156115154131327E-6</v>
      </c>
      <c r="AE1038" s="3701">
        <f ca="1">AE1030-AE1034</f>
        <v>-4.7671741491284475E-6</v>
      </c>
      <c r="AK1038" s="3701">
        <v>1.6319884654585229E-3</v>
      </c>
      <c r="AM1038" s="3701">
        <f t="shared" si="1322"/>
        <v>-1.6291592539054468E-3</v>
      </c>
    </row>
    <row r="1039" spans="1:46" s="927" customFormat="1" ht="6" customHeight="1">
      <c r="A1039" s="713"/>
      <c r="B1039" s="714"/>
      <c r="C1039" s="1793"/>
      <c r="D1039" s="1806"/>
      <c r="E1039" s="1807"/>
      <c r="F1039" s="1808"/>
      <c r="G1039" s="1570"/>
      <c r="H1039" s="1570"/>
      <c r="I1039" s="1570"/>
      <c r="J1039" s="1570"/>
      <c r="K1039" s="1570"/>
      <c r="L1039" s="1570"/>
      <c r="M1039" s="1570"/>
      <c r="N1039" s="1570"/>
      <c r="O1039" s="1570"/>
      <c r="P1039" s="1570"/>
      <c r="Q1039" s="1570"/>
      <c r="R1039" s="1570"/>
      <c r="S1039" s="1570"/>
      <c r="T1039" s="1570"/>
      <c r="U1039" s="1570"/>
      <c r="V1039" s="1570"/>
      <c r="W1039" s="1570"/>
      <c r="X1039" s="1570"/>
      <c r="Y1039" s="1570"/>
      <c r="Z1039" s="1570"/>
      <c r="AA1039" s="1570"/>
      <c r="AB1039" s="1570"/>
      <c r="AC1039" s="1570"/>
      <c r="AD1039" s="1570"/>
      <c r="AE1039" s="1570"/>
      <c r="AF1039" s="2831"/>
      <c r="AG1039" s="2831"/>
      <c r="AH1039" s="2831"/>
      <c r="AI1039" s="2831"/>
      <c r="AJ1039" s="2831"/>
      <c r="AK1039" s="1570"/>
      <c r="AL1039" s="2831"/>
      <c r="AM1039" s="1570">
        <f t="shared" si="1322"/>
        <v>0</v>
      </c>
      <c r="AN1039" s="2831"/>
      <c r="AO1039" s="2831"/>
      <c r="AP1039" s="2831"/>
      <c r="AQ1039" s="2831"/>
      <c r="AR1039" s="2831"/>
      <c r="AS1039" s="2831"/>
      <c r="AT1039" s="2831"/>
    </row>
    <row r="1040" spans="1:46" ht="12" customHeight="1">
      <c r="F1040" s="1066"/>
      <c r="S1040" s="2162"/>
      <c r="T1040" s="2162"/>
      <c r="U1040" s="2234"/>
      <c r="V1040" s="2234"/>
      <c r="W1040" s="2234"/>
      <c r="X1040" s="2234"/>
      <c r="Y1040" s="2234"/>
      <c r="Z1040" s="2234"/>
      <c r="AA1040" s="2234"/>
      <c r="AB1040" s="2234"/>
      <c r="AC1040" s="2234"/>
      <c r="AD1040" s="2234"/>
      <c r="AE1040" s="2234"/>
      <c r="AK1040" s="2234"/>
      <c r="AM1040" s="2234">
        <f t="shared" si="1322"/>
        <v>0</v>
      </c>
    </row>
    <row r="1041" spans="1:46" ht="12.75" customHeight="1">
      <c r="A1041" s="714"/>
      <c r="B1041" s="714"/>
      <c r="C1041" s="822"/>
      <c r="D1041" s="823"/>
      <c r="E1041" s="824" t="s">
        <v>1711</v>
      </c>
      <c r="F1041" s="825"/>
      <c r="G1041" s="826">
        <f>+InputY!$G$3</f>
        <v>1995</v>
      </c>
      <c r="H1041" s="826">
        <f>+G1041+1</f>
        <v>1996</v>
      </c>
      <c r="I1041" s="826">
        <f t="shared" ref="I1041:S1041" si="1326">+H1041+1</f>
        <v>1997</v>
      </c>
      <c r="J1041" s="826">
        <f t="shared" si="1326"/>
        <v>1998</v>
      </c>
      <c r="K1041" s="826">
        <f t="shared" si="1326"/>
        <v>1999</v>
      </c>
      <c r="L1041" s="826">
        <f t="shared" si="1326"/>
        <v>2000</v>
      </c>
      <c r="M1041" s="826">
        <f t="shared" si="1326"/>
        <v>2001</v>
      </c>
      <c r="N1041" s="826">
        <f t="shared" si="1326"/>
        <v>2002</v>
      </c>
      <c r="O1041" s="826">
        <f t="shared" si="1326"/>
        <v>2003</v>
      </c>
      <c r="P1041" s="826">
        <f>+O1041+1</f>
        <v>2004</v>
      </c>
      <c r="Q1041" s="826">
        <f>+P1041+1</f>
        <v>2005</v>
      </c>
      <c r="R1041" s="826">
        <f>+Q1041+1</f>
        <v>2006</v>
      </c>
      <c r="S1041" s="2163">
        <f t="shared" si="1326"/>
        <v>2007</v>
      </c>
      <c r="T1041" s="2163">
        <f t="shared" ref="T1041:AE1041" si="1327">+S1041+1</f>
        <v>2008</v>
      </c>
      <c r="U1041" s="2163">
        <f t="shared" si="1327"/>
        <v>2009</v>
      </c>
      <c r="V1041" s="2163">
        <f t="shared" si="1327"/>
        <v>2010</v>
      </c>
      <c r="W1041" s="2163">
        <f t="shared" si="1327"/>
        <v>2011</v>
      </c>
      <c r="X1041" s="2163">
        <f t="shared" si="1327"/>
        <v>2012</v>
      </c>
      <c r="Y1041" s="2163">
        <f t="shared" si="1327"/>
        <v>2013</v>
      </c>
      <c r="Z1041" s="2163">
        <f t="shared" si="1327"/>
        <v>2014</v>
      </c>
      <c r="AA1041" s="2163">
        <f t="shared" si="1327"/>
        <v>2015</v>
      </c>
      <c r="AB1041" s="2163">
        <f t="shared" si="1327"/>
        <v>2016</v>
      </c>
      <c r="AC1041" s="2163">
        <f t="shared" si="1327"/>
        <v>2017</v>
      </c>
      <c r="AD1041" s="2163">
        <f t="shared" si="1327"/>
        <v>2018</v>
      </c>
      <c r="AE1041" s="2163">
        <f t="shared" si="1327"/>
        <v>2019</v>
      </c>
      <c r="AK1041" s="2163">
        <v>2014</v>
      </c>
      <c r="AM1041" s="2163">
        <f t="shared" si="1322"/>
        <v>0</v>
      </c>
    </row>
    <row r="1042" spans="1:46" ht="12.75" customHeight="1">
      <c r="A1042" s="714"/>
      <c r="B1042" s="714"/>
      <c r="C1042" s="827" t="s">
        <v>622</v>
      </c>
      <c r="D1042" s="718"/>
      <c r="E1042" s="828" t="str">
        <f t="shared" ref="E1042:AD1042" si="1328">+E32</f>
        <v>Taxes on production and imports (D.2r = D.21r+D.29r)</v>
      </c>
      <c r="F1042" s="751" t="str">
        <f t="shared" si="1328"/>
        <v>YATaxIndir</v>
      </c>
      <c r="G1042" s="828">
        <f t="shared" si="1328"/>
        <v>25.7408</v>
      </c>
      <c r="H1042" s="828">
        <f t="shared" si="1328"/>
        <v>27.295300000000001</v>
      </c>
      <c r="I1042" s="828">
        <f t="shared" si="1328"/>
        <v>28.959299999999999</v>
      </c>
      <c r="J1042" s="828">
        <f t="shared" si="1328"/>
        <v>29.978200000000001</v>
      </c>
      <c r="K1042" s="828">
        <f t="shared" si="1328"/>
        <v>32.108699999999999</v>
      </c>
      <c r="L1042" s="828">
        <f t="shared" si="1328"/>
        <v>33.5182</v>
      </c>
      <c r="M1042" s="828">
        <f t="shared" si="1328"/>
        <v>33.305300000000003</v>
      </c>
      <c r="N1042" s="828">
        <f t="shared" si="1328"/>
        <v>34.563400000000001</v>
      </c>
      <c r="O1042" s="828">
        <f t="shared" si="1328"/>
        <v>35.598500000000001</v>
      </c>
      <c r="P1042" s="828">
        <f t="shared" si="1328"/>
        <v>38.029900000000005</v>
      </c>
      <c r="Q1042" s="828">
        <f t="shared" si="1328"/>
        <v>39.959499999999998</v>
      </c>
      <c r="R1042" s="828">
        <f t="shared" si="1328"/>
        <v>41.810099999999998</v>
      </c>
      <c r="S1042" s="828">
        <f t="shared" si="1328"/>
        <v>43.749699999999997</v>
      </c>
      <c r="T1042" s="828">
        <f t="shared" si="1328"/>
        <v>44.250300000000003</v>
      </c>
      <c r="U1042" s="828">
        <f t="shared" si="1328"/>
        <v>43.5304</v>
      </c>
      <c r="V1042" s="828">
        <f t="shared" si="1328"/>
        <v>46.652099999999997</v>
      </c>
      <c r="W1042" s="828">
        <f t="shared" si="1328"/>
        <v>48.230400000000003</v>
      </c>
      <c r="X1042" s="828">
        <f t="shared" si="1328"/>
        <v>50.688400000000001</v>
      </c>
      <c r="Y1042" s="2230">
        <f t="shared" si="1328"/>
        <v>51.2592</v>
      </c>
      <c r="Z1042" s="2230">
        <f t="shared" si="1328"/>
        <v>52.1006</v>
      </c>
      <c r="AA1042" s="2230">
        <f t="shared" si="1328"/>
        <v>52.859300000000005</v>
      </c>
      <c r="AB1042" s="2230">
        <f t="shared" si="1328"/>
        <v>55.320900000000002</v>
      </c>
      <c r="AC1042" s="2230">
        <f t="shared" si="1328"/>
        <v>57.298099999999998</v>
      </c>
      <c r="AD1042" s="2230">
        <f t="shared" si="1328"/>
        <v>59.120098280130293</v>
      </c>
      <c r="AE1042" s="2230">
        <f t="shared" ref="AE1042" si="1329">+AE32</f>
        <v>61.054472535494071</v>
      </c>
      <c r="AK1042" s="2230">
        <v>51.761699999999998</v>
      </c>
      <c r="AM1042" s="2230">
        <f t="shared" si="1322"/>
        <v>0.33890000000000242</v>
      </c>
    </row>
    <row r="1043" spans="1:46" ht="12.75" customHeight="1">
      <c r="A1043" s="714"/>
      <c r="B1043" s="714"/>
      <c r="C1043" s="829" t="s">
        <v>622</v>
      </c>
      <c r="D1043" s="724"/>
      <c r="E1043" s="756" t="str">
        <f t="shared" ref="E1043:AD1043" si="1330">+E31</f>
        <v>Taxes on products (D.2r) (Taxes paid to RoW)</v>
      </c>
      <c r="F1043" s="754" t="str">
        <f t="shared" si="1330"/>
        <v>TaxToRow</v>
      </c>
      <c r="G1043" s="756">
        <f t="shared" si="1330"/>
        <v>0.9385</v>
      </c>
      <c r="H1043" s="756">
        <f t="shared" si="1330"/>
        <v>0.88479999999999992</v>
      </c>
      <c r="I1043" s="756">
        <f t="shared" si="1330"/>
        <v>0.99670000000000003</v>
      </c>
      <c r="J1043" s="756">
        <f t="shared" si="1330"/>
        <v>1.012</v>
      </c>
      <c r="K1043" s="756">
        <f t="shared" si="1330"/>
        <v>0.95420000000000005</v>
      </c>
      <c r="L1043" s="756">
        <f t="shared" si="1330"/>
        <v>1.0350999999999999</v>
      </c>
      <c r="M1043" s="756">
        <f t="shared" si="1330"/>
        <v>1.0107999999999999</v>
      </c>
      <c r="N1043" s="756">
        <f t="shared" si="1330"/>
        <v>1.0299</v>
      </c>
      <c r="O1043" s="756">
        <f t="shared" si="1330"/>
        <v>1.1445000000000001</v>
      </c>
      <c r="P1043" s="756">
        <f t="shared" si="1330"/>
        <v>1.1802999999999999</v>
      </c>
      <c r="Q1043" s="756">
        <f t="shared" si="1330"/>
        <v>1.2654000000000001</v>
      </c>
      <c r="R1043" s="756">
        <f t="shared" si="1330"/>
        <v>1.3003</v>
      </c>
      <c r="S1043" s="756">
        <f t="shared" si="1330"/>
        <v>1.4500999999999999</v>
      </c>
      <c r="T1043" s="756">
        <f t="shared" si="1330"/>
        <v>1.6195999999999999</v>
      </c>
      <c r="U1043" s="756">
        <f t="shared" si="1330"/>
        <v>1.2044000000000001</v>
      </c>
      <c r="V1043" s="756">
        <f t="shared" si="1330"/>
        <v>1.2749999999999999</v>
      </c>
      <c r="W1043" s="756">
        <f t="shared" si="1330"/>
        <v>1.2932999999999999</v>
      </c>
      <c r="X1043" s="756">
        <f t="shared" si="1330"/>
        <v>1.2555999999999998</v>
      </c>
      <c r="Y1043" s="2228">
        <f t="shared" si="1330"/>
        <v>1.1778</v>
      </c>
      <c r="Z1043" s="2228">
        <f t="shared" si="1330"/>
        <v>1.2410000000000001</v>
      </c>
      <c r="AA1043" s="2228">
        <f t="shared" si="1330"/>
        <v>1.6069</v>
      </c>
      <c r="AB1043" s="2228">
        <f t="shared" si="1330"/>
        <v>1.8540999999999999</v>
      </c>
      <c r="AC1043" s="2228">
        <f t="shared" si="1330"/>
        <v>1.9132457899999999</v>
      </c>
      <c r="AD1043" s="2228">
        <f t="shared" si="1330"/>
        <v>1.9821226384399999</v>
      </c>
      <c r="AE1043" s="2228">
        <f t="shared" ref="AE1043" si="1331">+AE31</f>
        <v>2.0713181571697996</v>
      </c>
      <c r="AK1043" s="2228">
        <v>1.5325240296309786</v>
      </c>
      <c r="AM1043" s="2228">
        <f t="shared" si="1322"/>
        <v>-0.29152402963097845</v>
      </c>
    </row>
    <row r="1044" spans="1:46" ht="12.75" customHeight="1">
      <c r="A1044" s="714"/>
      <c r="B1044" s="714"/>
      <c r="C1044" s="829" t="s">
        <v>622</v>
      </c>
      <c r="D1044" s="724"/>
      <c r="E1044" s="756" t="str">
        <f t="shared" ref="E1044:AD1044" si="1332">+E319</f>
        <v xml:space="preserve">Current taxes on income and wealth (D.5r)  </v>
      </c>
      <c r="F1044" s="754" t="str">
        <f t="shared" si="1332"/>
        <v>YATaxDir</v>
      </c>
      <c r="G1044" s="756">
        <f t="shared" si="1332"/>
        <v>33.709699999999998</v>
      </c>
      <c r="H1044" s="756">
        <f t="shared" si="1332"/>
        <v>34.418399999999998</v>
      </c>
      <c r="I1044" s="756">
        <f t="shared" si="1332"/>
        <v>36.979300000000002</v>
      </c>
      <c r="J1044" s="756">
        <f t="shared" si="1332"/>
        <v>39.622599999999998</v>
      </c>
      <c r="K1044" s="756">
        <f t="shared" si="1332"/>
        <v>40.1768</v>
      </c>
      <c r="L1044" s="756">
        <f t="shared" si="1332"/>
        <v>42.835300000000004</v>
      </c>
      <c r="M1044" s="756">
        <f t="shared" si="1332"/>
        <v>44.580800000000004</v>
      </c>
      <c r="N1044" s="756">
        <f t="shared" si="1332"/>
        <v>45.8964</v>
      </c>
      <c r="O1044" s="756">
        <f t="shared" si="1332"/>
        <v>45.6723</v>
      </c>
      <c r="P1044" s="756">
        <f t="shared" si="1332"/>
        <v>48.301099999999998</v>
      </c>
      <c r="Q1044" s="756">
        <f t="shared" si="1332"/>
        <v>50.676099999999998</v>
      </c>
      <c r="R1044" s="756">
        <f t="shared" si="1332"/>
        <v>52.663699999999999</v>
      </c>
      <c r="S1044" s="756">
        <f t="shared" si="1332"/>
        <v>54.700900000000004</v>
      </c>
      <c r="T1044" s="756">
        <f t="shared" si="1332"/>
        <v>57.118300000000005</v>
      </c>
      <c r="U1044" s="756">
        <f t="shared" si="1332"/>
        <v>52.131500000000003</v>
      </c>
      <c r="V1044" s="756">
        <f t="shared" si="1332"/>
        <v>55.681800000000003</v>
      </c>
      <c r="W1044" s="756">
        <f t="shared" si="1332"/>
        <v>59.729900000000001</v>
      </c>
      <c r="X1044" s="756">
        <f t="shared" si="1332"/>
        <v>62.513300000000001</v>
      </c>
      <c r="Y1044" s="2228">
        <f t="shared" si="1332"/>
        <v>65.682199999999995</v>
      </c>
      <c r="Z1044" s="2228">
        <f t="shared" si="1332"/>
        <v>67.108199999999997</v>
      </c>
      <c r="AA1044" s="2228">
        <f t="shared" si="1332"/>
        <v>68.038699999999992</v>
      </c>
      <c r="AB1044" s="2228">
        <f t="shared" si="1332"/>
        <v>68.753399999999999</v>
      </c>
      <c r="AC1044" s="2228">
        <f t="shared" si="1332"/>
        <v>73.776699999999991</v>
      </c>
      <c r="AD1044" s="2228">
        <f t="shared" si="1332"/>
        <v>74.224751359659976</v>
      </c>
      <c r="AE1044" s="2228">
        <f t="shared" ref="AE1044" si="1333">+AE319</f>
        <v>76.022804492324838</v>
      </c>
      <c r="AK1044" s="2228">
        <v>67.512500000000003</v>
      </c>
      <c r="AM1044" s="2228">
        <f t="shared" si="1322"/>
        <v>-0.40430000000000632</v>
      </c>
    </row>
    <row r="1045" spans="1:46" ht="12.75" customHeight="1">
      <c r="A1045" s="714"/>
      <c r="B1045" s="714"/>
      <c r="C1045" s="829" t="s">
        <v>622</v>
      </c>
      <c r="D1045" s="724"/>
      <c r="E1045" s="756" t="str">
        <f t="shared" ref="E1045:AD1045" si="1334">+E471</f>
        <v>Actual social contributions (D.611r)</v>
      </c>
      <c r="F1045" s="754" t="str">
        <f t="shared" si="1334"/>
        <v>YATaxActSoc</v>
      </c>
      <c r="G1045" s="756">
        <f t="shared" si="1334"/>
        <v>29.4331</v>
      </c>
      <c r="H1045" s="756">
        <f t="shared" si="1334"/>
        <v>30.284299999999998</v>
      </c>
      <c r="I1045" s="756">
        <f t="shared" si="1334"/>
        <v>31.27</v>
      </c>
      <c r="J1045" s="756">
        <f t="shared" si="1334"/>
        <v>32.577199999999998</v>
      </c>
      <c r="K1045" s="756">
        <f t="shared" si="1334"/>
        <v>33.784599999999998</v>
      </c>
      <c r="L1045" s="756">
        <f t="shared" si="1334"/>
        <v>34.69</v>
      </c>
      <c r="M1045" s="756">
        <f t="shared" si="1334"/>
        <v>36.236199999999997</v>
      </c>
      <c r="N1045" s="756">
        <f t="shared" si="1334"/>
        <v>38.064999999999998</v>
      </c>
      <c r="O1045" s="756">
        <f t="shared" si="1334"/>
        <v>38.9191</v>
      </c>
      <c r="P1045" s="756">
        <f t="shared" si="1334"/>
        <v>40.184899999999999</v>
      </c>
      <c r="Q1045" s="756">
        <f t="shared" si="1334"/>
        <v>41.271099999999997</v>
      </c>
      <c r="R1045" s="756">
        <f t="shared" si="1334"/>
        <v>42.990300000000005</v>
      </c>
      <c r="S1045" s="756">
        <f t="shared" si="1334"/>
        <v>45.7134</v>
      </c>
      <c r="T1045" s="756">
        <f t="shared" si="1334"/>
        <v>48.360500000000002</v>
      </c>
      <c r="U1045" s="756">
        <f t="shared" si="1334"/>
        <v>49.377099999999999</v>
      </c>
      <c r="V1045" s="756">
        <f t="shared" si="1334"/>
        <v>50.508699999999997</v>
      </c>
      <c r="W1045" s="756">
        <f t="shared" si="1334"/>
        <v>53.037300000000002</v>
      </c>
      <c r="X1045" s="756">
        <f t="shared" si="1334"/>
        <v>55.188400000000001</v>
      </c>
      <c r="Y1045" s="2228">
        <f t="shared" si="1334"/>
        <v>56.429099999999998</v>
      </c>
      <c r="Z1045" s="2228">
        <f t="shared" si="1334"/>
        <v>57.163499999999999</v>
      </c>
      <c r="AA1045" s="2228">
        <f t="shared" si="1334"/>
        <v>58.699300000000001</v>
      </c>
      <c r="AB1045" s="2228">
        <f t="shared" si="1334"/>
        <v>58.002699999999997</v>
      </c>
      <c r="AC1045" s="2228">
        <f t="shared" si="1334"/>
        <v>59.502000000000002</v>
      </c>
      <c r="AD1045" s="2228">
        <f t="shared" si="1334"/>
        <v>61.203757199999998</v>
      </c>
      <c r="AE1045" s="2228">
        <f t="shared" ref="AE1045" si="1335">+AE471</f>
        <v>63.082712546039993</v>
      </c>
      <c r="AK1045" s="2228">
        <v>56.572499999999998</v>
      </c>
      <c r="AM1045" s="2228">
        <f t="shared" si="1322"/>
        <v>0.59100000000000108</v>
      </c>
    </row>
    <row r="1046" spans="1:46" ht="12.75" customHeight="1">
      <c r="A1046" s="714"/>
      <c r="B1046" s="714"/>
      <c r="C1046" s="829" t="s">
        <v>622</v>
      </c>
      <c r="D1046" s="724"/>
      <c r="E1046" s="756" t="str">
        <f t="shared" ref="E1046:AD1046" si="1336">+E788</f>
        <v>Capital taxes (D.91r)</v>
      </c>
      <c r="F1046" s="754" t="str">
        <f t="shared" si="1336"/>
        <v>YACapTax</v>
      </c>
      <c r="G1046" s="756">
        <f t="shared" si="1336"/>
        <v>0.7612000000000001</v>
      </c>
      <c r="H1046" s="756">
        <f t="shared" si="1336"/>
        <v>0.83029999999999993</v>
      </c>
      <c r="I1046" s="756">
        <f t="shared" si="1336"/>
        <v>0.81599999999999995</v>
      </c>
      <c r="J1046" s="756">
        <f t="shared" si="1336"/>
        <v>0.95620000000000005</v>
      </c>
      <c r="K1046" s="756">
        <f t="shared" si="1336"/>
        <v>1.0222</v>
      </c>
      <c r="L1046" s="756">
        <f t="shared" si="1336"/>
        <v>1.1747999999999998</v>
      </c>
      <c r="M1046" s="756">
        <f t="shared" si="1336"/>
        <v>1.2061999999999999</v>
      </c>
      <c r="N1046" s="756">
        <f t="shared" si="1336"/>
        <v>1.2559</v>
      </c>
      <c r="O1046" s="756">
        <f t="shared" si="1336"/>
        <v>1.3904000000000001</v>
      </c>
      <c r="P1046" s="756">
        <f t="shared" si="1336"/>
        <v>2.1766000000000001</v>
      </c>
      <c r="Q1046" s="756">
        <f t="shared" si="1336"/>
        <v>1.8728</v>
      </c>
      <c r="R1046" s="756">
        <f t="shared" si="1336"/>
        <v>2.1533000000000002</v>
      </c>
      <c r="S1046" s="756">
        <f t="shared" si="1336"/>
        <v>2.2157</v>
      </c>
      <c r="T1046" s="756">
        <f t="shared" si="1336"/>
        <v>2.3700999999999999</v>
      </c>
      <c r="U1046" s="756">
        <f t="shared" si="1336"/>
        <v>2.2346999999999997</v>
      </c>
      <c r="V1046" s="756">
        <f t="shared" si="1336"/>
        <v>2.5963000000000003</v>
      </c>
      <c r="W1046" s="756">
        <f t="shared" si="1336"/>
        <v>2.7716999999999996</v>
      </c>
      <c r="X1046" s="756">
        <f t="shared" si="1336"/>
        <v>3.3180000000000001</v>
      </c>
      <c r="Y1046" s="2228">
        <f t="shared" si="1336"/>
        <v>3.9729999999999999</v>
      </c>
      <c r="Z1046" s="2228">
        <f t="shared" si="1336"/>
        <v>3.8996</v>
      </c>
      <c r="AA1046" s="2228">
        <f t="shared" si="1336"/>
        <v>3.6375000000000002</v>
      </c>
      <c r="AB1046" s="2228">
        <f t="shared" si="1336"/>
        <v>3.3464999999999998</v>
      </c>
      <c r="AC1046" s="2228">
        <f t="shared" si="1336"/>
        <v>3.6185</v>
      </c>
      <c r="AD1046" s="2228">
        <f t="shared" si="1336"/>
        <v>3.8460691613307296</v>
      </c>
      <c r="AE1046" s="2228">
        <f t="shared" ref="AE1046" si="1337">+AE788</f>
        <v>4.1226336221253046</v>
      </c>
      <c r="AK1046" s="2228">
        <v>3.9064000000000001</v>
      </c>
      <c r="AM1046" s="2228">
        <f t="shared" si="1322"/>
        <v>-6.8000000000001393E-3</v>
      </c>
    </row>
    <row r="1047" spans="1:46" ht="12.75" customHeight="1">
      <c r="A1047" s="714"/>
      <c r="B1047" s="714"/>
      <c r="C1047" s="829" t="s">
        <v>2133</v>
      </c>
      <c r="D1047" s="724"/>
      <c r="E1047" s="756" t="str">
        <f>+E789</f>
        <v>Unpaid taxes (D.995)</v>
      </c>
      <c r="F1047" s="754"/>
      <c r="G1047" s="756">
        <f t="shared" ref="G1047:AD1047" si="1338">+G789</f>
        <v>0</v>
      </c>
      <c r="H1047" s="756">
        <f t="shared" si="1338"/>
        <v>0</v>
      </c>
      <c r="I1047" s="756">
        <f t="shared" si="1338"/>
        <v>0</v>
      </c>
      <c r="J1047" s="756">
        <f t="shared" si="1338"/>
        <v>0</v>
      </c>
      <c r="K1047" s="756">
        <f t="shared" si="1338"/>
        <v>0</v>
      </c>
      <c r="L1047" s="756">
        <f t="shared" si="1338"/>
        <v>0</v>
      </c>
      <c r="M1047" s="756">
        <f t="shared" si="1338"/>
        <v>0</v>
      </c>
      <c r="N1047" s="756">
        <f t="shared" si="1338"/>
        <v>0</v>
      </c>
      <c r="O1047" s="756">
        <f t="shared" si="1338"/>
        <v>0</v>
      </c>
      <c r="P1047" s="756">
        <f t="shared" si="1338"/>
        <v>0</v>
      </c>
      <c r="Q1047" s="756">
        <f t="shared" si="1338"/>
        <v>0</v>
      </c>
      <c r="R1047" s="756">
        <f t="shared" si="1338"/>
        <v>0</v>
      </c>
      <c r="S1047" s="756">
        <f t="shared" si="1338"/>
        <v>0</v>
      </c>
      <c r="T1047" s="756">
        <f t="shared" si="1338"/>
        <v>0</v>
      </c>
      <c r="U1047" s="756">
        <f t="shared" si="1338"/>
        <v>0</v>
      </c>
      <c r="V1047" s="756">
        <f t="shared" si="1338"/>
        <v>0</v>
      </c>
      <c r="W1047" s="756">
        <f t="shared" si="1338"/>
        <v>0</v>
      </c>
      <c r="X1047" s="756">
        <f t="shared" si="1338"/>
        <v>0</v>
      </c>
      <c r="Y1047" s="2228">
        <f t="shared" si="1338"/>
        <v>0</v>
      </c>
      <c r="Z1047" s="2228">
        <f t="shared" si="1338"/>
        <v>0</v>
      </c>
      <c r="AA1047" s="2228">
        <f t="shared" si="1338"/>
        <v>0</v>
      </c>
      <c r="AB1047" s="2228">
        <f t="shared" si="1338"/>
        <v>0</v>
      </c>
      <c r="AC1047" s="2228">
        <f t="shared" si="1338"/>
        <v>0</v>
      </c>
      <c r="AD1047" s="2228">
        <f t="shared" si="1338"/>
        <v>0</v>
      </c>
      <c r="AE1047" s="2228">
        <f t="shared" ref="AE1047" si="1339">+AE789</f>
        <v>0</v>
      </c>
      <c r="AK1047" s="2228">
        <v>0</v>
      </c>
      <c r="AM1047" s="2228">
        <f t="shared" si="1322"/>
        <v>0</v>
      </c>
    </row>
    <row r="1048" spans="1:46" ht="12.75" customHeight="1">
      <c r="A1048" s="714"/>
      <c r="B1048" s="714"/>
      <c r="C1048" s="829" t="s">
        <v>624</v>
      </c>
      <c r="D1048" s="794"/>
      <c r="E1048" s="843" t="s">
        <v>1711</v>
      </c>
      <c r="F1048" s="796"/>
      <c r="G1048" s="843">
        <f>+G1042+G1043+G1044+G1045+G1046-G1047</f>
        <v>90.583299999999994</v>
      </c>
      <c r="H1048" s="843">
        <f t="shared" ref="H1048:S1048" si="1340">+H1042+H1043+H1044+H1045+H1046-H1047</f>
        <v>93.713099999999997</v>
      </c>
      <c r="I1048" s="843">
        <f t="shared" si="1340"/>
        <v>99.021299999999997</v>
      </c>
      <c r="J1048" s="843">
        <f t="shared" si="1340"/>
        <v>104.14619999999999</v>
      </c>
      <c r="K1048" s="843">
        <f t="shared" si="1340"/>
        <v>108.04649999999999</v>
      </c>
      <c r="L1048" s="843">
        <f t="shared" si="1340"/>
        <v>113.2534</v>
      </c>
      <c r="M1048" s="843">
        <f t="shared" si="1340"/>
        <v>116.33930000000001</v>
      </c>
      <c r="N1048" s="843">
        <f t="shared" si="1340"/>
        <v>120.81059999999999</v>
      </c>
      <c r="O1048" s="843">
        <f t="shared" si="1340"/>
        <v>122.7248</v>
      </c>
      <c r="P1048" s="843">
        <f t="shared" si="1340"/>
        <v>129.87280000000001</v>
      </c>
      <c r="Q1048" s="843">
        <f t="shared" si="1340"/>
        <v>135.04490000000001</v>
      </c>
      <c r="R1048" s="843">
        <f t="shared" si="1340"/>
        <v>140.91770000000002</v>
      </c>
      <c r="S1048" s="843">
        <f t="shared" si="1340"/>
        <v>147.82980000000001</v>
      </c>
      <c r="T1048" s="843">
        <f t="shared" ref="T1048:Y1048" si="1341">+T1042+T1043+T1044+T1045+T1046-T1047</f>
        <v>153.71880000000002</v>
      </c>
      <c r="U1048" s="843">
        <f t="shared" si="1341"/>
        <v>148.47810000000001</v>
      </c>
      <c r="V1048" s="843">
        <f>+V1042+V1043+V1044+V1045+V1046-V1047</f>
        <v>156.71390000000002</v>
      </c>
      <c r="W1048" s="843">
        <f>+W1042+W1043+W1044+W1045+W1046-W1047</f>
        <v>165.06260000000003</v>
      </c>
      <c r="X1048" s="843">
        <f>+X1042+X1043+X1044+X1045+X1046-X1047</f>
        <v>172.96370000000002</v>
      </c>
      <c r="Y1048" s="2264">
        <f t="shared" si="1341"/>
        <v>178.5213</v>
      </c>
      <c r="Z1048" s="2264">
        <f t="shared" ref="Z1048:AD1048" si="1342">+Z1042+Z1043+Z1044+Z1045+Z1046-Z1047</f>
        <v>181.51289999999997</v>
      </c>
      <c r="AA1048" s="2264">
        <f t="shared" si="1342"/>
        <v>184.84169999999997</v>
      </c>
      <c r="AB1048" s="2264">
        <f t="shared" si="1342"/>
        <v>187.27760000000001</v>
      </c>
      <c r="AC1048" s="2264">
        <f t="shared" si="1342"/>
        <v>196.10854579000002</v>
      </c>
      <c r="AD1048" s="2264">
        <f t="shared" si="1342"/>
        <v>200.376798639561</v>
      </c>
      <c r="AE1048" s="2264">
        <f t="shared" ref="AE1048" si="1343">+AE1042+AE1043+AE1044+AE1045+AE1046-AE1047</f>
        <v>206.35394135315403</v>
      </c>
      <c r="AF1048" s="749"/>
      <c r="AG1048" s="749"/>
      <c r="AH1048" s="749"/>
      <c r="AI1048" s="749"/>
      <c r="AJ1048" s="749"/>
      <c r="AK1048" s="2264">
        <v>181.28562402963095</v>
      </c>
      <c r="AL1048" s="749"/>
      <c r="AM1048" s="2264">
        <f t="shared" si="1322"/>
        <v>0.22727597036902125</v>
      </c>
      <c r="AN1048" s="749"/>
      <c r="AO1048" s="749"/>
      <c r="AP1048" s="749"/>
      <c r="AQ1048" s="749"/>
      <c r="AR1048" s="749"/>
      <c r="AS1048" s="749"/>
      <c r="AT1048" s="749"/>
    </row>
    <row r="1049" spans="1:46" ht="12.75" customHeight="1">
      <c r="A1049" s="714"/>
      <c r="B1049" s="714"/>
      <c r="C1049" s="1067" t="s">
        <v>406</v>
      </c>
      <c r="D1049" s="724"/>
      <c r="E1049" s="756" t="str">
        <f>+'VVP2'!E355</f>
        <v>GDP</v>
      </c>
      <c r="F1049" s="754" t="str">
        <f>+'VVP2'!F355</f>
        <v>$GDP</v>
      </c>
      <c r="G1049" s="756">
        <f ca="1">+'VVP2'!G355</f>
        <v>211.29079999999999</v>
      </c>
      <c r="H1049" s="756">
        <f>+'VVP2'!H355</f>
        <v>215.94239999999999</v>
      </c>
      <c r="I1049" s="756">
        <f>+'VVP2'!I355</f>
        <v>225.96870000000001</v>
      </c>
      <c r="J1049" s="756">
        <f>+'VVP2'!J355</f>
        <v>234.4896</v>
      </c>
      <c r="K1049" s="756">
        <f>+'VVP2'!K355</f>
        <v>244.226</v>
      </c>
      <c r="L1049" s="756">
        <f>+'VVP2'!L355</f>
        <v>258.22199999999998</v>
      </c>
      <c r="M1049" s="756">
        <f>+'VVP2'!M355</f>
        <v>265.78840000000002</v>
      </c>
      <c r="N1049" s="756">
        <f>+'VVP2'!N355</f>
        <v>275.06509999999997</v>
      </c>
      <c r="O1049" s="756">
        <f>+'VVP2'!O355</f>
        <v>282.63650000000001</v>
      </c>
      <c r="P1049" s="756">
        <f>+'VVP2'!P355</f>
        <v>298.71080000000001</v>
      </c>
      <c r="Q1049" s="756">
        <f>+'VVP2'!Q355</f>
        <v>311.48079999999999</v>
      </c>
      <c r="R1049" s="756">
        <f>+'VVP2'!R355</f>
        <v>326.66209999999995</v>
      </c>
      <c r="S1049" s="756">
        <f>+'VVP2'!S355</f>
        <v>344.71249999999998</v>
      </c>
      <c r="T1049" s="756">
        <f>+'VVP2'!T355</f>
        <v>354.0659</v>
      </c>
      <c r="U1049" s="756">
        <f>+'VVP2'!U355</f>
        <v>348.78109999999998</v>
      </c>
      <c r="V1049" s="756">
        <f>+'VVP2'!V355</f>
        <v>365.10050000000001</v>
      </c>
      <c r="W1049" s="756">
        <f>+'VVP2'!W355</f>
        <v>379.10629999999998</v>
      </c>
      <c r="X1049" s="756">
        <f>+'VVP2'!X355</f>
        <v>387.50009999999997</v>
      </c>
      <c r="Y1049" s="2228">
        <f>+'VVP2'!Y355</f>
        <v>392.33979999999997</v>
      </c>
      <c r="Z1049" s="2228">
        <f>+'VVP2'!Z355</f>
        <v>400.28820000000002</v>
      </c>
      <c r="AA1049" s="2228">
        <f>+'VVP2'!AA355</f>
        <v>410.43520000000001</v>
      </c>
      <c r="AB1049" s="2228">
        <f>+'VVP2'!AB355</f>
        <v>423.04840000000002</v>
      </c>
      <c r="AC1049" s="2228">
        <f>+'VVP2'!AC355</f>
        <v>438.4846</v>
      </c>
      <c r="AD1049" s="2228">
        <f ca="1">+'VVP2'!AD355</f>
        <v>453.37297204218987</v>
      </c>
      <c r="AE1049" s="2228">
        <f ca="1">+'VVP2'!AE355</f>
        <v>469.04097271311014</v>
      </c>
      <c r="AF1049" s="749"/>
      <c r="AG1049" s="749"/>
      <c r="AH1049" s="749"/>
      <c r="AI1049" s="749"/>
      <c r="AJ1049" s="749"/>
      <c r="AK1049" s="2228">
        <v>402.27</v>
      </c>
      <c r="AL1049" s="749"/>
      <c r="AM1049" s="2228">
        <f t="shared" si="1322"/>
        <v>-1.9817999999999643</v>
      </c>
      <c r="AN1049" s="749"/>
      <c r="AO1049" s="749"/>
      <c r="AP1049" s="749"/>
      <c r="AQ1049" s="749"/>
      <c r="AR1049" s="749"/>
      <c r="AS1049" s="749"/>
      <c r="AT1049" s="749"/>
    </row>
    <row r="1050" spans="1:46" ht="12.75" customHeight="1">
      <c r="A1050" s="714"/>
      <c r="B1050" s="714"/>
      <c r="C1050" s="831" t="s">
        <v>624</v>
      </c>
      <c r="D1050" s="1276"/>
      <c r="E1050" s="1277" t="s">
        <v>864</v>
      </c>
      <c r="F1050" s="1431"/>
      <c r="G1050" s="1277">
        <f t="shared" ref="G1050:Y1050" ca="1" si="1344">+G1048/G1049</f>
        <v>0.42871388626480661</v>
      </c>
      <c r="H1050" s="1277">
        <f t="shared" si="1344"/>
        <v>0.4339726704899084</v>
      </c>
      <c r="I1050" s="1277">
        <f t="shared" si="1344"/>
        <v>0.43820803500661815</v>
      </c>
      <c r="J1050" s="1277">
        <f t="shared" si="1344"/>
        <v>0.44413995332842049</v>
      </c>
      <c r="K1050" s="1277">
        <f t="shared" si="1344"/>
        <v>0.44240375717573066</v>
      </c>
      <c r="L1050" s="1277">
        <f t="shared" si="1344"/>
        <v>0.43858927589438546</v>
      </c>
      <c r="M1050" s="1277">
        <f t="shared" si="1344"/>
        <v>0.4377139860129336</v>
      </c>
      <c r="N1050" s="1277">
        <f t="shared" si="1344"/>
        <v>0.43920730038089167</v>
      </c>
      <c r="O1050" s="1277">
        <f t="shared" si="1344"/>
        <v>0.43421426461196622</v>
      </c>
      <c r="P1050" s="1277">
        <f t="shared" si="1344"/>
        <v>0.43477771811397514</v>
      </c>
      <c r="Q1050" s="1277">
        <f t="shared" si="1344"/>
        <v>0.43355770243302322</v>
      </c>
      <c r="R1050" s="1277">
        <f t="shared" si="1344"/>
        <v>0.43138674489633183</v>
      </c>
      <c r="S1050" s="1277">
        <f t="shared" si="1344"/>
        <v>0.42884954853682422</v>
      </c>
      <c r="T1050" s="1277">
        <f>+T1048/T1049</f>
        <v>0.43415307715315149</v>
      </c>
      <c r="U1050" s="1277">
        <f>+U1048/U1049</f>
        <v>0.42570569334175512</v>
      </c>
      <c r="V1050" s="1277">
        <f>+V1048/V1049</f>
        <v>0.4292349640715365</v>
      </c>
      <c r="W1050" s="1277">
        <f>+W1048/W1049</f>
        <v>0.43539925345476993</v>
      </c>
      <c r="X1050" s="1277">
        <f>+X1048/X1049</f>
        <v>0.44635782029475612</v>
      </c>
      <c r="Y1050" s="2267">
        <f t="shared" si="1344"/>
        <v>0.45501705409443549</v>
      </c>
      <c r="Z1050" s="2267">
        <f t="shared" ref="Z1050:AD1050" si="1345">+Z1048/Z1049</f>
        <v>0.45345553528682575</v>
      </c>
      <c r="AA1050" s="2267">
        <f t="shared" si="1345"/>
        <v>0.45035537887588584</v>
      </c>
      <c r="AB1050" s="2267">
        <f t="shared" si="1345"/>
        <v>0.44268599053914398</v>
      </c>
      <c r="AC1050" s="2267">
        <f t="shared" si="1345"/>
        <v>0.44724158109543649</v>
      </c>
      <c r="AD1050" s="2267">
        <f t="shared" ca="1" si="1345"/>
        <v>0.44196899902739323</v>
      </c>
      <c r="AE1050" s="2267">
        <f t="shared" ref="AE1050" ca="1" si="1346">+AE1048/AE1049</f>
        <v>0.43994864704361519</v>
      </c>
      <c r="AF1050" s="749"/>
      <c r="AG1050" s="749"/>
      <c r="AH1050" s="749"/>
      <c r="AI1050" s="749"/>
      <c r="AJ1050" s="749"/>
      <c r="AK1050" s="2267">
        <v>0.45065658396010383</v>
      </c>
      <c r="AL1050" s="749"/>
      <c r="AM1050" s="2267">
        <f t="shared" si="1322"/>
        <v>2.7989513267219213E-3</v>
      </c>
      <c r="AN1050" s="749"/>
      <c r="AO1050" s="749"/>
      <c r="AP1050" s="749"/>
      <c r="AQ1050" s="749"/>
      <c r="AR1050" s="749"/>
      <c r="AS1050" s="749"/>
      <c r="AT1050" s="749"/>
    </row>
    <row r="1051" spans="1:46" ht="30" customHeight="1">
      <c r="S1051" s="2162"/>
      <c r="T1051" s="2162"/>
      <c r="U1051" s="2162"/>
      <c r="AF1051" s="749"/>
      <c r="AG1051" s="749"/>
      <c r="AH1051" s="749"/>
      <c r="AI1051" s="749"/>
      <c r="AJ1051" s="749"/>
      <c r="AL1051" s="749"/>
      <c r="AN1051" s="749"/>
      <c r="AO1051" s="749"/>
      <c r="AP1051" s="749"/>
      <c r="AQ1051" s="749"/>
      <c r="AR1051" s="749"/>
      <c r="AS1051" s="749"/>
      <c r="AT1051" s="749"/>
    </row>
    <row r="1052" spans="1:46">
      <c r="A1052" s="1365" t="s">
        <v>830</v>
      </c>
      <c r="S1052" s="2233"/>
      <c r="T1052" s="2233"/>
      <c r="U1052" s="2233"/>
      <c r="V1052" s="2233"/>
      <c r="W1052" s="2233"/>
      <c r="X1052" s="2233"/>
      <c r="Y1052" s="2233"/>
      <c r="Z1052" s="2233"/>
      <c r="AA1052" s="2233"/>
      <c r="AB1052" s="2233"/>
      <c r="AC1052" s="2233"/>
      <c r="AD1052" s="2233"/>
      <c r="AE1052" s="2233"/>
      <c r="AF1052" s="749"/>
      <c r="AG1052" s="749"/>
      <c r="AH1052" s="749"/>
      <c r="AI1052" s="749"/>
      <c r="AJ1052" s="749"/>
      <c r="AK1052" s="2233"/>
      <c r="AL1052" s="749"/>
      <c r="AM1052" s="2233"/>
      <c r="AN1052" s="749"/>
      <c r="AO1052" s="749"/>
      <c r="AP1052" s="749"/>
      <c r="AQ1052" s="749"/>
      <c r="AR1052" s="749"/>
      <c r="AS1052" s="749"/>
      <c r="AT1052" s="749"/>
    </row>
    <row r="1053" spans="1:46" ht="30" customHeight="1">
      <c r="S1053" s="2162"/>
      <c r="T1053" s="2162"/>
      <c r="U1053" s="2234"/>
      <c r="V1053" s="2234"/>
      <c r="W1053" s="2234"/>
      <c r="X1053" s="2234"/>
      <c r="Y1053" s="2234"/>
      <c r="Z1053" s="2234"/>
      <c r="AA1053" s="2234"/>
      <c r="AB1053" s="2234"/>
      <c r="AC1053" s="2234"/>
      <c r="AD1053" s="2234"/>
      <c r="AE1053" s="2234"/>
      <c r="AF1053" s="749"/>
      <c r="AG1053" s="749"/>
      <c r="AH1053" s="749"/>
      <c r="AI1053" s="749"/>
      <c r="AJ1053" s="749"/>
      <c r="AK1053" s="2234"/>
      <c r="AL1053" s="749"/>
      <c r="AM1053" s="2234"/>
      <c r="AN1053" s="749"/>
      <c r="AO1053" s="749"/>
      <c r="AP1053" s="749"/>
      <c r="AQ1053" s="749"/>
      <c r="AR1053" s="749"/>
      <c r="AS1053" s="749"/>
      <c r="AT1053" s="749"/>
    </row>
    <row r="1054" spans="1:46" ht="22.5" customHeight="1">
      <c r="A1054" s="603"/>
      <c r="B1054" s="603"/>
      <c r="C1054" s="4124" t="s">
        <v>867</v>
      </c>
      <c r="D1054" s="4124"/>
      <c r="E1054" s="4124"/>
      <c r="F1054" s="4124"/>
      <c r="S1054" s="2162"/>
      <c r="T1054" s="2162"/>
      <c r="U1054" s="2234"/>
      <c r="V1054" s="2234"/>
      <c r="W1054" s="2234"/>
      <c r="X1054" s="2234"/>
      <c r="Y1054" s="2234"/>
      <c r="Z1054" s="2234"/>
      <c r="AA1054" s="2234"/>
      <c r="AB1054" s="2234"/>
      <c r="AC1054" s="2234"/>
      <c r="AD1054" s="2234"/>
      <c r="AE1054" s="2234"/>
      <c r="AF1054" s="749"/>
      <c r="AG1054" s="749"/>
      <c r="AH1054" s="749"/>
      <c r="AI1054" s="749"/>
      <c r="AJ1054" s="749"/>
      <c r="AK1054" s="2234"/>
      <c r="AL1054" s="749"/>
      <c r="AM1054" s="2234"/>
      <c r="AN1054" s="749"/>
      <c r="AO1054" s="749"/>
      <c r="AP1054" s="749"/>
      <c r="AQ1054" s="749"/>
      <c r="AR1054" s="749"/>
      <c r="AS1054" s="749"/>
      <c r="AT1054" s="749"/>
    </row>
    <row r="1055" spans="1:46">
      <c r="S1055" s="2949"/>
      <c r="T1055" s="2949"/>
      <c r="U1055" s="2234"/>
      <c r="V1055" s="2234"/>
      <c r="W1055" s="2234"/>
      <c r="X1055" s="2234"/>
      <c r="Y1055" s="2234"/>
      <c r="Z1055" s="2234"/>
      <c r="AA1055" s="2234"/>
      <c r="AB1055" s="2234"/>
      <c r="AC1055" s="2234"/>
      <c r="AD1055" s="2234"/>
      <c r="AE1055" s="2234"/>
      <c r="AF1055" s="749"/>
      <c r="AG1055" s="749"/>
      <c r="AH1055" s="749"/>
      <c r="AI1055" s="749"/>
      <c r="AJ1055" s="749"/>
      <c r="AK1055" s="2234"/>
      <c r="AL1055" s="749"/>
      <c r="AM1055" s="2234"/>
      <c r="AN1055" s="749"/>
      <c r="AO1055" s="749"/>
      <c r="AP1055" s="749"/>
      <c r="AQ1055" s="749"/>
      <c r="AR1055" s="749"/>
      <c r="AS1055" s="749"/>
      <c r="AT1055" s="749"/>
    </row>
    <row r="1056" spans="1:46" ht="12.75" customHeight="1">
      <c r="A1056" s="714"/>
      <c r="B1056" s="714"/>
      <c r="C1056" s="822"/>
      <c r="D1056" s="823"/>
      <c r="E1056" s="824" t="s">
        <v>1803</v>
      </c>
      <c r="F1056" s="825"/>
      <c r="G1056" s="826">
        <f>+InputY!$G$3</f>
        <v>1995</v>
      </c>
      <c r="H1056" s="826">
        <f>+G1056+1</f>
        <v>1996</v>
      </c>
      <c r="I1056" s="826">
        <f t="shared" ref="I1056:O1056" si="1347">+H1056+1</f>
        <v>1997</v>
      </c>
      <c r="J1056" s="826">
        <f t="shared" si="1347"/>
        <v>1998</v>
      </c>
      <c r="K1056" s="826">
        <f t="shared" si="1347"/>
        <v>1999</v>
      </c>
      <c r="L1056" s="826">
        <f t="shared" si="1347"/>
        <v>2000</v>
      </c>
      <c r="M1056" s="826">
        <f t="shared" si="1347"/>
        <v>2001</v>
      </c>
      <c r="N1056" s="826">
        <f t="shared" si="1347"/>
        <v>2002</v>
      </c>
      <c r="O1056" s="826">
        <f t="shared" si="1347"/>
        <v>2003</v>
      </c>
      <c r="P1056" s="826">
        <f t="shared" ref="P1056:U1056" si="1348">+O1056+1</f>
        <v>2004</v>
      </c>
      <c r="Q1056" s="826">
        <f t="shared" si="1348"/>
        <v>2005</v>
      </c>
      <c r="R1056" s="826">
        <f t="shared" si="1348"/>
        <v>2006</v>
      </c>
      <c r="S1056" s="826">
        <f t="shared" si="1348"/>
        <v>2007</v>
      </c>
      <c r="T1056" s="826">
        <f t="shared" si="1348"/>
        <v>2008</v>
      </c>
      <c r="U1056" s="826">
        <f t="shared" si="1348"/>
        <v>2009</v>
      </c>
      <c r="V1056" s="826">
        <f t="shared" ref="V1056:AE1056" si="1349">+U1056+1</f>
        <v>2010</v>
      </c>
      <c r="W1056" s="826">
        <f t="shared" si="1349"/>
        <v>2011</v>
      </c>
      <c r="X1056" s="826">
        <f t="shared" si="1349"/>
        <v>2012</v>
      </c>
      <c r="Y1056" s="826">
        <f t="shared" si="1349"/>
        <v>2013</v>
      </c>
      <c r="Z1056" s="826">
        <f t="shared" si="1349"/>
        <v>2014</v>
      </c>
      <c r="AA1056" s="826">
        <f t="shared" si="1349"/>
        <v>2015</v>
      </c>
      <c r="AB1056" s="826">
        <f t="shared" si="1349"/>
        <v>2016</v>
      </c>
      <c r="AC1056" s="826">
        <f t="shared" si="1349"/>
        <v>2017</v>
      </c>
      <c r="AD1056" s="826">
        <f t="shared" si="1349"/>
        <v>2018</v>
      </c>
      <c r="AE1056" s="826">
        <f t="shared" si="1349"/>
        <v>2019</v>
      </c>
      <c r="AF1056" s="749"/>
      <c r="AG1056" s="749"/>
      <c r="AH1056" s="749"/>
      <c r="AI1056" s="749"/>
      <c r="AJ1056" s="749"/>
      <c r="AK1056" s="826">
        <v>2014</v>
      </c>
      <c r="AL1056" s="749"/>
      <c r="AM1056" s="826"/>
      <c r="AN1056" s="749"/>
      <c r="AO1056" s="749"/>
      <c r="AP1056" s="749"/>
      <c r="AQ1056" s="749"/>
      <c r="AR1056" s="749"/>
      <c r="AS1056" s="749"/>
      <c r="AT1056" s="749"/>
    </row>
    <row r="1057" spans="1:46" ht="12.75" customHeight="1">
      <c r="A1057" s="714"/>
      <c r="B1057" s="714"/>
      <c r="C1057" s="827" t="s">
        <v>622</v>
      </c>
      <c r="D1057" s="718" t="s">
        <v>589</v>
      </c>
      <c r="E1057" s="750" t="str">
        <f t="shared" ref="E1057:AD1057" si="1350">+E474</f>
        <v>Social contributions (D.61r)</v>
      </c>
      <c r="F1057" s="1059" t="str">
        <f t="shared" si="1350"/>
        <v>YHTSoc(1)</v>
      </c>
      <c r="G1057" s="1061">
        <f t="shared" ca="1" si="1350"/>
        <v>0.1024</v>
      </c>
      <c r="H1057" s="1061">
        <f t="shared" si="1350"/>
        <v>0.1056</v>
      </c>
      <c r="I1057" s="1061">
        <f t="shared" si="1350"/>
        <v>0.1067</v>
      </c>
      <c r="J1057" s="1061">
        <f t="shared" si="1350"/>
        <v>0.108</v>
      </c>
      <c r="K1057" s="1061">
        <f t="shared" si="1350"/>
        <v>0.1135</v>
      </c>
      <c r="L1057" s="1061">
        <f t="shared" si="1350"/>
        <v>0.11940000000000001</v>
      </c>
      <c r="M1057" s="1061">
        <f t="shared" si="1350"/>
        <v>0.12520000000000001</v>
      </c>
      <c r="N1057" s="1061">
        <f t="shared" si="1350"/>
        <v>0.13219999999999998</v>
      </c>
      <c r="O1057" s="1061">
        <f t="shared" si="1350"/>
        <v>0.13200000000000001</v>
      </c>
      <c r="P1057" s="1061">
        <f t="shared" si="1350"/>
        <v>0.1361</v>
      </c>
      <c r="Q1057" s="1061">
        <f t="shared" si="1350"/>
        <v>0.14630000000000001</v>
      </c>
      <c r="R1057" s="1061">
        <f t="shared" si="1350"/>
        <v>0.15609999999999999</v>
      </c>
      <c r="S1057" s="1061">
        <f t="shared" si="1350"/>
        <v>0.16059999999999999</v>
      </c>
      <c r="T1057" s="1061">
        <f t="shared" si="1350"/>
        <v>0.1709</v>
      </c>
      <c r="U1057" s="1061">
        <f t="shared" si="1350"/>
        <v>0.13469999999999999</v>
      </c>
      <c r="V1057" s="1061">
        <f t="shared" si="1350"/>
        <v>0.1348</v>
      </c>
      <c r="W1057" s="1061">
        <f t="shared" si="1350"/>
        <v>0.1411</v>
      </c>
      <c r="X1057" s="1061">
        <f t="shared" si="1350"/>
        <v>0.14230000000000001</v>
      </c>
      <c r="Y1057" s="1061">
        <f t="shared" si="1350"/>
        <v>0.1492</v>
      </c>
      <c r="Z1057" s="1061">
        <f t="shared" si="1350"/>
        <v>0.14809999999999998</v>
      </c>
      <c r="AA1057" s="1061">
        <f t="shared" si="1350"/>
        <v>0.1416</v>
      </c>
      <c r="AB1057" s="1061">
        <f t="shared" si="1350"/>
        <v>0.13669999999999999</v>
      </c>
      <c r="AC1057" s="1061">
        <f t="shared" si="1350"/>
        <v>0.13898288999999997</v>
      </c>
      <c r="AD1057" s="1061">
        <f t="shared" si="1350"/>
        <v>0.14355542708099997</v>
      </c>
      <c r="AE1057" s="1061">
        <f t="shared" ref="AE1057" si="1351">+AE474</f>
        <v>0.14852244485800256</v>
      </c>
      <c r="AF1057" s="749"/>
      <c r="AG1057" s="749"/>
      <c r="AH1057" s="749"/>
      <c r="AI1057" s="749"/>
      <c r="AJ1057" s="749"/>
      <c r="AK1057" s="1061">
        <v>0.19911025980954072</v>
      </c>
      <c r="AL1057" s="749"/>
      <c r="AM1057" s="1061"/>
      <c r="AN1057" s="749"/>
      <c r="AO1057" s="749"/>
      <c r="AP1057" s="749"/>
      <c r="AQ1057" s="749"/>
      <c r="AR1057" s="749"/>
      <c r="AS1057" s="749"/>
      <c r="AT1057" s="749"/>
    </row>
    <row r="1058" spans="1:46" ht="12.75" customHeight="1">
      <c r="A1058" s="714"/>
      <c r="B1058" s="714"/>
      <c r="C1058" s="829" t="s">
        <v>622</v>
      </c>
      <c r="D1058" s="724" t="s">
        <v>589</v>
      </c>
      <c r="E1058" s="830" t="str">
        <f t="shared" ref="E1058:AD1058" si="1352">+E522</f>
        <v>Social benefits (D.62r)</v>
      </c>
      <c r="F1058" s="1060" t="str">
        <f t="shared" si="1352"/>
        <v>YHTSoc(2)</v>
      </c>
      <c r="G1058" s="1062">
        <f t="shared" ca="1" si="1352"/>
        <v>39.646599999999999</v>
      </c>
      <c r="H1058" s="1062">
        <f t="shared" si="1352"/>
        <v>40.5916</v>
      </c>
      <c r="I1058" s="1062">
        <f t="shared" si="1352"/>
        <v>42.070699999999995</v>
      </c>
      <c r="J1058" s="1062">
        <f t="shared" si="1352"/>
        <v>43.272800000000004</v>
      </c>
      <c r="K1058" s="1062">
        <f t="shared" si="1352"/>
        <v>44.191400000000002</v>
      </c>
      <c r="L1058" s="1062">
        <f t="shared" si="1352"/>
        <v>45.476300000000002</v>
      </c>
      <c r="M1058" s="1062">
        <f t="shared" si="1352"/>
        <v>47.719900000000003</v>
      </c>
      <c r="N1058" s="1062">
        <f t="shared" si="1352"/>
        <v>50.7301</v>
      </c>
      <c r="O1058" s="1062">
        <f t="shared" si="1352"/>
        <v>52.842699999999994</v>
      </c>
      <c r="P1058" s="1062">
        <f t="shared" si="1352"/>
        <v>54.690599999999996</v>
      </c>
      <c r="Q1058" s="1062">
        <f t="shared" si="1352"/>
        <v>56.387999999999998</v>
      </c>
      <c r="R1058" s="1062">
        <f t="shared" si="1352"/>
        <v>58.363599999999998</v>
      </c>
      <c r="S1058" s="1062">
        <f t="shared" si="1352"/>
        <v>61.0137</v>
      </c>
      <c r="T1058" s="1062">
        <f t="shared" si="1352"/>
        <v>64.282699999999991</v>
      </c>
      <c r="U1058" s="1062">
        <f t="shared" si="1352"/>
        <v>68.967199999999991</v>
      </c>
      <c r="V1058" s="1062">
        <f t="shared" si="1352"/>
        <v>69.971899999999991</v>
      </c>
      <c r="W1058" s="1062">
        <f t="shared" si="1352"/>
        <v>72.380399999999995</v>
      </c>
      <c r="X1058" s="1062">
        <f t="shared" si="1352"/>
        <v>76.219700000000003</v>
      </c>
      <c r="Y1058" s="1062">
        <f t="shared" si="1352"/>
        <v>79.155699999999996</v>
      </c>
      <c r="Z1058" s="1062">
        <f t="shared" si="1352"/>
        <v>80.077100000000002</v>
      </c>
      <c r="AA1058" s="1062">
        <f t="shared" si="1352"/>
        <v>81.846600000000009</v>
      </c>
      <c r="AB1058" s="1062">
        <f t="shared" si="1352"/>
        <v>83.7654</v>
      </c>
      <c r="AC1058" s="1062">
        <f t="shared" si="1352"/>
        <v>86.500454959999985</v>
      </c>
      <c r="AD1058" s="1062">
        <f t="shared" si="1352"/>
        <v>89.012178342327999</v>
      </c>
      <c r="AE1058" s="1062">
        <f t="shared" ref="AE1058" si="1353">+AE522</f>
        <v>92.703542402471541</v>
      </c>
      <c r="AF1058" s="749"/>
      <c r="AG1058" s="749"/>
      <c r="AH1058" s="749"/>
      <c r="AI1058" s="749"/>
      <c r="AJ1058" s="749"/>
      <c r="AK1058" s="1062">
        <v>80.646880627351337</v>
      </c>
      <c r="AL1058" s="749"/>
      <c r="AM1058" s="1062"/>
      <c r="AN1058" s="749"/>
      <c r="AO1058" s="749"/>
      <c r="AP1058" s="749"/>
      <c r="AQ1058" s="749"/>
      <c r="AR1058" s="749"/>
      <c r="AS1058" s="749"/>
      <c r="AT1058" s="749"/>
    </row>
    <row r="1059" spans="1:46" ht="12.75" customHeight="1">
      <c r="A1059" s="714"/>
      <c r="B1059" s="714"/>
      <c r="C1059" s="829" t="s">
        <v>622</v>
      </c>
      <c r="D1059" s="724" t="s">
        <v>589</v>
      </c>
      <c r="E1059" s="830" t="str">
        <f t="shared" ref="E1059:AD1059" si="1354">+E589</f>
        <v>Other current transfers (D.7r)</v>
      </c>
      <c r="F1059" s="1060" t="str">
        <f t="shared" si="1354"/>
        <v>YHTO</v>
      </c>
      <c r="G1059" s="1062">
        <f t="shared" ca="1" si="1354"/>
        <v>6.4878999999999998</v>
      </c>
      <c r="H1059" s="1062">
        <f t="shared" si="1354"/>
        <v>6.6266000000000007</v>
      </c>
      <c r="I1059" s="1062">
        <f t="shared" si="1354"/>
        <v>6.8475000000000001</v>
      </c>
      <c r="J1059" s="1062">
        <f t="shared" si="1354"/>
        <v>7.0491999999999999</v>
      </c>
      <c r="K1059" s="1062">
        <f t="shared" si="1354"/>
        <v>7.0804999999999998</v>
      </c>
      <c r="L1059" s="1062">
        <f t="shared" si="1354"/>
        <v>7.3998999999999997</v>
      </c>
      <c r="M1059" s="1062">
        <f t="shared" si="1354"/>
        <v>8.0670999999999999</v>
      </c>
      <c r="N1059" s="1062">
        <f t="shared" si="1354"/>
        <v>7.7969999999999997</v>
      </c>
      <c r="O1059" s="1062">
        <f t="shared" si="1354"/>
        <v>7.9718999999999998</v>
      </c>
      <c r="P1059" s="1062">
        <f t="shared" si="1354"/>
        <v>8.3895999999999997</v>
      </c>
      <c r="Q1059" s="1062">
        <f t="shared" si="1354"/>
        <v>9.6702999999999992</v>
      </c>
      <c r="R1059" s="1062">
        <f t="shared" si="1354"/>
        <v>9.1707000000000001</v>
      </c>
      <c r="S1059" s="1062">
        <f t="shared" si="1354"/>
        <v>8.3891000000000009</v>
      </c>
      <c r="T1059" s="1062">
        <f t="shared" si="1354"/>
        <v>9.1127000000000002</v>
      </c>
      <c r="U1059" s="1062">
        <f t="shared" si="1354"/>
        <v>10.7826</v>
      </c>
      <c r="V1059" s="1062">
        <f t="shared" si="1354"/>
        <v>10.680399999999999</v>
      </c>
      <c r="W1059" s="1062">
        <f t="shared" si="1354"/>
        <v>10.790100000000001</v>
      </c>
      <c r="X1059" s="1062">
        <f t="shared" si="1354"/>
        <v>11.275</v>
      </c>
      <c r="Y1059" s="1062">
        <f t="shared" si="1354"/>
        <v>11.3376</v>
      </c>
      <c r="Z1059" s="1062">
        <f t="shared" si="1354"/>
        <v>11.893700000000001</v>
      </c>
      <c r="AA1059" s="1062">
        <f t="shared" si="1354"/>
        <v>11.6701</v>
      </c>
      <c r="AB1059" s="1062">
        <f t="shared" si="1354"/>
        <v>11.9595</v>
      </c>
      <c r="AC1059" s="1062">
        <f t="shared" si="1354"/>
        <v>12.43788</v>
      </c>
      <c r="AD1059" s="1062">
        <f t="shared" si="1354"/>
        <v>12.876937163999999</v>
      </c>
      <c r="AE1059" s="1062">
        <f t="shared" ref="AE1059" si="1355">+AE589</f>
        <v>13.404891587723998</v>
      </c>
      <c r="AF1059" s="749"/>
      <c r="AG1059" s="749"/>
      <c r="AH1059" s="749"/>
      <c r="AI1059" s="749"/>
      <c r="AJ1059" s="749"/>
      <c r="AK1059" s="1062">
        <v>11.035059000000002</v>
      </c>
      <c r="AL1059" s="749"/>
      <c r="AM1059" s="1062"/>
      <c r="AN1059" s="749"/>
      <c r="AO1059" s="749"/>
      <c r="AP1059" s="749"/>
      <c r="AQ1059" s="749"/>
      <c r="AR1059" s="749"/>
      <c r="AS1059" s="749"/>
      <c r="AT1059" s="749"/>
    </row>
    <row r="1060" spans="1:46" ht="12.75" customHeight="1">
      <c r="A1060" s="714"/>
      <c r="B1060" s="714">
        <v>91</v>
      </c>
      <c r="C1060" s="831" t="s">
        <v>624</v>
      </c>
      <c r="D1060" s="800" t="s">
        <v>589</v>
      </c>
      <c r="E1060" s="801" t="s">
        <v>1822</v>
      </c>
      <c r="F1060" s="802" t="s">
        <v>1917</v>
      </c>
      <c r="G1060" s="832">
        <f t="shared" ref="G1060:Q1060" ca="1" si="1356">+G1057+G1058+G1059</f>
        <v>46.236900000000006</v>
      </c>
      <c r="H1060" s="832">
        <f t="shared" si="1356"/>
        <v>47.323800000000006</v>
      </c>
      <c r="I1060" s="832">
        <f t="shared" si="1356"/>
        <v>49.024899999999988</v>
      </c>
      <c r="J1060" s="832">
        <f t="shared" si="1356"/>
        <v>50.43</v>
      </c>
      <c r="K1060" s="832">
        <f t="shared" si="1356"/>
        <v>51.385400000000004</v>
      </c>
      <c r="L1060" s="832">
        <f t="shared" si="1356"/>
        <v>52.995600000000003</v>
      </c>
      <c r="M1060" s="832">
        <f t="shared" si="1356"/>
        <v>55.912199999999999</v>
      </c>
      <c r="N1060" s="832">
        <f t="shared" si="1356"/>
        <v>58.659299999999995</v>
      </c>
      <c r="O1060" s="832">
        <f t="shared" si="1356"/>
        <v>60.946599999999989</v>
      </c>
      <c r="P1060" s="832">
        <f t="shared" si="1356"/>
        <v>63.216299999999997</v>
      </c>
      <c r="Q1060" s="832">
        <f t="shared" si="1356"/>
        <v>66.204599999999999</v>
      </c>
      <c r="R1060" s="832">
        <f t="shared" ref="R1060:Y1060" si="1357">+R1057+R1058+R1059</f>
        <v>67.690399999999997</v>
      </c>
      <c r="S1060" s="832">
        <f t="shared" si="1357"/>
        <v>69.563400000000001</v>
      </c>
      <c r="T1060" s="832">
        <f t="shared" si="1357"/>
        <v>73.566299999999998</v>
      </c>
      <c r="U1060" s="832">
        <f t="shared" si="1357"/>
        <v>79.884499999999989</v>
      </c>
      <c r="V1060" s="832">
        <f t="shared" si="1357"/>
        <v>80.787099999999981</v>
      </c>
      <c r="W1060" s="832">
        <f t="shared" si="1357"/>
        <v>83.311599999999984</v>
      </c>
      <c r="X1060" s="832">
        <f t="shared" si="1357"/>
        <v>87.637000000000015</v>
      </c>
      <c r="Y1060" s="832">
        <f t="shared" si="1357"/>
        <v>90.642499999999984</v>
      </c>
      <c r="Z1060" s="832">
        <f t="shared" ref="Z1060:AD1060" si="1358">+Z1057+Z1058+Z1059</f>
        <v>92.118899999999996</v>
      </c>
      <c r="AA1060" s="832">
        <f t="shared" si="1358"/>
        <v>93.658300000000011</v>
      </c>
      <c r="AB1060" s="832">
        <f t="shared" si="1358"/>
        <v>95.86160000000001</v>
      </c>
      <c r="AC1060" s="832">
        <f t="shared" si="1358"/>
        <v>99.077317849999986</v>
      </c>
      <c r="AD1060" s="832">
        <f t="shared" si="1358"/>
        <v>102.03267093340899</v>
      </c>
      <c r="AE1060" s="832">
        <f t="shared" ref="AE1060" si="1359">+AE1057+AE1058+AE1059</f>
        <v>106.25695643505354</v>
      </c>
      <c r="AF1060" s="749"/>
      <c r="AG1060" s="749"/>
      <c r="AH1060" s="749"/>
      <c r="AI1060" s="749"/>
      <c r="AJ1060" s="749"/>
      <c r="AK1060" s="832">
        <v>91.881049887160884</v>
      </c>
      <c r="AL1060" s="749"/>
      <c r="AM1060" s="832"/>
      <c r="AN1060" s="749"/>
      <c r="AO1060" s="749"/>
      <c r="AP1060" s="749"/>
      <c r="AQ1060" s="749"/>
      <c r="AR1060" s="749"/>
      <c r="AS1060" s="749"/>
      <c r="AT1060" s="749"/>
    </row>
    <row r="1061" spans="1:46">
      <c r="G1061" s="753"/>
      <c r="H1061" s="753"/>
      <c r="I1061" s="753"/>
      <c r="J1061" s="753"/>
      <c r="K1061" s="753"/>
      <c r="L1061" s="753"/>
      <c r="M1061" s="753"/>
      <c r="N1061" s="753"/>
      <c r="O1061" s="753"/>
      <c r="P1061" s="753"/>
      <c r="Q1061" s="753"/>
      <c r="R1061" s="753"/>
      <c r="S1061" s="753"/>
      <c r="T1061" s="753"/>
      <c r="U1061" s="753"/>
      <c r="V1061" s="753"/>
      <c r="W1061" s="753"/>
      <c r="X1061" s="753"/>
      <c r="Y1061" s="753"/>
      <c r="Z1061" s="753"/>
      <c r="AA1061" s="753"/>
      <c r="AB1061" s="753"/>
      <c r="AC1061" s="753"/>
      <c r="AD1061" s="753"/>
      <c r="AE1061" s="753"/>
      <c r="AF1061" s="749"/>
      <c r="AG1061" s="749"/>
      <c r="AH1061" s="749"/>
      <c r="AI1061" s="749"/>
      <c r="AJ1061" s="749"/>
      <c r="AK1061" s="753"/>
      <c r="AL1061" s="749"/>
      <c r="AM1061" s="753"/>
      <c r="AN1061" s="749"/>
      <c r="AO1061" s="749"/>
      <c r="AP1061" s="749"/>
      <c r="AQ1061" s="749"/>
      <c r="AR1061" s="749"/>
      <c r="AS1061" s="749"/>
      <c r="AT1061" s="749"/>
    </row>
    <row r="1062" spans="1:46" ht="12.75" customHeight="1">
      <c r="A1062" s="714"/>
      <c r="B1062" s="714"/>
      <c r="C1062" s="822"/>
      <c r="D1062" s="823"/>
      <c r="E1062" s="824" t="s">
        <v>1803</v>
      </c>
      <c r="F1062" s="825"/>
      <c r="G1062" s="826">
        <f>+InputY!$G$3</f>
        <v>1995</v>
      </c>
      <c r="H1062" s="826">
        <f>+G1062+1</f>
        <v>1996</v>
      </c>
      <c r="I1062" s="826">
        <f t="shared" ref="I1062:O1062" si="1360">+H1062+1</f>
        <v>1997</v>
      </c>
      <c r="J1062" s="826">
        <f t="shared" si="1360"/>
        <v>1998</v>
      </c>
      <c r="K1062" s="826">
        <f t="shared" si="1360"/>
        <v>1999</v>
      </c>
      <c r="L1062" s="826">
        <f t="shared" si="1360"/>
        <v>2000</v>
      </c>
      <c r="M1062" s="826">
        <f t="shared" si="1360"/>
        <v>2001</v>
      </c>
      <c r="N1062" s="826">
        <f t="shared" si="1360"/>
        <v>2002</v>
      </c>
      <c r="O1062" s="826">
        <f t="shared" si="1360"/>
        <v>2003</v>
      </c>
      <c r="P1062" s="826">
        <f t="shared" ref="P1062:U1062" si="1361">+O1062+1</f>
        <v>2004</v>
      </c>
      <c r="Q1062" s="826">
        <f t="shared" si="1361"/>
        <v>2005</v>
      </c>
      <c r="R1062" s="826">
        <f t="shared" si="1361"/>
        <v>2006</v>
      </c>
      <c r="S1062" s="2878">
        <f t="shared" si="1361"/>
        <v>2007</v>
      </c>
      <c r="T1062" s="2878">
        <f t="shared" si="1361"/>
        <v>2008</v>
      </c>
      <c r="U1062" s="2878">
        <f t="shared" si="1361"/>
        <v>2009</v>
      </c>
      <c r="V1062" s="2878">
        <f t="shared" ref="V1062:AE1062" si="1362">+U1062+1</f>
        <v>2010</v>
      </c>
      <c r="W1062" s="2878">
        <f t="shared" si="1362"/>
        <v>2011</v>
      </c>
      <c r="X1062" s="2878">
        <f t="shared" si="1362"/>
        <v>2012</v>
      </c>
      <c r="Y1062" s="2878">
        <f t="shared" si="1362"/>
        <v>2013</v>
      </c>
      <c r="Z1062" s="2878">
        <f t="shared" si="1362"/>
        <v>2014</v>
      </c>
      <c r="AA1062" s="2878">
        <f t="shared" si="1362"/>
        <v>2015</v>
      </c>
      <c r="AB1062" s="2878">
        <f t="shared" si="1362"/>
        <v>2016</v>
      </c>
      <c r="AC1062" s="2878">
        <f t="shared" si="1362"/>
        <v>2017</v>
      </c>
      <c r="AD1062" s="2878">
        <f t="shared" si="1362"/>
        <v>2018</v>
      </c>
      <c r="AE1062" s="2878">
        <f t="shared" si="1362"/>
        <v>2019</v>
      </c>
      <c r="AF1062" s="749"/>
      <c r="AG1062" s="749"/>
      <c r="AH1062" s="749"/>
      <c r="AI1062" s="749"/>
      <c r="AJ1062" s="749"/>
      <c r="AK1062" s="2878">
        <v>2014</v>
      </c>
      <c r="AL1062" s="749"/>
      <c r="AM1062" s="2878"/>
      <c r="AN1062" s="749"/>
      <c r="AO1062" s="749"/>
      <c r="AP1062" s="749"/>
      <c r="AQ1062" s="749"/>
      <c r="AR1062" s="749"/>
      <c r="AS1062" s="749"/>
      <c r="AT1062" s="749"/>
    </row>
    <row r="1063" spans="1:46" ht="12.75" customHeight="1">
      <c r="A1063" s="714"/>
      <c r="B1063" s="714"/>
      <c r="C1063" s="827" t="s">
        <v>622</v>
      </c>
      <c r="D1063" s="718" t="s">
        <v>589</v>
      </c>
      <c r="E1063" s="750" t="str">
        <f t="shared" ref="E1063:AD1063" si="1363">+E477</f>
        <v>Social contributions (D.61p)</v>
      </c>
      <c r="F1063" s="1059" t="str">
        <f t="shared" si="1363"/>
        <v>$HTaxSoc(1)</v>
      </c>
      <c r="G1063" s="828">
        <f t="shared" ca="1" si="1363"/>
        <v>41.467800000000004</v>
      </c>
      <c r="H1063" s="828">
        <f t="shared" si="1363"/>
        <v>42.683599999999998</v>
      </c>
      <c r="I1063" s="828">
        <f t="shared" si="1363"/>
        <v>44.672599999999996</v>
      </c>
      <c r="J1063" s="828">
        <f t="shared" si="1363"/>
        <v>46.648800000000001</v>
      </c>
      <c r="K1063" s="828">
        <f t="shared" si="1363"/>
        <v>48.338099999999997</v>
      </c>
      <c r="L1063" s="828">
        <f t="shared" si="1363"/>
        <v>49.790900000000001</v>
      </c>
      <c r="M1063" s="828">
        <f t="shared" si="1363"/>
        <v>52.274900000000002</v>
      </c>
      <c r="N1063" s="828">
        <f t="shared" si="1363"/>
        <v>55.089700000000001</v>
      </c>
      <c r="O1063" s="828">
        <f t="shared" si="1363"/>
        <v>56.517800000000001</v>
      </c>
      <c r="P1063" s="828">
        <f t="shared" si="1363"/>
        <v>58.253099999999996</v>
      </c>
      <c r="Q1063" s="828">
        <f t="shared" si="1363"/>
        <v>59.6661</v>
      </c>
      <c r="R1063" s="828">
        <f t="shared" si="1363"/>
        <v>62.370899999999999</v>
      </c>
      <c r="S1063" s="828">
        <f t="shared" si="1363"/>
        <v>66.6661</v>
      </c>
      <c r="T1063" s="828">
        <f t="shared" si="1363"/>
        <v>70.238199999999992</v>
      </c>
      <c r="U1063" s="828">
        <f t="shared" si="1363"/>
        <v>72.279800000000009</v>
      </c>
      <c r="V1063" s="828">
        <f t="shared" si="1363"/>
        <v>73.893299999999996</v>
      </c>
      <c r="W1063" s="828">
        <f t="shared" si="1363"/>
        <v>76.480800000000002</v>
      </c>
      <c r="X1063" s="828">
        <f t="shared" si="1363"/>
        <v>79.7042</v>
      </c>
      <c r="Y1063" s="828">
        <f t="shared" si="1363"/>
        <v>81.562899999999999</v>
      </c>
      <c r="Z1063" s="828">
        <f t="shared" si="1363"/>
        <v>82.261800000000008</v>
      </c>
      <c r="AA1063" s="828">
        <f t="shared" si="1363"/>
        <v>83.798600000000008</v>
      </c>
      <c r="AB1063" s="828">
        <f t="shared" si="1363"/>
        <v>83.183800000000005</v>
      </c>
      <c r="AC1063" s="828">
        <f t="shared" si="1363"/>
        <v>85.34728471999999</v>
      </c>
      <c r="AD1063" s="828">
        <f t="shared" si="1363"/>
        <v>87.802911947287981</v>
      </c>
      <c r="AE1063" s="828">
        <f t="shared" ref="AE1063" si="1364">+AE477</f>
        <v>90.513598569760163</v>
      </c>
      <c r="AF1063" s="749"/>
      <c r="AG1063" s="749"/>
      <c r="AH1063" s="749"/>
      <c r="AI1063" s="749"/>
      <c r="AJ1063" s="749"/>
      <c r="AK1063" s="828">
        <v>81.925670908119145</v>
      </c>
      <c r="AL1063" s="749"/>
      <c r="AM1063" s="828"/>
      <c r="AN1063" s="749"/>
      <c r="AO1063" s="749"/>
      <c r="AP1063" s="749"/>
      <c r="AQ1063" s="749"/>
      <c r="AR1063" s="749"/>
      <c r="AS1063" s="749"/>
      <c r="AT1063" s="749"/>
    </row>
    <row r="1064" spans="1:46" ht="12.75" customHeight="1">
      <c r="A1064" s="714"/>
      <c r="B1064" s="714"/>
      <c r="C1064" s="829" t="s">
        <v>622</v>
      </c>
      <c r="D1064" s="724" t="s">
        <v>589</v>
      </c>
      <c r="E1064" s="830" t="str">
        <f t="shared" ref="E1064:AD1064" si="1365">+E518</f>
        <v>Social benefits (D.62p)</v>
      </c>
      <c r="F1064" s="1060" t="str">
        <f t="shared" si="1365"/>
        <v>$HTaxSoc(2)</v>
      </c>
      <c r="G1064" s="756">
        <f t="shared" ca="1" si="1365"/>
        <v>0.1024</v>
      </c>
      <c r="H1064" s="756">
        <f t="shared" si="1365"/>
        <v>0.1056</v>
      </c>
      <c r="I1064" s="756">
        <f t="shared" si="1365"/>
        <v>0.1067</v>
      </c>
      <c r="J1064" s="756">
        <f t="shared" si="1365"/>
        <v>0.108</v>
      </c>
      <c r="K1064" s="756">
        <f t="shared" si="1365"/>
        <v>0.1135</v>
      </c>
      <c r="L1064" s="756">
        <f t="shared" si="1365"/>
        <v>0.11940000000000001</v>
      </c>
      <c r="M1064" s="756">
        <f t="shared" si="1365"/>
        <v>0.12520000000000001</v>
      </c>
      <c r="N1064" s="756">
        <f t="shared" si="1365"/>
        <v>0.13219999999999998</v>
      </c>
      <c r="O1064" s="756">
        <f t="shared" si="1365"/>
        <v>0.13200000000000001</v>
      </c>
      <c r="P1064" s="756">
        <f t="shared" si="1365"/>
        <v>0.1361</v>
      </c>
      <c r="Q1064" s="756">
        <f t="shared" si="1365"/>
        <v>0.14630000000000001</v>
      </c>
      <c r="R1064" s="756">
        <f t="shared" si="1365"/>
        <v>0.15609999999999999</v>
      </c>
      <c r="S1064" s="756">
        <f t="shared" si="1365"/>
        <v>0.16059999999999999</v>
      </c>
      <c r="T1064" s="756">
        <f t="shared" si="1365"/>
        <v>0.1709</v>
      </c>
      <c r="U1064" s="756">
        <f t="shared" si="1365"/>
        <v>0.13469999999999999</v>
      </c>
      <c r="V1064" s="756">
        <f t="shared" si="1365"/>
        <v>0.1348</v>
      </c>
      <c r="W1064" s="756">
        <f t="shared" si="1365"/>
        <v>0.1411</v>
      </c>
      <c r="X1064" s="756">
        <f t="shared" si="1365"/>
        <v>0.14230000000000001</v>
      </c>
      <c r="Y1064" s="756">
        <f t="shared" si="1365"/>
        <v>0.1492</v>
      </c>
      <c r="Z1064" s="756">
        <f t="shared" si="1365"/>
        <v>0.14809999999999998</v>
      </c>
      <c r="AA1064" s="756">
        <f t="shared" si="1365"/>
        <v>0.1416</v>
      </c>
      <c r="AB1064" s="756">
        <f t="shared" si="1365"/>
        <v>0.13669999999999999</v>
      </c>
      <c r="AC1064" s="756">
        <f t="shared" si="1365"/>
        <v>0.14074632000000001</v>
      </c>
      <c r="AD1064" s="756">
        <f t="shared" si="1365"/>
        <v>0.14487018717600003</v>
      </c>
      <c r="AE1064" s="756">
        <f t="shared" ref="AE1064" si="1366">+AE518</f>
        <v>0.15094024801867445</v>
      </c>
      <c r="AF1064" s="749"/>
      <c r="AG1064" s="749"/>
      <c r="AH1064" s="749"/>
      <c r="AI1064" s="749"/>
      <c r="AJ1064" s="749"/>
      <c r="AK1064" s="756">
        <v>0.20413197560498775</v>
      </c>
      <c r="AL1064" s="749"/>
      <c r="AM1064" s="756"/>
      <c r="AN1064" s="749"/>
      <c r="AO1064" s="749"/>
      <c r="AP1064" s="749"/>
      <c r="AQ1064" s="749"/>
      <c r="AR1064" s="749"/>
      <c r="AS1064" s="749"/>
      <c r="AT1064" s="749"/>
    </row>
    <row r="1065" spans="1:46" ht="12.75" customHeight="1">
      <c r="A1065" s="714"/>
      <c r="B1065" s="714"/>
      <c r="C1065" s="829" t="s">
        <v>622</v>
      </c>
      <c r="D1065" s="724" t="s">
        <v>589</v>
      </c>
      <c r="E1065" s="830" t="str">
        <f t="shared" ref="E1065:AD1065" si="1367">+E588</f>
        <v>Other current transfers (D.7p)</v>
      </c>
      <c r="F1065" s="1060" t="str">
        <f t="shared" si="1367"/>
        <v>$HTO</v>
      </c>
      <c r="G1065" s="756">
        <f t="shared" ca="1" si="1367"/>
        <v>5.7714999999999996</v>
      </c>
      <c r="H1065" s="756">
        <f t="shared" si="1367"/>
        <v>6.1592000000000002</v>
      </c>
      <c r="I1065" s="756">
        <f t="shared" si="1367"/>
        <v>6.1097999999999999</v>
      </c>
      <c r="J1065" s="756">
        <f t="shared" si="1367"/>
        <v>6.5125000000000002</v>
      </c>
      <c r="K1065" s="756">
        <f t="shared" si="1367"/>
        <v>6.8028000000000004</v>
      </c>
      <c r="L1065" s="756">
        <f t="shared" si="1367"/>
        <v>7.2183000000000002</v>
      </c>
      <c r="M1065" s="756">
        <f t="shared" si="1367"/>
        <v>7.5238999999999994</v>
      </c>
      <c r="N1065" s="756">
        <f t="shared" si="1367"/>
        <v>7.3048999999999999</v>
      </c>
      <c r="O1065" s="756">
        <f t="shared" si="1367"/>
        <v>7.6550000000000002</v>
      </c>
      <c r="P1065" s="756">
        <f t="shared" si="1367"/>
        <v>7.9916999999999998</v>
      </c>
      <c r="Q1065" s="756">
        <f t="shared" si="1367"/>
        <v>8.8757000000000001</v>
      </c>
      <c r="R1065" s="756">
        <f t="shared" si="1367"/>
        <v>8.2775999999999996</v>
      </c>
      <c r="S1065" s="756">
        <f t="shared" si="1367"/>
        <v>7.2381000000000002</v>
      </c>
      <c r="T1065" s="756">
        <f t="shared" si="1367"/>
        <v>7.9157999999999999</v>
      </c>
      <c r="U1065" s="756">
        <f t="shared" si="1367"/>
        <v>8.7327999999999992</v>
      </c>
      <c r="V1065" s="756">
        <f t="shared" si="1367"/>
        <v>8.8559999999999999</v>
      </c>
      <c r="W1065" s="756">
        <f t="shared" si="1367"/>
        <v>9.0937999999999999</v>
      </c>
      <c r="X1065" s="756">
        <f t="shared" si="1367"/>
        <v>9.7940000000000005</v>
      </c>
      <c r="Y1065" s="756">
        <f t="shared" si="1367"/>
        <v>9.8018000000000001</v>
      </c>
      <c r="Z1065" s="756">
        <f t="shared" si="1367"/>
        <v>9.9252000000000002</v>
      </c>
      <c r="AA1065" s="756">
        <f t="shared" si="1367"/>
        <v>9.9629999999999992</v>
      </c>
      <c r="AB1065" s="756">
        <f t="shared" si="1367"/>
        <v>9.9991000000000003</v>
      </c>
      <c r="AC1065" s="756">
        <f t="shared" si="1367"/>
        <v>10.409063099999999</v>
      </c>
      <c r="AD1065" s="756">
        <f t="shared" si="1367"/>
        <v>10.856652813299998</v>
      </c>
      <c r="AE1065" s="756">
        <f t="shared" ref="AE1065" si="1368">+AE588</f>
        <v>11.207322699169588</v>
      </c>
      <c r="AF1065" s="749"/>
      <c r="AG1065" s="749"/>
      <c r="AH1065" s="749"/>
      <c r="AI1065" s="749"/>
      <c r="AJ1065" s="749"/>
      <c r="AK1065" s="756">
        <v>7.4753808572950682</v>
      </c>
      <c r="AL1065" s="749"/>
      <c r="AM1065" s="756"/>
      <c r="AN1065" s="749"/>
      <c r="AO1065" s="749"/>
      <c r="AP1065" s="749"/>
      <c r="AQ1065" s="749"/>
      <c r="AR1065" s="749"/>
      <c r="AS1065" s="749"/>
      <c r="AT1065" s="749"/>
    </row>
    <row r="1066" spans="1:46" ht="12.75" customHeight="1">
      <c r="A1066" s="714"/>
      <c r="B1066" s="714">
        <v>93</v>
      </c>
      <c r="C1066" s="831" t="s">
        <v>624</v>
      </c>
      <c r="D1066" s="800" t="s">
        <v>589</v>
      </c>
      <c r="E1066" s="801" t="s">
        <v>1823</v>
      </c>
      <c r="F1066" s="802" t="s">
        <v>373</v>
      </c>
      <c r="G1066" s="832">
        <f t="shared" ref="G1066:Q1066" ca="1" si="1369">+G1063+G1064+G1065</f>
        <v>47.341700000000003</v>
      </c>
      <c r="H1066" s="832">
        <f t="shared" si="1369"/>
        <v>48.948399999999999</v>
      </c>
      <c r="I1066" s="832">
        <f t="shared" si="1369"/>
        <v>50.889099999999992</v>
      </c>
      <c r="J1066" s="832">
        <f t="shared" si="1369"/>
        <v>53.269300000000001</v>
      </c>
      <c r="K1066" s="832">
        <f t="shared" si="1369"/>
        <v>55.254399999999997</v>
      </c>
      <c r="L1066" s="832">
        <f t="shared" si="1369"/>
        <v>57.128599999999999</v>
      </c>
      <c r="M1066" s="832">
        <f t="shared" si="1369"/>
        <v>59.923999999999999</v>
      </c>
      <c r="N1066" s="832">
        <f t="shared" si="1369"/>
        <v>62.526799999999994</v>
      </c>
      <c r="O1066" s="832">
        <f t="shared" si="1369"/>
        <v>64.3048</v>
      </c>
      <c r="P1066" s="832">
        <f t="shared" si="1369"/>
        <v>66.380899999999997</v>
      </c>
      <c r="Q1066" s="832">
        <f t="shared" si="1369"/>
        <v>68.688099999999991</v>
      </c>
      <c r="R1066" s="832">
        <f t="shared" ref="R1066:Y1066" si="1370">+R1063+R1064+R1065</f>
        <v>70.804599999999994</v>
      </c>
      <c r="S1066" s="832">
        <f t="shared" si="1370"/>
        <v>74.064800000000005</v>
      </c>
      <c r="T1066" s="832">
        <f t="shared" si="1370"/>
        <v>78.3249</v>
      </c>
      <c r="U1066" s="832">
        <f t="shared" si="1370"/>
        <v>81.147300000000001</v>
      </c>
      <c r="V1066" s="832">
        <f t="shared" si="1370"/>
        <v>82.884099999999989</v>
      </c>
      <c r="W1066" s="832">
        <f t="shared" si="1370"/>
        <v>85.715699999999998</v>
      </c>
      <c r="X1066" s="832">
        <f t="shared" si="1370"/>
        <v>89.640500000000003</v>
      </c>
      <c r="Y1066" s="832">
        <f t="shared" si="1370"/>
        <v>91.513899999999992</v>
      </c>
      <c r="Z1066" s="832">
        <f t="shared" ref="Z1066:AD1066" si="1371">+Z1063+Z1064+Z1065</f>
        <v>92.335100000000011</v>
      </c>
      <c r="AA1066" s="832">
        <f t="shared" si="1371"/>
        <v>93.903199999999998</v>
      </c>
      <c r="AB1066" s="832">
        <f t="shared" si="1371"/>
        <v>93.319600000000008</v>
      </c>
      <c r="AC1066" s="832">
        <f t="shared" si="1371"/>
        <v>95.897094139999993</v>
      </c>
      <c r="AD1066" s="832">
        <f t="shared" si="1371"/>
        <v>98.80443494776398</v>
      </c>
      <c r="AE1066" s="832">
        <f t="shared" ref="AE1066" si="1372">+AE1063+AE1064+AE1065</f>
        <v>101.87186151694843</v>
      </c>
      <c r="AF1066" s="749"/>
      <c r="AG1066" s="749"/>
      <c r="AH1066" s="749"/>
      <c r="AI1066" s="749"/>
      <c r="AJ1066" s="749"/>
      <c r="AK1066" s="832">
        <v>89.605183741019204</v>
      </c>
      <c r="AL1066" s="749"/>
      <c r="AM1066" s="832"/>
      <c r="AN1066" s="749"/>
      <c r="AO1066" s="749"/>
      <c r="AP1066" s="749"/>
      <c r="AQ1066" s="749"/>
      <c r="AR1066" s="749"/>
      <c r="AS1066" s="749"/>
      <c r="AT1066" s="749"/>
    </row>
    <row r="1067" spans="1:46">
      <c r="Q1067" s="749"/>
      <c r="R1067" s="749"/>
      <c r="S1067" s="749"/>
      <c r="T1067" s="749"/>
      <c r="U1067" s="749"/>
      <c r="V1067" s="749"/>
      <c r="W1067" s="749"/>
      <c r="X1067" s="749"/>
      <c r="Y1067" s="749"/>
      <c r="Z1067" s="749"/>
      <c r="AA1067" s="749"/>
      <c r="AB1067" s="749"/>
      <c r="AC1067" s="749"/>
      <c r="AD1067" s="749"/>
      <c r="AE1067" s="749"/>
      <c r="AF1067" s="749"/>
      <c r="AG1067" s="749"/>
      <c r="AH1067" s="749"/>
      <c r="AI1067" s="749"/>
      <c r="AJ1067" s="749"/>
      <c r="AK1067" s="749"/>
      <c r="AL1067" s="749"/>
      <c r="AM1067" s="749"/>
      <c r="AN1067" s="749"/>
      <c r="AO1067" s="749"/>
      <c r="AP1067" s="749"/>
      <c r="AQ1067" s="749"/>
      <c r="AR1067" s="749"/>
      <c r="AS1067" s="749"/>
      <c r="AT1067" s="749"/>
    </row>
    <row r="1068" spans="1:46" ht="12.75" customHeight="1">
      <c r="A1068" s="714"/>
      <c r="B1068" s="714"/>
      <c r="C1068" s="822"/>
      <c r="D1068" s="823"/>
      <c r="E1068" s="824" t="s">
        <v>1803</v>
      </c>
      <c r="F1068" s="825"/>
      <c r="G1068" s="826">
        <f>+InputY!$G$3</f>
        <v>1995</v>
      </c>
      <c r="H1068" s="826">
        <f>+G1068+1</f>
        <v>1996</v>
      </c>
      <c r="I1068" s="826">
        <f t="shared" ref="I1068:O1068" si="1373">+H1068+1</f>
        <v>1997</v>
      </c>
      <c r="J1068" s="826">
        <f t="shared" si="1373"/>
        <v>1998</v>
      </c>
      <c r="K1068" s="826">
        <f t="shared" si="1373"/>
        <v>1999</v>
      </c>
      <c r="L1068" s="826">
        <f t="shared" si="1373"/>
        <v>2000</v>
      </c>
      <c r="M1068" s="826">
        <f t="shared" si="1373"/>
        <v>2001</v>
      </c>
      <c r="N1068" s="826">
        <f t="shared" si="1373"/>
        <v>2002</v>
      </c>
      <c r="O1068" s="826">
        <f t="shared" si="1373"/>
        <v>2003</v>
      </c>
      <c r="P1068" s="826">
        <f t="shared" ref="P1068:U1068" si="1374">+O1068+1</f>
        <v>2004</v>
      </c>
      <c r="Q1068" s="826">
        <f t="shared" si="1374"/>
        <v>2005</v>
      </c>
      <c r="R1068" s="826">
        <f t="shared" si="1374"/>
        <v>2006</v>
      </c>
      <c r="S1068" s="2878">
        <f t="shared" si="1374"/>
        <v>2007</v>
      </c>
      <c r="T1068" s="2878">
        <f t="shared" si="1374"/>
        <v>2008</v>
      </c>
      <c r="U1068" s="2878">
        <f t="shared" si="1374"/>
        <v>2009</v>
      </c>
      <c r="V1068" s="2878">
        <f t="shared" ref="V1068:AE1068" si="1375">+U1068+1</f>
        <v>2010</v>
      </c>
      <c r="W1068" s="2878">
        <f t="shared" si="1375"/>
        <v>2011</v>
      </c>
      <c r="X1068" s="2878">
        <f t="shared" si="1375"/>
        <v>2012</v>
      </c>
      <c r="Y1068" s="2878">
        <f t="shared" si="1375"/>
        <v>2013</v>
      </c>
      <c r="Z1068" s="2878">
        <f t="shared" si="1375"/>
        <v>2014</v>
      </c>
      <c r="AA1068" s="2878">
        <f t="shared" si="1375"/>
        <v>2015</v>
      </c>
      <c r="AB1068" s="2878">
        <f t="shared" si="1375"/>
        <v>2016</v>
      </c>
      <c r="AC1068" s="2878">
        <f t="shared" si="1375"/>
        <v>2017</v>
      </c>
      <c r="AD1068" s="2878">
        <f t="shared" si="1375"/>
        <v>2018</v>
      </c>
      <c r="AE1068" s="2878">
        <f t="shared" si="1375"/>
        <v>2019</v>
      </c>
      <c r="AF1068" s="749"/>
      <c r="AG1068" s="749"/>
      <c r="AH1068" s="749"/>
      <c r="AI1068" s="749"/>
      <c r="AJ1068" s="749"/>
      <c r="AK1068" s="2878">
        <v>2014</v>
      </c>
      <c r="AL1068" s="749"/>
      <c r="AM1068" s="2878"/>
      <c r="AN1068" s="749"/>
      <c r="AO1068" s="749"/>
      <c r="AP1068" s="749"/>
      <c r="AQ1068" s="749"/>
      <c r="AR1068" s="749"/>
      <c r="AS1068" s="749"/>
      <c r="AT1068" s="749"/>
    </row>
    <row r="1069" spans="1:46" ht="12.75" customHeight="1">
      <c r="A1069" s="714"/>
      <c r="B1069" s="714"/>
      <c r="C1069" s="827" t="s">
        <v>622</v>
      </c>
      <c r="D1069" s="718" t="s">
        <v>589</v>
      </c>
      <c r="E1069" s="750" t="s">
        <v>1248</v>
      </c>
      <c r="F1069" s="1059" t="s">
        <v>377</v>
      </c>
      <c r="G1069" s="828">
        <f ca="1">+'VVP2'!G236</f>
        <v>14.479299999999999</v>
      </c>
      <c r="H1069" s="828">
        <f>+'VVP2'!H236</f>
        <v>13.462299999999999</v>
      </c>
      <c r="I1069" s="828">
        <f>+'VVP2'!I236</f>
        <v>14.876299999999999</v>
      </c>
      <c r="J1069" s="828">
        <f>+'VVP2'!J236</f>
        <v>14.363</v>
      </c>
      <c r="K1069" s="828">
        <f>+'VVP2'!K236</f>
        <v>14.995100000000001</v>
      </c>
      <c r="L1069" s="828">
        <f>+'VVP2'!L236</f>
        <v>15.137799999999999</v>
      </c>
      <c r="M1069" s="828">
        <f>+'VVP2'!M236</f>
        <v>14.555</v>
      </c>
      <c r="N1069" s="828">
        <f>+'VVP2'!N236</f>
        <v>14.399700000000001</v>
      </c>
      <c r="O1069" s="828">
        <f>+'VVP2'!O236</f>
        <v>14.9672</v>
      </c>
      <c r="P1069" s="828">
        <f>+'VVP2'!P236</f>
        <v>16.460599999999999</v>
      </c>
      <c r="Q1069" s="828">
        <f>+'VVP2'!Q236</f>
        <v>19.201000000000001</v>
      </c>
      <c r="R1069" s="828">
        <f>+'VVP2'!R236</f>
        <v>21.168200000000002</v>
      </c>
      <c r="S1069" s="828">
        <f>+'VVP2'!S236</f>
        <v>23.024699999999999</v>
      </c>
      <c r="T1069" s="828">
        <f>+'VVP2'!T236</f>
        <v>24.052599999999998</v>
      </c>
      <c r="U1069" s="828">
        <f>+'VVP2'!U236</f>
        <v>21.7988</v>
      </c>
      <c r="V1069" s="828">
        <f>+'VVP2'!V236</f>
        <v>22.4406</v>
      </c>
      <c r="W1069" s="828">
        <f>+'VVP2'!W236</f>
        <v>22.331299999999999</v>
      </c>
      <c r="X1069" s="828">
        <f>+'VVP2'!X236</f>
        <v>22.794700000000002</v>
      </c>
      <c r="Y1069" s="828">
        <f>+'VVP2'!Y236</f>
        <v>22.203799999999998</v>
      </c>
      <c r="Z1069" s="828">
        <f>+'VVP2'!Z236</f>
        <v>23.541400000000003</v>
      </c>
      <c r="AA1069" s="828">
        <f>+'VVP2'!AA236</f>
        <v>23.821900000000003</v>
      </c>
      <c r="AB1069" s="828">
        <f>+'VVP2'!AB236</f>
        <v>24.479200000000002</v>
      </c>
      <c r="AC1069" s="828">
        <f ca="1">+'VVP2'!AC236</f>
        <v>24.924416425268898</v>
      </c>
      <c r="AD1069" s="828">
        <f ca="1">+'VVP2'!AD236</f>
        <v>25.349876213648237</v>
      </c>
      <c r="AE1069" s="828">
        <f ca="1">+'VVP2'!AE236</f>
        <v>25.833653251309496</v>
      </c>
      <c r="AF1069" s="749"/>
      <c r="AG1069" s="749"/>
      <c r="AH1069" s="749"/>
      <c r="AI1069" s="749"/>
      <c r="AJ1069" s="749"/>
      <c r="AK1069" s="828">
        <v>23.857095172484005</v>
      </c>
      <c r="AL1069" s="749"/>
      <c r="AM1069" s="828"/>
      <c r="AN1069" s="749"/>
      <c r="AO1069" s="749"/>
      <c r="AP1069" s="749"/>
      <c r="AQ1069" s="749"/>
      <c r="AR1069" s="749"/>
      <c r="AS1069" s="749"/>
      <c r="AT1069" s="749"/>
    </row>
    <row r="1070" spans="1:46" ht="12.75" customHeight="1">
      <c r="A1070" s="714"/>
      <c r="B1070" s="714"/>
      <c r="C1070" s="829" t="s">
        <v>622</v>
      </c>
      <c r="D1070" s="724" t="s">
        <v>589</v>
      </c>
      <c r="E1070" s="830" t="s">
        <v>1528</v>
      </c>
      <c r="F1070" s="1060" t="s">
        <v>807</v>
      </c>
      <c r="G1070" s="756">
        <f t="shared" ref="G1070:AA1070" ca="1" si="1376">+G850</f>
        <v>1.5499999999999998E-2</v>
      </c>
      <c r="H1070" s="756">
        <f t="shared" si="1376"/>
        <v>-1.78E-2</v>
      </c>
      <c r="I1070" s="756">
        <f t="shared" si="1376"/>
        <v>-1.8900000000000004E-2</v>
      </c>
      <c r="J1070" s="756">
        <f t="shared" si="1376"/>
        <v>7.1300000000000002E-2</v>
      </c>
      <c r="K1070" s="756">
        <f t="shared" si="1376"/>
        <v>-3.0799999999999998E-2</v>
      </c>
      <c r="L1070" s="756">
        <f t="shared" si="1376"/>
        <v>-2.29E-2</v>
      </c>
      <c r="M1070" s="756">
        <f t="shared" si="1376"/>
        <v>-6.2900000000000011E-2</v>
      </c>
      <c r="N1070" s="756">
        <f t="shared" si="1376"/>
        <v>-8.1500000000000003E-2</v>
      </c>
      <c r="O1070" s="756">
        <f t="shared" si="1376"/>
        <v>-8.1299999999999997E-2</v>
      </c>
      <c r="P1070" s="756">
        <f t="shared" si="1376"/>
        <v>-9.7500000000000003E-2</v>
      </c>
      <c r="Q1070" s="756">
        <f t="shared" si="1376"/>
        <v>-8.270000000000001E-2</v>
      </c>
      <c r="R1070" s="756">
        <f t="shared" si="1376"/>
        <v>-1.4099999999999994E-2</v>
      </c>
      <c r="S1070" s="756">
        <f t="shared" si="1376"/>
        <v>-3.6099999999999993E-2</v>
      </c>
      <c r="T1070" s="756">
        <f t="shared" si="1376"/>
        <v>-1.4200000000000003E-2</v>
      </c>
      <c r="U1070" s="756">
        <f t="shared" si="1376"/>
        <v>2.2299999999999997E-2</v>
      </c>
      <c r="V1070" s="756">
        <f t="shared" si="1376"/>
        <v>2.0299999999999999E-2</v>
      </c>
      <c r="W1070" s="756">
        <f t="shared" si="1376"/>
        <v>0.2278</v>
      </c>
      <c r="X1070" s="756">
        <f t="shared" si="1376"/>
        <v>7.640000000000001E-2</v>
      </c>
      <c r="Y1070" s="756">
        <f t="shared" si="1376"/>
        <v>0.10110000000000001</v>
      </c>
      <c r="Z1070" s="756">
        <f t="shared" si="1376"/>
        <v>6.1999999999999989E-3</v>
      </c>
      <c r="AA1070" s="756">
        <f t="shared" si="1376"/>
        <v>-9.9699999999999997E-2</v>
      </c>
      <c r="AB1070" s="756">
        <f t="shared" ref="AB1070:AC1070" si="1377">+AB850</f>
        <v>-1.41E-2</v>
      </c>
      <c r="AC1070" s="756">
        <f t="shared" si="1377"/>
        <v>-1.41E-2</v>
      </c>
      <c r="AD1070" s="756">
        <f t="shared" ref="AD1070" si="1378">+AD850</f>
        <v>-1.41E-2</v>
      </c>
      <c r="AE1070" s="756">
        <f t="shared" ref="AE1070" si="1379">+AE850</f>
        <v>-1.41E-2</v>
      </c>
      <c r="AF1070" s="749"/>
      <c r="AG1070" s="749"/>
      <c r="AH1070" s="749"/>
      <c r="AI1070" s="749"/>
      <c r="AJ1070" s="749"/>
      <c r="AK1070" s="756">
        <v>1.8109E-2</v>
      </c>
      <c r="AL1070" s="749"/>
      <c r="AM1070" s="756"/>
      <c r="AN1070" s="749"/>
      <c r="AO1070" s="749"/>
      <c r="AP1070" s="749"/>
      <c r="AQ1070" s="749"/>
      <c r="AR1070" s="749"/>
      <c r="AS1070" s="749"/>
      <c r="AT1070" s="749"/>
    </row>
    <row r="1071" spans="1:46" ht="12.75" customHeight="1">
      <c r="A1071" s="714"/>
      <c r="B1071" s="714">
        <v>96</v>
      </c>
      <c r="C1071" s="831" t="s">
        <v>624</v>
      </c>
      <c r="D1071" s="800" t="s">
        <v>589</v>
      </c>
      <c r="E1071" s="801" t="s">
        <v>1303</v>
      </c>
      <c r="F1071" s="802"/>
      <c r="G1071" s="832">
        <f t="shared" ref="G1071:Q1071" ca="1" si="1380">+G1069+G1070</f>
        <v>14.494799999999998</v>
      </c>
      <c r="H1071" s="832">
        <f t="shared" si="1380"/>
        <v>13.4445</v>
      </c>
      <c r="I1071" s="832">
        <f t="shared" si="1380"/>
        <v>14.857399999999998</v>
      </c>
      <c r="J1071" s="832">
        <f t="shared" si="1380"/>
        <v>14.4343</v>
      </c>
      <c r="K1071" s="832">
        <f t="shared" si="1380"/>
        <v>14.964300000000001</v>
      </c>
      <c r="L1071" s="832">
        <f t="shared" si="1380"/>
        <v>15.114899999999999</v>
      </c>
      <c r="M1071" s="832">
        <f t="shared" si="1380"/>
        <v>14.492099999999999</v>
      </c>
      <c r="N1071" s="832">
        <f t="shared" si="1380"/>
        <v>14.318200000000001</v>
      </c>
      <c r="O1071" s="832">
        <f t="shared" si="1380"/>
        <v>14.885899999999999</v>
      </c>
      <c r="P1071" s="832">
        <f t="shared" si="1380"/>
        <v>16.363099999999999</v>
      </c>
      <c r="Q1071" s="832">
        <f t="shared" si="1380"/>
        <v>19.118300000000001</v>
      </c>
      <c r="R1071" s="832">
        <f t="shared" ref="R1071:Y1071" si="1381">+R1069+R1070</f>
        <v>21.154100000000003</v>
      </c>
      <c r="S1071" s="832">
        <f t="shared" si="1381"/>
        <v>22.988599999999998</v>
      </c>
      <c r="T1071" s="832">
        <f t="shared" si="1381"/>
        <v>24.038399999999999</v>
      </c>
      <c r="U1071" s="832">
        <f t="shared" si="1381"/>
        <v>21.821100000000001</v>
      </c>
      <c r="V1071" s="832">
        <f t="shared" si="1381"/>
        <v>22.460899999999999</v>
      </c>
      <c r="W1071" s="832">
        <f t="shared" si="1381"/>
        <v>22.559099999999997</v>
      </c>
      <c r="X1071" s="832">
        <f t="shared" si="1381"/>
        <v>22.871100000000002</v>
      </c>
      <c r="Y1071" s="832">
        <f t="shared" si="1381"/>
        <v>22.304899999999996</v>
      </c>
      <c r="Z1071" s="832">
        <f t="shared" ref="Z1071:AD1071" si="1382">+Z1069+Z1070</f>
        <v>23.547600000000003</v>
      </c>
      <c r="AA1071" s="832">
        <f t="shared" si="1382"/>
        <v>23.722200000000004</v>
      </c>
      <c r="AB1071" s="832">
        <f t="shared" si="1382"/>
        <v>24.465100000000003</v>
      </c>
      <c r="AC1071" s="832">
        <f t="shared" ca="1" si="1382"/>
        <v>24.910316425268899</v>
      </c>
      <c r="AD1071" s="832">
        <f t="shared" ca="1" si="1382"/>
        <v>25.335776213648238</v>
      </c>
      <c r="AE1071" s="832">
        <f t="shared" ref="AE1071" ca="1" si="1383">+AE1069+AE1070</f>
        <v>25.819553251309497</v>
      </c>
      <c r="AF1071" s="749"/>
      <c r="AG1071" s="749"/>
      <c r="AH1071" s="749"/>
      <c r="AI1071" s="749"/>
      <c r="AJ1071" s="749"/>
      <c r="AK1071" s="832">
        <v>23.875204172484004</v>
      </c>
      <c r="AL1071" s="749"/>
      <c r="AM1071" s="832"/>
      <c r="AN1071" s="749"/>
      <c r="AO1071" s="749"/>
      <c r="AP1071" s="749"/>
      <c r="AQ1071" s="749"/>
      <c r="AR1071" s="749"/>
      <c r="AS1071" s="749"/>
      <c r="AT1071" s="749"/>
    </row>
    <row r="1072" spans="1:46">
      <c r="Q1072" s="749"/>
      <c r="R1072" s="749"/>
      <c r="S1072" s="749"/>
      <c r="T1072" s="749"/>
      <c r="U1072" s="749"/>
      <c r="V1072" s="749"/>
      <c r="W1072" s="749"/>
      <c r="X1072" s="749"/>
      <c r="Y1072" s="749"/>
      <c r="Z1072" s="749"/>
      <c r="AA1072" s="749"/>
      <c r="AB1072" s="749"/>
      <c r="AC1072" s="749"/>
      <c r="AD1072" s="749"/>
      <c r="AE1072" s="749"/>
      <c r="AF1072" s="749"/>
      <c r="AG1072" s="749"/>
      <c r="AH1072" s="749"/>
      <c r="AI1072" s="749"/>
      <c r="AJ1072" s="749"/>
      <c r="AK1072" s="749"/>
      <c r="AL1072" s="749"/>
      <c r="AM1072" s="749"/>
      <c r="AN1072" s="749"/>
      <c r="AO1072" s="749"/>
      <c r="AP1072" s="749"/>
      <c r="AQ1072" s="749"/>
      <c r="AR1072" s="749"/>
      <c r="AS1072" s="749"/>
      <c r="AT1072" s="749"/>
    </row>
    <row r="1073" spans="1:46" ht="12.75" customHeight="1">
      <c r="A1073" s="714"/>
      <c r="B1073" s="714"/>
      <c r="C1073" s="822"/>
      <c r="D1073" s="823"/>
      <c r="E1073" s="824" t="s">
        <v>1803</v>
      </c>
      <c r="F1073" s="825"/>
      <c r="G1073" s="826">
        <f>+InputY!$G$3</f>
        <v>1995</v>
      </c>
      <c r="H1073" s="826">
        <f>+G1073+1</f>
        <v>1996</v>
      </c>
      <c r="I1073" s="826">
        <f t="shared" ref="I1073:O1073" si="1384">+H1073+1</f>
        <v>1997</v>
      </c>
      <c r="J1073" s="826">
        <f t="shared" si="1384"/>
        <v>1998</v>
      </c>
      <c r="K1073" s="826">
        <f t="shared" si="1384"/>
        <v>1999</v>
      </c>
      <c r="L1073" s="826">
        <f t="shared" si="1384"/>
        <v>2000</v>
      </c>
      <c r="M1073" s="826">
        <f t="shared" si="1384"/>
        <v>2001</v>
      </c>
      <c r="N1073" s="826">
        <f t="shared" si="1384"/>
        <v>2002</v>
      </c>
      <c r="O1073" s="826">
        <f t="shared" si="1384"/>
        <v>2003</v>
      </c>
      <c r="P1073" s="826">
        <f t="shared" ref="P1073:U1073" si="1385">+O1073+1</f>
        <v>2004</v>
      </c>
      <c r="Q1073" s="826">
        <f t="shared" si="1385"/>
        <v>2005</v>
      </c>
      <c r="R1073" s="826">
        <f t="shared" si="1385"/>
        <v>2006</v>
      </c>
      <c r="S1073" s="2878">
        <f t="shared" si="1385"/>
        <v>2007</v>
      </c>
      <c r="T1073" s="2878">
        <f t="shared" si="1385"/>
        <v>2008</v>
      </c>
      <c r="U1073" s="2878">
        <f t="shared" si="1385"/>
        <v>2009</v>
      </c>
      <c r="V1073" s="2878">
        <f t="shared" ref="V1073:AE1073" si="1386">+U1073+1</f>
        <v>2010</v>
      </c>
      <c r="W1073" s="2878">
        <f t="shared" si="1386"/>
        <v>2011</v>
      </c>
      <c r="X1073" s="2878">
        <f t="shared" si="1386"/>
        <v>2012</v>
      </c>
      <c r="Y1073" s="2878">
        <f t="shared" si="1386"/>
        <v>2013</v>
      </c>
      <c r="Z1073" s="2878">
        <f t="shared" si="1386"/>
        <v>2014</v>
      </c>
      <c r="AA1073" s="2878">
        <f t="shared" si="1386"/>
        <v>2015</v>
      </c>
      <c r="AB1073" s="2878">
        <f t="shared" si="1386"/>
        <v>2016</v>
      </c>
      <c r="AC1073" s="2878">
        <f t="shared" si="1386"/>
        <v>2017</v>
      </c>
      <c r="AD1073" s="2878">
        <f t="shared" si="1386"/>
        <v>2018</v>
      </c>
      <c r="AE1073" s="2878">
        <f t="shared" si="1386"/>
        <v>2019</v>
      </c>
      <c r="AF1073" s="749"/>
      <c r="AG1073" s="749"/>
      <c r="AH1073" s="749"/>
      <c r="AI1073" s="749"/>
      <c r="AJ1073" s="749"/>
      <c r="AK1073" s="2878">
        <v>2014</v>
      </c>
      <c r="AL1073" s="749"/>
      <c r="AM1073" s="2878"/>
      <c r="AN1073" s="749"/>
      <c r="AO1073" s="749"/>
      <c r="AP1073" s="749"/>
      <c r="AQ1073" s="749"/>
      <c r="AR1073" s="749"/>
      <c r="AS1073" s="749"/>
      <c r="AT1073" s="749"/>
    </row>
    <row r="1074" spans="1:46" ht="12.75" customHeight="1">
      <c r="A1074" s="714"/>
      <c r="B1074" s="714"/>
      <c r="C1074" s="827" t="s">
        <v>622</v>
      </c>
      <c r="D1074" s="718" t="s">
        <v>589</v>
      </c>
      <c r="E1074" s="750" t="s">
        <v>250</v>
      </c>
      <c r="F1074" s="1059" t="s">
        <v>582</v>
      </c>
      <c r="G1074" s="1061">
        <f t="shared" ref="G1074:AD1074" ca="1" si="1387">-G795</f>
        <v>-0.59199999999999997</v>
      </c>
      <c r="H1074" s="1061">
        <f t="shared" si="1387"/>
        <v>-0.10340000000000009</v>
      </c>
      <c r="I1074" s="1061">
        <f t="shared" si="1387"/>
        <v>2.1699999999999931E-2</v>
      </c>
      <c r="J1074" s="1061">
        <f t="shared" si="1387"/>
        <v>0.16729999999999995</v>
      </c>
      <c r="K1074" s="1061">
        <f t="shared" si="1387"/>
        <v>0.10130000000000018</v>
      </c>
      <c r="L1074" s="1061">
        <f t="shared" si="1387"/>
        <v>0.27950000000000003</v>
      </c>
      <c r="M1074" s="1061">
        <f t="shared" si="1387"/>
        <v>0.90979999999999994</v>
      </c>
      <c r="N1074" s="1061">
        <f t="shared" si="1387"/>
        <v>0.56590000000000007</v>
      </c>
      <c r="O1074" s="1061">
        <f t="shared" si="1387"/>
        <v>0.95559999999999989</v>
      </c>
      <c r="P1074" s="1061">
        <f t="shared" si="1387"/>
        <v>1.2715000000000001</v>
      </c>
      <c r="Q1074" s="1061">
        <f t="shared" si="1387"/>
        <v>1.2925</v>
      </c>
      <c r="R1074" s="1061">
        <f t="shared" si="1387"/>
        <v>1.6690999999999998</v>
      </c>
      <c r="S1074" s="1061">
        <f t="shared" si="1387"/>
        <v>1.6176999999999999</v>
      </c>
      <c r="T1074" s="1061">
        <f t="shared" si="1387"/>
        <v>1.6184999999999998</v>
      </c>
      <c r="U1074" s="1061">
        <f t="shared" si="1387"/>
        <v>1.1763000000000001</v>
      </c>
      <c r="V1074" s="1061">
        <f t="shared" si="1387"/>
        <v>1.5324</v>
      </c>
      <c r="W1074" s="1061">
        <f t="shared" si="1387"/>
        <v>1.1284000000000001</v>
      </c>
      <c r="X1074" s="1061">
        <f t="shared" si="1387"/>
        <v>1.4658000000000002</v>
      </c>
      <c r="Y1074" s="1061">
        <f t="shared" si="1387"/>
        <v>2.5019999999999998</v>
      </c>
      <c r="Z1074" s="1061">
        <f t="shared" si="1387"/>
        <v>2.9704999999999999</v>
      </c>
      <c r="AA1074" s="1061">
        <f t="shared" si="1387"/>
        <v>3.028</v>
      </c>
      <c r="AB1074" s="1061">
        <f t="shared" si="1387"/>
        <v>2.8125</v>
      </c>
      <c r="AC1074" s="1061">
        <f t="shared" si="1387"/>
        <v>2.953125</v>
      </c>
      <c r="AD1074" s="1061">
        <f t="shared" si="1387"/>
        <v>3.1007812500000003</v>
      </c>
      <c r="AE1074" s="1061">
        <f t="shared" ref="AE1074" si="1388">-AE795</f>
        <v>3.2558203125000005</v>
      </c>
      <c r="AF1074" s="749"/>
      <c r="AG1074" s="749"/>
      <c r="AH1074" s="749"/>
      <c r="AI1074" s="749"/>
      <c r="AJ1074" s="749"/>
      <c r="AK1074" s="1061">
        <v>2.2461000000000002</v>
      </c>
      <c r="AL1074" s="749"/>
      <c r="AM1074" s="1061"/>
      <c r="AN1074" s="749"/>
      <c r="AO1074" s="749"/>
      <c r="AP1074" s="749"/>
      <c r="AQ1074" s="749"/>
      <c r="AR1074" s="749"/>
      <c r="AS1074" s="749"/>
      <c r="AT1074" s="749"/>
    </row>
    <row r="1075" spans="1:46" ht="12.75" customHeight="1">
      <c r="A1075" s="714"/>
      <c r="B1075" s="714"/>
      <c r="C1075" s="829" t="s">
        <v>622</v>
      </c>
      <c r="D1075" s="724" t="s">
        <v>589</v>
      </c>
      <c r="E1075" s="830" t="s">
        <v>1247</v>
      </c>
      <c r="F1075" s="1060" t="s">
        <v>921</v>
      </c>
      <c r="G1075" s="1062">
        <f t="shared" ref="G1075:AA1075" ca="1" si="1389">+G828</f>
        <v>-0.189</v>
      </c>
      <c r="H1075" s="1062">
        <f t="shared" si="1389"/>
        <v>-0.17980000000000002</v>
      </c>
      <c r="I1075" s="1062">
        <f t="shared" si="1389"/>
        <v>-0.19900000000000001</v>
      </c>
      <c r="J1075" s="1062">
        <f t="shared" si="1389"/>
        <v>-0.193</v>
      </c>
      <c r="K1075" s="1062">
        <f t="shared" si="1389"/>
        <v>-0.21</v>
      </c>
      <c r="L1075" s="1062">
        <f t="shared" si="1389"/>
        <v>-0.1988</v>
      </c>
      <c r="M1075" s="1062">
        <f t="shared" si="1389"/>
        <v>-0.27910000000000001</v>
      </c>
      <c r="N1075" s="1062">
        <f t="shared" si="1389"/>
        <v>-0.2356</v>
      </c>
      <c r="O1075" s="1062">
        <f t="shared" si="1389"/>
        <v>-0.20899999999999999</v>
      </c>
      <c r="P1075" s="1062">
        <f t="shared" si="1389"/>
        <v>-0.28939999999999999</v>
      </c>
      <c r="Q1075" s="1062">
        <f t="shared" si="1389"/>
        <v>-9.8400000000000001E-2</v>
      </c>
      <c r="R1075" s="1062">
        <f t="shared" si="1389"/>
        <v>-0.34100000000000003</v>
      </c>
      <c r="S1075" s="1062">
        <f t="shared" si="1389"/>
        <v>-0.51370000000000005</v>
      </c>
      <c r="T1075" s="1062">
        <f t="shared" si="1389"/>
        <v>-0.42460000000000003</v>
      </c>
      <c r="U1075" s="1062">
        <f t="shared" si="1389"/>
        <v>-0.30060000000000003</v>
      </c>
      <c r="V1075" s="1062">
        <f t="shared" si="1389"/>
        <v>-0.47420000000000001</v>
      </c>
      <c r="W1075" s="1062">
        <f t="shared" si="1389"/>
        <v>-0.78039999999999998</v>
      </c>
      <c r="X1075" s="1062">
        <f t="shared" si="1389"/>
        <v>-0.58220000000000005</v>
      </c>
      <c r="Y1075" s="1062">
        <f t="shared" si="1389"/>
        <v>-0.91459999999999997</v>
      </c>
      <c r="Z1075" s="1062">
        <f t="shared" si="1389"/>
        <v>-0.86799999999999999</v>
      </c>
      <c r="AA1075" s="1062">
        <f t="shared" si="1389"/>
        <v>-0.50390000000000001</v>
      </c>
      <c r="AB1075" s="1062">
        <f t="shared" ref="AB1075:AC1075" si="1390">+AB828</f>
        <v>-0.66749999999999998</v>
      </c>
      <c r="AC1075" s="1062">
        <f t="shared" si="1390"/>
        <v>-0.66749999999999998</v>
      </c>
      <c r="AD1075" s="1062">
        <f t="shared" ref="AD1075" si="1391">+AD828</f>
        <v>-0.66749999999999998</v>
      </c>
      <c r="AE1075" s="1062">
        <f t="shared" ref="AE1075" si="1392">+AE828</f>
        <v>-0.66749999999999998</v>
      </c>
      <c r="AF1075" s="749"/>
      <c r="AG1075" s="749"/>
      <c r="AH1075" s="749"/>
      <c r="AI1075" s="749"/>
      <c r="AJ1075" s="749"/>
      <c r="AK1075" s="1062">
        <v>-0.66670000000000007</v>
      </c>
      <c r="AL1075" s="749"/>
      <c r="AM1075" s="1062"/>
      <c r="AN1075" s="749"/>
      <c r="AO1075" s="749"/>
      <c r="AP1075" s="749"/>
      <c r="AQ1075" s="749"/>
      <c r="AR1075" s="749"/>
      <c r="AS1075" s="749"/>
      <c r="AT1075" s="749"/>
    </row>
    <row r="1076" spans="1:46" ht="12.75" customHeight="1">
      <c r="A1076" s="714"/>
      <c r="B1076" s="714">
        <v>97</v>
      </c>
      <c r="C1076" s="831" t="s">
        <v>624</v>
      </c>
      <c r="D1076" s="800" t="s">
        <v>589</v>
      </c>
      <c r="E1076" s="801" t="s">
        <v>1824</v>
      </c>
      <c r="F1076" s="802" t="s">
        <v>1825</v>
      </c>
      <c r="G1076" s="832">
        <f t="shared" ref="G1076:Q1076" ca="1" si="1393">+G1074+G1075</f>
        <v>-0.78099999999999992</v>
      </c>
      <c r="H1076" s="832">
        <f t="shared" si="1393"/>
        <v>-0.28320000000000012</v>
      </c>
      <c r="I1076" s="832">
        <f t="shared" si="1393"/>
        <v>-0.17730000000000007</v>
      </c>
      <c r="J1076" s="832">
        <f t="shared" si="1393"/>
        <v>-2.5700000000000056E-2</v>
      </c>
      <c r="K1076" s="832">
        <f t="shared" si="1393"/>
        <v>-0.10869999999999981</v>
      </c>
      <c r="L1076" s="832">
        <f t="shared" si="1393"/>
        <v>8.0700000000000022E-2</v>
      </c>
      <c r="M1076" s="832">
        <f t="shared" si="1393"/>
        <v>0.63069999999999993</v>
      </c>
      <c r="N1076" s="832">
        <f t="shared" si="1393"/>
        <v>0.33030000000000004</v>
      </c>
      <c r="O1076" s="832">
        <f t="shared" si="1393"/>
        <v>0.74659999999999993</v>
      </c>
      <c r="P1076" s="832">
        <f t="shared" si="1393"/>
        <v>0.98210000000000008</v>
      </c>
      <c r="Q1076" s="832">
        <f t="shared" si="1393"/>
        <v>1.1940999999999999</v>
      </c>
      <c r="R1076" s="832">
        <f t="shared" ref="R1076:Y1076" si="1394">+R1074+R1075</f>
        <v>1.3280999999999998</v>
      </c>
      <c r="S1076" s="832">
        <f t="shared" si="1394"/>
        <v>1.1039999999999999</v>
      </c>
      <c r="T1076" s="832">
        <f t="shared" si="1394"/>
        <v>1.1938999999999997</v>
      </c>
      <c r="U1076" s="832">
        <f t="shared" si="1394"/>
        <v>0.87570000000000014</v>
      </c>
      <c r="V1076" s="832">
        <f t="shared" si="1394"/>
        <v>1.0582</v>
      </c>
      <c r="W1076" s="832">
        <f t="shared" si="1394"/>
        <v>0.34800000000000009</v>
      </c>
      <c r="X1076" s="832">
        <f t="shared" si="1394"/>
        <v>0.88360000000000016</v>
      </c>
      <c r="Y1076" s="832">
        <f t="shared" si="1394"/>
        <v>1.5873999999999997</v>
      </c>
      <c r="Z1076" s="832">
        <f t="shared" ref="Z1076:AD1076" si="1395">+Z1074+Z1075</f>
        <v>2.1025</v>
      </c>
      <c r="AA1076" s="832">
        <f t="shared" si="1395"/>
        <v>2.5240999999999998</v>
      </c>
      <c r="AB1076" s="832">
        <f t="shared" si="1395"/>
        <v>2.145</v>
      </c>
      <c r="AC1076" s="832">
        <f t="shared" si="1395"/>
        <v>2.285625</v>
      </c>
      <c r="AD1076" s="832">
        <f t="shared" si="1395"/>
        <v>2.4332812500000003</v>
      </c>
      <c r="AE1076" s="832">
        <f t="shared" ref="AE1076" si="1396">+AE1074+AE1075</f>
        <v>2.5883203125000005</v>
      </c>
      <c r="AF1076" s="749"/>
      <c r="AG1076" s="749"/>
      <c r="AH1076" s="749"/>
      <c r="AI1076" s="749"/>
      <c r="AJ1076" s="749"/>
      <c r="AK1076" s="832">
        <v>1.5794000000000001</v>
      </c>
      <c r="AL1076" s="749"/>
      <c r="AM1076" s="832"/>
      <c r="AN1076" s="749"/>
      <c r="AO1076" s="749"/>
      <c r="AP1076" s="749"/>
      <c r="AQ1076" s="749"/>
      <c r="AR1076" s="749"/>
      <c r="AS1076" s="749"/>
      <c r="AT1076" s="749"/>
    </row>
    <row r="1077" spans="1:46">
      <c r="Q1077" s="749"/>
      <c r="R1077" s="749"/>
      <c r="S1077" s="749"/>
      <c r="T1077" s="749"/>
      <c r="U1077" s="749"/>
      <c r="V1077" s="749"/>
      <c r="W1077" s="749"/>
      <c r="X1077" s="749"/>
      <c r="Y1077" s="749"/>
      <c r="Z1077" s="749"/>
      <c r="AA1077" s="749"/>
      <c r="AB1077" s="749"/>
      <c r="AC1077" s="749"/>
      <c r="AD1077" s="749"/>
      <c r="AE1077" s="749"/>
      <c r="AF1077" s="749"/>
      <c r="AG1077" s="749"/>
      <c r="AH1077" s="749"/>
      <c r="AI1077" s="749"/>
      <c r="AJ1077" s="749"/>
      <c r="AK1077" s="749"/>
      <c r="AL1077" s="749"/>
      <c r="AM1077" s="749"/>
      <c r="AN1077" s="749"/>
      <c r="AO1077" s="749"/>
      <c r="AP1077" s="749"/>
      <c r="AQ1077" s="749"/>
      <c r="AR1077" s="749"/>
      <c r="AS1077" s="749"/>
      <c r="AT1077" s="749"/>
    </row>
    <row r="1078" spans="1:46" ht="12.75" customHeight="1">
      <c r="A1078" s="714"/>
      <c r="B1078" s="714"/>
      <c r="C1078" s="822"/>
      <c r="D1078" s="823"/>
      <c r="E1078" s="824" t="s">
        <v>1803</v>
      </c>
      <c r="F1078" s="825"/>
      <c r="G1078" s="826">
        <f>+InputY!$G$3</f>
        <v>1995</v>
      </c>
      <c r="H1078" s="826">
        <f>+G1078+1</f>
        <v>1996</v>
      </c>
      <c r="I1078" s="826">
        <f t="shared" ref="I1078:O1078" si="1397">+H1078+1</f>
        <v>1997</v>
      </c>
      <c r="J1078" s="826">
        <f t="shared" si="1397"/>
        <v>1998</v>
      </c>
      <c r="K1078" s="826">
        <f t="shared" si="1397"/>
        <v>1999</v>
      </c>
      <c r="L1078" s="826">
        <f t="shared" si="1397"/>
        <v>2000</v>
      </c>
      <c r="M1078" s="826">
        <f t="shared" si="1397"/>
        <v>2001</v>
      </c>
      <c r="N1078" s="826">
        <f t="shared" si="1397"/>
        <v>2002</v>
      </c>
      <c r="O1078" s="826">
        <f t="shared" si="1397"/>
        <v>2003</v>
      </c>
      <c r="P1078" s="826">
        <f t="shared" ref="P1078:U1078" si="1398">+O1078+1</f>
        <v>2004</v>
      </c>
      <c r="Q1078" s="826">
        <f t="shared" si="1398"/>
        <v>2005</v>
      </c>
      <c r="R1078" s="826">
        <f t="shared" si="1398"/>
        <v>2006</v>
      </c>
      <c r="S1078" s="2878">
        <f t="shared" si="1398"/>
        <v>2007</v>
      </c>
      <c r="T1078" s="2878">
        <f t="shared" si="1398"/>
        <v>2008</v>
      </c>
      <c r="U1078" s="2878">
        <f t="shared" si="1398"/>
        <v>2009</v>
      </c>
      <c r="V1078" s="2878">
        <f t="shared" ref="V1078:AE1078" si="1399">+U1078+1</f>
        <v>2010</v>
      </c>
      <c r="W1078" s="2878">
        <f t="shared" si="1399"/>
        <v>2011</v>
      </c>
      <c r="X1078" s="2878">
        <f t="shared" si="1399"/>
        <v>2012</v>
      </c>
      <c r="Y1078" s="2878">
        <f t="shared" si="1399"/>
        <v>2013</v>
      </c>
      <c r="Z1078" s="2878">
        <f t="shared" si="1399"/>
        <v>2014</v>
      </c>
      <c r="AA1078" s="2878">
        <f t="shared" si="1399"/>
        <v>2015</v>
      </c>
      <c r="AB1078" s="2878">
        <f t="shared" si="1399"/>
        <v>2016</v>
      </c>
      <c r="AC1078" s="2878">
        <f t="shared" si="1399"/>
        <v>2017</v>
      </c>
      <c r="AD1078" s="2878">
        <f t="shared" si="1399"/>
        <v>2018</v>
      </c>
      <c r="AE1078" s="2878">
        <f t="shared" si="1399"/>
        <v>2019</v>
      </c>
      <c r="AF1078" s="749"/>
      <c r="AG1078" s="749"/>
      <c r="AH1078" s="749"/>
      <c r="AI1078" s="749"/>
      <c r="AJ1078" s="749"/>
      <c r="AK1078" s="2878">
        <v>2014</v>
      </c>
      <c r="AL1078" s="749"/>
      <c r="AM1078" s="2878"/>
      <c r="AN1078" s="749"/>
      <c r="AO1078" s="749"/>
      <c r="AP1078" s="749"/>
      <c r="AQ1078" s="749"/>
      <c r="AR1078" s="749"/>
      <c r="AS1078" s="749"/>
      <c r="AT1078" s="749"/>
    </row>
    <row r="1079" spans="1:46" ht="12.75" customHeight="1">
      <c r="A1079" s="714"/>
      <c r="B1079" s="714"/>
      <c r="C1079" s="827" t="s">
        <v>622</v>
      </c>
      <c r="D1079" s="718" t="s">
        <v>590</v>
      </c>
      <c r="E1079" s="750" t="str">
        <f t="shared" ref="E1079:AD1079" si="1400">+E475</f>
        <v>Social contributions (D.61r)</v>
      </c>
      <c r="F1079" s="1059" t="str">
        <f t="shared" si="1400"/>
        <v>YESoc</v>
      </c>
      <c r="G1079" s="1061">
        <f t="shared" ca="1" si="1400"/>
        <v>7.0918999999999999</v>
      </c>
      <c r="H1079" s="1061">
        <f t="shared" si="1400"/>
        <v>7.3840000000000003</v>
      </c>
      <c r="I1079" s="1061">
        <f t="shared" si="1400"/>
        <v>8.1549999999999994</v>
      </c>
      <c r="J1079" s="1061">
        <f t="shared" si="1400"/>
        <v>8.5767000000000007</v>
      </c>
      <c r="K1079" s="1061">
        <f t="shared" si="1400"/>
        <v>8.8567</v>
      </c>
      <c r="L1079" s="1061">
        <f t="shared" si="1400"/>
        <v>9.1280000000000001</v>
      </c>
      <c r="M1079" s="1061">
        <f t="shared" si="1400"/>
        <v>9.736600000000001</v>
      </c>
      <c r="N1079" s="1061">
        <f t="shared" si="1400"/>
        <v>10.2836</v>
      </c>
      <c r="O1079" s="1061">
        <f t="shared" si="1400"/>
        <v>10.663799999999998</v>
      </c>
      <c r="P1079" s="1061">
        <f t="shared" si="1400"/>
        <v>10.838799999999999</v>
      </c>
      <c r="Q1079" s="1061">
        <f t="shared" si="1400"/>
        <v>10.980499999999999</v>
      </c>
      <c r="R1079" s="1061">
        <f t="shared" si="1400"/>
        <v>11.375299999999999</v>
      </c>
      <c r="S1079" s="1061">
        <f t="shared" si="1400"/>
        <v>12.502000000000001</v>
      </c>
      <c r="T1079" s="1061">
        <f t="shared" si="1400"/>
        <v>12.946899999999999</v>
      </c>
      <c r="U1079" s="1061">
        <f t="shared" si="1400"/>
        <v>13.5543</v>
      </c>
      <c r="V1079" s="1061">
        <f t="shared" si="1400"/>
        <v>13.688600000000001</v>
      </c>
      <c r="W1079" s="1061">
        <f t="shared" si="1400"/>
        <v>13.129100000000001</v>
      </c>
      <c r="X1079" s="1061">
        <f t="shared" si="1400"/>
        <v>13.734</v>
      </c>
      <c r="Y1079" s="1061">
        <f t="shared" si="1400"/>
        <v>13.915899999999999</v>
      </c>
      <c r="Z1079" s="1061">
        <f t="shared" si="1400"/>
        <v>13.755700000000001</v>
      </c>
      <c r="AA1079" s="1061">
        <f t="shared" si="1400"/>
        <v>14.129799999999999</v>
      </c>
      <c r="AB1079" s="1061">
        <f t="shared" si="1400"/>
        <v>13.931799999999999</v>
      </c>
      <c r="AC1079" s="1061">
        <f t="shared" si="1400"/>
        <v>14.164461059999999</v>
      </c>
      <c r="AD1079" s="1061">
        <f t="shared" si="1400"/>
        <v>14.630471828873999</v>
      </c>
      <c r="AE1079" s="1061">
        <f t="shared" ref="AE1079" si="1401">+AE475</f>
        <v>15.136686154153038</v>
      </c>
      <c r="AF1079" s="749"/>
      <c r="AG1079" s="749"/>
      <c r="AH1079" s="749"/>
      <c r="AI1079" s="749"/>
      <c r="AJ1079" s="749"/>
      <c r="AK1079" s="1061">
        <v>13.804613524718288</v>
      </c>
      <c r="AL1079" s="749"/>
      <c r="AM1079" s="1061"/>
      <c r="AN1079" s="749"/>
      <c r="AO1079" s="749"/>
      <c r="AP1079" s="749"/>
      <c r="AQ1079" s="749"/>
      <c r="AR1079" s="749"/>
      <c r="AS1079" s="749"/>
      <c r="AT1079" s="749"/>
    </row>
    <row r="1080" spans="1:46" ht="12.75" customHeight="1">
      <c r="A1080" s="714"/>
      <c r="B1080" s="714"/>
      <c r="C1080" s="829" t="s">
        <v>622</v>
      </c>
      <c r="D1080" s="724" t="s">
        <v>590</v>
      </c>
      <c r="E1080" s="830" t="str">
        <f t="shared" ref="E1080:AD1080" si="1402">+E591</f>
        <v>Other current transfers (D.7r)</v>
      </c>
      <c r="F1080" s="1060" t="str">
        <f t="shared" si="1402"/>
        <v>YETO</v>
      </c>
      <c r="G1080" s="1062">
        <f t="shared" ca="1" si="1402"/>
        <v>8.1986000000000008</v>
      </c>
      <c r="H1080" s="1062">
        <f t="shared" si="1402"/>
        <v>8.4001000000000001</v>
      </c>
      <c r="I1080" s="1062">
        <f t="shared" si="1402"/>
        <v>8.4994999999999994</v>
      </c>
      <c r="J1080" s="1062">
        <f t="shared" si="1402"/>
        <v>8.5106000000000002</v>
      </c>
      <c r="K1080" s="1062">
        <f t="shared" si="1402"/>
        <v>8.9922000000000004</v>
      </c>
      <c r="L1080" s="1062">
        <f t="shared" si="1402"/>
        <v>9.2243999999999993</v>
      </c>
      <c r="M1080" s="1062">
        <f t="shared" si="1402"/>
        <v>8.7437000000000005</v>
      </c>
      <c r="N1080" s="1062">
        <f t="shared" si="1402"/>
        <v>9.5617000000000001</v>
      </c>
      <c r="O1080" s="1062">
        <f t="shared" si="1402"/>
        <v>9.430299999999999</v>
      </c>
      <c r="P1080" s="1062">
        <f t="shared" si="1402"/>
        <v>8.6647999999999996</v>
      </c>
      <c r="Q1080" s="1062">
        <f t="shared" si="1402"/>
        <v>8.3533999999999988</v>
      </c>
      <c r="R1080" s="1062">
        <f t="shared" si="1402"/>
        <v>8.3882999999999992</v>
      </c>
      <c r="S1080" s="1062">
        <f t="shared" si="1402"/>
        <v>9.4182000000000006</v>
      </c>
      <c r="T1080" s="1062">
        <f t="shared" si="1402"/>
        <v>10.2418</v>
      </c>
      <c r="U1080" s="1062">
        <f t="shared" si="1402"/>
        <v>11.423</v>
      </c>
      <c r="V1080" s="1062">
        <f t="shared" si="1402"/>
        <v>12.7325</v>
      </c>
      <c r="W1080" s="1062">
        <f t="shared" si="1402"/>
        <v>12.618</v>
      </c>
      <c r="X1080" s="1062">
        <f t="shared" si="1402"/>
        <v>12.015499999999999</v>
      </c>
      <c r="Y1080" s="1062">
        <f t="shared" si="1402"/>
        <v>11.800799999999999</v>
      </c>
      <c r="Z1080" s="1062">
        <f t="shared" si="1402"/>
        <v>11.7119</v>
      </c>
      <c r="AA1080" s="1062">
        <f t="shared" si="1402"/>
        <v>12.341799999999999</v>
      </c>
      <c r="AB1080" s="1062">
        <f t="shared" si="1402"/>
        <v>12.150600000000001</v>
      </c>
      <c r="AC1080" s="1062">
        <f t="shared" si="1402"/>
        <v>12.150600000000001</v>
      </c>
      <c r="AD1080" s="1062">
        <f t="shared" si="1402"/>
        <v>12.150600000000001</v>
      </c>
      <c r="AE1080" s="1062">
        <f t="shared" ref="AE1080" si="1403">+AE591</f>
        <v>12.150600000000001</v>
      </c>
      <c r="AF1080" s="749"/>
      <c r="AG1080" s="749"/>
      <c r="AH1080" s="749"/>
      <c r="AI1080" s="749"/>
      <c r="AJ1080" s="749"/>
      <c r="AK1080" s="1062">
        <v>10.736723</v>
      </c>
      <c r="AL1080" s="749"/>
      <c r="AM1080" s="1062"/>
      <c r="AN1080" s="749"/>
      <c r="AO1080" s="749"/>
      <c r="AP1080" s="749"/>
      <c r="AQ1080" s="749"/>
      <c r="AR1080" s="749"/>
      <c r="AS1080" s="749"/>
      <c r="AT1080" s="749"/>
    </row>
    <row r="1081" spans="1:46" ht="12.75" customHeight="1">
      <c r="A1081" s="714"/>
      <c r="B1081" s="714"/>
      <c r="C1081" s="829" t="s">
        <v>2133</v>
      </c>
      <c r="D1081" s="724" t="s">
        <v>590</v>
      </c>
      <c r="E1081" s="830" t="str">
        <f t="shared" ref="E1081:AD1081" si="1404">+E519</f>
        <v>Social benefits (D.62p)</v>
      </c>
      <c r="F1081" s="1060" t="str">
        <f t="shared" si="1404"/>
        <v>$ETSoc</v>
      </c>
      <c r="G1081" s="1062">
        <f t="shared" ca="1" si="1404"/>
        <v>6.7646999999999995</v>
      </c>
      <c r="H1081" s="1062">
        <f t="shared" si="1404"/>
        <v>6.7424999999999997</v>
      </c>
      <c r="I1081" s="1062">
        <f t="shared" si="1404"/>
        <v>7.1728000000000005</v>
      </c>
      <c r="J1081" s="1062">
        <f t="shared" si="1404"/>
        <v>7.6583999999999994</v>
      </c>
      <c r="K1081" s="1062">
        <f t="shared" si="1404"/>
        <v>7.9091000000000005</v>
      </c>
      <c r="L1081" s="1062">
        <f t="shared" si="1404"/>
        <v>8.1843000000000004</v>
      </c>
      <c r="M1081" s="1062">
        <f t="shared" si="1404"/>
        <v>8.7964000000000002</v>
      </c>
      <c r="N1081" s="1062">
        <f t="shared" si="1404"/>
        <v>9.3657000000000004</v>
      </c>
      <c r="O1081" s="1062">
        <f t="shared" si="1404"/>
        <v>9.5960000000000001</v>
      </c>
      <c r="P1081" s="1062">
        <f t="shared" si="1404"/>
        <v>9.6895000000000007</v>
      </c>
      <c r="Q1081" s="1062">
        <f t="shared" si="1404"/>
        <v>9.7207000000000008</v>
      </c>
      <c r="R1081" s="1062">
        <f t="shared" si="1404"/>
        <v>10.0679</v>
      </c>
      <c r="S1081" s="1062">
        <f t="shared" si="1404"/>
        <v>10.177700000000002</v>
      </c>
      <c r="T1081" s="1062">
        <f t="shared" si="1404"/>
        <v>10.2012</v>
      </c>
      <c r="U1081" s="1062">
        <f t="shared" si="1404"/>
        <v>10.8371</v>
      </c>
      <c r="V1081" s="1062">
        <f t="shared" si="1404"/>
        <v>10.260399999999999</v>
      </c>
      <c r="W1081" s="1062">
        <f t="shared" si="1404"/>
        <v>10.1821</v>
      </c>
      <c r="X1081" s="1062">
        <f t="shared" si="1404"/>
        <v>10.8271</v>
      </c>
      <c r="Y1081" s="1062">
        <f t="shared" si="1404"/>
        <v>11.136899999999999</v>
      </c>
      <c r="Z1081" s="1062">
        <f t="shared" si="1404"/>
        <v>11.0589</v>
      </c>
      <c r="AA1081" s="1062">
        <f t="shared" si="1404"/>
        <v>11.359299999999999</v>
      </c>
      <c r="AB1081" s="1062">
        <f t="shared" si="1404"/>
        <v>11.1334</v>
      </c>
      <c r="AC1081" s="1062">
        <f t="shared" si="1404"/>
        <v>11.46294864</v>
      </c>
      <c r="AD1081" s="1062">
        <f t="shared" si="1404"/>
        <v>11.798813035152001</v>
      </c>
      <c r="AE1081" s="1062">
        <f t="shared" ref="AE1081" si="1405">+AE519</f>
        <v>12.29318330132487</v>
      </c>
      <c r="AF1081" s="749"/>
      <c r="AG1081" s="749"/>
      <c r="AH1081" s="749"/>
      <c r="AI1081" s="749"/>
      <c r="AJ1081" s="749"/>
      <c r="AK1081" s="1062">
        <v>11.277705651746354</v>
      </c>
      <c r="AL1081" s="749"/>
      <c r="AM1081" s="1062"/>
      <c r="AN1081" s="749"/>
      <c r="AO1081" s="749"/>
      <c r="AP1081" s="749"/>
      <c r="AQ1081" s="749"/>
      <c r="AR1081" s="749"/>
      <c r="AS1081" s="749"/>
      <c r="AT1081" s="749"/>
    </row>
    <row r="1082" spans="1:46" ht="12.75" customHeight="1">
      <c r="A1082" s="714"/>
      <c r="B1082" s="714"/>
      <c r="C1082" s="829" t="s">
        <v>2133</v>
      </c>
      <c r="D1082" s="724" t="s">
        <v>590</v>
      </c>
      <c r="E1082" s="830" t="str">
        <f t="shared" ref="E1082:AD1082" si="1406">+E590</f>
        <v>Other current transfers (D.7p)</v>
      </c>
      <c r="F1082" s="1060" t="str">
        <f t="shared" si="1406"/>
        <v>$ETO</v>
      </c>
      <c r="G1082" s="1062">
        <f t="shared" ca="1" si="1406"/>
        <v>7.4355000000000002</v>
      </c>
      <c r="H1082" s="1062">
        <f t="shared" si="1406"/>
        <v>7.8162000000000003</v>
      </c>
      <c r="I1082" s="1062">
        <f t="shared" si="1406"/>
        <v>7.8411999999999997</v>
      </c>
      <c r="J1082" s="1062">
        <f t="shared" si="1406"/>
        <v>7.9358999999999993</v>
      </c>
      <c r="K1082" s="1062">
        <f t="shared" si="1406"/>
        <v>8.2545000000000002</v>
      </c>
      <c r="L1082" s="1062">
        <f t="shared" si="1406"/>
        <v>8.3047000000000004</v>
      </c>
      <c r="M1082" s="1062">
        <f t="shared" si="1406"/>
        <v>7.8238000000000003</v>
      </c>
      <c r="N1082" s="1062">
        <f t="shared" si="1406"/>
        <v>8.742700000000001</v>
      </c>
      <c r="O1082" s="1062">
        <f t="shared" si="1406"/>
        <v>8.6210000000000004</v>
      </c>
      <c r="P1082" s="1062">
        <f t="shared" si="1406"/>
        <v>8.2820999999999998</v>
      </c>
      <c r="Q1082" s="1062">
        <f t="shared" si="1406"/>
        <v>8.1745999999999999</v>
      </c>
      <c r="R1082" s="1062">
        <f t="shared" si="1406"/>
        <v>8.2874999999999996</v>
      </c>
      <c r="S1082" s="1062">
        <f t="shared" si="1406"/>
        <v>9.3032000000000004</v>
      </c>
      <c r="T1082" s="1062">
        <f t="shared" si="1406"/>
        <v>10.979899999999999</v>
      </c>
      <c r="U1082" s="1062">
        <f t="shared" si="1406"/>
        <v>12.226299999999998</v>
      </c>
      <c r="V1082" s="1062">
        <f t="shared" si="1406"/>
        <v>13.0205</v>
      </c>
      <c r="W1082" s="1062">
        <f t="shared" si="1406"/>
        <v>12.914</v>
      </c>
      <c r="X1082" s="1062">
        <f t="shared" si="1406"/>
        <v>13.2311</v>
      </c>
      <c r="Y1082" s="1062">
        <f t="shared" si="1406"/>
        <v>13.1213</v>
      </c>
      <c r="Z1082" s="1062">
        <f t="shared" si="1406"/>
        <v>13.2645</v>
      </c>
      <c r="AA1082" s="1062">
        <f t="shared" si="1406"/>
        <v>13.4261</v>
      </c>
      <c r="AB1082" s="1062">
        <f t="shared" si="1406"/>
        <v>13.9785</v>
      </c>
      <c r="AC1082" s="1062">
        <f t="shared" si="1406"/>
        <v>14.167209750000001</v>
      </c>
      <c r="AD1082" s="1062">
        <f t="shared" si="1406"/>
        <v>14.549724413250001</v>
      </c>
      <c r="AE1082" s="1062">
        <f t="shared" ref="AE1082" si="1407">+AE590</f>
        <v>14.986216145647502</v>
      </c>
      <c r="AF1082" s="749"/>
      <c r="AG1082" s="749"/>
      <c r="AH1082" s="749"/>
      <c r="AI1082" s="749"/>
      <c r="AJ1082" s="749"/>
      <c r="AK1082" s="1062">
        <v>12.07475</v>
      </c>
      <c r="AL1082" s="749"/>
      <c r="AM1082" s="1062"/>
      <c r="AN1082" s="749"/>
      <c r="AO1082" s="749"/>
      <c r="AP1082" s="749"/>
      <c r="AQ1082" s="749"/>
      <c r="AR1082" s="749"/>
      <c r="AS1082" s="749"/>
      <c r="AT1082" s="749"/>
    </row>
    <row r="1083" spans="1:46" ht="12.75" customHeight="1">
      <c r="A1083" s="714"/>
      <c r="B1083" s="714">
        <v>106</v>
      </c>
      <c r="C1083" s="831" t="s">
        <v>624</v>
      </c>
      <c r="D1083" s="800" t="s">
        <v>590</v>
      </c>
      <c r="E1083" s="801" t="s">
        <v>963</v>
      </c>
      <c r="F1083" s="1065" t="s">
        <v>964</v>
      </c>
      <c r="G1083" s="832">
        <f t="shared" ref="G1083:Q1083" ca="1" si="1408">+G1079+G1080-G1081-G1082</f>
        <v>1.0903000000000018</v>
      </c>
      <c r="H1083" s="832">
        <f t="shared" si="1408"/>
        <v>1.2254000000000005</v>
      </c>
      <c r="I1083" s="832">
        <f t="shared" si="1408"/>
        <v>1.6404999999999985</v>
      </c>
      <c r="J1083" s="832">
        <f t="shared" si="1408"/>
        <v>1.4929999999999994</v>
      </c>
      <c r="K1083" s="832">
        <f t="shared" si="1408"/>
        <v>1.6852999999999998</v>
      </c>
      <c r="L1083" s="832">
        <f t="shared" si="1408"/>
        <v>1.8633999999999986</v>
      </c>
      <c r="M1083" s="832">
        <f t="shared" si="1408"/>
        <v>1.8600999999999992</v>
      </c>
      <c r="N1083" s="832">
        <f t="shared" si="1408"/>
        <v>1.7369000000000003</v>
      </c>
      <c r="O1083" s="832">
        <f t="shared" si="1408"/>
        <v>1.8770999999999969</v>
      </c>
      <c r="P1083" s="832">
        <f t="shared" si="1408"/>
        <v>1.5319999999999983</v>
      </c>
      <c r="Q1083" s="832">
        <f t="shared" si="1408"/>
        <v>1.4385999999999992</v>
      </c>
      <c r="R1083" s="832">
        <f t="shared" ref="R1083:Y1083" si="1409">+R1079+R1080-R1081-R1082</f>
        <v>1.4081999999999972</v>
      </c>
      <c r="S1083" s="832">
        <f t="shared" si="1409"/>
        <v>2.4392999999999994</v>
      </c>
      <c r="T1083" s="832">
        <f t="shared" si="1409"/>
        <v>2.0075999999999983</v>
      </c>
      <c r="U1083" s="832">
        <f t="shared" si="1409"/>
        <v>1.9139000000000017</v>
      </c>
      <c r="V1083" s="832">
        <f t="shared" si="1409"/>
        <v>3.1402000000000054</v>
      </c>
      <c r="W1083" s="832">
        <f t="shared" si="1409"/>
        <v>2.6510000000000034</v>
      </c>
      <c r="X1083" s="832">
        <f t="shared" si="1409"/>
        <v>1.6912999999999982</v>
      </c>
      <c r="Y1083" s="832">
        <f t="shared" si="1409"/>
        <v>1.4584999999999972</v>
      </c>
      <c r="Z1083" s="832">
        <f t="shared" ref="Z1083:AD1083" si="1410">+Z1079+Z1080-Z1081-Z1082</f>
        <v>1.1442000000000014</v>
      </c>
      <c r="AA1083" s="832">
        <f t="shared" si="1410"/>
        <v>1.6861999999999995</v>
      </c>
      <c r="AB1083" s="832">
        <f t="shared" si="1410"/>
        <v>0.97049999999999947</v>
      </c>
      <c r="AC1083" s="832">
        <f t="shared" si="1410"/>
        <v>0.68490266999999605</v>
      </c>
      <c r="AD1083" s="832">
        <f t="shared" si="1410"/>
        <v>0.43253438047199566</v>
      </c>
      <c r="AE1083" s="832">
        <f t="shared" ref="AE1083" si="1411">+AE1079+AE1080-AE1081-AE1082</f>
        <v>7.8867071806651978E-3</v>
      </c>
      <c r="AF1083" s="749"/>
      <c r="AG1083" s="749"/>
      <c r="AH1083" s="749"/>
      <c r="AI1083" s="749"/>
      <c r="AJ1083" s="749"/>
      <c r="AK1083" s="832">
        <v>1.1888808729719358</v>
      </c>
      <c r="AL1083" s="749"/>
      <c r="AM1083" s="832"/>
      <c r="AN1083" s="749"/>
      <c r="AO1083" s="749"/>
      <c r="AP1083" s="749"/>
      <c r="AQ1083" s="749"/>
      <c r="AR1083" s="749"/>
      <c r="AS1083" s="749"/>
      <c r="AT1083" s="749"/>
    </row>
    <row r="1084" spans="1:46">
      <c r="Q1084" s="749"/>
      <c r="V1084" s="2254"/>
      <c r="W1084" s="2254"/>
      <c r="X1084" s="2254"/>
      <c r="Y1084" s="2254"/>
      <c r="Z1084" s="2254"/>
      <c r="AA1084" s="2254"/>
      <c r="AB1084" s="2254"/>
      <c r="AC1084" s="2254"/>
      <c r="AD1084" s="2254"/>
      <c r="AE1084" s="2254"/>
      <c r="AF1084" s="749"/>
      <c r="AG1084" s="749"/>
      <c r="AH1084" s="749"/>
      <c r="AI1084" s="749"/>
      <c r="AJ1084" s="749"/>
      <c r="AK1084" s="2254"/>
      <c r="AL1084" s="749"/>
      <c r="AM1084" s="2254"/>
      <c r="AN1084" s="749"/>
      <c r="AO1084" s="749"/>
      <c r="AP1084" s="749"/>
      <c r="AQ1084" s="749"/>
      <c r="AR1084" s="749"/>
      <c r="AS1084" s="749"/>
      <c r="AT1084" s="749"/>
    </row>
    <row r="1085" spans="1:46" ht="12.75" customHeight="1">
      <c r="A1085" s="714"/>
      <c r="B1085" s="714"/>
      <c r="C1085" s="822"/>
      <c r="D1085" s="823"/>
      <c r="E1085" s="824" t="s">
        <v>1803</v>
      </c>
      <c r="F1085" s="825"/>
      <c r="G1085" s="826">
        <f>+InputY!$G$3</f>
        <v>1995</v>
      </c>
      <c r="H1085" s="826">
        <f>+G1085+1</f>
        <v>1996</v>
      </c>
      <c r="I1085" s="826">
        <f t="shared" ref="I1085:O1085" si="1412">+H1085+1</f>
        <v>1997</v>
      </c>
      <c r="J1085" s="826">
        <f t="shared" si="1412"/>
        <v>1998</v>
      </c>
      <c r="K1085" s="826">
        <f t="shared" si="1412"/>
        <v>1999</v>
      </c>
      <c r="L1085" s="826">
        <f t="shared" si="1412"/>
        <v>2000</v>
      </c>
      <c r="M1085" s="826">
        <f t="shared" si="1412"/>
        <v>2001</v>
      </c>
      <c r="N1085" s="826">
        <f t="shared" si="1412"/>
        <v>2002</v>
      </c>
      <c r="O1085" s="826">
        <f t="shared" si="1412"/>
        <v>2003</v>
      </c>
      <c r="P1085" s="826">
        <f t="shared" ref="P1085:U1085" si="1413">+O1085+1</f>
        <v>2004</v>
      </c>
      <c r="Q1085" s="826">
        <f t="shared" si="1413"/>
        <v>2005</v>
      </c>
      <c r="R1085" s="826">
        <f t="shared" si="1413"/>
        <v>2006</v>
      </c>
      <c r="S1085" s="2878">
        <f t="shared" si="1413"/>
        <v>2007</v>
      </c>
      <c r="T1085" s="2878">
        <f t="shared" si="1413"/>
        <v>2008</v>
      </c>
      <c r="U1085" s="2878">
        <f t="shared" si="1413"/>
        <v>2009</v>
      </c>
      <c r="V1085" s="2878">
        <f t="shared" ref="V1085:AE1085" si="1414">+U1085+1</f>
        <v>2010</v>
      </c>
      <c r="W1085" s="2878">
        <f t="shared" si="1414"/>
        <v>2011</v>
      </c>
      <c r="X1085" s="2878">
        <f t="shared" si="1414"/>
        <v>2012</v>
      </c>
      <c r="Y1085" s="2878">
        <f t="shared" si="1414"/>
        <v>2013</v>
      </c>
      <c r="Z1085" s="2878">
        <f t="shared" si="1414"/>
        <v>2014</v>
      </c>
      <c r="AA1085" s="2878">
        <f t="shared" si="1414"/>
        <v>2015</v>
      </c>
      <c r="AB1085" s="2878">
        <f t="shared" si="1414"/>
        <v>2016</v>
      </c>
      <c r="AC1085" s="2878">
        <f t="shared" si="1414"/>
        <v>2017</v>
      </c>
      <c r="AD1085" s="2878">
        <f t="shared" si="1414"/>
        <v>2018</v>
      </c>
      <c r="AE1085" s="2878">
        <f t="shared" si="1414"/>
        <v>2019</v>
      </c>
      <c r="AF1085" s="749"/>
      <c r="AG1085" s="749"/>
      <c r="AH1085" s="749"/>
      <c r="AI1085" s="749"/>
      <c r="AJ1085" s="749"/>
      <c r="AK1085" s="2878">
        <v>2014</v>
      </c>
      <c r="AL1085" s="749"/>
      <c r="AM1085" s="2878"/>
      <c r="AN1085" s="749"/>
      <c r="AO1085" s="749"/>
      <c r="AP1085" s="749"/>
      <c r="AQ1085" s="749"/>
      <c r="AR1085" s="749"/>
      <c r="AS1085" s="749"/>
      <c r="AT1085" s="749"/>
    </row>
    <row r="1086" spans="1:46" ht="12.75" customHeight="1">
      <c r="A1086" s="714"/>
      <c r="B1086" s="714"/>
      <c r="C1086" s="827" t="s">
        <v>622</v>
      </c>
      <c r="D1086" s="718" t="s">
        <v>590</v>
      </c>
      <c r="E1086" s="750" t="s">
        <v>1248</v>
      </c>
      <c r="F1086" s="1059" t="s">
        <v>1763</v>
      </c>
      <c r="G1086" s="828">
        <f ca="1">+'VVP2'!G240</f>
        <v>25.806999999999999</v>
      </c>
      <c r="H1086" s="828">
        <f>+'VVP2'!H240</f>
        <v>27.8751</v>
      </c>
      <c r="I1086" s="828">
        <f>+'VVP2'!I240</f>
        <v>29.753400000000003</v>
      </c>
      <c r="J1086" s="828">
        <f>+'VVP2'!J240</f>
        <v>32.0428</v>
      </c>
      <c r="K1086" s="828">
        <f>+'VVP2'!K240</f>
        <v>33.416899999999998</v>
      </c>
      <c r="L1086" s="828">
        <f>+'VVP2'!L240</f>
        <v>36.666699999999999</v>
      </c>
      <c r="M1086" s="828">
        <f>+'VVP2'!M240</f>
        <v>39.230199999999996</v>
      </c>
      <c r="N1086" s="828">
        <f>+'VVP2'!N240</f>
        <v>36.600099999999998</v>
      </c>
      <c r="O1086" s="828">
        <f>+'VVP2'!O240</f>
        <v>36.71</v>
      </c>
      <c r="P1086" s="828">
        <f>+'VVP2'!P240</f>
        <v>41.126400000000004</v>
      </c>
      <c r="Q1086" s="828">
        <f>+'VVP2'!Q240</f>
        <v>43.191099999999999</v>
      </c>
      <c r="R1086" s="828">
        <f>+'VVP2'!R240</f>
        <v>45.407199999999996</v>
      </c>
      <c r="S1086" s="828">
        <f>+'VVP2'!S240</f>
        <v>50.039400000000001</v>
      </c>
      <c r="T1086" s="828">
        <f>+'VVP2'!T240</f>
        <v>53.416499999999999</v>
      </c>
      <c r="U1086" s="828">
        <f>+'VVP2'!U240</f>
        <v>48.850900000000003</v>
      </c>
      <c r="V1086" s="828">
        <f>+'VVP2'!V240</f>
        <v>48.826300000000003</v>
      </c>
      <c r="W1086" s="828">
        <f>+'VVP2'!W240</f>
        <v>54.003399999999999</v>
      </c>
      <c r="X1086" s="828">
        <f>+'VVP2'!X240</f>
        <v>55.233599999999996</v>
      </c>
      <c r="Y1086" s="828">
        <f>+'VVP2'!Y240</f>
        <v>55.489599999999996</v>
      </c>
      <c r="Z1086" s="828">
        <f>+'VVP2'!Z240</f>
        <v>59.203000000000003</v>
      </c>
      <c r="AA1086" s="828">
        <f>+'VVP2'!AA240</f>
        <v>61.737099999999998</v>
      </c>
      <c r="AB1086" s="828">
        <f>+'VVP2'!AB240</f>
        <v>65.284700000000001</v>
      </c>
      <c r="AC1086" s="828">
        <f ca="1">+'VVP2'!AC240</f>
        <v>67.283083574731108</v>
      </c>
      <c r="AD1086" s="828">
        <f ca="1">+'VVP2'!AD240</f>
        <v>70.808394976491769</v>
      </c>
      <c r="AE1086" s="828">
        <f ca="1">+'VVP2'!AE240</f>
        <v>73.744650714527978</v>
      </c>
      <c r="AF1086" s="749"/>
      <c r="AG1086" s="749"/>
      <c r="AH1086" s="749"/>
      <c r="AI1086" s="749"/>
      <c r="AJ1086" s="749"/>
      <c r="AK1086" s="828">
        <v>59.107773290530488</v>
      </c>
      <c r="AL1086" s="749"/>
      <c r="AM1086" s="828"/>
      <c r="AN1086" s="749"/>
      <c r="AO1086" s="749"/>
      <c r="AP1086" s="749"/>
      <c r="AQ1086" s="749"/>
      <c r="AR1086" s="749"/>
      <c r="AS1086" s="749"/>
      <c r="AT1086" s="749"/>
    </row>
    <row r="1087" spans="1:46" ht="12.75" customHeight="1">
      <c r="A1087" s="714"/>
      <c r="B1087" s="714"/>
      <c r="C1087" s="829" t="s">
        <v>622</v>
      </c>
      <c r="D1087" s="724" t="s">
        <v>590</v>
      </c>
      <c r="E1087" s="830" t="s">
        <v>1528</v>
      </c>
      <c r="F1087" s="1060" t="s">
        <v>1907</v>
      </c>
      <c r="G1087" s="756">
        <f t="shared" ref="G1087:AA1087" ca="1" si="1415">+G851</f>
        <v>1.0882000000000001</v>
      </c>
      <c r="H1087" s="756">
        <f t="shared" si="1415"/>
        <v>0.89479999999999993</v>
      </c>
      <c r="I1087" s="756">
        <f t="shared" si="1415"/>
        <v>0.91020000000000001</v>
      </c>
      <c r="J1087" s="756">
        <f t="shared" si="1415"/>
        <v>1.1325000000000001</v>
      </c>
      <c r="K1087" s="756">
        <f t="shared" si="1415"/>
        <v>1.1903999999999999</v>
      </c>
      <c r="L1087" s="756">
        <f t="shared" si="1415"/>
        <v>3.3982000000000001</v>
      </c>
      <c r="M1087" s="756">
        <f t="shared" si="1415"/>
        <v>0.57950000000000002</v>
      </c>
      <c r="N1087" s="756">
        <f t="shared" si="1415"/>
        <v>0.13059999999999999</v>
      </c>
      <c r="O1087" s="756">
        <f t="shared" si="1415"/>
        <v>1.3355999999999999</v>
      </c>
      <c r="P1087" s="756">
        <f t="shared" si="1415"/>
        <v>3.5648</v>
      </c>
      <c r="Q1087" s="756">
        <f t="shared" si="1415"/>
        <v>4.6634000000000002</v>
      </c>
      <c r="R1087" s="756">
        <f t="shared" si="1415"/>
        <v>5.0633999999999997</v>
      </c>
      <c r="S1087" s="756">
        <f t="shared" si="1415"/>
        <v>4.2675999999999998</v>
      </c>
      <c r="T1087" s="756">
        <f t="shared" si="1415"/>
        <v>5.9844999999999997</v>
      </c>
      <c r="U1087" s="756">
        <f t="shared" si="1415"/>
        <v>-3.6092999999999997</v>
      </c>
      <c r="V1087" s="756">
        <f t="shared" si="1415"/>
        <v>2.8279000000000001</v>
      </c>
      <c r="W1087" s="756">
        <f t="shared" si="1415"/>
        <v>4.5380000000000003</v>
      </c>
      <c r="X1087" s="756">
        <f t="shared" si="1415"/>
        <v>1.633</v>
      </c>
      <c r="Y1087" s="756">
        <f t="shared" si="1415"/>
        <v>-0.29120000000000001</v>
      </c>
      <c r="Z1087" s="756">
        <f t="shared" si="1415"/>
        <v>1.2723</v>
      </c>
      <c r="AA1087" s="756">
        <f t="shared" si="1415"/>
        <v>1.7552999999999999</v>
      </c>
      <c r="AB1087" s="756">
        <f t="shared" ref="AB1087:AC1087" si="1416">+AB851</f>
        <v>2.0428999999999999</v>
      </c>
      <c r="AC1087" s="756">
        <f t="shared" si="1416"/>
        <v>5.6830000000000007</v>
      </c>
      <c r="AD1087" s="756">
        <f t="shared" ref="AD1087" ca="1" si="1417">+AD851</f>
        <v>5.6832000000000003</v>
      </c>
      <c r="AE1087" s="756">
        <f t="shared" ref="AE1087" ca="1" si="1418">+AE851</f>
        <v>5.6832000000000003</v>
      </c>
      <c r="AF1087" s="749"/>
      <c r="AG1087" s="749"/>
      <c r="AH1087" s="749"/>
      <c r="AI1087" s="749"/>
      <c r="AJ1087" s="749"/>
      <c r="AK1087" s="756">
        <v>-4.1006089999999995</v>
      </c>
      <c r="AL1087" s="749"/>
      <c r="AM1087" s="756"/>
      <c r="AN1087" s="749"/>
      <c r="AO1087" s="749"/>
      <c r="AP1087" s="749"/>
      <c r="AQ1087" s="749"/>
      <c r="AR1087" s="749"/>
      <c r="AS1087" s="749"/>
      <c r="AT1087" s="749"/>
    </row>
    <row r="1088" spans="1:46" ht="12.75" customHeight="1">
      <c r="A1088" s="714"/>
      <c r="B1088" s="714">
        <v>109</v>
      </c>
      <c r="C1088" s="831" t="s">
        <v>624</v>
      </c>
      <c r="D1088" s="800" t="s">
        <v>590</v>
      </c>
      <c r="E1088" s="801" t="s">
        <v>1303</v>
      </c>
      <c r="F1088" s="802"/>
      <c r="G1088" s="832">
        <f t="shared" ref="G1088:Q1088" ca="1" si="1419">+G1086+G1087</f>
        <v>26.895199999999999</v>
      </c>
      <c r="H1088" s="832">
        <f t="shared" si="1419"/>
        <v>28.7699</v>
      </c>
      <c r="I1088" s="832">
        <f t="shared" si="1419"/>
        <v>30.663600000000002</v>
      </c>
      <c r="J1088" s="832">
        <f t="shared" si="1419"/>
        <v>33.1753</v>
      </c>
      <c r="K1088" s="832">
        <f t="shared" si="1419"/>
        <v>34.607299999999995</v>
      </c>
      <c r="L1088" s="832">
        <f t="shared" si="1419"/>
        <v>40.064900000000002</v>
      </c>
      <c r="M1088" s="832">
        <f t="shared" si="1419"/>
        <v>39.809699999999999</v>
      </c>
      <c r="N1088" s="832">
        <f t="shared" si="1419"/>
        <v>36.730699999999999</v>
      </c>
      <c r="O1088" s="832">
        <f t="shared" si="1419"/>
        <v>38.0456</v>
      </c>
      <c r="P1088" s="832">
        <f t="shared" si="1419"/>
        <v>44.691200000000002</v>
      </c>
      <c r="Q1088" s="832">
        <f t="shared" si="1419"/>
        <v>47.854500000000002</v>
      </c>
      <c r="R1088" s="832">
        <f t="shared" ref="R1088:Y1088" si="1420">+R1086+R1087</f>
        <v>50.470599999999997</v>
      </c>
      <c r="S1088" s="832">
        <f t="shared" si="1420"/>
        <v>54.307000000000002</v>
      </c>
      <c r="T1088" s="832">
        <f t="shared" si="1420"/>
        <v>59.400999999999996</v>
      </c>
      <c r="U1088" s="832">
        <f t="shared" si="1420"/>
        <v>45.241600000000005</v>
      </c>
      <c r="V1088" s="832">
        <f t="shared" si="1420"/>
        <v>51.654200000000003</v>
      </c>
      <c r="W1088" s="832">
        <f t="shared" si="1420"/>
        <v>58.541399999999996</v>
      </c>
      <c r="X1088" s="832">
        <f t="shared" si="1420"/>
        <v>56.866599999999998</v>
      </c>
      <c r="Y1088" s="832">
        <f t="shared" si="1420"/>
        <v>55.198399999999992</v>
      </c>
      <c r="Z1088" s="832">
        <f t="shared" ref="Z1088:AD1088" si="1421">+Z1086+Z1087</f>
        <v>60.475300000000004</v>
      </c>
      <c r="AA1088" s="832">
        <f t="shared" si="1421"/>
        <v>63.492399999999996</v>
      </c>
      <c r="AB1088" s="832">
        <f t="shared" si="1421"/>
        <v>67.327600000000004</v>
      </c>
      <c r="AC1088" s="832">
        <f t="shared" ca="1" si="1421"/>
        <v>72.966083574731115</v>
      </c>
      <c r="AD1088" s="832">
        <f t="shared" ca="1" si="1421"/>
        <v>76.491594976491768</v>
      </c>
      <c r="AE1088" s="832">
        <f t="shared" ref="AE1088" ca="1" si="1422">+AE1086+AE1087</f>
        <v>79.427850714527978</v>
      </c>
      <c r="AF1088" s="749"/>
      <c r="AG1088" s="749"/>
      <c r="AH1088" s="749"/>
      <c r="AI1088" s="749"/>
      <c r="AJ1088" s="749"/>
      <c r="AK1088" s="832">
        <v>55.00716429053049</v>
      </c>
      <c r="AL1088" s="749"/>
      <c r="AM1088" s="832"/>
      <c r="AN1088" s="749"/>
      <c r="AO1088" s="749"/>
      <c r="AP1088" s="749"/>
      <c r="AQ1088" s="749"/>
      <c r="AR1088" s="749"/>
      <c r="AS1088" s="749"/>
      <c r="AT1088" s="749"/>
    </row>
    <row r="1089" spans="1:46">
      <c r="Q1089" s="749"/>
      <c r="R1089" s="749"/>
      <c r="S1089" s="749"/>
      <c r="T1089" s="749"/>
      <c r="U1089" s="749"/>
      <c r="V1089" s="749"/>
      <c r="W1089" s="749"/>
      <c r="X1089" s="749"/>
      <c r="Y1089" s="749"/>
      <c r="Z1089" s="749"/>
      <c r="AA1089" s="749"/>
      <c r="AB1089" s="749"/>
      <c r="AC1089" s="749"/>
      <c r="AD1089" s="749"/>
      <c r="AE1089" s="749"/>
      <c r="AF1089" s="749"/>
      <c r="AG1089" s="749"/>
      <c r="AH1089" s="749"/>
      <c r="AI1089" s="749"/>
      <c r="AJ1089" s="749"/>
      <c r="AK1089" s="749"/>
      <c r="AL1089" s="749"/>
      <c r="AM1089" s="749"/>
      <c r="AN1089" s="749"/>
      <c r="AO1089" s="749"/>
      <c r="AP1089" s="749"/>
      <c r="AQ1089" s="749"/>
      <c r="AR1089" s="749"/>
      <c r="AS1089" s="749"/>
      <c r="AT1089" s="749"/>
    </row>
    <row r="1090" spans="1:46" ht="12.75" customHeight="1">
      <c r="A1090" s="714"/>
      <c r="B1090" s="714"/>
      <c r="C1090" s="822"/>
      <c r="D1090" s="823"/>
      <c r="E1090" s="824" t="s">
        <v>1803</v>
      </c>
      <c r="F1090" s="825"/>
      <c r="G1090" s="826">
        <f>+InputY!$G$3</f>
        <v>1995</v>
      </c>
      <c r="H1090" s="826">
        <f>+G1090+1</f>
        <v>1996</v>
      </c>
      <c r="I1090" s="826">
        <f t="shared" ref="I1090:O1090" si="1423">+H1090+1</f>
        <v>1997</v>
      </c>
      <c r="J1090" s="826">
        <f t="shared" si="1423"/>
        <v>1998</v>
      </c>
      <c r="K1090" s="826">
        <f t="shared" si="1423"/>
        <v>1999</v>
      </c>
      <c r="L1090" s="826">
        <f t="shared" si="1423"/>
        <v>2000</v>
      </c>
      <c r="M1090" s="826">
        <f t="shared" si="1423"/>
        <v>2001</v>
      </c>
      <c r="N1090" s="826">
        <f t="shared" si="1423"/>
        <v>2002</v>
      </c>
      <c r="O1090" s="826">
        <f t="shared" si="1423"/>
        <v>2003</v>
      </c>
      <c r="P1090" s="826">
        <f t="shared" ref="P1090:U1090" si="1424">+O1090+1</f>
        <v>2004</v>
      </c>
      <c r="Q1090" s="826">
        <f t="shared" si="1424"/>
        <v>2005</v>
      </c>
      <c r="R1090" s="826">
        <f t="shared" si="1424"/>
        <v>2006</v>
      </c>
      <c r="S1090" s="2878">
        <f t="shared" si="1424"/>
        <v>2007</v>
      </c>
      <c r="T1090" s="2878">
        <f t="shared" si="1424"/>
        <v>2008</v>
      </c>
      <c r="U1090" s="2878">
        <f t="shared" si="1424"/>
        <v>2009</v>
      </c>
      <c r="V1090" s="2878">
        <f t="shared" ref="V1090:AE1090" si="1425">+U1090+1</f>
        <v>2010</v>
      </c>
      <c r="W1090" s="2878">
        <f t="shared" si="1425"/>
        <v>2011</v>
      </c>
      <c r="X1090" s="2878">
        <f t="shared" si="1425"/>
        <v>2012</v>
      </c>
      <c r="Y1090" s="2878">
        <f t="shared" si="1425"/>
        <v>2013</v>
      </c>
      <c r="Z1090" s="2878">
        <f t="shared" si="1425"/>
        <v>2014</v>
      </c>
      <c r="AA1090" s="2878">
        <f t="shared" si="1425"/>
        <v>2015</v>
      </c>
      <c r="AB1090" s="2878">
        <f t="shared" si="1425"/>
        <v>2016</v>
      </c>
      <c r="AC1090" s="2878">
        <f t="shared" si="1425"/>
        <v>2017</v>
      </c>
      <c r="AD1090" s="2878">
        <f t="shared" si="1425"/>
        <v>2018</v>
      </c>
      <c r="AE1090" s="2878">
        <f t="shared" si="1425"/>
        <v>2019</v>
      </c>
      <c r="AF1090" s="749"/>
      <c r="AG1090" s="749"/>
      <c r="AH1090" s="749"/>
      <c r="AI1090" s="749"/>
      <c r="AJ1090" s="749"/>
      <c r="AK1090" s="2878">
        <v>2014</v>
      </c>
      <c r="AL1090" s="749"/>
      <c r="AM1090" s="2878"/>
      <c r="AN1090" s="749"/>
      <c r="AO1090" s="749"/>
      <c r="AP1090" s="749"/>
      <c r="AQ1090" s="749"/>
      <c r="AR1090" s="749"/>
      <c r="AS1090" s="749"/>
      <c r="AT1090" s="749"/>
    </row>
    <row r="1091" spans="1:46" ht="12.75" customHeight="1">
      <c r="A1091" s="714"/>
      <c r="B1091" s="714"/>
      <c r="C1091" s="827" t="s">
        <v>622</v>
      </c>
      <c r="D1091" s="718" t="s">
        <v>590</v>
      </c>
      <c r="E1091" s="750" t="s">
        <v>250</v>
      </c>
      <c r="F1091" s="1059" t="s">
        <v>804</v>
      </c>
      <c r="G1091" s="1061">
        <f t="shared" ref="G1091:AD1091" ca="1" si="1426">-G796</f>
        <v>-0.66820000000000002</v>
      </c>
      <c r="H1091" s="1061">
        <f t="shared" si="1426"/>
        <v>-1.4042999999999999</v>
      </c>
      <c r="I1091" s="1061">
        <f t="shared" si="1426"/>
        <v>-2.3801000000000001</v>
      </c>
      <c r="J1091" s="1061">
        <f t="shared" si="1426"/>
        <v>-2.246</v>
      </c>
      <c r="K1091" s="1061">
        <f t="shared" si="1426"/>
        <v>-1.7175000000000002</v>
      </c>
      <c r="L1091" s="1061">
        <f t="shared" si="1426"/>
        <v>-2.0594000000000001</v>
      </c>
      <c r="M1091" s="1061">
        <f t="shared" si="1426"/>
        <v>-1.6375999999999999</v>
      </c>
      <c r="N1091" s="1061">
        <f t="shared" si="1426"/>
        <v>-1.3277999999999999</v>
      </c>
      <c r="O1091" s="1061">
        <f t="shared" si="1426"/>
        <v>-3.4469000000000003</v>
      </c>
      <c r="P1091" s="1061">
        <f t="shared" si="1426"/>
        <v>-1.6475000000000002</v>
      </c>
      <c r="Q1091" s="1061">
        <f t="shared" si="1426"/>
        <v>-9.8975000000000009</v>
      </c>
      <c r="R1091" s="1061">
        <f t="shared" si="1426"/>
        <v>-3.1446000000000001</v>
      </c>
      <c r="S1091" s="1061">
        <f t="shared" si="1426"/>
        <v>-3.3786999999999998</v>
      </c>
      <c r="T1091" s="1061">
        <f t="shared" si="1426"/>
        <v>-3.4189000000000003</v>
      </c>
      <c r="U1091" s="1061">
        <f t="shared" si="1426"/>
        <v>-3.4713999999999996</v>
      </c>
      <c r="V1091" s="1061">
        <f t="shared" si="1426"/>
        <v>-3.7886000000000002</v>
      </c>
      <c r="W1091" s="1061">
        <f t="shared" si="1426"/>
        <v>-4.9819000000000004</v>
      </c>
      <c r="X1091" s="1061">
        <f t="shared" si="1426"/>
        <v>-9.2680000000000007</v>
      </c>
      <c r="Y1091" s="1061">
        <f t="shared" si="1426"/>
        <v>-5.4373000000000005</v>
      </c>
      <c r="Z1091" s="1061">
        <f t="shared" si="1426"/>
        <v>-5.6782999999999992</v>
      </c>
      <c r="AA1091" s="1061">
        <f t="shared" si="1426"/>
        <v>-4.3631000000000002</v>
      </c>
      <c r="AB1091" s="1061">
        <f t="shared" si="1426"/>
        <v>-3.0581</v>
      </c>
      <c r="AC1091" s="1061">
        <f t="shared" si="1426"/>
        <v>-2.9969380000000001</v>
      </c>
      <c r="AD1091" s="1061">
        <f t="shared" si="1426"/>
        <v>-2.93699924</v>
      </c>
      <c r="AE1091" s="1061">
        <f t="shared" ref="AE1091" si="1427">-AE796</f>
        <v>-2.8782592552000001</v>
      </c>
      <c r="AF1091" s="749"/>
      <c r="AG1091" s="749"/>
      <c r="AH1091" s="749"/>
      <c r="AI1091" s="749"/>
      <c r="AJ1091" s="749"/>
      <c r="AK1091" s="1061">
        <v>-5.4745900000000001</v>
      </c>
      <c r="AL1091" s="749"/>
      <c r="AM1091" s="1061"/>
      <c r="AN1091" s="749"/>
      <c r="AO1091" s="749"/>
      <c r="AP1091" s="749"/>
      <c r="AQ1091" s="749"/>
      <c r="AR1091" s="749"/>
      <c r="AS1091" s="749"/>
      <c r="AT1091" s="749"/>
    </row>
    <row r="1092" spans="1:46" ht="12.75" customHeight="1">
      <c r="A1092" s="714"/>
      <c r="B1092" s="714"/>
      <c r="C1092" s="829" t="s">
        <v>622</v>
      </c>
      <c r="D1092" s="724" t="s">
        <v>590</v>
      </c>
      <c r="E1092" s="830" t="s">
        <v>1247</v>
      </c>
      <c r="F1092" s="1060" t="s">
        <v>1762</v>
      </c>
      <c r="G1092" s="1062">
        <f t="shared" ref="G1092:AA1092" ca="1" si="1428">+G829</f>
        <v>0.19119999999999998</v>
      </c>
      <c r="H1092" s="1062">
        <f t="shared" si="1428"/>
        <v>0.191</v>
      </c>
      <c r="I1092" s="1062">
        <f t="shared" si="1428"/>
        <v>0.25509999999999999</v>
      </c>
      <c r="J1092" s="1062">
        <f t="shared" si="1428"/>
        <v>0.21659999999999999</v>
      </c>
      <c r="K1092" s="1062">
        <f t="shared" si="1428"/>
        <v>0.1585</v>
      </c>
      <c r="L1092" s="1062">
        <f t="shared" si="1428"/>
        <v>0.2747</v>
      </c>
      <c r="M1092" s="1062">
        <f t="shared" si="1428"/>
        <v>0.15390000000000001</v>
      </c>
      <c r="N1092" s="1062">
        <f t="shared" si="1428"/>
        <v>0.46539999999999998</v>
      </c>
      <c r="O1092" s="1062">
        <f t="shared" si="1428"/>
        <v>0.25660000000000005</v>
      </c>
      <c r="P1092" s="1062">
        <f t="shared" si="1428"/>
        <v>0.3553</v>
      </c>
      <c r="Q1092" s="1062">
        <f t="shared" si="1428"/>
        <v>0.3029</v>
      </c>
      <c r="R1092" s="1062">
        <f t="shared" si="1428"/>
        <v>0.73480000000000001</v>
      </c>
      <c r="S1092" s="1062">
        <f t="shared" si="1428"/>
        <v>1.2899</v>
      </c>
      <c r="T1092" s="1062">
        <f t="shared" si="1428"/>
        <v>1.5078</v>
      </c>
      <c r="U1092" s="1062">
        <f t="shared" si="1428"/>
        <v>0.51639999999999997</v>
      </c>
      <c r="V1092" s="1062">
        <f t="shared" si="1428"/>
        <v>0.60639999999999994</v>
      </c>
      <c r="W1092" s="1062">
        <f t="shared" si="1428"/>
        <v>0.72010000000000007</v>
      </c>
      <c r="X1092" s="1062">
        <f t="shared" si="1428"/>
        <v>0.10909999999999999</v>
      </c>
      <c r="Y1092" s="1062">
        <f t="shared" si="1428"/>
        <v>0.77889999999999993</v>
      </c>
      <c r="Z1092" s="1062">
        <f t="shared" si="1428"/>
        <v>1.3807</v>
      </c>
      <c r="AA1092" s="1062">
        <f t="shared" si="1428"/>
        <v>0.30399999999999999</v>
      </c>
      <c r="AB1092" s="1062">
        <f t="shared" ref="AB1092:AC1092" si="1429">+AB829</f>
        <v>-0.19419999999999998</v>
      </c>
      <c r="AC1092" s="1062">
        <f t="shared" si="1429"/>
        <v>-0.19419999999999998</v>
      </c>
      <c r="AD1092" s="1062">
        <f t="shared" ref="AD1092" si="1430">+AD829</f>
        <v>-0.19419999999999998</v>
      </c>
      <c r="AE1092" s="1062">
        <f t="shared" ref="AE1092" si="1431">+AE829</f>
        <v>-0.19419999999999998</v>
      </c>
      <c r="AF1092" s="749"/>
      <c r="AG1092" s="749"/>
      <c r="AH1092" s="749"/>
      <c r="AI1092" s="749"/>
      <c r="AJ1092" s="749"/>
      <c r="AK1092" s="1062">
        <v>0.93899999999999995</v>
      </c>
      <c r="AL1092" s="749"/>
      <c r="AM1092" s="1062"/>
      <c r="AN1092" s="749"/>
      <c r="AO1092" s="749"/>
      <c r="AP1092" s="749"/>
      <c r="AQ1092" s="749"/>
      <c r="AR1092" s="749"/>
      <c r="AS1092" s="749"/>
      <c r="AT1092" s="749"/>
    </row>
    <row r="1093" spans="1:46" ht="12.75" customHeight="1">
      <c r="A1093" s="714"/>
      <c r="B1093" s="714">
        <v>110</v>
      </c>
      <c r="C1093" s="831" t="s">
        <v>624</v>
      </c>
      <c r="D1093" s="800" t="s">
        <v>590</v>
      </c>
      <c r="E1093" s="801" t="s">
        <v>1824</v>
      </c>
      <c r="F1093" s="802" t="s">
        <v>962</v>
      </c>
      <c r="G1093" s="832">
        <f t="shared" ref="G1093:Q1093" ca="1" si="1432">+G1091+G1092</f>
        <v>-0.47700000000000004</v>
      </c>
      <c r="H1093" s="832">
        <f t="shared" si="1432"/>
        <v>-1.2132999999999998</v>
      </c>
      <c r="I1093" s="832">
        <f t="shared" si="1432"/>
        <v>-2.125</v>
      </c>
      <c r="J1093" s="832">
        <f t="shared" si="1432"/>
        <v>-2.0293999999999999</v>
      </c>
      <c r="K1093" s="832">
        <f t="shared" si="1432"/>
        <v>-1.5590000000000002</v>
      </c>
      <c r="L1093" s="832">
        <f t="shared" si="1432"/>
        <v>-1.7847000000000002</v>
      </c>
      <c r="M1093" s="832">
        <f t="shared" si="1432"/>
        <v>-1.4837</v>
      </c>
      <c r="N1093" s="832">
        <f t="shared" si="1432"/>
        <v>-0.86239999999999983</v>
      </c>
      <c r="O1093" s="832">
        <f t="shared" si="1432"/>
        <v>-3.1903000000000001</v>
      </c>
      <c r="P1093" s="832">
        <f t="shared" si="1432"/>
        <v>-1.2922000000000002</v>
      </c>
      <c r="Q1093" s="832">
        <f t="shared" si="1432"/>
        <v>-9.5946000000000016</v>
      </c>
      <c r="R1093" s="832">
        <f t="shared" ref="R1093:Y1093" si="1433">+R1091+R1092</f>
        <v>-2.4098000000000002</v>
      </c>
      <c r="S1093" s="832">
        <f t="shared" si="1433"/>
        <v>-2.0888</v>
      </c>
      <c r="T1093" s="832">
        <f t="shared" si="1433"/>
        <v>-1.9111000000000002</v>
      </c>
      <c r="U1093" s="832">
        <f t="shared" si="1433"/>
        <v>-2.9549999999999996</v>
      </c>
      <c r="V1093" s="832">
        <f t="shared" si="1433"/>
        <v>-3.1822000000000004</v>
      </c>
      <c r="W1093" s="832">
        <f t="shared" si="1433"/>
        <v>-4.2618</v>
      </c>
      <c r="X1093" s="832">
        <f t="shared" si="1433"/>
        <v>-9.1589000000000009</v>
      </c>
      <c r="Y1093" s="832">
        <f t="shared" si="1433"/>
        <v>-4.6584000000000003</v>
      </c>
      <c r="Z1093" s="832">
        <f t="shared" ref="Z1093:AD1093" si="1434">+Z1091+Z1092</f>
        <v>-4.2975999999999992</v>
      </c>
      <c r="AA1093" s="832">
        <f t="shared" si="1434"/>
        <v>-4.0590999999999999</v>
      </c>
      <c r="AB1093" s="832">
        <f t="shared" si="1434"/>
        <v>-3.2523</v>
      </c>
      <c r="AC1093" s="832">
        <f t="shared" si="1434"/>
        <v>-3.191138</v>
      </c>
      <c r="AD1093" s="832">
        <f t="shared" si="1434"/>
        <v>-3.1311992399999999</v>
      </c>
      <c r="AE1093" s="832">
        <f t="shared" ref="AE1093" si="1435">+AE1091+AE1092</f>
        <v>-3.0724592552000001</v>
      </c>
      <c r="AF1093" s="749"/>
      <c r="AG1093" s="749"/>
      <c r="AH1093" s="749"/>
      <c r="AI1093" s="749"/>
      <c r="AJ1093" s="749"/>
      <c r="AK1093" s="832">
        <v>-4.53559</v>
      </c>
      <c r="AL1093" s="749"/>
      <c r="AM1093" s="832"/>
      <c r="AN1093" s="749"/>
      <c r="AO1093" s="749"/>
      <c r="AP1093" s="749"/>
      <c r="AQ1093" s="749"/>
      <c r="AR1093" s="749"/>
      <c r="AS1093" s="749"/>
      <c r="AT1093" s="749"/>
    </row>
    <row r="1094" spans="1:46">
      <c r="Q1094" s="749"/>
      <c r="R1094" s="749"/>
      <c r="S1094" s="749"/>
      <c r="T1094" s="749"/>
      <c r="U1094" s="749"/>
      <c r="V1094" s="749"/>
      <c r="W1094" s="749"/>
      <c r="X1094" s="749"/>
      <c r="Y1094" s="749"/>
      <c r="Z1094" s="749"/>
      <c r="AA1094" s="749"/>
      <c r="AB1094" s="749"/>
      <c r="AC1094" s="749"/>
      <c r="AD1094" s="749"/>
      <c r="AE1094" s="749"/>
      <c r="AF1094" s="749"/>
      <c r="AG1094" s="749"/>
      <c r="AH1094" s="749"/>
      <c r="AI1094" s="749"/>
      <c r="AJ1094" s="749"/>
      <c r="AK1094" s="749"/>
      <c r="AL1094" s="749"/>
      <c r="AM1094" s="749"/>
      <c r="AN1094" s="749"/>
      <c r="AO1094" s="749"/>
      <c r="AP1094" s="749"/>
      <c r="AQ1094" s="749"/>
      <c r="AR1094" s="749"/>
      <c r="AS1094" s="749"/>
      <c r="AT1094" s="749"/>
    </row>
    <row r="1095" spans="1:46" ht="12.75" customHeight="1">
      <c r="A1095" s="714"/>
      <c r="B1095" s="714"/>
      <c r="C1095" s="822"/>
      <c r="D1095" s="823"/>
      <c r="E1095" s="824" t="s">
        <v>1803</v>
      </c>
      <c r="F1095" s="825"/>
      <c r="G1095" s="826">
        <f>+InputY!$G$3</f>
        <v>1995</v>
      </c>
      <c r="H1095" s="826">
        <f>+G1095+1</f>
        <v>1996</v>
      </c>
      <c r="I1095" s="826">
        <f t="shared" ref="I1095:O1095" si="1436">+H1095+1</f>
        <v>1997</v>
      </c>
      <c r="J1095" s="826">
        <f t="shared" si="1436"/>
        <v>1998</v>
      </c>
      <c r="K1095" s="826">
        <f t="shared" si="1436"/>
        <v>1999</v>
      </c>
      <c r="L1095" s="826">
        <f t="shared" si="1436"/>
        <v>2000</v>
      </c>
      <c r="M1095" s="826">
        <f t="shared" si="1436"/>
        <v>2001</v>
      </c>
      <c r="N1095" s="826">
        <f t="shared" si="1436"/>
        <v>2002</v>
      </c>
      <c r="O1095" s="826">
        <f t="shared" si="1436"/>
        <v>2003</v>
      </c>
      <c r="P1095" s="826">
        <f t="shared" ref="P1095:U1095" si="1437">+O1095+1</f>
        <v>2004</v>
      </c>
      <c r="Q1095" s="826">
        <f t="shared" si="1437"/>
        <v>2005</v>
      </c>
      <c r="R1095" s="826">
        <f t="shared" si="1437"/>
        <v>2006</v>
      </c>
      <c r="S1095" s="2878">
        <f t="shared" si="1437"/>
        <v>2007</v>
      </c>
      <c r="T1095" s="2878">
        <f t="shared" si="1437"/>
        <v>2008</v>
      </c>
      <c r="U1095" s="2878">
        <f t="shared" si="1437"/>
        <v>2009</v>
      </c>
      <c r="V1095" s="2878">
        <f t="shared" ref="V1095:AE1095" si="1438">+U1095+1</f>
        <v>2010</v>
      </c>
      <c r="W1095" s="2878">
        <f t="shared" si="1438"/>
        <v>2011</v>
      </c>
      <c r="X1095" s="2878">
        <f t="shared" si="1438"/>
        <v>2012</v>
      </c>
      <c r="Y1095" s="2878">
        <f t="shared" si="1438"/>
        <v>2013</v>
      </c>
      <c r="Z1095" s="2878">
        <f t="shared" si="1438"/>
        <v>2014</v>
      </c>
      <c r="AA1095" s="2878">
        <f t="shared" si="1438"/>
        <v>2015</v>
      </c>
      <c r="AB1095" s="2878">
        <f t="shared" si="1438"/>
        <v>2016</v>
      </c>
      <c r="AC1095" s="2878">
        <f t="shared" si="1438"/>
        <v>2017</v>
      </c>
      <c r="AD1095" s="2878">
        <f t="shared" si="1438"/>
        <v>2018</v>
      </c>
      <c r="AE1095" s="2878">
        <f t="shared" si="1438"/>
        <v>2019</v>
      </c>
      <c r="AF1095" s="749"/>
      <c r="AG1095" s="749"/>
      <c r="AH1095" s="749"/>
      <c r="AI1095" s="749"/>
      <c r="AJ1095" s="749"/>
      <c r="AK1095" s="2878">
        <v>2014</v>
      </c>
      <c r="AL1095" s="749"/>
      <c r="AM1095" s="2878"/>
      <c r="AN1095" s="749"/>
      <c r="AO1095" s="749"/>
      <c r="AP1095" s="749"/>
      <c r="AQ1095" s="749"/>
      <c r="AR1095" s="749"/>
      <c r="AS1095" s="749"/>
      <c r="AT1095" s="749"/>
    </row>
    <row r="1096" spans="1:46" ht="12.75" customHeight="1">
      <c r="A1096" s="714"/>
      <c r="B1096" s="714"/>
      <c r="C1096" s="827" t="s">
        <v>622</v>
      </c>
      <c r="D1096" s="718" t="s">
        <v>591</v>
      </c>
      <c r="E1096" s="828" t="s">
        <v>828</v>
      </c>
      <c r="F1096" s="751" t="s">
        <v>157</v>
      </c>
      <c r="G1096" s="828">
        <f t="shared" ref="G1096:AD1096" si="1439">+G139</f>
        <v>0</v>
      </c>
      <c r="H1096" s="828">
        <f t="shared" si="1439"/>
        <v>0.18809999999999999</v>
      </c>
      <c r="I1096" s="828">
        <f t="shared" si="1439"/>
        <v>0.19080000000000003</v>
      </c>
      <c r="J1096" s="828">
        <f t="shared" si="1439"/>
        <v>0.2147</v>
      </c>
      <c r="K1096" s="828">
        <f t="shared" si="1439"/>
        <v>0.22159999999999999</v>
      </c>
      <c r="L1096" s="828">
        <f t="shared" si="1439"/>
        <v>0.2253</v>
      </c>
      <c r="M1096" s="828">
        <f t="shared" si="1439"/>
        <v>0.2283</v>
      </c>
      <c r="N1096" s="828">
        <f t="shared" si="1439"/>
        <v>0.24930000000000002</v>
      </c>
      <c r="O1096" s="828">
        <f t="shared" si="1439"/>
        <v>0.27089999999999997</v>
      </c>
      <c r="P1096" s="828">
        <f t="shared" si="1439"/>
        <v>0.3115</v>
      </c>
      <c r="Q1096" s="828">
        <f t="shared" si="1439"/>
        <v>0.38250000000000001</v>
      </c>
      <c r="R1096" s="828">
        <f t="shared" si="1439"/>
        <v>0.39050000000000001</v>
      </c>
      <c r="S1096" s="828">
        <f t="shared" si="1439"/>
        <v>0.43460000000000004</v>
      </c>
      <c r="T1096" s="828">
        <f t="shared" si="1439"/>
        <v>0.47320000000000001</v>
      </c>
      <c r="U1096" s="828">
        <f t="shared" si="1439"/>
        <v>0.54530000000000001</v>
      </c>
      <c r="V1096" s="828">
        <f t="shared" si="1439"/>
        <v>0.57020000000000004</v>
      </c>
      <c r="W1096" s="828">
        <f t="shared" si="1439"/>
        <v>0.58739999999999992</v>
      </c>
      <c r="X1096" s="828">
        <f t="shared" si="1439"/>
        <v>0.6177999999999999</v>
      </c>
      <c r="Y1096" s="828">
        <f t="shared" si="1439"/>
        <v>0.63449999999999995</v>
      </c>
      <c r="Z1096" s="828">
        <f t="shared" si="1439"/>
        <v>0.63</v>
      </c>
      <c r="AA1096" s="2956">
        <f t="shared" si="1439"/>
        <v>0.54889999999999994</v>
      </c>
      <c r="AB1096" s="2956">
        <f t="shared" si="1439"/>
        <v>0.52639999999999998</v>
      </c>
      <c r="AC1096" s="2956">
        <f t="shared" si="1439"/>
        <v>0.53149999999999997</v>
      </c>
      <c r="AD1096" s="2956">
        <f t="shared" si="1439"/>
        <v>0.56652585</v>
      </c>
      <c r="AE1096" s="2956">
        <f t="shared" ref="AE1096" si="1440">+AE139</f>
        <v>0.58782722196000003</v>
      </c>
      <c r="AF1096" s="2831"/>
      <c r="AG1096" s="749"/>
      <c r="AH1096" s="749"/>
      <c r="AI1096" s="749"/>
      <c r="AJ1096" s="749"/>
      <c r="AK1096" s="828">
        <v>0</v>
      </c>
      <c r="AL1096" s="749"/>
      <c r="AM1096" s="828"/>
      <c r="AN1096" s="749"/>
      <c r="AO1096" s="749"/>
      <c r="AP1096" s="749"/>
      <c r="AQ1096" s="749"/>
      <c r="AR1096" s="749"/>
      <c r="AS1096" s="749"/>
      <c r="AT1096" s="749"/>
    </row>
    <row r="1097" spans="1:46" ht="12.75" customHeight="1">
      <c r="A1097" s="714"/>
      <c r="B1097" s="714"/>
      <c r="C1097" s="829" t="s">
        <v>622</v>
      </c>
      <c r="D1097" s="1082" t="s">
        <v>591</v>
      </c>
      <c r="E1097" s="1085" t="s">
        <v>483</v>
      </c>
      <c r="F1097" s="754" t="s">
        <v>128</v>
      </c>
      <c r="G1097" s="756">
        <f t="shared" ref="G1097:AD1097" si="1441">+G228</f>
        <v>2.2835000000000001</v>
      </c>
      <c r="H1097" s="756">
        <f t="shared" si="1441"/>
        <v>2.8614999999999999</v>
      </c>
      <c r="I1097" s="756">
        <f t="shared" si="1441"/>
        <v>2.6621999999999999</v>
      </c>
      <c r="J1097" s="756">
        <f t="shared" si="1441"/>
        <v>2.6344000000000003</v>
      </c>
      <c r="K1097" s="756">
        <f t="shared" si="1441"/>
        <v>2.3803000000000001</v>
      </c>
      <c r="L1097" s="756">
        <f t="shared" si="1441"/>
        <v>2.8961999999999999</v>
      </c>
      <c r="M1097" s="756">
        <f t="shared" si="1441"/>
        <v>3.4688000000000003</v>
      </c>
      <c r="N1097" s="756">
        <f t="shared" si="1441"/>
        <v>3.0840999999999998</v>
      </c>
      <c r="O1097" s="756">
        <f t="shared" si="1441"/>
        <v>2.9409000000000001</v>
      </c>
      <c r="P1097" s="756">
        <f t="shared" si="1441"/>
        <v>2.2416999999999998</v>
      </c>
      <c r="Q1097" s="756">
        <f t="shared" si="1441"/>
        <v>2.5285000000000002</v>
      </c>
      <c r="R1097" s="756">
        <f t="shared" si="1441"/>
        <v>2.802</v>
      </c>
      <c r="S1097" s="756">
        <f t="shared" si="1441"/>
        <v>3.1078000000000001</v>
      </c>
      <c r="T1097" s="756">
        <f t="shared" si="1441"/>
        <v>3.6729000000000003</v>
      </c>
      <c r="U1097" s="756">
        <f t="shared" si="1441"/>
        <v>3.1504000000000003</v>
      </c>
      <c r="V1097" s="756">
        <f t="shared" si="1441"/>
        <v>3.7434000000000003</v>
      </c>
      <c r="W1097" s="756">
        <f t="shared" si="1441"/>
        <v>4.6672000000000002</v>
      </c>
      <c r="X1097" s="756">
        <f t="shared" si="1441"/>
        <v>4.7103999999999999</v>
      </c>
      <c r="Y1097" s="756">
        <f t="shared" si="1441"/>
        <v>5.0651000000000002</v>
      </c>
      <c r="Z1097" s="756">
        <f t="shared" si="1441"/>
        <v>4.0325999999999995</v>
      </c>
      <c r="AA1097" s="1376">
        <f t="shared" si="1441"/>
        <v>3.6075999999999997</v>
      </c>
      <c r="AB1097" s="1376">
        <f t="shared" si="1441"/>
        <v>3.7905000000000002</v>
      </c>
      <c r="AC1097" s="1376">
        <f t="shared" si="1441"/>
        <v>3.8524000000000003</v>
      </c>
      <c r="AD1097" s="1376">
        <f t="shared" si="1441"/>
        <v>3.81464648</v>
      </c>
      <c r="AE1097" s="1376">
        <f t="shared" ref="AE1097" si="1442">+AE228</f>
        <v>3.8272348133840004</v>
      </c>
      <c r="AF1097" s="2831"/>
      <c r="AG1097" s="749"/>
      <c r="AH1097" s="749"/>
      <c r="AI1097" s="749"/>
      <c r="AJ1097" s="749"/>
      <c r="AK1097" s="756">
        <v>3.3996</v>
      </c>
      <c r="AL1097" s="749"/>
      <c r="AM1097" s="756"/>
      <c r="AN1097" s="749"/>
      <c r="AO1097" s="749"/>
      <c r="AP1097" s="749"/>
      <c r="AQ1097" s="749"/>
      <c r="AR1097" s="749"/>
      <c r="AS1097" s="749"/>
      <c r="AT1097" s="749"/>
    </row>
    <row r="1098" spans="1:46" ht="12.75" customHeight="1">
      <c r="A1098" s="714"/>
      <c r="B1098" s="714"/>
      <c r="C1098" s="829" t="s">
        <v>622</v>
      </c>
      <c r="D1098" s="724" t="s">
        <v>591</v>
      </c>
      <c r="E1098" s="756" t="s">
        <v>1481</v>
      </c>
      <c r="F1098" s="754" t="s">
        <v>1067</v>
      </c>
      <c r="G1098" s="756">
        <f t="shared" ref="G1098:AD1098" si="1443">+G593</f>
        <v>0.6855</v>
      </c>
      <c r="H1098" s="756">
        <f t="shared" si="1443"/>
        <v>0.74239999999999995</v>
      </c>
      <c r="I1098" s="756">
        <f t="shared" si="1443"/>
        <v>0.66449999999999998</v>
      </c>
      <c r="J1098" s="756">
        <f t="shared" si="1443"/>
        <v>0.84310000000000007</v>
      </c>
      <c r="K1098" s="756">
        <f t="shared" si="1443"/>
        <v>0.95010000000000006</v>
      </c>
      <c r="L1098" s="756">
        <f t="shared" si="1443"/>
        <v>0.88600000000000001</v>
      </c>
      <c r="M1098" s="756">
        <f t="shared" si="1443"/>
        <v>1.06</v>
      </c>
      <c r="N1098" s="756">
        <f t="shared" si="1443"/>
        <v>1.0655999999999999</v>
      </c>
      <c r="O1098" s="756">
        <f t="shared" si="1443"/>
        <v>0.93559999999999999</v>
      </c>
      <c r="P1098" s="756">
        <f t="shared" si="1443"/>
        <v>1.2867999999999999</v>
      </c>
      <c r="Q1098" s="756">
        <f t="shared" si="1443"/>
        <v>1.4699</v>
      </c>
      <c r="R1098" s="756">
        <f t="shared" si="1443"/>
        <v>1.5019</v>
      </c>
      <c r="S1098" s="756">
        <f t="shared" si="1443"/>
        <v>1.4645999999999999</v>
      </c>
      <c r="T1098" s="756">
        <f t="shared" si="1443"/>
        <v>1.7404000000000002</v>
      </c>
      <c r="U1098" s="756">
        <f t="shared" si="1443"/>
        <v>2.1338000000000004</v>
      </c>
      <c r="V1098" s="756">
        <f t="shared" si="1443"/>
        <v>2.6238000000000001</v>
      </c>
      <c r="W1098" s="756">
        <f t="shared" si="1443"/>
        <v>2.8058000000000001</v>
      </c>
      <c r="X1098" s="756">
        <f t="shared" si="1443"/>
        <v>3.1826999999999996</v>
      </c>
      <c r="Y1098" s="756">
        <f t="shared" si="1443"/>
        <v>2.8327</v>
      </c>
      <c r="Z1098" s="756">
        <f t="shared" si="1443"/>
        <v>2.8565999999999998</v>
      </c>
      <c r="AA1098" s="1376">
        <f t="shared" si="1443"/>
        <v>2.6899000000000002</v>
      </c>
      <c r="AB1098" s="1376">
        <f t="shared" si="1443"/>
        <v>2.5316999999999998</v>
      </c>
      <c r="AC1098" s="1376">
        <f t="shared" si="1443"/>
        <v>2.7302</v>
      </c>
      <c r="AD1098" s="1376">
        <f t="shared" si="1443"/>
        <v>2.8989263600000004</v>
      </c>
      <c r="AE1098" s="1376">
        <f t="shared" ref="AE1098" si="1444">+AE593</f>
        <v>2.8968971115480002</v>
      </c>
      <c r="AF1098" s="2831"/>
      <c r="AG1098" s="749"/>
      <c r="AH1098" s="749"/>
      <c r="AI1098" s="749"/>
      <c r="AJ1098" s="749"/>
      <c r="AK1098" s="756">
        <v>2.9925999999999999</v>
      </c>
      <c r="AL1098" s="749"/>
      <c r="AM1098" s="756"/>
      <c r="AN1098" s="749"/>
      <c r="AO1098" s="749"/>
      <c r="AP1098" s="749"/>
      <c r="AQ1098" s="749"/>
      <c r="AR1098" s="749"/>
      <c r="AS1098" s="749"/>
      <c r="AT1098" s="749"/>
    </row>
    <row r="1099" spans="1:46" ht="12.75" customHeight="1">
      <c r="A1099" s="714"/>
      <c r="B1099" s="714">
        <v>117</v>
      </c>
      <c r="C1099" s="831" t="s">
        <v>624</v>
      </c>
      <c r="D1099" s="800" t="s">
        <v>591</v>
      </c>
      <c r="E1099" s="832" t="s">
        <v>865</v>
      </c>
      <c r="F1099" s="802" t="s">
        <v>1372</v>
      </c>
      <c r="G1099" s="832">
        <f t="shared" ref="G1099:Q1099" si="1445">+G1096+G1097+G1098</f>
        <v>2.9690000000000003</v>
      </c>
      <c r="H1099" s="832">
        <f t="shared" si="1445"/>
        <v>3.7919999999999998</v>
      </c>
      <c r="I1099" s="832">
        <f t="shared" si="1445"/>
        <v>3.5174999999999996</v>
      </c>
      <c r="J1099" s="832">
        <f t="shared" si="1445"/>
        <v>3.6922000000000006</v>
      </c>
      <c r="K1099" s="832">
        <f t="shared" si="1445"/>
        <v>3.552</v>
      </c>
      <c r="L1099" s="832">
        <f t="shared" si="1445"/>
        <v>4.0074999999999994</v>
      </c>
      <c r="M1099" s="832">
        <f t="shared" si="1445"/>
        <v>4.7571000000000003</v>
      </c>
      <c r="N1099" s="832">
        <f t="shared" si="1445"/>
        <v>4.3989999999999991</v>
      </c>
      <c r="O1099" s="832">
        <f t="shared" si="1445"/>
        <v>4.1474000000000002</v>
      </c>
      <c r="P1099" s="832">
        <f t="shared" si="1445"/>
        <v>3.84</v>
      </c>
      <c r="Q1099" s="832">
        <f t="shared" si="1445"/>
        <v>4.3809000000000005</v>
      </c>
      <c r="R1099" s="832">
        <f t="shared" ref="R1099:Y1099" si="1446">+R1096+R1097+R1098</f>
        <v>4.6943999999999999</v>
      </c>
      <c r="S1099" s="832">
        <f t="shared" si="1446"/>
        <v>5.0069999999999997</v>
      </c>
      <c r="T1099" s="832">
        <f t="shared" si="1446"/>
        <v>5.8865000000000007</v>
      </c>
      <c r="U1099" s="832">
        <f t="shared" si="1446"/>
        <v>5.8295000000000012</v>
      </c>
      <c r="V1099" s="832">
        <f t="shared" si="1446"/>
        <v>6.9374000000000002</v>
      </c>
      <c r="W1099" s="832">
        <f t="shared" si="1446"/>
        <v>8.0603999999999996</v>
      </c>
      <c r="X1099" s="832">
        <f t="shared" si="1446"/>
        <v>8.5108999999999995</v>
      </c>
      <c r="Y1099" s="832">
        <f t="shared" si="1446"/>
        <v>8.5322999999999993</v>
      </c>
      <c r="Z1099" s="832">
        <f t="shared" ref="Z1099:AD1099" si="1447">+Z1096+Z1097+Z1098</f>
        <v>7.5191999999999997</v>
      </c>
      <c r="AA1099" s="2009">
        <f t="shared" si="1447"/>
        <v>6.8463999999999992</v>
      </c>
      <c r="AB1099" s="2009">
        <f t="shared" si="1447"/>
        <v>6.8486000000000002</v>
      </c>
      <c r="AC1099" s="2009">
        <f t="shared" si="1447"/>
        <v>7.1141000000000005</v>
      </c>
      <c r="AD1099" s="2009">
        <f t="shared" si="1447"/>
        <v>7.2800986900000009</v>
      </c>
      <c r="AE1099" s="2009">
        <f t="shared" ref="AE1099" si="1448">+AE1096+AE1097+AE1098</f>
        <v>7.3119591468920007</v>
      </c>
      <c r="AF1099" s="2831"/>
      <c r="AG1099" s="749"/>
      <c r="AH1099" s="749"/>
      <c r="AI1099" s="749"/>
      <c r="AJ1099" s="749"/>
      <c r="AK1099" s="832">
        <v>6.3921999999999999</v>
      </c>
      <c r="AL1099" s="749"/>
      <c r="AM1099" s="832"/>
      <c r="AN1099" s="749"/>
      <c r="AO1099" s="749"/>
      <c r="AP1099" s="749"/>
      <c r="AQ1099" s="749"/>
      <c r="AR1099" s="749"/>
      <c r="AS1099" s="749"/>
      <c r="AT1099" s="749"/>
    </row>
    <row r="1100" spans="1:46">
      <c r="G1100" s="753"/>
      <c r="Q1100" s="749"/>
      <c r="R1100" s="749"/>
      <c r="S1100" s="749"/>
      <c r="T1100" s="749"/>
      <c r="U1100" s="749"/>
      <c r="V1100" s="749"/>
      <c r="W1100" s="749"/>
      <c r="X1100" s="749"/>
      <c r="Y1100" s="749"/>
      <c r="Z1100" s="749"/>
      <c r="AA1100" s="749"/>
      <c r="AB1100" s="749"/>
      <c r="AC1100" s="749"/>
      <c r="AD1100" s="749"/>
      <c r="AE1100" s="749"/>
      <c r="AF1100" s="2831"/>
      <c r="AG1100" s="749"/>
      <c r="AH1100" s="749"/>
      <c r="AI1100" s="749"/>
      <c r="AJ1100" s="749"/>
      <c r="AK1100" s="749"/>
      <c r="AL1100" s="749"/>
      <c r="AM1100" s="749"/>
      <c r="AN1100" s="749"/>
      <c r="AO1100" s="749"/>
      <c r="AP1100" s="749"/>
      <c r="AQ1100" s="749"/>
      <c r="AR1100" s="749"/>
      <c r="AS1100" s="749"/>
      <c r="AT1100" s="749"/>
    </row>
    <row r="1101" spans="1:46" ht="12.75" customHeight="1">
      <c r="A1101" s="714"/>
      <c r="B1101" s="714"/>
      <c r="C1101" s="822"/>
      <c r="D1101" s="823"/>
      <c r="E1101" s="824" t="s">
        <v>1803</v>
      </c>
      <c r="F1101" s="825"/>
      <c r="G1101" s="826">
        <f>+InputY!$G$3</f>
        <v>1995</v>
      </c>
      <c r="H1101" s="826">
        <f>+G1101+1</f>
        <v>1996</v>
      </c>
      <c r="I1101" s="826">
        <f t="shared" ref="I1101:O1101" si="1449">+H1101+1</f>
        <v>1997</v>
      </c>
      <c r="J1101" s="826">
        <f t="shared" si="1449"/>
        <v>1998</v>
      </c>
      <c r="K1101" s="826">
        <f t="shared" si="1449"/>
        <v>1999</v>
      </c>
      <c r="L1101" s="826">
        <f t="shared" si="1449"/>
        <v>2000</v>
      </c>
      <c r="M1101" s="826">
        <f t="shared" si="1449"/>
        <v>2001</v>
      </c>
      <c r="N1101" s="826">
        <f t="shared" si="1449"/>
        <v>2002</v>
      </c>
      <c r="O1101" s="826">
        <f t="shared" si="1449"/>
        <v>2003</v>
      </c>
      <c r="P1101" s="826">
        <f t="shared" ref="P1101:U1101" si="1450">+O1101+1</f>
        <v>2004</v>
      </c>
      <c r="Q1101" s="826">
        <f t="shared" si="1450"/>
        <v>2005</v>
      </c>
      <c r="R1101" s="826">
        <f t="shared" si="1450"/>
        <v>2006</v>
      </c>
      <c r="S1101" s="2878">
        <f t="shared" si="1450"/>
        <v>2007</v>
      </c>
      <c r="T1101" s="2878">
        <f t="shared" si="1450"/>
        <v>2008</v>
      </c>
      <c r="U1101" s="2878">
        <f t="shared" si="1450"/>
        <v>2009</v>
      </c>
      <c r="V1101" s="2878">
        <f t="shared" ref="V1101:AE1101" si="1451">+U1101+1</f>
        <v>2010</v>
      </c>
      <c r="W1101" s="2878">
        <f t="shared" si="1451"/>
        <v>2011</v>
      </c>
      <c r="X1101" s="2878">
        <f t="shared" si="1451"/>
        <v>2012</v>
      </c>
      <c r="Y1101" s="2878">
        <f t="shared" si="1451"/>
        <v>2013</v>
      </c>
      <c r="Z1101" s="2878">
        <f t="shared" si="1451"/>
        <v>2014</v>
      </c>
      <c r="AA1101" s="2878">
        <f t="shared" si="1451"/>
        <v>2015</v>
      </c>
      <c r="AB1101" s="2878">
        <f t="shared" si="1451"/>
        <v>2016</v>
      </c>
      <c r="AC1101" s="2878">
        <f t="shared" si="1451"/>
        <v>2017</v>
      </c>
      <c r="AD1101" s="2878">
        <f t="shared" si="1451"/>
        <v>2018</v>
      </c>
      <c r="AE1101" s="2878">
        <f t="shared" si="1451"/>
        <v>2019</v>
      </c>
      <c r="AG1101" s="749"/>
      <c r="AH1101" s="749"/>
      <c r="AI1101" s="749"/>
      <c r="AJ1101" s="749"/>
      <c r="AK1101" s="2878">
        <v>2014</v>
      </c>
      <c r="AL1101" s="749"/>
      <c r="AM1101" s="2878"/>
      <c r="AN1101" s="749"/>
      <c r="AO1101" s="749"/>
      <c r="AP1101" s="749"/>
      <c r="AQ1101" s="749"/>
      <c r="AR1101" s="749"/>
      <c r="AS1101" s="749"/>
      <c r="AT1101" s="749"/>
    </row>
    <row r="1102" spans="1:46" ht="12.75" customHeight="1">
      <c r="A1102" s="714"/>
      <c r="B1102" s="714"/>
      <c r="C1102" s="827" t="s">
        <v>622</v>
      </c>
      <c r="D1102" s="718" t="s">
        <v>591</v>
      </c>
      <c r="E1102" s="828" t="s">
        <v>1685</v>
      </c>
      <c r="F1102" s="751" t="s">
        <v>616</v>
      </c>
      <c r="G1102" s="828">
        <f t="shared" ref="G1102:AD1102" si="1452">+G30</f>
        <v>0</v>
      </c>
      <c r="H1102" s="828">
        <f t="shared" si="1452"/>
        <v>0</v>
      </c>
      <c r="I1102" s="828">
        <f t="shared" si="1452"/>
        <v>0</v>
      </c>
      <c r="J1102" s="828">
        <f t="shared" si="1452"/>
        <v>0</v>
      </c>
      <c r="K1102" s="828">
        <f t="shared" si="1452"/>
        <v>0</v>
      </c>
      <c r="L1102" s="828">
        <f t="shared" si="1452"/>
        <v>0</v>
      </c>
      <c r="M1102" s="828">
        <f t="shared" si="1452"/>
        <v>0</v>
      </c>
      <c r="N1102" s="828">
        <f t="shared" si="1452"/>
        <v>0</v>
      </c>
      <c r="O1102" s="828">
        <f t="shared" si="1452"/>
        <v>0</v>
      </c>
      <c r="P1102" s="828">
        <f t="shared" si="1452"/>
        <v>0</v>
      </c>
      <c r="Q1102" s="828">
        <f t="shared" si="1452"/>
        <v>0</v>
      </c>
      <c r="R1102" s="828">
        <f t="shared" si="1452"/>
        <v>0</v>
      </c>
      <c r="S1102" s="828">
        <f t="shared" si="1452"/>
        <v>0</v>
      </c>
      <c r="T1102" s="828">
        <f t="shared" si="1452"/>
        <v>0</v>
      </c>
      <c r="U1102" s="828">
        <f t="shared" si="1452"/>
        <v>0</v>
      </c>
      <c r="V1102" s="828">
        <f t="shared" si="1452"/>
        <v>0</v>
      </c>
      <c r="W1102" s="828">
        <f t="shared" si="1452"/>
        <v>0</v>
      </c>
      <c r="X1102" s="828">
        <f t="shared" si="1452"/>
        <v>0</v>
      </c>
      <c r="Y1102" s="828">
        <f t="shared" si="1452"/>
        <v>0</v>
      </c>
      <c r="Z1102" s="828">
        <f t="shared" si="1452"/>
        <v>0</v>
      </c>
      <c r="AA1102" s="2956">
        <f t="shared" si="1452"/>
        <v>0</v>
      </c>
      <c r="AB1102" s="2956">
        <f t="shared" si="1452"/>
        <v>0</v>
      </c>
      <c r="AC1102" s="2956">
        <f t="shared" si="1452"/>
        <v>0</v>
      </c>
      <c r="AD1102" s="2956">
        <f t="shared" si="1452"/>
        <v>0</v>
      </c>
      <c r="AE1102" s="2956">
        <f t="shared" ref="AE1102" si="1453">+AE30</f>
        <v>0</v>
      </c>
      <c r="AG1102" s="749"/>
      <c r="AH1102" s="749"/>
      <c r="AI1102" s="749"/>
      <c r="AJ1102" s="749"/>
      <c r="AK1102" s="828">
        <v>0</v>
      </c>
      <c r="AL1102" s="749"/>
      <c r="AM1102" s="828"/>
      <c r="AN1102" s="749"/>
      <c r="AO1102" s="749"/>
      <c r="AP1102" s="749"/>
      <c r="AQ1102" s="749"/>
      <c r="AR1102" s="749"/>
      <c r="AS1102" s="749"/>
      <c r="AT1102" s="749"/>
    </row>
    <row r="1103" spans="1:46" ht="12.75" customHeight="1">
      <c r="A1103" s="714"/>
      <c r="B1103" s="714"/>
      <c r="C1103" s="829" t="s">
        <v>622</v>
      </c>
      <c r="D1103" s="724" t="s">
        <v>591</v>
      </c>
      <c r="E1103" s="756" t="s">
        <v>1040</v>
      </c>
      <c r="F1103" s="1024" t="str">
        <f t="shared" ref="F1103:AD1103" si="1454">+F230</f>
        <v>$AProp - $AInt</v>
      </c>
      <c r="G1103" s="756">
        <f t="shared" si="1454"/>
        <v>1.7000000000007276E-3</v>
      </c>
      <c r="H1103" s="756">
        <f t="shared" si="1454"/>
        <v>1.4000000000014552E-3</v>
      </c>
      <c r="I1103" s="756">
        <f t="shared" si="1454"/>
        <v>1.8000000000029104E-3</v>
      </c>
      <c r="J1103" s="756">
        <f t="shared" si="1454"/>
        <v>2.4000000000014552E-3</v>
      </c>
      <c r="K1103" s="756">
        <f t="shared" si="1454"/>
        <v>3.4000000000014552E-3</v>
      </c>
      <c r="L1103" s="756">
        <f t="shared" si="1454"/>
        <v>3.9000000000014553E-3</v>
      </c>
      <c r="M1103" s="756">
        <f t="shared" si="1454"/>
        <v>4.0000000000000001E-3</v>
      </c>
      <c r="N1103" s="756">
        <f t="shared" si="1454"/>
        <v>8.8000000000010917E-3</v>
      </c>
      <c r="O1103" s="756">
        <f t="shared" si="1454"/>
        <v>5.5999999999985445E-3</v>
      </c>
      <c r="P1103" s="756">
        <f t="shared" si="1454"/>
        <v>5.7000000000007279E-3</v>
      </c>
      <c r="Q1103" s="756">
        <f t="shared" si="1454"/>
        <v>5.4999999999999997E-3</v>
      </c>
      <c r="R1103" s="756">
        <f t="shared" si="1454"/>
        <v>1.0300000000001091E-2</v>
      </c>
      <c r="S1103" s="756">
        <f t="shared" si="1454"/>
        <v>6.399999999999636E-3</v>
      </c>
      <c r="T1103" s="756">
        <f t="shared" si="1454"/>
        <v>2.8000000000010915E-3</v>
      </c>
      <c r="U1103" s="756">
        <f t="shared" si="1454"/>
        <v>3.8000000000010916E-3</v>
      </c>
      <c r="V1103" s="756">
        <f t="shared" si="1454"/>
        <v>4.7999999999992727E-3</v>
      </c>
      <c r="W1103" s="756">
        <f t="shared" si="1454"/>
        <v>7.3000000000010912E-3</v>
      </c>
      <c r="X1103" s="756">
        <f t="shared" si="1454"/>
        <v>7.0000000000000001E-3</v>
      </c>
      <c r="Y1103" s="756">
        <f t="shared" si="1454"/>
        <v>6.4000000000014549E-3</v>
      </c>
      <c r="Z1103" s="756">
        <f t="shared" si="1454"/>
        <v>2.5000000000000001E-3</v>
      </c>
      <c r="AA1103" s="1376">
        <f t="shared" si="1454"/>
        <v>1.3999999999996361E-3</v>
      </c>
      <c r="AB1103" s="1376">
        <f t="shared" si="1454"/>
        <v>0</v>
      </c>
      <c r="AC1103" s="1376">
        <f t="shared" si="1454"/>
        <v>0</v>
      </c>
      <c r="AD1103" s="1376">
        <f t="shared" si="1454"/>
        <v>0</v>
      </c>
      <c r="AE1103" s="1376">
        <f t="shared" ref="AE1103" si="1455">+AE230</f>
        <v>0</v>
      </c>
      <c r="AG1103" s="749"/>
      <c r="AH1103" s="749"/>
      <c r="AI1103" s="749"/>
      <c r="AJ1103" s="749"/>
      <c r="AK1103" s="756">
        <v>4.7999999999992727E-3</v>
      </c>
      <c r="AL1103" s="749"/>
      <c r="AM1103" s="756"/>
      <c r="AN1103" s="749"/>
      <c r="AO1103" s="749"/>
      <c r="AP1103" s="749"/>
      <c r="AQ1103" s="749"/>
      <c r="AR1103" s="749"/>
      <c r="AS1103" s="749"/>
      <c r="AT1103" s="749"/>
    </row>
    <row r="1104" spans="1:46" ht="12.75" customHeight="1">
      <c r="A1104" s="714"/>
      <c r="B1104" s="714"/>
      <c r="C1104" s="829" t="s">
        <v>622</v>
      </c>
      <c r="D1104" s="724" t="s">
        <v>591</v>
      </c>
      <c r="E1104" s="756" t="s">
        <v>1315</v>
      </c>
      <c r="F1104" s="754" t="s">
        <v>680</v>
      </c>
      <c r="G1104" s="756">
        <f t="shared" ref="G1104:AD1104" si="1456">+G317</f>
        <v>1.77E-2</v>
      </c>
      <c r="H1104" s="756">
        <f t="shared" si="1456"/>
        <v>1.9399999999999997E-2</v>
      </c>
      <c r="I1104" s="756">
        <f t="shared" si="1456"/>
        <v>2.9000000000000001E-2</v>
      </c>
      <c r="J1104" s="756">
        <f t="shared" si="1456"/>
        <v>3.85E-2</v>
      </c>
      <c r="K1104" s="756">
        <f t="shared" si="1456"/>
        <v>4.5399999999999996E-2</v>
      </c>
      <c r="L1104" s="756">
        <f t="shared" si="1456"/>
        <v>5.45E-2</v>
      </c>
      <c r="M1104" s="756">
        <f t="shared" si="1456"/>
        <v>6.13E-2</v>
      </c>
      <c r="N1104" s="756">
        <f t="shared" si="1456"/>
        <v>5.6100000000000004E-2</v>
      </c>
      <c r="O1104" s="756">
        <f t="shared" si="1456"/>
        <v>0.10909999999999999</v>
      </c>
      <c r="P1104" s="756">
        <f t="shared" si="1456"/>
        <v>3.1399999999999997E-2</v>
      </c>
      <c r="Q1104" s="756">
        <f t="shared" si="1456"/>
        <v>3.3100000000000004E-2</v>
      </c>
      <c r="R1104" s="756">
        <f t="shared" si="1456"/>
        <v>5.2999999999999999E-2</v>
      </c>
      <c r="S1104" s="756">
        <f t="shared" si="1456"/>
        <v>6.6900000000000001E-2</v>
      </c>
      <c r="T1104" s="756">
        <f t="shared" si="1456"/>
        <v>7.7999999999999996E-3</v>
      </c>
      <c r="U1104" s="756">
        <f t="shared" si="1456"/>
        <v>1.9399999999999997E-2</v>
      </c>
      <c r="V1104" s="756">
        <f t="shared" si="1456"/>
        <v>2.1100000000000001E-2</v>
      </c>
      <c r="W1104" s="756">
        <f t="shared" si="1456"/>
        <v>1.8100000000000002E-2</v>
      </c>
      <c r="X1104" s="756">
        <f t="shared" si="1456"/>
        <v>1.9899999999999998E-2</v>
      </c>
      <c r="Y1104" s="756">
        <f t="shared" si="1456"/>
        <v>3.6600000000000001E-2</v>
      </c>
      <c r="Z1104" s="756">
        <f t="shared" si="1456"/>
        <v>4.4899999999999995E-2</v>
      </c>
      <c r="AA1104" s="1376">
        <f t="shared" si="1456"/>
        <v>4.4899999999999995E-2</v>
      </c>
      <c r="AB1104" s="1376">
        <f t="shared" si="1456"/>
        <v>5.0500000000000003E-2</v>
      </c>
      <c r="AC1104" s="1376">
        <f t="shared" si="1456"/>
        <v>4.7399999999999998E-2</v>
      </c>
      <c r="AD1104" s="1376">
        <f t="shared" si="1456"/>
        <v>4.7399999999999998E-2</v>
      </c>
      <c r="AE1104" s="1376">
        <f t="shared" ref="AE1104" si="1457">+AE317</f>
        <v>4.7399999999999998E-2</v>
      </c>
      <c r="AG1104" s="749"/>
      <c r="AH1104" s="749"/>
      <c r="AI1104" s="749"/>
      <c r="AJ1104" s="749"/>
      <c r="AK1104" s="756">
        <v>1.5599999999999999E-2</v>
      </c>
      <c r="AL1104" s="749"/>
      <c r="AM1104" s="756"/>
      <c r="AN1104" s="749"/>
      <c r="AO1104" s="749"/>
      <c r="AP1104" s="749"/>
      <c r="AQ1104" s="749"/>
      <c r="AR1104" s="749"/>
      <c r="AS1104" s="749"/>
      <c r="AT1104" s="749"/>
    </row>
    <row r="1105" spans="1:46" ht="12.75" customHeight="1">
      <c r="A1105" s="714"/>
      <c r="B1105" s="714"/>
      <c r="C1105" s="829" t="s">
        <v>622</v>
      </c>
      <c r="D1105" s="724" t="s">
        <v>591</v>
      </c>
      <c r="E1105" s="756" t="s">
        <v>1440</v>
      </c>
      <c r="F1105" s="754" t="s">
        <v>1068</v>
      </c>
      <c r="G1105" s="756">
        <f t="shared" ref="G1105:AD1105" si="1458">+G592</f>
        <v>4.7809999999999997</v>
      </c>
      <c r="H1105" s="756">
        <f t="shared" si="1458"/>
        <v>4.1216999999999997</v>
      </c>
      <c r="I1105" s="756">
        <f t="shared" si="1458"/>
        <v>4.3490000000000002</v>
      </c>
      <c r="J1105" s="756">
        <f t="shared" si="1458"/>
        <v>4.4891999999999994</v>
      </c>
      <c r="K1105" s="756">
        <f t="shared" si="1458"/>
        <v>4.5836000000000006</v>
      </c>
      <c r="L1105" s="756">
        <f t="shared" si="1458"/>
        <v>4.7136000000000005</v>
      </c>
      <c r="M1105" s="756">
        <f t="shared" si="1458"/>
        <v>4.931</v>
      </c>
      <c r="N1105" s="756">
        <f t="shared" si="1458"/>
        <v>5.01</v>
      </c>
      <c r="O1105" s="756">
        <f t="shared" si="1458"/>
        <v>5.4466999999999999</v>
      </c>
      <c r="P1105" s="756">
        <f t="shared" si="1458"/>
        <v>5.8853</v>
      </c>
      <c r="Q1105" s="756">
        <f t="shared" si="1458"/>
        <v>6.2681000000000004</v>
      </c>
      <c r="R1105" s="756">
        <f t="shared" si="1458"/>
        <v>6.3140000000000001</v>
      </c>
      <c r="S1105" s="756">
        <f t="shared" si="1458"/>
        <v>5.9423999999999992</v>
      </c>
      <c r="T1105" s="756">
        <f t="shared" si="1458"/>
        <v>6.5183999999999997</v>
      </c>
      <c r="U1105" s="756">
        <f t="shared" si="1458"/>
        <v>7.7054999999999998</v>
      </c>
      <c r="V1105" s="756">
        <f t="shared" si="1458"/>
        <v>7.6926999999999994</v>
      </c>
      <c r="W1105" s="756">
        <f t="shared" si="1458"/>
        <v>7.9981999999999998</v>
      </c>
      <c r="X1105" s="756">
        <f t="shared" si="1458"/>
        <v>8.3178000000000001</v>
      </c>
      <c r="Y1105" s="756">
        <f t="shared" si="1458"/>
        <v>8.5162999999999993</v>
      </c>
      <c r="Z1105" s="756">
        <f t="shared" si="1458"/>
        <v>8.3675999999999995</v>
      </c>
      <c r="AA1105" s="1376">
        <f t="shared" si="1458"/>
        <v>8.4456000000000007</v>
      </c>
      <c r="AB1105" s="1376">
        <f t="shared" si="1458"/>
        <v>9.1624999999999996</v>
      </c>
      <c r="AC1105" s="1376">
        <f t="shared" si="1458"/>
        <v>7.9446000000000003</v>
      </c>
      <c r="AD1105" s="1376">
        <f t="shared" si="1458"/>
        <v>8.7477990600000002</v>
      </c>
      <c r="AE1105" s="1376">
        <f t="shared" ref="AE1105" si="1459">+AE592</f>
        <v>9.091587563057999</v>
      </c>
      <c r="AG1105" s="749"/>
      <c r="AH1105" s="749"/>
      <c r="AI1105" s="749"/>
      <c r="AJ1105" s="749"/>
      <c r="AK1105" s="756">
        <v>10.5205</v>
      </c>
      <c r="AL1105" s="749"/>
      <c r="AM1105" s="756"/>
      <c r="AN1105" s="749"/>
      <c r="AO1105" s="749"/>
      <c r="AP1105" s="749"/>
      <c r="AQ1105" s="749"/>
      <c r="AR1105" s="749"/>
      <c r="AS1105" s="749"/>
      <c r="AT1105" s="749"/>
    </row>
    <row r="1106" spans="1:46" ht="12.75" customHeight="1">
      <c r="A1106" s="714"/>
      <c r="B1106" s="714"/>
      <c r="C1106" s="829" t="s">
        <v>622</v>
      </c>
      <c r="D1106" s="724" t="s">
        <v>591</v>
      </c>
      <c r="E1106" s="756" t="s">
        <v>557</v>
      </c>
      <c r="F1106" s="754" t="s">
        <v>682</v>
      </c>
      <c r="G1106" s="1062">
        <f t="shared" ref="G1106:AD1106" si="1460">+G668</f>
        <v>1.6999999999999999E-3</v>
      </c>
      <c r="H1106" s="1062">
        <f t="shared" si="1460"/>
        <v>1.4E-3</v>
      </c>
      <c r="I1106" s="1062">
        <f t="shared" si="1460"/>
        <v>1.8E-3</v>
      </c>
      <c r="J1106" s="1062">
        <f t="shared" si="1460"/>
        <v>2.3999999999999998E-3</v>
      </c>
      <c r="K1106" s="1062">
        <f t="shared" si="1460"/>
        <v>3.3999999999999998E-3</v>
      </c>
      <c r="L1106" s="1062">
        <f t="shared" si="1460"/>
        <v>2E-3</v>
      </c>
      <c r="M1106" s="1062">
        <f t="shared" si="1460"/>
        <v>8.0000000000000004E-4</v>
      </c>
      <c r="N1106" s="1062">
        <f t="shared" si="1460"/>
        <v>1.1000000000000001E-3</v>
      </c>
      <c r="O1106" s="1062">
        <f t="shared" si="1460"/>
        <v>-4.4999999999999997E-3</v>
      </c>
      <c r="P1106" s="1062">
        <f t="shared" si="1460"/>
        <v>3.8999999999999998E-3</v>
      </c>
      <c r="Q1106" s="1062">
        <f t="shared" si="1460"/>
        <v>1E-3</v>
      </c>
      <c r="R1106" s="1062">
        <f t="shared" si="1460"/>
        <v>2.8999999999999998E-3</v>
      </c>
      <c r="S1106" s="1062">
        <f t="shared" si="1460"/>
        <v>-1.1999999999999999E-3</v>
      </c>
      <c r="T1106" s="1062">
        <f t="shared" si="1460"/>
        <v>3.7000000000000002E-3</v>
      </c>
      <c r="U1106" s="1062">
        <f t="shared" si="1460"/>
        <v>-6.0000000000000001E-3</v>
      </c>
      <c r="V1106" s="1062">
        <f t="shared" si="1460"/>
        <v>-7.1999999999999998E-3</v>
      </c>
      <c r="W1106" s="1062">
        <f t="shared" si="1460"/>
        <v>-9.300000000000001E-3</v>
      </c>
      <c r="X1106" s="1062">
        <f t="shared" si="1460"/>
        <v>-3.6899999999999995E-2</v>
      </c>
      <c r="Y1106" s="1062">
        <f t="shared" si="1460"/>
        <v>-3.9399999999999998E-2</v>
      </c>
      <c r="Z1106" s="1062">
        <f t="shared" si="1460"/>
        <v>-4.2500000000000003E-2</v>
      </c>
      <c r="AA1106" s="3781">
        <f t="shared" si="1460"/>
        <v>-4.7200000000000006E-2</v>
      </c>
      <c r="AB1106" s="3781">
        <f t="shared" si="1460"/>
        <v>0</v>
      </c>
      <c r="AC1106" s="3781">
        <f t="shared" si="1460"/>
        <v>0</v>
      </c>
      <c r="AD1106" s="3781">
        <f t="shared" si="1460"/>
        <v>0</v>
      </c>
      <c r="AE1106" s="3781">
        <f t="shared" ref="AE1106" si="1461">+AE668</f>
        <v>0</v>
      </c>
      <c r="AG1106" s="749"/>
      <c r="AH1106" s="749"/>
      <c r="AI1106" s="749"/>
      <c r="AJ1106" s="749"/>
      <c r="AK1106" s="1062">
        <v>-7.1999999999999998E-3</v>
      </c>
      <c r="AL1106" s="749"/>
      <c r="AM1106" s="1062"/>
      <c r="AN1106" s="749"/>
      <c r="AO1106" s="749"/>
      <c r="AP1106" s="749"/>
      <c r="AQ1106" s="749"/>
      <c r="AR1106" s="749"/>
      <c r="AS1106" s="749"/>
      <c r="AT1106" s="749"/>
    </row>
    <row r="1107" spans="1:46" ht="12.75" customHeight="1">
      <c r="A1107" s="714"/>
      <c r="B1107" s="714">
        <v>124</v>
      </c>
      <c r="C1107" s="831" t="s">
        <v>624</v>
      </c>
      <c r="D1107" s="800" t="s">
        <v>591</v>
      </c>
      <c r="E1107" s="832" t="s">
        <v>866</v>
      </c>
      <c r="F1107" s="802" t="s">
        <v>502</v>
      </c>
      <c r="G1107" s="832">
        <f>+G1102+G1103+G1104+G1105+G1106</f>
        <v>4.8021000000000003</v>
      </c>
      <c r="H1107" s="832">
        <f t="shared" ref="H1107:Q1107" si="1462">+H1102+H1103+H1104+H1105+H1106</f>
        <v>4.1439000000000012</v>
      </c>
      <c r="I1107" s="832">
        <f t="shared" si="1462"/>
        <v>4.3816000000000033</v>
      </c>
      <c r="J1107" s="832">
        <f t="shared" si="1462"/>
        <v>4.5325000000000006</v>
      </c>
      <c r="K1107" s="832">
        <f t="shared" si="1462"/>
        <v>4.6358000000000024</v>
      </c>
      <c r="L1107" s="832">
        <f t="shared" si="1462"/>
        <v>4.7740000000000018</v>
      </c>
      <c r="M1107" s="832">
        <f t="shared" si="1462"/>
        <v>4.9970999999999997</v>
      </c>
      <c r="N1107" s="832">
        <f t="shared" si="1462"/>
        <v>5.0760000000000014</v>
      </c>
      <c r="O1107" s="832">
        <f t="shared" si="1462"/>
        <v>5.556899999999998</v>
      </c>
      <c r="P1107" s="832">
        <f t="shared" si="1462"/>
        <v>5.9263000000000003</v>
      </c>
      <c r="Q1107" s="832">
        <f t="shared" si="1462"/>
        <v>6.3077000000000005</v>
      </c>
      <c r="R1107" s="832">
        <f t="shared" ref="R1107:Y1107" si="1463">+R1102+R1103+R1104+R1105+R1106</f>
        <v>6.3802000000000012</v>
      </c>
      <c r="S1107" s="832">
        <f t="shared" si="1463"/>
        <v>6.0144999999999991</v>
      </c>
      <c r="T1107" s="832">
        <f t="shared" si="1463"/>
        <v>6.5327000000000011</v>
      </c>
      <c r="U1107" s="832">
        <f t="shared" si="1463"/>
        <v>7.7227000000000006</v>
      </c>
      <c r="V1107" s="832">
        <f t="shared" si="1463"/>
        <v>7.7113999999999985</v>
      </c>
      <c r="W1107" s="832">
        <f t="shared" si="1463"/>
        <v>8.0143000000000004</v>
      </c>
      <c r="X1107" s="832">
        <f t="shared" si="1463"/>
        <v>8.3078000000000003</v>
      </c>
      <c r="Y1107" s="832">
        <f t="shared" si="1463"/>
        <v>8.5198999999999998</v>
      </c>
      <c r="Z1107" s="832">
        <f t="shared" ref="Z1107:AD1107" si="1464">+Z1102+Z1103+Z1104+Z1105+Z1106</f>
        <v>8.3724999999999987</v>
      </c>
      <c r="AA1107" s="2009">
        <f t="shared" si="1464"/>
        <v>8.444700000000001</v>
      </c>
      <c r="AB1107" s="2009">
        <f t="shared" si="1464"/>
        <v>9.2129999999999992</v>
      </c>
      <c r="AC1107" s="2009">
        <f t="shared" si="1464"/>
        <v>7.992</v>
      </c>
      <c r="AD1107" s="2009">
        <f t="shared" si="1464"/>
        <v>8.7951990599999998</v>
      </c>
      <c r="AE1107" s="2009">
        <f t="shared" ref="AE1107" si="1465">+AE1102+AE1103+AE1104+AE1105+AE1106</f>
        <v>9.1389875630579986</v>
      </c>
      <c r="AG1107" s="749"/>
      <c r="AH1107" s="749"/>
      <c r="AI1107" s="749"/>
      <c r="AJ1107" s="749"/>
      <c r="AK1107" s="832">
        <v>10.5337</v>
      </c>
      <c r="AL1107" s="749"/>
      <c r="AM1107" s="832"/>
      <c r="AN1107" s="749"/>
      <c r="AO1107" s="749"/>
      <c r="AP1107" s="749"/>
      <c r="AQ1107" s="749"/>
      <c r="AR1107" s="749"/>
      <c r="AS1107" s="749"/>
      <c r="AT1107" s="749"/>
    </row>
    <row r="1108" spans="1:46">
      <c r="Q1108" s="749"/>
      <c r="V1108" s="2254"/>
      <c r="W1108" s="2254"/>
      <c r="X1108" s="2254"/>
      <c r="Y1108" s="2254"/>
      <c r="Z1108" s="2254"/>
      <c r="AA1108" s="2254"/>
      <c r="AB1108" s="2254"/>
      <c r="AC1108" s="2254"/>
      <c r="AD1108" s="2254"/>
      <c r="AE1108" s="2254"/>
      <c r="AG1108" s="749"/>
      <c r="AH1108" s="749"/>
      <c r="AI1108" s="749"/>
      <c r="AJ1108" s="749"/>
      <c r="AK1108" s="2254"/>
      <c r="AL1108" s="749"/>
      <c r="AM1108" s="2254"/>
      <c r="AN1108" s="749"/>
      <c r="AO1108" s="749"/>
      <c r="AP1108" s="749"/>
      <c r="AQ1108" s="749"/>
      <c r="AR1108" s="749"/>
      <c r="AS1108" s="749"/>
      <c r="AT1108" s="749"/>
    </row>
    <row r="1109" spans="1:46" ht="12.75" customHeight="1">
      <c r="A1109" s="714"/>
      <c r="B1109" s="714"/>
      <c r="C1109" s="822"/>
      <c r="D1109" s="823"/>
      <c r="E1109" s="824" t="s">
        <v>1803</v>
      </c>
      <c r="F1109" s="825"/>
      <c r="G1109" s="826">
        <f>+InputY!$G$3</f>
        <v>1995</v>
      </c>
      <c r="H1109" s="826">
        <f>+G1109+1</f>
        <v>1996</v>
      </c>
      <c r="I1109" s="826">
        <f t="shared" ref="I1109:S1109" si="1466">+H1109+1</f>
        <v>1997</v>
      </c>
      <c r="J1109" s="826">
        <f t="shared" si="1466"/>
        <v>1998</v>
      </c>
      <c r="K1109" s="826">
        <f t="shared" si="1466"/>
        <v>1999</v>
      </c>
      <c r="L1109" s="826">
        <f t="shared" si="1466"/>
        <v>2000</v>
      </c>
      <c r="M1109" s="826">
        <f t="shared" si="1466"/>
        <v>2001</v>
      </c>
      <c r="N1109" s="826">
        <f t="shared" si="1466"/>
        <v>2002</v>
      </c>
      <c r="O1109" s="826">
        <f t="shared" si="1466"/>
        <v>2003</v>
      </c>
      <c r="P1109" s="826">
        <f>+O1109+1</f>
        <v>2004</v>
      </c>
      <c r="Q1109" s="826">
        <f>+P1109+1</f>
        <v>2005</v>
      </c>
      <c r="R1109" s="2163">
        <f t="shared" si="1466"/>
        <v>2006</v>
      </c>
      <c r="S1109" s="2877">
        <f t="shared" si="1466"/>
        <v>2007</v>
      </c>
      <c r="T1109" s="2877">
        <f t="shared" ref="T1109:AE1109" si="1467">+S1109+1</f>
        <v>2008</v>
      </c>
      <c r="U1109" s="2877">
        <f t="shared" si="1467"/>
        <v>2009</v>
      </c>
      <c r="V1109" s="2877">
        <f t="shared" si="1467"/>
        <v>2010</v>
      </c>
      <c r="W1109" s="2877">
        <f t="shared" si="1467"/>
        <v>2011</v>
      </c>
      <c r="X1109" s="2877">
        <f t="shared" si="1467"/>
        <v>2012</v>
      </c>
      <c r="Y1109" s="2877">
        <f t="shared" si="1467"/>
        <v>2013</v>
      </c>
      <c r="Z1109" s="2877">
        <f t="shared" si="1467"/>
        <v>2014</v>
      </c>
      <c r="AA1109" s="2877">
        <f t="shared" si="1467"/>
        <v>2015</v>
      </c>
      <c r="AB1109" s="2877">
        <f t="shared" si="1467"/>
        <v>2016</v>
      </c>
      <c r="AC1109" s="2877">
        <f t="shared" si="1467"/>
        <v>2017</v>
      </c>
      <c r="AD1109" s="2877">
        <f t="shared" si="1467"/>
        <v>2018</v>
      </c>
      <c r="AE1109" s="2877">
        <f t="shared" si="1467"/>
        <v>2019</v>
      </c>
      <c r="AG1109" s="749"/>
      <c r="AH1109" s="749"/>
      <c r="AI1109" s="749"/>
      <c r="AJ1109" s="749"/>
      <c r="AK1109" s="2877">
        <v>2014</v>
      </c>
      <c r="AL1109" s="749"/>
      <c r="AM1109" s="2877"/>
      <c r="AN1109" s="749"/>
      <c r="AO1109" s="749"/>
      <c r="AP1109" s="749"/>
      <c r="AQ1109" s="749"/>
      <c r="AR1109" s="749"/>
      <c r="AS1109" s="749"/>
      <c r="AT1109" s="749"/>
    </row>
    <row r="1110" spans="1:46" ht="12.75" customHeight="1">
      <c r="A1110" s="714"/>
      <c r="B1110" s="714"/>
      <c r="C1110" s="827" t="s">
        <v>622</v>
      </c>
      <c r="D1110" s="718" t="s">
        <v>591</v>
      </c>
      <c r="E1110" s="828" t="str">
        <f t="shared" ref="E1110:AD1110" si="1468">+E793</f>
        <v>Capital transfers (D.9p)</v>
      </c>
      <c r="F1110" s="751" t="str">
        <f t="shared" si="1468"/>
        <v>$ACapT</v>
      </c>
      <c r="G1110" s="828">
        <f t="shared" si="1468"/>
        <v>2.423</v>
      </c>
      <c r="H1110" s="828">
        <f t="shared" si="1468"/>
        <v>2.5951</v>
      </c>
      <c r="I1110" s="828">
        <f t="shared" si="1468"/>
        <v>3.3073999999999999</v>
      </c>
      <c r="J1110" s="828">
        <f t="shared" si="1468"/>
        <v>3.2728999999999999</v>
      </c>
      <c r="K1110" s="828">
        <f t="shared" si="1468"/>
        <v>3.1726000000000001</v>
      </c>
      <c r="L1110" s="828">
        <f t="shared" si="1468"/>
        <v>3.3184999999999998</v>
      </c>
      <c r="M1110" s="828">
        <f t="shared" si="1468"/>
        <v>2.6915</v>
      </c>
      <c r="N1110" s="828">
        <f t="shared" si="1468"/>
        <v>2.5646999999999998</v>
      </c>
      <c r="O1110" s="828">
        <f t="shared" si="1468"/>
        <v>4.2113000000000005</v>
      </c>
      <c r="P1110" s="828">
        <f t="shared" si="1468"/>
        <v>2.8041999999999998</v>
      </c>
      <c r="Q1110" s="828">
        <f t="shared" si="1468"/>
        <v>11.0641</v>
      </c>
      <c r="R1110" s="828">
        <f t="shared" si="1468"/>
        <v>3.9685999999999999</v>
      </c>
      <c r="S1110" s="828">
        <f t="shared" si="1468"/>
        <v>4.3313999999999995</v>
      </c>
      <c r="T1110" s="828">
        <f t="shared" si="1468"/>
        <v>4.5134999999999996</v>
      </c>
      <c r="U1110" s="828">
        <f t="shared" si="1468"/>
        <v>4.92</v>
      </c>
      <c r="V1110" s="828">
        <f t="shared" si="1468"/>
        <v>5.3414999999999999</v>
      </c>
      <c r="W1110" s="828">
        <f t="shared" si="1468"/>
        <v>7.3594999999999997</v>
      </c>
      <c r="X1110" s="828">
        <f t="shared" si="1468"/>
        <v>9.3437000000000001</v>
      </c>
      <c r="Y1110" s="828">
        <f t="shared" si="1468"/>
        <v>7.6079999999999997</v>
      </c>
      <c r="Z1110" s="828">
        <f t="shared" si="1468"/>
        <v>7.1178999999999997</v>
      </c>
      <c r="AA1110" s="2956">
        <f t="shared" si="1468"/>
        <v>5.2138999999999998</v>
      </c>
      <c r="AB1110" s="2956">
        <f t="shared" si="1468"/>
        <v>4.6886000000000001</v>
      </c>
      <c r="AC1110" s="2956">
        <f t="shared" si="1468"/>
        <v>4.2385999999999999</v>
      </c>
      <c r="AD1110" s="2956">
        <f t="shared" si="1468"/>
        <v>3.8568627361122965</v>
      </c>
      <c r="AE1110" s="2956">
        <f t="shared" ref="AE1110" si="1469">+AE793</f>
        <v>3.841290581887332</v>
      </c>
      <c r="AG1110" s="749"/>
      <c r="AH1110" s="749"/>
      <c r="AI1110" s="749"/>
      <c r="AJ1110" s="749"/>
      <c r="AK1110" s="828">
        <v>6.9731000000000005</v>
      </c>
      <c r="AL1110" s="749"/>
      <c r="AM1110" s="828"/>
      <c r="AN1110" s="749"/>
      <c r="AO1110" s="749"/>
      <c r="AP1110" s="749"/>
      <c r="AQ1110" s="749"/>
      <c r="AR1110" s="749"/>
      <c r="AS1110" s="749"/>
      <c r="AT1110" s="749"/>
    </row>
    <row r="1111" spans="1:46" ht="12.75" customHeight="1">
      <c r="A1111" s="714"/>
      <c r="B1111" s="714"/>
      <c r="C1111" s="829" t="s">
        <v>622</v>
      </c>
      <c r="D1111" s="724" t="s">
        <v>591</v>
      </c>
      <c r="E1111" s="756" t="str">
        <f t="shared" ref="E1111:AA1111" si="1470">+E852</f>
        <v>Changes in inventories / valuables (P.52 + P.53)</v>
      </c>
      <c r="F1111" s="754" t="str">
        <f t="shared" si="1470"/>
        <v>$AIny</v>
      </c>
      <c r="G1111" s="756">
        <f t="shared" si="1470"/>
        <v>-9.2299999999999993E-2</v>
      </c>
      <c r="H1111" s="756">
        <f t="shared" si="1470"/>
        <v>-7.3900000000000007E-2</v>
      </c>
      <c r="I1111" s="756">
        <f t="shared" si="1470"/>
        <v>-0.1128</v>
      </c>
      <c r="J1111" s="756">
        <f t="shared" si="1470"/>
        <v>-7.7700000000000005E-2</v>
      </c>
      <c r="K1111" s="756">
        <f t="shared" si="1470"/>
        <v>-5.7500000000000002E-2</v>
      </c>
      <c r="L1111" s="756">
        <f t="shared" si="1470"/>
        <v>-3.9600000000000003E-2</v>
      </c>
      <c r="M1111" s="756">
        <f t="shared" si="1470"/>
        <v>-4.6600000000000003E-2</v>
      </c>
      <c r="N1111" s="756">
        <f t="shared" si="1470"/>
        <v>-4.0899999999999999E-2</v>
      </c>
      <c r="O1111" s="756">
        <f t="shared" si="1470"/>
        <v>-6.3899999999999998E-2</v>
      </c>
      <c r="P1111" s="756">
        <f t="shared" si="1470"/>
        <v>-5.3399999999999996E-2</v>
      </c>
      <c r="Q1111" s="756">
        <f t="shared" si="1470"/>
        <v>-5.8700000000000002E-2</v>
      </c>
      <c r="R1111" s="756">
        <f t="shared" si="1470"/>
        <v>-2.1700000000000001E-2</v>
      </c>
      <c r="S1111" s="756">
        <f t="shared" si="1470"/>
        <v>-5.2299999999999999E-2</v>
      </c>
      <c r="T1111" s="756">
        <f t="shared" si="1470"/>
        <v>0.24669999999999997</v>
      </c>
      <c r="U1111" s="756">
        <f t="shared" si="1470"/>
        <v>0.36810000000000004</v>
      </c>
      <c r="V1111" s="756">
        <f t="shared" si="1470"/>
        <v>0.3397</v>
      </c>
      <c r="W1111" s="756">
        <f t="shared" si="1470"/>
        <v>0.57279999999999998</v>
      </c>
      <c r="X1111" s="756">
        <f t="shared" si="1470"/>
        <v>0.53639999999999999</v>
      </c>
      <c r="Y1111" s="756">
        <f t="shared" si="1470"/>
        <v>0.24159999999999998</v>
      </c>
      <c r="Z1111" s="756">
        <f t="shared" si="1470"/>
        <v>-0.13550000000000001</v>
      </c>
      <c r="AA1111" s="1376">
        <f t="shared" si="1470"/>
        <v>-8.1599999999999992E-2</v>
      </c>
      <c r="AB1111" s="1376">
        <f t="shared" ref="AB1111:AC1111" si="1471">+AB852</f>
        <v>-4.7E-2</v>
      </c>
      <c r="AC1111" s="1376">
        <f t="shared" si="1471"/>
        <v>-8.3799999999999999E-2</v>
      </c>
      <c r="AD1111" s="1376">
        <f t="shared" ref="AD1111" si="1472">+AD852</f>
        <v>-8.4000000000000005E-2</v>
      </c>
      <c r="AE1111" s="1376">
        <f t="shared" ref="AE1111" si="1473">+AE852</f>
        <v>-8.4000000000000005E-2</v>
      </c>
      <c r="AG1111" s="749"/>
      <c r="AH1111" s="749"/>
      <c r="AI1111" s="749"/>
      <c r="AJ1111" s="749"/>
      <c r="AK1111" s="756">
        <v>-0.1085</v>
      </c>
      <c r="AL1111" s="749"/>
      <c r="AM1111" s="756"/>
      <c r="AN1111" s="749"/>
      <c r="AO1111" s="749"/>
      <c r="AP1111" s="749"/>
      <c r="AQ1111" s="749"/>
      <c r="AR1111" s="749"/>
      <c r="AS1111" s="749"/>
      <c r="AT1111" s="749"/>
    </row>
    <row r="1112" spans="1:46" ht="12.75" customHeight="1">
      <c r="A1112" s="714"/>
      <c r="B1112" s="714"/>
      <c r="C1112" s="829" t="s">
        <v>622</v>
      </c>
      <c r="D1112" s="724" t="s">
        <v>591</v>
      </c>
      <c r="E1112" s="756" t="str">
        <f t="shared" ref="E1112:AA1112" si="1474">+E830</f>
        <v>Acq. less disp. of non-fin. non-prod. assets (K.2)</v>
      </c>
      <c r="F1112" s="754" t="str">
        <f t="shared" si="1474"/>
        <v>ANonFinN</v>
      </c>
      <c r="G1112" s="756">
        <f t="shared" si="1474"/>
        <v>4.0000000000000001E-3</v>
      </c>
      <c r="H1112" s="756">
        <f t="shared" si="1474"/>
        <v>5.7999999999999996E-3</v>
      </c>
      <c r="I1112" s="756">
        <f t="shared" si="1474"/>
        <v>-3.0999999999999999E-3</v>
      </c>
      <c r="J1112" s="756">
        <f t="shared" si="1474"/>
        <v>2.3999999999999998E-3</v>
      </c>
      <c r="K1112" s="756">
        <f t="shared" si="1474"/>
        <v>1.78E-2</v>
      </c>
      <c r="L1112" s="756">
        <f t="shared" si="1474"/>
        <v>1.5E-3</v>
      </c>
      <c r="M1112" s="756">
        <f t="shared" si="1474"/>
        <v>8.6499999999999994E-2</v>
      </c>
      <c r="N1112" s="756">
        <f t="shared" si="1474"/>
        <v>-0.14549999999999999</v>
      </c>
      <c r="O1112" s="756">
        <f t="shared" si="1474"/>
        <v>2.3600000000000003E-2</v>
      </c>
      <c r="P1112" s="756">
        <f t="shared" si="1474"/>
        <v>1.54E-2</v>
      </c>
      <c r="Q1112" s="756">
        <f t="shared" si="1474"/>
        <v>-4.9100000000000005E-2</v>
      </c>
      <c r="R1112" s="756">
        <f t="shared" si="1474"/>
        <v>-0.4627</v>
      </c>
      <c r="S1112" s="756">
        <f t="shared" si="1474"/>
        <v>5.7999999999999996E-3</v>
      </c>
      <c r="T1112" s="756">
        <f t="shared" si="1474"/>
        <v>4.1799999999999997E-2</v>
      </c>
      <c r="U1112" s="756">
        <f t="shared" si="1474"/>
        <v>4.7100000000000003E-2</v>
      </c>
      <c r="V1112" s="756">
        <f t="shared" si="1474"/>
        <v>-0.10059999999999999</v>
      </c>
      <c r="W1112" s="756">
        <f t="shared" si="1474"/>
        <v>-2.47E-2</v>
      </c>
      <c r="X1112" s="756">
        <f t="shared" si="1474"/>
        <v>9.9099999999999994E-2</v>
      </c>
      <c r="Y1112" s="756">
        <f t="shared" si="1474"/>
        <v>0.22319999999999998</v>
      </c>
      <c r="Z1112" s="756">
        <f t="shared" si="1474"/>
        <v>0.1123</v>
      </c>
      <c r="AA1112" s="1376">
        <f t="shared" si="1474"/>
        <v>0.1138</v>
      </c>
      <c r="AB1112" s="1376">
        <f t="shared" ref="AB1112:AC1112" si="1475">+AB830</f>
        <v>4.5700000000000005E-2</v>
      </c>
      <c r="AC1112" s="1376">
        <f t="shared" si="1475"/>
        <v>0.15240000000000001</v>
      </c>
      <c r="AD1112" s="1376">
        <f t="shared" ref="AD1112" si="1476">+AD830</f>
        <v>0.10100000000000001</v>
      </c>
      <c r="AE1112" s="1376">
        <f t="shared" ref="AE1112" si="1477">+AE830</f>
        <v>9.0999999999999998E-2</v>
      </c>
      <c r="AK1112" s="756">
        <v>5.7700000000000001E-2</v>
      </c>
      <c r="AM1112" s="756"/>
    </row>
    <row r="1113" spans="1:46" ht="12.75" customHeight="1">
      <c r="A1113" s="714"/>
      <c r="B1113" s="714">
        <v>127</v>
      </c>
      <c r="C1113" s="829" t="s">
        <v>624</v>
      </c>
      <c r="D1113" s="794" t="s">
        <v>591</v>
      </c>
      <c r="E1113" s="843" t="s">
        <v>1824</v>
      </c>
      <c r="F1113" s="796"/>
      <c r="G1113" s="843">
        <f t="shared" ref="G1113:Q1113" si="1478">+G1110+G1111+G1112</f>
        <v>2.3347000000000002</v>
      </c>
      <c r="H1113" s="843">
        <f t="shared" si="1478"/>
        <v>2.5269999999999997</v>
      </c>
      <c r="I1113" s="843">
        <f t="shared" si="1478"/>
        <v>3.1915</v>
      </c>
      <c r="J1113" s="843">
        <f t="shared" si="1478"/>
        <v>3.1976</v>
      </c>
      <c r="K1113" s="843">
        <f t="shared" si="1478"/>
        <v>3.1328999999999998</v>
      </c>
      <c r="L1113" s="843">
        <f t="shared" si="1478"/>
        <v>3.2803999999999998</v>
      </c>
      <c r="M1113" s="843">
        <f t="shared" si="1478"/>
        <v>2.7313999999999998</v>
      </c>
      <c r="N1113" s="843">
        <f t="shared" si="1478"/>
        <v>2.3782999999999994</v>
      </c>
      <c r="O1113" s="843">
        <f t="shared" si="1478"/>
        <v>4.1710000000000003</v>
      </c>
      <c r="P1113" s="843">
        <f t="shared" si="1478"/>
        <v>2.7662</v>
      </c>
      <c r="Q1113" s="843">
        <f t="shared" si="1478"/>
        <v>10.956300000000001</v>
      </c>
      <c r="R1113" s="843">
        <f t="shared" ref="R1113:Y1113" si="1479">+R1110+R1111+R1112</f>
        <v>3.4842</v>
      </c>
      <c r="S1113" s="843">
        <f t="shared" si="1479"/>
        <v>4.2848999999999995</v>
      </c>
      <c r="T1113" s="843">
        <f t="shared" si="1479"/>
        <v>4.8019999999999996</v>
      </c>
      <c r="U1113" s="843">
        <f t="shared" si="1479"/>
        <v>5.3352000000000004</v>
      </c>
      <c r="V1113" s="843">
        <f t="shared" si="1479"/>
        <v>5.5805999999999996</v>
      </c>
      <c r="W1113" s="843">
        <f t="shared" si="1479"/>
        <v>7.9075999999999995</v>
      </c>
      <c r="X1113" s="843">
        <f t="shared" si="1479"/>
        <v>9.9792000000000005</v>
      </c>
      <c r="Y1113" s="843">
        <f t="shared" si="1479"/>
        <v>8.0727999999999991</v>
      </c>
      <c r="Z1113" s="843">
        <f t="shared" ref="Z1113:AD1113" si="1480">+Z1110+Z1111+Z1112</f>
        <v>7.0946999999999996</v>
      </c>
      <c r="AA1113" s="2984">
        <f t="shared" si="1480"/>
        <v>5.2461000000000002</v>
      </c>
      <c r="AB1113" s="2984">
        <f t="shared" si="1480"/>
        <v>4.6873000000000005</v>
      </c>
      <c r="AC1113" s="2984">
        <f t="shared" si="1480"/>
        <v>4.3071999999999999</v>
      </c>
      <c r="AD1113" s="2984">
        <f t="shared" si="1480"/>
        <v>3.8738627361122964</v>
      </c>
      <c r="AE1113" s="2984">
        <f t="shared" ref="AE1113" si="1481">+AE1110+AE1111+AE1112</f>
        <v>3.8482905818873321</v>
      </c>
      <c r="AK1113" s="843">
        <v>6.9222999999999999</v>
      </c>
      <c r="AM1113" s="843"/>
    </row>
    <row r="1114" spans="1:46" ht="12.75" customHeight="1">
      <c r="A1114" s="714"/>
      <c r="B1114" s="714"/>
      <c r="C1114" s="882"/>
      <c r="D1114" s="726" t="s">
        <v>591</v>
      </c>
      <c r="E1114" s="1124" t="s">
        <v>1248</v>
      </c>
      <c r="F1114" s="1169" t="str">
        <f>+'VVP2'!F237</f>
        <v>$AI</v>
      </c>
      <c r="G1114" s="1432">
        <f>+'VVP2'!G237</f>
        <v>4.6926999999999994</v>
      </c>
      <c r="H1114" s="1432">
        <f>+'VVP2'!H237</f>
        <v>4.6556000000000006</v>
      </c>
      <c r="I1114" s="1432">
        <f>+'VVP2'!I237</f>
        <v>4.9722</v>
      </c>
      <c r="J1114" s="1432">
        <f>+'VVP2'!J237</f>
        <v>5.0324</v>
      </c>
      <c r="K1114" s="1432">
        <f>+'VVP2'!K237</f>
        <v>5.9561999999999999</v>
      </c>
      <c r="L1114" s="1432">
        <f>+'VVP2'!L237</f>
        <v>6.2696999999999994</v>
      </c>
      <c r="M1114" s="1432">
        <f>+'VVP2'!M237</f>
        <v>5.7919999999999998</v>
      </c>
      <c r="N1114" s="1432">
        <f>+'VVP2'!N237</f>
        <v>5.8331</v>
      </c>
      <c r="O1114" s="1432">
        <f>+'VVP2'!O237</f>
        <v>6.0922999999999998</v>
      </c>
      <c r="P1114" s="1432">
        <f>+'VVP2'!P237</f>
        <v>6.1935000000000002</v>
      </c>
      <c r="Q1114" s="1432">
        <f>+'VVP2'!Q237</f>
        <v>6.6242000000000001</v>
      </c>
      <c r="R1114" s="1432">
        <f>+'VVP2'!R237</f>
        <v>6.4175000000000004</v>
      </c>
      <c r="S1114" s="1432">
        <f>+'VVP2'!S237</f>
        <v>7.0301</v>
      </c>
      <c r="T1114" s="1432">
        <f>+'VVP2'!T237</f>
        <v>7.4166999999999996</v>
      </c>
      <c r="U1114" s="1432">
        <f>+'VVP2'!U237</f>
        <v>8.1306000000000012</v>
      </c>
      <c r="V1114" s="1432">
        <f>+'VVP2'!V237</f>
        <v>8.3940000000000001</v>
      </c>
      <c r="W1114" s="1432">
        <f>+'VVP2'!W237</f>
        <v>9.2747000000000011</v>
      </c>
      <c r="X1114" s="1432">
        <f>+'VVP2'!X237</f>
        <v>9.6434999999999995</v>
      </c>
      <c r="Y1114" s="1432">
        <f>+'VVP2'!Y237</f>
        <v>9.2502999999999993</v>
      </c>
      <c r="Z1114" s="1432">
        <f>+'VVP2'!Z237</f>
        <v>9.3675999999999995</v>
      </c>
      <c r="AA1114" s="3782">
        <f>+'VVP2'!AA237</f>
        <v>9.4318999999999988</v>
      </c>
      <c r="AB1114" s="3782">
        <f>+'VVP2'!AB237</f>
        <v>9.3502999999999989</v>
      </c>
      <c r="AC1114" s="3782">
        <f>+'VVP2'!AC237</f>
        <v>9.704600000000001</v>
      </c>
      <c r="AD1114" s="3782">
        <f ca="1">+'VVP2'!AD237</f>
        <v>10.871496631360001</v>
      </c>
      <c r="AE1114" s="3782">
        <f ca="1">+'VVP2'!AE237</f>
        <v>11.698817525006499</v>
      </c>
      <c r="AK1114" s="1432">
        <v>9.164299999999999</v>
      </c>
      <c r="AM1114" s="1432"/>
    </row>
    <row r="1115" spans="1:46" ht="12.75" customHeight="1">
      <c r="A1115" s="714"/>
      <c r="B1115" s="714"/>
      <c r="C1115" s="831"/>
      <c r="D1115" s="800" t="s">
        <v>591</v>
      </c>
      <c r="E1115" s="832" t="s">
        <v>518</v>
      </c>
      <c r="F1115" s="802"/>
      <c r="G1115" s="832">
        <f>+G1113+G1114</f>
        <v>7.0274000000000001</v>
      </c>
      <c r="H1115" s="832">
        <f t="shared" ref="H1115:Q1115" si="1482">+H1113+H1114</f>
        <v>7.1826000000000008</v>
      </c>
      <c r="I1115" s="832">
        <f t="shared" si="1482"/>
        <v>8.1637000000000004</v>
      </c>
      <c r="J1115" s="832">
        <f t="shared" si="1482"/>
        <v>8.23</v>
      </c>
      <c r="K1115" s="832">
        <f t="shared" si="1482"/>
        <v>9.0891000000000002</v>
      </c>
      <c r="L1115" s="832">
        <f t="shared" si="1482"/>
        <v>9.5500999999999987</v>
      </c>
      <c r="M1115" s="832">
        <f t="shared" si="1482"/>
        <v>8.5233999999999988</v>
      </c>
      <c r="N1115" s="832">
        <f t="shared" si="1482"/>
        <v>8.2113999999999994</v>
      </c>
      <c r="O1115" s="832">
        <f t="shared" si="1482"/>
        <v>10.263300000000001</v>
      </c>
      <c r="P1115" s="832">
        <f t="shared" si="1482"/>
        <v>8.9596999999999998</v>
      </c>
      <c r="Q1115" s="832">
        <f t="shared" si="1482"/>
        <v>17.580500000000001</v>
      </c>
      <c r="R1115" s="832">
        <f t="shared" ref="R1115:Y1115" si="1483">+R1113+R1114</f>
        <v>9.9016999999999999</v>
      </c>
      <c r="S1115" s="832">
        <f t="shared" si="1483"/>
        <v>11.315</v>
      </c>
      <c r="T1115" s="832">
        <f t="shared" si="1483"/>
        <v>12.218699999999998</v>
      </c>
      <c r="U1115" s="832">
        <f t="shared" si="1483"/>
        <v>13.465800000000002</v>
      </c>
      <c r="V1115" s="832">
        <f t="shared" si="1483"/>
        <v>13.974599999999999</v>
      </c>
      <c r="W1115" s="832">
        <f t="shared" si="1483"/>
        <v>17.182300000000001</v>
      </c>
      <c r="X1115" s="832">
        <f t="shared" si="1483"/>
        <v>19.622700000000002</v>
      </c>
      <c r="Y1115" s="832">
        <f t="shared" si="1483"/>
        <v>17.323099999999997</v>
      </c>
      <c r="Z1115" s="832">
        <f t="shared" ref="Z1115:AD1115" si="1484">+Z1113+Z1114</f>
        <v>16.462299999999999</v>
      </c>
      <c r="AA1115" s="2009">
        <f t="shared" si="1484"/>
        <v>14.677999999999999</v>
      </c>
      <c r="AB1115" s="2009">
        <f t="shared" si="1484"/>
        <v>14.037599999999999</v>
      </c>
      <c r="AC1115" s="2009">
        <f t="shared" si="1484"/>
        <v>14.011800000000001</v>
      </c>
      <c r="AD1115" s="2009">
        <f t="shared" ca="1" si="1484"/>
        <v>14.745359367472297</v>
      </c>
      <c r="AE1115" s="2009">
        <f t="shared" ref="AE1115" ca="1" si="1485">+AE1113+AE1114</f>
        <v>15.54710810689383</v>
      </c>
      <c r="AK1115" s="832">
        <v>16.086599999999997</v>
      </c>
      <c r="AM1115" s="832"/>
    </row>
    <row r="1116" spans="1:46" ht="12.75" customHeight="1">
      <c r="A1116" s="714"/>
      <c r="B1116" s="714"/>
      <c r="C1116" s="822"/>
      <c r="D1116" s="850"/>
      <c r="E1116" s="853" t="s">
        <v>64</v>
      </c>
      <c r="F1116" s="852"/>
      <c r="G1116" s="881">
        <f ca="1">+G1115/'VVP2'!G$355</f>
        <v>3.3259375230724669E-2</v>
      </c>
      <c r="H1116" s="881">
        <f>+H1115/'VVP2'!H$355</f>
        <v>3.3261647550457907E-2</v>
      </c>
      <c r="I1116" s="881">
        <f>+I1115/'VVP2'!I$355</f>
        <v>3.6127569880253327E-2</v>
      </c>
      <c r="J1116" s="881">
        <f>+J1115/'VVP2'!J$355</f>
        <v>3.5097505390430966E-2</v>
      </c>
      <c r="K1116" s="881">
        <f>+K1115/'VVP2'!K$355</f>
        <v>3.7215939334878351E-2</v>
      </c>
      <c r="L1116" s="881">
        <f>+L1115/'VVP2'!L$355</f>
        <v>3.6984067972519769E-2</v>
      </c>
      <c r="M1116" s="881">
        <f>+M1115/'VVP2'!M$355</f>
        <v>3.2068367167265383E-2</v>
      </c>
      <c r="N1116" s="881">
        <f>+N1115/'VVP2'!N$355</f>
        <v>2.9852569446287443E-2</v>
      </c>
      <c r="O1116" s="881">
        <f>+O1115/'VVP2'!O$355</f>
        <v>3.6312719694731571E-2</v>
      </c>
      <c r="P1116" s="881">
        <f>+P1115/'VVP2'!P$355</f>
        <v>2.9994563303369009E-2</v>
      </c>
      <c r="Q1116" s="881">
        <f>+Q1115/'VVP2'!Q$355</f>
        <v>5.6441681156591358E-2</v>
      </c>
      <c r="R1116" s="881">
        <f>+R1115/'VVP2'!R$355</f>
        <v>3.031175027650897E-2</v>
      </c>
      <c r="S1116" s="881">
        <f>+S1115/'VVP2'!S$355</f>
        <v>3.2824455161910286E-2</v>
      </c>
      <c r="T1116" s="881">
        <f>+T1115/'VVP2'!T$355</f>
        <v>3.4509677435754185E-2</v>
      </c>
      <c r="U1116" s="881">
        <f>+U1115/'VVP2'!U$355</f>
        <v>3.8608169995449873E-2</v>
      </c>
      <c r="V1116" s="881">
        <f>+V1115/'VVP2'!V$355</f>
        <v>3.8276036324244964E-2</v>
      </c>
      <c r="W1116" s="881">
        <f>+W1115/'VVP2'!W$355</f>
        <v>4.5323171891366622E-2</v>
      </c>
      <c r="X1116" s="881">
        <f>+X1115/'VVP2'!X$355</f>
        <v>5.0639212738267686E-2</v>
      </c>
      <c r="Y1116" s="881">
        <f>+Y1115/'VVP2'!Y$355</f>
        <v>4.4153307923386814E-2</v>
      </c>
      <c r="Z1116" s="881">
        <f>+Z1115/'VVP2'!Z$355</f>
        <v>4.1126118631525981E-2</v>
      </c>
      <c r="AA1116" s="881">
        <f>+AA1115/'VVP2'!AA$355</f>
        <v>3.5762039903010266E-2</v>
      </c>
      <c r="AB1116" s="881">
        <f>+AB1115/'VVP2'!AB$355</f>
        <v>3.3182018889564409E-2</v>
      </c>
      <c r="AC1116" s="881">
        <f>+AC1115/'VVP2'!AC$355</f>
        <v>3.1955056118276447E-2</v>
      </c>
      <c r="AD1116" s="881">
        <f ca="1">+AD1115/'VVP2'!AD$355</f>
        <v>3.2523684199904458E-2</v>
      </c>
      <c r="AE1116" s="881">
        <f ca="1">+AE1115/'VVP2'!AE$355</f>
        <v>3.3146588488769939E-2</v>
      </c>
      <c r="AK1116" s="881">
        <v>3.9989559251249154E-2</v>
      </c>
      <c r="AM1116" s="881"/>
    </row>
    <row r="1117" spans="1:46">
      <c r="Q1117" s="2269"/>
      <c r="R1117" s="749"/>
      <c r="S1117" s="749"/>
      <c r="T1117" s="749"/>
      <c r="U1117" s="749"/>
      <c r="V1117" s="749"/>
      <c r="W1117" s="749"/>
      <c r="X1117" s="749"/>
      <c r="Y1117" s="749"/>
      <c r="Z1117" s="749"/>
      <c r="AA1117" s="749"/>
      <c r="AB1117" s="749"/>
      <c r="AC1117" s="749"/>
      <c r="AD1117" s="749"/>
      <c r="AE1117" s="749"/>
      <c r="AK1117" s="749"/>
      <c r="AM1117" s="749"/>
    </row>
    <row r="1118" spans="1:46" ht="12.75" customHeight="1">
      <c r="A1118" s="714"/>
      <c r="B1118" s="714"/>
      <c r="C1118" s="822"/>
      <c r="D1118" s="823"/>
      <c r="E1118" s="824" t="s">
        <v>1803</v>
      </c>
      <c r="F1118" s="825"/>
      <c r="G1118" s="826">
        <f>+InputY!$G$3</f>
        <v>1995</v>
      </c>
      <c r="H1118" s="826">
        <f>+G1118+1</f>
        <v>1996</v>
      </c>
      <c r="I1118" s="826">
        <f t="shared" ref="I1118:O1118" si="1486">+H1118+1</f>
        <v>1997</v>
      </c>
      <c r="J1118" s="826">
        <f t="shared" si="1486"/>
        <v>1998</v>
      </c>
      <c r="K1118" s="826">
        <f t="shared" si="1486"/>
        <v>1999</v>
      </c>
      <c r="L1118" s="826">
        <f t="shared" si="1486"/>
        <v>2000</v>
      </c>
      <c r="M1118" s="826">
        <f t="shared" si="1486"/>
        <v>2001</v>
      </c>
      <c r="N1118" s="826">
        <f t="shared" si="1486"/>
        <v>2002</v>
      </c>
      <c r="O1118" s="826">
        <f t="shared" si="1486"/>
        <v>2003</v>
      </c>
      <c r="P1118" s="826">
        <f t="shared" ref="P1118:U1118" si="1487">+O1118+1</f>
        <v>2004</v>
      </c>
      <c r="Q1118" s="826">
        <f t="shared" si="1487"/>
        <v>2005</v>
      </c>
      <c r="R1118" s="826">
        <f t="shared" si="1487"/>
        <v>2006</v>
      </c>
      <c r="S1118" s="2878">
        <f t="shared" si="1487"/>
        <v>2007</v>
      </c>
      <c r="T1118" s="2878">
        <f t="shared" si="1487"/>
        <v>2008</v>
      </c>
      <c r="U1118" s="2878">
        <f t="shared" si="1487"/>
        <v>2009</v>
      </c>
      <c r="V1118" s="2878">
        <f t="shared" ref="V1118:AE1118" si="1488">+U1118+1</f>
        <v>2010</v>
      </c>
      <c r="W1118" s="2878">
        <f t="shared" si="1488"/>
        <v>2011</v>
      </c>
      <c r="X1118" s="2878">
        <f t="shared" si="1488"/>
        <v>2012</v>
      </c>
      <c r="Y1118" s="2878">
        <f t="shared" si="1488"/>
        <v>2013</v>
      </c>
      <c r="Z1118" s="2878">
        <f t="shared" si="1488"/>
        <v>2014</v>
      </c>
      <c r="AA1118" s="2878">
        <f t="shared" si="1488"/>
        <v>2015</v>
      </c>
      <c r="AB1118" s="2878">
        <f t="shared" si="1488"/>
        <v>2016</v>
      </c>
      <c r="AC1118" s="2878">
        <f t="shared" si="1488"/>
        <v>2017</v>
      </c>
      <c r="AD1118" s="2878">
        <f t="shared" si="1488"/>
        <v>2018</v>
      </c>
      <c r="AE1118" s="2878">
        <f t="shared" si="1488"/>
        <v>2019</v>
      </c>
      <c r="AK1118" s="2878">
        <v>2014</v>
      </c>
      <c r="AM1118" s="2878"/>
    </row>
    <row r="1119" spans="1:46" ht="12.75" customHeight="1">
      <c r="A1119" s="714"/>
      <c r="B1119" s="714"/>
      <c r="C1119" s="827" t="s">
        <v>622</v>
      </c>
      <c r="D1119" s="718" t="s">
        <v>592</v>
      </c>
      <c r="E1119" s="828" t="str">
        <f>+Labour1!E216</f>
        <v>Compensation of employees (Net) (D.1)</v>
      </c>
      <c r="F1119" s="751" t="s">
        <v>1475</v>
      </c>
      <c r="G1119" s="828">
        <f>+Labour1!G216</f>
        <v>2.2342999999999997</v>
      </c>
      <c r="H1119" s="828">
        <f>+Labour1!H216</f>
        <v>2.3316999999999997</v>
      </c>
      <c r="I1119" s="828">
        <f>+Labour1!I216</f>
        <v>2.3239000000000001</v>
      </c>
      <c r="J1119" s="828">
        <f>+Labour1!J216</f>
        <v>2.5118999999999998</v>
      </c>
      <c r="K1119" s="828">
        <f>+Labour1!K216</f>
        <v>2.7225999999999999</v>
      </c>
      <c r="L1119" s="828">
        <f>+Labour1!L216</f>
        <v>2.8831000000000002</v>
      </c>
      <c r="M1119" s="828">
        <f>+Labour1!M216</f>
        <v>3.1494</v>
      </c>
      <c r="N1119" s="828">
        <f>+Labour1!N216</f>
        <v>3.4529999999999994</v>
      </c>
      <c r="O1119" s="828">
        <f>+Labour1!O216</f>
        <v>3.7520000000000007</v>
      </c>
      <c r="P1119" s="828">
        <f>+Labour1!P216</f>
        <v>4.0817000000000005</v>
      </c>
      <c r="Q1119" s="828">
        <f>+Labour1!Q216</f>
        <v>4.2413999999999996</v>
      </c>
      <c r="R1119" s="828">
        <f>+Labour1!R216</f>
        <v>4.4915000000000003</v>
      </c>
      <c r="S1119" s="828">
        <f>+Labour1!S216</f>
        <v>4.6669</v>
      </c>
      <c r="T1119" s="828">
        <f>+Labour1!T216</f>
        <v>4.7388999999999992</v>
      </c>
      <c r="U1119" s="2847">
        <f>+Labour1!U216</f>
        <v>4.9018000000000006</v>
      </c>
      <c r="V1119" s="2847">
        <f>+Labour1!V216</f>
        <v>5.17</v>
      </c>
      <c r="W1119" s="2847">
        <f>+Labour1!W216</f>
        <v>5.2298999999999998</v>
      </c>
      <c r="X1119" s="828">
        <f>+Labour1!X216</f>
        <v>5.3559999999999999</v>
      </c>
      <c r="Y1119" s="828">
        <f>+Labour1!Y216</f>
        <v>5.4399999999999995</v>
      </c>
      <c r="Z1119" s="828">
        <f>+Labour1!Z216</f>
        <v>5.6836000000000002</v>
      </c>
      <c r="AA1119" s="828">
        <f>+Labour1!AA216</f>
        <v>5.9424999999999999</v>
      </c>
      <c r="AB1119" s="828">
        <f>+Labour1!AB216</f>
        <v>6.0811000000000002</v>
      </c>
      <c r="AC1119" s="828">
        <f>+Labour1!AC216</f>
        <v>6.2044129577492138</v>
      </c>
      <c r="AD1119" s="828">
        <f>+Labour1!AD216</f>
        <v>6.3147035947375914</v>
      </c>
      <c r="AE1119" s="828">
        <f>+Labour1!AE216</f>
        <v>6.3953502460162159</v>
      </c>
      <c r="AK1119" s="828">
        <v>5.4994530084930142</v>
      </c>
      <c r="AM1119" s="828"/>
    </row>
    <row r="1120" spans="1:46" ht="12.75" customHeight="1">
      <c r="A1120" s="714"/>
      <c r="B1120" s="714"/>
      <c r="C1120" s="829" t="s">
        <v>622</v>
      </c>
      <c r="D1120" s="724" t="s">
        <v>592</v>
      </c>
      <c r="E1120" s="756" t="s">
        <v>773</v>
      </c>
      <c r="F1120" s="754" t="s">
        <v>296</v>
      </c>
      <c r="G1120" s="756">
        <f t="shared" ref="G1120:AD1120" si="1489">+G140</f>
        <v>1.0211000000000001</v>
      </c>
      <c r="H1120" s="756">
        <f t="shared" si="1489"/>
        <v>0.84229999999999994</v>
      </c>
      <c r="I1120" s="756">
        <f t="shared" si="1489"/>
        <v>0.82810000000000006</v>
      </c>
      <c r="J1120" s="756">
        <f t="shared" si="1489"/>
        <v>0.74320000000000008</v>
      </c>
      <c r="K1120" s="756">
        <f t="shared" si="1489"/>
        <v>0.85760000000000003</v>
      </c>
      <c r="L1120" s="756">
        <f t="shared" si="1489"/>
        <v>0.69420000000000004</v>
      </c>
      <c r="M1120" s="756">
        <f t="shared" si="1489"/>
        <v>0.73360000000000003</v>
      </c>
      <c r="N1120" s="756">
        <f t="shared" si="1489"/>
        <v>0.71060000000000001</v>
      </c>
      <c r="O1120" s="756">
        <f t="shared" si="1489"/>
        <v>0.8657999999999999</v>
      </c>
      <c r="P1120" s="756">
        <f t="shared" si="1489"/>
        <v>0.8115</v>
      </c>
      <c r="Q1120" s="756">
        <f t="shared" si="1489"/>
        <v>0.89119999999999999</v>
      </c>
      <c r="R1120" s="756">
        <f t="shared" si="1489"/>
        <v>0.79239999999999999</v>
      </c>
      <c r="S1120" s="756">
        <f t="shared" si="1489"/>
        <v>0.67600000000000005</v>
      </c>
      <c r="T1120" s="756">
        <f t="shared" si="1489"/>
        <v>0.67179999999999995</v>
      </c>
      <c r="U1120" s="756">
        <f t="shared" si="1489"/>
        <v>0.63179999999999992</v>
      </c>
      <c r="V1120" s="756">
        <f t="shared" si="1489"/>
        <v>0.69210000000000005</v>
      </c>
      <c r="W1120" s="756">
        <f t="shared" si="1489"/>
        <v>0.62160000000000004</v>
      </c>
      <c r="X1120" s="756">
        <f t="shared" si="1489"/>
        <v>0.64260000000000006</v>
      </c>
      <c r="Y1120" s="756">
        <f t="shared" si="1489"/>
        <v>0.66489999999999994</v>
      </c>
      <c r="Z1120" s="756">
        <f t="shared" si="1489"/>
        <v>0.68379999999999996</v>
      </c>
      <c r="AA1120" s="756">
        <f t="shared" si="1489"/>
        <v>0.93070000000000008</v>
      </c>
      <c r="AB1120" s="756">
        <f t="shared" si="1489"/>
        <v>0.75009999999999999</v>
      </c>
      <c r="AC1120" s="756">
        <f t="shared" si="1489"/>
        <v>0.75009999999999999</v>
      </c>
      <c r="AD1120" s="756">
        <f t="shared" si="1489"/>
        <v>0.75009999999999999</v>
      </c>
      <c r="AE1120" s="756">
        <f t="shared" ref="AE1120" si="1490">+AE140</f>
        <v>0.75009999999999999</v>
      </c>
      <c r="AK1120" s="756">
        <v>0.60150000000000003</v>
      </c>
      <c r="AM1120" s="756"/>
    </row>
    <row r="1121" spans="1:46" ht="12.75" customHeight="1">
      <c r="A1121" s="714"/>
      <c r="B1121" s="714"/>
      <c r="C1121" s="829" t="s">
        <v>2133</v>
      </c>
      <c r="D1121" s="724" t="s">
        <v>592</v>
      </c>
      <c r="E1121" s="756" t="s">
        <v>1505</v>
      </c>
      <c r="F1121" s="754" t="s">
        <v>280</v>
      </c>
      <c r="G1121" s="756">
        <f t="shared" ref="G1121:AD1121" si="1491">+G31</f>
        <v>0.9385</v>
      </c>
      <c r="H1121" s="756">
        <f t="shared" si="1491"/>
        <v>0.88479999999999992</v>
      </c>
      <c r="I1121" s="756">
        <f t="shared" si="1491"/>
        <v>0.99670000000000003</v>
      </c>
      <c r="J1121" s="756">
        <f t="shared" si="1491"/>
        <v>1.012</v>
      </c>
      <c r="K1121" s="756">
        <f t="shared" si="1491"/>
        <v>0.95420000000000005</v>
      </c>
      <c r="L1121" s="756">
        <f t="shared" si="1491"/>
        <v>1.0350999999999999</v>
      </c>
      <c r="M1121" s="756">
        <f t="shared" si="1491"/>
        <v>1.0107999999999999</v>
      </c>
      <c r="N1121" s="756">
        <f t="shared" si="1491"/>
        <v>1.0299</v>
      </c>
      <c r="O1121" s="756">
        <f t="shared" si="1491"/>
        <v>1.1445000000000001</v>
      </c>
      <c r="P1121" s="756">
        <f t="shared" si="1491"/>
        <v>1.1802999999999999</v>
      </c>
      <c r="Q1121" s="756">
        <f t="shared" si="1491"/>
        <v>1.2654000000000001</v>
      </c>
      <c r="R1121" s="756">
        <f t="shared" si="1491"/>
        <v>1.3003</v>
      </c>
      <c r="S1121" s="756">
        <f t="shared" si="1491"/>
        <v>1.4500999999999999</v>
      </c>
      <c r="T1121" s="756">
        <f t="shared" si="1491"/>
        <v>1.6195999999999999</v>
      </c>
      <c r="U1121" s="756">
        <f t="shared" si="1491"/>
        <v>1.2044000000000001</v>
      </c>
      <c r="V1121" s="756">
        <f t="shared" si="1491"/>
        <v>1.2749999999999999</v>
      </c>
      <c r="W1121" s="756">
        <f t="shared" si="1491"/>
        <v>1.2932999999999999</v>
      </c>
      <c r="X1121" s="756">
        <f t="shared" si="1491"/>
        <v>1.2555999999999998</v>
      </c>
      <c r="Y1121" s="756">
        <f t="shared" si="1491"/>
        <v>1.1778</v>
      </c>
      <c r="Z1121" s="756">
        <f t="shared" si="1491"/>
        <v>1.2410000000000001</v>
      </c>
      <c r="AA1121" s="756">
        <f t="shared" si="1491"/>
        <v>1.6069</v>
      </c>
      <c r="AB1121" s="756">
        <f t="shared" si="1491"/>
        <v>1.8540999999999999</v>
      </c>
      <c r="AC1121" s="756">
        <f t="shared" si="1491"/>
        <v>1.9132457899999999</v>
      </c>
      <c r="AD1121" s="756">
        <f t="shared" si="1491"/>
        <v>1.9821226384399999</v>
      </c>
      <c r="AE1121" s="756">
        <f t="shared" ref="AE1121" si="1492">+AE31</f>
        <v>2.0713181571697996</v>
      </c>
      <c r="AK1121" s="756">
        <v>1.5325240296309786</v>
      </c>
      <c r="AM1121" s="756"/>
    </row>
    <row r="1122" spans="1:46" ht="12.75" customHeight="1">
      <c r="A1122" s="714"/>
      <c r="B1122" s="714"/>
      <c r="C1122" s="829" t="s">
        <v>2133</v>
      </c>
      <c r="D1122" s="724" t="s">
        <v>592</v>
      </c>
      <c r="E1122" s="756" t="str">
        <f>+E234</f>
        <v>Property income (net - negative means paid) (D.4)</v>
      </c>
      <c r="F1122" s="754" t="s">
        <v>331</v>
      </c>
      <c r="G1122" s="756">
        <f t="shared" ref="G1122:AD1122" si="1493">+G234</f>
        <v>-2.2099000000000015</v>
      </c>
      <c r="H1122" s="756">
        <f t="shared" si="1493"/>
        <v>-2.5939999999999999</v>
      </c>
      <c r="I1122" s="756">
        <f t="shared" si="1493"/>
        <v>-3.1945000000000001</v>
      </c>
      <c r="J1122" s="756">
        <f t="shared" si="1493"/>
        <v>-3.3</v>
      </c>
      <c r="K1122" s="756">
        <f t="shared" si="1493"/>
        <v>-2.9075999999999986</v>
      </c>
      <c r="L1122" s="756">
        <f t="shared" si="1493"/>
        <v>-3.9493000000000027</v>
      </c>
      <c r="M1122" s="756">
        <f t="shared" si="1493"/>
        <v>-1.9515</v>
      </c>
      <c r="N1122" s="756">
        <f t="shared" si="1493"/>
        <v>-1.4401000000000022</v>
      </c>
      <c r="O1122" s="756">
        <f t="shared" si="1493"/>
        <v>-1.7397000000000007</v>
      </c>
      <c r="P1122" s="756">
        <f t="shared" si="1493"/>
        <v>-0.24240000000000145</v>
      </c>
      <c r="Q1122" s="756">
        <f t="shared" si="1493"/>
        <v>0.2135</v>
      </c>
      <c r="R1122" s="756">
        <f t="shared" si="1493"/>
        <v>-0.44810000000000583</v>
      </c>
      <c r="S1122" s="756">
        <f t="shared" si="1493"/>
        <v>-0.63010000000000577</v>
      </c>
      <c r="T1122" s="756">
        <f t="shared" si="1493"/>
        <v>-4.5095000000000072</v>
      </c>
      <c r="U1122" s="756">
        <f t="shared" si="1493"/>
        <v>3.8993999999999942</v>
      </c>
      <c r="V1122" s="756">
        <f t="shared" si="1493"/>
        <v>-6.9204999999999997</v>
      </c>
      <c r="W1122" s="756">
        <f t="shared" si="1493"/>
        <v>0.73550000000000004</v>
      </c>
      <c r="X1122" s="756">
        <f t="shared" si="1493"/>
        <v>-4.7394000000000016</v>
      </c>
      <c r="Y1122" s="756">
        <f t="shared" si="1493"/>
        <v>-1.541199999999997</v>
      </c>
      <c r="Z1122" s="756">
        <f t="shared" si="1493"/>
        <v>2.3032999999999957</v>
      </c>
      <c r="AA1122" s="756">
        <f t="shared" si="1493"/>
        <v>6.2006999999999968</v>
      </c>
      <c r="AB1122" s="756">
        <f t="shared" si="1493"/>
        <v>2.2841999999999971</v>
      </c>
      <c r="AC1122" s="756">
        <f t="shared" si="1493"/>
        <v>1.3572716399999984</v>
      </c>
      <c r="AD1122" s="756">
        <f t="shared" si="1493"/>
        <v>0.76916583838799912</v>
      </c>
      <c r="AE1122" s="756">
        <f t="shared" ref="AE1122" si="1494">+AE234</f>
        <v>0.68994175703403526</v>
      </c>
      <c r="AK1122" s="756">
        <v>4.1731289999999897</v>
      </c>
      <c r="AM1122" s="756"/>
    </row>
    <row r="1123" spans="1:46" ht="12.75" customHeight="1">
      <c r="A1123" s="714"/>
      <c r="B1123" s="714">
        <v>140</v>
      </c>
      <c r="C1123" s="831" t="s">
        <v>624</v>
      </c>
      <c r="D1123" s="800" t="s">
        <v>592</v>
      </c>
      <c r="E1123" s="832" t="s">
        <v>1843</v>
      </c>
      <c r="F1123" s="802" t="s">
        <v>1506</v>
      </c>
      <c r="G1123" s="832">
        <f t="shared" ref="G1123:Q1123" si="1495">+G1119+G1120-G1121-G1122</f>
        <v>4.5268000000000015</v>
      </c>
      <c r="H1123" s="832">
        <f t="shared" si="1495"/>
        <v>4.8831999999999995</v>
      </c>
      <c r="I1123" s="832">
        <f t="shared" si="1495"/>
        <v>5.3498000000000001</v>
      </c>
      <c r="J1123" s="832">
        <f t="shared" si="1495"/>
        <v>5.543099999999999</v>
      </c>
      <c r="K1123" s="832">
        <f t="shared" si="1495"/>
        <v>5.5335999999999981</v>
      </c>
      <c r="L1123" s="832">
        <f t="shared" si="1495"/>
        <v>6.4915000000000029</v>
      </c>
      <c r="M1123" s="832">
        <f t="shared" si="1495"/>
        <v>4.8237000000000005</v>
      </c>
      <c r="N1123" s="832">
        <f t="shared" si="1495"/>
        <v>4.5738000000000021</v>
      </c>
      <c r="O1123" s="832">
        <f t="shared" si="1495"/>
        <v>5.2130000000000019</v>
      </c>
      <c r="P1123" s="832">
        <f t="shared" si="1495"/>
        <v>3.9553000000000016</v>
      </c>
      <c r="Q1123" s="832">
        <f t="shared" si="1495"/>
        <v>3.6537000000000002</v>
      </c>
      <c r="R1123" s="832">
        <f t="shared" ref="R1123:Y1123" si="1496">+R1119+R1120-R1121-R1122</f>
        <v>4.4317000000000055</v>
      </c>
      <c r="S1123" s="832">
        <f t="shared" si="1496"/>
        <v>4.5229000000000061</v>
      </c>
      <c r="T1123" s="832">
        <f t="shared" si="1496"/>
        <v>8.3006000000000064</v>
      </c>
      <c r="U1123" s="832">
        <f t="shared" si="1496"/>
        <v>0.42980000000000596</v>
      </c>
      <c r="V1123" s="832">
        <f t="shared" si="1496"/>
        <v>11.5076</v>
      </c>
      <c r="W1123" s="832">
        <f t="shared" si="1496"/>
        <v>3.8226999999999993</v>
      </c>
      <c r="X1123" s="832">
        <f t="shared" si="1496"/>
        <v>9.4824000000000019</v>
      </c>
      <c r="Y1123" s="832">
        <f t="shared" si="1496"/>
        <v>6.4682999999999966</v>
      </c>
      <c r="Z1123" s="832">
        <f t="shared" ref="Z1123:AD1123" si="1497">+Z1119+Z1120-Z1121-Z1122</f>
        <v>2.8231000000000046</v>
      </c>
      <c r="AA1123" s="832">
        <f t="shared" si="1497"/>
        <v>-0.93439999999999745</v>
      </c>
      <c r="AB1123" s="832">
        <f t="shared" si="1497"/>
        <v>2.692900000000003</v>
      </c>
      <c r="AC1123" s="832">
        <f t="shared" si="1497"/>
        <v>3.6839955277492145</v>
      </c>
      <c r="AD1123" s="832">
        <f t="shared" si="1497"/>
        <v>4.3135151179095921</v>
      </c>
      <c r="AE1123" s="832">
        <f t="shared" ref="AE1123" si="1498">+AE1119+AE1120-AE1121-AE1122</f>
        <v>4.3841903318123805</v>
      </c>
      <c r="AK1123" s="832">
        <v>0.39529997886204615</v>
      </c>
      <c r="AM1123" s="832"/>
    </row>
    <row r="1124" spans="1:46" s="1885" customFormat="1" ht="12.75" customHeight="1">
      <c r="A1124" s="714">
        <f>+ROW(InputY!A92)</f>
        <v>92</v>
      </c>
      <c r="B1124" s="1039"/>
      <c r="C1124" s="1501"/>
      <c r="D1124" s="1884" t="s">
        <v>592</v>
      </c>
      <c r="E1124" s="1882" t="s">
        <v>1843</v>
      </c>
      <c r="F1124" s="1883" t="s">
        <v>1506</v>
      </c>
      <c r="G1124" s="1043">
        <f>IF(+InputY!G92=":",G1123,+InputY!G92/1000)</f>
        <v>4.5268000000000015</v>
      </c>
      <c r="H1124" s="1043">
        <f>IF(+InputY!H92=":",H1123,+InputY!H92/1000)</f>
        <v>4.8831999999999995</v>
      </c>
      <c r="I1124" s="1043">
        <f>IF(+InputY!I92=":",I1123,+InputY!I92/1000)</f>
        <v>5.3498000000000001</v>
      </c>
      <c r="J1124" s="1043">
        <f>IF(+InputY!J92=":",J1123,+InputY!J92/1000)</f>
        <v>5.5431000000000008</v>
      </c>
      <c r="K1124" s="1043">
        <f>IF(+InputY!K92=":",K1123,+InputY!K92/1000)</f>
        <v>5.5336000000000007</v>
      </c>
      <c r="L1124" s="1043">
        <f>IF(+InputY!L92=":",L1123,+InputY!L92/1000)</f>
        <v>6.4915000000000003</v>
      </c>
      <c r="M1124" s="1043">
        <f>IF(+InputY!M92=":",M1123,+InputY!M92/1000)</f>
        <v>4.8236999999999997</v>
      </c>
      <c r="N1124" s="1043">
        <f>IF(+InputY!N92=":",N1123,+InputY!N92/1000)</f>
        <v>4.5738000000000003</v>
      </c>
      <c r="O1124" s="1043">
        <f>IF(+InputY!O92=":",O1123,+InputY!O92/1000)</f>
        <v>5.2130000000000001</v>
      </c>
      <c r="P1124" s="1043">
        <f>IF(+InputY!P92=":",P1123,+InputY!P92/1000)</f>
        <v>3.9553000000000003</v>
      </c>
      <c r="Q1124" s="1043">
        <f>IF(+InputY!Q92=":",Q1123,+InputY!Q92/1000)</f>
        <v>3.6536999999999997</v>
      </c>
      <c r="R1124" s="1043">
        <f>IF(+InputY!R92=":",R1123,+InputY!R92/1000)</f>
        <v>4.4317000000000002</v>
      </c>
      <c r="S1124" s="1043">
        <f>IF(+InputY!S92=":",S1123,+InputY!S92/1000)</f>
        <v>4.5228999999999999</v>
      </c>
      <c r="T1124" s="1043">
        <f>IF(+InputY!T92=":",T1123,+InputY!T92/1000)</f>
        <v>8.3006000000000011</v>
      </c>
      <c r="U1124" s="1043">
        <f>IF(+InputY!U92=":",U1123,+InputY!U92/1000)</f>
        <v>0.42980000000000002</v>
      </c>
      <c r="V1124" s="1043">
        <f>IF(+InputY!V92=":",V1123,+InputY!V92/1000)</f>
        <v>11.5076</v>
      </c>
      <c r="W1124" s="1043">
        <f>IF(+InputY!W92=":",W1123,+InputY!W92/1000)</f>
        <v>3.8226999999999998</v>
      </c>
      <c r="X1124" s="1043">
        <f>IF(+InputY!X92=":",X1123,+InputY!X92/1000)</f>
        <v>9.4824000000000002</v>
      </c>
      <c r="Y1124" s="1043">
        <f>IF(+InputY!Y92=":",Y1123,+InputY!Y92/1000)</f>
        <v>6.4683000000000002</v>
      </c>
      <c r="Z1124" s="1043">
        <f>IF(+InputY!Z92=":",Z1123,+InputY!Z92/1000)</f>
        <v>2.8230999999999997</v>
      </c>
      <c r="AA1124" s="1043">
        <f>IF(+InputY!AA92=":",AA1123,+InputY!AA92/1000)</f>
        <v>-0.93440000000000001</v>
      </c>
      <c r="AB1124" s="1043">
        <f>IF(+InputY!AB92=":",AB1123,+InputY!AB92/1000)</f>
        <v>2.6929000000000003</v>
      </c>
      <c r="AC1124" s="1043">
        <f>IF(+InputY!AC92=":",AC1123,+InputY!AC92/1000)</f>
        <v>3.6839955277492145</v>
      </c>
      <c r="AD1124" s="1043">
        <f>IF(+InputY!AD92=":",AD1123,+InputY!AD92/1000)</f>
        <v>4.3135151179095921</v>
      </c>
      <c r="AE1124" s="1043">
        <f>IF(+InputY!AE92=":",AE1123,+InputY!AE92/1000)</f>
        <v>4.3841903318123805</v>
      </c>
      <c r="AF1124" s="2836"/>
      <c r="AG1124" s="2836"/>
      <c r="AH1124" s="2836"/>
      <c r="AI1124" s="2836"/>
      <c r="AJ1124" s="2836"/>
      <c r="AK1124" s="1043">
        <v>0.39529997886204615</v>
      </c>
      <c r="AL1124" s="2836"/>
      <c r="AM1124" s="1043"/>
      <c r="AN1124" s="2836"/>
      <c r="AO1124" s="2836"/>
      <c r="AP1124" s="2836"/>
      <c r="AQ1124" s="2836"/>
      <c r="AR1124" s="2836"/>
      <c r="AS1124" s="2836"/>
      <c r="AT1124" s="2836"/>
    </row>
    <row r="1125" spans="1:46" s="1885" customFormat="1" ht="12.75" customHeight="1">
      <c r="A1125" s="1039"/>
      <c r="B1125" s="1039"/>
      <c r="C1125" s="1501"/>
      <c r="D1125" s="1884"/>
      <c r="E1125" s="1882" t="s">
        <v>474</v>
      </c>
      <c r="F1125" s="1883"/>
      <c r="G1125" s="1043">
        <f>ABS(G1123-G1124)</f>
        <v>0</v>
      </c>
      <c r="H1125" s="1043">
        <f t="shared" ref="H1125:Q1125" si="1499">ABS(H1123-H1124)</f>
        <v>0</v>
      </c>
      <c r="I1125" s="1043">
        <f t="shared" si="1499"/>
        <v>0</v>
      </c>
      <c r="J1125" s="1043">
        <f t="shared" si="1499"/>
        <v>1.7763568394002505E-15</v>
      </c>
      <c r="K1125" s="1043">
        <f t="shared" si="1499"/>
        <v>2.6645352591003757E-15</v>
      </c>
      <c r="L1125" s="1043">
        <f t="shared" si="1499"/>
        <v>2.6645352591003757E-15</v>
      </c>
      <c r="M1125" s="1043">
        <f t="shared" si="1499"/>
        <v>8.8817841970012523E-16</v>
      </c>
      <c r="N1125" s="1043">
        <f t="shared" si="1499"/>
        <v>1.7763568394002505E-15</v>
      </c>
      <c r="O1125" s="1043">
        <f t="shared" si="1499"/>
        <v>1.7763568394002505E-15</v>
      </c>
      <c r="P1125" s="1043">
        <f t="shared" si="1499"/>
        <v>1.3322676295501878E-15</v>
      </c>
      <c r="Q1125" s="1043">
        <f t="shared" si="1499"/>
        <v>4.4408920985006262E-16</v>
      </c>
      <c r="R1125" s="1043">
        <f t="shared" ref="R1125:Y1125" si="1500">ABS(R1123-R1124)</f>
        <v>5.3290705182007514E-15</v>
      </c>
      <c r="S1125" s="1043">
        <f t="shared" si="1500"/>
        <v>6.2172489379008766E-15</v>
      </c>
      <c r="T1125" s="1043">
        <f t="shared" si="1500"/>
        <v>5.3290705182007514E-15</v>
      </c>
      <c r="U1125" s="1043">
        <f t="shared" si="1500"/>
        <v>5.9396931817445875E-15</v>
      </c>
      <c r="V1125" s="1043">
        <f>ABS(V1123-V1124)</f>
        <v>0</v>
      </c>
      <c r="W1125" s="1043">
        <f t="shared" si="1500"/>
        <v>4.4408920985006262E-16</v>
      </c>
      <c r="X1125" s="1043">
        <f t="shared" si="1500"/>
        <v>1.7763568394002505E-15</v>
      </c>
      <c r="Y1125" s="1043">
        <f t="shared" si="1500"/>
        <v>3.5527136788005009E-15</v>
      </c>
      <c r="Z1125" s="1043">
        <f t="shared" ref="Z1125:AD1125" si="1501">ABS(Z1123-Z1124)</f>
        <v>4.8849813083506888E-15</v>
      </c>
      <c r="AA1125" s="1043">
        <f t="shared" si="1501"/>
        <v>2.55351295663786E-15</v>
      </c>
      <c r="AB1125" s="1043">
        <f t="shared" si="1501"/>
        <v>2.6645352591003757E-15</v>
      </c>
      <c r="AC1125" s="1043">
        <f t="shared" si="1501"/>
        <v>0</v>
      </c>
      <c r="AD1125" s="1043">
        <f t="shared" si="1501"/>
        <v>0</v>
      </c>
      <c r="AE1125" s="1043">
        <f t="shared" ref="AE1125" si="1502">ABS(AE1123-AE1124)</f>
        <v>0</v>
      </c>
      <c r="AF1125" s="2836"/>
      <c r="AG1125" s="2836"/>
      <c r="AH1125" s="2836"/>
      <c r="AI1125" s="2836"/>
      <c r="AJ1125" s="2836"/>
      <c r="AK1125" s="1043">
        <v>0</v>
      </c>
      <c r="AL1125" s="2836"/>
      <c r="AM1125" s="1043"/>
      <c r="AN1125" s="2836"/>
      <c r="AO1125" s="2836"/>
      <c r="AP1125" s="2836"/>
      <c r="AQ1125" s="2836"/>
      <c r="AR1125" s="2836"/>
      <c r="AS1125" s="2836"/>
      <c r="AT1125" s="2836"/>
    </row>
    <row r="1126" spans="1:46">
      <c r="Q1126" s="749"/>
      <c r="V1126" s="2254"/>
      <c r="W1126" s="2254"/>
      <c r="X1126" s="2254"/>
      <c r="Y1126" s="2254"/>
      <c r="Z1126" s="2254"/>
      <c r="AA1126" s="2254"/>
      <c r="AB1126" s="2254"/>
      <c r="AC1126" s="2254"/>
      <c r="AD1126" s="2254"/>
      <c r="AE1126" s="2254"/>
      <c r="AK1126" s="2254"/>
      <c r="AM1126" s="2254"/>
    </row>
    <row r="1127" spans="1:46" ht="12.75" customHeight="1">
      <c r="A1127" s="714"/>
      <c r="B1127" s="714"/>
      <c r="C1127" s="822"/>
      <c r="D1127" s="823"/>
      <c r="E1127" s="824" t="s">
        <v>1803</v>
      </c>
      <c r="F1127" s="825"/>
      <c r="G1127" s="826">
        <f>+InputY!$G$3</f>
        <v>1995</v>
      </c>
      <c r="H1127" s="826">
        <f>+G1127+1</f>
        <v>1996</v>
      </c>
      <c r="I1127" s="826">
        <f t="shared" ref="I1127:S1127" si="1503">+H1127+1</f>
        <v>1997</v>
      </c>
      <c r="J1127" s="826">
        <f t="shared" si="1503"/>
        <v>1998</v>
      </c>
      <c r="K1127" s="826">
        <f t="shared" si="1503"/>
        <v>1999</v>
      </c>
      <c r="L1127" s="826">
        <f t="shared" si="1503"/>
        <v>2000</v>
      </c>
      <c r="M1127" s="826">
        <f t="shared" si="1503"/>
        <v>2001</v>
      </c>
      <c r="N1127" s="826">
        <f t="shared" si="1503"/>
        <v>2002</v>
      </c>
      <c r="O1127" s="826">
        <f t="shared" si="1503"/>
        <v>2003</v>
      </c>
      <c r="P1127" s="826">
        <f>+O1127+1</f>
        <v>2004</v>
      </c>
      <c r="Q1127" s="826">
        <f>+P1127+1</f>
        <v>2005</v>
      </c>
      <c r="R1127" s="2163">
        <f t="shared" si="1503"/>
        <v>2006</v>
      </c>
      <c r="S1127" s="2877">
        <f t="shared" si="1503"/>
        <v>2007</v>
      </c>
      <c r="T1127" s="2877">
        <f t="shared" ref="T1127:AE1127" si="1504">+S1127+1</f>
        <v>2008</v>
      </c>
      <c r="U1127" s="2877">
        <f t="shared" si="1504"/>
        <v>2009</v>
      </c>
      <c r="V1127" s="2877">
        <f t="shared" si="1504"/>
        <v>2010</v>
      </c>
      <c r="W1127" s="2877">
        <f t="shared" si="1504"/>
        <v>2011</v>
      </c>
      <c r="X1127" s="2877">
        <f t="shared" si="1504"/>
        <v>2012</v>
      </c>
      <c r="Y1127" s="2877">
        <f t="shared" si="1504"/>
        <v>2013</v>
      </c>
      <c r="Z1127" s="2877">
        <f t="shared" si="1504"/>
        <v>2014</v>
      </c>
      <c r="AA1127" s="2877">
        <f t="shared" si="1504"/>
        <v>2015</v>
      </c>
      <c r="AB1127" s="2877">
        <f t="shared" si="1504"/>
        <v>2016</v>
      </c>
      <c r="AC1127" s="2877">
        <f t="shared" si="1504"/>
        <v>2017</v>
      </c>
      <c r="AD1127" s="2877">
        <f t="shared" si="1504"/>
        <v>2018</v>
      </c>
      <c r="AE1127" s="2877">
        <f t="shared" si="1504"/>
        <v>2019</v>
      </c>
      <c r="AK1127" s="2877">
        <v>2014</v>
      </c>
      <c r="AM1127" s="2877"/>
    </row>
    <row r="1128" spans="1:46" ht="12.75" customHeight="1">
      <c r="A1128" s="714"/>
      <c r="B1128" s="714"/>
      <c r="C1128" s="827" t="s">
        <v>622</v>
      </c>
      <c r="D1128" s="718" t="s">
        <v>592</v>
      </c>
      <c r="E1128" s="828" t="s">
        <v>648</v>
      </c>
      <c r="F1128" s="751" t="s">
        <v>649</v>
      </c>
      <c r="G1128" s="828">
        <f t="shared" ref="G1128:AD1128" si="1505">+G318</f>
        <v>0.21630000000000002</v>
      </c>
      <c r="H1128" s="828">
        <f t="shared" si="1505"/>
        <v>0.20119999999999999</v>
      </c>
      <c r="I1128" s="828">
        <f t="shared" si="1505"/>
        <v>0.21919999999999998</v>
      </c>
      <c r="J1128" s="828">
        <f t="shared" si="1505"/>
        <v>0.2293</v>
      </c>
      <c r="K1128" s="828">
        <f t="shared" si="1505"/>
        <v>0.3135</v>
      </c>
      <c r="L1128" s="828">
        <f t="shared" si="1505"/>
        <v>0.41080000000000005</v>
      </c>
      <c r="M1128" s="828">
        <f t="shared" si="1505"/>
        <v>0.3851</v>
      </c>
      <c r="N1128" s="828">
        <f t="shared" si="1505"/>
        <v>0.45620000000000005</v>
      </c>
      <c r="O1128" s="828">
        <f t="shared" si="1505"/>
        <v>0.45489999999999997</v>
      </c>
      <c r="P1128" s="828">
        <f t="shared" si="1505"/>
        <v>0.46820000000000006</v>
      </c>
      <c r="Q1128" s="828">
        <f t="shared" si="1505"/>
        <v>0.44879999999999998</v>
      </c>
      <c r="R1128" s="828">
        <f t="shared" si="1505"/>
        <v>0.41190000000000004</v>
      </c>
      <c r="S1128" s="828">
        <f t="shared" si="1505"/>
        <v>0.52529999999999999</v>
      </c>
      <c r="T1128" s="828">
        <f t="shared" si="1505"/>
        <v>0.46220000000000006</v>
      </c>
      <c r="U1128" s="828">
        <f t="shared" si="1505"/>
        <v>0.48059999999999997</v>
      </c>
      <c r="V1128" s="828">
        <f t="shared" si="1505"/>
        <v>0.46829999999999999</v>
      </c>
      <c r="W1128" s="828">
        <f t="shared" si="1505"/>
        <v>0.45249999999999996</v>
      </c>
      <c r="X1128" s="828">
        <f t="shared" si="1505"/>
        <v>0.49469999999999992</v>
      </c>
      <c r="Y1128" s="828">
        <f t="shared" si="1505"/>
        <v>0.52090000000000003</v>
      </c>
      <c r="Z1128" s="828">
        <f t="shared" si="1505"/>
        <v>0.59809999999999985</v>
      </c>
      <c r="AA1128" s="828">
        <f t="shared" si="1505"/>
        <v>0.53600000000000003</v>
      </c>
      <c r="AB1128" s="828">
        <f t="shared" si="1505"/>
        <v>0.54740000000000011</v>
      </c>
      <c r="AC1128" s="828">
        <f t="shared" si="1505"/>
        <v>0.65496410000000005</v>
      </c>
      <c r="AD1128" s="828">
        <f t="shared" si="1505"/>
        <v>0.60145353303000004</v>
      </c>
      <c r="AE1128" s="828">
        <f t="shared" ref="AE1128" si="1506">+AE318</f>
        <v>0.61841452266144603</v>
      </c>
      <c r="AK1128" s="828">
        <v>-0.32395000000000002</v>
      </c>
      <c r="AM1128" s="828"/>
    </row>
    <row r="1129" spans="1:46" ht="12.75" customHeight="1">
      <c r="A1129" s="714"/>
      <c r="B1129" s="714"/>
      <c r="C1129" s="829" t="s">
        <v>2133</v>
      </c>
      <c r="D1129" s="724" t="s">
        <v>592</v>
      </c>
      <c r="E1129" s="756" t="s">
        <v>744</v>
      </c>
      <c r="F1129" s="754" t="s">
        <v>745</v>
      </c>
      <c r="G1129" s="756">
        <f t="shared" ref="G1129:AD1129" si="1507">+G596</f>
        <v>1.8432000000000002</v>
      </c>
      <c r="H1129" s="756">
        <f t="shared" si="1507"/>
        <v>2.3280000000000003</v>
      </c>
      <c r="I1129" s="756">
        <f t="shared" si="1507"/>
        <v>2.2884999999999995</v>
      </c>
      <c r="J1129" s="756">
        <f t="shared" si="1507"/>
        <v>2.5347000000000004</v>
      </c>
      <c r="K1129" s="756">
        <f t="shared" si="1507"/>
        <v>2.6181000000000005</v>
      </c>
      <c r="L1129" s="756">
        <f t="shared" si="1507"/>
        <v>2.7263000000000002</v>
      </c>
      <c r="M1129" s="756">
        <f t="shared" si="1507"/>
        <v>2.4079000000000006</v>
      </c>
      <c r="N1129" s="756">
        <f t="shared" si="1507"/>
        <v>2.6333000000000002</v>
      </c>
      <c r="O1129" s="756">
        <f t="shared" si="1507"/>
        <v>3.3849</v>
      </c>
      <c r="P1129" s="756">
        <f t="shared" si="1507"/>
        <v>3.8216000000000001</v>
      </c>
      <c r="Q1129" s="756">
        <f t="shared" si="1507"/>
        <v>3.8138000000000001</v>
      </c>
      <c r="R1129" s="756">
        <f t="shared" si="1507"/>
        <v>3.8023999999999996</v>
      </c>
      <c r="S1129" s="756">
        <f t="shared" si="1507"/>
        <v>3.2037000000000004</v>
      </c>
      <c r="T1129" s="756">
        <f t="shared" si="1507"/>
        <v>4.3076000000000008</v>
      </c>
      <c r="U1129" s="756">
        <f t="shared" si="1507"/>
        <v>4.3136000000000001</v>
      </c>
      <c r="V1129" s="756">
        <f t="shared" si="1507"/>
        <v>3.5213999999999994</v>
      </c>
      <c r="W1129" s="756">
        <f t="shared" si="1507"/>
        <v>3.7811999999999997</v>
      </c>
      <c r="X1129" s="756">
        <f t="shared" si="1507"/>
        <v>4.8591000000000006</v>
      </c>
      <c r="Y1129" s="756">
        <f t="shared" si="1507"/>
        <v>5.4581</v>
      </c>
      <c r="Z1129" s="756">
        <f t="shared" si="1507"/>
        <v>5.0854999999999997</v>
      </c>
      <c r="AA1129" s="756">
        <f t="shared" si="1507"/>
        <v>5.0801999999999996</v>
      </c>
      <c r="AB1129" s="756">
        <f t="shared" si="1507"/>
        <v>6.492</v>
      </c>
      <c r="AC1129" s="756">
        <f t="shared" si="1507"/>
        <v>5.2021928500000003</v>
      </c>
      <c r="AD1129" s="756">
        <f t="shared" si="1507"/>
        <v>6.2277127625499986</v>
      </c>
      <c r="AE1129" s="756">
        <f t="shared" ref="AE1129" si="1508">+AE596</f>
        <v>6.8327377086030889</v>
      </c>
      <c r="AK1129" s="756">
        <v>5.306248857295067</v>
      </c>
      <c r="AM1129" s="756"/>
    </row>
    <row r="1130" spans="1:46" ht="12.75" customHeight="1">
      <c r="A1130" s="714"/>
      <c r="B1130" s="714"/>
      <c r="C1130" s="829" t="s">
        <v>2133</v>
      </c>
      <c r="D1130" s="724" t="s">
        <v>592</v>
      </c>
      <c r="E1130" s="756" t="s">
        <v>740</v>
      </c>
      <c r="F1130" s="754" t="s">
        <v>741</v>
      </c>
      <c r="G1130" s="756">
        <f t="shared" ref="G1130:AD1130" si="1509">+G476</f>
        <v>0.51180000000000003</v>
      </c>
      <c r="H1130" s="756">
        <f t="shared" si="1509"/>
        <v>0.5383</v>
      </c>
      <c r="I1130" s="756">
        <f t="shared" si="1509"/>
        <v>0.54749999999999999</v>
      </c>
      <c r="J1130" s="756">
        <f t="shared" si="1509"/>
        <v>0.5907</v>
      </c>
      <c r="K1130" s="756">
        <f t="shared" si="1509"/>
        <v>0.65400000000000003</v>
      </c>
      <c r="L1130" s="756">
        <f t="shared" si="1509"/>
        <v>0.69029999999999991</v>
      </c>
      <c r="M1130" s="756">
        <f t="shared" si="1509"/>
        <v>0.72609999999999986</v>
      </c>
      <c r="N1130" s="756">
        <f t="shared" si="1509"/>
        <v>0.78169999999999995</v>
      </c>
      <c r="O1130" s="756">
        <f t="shared" si="1509"/>
        <v>0.88359999999999994</v>
      </c>
      <c r="P1130" s="756">
        <f t="shared" si="1509"/>
        <v>0.95849999999999991</v>
      </c>
      <c r="Q1130" s="756">
        <f t="shared" si="1509"/>
        <v>0.98919999999999997</v>
      </c>
      <c r="R1130" s="756">
        <f t="shared" si="1509"/>
        <v>1.0649000000000002</v>
      </c>
      <c r="S1130" s="756">
        <f t="shared" si="1509"/>
        <v>1.1528</v>
      </c>
      <c r="T1130" s="756">
        <f t="shared" si="1509"/>
        <v>1.2076</v>
      </c>
      <c r="U1130" s="756">
        <f t="shared" si="1509"/>
        <v>1.2702</v>
      </c>
      <c r="V1130" s="756">
        <f t="shared" si="1509"/>
        <v>1.3554000000000002</v>
      </c>
      <c r="W1130" s="756">
        <f t="shared" si="1509"/>
        <v>1.4347999999999999</v>
      </c>
      <c r="X1130" s="756">
        <f t="shared" si="1509"/>
        <v>1.4890999999999999</v>
      </c>
      <c r="Y1130" s="756">
        <f t="shared" si="1509"/>
        <v>1.5086000000000002</v>
      </c>
      <c r="Z1130" s="756">
        <f t="shared" si="1509"/>
        <v>1.5852999999999997</v>
      </c>
      <c r="AA1130" s="756">
        <f t="shared" si="1509"/>
        <v>1.5858000000000001</v>
      </c>
      <c r="AB1130" s="756">
        <f t="shared" si="1509"/>
        <v>1.6730999999999998</v>
      </c>
      <c r="AC1130" s="756">
        <f t="shared" si="1509"/>
        <v>1.7010407699999996</v>
      </c>
      <c r="AD1130" s="756">
        <f t="shared" si="1509"/>
        <v>1.7570050113329996</v>
      </c>
      <c r="AE1130" s="756">
        <f t="shared" ref="AE1130" si="1510">+AE476</f>
        <v>1.8177973847251212</v>
      </c>
      <c r="AK1130" s="756">
        <v>1.4648471235913092</v>
      </c>
      <c r="AM1130" s="756"/>
    </row>
    <row r="1131" spans="1:46" ht="12.75" customHeight="1">
      <c r="A1131" s="714"/>
      <c r="B1131" s="714"/>
      <c r="C1131" s="829" t="s">
        <v>2133</v>
      </c>
      <c r="D1131" s="724" t="s">
        <v>592</v>
      </c>
      <c r="E1131" s="756" t="s">
        <v>1246</v>
      </c>
      <c r="F1131" s="754" t="s">
        <v>742</v>
      </c>
      <c r="G1131" s="756">
        <f t="shared" ref="G1131:AD1131" si="1511">+G521</f>
        <v>0.15909999999999996</v>
      </c>
      <c r="H1131" s="756">
        <f t="shared" si="1511"/>
        <v>0.15680000000000002</v>
      </c>
      <c r="I1131" s="756">
        <f t="shared" si="1511"/>
        <v>0.15619999999999998</v>
      </c>
      <c r="J1131" s="756">
        <f t="shared" si="1511"/>
        <v>0.13439999999999996</v>
      </c>
      <c r="K1131" s="756">
        <f t="shared" si="1511"/>
        <v>0.11639999999999998</v>
      </c>
      <c r="L1131" s="756">
        <f t="shared" si="1511"/>
        <v>6.9000000000000006E-2</v>
      </c>
      <c r="M1131" s="756">
        <f t="shared" si="1511"/>
        <v>-6.4000000000000341E-3</v>
      </c>
      <c r="N1131" s="756">
        <f t="shared" si="1511"/>
        <v>0.23939999999999997</v>
      </c>
      <c r="O1131" s="756">
        <f t="shared" si="1511"/>
        <v>0.17590000000000003</v>
      </c>
      <c r="P1131" s="756">
        <f t="shared" si="1511"/>
        <v>0.15639999999999998</v>
      </c>
      <c r="Q1131" s="756">
        <f t="shared" si="1511"/>
        <v>0.15649999999999994</v>
      </c>
      <c r="R1131" s="756">
        <f t="shared" si="1511"/>
        <v>0.13420000000000004</v>
      </c>
      <c r="S1131" s="756">
        <f t="shared" si="1511"/>
        <v>0.11320000000000005</v>
      </c>
      <c r="T1131" s="756">
        <f t="shared" si="1511"/>
        <v>0.15570000000000003</v>
      </c>
      <c r="U1131" s="756">
        <f t="shared" si="1511"/>
        <v>0.19910000000000003</v>
      </c>
      <c r="V1131" s="756">
        <f t="shared" si="1511"/>
        <v>0.14229999999999995</v>
      </c>
      <c r="W1131" s="756">
        <f t="shared" si="1511"/>
        <v>0.14029999999999995</v>
      </c>
      <c r="X1131" s="756">
        <f t="shared" si="1511"/>
        <v>0.15770000000000003</v>
      </c>
      <c r="Y1131" s="756">
        <f t="shared" si="1511"/>
        <v>0.31729999999999997</v>
      </c>
      <c r="Z1131" s="756">
        <f t="shared" si="1511"/>
        <v>0.31179999999999997</v>
      </c>
      <c r="AA1131" s="756">
        <f t="shared" si="1511"/>
        <v>0.30610000000000004</v>
      </c>
      <c r="AB1131" s="756">
        <f t="shared" si="1511"/>
        <v>0.29239999999999999</v>
      </c>
      <c r="AC1131" s="756">
        <f t="shared" si="1511"/>
        <v>0.32164000000000004</v>
      </c>
      <c r="AD1131" s="756">
        <f t="shared" si="1511"/>
        <v>0.35380400000000006</v>
      </c>
      <c r="AE1131" s="756">
        <f t="shared" ref="AE1131" si="1512">+AE521</f>
        <v>0.40687460000000003</v>
      </c>
      <c r="AK1131" s="756">
        <v>0.16675699999999999</v>
      </c>
      <c r="AM1131" s="756"/>
    </row>
    <row r="1132" spans="1:46" s="1272" customFormat="1" ht="12.75" customHeight="1">
      <c r="A1132" s="714"/>
      <c r="B1132" s="714"/>
      <c r="C1132" s="829" t="s">
        <v>622</v>
      </c>
      <c r="D1132" s="724" t="s">
        <v>592</v>
      </c>
      <c r="E1132" s="1068" t="s">
        <v>557</v>
      </c>
      <c r="F1132" s="754" t="s">
        <v>823</v>
      </c>
      <c r="G1132" s="1062">
        <f t="shared" ref="G1132:AD1132" ca="1" si="1513">+G669</f>
        <v>3.4911309954033243E-17</v>
      </c>
      <c r="H1132" s="1062">
        <f t="shared" si="1513"/>
        <v>6.7871055997592578E-17</v>
      </c>
      <c r="I1132" s="1062">
        <f t="shared" si="1513"/>
        <v>2.3852447794681098E-17</v>
      </c>
      <c r="J1132" s="1062">
        <f t="shared" si="1513"/>
        <v>1.7997756063259374E-16</v>
      </c>
      <c r="K1132" s="1062">
        <f t="shared" si="1513"/>
        <v>6.9822619908066486E-17</v>
      </c>
      <c r="L1132" s="1062">
        <f t="shared" si="1513"/>
        <v>0</v>
      </c>
      <c r="M1132" s="1062">
        <f t="shared" si="1513"/>
        <v>-8.814563662307151E-17</v>
      </c>
      <c r="N1132" s="1062">
        <f t="shared" si="1513"/>
        <v>-1.212138028838794E-16</v>
      </c>
      <c r="O1132" s="1062">
        <f t="shared" si="1513"/>
        <v>-1.708702623837155E-16</v>
      </c>
      <c r="P1132" s="1062">
        <f t="shared" si="1513"/>
        <v>2.3678975447083417E-16</v>
      </c>
      <c r="Q1132" s="1062">
        <f t="shared" si="1513"/>
        <v>1.1188966420050406E-16</v>
      </c>
      <c r="R1132" s="1062">
        <f t="shared" si="1513"/>
        <v>-9.7144514654701197E-17</v>
      </c>
      <c r="S1132" s="1062">
        <f t="shared" si="1513"/>
        <v>1.3205582460873444E-16</v>
      </c>
      <c r="T1132" s="1062">
        <f t="shared" si="1513"/>
        <v>-1.8561541192951836E-16</v>
      </c>
      <c r="U1132" s="1062">
        <f t="shared" si="1513"/>
        <v>2.1684043449710089E-16</v>
      </c>
      <c r="V1132" s="1062">
        <f t="shared" si="1513"/>
        <v>-9.540979117872439E-17</v>
      </c>
      <c r="W1132" s="1062">
        <f t="shared" si="1513"/>
        <v>-8.5001450322863548E-17</v>
      </c>
      <c r="X1132" s="1062">
        <f t="shared" si="1513"/>
        <v>-1.5959455978986625E-16</v>
      </c>
      <c r="Y1132" s="1062">
        <f t="shared" si="1513"/>
        <v>-1.0408340855860843E-16</v>
      </c>
      <c r="Z1132" s="1062">
        <f t="shared" si="1513"/>
        <v>0</v>
      </c>
      <c r="AA1132" s="1062">
        <f t="shared" si="1513"/>
        <v>-1.2490009027033011E-16</v>
      </c>
      <c r="AB1132" s="1062">
        <f t="shared" si="1513"/>
        <v>0</v>
      </c>
      <c r="AC1132" s="1062">
        <f t="shared" si="1513"/>
        <v>0</v>
      </c>
      <c r="AD1132" s="1062">
        <f t="shared" si="1513"/>
        <v>0</v>
      </c>
      <c r="AE1132" s="1062">
        <f t="shared" ref="AE1132" si="1514">+AE669</f>
        <v>0</v>
      </c>
      <c r="AF1132" s="2838"/>
      <c r="AG1132" s="2838"/>
      <c r="AH1132" s="2838"/>
      <c r="AI1132" s="2838"/>
      <c r="AJ1132" s="2838"/>
      <c r="AK1132" s="1062">
        <v>-9.540979117872439E-17</v>
      </c>
      <c r="AL1132" s="2838"/>
      <c r="AM1132" s="1062"/>
      <c r="AN1132" s="2838"/>
      <c r="AO1132" s="2838"/>
      <c r="AP1132" s="2838"/>
      <c r="AQ1132" s="2838"/>
      <c r="AR1132" s="2838"/>
      <c r="AS1132" s="2838"/>
      <c r="AT1132" s="2838"/>
    </row>
    <row r="1133" spans="1:46" ht="12.75" customHeight="1">
      <c r="A1133" s="714"/>
      <c r="B1133" s="714">
        <v>141</v>
      </c>
      <c r="C1133" s="831" t="s">
        <v>624</v>
      </c>
      <c r="D1133" s="800" t="s">
        <v>592</v>
      </c>
      <c r="E1133" s="832" t="s">
        <v>1145</v>
      </c>
      <c r="F1133" s="802" t="s">
        <v>739</v>
      </c>
      <c r="G1133" s="832">
        <f t="shared" ref="G1133:Q1133" ca="1" si="1515">+G1128-G1129-G1130-G1131+G1132</f>
        <v>-2.2978000000000001</v>
      </c>
      <c r="H1133" s="832">
        <f t="shared" si="1515"/>
        <v>-2.8219000000000003</v>
      </c>
      <c r="I1133" s="832">
        <f t="shared" si="1515"/>
        <v>-2.7729999999999997</v>
      </c>
      <c r="J1133" s="832">
        <f t="shared" si="1515"/>
        <v>-3.0305000000000004</v>
      </c>
      <c r="K1133" s="832">
        <f t="shared" si="1515"/>
        <v>-3.0750000000000006</v>
      </c>
      <c r="L1133" s="832">
        <f t="shared" si="1515"/>
        <v>-3.0747999999999998</v>
      </c>
      <c r="M1133" s="832">
        <f t="shared" si="1515"/>
        <v>-2.7425000000000002</v>
      </c>
      <c r="N1133" s="832">
        <f t="shared" si="1515"/>
        <v>-3.1981999999999999</v>
      </c>
      <c r="O1133" s="832">
        <f t="shared" si="1515"/>
        <v>-3.9895</v>
      </c>
      <c r="P1133" s="832">
        <f t="shared" si="1515"/>
        <v>-4.4682999999999993</v>
      </c>
      <c r="Q1133" s="832">
        <f t="shared" si="1515"/>
        <v>-4.5107000000000008</v>
      </c>
      <c r="R1133" s="832">
        <f t="shared" ref="R1133:Y1133" si="1516">+R1128-R1129-R1130-R1131+R1132</f>
        <v>-4.589599999999999</v>
      </c>
      <c r="S1133" s="832">
        <f t="shared" si="1516"/>
        <v>-3.9444000000000004</v>
      </c>
      <c r="T1133" s="832">
        <f t="shared" si="1516"/>
        <v>-5.2087000000000012</v>
      </c>
      <c r="U1133" s="832">
        <f t="shared" si="1516"/>
        <v>-5.3022999999999998</v>
      </c>
      <c r="V1133" s="832">
        <f t="shared" si="1516"/>
        <v>-4.5507999999999988</v>
      </c>
      <c r="W1133" s="832">
        <f t="shared" si="1516"/>
        <v>-4.9037999999999995</v>
      </c>
      <c r="X1133" s="832">
        <f t="shared" si="1516"/>
        <v>-6.0112000000000005</v>
      </c>
      <c r="Y1133" s="832">
        <f t="shared" si="1516"/>
        <v>-6.7631000000000006</v>
      </c>
      <c r="Z1133" s="832">
        <f t="shared" ref="Z1133:AD1133" si="1517">+Z1128-Z1129-Z1130-Z1131+Z1132</f>
        <v>-6.3844999999999992</v>
      </c>
      <c r="AA1133" s="832">
        <f t="shared" si="1517"/>
        <v>-6.4360999999999997</v>
      </c>
      <c r="AB1133" s="832">
        <f t="shared" si="1517"/>
        <v>-7.910099999999999</v>
      </c>
      <c r="AC1133" s="832">
        <f t="shared" si="1517"/>
        <v>-6.5699095200000004</v>
      </c>
      <c r="AD1133" s="832">
        <f t="shared" si="1517"/>
        <v>-7.7370682408529987</v>
      </c>
      <c r="AE1133" s="832">
        <f t="shared" ref="AE1133" si="1518">+AE1128-AE1129-AE1130-AE1131+AE1132</f>
        <v>-8.4389951706667645</v>
      </c>
      <c r="AK1133" s="832">
        <v>-7.261802980886376</v>
      </c>
      <c r="AM1133" s="832"/>
    </row>
    <row r="1134" spans="1:46" s="1885" customFormat="1" ht="12.75" customHeight="1">
      <c r="A1134" s="714">
        <f>+ROW(InputY!A93)</f>
        <v>93</v>
      </c>
      <c r="B1134" s="1039"/>
      <c r="C1134" s="1501"/>
      <c r="D1134" s="1884" t="s">
        <v>592</v>
      </c>
      <c r="E1134" s="1882" t="s">
        <v>1843</v>
      </c>
      <c r="F1134" s="1883" t="s">
        <v>1506</v>
      </c>
      <c r="G1134" s="1043">
        <f>IF(+InputY!G93=":",G1133,+InputY!G93/1000)</f>
        <v>-2.2978000000000005</v>
      </c>
      <c r="H1134" s="1043">
        <f>IF(+InputY!H93=":",H1133,+InputY!H93/1000)</f>
        <v>-2.8219000000000003</v>
      </c>
      <c r="I1134" s="1043">
        <f>IF(+InputY!I93=":",I1133,+InputY!I93/1000)</f>
        <v>-2.7730000000000001</v>
      </c>
      <c r="J1134" s="1043">
        <f>IF(+InputY!J93=":",J1133,+InputY!J93/1000)</f>
        <v>-3.0305</v>
      </c>
      <c r="K1134" s="1043">
        <f>IF(+InputY!K93=":",K1133,+InputY!K93/1000)</f>
        <v>-3.0750000000000002</v>
      </c>
      <c r="L1134" s="1043">
        <f>IF(+InputY!L93=":",L1133,+InputY!L93/1000)</f>
        <v>-3.0748000000000002</v>
      </c>
      <c r="M1134" s="1043">
        <f>IF(+InputY!M93=":",M1133,+InputY!M93/1000)</f>
        <v>-2.7425000000000002</v>
      </c>
      <c r="N1134" s="1043">
        <f>IF(+InputY!N93=":",N1133,+InputY!N93/1000)</f>
        <v>-3.1981999999999999</v>
      </c>
      <c r="O1134" s="1043">
        <f>IF(+InputY!O93=":",O1133,+InputY!O93/1000)</f>
        <v>-3.9895</v>
      </c>
      <c r="P1134" s="1043">
        <f>IF(+InputY!P93=":",P1133,+InputY!P93/1000)</f>
        <v>-4.4683000000000002</v>
      </c>
      <c r="Q1134" s="1043">
        <f>IF(+InputY!Q93=":",Q1133,+InputY!Q93/1000)</f>
        <v>-4.5106999999999999</v>
      </c>
      <c r="R1134" s="1043">
        <f>IF(+InputY!R93=":",R1133,+InputY!R93/1000)</f>
        <v>-4.5896000000000008</v>
      </c>
      <c r="S1134" s="1043">
        <f>IF(+InputY!S93=":",S1133,+InputY!S93/1000)</f>
        <v>-3.9443999999999999</v>
      </c>
      <c r="T1134" s="1043">
        <f>IF(+InputY!T93=":",T1133,+InputY!T93/1000)</f>
        <v>-5.2086999999999994</v>
      </c>
      <c r="U1134" s="1043">
        <f>IF(+InputY!U93=":",U1133,+InputY!U93/1000)</f>
        <v>-5.3022999999999998</v>
      </c>
      <c r="V1134" s="1043">
        <f>IF(+InputY!V93=":",V1133,+InputY!V93/1000)</f>
        <v>-4.5508000000000006</v>
      </c>
      <c r="W1134" s="1043">
        <f>IF(+InputY!W93=":",W1133,+InputY!W93/1000)</f>
        <v>-4.9038000000000004</v>
      </c>
      <c r="X1134" s="1043">
        <f>IF(+InputY!X93=":",X1133,+InputY!X93/1000)</f>
        <v>-6.0111999999999997</v>
      </c>
      <c r="Y1134" s="1043">
        <f>IF(+InputY!Y93=":",Y1133,+InputY!Y93/1000)</f>
        <v>-6.7631000000000006</v>
      </c>
      <c r="Z1134" s="1043">
        <f>IF(+InputY!Z93=":",Z1133,+InputY!Z93/1000)</f>
        <v>-6.3845000000000001</v>
      </c>
      <c r="AA1134" s="1043">
        <f>IF(+InputY!AA93=":",AA1133,+InputY!AA93/1000)</f>
        <v>-6.4361000000000006</v>
      </c>
      <c r="AB1134" s="1043">
        <f>IF(+InputY!AB93=":",AB1133,+InputY!AB93/1000)</f>
        <v>-7.9101000000000008</v>
      </c>
      <c r="AC1134" s="1043">
        <f>IF(+InputY!AC93=":",AC1133,+InputY!AC93/1000)</f>
        <v>-6.5699095200000004</v>
      </c>
      <c r="AD1134" s="1043">
        <f>IF(+InputY!AD93=":",AD1133,+InputY!AD93/1000)</f>
        <v>-7.7370682408529987</v>
      </c>
      <c r="AE1134" s="1043">
        <f>IF(+InputY!AE93=":",AE1133,+InputY!AE93/1000)</f>
        <v>-8.4389951706667645</v>
      </c>
      <c r="AF1134" s="2836"/>
      <c r="AG1134" s="2836"/>
      <c r="AH1134" s="2836"/>
      <c r="AI1134" s="2836"/>
      <c r="AJ1134" s="2836"/>
      <c r="AK1134" s="1043">
        <v>-7.261802980886376</v>
      </c>
      <c r="AL1134" s="2836"/>
      <c r="AM1134" s="1043"/>
      <c r="AN1134" s="2836"/>
      <c r="AO1134" s="2836"/>
      <c r="AP1134" s="2836"/>
      <c r="AQ1134" s="2836"/>
      <c r="AR1134" s="2836"/>
      <c r="AS1134" s="2836"/>
      <c r="AT1134" s="2836"/>
    </row>
    <row r="1135" spans="1:46" s="1885" customFormat="1" ht="12.75" customHeight="1">
      <c r="A1135" s="1039"/>
      <c r="B1135" s="1039"/>
      <c r="C1135" s="1501"/>
      <c r="D1135" s="1884"/>
      <c r="E1135" s="1882" t="s">
        <v>474</v>
      </c>
      <c r="F1135" s="1883"/>
      <c r="G1135" s="1043">
        <f t="shared" ref="G1135:Q1135" ca="1" si="1519">ABS(G1133-G1134)</f>
        <v>4.4408920985006262E-16</v>
      </c>
      <c r="H1135" s="1043">
        <f t="shared" si="1519"/>
        <v>0</v>
      </c>
      <c r="I1135" s="1043">
        <f t="shared" si="1519"/>
        <v>4.4408920985006262E-16</v>
      </c>
      <c r="J1135" s="1043">
        <f t="shared" si="1519"/>
        <v>4.4408920985006262E-16</v>
      </c>
      <c r="K1135" s="1043">
        <f t="shared" si="1519"/>
        <v>4.4408920985006262E-16</v>
      </c>
      <c r="L1135" s="1043">
        <f t="shared" si="1519"/>
        <v>4.4408920985006262E-16</v>
      </c>
      <c r="M1135" s="1043">
        <f t="shared" si="1519"/>
        <v>0</v>
      </c>
      <c r="N1135" s="1043">
        <f t="shared" si="1519"/>
        <v>0</v>
      </c>
      <c r="O1135" s="1043">
        <f t="shared" si="1519"/>
        <v>0</v>
      </c>
      <c r="P1135" s="1043">
        <f t="shared" si="1519"/>
        <v>8.8817841970012523E-16</v>
      </c>
      <c r="Q1135" s="1043">
        <f t="shared" si="1519"/>
        <v>8.8817841970012523E-16</v>
      </c>
      <c r="R1135" s="1043">
        <f t="shared" ref="R1135:Y1135" si="1520">ABS(R1133-R1134)</f>
        <v>1.7763568394002505E-15</v>
      </c>
      <c r="S1135" s="1043">
        <f t="shared" si="1520"/>
        <v>4.4408920985006262E-16</v>
      </c>
      <c r="T1135" s="1043">
        <f t="shared" si="1520"/>
        <v>1.7763568394002505E-15</v>
      </c>
      <c r="U1135" s="1043">
        <f t="shared" si="1520"/>
        <v>0</v>
      </c>
      <c r="V1135" s="1043">
        <f t="shared" si="1520"/>
        <v>1.7763568394002505E-15</v>
      </c>
      <c r="W1135" s="1043">
        <f t="shared" si="1520"/>
        <v>8.8817841970012523E-16</v>
      </c>
      <c r="X1135" s="1043">
        <f t="shared" si="1520"/>
        <v>8.8817841970012523E-16</v>
      </c>
      <c r="Y1135" s="1043">
        <f t="shared" si="1520"/>
        <v>0</v>
      </c>
      <c r="Z1135" s="1043">
        <f t="shared" ref="Z1135:AD1135" si="1521">ABS(Z1133-Z1134)</f>
        <v>8.8817841970012523E-16</v>
      </c>
      <c r="AA1135" s="1043">
        <f t="shared" si="1521"/>
        <v>8.8817841970012523E-16</v>
      </c>
      <c r="AB1135" s="1043">
        <f t="shared" si="1521"/>
        <v>1.7763568394002505E-15</v>
      </c>
      <c r="AC1135" s="1043">
        <f t="shared" si="1521"/>
        <v>0</v>
      </c>
      <c r="AD1135" s="1043">
        <f t="shared" si="1521"/>
        <v>0</v>
      </c>
      <c r="AE1135" s="1043">
        <f t="shared" ref="AE1135" si="1522">ABS(AE1133-AE1134)</f>
        <v>0</v>
      </c>
      <c r="AF1135" s="2836"/>
      <c r="AG1135" s="2836"/>
      <c r="AH1135" s="2836"/>
      <c r="AI1135" s="2836"/>
      <c r="AJ1135" s="2836"/>
      <c r="AK1135" s="1043">
        <v>0</v>
      </c>
      <c r="AL1135" s="2836"/>
      <c r="AM1135" s="1043"/>
      <c r="AN1135" s="2836"/>
      <c r="AO1135" s="2836"/>
      <c r="AP1135" s="2836"/>
      <c r="AQ1135" s="2836"/>
      <c r="AR1135" s="2836"/>
      <c r="AS1135" s="2836"/>
      <c r="AT1135" s="2836"/>
    </row>
    <row r="1136" spans="1:46">
      <c r="Q1136" s="749"/>
      <c r="R1136" s="749"/>
      <c r="S1136" s="749"/>
      <c r="T1136" s="749"/>
      <c r="U1136" s="749"/>
      <c r="V1136" s="749"/>
      <c r="W1136" s="749"/>
      <c r="X1136" s="749"/>
      <c r="Y1136" s="749"/>
      <c r="Z1136" s="749"/>
      <c r="AA1136" s="749"/>
      <c r="AB1136" s="749"/>
      <c r="AC1136" s="2949">
        <f>(AC1133+AC1123)/'VVP2'!AC355</f>
        <v>-6.5815629380160346E-3</v>
      </c>
      <c r="AD1136" s="2949">
        <f ca="1">(AD1133+AD1123)/'VVP2'!AD355</f>
        <v>-7.5512951456330277E-3</v>
      </c>
      <c r="AE1136" s="2949">
        <f ca="1">(AE1133+AE1123)/'VVP2'!AE355</f>
        <v>-8.6448840820874586E-3</v>
      </c>
      <c r="AK1136" s="749"/>
      <c r="AM1136" s="749"/>
    </row>
    <row r="1137" spans="1:46" ht="12.75" customHeight="1">
      <c r="A1137" s="714"/>
      <c r="B1137" s="714"/>
      <c r="C1137" s="822"/>
      <c r="D1137" s="823"/>
      <c r="E1137" s="824" t="s">
        <v>1803</v>
      </c>
      <c r="F1137" s="825"/>
      <c r="G1137" s="826">
        <f>+InputY!$G$3</f>
        <v>1995</v>
      </c>
      <c r="H1137" s="826">
        <f>+G1137+1</f>
        <v>1996</v>
      </c>
      <c r="I1137" s="826">
        <f t="shared" ref="I1137:O1137" si="1523">+H1137+1</f>
        <v>1997</v>
      </c>
      <c r="J1137" s="826">
        <f t="shared" si="1523"/>
        <v>1998</v>
      </c>
      <c r="K1137" s="826">
        <f t="shared" si="1523"/>
        <v>1999</v>
      </c>
      <c r="L1137" s="826">
        <f t="shared" si="1523"/>
        <v>2000</v>
      </c>
      <c r="M1137" s="826">
        <f t="shared" si="1523"/>
        <v>2001</v>
      </c>
      <c r="N1137" s="826">
        <f t="shared" si="1523"/>
        <v>2002</v>
      </c>
      <c r="O1137" s="826">
        <f t="shared" si="1523"/>
        <v>2003</v>
      </c>
      <c r="P1137" s="826">
        <f t="shared" ref="P1137:U1137" si="1524">+O1137+1</f>
        <v>2004</v>
      </c>
      <c r="Q1137" s="826">
        <f t="shared" si="1524"/>
        <v>2005</v>
      </c>
      <c r="R1137" s="826">
        <f t="shared" si="1524"/>
        <v>2006</v>
      </c>
      <c r="S1137" s="2878">
        <f t="shared" si="1524"/>
        <v>2007</v>
      </c>
      <c r="T1137" s="2878">
        <f t="shared" si="1524"/>
        <v>2008</v>
      </c>
      <c r="U1137" s="2878">
        <f t="shared" si="1524"/>
        <v>2009</v>
      </c>
      <c r="V1137" s="2878">
        <f t="shared" ref="V1137:AE1137" si="1525">+U1137+1</f>
        <v>2010</v>
      </c>
      <c r="W1137" s="2878">
        <f t="shared" si="1525"/>
        <v>2011</v>
      </c>
      <c r="X1137" s="2878">
        <f t="shared" si="1525"/>
        <v>2012</v>
      </c>
      <c r="Y1137" s="2878">
        <f t="shared" si="1525"/>
        <v>2013</v>
      </c>
      <c r="Z1137" s="2878">
        <f t="shared" si="1525"/>
        <v>2014</v>
      </c>
      <c r="AA1137" s="2878">
        <f t="shared" si="1525"/>
        <v>2015</v>
      </c>
      <c r="AB1137" s="2878">
        <f t="shared" si="1525"/>
        <v>2016</v>
      </c>
      <c r="AC1137" s="2878">
        <f t="shared" si="1525"/>
        <v>2017</v>
      </c>
      <c r="AD1137" s="2878">
        <f t="shared" si="1525"/>
        <v>2018</v>
      </c>
      <c r="AE1137" s="2878">
        <f t="shared" si="1525"/>
        <v>2019</v>
      </c>
      <c r="AK1137" s="2878">
        <v>2014</v>
      </c>
      <c r="AM1137" s="2878"/>
    </row>
    <row r="1138" spans="1:46" ht="12.75" customHeight="1">
      <c r="A1138" s="714"/>
      <c r="B1138" s="714"/>
      <c r="C1138" s="827" t="s">
        <v>622</v>
      </c>
      <c r="D1138" s="718" t="s">
        <v>592</v>
      </c>
      <c r="E1138" s="828" t="s">
        <v>961</v>
      </c>
      <c r="F1138" s="751" t="s">
        <v>1695</v>
      </c>
      <c r="G1138" s="828">
        <f t="shared" ref="G1138:AD1138" si="1526">+G797</f>
        <v>-0.22929999999999995</v>
      </c>
      <c r="H1138" s="828">
        <f t="shared" si="1526"/>
        <v>-0.10569999999999999</v>
      </c>
      <c r="I1138" s="828">
        <f t="shared" si="1526"/>
        <v>0.39400000000000002</v>
      </c>
      <c r="J1138" s="828">
        <f t="shared" si="1526"/>
        <v>-0.13250000000000001</v>
      </c>
      <c r="K1138" s="828">
        <f t="shared" si="1526"/>
        <v>-4.1700000000000043E-2</v>
      </c>
      <c r="L1138" s="828">
        <f t="shared" si="1526"/>
        <v>-0.20869999999999994</v>
      </c>
      <c r="M1138" s="828">
        <f t="shared" si="1526"/>
        <v>-0.49519999999999997</v>
      </c>
      <c r="N1138" s="828">
        <f t="shared" si="1526"/>
        <v>-0.35350000000000004</v>
      </c>
      <c r="O1138" s="828">
        <f t="shared" si="1526"/>
        <v>-5.5500000000000001E-2</v>
      </c>
      <c r="P1138" s="828">
        <f t="shared" si="1526"/>
        <v>-3.5599999999999965E-2</v>
      </c>
      <c r="Q1138" s="828">
        <f t="shared" si="1526"/>
        <v>-0.1605</v>
      </c>
      <c r="R1138" s="828">
        <f t="shared" si="1526"/>
        <v>-7.4499999999999997E-2</v>
      </c>
      <c r="S1138" s="828">
        <f t="shared" si="1526"/>
        <v>-0.19950000000000001</v>
      </c>
      <c r="T1138" s="828">
        <f t="shared" si="1526"/>
        <v>-0.17979999999999996</v>
      </c>
      <c r="U1138" s="828">
        <f t="shared" si="1526"/>
        <v>-0.20269999999999999</v>
      </c>
      <c r="V1138" s="828">
        <f t="shared" si="1526"/>
        <v>-0.27700000000000002</v>
      </c>
      <c r="W1138" s="828">
        <f t="shared" si="1526"/>
        <v>-0.46050000000000002</v>
      </c>
      <c r="X1138" s="828">
        <f t="shared" si="1526"/>
        <v>2.31</v>
      </c>
      <c r="Y1138" s="828">
        <f t="shared" si="1526"/>
        <v>-0.17380000000000001</v>
      </c>
      <c r="Z1138" s="828">
        <f t="shared" si="1526"/>
        <v>-0.28999999999999998</v>
      </c>
      <c r="AA1138" s="828">
        <f t="shared" si="1526"/>
        <v>2.519999999999999E-2</v>
      </c>
      <c r="AB1138" s="828">
        <f t="shared" si="1526"/>
        <v>-0.35199999999999998</v>
      </c>
      <c r="AC1138" s="828">
        <f t="shared" si="1526"/>
        <v>-0.14208700000000007</v>
      </c>
      <c r="AD1138" s="828">
        <f t="shared" si="1526"/>
        <v>0.13566012950414708</v>
      </c>
      <c r="AE1138" s="828">
        <f t="shared" ref="AE1138" si="1527">+AE797</f>
        <v>0.21401769722368602</v>
      </c>
      <c r="AK1138" s="828">
        <v>0.39548999999999968</v>
      </c>
      <c r="AM1138" s="828"/>
    </row>
    <row r="1139" spans="1:46" ht="12.75" customHeight="1">
      <c r="A1139" s="714"/>
      <c r="B1139" s="714"/>
      <c r="C1139" s="829" t="s">
        <v>622</v>
      </c>
      <c r="D1139" s="724" t="s">
        <v>592</v>
      </c>
      <c r="E1139" s="1068" t="s">
        <v>1247</v>
      </c>
      <c r="F1139" s="754" t="s">
        <v>333</v>
      </c>
      <c r="G1139" s="1062">
        <f t="shared" ref="G1139:AA1139" si="1528">+G831</f>
        <v>-6.7000000000000002E-3</v>
      </c>
      <c r="H1139" s="1062">
        <f t="shared" si="1528"/>
        <v>-1.7000000000000001E-2</v>
      </c>
      <c r="I1139" s="1062">
        <f t="shared" si="1528"/>
        <v>-5.2999999999999999E-2</v>
      </c>
      <c r="J1139" s="1062">
        <f t="shared" si="1528"/>
        <v>-2.5999999999999999E-2</v>
      </c>
      <c r="K1139" s="1062">
        <f t="shared" si="1528"/>
        <v>3.3700000000000001E-2</v>
      </c>
      <c r="L1139" s="1062">
        <f t="shared" si="1528"/>
        <v>-7.740000000000001E-2</v>
      </c>
      <c r="M1139" s="1062">
        <f t="shared" si="1528"/>
        <v>3.8700000000000005E-2</v>
      </c>
      <c r="N1139" s="1062">
        <f t="shared" si="1528"/>
        <v>-8.43E-2</v>
      </c>
      <c r="O1139" s="1062">
        <f t="shared" si="1528"/>
        <v>-7.1199999999999999E-2</v>
      </c>
      <c r="P1139" s="1062">
        <f t="shared" si="1528"/>
        <v>-8.1299999999999997E-2</v>
      </c>
      <c r="Q1139" s="1062">
        <f t="shared" si="1528"/>
        <v>-0.15540000000000001</v>
      </c>
      <c r="R1139" s="1062">
        <f t="shared" si="1528"/>
        <v>6.8900000000000003E-2</v>
      </c>
      <c r="S1139" s="1062">
        <f t="shared" si="1528"/>
        <v>-0.78200000000000003</v>
      </c>
      <c r="T1139" s="1062">
        <f t="shared" si="1528"/>
        <v>-1.125</v>
      </c>
      <c r="U1139" s="1062">
        <f t="shared" si="1528"/>
        <v>-0.26289999999999997</v>
      </c>
      <c r="V1139" s="1062">
        <f t="shared" si="1528"/>
        <v>-3.1600000000000003E-2</v>
      </c>
      <c r="W1139" s="1062">
        <f t="shared" si="1528"/>
        <v>8.4999999999999909E-2</v>
      </c>
      <c r="X1139" s="1062">
        <f t="shared" si="1528"/>
        <v>0.37400000000000011</v>
      </c>
      <c r="Y1139" s="1062">
        <f t="shared" si="1528"/>
        <v>-8.7499999999999939E-2</v>
      </c>
      <c r="Z1139" s="1062">
        <f t="shared" si="1528"/>
        <v>-0.625</v>
      </c>
      <c r="AA1139" s="1062">
        <f t="shared" si="1528"/>
        <v>8.6100000000000024E-2</v>
      </c>
      <c r="AB1139" s="1062">
        <f t="shared" ref="AB1139:AC1139" si="1529">+AB831</f>
        <v>0.81599999999999995</v>
      </c>
      <c r="AC1139" s="1062">
        <f t="shared" si="1529"/>
        <v>0.70929999999999993</v>
      </c>
      <c r="AD1139" s="1062">
        <f t="shared" ref="AD1139" si="1530">+AD831</f>
        <v>0.76069999999999993</v>
      </c>
      <c r="AE1139" s="1062">
        <f t="shared" ref="AE1139" si="1531">+AE831</f>
        <v>0.77069999999999994</v>
      </c>
      <c r="AK1139" s="1062">
        <v>-0.32999999999999985</v>
      </c>
      <c r="AM1139" s="1062"/>
    </row>
    <row r="1140" spans="1:46" ht="12.75" customHeight="1">
      <c r="A1140" s="714"/>
      <c r="B1140" s="714">
        <v>142</v>
      </c>
      <c r="C1140" s="831" t="s">
        <v>624</v>
      </c>
      <c r="D1140" s="800" t="s">
        <v>592</v>
      </c>
      <c r="E1140" s="1069" t="s">
        <v>1147</v>
      </c>
      <c r="F1140" s="802" t="s">
        <v>332</v>
      </c>
      <c r="G1140" s="832">
        <f>+G1138+G1139</f>
        <v>-0.23599999999999996</v>
      </c>
      <c r="H1140" s="832">
        <f t="shared" ref="H1140:Q1140" si="1532">+H1138+H1139</f>
        <v>-0.12269999999999999</v>
      </c>
      <c r="I1140" s="832">
        <f t="shared" si="1532"/>
        <v>0.34100000000000003</v>
      </c>
      <c r="J1140" s="832">
        <f t="shared" si="1532"/>
        <v>-0.1585</v>
      </c>
      <c r="K1140" s="832">
        <f t="shared" si="1532"/>
        <v>-8.0000000000000418E-3</v>
      </c>
      <c r="L1140" s="832">
        <f t="shared" si="1532"/>
        <v>-0.28609999999999997</v>
      </c>
      <c r="M1140" s="832">
        <f t="shared" si="1532"/>
        <v>-0.45649999999999996</v>
      </c>
      <c r="N1140" s="832">
        <f t="shared" si="1532"/>
        <v>-0.43780000000000002</v>
      </c>
      <c r="O1140" s="832">
        <f t="shared" si="1532"/>
        <v>-0.12670000000000001</v>
      </c>
      <c r="P1140" s="832">
        <f t="shared" si="1532"/>
        <v>-0.11689999999999996</v>
      </c>
      <c r="Q1140" s="832">
        <f t="shared" si="1532"/>
        <v>-0.31590000000000001</v>
      </c>
      <c r="R1140" s="832">
        <f t="shared" ref="R1140:Y1140" si="1533">+R1138+R1139</f>
        <v>-5.5999999999999939E-3</v>
      </c>
      <c r="S1140" s="832">
        <f t="shared" si="1533"/>
        <v>-0.98150000000000004</v>
      </c>
      <c r="T1140" s="832">
        <f t="shared" si="1533"/>
        <v>-1.3048</v>
      </c>
      <c r="U1140" s="832">
        <f t="shared" si="1533"/>
        <v>-0.46559999999999996</v>
      </c>
      <c r="V1140" s="832">
        <f t="shared" si="1533"/>
        <v>-0.30860000000000004</v>
      </c>
      <c r="W1140" s="832">
        <f t="shared" si="1533"/>
        <v>-0.37550000000000011</v>
      </c>
      <c r="X1140" s="832">
        <f t="shared" si="1533"/>
        <v>2.6840000000000002</v>
      </c>
      <c r="Y1140" s="832">
        <f t="shared" si="1533"/>
        <v>-0.26129999999999998</v>
      </c>
      <c r="Z1140" s="832">
        <f t="shared" ref="Z1140:AD1140" si="1534">+Z1138+Z1139</f>
        <v>-0.91500000000000004</v>
      </c>
      <c r="AA1140" s="832">
        <f t="shared" si="1534"/>
        <v>0.11130000000000001</v>
      </c>
      <c r="AB1140" s="832">
        <f t="shared" si="1534"/>
        <v>0.46399999999999997</v>
      </c>
      <c r="AC1140" s="832">
        <f t="shared" si="1534"/>
        <v>0.56721299999999986</v>
      </c>
      <c r="AD1140" s="832">
        <f t="shared" si="1534"/>
        <v>0.89636012950414701</v>
      </c>
      <c r="AE1140" s="832">
        <f t="shared" ref="AE1140" si="1535">+AE1138+AE1139</f>
        <v>0.98471769722368596</v>
      </c>
      <c r="AK1140" s="832">
        <v>6.5489999999999826E-2</v>
      </c>
      <c r="AM1140" s="832"/>
    </row>
    <row r="1141" spans="1:46" s="1885" customFormat="1" ht="12.75" customHeight="1">
      <c r="A1141" s="714">
        <f>+ROW(InputY!A94)</f>
        <v>94</v>
      </c>
      <c r="B1141" s="1039"/>
      <c r="C1141" s="1501"/>
      <c r="D1141" s="1884" t="s">
        <v>592</v>
      </c>
      <c r="E1141" s="1882" t="s">
        <v>1843</v>
      </c>
      <c r="F1141" s="1883" t="s">
        <v>1506</v>
      </c>
      <c r="G1141" s="1043">
        <f ca="1">IF(+InputY!G94=":",G1140,+InputY!G94/1000)</f>
        <v>-0.23599999999999993</v>
      </c>
      <c r="H1141" s="1043">
        <f>IF(+InputY!H94=":",H1140,+InputY!H94/1000)</f>
        <v>-0.1227</v>
      </c>
      <c r="I1141" s="1043">
        <f>IF(+InputY!I94=":",I1140,+InputY!I94/1000)</f>
        <v>0.34100000000000003</v>
      </c>
      <c r="J1141" s="1043">
        <f>IF(+InputY!J94=":",J1140,+InputY!J94/1000)</f>
        <v>-0.1585</v>
      </c>
      <c r="K1141" s="1043">
        <f>IF(+InputY!K94=":",K1140,+InputY!K94/1000)</f>
        <v>-8.0000000000000002E-3</v>
      </c>
      <c r="L1141" s="1043">
        <f>IF(+InputY!L94=":",L1140,+InputY!L94/1000)</f>
        <v>-0.28610000000000002</v>
      </c>
      <c r="M1141" s="1043">
        <f>IF(+InputY!M94=":",M1140,+InputY!M94/1000)</f>
        <v>-0.45650000000000002</v>
      </c>
      <c r="N1141" s="1043">
        <f>IF(+InputY!N94=":",N1140,+InputY!N94/1000)</f>
        <v>-0.43780000000000002</v>
      </c>
      <c r="O1141" s="1043">
        <f>IF(+InputY!O94=":",O1140,+InputY!O94/1000)</f>
        <v>-0.12670000000000001</v>
      </c>
      <c r="P1141" s="1043">
        <f>IF(+InputY!P94=":",P1140,+InputY!P94/1000)</f>
        <v>-0.1169</v>
      </c>
      <c r="Q1141" s="1043">
        <f>IF(+InputY!Q94=":",Q1140,+InputY!Q94/1000)</f>
        <v>-0.31589999999999996</v>
      </c>
      <c r="R1141" s="1043">
        <f>IF(+InputY!R94=":",R1140,+InputY!R94/1000)</f>
        <v>-5.5999999999999999E-3</v>
      </c>
      <c r="S1141" s="1043">
        <f>IF(+InputY!S94=":",S1140,+InputY!S94/1000)</f>
        <v>-0.98150000000000004</v>
      </c>
      <c r="T1141" s="1043">
        <f>IF(+InputY!T94=":",T1140,+InputY!T94/1000)</f>
        <v>-1.3048</v>
      </c>
      <c r="U1141" s="1043">
        <f>IF(+InputY!U94=":",U1140,+InputY!U94/1000)</f>
        <v>-0.46560000000000001</v>
      </c>
      <c r="V1141" s="1043">
        <f>IF(+InputY!V94=":",V1140,+InputY!V94/1000)</f>
        <v>-0.30860000000000004</v>
      </c>
      <c r="W1141" s="1043">
        <f>IF(+InputY!W94=":",W1140,+InputY!W94/1000)</f>
        <v>-0.37560000000000004</v>
      </c>
      <c r="X1141" s="1043">
        <f>IF(+InputY!X94=":",X1140,+InputY!X94/1000)</f>
        <v>2.6840000000000002</v>
      </c>
      <c r="Y1141" s="1043">
        <f>IF(+InputY!Y94=":",Y1140,+InputY!Y94/1000)</f>
        <v>-0.26130000000000003</v>
      </c>
      <c r="Z1141" s="1043">
        <f>IF(+InputY!Z94=":",Z1140,+InputY!Z94/1000)</f>
        <v>-0.91500000000000004</v>
      </c>
      <c r="AA1141" s="1043">
        <f>IF(+InputY!AA94=":",AA1140,+InputY!AA94/1000)</f>
        <v>0.11120000000000001</v>
      </c>
      <c r="AB1141" s="1043">
        <f>IF(+InputY!AB94=":",AB1140,+InputY!AB94/1000)</f>
        <v>0.46899999999999997</v>
      </c>
      <c r="AC1141" s="1043">
        <f>IF(+InputY!AC94=":",AC1140,+InputY!AC94/1000)</f>
        <v>0.56721299999999986</v>
      </c>
      <c r="AD1141" s="1043">
        <f>IF(+InputY!AD94=":",AD1140,+InputY!AD94/1000)</f>
        <v>0.89636012950414701</v>
      </c>
      <c r="AE1141" s="1043">
        <f>IF(+InputY!AE94=":",AE1140,+InputY!AE94/1000)</f>
        <v>0.98471769722368596</v>
      </c>
      <c r="AF1141" s="2836"/>
      <c r="AG1141" s="2836"/>
      <c r="AH1141" s="2836"/>
      <c r="AI1141" s="2836"/>
      <c r="AJ1141" s="2836"/>
      <c r="AK1141" s="1043">
        <v>6.5489999999999826E-2</v>
      </c>
      <c r="AL1141" s="2836"/>
      <c r="AM1141" s="1043"/>
      <c r="AN1141" s="2836"/>
      <c r="AO1141" s="2836"/>
      <c r="AP1141" s="2836"/>
      <c r="AQ1141" s="2836"/>
      <c r="AR1141" s="2836"/>
      <c r="AS1141" s="2836"/>
      <c r="AT1141" s="2836"/>
    </row>
    <row r="1142" spans="1:46" s="1885" customFormat="1" ht="12.75" customHeight="1">
      <c r="A1142" s="1039"/>
      <c r="B1142" s="1039"/>
      <c r="C1142" s="1501"/>
      <c r="D1142" s="1884"/>
      <c r="E1142" s="1882" t="s">
        <v>474</v>
      </c>
      <c r="F1142" s="1883"/>
      <c r="G1142" s="1043">
        <f t="shared" ref="G1142:Q1142" ca="1" si="1536">ABS(G1140-G1141)</f>
        <v>2.7755575615628914E-17</v>
      </c>
      <c r="H1142" s="1043">
        <f t="shared" si="1536"/>
        <v>1.3877787807814457E-17</v>
      </c>
      <c r="I1142" s="1043">
        <f t="shared" si="1536"/>
        <v>0</v>
      </c>
      <c r="J1142" s="1043">
        <f t="shared" si="1536"/>
        <v>0</v>
      </c>
      <c r="K1142" s="1043">
        <f t="shared" si="1536"/>
        <v>4.163336342344337E-17</v>
      </c>
      <c r="L1142" s="1043">
        <f t="shared" si="1536"/>
        <v>5.5511151231257827E-17</v>
      </c>
      <c r="M1142" s="1043">
        <f t="shared" si="1536"/>
        <v>5.5511151231257827E-17</v>
      </c>
      <c r="N1142" s="1043">
        <f t="shared" si="1536"/>
        <v>0</v>
      </c>
      <c r="O1142" s="1043">
        <f t="shared" si="1536"/>
        <v>0</v>
      </c>
      <c r="P1142" s="1043">
        <f t="shared" si="1536"/>
        <v>4.163336342344337E-17</v>
      </c>
      <c r="Q1142" s="1043">
        <f t="shared" si="1536"/>
        <v>5.5511151231257827E-17</v>
      </c>
      <c r="R1142" s="1043">
        <f t="shared" ref="R1142:Y1142" si="1537">ABS(R1140-R1141)</f>
        <v>6.0715321659188248E-18</v>
      </c>
      <c r="S1142" s="1043">
        <f t="shared" si="1537"/>
        <v>0</v>
      </c>
      <c r="T1142" s="1043">
        <f t="shared" si="1537"/>
        <v>0</v>
      </c>
      <c r="U1142" s="1043">
        <f t="shared" si="1537"/>
        <v>5.5511151231257827E-17</v>
      </c>
      <c r="V1142" s="1043">
        <f t="shared" si="1537"/>
        <v>0</v>
      </c>
      <c r="W1142" s="1043">
        <f t="shared" si="1537"/>
        <v>9.9999999999933475E-5</v>
      </c>
      <c r="X1142" s="1043">
        <f t="shared" si="1537"/>
        <v>0</v>
      </c>
      <c r="Y1142" s="1043">
        <f t="shared" si="1537"/>
        <v>5.5511151231257827E-17</v>
      </c>
      <c r="Z1142" s="1043">
        <f t="shared" ref="Z1142:AD1142" si="1538">ABS(Z1140-Z1141)</f>
        <v>0</v>
      </c>
      <c r="AA1142" s="1043">
        <f t="shared" si="1538"/>
        <v>1.0000000000000286E-4</v>
      </c>
      <c r="AB1142" s="1043">
        <f t="shared" si="1538"/>
        <v>5.0000000000000044E-3</v>
      </c>
      <c r="AC1142" s="1043">
        <f t="shared" si="1538"/>
        <v>0</v>
      </c>
      <c r="AD1142" s="1043">
        <f t="shared" si="1538"/>
        <v>0</v>
      </c>
      <c r="AE1142" s="1043">
        <f t="shared" ref="AE1142" si="1539">ABS(AE1140-AE1141)</f>
        <v>0</v>
      </c>
      <c r="AF1142" s="2836"/>
      <c r="AG1142" s="2836"/>
      <c r="AH1142" s="2836"/>
      <c r="AI1142" s="2836"/>
      <c r="AJ1142" s="2836"/>
      <c r="AK1142" s="1043">
        <v>0</v>
      </c>
      <c r="AL1142" s="2836"/>
      <c r="AM1142" s="1043"/>
      <c r="AN1142" s="2836"/>
      <c r="AO1142" s="2836"/>
      <c r="AP1142" s="2836"/>
      <c r="AQ1142" s="2836"/>
      <c r="AR1142" s="2836"/>
      <c r="AS1142" s="2836"/>
      <c r="AT1142" s="2836"/>
    </row>
    <row r="1143" spans="1:46">
      <c r="AC1143" s="3340">
        <f>AC1140/'VVP2'!AC355</f>
        <v>1.293575646670373E-3</v>
      </c>
      <c r="AD1143" s="3340">
        <f ca="1">AD1140/'VVP2'!AD355</f>
        <v>1.9770921179234607E-3</v>
      </c>
      <c r="AE1143" s="3340">
        <f ca="1">AE1140/'VVP2'!AE355</f>
        <v>2.0994278847916142E-3</v>
      </c>
    </row>
    <row r="1145" spans="1:46">
      <c r="E1145" s="3816" t="s">
        <v>2619</v>
      </c>
      <c r="F1145" s="3816" t="s">
        <v>730</v>
      </c>
      <c r="G1145" s="753">
        <f ca="1">+'VVP2'!G293-'VVP2'!G325+Sector1!G1123+Sector1!G1133</f>
        <v>9.5690000000000044</v>
      </c>
      <c r="H1145" s="753">
        <f>+'VVP2'!H293-'VVP2'!H325+Sector1!H1123+Sector1!H1133</f>
        <v>8.1627000000000116</v>
      </c>
      <c r="I1145" s="753">
        <f>+'VVP2'!I293-'VVP2'!I325+Sector1!I1123+Sector1!I1133</f>
        <v>10.320400000000015</v>
      </c>
      <c r="J1145" s="753">
        <f>+'VVP2'!J293-'VVP2'!J325+Sector1!J1123+Sector1!J1133</f>
        <v>10.274300000000018</v>
      </c>
      <c r="K1145" s="753">
        <f>+'VVP2'!K293-'VVP2'!K325+Sector1!K1123+Sector1!K1133</f>
        <v>11.739699999999978</v>
      </c>
      <c r="L1145" s="753">
        <f>+'VVP2'!L293-'VVP2'!L325+Sector1!L1123+Sector1!L1133</f>
        <v>10.22369999999999</v>
      </c>
      <c r="M1145" s="753">
        <f>+'VVP2'!M293-'VVP2'!M325+Sector1!M1123+Sector1!M1133</f>
        <v>10.975200000000006</v>
      </c>
      <c r="N1145" s="753">
        <f>+'VVP2'!N293-'VVP2'!N325+Sector1!N1123+Sector1!N1133</f>
        <v>16.516999999999978</v>
      </c>
      <c r="O1145" s="753">
        <f>+'VVP2'!O293-'VVP2'!O325+Sector1!O1123+Sector1!O1133</f>
        <v>15.925899999999984</v>
      </c>
      <c r="P1145" s="753">
        <f>+'VVP2'!P293-'VVP2'!P325+Sector1!P1123+Sector1!P1133</f>
        <v>13.532700000000013</v>
      </c>
      <c r="Q1145" s="753">
        <f>+'VVP2'!Q293-'VVP2'!Q325+Sector1!Q1123+Sector1!Q1133</f>
        <v>10.562600000000003</v>
      </c>
      <c r="R1145" s="753">
        <f>+'VVP2'!R293-'VVP2'!R325+Sector1!R1123+Sector1!R1133</f>
        <v>12.021300000000016</v>
      </c>
      <c r="S1145" s="753">
        <f>+'VVP2'!S293-'VVP2'!S325+Sector1!S1123+Sector1!S1133</f>
        <v>13.73979999999999</v>
      </c>
      <c r="T1145" s="753">
        <f>+'VVP2'!T293-'VVP2'!T325+Sector1!T1123+Sector1!T1133</f>
        <v>4.8052999999999271</v>
      </c>
      <c r="U1145" s="753">
        <f>+'VVP2'!U293-'VVP2'!U325+Sector1!U1123+Sector1!U1133</f>
        <v>3.0196999999999798</v>
      </c>
      <c r="V1145" s="753">
        <f>+'VVP2'!V293-'VVP2'!V325+Sector1!V1123+Sector1!V1133</f>
        <v>13.516700000000029</v>
      </c>
      <c r="W1145" s="753">
        <f>+'VVP2'!W293-'VVP2'!W325+Sector1!W1123+Sector1!W1133</f>
        <v>0.88049999999997564</v>
      </c>
      <c r="X1145" s="753">
        <f>+'VVP2'!X293-'VVP2'!X325+Sector1!X1123+Sector1!X1133</f>
        <v>5.8609000000000062</v>
      </c>
      <c r="Y1145" s="753">
        <f>+'VVP2'!Y293-'VVP2'!Y325+Sector1!Y1123+Sector1!Y1133</f>
        <v>4.5779000000000041</v>
      </c>
      <c r="Z1145" s="753">
        <f>+'VVP2'!Z293-'VVP2'!Z325+Sector1!Z1123+Sector1!Z1133</f>
        <v>-1.0246000000000235</v>
      </c>
      <c r="AA1145" s="753">
        <f>+'VVP2'!AA293-'VVP2'!AA325+Sector1!AA1123+Sector1!AA1133</f>
        <v>-1.7930000000000108</v>
      </c>
      <c r="AB1145" s="753">
        <f>+'VVP2'!AB293-'VVP2'!AB325+Sector1!AB1123+Sector1!AB1133</f>
        <v>0.40800000000001102</v>
      </c>
      <c r="AC1145" s="753">
        <f>+'VVP2'!AC293-'VVP2'!AC325+Sector1!AC1123+Sector1!AC1133</f>
        <v>2.8019860077492842</v>
      </c>
      <c r="AD1145" s="753">
        <f ca="1">+'VVP2'!AD293-'VVP2'!AD325+Sector1!AD1123+Sector1!AD1133</f>
        <v>2.3226963764565305</v>
      </c>
      <c r="AE1145" s="753">
        <f ca="1">+'VVP2'!AE293-'VVP2'!AE325+Sector1!AE1123+Sector1!AE1133</f>
        <v>3.0298363086029347</v>
      </c>
      <c r="AK1145" s="753">
        <v>1.7694969979756365</v>
      </c>
      <c r="AM1145" s="753"/>
    </row>
    <row r="1146" spans="1:46">
      <c r="F1146" s="3815" t="s">
        <v>2556</v>
      </c>
      <c r="G1146" s="753">
        <f ca="1">G1145/'VVP2'!G355*100</f>
        <v>4.5288294615761808</v>
      </c>
      <c r="H1146" s="753">
        <f>H1145/'VVP2'!H355*100</f>
        <v>3.780035787321069</v>
      </c>
      <c r="I1146" s="753">
        <f>I1145/'VVP2'!I355*100</f>
        <v>4.5671812069547748</v>
      </c>
      <c r="J1146" s="753">
        <f>J1145/'VVP2'!J355*100</f>
        <v>4.3815589262807464</v>
      </c>
      <c r="K1146" s="753">
        <f>K1145/'VVP2'!K355*100</f>
        <v>4.8069001662394575</v>
      </c>
      <c r="L1146" s="753">
        <f>L1145/'VVP2'!L355*100</f>
        <v>3.9592676069428596</v>
      </c>
      <c r="M1146" s="753">
        <f>M1145/'VVP2'!M355*100</f>
        <v>4.129299849052857</v>
      </c>
      <c r="N1146" s="753">
        <f>N1145/'VVP2'!N355*100</f>
        <v>6.0047603276460668</v>
      </c>
      <c r="O1146" s="753">
        <f>O1145/'VVP2'!O355*100</f>
        <v>5.6347640874409297</v>
      </c>
      <c r="P1146" s="753">
        <f>P1145/'VVP2'!P355*100</f>
        <v>4.5303685035827339</v>
      </c>
      <c r="Q1146" s="753">
        <f>Q1145/'VVP2'!Q355*100</f>
        <v>3.3910918425790624</v>
      </c>
      <c r="R1146" s="753">
        <f>R1145/'VVP2'!R355*100</f>
        <v>3.6800412413928703</v>
      </c>
      <c r="S1146" s="753">
        <f>S1145/'VVP2'!S355*100</f>
        <v>3.9858722848750743</v>
      </c>
      <c r="T1146" s="753">
        <f>T1145/'VVP2'!T355*100</f>
        <v>1.3571767289648418</v>
      </c>
      <c r="U1146" s="753">
        <f>U1145/'VVP2'!U355*100</f>
        <v>0.86578659222073096</v>
      </c>
      <c r="V1146" s="753">
        <f>V1145/'VVP2'!V355*100</f>
        <v>3.7021861103997464</v>
      </c>
      <c r="W1146" s="753">
        <f>W1145/'VVP2'!W355*100</f>
        <v>0.23225675753739142</v>
      </c>
      <c r="X1146" s="753">
        <f>X1145/'VVP2'!X355*100</f>
        <v>1.5124899322606644</v>
      </c>
      <c r="Y1146" s="753">
        <f>Y1145/'VVP2'!Y355*100</f>
        <v>1.166820190049545</v>
      </c>
      <c r="Z1146" s="753">
        <f>Z1145/'VVP2'!Z355*100</f>
        <v>-0.25596557680192006</v>
      </c>
      <c r="AA1146" s="753">
        <f>AA1145/'VVP2'!AA355*100</f>
        <v>-0.43685336930166091</v>
      </c>
      <c r="AB1146" s="753">
        <f>AB1145/'VVP2'!AB355*100</f>
        <v>9.6442865639016953E-2</v>
      </c>
      <c r="AC1146" s="753">
        <f>AC1145/'VVP2'!AC355*100</f>
        <v>0.63901583037335508</v>
      </c>
      <c r="AD1146" s="753">
        <f ca="1">AD1145/'VVP2'!AD355*100</f>
        <v>0.51231469886572445</v>
      </c>
      <c r="AE1146" s="753">
        <f ca="1">AE1145/'VVP2'!AE355*100</f>
        <v>0.64596410225682788</v>
      </c>
      <c r="AK1146" s="753">
        <v>0.43987794217208259</v>
      </c>
      <c r="AM1146" s="753"/>
    </row>
    <row r="1147" spans="1:46">
      <c r="Y1147" s="3817"/>
    </row>
    <row r="1148" spans="1:46">
      <c r="E1148" s="3816" t="s">
        <v>2605</v>
      </c>
      <c r="F1148" s="3816" t="s">
        <v>730</v>
      </c>
      <c r="G1148" s="749" t="str">
        <f>IF(ISNUMBER(InputY!G84),(InputY!G84/1000),"")</f>
        <v/>
      </c>
      <c r="H1148" s="749" t="str">
        <f>IF(ISNUMBER(InputY!H84),(InputY!H84/1000),"")</f>
        <v/>
      </c>
      <c r="I1148" s="749" t="str">
        <f>IF(ISNUMBER(InputY!I84),(InputY!I84/1000),"")</f>
        <v/>
      </c>
      <c r="J1148" s="749" t="str">
        <f>IF(ISNUMBER(InputY!J84),(InputY!J84/1000),"")</f>
        <v/>
      </c>
      <c r="K1148" s="749" t="str">
        <f>IF(ISNUMBER(InputY!K84),(InputY!K84/1000),"")</f>
        <v/>
      </c>
      <c r="L1148" s="749" t="str">
        <f>IF(ISNUMBER(InputY!L84),(InputY!L84/1000),"")</f>
        <v/>
      </c>
      <c r="M1148" s="749" t="str">
        <f>IF(ISNUMBER(InputY!M84),(InputY!M84/1000),"")</f>
        <v/>
      </c>
      <c r="N1148" s="749" t="str">
        <f>IF(ISNUMBER(InputY!N84),(InputY!N84/1000),"")</f>
        <v/>
      </c>
      <c r="O1148" s="753" t="str">
        <f>IF(ISNUMBER(InputY!O84),(InputY!O84/1000),"")</f>
        <v/>
      </c>
      <c r="P1148" s="753" t="str">
        <f>IF(ISNUMBER(InputY!P84),(InputY!P84/1000),"")</f>
        <v/>
      </c>
      <c r="Q1148" s="753" t="str">
        <f>IF(ISNUMBER(InputY!Q84),(InputY!Q84/1000),"")</f>
        <v/>
      </c>
      <c r="R1148" s="753" t="str">
        <f>IF(ISNUMBER(InputY!R84),(InputY!R84/1000),"")</f>
        <v/>
      </c>
      <c r="S1148" s="753" t="str">
        <f>IF(ISNUMBER(InputY!S84),(InputY!S84/1000),"")</f>
        <v/>
      </c>
      <c r="T1148" s="753">
        <f>IF(ISNUMBER(InputY!T84),(InputY!T84/1000),"")</f>
        <v>-3.5350000000000001</v>
      </c>
      <c r="U1148" s="753">
        <f>IF(ISNUMBER(InputY!U84),(InputY!U84/1000),"")</f>
        <v>-3.7549999999999999</v>
      </c>
      <c r="V1148" s="753">
        <f>IF(ISNUMBER(InputY!V84),(InputY!V84/1000),"")</f>
        <v>6.4409999999999998</v>
      </c>
      <c r="W1148" s="753">
        <f>IF(ISNUMBER(InputY!W84),(InputY!W84/1000),"")</f>
        <v>-4.0670000000000002</v>
      </c>
      <c r="X1148" s="753">
        <f>IF(ISNUMBER(InputY!X84),(InputY!X84/1000),"")</f>
        <v>-0.21</v>
      </c>
      <c r="Y1148" s="753">
        <f>IF(ISNUMBER(InputY!Y84),(InputY!Y84/1000),"")</f>
        <v>-1.2470000000000001</v>
      </c>
      <c r="Z1148" s="753">
        <f>IF(ISNUMBER(InputY!Z84),(InputY!Z84/1000),"")</f>
        <v>-3.4820000000000002</v>
      </c>
      <c r="AA1148" s="753">
        <f>IF(ISNUMBER(InputY!AA84),(InputY!AA84/1000),"")</f>
        <v>-0.58399999999999996</v>
      </c>
      <c r="AB1148" s="753">
        <f>IF(ISNUMBER(InputY!AB84),(InputY!AB84/1000),"")</f>
        <v>0.40899999999999997</v>
      </c>
      <c r="AC1148" s="3998">
        <f>AC1149/100*'VVP2'!AC355</f>
        <v>0.82468043496222088</v>
      </c>
      <c r="AD1148" s="3998">
        <f ca="1">AD1149/100*'VVP2'!AD355</f>
        <v>0.27825307292875373</v>
      </c>
      <c r="AE1148" s="3998">
        <f ca="1">AE1149/100*'VVP2'!AE355</f>
        <v>0.91473961145302873</v>
      </c>
    </row>
    <row r="1149" spans="1:46">
      <c r="F1149" s="3958" t="s">
        <v>2556</v>
      </c>
      <c r="O1149" s="753" t="e">
        <f>O1148/'VVP2'!O355*100</f>
        <v>#VALUE!</v>
      </c>
      <c r="P1149" s="753" t="e">
        <f>P1148/'VVP2'!P355*100</f>
        <v>#VALUE!</v>
      </c>
      <c r="Q1149" s="753" t="e">
        <f>Q1148/'VVP2'!Q355*100</f>
        <v>#VALUE!</v>
      </c>
      <c r="R1149" s="753" t="e">
        <f>R1148/'VVP2'!R355*100</f>
        <v>#VALUE!</v>
      </c>
      <c r="S1149" s="753" t="e">
        <f>S1148/'VVP2'!S355*100</f>
        <v>#VALUE!</v>
      </c>
      <c r="T1149" s="753">
        <f>T1148/'VVP2'!T355*100</f>
        <v>-0.99840170996416211</v>
      </c>
      <c r="U1149" s="753">
        <f>U1148/'VVP2'!U355*100</f>
        <v>-1.0766065019004758</v>
      </c>
      <c r="V1149" s="753">
        <f>V1148/'VVP2'!V355*100</f>
        <v>1.764171782837876</v>
      </c>
      <c r="W1149" s="753">
        <f>W1148/'VVP2'!W355*100</f>
        <v>-1.0727861816065838</v>
      </c>
      <c r="X1149" s="753">
        <f>X1148/'VVP2'!X355*100</f>
        <v>-5.4193534401668547E-2</v>
      </c>
      <c r="Y1149" s="753">
        <f>Y1148/'VVP2'!Y355*100</f>
        <v>-0.31783673234272952</v>
      </c>
      <c r="Z1149" s="753">
        <f>Z1148/'VVP2'!Z355*100</f>
        <v>-0.86987325631882229</v>
      </c>
      <c r="AA1149" s="753">
        <f>AA1148/'VVP2'!AA355*100</f>
        <v>-0.14228799089356858</v>
      </c>
      <c r="AB1149" s="753">
        <f>AB1148/'VVP2'!AB355*100</f>
        <v>9.6679245211658993E-2</v>
      </c>
      <c r="AC1149" s="753">
        <f>AC1146-AVERAGE($Y$1153:$AB$1153)</f>
        <v>0.18807511939124449</v>
      </c>
      <c r="AD1149" s="753">
        <f t="shared" ref="AD1149:AE1149" ca="1" si="1540">AD1146-AVERAGE($Y$1153:$AB$1153)</f>
        <v>6.1373987883613867E-2</v>
      </c>
      <c r="AE1149" s="753">
        <f t="shared" ca="1" si="1540"/>
        <v>0.19502339127471729</v>
      </c>
    </row>
    <row r="1150" spans="1:46">
      <c r="E1150" s="749" t="s">
        <v>2605</v>
      </c>
      <c r="F1150" s="744" t="s">
        <v>2618</v>
      </c>
      <c r="O1150" s="749" t="str">
        <f>IF(ISNUMBER(InputY!O84),(InputY!O84),"")</f>
        <v/>
      </c>
      <c r="P1150" s="749" t="str">
        <f>IF(ISNUMBER(InputY!P84),(InputY!P84),"")</f>
        <v/>
      </c>
      <c r="Q1150" s="749" t="str">
        <f>IF(ISNUMBER(InputY!Q84),(InputY!Q84),"")</f>
        <v/>
      </c>
      <c r="R1150" s="749" t="str">
        <f>IF(ISNUMBER(InputY!R84),(InputY!R84),"")</f>
        <v/>
      </c>
      <c r="S1150" s="2976" t="str">
        <f>IF(ISNUMBER(InputY!S84),(InputY!S84),"")</f>
        <v/>
      </c>
      <c r="T1150" s="749">
        <f>IF(ISNUMBER(InputY!T84),(InputY!T84),"")</f>
        <v>-3535</v>
      </c>
      <c r="U1150" s="749">
        <f>IF(ISNUMBER(InputY!U84),(InputY!U84),"")</f>
        <v>-3755</v>
      </c>
      <c r="V1150" s="749">
        <f>IF(ISNUMBER(InputY!V84),(InputY!V84),"")</f>
        <v>6441</v>
      </c>
      <c r="W1150" s="749">
        <f>IF(ISNUMBER(InputY!W84),(InputY!W84),"")</f>
        <v>-4067</v>
      </c>
      <c r="X1150" s="749">
        <f>IF(ISNUMBER(InputY!X84),(InputY!X84),"")</f>
        <v>-210</v>
      </c>
      <c r="Y1150" s="749">
        <f>IF(ISNUMBER(InputY!Y84),(InputY!Y84),"")</f>
        <v>-1247</v>
      </c>
      <c r="Z1150" s="749">
        <f>IF(ISNUMBER(InputY!Z84),(InputY!Z84),"")</f>
        <v>-3482</v>
      </c>
      <c r="AA1150" s="749">
        <f>IF(ISNUMBER(InputY!AA84),(InputY!AA84),"")</f>
        <v>-584</v>
      </c>
      <c r="AB1150" s="749">
        <f>IF(ISNUMBER(InputY!AB84),(InputY!AB84),"")</f>
        <v>409</v>
      </c>
      <c r="AC1150" s="749">
        <f>IF(ISNUMBER(InputY!AC84),(InputY!AC84),"")</f>
        <v>-715</v>
      </c>
      <c r="AD1150" s="3999">
        <f t="shared" ref="AD1150" ca="1" si="1541">AD1148*1000</f>
        <v>278.25307292875374</v>
      </c>
      <c r="AE1150" s="3999">
        <f t="shared" ref="AE1150" ca="1" si="1542">AE1148*1000</f>
        <v>914.73961145302872</v>
      </c>
    </row>
    <row r="1153" spans="15:29">
      <c r="O1153" s="753" t="e">
        <f t="shared" ref="O1153:Z1153" si="1543">O1146-O1149</f>
        <v>#VALUE!</v>
      </c>
      <c r="P1153" s="753" t="e">
        <f t="shared" si="1543"/>
        <v>#VALUE!</v>
      </c>
      <c r="Q1153" s="753" t="e">
        <f t="shared" si="1543"/>
        <v>#VALUE!</v>
      </c>
      <c r="R1153" s="753" t="e">
        <f t="shared" si="1543"/>
        <v>#VALUE!</v>
      </c>
      <c r="S1153" s="753" t="e">
        <f t="shared" si="1543"/>
        <v>#VALUE!</v>
      </c>
      <c r="T1153" s="753">
        <f t="shared" si="1543"/>
        <v>2.3555784389290038</v>
      </c>
      <c r="U1153" s="753">
        <f t="shared" si="1543"/>
        <v>1.9423930941212069</v>
      </c>
      <c r="V1153" s="753">
        <f t="shared" si="1543"/>
        <v>1.9380143275618704</v>
      </c>
      <c r="W1153" s="753">
        <f t="shared" si="1543"/>
        <v>1.3050429391439753</v>
      </c>
      <c r="X1153" s="753">
        <f t="shared" si="1543"/>
        <v>1.566683466662333</v>
      </c>
      <c r="Y1153" s="753">
        <f t="shared" si="1543"/>
        <v>1.4846569223922745</v>
      </c>
      <c r="Z1153" s="753">
        <f t="shared" si="1543"/>
        <v>0.61390767951690228</v>
      </c>
      <c r="AA1153" s="753">
        <f>AA1146-AA1149</f>
        <v>-0.29456537840809233</v>
      </c>
      <c r="AB1153" s="753">
        <f>AB1146-AB1149</f>
        <v>-2.3637957264203979E-4</v>
      </c>
      <c r="AC1153" s="753">
        <f>AC1146-AC1149</f>
        <v>0.45094071098211058</v>
      </c>
    </row>
  </sheetData>
  <mergeCells count="22">
    <mergeCell ref="C2:E2"/>
    <mergeCell ref="C293:F293"/>
    <mergeCell ref="C468:F468"/>
    <mergeCell ref="C5:F5"/>
    <mergeCell ref="C129:F129"/>
    <mergeCell ref="C161:F161"/>
    <mergeCell ref="C761:F761"/>
    <mergeCell ref="C641:F641"/>
    <mergeCell ref="C620:F620"/>
    <mergeCell ref="C684:F684"/>
    <mergeCell ref="C663:F663"/>
    <mergeCell ref="C847:F847"/>
    <mergeCell ref="C1054:F1054"/>
    <mergeCell ref="C893:F893"/>
    <mergeCell ref="C869:F869"/>
    <mergeCell ref="C785:F785"/>
    <mergeCell ref="C825:F825"/>
    <mergeCell ref="C585:F585"/>
    <mergeCell ref="C195:F195"/>
    <mergeCell ref="C224:F224"/>
    <mergeCell ref="C272:F272"/>
    <mergeCell ref="C515:F515"/>
  </mergeCells>
  <phoneticPr fontId="76" type="noConversion"/>
  <conditionalFormatting sqref="G1135:Z1135 G971:Z971 G1125:Z1125 G1142:Z1142 G832:Z832 G700:Z700 G142:Z142 G33:Z33 G180:Z180 G206:Z206 G236:Z236 G320:Z320 G480:Z480 G523:Z523 G597:Z597 G798:Z798 G854:Z854 G876:Z876 G878:Z878 G1004:Z1004">
    <cfRule type="cellIs" dxfId="71" priority="64" stopIfTrue="1" operator="notBetween">
      <formula>-0.001</formula>
      <formula>0.001</formula>
    </cfRule>
  </conditionalFormatting>
  <conditionalFormatting sqref="G2:Z2">
    <cfRule type="cellIs" dxfId="70" priority="65" stopIfTrue="1" operator="notEqual">
      <formula>"ok"</formula>
    </cfRule>
  </conditionalFormatting>
  <conditionalFormatting sqref="G552:Z552">
    <cfRule type="cellIs" dxfId="69" priority="62" stopIfTrue="1" operator="notBetween">
      <formula>-0.001</formula>
      <formula>0.001</formula>
    </cfRule>
  </conditionalFormatting>
  <conditionalFormatting sqref="AA1135 AA971 AA1125 AA1142 AA33 AA480 AA236 AA597 AA180 AA798 AA832 AA523 AA206 AA854 AA142 AA876 AA320 AA1004 AA878 AA700">
    <cfRule type="cellIs" dxfId="68" priority="60" stopIfTrue="1" operator="notBetween">
      <formula>-0.001</formula>
      <formula>0.001</formula>
    </cfRule>
  </conditionalFormatting>
  <conditionalFormatting sqref="AA2">
    <cfRule type="cellIs" dxfId="67" priority="61" stopIfTrue="1" operator="notEqual">
      <formula>"ok"</formula>
    </cfRule>
  </conditionalFormatting>
  <conditionalFormatting sqref="AA552">
    <cfRule type="cellIs" dxfId="66" priority="59" stopIfTrue="1" operator="notBetween">
      <formula>-0.001</formula>
      <formula>0.001</formula>
    </cfRule>
  </conditionalFormatting>
  <conditionalFormatting sqref="S23:AB23">
    <cfRule type="cellIs" dxfId="65" priority="55" operator="notBetween">
      <formula>-0.1</formula>
      <formula>0.1</formula>
    </cfRule>
  </conditionalFormatting>
  <conditionalFormatting sqref="S29:AB29">
    <cfRule type="cellIs" dxfId="64" priority="54" operator="notBetween">
      <formula>-0.1</formula>
      <formula>0.1</formula>
    </cfRule>
  </conditionalFormatting>
  <conditionalFormatting sqref="G737:AA737">
    <cfRule type="cellIs" dxfId="63" priority="51" stopIfTrue="1" operator="notBetween">
      <formula>-0.001</formula>
      <formula>0.001</formula>
    </cfRule>
  </conditionalFormatting>
  <conditionalFormatting sqref="G920:AA920">
    <cfRule type="cellIs" dxfId="62" priority="50" stopIfTrue="1" operator="notBetween">
      <formula>-0.001</formula>
      <formula>0.001</formula>
    </cfRule>
  </conditionalFormatting>
  <conditionalFormatting sqref="AB1135 AB971 AB1125 AB1142 AB33 AB480 AB236 AB597 AB180 AB798 AB832 AB523 AB206 AB854 AB142 AB876 AB320 AB1004 AB878 AB700">
    <cfRule type="cellIs" dxfId="61" priority="48" stopIfTrue="1" operator="notBetween">
      <formula>-0.001</formula>
      <formula>0.001</formula>
    </cfRule>
  </conditionalFormatting>
  <conditionalFormatting sqref="AB2">
    <cfRule type="cellIs" dxfId="60" priority="49" stopIfTrue="1" operator="notEqual">
      <formula>"ok"</formula>
    </cfRule>
  </conditionalFormatting>
  <conditionalFormatting sqref="AB552">
    <cfRule type="cellIs" dxfId="59" priority="47" stopIfTrue="1" operator="notBetween">
      <formula>-0.001</formula>
      <formula>0.001</formula>
    </cfRule>
  </conditionalFormatting>
  <conditionalFormatting sqref="AB29">
    <cfRule type="cellIs" dxfId="58" priority="45" operator="notBetween">
      <formula>-0.1</formula>
      <formula>0.1</formula>
    </cfRule>
  </conditionalFormatting>
  <conditionalFormatting sqref="AB737">
    <cfRule type="cellIs" dxfId="57" priority="44" stopIfTrue="1" operator="notBetween">
      <formula>-0.001</formula>
      <formula>0.001</formula>
    </cfRule>
  </conditionalFormatting>
  <conditionalFormatting sqref="AB920">
    <cfRule type="cellIs" dxfId="56" priority="43" stopIfTrue="1" operator="notBetween">
      <formula>-0.001</formula>
      <formula>0.001</formula>
    </cfRule>
  </conditionalFormatting>
  <conditionalFormatting sqref="AC1135 AC971 AC1125 AC1142 AC33 AC480 AC236 AC597 AC180 AC798 AC832 AC523 AC206 AC854 AC142 AC876 AC320 AC1004 AC878 AC700">
    <cfRule type="cellIs" dxfId="55" priority="41" stopIfTrue="1" operator="notBetween">
      <formula>-0.001</formula>
      <formula>0.001</formula>
    </cfRule>
  </conditionalFormatting>
  <conditionalFormatting sqref="AC2">
    <cfRule type="cellIs" dxfId="54" priority="42" stopIfTrue="1" operator="notEqual">
      <formula>"ok"</formula>
    </cfRule>
  </conditionalFormatting>
  <conditionalFormatting sqref="AC552">
    <cfRule type="cellIs" dxfId="53" priority="40" stopIfTrue="1" operator="notBetween">
      <formula>-0.001</formula>
      <formula>0.001</formula>
    </cfRule>
  </conditionalFormatting>
  <conditionalFormatting sqref="AC23">
    <cfRule type="cellIs" dxfId="52" priority="39" operator="notBetween">
      <formula>-0.1</formula>
      <formula>0.1</formula>
    </cfRule>
  </conditionalFormatting>
  <conditionalFormatting sqref="AC29">
    <cfRule type="cellIs" dxfId="51" priority="38" operator="notBetween">
      <formula>-0.1</formula>
      <formula>0.1</formula>
    </cfRule>
  </conditionalFormatting>
  <conditionalFormatting sqref="AC737">
    <cfRule type="cellIs" dxfId="50" priority="37" stopIfTrue="1" operator="notBetween">
      <formula>-0.001</formula>
      <formula>0.001</formula>
    </cfRule>
  </conditionalFormatting>
  <conditionalFormatting sqref="AC920">
    <cfRule type="cellIs" dxfId="49" priority="36" stopIfTrue="1" operator="notBetween">
      <formula>-0.001</formula>
      <formula>0.001</formula>
    </cfRule>
  </conditionalFormatting>
  <conditionalFormatting sqref="AK1135 AK971 AK1125 AK1142 AK832 AK700 AK142 AK33 AK180 AK206 AK236 AK320 AK480 AK523 AK597 AK798 AK854 AK876 AK878 AK1004">
    <cfRule type="cellIs" dxfId="48" priority="34" stopIfTrue="1" operator="notBetween">
      <formula>-0.001</formula>
      <formula>0.001</formula>
    </cfRule>
  </conditionalFormatting>
  <conditionalFormatting sqref="AK2">
    <cfRule type="cellIs" dxfId="47" priority="35" stopIfTrue="1" operator="notEqual">
      <formula>"ok"</formula>
    </cfRule>
  </conditionalFormatting>
  <conditionalFormatting sqref="AK552">
    <cfRule type="cellIs" dxfId="46" priority="33" stopIfTrue="1" operator="notBetween">
      <formula>-0.001</formula>
      <formula>0.001</formula>
    </cfRule>
  </conditionalFormatting>
  <conditionalFormatting sqref="AK23">
    <cfRule type="cellIs" dxfId="45" priority="32" operator="notBetween">
      <formula>-0.1</formula>
      <formula>0.1</formula>
    </cfRule>
  </conditionalFormatting>
  <conditionalFormatting sqref="AK29">
    <cfRule type="cellIs" dxfId="44" priority="31" operator="notBetween">
      <formula>-0.1</formula>
      <formula>0.1</formula>
    </cfRule>
  </conditionalFormatting>
  <conditionalFormatting sqref="AK737">
    <cfRule type="cellIs" dxfId="43" priority="30" stopIfTrue="1" operator="notBetween">
      <formula>-0.001</formula>
      <formula>0.001</formula>
    </cfRule>
  </conditionalFormatting>
  <conditionalFormatting sqref="AK920">
    <cfRule type="cellIs" dxfId="42" priority="29" stopIfTrue="1" operator="notBetween">
      <formula>-0.001</formula>
      <formula>0.001</formula>
    </cfRule>
  </conditionalFormatting>
  <conditionalFormatting sqref="AM1135 AM971 AM1125 AM1142 AM832 AM700 AM142 AM33 AM180 AM206 AM236 AM320 AM480 AM523 AM597 AM798 AM854 AM876 AM878 AM1004">
    <cfRule type="cellIs" dxfId="41" priority="27" stopIfTrue="1" operator="notBetween">
      <formula>-0.001</formula>
      <formula>0.001</formula>
    </cfRule>
  </conditionalFormatting>
  <conditionalFormatting sqref="AM2">
    <cfRule type="cellIs" dxfId="40" priority="28" stopIfTrue="1" operator="notEqual">
      <formula>"ok"</formula>
    </cfRule>
  </conditionalFormatting>
  <conditionalFormatting sqref="AM552">
    <cfRule type="cellIs" dxfId="39" priority="26" stopIfTrue="1" operator="notBetween">
      <formula>-0.001</formula>
      <formula>0.001</formula>
    </cfRule>
  </conditionalFormatting>
  <conditionalFormatting sqref="AM23">
    <cfRule type="cellIs" dxfId="38" priority="25" operator="notBetween">
      <formula>-0.1</formula>
      <formula>0.1</formula>
    </cfRule>
  </conditionalFormatting>
  <conditionalFormatting sqref="AM29">
    <cfRule type="cellIs" dxfId="37" priority="24" operator="notBetween">
      <formula>-0.1</formula>
      <formula>0.1</formula>
    </cfRule>
  </conditionalFormatting>
  <conditionalFormatting sqref="AM737">
    <cfRule type="cellIs" dxfId="36" priority="23" stopIfTrue="1" operator="notBetween">
      <formula>-0.001</formula>
      <formula>0.001</formula>
    </cfRule>
  </conditionalFormatting>
  <conditionalFormatting sqref="AM920">
    <cfRule type="cellIs" dxfId="35" priority="22" stopIfTrue="1" operator="notBetween">
      <formula>-0.001</formula>
      <formula>0.001</formula>
    </cfRule>
  </conditionalFormatting>
  <conditionalFormatting sqref="AD1135 AD971 AD1125 AD1142 AD33 AD480 AD236 AD597 AD180 AD798 AD832 AD523 AD206 AD854 AD142 AD876 AD320 AD1004 AD878 AD700">
    <cfRule type="cellIs" dxfId="34" priority="20" stopIfTrue="1" operator="notBetween">
      <formula>-0.001</formula>
      <formula>0.001</formula>
    </cfRule>
  </conditionalFormatting>
  <conditionalFormatting sqref="AD2">
    <cfRule type="cellIs" dxfId="33" priority="21" stopIfTrue="1" operator="notEqual">
      <formula>"ok"</formula>
    </cfRule>
  </conditionalFormatting>
  <conditionalFormatting sqref="AD552">
    <cfRule type="cellIs" dxfId="32" priority="19" stopIfTrue="1" operator="notBetween">
      <formula>-0.001</formula>
      <formula>0.001</formula>
    </cfRule>
  </conditionalFormatting>
  <conditionalFormatting sqref="AD23">
    <cfRule type="cellIs" dxfId="31" priority="18" operator="notBetween">
      <formula>-0.1</formula>
      <formula>0.1</formula>
    </cfRule>
  </conditionalFormatting>
  <conditionalFormatting sqref="AD29">
    <cfRule type="cellIs" dxfId="30" priority="17" operator="notBetween">
      <formula>-0.1</formula>
      <formula>0.1</formula>
    </cfRule>
  </conditionalFormatting>
  <conditionalFormatting sqref="AD737">
    <cfRule type="cellIs" dxfId="29" priority="16" stopIfTrue="1" operator="notBetween">
      <formula>-0.001</formula>
      <formula>0.001</formula>
    </cfRule>
  </conditionalFormatting>
  <conditionalFormatting sqref="AD920">
    <cfRule type="cellIs" dxfId="28" priority="15" stopIfTrue="1" operator="notBetween">
      <formula>-0.001</formula>
      <formula>0.001</formula>
    </cfRule>
  </conditionalFormatting>
  <conditionalFormatting sqref="AE1135 AE971 AE1125 AE1142 AE33 AE480 AE236 AE597 AE180 AE798 AE832 AE523 AE206 AE854 AE142 AE876 AE320 AE1004 AE878 AE700">
    <cfRule type="cellIs" dxfId="27" priority="6" stopIfTrue="1" operator="notBetween">
      <formula>-0.001</formula>
      <formula>0.001</formula>
    </cfRule>
  </conditionalFormatting>
  <conditionalFormatting sqref="AE2">
    <cfRule type="cellIs" dxfId="26" priority="7" stopIfTrue="1" operator="notEqual">
      <formula>"ok"</formula>
    </cfRule>
  </conditionalFormatting>
  <conditionalFormatting sqref="AE552">
    <cfRule type="cellIs" dxfId="25" priority="5" stopIfTrue="1" operator="notBetween">
      <formula>-0.001</formula>
      <formula>0.001</formula>
    </cfRule>
  </conditionalFormatting>
  <conditionalFormatting sqref="AE23">
    <cfRule type="cellIs" dxfId="24" priority="4" operator="notBetween">
      <formula>-0.1</formula>
      <formula>0.1</formula>
    </cfRule>
  </conditionalFormatting>
  <conditionalFormatting sqref="AE29">
    <cfRule type="cellIs" dxfId="23" priority="3" operator="notBetween">
      <formula>-0.1</formula>
      <formula>0.1</formula>
    </cfRule>
  </conditionalFormatting>
  <conditionalFormatting sqref="AE737">
    <cfRule type="cellIs" dxfId="22" priority="2" stopIfTrue="1" operator="notBetween">
      <formula>-0.001</formula>
      <formula>0.001</formula>
    </cfRule>
  </conditionalFormatting>
  <conditionalFormatting sqref="AE920">
    <cfRule type="cellIs" dxfId="21" priority="1" stopIfTrue="1" operator="notBetween">
      <formula>-0.001</formula>
      <formula>0.001</formula>
    </cfRule>
  </conditionalFormatting>
  <hyperlinks>
    <hyperlink ref="E701" location="VVP1!E47" display="Follow this link to the total consumption forecast in VVP1"/>
    <hyperlink ref="E201" location="Sector1!E420" display="Follow this link to GVT final consumption expenditure (P.3)"/>
    <hyperlink ref="E738" location="VVP1!E47" display="Follow this link to the total consumption forecast in VVP1"/>
    <hyperlink ref="E910" r:id="rId1"/>
  </hyperlinks>
  <pageMargins left="0.15748031496062992" right="0.15748031496062992" top="0.98425196850393704" bottom="0.98425196850393704" header="0.51181102362204722" footer="0.51181102362204722"/>
  <pageSetup scale="80" orientation="portrait" horizontalDpi="300" verticalDpi="300" r:id="rId2"/>
  <headerFooter alignWithMargins="0"/>
  <rowBreaks count="13" manualBreakCount="13">
    <brk id="4" max="16383" man="1"/>
    <brk id="128" max="16383" man="1"/>
    <brk id="160" max="16383" man="1"/>
    <brk id="194" max="16383" man="1"/>
    <brk id="223" max="16383" man="1"/>
    <brk id="271" max="16383" man="1"/>
    <brk id="292" max="16383" man="1"/>
    <brk id="467" max="16383" man="1"/>
    <brk id="514" max="16383" man="1"/>
    <brk id="584" max="16383" man="1"/>
    <brk id="662" max="16383" man="1"/>
    <brk id="784" max="16383" man="1"/>
    <brk id="824" max="16383" man="1"/>
  </rowBreaks>
  <ignoredErrors>
    <ignoredError sqref="H183:H186 I183:N186" evalError="1"/>
  </ignoredErrors>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indexed="42"/>
  </sheetPr>
  <dimension ref="A1:S423"/>
  <sheetViews>
    <sheetView showGridLines="0" zoomScale="110" zoomScaleNormal="108" zoomScaleSheetLayoutView="85" workbookViewId="0">
      <selection activeCell="N21" sqref="N21"/>
    </sheetView>
  </sheetViews>
  <sheetFormatPr defaultRowHeight="13.2"/>
  <sheetData>
    <row r="1" spans="1:14">
      <c r="A1" s="1412"/>
      <c r="B1" s="1412"/>
      <c r="C1" s="1412"/>
      <c r="D1" s="1412"/>
      <c r="E1" s="1412"/>
      <c r="F1" s="1412"/>
      <c r="G1" s="1412"/>
      <c r="H1" s="1412"/>
      <c r="I1" s="1412"/>
      <c r="J1" s="1412"/>
      <c r="K1" s="1412"/>
      <c r="L1" s="1412"/>
      <c r="M1" s="1412"/>
      <c r="N1" s="1412"/>
    </row>
    <row r="2" spans="1:14" ht="17.399999999999999">
      <c r="A2" s="1413" t="s">
        <v>512</v>
      </c>
      <c r="B2" s="1412"/>
      <c r="C2" s="1412"/>
      <c r="D2" s="1412"/>
      <c r="E2" s="1412"/>
      <c r="F2" s="1412"/>
      <c r="G2" s="1412"/>
      <c r="H2" s="1412"/>
      <c r="I2" s="1412"/>
      <c r="J2" s="1412"/>
      <c r="K2" s="1412"/>
      <c r="L2" s="1412"/>
      <c r="M2" s="1412"/>
      <c r="N2" s="1412"/>
    </row>
    <row r="3" spans="1:14">
      <c r="A3" s="1412"/>
      <c r="B3" s="1412"/>
      <c r="C3" s="1412"/>
      <c r="D3" s="1412"/>
      <c r="E3" s="1412"/>
      <c r="F3" s="1412"/>
      <c r="G3" s="1412"/>
      <c r="H3" s="1412"/>
      <c r="I3" s="1412"/>
      <c r="J3" s="1412"/>
      <c r="K3" s="1412"/>
      <c r="L3" s="1412"/>
      <c r="M3" s="1412"/>
      <c r="N3" s="1412"/>
    </row>
    <row r="67" spans="1:14">
      <c r="A67" s="1412"/>
      <c r="B67" s="1412"/>
      <c r="C67" s="1412"/>
      <c r="D67" s="1412"/>
      <c r="E67" s="1412"/>
      <c r="F67" s="1412"/>
      <c r="G67" s="1412"/>
      <c r="H67" s="1412"/>
      <c r="I67" s="1412"/>
      <c r="J67" s="1412"/>
      <c r="K67" s="1412"/>
      <c r="L67" s="1412"/>
      <c r="M67" s="1412"/>
      <c r="N67" s="1412"/>
    </row>
    <row r="68" spans="1:14" ht="17.399999999999999">
      <c r="A68" s="1413" t="s">
        <v>516</v>
      </c>
      <c r="B68" s="1412"/>
      <c r="C68" s="1412"/>
      <c r="D68" s="1412"/>
      <c r="E68" s="1412"/>
      <c r="F68" s="1412"/>
      <c r="G68" s="1412"/>
      <c r="H68" s="1412"/>
      <c r="I68" s="1412"/>
      <c r="J68" s="1412"/>
      <c r="K68" s="1412"/>
      <c r="L68" s="1412"/>
      <c r="M68" s="1412"/>
      <c r="N68" s="1412"/>
    </row>
    <row r="69" spans="1:14">
      <c r="A69" s="1412"/>
      <c r="B69" s="1412"/>
      <c r="C69" s="1412"/>
      <c r="D69" s="1412"/>
      <c r="E69" s="1412"/>
      <c r="F69" s="1412"/>
      <c r="G69" s="1412"/>
      <c r="H69" s="1412"/>
      <c r="I69" s="1412"/>
      <c r="J69" s="1412"/>
      <c r="K69" s="1412"/>
      <c r="L69" s="1412"/>
      <c r="M69" s="1412"/>
      <c r="N69" s="1412"/>
    </row>
    <row r="91" spans="1:14">
      <c r="A91" s="1412"/>
      <c r="B91" s="1412"/>
      <c r="C91" s="1412"/>
      <c r="D91" s="1412"/>
      <c r="E91" s="1412"/>
      <c r="F91" s="1412"/>
      <c r="G91" s="1412"/>
      <c r="H91" s="1412"/>
      <c r="I91" s="1412"/>
      <c r="J91" s="1412"/>
      <c r="K91" s="1412"/>
      <c r="L91" s="1412"/>
      <c r="M91" s="1412"/>
      <c r="N91" s="1412"/>
    </row>
    <row r="92" spans="1:14" ht="17.399999999999999">
      <c r="A92" s="1413" t="s">
        <v>1600</v>
      </c>
      <c r="B92" s="1412"/>
      <c r="C92" s="1412"/>
      <c r="D92" s="1412"/>
      <c r="E92" s="1412"/>
      <c r="F92" s="1412"/>
      <c r="G92" s="1412"/>
      <c r="H92" s="1412"/>
      <c r="I92" s="1412"/>
      <c r="J92" s="1412"/>
      <c r="K92" s="1412"/>
      <c r="L92" s="1412"/>
      <c r="M92" s="1412"/>
      <c r="N92" s="1412"/>
    </row>
    <row r="93" spans="1:14">
      <c r="A93" s="1412"/>
      <c r="B93" s="1412"/>
      <c r="C93" s="1412"/>
      <c r="D93" s="1412"/>
      <c r="E93" s="1412"/>
      <c r="F93" s="1412"/>
      <c r="G93" s="1412"/>
      <c r="H93" s="1412"/>
      <c r="I93" s="1412"/>
      <c r="J93" s="1412"/>
      <c r="K93" s="1412"/>
      <c r="L93" s="1412"/>
      <c r="M93" s="1412"/>
      <c r="N93" s="1412"/>
    </row>
    <row r="136" spans="1:14">
      <c r="A136" s="1412"/>
      <c r="B136" s="1412"/>
      <c r="C136" s="1412"/>
      <c r="D136" s="1412"/>
      <c r="E136" s="1412"/>
      <c r="F136" s="1412"/>
      <c r="G136" s="1412"/>
      <c r="H136" s="1412"/>
      <c r="I136" s="1412"/>
      <c r="J136" s="1412"/>
      <c r="K136" s="1412"/>
      <c r="L136" s="1412"/>
      <c r="M136" s="1412"/>
      <c r="N136" s="1412"/>
    </row>
    <row r="137" spans="1:14" ht="17.399999999999999">
      <c r="A137" s="1413" t="s">
        <v>513</v>
      </c>
      <c r="B137" s="1412"/>
      <c r="C137" s="1412"/>
      <c r="D137" s="1412"/>
      <c r="E137" s="1412"/>
      <c r="F137" s="1412"/>
      <c r="G137" s="1412"/>
      <c r="H137" s="1412"/>
      <c r="I137" s="1412"/>
      <c r="J137" s="1412"/>
      <c r="K137" s="1412"/>
      <c r="L137" s="1412"/>
      <c r="M137" s="1412"/>
      <c r="N137" s="1412"/>
    </row>
    <row r="138" spans="1:14">
      <c r="A138" s="1412"/>
      <c r="B138" s="1412"/>
      <c r="C138" s="1412"/>
      <c r="D138" s="1412"/>
      <c r="E138" s="1412"/>
      <c r="F138" s="1412"/>
      <c r="G138" s="1412"/>
      <c r="H138" s="1412"/>
      <c r="I138" s="1412"/>
      <c r="J138" s="1412"/>
      <c r="K138" s="1412"/>
      <c r="L138" s="1412"/>
      <c r="M138" s="1412"/>
      <c r="N138" s="1412"/>
    </row>
    <row r="229" spans="17:19">
      <c r="Q229">
        <v>6.31</v>
      </c>
      <c r="R229">
        <v>5.07</v>
      </c>
      <c r="S229">
        <v>5.01</v>
      </c>
    </row>
    <row r="230" spans="17:19">
      <c r="Q230">
        <v>1.23</v>
      </c>
      <c r="R230">
        <v>0.15</v>
      </c>
      <c r="S230">
        <v>0.25</v>
      </c>
    </row>
    <row r="231" spans="17:19">
      <c r="Q231">
        <v>1.62</v>
      </c>
      <c r="R231">
        <v>0.73</v>
      </c>
      <c r="S231">
        <v>0.75</v>
      </c>
    </row>
    <row r="233" spans="17:19">
      <c r="Q233">
        <f>Q229+Q230-Q231</f>
        <v>5.919999999999999</v>
      </c>
      <c r="R233">
        <f>R229+R230-R231</f>
        <v>4.49</v>
      </c>
      <c r="S233">
        <f>S229+S230-S231</f>
        <v>4.51</v>
      </c>
    </row>
    <row r="265" spans="1:14">
      <c r="A265" s="1412"/>
      <c r="B265" s="1412"/>
      <c r="C265" s="1412"/>
      <c r="D265" s="1412"/>
      <c r="E265" s="1412"/>
      <c r="F265" s="1412"/>
      <c r="G265" s="1412"/>
      <c r="H265" s="1412"/>
      <c r="I265" s="1412"/>
      <c r="J265" s="1412"/>
      <c r="K265" s="1412"/>
      <c r="L265" s="1412"/>
      <c r="M265" s="1412"/>
      <c r="N265" s="1412"/>
    </row>
    <row r="266" spans="1:14" ht="17.399999999999999">
      <c r="A266" s="1413" t="s">
        <v>514</v>
      </c>
      <c r="B266" s="1412"/>
      <c r="C266" s="1412"/>
      <c r="D266" s="1412"/>
      <c r="E266" s="1412"/>
      <c r="F266" s="1412"/>
      <c r="G266" s="1412"/>
      <c r="H266" s="1412"/>
      <c r="I266" s="1412"/>
      <c r="J266" s="1412"/>
      <c r="K266" s="1412"/>
      <c r="L266" s="1412"/>
      <c r="M266" s="1412"/>
      <c r="N266" s="1412"/>
    </row>
    <row r="267" spans="1:14">
      <c r="A267" s="1412"/>
      <c r="B267" s="1412"/>
      <c r="C267" s="1412"/>
      <c r="D267" s="1412"/>
      <c r="E267" s="1412"/>
      <c r="F267" s="1412"/>
      <c r="G267" s="1412"/>
      <c r="H267" s="1412"/>
      <c r="I267" s="1412"/>
      <c r="J267" s="1412"/>
      <c r="K267" s="1412"/>
      <c r="L267" s="1412"/>
      <c r="M267" s="1412"/>
      <c r="N267" s="1412"/>
    </row>
    <row r="331" spans="1:14">
      <c r="A331" s="1412"/>
      <c r="B331" s="1412"/>
      <c r="C331" s="1412"/>
      <c r="D331" s="1412"/>
      <c r="E331" s="1412"/>
      <c r="F331" s="1412"/>
      <c r="G331" s="1412"/>
      <c r="H331" s="1412"/>
      <c r="I331" s="1412"/>
      <c r="J331" s="1412"/>
      <c r="K331" s="1412"/>
      <c r="L331" s="1412"/>
      <c r="M331" s="1412"/>
      <c r="N331" s="1412"/>
    </row>
    <row r="332" spans="1:14" ht="17.399999999999999">
      <c r="A332" s="1413" t="s">
        <v>956</v>
      </c>
      <c r="B332" s="1412"/>
      <c r="C332" s="1412"/>
      <c r="D332" s="1412"/>
      <c r="E332" s="1412"/>
      <c r="F332" s="1412"/>
      <c r="G332" s="1412"/>
      <c r="H332" s="1412"/>
      <c r="I332" s="1412"/>
      <c r="J332" s="1412"/>
      <c r="K332" s="1412"/>
      <c r="L332" s="1412"/>
      <c r="M332" s="1412"/>
      <c r="N332" s="1412"/>
    </row>
    <row r="333" spans="1:14">
      <c r="A333" s="1412"/>
      <c r="B333" s="1412"/>
      <c r="C333" s="1412"/>
      <c r="D333" s="1412"/>
      <c r="E333" s="1412"/>
      <c r="F333" s="1412"/>
      <c r="G333" s="1412"/>
      <c r="H333" s="1412"/>
      <c r="I333" s="1412"/>
      <c r="J333" s="1412"/>
      <c r="K333" s="1412"/>
      <c r="L333" s="1412"/>
      <c r="M333" s="1412"/>
      <c r="N333" s="1412"/>
    </row>
    <row r="397" spans="1:14">
      <c r="A397" s="1412"/>
      <c r="B397" s="1412"/>
      <c r="C397" s="1412"/>
      <c r="D397" s="1412"/>
      <c r="E397" s="1412"/>
      <c r="F397" s="1412"/>
      <c r="G397" s="1412"/>
      <c r="H397" s="1412"/>
      <c r="I397" s="1412"/>
      <c r="J397" s="1412"/>
      <c r="K397" s="1412"/>
      <c r="L397" s="1412"/>
      <c r="M397" s="1412"/>
      <c r="N397" s="1412"/>
    </row>
    <row r="398" spans="1:14" ht="17.399999999999999">
      <c r="A398" s="1413" t="s">
        <v>262</v>
      </c>
      <c r="B398" s="1412"/>
      <c r="C398" s="1412"/>
      <c r="D398" s="1412"/>
      <c r="E398" s="1412"/>
      <c r="F398" s="1412"/>
      <c r="G398" s="1412"/>
      <c r="H398" s="1412"/>
      <c r="I398" s="1412"/>
      <c r="J398" s="1412"/>
      <c r="K398" s="1412"/>
      <c r="L398" s="1412"/>
      <c r="M398" s="1412"/>
      <c r="N398" s="1412"/>
    </row>
    <row r="399" spans="1:14">
      <c r="A399" s="1412"/>
      <c r="B399" s="1412"/>
      <c r="C399" s="1412"/>
      <c r="D399" s="1412"/>
      <c r="E399" s="1412"/>
      <c r="F399" s="1412"/>
      <c r="G399" s="1412"/>
      <c r="H399" s="1412"/>
      <c r="I399" s="1412"/>
      <c r="J399" s="1412"/>
      <c r="K399" s="1412"/>
      <c r="L399" s="1412"/>
      <c r="M399" s="1412"/>
      <c r="N399" s="1412"/>
    </row>
    <row r="421" spans="1:14">
      <c r="A421" s="1412"/>
      <c r="B421" s="1412"/>
      <c r="C421" s="1412"/>
      <c r="D421" s="1412"/>
      <c r="E421" s="1412"/>
      <c r="F421" s="1412"/>
      <c r="G421" s="1412"/>
      <c r="H421" s="1412"/>
      <c r="I421" s="1412"/>
      <c r="J421" s="1412"/>
      <c r="K421" s="1412"/>
      <c r="L421" s="1412"/>
      <c r="M421" s="1412"/>
      <c r="N421" s="1412"/>
    </row>
    <row r="422" spans="1:14" ht="17.399999999999999">
      <c r="A422" s="1413" t="s">
        <v>515</v>
      </c>
      <c r="B422" s="1412"/>
      <c r="C422" s="1412"/>
      <c r="D422" s="1412"/>
      <c r="E422" s="1412"/>
      <c r="F422" s="1412"/>
      <c r="G422" s="1412"/>
      <c r="H422" s="1412"/>
      <c r="I422" s="1412"/>
      <c r="J422" s="1412"/>
      <c r="K422" s="1412"/>
      <c r="L422" s="1412"/>
      <c r="M422" s="1412"/>
      <c r="N422" s="1412"/>
    </row>
    <row r="423" spans="1:14">
      <c r="A423" s="1412"/>
      <c r="B423" s="1412"/>
      <c r="C423" s="1412"/>
      <c r="D423" s="1412"/>
      <c r="E423" s="1412"/>
      <c r="F423" s="1412"/>
      <c r="G423" s="1412"/>
      <c r="H423" s="1412"/>
      <c r="I423" s="1412"/>
      <c r="J423" s="1412"/>
      <c r="K423" s="1412"/>
      <c r="L423" s="1412"/>
      <c r="M423" s="1412"/>
      <c r="N423" s="1412"/>
    </row>
  </sheetData>
  <phoneticPr fontId="76" type="noConversion"/>
  <printOptions horizontalCentered="1"/>
  <pageMargins left="0.74803149606299213" right="0.55118110236220474" top="0.5" bottom="0.44" header="0.35433070866141736" footer="0.31496062992125984"/>
  <pageSetup paperSize="9" scale="65" fitToHeight="13" orientation="portrait" r:id="rId1"/>
  <headerFooter alignWithMargins="0"/>
  <rowBreaks count="6" manualBreakCount="6">
    <brk id="90" max="13" man="1"/>
    <brk id="180" max="13" man="1"/>
    <brk id="264" max="13" man="1"/>
    <brk id="330" max="13" man="1"/>
    <brk id="420" max="13" man="1"/>
    <brk id="489" max="14" man="1"/>
  </rowBreaks>
  <colBreaks count="1" manualBreakCount="1">
    <brk id="14" max="1048575"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indexed="44"/>
  </sheetPr>
  <dimension ref="A1:ER147"/>
  <sheetViews>
    <sheetView showGridLines="0" workbookViewId="0">
      <pane xSplit="4" ySplit="4" topLeftCell="EH5" activePane="bottomRight" state="frozen"/>
      <selection pane="topRight" activeCell="E1" sqref="E1"/>
      <selection pane="bottomLeft" activeCell="A4" sqref="A4"/>
      <selection pane="bottomRight" activeCell="EM50" sqref="EM50"/>
    </sheetView>
  </sheetViews>
  <sheetFormatPr defaultRowHeight="13.2"/>
  <cols>
    <col min="1" max="1" width="2.109375" customWidth="1"/>
    <col min="2" max="2" width="2.109375" style="558" bestFit="1" customWidth="1"/>
    <col min="3" max="3" width="2.33203125" style="559" customWidth="1"/>
    <col min="4" max="4" width="45.5546875" style="560" customWidth="1"/>
    <col min="5" max="9" width="6.6640625" style="218" customWidth="1"/>
    <col min="10" max="10" width="6.6640625" style="558" customWidth="1"/>
    <col min="11" max="21" width="6.6640625" customWidth="1"/>
    <col min="22" max="22" width="7.6640625" customWidth="1"/>
    <col min="23" max="70" width="6.6640625" customWidth="1"/>
    <col min="71" max="91" width="6.5546875" customWidth="1"/>
    <col min="92" max="92" width="7.44140625" customWidth="1"/>
    <col min="93" max="94" width="6.5546875" customWidth="1"/>
  </cols>
  <sheetData>
    <row r="1" spans="1:148">
      <c r="A1" s="1127" t="s">
        <v>1545</v>
      </c>
      <c r="CK1" s="1370"/>
    </row>
    <row r="2" spans="1:148">
      <c r="E2" s="4122">
        <f ca="1">OFFSET(InputY!$G$3,0,(COLUMN()-5)/6)</f>
        <v>1995</v>
      </c>
      <c r="F2" s="4123"/>
      <c r="G2" s="4123"/>
      <c r="H2" s="4123"/>
      <c r="I2" s="4123"/>
      <c r="J2" s="4130"/>
      <c r="K2" s="4122">
        <f ca="1">OFFSET(InputY!$G$3,0,(COLUMN()-5)/6)</f>
        <v>1996</v>
      </c>
      <c r="L2" s="4123"/>
      <c r="M2" s="4123"/>
      <c r="N2" s="4123"/>
      <c r="O2" s="4123"/>
      <c r="P2" s="4130"/>
      <c r="Q2" s="4122">
        <f ca="1">OFFSET(InputY!$G$3,0,(COLUMN()-5)/6)</f>
        <v>1997</v>
      </c>
      <c r="R2" s="4123"/>
      <c r="S2" s="4123"/>
      <c r="T2" s="4123"/>
      <c r="U2" s="4123"/>
      <c r="V2" s="4130"/>
      <c r="W2" s="4122">
        <f ca="1">OFFSET(InputY!$G$3,0,(COLUMN()-5)/6)</f>
        <v>1998</v>
      </c>
      <c r="X2" s="4123"/>
      <c r="Y2" s="4123"/>
      <c r="Z2" s="4123"/>
      <c r="AA2" s="4123"/>
      <c r="AB2" s="4130"/>
      <c r="AC2" s="4122">
        <f ca="1">OFFSET(InputY!$G$3,0,(COLUMN()-5)/6)</f>
        <v>1999</v>
      </c>
      <c r="AD2" s="4123"/>
      <c r="AE2" s="4123"/>
      <c r="AF2" s="4123"/>
      <c r="AG2" s="4123"/>
      <c r="AH2" s="4130"/>
      <c r="AI2" s="4122">
        <f ca="1">OFFSET(InputY!$G$3,0,(COLUMN()-5)/6)</f>
        <v>2000</v>
      </c>
      <c r="AJ2" s="4123"/>
      <c r="AK2" s="4123"/>
      <c r="AL2" s="4123"/>
      <c r="AM2" s="4123"/>
      <c r="AN2" s="4130"/>
      <c r="AO2" s="4122">
        <f ca="1">OFFSET(InputY!$G$3,0,(COLUMN()-5)/6)</f>
        <v>2001</v>
      </c>
      <c r="AP2" s="4123"/>
      <c r="AQ2" s="4123"/>
      <c r="AR2" s="4123"/>
      <c r="AS2" s="4123"/>
      <c r="AT2" s="4130"/>
      <c r="AU2" s="4122">
        <f ca="1">OFFSET(InputY!$G$3,0,(COLUMN()-5)/6)</f>
        <v>2002</v>
      </c>
      <c r="AV2" s="4123"/>
      <c r="AW2" s="4123"/>
      <c r="AX2" s="4123"/>
      <c r="AY2" s="4123"/>
      <c r="AZ2" s="4130"/>
      <c r="BA2" s="4122">
        <f ca="1">OFFSET(InputY!$G$3,0,(COLUMN()-5)/6)</f>
        <v>2003</v>
      </c>
      <c r="BB2" s="4123"/>
      <c r="BC2" s="4123"/>
      <c r="BD2" s="4123"/>
      <c r="BE2" s="4123"/>
      <c r="BF2" s="4130"/>
      <c r="BG2" s="4122">
        <f ca="1">OFFSET(InputY!$G$3,0,(COLUMN()-5)/6)</f>
        <v>2004</v>
      </c>
      <c r="BH2" s="4123"/>
      <c r="BI2" s="4123"/>
      <c r="BJ2" s="4123"/>
      <c r="BK2" s="4123"/>
      <c r="BL2" s="4130"/>
      <c r="BM2" s="4122">
        <f ca="1">OFFSET(InputY!$G$3,0,(COLUMN()-5)/6)</f>
        <v>2005</v>
      </c>
      <c r="BN2" s="4123"/>
      <c r="BO2" s="4123"/>
      <c r="BP2" s="4123"/>
      <c r="BQ2" s="4123"/>
      <c r="BR2" s="4130"/>
      <c r="BS2" s="4122">
        <f ca="1">OFFSET(InputY!$G$3,0,(COLUMN()-5)/6)</f>
        <v>2006</v>
      </c>
      <c r="BT2" s="4123"/>
      <c r="BU2" s="4123"/>
      <c r="BV2" s="4123"/>
      <c r="BW2" s="4123"/>
      <c r="BX2" s="4130"/>
      <c r="BY2" s="4122">
        <f ca="1">OFFSET(InputY!$G$3,0,(COLUMN()-5)/6)</f>
        <v>2007</v>
      </c>
      <c r="BZ2" s="4123"/>
      <c r="CA2" s="4123"/>
      <c r="CB2" s="4123"/>
      <c r="CC2" s="4123"/>
      <c r="CD2" s="4130"/>
      <c r="CE2" s="4122">
        <f ca="1">OFFSET(InputY!$G$3,0,(COLUMN()-5)/6)</f>
        <v>2008</v>
      </c>
      <c r="CF2" s="4123"/>
      <c r="CG2" s="4123"/>
      <c r="CH2" s="4123"/>
      <c r="CI2" s="4123"/>
      <c r="CJ2" s="4130"/>
      <c r="CK2" s="4122">
        <f ca="1">OFFSET(InputY!$G$3,0,(COLUMN()-5)/6)</f>
        <v>2009</v>
      </c>
      <c r="CL2" s="4123"/>
      <c r="CM2" s="4123"/>
      <c r="CN2" s="4123"/>
      <c r="CO2" s="4123"/>
      <c r="CP2" s="4130"/>
      <c r="CQ2" s="4122">
        <f ca="1">OFFSET(InputY!$G$3,0,(COLUMN()-5)/6)</f>
        <v>2010</v>
      </c>
      <c r="CR2" s="4123"/>
      <c r="CS2" s="4123"/>
      <c r="CT2" s="4123"/>
      <c r="CU2" s="4123"/>
      <c r="CV2" s="4130"/>
      <c r="CW2" s="4122">
        <f ca="1">OFFSET(InputY!$G$3,0,(COLUMN()-5)/6)</f>
        <v>2011</v>
      </c>
      <c r="CX2" s="4123"/>
      <c r="CY2" s="4123"/>
      <c r="CZ2" s="4123"/>
      <c r="DA2" s="4123"/>
      <c r="DB2" s="4130"/>
      <c r="DC2" s="4122">
        <f ca="1">OFFSET(InputY!$G$3,0,(COLUMN()-5)/6)</f>
        <v>2012</v>
      </c>
      <c r="DD2" s="4123"/>
      <c r="DE2" s="4123"/>
      <c r="DF2" s="4123"/>
      <c r="DG2" s="4123"/>
      <c r="DH2" s="4130"/>
      <c r="DI2" s="4122">
        <f ca="1">OFFSET(InputY!$G$3,0,(COLUMN()-5)/6)</f>
        <v>2013</v>
      </c>
      <c r="DJ2" s="4123"/>
      <c r="DK2" s="4123"/>
      <c r="DL2" s="4123"/>
      <c r="DM2" s="4123"/>
      <c r="DN2" s="4130"/>
      <c r="DO2" s="4122">
        <f ca="1">OFFSET(InputY!$G$3,0,(COLUMN()-5)/6)</f>
        <v>2014</v>
      </c>
      <c r="DP2" s="4123"/>
      <c r="DQ2" s="4123"/>
      <c r="DR2" s="4123"/>
      <c r="DS2" s="4123"/>
      <c r="DT2" s="4130"/>
      <c r="DU2" s="4122">
        <f ca="1">OFFSET(InputY!$G$3,0,(COLUMN()-5)/6)</f>
        <v>2015</v>
      </c>
      <c r="DV2" s="4123"/>
      <c r="DW2" s="4123"/>
      <c r="DX2" s="4123"/>
      <c r="DY2" s="4123"/>
      <c r="DZ2" s="4130"/>
      <c r="EA2" s="4122">
        <f ca="1">OFFSET(InputY!$G$3,0,(COLUMN()-5)/6)</f>
        <v>2016</v>
      </c>
      <c r="EB2" s="4123"/>
      <c r="EC2" s="4123"/>
      <c r="ED2" s="4123"/>
      <c r="EE2" s="4123"/>
      <c r="EF2" s="4130"/>
      <c r="EG2" s="4122">
        <f ca="1">OFFSET(InputY!$G$3,0,(COLUMN()-5)/6)</f>
        <v>2017</v>
      </c>
      <c r="EH2" s="4123"/>
      <c r="EI2" s="4123"/>
      <c r="EJ2" s="4123"/>
      <c r="EK2" s="4123"/>
      <c r="EL2" s="4130"/>
      <c r="EM2" s="4122">
        <f ca="1">OFFSET(InputY!$G$3,0,(COLUMN()-5)/6)</f>
        <v>2018</v>
      </c>
      <c r="EN2" s="4123"/>
      <c r="EO2" s="4123"/>
      <c r="EP2" s="4123"/>
      <c r="EQ2" s="4123"/>
      <c r="ER2" s="4130"/>
    </row>
    <row r="3" spans="1:148">
      <c r="D3" s="561"/>
      <c r="E3" s="4131"/>
      <c r="F3" s="4132"/>
      <c r="G3" s="4132"/>
      <c r="H3" s="4132"/>
      <c r="I3" s="4132"/>
      <c r="J3" s="4133"/>
      <c r="K3" s="4131"/>
      <c r="L3" s="4132"/>
      <c r="M3" s="4132"/>
      <c r="N3" s="4132"/>
      <c r="O3" s="4132"/>
      <c r="P3" s="4133"/>
      <c r="Q3" s="4131"/>
      <c r="R3" s="4132"/>
      <c r="S3" s="4132"/>
      <c r="T3" s="4132"/>
      <c r="U3" s="4132"/>
      <c r="V3" s="4133"/>
      <c r="W3" s="4131"/>
      <c r="X3" s="4132"/>
      <c r="Y3" s="4132"/>
      <c r="Z3" s="4132"/>
      <c r="AA3" s="4132"/>
      <c r="AB3" s="4133"/>
      <c r="AC3" s="4131"/>
      <c r="AD3" s="4132"/>
      <c r="AE3" s="4132"/>
      <c r="AF3" s="4132"/>
      <c r="AG3" s="4132"/>
      <c r="AH3" s="4133"/>
      <c r="AI3" s="4131"/>
      <c r="AJ3" s="4132"/>
      <c r="AK3" s="4132"/>
      <c r="AL3" s="4132"/>
      <c r="AM3" s="4132"/>
      <c r="AN3" s="4133"/>
      <c r="AO3" s="4131"/>
      <c r="AP3" s="4132"/>
      <c r="AQ3" s="4132"/>
      <c r="AR3" s="4132"/>
      <c r="AS3" s="4132"/>
      <c r="AT3" s="4133"/>
      <c r="AU3" s="4131"/>
      <c r="AV3" s="4132"/>
      <c r="AW3" s="4132"/>
      <c r="AX3" s="4132"/>
      <c r="AY3" s="4132"/>
      <c r="AZ3" s="4133"/>
      <c r="BA3" s="4131"/>
      <c r="BB3" s="4132"/>
      <c r="BC3" s="4132"/>
      <c r="BD3" s="4132"/>
      <c r="BE3" s="4132"/>
      <c r="BF3" s="4133"/>
      <c r="BG3" s="4131"/>
      <c r="BH3" s="4132"/>
      <c r="BI3" s="4132"/>
      <c r="BJ3" s="4132"/>
      <c r="BK3" s="4132"/>
      <c r="BL3" s="4133"/>
      <c r="BM3" s="4131"/>
      <c r="BN3" s="4132"/>
      <c r="BO3" s="4132"/>
      <c r="BP3" s="4132"/>
      <c r="BQ3" s="4132"/>
      <c r="BR3" s="4133"/>
      <c r="BS3" s="4131"/>
      <c r="BT3" s="4132"/>
      <c r="BU3" s="4132"/>
      <c r="BV3" s="4132"/>
      <c r="BW3" s="4132"/>
      <c r="BX3" s="4133"/>
      <c r="BY3" s="4131"/>
      <c r="BZ3" s="4132"/>
      <c r="CA3" s="4132"/>
      <c r="CB3" s="4132"/>
      <c r="CC3" s="4132"/>
      <c r="CD3" s="4133"/>
      <c r="CE3" s="4131"/>
      <c r="CF3" s="4132"/>
      <c r="CG3" s="4132"/>
      <c r="CH3" s="4132"/>
      <c r="CI3" s="4132"/>
      <c r="CJ3" s="4133"/>
      <c r="CK3" s="4131"/>
      <c r="CL3" s="4132"/>
      <c r="CM3" s="4132"/>
      <c r="CN3" s="4132"/>
      <c r="CO3" s="4132"/>
      <c r="CP3" s="4133"/>
      <c r="CQ3" s="4131"/>
      <c r="CR3" s="4132"/>
      <c r="CS3" s="4132"/>
      <c r="CT3" s="4132"/>
      <c r="CU3" s="4132"/>
      <c r="CV3" s="4133"/>
      <c r="CW3" s="4131"/>
      <c r="CX3" s="4132"/>
      <c r="CY3" s="4132"/>
      <c r="CZ3" s="4132"/>
      <c r="DA3" s="4132"/>
      <c r="DB3" s="4133"/>
      <c r="DC3" s="4131"/>
      <c r="DD3" s="4132"/>
      <c r="DE3" s="4132"/>
      <c r="DF3" s="4132"/>
      <c r="DG3" s="4132"/>
      <c r="DH3" s="4133"/>
      <c r="DI3" s="4131"/>
      <c r="DJ3" s="4132"/>
      <c r="DK3" s="4132"/>
      <c r="DL3" s="4132"/>
      <c r="DM3" s="4132"/>
      <c r="DN3" s="4133"/>
      <c r="DO3" s="4131"/>
      <c r="DP3" s="4132"/>
      <c r="DQ3" s="4132"/>
      <c r="DR3" s="4132"/>
      <c r="DS3" s="4132"/>
      <c r="DT3" s="4133"/>
      <c r="DU3" s="4131"/>
      <c r="DV3" s="4132"/>
      <c r="DW3" s="4132"/>
      <c r="DX3" s="4132"/>
      <c r="DY3" s="4132"/>
      <c r="DZ3" s="4133"/>
      <c r="EA3" s="4131"/>
      <c r="EB3" s="4132"/>
      <c r="EC3" s="4132"/>
      <c r="ED3" s="4132"/>
      <c r="EE3" s="4132"/>
      <c r="EF3" s="4133"/>
      <c r="EG3" s="4131"/>
      <c r="EH3" s="4132"/>
      <c r="EI3" s="4132"/>
      <c r="EJ3" s="4132"/>
      <c r="EK3" s="4132"/>
      <c r="EL3" s="4133"/>
      <c r="EM3" s="4131"/>
      <c r="EN3" s="4132"/>
      <c r="EO3" s="4132"/>
      <c r="EP3" s="4132"/>
      <c r="EQ3" s="4132"/>
      <c r="ER3" s="4133"/>
    </row>
    <row r="4" spans="1:148">
      <c r="E4" s="562" t="s">
        <v>588</v>
      </c>
      <c r="F4" s="562" t="s">
        <v>589</v>
      </c>
      <c r="G4" s="562" t="s">
        <v>590</v>
      </c>
      <c r="H4" s="562" t="s">
        <v>591</v>
      </c>
      <c r="I4" s="562" t="s">
        <v>592</v>
      </c>
      <c r="J4" s="562" t="s">
        <v>619</v>
      </c>
      <c r="K4" s="562" t="s">
        <v>588</v>
      </c>
      <c r="L4" s="562" t="s">
        <v>589</v>
      </c>
      <c r="M4" s="562" t="s">
        <v>590</v>
      </c>
      <c r="N4" s="562" t="s">
        <v>591</v>
      </c>
      <c r="O4" s="562" t="s">
        <v>592</v>
      </c>
      <c r="P4" s="562" t="s">
        <v>619</v>
      </c>
      <c r="Q4" s="562" t="s">
        <v>588</v>
      </c>
      <c r="R4" s="562" t="s">
        <v>589</v>
      </c>
      <c r="S4" s="562" t="s">
        <v>590</v>
      </c>
      <c r="T4" s="562" t="s">
        <v>591</v>
      </c>
      <c r="U4" s="562" t="s">
        <v>592</v>
      </c>
      <c r="V4" s="562" t="s">
        <v>619</v>
      </c>
      <c r="W4" s="562" t="s">
        <v>588</v>
      </c>
      <c r="X4" s="562" t="s">
        <v>589</v>
      </c>
      <c r="Y4" s="562" t="s">
        <v>590</v>
      </c>
      <c r="Z4" s="562" t="s">
        <v>591</v>
      </c>
      <c r="AA4" s="562" t="s">
        <v>592</v>
      </c>
      <c r="AB4" s="562" t="s">
        <v>619</v>
      </c>
      <c r="AC4" s="562" t="s">
        <v>588</v>
      </c>
      <c r="AD4" s="562" t="s">
        <v>589</v>
      </c>
      <c r="AE4" s="562" t="s">
        <v>590</v>
      </c>
      <c r="AF4" s="562" t="s">
        <v>591</v>
      </c>
      <c r="AG4" s="562" t="s">
        <v>592</v>
      </c>
      <c r="AH4" s="562" t="s">
        <v>619</v>
      </c>
      <c r="AI4" s="562" t="s">
        <v>588</v>
      </c>
      <c r="AJ4" s="562" t="s">
        <v>589</v>
      </c>
      <c r="AK4" s="562" t="s">
        <v>590</v>
      </c>
      <c r="AL4" s="562" t="s">
        <v>591</v>
      </c>
      <c r="AM4" s="562" t="s">
        <v>592</v>
      </c>
      <c r="AN4" s="562" t="s">
        <v>619</v>
      </c>
      <c r="AO4" s="562" t="s">
        <v>588</v>
      </c>
      <c r="AP4" s="562" t="s">
        <v>589</v>
      </c>
      <c r="AQ4" s="562" t="s">
        <v>590</v>
      </c>
      <c r="AR4" s="562" t="s">
        <v>591</v>
      </c>
      <c r="AS4" s="562" t="s">
        <v>592</v>
      </c>
      <c r="AT4" s="562" t="s">
        <v>619</v>
      </c>
      <c r="AU4" s="562" t="s">
        <v>588</v>
      </c>
      <c r="AV4" s="562" t="s">
        <v>589</v>
      </c>
      <c r="AW4" s="562" t="s">
        <v>590</v>
      </c>
      <c r="AX4" s="562" t="s">
        <v>591</v>
      </c>
      <c r="AY4" s="562" t="s">
        <v>592</v>
      </c>
      <c r="AZ4" s="562" t="s">
        <v>619</v>
      </c>
      <c r="BA4" s="562" t="s">
        <v>588</v>
      </c>
      <c r="BB4" s="562" t="s">
        <v>589</v>
      </c>
      <c r="BC4" s="562" t="s">
        <v>590</v>
      </c>
      <c r="BD4" s="562" t="s">
        <v>591</v>
      </c>
      <c r="BE4" s="562" t="s">
        <v>592</v>
      </c>
      <c r="BF4" s="562" t="s">
        <v>619</v>
      </c>
      <c r="BG4" s="562" t="s">
        <v>588</v>
      </c>
      <c r="BH4" s="562" t="s">
        <v>589</v>
      </c>
      <c r="BI4" s="562" t="s">
        <v>590</v>
      </c>
      <c r="BJ4" s="562" t="s">
        <v>591</v>
      </c>
      <c r="BK4" s="562" t="s">
        <v>592</v>
      </c>
      <c r="BL4" s="562" t="s">
        <v>619</v>
      </c>
      <c r="BM4" s="562" t="s">
        <v>588</v>
      </c>
      <c r="BN4" s="562" t="s">
        <v>589</v>
      </c>
      <c r="BO4" s="562" t="s">
        <v>590</v>
      </c>
      <c r="BP4" s="562" t="s">
        <v>591</v>
      </c>
      <c r="BQ4" s="562" t="s">
        <v>592</v>
      </c>
      <c r="BR4" s="562" t="s">
        <v>619</v>
      </c>
      <c r="BS4" s="562" t="s">
        <v>588</v>
      </c>
      <c r="BT4" s="562" t="s">
        <v>589</v>
      </c>
      <c r="BU4" s="562" t="s">
        <v>590</v>
      </c>
      <c r="BV4" s="562" t="s">
        <v>591</v>
      </c>
      <c r="BW4" s="562" t="s">
        <v>592</v>
      </c>
      <c r="BX4" s="562" t="s">
        <v>619</v>
      </c>
      <c r="BY4" s="562" t="s">
        <v>588</v>
      </c>
      <c r="BZ4" s="562" t="s">
        <v>589</v>
      </c>
      <c r="CA4" s="562" t="s">
        <v>590</v>
      </c>
      <c r="CB4" s="562" t="s">
        <v>591</v>
      </c>
      <c r="CC4" s="562" t="s">
        <v>592</v>
      </c>
      <c r="CD4" s="562" t="s">
        <v>619</v>
      </c>
      <c r="CE4" s="562" t="s">
        <v>588</v>
      </c>
      <c r="CF4" s="562" t="s">
        <v>589</v>
      </c>
      <c r="CG4" s="562" t="s">
        <v>590</v>
      </c>
      <c r="CH4" s="562" t="s">
        <v>591</v>
      </c>
      <c r="CI4" s="562" t="s">
        <v>592</v>
      </c>
      <c r="CJ4" s="562" t="s">
        <v>619</v>
      </c>
      <c r="CK4" s="562" t="s">
        <v>588</v>
      </c>
      <c r="CL4" s="562" t="s">
        <v>589</v>
      </c>
      <c r="CM4" s="562" t="s">
        <v>590</v>
      </c>
      <c r="CN4" s="562" t="s">
        <v>591</v>
      </c>
      <c r="CO4" s="562" t="s">
        <v>592</v>
      </c>
      <c r="CP4" s="562" t="s">
        <v>619</v>
      </c>
      <c r="CQ4" s="562" t="s">
        <v>588</v>
      </c>
      <c r="CR4" s="562" t="s">
        <v>589</v>
      </c>
      <c r="CS4" s="562" t="s">
        <v>590</v>
      </c>
      <c r="CT4" s="562" t="s">
        <v>591</v>
      </c>
      <c r="CU4" s="562" t="s">
        <v>592</v>
      </c>
      <c r="CV4" s="562" t="s">
        <v>619</v>
      </c>
      <c r="CW4" s="562" t="s">
        <v>588</v>
      </c>
      <c r="CX4" s="562" t="s">
        <v>589</v>
      </c>
      <c r="CY4" s="562" t="s">
        <v>590</v>
      </c>
      <c r="CZ4" s="562" t="s">
        <v>591</v>
      </c>
      <c r="DA4" s="562" t="s">
        <v>592</v>
      </c>
      <c r="DB4" s="562" t="s">
        <v>619</v>
      </c>
      <c r="DC4" s="562" t="s">
        <v>588</v>
      </c>
      <c r="DD4" s="562" t="s">
        <v>589</v>
      </c>
      <c r="DE4" s="562" t="s">
        <v>590</v>
      </c>
      <c r="DF4" s="562" t="s">
        <v>591</v>
      </c>
      <c r="DG4" s="562" t="s">
        <v>592</v>
      </c>
      <c r="DH4" s="562" t="s">
        <v>619</v>
      </c>
      <c r="DI4" s="562" t="s">
        <v>588</v>
      </c>
      <c r="DJ4" s="562" t="s">
        <v>589</v>
      </c>
      <c r="DK4" s="562" t="s">
        <v>590</v>
      </c>
      <c r="DL4" s="562" t="s">
        <v>591</v>
      </c>
      <c r="DM4" s="562" t="s">
        <v>592</v>
      </c>
      <c r="DN4" s="562" t="s">
        <v>619</v>
      </c>
      <c r="DO4" s="562" t="s">
        <v>588</v>
      </c>
      <c r="DP4" s="562" t="s">
        <v>589</v>
      </c>
      <c r="DQ4" s="562" t="s">
        <v>590</v>
      </c>
      <c r="DR4" s="562" t="s">
        <v>591</v>
      </c>
      <c r="DS4" s="562" t="s">
        <v>592</v>
      </c>
      <c r="DT4" s="562" t="s">
        <v>619</v>
      </c>
      <c r="DU4" s="562" t="s">
        <v>588</v>
      </c>
      <c r="DV4" s="562" t="s">
        <v>589</v>
      </c>
      <c r="DW4" s="562" t="s">
        <v>590</v>
      </c>
      <c r="DX4" s="562" t="s">
        <v>591</v>
      </c>
      <c r="DY4" s="562" t="s">
        <v>592</v>
      </c>
      <c r="DZ4" s="562" t="s">
        <v>619</v>
      </c>
      <c r="EA4" s="562" t="s">
        <v>588</v>
      </c>
      <c r="EB4" s="562" t="s">
        <v>589</v>
      </c>
      <c r="EC4" s="562" t="s">
        <v>590</v>
      </c>
      <c r="ED4" s="562" t="s">
        <v>591</v>
      </c>
      <c r="EE4" s="562" t="s">
        <v>592</v>
      </c>
      <c r="EF4" s="562" t="s">
        <v>619</v>
      </c>
      <c r="EG4" s="562" t="s">
        <v>588</v>
      </c>
      <c r="EH4" s="562" t="s">
        <v>589</v>
      </c>
      <c r="EI4" s="562" t="s">
        <v>590</v>
      </c>
      <c r="EJ4" s="562" t="s">
        <v>591</v>
      </c>
      <c r="EK4" s="562" t="s">
        <v>592</v>
      </c>
      <c r="EL4" s="562" t="s">
        <v>619</v>
      </c>
      <c r="EM4" s="562" t="s">
        <v>588</v>
      </c>
      <c r="EN4" s="562" t="s">
        <v>589</v>
      </c>
      <c r="EO4" s="562" t="s">
        <v>590</v>
      </c>
      <c r="EP4" s="562" t="s">
        <v>591</v>
      </c>
      <c r="EQ4" s="562" t="s">
        <v>592</v>
      </c>
      <c r="ER4" s="562" t="s">
        <v>619</v>
      </c>
    </row>
    <row r="5" spans="1:148">
      <c r="A5" s="563"/>
      <c r="B5" s="564"/>
      <c r="C5" s="4141" t="s">
        <v>1476</v>
      </c>
      <c r="D5" s="4142"/>
      <c r="E5" s="1128">
        <f ca="1">OFFSET('VVP2'!$G$355,0,(COLUMN()-5)/6)</f>
        <v>211.29079999999999</v>
      </c>
      <c r="F5" s="565"/>
      <c r="G5" s="565"/>
      <c r="H5" s="565"/>
      <c r="I5" s="565"/>
      <c r="J5" s="566"/>
      <c r="K5" s="1128">
        <f ca="1">OFFSET('VVP2'!$G$355,0,(COLUMN()-5)/6)</f>
        <v>215.94239999999999</v>
      </c>
      <c r="L5" s="565"/>
      <c r="M5" s="565"/>
      <c r="N5" s="565"/>
      <c r="O5" s="565"/>
      <c r="P5" s="566"/>
      <c r="Q5" s="1128">
        <f ca="1">OFFSET('VVP2'!$G$355,0,(COLUMN()-5)/6)</f>
        <v>225.96870000000001</v>
      </c>
      <c r="R5" s="565"/>
      <c r="S5" s="565"/>
      <c r="T5" s="565"/>
      <c r="U5" s="565"/>
      <c r="V5" s="566"/>
      <c r="W5" s="1128">
        <f ca="1">OFFSET('VVP2'!$G$355,0,(COLUMN()-5)/6)</f>
        <v>234.4896</v>
      </c>
      <c r="X5" s="565"/>
      <c r="Y5" s="565"/>
      <c r="Z5" s="565"/>
      <c r="AA5" s="565"/>
      <c r="AB5" s="566"/>
      <c r="AC5" s="1128">
        <f ca="1">OFFSET('VVP2'!$G$355,0,(COLUMN()-5)/6)</f>
        <v>244.226</v>
      </c>
      <c r="AD5" s="565"/>
      <c r="AE5" s="565"/>
      <c r="AF5" s="565"/>
      <c r="AG5" s="565"/>
      <c r="AH5" s="566"/>
      <c r="AI5" s="1128">
        <f ca="1">OFFSET('VVP2'!$G$355,0,(COLUMN()-5)/6)</f>
        <v>258.22199999999998</v>
      </c>
      <c r="AJ5" s="565"/>
      <c r="AK5" s="565"/>
      <c r="AL5" s="565"/>
      <c r="AM5" s="565"/>
      <c r="AN5" s="566"/>
      <c r="AO5" s="1128">
        <f ca="1">OFFSET('VVP2'!$G$355,0,(COLUMN()-5)/6)</f>
        <v>265.78840000000002</v>
      </c>
      <c r="AP5" s="565"/>
      <c r="AQ5" s="565"/>
      <c r="AR5" s="565"/>
      <c r="AS5" s="565"/>
      <c r="AT5" s="566"/>
      <c r="AU5" s="1128">
        <f ca="1">OFFSET('VVP2'!$G$355,0,(COLUMN()-5)/6)</f>
        <v>275.06509999999997</v>
      </c>
      <c r="AV5" s="565"/>
      <c r="AW5" s="565"/>
      <c r="AX5" s="565"/>
      <c r="AY5" s="565"/>
      <c r="AZ5" s="566"/>
      <c r="BA5" s="1128">
        <f ca="1">OFFSET('VVP2'!$G$355,0,(COLUMN()-5)/6)</f>
        <v>282.63650000000001</v>
      </c>
      <c r="BB5" s="565"/>
      <c r="BC5" s="565"/>
      <c r="BD5" s="565"/>
      <c r="BE5" s="565"/>
      <c r="BF5" s="566"/>
      <c r="BG5" s="1128">
        <f ca="1">OFFSET('VVP2'!$G$355,0,(COLUMN()-5)/6)</f>
        <v>298.71080000000001</v>
      </c>
      <c r="BH5" s="565"/>
      <c r="BI5" s="565"/>
      <c r="BJ5" s="565"/>
      <c r="BK5" s="565"/>
      <c r="BL5" s="566"/>
      <c r="BM5" s="1128">
        <f ca="1">OFFSET('VVP2'!$G$355,0,(COLUMN()-5)/6)</f>
        <v>311.48079999999999</v>
      </c>
      <c r="BN5" s="565"/>
      <c r="BO5" s="565"/>
      <c r="BP5" s="565"/>
      <c r="BQ5" s="565"/>
      <c r="BR5" s="566"/>
      <c r="BS5" s="1128">
        <f ca="1">OFFSET('VVP2'!$G$355,0,(COLUMN()-5)/6)</f>
        <v>326.66209999999995</v>
      </c>
      <c r="BT5" s="565"/>
      <c r="BU5" s="565"/>
      <c r="BV5" s="565"/>
      <c r="BW5" s="565"/>
      <c r="BX5" s="566"/>
      <c r="BY5" s="1128">
        <f ca="1">OFFSET('VVP2'!$G$355,0,(COLUMN()-5)/6)</f>
        <v>344.71249999999998</v>
      </c>
      <c r="BZ5" s="565"/>
      <c r="CA5" s="565"/>
      <c r="CB5" s="565"/>
      <c r="CC5" s="565"/>
      <c r="CD5" s="566"/>
      <c r="CE5" s="1128">
        <f ca="1">OFFSET('VVP2'!$G$355,0,(COLUMN()-5)/6)</f>
        <v>354.0659</v>
      </c>
      <c r="CF5" s="565"/>
      <c r="CG5" s="565"/>
      <c r="CH5" s="565"/>
      <c r="CI5" s="565"/>
      <c r="CJ5" s="566"/>
      <c r="CK5" s="1128">
        <f ca="1">OFFSET('VVP2'!$G$355,0,(COLUMN()-5)/6)</f>
        <v>348.78109999999998</v>
      </c>
      <c r="CL5" s="565"/>
      <c r="CM5" s="565"/>
      <c r="CN5" s="565"/>
      <c r="CO5" s="565"/>
      <c r="CP5" s="566"/>
      <c r="CQ5" s="1128">
        <f ca="1">OFFSET('VVP2'!$G$355,0,(COLUMN()-5)/6)</f>
        <v>365.10050000000001</v>
      </c>
      <c r="CR5" s="565"/>
      <c r="CS5" s="565"/>
      <c r="CT5" s="565"/>
      <c r="CU5" s="565"/>
      <c r="CV5" s="566"/>
      <c r="CW5" s="1128">
        <f ca="1">OFFSET('VVP2'!$G$355,0,(COLUMN()-5)/6)</f>
        <v>379.10629999999998</v>
      </c>
      <c r="CX5" s="565"/>
      <c r="CY5" s="565"/>
      <c r="CZ5" s="565"/>
      <c r="DA5" s="565"/>
      <c r="DB5" s="566"/>
      <c r="DC5" s="1128">
        <f ca="1">OFFSET('VVP2'!$G$355,0,(COLUMN()-5)/6)</f>
        <v>387.50009999999997</v>
      </c>
      <c r="DD5" s="565"/>
      <c r="DE5" s="565"/>
      <c r="DF5" s="565"/>
      <c r="DG5" s="565"/>
      <c r="DH5" s="566"/>
      <c r="DI5" s="1128">
        <f ca="1">OFFSET('VVP2'!$G$355,0,(COLUMN()-5)/6)</f>
        <v>392.33979999999997</v>
      </c>
      <c r="DJ5" s="565"/>
      <c r="DK5" s="565"/>
      <c r="DL5" s="565"/>
      <c r="DM5" s="565"/>
      <c r="DN5" s="566"/>
      <c r="DO5" s="1128">
        <f ca="1">OFFSET('VVP2'!$G$355,0,(COLUMN()-5)/6)</f>
        <v>400.28820000000002</v>
      </c>
      <c r="DP5" s="565"/>
      <c r="DQ5" s="565"/>
      <c r="DR5" s="565"/>
      <c r="DS5" s="565"/>
      <c r="DT5" s="566"/>
      <c r="DU5" s="1128">
        <f ca="1">OFFSET('VVP2'!$G$355,0,(COLUMN()-5)/6)</f>
        <v>410.43520000000001</v>
      </c>
      <c r="DV5" s="565"/>
      <c r="DW5" s="565"/>
      <c r="DX5" s="565"/>
      <c r="DY5" s="565"/>
      <c r="DZ5" s="566"/>
      <c r="EA5" s="1128">
        <f ca="1">OFFSET('VVP2'!$G$355,0,(COLUMN()-5)/6)</f>
        <v>423.04840000000002</v>
      </c>
      <c r="EB5" s="565"/>
      <c r="EC5" s="565"/>
      <c r="ED5" s="565"/>
      <c r="EE5" s="565"/>
      <c r="EF5" s="566"/>
      <c r="EG5" s="1128">
        <f ca="1">OFFSET('VVP2'!$G$355,0,(COLUMN()-5)/6)</f>
        <v>438.4846</v>
      </c>
      <c r="EH5" s="565"/>
      <c r="EI5" s="565"/>
      <c r="EJ5" s="565"/>
      <c r="EK5" s="565"/>
      <c r="EL5" s="566"/>
      <c r="EM5" s="1128">
        <f ca="1">OFFSET('VVP2'!$G$355,0,(COLUMN()-5)/6)</f>
        <v>453.37297204218987</v>
      </c>
      <c r="EN5" s="565"/>
      <c r="EO5" s="565"/>
      <c r="EP5" s="565"/>
      <c r="EQ5" s="565"/>
      <c r="ER5" s="566"/>
    </row>
    <row r="6" spans="1:148">
      <c r="A6" s="567"/>
      <c r="B6" s="568" t="s">
        <v>2133</v>
      </c>
      <c r="C6" s="4136" t="s">
        <v>621</v>
      </c>
      <c r="D6" s="4135"/>
      <c r="E6" s="569">
        <f ca="1">OFFSET(Sector1!$G$8,0,(COLUMN()-5)/6)</f>
        <v>22.749400000000001</v>
      </c>
      <c r="F6" s="570"/>
      <c r="G6" s="570"/>
      <c r="H6" s="570"/>
      <c r="I6" s="571"/>
      <c r="J6" s="566"/>
      <c r="K6" s="569">
        <f ca="1">OFFSET(Sector1!$G$8,0,(COLUMN()-5)/6)</f>
        <v>23.991299999999999</v>
      </c>
      <c r="L6" s="570"/>
      <c r="M6" s="570"/>
      <c r="N6" s="570"/>
      <c r="O6" s="571"/>
      <c r="P6" s="566"/>
      <c r="Q6" s="569">
        <f ca="1">OFFSET(Sector1!$G$8,0,(COLUMN()-5)/6)</f>
        <v>25.373799999999999</v>
      </c>
      <c r="R6" s="570"/>
      <c r="S6" s="570"/>
      <c r="T6" s="570"/>
      <c r="U6" s="571"/>
      <c r="V6" s="566"/>
      <c r="W6" s="569">
        <f ca="1">OFFSET(Sector1!$G$8,0,(COLUMN()-5)/6)</f>
        <v>26.328599999999998</v>
      </c>
      <c r="X6" s="570"/>
      <c r="Y6" s="570"/>
      <c r="Z6" s="570"/>
      <c r="AA6" s="571"/>
      <c r="AB6" s="566"/>
      <c r="AC6" s="569">
        <f ca="1">OFFSET(Sector1!$G$8,0,(COLUMN()-5)/6)</f>
        <v>28.1768</v>
      </c>
      <c r="AD6" s="570"/>
      <c r="AE6" s="570"/>
      <c r="AF6" s="570"/>
      <c r="AG6" s="571"/>
      <c r="AH6" s="566"/>
      <c r="AI6" s="569">
        <f ca="1">OFFSET(Sector1!$G$8,0,(COLUMN()-5)/6)</f>
        <v>29.686599999999999</v>
      </c>
      <c r="AJ6" s="570"/>
      <c r="AK6" s="570"/>
      <c r="AL6" s="570"/>
      <c r="AM6" s="571"/>
      <c r="AN6" s="566"/>
      <c r="AO6" s="569">
        <f ca="1">OFFSET(Sector1!$G$8,0,(COLUMN()-5)/6)</f>
        <v>29.2758</v>
      </c>
      <c r="AP6" s="570"/>
      <c r="AQ6" s="570"/>
      <c r="AR6" s="570"/>
      <c r="AS6" s="571"/>
      <c r="AT6" s="566"/>
      <c r="AU6" s="569">
        <f ca="1">OFFSET(Sector1!$G$8,0,(COLUMN()-5)/6)</f>
        <v>30.504999999999999</v>
      </c>
      <c r="AV6" s="570"/>
      <c r="AW6" s="570"/>
      <c r="AX6" s="570"/>
      <c r="AY6" s="571"/>
      <c r="AZ6" s="566"/>
      <c r="BA6" s="569">
        <f ca="1">OFFSET(Sector1!$G$8,0,(COLUMN()-5)/6)</f>
        <v>31.297999999999998</v>
      </c>
      <c r="BB6" s="570"/>
      <c r="BC6" s="570"/>
      <c r="BD6" s="570"/>
      <c r="BE6" s="571"/>
      <c r="BF6" s="566"/>
      <c r="BG6" s="569">
        <f ca="1">OFFSET(Sector1!$G$8,0,(COLUMN()-5)/6)</f>
        <v>33.624699999999997</v>
      </c>
      <c r="BH6" s="570"/>
      <c r="BI6" s="570"/>
      <c r="BJ6" s="570"/>
      <c r="BK6" s="571"/>
      <c r="BL6" s="566"/>
      <c r="BM6" s="569">
        <f ca="1">OFFSET(Sector1!$G$8,0,(COLUMN()-5)/6)</f>
        <v>35.670300000000005</v>
      </c>
      <c r="BN6" s="570"/>
      <c r="BO6" s="570"/>
      <c r="BP6" s="570"/>
      <c r="BQ6" s="571"/>
      <c r="BR6" s="566"/>
      <c r="BS6" s="569">
        <f ca="1">OFFSET(Sector1!$G$8,0,(COLUMN()-5)/6)</f>
        <v>37.2408</v>
      </c>
      <c r="BT6" s="570"/>
      <c r="BU6" s="570"/>
      <c r="BV6" s="570"/>
      <c r="BW6" s="571"/>
      <c r="BX6" s="566"/>
      <c r="BY6" s="569">
        <f ca="1">OFFSET(Sector1!$G$8,0,(COLUMN()-5)/6)</f>
        <v>39.244399999999999</v>
      </c>
      <c r="BZ6" s="570"/>
      <c r="CA6" s="570"/>
      <c r="CB6" s="570"/>
      <c r="CC6" s="571"/>
      <c r="CD6" s="566"/>
      <c r="CE6" s="569">
        <f ca="1">OFFSET(Sector1!$G$8,0,(COLUMN()-5)/6)</f>
        <v>39.414199999999994</v>
      </c>
      <c r="CF6" s="570"/>
      <c r="CG6" s="570"/>
      <c r="CH6" s="570"/>
      <c r="CI6" s="571"/>
      <c r="CJ6" s="566"/>
      <c r="CK6" s="569">
        <f ca="1">OFFSET(Sector1!$G$8,0,(COLUMN()-5)/6)</f>
        <v>38.091900000000003</v>
      </c>
      <c r="CL6" s="570"/>
      <c r="CM6" s="570"/>
      <c r="CN6" s="570"/>
      <c r="CO6" s="571"/>
      <c r="CP6" s="566"/>
      <c r="CQ6" s="569">
        <f ca="1">OFFSET(Sector1!$G$8,0,(COLUMN()-5)/6)</f>
        <v>40.911499999999997</v>
      </c>
      <c r="CR6" s="570"/>
      <c r="CS6" s="570"/>
      <c r="CT6" s="570"/>
      <c r="CU6" s="571"/>
      <c r="CV6" s="566"/>
      <c r="CW6" s="569">
        <f ca="1">OFFSET(Sector1!$G$8,0,(COLUMN()-5)/6)</f>
        <v>41.971699999999998</v>
      </c>
      <c r="CX6" s="570"/>
      <c r="CY6" s="570"/>
      <c r="CZ6" s="570"/>
      <c r="DA6" s="571"/>
      <c r="DB6" s="566"/>
      <c r="DC6" s="569">
        <f ca="1">OFFSET(Sector1!$G$8,0,(COLUMN()-5)/6)</f>
        <v>42.977199999999996</v>
      </c>
      <c r="DD6" s="570"/>
      <c r="DE6" s="570"/>
      <c r="DF6" s="570"/>
      <c r="DG6" s="571"/>
      <c r="DH6" s="566"/>
      <c r="DI6" s="569">
        <f ca="1">OFFSET(Sector1!$G$8,0,(COLUMN()-5)/6)</f>
        <v>43.547599999999996</v>
      </c>
      <c r="DJ6" s="570"/>
      <c r="DK6" s="570"/>
      <c r="DL6" s="570"/>
      <c r="DM6" s="571"/>
      <c r="DN6" s="566"/>
      <c r="DO6" s="569">
        <f ca="1">OFFSET(Sector1!$G$8,0,(COLUMN()-5)/6)</f>
        <v>44.171500000000002</v>
      </c>
      <c r="DP6" s="570"/>
      <c r="DQ6" s="570"/>
      <c r="DR6" s="570"/>
      <c r="DS6" s="571"/>
      <c r="DT6" s="566"/>
      <c r="DU6" s="569">
        <f ca="1">OFFSET(Sector1!$G$8,0,(COLUMN()-5)/6)</f>
        <v>45.102699999999999</v>
      </c>
      <c r="DV6" s="570"/>
      <c r="DW6" s="570"/>
      <c r="DX6" s="570"/>
      <c r="DY6" s="571"/>
      <c r="DZ6" s="566"/>
      <c r="EA6" s="569">
        <f ca="1">OFFSET(Sector1!$G$8,0,(COLUMN()-5)/6)</f>
        <v>47.467699999999994</v>
      </c>
      <c r="EB6" s="570"/>
      <c r="EC6" s="570"/>
      <c r="ED6" s="570"/>
      <c r="EE6" s="571"/>
      <c r="EF6" s="566"/>
      <c r="EG6" s="569">
        <f ca="1">OFFSET(Sector1!$G$8,0,(COLUMN()-5)/6)</f>
        <v>49.843199999999996</v>
      </c>
      <c r="EH6" s="570"/>
      <c r="EI6" s="570"/>
      <c r="EJ6" s="570"/>
      <c r="EK6" s="571"/>
      <c r="EL6" s="566"/>
      <c r="EM6" s="569">
        <f ca="1">OFFSET(Sector1!$G$8,0,(COLUMN()-5)/6)</f>
        <v>51.238809599999996</v>
      </c>
      <c r="EN6" s="570"/>
      <c r="EO6" s="570"/>
      <c r="EP6" s="570"/>
      <c r="EQ6" s="571"/>
      <c r="ER6" s="566"/>
    </row>
    <row r="7" spans="1:148">
      <c r="A7" s="567"/>
      <c r="B7" s="568" t="s">
        <v>622</v>
      </c>
      <c r="C7" s="4136" t="s">
        <v>623</v>
      </c>
      <c r="D7" s="4135"/>
      <c r="E7" s="569">
        <f ca="1">OFFSET(Sector1!$G$132,0,(COLUMN()-5)/6)</f>
        <v>2.1591999999999998</v>
      </c>
      <c r="F7" s="570"/>
      <c r="G7" s="570"/>
      <c r="H7" s="570"/>
      <c r="I7" s="571"/>
      <c r="J7" s="566"/>
      <c r="K7" s="569">
        <f ca="1">OFFSET(Sector1!$G$132,0,(COLUMN()-5)/6)</f>
        <v>2.0954999999999999</v>
      </c>
      <c r="L7" s="570"/>
      <c r="M7" s="570"/>
      <c r="N7" s="570"/>
      <c r="O7" s="571"/>
      <c r="P7" s="566"/>
      <c r="Q7" s="569">
        <f ca="1">OFFSET(Sector1!$G$132,0,(COLUMN()-5)/6)</f>
        <v>1.9287000000000001</v>
      </c>
      <c r="R7" s="570"/>
      <c r="S7" s="570"/>
      <c r="T7" s="570"/>
      <c r="U7" s="571"/>
      <c r="V7" s="566"/>
      <c r="W7" s="569">
        <f ca="1">OFFSET(Sector1!$G$132,0,(COLUMN()-5)/6)</f>
        <v>1.9761</v>
      </c>
      <c r="X7" s="570"/>
      <c r="Y7" s="570"/>
      <c r="Z7" s="570"/>
      <c r="AA7" s="571"/>
      <c r="AB7" s="566"/>
      <c r="AC7" s="569">
        <f ca="1">OFFSET(Sector1!$G$132,0,(COLUMN()-5)/6)</f>
        <v>2.0933999999999999</v>
      </c>
      <c r="AD7" s="570"/>
      <c r="AE7" s="570"/>
      <c r="AF7" s="570"/>
      <c r="AG7" s="571"/>
      <c r="AH7" s="566"/>
      <c r="AI7" s="569">
        <f ca="1">OFFSET(Sector1!$G$132,0,(COLUMN()-5)/6)</f>
        <v>1.9535</v>
      </c>
      <c r="AJ7" s="570"/>
      <c r="AK7" s="570"/>
      <c r="AL7" s="570"/>
      <c r="AM7" s="571"/>
      <c r="AN7" s="566"/>
      <c r="AO7" s="569">
        <f ca="1">OFFSET(Sector1!$G$132,0,(COLUMN()-5)/6)</f>
        <v>2.0861000000000001</v>
      </c>
      <c r="AP7" s="570"/>
      <c r="AQ7" s="570"/>
      <c r="AR7" s="570"/>
      <c r="AS7" s="571"/>
      <c r="AT7" s="566"/>
      <c r="AU7" s="569">
        <f ca="1">OFFSET(Sector1!$G$132,0,(COLUMN()-5)/6)</f>
        <v>2.0305</v>
      </c>
      <c r="AV7" s="570"/>
      <c r="AW7" s="570"/>
      <c r="AX7" s="570"/>
      <c r="AY7" s="571"/>
      <c r="AZ7" s="566"/>
      <c r="BA7" s="569">
        <f ca="1">OFFSET(Sector1!$G$132,0,(COLUMN()-5)/6)</f>
        <v>2.4741999999999997</v>
      </c>
      <c r="BB7" s="570"/>
      <c r="BC7" s="570"/>
      <c r="BD7" s="570"/>
      <c r="BE7" s="571"/>
      <c r="BF7" s="566"/>
      <c r="BG7" s="569">
        <f ca="1">OFFSET(Sector1!$G$132,0,(COLUMN()-5)/6)</f>
        <v>1.9581</v>
      </c>
      <c r="BH7" s="570"/>
      <c r="BI7" s="570"/>
      <c r="BJ7" s="570"/>
      <c r="BK7" s="571"/>
      <c r="BL7" s="566"/>
      <c r="BM7" s="569">
        <f ca="1">OFFSET(Sector1!$G$132,0,(COLUMN()-5)/6)</f>
        <v>2.6843000000000004</v>
      </c>
      <c r="BN7" s="570"/>
      <c r="BO7" s="570"/>
      <c r="BP7" s="570"/>
      <c r="BQ7" s="571"/>
      <c r="BR7" s="566"/>
      <c r="BS7" s="569">
        <f ca="1">OFFSET(Sector1!$G$132,0,(COLUMN()-5)/6)</f>
        <v>2.4045000000000001</v>
      </c>
      <c r="BT7" s="570"/>
      <c r="BU7" s="570"/>
      <c r="BV7" s="570"/>
      <c r="BW7" s="571"/>
      <c r="BX7" s="566"/>
      <c r="BY7" s="569">
        <f ca="1">OFFSET(Sector1!$G$132,0,(COLUMN()-5)/6)</f>
        <v>2.4918</v>
      </c>
      <c r="BZ7" s="570"/>
      <c r="CA7" s="570"/>
      <c r="CB7" s="570"/>
      <c r="CC7" s="571"/>
      <c r="CD7" s="566"/>
      <c r="CE7" s="569">
        <f ca="1">OFFSET(Sector1!$G$132,0,(COLUMN()-5)/6)</f>
        <v>2.3571</v>
      </c>
      <c r="CF7" s="570"/>
      <c r="CG7" s="570"/>
      <c r="CH7" s="570"/>
      <c r="CI7" s="571"/>
      <c r="CJ7" s="566"/>
      <c r="CK7" s="569">
        <f ca="1">OFFSET(Sector1!$G$132,0,(COLUMN()-5)/6)</f>
        <v>1.9072</v>
      </c>
      <c r="CL7" s="570"/>
      <c r="CM7" s="570"/>
      <c r="CN7" s="570"/>
      <c r="CO7" s="571"/>
      <c r="CP7" s="566"/>
      <c r="CQ7" s="569">
        <f ca="1">OFFSET(Sector1!$G$132,0,(COLUMN()-5)/6)</f>
        <v>2.3447</v>
      </c>
      <c r="CR7" s="570"/>
      <c r="CS7" s="570"/>
      <c r="CT7" s="570"/>
      <c r="CU7" s="571"/>
      <c r="CV7" s="566"/>
      <c r="CW7" s="569">
        <f ca="1">OFFSET(Sector1!$G$132,0,(COLUMN()-5)/6)</f>
        <v>2.5096999999999996</v>
      </c>
      <c r="CX7" s="570"/>
      <c r="CY7" s="570"/>
      <c r="CZ7" s="570"/>
      <c r="DA7" s="571"/>
      <c r="DB7" s="566"/>
      <c r="DC7" s="569">
        <f ca="1">OFFSET(Sector1!$G$132,0,(COLUMN()-5)/6)</f>
        <v>2.1755</v>
      </c>
      <c r="DD7" s="570"/>
      <c r="DE7" s="570"/>
      <c r="DF7" s="570"/>
      <c r="DG7" s="571"/>
      <c r="DH7" s="566"/>
      <c r="DI7" s="569">
        <f ca="1">OFFSET(Sector1!$G$132,0,(COLUMN()-5)/6)</f>
        <v>2.0844</v>
      </c>
      <c r="DJ7" s="570"/>
      <c r="DK7" s="570"/>
      <c r="DL7" s="570"/>
      <c r="DM7" s="571"/>
      <c r="DN7" s="566"/>
      <c r="DO7" s="569">
        <f ca="1">OFFSET(Sector1!$G$132,0,(COLUMN()-5)/6)</f>
        <v>1.9342999999999999</v>
      </c>
      <c r="DP7" s="570"/>
      <c r="DQ7" s="570"/>
      <c r="DR7" s="570"/>
      <c r="DS7" s="571"/>
      <c r="DT7" s="566"/>
      <c r="DU7" s="569">
        <f ca="1">OFFSET(Sector1!$G$132,0,(COLUMN()-5)/6)</f>
        <v>2.1391</v>
      </c>
      <c r="DV7" s="570"/>
      <c r="DW7" s="570"/>
      <c r="DX7" s="570"/>
      <c r="DY7" s="571"/>
      <c r="DZ7" s="566"/>
      <c r="EA7" s="569">
        <f ca="1">OFFSET(Sector1!$G$132,0,(COLUMN()-5)/6)</f>
        <v>2.0548999999999999</v>
      </c>
      <c r="EB7" s="570"/>
      <c r="EC7" s="570"/>
      <c r="ED7" s="570"/>
      <c r="EE7" s="571"/>
      <c r="EF7" s="566"/>
      <c r="EG7" s="569">
        <f ca="1">OFFSET(Sector1!$G$132,0,(COLUMN()-5)/6)</f>
        <v>2.105</v>
      </c>
      <c r="EH7" s="570"/>
      <c r="EI7" s="570"/>
      <c r="EJ7" s="570"/>
      <c r="EK7" s="571"/>
      <c r="EL7" s="566"/>
      <c r="EM7" s="569">
        <f ca="1">OFFSET(Sector1!$G$132,0,(COLUMN()-5)/6)</f>
        <v>2.0824764999999998</v>
      </c>
      <c r="EN7" s="570"/>
      <c r="EO7" s="570"/>
      <c r="EP7" s="570"/>
      <c r="EQ7" s="571"/>
      <c r="ER7" s="566"/>
    </row>
    <row r="8" spans="1:148" s="577" customFormat="1">
      <c r="A8" s="572"/>
      <c r="B8" s="573" t="s">
        <v>624</v>
      </c>
      <c r="C8" s="4151" t="s">
        <v>1684</v>
      </c>
      <c r="D8" s="4151"/>
      <c r="E8" s="574">
        <f ca="1">+E5-E6+E7</f>
        <v>190.70059999999998</v>
      </c>
      <c r="F8" s="574">
        <f ca="1">OFFSET(Sector1!$G$164,0,(COLUMN()-6)/6)</f>
        <v>37.820399999999999</v>
      </c>
      <c r="G8" s="574">
        <f ca="1">OFFSET(Sector1!$G$169,0,(COLUMN()-7)/6)</f>
        <v>124.20959999999999</v>
      </c>
      <c r="H8" s="574">
        <f ca="1">OFFSET(Sector1!$G$174,0,(COLUMN()-8)/6)</f>
        <v>28.8813</v>
      </c>
      <c r="I8" s="575"/>
      <c r="J8" s="576">
        <f ca="1">+E8-F8-G8-H8</f>
        <v>-0.21070000000002054</v>
      </c>
      <c r="K8" s="574">
        <f ca="1">+K5-K6+K7</f>
        <v>194.04659999999998</v>
      </c>
      <c r="L8" s="574">
        <f ca="1">OFFSET(Sector1!$G$164,0,(COLUMN()-6)/6)</f>
        <v>38.635199999999998</v>
      </c>
      <c r="M8" s="574">
        <f ca="1">OFFSET(Sector1!$G$169,0,(COLUMN()-7)/6)</f>
        <v>125.80589999999999</v>
      </c>
      <c r="N8" s="574">
        <f ca="1">OFFSET(Sector1!$G$174,0,(COLUMN()-8)/6)</f>
        <v>29.605499999999999</v>
      </c>
      <c r="O8" s="575"/>
      <c r="P8" s="576">
        <f ca="1">+K8-L8-M8-N8</f>
        <v>0</v>
      </c>
      <c r="Q8" s="574">
        <f ca="1">+Q5-Q6+Q7</f>
        <v>202.52360000000002</v>
      </c>
      <c r="R8" s="574">
        <f ca="1">OFFSET(Sector1!$G$164,0,(COLUMN()-6)/6)</f>
        <v>40.049599999999998</v>
      </c>
      <c r="S8" s="574">
        <f ca="1">OFFSET(Sector1!$G$169,0,(COLUMN()-7)/6)</f>
        <v>131.94170000000003</v>
      </c>
      <c r="T8" s="574">
        <f ca="1">OFFSET(Sector1!$G$174,0,(COLUMN()-8)/6)</f>
        <v>30.532299999999999</v>
      </c>
      <c r="U8" s="575"/>
      <c r="V8" s="576">
        <f ca="1">+Q8-R8-S8-T8</f>
        <v>0</v>
      </c>
      <c r="W8" s="574">
        <f ca="1">+W5-W6+W7</f>
        <v>210.1371</v>
      </c>
      <c r="X8" s="574">
        <f ca="1">OFFSET(Sector1!$G$164,0,(COLUMN()-6)/6)</f>
        <v>41.169599999999996</v>
      </c>
      <c r="Y8" s="574">
        <f ca="1">OFFSET(Sector1!$G$169,0,(COLUMN()-7)/6)</f>
        <v>137.5197</v>
      </c>
      <c r="Z8" s="574">
        <f ca="1">OFFSET(Sector1!$G$174,0,(COLUMN()-8)/6)</f>
        <v>31.447800000000001</v>
      </c>
      <c r="AA8" s="575"/>
      <c r="AB8" s="576">
        <f ca="1">+W8-X8-Y8-Z8</f>
        <v>0</v>
      </c>
      <c r="AC8" s="574">
        <f ca="1">+AC5-AC6+AC7</f>
        <v>218.14259999999999</v>
      </c>
      <c r="AD8" s="574">
        <f ca="1">OFFSET(Sector1!$G$164,0,(COLUMN()-6)/6)</f>
        <v>42.067300000000003</v>
      </c>
      <c r="AE8" s="574">
        <f ca="1">OFFSET(Sector1!$G$169,0,(COLUMN()-7)/6)</f>
        <v>143.27079999999998</v>
      </c>
      <c r="AF8" s="574">
        <f ca="1">OFFSET(Sector1!$G$174,0,(COLUMN()-8)/6)</f>
        <v>32.804499999999997</v>
      </c>
      <c r="AG8" s="575"/>
      <c r="AH8" s="576">
        <f ca="1">+AC8-AD8-AE8-AF8</f>
        <v>0</v>
      </c>
      <c r="AI8" s="574">
        <f ca="1">+AI5-AI6+AI7</f>
        <v>230.48889999999997</v>
      </c>
      <c r="AJ8" s="574">
        <f ca="1">OFFSET(Sector1!$G$164,0,(COLUMN()-6)/6)</f>
        <v>44.012900000000002</v>
      </c>
      <c r="AK8" s="574">
        <f ca="1">OFFSET(Sector1!$G$169,0,(COLUMN()-7)/6)</f>
        <v>152.41800000000001</v>
      </c>
      <c r="AL8" s="574">
        <f ca="1">OFFSET(Sector1!$G$174,0,(COLUMN()-8)/6)</f>
        <v>34.058</v>
      </c>
      <c r="AM8" s="575"/>
      <c r="AN8" s="576">
        <f ca="1">+AI8-AJ8-AK8-AL8</f>
        <v>0</v>
      </c>
      <c r="AO8" s="574">
        <f ca="1">+AO5-AO6+AO7</f>
        <v>238.59870000000001</v>
      </c>
      <c r="AP8" s="574">
        <f ca="1">OFFSET(Sector1!$G$164,0,(COLUMN()-6)/6)</f>
        <v>45.221199999999996</v>
      </c>
      <c r="AQ8" s="574">
        <f ca="1">OFFSET(Sector1!$G$169,0,(COLUMN()-7)/6)</f>
        <v>157.89570000000001</v>
      </c>
      <c r="AR8" s="574">
        <f ca="1">OFFSET(Sector1!$G$174,0,(COLUMN()-8)/6)</f>
        <v>35.4818</v>
      </c>
      <c r="AS8" s="575"/>
      <c r="AT8" s="576">
        <f ca="1">+AO8-AP8-AQ8-AR8</f>
        <v>0</v>
      </c>
      <c r="AU8" s="574">
        <f ca="1">+AU5-AU6+AU7</f>
        <v>246.59059999999997</v>
      </c>
      <c r="AV8" s="574">
        <f ca="1">OFFSET(Sector1!$G$164,0,(COLUMN()-6)/6)</f>
        <v>45.085900000000002</v>
      </c>
      <c r="AW8" s="574">
        <f ca="1">OFFSET(Sector1!$G$169,0,(COLUMN()-7)/6)</f>
        <v>163.6788</v>
      </c>
      <c r="AX8" s="574">
        <f ca="1">OFFSET(Sector1!$G$174,0,(COLUMN()-8)/6)</f>
        <v>37.825900000000004</v>
      </c>
      <c r="AY8" s="575"/>
      <c r="AZ8" s="576">
        <f ca="1">+AU8-AV8-AW8-AX8</f>
        <v>0</v>
      </c>
      <c r="BA8" s="574">
        <f ca="1">+BA5-BA6+BA7</f>
        <v>253.81270000000001</v>
      </c>
      <c r="BB8" s="574">
        <f ca="1">OFFSET(Sector1!$G$164,0,(COLUMN()-6)/6)</f>
        <v>45.953099999999999</v>
      </c>
      <c r="BC8" s="574">
        <f ca="1">OFFSET(Sector1!$G$169,0,(COLUMN()-7)/6)</f>
        <v>168.5035</v>
      </c>
      <c r="BD8" s="574">
        <f ca="1">OFFSET(Sector1!$G$174,0,(COLUMN()-8)/6)</f>
        <v>39.356099999999998</v>
      </c>
      <c r="BE8" s="575"/>
      <c r="BF8" s="576">
        <f ca="1">+BA8-BB8-BC8-BD8</f>
        <v>0</v>
      </c>
      <c r="BG8" s="574">
        <f ca="1">+BG5-BG6+BG7</f>
        <v>267.04419999999999</v>
      </c>
      <c r="BH8" s="2934">
        <f ca="1">OFFSET(Sector1!$G$164,0,(COLUMN()-6)/6)</f>
        <v>46.753099999999996</v>
      </c>
      <c r="BI8" s="574">
        <f ca="1">OFFSET(Sector1!$G$169,0,(COLUMN()-7)/6)</f>
        <v>179.851</v>
      </c>
      <c r="BJ8" s="574">
        <f ca="1">OFFSET(Sector1!$G$174,0,(COLUMN()-8)/6)</f>
        <v>40.440100000000001</v>
      </c>
      <c r="BK8" s="575"/>
      <c r="BL8" s="576">
        <f ca="1">+BG8-BH8-BI8-BJ8</f>
        <v>0</v>
      </c>
      <c r="BM8" s="2934">
        <f ca="1">+BM5-BM6+BM7</f>
        <v>278.4948</v>
      </c>
      <c r="BN8" s="2934">
        <f ca="1">OFFSET(Sector1!$G$164,0,(COLUMN()-6)/6)</f>
        <v>48.416899999999998</v>
      </c>
      <c r="BO8" s="2934">
        <f ca="1">OFFSET(Sector1!$G$169,0,(COLUMN()-7)/6)</f>
        <v>187.38939999999999</v>
      </c>
      <c r="BP8" s="574">
        <f ca="1">OFFSET(Sector1!$G$174,0,(COLUMN()-8)/6)</f>
        <v>42.688499999999998</v>
      </c>
      <c r="BQ8" s="575"/>
      <c r="BR8" s="576">
        <f ca="1">+BM8-BN8-BO8-BP8</f>
        <v>0</v>
      </c>
      <c r="BS8" s="574">
        <f ca="1">+BS5-BS6+BS7</f>
        <v>291.82579999999996</v>
      </c>
      <c r="BT8" s="574">
        <f ca="1">OFFSET(Sector1!$G$164,0,(COLUMN()-6)/6)</f>
        <v>50.771599999999999</v>
      </c>
      <c r="BU8" s="574">
        <f ca="1">OFFSET(Sector1!$G$169,0,(COLUMN()-7)/6)</f>
        <v>196.27670000000001</v>
      </c>
      <c r="BV8" s="574">
        <f ca="1">OFFSET(Sector1!$G$174,0,(COLUMN()-8)/6)</f>
        <v>44.777500000000003</v>
      </c>
      <c r="BW8" s="575"/>
      <c r="BX8" s="576">
        <f ca="1">+BS8-BT8-BU8-BV8</f>
        <v>-5.6843418860808015E-14</v>
      </c>
      <c r="BY8" s="574">
        <f ca="1">+BY5-BY6+BY7</f>
        <v>307.9599</v>
      </c>
      <c r="BZ8" s="574">
        <f ca="1">OFFSET(Sector1!$G$164,0,(COLUMN()-6)/6)</f>
        <v>52.870899999999999</v>
      </c>
      <c r="CA8" s="574">
        <f ca="1">OFFSET(Sector1!$G$169,0,(COLUMN()-7)/6)</f>
        <v>208.3862</v>
      </c>
      <c r="CB8" s="574">
        <f ca="1">OFFSET(Sector1!$G$174,0,(COLUMN()-8)/6)</f>
        <v>46.702800000000003</v>
      </c>
      <c r="CC8" s="575"/>
      <c r="CD8" s="576">
        <f ca="1">+BY8-BZ8-CA8-CB8</f>
        <v>0</v>
      </c>
      <c r="CE8" s="574">
        <f ca="1">+CE5-CE6+CE7</f>
        <v>317.00880000000001</v>
      </c>
      <c r="CF8" s="574">
        <f ca="1">OFFSET(Sector1!$G$164,0,(COLUMN()-6)/6)</f>
        <v>54.1952</v>
      </c>
      <c r="CG8" s="574">
        <f ca="1">OFFSET(Sector1!$G$169,0,(COLUMN()-7)/6)</f>
        <v>213.5257</v>
      </c>
      <c r="CH8" s="574">
        <f ca="1">OFFSET(Sector1!$G$174,0,(COLUMN()-8)/6)</f>
        <v>49.2879</v>
      </c>
      <c r="CI8" s="575"/>
      <c r="CJ8" s="576">
        <f ca="1">+CE8-CF8-CG8-CH8</f>
        <v>0</v>
      </c>
      <c r="CK8" s="574">
        <f ca="1">+CK5-CK6+CK7</f>
        <v>312.59639999999996</v>
      </c>
      <c r="CL8" s="574">
        <f ca="1">OFFSET(Sector1!$G$164,0,(COLUMN()-6)/6)</f>
        <v>52.766599999999997</v>
      </c>
      <c r="CM8" s="574">
        <f ca="1">OFFSET(Sector1!$G$169,0,(COLUMN()-7)/6)</f>
        <v>208.8938</v>
      </c>
      <c r="CN8" s="574">
        <f ca="1">OFFSET(Sector1!$G$174,0,(COLUMN()-8)/6)</f>
        <v>50.936</v>
      </c>
      <c r="CO8" s="575"/>
      <c r="CP8" s="576">
        <f ca="1">+CK8-CL8-CM8-CN8</f>
        <v>0</v>
      </c>
      <c r="CQ8" s="574">
        <f ca="1">+CQ5-CQ6+CQ7</f>
        <v>326.53370000000001</v>
      </c>
      <c r="CR8" s="574">
        <f ca="1">OFFSET(Sector1!$G$164,0,(COLUMN()-6)/6)</f>
        <v>53.544499999999999</v>
      </c>
      <c r="CS8" s="574">
        <f ca="1">OFFSET(Sector1!$G$169,0,(COLUMN()-7)/6)</f>
        <v>220.5377</v>
      </c>
      <c r="CT8" s="574">
        <f ca="1">OFFSET(Sector1!$G$174,0,(COLUMN()-8)/6)</f>
        <v>52.451500000000003</v>
      </c>
      <c r="CU8" s="575"/>
      <c r="CV8" s="576">
        <f ca="1">+CQ8-CR8-CS8-CT8</f>
        <v>0</v>
      </c>
      <c r="CW8" s="574">
        <f ca="1">+CW5-CW6+CW7</f>
        <v>339.64429999999999</v>
      </c>
      <c r="CX8" s="574">
        <f ca="1">OFFSET(Sector1!$G$164,0,(COLUMN()-6)/6)</f>
        <v>54.780999999999999</v>
      </c>
      <c r="CY8" s="574">
        <f ca="1">OFFSET(Sector1!$G$169,0,(COLUMN()-7)/6)</f>
        <v>230.0515</v>
      </c>
      <c r="CZ8" s="574">
        <f ca="1">OFFSET(Sector1!$G$174,0,(COLUMN()-8)/6)</f>
        <v>54.811800000000005</v>
      </c>
      <c r="DA8" s="575"/>
      <c r="DB8" s="576">
        <f ca="1">+CW8-CX8-CY8-CZ8</f>
        <v>0</v>
      </c>
      <c r="DC8" s="574">
        <f ca="1">+DC5-DC6+DC7</f>
        <v>346.69839999999999</v>
      </c>
      <c r="DD8" s="574">
        <f ca="1">OFFSET(Sector1!$G$164,0,(COLUMN()-6)/6)</f>
        <v>55.514699999999998</v>
      </c>
      <c r="DE8" s="574">
        <f ca="1">OFFSET(Sector1!$G$169,0,(COLUMN()-7)/6)</f>
        <v>234.21439999999998</v>
      </c>
      <c r="DF8" s="574">
        <f ca="1">OFFSET(Sector1!$G$174,0,(COLUMN()-8)/6)</f>
        <v>56.969300000000004</v>
      </c>
      <c r="DG8" s="575"/>
      <c r="DH8" s="576">
        <f ca="1">+DC8-DD8-DE8-DF8</f>
        <v>0</v>
      </c>
      <c r="DI8" s="574">
        <f ca="1">+DI5-DI6+DI7</f>
        <v>350.8766</v>
      </c>
      <c r="DJ8" s="574">
        <f ca="1">OFFSET(Sector1!$G$164,0,(COLUMN()-6)/6)</f>
        <v>55.575499999999998</v>
      </c>
      <c r="DK8" s="574">
        <f ca="1">OFFSET(Sector1!$G$169,0,(COLUMN()-7)/6)</f>
        <v>236.7003</v>
      </c>
      <c r="DL8" s="574">
        <f ca="1">OFFSET(Sector1!$G$174,0,(COLUMN()-8)/6)</f>
        <v>58.6008</v>
      </c>
      <c r="DM8" s="575"/>
      <c r="DN8" s="576">
        <f ca="1">+DI8-DJ8-DK8-DL8</f>
        <v>0</v>
      </c>
      <c r="DO8" s="574">
        <f ca="1">+DO5-DO6+DO7</f>
        <v>358.05100000000004</v>
      </c>
      <c r="DP8" s="574">
        <f ca="1">OFFSET(Sector1!$G$164,0,(COLUMN()-6)/6)</f>
        <v>57.191600000000001</v>
      </c>
      <c r="DQ8" s="574">
        <f ca="1">OFFSET(Sector1!$G$169,0,(COLUMN()-7)/6)</f>
        <v>241.48009999999999</v>
      </c>
      <c r="DR8" s="574">
        <f ca="1">OFFSET(Sector1!$G$174,0,(COLUMN()-8)/6)</f>
        <v>59.364699999999999</v>
      </c>
      <c r="DS8" s="575"/>
      <c r="DT8" s="576">
        <f ca="1">+DO8-DP8-DQ8-DR8</f>
        <v>1.4600000000058344E-2</v>
      </c>
      <c r="DU8" s="574">
        <f ca="1">+DU5-DU6+DU7</f>
        <v>367.47159999999997</v>
      </c>
      <c r="DV8" s="574">
        <f ca="1">OFFSET(Sector1!$G$164,0,(COLUMN()-6)/6)</f>
        <v>57.816300000000005</v>
      </c>
      <c r="DW8" s="574">
        <f ca="1">OFFSET(Sector1!$G$169,0,(COLUMN()-7)/6)</f>
        <v>249.8425</v>
      </c>
      <c r="DX8" s="574">
        <f ca="1">OFFSET(Sector1!$G$174,0,(COLUMN()-8)/6)</f>
        <v>59.728099999999998</v>
      </c>
      <c r="DY8" s="575"/>
      <c r="DZ8" s="576">
        <f ca="1">+DU8-DV8-DW8-DX8</f>
        <v>8.4699999999955367E-2</v>
      </c>
      <c r="EA8" s="574">
        <f ca="1">+EA5-EA6+EA7</f>
        <v>377.63560000000001</v>
      </c>
      <c r="EB8" s="574">
        <f ca="1">OFFSET(Sector1!$G$164,0,(COLUMN()-6)/6)</f>
        <v>58.594300000000004</v>
      </c>
      <c r="EC8" s="574">
        <f ca="1">OFFSET(Sector1!$G$169,0,(COLUMN()-7)/6)</f>
        <v>257.62099999999998</v>
      </c>
      <c r="ED8" s="574">
        <f ca="1">OFFSET(Sector1!$G$174,0,(COLUMN()-8)/6)</f>
        <v>61.076300000000003</v>
      </c>
      <c r="EE8" s="575"/>
      <c r="EF8" s="576">
        <f ca="1">+EA8-EB8-EC8-ED8</f>
        <v>0.34399999999999409</v>
      </c>
      <c r="EG8" s="574">
        <f ca="1">+EG5-EG6+EG7</f>
        <v>390.74639999999999</v>
      </c>
      <c r="EH8" s="574">
        <f ca="1">OFFSET(Sector1!$G$164,0,(COLUMN()-6)/6)</f>
        <v>59.699635000000008</v>
      </c>
      <c r="EI8" s="574">
        <f ca="1">OFFSET(Sector1!$G$169,0,(COLUMN()-7)/6)</f>
        <v>268.26206499999995</v>
      </c>
      <c r="EJ8" s="574">
        <f ca="1">OFFSET(Sector1!$G$174,0,(COLUMN()-8)/6)</f>
        <v>62.784599999999998</v>
      </c>
      <c r="EK8" s="575"/>
      <c r="EL8" s="576">
        <f ca="1">+EG8-EH8-EI8-EJ8</f>
        <v>1.0000000004595222E-4</v>
      </c>
      <c r="EM8" s="574">
        <f ca="1">+EM5-EM6+EM7</f>
        <v>404.21663894218989</v>
      </c>
      <c r="EN8" s="574">
        <f ca="1">OFFSET(Sector1!$G$164,0,(COLUMN()-6)/6)</f>
        <v>60.908073311200006</v>
      </c>
      <c r="EO8" s="574">
        <f ca="1">OFFSET(Sector1!$G$169,0,(COLUMN()-7)/6)</f>
        <v>279.56150323352051</v>
      </c>
      <c r="EP8" s="574">
        <f ca="1">OFFSET(Sector1!$G$174,0,(COLUMN()-8)/6)</f>
        <v>63.747062397469413</v>
      </c>
      <c r="EQ8" s="575"/>
      <c r="ER8" s="576">
        <f ca="1">+EM8-EN8-EO8-EP8</f>
        <v>0</v>
      </c>
    </row>
    <row r="9" spans="1:148">
      <c r="A9" s="567"/>
      <c r="B9" s="568" t="s">
        <v>2133</v>
      </c>
      <c r="C9" s="4136" t="s">
        <v>1685</v>
      </c>
      <c r="D9" s="4136"/>
      <c r="E9" s="569">
        <f ca="1">+F9+G9+H9</f>
        <v>3.9298999999999999</v>
      </c>
      <c r="F9" s="578">
        <f ca="1">OFFSET(Sector1!$G$18,0,(COLUMN()-6)/6)</f>
        <v>1.6944000000000001</v>
      </c>
      <c r="G9" s="579">
        <f ca="1">OFFSET(Sector1!$G$24,0,(COLUMN()-7)/6)</f>
        <v>2.2355</v>
      </c>
      <c r="H9" s="579">
        <f ca="1">OFFSET(Sector1!$G$30,0,(COLUMN()-7)/6)</f>
        <v>0</v>
      </c>
      <c r="I9" s="578"/>
      <c r="J9" s="580"/>
      <c r="K9" s="569">
        <f ca="1">+L9+M9+N9</f>
        <v>4.1888000000000005</v>
      </c>
      <c r="L9" s="578">
        <f ca="1">OFFSET(Sector1!$G$18,0,(COLUMN()-6)/6)</f>
        <v>1.8532999999999999</v>
      </c>
      <c r="M9" s="579">
        <f ca="1">OFFSET(Sector1!$G$24,0,(COLUMN()-7)/6)</f>
        <v>2.3355000000000001</v>
      </c>
      <c r="N9" s="579">
        <f ca="1">OFFSET(Sector1!$G$30,0,(COLUMN()-7)/6)</f>
        <v>0</v>
      </c>
      <c r="O9" s="578"/>
      <c r="P9" s="580"/>
      <c r="Q9" s="569">
        <f ca="1">+R9+S9+T9</f>
        <v>4.5822000000000003</v>
      </c>
      <c r="R9" s="578">
        <f ca="1">OFFSET(Sector1!$G$18,0,(COLUMN()-6)/6)</f>
        <v>1.9424999999999999</v>
      </c>
      <c r="S9" s="579">
        <f ca="1">OFFSET(Sector1!$G$24,0,(COLUMN()-7)/6)</f>
        <v>2.6396999999999999</v>
      </c>
      <c r="T9" s="579">
        <f ca="1">OFFSET(Sector1!$G$30,0,(COLUMN()-7)/6)</f>
        <v>0</v>
      </c>
      <c r="U9" s="578"/>
      <c r="V9" s="580"/>
      <c r="W9" s="569">
        <f ca="1">+X9+Y9+Z9</f>
        <v>4.6616</v>
      </c>
      <c r="X9" s="578">
        <f ca="1">OFFSET(Sector1!$G$18,0,(COLUMN()-6)/6)</f>
        <v>2.0045999999999999</v>
      </c>
      <c r="Y9" s="579">
        <f ca="1">OFFSET(Sector1!$G$24,0,(COLUMN()-7)/6)</f>
        <v>2.657</v>
      </c>
      <c r="Z9" s="579">
        <f ca="1">OFFSET(Sector1!$G$30,0,(COLUMN()-7)/6)</f>
        <v>0</v>
      </c>
      <c r="AA9" s="578"/>
      <c r="AB9" s="580"/>
      <c r="AC9" s="569">
        <f ca="1">+AD9+AE9+AF9</f>
        <v>4.8860999999999999</v>
      </c>
      <c r="AD9" s="578">
        <f ca="1">OFFSET(Sector1!$G$18,0,(COLUMN()-6)/6)</f>
        <v>2.0284</v>
      </c>
      <c r="AE9" s="579">
        <f ca="1">OFFSET(Sector1!$G$24,0,(COLUMN()-7)/6)</f>
        <v>2.8576999999999999</v>
      </c>
      <c r="AF9" s="579">
        <f ca="1">OFFSET(Sector1!$G$30,0,(COLUMN()-7)/6)</f>
        <v>0</v>
      </c>
      <c r="AG9" s="578"/>
      <c r="AH9" s="580"/>
      <c r="AI9" s="569">
        <f ca="1">+AJ9+AK9+AL9</f>
        <v>4.8666999999999998</v>
      </c>
      <c r="AJ9" s="578">
        <f ca="1">OFFSET(Sector1!$G$18,0,(COLUMN()-6)/6)</f>
        <v>2.0448</v>
      </c>
      <c r="AK9" s="579">
        <f ca="1">OFFSET(Sector1!$G$24,0,(COLUMN()-7)/6)</f>
        <v>2.8219000000000003</v>
      </c>
      <c r="AL9" s="579">
        <f ca="1">OFFSET(Sector1!$G$30,0,(COLUMN()-7)/6)</f>
        <v>0</v>
      </c>
      <c r="AM9" s="578"/>
      <c r="AN9" s="580"/>
      <c r="AO9" s="569">
        <f ca="1">+AP9+AQ9+AR9</f>
        <v>5.0403000000000002</v>
      </c>
      <c r="AP9" s="578">
        <f ca="1">OFFSET(Sector1!$G$18,0,(COLUMN()-6)/6)</f>
        <v>2.1511999999999998</v>
      </c>
      <c r="AQ9" s="579">
        <f ca="1">OFFSET(Sector1!$G$24,0,(COLUMN()-7)/6)</f>
        <v>2.8891</v>
      </c>
      <c r="AR9" s="579">
        <f ca="1">OFFSET(Sector1!$G$30,0,(COLUMN()-7)/6)</f>
        <v>0</v>
      </c>
      <c r="AS9" s="578"/>
      <c r="AT9" s="580"/>
      <c r="AU9" s="569">
        <f ca="1">+AV9+AW9+AX9</f>
        <v>5.0883000000000003</v>
      </c>
      <c r="AV9" s="578">
        <f ca="1">OFFSET(Sector1!$G$18,0,(COLUMN()-6)/6)</f>
        <v>2.3986000000000001</v>
      </c>
      <c r="AW9" s="579">
        <f ca="1">OFFSET(Sector1!$G$24,0,(COLUMN()-7)/6)</f>
        <v>2.6896999999999998</v>
      </c>
      <c r="AX9" s="579">
        <f ca="1">OFFSET(Sector1!$G$30,0,(COLUMN()-7)/6)</f>
        <v>0</v>
      </c>
      <c r="AY9" s="578"/>
      <c r="AZ9" s="580"/>
      <c r="BA9" s="569">
        <f ca="1">+BB9+BC9+BD9</f>
        <v>5.4450000000000003</v>
      </c>
      <c r="BB9" s="578">
        <f ca="1">OFFSET(Sector1!$G$18,0,(COLUMN()-6)/6)</f>
        <v>2.5554000000000001</v>
      </c>
      <c r="BC9" s="579">
        <f ca="1">OFFSET(Sector1!$G$24,0,(COLUMN()-7)/6)</f>
        <v>2.8895999999999997</v>
      </c>
      <c r="BD9" s="579">
        <f ca="1">OFFSET(Sector1!$G$30,0,(COLUMN()-7)/6)</f>
        <v>0</v>
      </c>
      <c r="BE9" s="578"/>
      <c r="BF9" s="580"/>
      <c r="BG9" s="569">
        <f ca="1">+BH9+BI9+BJ9</f>
        <v>5.5854999999999997</v>
      </c>
      <c r="BH9" s="578">
        <f ca="1">OFFSET(Sector1!$G$18,0,(COLUMN()-6)/6)</f>
        <v>2.6075999999999997</v>
      </c>
      <c r="BI9" s="579">
        <f ca="1">OFFSET(Sector1!$G$24,0,(COLUMN()-7)/6)</f>
        <v>2.9779</v>
      </c>
      <c r="BJ9" s="579">
        <f ca="1">OFFSET(Sector1!$G$30,0,(COLUMN()-7)/6)</f>
        <v>0</v>
      </c>
      <c r="BK9" s="578"/>
      <c r="BL9" s="580"/>
      <c r="BM9" s="569">
        <f ca="1">+BN9+BO9+BP9</f>
        <v>5.5546000000000006</v>
      </c>
      <c r="BN9" s="578">
        <f ca="1">OFFSET(Sector1!$G$18,0,(COLUMN()-6)/6)</f>
        <v>2.6431</v>
      </c>
      <c r="BO9" s="579">
        <f ca="1">OFFSET(Sector1!$G$24,0,(COLUMN()-7)/6)</f>
        <v>2.9115000000000002</v>
      </c>
      <c r="BP9" s="579">
        <f ca="1">OFFSET(Sector1!$G$30,0,(COLUMN()-7)/6)</f>
        <v>0</v>
      </c>
      <c r="BQ9" s="578"/>
      <c r="BR9" s="580"/>
      <c r="BS9" s="569">
        <f ca="1">+BT9+BU9+BV9</f>
        <v>5.8696000000000002</v>
      </c>
      <c r="BT9" s="578">
        <f ca="1">OFFSET(Sector1!$G$18,0,(COLUMN()-6)/6)</f>
        <v>2.7179000000000002</v>
      </c>
      <c r="BU9" s="579">
        <f ca="1">OFFSET(Sector1!$G$24,0,(COLUMN()-7)/6)</f>
        <v>3.1516999999999999</v>
      </c>
      <c r="BV9" s="579">
        <f ca="1">OFFSET(Sector1!$G$30,0,(COLUMN()-7)/6)</f>
        <v>0</v>
      </c>
      <c r="BW9" s="578"/>
      <c r="BX9" s="580"/>
      <c r="BY9" s="569">
        <f ca="1">+BZ9+CA9+CB9</f>
        <v>5.9554</v>
      </c>
      <c r="BZ9" s="578">
        <f ca="1">OFFSET(Sector1!$G$18,0,(COLUMN()-6)/6)</f>
        <v>2.8163</v>
      </c>
      <c r="CA9" s="579">
        <f ca="1">OFFSET(Sector1!$G$24,0,(COLUMN()-7)/6)</f>
        <v>3.1391</v>
      </c>
      <c r="CB9" s="579">
        <f ca="1">OFFSET(Sector1!$G$30,0,(COLUMN()-7)/6)</f>
        <v>0</v>
      </c>
      <c r="CC9" s="578"/>
      <c r="CD9" s="580"/>
      <c r="CE9" s="569">
        <f ca="1">+CF9+CG9+CH9</f>
        <v>6.4557000000000002</v>
      </c>
      <c r="CF9" s="578">
        <f ca="1">OFFSET(Sector1!$G$18,0,(COLUMN()-6)/6)</f>
        <v>2.9158000000000004</v>
      </c>
      <c r="CG9" s="579">
        <f ca="1">OFFSET(Sector1!$G$24,0,(COLUMN()-7)/6)</f>
        <v>3.5399000000000003</v>
      </c>
      <c r="CH9" s="579">
        <f ca="1">OFFSET(Sector1!$G$30,0,(COLUMN()-7)/6)</f>
        <v>0</v>
      </c>
      <c r="CI9" s="578"/>
      <c r="CJ9" s="580"/>
      <c r="CK9" s="569">
        <f ca="1">+CL9+CM9+CN9</f>
        <v>6.6429</v>
      </c>
      <c r="CL9" s="578">
        <f ca="1">OFFSET(Sector1!$G$18,0,(COLUMN()-6)/6)</f>
        <v>3.0270000000000001</v>
      </c>
      <c r="CM9" s="579">
        <f ca="1">OFFSET(Sector1!$G$24,0,(COLUMN()-7)/6)</f>
        <v>3.6158999999999999</v>
      </c>
      <c r="CN9" s="579">
        <f ca="1">OFFSET(Sector1!$G$30,0,(COLUMN()-7)/6)</f>
        <v>0</v>
      </c>
      <c r="CO9" s="578"/>
      <c r="CP9" s="580"/>
      <c r="CQ9" s="569">
        <f ca="1">+CR9+CS9+CT9</f>
        <v>7.0156000000000009</v>
      </c>
      <c r="CR9" s="578">
        <f ca="1">OFFSET(Sector1!$G$18,0,(COLUMN()-6)/6)</f>
        <v>3.1693000000000002</v>
      </c>
      <c r="CS9" s="579">
        <f ca="1">OFFSET(Sector1!$G$24,0,(COLUMN()-7)/6)</f>
        <v>3.8463000000000003</v>
      </c>
      <c r="CT9" s="579">
        <f ca="1">OFFSET(Sector1!$G$30,0,(COLUMN()-7)/6)</f>
        <v>0</v>
      </c>
      <c r="CU9" s="578"/>
      <c r="CV9" s="580"/>
      <c r="CW9" s="569">
        <f ca="1">+CX9+CY9+CZ9</f>
        <v>7.5519999999999996</v>
      </c>
      <c r="CX9" s="578">
        <f ca="1">OFFSET(Sector1!$G$18,0,(COLUMN()-6)/6)</f>
        <v>3.3418000000000001</v>
      </c>
      <c r="CY9" s="579">
        <f ca="1">OFFSET(Sector1!$G$24,0,(COLUMN()-7)/6)</f>
        <v>4.2101999999999995</v>
      </c>
      <c r="CZ9" s="579">
        <f ca="1">OFFSET(Sector1!$G$30,0,(COLUMN()-7)/6)</f>
        <v>0</v>
      </c>
      <c r="DA9" s="578"/>
      <c r="DB9" s="580"/>
      <c r="DC9" s="569">
        <f ca="1">+DD9+DE9+DF9</f>
        <v>8.9667999999999992</v>
      </c>
      <c r="DD9" s="578">
        <f ca="1">OFFSET(Sector1!$G$18,0,(COLUMN()-6)/6)</f>
        <v>3.3371999999999997</v>
      </c>
      <c r="DE9" s="579">
        <f ca="1">OFFSET(Sector1!$G$24,0,(COLUMN()-7)/6)</f>
        <v>5.6295999999999999</v>
      </c>
      <c r="DF9" s="579">
        <f ca="1">OFFSET(Sector1!$G$30,0,(COLUMN()-7)/6)</f>
        <v>0</v>
      </c>
      <c r="DG9" s="578"/>
      <c r="DH9" s="580"/>
      <c r="DI9" s="569">
        <f ca="1">+DJ9+DK9+DL9</f>
        <v>8.8894000000000002</v>
      </c>
      <c r="DJ9" s="578">
        <f ca="1">OFFSET(Sector1!$G$18,0,(COLUMN()-6)/6)</f>
        <v>3.5458000000000003</v>
      </c>
      <c r="DK9" s="579">
        <f ca="1">OFFSET(Sector1!$G$24,0,(COLUMN()-7)/6)</f>
        <v>5.3436000000000003</v>
      </c>
      <c r="DL9" s="579">
        <f ca="1">OFFSET(Sector1!$G$30,0,(COLUMN()-7)/6)</f>
        <v>0</v>
      </c>
      <c r="DM9" s="578"/>
      <c r="DN9" s="580"/>
      <c r="DO9" s="569">
        <f ca="1">+DP9+DQ9+DR9</f>
        <v>9.1700999999999997</v>
      </c>
      <c r="DP9" s="578">
        <f ca="1">OFFSET(Sector1!$G$18,0,(COLUMN()-6)/6)</f>
        <v>3.6355</v>
      </c>
      <c r="DQ9" s="579">
        <f ca="1">OFFSET(Sector1!$G$24,0,(COLUMN()-7)/6)</f>
        <v>5.5346000000000002</v>
      </c>
      <c r="DR9" s="579">
        <f ca="1">OFFSET(Sector1!$G$30,0,(COLUMN()-7)/6)</f>
        <v>0</v>
      </c>
      <c r="DS9" s="578"/>
      <c r="DT9" s="580"/>
      <c r="DU9" s="569">
        <f ca="1">+DV9+DW9+DX9</f>
        <v>9.3323</v>
      </c>
      <c r="DV9" s="578">
        <f ca="1">OFFSET(Sector1!$G$18,0,(COLUMN()-6)/6)</f>
        <v>3.6884999999999999</v>
      </c>
      <c r="DW9" s="579">
        <f ca="1">OFFSET(Sector1!$G$24,0,(COLUMN()-7)/6)</f>
        <v>5.6438000000000006</v>
      </c>
      <c r="DX9" s="579">
        <f ca="1">OFFSET(Sector1!$G$30,0,(COLUMN()-7)/6)</f>
        <v>0</v>
      </c>
      <c r="DY9" s="578"/>
      <c r="DZ9" s="580"/>
      <c r="EA9" s="569">
        <f ca="1">+EB9+EC9+ED9</f>
        <v>9.6745999999999999</v>
      </c>
      <c r="EB9" s="578">
        <f ca="1">OFFSET(Sector1!$G$18,0,(COLUMN()-6)/6)</f>
        <v>3.8115999999999999</v>
      </c>
      <c r="EC9" s="579">
        <f ca="1">OFFSET(Sector1!$G$24,0,(COLUMN()-7)/6)</f>
        <v>5.8630000000000004</v>
      </c>
      <c r="ED9" s="579">
        <f ca="1">OFFSET(Sector1!$G$30,0,(COLUMN()-7)/6)</f>
        <v>0</v>
      </c>
      <c r="EE9" s="578"/>
      <c r="EF9" s="580"/>
      <c r="EG9" s="569">
        <f ca="1">+EH9+EI9+EJ9</f>
        <v>9.6280519327159748</v>
      </c>
      <c r="EH9" s="578">
        <f ca="1">OFFSET(Sector1!$G$18,0,(COLUMN()-6)/6)</f>
        <v>3.8212809999999999</v>
      </c>
      <c r="EI9" s="579">
        <f ca="1">OFFSET(Sector1!$G$24,0,(COLUMN()-7)/6)</f>
        <v>5.8067709327159749</v>
      </c>
      <c r="EJ9" s="579">
        <f ca="1">OFFSET(Sector1!$G$30,0,(COLUMN()-7)/6)</f>
        <v>0</v>
      </c>
      <c r="EK9" s="578"/>
      <c r="EL9" s="580"/>
      <c r="EM9" s="569">
        <f ca="1">+EN9+EO9+EP9</f>
        <v>9.8634113185702947</v>
      </c>
      <c r="EN9" s="578">
        <f ca="1">OFFSET(Sector1!$G$18,0,(COLUMN()-6)/6)</f>
        <v>3.9405049671999994</v>
      </c>
      <c r="EO9" s="579">
        <f ca="1">OFFSET(Sector1!$G$24,0,(COLUMN()-7)/6)</f>
        <v>5.9229063513702949</v>
      </c>
      <c r="EP9" s="579">
        <f ca="1">OFFSET(Sector1!$G$30,0,(COLUMN()-7)/6)</f>
        <v>0</v>
      </c>
      <c r="EQ9" s="578"/>
      <c r="ER9" s="580"/>
    </row>
    <row r="10" spans="1:148">
      <c r="A10" s="567"/>
      <c r="B10" s="568" t="s">
        <v>622</v>
      </c>
      <c r="C10" s="4136" t="s">
        <v>828</v>
      </c>
      <c r="D10" s="4136"/>
      <c r="E10" s="569">
        <f ca="1">+F10+G10+H10</f>
        <v>2.4293999999999993</v>
      </c>
      <c r="F10" s="579">
        <f ca="1">OFFSET(Sector1!$G$133,0,(COLUMN()-6)/6)</f>
        <v>0.1691</v>
      </c>
      <c r="G10" s="579">
        <f ca="1">OFFSET(Sector1!$G$134,0,(COLUMN()-7)/6)</f>
        <v>2.2602999999999995</v>
      </c>
      <c r="H10" s="579">
        <f ca="1">OFFSET(Sector1!$G$139,0,(COLUMN()-7)/6)</f>
        <v>0</v>
      </c>
      <c r="I10" s="579"/>
      <c r="J10" s="580"/>
      <c r="K10" s="569">
        <f ca="1">+L10+M10+N10</f>
        <v>2.9929999999999999</v>
      </c>
      <c r="L10" s="579">
        <f ca="1">OFFSET(Sector1!$G$133,0,(COLUMN()-6)/6)</f>
        <v>0.23080000000000001</v>
      </c>
      <c r="M10" s="579">
        <f ca="1">OFFSET(Sector1!$G$134,0,(COLUMN()-7)/6)</f>
        <v>2.5741000000000001</v>
      </c>
      <c r="N10" s="579">
        <f ca="1">OFFSET(Sector1!$G$139,0,(COLUMN()-7)/6)</f>
        <v>0.18809999999999999</v>
      </c>
      <c r="O10" s="579"/>
      <c r="P10" s="580"/>
      <c r="Q10" s="569">
        <f ca="1">+R10+S10+T10</f>
        <v>2.7403999999999997</v>
      </c>
      <c r="R10" s="579">
        <f ca="1">OFFSET(Sector1!$G$133,0,(COLUMN()-6)/6)</f>
        <v>0.21159999999999998</v>
      </c>
      <c r="S10" s="579">
        <f ca="1">OFFSET(Sector1!$G$134,0,(COLUMN()-7)/6)</f>
        <v>2.3380000000000001</v>
      </c>
      <c r="T10" s="579">
        <f ca="1">OFFSET(Sector1!$G$139,0,(COLUMN()-7)/6)</f>
        <v>0.19080000000000003</v>
      </c>
      <c r="U10" s="579"/>
      <c r="V10" s="580"/>
      <c r="W10" s="569">
        <f ca="1">+X10+Y10+Z10</f>
        <v>2.9098000000000002</v>
      </c>
      <c r="X10" s="579">
        <f ca="1">OFFSET(Sector1!$G$133,0,(COLUMN()-6)/6)</f>
        <v>0.1913</v>
      </c>
      <c r="Y10" s="579">
        <f ca="1">OFFSET(Sector1!$G$134,0,(COLUMN()-7)/6)</f>
        <v>2.5038</v>
      </c>
      <c r="Z10" s="579">
        <f ca="1">OFFSET(Sector1!$G$139,0,(COLUMN()-7)/6)</f>
        <v>0.2147</v>
      </c>
      <c r="AA10" s="579"/>
      <c r="AB10" s="580"/>
      <c r="AC10" s="569">
        <f ca="1">+AD10+AE10+AF10</f>
        <v>3.0639999999999996</v>
      </c>
      <c r="AD10" s="579">
        <f ca="1">OFFSET(Sector1!$G$133,0,(COLUMN()-6)/6)</f>
        <v>0.16719999999999999</v>
      </c>
      <c r="AE10" s="579">
        <f ca="1">OFFSET(Sector1!$G$134,0,(COLUMN()-7)/6)</f>
        <v>2.6751999999999998</v>
      </c>
      <c r="AF10" s="579">
        <f ca="1">OFFSET(Sector1!$G$139,0,(COLUMN()-7)/6)</f>
        <v>0.22159999999999999</v>
      </c>
      <c r="AG10" s="579"/>
      <c r="AH10" s="580"/>
      <c r="AI10" s="569">
        <f ca="1">+AJ10+AK10+AL10</f>
        <v>3.0701999999999998</v>
      </c>
      <c r="AJ10" s="579">
        <f ca="1">OFFSET(Sector1!$G$133,0,(COLUMN()-6)/6)</f>
        <v>0.1484</v>
      </c>
      <c r="AK10" s="579">
        <f ca="1">OFFSET(Sector1!$G$134,0,(COLUMN()-7)/6)</f>
        <v>2.6964999999999999</v>
      </c>
      <c r="AL10" s="579">
        <f ca="1">OFFSET(Sector1!$G$139,0,(COLUMN()-7)/6)</f>
        <v>0.2253</v>
      </c>
      <c r="AM10" s="579"/>
      <c r="AN10" s="580"/>
      <c r="AO10" s="569">
        <f ca="1">+AP10+AQ10+AR10</f>
        <v>3.1715</v>
      </c>
      <c r="AP10" s="579">
        <f ca="1">OFFSET(Sector1!$G$133,0,(COLUMN()-6)/6)</f>
        <v>0.12029999999999999</v>
      </c>
      <c r="AQ10" s="579">
        <f ca="1">OFFSET(Sector1!$G$134,0,(COLUMN()-7)/6)</f>
        <v>2.8229000000000002</v>
      </c>
      <c r="AR10" s="579">
        <f ca="1">OFFSET(Sector1!$G$139,0,(COLUMN()-7)/6)</f>
        <v>0.2283</v>
      </c>
      <c r="AS10" s="579"/>
      <c r="AT10" s="580"/>
      <c r="AU10" s="569">
        <f ca="1">+AV10+AW10+AX10</f>
        <v>3.3068999999999997</v>
      </c>
      <c r="AV10" s="579">
        <f ca="1">OFFSET(Sector1!$G$133,0,(COLUMN()-6)/6)</f>
        <v>0.12490000000000001</v>
      </c>
      <c r="AW10" s="579">
        <f ca="1">OFFSET(Sector1!$G$134,0,(COLUMN()-7)/6)</f>
        <v>2.9326999999999996</v>
      </c>
      <c r="AX10" s="579">
        <f ca="1">OFFSET(Sector1!$G$139,0,(COLUMN()-7)/6)</f>
        <v>0.24930000000000002</v>
      </c>
      <c r="AY10" s="579"/>
      <c r="AZ10" s="580"/>
      <c r="BA10" s="569">
        <f ca="1">+BB10+BC10+BD10</f>
        <v>3.5251000000000006</v>
      </c>
      <c r="BB10" s="579">
        <f ca="1">OFFSET(Sector1!$G$133,0,(COLUMN()-6)/6)</f>
        <v>0.14780000000000001</v>
      </c>
      <c r="BC10" s="579">
        <f ca="1">OFFSET(Sector1!$G$134,0,(COLUMN()-7)/6)</f>
        <v>3.1064000000000003</v>
      </c>
      <c r="BD10" s="579">
        <f ca="1">OFFSET(Sector1!$G$139,0,(COLUMN()-7)/6)</f>
        <v>0.27089999999999997</v>
      </c>
      <c r="BE10" s="579"/>
      <c r="BF10" s="580"/>
      <c r="BG10" s="569">
        <f ca="1">+BH10+BI10+BJ10</f>
        <v>3.9514</v>
      </c>
      <c r="BH10" s="579">
        <f ca="1">OFFSET(Sector1!$G$133,0,(COLUMN()-6)/6)</f>
        <v>0.16519999999999999</v>
      </c>
      <c r="BI10" s="579">
        <f ca="1">OFFSET(Sector1!$G$134,0,(COLUMN()-7)/6)</f>
        <v>3.4746999999999999</v>
      </c>
      <c r="BJ10" s="579">
        <f ca="1">OFFSET(Sector1!$G$139,0,(COLUMN()-7)/6)</f>
        <v>0.3115</v>
      </c>
      <c r="BK10" s="579"/>
      <c r="BL10" s="580"/>
      <c r="BM10" s="569">
        <f ca="1">+BN10+BO10+BP10</f>
        <v>4.9416000000000002</v>
      </c>
      <c r="BN10" s="579">
        <f ca="1">OFFSET(Sector1!$G$133,0,(COLUMN()-6)/6)</f>
        <v>0.37910000000000005</v>
      </c>
      <c r="BO10" s="579">
        <f ca="1">OFFSET(Sector1!$G$134,0,(COLUMN()-7)/6)</f>
        <v>4.18</v>
      </c>
      <c r="BP10" s="579">
        <f ca="1">OFFSET(Sector1!$G$139,0,(COLUMN()-7)/6)</f>
        <v>0.38250000000000001</v>
      </c>
      <c r="BQ10" s="579"/>
      <c r="BR10" s="580"/>
      <c r="BS10" s="569">
        <f ca="1">+BT10+BU10+BV10</f>
        <v>6.3571999999999997</v>
      </c>
      <c r="BT10" s="579">
        <f ca="1">OFFSET(Sector1!$G$133,0,(COLUMN()-6)/6)</f>
        <v>0.49130000000000001</v>
      </c>
      <c r="BU10" s="579">
        <f ca="1">OFFSET(Sector1!$G$134,0,(COLUMN()-7)/6)</f>
        <v>5.4753999999999996</v>
      </c>
      <c r="BV10" s="579">
        <f ca="1">OFFSET(Sector1!$G$139,0,(COLUMN()-7)/6)</f>
        <v>0.39050000000000001</v>
      </c>
      <c r="BW10" s="579"/>
      <c r="BX10" s="580"/>
      <c r="BY10" s="569">
        <f ca="1">+BZ10+CA10+CB10</f>
        <v>7.4565999999999999</v>
      </c>
      <c r="BZ10" s="579">
        <f ca="1">OFFSET(Sector1!$G$133,0,(COLUMN()-6)/6)</f>
        <v>0.53410000000000002</v>
      </c>
      <c r="CA10" s="579">
        <f ca="1">OFFSET(Sector1!$G$134,0,(COLUMN()-7)/6)</f>
        <v>6.4878999999999998</v>
      </c>
      <c r="CB10" s="579">
        <f ca="1">OFFSET(Sector1!$G$139,0,(COLUMN()-7)/6)</f>
        <v>0.43460000000000004</v>
      </c>
      <c r="CC10" s="579"/>
      <c r="CD10" s="580"/>
      <c r="CE10" s="569">
        <f ca="1">+CF10+CG10+CH10</f>
        <v>8.6059999999999999</v>
      </c>
      <c r="CF10" s="579">
        <f ca="1">OFFSET(Sector1!$G$133,0,(COLUMN()-6)/6)</f>
        <v>0.5968</v>
      </c>
      <c r="CG10" s="579">
        <f ca="1">OFFSET(Sector1!$G$134,0,(COLUMN()-7)/6)</f>
        <v>7.5359999999999996</v>
      </c>
      <c r="CH10" s="579">
        <f ca="1">OFFSET(Sector1!$G$139,0,(COLUMN()-7)/6)</f>
        <v>0.47320000000000001</v>
      </c>
      <c r="CI10" s="579"/>
      <c r="CJ10" s="580"/>
      <c r="CK10" s="569">
        <f ca="1">+CL10+CM10+CN10</f>
        <v>9.4194999999999993</v>
      </c>
      <c r="CL10" s="579">
        <f ca="1">OFFSET(Sector1!$G$133,0,(COLUMN()-6)/6)</f>
        <v>0.62279999999999991</v>
      </c>
      <c r="CM10" s="579">
        <f ca="1">OFFSET(Sector1!$G$134,0,(COLUMN()-7)/6)</f>
        <v>8.2514000000000003</v>
      </c>
      <c r="CN10" s="579">
        <f ca="1">OFFSET(Sector1!$G$139,0,(COLUMN()-7)/6)</f>
        <v>0.54530000000000001</v>
      </c>
      <c r="CO10" s="579"/>
      <c r="CP10" s="580"/>
      <c r="CQ10" s="569">
        <f ca="1">+CR10+CS10+CT10</f>
        <v>10.7189</v>
      </c>
      <c r="CR10" s="579">
        <f ca="1">OFFSET(Sector1!$G$133,0,(COLUMN()-6)/6)</f>
        <v>0.65529999999999999</v>
      </c>
      <c r="CS10" s="579">
        <f ca="1">OFFSET(Sector1!$G$134,0,(COLUMN()-7)/6)</f>
        <v>9.4933999999999994</v>
      </c>
      <c r="CT10" s="579">
        <f ca="1">OFFSET(Sector1!$G$139,0,(COLUMN()-7)/6)</f>
        <v>0.57020000000000004</v>
      </c>
      <c r="CU10" s="579"/>
      <c r="CV10" s="580"/>
      <c r="CW10" s="569">
        <f ca="1">+CX10+CY10+CZ10</f>
        <v>11.487000000000002</v>
      </c>
      <c r="CX10" s="579">
        <f ca="1">OFFSET(Sector1!$G$133,0,(COLUMN()-6)/6)</f>
        <v>0.66510000000000002</v>
      </c>
      <c r="CY10" s="579">
        <f ca="1">OFFSET(Sector1!$G$134,0,(COLUMN()-7)/6)</f>
        <v>10.234500000000001</v>
      </c>
      <c r="CZ10" s="579">
        <f ca="1">OFFSET(Sector1!$G$139,0,(COLUMN()-7)/6)</f>
        <v>0.58739999999999992</v>
      </c>
      <c r="DA10" s="579"/>
      <c r="DB10" s="580"/>
      <c r="DC10" s="569">
        <f ca="1">+DD10+DE10+DF10</f>
        <v>11.775299999999998</v>
      </c>
      <c r="DD10" s="579">
        <f ca="1">OFFSET(Sector1!$G$133,0,(COLUMN()-6)/6)</f>
        <v>0.66170000000000007</v>
      </c>
      <c r="DE10" s="579">
        <f ca="1">OFFSET(Sector1!$G$134,0,(COLUMN()-7)/6)</f>
        <v>10.495799999999999</v>
      </c>
      <c r="DF10" s="579">
        <f ca="1">OFFSET(Sector1!$G$139,0,(COLUMN()-7)/6)</f>
        <v>0.6177999999999999</v>
      </c>
      <c r="DG10" s="579"/>
      <c r="DH10" s="580"/>
      <c r="DI10" s="569">
        <f ca="1">+DJ10+DK10+DL10</f>
        <v>12.170999999999999</v>
      </c>
      <c r="DJ10" s="579">
        <f ca="1">OFFSET(Sector1!$G$133,0,(COLUMN()-6)/6)</f>
        <v>0.71229999999999993</v>
      </c>
      <c r="DK10" s="579">
        <f ca="1">OFFSET(Sector1!$G$134,0,(COLUMN()-7)/6)</f>
        <v>10.824200000000001</v>
      </c>
      <c r="DL10" s="579">
        <f ca="1">OFFSET(Sector1!$G$139,0,(COLUMN()-7)/6)</f>
        <v>0.63449999999999995</v>
      </c>
      <c r="DM10" s="579"/>
      <c r="DN10" s="580"/>
      <c r="DO10" s="569">
        <f ca="1">+DP10+DQ10+DR10</f>
        <v>12.492700000000001</v>
      </c>
      <c r="DP10" s="579">
        <f ca="1">OFFSET(Sector1!$G$133,0,(COLUMN()-6)/6)</f>
        <v>0.69</v>
      </c>
      <c r="DQ10" s="579">
        <f ca="1">OFFSET(Sector1!$G$134,0,(COLUMN()-7)/6)</f>
        <v>11.172700000000001</v>
      </c>
      <c r="DR10" s="579">
        <f ca="1">OFFSET(Sector1!$G$139,0,(COLUMN()-7)/6)</f>
        <v>0.63</v>
      </c>
      <c r="DS10" s="579"/>
      <c r="DT10" s="580"/>
      <c r="DU10" s="569">
        <f ca="1">+DV10+DW10+DX10</f>
        <v>12.615100000000002</v>
      </c>
      <c r="DV10" s="579">
        <f ca="1">OFFSET(Sector1!$G$133,0,(COLUMN()-6)/6)</f>
        <v>0.749</v>
      </c>
      <c r="DW10" s="579">
        <f ca="1">OFFSET(Sector1!$G$134,0,(COLUMN()-7)/6)</f>
        <v>11.317200000000001</v>
      </c>
      <c r="DX10" s="579">
        <f ca="1">OFFSET(Sector1!$G$139,0,(COLUMN()-7)/6)</f>
        <v>0.54889999999999994</v>
      </c>
      <c r="DY10" s="579"/>
      <c r="DZ10" s="580"/>
      <c r="EA10" s="569">
        <f ca="1">+EB10+EC10+ED10</f>
        <v>12.443300000000001</v>
      </c>
      <c r="EB10" s="579">
        <f ca="1">OFFSET(Sector1!$G$133,0,(COLUMN()-6)/6)</f>
        <v>0.65160000000000007</v>
      </c>
      <c r="EC10" s="579">
        <f ca="1">OFFSET(Sector1!$G$134,0,(COLUMN()-7)/6)</f>
        <v>11.2653</v>
      </c>
      <c r="ED10" s="579">
        <f ca="1">OFFSET(Sector1!$G$139,0,(COLUMN()-7)/6)</f>
        <v>0.52639999999999998</v>
      </c>
      <c r="EE10" s="579"/>
      <c r="EF10" s="580"/>
      <c r="EG10" s="569">
        <f ca="1">+EH10+EI10+EJ10</f>
        <v>12.81966854</v>
      </c>
      <c r="EH10" s="579">
        <f ca="1">OFFSET(Sector1!$G$133,0,(COLUMN()-6)/6)</f>
        <v>0.66463200000000011</v>
      </c>
      <c r="EI10" s="579">
        <f ca="1">OFFSET(Sector1!$G$134,0,(COLUMN()-7)/6)</f>
        <v>11.62353654</v>
      </c>
      <c r="EJ10" s="579">
        <f ca="1">OFFSET(Sector1!$G$139,0,(COLUMN()-7)/6)</f>
        <v>0.53149999999999997</v>
      </c>
      <c r="EK10" s="579"/>
      <c r="EL10" s="580"/>
      <c r="EM10" s="569">
        <f ca="1">+EN10+EO10+EP10</f>
        <v>12.867659228075999</v>
      </c>
      <c r="EN10" s="579">
        <f ca="1">OFFSET(Sector1!$G$133,0,(COLUMN()-6)/6)</f>
        <v>0.68457096000000017</v>
      </c>
      <c r="EO10" s="579">
        <f ca="1">OFFSET(Sector1!$G$134,0,(COLUMN()-7)/6)</f>
        <v>11.616562418075999</v>
      </c>
      <c r="EP10" s="579">
        <f ca="1">OFFSET(Sector1!$G$139,0,(COLUMN()-7)/6)</f>
        <v>0.56652585</v>
      </c>
      <c r="EQ10" s="579"/>
      <c r="ER10" s="580"/>
    </row>
    <row r="11" spans="1:148">
      <c r="A11" s="567"/>
      <c r="B11" s="568" t="s">
        <v>2133</v>
      </c>
      <c r="C11" s="4136" t="s">
        <v>829</v>
      </c>
      <c r="D11" s="4135"/>
      <c r="E11" s="582">
        <f ca="1">+F11+G11+H11</f>
        <v>106.25200000000001</v>
      </c>
      <c r="F11" s="1129">
        <f ca="1">OFFSET(Labour1!$G$209,0,(COLUMN()-6)/6)</f>
        <v>4.0514000000000001</v>
      </c>
      <c r="G11" s="1130">
        <f ca="1">OFFSET(Labour1!$G$210,0,(COLUMN()-7)/6)</f>
        <v>78.024600000000007</v>
      </c>
      <c r="H11" s="1130">
        <f ca="1">OFFSET(Labour1!$G$211,0,(COLUMN()-8)/6)</f>
        <v>24.175999999999998</v>
      </c>
      <c r="I11" s="1130">
        <f ca="1">OFFSET(Labour1!$G$216,0,(COLUMN()-9)/6)</f>
        <v>2.2342999999999997</v>
      </c>
      <c r="J11" s="580"/>
      <c r="K11" s="582">
        <f ca="1">+L11+M11+N11</f>
        <v>108.6388</v>
      </c>
      <c r="L11" s="1129">
        <f ca="1">OFFSET(Labour1!$G$209,0,(COLUMN()-6)/6)</f>
        <v>4.0893000000000006</v>
      </c>
      <c r="M11" s="1130">
        <f ca="1">OFFSET(Labour1!$G$210,0,(COLUMN()-7)/6)</f>
        <v>79.593600000000009</v>
      </c>
      <c r="N11" s="1130">
        <f ca="1">OFFSET(Labour1!$G$211,0,(COLUMN()-8)/6)</f>
        <v>24.9559</v>
      </c>
      <c r="O11" s="1130">
        <f ca="1">OFFSET(Labour1!$G$216,0,(COLUMN()-9)/6)</f>
        <v>2.3316999999999997</v>
      </c>
      <c r="P11" s="580"/>
      <c r="Q11" s="582">
        <f ca="1">+R11+S11+T11</f>
        <v>112.8631</v>
      </c>
      <c r="R11" s="1129">
        <f ca="1">OFFSET(Labour1!$G$209,0,(COLUMN()-6)/6)</f>
        <v>4.0728999999999997</v>
      </c>
      <c r="S11" s="1130">
        <f ca="1">OFFSET(Labour1!$G$210,0,(COLUMN()-7)/6)</f>
        <v>82.994</v>
      </c>
      <c r="T11" s="1130">
        <f ca="1">OFFSET(Labour1!$G$211,0,(COLUMN()-8)/6)</f>
        <v>25.796200000000002</v>
      </c>
      <c r="U11" s="1130">
        <f ca="1">OFFSET(Labour1!$G$216,0,(COLUMN()-9)/6)</f>
        <v>2.3239000000000001</v>
      </c>
      <c r="V11" s="580"/>
      <c r="W11" s="582">
        <f ca="1">+X11+Y11+Z11</f>
        <v>116.8758</v>
      </c>
      <c r="X11" s="1129">
        <f ca="1">OFFSET(Labour1!$G$209,0,(COLUMN()-6)/6)</f>
        <v>4.0260999999999996</v>
      </c>
      <c r="Y11" s="1130">
        <f ca="1">OFFSET(Labour1!$G$210,0,(COLUMN()-7)/6)</f>
        <v>86.278800000000004</v>
      </c>
      <c r="Z11" s="1130">
        <f ca="1">OFFSET(Labour1!$G$211,0,(COLUMN()-8)/6)</f>
        <v>26.570900000000002</v>
      </c>
      <c r="AA11" s="1130">
        <f ca="1">OFFSET(Labour1!$G$216,0,(COLUMN()-9)/6)</f>
        <v>2.5118999999999998</v>
      </c>
      <c r="AB11" s="580"/>
      <c r="AC11" s="582">
        <f ca="1">+AD11+AE11+AF11</f>
        <v>122.9637</v>
      </c>
      <c r="AD11" s="1129">
        <f ca="1">OFFSET(Labour1!$G$209,0,(COLUMN()-6)/6)</f>
        <v>4.1626000000000003</v>
      </c>
      <c r="AE11" s="1130">
        <f ca="1">OFFSET(Labour1!$G$210,0,(COLUMN()-7)/6)</f>
        <v>91.028300000000002</v>
      </c>
      <c r="AF11" s="1130">
        <f ca="1">OFFSET(Labour1!$G$211,0,(COLUMN()-8)/6)</f>
        <v>27.7728</v>
      </c>
      <c r="AG11" s="1130">
        <f ca="1">OFFSET(Labour1!$G$216,0,(COLUMN()-9)/6)</f>
        <v>2.7225999999999999</v>
      </c>
      <c r="AH11" s="580"/>
      <c r="AI11" s="582">
        <f ca="1">+AJ11+AK11+AL11</f>
        <v>128.5214</v>
      </c>
      <c r="AJ11" s="1129">
        <f ca="1">OFFSET(Labour1!$G$209,0,(COLUMN()-6)/6)</f>
        <v>4.1905000000000001</v>
      </c>
      <c r="AK11" s="1130">
        <f ca="1">OFFSET(Labour1!$G$210,0,(COLUMN()-7)/6)</f>
        <v>95.554199999999994</v>
      </c>
      <c r="AL11" s="1130">
        <f ca="1">OFFSET(Labour1!$G$211,0,(COLUMN()-8)/6)</f>
        <v>28.776700000000002</v>
      </c>
      <c r="AM11" s="1130">
        <f ca="1">OFFSET(Labour1!$G$216,0,(COLUMN()-9)/6)</f>
        <v>2.8831000000000002</v>
      </c>
      <c r="AN11" s="580"/>
      <c r="AO11" s="582">
        <f ca="1">+AP11+AQ11+AR11</f>
        <v>135.66390000000001</v>
      </c>
      <c r="AP11" s="1129">
        <f ca="1">OFFSET(Labour1!$G$209,0,(COLUMN()-6)/6)</f>
        <v>4.2954999999999997</v>
      </c>
      <c r="AQ11" s="1130">
        <f ca="1">OFFSET(Labour1!$G$210,0,(COLUMN()-7)/6)</f>
        <v>101.3082</v>
      </c>
      <c r="AR11" s="1130">
        <f ca="1">OFFSET(Labour1!$G$211,0,(COLUMN()-8)/6)</f>
        <v>30.060200000000002</v>
      </c>
      <c r="AS11" s="1130">
        <f ca="1">OFFSET(Labour1!$G$216,0,(COLUMN()-9)/6)</f>
        <v>3.1494</v>
      </c>
      <c r="AT11" s="580"/>
      <c r="AU11" s="582">
        <f ca="1">+AV11+AW11+AX11</f>
        <v>140.91249999999999</v>
      </c>
      <c r="AV11" s="1129">
        <f ca="1">OFFSET(Labour1!$G$209,0,(COLUMN()-6)/6)</f>
        <v>4.5053999999999998</v>
      </c>
      <c r="AW11" s="1130">
        <f ca="1">OFFSET(Labour1!$G$210,0,(COLUMN()-7)/6)</f>
        <v>104.13200000000001</v>
      </c>
      <c r="AX11" s="1130">
        <f ca="1">OFFSET(Labour1!$G$211,0,(COLUMN()-8)/6)</f>
        <v>32.275100000000002</v>
      </c>
      <c r="AY11" s="1130">
        <f ca="1">OFFSET(Labour1!$G$216,0,(COLUMN()-9)/6)</f>
        <v>3.4529999999999994</v>
      </c>
      <c r="AZ11" s="580"/>
      <c r="BA11" s="582">
        <f ca="1">+BB11+BC11+BD11</f>
        <v>143.56739999999999</v>
      </c>
      <c r="BB11" s="1129">
        <f ca="1">OFFSET(Labour1!$G$209,0,(COLUMN()-6)/6)</f>
        <v>4.6032000000000002</v>
      </c>
      <c r="BC11" s="1130">
        <f ca="1">OFFSET(Labour1!$G$210,0,(COLUMN()-7)/6)</f>
        <v>105.36</v>
      </c>
      <c r="BD11" s="1130">
        <f ca="1">OFFSET(Labour1!$G$211,0,(COLUMN()-8)/6)</f>
        <v>33.604199999999999</v>
      </c>
      <c r="BE11" s="1130">
        <f ca="1">OFFSET(Labour1!$G$216,0,(COLUMN()-9)/6)</f>
        <v>3.7520000000000007</v>
      </c>
      <c r="BF11" s="580"/>
      <c r="BG11" s="582">
        <f ca="1">+BH11+BI11+BJ11</f>
        <v>147.73399999999998</v>
      </c>
      <c r="BH11" s="1129">
        <f ca="1">OFFSET(Labour1!$G$209,0,(COLUMN()-6)/6)</f>
        <v>4.7457000000000003</v>
      </c>
      <c r="BI11" s="1130">
        <f ca="1">OFFSET(Labour1!$G$210,0,(COLUMN()-7)/6)</f>
        <v>108.3762</v>
      </c>
      <c r="BJ11" s="1130">
        <f ca="1">OFFSET(Labour1!$G$211,0,(COLUMN()-8)/6)</f>
        <v>34.612099999999998</v>
      </c>
      <c r="BK11" s="1130">
        <f ca="1">OFFSET(Labour1!$G$216,0,(COLUMN()-9)/6)</f>
        <v>4.0817000000000005</v>
      </c>
      <c r="BL11" s="580"/>
      <c r="BM11" s="582">
        <f ca="1">+BN11+BO11+BP11</f>
        <v>152.85359999999997</v>
      </c>
      <c r="BN11" s="1129">
        <f ca="1">OFFSET(Labour1!$G$209,0,(COLUMN()-6)/6)</f>
        <v>4.7664999999999997</v>
      </c>
      <c r="BO11" s="1130">
        <f ca="1">OFFSET(Labour1!$G$210,0,(COLUMN()-7)/6)</f>
        <v>111.6694</v>
      </c>
      <c r="BP11" s="1130">
        <f ca="1">OFFSET(Labour1!$G$211,0,(COLUMN()-8)/6)</f>
        <v>36.417699999999996</v>
      </c>
      <c r="BQ11" s="1130">
        <f ca="1">OFFSET(Labour1!$G$216,0,(COLUMN()-9)/6)</f>
        <v>4.2413999999999996</v>
      </c>
      <c r="BR11" s="580"/>
      <c r="BS11" s="582">
        <f ca="1">+BT11+BU11+BV11</f>
        <v>160.24</v>
      </c>
      <c r="BT11" s="1129">
        <f ca="1">OFFSET(Labour1!$G$209,0,(COLUMN()-6)/6)</f>
        <v>4.8058999999999994</v>
      </c>
      <c r="BU11" s="1130">
        <f ca="1">OFFSET(Labour1!$G$210,0,(COLUMN()-7)/6)</f>
        <v>117.42230000000001</v>
      </c>
      <c r="BV11" s="1130">
        <f ca="1">OFFSET(Labour1!$G$211,0,(COLUMN()-8)/6)</f>
        <v>38.011800000000001</v>
      </c>
      <c r="BW11" s="1130">
        <f ca="1">OFFSET(Labour1!$G$216,0,(COLUMN()-9)/6)</f>
        <v>4.4915000000000003</v>
      </c>
      <c r="BX11" s="580"/>
      <c r="BY11" s="582">
        <f ca="1">+BZ11+CA11+CB11</f>
        <v>168.89520000000002</v>
      </c>
      <c r="BZ11" s="1129">
        <f ca="1">OFFSET(Labour1!$G$209,0,(COLUMN()-6)/6)</f>
        <v>4.8887</v>
      </c>
      <c r="CA11" s="1130">
        <f ca="1">OFFSET(Labour1!$G$210,0,(COLUMN()-7)/6)</f>
        <v>124.37480000000001</v>
      </c>
      <c r="CB11" s="1130">
        <f ca="1">OFFSET(Labour1!$G$211,0,(COLUMN()-8)/6)</f>
        <v>39.631699999999995</v>
      </c>
      <c r="CC11" s="1130">
        <f ca="1">OFFSET(Labour1!$G$216,0,(COLUMN()-9)/6)</f>
        <v>4.6669</v>
      </c>
      <c r="CD11" s="580"/>
      <c r="CE11" s="582">
        <f ca="1">+CF11+CG11+CH11</f>
        <v>178.36120000000003</v>
      </c>
      <c r="CF11" s="1129">
        <f ca="1">OFFSET(Labour1!$G$209,0,(COLUMN()-6)/6)</f>
        <v>5.0564999999999998</v>
      </c>
      <c r="CG11" s="1130">
        <f ca="1">OFFSET(Labour1!$G$210,0,(COLUMN()-7)/6)</f>
        <v>131.40810000000002</v>
      </c>
      <c r="CH11" s="1130">
        <f ca="1">OFFSET(Labour1!$G$211,0,(COLUMN()-8)/6)</f>
        <v>41.896599999999999</v>
      </c>
      <c r="CI11" s="1130">
        <f ca="1">OFFSET(Labour1!$G$216,0,(COLUMN()-9)/6)</f>
        <v>4.7388999999999992</v>
      </c>
      <c r="CJ11" s="580"/>
      <c r="CK11" s="582">
        <f ca="1">+CL11+CM11+CN11</f>
        <v>179.62330000000003</v>
      </c>
      <c r="CL11" s="1129">
        <f ca="1">OFFSET(Labour1!$G$209,0,(COLUMN()-6)/6)</f>
        <v>5.0857000000000001</v>
      </c>
      <c r="CM11" s="1130">
        <f ca="1">OFFSET(Labour1!$G$210,0,(COLUMN()-7)/6)</f>
        <v>130.78980000000001</v>
      </c>
      <c r="CN11" s="1130">
        <f ca="1">OFFSET(Labour1!$G$211,0,(COLUMN()-8)/6)</f>
        <v>43.747800000000005</v>
      </c>
      <c r="CO11" s="1130">
        <f ca="1">OFFSET(Labour1!$G$216,0,(COLUMN()-9)/6)</f>
        <v>4.9018000000000006</v>
      </c>
      <c r="CP11" s="580"/>
      <c r="CQ11" s="582">
        <f ca="1">+CR11+CS11+CT11</f>
        <v>183.22900000000001</v>
      </c>
      <c r="CR11" s="1129">
        <f ca="1">OFFSET(Labour1!$G$209,0,(COLUMN()-6)/6)</f>
        <v>5.1138000000000003</v>
      </c>
      <c r="CS11" s="1130">
        <f ca="1">OFFSET(Labour1!$G$210,0,(COLUMN()-7)/6)</f>
        <v>133.20660000000001</v>
      </c>
      <c r="CT11" s="1130">
        <f ca="1">OFFSET(Labour1!$G$211,0,(COLUMN()-8)/6)</f>
        <v>44.9086</v>
      </c>
      <c r="CU11" s="1130">
        <f ca="1">OFFSET(Labour1!$G$216,0,(COLUMN()-9)/6)</f>
        <v>5.17</v>
      </c>
      <c r="CV11" s="580"/>
      <c r="CW11" s="582">
        <f ca="1">+CX11+CY11+CZ11</f>
        <v>191.62609999999998</v>
      </c>
      <c r="CX11" s="1129">
        <f ca="1">OFFSET(Labour1!$G$209,0,(COLUMN()-6)/6)</f>
        <v>5.2812999999999999</v>
      </c>
      <c r="CY11" s="1130">
        <f ca="1">OFFSET(Labour1!$G$210,0,(COLUMN()-7)/6)</f>
        <v>139.57389999999998</v>
      </c>
      <c r="CZ11" s="1130">
        <f ca="1">OFFSET(Labour1!$G$211,0,(COLUMN()-8)/6)</f>
        <v>46.770900000000005</v>
      </c>
      <c r="DA11" s="1130">
        <f ca="1">OFFSET(Labour1!$G$216,0,(COLUMN()-9)/6)</f>
        <v>5.2298999999999998</v>
      </c>
      <c r="DB11" s="580"/>
      <c r="DC11" s="582">
        <f ca="1">+DD11+DE11+DF11</f>
        <v>198.30560000000003</v>
      </c>
      <c r="DD11" s="1129">
        <f ca="1">OFFSET(Labour1!$G$209,0,(COLUMN()-6)/6)</f>
        <v>5.4248000000000003</v>
      </c>
      <c r="DE11" s="1130">
        <f ca="1">OFFSET(Labour1!$G$210,0,(COLUMN()-7)/6)</f>
        <v>144.22560000000001</v>
      </c>
      <c r="DF11" s="1130">
        <f ca="1">OFFSET(Labour1!$G$211,0,(COLUMN()-8)/6)</f>
        <v>48.655199999999994</v>
      </c>
      <c r="DG11" s="1130">
        <f ca="1">OFFSET(Labour1!$G$216,0,(COLUMN()-9)/6)</f>
        <v>5.3559999999999999</v>
      </c>
      <c r="DH11" s="580"/>
      <c r="DI11" s="582">
        <f ca="1">+DJ11+DK11+DL11</f>
        <v>202.27130000000002</v>
      </c>
      <c r="DJ11" s="1129">
        <f ca="1">OFFSET(Labour1!$G$209,0,(COLUMN()-6)/6)</f>
        <v>5.3975</v>
      </c>
      <c r="DK11" s="1130">
        <f ca="1">OFFSET(Labour1!$G$210,0,(COLUMN()-7)/6)</f>
        <v>146.68020000000001</v>
      </c>
      <c r="DL11" s="1130">
        <f ca="1">OFFSET(Labour1!$G$211,0,(COLUMN()-8)/6)</f>
        <v>50.193599999999996</v>
      </c>
      <c r="DM11" s="1130">
        <f ca="1">OFFSET(Labour1!$G$216,0,(COLUMN()-9)/6)</f>
        <v>5.4399999999999995</v>
      </c>
      <c r="DN11" s="580"/>
      <c r="DO11" s="582">
        <f ca="1">+DP11+DQ11+DR11</f>
        <v>204.8595</v>
      </c>
      <c r="DP11" s="1129">
        <f ca="1">OFFSET(Labour1!$G$209,0,(COLUMN()-6)/6)</f>
        <v>5.3263999999999996</v>
      </c>
      <c r="DQ11" s="1130">
        <f ca="1">OFFSET(Labour1!$G$210,0,(COLUMN()-7)/6)</f>
        <v>148.65279999999998</v>
      </c>
      <c r="DR11" s="1130">
        <f ca="1">OFFSET(Labour1!$G$211,0,(COLUMN()-8)/6)</f>
        <v>50.880300000000005</v>
      </c>
      <c r="DS11" s="1130">
        <f ca="1">OFFSET(Labour1!$G$216,0,(COLUMN()-9)/6)</f>
        <v>5.6836000000000002</v>
      </c>
      <c r="DT11" s="580"/>
      <c r="DU11" s="582">
        <f ca="1">+DV11+DW11+DX11</f>
        <v>206.46480000000003</v>
      </c>
      <c r="DV11" s="1129">
        <f ca="1">OFFSET(Labour1!$G$209,0,(COLUMN()-6)/6)</f>
        <v>5.2216000000000005</v>
      </c>
      <c r="DW11" s="1130">
        <f ca="1">OFFSET(Labour1!$G$210,0,(COLUMN()-7)/6)</f>
        <v>150.15020000000001</v>
      </c>
      <c r="DX11" s="1130">
        <f ca="1">OFFSET(Labour1!$G$211,0,(COLUMN()-8)/6)</f>
        <v>51.093000000000004</v>
      </c>
      <c r="DY11" s="1130">
        <f ca="1">OFFSET(Labour1!$G$216,0,(COLUMN()-9)/6)</f>
        <v>5.9424999999999999</v>
      </c>
      <c r="DZ11" s="580"/>
      <c r="EA11" s="582">
        <f ca="1">+EB11+EC11+ED11</f>
        <v>208.82509999999999</v>
      </c>
      <c r="EB11" s="1129">
        <f ca="1">OFFSET(Labour1!$G$209,0,(COLUMN()-6)/6)</f>
        <v>5.3201999999999998</v>
      </c>
      <c r="EC11" s="1130">
        <f ca="1">OFFSET(Labour1!$G$210,0,(COLUMN()-7)/6)</f>
        <v>151.2167</v>
      </c>
      <c r="ED11" s="1130">
        <f ca="1">OFFSET(Labour1!$G$211,0,(COLUMN()-8)/6)</f>
        <v>52.288199999999996</v>
      </c>
      <c r="EE11" s="1130">
        <f ca="1">OFFSET(Labour1!$G$216,0,(COLUMN()-9)/6)</f>
        <v>6.0811000000000002</v>
      </c>
      <c r="EF11" s="580"/>
      <c r="EG11" s="582">
        <f ca="1">+EH11+EI11+EJ11</f>
        <v>215.74179999999996</v>
      </c>
      <c r="EH11" s="1129">
        <f ca="1">OFFSET(Labour1!$G$209,0,(COLUMN()-6)/6)</f>
        <v>5.4266040000000002</v>
      </c>
      <c r="EI11" s="1130">
        <f ca="1">OFFSET(Labour1!$G$210,0,(COLUMN()-7)/6)</f>
        <v>156.53889599999997</v>
      </c>
      <c r="EJ11" s="1130">
        <f ca="1">OFFSET(Labour1!$G$211,0,(COLUMN()-8)/6)</f>
        <v>53.776300000000006</v>
      </c>
      <c r="EK11" s="1130">
        <f ca="1">OFFSET(Labour1!$G$216,0,(COLUMN()-9)/6)</f>
        <v>6.2044129577492138</v>
      </c>
      <c r="EL11" s="580"/>
      <c r="EM11" s="582">
        <f ca="1">+EN11+EO11+EP11</f>
        <v>222.85392806550556</v>
      </c>
      <c r="EN11" s="1129">
        <f ca="1">OFFSET(Labour1!$G$209,0,(COLUMN()-6)/6)</f>
        <v>5.5134296640000002</v>
      </c>
      <c r="EO11" s="1130">
        <f ca="1">OFFSET(Labour1!$G$210,0,(COLUMN()-7)/6)</f>
        <v>162.57168400583615</v>
      </c>
      <c r="EP11" s="1130">
        <f ca="1">OFFSET(Labour1!$G$211,0,(COLUMN()-8)/6)</f>
        <v>54.768814395669409</v>
      </c>
      <c r="EQ11" s="1130">
        <f ca="1">OFFSET(Labour1!$G$216,0,(COLUMN()-9)/6)</f>
        <v>6.3147035947375914</v>
      </c>
      <c r="ER11" s="580"/>
    </row>
    <row r="12" spans="1:148" s="577" customFormat="1" ht="13.8" thickBot="1">
      <c r="A12" s="572"/>
      <c r="B12" s="573" t="s">
        <v>624</v>
      </c>
      <c r="C12" s="4151" t="s">
        <v>560</v>
      </c>
      <c r="D12" s="4152"/>
      <c r="E12" s="583">
        <f ca="1">+E8-E9+E10-E11</f>
        <v>82.948099999999954</v>
      </c>
      <c r="F12" s="583">
        <f ca="1">+F8-F9+F10-F11</f>
        <v>32.243699999999997</v>
      </c>
      <c r="G12" s="583">
        <f ca="1">+G8-G9+G10-G11</f>
        <v>46.209799999999987</v>
      </c>
      <c r="H12" s="583">
        <f ca="1">+H8-H9+H10-H11</f>
        <v>4.7053000000000011</v>
      </c>
      <c r="I12" s="584"/>
      <c r="J12" s="580"/>
      <c r="K12" s="583">
        <f ca="1">+K8-K9+K10-K11</f>
        <v>84.211999999999989</v>
      </c>
      <c r="L12" s="583">
        <f ca="1">+L8-L9+L10-L11</f>
        <v>32.923400000000001</v>
      </c>
      <c r="M12" s="583">
        <f ca="1">+M8-M9+M10-M11</f>
        <v>46.45089999999999</v>
      </c>
      <c r="N12" s="583">
        <f ca="1">+N8-N9+N10-N11</f>
        <v>4.8376999999999981</v>
      </c>
      <c r="O12" s="584"/>
      <c r="P12" s="580"/>
      <c r="Q12" s="583">
        <f ca="1">+Q8-Q9+Q10-Q11</f>
        <v>87.818700000000007</v>
      </c>
      <c r="R12" s="583">
        <f ca="1">+R8-R9+R10-R11</f>
        <v>34.245799999999996</v>
      </c>
      <c r="S12" s="583">
        <f ca="1">+S8-S9+S10-S11</f>
        <v>48.646000000000015</v>
      </c>
      <c r="T12" s="583">
        <f ca="1">+T8-T9+T10-T11</f>
        <v>4.9268999999999963</v>
      </c>
      <c r="U12" s="584"/>
      <c r="V12" s="580"/>
      <c r="W12" s="583">
        <f ca="1">+W8-W9+W10-W11</f>
        <v>91.509500000000003</v>
      </c>
      <c r="X12" s="583">
        <f ca="1">+X8-X9+X10-X11</f>
        <v>35.330199999999991</v>
      </c>
      <c r="Y12" s="583">
        <f ca="1">+Y8-Y9+Y10-Y11</f>
        <v>51.087699999999998</v>
      </c>
      <c r="Z12" s="583">
        <f ca="1">+Z8-Z9+Z10-Z11</f>
        <v>5.0915999999999997</v>
      </c>
      <c r="AA12" s="584"/>
      <c r="AB12" s="580"/>
      <c r="AC12" s="583">
        <f ca="1">+AC8-AC9+AC10-AC11</f>
        <v>93.356799999999978</v>
      </c>
      <c r="AD12" s="583">
        <f ca="1">+AD8-AD9+AD10-AD11</f>
        <v>36.043500000000009</v>
      </c>
      <c r="AE12" s="583">
        <f ca="1">+AE8-AE9+AE10-AE11</f>
        <v>52.059999999999974</v>
      </c>
      <c r="AF12" s="583">
        <f ca="1">+AF8-AF9+AF10-AF11</f>
        <v>5.2532999999999994</v>
      </c>
      <c r="AG12" s="584"/>
      <c r="AH12" s="580"/>
      <c r="AI12" s="583">
        <f ca="1">+AI8-AI9+AI10-AI11</f>
        <v>100.17099999999996</v>
      </c>
      <c r="AJ12" s="583">
        <f ca="1">+AJ8-AJ9+AJ10-AJ11</f>
        <v>37.926000000000002</v>
      </c>
      <c r="AK12" s="583">
        <f ca="1">+AK8-AK9+AK10-AK11</f>
        <v>56.738399999999999</v>
      </c>
      <c r="AL12" s="583">
        <f ca="1">+AL8-AL9+AL10-AL11</f>
        <v>5.5065999999999953</v>
      </c>
      <c r="AM12" s="584"/>
      <c r="AN12" s="580"/>
      <c r="AO12" s="583">
        <f ca="1">+AO8-AO9+AO10-AO11</f>
        <v>101.066</v>
      </c>
      <c r="AP12" s="583">
        <f ca="1">+AP8-AP9+AP10-AP11</f>
        <v>38.894799999999996</v>
      </c>
      <c r="AQ12" s="583">
        <f ca="1">+AQ8-AQ9+AQ10-AQ11</f>
        <v>56.521299999999997</v>
      </c>
      <c r="AR12" s="583">
        <f ca="1">+AR8-AR9+AR10-AR11</f>
        <v>5.6498999999999953</v>
      </c>
      <c r="AS12" s="584"/>
      <c r="AT12" s="580"/>
      <c r="AU12" s="583">
        <f ca="1">+AU8-AU9+AU10-AU11</f>
        <v>103.89669999999998</v>
      </c>
      <c r="AV12" s="583">
        <f ca="1">+AV8-AV9+AV10-AV11</f>
        <v>38.306799999999996</v>
      </c>
      <c r="AW12" s="583">
        <f ca="1">+AW8-AW9+AW10-AW11</f>
        <v>59.789800000000014</v>
      </c>
      <c r="AX12" s="583">
        <f ca="1">+AX8-AX9+AX10-AX11</f>
        <v>5.8001000000000005</v>
      </c>
      <c r="AY12" s="584"/>
      <c r="AZ12" s="580"/>
      <c r="BA12" s="583">
        <f ca="1">+BA8-BA9+BA10-BA11</f>
        <v>108.32540000000003</v>
      </c>
      <c r="BB12" s="583">
        <f ca="1">+BB8-BB9+BB10-BB11</f>
        <v>38.942299999999996</v>
      </c>
      <c r="BC12" s="583">
        <f ca="1">+BC8-BC9+BC10-BC11</f>
        <v>63.360300000000009</v>
      </c>
      <c r="BD12" s="583">
        <f ca="1">+BD8-BD9+BD10-BD11</f>
        <v>6.0227999999999966</v>
      </c>
      <c r="BE12" s="584"/>
      <c r="BF12" s="580"/>
      <c r="BG12" s="583">
        <f ca="1">+BG8-BG9+BG10-BG11</f>
        <v>117.67609999999996</v>
      </c>
      <c r="BH12" s="583">
        <f ca="1">+BH8-BH9+BH10-BH11</f>
        <v>39.564999999999998</v>
      </c>
      <c r="BI12" s="583">
        <f ca="1">+BI8-BI9+BI10-BI11</f>
        <v>71.971600000000009</v>
      </c>
      <c r="BJ12" s="583">
        <f ca="1">+BJ8-BJ9+BJ10-BJ11</f>
        <v>6.1395000000000053</v>
      </c>
      <c r="BK12" s="584"/>
      <c r="BL12" s="580"/>
      <c r="BM12" s="583">
        <f ca="1">+BM8-BM9+BM10-BM11</f>
        <v>125.02820000000003</v>
      </c>
      <c r="BN12" s="583">
        <f ca="1">+BN8-BN9+BN10-BN11</f>
        <v>41.386400000000002</v>
      </c>
      <c r="BO12" s="583">
        <f ca="1">+BO8-BO9+BO10-BO11</f>
        <v>76.988500000000016</v>
      </c>
      <c r="BP12" s="583">
        <f ca="1">+BP8-BP9+BP10-BP11</f>
        <v>6.6533000000000015</v>
      </c>
      <c r="BQ12" s="584"/>
      <c r="BR12" s="580"/>
      <c r="BS12" s="583">
        <f ca="1">+BS8-BS9+BS10-BS11</f>
        <v>132.07339999999994</v>
      </c>
      <c r="BT12" s="583">
        <f ca="1">+BT8-BT9+BT10-BT11</f>
        <v>43.739100000000001</v>
      </c>
      <c r="BU12" s="583">
        <f ca="1">+BU8-BU9+BU10-BU11</f>
        <v>81.178100000000001</v>
      </c>
      <c r="BV12" s="583">
        <f ca="1">+BV8-BV9+BV10-BV11</f>
        <v>7.1562000000000054</v>
      </c>
      <c r="BW12" s="584"/>
      <c r="BX12" s="580"/>
      <c r="BY12" s="583">
        <f ca="1">+BY8-BY9+BY10-BY11</f>
        <v>140.56589999999997</v>
      </c>
      <c r="BZ12" s="583">
        <f ca="1">+BZ8-BZ9+BZ10-BZ11</f>
        <v>45.7</v>
      </c>
      <c r="CA12" s="583">
        <f ca="1">+CA8-CA9+CA10-CA11</f>
        <v>87.360199999999978</v>
      </c>
      <c r="CB12" s="583">
        <f ca="1">+CB8-CB9+CB10-CB11</f>
        <v>7.5057000000000116</v>
      </c>
      <c r="CC12" s="584"/>
      <c r="CD12" s="580"/>
      <c r="CE12" s="583">
        <f ca="1">+CE8-CE9+CE10-CE11</f>
        <v>140.7979</v>
      </c>
      <c r="CF12" s="583">
        <f ca="1">+CF8-CF9+CF10-CF11</f>
        <v>46.819700000000005</v>
      </c>
      <c r="CG12" s="583">
        <f ca="1">+CG8-CG9+CG10-CG11</f>
        <v>86.113699999999994</v>
      </c>
      <c r="CH12" s="583">
        <f ca="1">+CH8-CH9+CH10-CH11</f>
        <v>7.8644999999999996</v>
      </c>
      <c r="CI12" s="584"/>
      <c r="CJ12" s="580"/>
      <c r="CK12" s="583">
        <f ca="1">+CK8-CK9+CK10-CK11</f>
        <v>135.7496999999999</v>
      </c>
      <c r="CL12" s="583">
        <f ca="1">+CL8-CL9+CL10-CL11</f>
        <v>45.276699999999991</v>
      </c>
      <c r="CM12" s="583">
        <f ca="1">+CM8-CM9+CM10-CM11</f>
        <v>82.739499999999964</v>
      </c>
      <c r="CN12" s="583">
        <f ca="1">+CN8-CN9+CN10-CN11</f>
        <v>7.7334999999999923</v>
      </c>
      <c r="CO12" s="584"/>
      <c r="CP12" s="580"/>
      <c r="CQ12" s="583">
        <f ca="1">+CQ8-CQ9+CQ10-CQ11</f>
        <v>147.00800000000001</v>
      </c>
      <c r="CR12" s="583">
        <f ca="1">+CR8-CR9+CR10-CR11</f>
        <v>45.916699999999999</v>
      </c>
      <c r="CS12" s="583">
        <f ca="1">+CS8-CS9+CS10-CS11</f>
        <v>92.978199999999987</v>
      </c>
      <c r="CT12" s="583">
        <f ca="1">+CT8-CT9+CT10-CT11</f>
        <v>8.1131000000000029</v>
      </c>
      <c r="CU12" s="584"/>
      <c r="CV12" s="580"/>
      <c r="CW12" s="583">
        <f ca="1">+CW8-CW9+CW10-CW11</f>
        <v>151.95320000000001</v>
      </c>
      <c r="CX12" s="583">
        <f ca="1">+CX8-CX9+CX10-CX11</f>
        <v>46.823</v>
      </c>
      <c r="CY12" s="583">
        <f ca="1">+CY8-CY9+CY10-CY11</f>
        <v>96.501900000000035</v>
      </c>
      <c r="CZ12" s="583">
        <f ca="1">+CZ8-CZ9+CZ10-CZ11</f>
        <v>8.628300000000003</v>
      </c>
      <c r="DA12" s="584"/>
      <c r="DB12" s="580"/>
      <c r="DC12" s="583">
        <f ca="1">+DC8-DC9+DC10-DC11</f>
        <v>151.2013</v>
      </c>
      <c r="DD12" s="583">
        <f ca="1">+DD8-DD9+DD10-DD11</f>
        <v>47.414400000000001</v>
      </c>
      <c r="DE12" s="583">
        <f ca="1">+DE8-DE9+DE10-DE11</f>
        <v>94.854999999999961</v>
      </c>
      <c r="DF12" s="583">
        <f ca="1">+DF8-DF9+DF10-DF11</f>
        <v>8.9319000000000131</v>
      </c>
      <c r="DG12" s="584"/>
      <c r="DH12" s="580"/>
      <c r="DI12" s="583">
        <f ca="1">+DI8-DI9+DI10-DI11</f>
        <v>151.88689999999994</v>
      </c>
      <c r="DJ12" s="583">
        <f ca="1">+DJ8-DJ9+DJ10-DJ11</f>
        <v>47.344499999999996</v>
      </c>
      <c r="DK12" s="583">
        <f ca="1">+DK8-DK9+DK10-DK11</f>
        <v>95.500699999999966</v>
      </c>
      <c r="DL12" s="583">
        <f ca="1">+DL8-DL9+DL10-DL11</f>
        <v>9.0417000000000058</v>
      </c>
      <c r="DM12" s="584"/>
      <c r="DN12" s="580"/>
      <c r="DO12" s="583">
        <f ca="1">+DO8-DO9+DO10-DO11</f>
        <v>156.51410000000007</v>
      </c>
      <c r="DP12" s="583">
        <f ca="1">+DP8-DP9+DP10-DP11</f>
        <v>48.919699999999999</v>
      </c>
      <c r="DQ12" s="583">
        <f ca="1">+DQ8-DQ9+DQ10-DQ11</f>
        <v>98.465399999999988</v>
      </c>
      <c r="DR12" s="583">
        <f ca="1">+DR8-DR9+DR10-DR11</f>
        <v>9.1143999999999963</v>
      </c>
      <c r="DS12" s="584"/>
      <c r="DT12" s="580"/>
      <c r="DU12" s="583">
        <f ca="1">+DU8-DU9+DU10-DU11</f>
        <v>164.28959999999995</v>
      </c>
      <c r="DV12" s="583">
        <f ca="1">+DV8-DV9+DV10-DV11</f>
        <v>49.655200000000008</v>
      </c>
      <c r="DW12" s="583">
        <f ca="1">+DW8-DW9+DW10-DW11</f>
        <v>105.3657</v>
      </c>
      <c r="DX12" s="583">
        <f ca="1">+DX8-DX9+DX10-DX11</f>
        <v>9.1839999999999975</v>
      </c>
      <c r="DY12" s="584"/>
      <c r="DZ12" s="580"/>
      <c r="EA12" s="583">
        <f ca="1">+EA8-EA9+EA10-EA11</f>
        <v>171.57920000000004</v>
      </c>
      <c r="EB12" s="583">
        <f ca="1">+EB8-EB9+EB10-EB11</f>
        <v>50.114100000000008</v>
      </c>
      <c r="EC12" s="583">
        <f ca="1">+EC8-EC9+EC10-EC11</f>
        <v>111.8066</v>
      </c>
      <c r="ED12" s="583">
        <f ca="1">+ED8-ED9+ED10-ED11</f>
        <v>9.3145000000000095</v>
      </c>
      <c r="EE12" s="584"/>
      <c r="EF12" s="580"/>
      <c r="EG12" s="583">
        <f ca="1">+EG8-EG9+EG10-EG11</f>
        <v>178.1962166072841</v>
      </c>
      <c r="EH12" s="583">
        <f ca="1">+EH8-EH9+EH10-EH11</f>
        <v>51.116382000000009</v>
      </c>
      <c r="EI12" s="583">
        <f ca="1">+EI8-EI9+EI10-EI11</f>
        <v>117.53993460728401</v>
      </c>
      <c r="EJ12" s="583">
        <f ca="1">+EJ8-EJ9+EJ10-EJ11</f>
        <v>9.5397999999999925</v>
      </c>
      <c r="EK12" s="584"/>
      <c r="EL12" s="580"/>
      <c r="EM12" s="583">
        <f ca="1">+EM8-EM9+EM10-EM11</f>
        <v>184.36695878619003</v>
      </c>
      <c r="EN12" s="583">
        <f ca="1">+EN8-EN9+EN10-EN11</f>
        <v>52.138709640000009</v>
      </c>
      <c r="EO12" s="583">
        <f ca="1">+EO8-EO9+EO10-EO11</f>
        <v>122.68347529439009</v>
      </c>
      <c r="EP12" s="583">
        <f ca="1">+EP8-EP9+EP10-EP11</f>
        <v>9.5447738518000023</v>
      </c>
      <c r="EQ12" s="584"/>
      <c r="ER12" s="580"/>
    </row>
    <row r="13" spans="1:148">
      <c r="A13" s="567"/>
      <c r="B13" s="568" t="s">
        <v>622</v>
      </c>
      <c r="C13" s="4136" t="s">
        <v>561</v>
      </c>
      <c r="D13" s="4135"/>
      <c r="E13" s="582">
        <f ca="1">+F13</f>
        <v>108.73860000000001</v>
      </c>
      <c r="F13" s="1131">
        <f ca="1">OFFSET(Labour1!$G$217,0,(COLUMN()-6)/6)</f>
        <v>108.73860000000001</v>
      </c>
      <c r="G13" s="585"/>
      <c r="H13" s="578"/>
      <c r="I13" s="633" t="s">
        <v>816</v>
      </c>
      <c r="J13" s="576">
        <f ca="1">+E13-E11-I11</f>
        <v>0.25229999999999597</v>
      </c>
      <c r="K13" s="582">
        <f ca="1">+L13</f>
        <v>110.9706</v>
      </c>
      <c r="L13" s="1131">
        <f ca="1">OFFSET(Labour1!$G$217,0,(COLUMN()-6)/6)</f>
        <v>110.9706</v>
      </c>
      <c r="M13" s="585"/>
      <c r="N13" s="578"/>
      <c r="O13" s="633" t="s">
        <v>816</v>
      </c>
      <c r="P13" s="576">
        <f ca="1">+K13-K11-O11</f>
        <v>1.000000000015433E-4</v>
      </c>
      <c r="Q13" s="582">
        <f ca="1">+R13</f>
        <v>115.187</v>
      </c>
      <c r="R13" s="1131">
        <f ca="1">OFFSET(Labour1!$G$217,0,(COLUMN()-6)/6)</f>
        <v>115.187</v>
      </c>
      <c r="S13" s="585"/>
      <c r="T13" s="578"/>
      <c r="U13" s="633" t="s">
        <v>816</v>
      </c>
      <c r="V13" s="576">
        <f ca="1">+Q13-Q11-U11</f>
        <v>-5.3290705182007514E-15</v>
      </c>
      <c r="W13" s="582">
        <f ca="1">+X13</f>
        <v>119.3878</v>
      </c>
      <c r="X13" s="1131">
        <f ca="1">OFFSET(Labour1!$G$217,0,(COLUMN()-6)/6)</f>
        <v>119.3878</v>
      </c>
      <c r="Y13" s="585"/>
      <c r="Z13" s="578"/>
      <c r="AA13" s="633" t="s">
        <v>816</v>
      </c>
      <c r="AB13" s="576">
        <f ca="1">+W13-W11-AA11</f>
        <v>1.0000000000065512E-4</v>
      </c>
      <c r="AC13" s="582">
        <f ca="1">+AD13</f>
        <v>125.6863</v>
      </c>
      <c r="AD13" s="1131">
        <f ca="1">OFFSET(Labour1!$G$217,0,(COLUMN()-6)/6)</f>
        <v>125.6863</v>
      </c>
      <c r="AE13" s="585"/>
      <c r="AF13" s="578"/>
      <c r="AG13" s="633" t="s">
        <v>816</v>
      </c>
      <c r="AH13" s="576">
        <f ca="1">+AC13-AC11-AG11</f>
        <v>0</v>
      </c>
      <c r="AI13" s="582">
        <f ca="1">+AJ13</f>
        <v>131.40450000000001</v>
      </c>
      <c r="AJ13" s="1131">
        <f ca="1">OFFSET(Labour1!$G$217,0,(COLUMN()-6)/6)</f>
        <v>131.40450000000001</v>
      </c>
      <c r="AK13" s="585"/>
      <c r="AL13" s="578"/>
      <c r="AM13" s="633" t="s">
        <v>816</v>
      </c>
      <c r="AN13" s="576">
        <f ca="1">+AI13-AI11-AM11</f>
        <v>1.2878587085651816E-14</v>
      </c>
      <c r="AO13" s="582">
        <f ca="1">+AP13</f>
        <v>138.8134</v>
      </c>
      <c r="AP13" s="1131">
        <f ca="1">OFFSET(Labour1!$G$217,0,(COLUMN()-6)/6)</f>
        <v>138.8134</v>
      </c>
      <c r="AQ13" s="585"/>
      <c r="AR13" s="578"/>
      <c r="AS13" s="633" t="s">
        <v>816</v>
      </c>
      <c r="AT13" s="576">
        <f ca="1">+AO13-AO11-AS11</f>
        <v>9.9999999989108801E-5</v>
      </c>
      <c r="AU13" s="582">
        <f ca="1">+AV13</f>
        <v>144.3655</v>
      </c>
      <c r="AV13" s="1131">
        <f ca="1">OFFSET(Labour1!$G$217,0,(COLUMN()-6)/6)</f>
        <v>144.3655</v>
      </c>
      <c r="AW13" s="585"/>
      <c r="AX13" s="578"/>
      <c r="AY13" s="633" t="s">
        <v>816</v>
      </c>
      <c r="AZ13" s="576">
        <f ca="1">+AU13-AU11-AY11</f>
        <v>3.5527136788005009E-15</v>
      </c>
      <c r="BA13" s="582">
        <f ca="1">+BB13</f>
        <v>147.3194</v>
      </c>
      <c r="BB13" s="1131">
        <f ca="1">OFFSET(Labour1!$G$217,0,(COLUMN()-6)/6)</f>
        <v>147.3194</v>
      </c>
      <c r="BC13" s="585"/>
      <c r="BD13" s="578"/>
      <c r="BE13" s="633" t="s">
        <v>816</v>
      </c>
      <c r="BF13" s="576">
        <f ca="1">+BA13-BA11-BE11</f>
        <v>8.8817841970012523E-15</v>
      </c>
      <c r="BG13" s="582">
        <f ca="1">+BH13</f>
        <v>151.81570000000002</v>
      </c>
      <c r="BH13" s="1131">
        <f ca="1">OFFSET(Labour1!$G$217,0,(COLUMN()-6)/6)</f>
        <v>151.81570000000002</v>
      </c>
      <c r="BI13" s="585"/>
      <c r="BJ13" s="578"/>
      <c r="BK13" s="633" t="s">
        <v>816</v>
      </c>
      <c r="BL13" s="576">
        <f ca="1">+BG13-BG11-BK11</f>
        <v>3.9968028886505635E-14</v>
      </c>
      <c r="BM13" s="582">
        <f ca="1">+BN13</f>
        <v>157.095</v>
      </c>
      <c r="BN13" s="1131">
        <f ca="1">OFFSET(Labour1!$G$217,0,(COLUMN()-6)/6)</f>
        <v>157.095</v>
      </c>
      <c r="BO13" s="585"/>
      <c r="BP13" s="578"/>
      <c r="BQ13" s="633" t="s">
        <v>816</v>
      </c>
      <c r="BR13" s="576">
        <f ca="1">+BM13-BM11-BQ11</f>
        <v>2.7533531010703882E-14</v>
      </c>
      <c r="BS13" s="582">
        <f ca="1">+BT13</f>
        <v>164.73150000000001</v>
      </c>
      <c r="BT13" s="1131">
        <f ca="1">OFFSET(Labour1!$G$217,0,(COLUMN()-6)/6)</f>
        <v>164.73150000000001</v>
      </c>
      <c r="BU13" s="585"/>
      <c r="BV13" s="578"/>
      <c r="BW13" s="633" t="s">
        <v>816</v>
      </c>
      <c r="BX13" s="576">
        <f ca="1">+BS13-BS11-BW11</f>
        <v>0</v>
      </c>
      <c r="BY13" s="582">
        <f ca="1">+BZ13</f>
        <v>173.56210000000002</v>
      </c>
      <c r="BZ13" s="1131">
        <f ca="1">OFFSET(Labour1!$G$217,0,(COLUMN()-6)/6)</f>
        <v>173.56210000000002</v>
      </c>
      <c r="CA13" s="585"/>
      <c r="CB13" s="578"/>
      <c r="CC13" s="633" t="s">
        <v>816</v>
      </c>
      <c r="CD13" s="576">
        <f ca="1">+BY13-BY11-CC11</f>
        <v>0</v>
      </c>
      <c r="CE13" s="582">
        <f ca="1">+CF13</f>
        <v>183.1001</v>
      </c>
      <c r="CF13" s="1131">
        <f ca="1">OFFSET(Labour1!$G$217,0,(COLUMN()-6)/6)</f>
        <v>183.1001</v>
      </c>
      <c r="CG13" s="585"/>
      <c r="CH13" s="578"/>
      <c r="CI13" s="633" t="s">
        <v>816</v>
      </c>
      <c r="CJ13" s="576">
        <f ca="1">+CE13-CE11-CI11</f>
        <v>-2.6645352591003757E-14</v>
      </c>
      <c r="CK13" s="582">
        <f ca="1">+CL13</f>
        <v>184.52510000000001</v>
      </c>
      <c r="CL13" s="1131">
        <f ca="1">OFFSET(Labour1!$G$217,0,(COLUMN()-6)/6)</f>
        <v>184.52510000000001</v>
      </c>
      <c r="CM13" s="585"/>
      <c r="CN13" s="578"/>
      <c r="CO13" s="633" t="s">
        <v>816</v>
      </c>
      <c r="CP13" s="576">
        <f ca="1">+CK13-CK11-CO11</f>
        <v>-2.042810365310288E-14</v>
      </c>
      <c r="CQ13" s="582">
        <f ca="1">+CR13</f>
        <v>188.399</v>
      </c>
      <c r="CR13" s="1131">
        <f ca="1">OFFSET(Labour1!$G$217,0,(COLUMN()-6)/6)</f>
        <v>188.399</v>
      </c>
      <c r="CS13" s="585"/>
      <c r="CT13" s="578"/>
      <c r="CU13" s="633" t="s">
        <v>816</v>
      </c>
      <c r="CV13" s="576">
        <f ca="1">+CQ13-CQ11-CU11</f>
        <v>-1.2434497875801753E-14</v>
      </c>
      <c r="CW13" s="582">
        <f ca="1">+CX13</f>
        <v>196.85599999999999</v>
      </c>
      <c r="CX13" s="1131">
        <f ca="1">OFFSET(Labour1!$G$217,0,(COLUMN()-6)/6)</f>
        <v>196.85599999999999</v>
      </c>
      <c r="CY13" s="585"/>
      <c r="CZ13" s="578"/>
      <c r="DA13" s="633" t="s">
        <v>816</v>
      </c>
      <c r="DB13" s="576">
        <f ca="1">+CW13-CW11-DA11</f>
        <v>1.5099033134902129E-14</v>
      </c>
      <c r="DC13" s="582">
        <f ca="1">+DD13</f>
        <v>203.66159999999999</v>
      </c>
      <c r="DD13" s="1131">
        <f ca="1">OFFSET(Labour1!$G$217,0,(COLUMN()-6)/6)</f>
        <v>203.66159999999999</v>
      </c>
      <c r="DE13" s="585"/>
      <c r="DF13" s="578"/>
      <c r="DG13" s="633" t="s">
        <v>816</v>
      </c>
      <c r="DH13" s="576">
        <f ca="1">+DC13-DC11-DG11</f>
        <v>-3.3750779948604759E-14</v>
      </c>
      <c r="DI13" s="582">
        <f ca="1">+DJ13</f>
        <v>207.7114</v>
      </c>
      <c r="DJ13" s="1131">
        <f ca="1">OFFSET(Labour1!$G$217,0,(COLUMN()-6)/6)</f>
        <v>207.7114</v>
      </c>
      <c r="DK13" s="585"/>
      <c r="DL13" s="578"/>
      <c r="DM13" s="633" t="s">
        <v>816</v>
      </c>
      <c r="DN13" s="576">
        <f ca="1">+DI13-DI11-DM11</f>
        <v>9.9999999973121589E-5</v>
      </c>
      <c r="DO13" s="582">
        <f ca="1">+DP13</f>
        <v>210.5333</v>
      </c>
      <c r="DP13" s="1131">
        <f ca="1">OFFSET(Labour1!$G$217,0,(COLUMN()-6)/6)</f>
        <v>210.5333</v>
      </c>
      <c r="DQ13" s="585"/>
      <c r="DR13" s="578"/>
      <c r="DS13" s="633" t="s">
        <v>816</v>
      </c>
      <c r="DT13" s="576">
        <f ca="1">+DO13-DO11-DS11</f>
        <v>-9.800000000000253E-3</v>
      </c>
      <c r="DU13" s="582">
        <f ca="1">+DV13</f>
        <v>212.48429999999999</v>
      </c>
      <c r="DV13" s="1131">
        <f ca="1">OFFSET(Labour1!$G$217,0,(COLUMN()-6)/6)</f>
        <v>212.48429999999999</v>
      </c>
      <c r="DW13" s="585"/>
      <c r="DX13" s="578"/>
      <c r="DY13" s="633" t="s">
        <v>816</v>
      </c>
      <c r="DZ13" s="576">
        <f ca="1">+DU13-DU11-DY11</f>
        <v>7.6999999999965318E-2</v>
      </c>
      <c r="EA13" s="582">
        <f ca="1">+EB13</f>
        <v>215.2261</v>
      </c>
      <c r="EB13" s="1131">
        <f ca="1">OFFSET(Labour1!$G$217,0,(COLUMN()-6)/6)</f>
        <v>215.2261</v>
      </c>
      <c r="EC13" s="585"/>
      <c r="ED13" s="578"/>
      <c r="EE13" s="633" t="s">
        <v>816</v>
      </c>
      <c r="EF13" s="576">
        <f ca="1">+EA13-EA11-EE11</f>
        <v>0.31990000000001029</v>
      </c>
      <c r="EG13" s="582">
        <f ca="1">+EH13</f>
        <v>221.9462129577492</v>
      </c>
      <c r="EH13" s="1131">
        <f ca="1">OFFSET(Labour1!$G$217,0,(COLUMN()-6)/6)</f>
        <v>221.9462129577492</v>
      </c>
      <c r="EI13" s="585"/>
      <c r="EJ13" s="578"/>
      <c r="EK13" s="633" t="s">
        <v>816</v>
      </c>
      <c r="EL13" s="576">
        <f ca="1">+EG13-EG11-EK11</f>
        <v>2.7533531010703882E-14</v>
      </c>
      <c r="EM13" s="582">
        <f ca="1">+EN13</f>
        <v>229.16863166024314</v>
      </c>
      <c r="EN13" s="1131">
        <f ca="1">OFFSET(Labour1!$G$217,0,(COLUMN()-6)/6)</f>
        <v>229.16863166024314</v>
      </c>
      <c r="EO13" s="585"/>
      <c r="EP13" s="578"/>
      <c r="EQ13" s="633" t="s">
        <v>816</v>
      </c>
      <c r="ER13" s="576">
        <f ca="1">+EM13-EM11-EQ11</f>
        <v>-1.1546319456101628E-14</v>
      </c>
    </row>
    <row r="14" spans="1:148" s="586" customFormat="1">
      <c r="B14" s="587"/>
      <c r="C14" s="588"/>
      <c r="D14" s="589" t="s">
        <v>1696</v>
      </c>
      <c r="E14" s="1137"/>
      <c r="F14" s="1132">
        <f ca="1">OFFSET(Labour1!$G$137,0,(COLUMN()-6)/6)</f>
        <v>80.913399999999996</v>
      </c>
      <c r="G14" s="1138"/>
      <c r="H14" s="1139"/>
      <c r="I14" s="1139"/>
      <c r="J14" s="566"/>
      <c r="K14" s="1137"/>
      <c r="L14" s="1132">
        <f ca="1">OFFSET(Labour1!$G$137,0,(COLUMN()-6)/6)</f>
        <v>82.33</v>
      </c>
      <c r="M14" s="1138"/>
      <c r="N14" s="1139"/>
      <c r="O14" s="1139"/>
      <c r="P14" s="566"/>
      <c r="Q14" s="1137"/>
      <c r="R14" s="1132">
        <f ca="1">OFFSET(Labour1!$G$137,0,(COLUMN()-6)/6)</f>
        <v>85.183800000000005</v>
      </c>
      <c r="S14" s="1138"/>
      <c r="T14" s="1139"/>
      <c r="U14" s="1139"/>
      <c r="V14" s="566"/>
      <c r="W14" s="1137"/>
      <c r="X14" s="1132">
        <f ca="1">OFFSET(Labour1!$G$137,0,(COLUMN()-6)/6)</f>
        <v>87.7453</v>
      </c>
      <c r="Y14" s="1138"/>
      <c r="Z14" s="1139"/>
      <c r="AA14" s="1139"/>
      <c r="AB14" s="566"/>
      <c r="AC14" s="1137"/>
      <c r="AD14" s="1132">
        <f ca="1">OFFSET(Labour1!$G$137,0,(COLUMN()-6)/6)</f>
        <v>92.834299999999999</v>
      </c>
      <c r="AE14" s="1138"/>
      <c r="AF14" s="1139"/>
      <c r="AG14" s="1139"/>
      <c r="AH14" s="566"/>
      <c r="AI14" s="1137"/>
      <c r="AJ14" s="1132">
        <f ca="1">OFFSET(Labour1!$G$137,0,(COLUMN()-6)/6)</f>
        <v>97.885300000000001</v>
      </c>
      <c r="AK14" s="1138"/>
      <c r="AL14" s="1139"/>
      <c r="AM14" s="1139"/>
      <c r="AN14" s="566"/>
      <c r="AO14" s="1137"/>
      <c r="AP14" s="1132">
        <f ca="1">OFFSET(Labour1!$G$137,0,(COLUMN()-6)/6)</f>
        <v>103.5061</v>
      </c>
      <c r="AQ14" s="1138"/>
      <c r="AR14" s="1139"/>
      <c r="AS14" s="1139"/>
      <c r="AT14" s="566"/>
      <c r="AU14" s="1137"/>
      <c r="AV14" s="1132">
        <f ca="1">OFFSET(Labour1!$G$137,0,(COLUMN()-6)/6)</f>
        <v>106.7933</v>
      </c>
      <c r="AW14" s="1138"/>
      <c r="AX14" s="1139"/>
      <c r="AY14" s="1139"/>
      <c r="AZ14" s="566"/>
      <c r="BA14" s="1137"/>
      <c r="BB14" s="1132">
        <f ca="1">OFFSET(Labour1!$G$137,0,(COLUMN()-6)/6)</f>
        <v>108.7283</v>
      </c>
      <c r="BC14" s="1138"/>
      <c r="BD14" s="1139"/>
      <c r="BE14" s="1139"/>
      <c r="BF14" s="566"/>
      <c r="BG14" s="1137"/>
      <c r="BH14" s="1132">
        <f ca="1">OFFSET(Labour1!$G$137,0,(COLUMN()-6)/6)</f>
        <v>112.2076</v>
      </c>
      <c r="BI14" s="1138"/>
      <c r="BJ14" s="1139"/>
      <c r="BK14" s="1139"/>
      <c r="BL14" s="566"/>
      <c r="BM14" s="1137"/>
      <c r="BN14" s="1132">
        <f ca="1">OFFSET(Labour1!$G$137,0,(COLUMN()-6)/6)</f>
        <v>116.42160000000001</v>
      </c>
      <c r="BO14" s="1138"/>
      <c r="BP14" s="1139"/>
      <c r="BQ14" s="1139"/>
      <c r="BR14" s="566"/>
      <c r="BS14" s="1137"/>
      <c r="BT14" s="1132">
        <f ca="1">OFFSET(Labour1!$G$137,0,(COLUMN()-6)/6)</f>
        <v>122.0068</v>
      </c>
      <c r="BU14" s="1138"/>
      <c r="BV14" s="1139"/>
      <c r="BW14" s="1139"/>
      <c r="BX14" s="566"/>
      <c r="BY14" s="1137"/>
      <c r="BZ14" s="1132">
        <f ca="1">OFFSET(Labour1!$G$137,0,(COLUMN()-6)/6)</f>
        <v>127.6332</v>
      </c>
      <c r="CA14" s="1138"/>
      <c r="CB14" s="1139"/>
      <c r="CC14" s="1139"/>
      <c r="CD14" s="566"/>
      <c r="CE14" s="1137"/>
      <c r="CF14" s="1132">
        <f ca="1">OFFSET(Labour1!$G$137,0,(COLUMN()-6)/6)</f>
        <v>134.3725</v>
      </c>
      <c r="CG14" s="1138"/>
      <c r="CH14" s="1139"/>
      <c r="CI14" s="1139"/>
      <c r="CJ14" s="566"/>
      <c r="CK14" s="1137"/>
      <c r="CL14" s="1132">
        <f ca="1">OFFSET(Labour1!$G$137,0,(COLUMN()-6)/6)</f>
        <v>134.5641</v>
      </c>
      <c r="CM14" s="1138"/>
      <c r="CN14" s="1139"/>
      <c r="CO14" s="1139"/>
      <c r="CP14" s="566"/>
      <c r="CQ14" s="1137"/>
      <c r="CR14" s="1132">
        <f ca="1">OFFSET(Labour1!$G$137,0,(COLUMN()-6)/6)</f>
        <v>137.19279999999998</v>
      </c>
      <c r="CS14" s="1138"/>
      <c r="CT14" s="1139"/>
      <c r="CU14" s="1139"/>
      <c r="CV14" s="566"/>
      <c r="CW14" s="1137"/>
      <c r="CX14" s="1132">
        <f ca="1">OFFSET(Labour1!$G$137,0,(COLUMN()-6)/6)</f>
        <v>143.4821</v>
      </c>
      <c r="CY14" s="1138"/>
      <c r="CZ14" s="1139"/>
      <c r="DA14" s="1139"/>
      <c r="DB14" s="566"/>
      <c r="DC14" s="1137"/>
      <c r="DD14" s="1132">
        <f ca="1">OFFSET(Labour1!$G$137,0,(COLUMN()-6)/6)</f>
        <v>148.08250000000001</v>
      </c>
      <c r="DE14" s="1138"/>
      <c r="DF14" s="1139"/>
      <c r="DG14" s="1139"/>
      <c r="DH14" s="566"/>
      <c r="DI14" s="1137"/>
      <c r="DJ14" s="1132">
        <f ca="1">OFFSET(Labour1!$G$137,0,(COLUMN()-6)/6)</f>
        <v>150.81729999999999</v>
      </c>
      <c r="DK14" s="1138"/>
      <c r="DL14" s="1139"/>
      <c r="DM14" s="1139"/>
      <c r="DN14" s="566"/>
      <c r="DO14" s="1137"/>
      <c r="DP14" s="1132">
        <f ca="1">OFFSET(Labour1!$G$137,0,(COLUMN()-6)/6)</f>
        <v>153.09179999999998</v>
      </c>
      <c r="DQ14" s="1138"/>
      <c r="DR14" s="1139"/>
      <c r="DS14" s="1139"/>
      <c r="DT14" s="566"/>
      <c r="DU14" s="1137"/>
      <c r="DV14" s="1132">
        <f ca="1">OFFSET(Labour1!$G$137,0,(COLUMN()-6)/6)</f>
        <v>154.3331</v>
      </c>
      <c r="DW14" s="1138"/>
      <c r="DX14" s="1139"/>
      <c r="DY14" s="1139"/>
      <c r="DZ14" s="566"/>
      <c r="EA14" s="1137"/>
      <c r="EB14" s="1132">
        <f ca="1">OFFSET(Labour1!$G$137,0,(COLUMN()-6)/6)</f>
        <v>158.15299999999999</v>
      </c>
      <c r="EC14" s="1138"/>
      <c r="ED14" s="1139"/>
      <c r="EE14" s="1139"/>
      <c r="EF14" s="566"/>
      <c r="EG14" s="1137"/>
      <c r="EH14" s="1132">
        <f ca="1">OFFSET(Labour1!$G$137,0,(COLUMN()-6)/6)</f>
        <v>163.33582695774922</v>
      </c>
      <c r="EI14" s="1138"/>
      <c r="EJ14" s="1139"/>
      <c r="EK14" s="1139"/>
      <c r="EL14" s="566"/>
      <c r="EM14" s="1137"/>
      <c r="EN14" s="1132">
        <f ca="1">OFFSET(Labour1!$G$137,0,(COLUMN()-6)/6)</f>
        <v>168.99635731775342</v>
      </c>
      <c r="EO14" s="1138"/>
      <c r="EP14" s="1139"/>
      <c r="EQ14" s="1139"/>
      <c r="ER14" s="566"/>
    </row>
    <row r="15" spans="1:148" s="586" customFormat="1" ht="13.8" thickBot="1">
      <c r="B15" s="587"/>
      <c r="C15" s="588"/>
      <c r="D15" s="589" t="s">
        <v>1765</v>
      </c>
      <c r="E15" s="1137"/>
      <c r="F15" s="1133">
        <f ca="1">+F13-F14</f>
        <v>27.825200000000009</v>
      </c>
      <c r="G15" s="1138"/>
      <c r="H15" s="1139"/>
      <c r="I15" s="1139"/>
      <c r="J15" s="566"/>
      <c r="K15" s="1137"/>
      <c r="L15" s="1133">
        <f ca="1">+L13-L14</f>
        <v>28.640600000000006</v>
      </c>
      <c r="M15" s="1138"/>
      <c r="N15" s="1139"/>
      <c r="O15" s="1139"/>
      <c r="P15" s="566"/>
      <c r="Q15" s="1137"/>
      <c r="R15" s="1133">
        <f ca="1">+R13-R14</f>
        <v>30.003199999999993</v>
      </c>
      <c r="S15" s="1138"/>
      <c r="T15" s="1139"/>
      <c r="U15" s="1139"/>
      <c r="V15" s="566"/>
      <c r="W15" s="1137"/>
      <c r="X15" s="1133">
        <f ca="1">+X13-X14</f>
        <v>31.642499999999998</v>
      </c>
      <c r="Y15" s="1138"/>
      <c r="Z15" s="1139"/>
      <c r="AA15" s="1139"/>
      <c r="AB15" s="566"/>
      <c r="AC15" s="1137"/>
      <c r="AD15" s="1133">
        <f ca="1">+AD13-AD14</f>
        <v>32.852000000000004</v>
      </c>
      <c r="AE15" s="1138"/>
      <c r="AF15" s="1139"/>
      <c r="AG15" s="1139"/>
      <c r="AH15" s="566"/>
      <c r="AI15" s="1137"/>
      <c r="AJ15" s="1133">
        <f ca="1">+AJ13-AJ14</f>
        <v>33.519200000000012</v>
      </c>
      <c r="AK15" s="1138"/>
      <c r="AL15" s="1139"/>
      <c r="AM15" s="1139"/>
      <c r="AN15" s="566"/>
      <c r="AO15" s="1137"/>
      <c r="AP15" s="1133">
        <f ca="1">+AP13-AP14</f>
        <v>35.307299999999998</v>
      </c>
      <c r="AQ15" s="1138"/>
      <c r="AR15" s="1139"/>
      <c r="AS15" s="1139"/>
      <c r="AT15" s="566"/>
      <c r="AU15" s="1137"/>
      <c r="AV15" s="1133">
        <f ca="1">+AV13-AV14</f>
        <v>37.572199999999995</v>
      </c>
      <c r="AW15" s="1138"/>
      <c r="AX15" s="1139"/>
      <c r="AY15" s="1139"/>
      <c r="AZ15" s="566"/>
      <c r="BA15" s="1137"/>
      <c r="BB15" s="1133">
        <f ca="1">+BB13-BB14</f>
        <v>38.591099999999997</v>
      </c>
      <c r="BC15" s="1138"/>
      <c r="BD15" s="1139"/>
      <c r="BE15" s="1139"/>
      <c r="BF15" s="566"/>
      <c r="BG15" s="1137"/>
      <c r="BH15" s="1133">
        <f ca="1">+BH13-BH14</f>
        <v>39.608100000000022</v>
      </c>
      <c r="BI15" s="1138"/>
      <c r="BJ15" s="1139"/>
      <c r="BK15" s="1139"/>
      <c r="BL15" s="566"/>
      <c r="BM15" s="1137"/>
      <c r="BN15" s="1133">
        <f ca="1">+BN13-BN14</f>
        <v>40.673399999999987</v>
      </c>
      <c r="BO15" s="1138"/>
      <c r="BP15" s="1139"/>
      <c r="BQ15" s="1139"/>
      <c r="BR15" s="566"/>
      <c r="BS15" s="1137"/>
      <c r="BT15" s="1133">
        <f ca="1">+BT13-BT14</f>
        <v>42.724700000000013</v>
      </c>
      <c r="BU15" s="1138"/>
      <c r="BV15" s="1139"/>
      <c r="BW15" s="1139"/>
      <c r="BX15" s="566"/>
      <c r="BY15" s="1137"/>
      <c r="BZ15" s="1133">
        <f ca="1">+BZ13-BZ14</f>
        <v>45.928900000000013</v>
      </c>
      <c r="CA15" s="1138"/>
      <c r="CB15" s="1139"/>
      <c r="CC15" s="1139"/>
      <c r="CD15" s="566"/>
      <c r="CE15" s="1137"/>
      <c r="CF15" s="1133">
        <f ca="1">+CF13-CF14</f>
        <v>48.727599999999995</v>
      </c>
      <c r="CG15" s="1138"/>
      <c r="CH15" s="1139"/>
      <c r="CI15" s="1139"/>
      <c r="CJ15" s="566"/>
      <c r="CK15" s="1137"/>
      <c r="CL15" s="1133">
        <f ca="1">+CL13-CL14</f>
        <v>49.961000000000013</v>
      </c>
      <c r="CM15" s="1138"/>
      <c r="CN15" s="1139"/>
      <c r="CO15" s="1139"/>
      <c r="CP15" s="566"/>
      <c r="CQ15" s="1137"/>
      <c r="CR15" s="1133">
        <f ca="1">+CR13-CR14</f>
        <v>51.206200000000024</v>
      </c>
      <c r="CS15" s="1138"/>
      <c r="CT15" s="1139"/>
      <c r="CU15" s="1139"/>
      <c r="CV15" s="566"/>
      <c r="CW15" s="1137"/>
      <c r="CX15" s="1133">
        <f ca="1">+CX13-CX14</f>
        <v>53.373899999999992</v>
      </c>
      <c r="CY15" s="1138"/>
      <c r="CZ15" s="1139"/>
      <c r="DA15" s="1139"/>
      <c r="DB15" s="566"/>
      <c r="DC15" s="1137"/>
      <c r="DD15" s="1133">
        <f ca="1">+DD13-DD14</f>
        <v>55.579099999999983</v>
      </c>
      <c r="DE15" s="1138"/>
      <c r="DF15" s="1139"/>
      <c r="DG15" s="1139"/>
      <c r="DH15" s="566"/>
      <c r="DI15" s="1137"/>
      <c r="DJ15" s="1133">
        <f ca="1">+DJ13-DJ14</f>
        <v>56.894100000000009</v>
      </c>
      <c r="DK15" s="1138"/>
      <c r="DL15" s="1139"/>
      <c r="DM15" s="1139"/>
      <c r="DN15" s="566"/>
      <c r="DO15" s="1137"/>
      <c r="DP15" s="1133">
        <f ca="1">+DP13-DP14</f>
        <v>57.441500000000019</v>
      </c>
      <c r="DQ15" s="1138"/>
      <c r="DR15" s="1139"/>
      <c r="DS15" s="1139"/>
      <c r="DT15" s="566"/>
      <c r="DU15" s="1137"/>
      <c r="DV15" s="1133">
        <f ca="1">+DV13-DV14</f>
        <v>58.151199999999989</v>
      </c>
      <c r="DW15" s="1138"/>
      <c r="DX15" s="1139"/>
      <c r="DY15" s="1139"/>
      <c r="DZ15" s="566"/>
      <c r="EA15" s="1137"/>
      <c r="EB15" s="1133">
        <f ca="1">+EB13-EB14</f>
        <v>57.073100000000011</v>
      </c>
      <c r="EC15" s="1138"/>
      <c r="ED15" s="1139"/>
      <c r="EE15" s="1139"/>
      <c r="EF15" s="566"/>
      <c r="EG15" s="1137"/>
      <c r="EH15" s="1133">
        <f ca="1">+EH13-EH14</f>
        <v>58.610385999999977</v>
      </c>
      <c r="EI15" s="1138"/>
      <c r="EJ15" s="1139"/>
      <c r="EK15" s="1139"/>
      <c r="EL15" s="566"/>
      <c r="EM15" s="1137"/>
      <c r="EN15" s="1133">
        <f ca="1">+EN13-EN14</f>
        <v>60.172274342489715</v>
      </c>
      <c r="EO15" s="1138"/>
      <c r="EP15" s="1139"/>
      <c r="EQ15" s="1139"/>
      <c r="ER15" s="566"/>
    </row>
    <row r="16" spans="1:148">
      <c r="A16" s="567"/>
      <c r="B16" s="568" t="s">
        <v>622</v>
      </c>
      <c r="C16" s="4136" t="s">
        <v>1415</v>
      </c>
      <c r="D16" s="4135"/>
      <c r="E16" s="581">
        <f ca="1">+F16+G16+H16</f>
        <v>25.7408</v>
      </c>
      <c r="F16" s="578"/>
      <c r="G16" s="578"/>
      <c r="H16" s="579">
        <f ca="1">OFFSET(Sector1!$G$32,0,(COLUMN()-8)/6)</f>
        <v>25.7408</v>
      </c>
      <c r="I16" s="579">
        <f ca="1">OFFSET(Sector1!$G$31,0,(COLUMN()-9)/6)</f>
        <v>0.9385</v>
      </c>
      <c r="J16" s="576">
        <f ca="1">+E16-E9-E6+I16</f>
        <v>-1.2212453270876722E-15</v>
      </c>
      <c r="K16" s="581">
        <f ca="1">+L16+M16+N16</f>
        <v>27.295300000000001</v>
      </c>
      <c r="L16" s="578"/>
      <c r="M16" s="578"/>
      <c r="N16" s="579">
        <f ca="1">OFFSET(Sector1!$G$32,0,(COLUMN()-8)/6)</f>
        <v>27.295300000000001</v>
      </c>
      <c r="O16" s="579">
        <f ca="1">OFFSET(Sector1!$G$31,0,(COLUMN()-9)/6)</f>
        <v>0.88479999999999992</v>
      </c>
      <c r="P16" s="576">
        <f ca="1">+K16-K9-K6+O16</f>
        <v>1.4432899320127035E-15</v>
      </c>
      <c r="Q16" s="581">
        <f ca="1">+R16+S16+T16</f>
        <v>28.959299999999999</v>
      </c>
      <c r="R16" s="578"/>
      <c r="S16" s="578"/>
      <c r="T16" s="579">
        <f ca="1">OFFSET(Sector1!$G$32,0,(COLUMN()-8)/6)</f>
        <v>28.959299999999999</v>
      </c>
      <c r="U16" s="579">
        <f ca="1">OFFSET(Sector1!$G$31,0,(COLUMN()-9)/6)</f>
        <v>0.99670000000000003</v>
      </c>
      <c r="V16" s="576">
        <f ca="1">+Q16-Q9-Q6+U16</f>
        <v>0</v>
      </c>
      <c r="W16" s="581">
        <f ca="1">+X16+Y16+Z16</f>
        <v>29.978200000000001</v>
      </c>
      <c r="X16" s="578"/>
      <c r="Y16" s="578"/>
      <c r="Z16" s="579">
        <f ca="1">OFFSET(Sector1!$G$32,0,(COLUMN()-8)/6)</f>
        <v>29.978200000000001</v>
      </c>
      <c r="AA16" s="579">
        <f ca="1">OFFSET(Sector1!$G$31,0,(COLUMN()-9)/6)</f>
        <v>1.012</v>
      </c>
      <c r="AB16" s="576">
        <f ca="1">+W16-W9-W6+AA16</f>
        <v>3.1086244689504383E-15</v>
      </c>
      <c r="AC16" s="581">
        <f ca="1">+AD16+AE16+AF16</f>
        <v>32.108699999999999</v>
      </c>
      <c r="AD16" s="578"/>
      <c r="AE16" s="578"/>
      <c r="AF16" s="579">
        <f ca="1">OFFSET(Sector1!$G$32,0,(COLUMN()-8)/6)</f>
        <v>32.108699999999999</v>
      </c>
      <c r="AG16" s="579">
        <f ca="1">OFFSET(Sector1!$G$31,0,(COLUMN()-9)/6)</f>
        <v>0.95420000000000005</v>
      </c>
      <c r="AH16" s="576">
        <f ca="1">+AC16-AC9-AC6+AG16</f>
        <v>0</v>
      </c>
      <c r="AI16" s="581">
        <f ca="1">+AJ16+AK16+AL16</f>
        <v>33.5182</v>
      </c>
      <c r="AJ16" s="578"/>
      <c r="AK16" s="578"/>
      <c r="AL16" s="579">
        <f ca="1">OFFSET(Sector1!$G$32,0,(COLUMN()-8)/6)</f>
        <v>33.5182</v>
      </c>
      <c r="AM16" s="579">
        <f ca="1">OFFSET(Sector1!$G$31,0,(COLUMN()-9)/6)</f>
        <v>1.0350999999999999</v>
      </c>
      <c r="AN16" s="576">
        <f ca="1">+AI16-AI9-AI6+AM16</f>
        <v>0</v>
      </c>
      <c r="AO16" s="581">
        <f ca="1">+AP16+AQ16+AR16</f>
        <v>33.305300000000003</v>
      </c>
      <c r="AP16" s="578"/>
      <c r="AQ16" s="578"/>
      <c r="AR16" s="579">
        <f ca="1">OFFSET(Sector1!$G$32,0,(COLUMN()-8)/6)</f>
        <v>33.305300000000003</v>
      </c>
      <c r="AS16" s="579">
        <f ca="1">OFFSET(Sector1!$G$31,0,(COLUMN()-9)/6)</f>
        <v>1.0107999999999999</v>
      </c>
      <c r="AT16" s="576">
        <f ca="1">+AO16-AO9-AO6+AS16</f>
        <v>0</v>
      </c>
      <c r="AU16" s="581">
        <f ca="1">+AV16+AW16+AX16</f>
        <v>34.563400000000001</v>
      </c>
      <c r="AV16" s="578"/>
      <c r="AW16" s="578"/>
      <c r="AX16" s="579">
        <f ca="1">OFFSET(Sector1!$G$32,0,(COLUMN()-8)/6)</f>
        <v>34.563400000000001</v>
      </c>
      <c r="AY16" s="579">
        <f ca="1">OFFSET(Sector1!$G$31,0,(COLUMN()-9)/6)</f>
        <v>1.0299</v>
      </c>
      <c r="AZ16" s="576">
        <f ca="1">+AU16-AU9-AU6+AY16</f>
        <v>2.2204460492503131E-15</v>
      </c>
      <c r="BA16" s="581">
        <f ca="1">+BB16+BC16+BD16</f>
        <v>35.598500000000001</v>
      </c>
      <c r="BB16" s="578"/>
      <c r="BC16" s="578"/>
      <c r="BD16" s="579">
        <f ca="1">OFFSET(Sector1!$G$32,0,(COLUMN()-8)/6)</f>
        <v>35.598500000000001</v>
      </c>
      <c r="BE16" s="579">
        <f ca="1">OFFSET(Sector1!$G$31,0,(COLUMN()-9)/6)</f>
        <v>1.1445000000000001</v>
      </c>
      <c r="BF16" s="576">
        <f ca="1">+BA16-BA9-BA6+BE16</f>
        <v>2.886579864025407E-15</v>
      </c>
      <c r="BG16" s="581">
        <f ca="1">+BH16+BI16+BJ16</f>
        <v>38.029900000000005</v>
      </c>
      <c r="BH16" s="578"/>
      <c r="BI16" s="578"/>
      <c r="BJ16" s="579">
        <f ca="1">OFFSET(Sector1!$G$32,0,(COLUMN()-8)/6)</f>
        <v>38.029900000000005</v>
      </c>
      <c r="BK16" s="579">
        <f ca="1">OFFSET(Sector1!$G$31,0,(COLUMN()-9)/6)</f>
        <v>1.1802999999999999</v>
      </c>
      <c r="BL16" s="576">
        <f ca="1">+BG16-BG9-BG6+BK16</f>
        <v>4.4408920985006262E-15</v>
      </c>
      <c r="BM16" s="581">
        <f ca="1">+BN16+BO16+BP16</f>
        <v>39.959499999999998</v>
      </c>
      <c r="BN16" s="578"/>
      <c r="BO16" s="578"/>
      <c r="BP16" s="579">
        <f ca="1">OFFSET(Sector1!$G$32,0,(COLUMN()-8)/6)</f>
        <v>39.959499999999998</v>
      </c>
      <c r="BQ16" s="579">
        <f ca="1">OFFSET(Sector1!$G$31,0,(COLUMN()-9)/6)</f>
        <v>1.2654000000000001</v>
      </c>
      <c r="BR16" s="576">
        <f ca="1">+BM16-BM9-BM6+BQ16</f>
        <v>-6.6613381477509392E-15</v>
      </c>
      <c r="BS16" s="581">
        <f ca="1">+BT16+BU16+BV16</f>
        <v>41.810099999999998</v>
      </c>
      <c r="BT16" s="578"/>
      <c r="BU16" s="578"/>
      <c r="BV16" s="579">
        <f ca="1">OFFSET(Sector1!$G$32,0,(COLUMN()-8)/6)</f>
        <v>41.810099999999998</v>
      </c>
      <c r="BW16" s="579">
        <f ca="1">OFFSET(Sector1!$G$31,0,(COLUMN()-9)/6)</f>
        <v>1.3003</v>
      </c>
      <c r="BX16" s="576">
        <f ca="1">+BS16-BS9-BS6+BW16</f>
        <v>0</v>
      </c>
      <c r="BY16" s="581">
        <f ca="1">+BZ16+CA16+CB16</f>
        <v>43.749699999999997</v>
      </c>
      <c r="BZ16" s="578"/>
      <c r="CA16" s="578"/>
      <c r="CB16" s="579">
        <f ca="1">OFFSET(Sector1!$G$32,0,(COLUMN()-8)/6)</f>
        <v>43.749699999999997</v>
      </c>
      <c r="CC16" s="579">
        <f ca="1">OFFSET(Sector1!$G$31,0,(COLUMN()-9)/6)</f>
        <v>1.4500999999999999</v>
      </c>
      <c r="CD16" s="576">
        <f ca="1">+BY16-BY9-BY6+CC16</f>
        <v>0</v>
      </c>
      <c r="CE16" s="581">
        <f ca="1">+CF16+CG16+CH16</f>
        <v>44.250300000000003</v>
      </c>
      <c r="CF16" s="578"/>
      <c r="CG16" s="578"/>
      <c r="CH16" s="579">
        <f ca="1">OFFSET(Sector1!$G$32,0,(COLUMN()-8)/6)</f>
        <v>44.250300000000003</v>
      </c>
      <c r="CI16" s="579">
        <f ca="1">OFFSET(Sector1!$G$31,0,(COLUMN()-9)/6)</f>
        <v>1.6195999999999999</v>
      </c>
      <c r="CJ16" s="576">
        <f ca="1">+CE16-CE9-CE6+CI16</f>
        <v>8.659739592076221E-15</v>
      </c>
      <c r="CK16" s="581">
        <f ca="1">+CL16+CM16+CN16</f>
        <v>43.5304</v>
      </c>
      <c r="CL16" s="578"/>
      <c r="CM16" s="578"/>
      <c r="CN16" s="579">
        <f ca="1">OFFSET(Sector1!$G$32,0,(COLUMN()-8)/6)</f>
        <v>43.5304</v>
      </c>
      <c r="CO16" s="579">
        <f ca="1">OFFSET(Sector1!$G$31,0,(COLUMN()-9)/6)</f>
        <v>1.2044000000000001</v>
      </c>
      <c r="CP16" s="576">
        <f ca="1">+CK16-CK9-CK6+CO16</f>
        <v>0</v>
      </c>
      <c r="CQ16" s="581">
        <f ca="1">+CR16+CS16+CT16</f>
        <v>46.652099999999997</v>
      </c>
      <c r="CR16" s="578"/>
      <c r="CS16" s="578"/>
      <c r="CT16" s="579">
        <f ca="1">OFFSET(Sector1!$G$32,0,(COLUMN()-8)/6)</f>
        <v>46.652099999999997</v>
      </c>
      <c r="CU16" s="579">
        <f ca="1">OFFSET(Sector1!$G$31,0,(COLUMN()-9)/6)</f>
        <v>1.2749999999999999</v>
      </c>
      <c r="CV16" s="576">
        <f ca="1">+CQ16-CQ9-CQ6+CU16</f>
        <v>0</v>
      </c>
      <c r="CW16" s="581">
        <f ca="1">+CX16+CY16+CZ16</f>
        <v>48.230400000000003</v>
      </c>
      <c r="CX16" s="578"/>
      <c r="CY16" s="578"/>
      <c r="CZ16" s="579">
        <f ca="1">OFFSET(Sector1!$G$32,0,(COLUMN()-8)/6)</f>
        <v>48.230400000000003</v>
      </c>
      <c r="DA16" s="579">
        <f ca="1">OFFSET(Sector1!$G$31,0,(COLUMN()-9)/6)</f>
        <v>1.2932999999999999</v>
      </c>
      <c r="DB16" s="576">
        <f ca="1">+CW16-CW9-CW6+DA16</f>
        <v>4.8849813083506888E-15</v>
      </c>
      <c r="DC16" s="581">
        <f ca="1">+DD16+DE16+DF16</f>
        <v>50.688400000000001</v>
      </c>
      <c r="DD16" s="578"/>
      <c r="DE16" s="578"/>
      <c r="DF16" s="579">
        <f ca="1">OFFSET(Sector1!$G$32,0,(COLUMN()-8)/6)</f>
        <v>50.688400000000001</v>
      </c>
      <c r="DG16" s="579">
        <f ca="1">OFFSET(Sector1!$G$31,0,(COLUMN()-9)/6)</f>
        <v>1.2555999999999998</v>
      </c>
      <c r="DH16" s="576">
        <f ca="1">+DC16-DC9-DC6+DG16</f>
        <v>5.773159728050814E-15</v>
      </c>
      <c r="DI16" s="581">
        <f ca="1">+DJ16+DK16+DL16</f>
        <v>51.2592</v>
      </c>
      <c r="DJ16" s="578"/>
      <c r="DK16" s="578"/>
      <c r="DL16" s="579">
        <f ca="1">OFFSET(Sector1!$G$32,0,(COLUMN()-8)/6)</f>
        <v>51.2592</v>
      </c>
      <c r="DM16" s="579">
        <f ca="1">OFFSET(Sector1!$G$31,0,(COLUMN()-9)/6)</f>
        <v>1.1778</v>
      </c>
      <c r="DN16" s="576">
        <f ca="1">+DI16-DI9-DI6+DM16</f>
        <v>2.2204460492503131E-15</v>
      </c>
      <c r="DO16" s="581">
        <f ca="1">+DP16+DQ16+DR16</f>
        <v>52.1006</v>
      </c>
      <c r="DP16" s="578"/>
      <c r="DQ16" s="578"/>
      <c r="DR16" s="579">
        <f ca="1">OFFSET(Sector1!$G$32,0,(COLUMN()-8)/6)</f>
        <v>52.1006</v>
      </c>
      <c r="DS16" s="579">
        <f ca="1">OFFSET(Sector1!$G$31,0,(COLUMN()-9)/6)</f>
        <v>1.2410000000000001</v>
      </c>
      <c r="DT16" s="576">
        <f ca="1">+DO16-DO9-DO6+DS16</f>
        <v>0</v>
      </c>
      <c r="DU16" s="581">
        <f ca="1">+DV16+DW16+DX16</f>
        <v>52.859300000000005</v>
      </c>
      <c r="DV16" s="578"/>
      <c r="DW16" s="578"/>
      <c r="DX16" s="579">
        <f ca="1">OFFSET(Sector1!$G$32,0,(COLUMN()-8)/6)</f>
        <v>52.859300000000005</v>
      </c>
      <c r="DY16" s="579">
        <f ca="1">OFFSET(Sector1!$G$31,0,(COLUMN()-9)/6)</f>
        <v>1.6069</v>
      </c>
      <c r="DZ16" s="576">
        <f ca="1">+DU16-DU9-DU6+DY16</f>
        <v>3.1200000000002337E-2</v>
      </c>
      <c r="EA16" s="581">
        <f ca="1">+EB16+EC16+ED16</f>
        <v>55.320900000000002</v>
      </c>
      <c r="EB16" s="578"/>
      <c r="EC16" s="578"/>
      <c r="ED16" s="579">
        <f ca="1">OFFSET(Sector1!$G$32,0,(COLUMN()-8)/6)</f>
        <v>55.320900000000002</v>
      </c>
      <c r="EE16" s="579">
        <f ca="1">OFFSET(Sector1!$G$31,0,(COLUMN()-9)/6)</f>
        <v>1.8540999999999999</v>
      </c>
      <c r="EF16" s="576">
        <f ca="1">+EA16-EA9-EA6+EE16</f>
        <v>3.2700000000009943E-2</v>
      </c>
      <c r="EG16" s="581">
        <f ca="1">+EH16+EI16+EJ16</f>
        <v>57.298099999999998</v>
      </c>
      <c r="EH16" s="578"/>
      <c r="EI16" s="578"/>
      <c r="EJ16" s="579">
        <f ca="1">OFFSET(Sector1!$G$32,0,(COLUMN()-8)/6)</f>
        <v>57.298099999999998</v>
      </c>
      <c r="EK16" s="579">
        <f ca="1">OFFSET(Sector1!$G$31,0,(COLUMN()-9)/6)</f>
        <v>1.9132457899999999</v>
      </c>
      <c r="EL16" s="576">
        <f ca="1">+EG16-EG9-EG6+EK16</f>
        <v>-0.25990614271597456</v>
      </c>
      <c r="EM16" s="581">
        <f ca="1">+EN16+EO16+EP16</f>
        <v>59.120098280130293</v>
      </c>
      <c r="EN16" s="578"/>
      <c r="EO16" s="578"/>
      <c r="EP16" s="579">
        <f ca="1">OFFSET(Sector1!$G$32,0,(COLUMN()-8)/6)</f>
        <v>59.120098280130293</v>
      </c>
      <c r="EQ16" s="579">
        <f ca="1">OFFSET(Sector1!$G$31,0,(COLUMN()-9)/6)</f>
        <v>1.9821226384399999</v>
      </c>
      <c r="ER16" s="576">
        <f ca="1">+EM16-EM9-EM6+EQ16</f>
        <v>3.5527136788005009E-15</v>
      </c>
    </row>
    <row r="17" spans="1:148" ht="13.8" thickBot="1">
      <c r="A17" s="567"/>
      <c r="B17" s="568" t="s">
        <v>2133</v>
      </c>
      <c r="C17" s="4136" t="s">
        <v>1645</v>
      </c>
      <c r="D17" s="4135"/>
      <c r="E17" s="581">
        <f ca="1">+F17+G17+H17</f>
        <v>3.0030999999999999</v>
      </c>
      <c r="F17" s="578"/>
      <c r="G17" s="578"/>
      <c r="H17" s="579">
        <f ca="1">OFFSET(Sector1!$G$141,0,(COLUMN()-8)/6)</f>
        <v>3.0030999999999999</v>
      </c>
      <c r="I17" s="579">
        <f ca="1">OFFSET(Sector1!$G$140,0,(COLUMN()-9)/6)</f>
        <v>1.0211000000000001</v>
      </c>
      <c r="J17" s="576">
        <f ca="1">+E17-E10-E7+I17</f>
        <v>-0.56439999999999912</v>
      </c>
      <c r="K17" s="581">
        <f ca="1">+L17+M17+N17</f>
        <v>4.2462</v>
      </c>
      <c r="L17" s="578"/>
      <c r="M17" s="578"/>
      <c r="N17" s="579">
        <f ca="1">OFFSET(Sector1!$G$141,0,(COLUMN()-8)/6)</f>
        <v>4.2462</v>
      </c>
      <c r="O17" s="579">
        <f ca="1">OFFSET(Sector1!$G$140,0,(COLUMN()-9)/6)</f>
        <v>0.84229999999999994</v>
      </c>
      <c r="P17" s="576">
        <f ca="1">+K17-K10-K7+O17</f>
        <v>0</v>
      </c>
      <c r="Q17" s="581">
        <f ca="1">+R17+S17+T17</f>
        <v>3.8410000000000002</v>
      </c>
      <c r="R17" s="578"/>
      <c r="S17" s="578"/>
      <c r="T17" s="579">
        <f ca="1">OFFSET(Sector1!$G$141,0,(COLUMN()-8)/6)</f>
        <v>3.8410000000000002</v>
      </c>
      <c r="U17" s="579">
        <f ca="1">OFFSET(Sector1!$G$140,0,(COLUMN()-9)/6)</f>
        <v>0.82810000000000006</v>
      </c>
      <c r="V17" s="576">
        <f ca="1">+Q17-Q10-Q7+U17</f>
        <v>0</v>
      </c>
      <c r="W17" s="581">
        <f ca="1">+X17+Y17+Z17</f>
        <v>4.1426999999999996</v>
      </c>
      <c r="X17" s="578"/>
      <c r="Y17" s="578"/>
      <c r="Z17" s="579">
        <f ca="1">OFFSET(Sector1!$G$141,0,(COLUMN()-8)/6)</f>
        <v>4.1426999999999996</v>
      </c>
      <c r="AA17" s="579">
        <f ca="1">OFFSET(Sector1!$G$140,0,(COLUMN()-9)/6)</f>
        <v>0.74320000000000008</v>
      </c>
      <c r="AB17" s="576">
        <f ca="1">+W17-W10-W7+AA17</f>
        <v>0</v>
      </c>
      <c r="AC17" s="581">
        <f ca="1">+AD17+AE17+AF17</f>
        <v>4.2998000000000003</v>
      </c>
      <c r="AD17" s="578"/>
      <c r="AE17" s="578"/>
      <c r="AF17" s="579">
        <f ca="1">OFFSET(Sector1!$G$141,0,(COLUMN()-8)/6)</f>
        <v>4.2998000000000003</v>
      </c>
      <c r="AG17" s="579">
        <f ca="1">OFFSET(Sector1!$G$140,0,(COLUMN()-9)/6)</f>
        <v>0.85760000000000003</v>
      </c>
      <c r="AH17" s="576">
        <f ca="1">+AC17-AC10-AC7+AG17</f>
        <v>0</v>
      </c>
      <c r="AI17" s="581">
        <f ca="1">+AJ17+AK17+AL17</f>
        <v>4.3295000000000003</v>
      </c>
      <c r="AJ17" s="578"/>
      <c r="AK17" s="578"/>
      <c r="AL17" s="579">
        <f ca="1">OFFSET(Sector1!$G$141,0,(COLUMN()-8)/6)</f>
        <v>4.3295000000000003</v>
      </c>
      <c r="AM17" s="579">
        <f ca="1">OFFSET(Sector1!$G$140,0,(COLUMN()-9)/6)</f>
        <v>0.69420000000000004</v>
      </c>
      <c r="AN17" s="576">
        <f ca="1">+AI17-AI10-AI7+AM17</f>
        <v>0</v>
      </c>
      <c r="AO17" s="581">
        <f ca="1">+AP17+AQ17+AR17</f>
        <v>4.524</v>
      </c>
      <c r="AP17" s="578"/>
      <c r="AQ17" s="578"/>
      <c r="AR17" s="579">
        <f ca="1">OFFSET(Sector1!$G$141,0,(COLUMN()-8)/6)</f>
        <v>4.524</v>
      </c>
      <c r="AS17" s="579">
        <f ca="1">OFFSET(Sector1!$G$140,0,(COLUMN()-9)/6)</f>
        <v>0.73360000000000003</v>
      </c>
      <c r="AT17" s="576">
        <f ca="1">+AO17-AO10-AO7+AS17</f>
        <v>0</v>
      </c>
      <c r="AU17" s="581">
        <f ca="1">+AV17+AW17+AX17</f>
        <v>4.6268000000000002</v>
      </c>
      <c r="AV17" s="578"/>
      <c r="AW17" s="578"/>
      <c r="AX17" s="579">
        <f ca="1">OFFSET(Sector1!$G$141,0,(COLUMN()-8)/6)</f>
        <v>4.6268000000000002</v>
      </c>
      <c r="AY17" s="579">
        <f ca="1">OFFSET(Sector1!$G$140,0,(COLUMN()-9)/6)</f>
        <v>0.71060000000000001</v>
      </c>
      <c r="AZ17" s="576">
        <f ca="1">+AU17-AU10-AU7+AY17</f>
        <v>0</v>
      </c>
      <c r="BA17" s="581">
        <f ca="1">+BB17+BC17+BD17</f>
        <v>5.1334999999999997</v>
      </c>
      <c r="BB17" s="578"/>
      <c r="BC17" s="578"/>
      <c r="BD17" s="579">
        <f ca="1">OFFSET(Sector1!$G$141,0,(COLUMN()-8)/6)</f>
        <v>5.1334999999999997</v>
      </c>
      <c r="BE17" s="579">
        <f ca="1">OFFSET(Sector1!$G$140,0,(COLUMN()-9)/6)</f>
        <v>0.8657999999999999</v>
      </c>
      <c r="BF17" s="576">
        <f ca="1">+BA17-BA10-BA7+BE17</f>
        <v>0</v>
      </c>
      <c r="BG17" s="581">
        <f ca="1">+BH17+BI17+BJ17</f>
        <v>5.0979999999999999</v>
      </c>
      <c r="BH17" s="578"/>
      <c r="BI17" s="578"/>
      <c r="BJ17" s="579">
        <f ca="1">OFFSET(Sector1!$G$141,0,(COLUMN()-8)/6)</f>
        <v>5.0979999999999999</v>
      </c>
      <c r="BK17" s="579">
        <f ca="1">OFFSET(Sector1!$G$140,0,(COLUMN()-9)/6)</f>
        <v>0.8115</v>
      </c>
      <c r="BL17" s="576">
        <f ca="1">+BG17-BG10-BG7+BK17</f>
        <v>0</v>
      </c>
      <c r="BM17" s="581">
        <f ca="1">+BN17+BO17+BP17</f>
        <v>6.7347000000000001</v>
      </c>
      <c r="BN17" s="578"/>
      <c r="BO17" s="578"/>
      <c r="BP17" s="579">
        <f ca="1">OFFSET(Sector1!$G$141,0,(COLUMN()-8)/6)</f>
        <v>6.7347000000000001</v>
      </c>
      <c r="BQ17" s="579">
        <f ca="1">OFFSET(Sector1!$G$140,0,(COLUMN()-9)/6)</f>
        <v>0.89119999999999999</v>
      </c>
      <c r="BR17" s="576">
        <f ca="1">+BM17-BM10-BM7+BQ17</f>
        <v>0</v>
      </c>
      <c r="BS17" s="581">
        <f ca="1">+BT17+BU17+BV17</f>
        <v>7.9693000000000005</v>
      </c>
      <c r="BT17" s="578"/>
      <c r="BU17" s="578"/>
      <c r="BV17" s="579">
        <f ca="1">OFFSET(Sector1!$G$141,0,(COLUMN()-8)/6)</f>
        <v>7.9693000000000005</v>
      </c>
      <c r="BW17" s="579">
        <f ca="1">OFFSET(Sector1!$G$140,0,(COLUMN()-9)/6)</f>
        <v>0.79239999999999999</v>
      </c>
      <c r="BX17" s="576">
        <f ca="1">+BS17-BS10-BS7+BW17</f>
        <v>0</v>
      </c>
      <c r="BY17" s="581">
        <f ca="1">+BZ17+CA17+CB17</f>
        <v>9.2723999999999993</v>
      </c>
      <c r="BZ17" s="578"/>
      <c r="CA17" s="578"/>
      <c r="CB17" s="579">
        <f ca="1">OFFSET(Sector1!$G$141,0,(COLUMN()-8)/6)</f>
        <v>9.2723999999999993</v>
      </c>
      <c r="CC17" s="579">
        <f ca="1">OFFSET(Sector1!$G$140,0,(COLUMN()-9)/6)</f>
        <v>0.67600000000000005</v>
      </c>
      <c r="CD17" s="576">
        <f ca="1">+BY17-BY10-BY7+CC17</f>
        <v>0</v>
      </c>
      <c r="CE17" s="581">
        <f ca="1">+CF17+CG17+CH17</f>
        <v>10.2913</v>
      </c>
      <c r="CF17" s="578"/>
      <c r="CG17" s="578"/>
      <c r="CH17" s="579">
        <f ca="1">OFFSET(Sector1!$G$141,0,(COLUMN()-8)/6)</f>
        <v>10.2913</v>
      </c>
      <c r="CI17" s="579">
        <f ca="1">OFFSET(Sector1!$G$140,0,(COLUMN()-9)/6)</f>
        <v>0.67179999999999995</v>
      </c>
      <c r="CJ17" s="576">
        <f ca="1">+CE17-CE10-CE7+CI17</f>
        <v>0</v>
      </c>
      <c r="CK17" s="581">
        <f ca="1">+CL17+CM17+CN17</f>
        <v>10.694900000000001</v>
      </c>
      <c r="CL17" s="578"/>
      <c r="CM17" s="578"/>
      <c r="CN17" s="579">
        <f ca="1">OFFSET(Sector1!$G$141,0,(COLUMN()-8)/6)</f>
        <v>10.694900000000001</v>
      </c>
      <c r="CO17" s="579">
        <f ca="1">OFFSET(Sector1!$G$140,0,(COLUMN()-9)/6)</f>
        <v>0.63179999999999992</v>
      </c>
      <c r="CP17" s="576">
        <f ca="1">+CK17-CK10-CK7+CO17</f>
        <v>1.1102230246251565E-15</v>
      </c>
      <c r="CQ17" s="581">
        <f ca="1">+CR17+CS17+CT17</f>
        <v>12.371499999999999</v>
      </c>
      <c r="CR17" s="578"/>
      <c r="CS17" s="578"/>
      <c r="CT17" s="579">
        <f ca="1">OFFSET(Sector1!$G$141,0,(COLUMN()-8)/6)</f>
        <v>12.371499999999999</v>
      </c>
      <c r="CU17" s="579">
        <f ca="1">OFFSET(Sector1!$G$140,0,(COLUMN()-9)/6)</f>
        <v>0.69210000000000005</v>
      </c>
      <c r="CV17" s="576">
        <f ca="1">+CQ17-CQ10-CQ7+CU17</f>
        <v>0</v>
      </c>
      <c r="CW17" s="581">
        <f ca="1">+CX17+CY17+CZ17</f>
        <v>13.3751</v>
      </c>
      <c r="CX17" s="578"/>
      <c r="CY17" s="578"/>
      <c r="CZ17" s="579">
        <f ca="1">OFFSET(Sector1!$G$141,0,(COLUMN()-8)/6)</f>
        <v>13.3751</v>
      </c>
      <c r="DA17" s="579">
        <f ca="1">OFFSET(Sector1!$G$140,0,(COLUMN()-9)/6)</f>
        <v>0.62160000000000004</v>
      </c>
      <c r="DB17" s="576">
        <f ca="1">+CW17-CW10-CW7+DA17</f>
        <v>-1.6653345369377348E-15</v>
      </c>
      <c r="DC17" s="581">
        <f ca="1">+DD17+DE17+DF17</f>
        <v>13.308200000000001</v>
      </c>
      <c r="DD17" s="578"/>
      <c r="DE17" s="578"/>
      <c r="DF17" s="579">
        <f ca="1">OFFSET(Sector1!$G$141,0,(COLUMN()-8)/6)</f>
        <v>13.308200000000001</v>
      </c>
      <c r="DG17" s="579">
        <f ca="1">OFFSET(Sector1!$G$140,0,(COLUMN()-9)/6)</f>
        <v>0.64260000000000006</v>
      </c>
      <c r="DH17" s="576">
        <f ca="1">+DC17-DC10-DC7+DG17</f>
        <v>3.3306690738754696E-15</v>
      </c>
      <c r="DI17" s="581">
        <f ca="1">+DJ17+DK17+DL17</f>
        <v>13.5905</v>
      </c>
      <c r="DJ17" s="578"/>
      <c r="DK17" s="578"/>
      <c r="DL17" s="579">
        <f ca="1">OFFSET(Sector1!$G$141,0,(COLUMN()-8)/6)</f>
        <v>13.5905</v>
      </c>
      <c r="DM17" s="579">
        <f ca="1">OFFSET(Sector1!$G$140,0,(COLUMN()-9)/6)</f>
        <v>0.66489999999999994</v>
      </c>
      <c r="DN17" s="576">
        <f ca="1">+DI17-DI10-DI7+DM17</f>
        <v>9.9920072216264089E-16</v>
      </c>
      <c r="DO17" s="581">
        <f ca="1">+DP17+DQ17+DR17</f>
        <v>14.005100000000001</v>
      </c>
      <c r="DP17" s="578"/>
      <c r="DQ17" s="578"/>
      <c r="DR17" s="579">
        <f ca="1">OFFSET(Sector1!$G$141,0,(COLUMN()-8)/6)</f>
        <v>14.005100000000001</v>
      </c>
      <c r="DS17" s="579">
        <f ca="1">OFFSET(Sector1!$G$140,0,(COLUMN()-9)/6)</f>
        <v>0.68379999999999996</v>
      </c>
      <c r="DT17" s="576">
        <f ca="1">+DO17-DO10-DO7+DS17</f>
        <v>0.26189999999999958</v>
      </c>
      <c r="DU17" s="581">
        <f ca="1">+DV17+DW17+DX17</f>
        <v>14.058200000000001</v>
      </c>
      <c r="DV17" s="578"/>
      <c r="DW17" s="578"/>
      <c r="DX17" s="579">
        <f ca="1">OFFSET(Sector1!$G$141,0,(COLUMN()-8)/6)</f>
        <v>14.058200000000001</v>
      </c>
      <c r="DY17" s="579">
        <f ca="1">OFFSET(Sector1!$G$140,0,(COLUMN()-9)/6)</f>
        <v>0.93070000000000008</v>
      </c>
      <c r="DZ17" s="576">
        <f ca="1">+DU17-DU10-DU7+DY17</f>
        <v>0.23469999999999946</v>
      </c>
      <c r="EA17" s="581">
        <f ca="1">+EB17+EC17+ED17</f>
        <v>14.2582</v>
      </c>
      <c r="EB17" s="578"/>
      <c r="EC17" s="578"/>
      <c r="ED17" s="579">
        <f ca="1">OFFSET(Sector1!$G$141,0,(COLUMN()-8)/6)</f>
        <v>14.2582</v>
      </c>
      <c r="EE17" s="579">
        <f ca="1">OFFSET(Sector1!$G$140,0,(COLUMN()-9)/6)</f>
        <v>0.75009999999999999</v>
      </c>
      <c r="EF17" s="576">
        <f ca="1">+EA17-EA10-EA7+EE17</f>
        <v>0.51009999999999978</v>
      </c>
      <c r="EG17" s="581">
        <f ca="1">+EH17+EI17+EJ17</f>
        <v>14.704700000000001</v>
      </c>
      <c r="EH17" s="578"/>
      <c r="EI17" s="578"/>
      <c r="EJ17" s="579">
        <f ca="1">OFFSET(Sector1!$G$141,0,(COLUMN()-8)/6)</f>
        <v>14.704700000000001</v>
      </c>
      <c r="EK17" s="579">
        <f ca="1">OFFSET(Sector1!$G$140,0,(COLUMN()-9)/6)</f>
        <v>0.75009999999999999</v>
      </c>
      <c r="EL17" s="576">
        <f ca="1">+EG17-EG10-EG7+EK17</f>
        <v>0.53013146000000044</v>
      </c>
      <c r="EM17" s="581">
        <f ca="1">+EN17+EO17+EP17</f>
        <v>14.200035728075999</v>
      </c>
      <c r="EN17" s="578"/>
      <c r="EO17" s="578"/>
      <c r="EP17" s="579">
        <f ca="1">OFFSET(Sector1!$G$141,0,(COLUMN()-8)/6)</f>
        <v>14.200035728075999</v>
      </c>
      <c r="EQ17" s="579">
        <f ca="1">OFFSET(Sector1!$G$140,0,(COLUMN()-9)/6)</f>
        <v>0.75009999999999999</v>
      </c>
      <c r="ER17" s="576">
        <f ca="1">+EM17-EM10-EM7+EQ17</f>
        <v>0</v>
      </c>
    </row>
    <row r="18" spans="1:148">
      <c r="A18" s="567"/>
      <c r="B18" s="568" t="s">
        <v>622</v>
      </c>
      <c r="C18" s="4136" t="s">
        <v>1631</v>
      </c>
      <c r="D18" s="4135"/>
      <c r="E18" s="581">
        <f ca="1">+F18+G18+H18</f>
        <v>2.3453000000000053</v>
      </c>
      <c r="F18" s="579">
        <f ca="1">OFFSET(Sector1!$G$235,0,(COLUMN()-6)/6)</f>
        <v>28.216200000000001</v>
      </c>
      <c r="G18" s="579">
        <f ca="1">OFFSET(Sector1!$G$227,0,(COLUMN()-7)/6)</f>
        <v>-9.6693999999999942</v>
      </c>
      <c r="H18" s="1053">
        <f ca="1">+H19-H20-H21</f>
        <v>-16.201499999999999</v>
      </c>
      <c r="I18" s="579">
        <f ca="1">OFFSET(Sector1!$G$234,0,(COLUMN()-9)/6)</f>
        <v>-2.2099000000000015</v>
      </c>
      <c r="J18" s="598">
        <f ca="1">+E18+I18</f>
        <v>0.13540000000000374</v>
      </c>
      <c r="K18" s="581">
        <f ca="1">+L18+M18+N18</f>
        <v>2.5940000000000047</v>
      </c>
      <c r="L18" s="579">
        <f ca="1">OFFSET(Sector1!$G$235,0,(COLUMN()-6)/6)</f>
        <v>26.4252</v>
      </c>
      <c r="M18" s="579">
        <f ca="1">OFFSET(Sector1!$G$227,0,(COLUMN()-7)/6)</f>
        <v>-8.3201999999999963</v>
      </c>
      <c r="N18" s="1053">
        <f ca="1">+N19-N20-N21</f>
        <v>-15.510999999999999</v>
      </c>
      <c r="O18" s="579">
        <f ca="1">OFFSET(Sector1!$G$234,0,(COLUMN()-9)/6)</f>
        <v>-2.5939999999999999</v>
      </c>
      <c r="P18" s="598">
        <f ca="1">+K18+O18</f>
        <v>4.8849813083506888E-15</v>
      </c>
      <c r="Q18" s="581">
        <f ca="1">+R18+S18+T18</f>
        <v>3.1944999999999997</v>
      </c>
      <c r="R18" s="579">
        <f ca="1">OFFSET(Sector1!$G$235,0,(COLUMN()-6)/6)</f>
        <v>26.2392</v>
      </c>
      <c r="S18" s="579">
        <f ca="1">OFFSET(Sector1!$G$227,0,(COLUMN()-7)/6)</f>
        <v>-8.1920000000000002</v>
      </c>
      <c r="T18" s="1053">
        <f ca="1">+T19-T20-T21</f>
        <v>-14.8527</v>
      </c>
      <c r="U18" s="579">
        <f ca="1">OFFSET(Sector1!$G$234,0,(COLUMN()-9)/6)</f>
        <v>-3.1945000000000001</v>
      </c>
      <c r="V18" s="598">
        <f ca="1">+Q18+U18</f>
        <v>0</v>
      </c>
      <c r="W18" s="581">
        <f ca="1">+X18+Y18+Z18</f>
        <v>3.2999999999999936</v>
      </c>
      <c r="X18" s="579">
        <f ca="1">OFFSET(Sector1!$G$235,0,(COLUMN()-6)/6)</f>
        <v>27.758900000000001</v>
      </c>
      <c r="Y18" s="579">
        <f ca="1">OFFSET(Sector1!$G$227,0,(COLUMN()-7)/6)</f>
        <v>-9.7158000000000033</v>
      </c>
      <c r="Z18" s="1053">
        <f ca="1">+Z19-Z20-Z21</f>
        <v>-14.743100000000002</v>
      </c>
      <c r="AA18" s="579">
        <f ca="1">OFFSET(Sector1!$G$234,0,(COLUMN()-9)/6)</f>
        <v>-3.3</v>
      </c>
      <c r="AB18" s="598">
        <f ca="1">+W18+AA18</f>
        <v>-6.2172489379008766E-15</v>
      </c>
      <c r="AC18" s="581">
        <f ca="1">+AD18+AE18+AF18</f>
        <v>2.9076000000000093</v>
      </c>
      <c r="AD18" s="579">
        <f ca="1">OFFSET(Sector1!$G$235,0,(COLUMN()-6)/6)</f>
        <v>26.402200000000001</v>
      </c>
      <c r="AE18" s="579">
        <f ca="1">OFFSET(Sector1!$G$227,0,(COLUMN()-7)/6)</f>
        <v>-9.0643999999999938</v>
      </c>
      <c r="AF18" s="1053">
        <f ca="1">+AF19-AF20-AF21</f>
        <v>-14.430199999999999</v>
      </c>
      <c r="AG18" s="579">
        <f ca="1">OFFSET(Sector1!$G$234,0,(COLUMN()-9)/6)</f>
        <v>-2.9075999999999986</v>
      </c>
      <c r="AH18" s="598">
        <f ca="1">+AC18+AG18</f>
        <v>1.0658141036401503E-14</v>
      </c>
      <c r="AI18" s="581">
        <f ca="1">+AJ18+AK18+AL18</f>
        <v>3.9492999999999974</v>
      </c>
      <c r="AJ18" s="579">
        <f ca="1">OFFSET(Sector1!$G$235,0,(COLUMN()-6)/6)</f>
        <v>29.269400000000001</v>
      </c>
      <c r="AK18" s="579">
        <f ca="1">OFFSET(Sector1!$G$227,0,(COLUMN()-7)/6)</f>
        <v>-10.998800000000003</v>
      </c>
      <c r="AL18" s="1053">
        <f ca="1">+AL19-AL20-AL21</f>
        <v>-14.321300000000001</v>
      </c>
      <c r="AM18" s="579">
        <f ca="1">OFFSET(Sector1!$G$234,0,(COLUMN()-9)/6)</f>
        <v>-3.9493000000000027</v>
      </c>
      <c r="AN18" s="598">
        <f ca="1">+AI18+AM18</f>
        <v>-5.3290705182007514E-15</v>
      </c>
      <c r="AO18" s="581">
        <f ca="1">+AP18+AQ18+AR18</f>
        <v>1.9515000000000065</v>
      </c>
      <c r="AP18" s="579">
        <f ca="1">OFFSET(Sector1!$G$235,0,(COLUMN()-6)/6)</f>
        <v>30.322999999999997</v>
      </c>
      <c r="AQ18" s="579">
        <f ca="1">OFFSET(Sector1!$G$227,0,(COLUMN()-7)/6)</f>
        <v>-14.465599999999991</v>
      </c>
      <c r="AR18" s="1053">
        <f ca="1">+AR19-AR20-AR21</f>
        <v>-13.905899999999999</v>
      </c>
      <c r="AS18" s="579">
        <f ca="1">OFFSET(Sector1!$G$234,0,(COLUMN()-9)/6)</f>
        <v>-1.9515</v>
      </c>
      <c r="AT18" s="598">
        <f ca="1">+AO18+AS18</f>
        <v>6.4392935428259079E-15</v>
      </c>
      <c r="AU18" s="581">
        <f ca="1">+AV18+AW18+AX18</f>
        <v>1.4400999999999957</v>
      </c>
      <c r="AV18" s="579">
        <f ca="1">OFFSET(Sector1!$G$235,0,(COLUMN()-6)/6)</f>
        <v>27.9695</v>
      </c>
      <c r="AW18" s="579">
        <f ca="1">OFFSET(Sector1!$G$227,0,(COLUMN()-7)/6)</f>
        <v>-13.648300000000003</v>
      </c>
      <c r="AX18" s="1053">
        <f ca="1">+AX19-AX20-AX21</f>
        <v>-12.881100000000002</v>
      </c>
      <c r="AY18" s="579">
        <f ca="1">OFFSET(Sector1!$G$234,0,(COLUMN()-9)/6)</f>
        <v>-1.4401000000000022</v>
      </c>
      <c r="AZ18" s="598">
        <f ca="1">+AU18+AY18</f>
        <v>-6.4392935428259079E-15</v>
      </c>
      <c r="BA18" s="581">
        <f ca="1">+BB18+BC18+BD18</f>
        <v>1.7397000000000027</v>
      </c>
      <c r="BB18" s="579">
        <f ca="1">OFFSET(Sector1!$G$235,0,(COLUMN()-6)/6)</f>
        <v>26.7182</v>
      </c>
      <c r="BC18" s="579">
        <f ca="1">OFFSET(Sector1!$G$227,0,(COLUMN()-7)/6)</f>
        <v>-12.681599999999998</v>
      </c>
      <c r="BD18" s="1053">
        <f ca="1">+BD19-BD20-BD21</f>
        <v>-12.296899999999999</v>
      </c>
      <c r="BE18" s="579">
        <f ca="1">OFFSET(Sector1!$G$234,0,(COLUMN()-9)/6)</f>
        <v>-1.7397000000000007</v>
      </c>
      <c r="BF18" s="598">
        <f ca="1">+BA18+BE18</f>
        <v>1.9984014443252818E-15</v>
      </c>
      <c r="BG18" s="581">
        <f ca="1">+BH18+BI18+BJ18</f>
        <v>0.24240000000000528</v>
      </c>
      <c r="BH18" s="579">
        <f ca="1">OFFSET(Sector1!$G$235,0,(COLUMN()-6)/6)</f>
        <v>27.025400000000001</v>
      </c>
      <c r="BI18" s="579">
        <f ca="1">OFFSET(Sector1!$G$227,0,(COLUMN()-7)/6)</f>
        <v>-14.666199999999996</v>
      </c>
      <c r="BJ18" s="1053">
        <f ca="1">+BJ19-BJ20-BJ21</f>
        <v>-12.1168</v>
      </c>
      <c r="BK18" s="579">
        <f ca="1">OFFSET(Sector1!$G$234,0,(COLUMN()-9)/6)</f>
        <v>-0.24240000000000145</v>
      </c>
      <c r="BL18" s="598">
        <f ca="1">+BG18+BK18</f>
        <v>3.8302694349567901E-15</v>
      </c>
      <c r="BM18" s="581">
        <f ca="1">+BN18+BO18+BP18</f>
        <v>-0.2134999999999998</v>
      </c>
      <c r="BN18" s="579">
        <f ca="1">OFFSET(Sector1!$G$235,0,(COLUMN()-6)/6)</f>
        <v>27.3645</v>
      </c>
      <c r="BO18" s="579">
        <f ca="1">OFFSET(Sector1!$G$227,0,(COLUMN()-7)/6)</f>
        <v>-16.526499999999999</v>
      </c>
      <c r="BP18" s="1053">
        <f ca="1">+BP19-BP20-BP21</f>
        <v>-11.051500000000001</v>
      </c>
      <c r="BQ18" s="579">
        <f ca="1">OFFSET(Sector1!$G$234,0,(COLUMN()-9)/6)</f>
        <v>0.2135</v>
      </c>
      <c r="BR18" s="598">
        <f ca="1">+BM18+BQ18</f>
        <v>0</v>
      </c>
      <c r="BS18" s="581">
        <f ca="1">+BT18+BU18+BV18</f>
        <v>0.44809999999999661</v>
      </c>
      <c r="BT18" s="579">
        <f ca="1">OFFSET(Sector1!$G$235,0,(COLUMN()-6)/6)</f>
        <v>28.338799999999999</v>
      </c>
      <c r="BU18" s="579">
        <f ca="1">OFFSET(Sector1!$G$227,0,(COLUMN()-7)/6)</f>
        <v>-17.310500000000001</v>
      </c>
      <c r="BV18" s="1053">
        <f ca="1">+BV19-BV20-BV21</f>
        <v>-10.580200000000001</v>
      </c>
      <c r="BW18" s="579">
        <f ca="1">OFFSET(Sector1!$G$234,0,(COLUMN()-9)/6)</f>
        <v>-0.44810000000000583</v>
      </c>
      <c r="BX18" s="598">
        <f ca="1">+BS18+BW18</f>
        <v>-9.2148511043887993E-15</v>
      </c>
      <c r="BY18" s="581">
        <f ca="1">+BZ18+CA18+CB18</f>
        <v>0.6301000000000041</v>
      </c>
      <c r="BZ18" s="579">
        <f ca="1">OFFSET(Sector1!$G$235,0,(COLUMN()-6)/6)</f>
        <v>30.265999999999998</v>
      </c>
      <c r="CA18" s="579">
        <f ca="1">OFFSET(Sector1!$G$227,0,(COLUMN()-7)/6)</f>
        <v>-19.014899999999994</v>
      </c>
      <c r="CB18" s="1053">
        <f ca="1">+CB19-CB20-CB21</f>
        <v>-10.621</v>
      </c>
      <c r="CC18" s="579">
        <f ca="1">OFFSET(Sector1!$G$234,0,(COLUMN()-9)/6)</f>
        <v>-0.63010000000000577</v>
      </c>
      <c r="CD18" s="598">
        <f ca="1">+BY18+CC18</f>
        <v>-1.6653345369377348E-15</v>
      </c>
      <c r="CE18" s="581">
        <f ca="1">+CF18+CG18+CH18</f>
        <v>4.5094999999999903</v>
      </c>
      <c r="CF18" s="579">
        <f ca="1">OFFSET(Sector1!$G$235,0,(COLUMN()-6)/6)</f>
        <v>33.9726</v>
      </c>
      <c r="CG18" s="579">
        <f ca="1">OFFSET(Sector1!$G$227,0,(COLUMN()-7)/6)</f>
        <v>-19.10090000000001</v>
      </c>
      <c r="CH18" s="1053">
        <f ca="1">+CH19-CH20-CH21</f>
        <v>-10.3622</v>
      </c>
      <c r="CI18" s="579">
        <f ca="1">OFFSET(Sector1!$G$234,0,(COLUMN()-9)/6)</f>
        <v>-4.5095000000000072</v>
      </c>
      <c r="CJ18" s="598">
        <f ca="1">+CE18+CI18</f>
        <v>-1.6875389974302379E-14</v>
      </c>
      <c r="CK18" s="581">
        <f ca="1">+CL18+CM18+CN18</f>
        <v>-3.8993999999999982</v>
      </c>
      <c r="CL18" s="579">
        <f ca="1">OFFSET(Sector1!$G$235,0,(COLUMN()-6)/6)</f>
        <v>32.634999999999998</v>
      </c>
      <c r="CM18" s="579">
        <f ca="1">OFFSET(Sector1!$G$227,0,(COLUMN()-7)/6)</f>
        <v>-26.343199999999996</v>
      </c>
      <c r="CN18" s="1053">
        <f ca="1">+CN19-CN20-CN21</f>
        <v>-10.1912</v>
      </c>
      <c r="CO18" s="579">
        <f ca="1">OFFSET(Sector1!$G$234,0,(COLUMN()-9)/6)</f>
        <v>3.8993999999999942</v>
      </c>
      <c r="CP18" s="598">
        <f ca="1">+CK18+CO18</f>
        <v>-3.9968028886505635E-15</v>
      </c>
      <c r="CQ18" s="581">
        <f ca="1">+CR18+CS18+CT18</f>
        <v>6.9204999999999934</v>
      </c>
      <c r="CR18" s="579">
        <f ca="1">OFFSET(Sector1!$G$235,0,(COLUMN()-6)/6)</f>
        <v>32.867199999999997</v>
      </c>
      <c r="CS18" s="579">
        <f ca="1">OFFSET(Sector1!$G$227,0,(COLUMN()-7)/6)</f>
        <v>-16.514600000000005</v>
      </c>
      <c r="CT18" s="1053">
        <f ca="1">+CT19-CT20-CT21</f>
        <v>-9.4320999999999984</v>
      </c>
      <c r="CU18" s="579">
        <f ca="1">OFFSET(Sector1!$G$234,0,(COLUMN()-9)/6)</f>
        <v>-6.9204999999999997</v>
      </c>
      <c r="CV18" s="598">
        <f ca="1">+CQ18+CU18</f>
        <v>0</v>
      </c>
      <c r="CW18" s="581">
        <f ca="1">+CX18+CY18+CZ18</f>
        <v>-0.73550000000001248</v>
      </c>
      <c r="CX18" s="579">
        <f ca="1">OFFSET(Sector1!$G$235,0,(COLUMN()-6)/6)</f>
        <v>30.845899999999997</v>
      </c>
      <c r="CY18" s="579">
        <f ca="1">OFFSET(Sector1!$G$227,0,(COLUMN()-7)/6)</f>
        <v>-22.603400000000008</v>
      </c>
      <c r="CZ18" s="1053">
        <f ca="1">+CZ19-CZ20-CZ21</f>
        <v>-8.9780000000000015</v>
      </c>
      <c r="DA18" s="579">
        <f ca="1">OFFSET(Sector1!$G$234,0,(COLUMN()-9)/6)</f>
        <v>0.73550000000000004</v>
      </c>
      <c r="DB18" s="598">
        <f ca="1">+CW18+DA18</f>
        <v>-1.2434497875801753E-14</v>
      </c>
      <c r="DC18" s="581">
        <f ca="1">+DD18+DE18+DF18</f>
        <v>4.7393999999999945</v>
      </c>
      <c r="DD18" s="579">
        <f ca="1">OFFSET(Sector1!$G$235,0,(COLUMN()-6)/6)</f>
        <v>29.168800000000001</v>
      </c>
      <c r="DE18" s="579">
        <f ca="1">OFFSET(Sector1!$G$227,0,(COLUMN()-7)/6)</f>
        <v>-15.163600000000006</v>
      </c>
      <c r="DF18" s="1053">
        <f ca="1">+DF19-DF20-DF21</f>
        <v>-9.2658000000000005</v>
      </c>
      <c r="DG18" s="579">
        <f ca="1">OFFSET(Sector1!$G$234,0,(COLUMN()-9)/6)</f>
        <v>-4.7394000000000016</v>
      </c>
      <c r="DH18" s="598">
        <f ca="1">+DC18+DG18</f>
        <v>-7.1054273576010019E-15</v>
      </c>
      <c r="DI18" s="581">
        <f ca="1">+DJ18+DK18+DL18</f>
        <v>1.541199999999999</v>
      </c>
      <c r="DJ18" s="579">
        <f ca="1">OFFSET(Sector1!$G$235,0,(COLUMN()-6)/6)</f>
        <v>29.2273</v>
      </c>
      <c r="DK18" s="579">
        <f ca="1">OFFSET(Sector1!$G$227,0,(COLUMN()-7)/6)</f>
        <v>-19.773</v>
      </c>
      <c r="DL18" s="1053">
        <f ca="1">+DL19-DL20-DL21</f>
        <v>-7.9131000000000009</v>
      </c>
      <c r="DM18" s="579">
        <f ca="1">OFFSET(Sector1!$G$234,0,(COLUMN()-9)/6)</f>
        <v>-1.541199999999997</v>
      </c>
      <c r="DN18" s="598">
        <f ca="1">+DI18+DM18</f>
        <v>1.9984014443252818E-15</v>
      </c>
      <c r="DO18" s="581">
        <f ca="1">+DP18+DQ18+DR18</f>
        <v>-2.3052000000000064</v>
      </c>
      <c r="DP18" s="579">
        <f ca="1">OFFSET(Sector1!$G$235,0,(COLUMN()-6)/6)</f>
        <v>27.744499999999999</v>
      </c>
      <c r="DQ18" s="579">
        <f ca="1">OFFSET(Sector1!$G$227,0,(COLUMN()-7)/6)</f>
        <v>-21.024100000000004</v>
      </c>
      <c r="DR18" s="1053">
        <f ca="1">+DR19-DR20-DR21</f>
        <v>-9.0256000000000007</v>
      </c>
      <c r="DS18" s="579">
        <f ca="1">OFFSET(Sector1!$G$234,0,(COLUMN()-9)/6)</f>
        <v>2.3032999999999957</v>
      </c>
      <c r="DT18" s="598">
        <f ca="1">+DO18+DS18</f>
        <v>-1.9000000000106709E-3</v>
      </c>
      <c r="DU18" s="581">
        <f ca="1">+DV18+DW18+DX18</f>
        <v>-6.2251000000000083</v>
      </c>
      <c r="DV18" s="579">
        <f ca="1">OFFSET(Sector1!$G$235,0,(COLUMN()-6)/6)</f>
        <v>27.055499999999999</v>
      </c>
      <c r="DW18" s="579">
        <f ca="1">OFFSET(Sector1!$G$227,0,(COLUMN()-7)/6)</f>
        <v>-24.469400000000007</v>
      </c>
      <c r="DX18" s="1053">
        <f ca="1">+DX19-DX20-DX21</f>
        <v>-8.8111999999999995</v>
      </c>
      <c r="DY18" s="579">
        <f ca="1">OFFSET(Sector1!$G$234,0,(COLUMN()-9)/6)</f>
        <v>6.2006999999999968</v>
      </c>
      <c r="DZ18" s="598">
        <f ca="1">+DU18+DY18</f>
        <v>-2.4400000000011524E-2</v>
      </c>
      <c r="EA18" s="581">
        <f ca="1">+EB18+EC18+ED18</f>
        <v>-2.2546000000000106</v>
      </c>
      <c r="EB18" s="579">
        <f ca="1">OFFSET(Sector1!$G$235,0,(COLUMN()-6)/6)</f>
        <v>26.257699999999996</v>
      </c>
      <c r="EC18" s="579">
        <f ca="1">OFFSET(Sector1!$G$227,0,(COLUMN()-7)/6)</f>
        <v>-20.186600000000006</v>
      </c>
      <c r="ED18" s="1053">
        <f ca="1">+ED19-ED20-ED21</f>
        <v>-8.3257000000000012</v>
      </c>
      <c r="EE18" s="579">
        <f ca="1">OFFSET(Sector1!$G$234,0,(COLUMN()-9)/6)</f>
        <v>2.2841999999999971</v>
      </c>
      <c r="EF18" s="598">
        <f ca="1">+EA18+EE18</f>
        <v>2.9599999999986526E-2</v>
      </c>
      <c r="EG18" s="581">
        <f ca="1">+EH18+EI18+EJ18</f>
        <v>-1.357271639999996</v>
      </c>
      <c r="EH18" s="579">
        <f ca="1">OFFSET(Sector1!$G$235,0,(COLUMN()-6)/6)</f>
        <v>26.257693360000008</v>
      </c>
      <c r="EI18" s="579">
        <f ca="1">OFFSET(Sector1!$G$227,0,(COLUMN()-7)/6)</f>
        <v>-20.691265000000005</v>
      </c>
      <c r="EJ18" s="1053">
        <f ca="1">+EJ19-EJ20-EJ21</f>
        <v>-6.9236999999999993</v>
      </c>
      <c r="EK18" s="579">
        <f ca="1">OFFSET(Sector1!$G$234,0,(COLUMN()-9)/6)</f>
        <v>1.3572716399999984</v>
      </c>
      <c r="EL18" s="598">
        <f ca="1">+EG18+EK18</f>
        <v>2.4424906541753444E-15</v>
      </c>
      <c r="EM18" s="581">
        <f ca="1">+EN18+EO18+EP18</f>
        <v>-0.76916583838799824</v>
      </c>
      <c r="EN18" s="579">
        <f ca="1">OFFSET(Sector1!$G$235,0,(COLUMN()-6)/6)</f>
        <v>26.838321886612004</v>
      </c>
      <c r="EO18" s="579">
        <f ca="1">OFFSET(Sector1!$G$227,0,(COLUMN()-7)/6)</f>
        <v>-21.208546625000004</v>
      </c>
      <c r="EP18" s="1053">
        <f ca="1">+EP19-EP20-EP21</f>
        <v>-6.3989410999999983</v>
      </c>
      <c r="EQ18" s="579">
        <f ca="1">OFFSET(Sector1!$G$234,0,(COLUMN()-9)/6)</f>
        <v>0.76916583838799912</v>
      </c>
      <c r="ER18" s="598">
        <f ca="1">+EM18+EQ18</f>
        <v>8.8817841970012523E-16</v>
      </c>
    </row>
    <row r="19" spans="1:148" s="596" customFormat="1" ht="13.5" customHeight="1">
      <c r="A19" s="591"/>
      <c r="B19" s="592"/>
      <c r="C19" s="599"/>
      <c r="D19" s="600" t="s">
        <v>1294</v>
      </c>
      <c r="E19" s="595"/>
      <c r="F19" s="578"/>
      <c r="G19" s="601"/>
      <c r="H19" s="590">
        <f ca="1">OFFSET(Sector1!$G$228,0,(COLUMN()-8)/6)</f>
        <v>2.2835000000000001</v>
      </c>
      <c r="I19" s="585"/>
      <c r="J19" s="580"/>
      <c r="K19" s="595"/>
      <c r="L19" s="578"/>
      <c r="M19" s="601"/>
      <c r="N19" s="590">
        <f ca="1">OFFSET(Sector1!$G$228,0,(COLUMN()-8)/6)</f>
        <v>2.8614999999999999</v>
      </c>
      <c r="O19" s="585"/>
      <c r="P19" s="580"/>
      <c r="Q19" s="595"/>
      <c r="R19" s="578"/>
      <c r="S19" s="601"/>
      <c r="T19" s="590">
        <f ca="1">OFFSET(Sector1!$G$228,0,(COLUMN()-8)/6)</f>
        <v>2.6621999999999999</v>
      </c>
      <c r="U19" s="585"/>
      <c r="V19" s="580"/>
      <c r="W19" s="595"/>
      <c r="X19" s="578"/>
      <c r="Y19" s="601"/>
      <c r="Z19" s="590">
        <f ca="1">OFFSET(Sector1!$G$228,0,(COLUMN()-8)/6)</f>
        <v>2.6344000000000003</v>
      </c>
      <c r="AA19" s="585"/>
      <c r="AB19" s="580"/>
      <c r="AC19" s="595"/>
      <c r="AD19" s="578"/>
      <c r="AE19" s="601"/>
      <c r="AF19" s="590">
        <f ca="1">OFFSET(Sector1!$G$228,0,(COLUMN()-8)/6)</f>
        <v>2.3803000000000001</v>
      </c>
      <c r="AG19" s="585"/>
      <c r="AH19" s="580"/>
      <c r="AI19" s="595"/>
      <c r="AJ19" s="578"/>
      <c r="AK19" s="601"/>
      <c r="AL19" s="590">
        <f ca="1">OFFSET(Sector1!$G$228,0,(COLUMN()-8)/6)</f>
        <v>2.8961999999999999</v>
      </c>
      <c r="AM19" s="585"/>
      <c r="AN19" s="580"/>
      <c r="AO19" s="595"/>
      <c r="AP19" s="578"/>
      <c r="AQ19" s="601"/>
      <c r="AR19" s="590">
        <f ca="1">OFFSET(Sector1!$G$228,0,(COLUMN()-8)/6)</f>
        <v>3.4688000000000003</v>
      </c>
      <c r="AS19" s="585"/>
      <c r="AT19" s="580"/>
      <c r="AU19" s="595"/>
      <c r="AV19" s="578"/>
      <c r="AW19" s="601"/>
      <c r="AX19" s="590">
        <f ca="1">OFFSET(Sector1!$G$228,0,(COLUMN()-8)/6)</f>
        <v>3.0840999999999998</v>
      </c>
      <c r="AY19" s="585"/>
      <c r="AZ19" s="580"/>
      <c r="BA19" s="595"/>
      <c r="BB19" s="578"/>
      <c r="BC19" s="601"/>
      <c r="BD19" s="590">
        <f ca="1">OFFSET(Sector1!$G$228,0,(COLUMN()-8)/6)</f>
        <v>2.9409000000000001</v>
      </c>
      <c r="BE19" s="585"/>
      <c r="BF19" s="580"/>
      <c r="BG19" s="595"/>
      <c r="BH19" s="578"/>
      <c r="BI19" s="601"/>
      <c r="BJ19" s="590">
        <f ca="1">OFFSET(Sector1!$G$228,0,(COLUMN()-8)/6)</f>
        <v>2.2416999999999998</v>
      </c>
      <c r="BK19" s="585"/>
      <c r="BL19" s="580"/>
      <c r="BM19" s="595"/>
      <c r="BN19" s="578"/>
      <c r="BO19" s="601"/>
      <c r="BP19" s="590">
        <f ca="1">OFFSET(Sector1!$G$228,0,(COLUMN()-8)/6)</f>
        <v>2.5285000000000002</v>
      </c>
      <c r="BQ19" s="585"/>
      <c r="BR19" s="580"/>
      <c r="BS19" s="595"/>
      <c r="BT19" s="578"/>
      <c r="BU19" s="601"/>
      <c r="BV19" s="590">
        <f ca="1">OFFSET(Sector1!$G$228,0,(COLUMN()-8)/6)</f>
        <v>2.802</v>
      </c>
      <c r="BW19" s="585"/>
      <c r="BX19" s="580"/>
      <c r="BY19" s="595"/>
      <c r="BZ19" s="578"/>
      <c r="CA19" s="601"/>
      <c r="CB19" s="590">
        <f ca="1">OFFSET(Sector1!$G$228,0,(COLUMN()-8)/6)</f>
        <v>3.1078000000000001</v>
      </c>
      <c r="CC19" s="585"/>
      <c r="CD19" s="580"/>
      <c r="CE19" s="595"/>
      <c r="CF19" s="578"/>
      <c r="CG19" s="601"/>
      <c r="CH19" s="590">
        <f ca="1">OFFSET(Sector1!$G$228,0,(COLUMN()-8)/6)</f>
        <v>3.6729000000000003</v>
      </c>
      <c r="CI19" s="585"/>
      <c r="CJ19" s="580"/>
      <c r="CK19" s="595"/>
      <c r="CL19" s="578"/>
      <c r="CM19" s="601"/>
      <c r="CN19" s="590">
        <f ca="1">OFFSET(Sector1!$G$228,0,(COLUMN()-8)/6)</f>
        <v>3.1504000000000003</v>
      </c>
      <c r="CO19" s="585"/>
      <c r="CP19" s="580"/>
      <c r="CQ19" s="595"/>
      <c r="CR19" s="578"/>
      <c r="CS19" s="601"/>
      <c r="CT19" s="590">
        <f ca="1">OFFSET(Sector1!$G$228,0,(COLUMN()-8)/6)</f>
        <v>3.7434000000000003</v>
      </c>
      <c r="CU19" s="585"/>
      <c r="CV19" s="580"/>
      <c r="CW19" s="595"/>
      <c r="CX19" s="578"/>
      <c r="CY19" s="601"/>
      <c r="CZ19" s="590">
        <f ca="1">OFFSET(Sector1!$G$228,0,(COLUMN()-8)/6)</f>
        <v>4.6672000000000002</v>
      </c>
      <c r="DA19" s="585"/>
      <c r="DB19" s="580"/>
      <c r="DC19" s="595"/>
      <c r="DD19" s="578"/>
      <c r="DE19" s="601"/>
      <c r="DF19" s="590">
        <f ca="1">OFFSET(Sector1!$G$228,0,(COLUMN()-8)/6)</f>
        <v>4.7103999999999999</v>
      </c>
      <c r="DG19" s="585"/>
      <c r="DH19" s="580"/>
      <c r="DI19" s="595"/>
      <c r="DJ19" s="578"/>
      <c r="DK19" s="601"/>
      <c r="DL19" s="590">
        <f ca="1">OFFSET(Sector1!$G$228,0,(COLUMN()-8)/6)</f>
        <v>5.0651000000000002</v>
      </c>
      <c r="DM19" s="585"/>
      <c r="DN19" s="580"/>
      <c r="DO19" s="595"/>
      <c r="DP19" s="578"/>
      <c r="DQ19" s="601"/>
      <c r="DR19" s="590">
        <f ca="1">OFFSET(Sector1!$G$228,0,(COLUMN()-8)/6)</f>
        <v>4.0325999999999995</v>
      </c>
      <c r="DS19" s="585"/>
      <c r="DT19" s="580"/>
      <c r="DU19" s="595"/>
      <c r="DV19" s="578"/>
      <c r="DW19" s="601"/>
      <c r="DX19" s="590">
        <f ca="1">OFFSET(Sector1!$G$228,0,(COLUMN()-8)/6)</f>
        <v>3.6075999999999997</v>
      </c>
      <c r="DY19" s="585"/>
      <c r="DZ19" s="580"/>
      <c r="EA19" s="595"/>
      <c r="EB19" s="578"/>
      <c r="EC19" s="601"/>
      <c r="ED19" s="590">
        <f ca="1">OFFSET(Sector1!$G$228,0,(COLUMN()-8)/6)</f>
        <v>3.7905000000000002</v>
      </c>
      <c r="EE19" s="585"/>
      <c r="EF19" s="580"/>
      <c r="EG19" s="595"/>
      <c r="EH19" s="578"/>
      <c r="EI19" s="601"/>
      <c r="EJ19" s="590">
        <f ca="1">OFFSET(Sector1!$G$228,0,(COLUMN()-8)/6)</f>
        <v>3.8524000000000003</v>
      </c>
      <c r="EK19" s="585"/>
      <c r="EL19" s="580"/>
      <c r="EM19" s="595"/>
      <c r="EN19" s="578"/>
      <c r="EO19" s="601"/>
      <c r="EP19" s="590">
        <f ca="1">OFFSET(Sector1!$G$228,0,(COLUMN()-8)/6)</f>
        <v>3.81464648</v>
      </c>
      <c r="EQ19" s="585"/>
      <c r="ER19" s="580"/>
    </row>
    <row r="20" spans="1:148" s="596" customFormat="1" ht="13.5" customHeight="1">
      <c r="A20" s="591"/>
      <c r="B20" s="592"/>
      <c r="C20" s="599"/>
      <c r="D20" s="600" t="s">
        <v>1295</v>
      </c>
      <c r="E20" s="595"/>
      <c r="F20" s="578"/>
      <c r="G20" s="601"/>
      <c r="H20" s="590">
        <f ca="1">OFFSET(Sector1!$G$230,0,(COLUMN()-8)/6)</f>
        <v>1.7000000000007276E-3</v>
      </c>
      <c r="I20" s="585"/>
      <c r="J20" s="580"/>
      <c r="K20" s="595"/>
      <c r="L20" s="578"/>
      <c r="M20" s="601"/>
      <c r="N20" s="590">
        <f ca="1">OFFSET(Sector1!$G$230,0,(COLUMN()-8)/6)</f>
        <v>1.4000000000014552E-3</v>
      </c>
      <c r="O20" s="585"/>
      <c r="P20" s="580"/>
      <c r="Q20" s="595"/>
      <c r="R20" s="578"/>
      <c r="S20" s="601"/>
      <c r="T20" s="590">
        <f ca="1">OFFSET(Sector1!$G$230,0,(COLUMN()-8)/6)</f>
        <v>1.8000000000029104E-3</v>
      </c>
      <c r="U20" s="585"/>
      <c r="V20" s="580"/>
      <c r="W20" s="595"/>
      <c r="X20" s="578"/>
      <c r="Y20" s="601"/>
      <c r="Z20" s="590">
        <f ca="1">OFFSET(Sector1!$G$230,0,(COLUMN()-8)/6)</f>
        <v>2.4000000000014552E-3</v>
      </c>
      <c r="AA20" s="585"/>
      <c r="AB20" s="580"/>
      <c r="AC20" s="595"/>
      <c r="AD20" s="578"/>
      <c r="AE20" s="601"/>
      <c r="AF20" s="590">
        <f ca="1">OFFSET(Sector1!$G$230,0,(COLUMN()-8)/6)</f>
        <v>3.4000000000014552E-3</v>
      </c>
      <c r="AG20" s="585"/>
      <c r="AH20" s="580"/>
      <c r="AI20" s="595"/>
      <c r="AJ20" s="578"/>
      <c r="AK20" s="601"/>
      <c r="AL20" s="590">
        <f ca="1">OFFSET(Sector1!$G$230,0,(COLUMN()-8)/6)</f>
        <v>3.9000000000014553E-3</v>
      </c>
      <c r="AM20" s="585"/>
      <c r="AN20" s="580"/>
      <c r="AO20" s="595"/>
      <c r="AP20" s="578"/>
      <c r="AQ20" s="601"/>
      <c r="AR20" s="590">
        <f ca="1">OFFSET(Sector1!$G$230,0,(COLUMN()-8)/6)</f>
        <v>4.0000000000000001E-3</v>
      </c>
      <c r="AS20" s="585"/>
      <c r="AT20" s="580"/>
      <c r="AU20" s="595"/>
      <c r="AV20" s="578"/>
      <c r="AW20" s="601"/>
      <c r="AX20" s="590">
        <f ca="1">OFFSET(Sector1!$G$230,0,(COLUMN()-8)/6)</f>
        <v>8.8000000000010917E-3</v>
      </c>
      <c r="AY20" s="585"/>
      <c r="AZ20" s="580"/>
      <c r="BA20" s="595"/>
      <c r="BB20" s="578"/>
      <c r="BC20" s="601"/>
      <c r="BD20" s="590">
        <f ca="1">OFFSET(Sector1!$G$230,0,(COLUMN()-8)/6)</f>
        <v>5.5999999999985445E-3</v>
      </c>
      <c r="BE20" s="585"/>
      <c r="BF20" s="580"/>
      <c r="BG20" s="595"/>
      <c r="BH20" s="578"/>
      <c r="BI20" s="601"/>
      <c r="BJ20" s="590">
        <f ca="1">OFFSET(Sector1!$G$230,0,(COLUMN()-8)/6)</f>
        <v>5.7000000000007279E-3</v>
      </c>
      <c r="BK20" s="585"/>
      <c r="BL20" s="580"/>
      <c r="BM20" s="595"/>
      <c r="BN20" s="578"/>
      <c r="BO20" s="601"/>
      <c r="BP20" s="590">
        <f ca="1">OFFSET(Sector1!$G$230,0,(COLUMN()-8)/6)</f>
        <v>5.4999999999999997E-3</v>
      </c>
      <c r="BQ20" s="585"/>
      <c r="BR20" s="580"/>
      <c r="BS20" s="595"/>
      <c r="BT20" s="578"/>
      <c r="BU20" s="601"/>
      <c r="BV20" s="590">
        <f ca="1">OFFSET(Sector1!$G$230,0,(COLUMN()-8)/6)</f>
        <v>1.0300000000001091E-2</v>
      </c>
      <c r="BW20" s="585"/>
      <c r="BX20" s="580"/>
      <c r="BY20" s="595"/>
      <c r="BZ20" s="578"/>
      <c r="CA20" s="601"/>
      <c r="CB20" s="590">
        <f ca="1">OFFSET(Sector1!$G$230,0,(COLUMN()-8)/6)</f>
        <v>6.399999999999636E-3</v>
      </c>
      <c r="CC20" s="585"/>
      <c r="CD20" s="580"/>
      <c r="CE20" s="595"/>
      <c r="CF20" s="578"/>
      <c r="CG20" s="601"/>
      <c r="CH20" s="590">
        <f ca="1">OFFSET(Sector1!$G$230,0,(COLUMN()-8)/6)</f>
        <v>2.8000000000010915E-3</v>
      </c>
      <c r="CI20" s="585"/>
      <c r="CJ20" s="580"/>
      <c r="CK20" s="595"/>
      <c r="CL20" s="578"/>
      <c r="CM20" s="601"/>
      <c r="CN20" s="590">
        <f ca="1">OFFSET(Sector1!$G$230,0,(COLUMN()-8)/6)</f>
        <v>3.8000000000010916E-3</v>
      </c>
      <c r="CO20" s="585"/>
      <c r="CP20" s="580"/>
      <c r="CQ20" s="595"/>
      <c r="CR20" s="578"/>
      <c r="CS20" s="601"/>
      <c r="CT20" s="590">
        <f ca="1">OFFSET(Sector1!$G$230,0,(COLUMN()-8)/6)</f>
        <v>4.7999999999992727E-3</v>
      </c>
      <c r="CU20" s="585"/>
      <c r="CV20" s="580"/>
      <c r="CW20" s="595"/>
      <c r="CX20" s="578"/>
      <c r="CY20" s="601"/>
      <c r="CZ20" s="590">
        <f ca="1">OFFSET(Sector1!$G$230,0,(COLUMN()-8)/6)</f>
        <v>7.3000000000010912E-3</v>
      </c>
      <c r="DA20" s="585"/>
      <c r="DB20" s="580"/>
      <c r="DC20" s="595"/>
      <c r="DD20" s="578"/>
      <c r="DE20" s="601"/>
      <c r="DF20" s="590">
        <f ca="1">OFFSET(Sector1!$G$230,0,(COLUMN()-8)/6)</f>
        <v>7.0000000000000001E-3</v>
      </c>
      <c r="DG20" s="585"/>
      <c r="DH20" s="580"/>
      <c r="DI20" s="595"/>
      <c r="DJ20" s="578"/>
      <c r="DK20" s="601"/>
      <c r="DL20" s="590">
        <f ca="1">OFFSET(Sector1!$G$230,0,(COLUMN()-8)/6)</f>
        <v>6.4000000000014549E-3</v>
      </c>
      <c r="DM20" s="585"/>
      <c r="DN20" s="580"/>
      <c r="DO20" s="595"/>
      <c r="DP20" s="578"/>
      <c r="DQ20" s="601"/>
      <c r="DR20" s="590">
        <f ca="1">OFFSET(Sector1!$G$230,0,(COLUMN()-8)/6)</f>
        <v>2.5000000000000001E-3</v>
      </c>
      <c r="DS20" s="585"/>
      <c r="DT20" s="580"/>
      <c r="DU20" s="595"/>
      <c r="DV20" s="578"/>
      <c r="DW20" s="601"/>
      <c r="DX20" s="590">
        <f ca="1">OFFSET(Sector1!$G$230,0,(COLUMN()-8)/6)</f>
        <v>1.3999999999996361E-3</v>
      </c>
      <c r="DY20" s="585"/>
      <c r="DZ20" s="580"/>
      <c r="EA20" s="595"/>
      <c r="EB20" s="578"/>
      <c r="EC20" s="601"/>
      <c r="ED20" s="590">
        <f ca="1">OFFSET(Sector1!$G$230,0,(COLUMN()-8)/6)</f>
        <v>0</v>
      </c>
      <c r="EE20" s="585"/>
      <c r="EF20" s="580"/>
      <c r="EG20" s="595"/>
      <c r="EH20" s="578"/>
      <c r="EI20" s="601"/>
      <c r="EJ20" s="590">
        <f ca="1">OFFSET(Sector1!$G$230,0,(COLUMN()-8)/6)</f>
        <v>0</v>
      </c>
      <c r="EK20" s="585"/>
      <c r="EL20" s="580"/>
      <c r="EM20" s="595"/>
      <c r="EN20" s="578"/>
      <c r="EO20" s="601"/>
      <c r="EP20" s="590">
        <f ca="1">OFFSET(Sector1!$G$230,0,(COLUMN()-8)/6)</f>
        <v>0</v>
      </c>
      <c r="EQ20" s="585"/>
      <c r="ER20" s="580"/>
    </row>
    <row r="21" spans="1:148" s="603" customFormat="1" ht="13.8" thickBot="1">
      <c r="A21" s="602"/>
      <c r="B21" s="592"/>
      <c r="C21" s="599"/>
      <c r="D21" s="600" t="s">
        <v>1632</v>
      </c>
      <c r="E21" s="595"/>
      <c r="F21" s="578"/>
      <c r="G21" s="601"/>
      <c r="H21" s="597">
        <f ca="1">OFFSET(Sector1!$G$231,0,(COLUMN()-8)/6)</f>
        <v>18.4833</v>
      </c>
      <c r="I21" s="585"/>
      <c r="J21" s="580"/>
      <c r="K21" s="595"/>
      <c r="L21" s="578"/>
      <c r="M21" s="601"/>
      <c r="N21" s="597">
        <f ca="1">OFFSET(Sector1!$G$231,0,(COLUMN()-8)/6)</f>
        <v>18.371099999999998</v>
      </c>
      <c r="O21" s="585"/>
      <c r="P21" s="580"/>
      <c r="Q21" s="595"/>
      <c r="R21" s="578"/>
      <c r="S21" s="601"/>
      <c r="T21" s="597">
        <f ca="1">OFFSET(Sector1!$G$231,0,(COLUMN()-8)/6)</f>
        <v>17.513099999999998</v>
      </c>
      <c r="U21" s="585"/>
      <c r="V21" s="580"/>
      <c r="W21" s="595"/>
      <c r="X21" s="578"/>
      <c r="Y21" s="601"/>
      <c r="Z21" s="597">
        <f ca="1">OFFSET(Sector1!$G$231,0,(COLUMN()-8)/6)</f>
        <v>17.3751</v>
      </c>
      <c r="AA21" s="585"/>
      <c r="AB21" s="580"/>
      <c r="AC21" s="595"/>
      <c r="AD21" s="578"/>
      <c r="AE21" s="601"/>
      <c r="AF21" s="597">
        <f ca="1">OFFSET(Sector1!$G$231,0,(COLUMN()-8)/6)</f>
        <v>16.807099999999998</v>
      </c>
      <c r="AG21" s="585"/>
      <c r="AH21" s="580"/>
      <c r="AI21" s="595"/>
      <c r="AJ21" s="578"/>
      <c r="AK21" s="601"/>
      <c r="AL21" s="597">
        <f ca="1">OFFSET(Sector1!$G$231,0,(COLUMN()-8)/6)</f>
        <v>17.2136</v>
      </c>
      <c r="AM21" s="585"/>
      <c r="AN21" s="580"/>
      <c r="AO21" s="595"/>
      <c r="AP21" s="578"/>
      <c r="AQ21" s="601"/>
      <c r="AR21" s="597">
        <f ca="1">OFFSET(Sector1!$G$231,0,(COLUMN()-8)/6)</f>
        <v>17.370699999999999</v>
      </c>
      <c r="AS21" s="585"/>
      <c r="AT21" s="580"/>
      <c r="AU21" s="595"/>
      <c r="AV21" s="578"/>
      <c r="AW21" s="601"/>
      <c r="AX21" s="597">
        <f ca="1">OFFSET(Sector1!$G$231,0,(COLUMN()-8)/6)</f>
        <v>15.9564</v>
      </c>
      <c r="AY21" s="585"/>
      <c r="AZ21" s="580"/>
      <c r="BA21" s="595"/>
      <c r="BB21" s="578"/>
      <c r="BC21" s="601"/>
      <c r="BD21" s="597">
        <f ca="1">OFFSET(Sector1!$G$231,0,(COLUMN()-8)/6)</f>
        <v>15.232200000000001</v>
      </c>
      <c r="BE21" s="585"/>
      <c r="BF21" s="580"/>
      <c r="BG21" s="595"/>
      <c r="BH21" s="578"/>
      <c r="BI21" s="601"/>
      <c r="BJ21" s="597">
        <f ca="1">OFFSET(Sector1!$G$231,0,(COLUMN()-8)/6)</f>
        <v>14.352799999999998</v>
      </c>
      <c r="BK21" s="585"/>
      <c r="BL21" s="580"/>
      <c r="BM21" s="595"/>
      <c r="BN21" s="578"/>
      <c r="BO21" s="601"/>
      <c r="BP21" s="597">
        <f ca="1">OFFSET(Sector1!$G$231,0,(COLUMN()-8)/6)</f>
        <v>13.5745</v>
      </c>
      <c r="BQ21" s="585"/>
      <c r="BR21" s="580"/>
      <c r="BS21" s="595"/>
      <c r="BT21" s="578"/>
      <c r="BU21" s="601"/>
      <c r="BV21" s="597">
        <f ca="1">OFFSET(Sector1!$G$231,0,(COLUMN()-8)/6)</f>
        <v>13.3719</v>
      </c>
      <c r="BW21" s="585"/>
      <c r="BX21" s="580"/>
      <c r="BY21" s="595"/>
      <c r="BZ21" s="578"/>
      <c r="CA21" s="601"/>
      <c r="CB21" s="597">
        <f ca="1">OFFSET(Sector1!$G$231,0,(COLUMN()-8)/6)</f>
        <v>13.7224</v>
      </c>
      <c r="CC21" s="585"/>
      <c r="CD21" s="580"/>
      <c r="CE21" s="595"/>
      <c r="CF21" s="578"/>
      <c r="CG21" s="601"/>
      <c r="CH21" s="597">
        <f ca="1">OFFSET(Sector1!$G$231,0,(COLUMN()-8)/6)</f>
        <v>14.032299999999999</v>
      </c>
      <c r="CI21" s="585"/>
      <c r="CJ21" s="580"/>
      <c r="CK21" s="595"/>
      <c r="CL21" s="578"/>
      <c r="CM21" s="601"/>
      <c r="CN21" s="597">
        <f ca="1">OFFSET(Sector1!$G$231,0,(COLUMN()-8)/6)</f>
        <v>13.3378</v>
      </c>
      <c r="CO21" s="585"/>
      <c r="CP21" s="580"/>
      <c r="CQ21" s="595"/>
      <c r="CR21" s="578"/>
      <c r="CS21" s="601"/>
      <c r="CT21" s="597">
        <f ca="1">OFFSET(Sector1!$G$231,0,(COLUMN()-8)/6)</f>
        <v>13.1707</v>
      </c>
      <c r="CU21" s="585"/>
      <c r="CV21" s="580"/>
      <c r="CW21" s="595"/>
      <c r="CX21" s="578"/>
      <c r="CY21" s="601"/>
      <c r="CZ21" s="597">
        <f ca="1">OFFSET(Sector1!$G$231,0,(COLUMN()-8)/6)</f>
        <v>13.6379</v>
      </c>
      <c r="DA21" s="585"/>
      <c r="DB21" s="580"/>
      <c r="DC21" s="595"/>
      <c r="DD21" s="578"/>
      <c r="DE21" s="601"/>
      <c r="DF21" s="597">
        <f ca="1">OFFSET(Sector1!$G$231,0,(COLUMN()-8)/6)</f>
        <v>13.969200000000001</v>
      </c>
      <c r="DG21" s="585"/>
      <c r="DH21" s="580"/>
      <c r="DI21" s="595"/>
      <c r="DJ21" s="578"/>
      <c r="DK21" s="601"/>
      <c r="DL21" s="597">
        <f ca="1">OFFSET(Sector1!$G$231,0,(COLUMN()-8)/6)</f>
        <v>12.9718</v>
      </c>
      <c r="DM21" s="585"/>
      <c r="DN21" s="580"/>
      <c r="DO21" s="595"/>
      <c r="DP21" s="578"/>
      <c r="DQ21" s="601"/>
      <c r="DR21" s="597">
        <f ca="1">OFFSET(Sector1!$G$231,0,(COLUMN()-8)/6)</f>
        <v>13.0557</v>
      </c>
      <c r="DS21" s="585"/>
      <c r="DT21" s="580"/>
      <c r="DU21" s="595"/>
      <c r="DV21" s="578"/>
      <c r="DW21" s="601"/>
      <c r="DX21" s="597">
        <f ca="1">OFFSET(Sector1!$G$231,0,(COLUMN()-8)/6)</f>
        <v>12.417399999999999</v>
      </c>
      <c r="DY21" s="585"/>
      <c r="DZ21" s="580"/>
      <c r="EA21" s="595"/>
      <c r="EB21" s="578"/>
      <c r="EC21" s="601"/>
      <c r="ED21" s="597">
        <f ca="1">OFFSET(Sector1!$G$231,0,(COLUMN()-8)/6)</f>
        <v>12.116200000000001</v>
      </c>
      <c r="EE21" s="585"/>
      <c r="EF21" s="580"/>
      <c r="EG21" s="595"/>
      <c r="EH21" s="578"/>
      <c r="EI21" s="601"/>
      <c r="EJ21" s="597">
        <f ca="1">OFFSET(Sector1!$G$231,0,(COLUMN()-8)/6)</f>
        <v>10.7761</v>
      </c>
      <c r="EK21" s="585"/>
      <c r="EL21" s="580"/>
      <c r="EM21" s="595"/>
      <c r="EN21" s="578"/>
      <c r="EO21" s="601"/>
      <c r="EP21" s="597">
        <f ca="1">OFFSET(Sector1!$G$231,0,(COLUMN()-8)/6)</f>
        <v>10.213587579999999</v>
      </c>
      <c r="EQ21" s="585"/>
      <c r="ER21" s="580"/>
    </row>
    <row r="22" spans="1:148" s="577" customFormat="1">
      <c r="A22" s="572"/>
      <c r="B22" s="573" t="s">
        <v>624</v>
      </c>
      <c r="C22" s="4151" t="s">
        <v>2026</v>
      </c>
      <c r="D22" s="4152"/>
      <c r="E22" s="583">
        <f ca="1">+F22+G22+H22</f>
        <v>216.9804</v>
      </c>
      <c r="F22" s="583">
        <f ca="1">+F12+F13+F16-F17+F18</f>
        <v>169.19850000000002</v>
      </c>
      <c r="G22" s="583">
        <f ca="1">+G12+G13+G16-G17+G18</f>
        <v>36.540399999999991</v>
      </c>
      <c r="H22" s="583">
        <f ca="1">+H12+H13+H16-H17+H18</f>
        <v>11.241500000000002</v>
      </c>
      <c r="I22" s="584"/>
      <c r="J22" s="580"/>
      <c r="K22" s="583">
        <f ca="1">+L22+M22+N22</f>
        <v>220.82569999999998</v>
      </c>
      <c r="L22" s="583">
        <f ca="1">+L12+L13+L16-L17+L18</f>
        <v>170.3192</v>
      </c>
      <c r="M22" s="583">
        <f ca="1">+M12+M13+M16-M17+M18</f>
        <v>38.13069999999999</v>
      </c>
      <c r="N22" s="583">
        <f ca="1">+N12+N13+N16-N17+N18</f>
        <v>12.375799999999995</v>
      </c>
      <c r="O22" s="584"/>
      <c r="P22" s="580"/>
      <c r="Q22" s="583">
        <f ca="1">+R22+S22+T22</f>
        <v>231.3185</v>
      </c>
      <c r="R22" s="583">
        <f ca="1">+R12+R13+R16-R17+R18</f>
        <v>175.672</v>
      </c>
      <c r="S22" s="583">
        <f ca="1">+S12+S13+S16-S17+S18</f>
        <v>40.454000000000015</v>
      </c>
      <c r="T22" s="583">
        <f ca="1">+T12+T13+T16-T17+T18</f>
        <v>15.192499999999994</v>
      </c>
      <c r="U22" s="584"/>
      <c r="V22" s="580"/>
      <c r="W22" s="583">
        <f ca="1">+X22+Y22+Z22</f>
        <v>240.03279999999998</v>
      </c>
      <c r="X22" s="583">
        <f ca="1">+X12+X13+X16-X17+X18</f>
        <v>182.4769</v>
      </c>
      <c r="Y22" s="583">
        <f ca="1">+Y12+Y13+Y16-Y17+Y18</f>
        <v>41.371899999999997</v>
      </c>
      <c r="Z22" s="583">
        <f ca="1">+Z12+Z13+Z16-Z17+Z18</f>
        <v>16.184000000000001</v>
      </c>
      <c r="AA22" s="584"/>
      <c r="AB22" s="580"/>
      <c r="AC22" s="583">
        <f ca="1">+AD22+AE22+AF22</f>
        <v>249.75959999999998</v>
      </c>
      <c r="AD22" s="583">
        <f ca="1">+AD12+AD13+AD16-AD17+AD18</f>
        <v>188.13200000000001</v>
      </c>
      <c r="AE22" s="583">
        <f ca="1">+AE12+AE13+AE16-AE17+AE18</f>
        <v>42.995599999999982</v>
      </c>
      <c r="AF22" s="583">
        <f ca="1">+AF12+AF13+AF16-AF17+AF18</f>
        <v>18.631999999999998</v>
      </c>
      <c r="AG22" s="584"/>
      <c r="AH22" s="580"/>
      <c r="AI22" s="583">
        <f ca="1">+AJ22+AK22+AL22</f>
        <v>264.71350000000001</v>
      </c>
      <c r="AJ22" s="583">
        <f ca="1">+AJ12+AJ13+AJ16-AJ17+AJ18</f>
        <v>198.59990000000002</v>
      </c>
      <c r="AK22" s="583">
        <f ca="1">+AK12+AK13+AK16-AK17+AK18</f>
        <v>45.739599999999996</v>
      </c>
      <c r="AL22" s="583">
        <f ca="1">+AL12+AL13+AL16-AL17+AL18</f>
        <v>20.373999999999995</v>
      </c>
      <c r="AM22" s="584"/>
      <c r="AN22" s="580"/>
      <c r="AO22" s="583">
        <f ca="1">+AP22+AQ22+AR22</f>
        <v>270.61220000000003</v>
      </c>
      <c r="AP22" s="583">
        <f ca="1">+AP12+AP13+AP16-AP17+AP18</f>
        <v>208.03120000000001</v>
      </c>
      <c r="AQ22" s="583">
        <f ca="1">+AQ12+AQ13+AQ16-AQ17+AQ18</f>
        <v>42.055700000000002</v>
      </c>
      <c r="AR22" s="583">
        <f ca="1">+AR12+AR13+AR16-AR17+AR18</f>
        <v>20.525299999999998</v>
      </c>
      <c r="AS22" s="584"/>
      <c r="AT22" s="580"/>
      <c r="AU22" s="583">
        <f ca="1">+AV22+AW22+AX22</f>
        <v>279.63890000000004</v>
      </c>
      <c r="AV22" s="583">
        <f ca="1">+AV12+AV13+AV16-AV17+AV18</f>
        <v>210.64180000000002</v>
      </c>
      <c r="AW22" s="583">
        <f ca="1">+AW12+AW13+AW16-AW17+AW18</f>
        <v>46.141500000000008</v>
      </c>
      <c r="AX22" s="583">
        <f ca="1">+AX12+AX13+AX16-AX17+AX18</f>
        <v>22.855599999999995</v>
      </c>
      <c r="AY22" s="584"/>
      <c r="AZ22" s="580"/>
      <c r="BA22" s="583">
        <f ca="1">+BB22+BC22+BD22</f>
        <v>287.84949999999998</v>
      </c>
      <c r="BB22" s="583">
        <f ca="1">+BB12+BB13+BB16-BB17+BB18</f>
        <v>212.97989999999999</v>
      </c>
      <c r="BC22" s="583">
        <f ca="1">+BC12+BC13+BC16-BC17+BC18</f>
        <v>50.678700000000013</v>
      </c>
      <c r="BD22" s="583">
        <f ca="1">+BD12+BD13+BD16-BD17+BD18</f>
        <v>24.190899999999999</v>
      </c>
      <c r="BE22" s="584"/>
      <c r="BF22" s="580"/>
      <c r="BG22" s="583">
        <f ca="1">+BH22+BI22+BJ22</f>
        <v>302.66610000000003</v>
      </c>
      <c r="BH22" s="583">
        <f ca="1">+BH12+BH13+BH16-BH17+BH18</f>
        <v>218.40610000000001</v>
      </c>
      <c r="BI22" s="583">
        <f ca="1">+BI12+BI13+BI16-BI17+BI18</f>
        <v>57.305400000000013</v>
      </c>
      <c r="BJ22" s="583">
        <f ca="1">+BJ12+BJ13+BJ16-BJ17+BJ18</f>
        <v>26.954600000000013</v>
      </c>
      <c r="BK22" s="584"/>
      <c r="BL22" s="580"/>
      <c r="BM22" s="583">
        <f ca="1">+BN22+BO22+BP22</f>
        <v>315.1345</v>
      </c>
      <c r="BN22" s="583">
        <f ca="1">+BN12+BN13+BN16-BN17+BN18</f>
        <v>225.8459</v>
      </c>
      <c r="BO22" s="583">
        <f ca="1">+BO12+BO13+BO16-BO17+BO18</f>
        <v>60.462000000000018</v>
      </c>
      <c r="BP22" s="583">
        <f ca="1">+BP12+BP13+BP16-BP17+BP18</f>
        <v>28.826600000000003</v>
      </c>
      <c r="BQ22" s="584"/>
      <c r="BR22" s="580"/>
      <c r="BS22" s="583">
        <f ca="1">+BT22+BU22+BV22</f>
        <v>331.09380000000004</v>
      </c>
      <c r="BT22" s="583">
        <f ca="1">+BT12+BT13+BT16-BT17+BT18</f>
        <v>236.80940000000001</v>
      </c>
      <c r="BU22" s="583">
        <f ca="1">+BU12+BU13+BU16-BU17+BU18</f>
        <v>63.867599999999996</v>
      </c>
      <c r="BV22" s="583">
        <f ca="1">+BV12+BV13+BV16-BV17+BV18</f>
        <v>30.416799999999999</v>
      </c>
      <c r="BW22" s="584"/>
      <c r="BX22" s="580"/>
      <c r="BY22" s="583">
        <f ca="1">+BZ22+CA22+CB22</f>
        <v>349.23540000000003</v>
      </c>
      <c r="BZ22" s="583">
        <f ca="1">+BZ12+BZ13+BZ16-BZ17+BZ18</f>
        <v>249.52810000000002</v>
      </c>
      <c r="CA22" s="583">
        <f ca="1">+CA12+CA13+CA16-CA17+CA18</f>
        <v>68.34529999999998</v>
      </c>
      <c r="CB22" s="583">
        <f ca="1">+CB12+CB13+CB16-CB17+CB18</f>
        <v>31.362000000000009</v>
      </c>
      <c r="CC22" s="584"/>
      <c r="CD22" s="580"/>
      <c r="CE22" s="583">
        <f ca="1">+CF22+CG22+CH22</f>
        <v>362.36649999999997</v>
      </c>
      <c r="CF22" s="583">
        <f ca="1">+CF12+CF13+CF16-CF17+CF18</f>
        <v>263.89240000000001</v>
      </c>
      <c r="CG22" s="583">
        <f ca="1">+CG12+CG13+CG16-CG17+CG18</f>
        <v>67.012799999999984</v>
      </c>
      <c r="CH22" s="583">
        <f ca="1">+CH12+CH13+CH16-CH17+CH18</f>
        <v>31.461300000000001</v>
      </c>
      <c r="CI22" s="584"/>
      <c r="CJ22" s="580"/>
      <c r="CK22" s="583">
        <f ca="1">+CL22+CM22+CN22</f>
        <v>349.21089999999992</v>
      </c>
      <c r="CL22" s="583">
        <f ca="1">+CL12+CL13+CL16-CL17+CL18</f>
        <v>262.43680000000001</v>
      </c>
      <c r="CM22" s="583">
        <f ca="1">+CM12+CM13+CM16-CM17+CM18</f>
        <v>56.396299999999968</v>
      </c>
      <c r="CN22" s="583">
        <f ca="1">+CN12+CN13+CN16-CN17+CN18</f>
        <v>30.377799999999986</v>
      </c>
      <c r="CO22" s="584"/>
      <c r="CP22" s="580"/>
      <c r="CQ22" s="583">
        <f ca="1">+CR22+CS22+CT22</f>
        <v>376.60810000000004</v>
      </c>
      <c r="CR22" s="583">
        <f ca="1">+CR12+CR13+CR16-CR17+CR18</f>
        <v>267.18290000000002</v>
      </c>
      <c r="CS22" s="583">
        <f ca="1">+CS12+CS13+CS16-CS17+CS18</f>
        <v>76.463599999999985</v>
      </c>
      <c r="CT22" s="583">
        <f ca="1">+CT12+CT13+CT16-CT17+CT18</f>
        <v>32.961600000000004</v>
      </c>
      <c r="CU22" s="584"/>
      <c r="CV22" s="580"/>
      <c r="CW22" s="583">
        <f ca="1">+CX22+CY22+CZ22</f>
        <v>382.92900000000003</v>
      </c>
      <c r="CX22" s="583">
        <f ca="1">+CX12+CX13+CX16-CX17+CX18</f>
        <v>274.5249</v>
      </c>
      <c r="CY22" s="583">
        <f ca="1">+CY12+CY13+CY16-CY17+CY18</f>
        <v>73.898500000000027</v>
      </c>
      <c r="CZ22" s="583">
        <f ca="1">+CZ12+CZ13+CZ16-CZ17+CZ18</f>
        <v>34.505600000000008</v>
      </c>
      <c r="DA22" s="584"/>
      <c r="DB22" s="580"/>
      <c r="DC22" s="583">
        <f ca="1">+DD22+DE22+DF22</f>
        <v>396.98250000000002</v>
      </c>
      <c r="DD22" s="583">
        <f ca="1">+DD12+DD13+DD16-DD17+DD18</f>
        <v>280.2448</v>
      </c>
      <c r="DE22" s="583">
        <f ca="1">+DE12+DE13+DE16-DE17+DE18</f>
        <v>79.691399999999959</v>
      </c>
      <c r="DF22" s="583">
        <f ca="1">+DF12+DF13+DF16-DF17+DF18</f>
        <v>37.046300000000016</v>
      </c>
      <c r="DG22" s="584"/>
      <c r="DH22" s="580"/>
      <c r="DI22" s="583">
        <f ca="1">+DJ22+DK22+DL22</f>
        <v>398.8082</v>
      </c>
      <c r="DJ22" s="583">
        <f ca="1">+DJ12+DJ13+DJ16-DJ17+DJ18</f>
        <v>284.28320000000002</v>
      </c>
      <c r="DK22" s="583">
        <f ca="1">+DK12+DK13+DK16-DK17+DK18</f>
        <v>75.72769999999997</v>
      </c>
      <c r="DL22" s="583">
        <f ca="1">+DL12+DL13+DL16-DL17+DL18</f>
        <v>38.797300000000007</v>
      </c>
      <c r="DM22" s="584"/>
      <c r="DN22" s="580"/>
      <c r="DO22" s="583">
        <f ca="1">+DP22+DQ22+DR22</f>
        <v>402.82309999999995</v>
      </c>
      <c r="DP22" s="583">
        <f ca="1">+DP12+DP13+DP16-DP17+DP18</f>
        <v>287.19749999999999</v>
      </c>
      <c r="DQ22" s="583">
        <f ca="1">+DQ12+DQ13+DQ16-DQ17+DQ18</f>
        <v>77.441299999999984</v>
      </c>
      <c r="DR22" s="583">
        <f ca="1">+DR12+DR13+DR16-DR17+DR18</f>
        <v>38.184299999999993</v>
      </c>
      <c r="DS22" s="584"/>
      <c r="DT22" s="580"/>
      <c r="DU22" s="583">
        <f ca="1">+DV22+DW22+DX22</f>
        <v>409.26519999999999</v>
      </c>
      <c r="DV22" s="583">
        <f ca="1">+DV12+DV13+DV16-DV17+DV18</f>
        <v>289.19499999999999</v>
      </c>
      <c r="DW22" s="583">
        <f ca="1">+DW12+DW13+DW16-DW17+DW18</f>
        <v>80.896299999999997</v>
      </c>
      <c r="DX22" s="583">
        <f ca="1">+DX12+DX13+DX16-DX17+DX18</f>
        <v>39.173900000000003</v>
      </c>
      <c r="DY22" s="584"/>
      <c r="DZ22" s="580"/>
      <c r="EA22" s="583">
        <f ca="1">+EB22+EC22+ED22</f>
        <v>425.26940000000002</v>
      </c>
      <c r="EB22" s="583">
        <f ca="1">+EB12+EB13+EB16-EB17+EB18</f>
        <v>291.59789999999998</v>
      </c>
      <c r="EC22" s="583">
        <f ca="1">+EC12+EC13+EC16-EC17+EC18</f>
        <v>91.62</v>
      </c>
      <c r="ED22" s="583">
        <f ca="1">+ED12+ED13+ED16-ED17+ED18</f>
        <v>42.051500000000004</v>
      </c>
      <c r="EE22" s="584"/>
      <c r="EF22" s="580"/>
      <c r="EG22" s="583">
        <f ca="1">+EH22+EI22+EJ22</f>
        <v>441.37845792503322</v>
      </c>
      <c r="EH22" s="583">
        <f ca="1">+EH12+EH13+EH16-EH17+EH18</f>
        <v>299.3202883177492</v>
      </c>
      <c r="EI22" s="583">
        <f ca="1">+EI12+EI13+EI16-EI17+EI18</f>
        <v>96.848669607284009</v>
      </c>
      <c r="EJ22" s="583">
        <f ca="1">+EJ12+EJ13+EJ16-EJ17+EJ18</f>
        <v>45.209499999999991</v>
      </c>
      <c r="EK22" s="584"/>
      <c r="EL22" s="580"/>
      <c r="EM22" s="583">
        <f ca="1">+EN22+EO22+EP22</f>
        <v>457.68648716009955</v>
      </c>
      <c r="EN22" s="583">
        <f ca="1">+EN12+EN13+EN16-EN17+EN18</f>
        <v>308.14566318685513</v>
      </c>
      <c r="EO22" s="583">
        <f ca="1">+EO12+EO13+EO16-EO17+EO18</f>
        <v>101.4749286693901</v>
      </c>
      <c r="EP22" s="583">
        <f ca="1">+EP12+EP13+EP16-EP17+EP18</f>
        <v>48.06589530385429</v>
      </c>
      <c r="EQ22" s="584"/>
      <c r="ER22" s="580"/>
    </row>
    <row r="23" spans="1:148" s="218" customFormat="1" ht="13.8" thickBot="1">
      <c r="A23" s="567"/>
      <c r="B23" s="568" t="s">
        <v>622</v>
      </c>
      <c r="C23" s="4153" t="s">
        <v>2127</v>
      </c>
      <c r="D23" s="4154"/>
      <c r="E23" s="581">
        <f ca="1">+F23+G23+H23+H27+I23</f>
        <v>33.709699999999998</v>
      </c>
      <c r="F23" s="578"/>
      <c r="G23" s="578"/>
      <c r="H23" s="579">
        <f ca="1">OFFSET(Sector1!$G$319,0,(COLUMN()-8)/6)</f>
        <v>33.709699999999998</v>
      </c>
      <c r="I23" s="579"/>
      <c r="J23" s="580"/>
      <c r="K23" s="581">
        <f ca="1">+L23+M23+N23</f>
        <v>34.418399999999998</v>
      </c>
      <c r="L23" s="578"/>
      <c r="M23" s="578"/>
      <c r="N23" s="579">
        <f ca="1">OFFSET(Sector1!$G$319,0,(COLUMN()-8)/6)</f>
        <v>34.418399999999998</v>
      </c>
      <c r="O23" s="579"/>
      <c r="P23" s="580"/>
      <c r="Q23" s="581">
        <f ca="1">+R23+S23+T23</f>
        <v>36.979300000000002</v>
      </c>
      <c r="R23" s="578"/>
      <c r="S23" s="578"/>
      <c r="T23" s="579">
        <f ca="1">OFFSET(Sector1!$G$319,0,(COLUMN()-8)/6)</f>
        <v>36.979300000000002</v>
      </c>
      <c r="U23" s="579"/>
      <c r="V23" s="580"/>
      <c r="W23" s="581">
        <f ca="1">+X23+Y23+Z23</f>
        <v>39.622599999999998</v>
      </c>
      <c r="X23" s="578"/>
      <c r="Y23" s="578"/>
      <c r="Z23" s="579">
        <f ca="1">OFFSET(Sector1!$G$319,0,(COLUMN()-8)/6)</f>
        <v>39.622599999999998</v>
      </c>
      <c r="AA23" s="579"/>
      <c r="AB23" s="580"/>
      <c r="AC23" s="581">
        <f ca="1">+AD23+AE23+AF23</f>
        <v>40.1768</v>
      </c>
      <c r="AD23" s="578"/>
      <c r="AE23" s="578"/>
      <c r="AF23" s="579">
        <f ca="1">OFFSET(Sector1!$G$319,0,(COLUMN()-8)/6)</f>
        <v>40.1768</v>
      </c>
      <c r="AG23" s="579"/>
      <c r="AH23" s="580"/>
      <c r="AI23" s="581">
        <f ca="1">+AJ23+AK23+AL23</f>
        <v>42.835300000000004</v>
      </c>
      <c r="AJ23" s="578"/>
      <c r="AK23" s="578"/>
      <c r="AL23" s="579">
        <f ca="1">OFFSET(Sector1!$G$319,0,(COLUMN()-8)/6)</f>
        <v>42.835300000000004</v>
      </c>
      <c r="AM23" s="579"/>
      <c r="AN23" s="580"/>
      <c r="AO23" s="581">
        <f ca="1">+AP23+AQ23+AR23</f>
        <v>44.580800000000004</v>
      </c>
      <c r="AP23" s="578"/>
      <c r="AQ23" s="578"/>
      <c r="AR23" s="579">
        <f ca="1">OFFSET(Sector1!$G$319,0,(COLUMN()-8)/6)</f>
        <v>44.580800000000004</v>
      </c>
      <c r="AS23" s="579"/>
      <c r="AT23" s="580"/>
      <c r="AU23" s="581">
        <f ca="1">+AV23+AW23+AX23</f>
        <v>45.8964</v>
      </c>
      <c r="AV23" s="578"/>
      <c r="AW23" s="578"/>
      <c r="AX23" s="579">
        <f ca="1">OFFSET(Sector1!$G$319,0,(COLUMN()-8)/6)</f>
        <v>45.8964</v>
      </c>
      <c r="AY23" s="579"/>
      <c r="AZ23" s="580"/>
      <c r="BA23" s="581">
        <f ca="1">+BB23+BC23+BD23</f>
        <v>45.6723</v>
      </c>
      <c r="BB23" s="578"/>
      <c r="BC23" s="578"/>
      <c r="BD23" s="579">
        <f ca="1">OFFSET(Sector1!$G$319,0,(COLUMN()-8)/6)</f>
        <v>45.6723</v>
      </c>
      <c r="BE23" s="579"/>
      <c r="BF23" s="580"/>
      <c r="BG23" s="581">
        <f ca="1">+BH23+BI23+BJ23</f>
        <v>48.301099999999998</v>
      </c>
      <c r="BH23" s="578"/>
      <c r="BI23" s="578"/>
      <c r="BJ23" s="579">
        <f ca="1">OFFSET(Sector1!$G$319,0,(COLUMN()-8)/6)</f>
        <v>48.301099999999998</v>
      </c>
      <c r="BK23" s="579"/>
      <c r="BL23" s="580"/>
      <c r="BM23" s="581">
        <f ca="1">+BN23+BO23+BP23</f>
        <v>50.676099999999998</v>
      </c>
      <c r="BN23" s="578"/>
      <c r="BO23" s="578"/>
      <c r="BP23" s="579">
        <f ca="1">OFFSET(Sector1!$G$319,0,(COLUMN()-8)/6)</f>
        <v>50.676099999999998</v>
      </c>
      <c r="BQ23" s="579"/>
      <c r="BR23" s="580"/>
      <c r="BS23" s="581">
        <f ca="1">+BT23+BU23+BV23</f>
        <v>52.663699999999999</v>
      </c>
      <c r="BT23" s="578"/>
      <c r="BU23" s="578"/>
      <c r="BV23" s="579">
        <f ca="1">OFFSET(Sector1!$G$319,0,(COLUMN()-8)/6)</f>
        <v>52.663699999999999</v>
      </c>
      <c r="BW23" s="579"/>
      <c r="BX23" s="580"/>
      <c r="BY23" s="581">
        <f ca="1">+BZ23+CA23+CB23</f>
        <v>54.700900000000004</v>
      </c>
      <c r="BZ23" s="578"/>
      <c r="CA23" s="578"/>
      <c r="CB23" s="579">
        <f ca="1">OFFSET(Sector1!$G$319,0,(COLUMN()-8)/6)</f>
        <v>54.700900000000004</v>
      </c>
      <c r="CC23" s="579"/>
      <c r="CD23" s="580"/>
      <c r="CE23" s="581">
        <f ca="1">+CF23+CG23+CH23</f>
        <v>57.118300000000005</v>
      </c>
      <c r="CF23" s="578"/>
      <c r="CG23" s="578"/>
      <c r="CH23" s="579">
        <f ca="1">OFFSET(Sector1!$G$319,0,(COLUMN()-8)/6)</f>
        <v>57.118300000000005</v>
      </c>
      <c r="CI23" s="579"/>
      <c r="CJ23" s="580"/>
      <c r="CK23" s="581">
        <f ca="1">+CL23+CM23+CN23</f>
        <v>52.131500000000003</v>
      </c>
      <c r="CL23" s="578"/>
      <c r="CM23" s="578"/>
      <c r="CN23" s="579">
        <f ca="1">OFFSET(Sector1!$G$319,0,(COLUMN()-8)/6)</f>
        <v>52.131500000000003</v>
      </c>
      <c r="CO23" s="579"/>
      <c r="CP23" s="580"/>
      <c r="CQ23" s="581">
        <f ca="1">+CR23+CS23+CT23</f>
        <v>55.681800000000003</v>
      </c>
      <c r="CR23" s="578"/>
      <c r="CS23" s="578"/>
      <c r="CT23" s="579">
        <f ca="1">OFFSET(Sector1!$G$319,0,(COLUMN()-8)/6)</f>
        <v>55.681800000000003</v>
      </c>
      <c r="CU23" s="579"/>
      <c r="CV23" s="580"/>
      <c r="CW23" s="581">
        <f ca="1">+CX23+CY23+CZ23</f>
        <v>59.729900000000001</v>
      </c>
      <c r="CX23" s="578"/>
      <c r="CY23" s="578"/>
      <c r="CZ23" s="579">
        <f ca="1">OFFSET(Sector1!$G$319,0,(COLUMN()-8)/6)</f>
        <v>59.729900000000001</v>
      </c>
      <c r="DA23" s="579"/>
      <c r="DB23" s="580"/>
      <c r="DC23" s="581">
        <f ca="1">+DD23+DE23+DF23</f>
        <v>62.513300000000001</v>
      </c>
      <c r="DD23" s="578"/>
      <c r="DE23" s="578"/>
      <c r="DF23" s="579">
        <f ca="1">OFFSET(Sector1!$G$319,0,(COLUMN()-8)/6)</f>
        <v>62.513300000000001</v>
      </c>
      <c r="DG23" s="579"/>
      <c r="DH23" s="580"/>
      <c r="DI23" s="581">
        <f ca="1">+DJ23+DK23+DL23</f>
        <v>65.682199999999995</v>
      </c>
      <c r="DJ23" s="578"/>
      <c r="DK23" s="578"/>
      <c r="DL23" s="579">
        <f ca="1">OFFSET(Sector1!$G$319,0,(COLUMN()-8)/6)</f>
        <v>65.682199999999995</v>
      </c>
      <c r="DM23" s="579"/>
      <c r="DN23" s="580"/>
      <c r="DO23" s="581">
        <f ca="1">+DP23+DQ23+DR23</f>
        <v>67.108199999999997</v>
      </c>
      <c r="DP23" s="578"/>
      <c r="DQ23" s="578"/>
      <c r="DR23" s="579">
        <f ca="1">OFFSET(Sector1!$G$319,0,(COLUMN()-8)/6)</f>
        <v>67.108199999999997</v>
      </c>
      <c r="DS23" s="579"/>
      <c r="DT23" s="580"/>
      <c r="DU23" s="581">
        <f ca="1">+DV23+DW23+DX23</f>
        <v>68.038699999999992</v>
      </c>
      <c r="DV23" s="578"/>
      <c r="DW23" s="578"/>
      <c r="DX23" s="579">
        <f ca="1">OFFSET(Sector1!$G$319,0,(COLUMN()-8)/6)</f>
        <v>68.038699999999992</v>
      </c>
      <c r="DY23" s="579"/>
      <c r="DZ23" s="580"/>
      <c r="EA23" s="581">
        <f ca="1">+EB23+EC23+ED23</f>
        <v>68.753399999999999</v>
      </c>
      <c r="EB23" s="578"/>
      <c r="EC23" s="578"/>
      <c r="ED23" s="579">
        <f ca="1">OFFSET(Sector1!$G$319,0,(COLUMN()-8)/6)</f>
        <v>68.753399999999999</v>
      </c>
      <c r="EE23" s="579"/>
      <c r="EF23" s="580"/>
      <c r="EG23" s="581">
        <f ca="1">+EH23+EI23+EJ23</f>
        <v>73.776699999999991</v>
      </c>
      <c r="EH23" s="578"/>
      <c r="EI23" s="578"/>
      <c r="EJ23" s="579">
        <f ca="1">OFFSET(Sector1!$G$319,0,(COLUMN()-8)/6)</f>
        <v>73.776699999999991</v>
      </c>
      <c r="EK23" s="579"/>
      <c r="EL23" s="580"/>
      <c r="EM23" s="581">
        <f ca="1">+EN23+EO23+EP23</f>
        <v>74.224751359659976</v>
      </c>
      <c r="EN23" s="578"/>
      <c r="EO23" s="578"/>
      <c r="EP23" s="579">
        <f ca="1">OFFSET(Sector1!$G$319,0,(COLUMN()-8)/6)</f>
        <v>74.224751359659976</v>
      </c>
      <c r="EQ23" s="579"/>
      <c r="ER23" s="580"/>
    </row>
    <row r="24" spans="1:148">
      <c r="A24" s="567"/>
      <c r="B24" s="568" t="s">
        <v>622</v>
      </c>
      <c r="C24" s="4136" t="s">
        <v>1417</v>
      </c>
      <c r="D24" s="4135"/>
      <c r="E24" s="581">
        <f ca="1">+F24+G24+H24+I24</f>
        <v>41.295099999999998</v>
      </c>
      <c r="F24" s="579">
        <f ca="1">OFFSET(Sector1!$G$474,0,(COLUMN()-6)/6)</f>
        <v>0.1024</v>
      </c>
      <c r="G24" s="579">
        <f ca="1">OFFSET(Sector1!$G$475,0,(COLUMN()-7)/6)</f>
        <v>7.0918999999999999</v>
      </c>
      <c r="H24" s="1053">
        <f ca="1">+H25+H26</f>
        <v>33.588999999999999</v>
      </c>
      <c r="I24" s="579">
        <f ca="1">OFFSET(Sector1!$G$476,0,(COLUMN()-9)/6)</f>
        <v>0.51180000000000003</v>
      </c>
      <c r="J24" s="580"/>
      <c r="K24" s="581">
        <f ca="1">+L24+M24+N24</f>
        <v>42.145299999999999</v>
      </c>
      <c r="L24" s="579">
        <f ca="1">OFFSET(Sector1!$G$474,0,(COLUMN()-6)/6)</f>
        <v>0.1056</v>
      </c>
      <c r="M24" s="579">
        <f ca="1">OFFSET(Sector1!$G$475,0,(COLUMN()-7)/6)</f>
        <v>7.3840000000000003</v>
      </c>
      <c r="N24" s="1053">
        <f ca="1">+N25+N26</f>
        <v>34.655699999999996</v>
      </c>
      <c r="O24" s="579">
        <f ca="1">OFFSET(Sector1!$G$476,0,(COLUMN()-9)/6)</f>
        <v>0.5383</v>
      </c>
      <c r="P24" s="580"/>
      <c r="Q24" s="581">
        <f ca="1">+R24+S24+T24</f>
        <v>44.125099999999996</v>
      </c>
      <c r="R24" s="579">
        <f ca="1">OFFSET(Sector1!$G$474,0,(COLUMN()-6)/6)</f>
        <v>0.1067</v>
      </c>
      <c r="S24" s="579">
        <f ca="1">OFFSET(Sector1!$G$475,0,(COLUMN()-7)/6)</f>
        <v>8.1549999999999994</v>
      </c>
      <c r="T24" s="1053">
        <f ca="1">+T25+T26</f>
        <v>35.863399999999999</v>
      </c>
      <c r="U24" s="579">
        <f ca="1">OFFSET(Sector1!$G$476,0,(COLUMN()-9)/6)</f>
        <v>0.54749999999999999</v>
      </c>
      <c r="V24" s="580"/>
      <c r="W24" s="581">
        <f ca="1">+X24+Y24+Z24</f>
        <v>46.058099999999996</v>
      </c>
      <c r="X24" s="579">
        <f ca="1">OFFSET(Sector1!$G$474,0,(COLUMN()-6)/6)</f>
        <v>0.108</v>
      </c>
      <c r="Y24" s="579">
        <f ca="1">OFFSET(Sector1!$G$475,0,(COLUMN()-7)/6)</f>
        <v>8.5767000000000007</v>
      </c>
      <c r="Z24" s="1053">
        <f ca="1">+Z25+Z26</f>
        <v>37.373399999999997</v>
      </c>
      <c r="AA24" s="579">
        <f ca="1">OFFSET(Sector1!$G$476,0,(COLUMN()-9)/6)</f>
        <v>0.5907</v>
      </c>
      <c r="AB24" s="580"/>
      <c r="AC24" s="581">
        <f ca="1">+AD24+AE24+AF24</f>
        <v>47.684099999999994</v>
      </c>
      <c r="AD24" s="579">
        <f ca="1">OFFSET(Sector1!$G$474,0,(COLUMN()-6)/6)</f>
        <v>0.1135</v>
      </c>
      <c r="AE24" s="579">
        <f ca="1">OFFSET(Sector1!$G$475,0,(COLUMN()-7)/6)</f>
        <v>8.8567</v>
      </c>
      <c r="AF24" s="1053">
        <f ca="1">+AF25+AF26</f>
        <v>38.713899999999995</v>
      </c>
      <c r="AG24" s="579">
        <f ca="1">OFFSET(Sector1!$G$476,0,(COLUMN()-9)/6)</f>
        <v>0.65400000000000003</v>
      </c>
      <c r="AH24" s="580"/>
      <c r="AI24" s="581">
        <f ca="1">+AJ24+AK24+AL24</f>
        <v>49.1006</v>
      </c>
      <c r="AJ24" s="579">
        <f ca="1">OFFSET(Sector1!$G$474,0,(COLUMN()-6)/6)</f>
        <v>0.11940000000000001</v>
      </c>
      <c r="AK24" s="579">
        <f ca="1">OFFSET(Sector1!$G$475,0,(COLUMN()-7)/6)</f>
        <v>9.1280000000000001</v>
      </c>
      <c r="AL24" s="1053">
        <f ca="1">+AL25+AL26</f>
        <v>39.853200000000001</v>
      </c>
      <c r="AM24" s="579">
        <f ca="1">OFFSET(Sector1!$G$476,0,(COLUMN()-9)/6)</f>
        <v>0.69029999999999991</v>
      </c>
      <c r="AN24" s="580"/>
      <c r="AO24" s="581">
        <f ca="1">+AP24+AQ24+AR24</f>
        <v>51.5488</v>
      </c>
      <c r="AP24" s="579">
        <f ca="1">OFFSET(Sector1!$G$474,0,(COLUMN()-6)/6)</f>
        <v>0.12520000000000001</v>
      </c>
      <c r="AQ24" s="579">
        <f ca="1">OFFSET(Sector1!$G$475,0,(COLUMN()-7)/6)</f>
        <v>9.736600000000001</v>
      </c>
      <c r="AR24" s="1053">
        <f ca="1">+AR25+AR26</f>
        <v>41.686999999999998</v>
      </c>
      <c r="AS24" s="579">
        <f ca="1">OFFSET(Sector1!$G$476,0,(COLUMN()-9)/6)</f>
        <v>0.72609999999999986</v>
      </c>
      <c r="AT24" s="580"/>
      <c r="AU24" s="581">
        <f ca="1">+AV24+AW24+AX24</f>
        <v>54.307999999999993</v>
      </c>
      <c r="AV24" s="579">
        <f ca="1">OFFSET(Sector1!$G$474,0,(COLUMN()-6)/6)</f>
        <v>0.13219999999999998</v>
      </c>
      <c r="AW24" s="579">
        <f ca="1">OFFSET(Sector1!$G$475,0,(COLUMN()-7)/6)</f>
        <v>10.2836</v>
      </c>
      <c r="AX24" s="1053">
        <f ca="1">+AX25+AX26</f>
        <v>43.892199999999995</v>
      </c>
      <c r="AY24" s="579">
        <f ca="1">OFFSET(Sector1!$G$476,0,(COLUMN()-9)/6)</f>
        <v>0.78169999999999995</v>
      </c>
      <c r="AZ24" s="580"/>
      <c r="BA24" s="581">
        <f ca="1">+BB24+BC24+BD24</f>
        <v>55.6342</v>
      </c>
      <c r="BB24" s="579">
        <f ca="1">OFFSET(Sector1!$G$474,0,(COLUMN()-6)/6)</f>
        <v>0.13200000000000001</v>
      </c>
      <c r="BC24" s="579">
        <f ca="1">OFFSET(Sector1!$G$475,0,(COLUMN()-7)/6)</f>
        <v>10.663799999999998</v>
      </c>
      <c r="BD24" s="1053">
        <f ca="1">+BD25+BD26</f>
        <v>44.8384</v>
      </c>
      <c r="BE24" s="579">
        <f ca="1">OFFSET(Sector1!$G$476,0,(COLUMN()-9)/6)</f>
        <v>0.88359999999999994</v>
      </c>
      <c r="BF24" s="580"/>
      <c r="BG24" s="581">
        <f ca="1">+BH24+BI24+BJ24</f>
        <v>57.294599999999996</v>
      </c>
      <c r="BH24" s="579">
        <f ca="1">OFFSET(Sector1!$G$474,0,(COLUMN()-6)/6)</f>
        <v>0.1361</v>
      </c>
      <c r="BI24" s="579">
        <f ca="1">OFFSET(Sector1!$G$475,0,(COLUMN()-7)/6)</f>
        <v>10.838799999999999</v>
      </c>
      <c r="BJ24" s="1053">
        <f ca="1">+BJ25+BJ26</f>
        <v>46.319699999999997</v>
      </c>
      <c r="BK24" s="579">
        <f ca="1">OFFSET(Sector1!$G$476,0,(COLUMN()-9)/6)</f>
        <v>0.95849999999999991</v>
      </c>
      <c r="BL24" s="580"/>
      <c r="BM24" s="581">
        <f ca="1">+BN24+BO24+BP24</f>
        <v>58.676900000000003</v>
      </c>
      <c r="BN24" s="579">
        <f ca="1">OFFSET(Sector1!$G$474,0,(COLUMN()-6)/6)</f>
        <v>0.14630000000000001</v>
      </c>
      <c r="BO24" s="579">
        <f ca="1">OFFSET(Sector1!$G$475,0,(COLUMN()-7)/6)</f>
        <v>10.980499999999999</v>
      </c>
      <c r="BP24" s="1053">
        <f ca="1">+BP25+BP26</f>
        <v>47.5501</v>
      </c>
      <c r="BQ24" s="579">
        <f ca="1">OFFSET(Sector1!$G$476,0,(COLUMN()-9)/6)</f>
        <v>0.98919999999999997</v>
      </c>
      <c r="BR24" s="580"/>
      <c r="BS24" s="581">
        <f ca="1">+BT24+BU24+BV24</f>
        <v>61.306000000000004</v>
      </c>
      <c r="BT24" s="579">
        <f ca="1">OFFSET(Sector1!$G$474,0,(COLUMN()-6)/6)</f>
        <v>0.15609999999999999</v>
      </c>
      <c r="BU24" s="579">
        <f ca="1">OFFSET(Sector1!$G$475,0,(COLUMN()-7)/6)</f>
        <v>11.375299999999999</v>
      </c>
      <c r="BV24" s="1053">
        <f ca="1">+BV25+BV26</f>
        <v>49.774600000000007</v>
      </c>
      <c r="BW24" s="579">
        <f ca="1">OFFSET(Sector1!$G$476,0,(COLUMN()-9)/6)</f>
        <v>1.0649000000000002</v>
      </c>
      <c r="BX24" s="580"/>
      <c r="BY24" s="581">
        <f ca="1">+BZ24+CA24+CB24</f>
        <v>65.513300000000001</v>
      </c>
      <c r="BZ24" s="579">
        <f ca="1">OFFSET(Sector1!$G$474,0,(COLUMN()-6)/6)</f>
        <v>0.16059999999999999</v>
      </c>
      <c r="CA24" s="579">
        <f ca="1">OFFSET(Sector1!$G$475,0,(COLUMN()-7)/6)</f>
        <v>12.502000000000001</v>
      </c>
      <c r="CB24" s="1053">
        <f ca="1">+CB25+CB26</f>
        <v>52.850700000000003</v>
      </c>
      <c r="CC24" s="579">
        <f ca="1">OFFSET(Sector1!$G$476,0,(COLUMN()-9)/6)</f>
        <v>1.1528</v>
      </c>
      <c r="CD24" s="580"/>
      <c r="CE24" s="581">
        <f ca="1">+CF24+CG24+CH24</f>
        <v>69.030600000000007</v>
      </c>
      <c r="CF24" s="579">
        <f ca="1">OFFSET(Sector1!$G$474,0,(COLUMN()-6)/6)</f>
        <v>0.1709</v>
      </c>
      <c r="CG24" s="579">
        <f ca="1">OFFSET(Sector1!$G$475,0,(COLUMN()-7)/6)</f>
        <v>12.946899999999999</v>
      </c>
      <c r="CH24" s="1053">
        <f ca="1">+CH25+CH26</f>
        <v>55.912800000000004</v>
      </c>
      <c r="CI24" s="579">
        <f ca="1">OFFSET(Sector1!$G$476,0,(COLUMN()-9)/6)</f>
        <v>1.2076</v>
      </c>
      <c r="CJ24" s="580"/>
      <c r="CK24" s="581">
        <f ca="1">+CL24+CM24+CN24</f>
        <v>71.009600000000006</v>
      </c>
      <c r="CL24" s="579">
        <f ca="1">OFFSET(Sector1!$G$474,0,(COLUMN()-6)/6)</f>
        <v>0.13469999999999999</v>
      </c>
      <c r="CM24" s="579">
        <f ca="1">OFFSET(Sector1!$G$475,0,(COLUMN()-7)/6)</f>
        <v>13.5543</v>
      </c>
      <c r="CN24" s="1053">
        <f ca="1">+CN25+CN26</f>
        <v>57.320599999999999</v>
      </c>
      <c r="CO24" s="579">
        <f ca="1">OFFSET(Sector1!$G$476,0,(COLUMN()-9)/6)</f>
        <v>1.2702</v>
      </c>
      <c r="CP24" s="580"/>
      <c r="CQ24" s="581">
        <f ca="1">+CR24+CS24+CT24</f>
        <v>72.537900000000008</v>
      </c>
      <c r="CR24" s="579">
        <f ca="1">OFFSET(Sector1!$G$474,0,(COLUMN()-6)/6)</f>
        <v>0.1348</v>
      </c>
      <c r="CS24" s="579">
        <f ca="1">OFFSET(Sector1!$G$475,0,(COLUMN()-7)/6)</f>
        <v>13.688600000000001</v>
      </c>
      <c r="CT24" s="1053">
        <f ca="1">+CT25+CT26</f>
        <v>58.714500000000001</v>
      </c>
      <c r="CU24" s="579">
        <f ca="1">OFFSET(Sector1!$G$476,0,(COLUMN()-9)/6)</f>
        <v>1.3554000000000002</v>
      </c>
      <c r="CV24" s="580"/>
      <c r="CW24" s="581">
        <f ca="1">+CX24+CY24+CZ24</f>
        <v>75.046000000000006</v>
      </c>
      <c r="CX24" s="579">
        <f ca="1">OFFSET(Sector1!$G$474,0,(COLUMN()-6)/6)</f>
        <v>0.1411</v>
      </c>
      <c r="CY24" s="579">
        <f ca="1">OFFSET(Sector1!$G$475,0,(COLUMN()-7)/6)</f>
        <v>13.129100000000001</v>
      </c>
      <c r="CZ24" s="1053">
        <f ca="1">+CZ25+CZ26</f>
        <v>61.775800000000004</v>
      </c>
      <c r="DA24" s="579">
        <f ca="1">OFFSET(Sector1!$G$476,0,(COLUMN()-9)/6)</f>
        <v>1.4347999999999999</v>
      </c>
      <c r="DB24" s="580"/>
      <c r="DC24" s="581">
        <f ca="1">+DD24+DE24+DF24</f>
        <v>78.215199999999996</v>
      </c>
      <c r="DD24" s="579">
        <f ca="1">OFFSET(Sector1!$G$474,0,(COLUMN()-6)/6)</f>
        <v>0.14230000000000001</v>
      </c>
      <c r="DE24" s="579">
        <f ca="1">OFFSET(Sector1!$G$475,0,(COLUMN()-7)/6)</f>
        <v>13.734</v>
      </c>
      <c r="DF24" s="1053">
        <f ca="1">+DF25+DF26</f>
        <v>64.338899999999995</v>
      </c>
      <c r="DG24" s="579">
        <f ca="1">OFFSET(Sector1!$G$476,0,(COLUMN()-9)/6)</f>
        <v>1.4890999999999999</v>
      </c>
      <c r="DH24" s="580"/>
      <c r="DI24" s="581">
        <f ca="1">+DJ24+DK24+DL24</f>
        <v>80.054400000000001</v>
      </c>
      <c r="DJ24" s="579">
        <f ca="1">OFFSET(Sector1!$G$474,0,(COLUMN()-6)/6)</f>
        <v>0.1492</v>
      </c>
      <c r="DK24" s="579">
        <f ca="1">OFFSET(Sector1!$G$475,0,(COLUMN()-7)/6)</f>
        <v>13.915899999999999</v>
      </c>
      <c r="DL24" s="1053">
        <f ca="1">+DL25+DL26</f>
        <v>65.9893</v>
      </c>
      <c r="DM24" s="579">
        <f ca="1">OFFSET(Sector1!$G$476,0,(COLUMN()-9)/6)</f>
        <v>1.5086000000000002</v>
      </c>
      <c r="DN24" s="580"/>
      <c r="DO24" s="581">
        <f ca="1">+DP24+DQ24+DR24</f>
        <v>80.676500000000004</v>
      </c>
      <c r="DP24" s="579">
        <f ca="1">OFFSET(Sector1!$G$474,0,(COLUMN()-6)/6)</f>
        <v>0.14809999999999998</v>
      </c>
      <c r="DQ24" s="579">
        <f ca="1">OFFSET(Sector1!$G$475,0,(COLUMN()-7)/6)</f>
        <v>13.755700000000001</v>
      </c>
      <c r="DR24" s="1053">
        <f ca="1">+DR25+DR26</f>
        <v>66.7727</v>
      </c>
      <c r="DS24" s="579">
        <f ca="1">OFFSET(Sector1!$G$476,0,(COLUMN()-9)/6)</f>
        <v>1.5852999999999997</v>
      </c>
      <c r="DT24" s="580"/>
      <c r="DU24" s="581">
        <f ca="1">+DV24+DW24+DX24</f>
        <v>82.215800000000002</v>
      </c>
      <c r="DV24" s="579">
        <f ca="1">OFFSET(Sector1!$G$474,0,(COLUMN()-6)/6)</f>
        <v>0.1416</v>
      </c>
      <c r="DW24" s="579">
        <f ca="1">OFFSET(Sector1!$G$475,0,(COLUMN()-7)/6)</f>
        <v>14.129799999999999</v>
      </c>
      <c r="DX24" s="1053">
        <f ca="1">+DX25+DX26</f>
        <v>67.944400000000002</v>
      </c>
      <c r="DY24" s="579">
        <f ca="1">OFFSET(Sector1!$G$476,0,(COLUMN()-9)/6)</f>
        <v>1.5858000000000001</v>
      </c>
      <c r="DZ24" s="580"/>
      <c r="EA24" s="581">
        <f ca="1">+EB24+EC24+ED24</f>
        <v>81.597200000000001</v>
      </c>
      <c r="EB24" s="579">
        <f ca="1">OFFSET(Sector1!$G$474,0,(COLUMN()-6)/6)</f>
        <v>0.13669999999999999</v>
      </c>
      <c r="EC24" s="579">
        <f ca="1">OFFSET(Sector1!$G$475,0,(COLUMN()-7)/6)</f>
        <v>13.931799999999999</v>
      </c>
      <c r="ED24" s="1053">
        <f ca="1">+ED25+ED26</f>
        <v>67.528700000000001</v>
      </c>
      <c r="EE24" s="579">
        <f ca="1">OFFSET(Sector1!$G$476,0,(COLUMN()-9)/6)</f>
        <v>1.6730999999999998</v>
      </c>
      <c r="EF24" s="580"/>
      <c r="EG24" s="581">
        <f ca="1">+EH24+EI24+EJ24</f>
        <v>83.646243949999999</v>
      </c>
      <c r="EH24" s="579">
        <f ca="1">OFFSET(Sector1!$G$474,0,(COLUMN()-6)/6)</f>
        <v>0.13898288999999997</v>
      </c>
      <c r="EI24" s="579">
        <f ca="1">OFFSET(Sector1!$G$475,0,(COLUMN()-7)/6)</f>
        <v>14.164461059999999</v>
      </c>
      <c r="EJ24" s="1053">
        <f ca="1">+EJ25+EJ26</f>
        <v>69.342799999999997</v>
      </c>
      <c r="EK24" s="579">
        <f ca="1">OFFSET(Sector1!$G$476,0,(COLUMN()-9)/6)</f>
        <v>1.7010407699999996</v>
      </c>
      <c r="EL24" s="580"/>
      <c r="EM24" s="581">
        <f ca="1">+EN24+EO24+EP24</f>
        <v>86.045906935955003</v>
      </c>
      <c r="EN24" s="579">
        <f ca="1">OFFSET(Sector1!$G$474,0,(COLUMN()-6)/6)</f>
        <v>0.14355542708099997</v>
      </c>
      <c r="EO24" s="579">
        <f ca="1">OFFSET(Sector1!$G$475,0,(COLUMN()-7)/6)</f>
        <v>14.630471828873999</v>
      </c>
      <c r="EP24" s="1053">
        <f ca="1">+EP25+EP26</f>
        <v>71.271879679999998</v>
      </c>
      <c r="EQ24" s="579">
        <f ca="1">OFFSET(Sector1!$G$476,0,(COLUMN()-9)/6)</f>
        <v>1.7570050113329996</v>
      </c>
      <c r="ER24" s="580"/>
    </row>
    <row r="25" spans="1:148" s="596" customFormat="1" ht="10.199999999999999">
      <c r="A25" s="591"/>
      <c r="B25" s="592"/>
      <c r="C25" s="593"/>
      <c r="D25" s="594" t="s">
        <v>656</v>
      </c>
      <c r="E25" s="595"/>
      <c r="F25" s="604"/>
      <c r="G25" s="605"/>
      <c r="H25" s="606">
        <f ca="1">OFFSET(Sector1!$G$471,0,(COLUMN()-8)/6)</f>
        <v>29.4331</v>
      </c>
      <c r="I25" s="607"/>
      <c r="J25" s="608"/>
      <c r="K25" s="595"/>
      <c r="L25" s="604"/>
      <c r="M25" s="605"/>
      <c r="N25" s="606">
        <f ca="1">OFFSET(Sector1!$G$471,0,(COLUMN()-8)/6)</f>
        <v>30.284299999999998</v>
      </c>
      <c r="O25" s="607"/>
      <c r="P25" s="608"/>
      <c r="Q25" s="595"/>
      <c r="R25" s="604"/>
      <c r="S25" s="605"/>
      <c r="T25" s="606">
        <f ca="1">OFFSET(Sector1!$G$471,0,(COLUMN()-8)/6)</f>
        <v>31.27</v>
      </c>
      <c r="U25" s="607"/>
      <c r="V25" s="608"/>
      <c r="W25" s="595"/>
      <c r="X25" s="604"/>
      <c r="Y25" s="605"/>
      <c r="Z25" s="606">
        <f ca="1">OFFSET(Sector1!$G$471,0,(COLUMN()-8)/6)</f>
        <v>32.577199999999998</v>
      </c>
      <c r="AA25" s="607"/>
      <c r="AB25" s="608"/>
      <c r="AC25" s="595"/>
      <c r="AD25" s="604"/>
      <c r="AE25" s="605"/>
      <c r="AF25" s="606">
        <f ca="1">OFFSET(Sector1!$G$471,0,(COLUMN()-8)/6)</f>
        <v>33.784599999999998</v>
      </c>
      <c r="AG25" s="607"/>
      <c r="AH25" s="608"/>
      <c r="AI25" s="595"/>
      <c r="AJ25" s="604"/>
      <c r="AK25" s="605"/>
      <c r="AL25" s="606">
        <f ca="1">OFFSET(Sector1!$G$471,0,(COLUMN()-8)/6)</f>
        <v>34.69</v>
      </c>
      <c r="AM25" s="607"/>
      <c r="AN25" s="608"/>
      <c r="AO25" s="595"/>
      <c r="AP25" s="604"/>
      <c r="AQ25" s="605"/>
      <c r="AR25" s="606">
        <f ca="1">OFFSET(Sector1!$G$471,0,(COLUMN()-8)/6)</f>
        <v>36.236199999999997</v>
      </c>
      <c r="AS25" s="607"/>
      <c r="AT25" s="608"/>
      <c r="AU25" s="595"/>
      <c r="AV25" s="604"/>
      <c r="AW25" s="605"/>
      <c r="AX25" s="606">
        <f ca="1">OFFSET(Sector1!$G$471,0,(COLUMN()-8)/6)</f>
        <v>38.064999999999998</v>
      </c>
      <c r="AY25" s="607"/>
      <c r="AZ25" s="608"/>
      <c r="BA25" s="595"/>
      <c r="BB25" s="604"/>
      <c r="BC25" s="605"/>
      <c r="BD25" s="606">
        <f ca="1">OFFSET(Sector1!$G$471,0,(COLUMN()-8)/6)</f>
        <v>38.9191</v>
      </c>
      <c r="BE25" s="607"/>
      <c r="BF25" s="608"/>
      <c r="BG25" s="595"/>
      <c r="BH25" s="604"/>
      <c r="BI25" s="605"/>
      <c r="BJ25" s="606">
        <f ca="1">OFFSET(Sector1!$G$471,0,(COLUMN()-8)/6)</f>
        <v>40.184899999999999</v>
      </c>
      <c r="BK25" s="607"/>
      <c r="BL25" s="608"/>
      <c r="BM25" s="595"/>
      <c r="BN25" s="604"/>
      <c r="BO25" s="605"/>
      <c r="BP25" s="606">
        <f ca="1">OFFSET(Sector1!$G$471,0,(COLUMN()-8)/6)</f>
        <v>41.271099999999997</v>
      </c>
      <c r="BQ25" s="607"/>
      <c r="BR25" s="608"/>
      <c r="BS25" s="595"/>
      <c r="BT25" s="604"/>
      <c r="BU25" s="605"/>
      <c r="BV25" s="606">
        <f ca="1">OFFSET(Sector1!$G$471,0,(COLUMN()-8)/6)</f>
        <v>42.990300000000005</v>
      </c>
      <c r="BW25" s="607"/>
      <c r="BX25" s="608"/>
      <c r="BY25" s="595"/>
      <c r="BZ25" s="604"/>
      <c r="CA25" s="605"/>
      <c r="CB25" s="606">
        <f ca="1">OFFSET(Sector1!$G$471,0,(COLUMN()-8)/6)</f>
        <v>45.7134</v>
      </c>
      <c r="CC25" s="607"/>
      <c r="CD25" s="608"/>
      <c r="CE25" s="595"/>
      <c r="CF25" s="604"/>
      <c r="CG25" s="605"/>
      <c r="CH25" s="606">
        <f ca="1">OFFSET(Sector1!$G$471,0,(COLUMN()-8)/6)</f>
        <v>48.360500000000002</v>
      </c>
      <c r="CI25" s="607"/>
      <c r="CJ25" s="608"/>
      <c r="CK25" s="595"/>
      <c r="CL25" s="604"/>
      <c r="CM25" s="605"/>
      <c r="CN25" s="606">
        <f ca="1">OFFSET(Sector1!$G$471,0,(COLUMN()-8)/6)</f>
        <v>49.377099999999999</v>
      </c>
      <c r="CO25" s="607"/>
      <c r="CP25" s="608"/>
      <c r="CQ25" s="595"/>
      <c r="CR25" s="604"/>
      <c r="CS25" s="605"/>
      <c r="CT25" s="606">
        <f ca="1">OFFSET(Sector1!$G$471,0,(COLUMN()-8)/6)</f>
        <v>50.508699999999997</v>
      </c>
      <c r="CU25" s="607"/>
      <c r="CV25" s="608"/>
      <c r="CW25" s="595"/>
      <c r="CX25" s="604"/>
      <c r="CY25" s="605"/>
      <c r="CZ25" s="606">
        <f ca="1">OFFSET(Sector1!$G$471,0,(COLUMN()-8)/6)</f>
        <v>53.037300000000002</v>
      </c>
      <c r="DA25" s="607"/>
      <c r="DB25" s="608"/>
      <c r="DC25" s="595"/>
      <c r="DD25" s="604"/>
      <c r="DE25" s="605"/>
      <c r="DF25" s="606">
        <f ca="1">OFFSET(Sector1!$G$471,0,(COLUMN()-8)/6)</f>
        <v>55.188400000000001</v>
      </c>
      <c r="DG25" s="607"/>
      <c r="DH25" s="608"/>
      <c r="DI25" s="595"/>
      <c r="DJ25" s="604"/>
      <c r="DK25" s="605"/>
      <c r="DL25" s="606">
        <f ca="1">OFFSET(Sector1!$G$471,0,(COLUMN()-8)/6)</f>
        <v>56.429099999999998</v>
      </c>
      <c r="DM25" s="607"/>
      <c r="DN25" s="608"/>
      <c r="DO25" s="595"/>
      <c r="DP25" s="604"/>
      <c r="DQ25" s="605"/>
      <c r="DR25" s="606">
        <f ca="1">OFFSET(Sector1!$G$471,0,(COLUMN()-8)/6)</f>
        <v>57.163499999999999</v>
      </c>
      <c r="DS25" s="607"/>
      <c r="DT25" s="608"/>
      <c r="DU25" s="595"/>
      <c r="DV25" s="604"/>
      <c r="DW25" s="605"/>
      <c r="DX25" s="606">
        <f ca="1">OFFSET(Sector1!$G$471,0,(COLUMN()-8)/6)</f>
        <v>58.699300000000001</v>
      </c>
      <c r="DY25" s="607"/>
      <c r="DZ25" s="608"/>
      <c r="EA25" s="595"/>
      <c r="EB25" s="604"/>
      <c r="EC25" s="605"/>
      <c r="ED25" s="606">
        <f ca="1">OFFSET(Sector1!$G$471,0,(COLUMN()-8)/6)</f>
        <v>58.002699999999997</v>
      </c>
      <c r="EE25" s="607"/>
      <c r="EF25" s="608"/>
      <c r="EG25" s="595"/>
      <c r="EH25" s="604"/>
      <c r="EI25" s="605"/>
      <c r="EJ25" s="606">
        <f ca="1">OFFSET(Sector1!$G$471,0,(COLUMN()-8)/6)</f>
        <v>59.502000000000002</v>
      </c>
      <c r="EK25" s="607"/>
      <c r="EL25" s="608"/>
      <c r="EM25" s="595"/>
      <c r="EN25" s="604"/>
      <c r="EO25" s="605"/>
      <c r="EP25" s="606">
        <f ca="1">OFFSET(Sector1!$G$471,0,(COLUMN()-8)/6)</f>
        <v>61.203757199999998</v>
      </c>
      <c r="EQ25" s="607"/>
      <c r="ER25" s="608"/>
    </row>
    <row r="26" spans="1:148" s="596" customFormat="1" ht="10.8" thickBot="1">
      <c r="A26" s="591"/>
      <c r="B26" s="592"/>
      <c r="C26" s="593"/>
      <c r="D26" s="594" t="s">
        <v>1479</v>
      </c>
      <c r="E26" s="595"/>
      <c r="F26" s="604"/>
      <c r="G26" s="605"/>
      <c r="H26" s="609">
        <f ca="1">OFFSET(Sector1!$G$472,0,(COLUMN()-8)/6)</f>
        <v>4.1558999999999999</v>
      </c>
      <c r="I26" s="607"/>
      <c r="J26" s="608"/>
      <c r="K26" s="595"/>
      <c r="L26" s="604"/>
      <c r="M26" s="605"/>
      <c r="N26" s="609">
        <f ca="1">OFFSET(Sector1!$G$472,0,(COLUMN()-8)/6)</f>
        <v>4.3713999999999995</v>
      </c>
      <c r="O26" s="607"/>
      <c r="P26" s="608"/>
      <c r="Q26" s="595"/>
      <c r="R26" s="604"/>
      <c r="S26" s="605"/>
      <c r="T26" s="609">
        <f ca="1">OFFSET(Sector1!$G$472,0,(COLUMN()-8)/6)</f>
        <v>4.5933999999999999</v>
      </c>
      <c r="U26" s="607"/>
      <c r="V26" s="608"/>
      <c r="W26" s="595"/>
      <c r="X26" s="604"/>
      <c r="Y26" s="605"/>
      <c r="Z26" s="609">
        <f ca="1">OFFSET(Sector1!$G$472,0,(COLUMN()-8)/6)</f>
        <v>4.7961999999999998</v>
      </c>
      <c r="AA26" s="607"/>
      <c r="AB26" s="608"/>
      <c r="AC26" s="595"/>
      <c r="AD26" s="604"/>
      <c r="AE26" s="605"/>
      <c r="AF26" s="609">
        <f ca="1">OFFSET(Sector1!$G$472,0,(COLUMN()-8)/6)</f>
        <v>4.9293000000000005</v>
      </c>
      <c r="AG26" s="607"/>
      <c r="AH26" s="608"/>
      <c r="AI26" s="595"/>
      <c r="AJ26" s="604"/>
      <c r="AK26" s="605"/>
      <c r="AL26" s="609">
        <f ca="1">OFFSET(Sector1!$G$472,0,(COLUMN()-8)/6)</f>
        <v>5.1631999999999998</v>
      </c>
      <c r="AM26" s="607"/>
      <c r="AN26" s="608"/>
      <c r="AO26" s="595"/>
      <c r="AP26" s="604"/>
      <c r="AQ26" s="605"/>
      <c r="AR26" s="609">
        <f ca="1">OFFSET(Sector1!$G$472,0,(COLUMN()-8)/6)</f>
        <v>5.4508000000000001</v>
      </c>
      <c r="AS26" s="607"/>
      <c r="AT26" s="608"/>
      <c r="AU26" s="595"/>
      <c r="AV26" s="604"/>
      <c r="AW26" s="605"/>
      <c r="AX26" s="609">
        <f ca="1">OFFSET(Sector1!$G$472,0,(COLUMN()-8)/6)</f>
        <v>5.8271999999999995</v>
      </c>
      <c r="AY26" s="607"/>
      <c r="AZ26" s="608"/>
      <c r="BA26" s="595"/>
      <c r="BB26" s="604"/>
      <c r="BC26" s="605"/>
      <c r="BD26" s="609">
        <f ca="1">OFFSET(Sector1!$G$472,0,(COLUMN()-8)/6)</f>
        <v>5.9192999999999998</v>
      </c>
      <c r="BE26" s="607"/>
      <c r="BF26" s="608"/>
      <c r="BG26" s="595"/>
      <c r="BH26" s="604"/>
      <c r="BI26" s="605"/>
      <c r="BJ26" s="609">
        <f ca="1">OFFSET(Sector1!$G$472,0,(COLUMN()-8)/6)</f>
        <v>6.1348000000000003</v>
      </c>
      <c r="BK26" s="607"/>
      <c r="BL26" s="608"/>
      <c r="BM26" s="595"/>
      <c r="BN26" s="604"/>
      <c r="BO26" s="605"/>
      <c r="BP26" s="609">
        <f ca="1">OFFSET(Sector1!$G$472,0,(COLUMN()-8)/6)</f>
        <v>6.2789999999999999</v>
      </c>
      <c r="BQ26" s="607"/>
      <c r="BR26" s="608"/>
      <c r="BS26" s="595"/>
      <c r="BT26" s="604"/>
      <c r="BU26" s="605"/>
      <c r="BV26" s="609">
        <f ca="1">OFFSET(Sector1!$G$472,0,(COLUMN()-8)/6)</f>
        <v>6.7843</v>
      </c>
      <c r="BW26" s="607"/>
      <c r="BX26" s="608"/>
      <c r="BY26" s="595"/>
      <c r="BZ26" s="604"/>
      <c r="CA26" s="605"/>
      <c r="CB26" s="609">
        <f ca="1">OFFSET(Sector1!$G$472,0,(COLUMN()-8)/6)</f>
        <v>7.1372999999999998</v>
      </c>
      <c r="CC26" s="607"/>
      <c r="CD26" s="608"/>
      <c r="CE26" s="595"/>
      <c r="CF26" s="604"/>
      <c r="CG26" s="605"/>
      <c r="CH26" s="609">
        <f ca="1">OFFSET(Sector1!$G$472,0,(COLUMN()-8)/6)</f>
        <v>7.5522999999999998</v>
      </c>
      <c r="CI26" s="607"/>
      <c r="CJ26" s="608"/>
      <c r="CK26" s="595"/>
      <c r="CL26" s="604"/>
      <c r="CM26" s="605"/>
      <c r="CN26" s="609">
        <f ca="1">OFFSET(Sector1!$G$472,0,(COLUMN()-8)/6)</f>
        <v>7.9435000000000002</v>
      </c>
      <c r="CO26" s="607"/>
      <c r="CP26" s="608"/>
      <c r="CQ26" s="595"/>
      <c r="CR26" s="604"/>
      <c r="CS26" s="605"/>
      <c r="CT26" s="609">
        <f ca="1">OFFSET(Sector1!$G$472,0,(COLUMN()-8)/6)</f>
        <v>8.2058</v>
      </c>
      <c r="CU26" s="607"/>
      <c r="CV26" s="608"/>
      <c r="CW26" s="595"/>
      <c r="CX26" s="604"/>
      <c r="CY26" s="605"/>
      <c r="CZ26" s="609">
        <f ca="1">OFFSET(Sector1!$G$472,0,(COLUMN()-8)/6)</f>
        <v>8.7385000000000002</v>
      </c>
      <c r="DA26" s="607"/>
      <c r="DB26" s="608"/>
      <c r="DC26" s="595"/>
      <c r="DD26" s="604"/>
      <c r="DE26" s="605"/>
      <c r="DF26" s="609">
        <f ca="1">OFFSET(Sector1!$G$472,0,(COLUMN()-8)/6)</f>
        <v>9.1504999999999992</v>
      </c>
      <c r="DG26" s="607"/>
      <c r="DH26" s="608"/>
      <c r="DI26" s="595"/>
      <c r="DJ26" s="604"/>
      <c r="DK26" s="605"/>
      <c r="DL26" s="609">
        <f ca="1">OFFSET(Sector1!$G$472,0,(COLUMN()-8)/6)</f>
        <v>9.5602</v>
      </c>
      <c r="DM26" s="607"/>
      <c r="DN26" s="608"/>
      <c r="DO26" s="595"/>
      <c r="DP26" s="604"/>
      <c r="DQ26" s="605"/>
      <c r="DR26" s="609">
        <f ca="1">OFFSET(Sector1!$G$472,0,(COLUMN()-8)/6)</f>
        <v>9.6092000000000013</v>
      </c>
      <c r="DS26" s="607"/>
      <c r="DT26" s="608"/>
      <c r="DU26" s="595"/>
      <c r="DV26" s="604"/>
      <c r="DW26" s="605"/>
      <c r="DX26" s="609">
        <f ca="1">OFFSET(Sector1!$G$472,0,(COLUMN()-8)/6)</f>
        <v>9.2451000000000008</v>
      </c>
      <c r="DY26" s="607"/>
      <c r="DZ26" s="608"/>
      <c r="EA26" s="595"/>
      <c r="EB26" s="604"/>
      <c r="EC26" s="605"/>
      <c r="ED26" s="609">
        <f ca="1">OFFSET(Sector1!$G$472,0,(COLUMN()-8)/6)</f>
        <v>9.5259999999999998</v>
      </c>
      <c r="EE26" s="607"/>
      <c r="EF26" s="608"/>
      <c r="EG26" s="595"/>
      <c r="EH26" s="604"/>
      <c r="EI26" s="605"/>
      <c r="EJ26" s="609">
        <f ca="1">OFFSET(Sector1!$G$472,0,(COLUMN()-8)/6)</f>
        <v>9.8407999999999998</v>
      </c>
      <c r="EK26" s="607"/>
      <c r="EL26" s="608"/>
      <c r="EM26" s="595"/>
      <c r="EN26" s="604"/>
      <c r="EO26" s="605"/>
      <c r="EP26" s="609">
        <f ca="1">OFFSET(Sector1!$G$472,0,(COLUMN()-8)/6)</f>
        <v>10.06812248</v>
      </c>
      <c r="EQ26" s="607"/>
      <c r="ER26" s="608"/>
    </row>
    <row r="27" spans="1:148">
      <c r="A27" s="567"/>
      <c r="B27" s="568" t="s">
        <v>622</v>
      </c>
      <c r="C27" s="4136" t="s">
        <v>1480</v>
      </c>
      <c r="D27" s="4135"/>
      <c r="E27" s="581">
        <f ca="1">+F27+G27+H27+I27</f>
        <v>39.646599999999999</v>
      </c>
      <c r="F27" s="579">
        <f ca="1">OFFSET(Sector1!$G$522,0,(COLUMN()-6)/6)</f>
        <v>39.646599999999999</v>
      </c>
      <c r="G27" s="578"/>
      <c r="H27" s="578"/>
      <c r="I27" s="579"/>
      <c r="J27" s="580"/>
      <c r="K27" s="581">
        <f t="shared" ref="K27:K34" ca="1" si="0">+L27+M27+N27</f>
        <v>40.5916</v>
      </c>
      <c r="L27" s="579">
        <f ca="1">OFFSET(Sector1!$G$522,0,(COLUMN()-6)/6)</f>
        <v>40.5916</v>
      </c>
      <c r="M27" s="578"/>
      <c r="N27" s="578"/>
      <c r="O27" s="579"/>
      <c r="P27" s="580"/>
      <c r="Q27" s="581">
        <f t="shared" ref="Q27:Q34" ca="1" si="1">+R27+S27+T27</f>
        <v>42.070699999999995</v>
      </c>
      <c r="R27" s="579">
        <f ca="1">OFFSET(Sector1!$G$522,0,(COLUMN()-6)/6)</f>
        <v>42.070699999999995</v>
      </c>
      <c r="S27" s="578"/>
      <c r="T27" s="578"/>
      <c r="U27" s="579"/>
      <c r="V27" s="580"/>
      <c r="W27" s="581">
        <f t="shared" ref="W27:W34" ca="1" si="2">+X27+Y27+Z27</f>
        <v>43.272800000000004</v>
      </c>
      <c r="X27" s="579">
        <f ca="1">OFFSET(Sector1!$G$522,0,(COLUMN()-6)/6)</f>
        <v>43.272800000000004</v>
      </c>
      <c r="Y27" s="578"/>
      <c r="Z27" s="578"/>
      <c r="AA27" s="579"/>
      <c r="AB27" s="580"/>
      <c r="AC27" s="581">
        <f t="shared" ref="AC27:AC34" ca="1" si="3">+AD27+AE27+AF27</f>
        <v>44.191400000000002</v>
      </c>
      <c r="AD27" s="579">
        <f ca="1">OFFSET(Sector1!$G$522,0,(COLUMN()-6)/6)</f>
        <v>44.191400000000002</v>
      </c>
      <c r="AE27" s="578"/>
      <c r="AF27" s="578"/>
      <c r="AG27" s="579"/>
      <c r="AH27" s="580"/>
      <c r="AI27" s="581">
        <f t="shared" ref="AI27:AI34" ca="1" si="4">+AJ27+AK27+AL27</f>
        <v>45.476300000000002</v>
      </c>
      <c r="AJ27" s="579">
        <f ca="1">OFFSET(Sector1!$G$522,0,(COLUMN()-6)/6)</f>
        <v>45.476300000000002</v>
      </c>
      <c r="AK27" s="578"/>
      <c r="AL27" s="578"/>
      <c r="AM27" s="579"/>
      <c r="AN27" s="580"/>
      <c r="AO27" s="581">
        <f t="shared" ref="AO27:AO34" ca="1" si="5">+AP27+AQ27+AR27</f>
        <v>47.719900000000003</v>
      </c>
      <c r="AP27" s="579">
        <f ca="1">OFFSET(Sector1!$G$522,0,(COLUMN()-6)/6)</f>
        <v>47.719900000000003</v>
      </c>
      <c r="AQ27" s="578"/>
      <c r="AR27" s="578"/>
      <c r="AS27" s="579"/>
      <c r="AT27" s="580"/>
      <c r="AU27" s="581">
        <f t="shared" ref="AU27:AU34" ca="1" si="6">+AV27+AW27+AX27</f>
        <v>50.7301</v>
      </c>
      <c r="AV27" s="579">
        <f ca="1">OFFSET(Sector1!$G$522,0,(COLUMN()-6)/6)</f>
        <v>50.7301</v>
      </c>
      <c r="AW27" s="578"/>
      <c r="AX27" s="578"/>
      <c r="AY27" s="579"/>
      <c r="AZ27" s="580"/>
      <c r="BA27" s="581">
        <f t="shared" ref="BA27:BA34" ca="1" si="7">+BB27+BC27+BD27</f>
        <v>52.842699999999994</v>
      </c>
      <c r="BB27" s="579">
        <f ca="1">OFFSET(Sector1!$G$522,0,(COLUMN()-6)/6)</f>
        <v>52.842699999999994</v>
      </c>
      <c r="BC27" s="578"/>
      <c r="BD27" s="578"/>
      <c r="BE27" s="579"/>
      <c r="BF27" s="580"/>
      <c r="BG27" s="581">
        <f t="shared" ref="BG27:BG34" ca="1" si="8">+BH27+BI27+BJ27</f>
        <v>54.690599999999996</v>
      </c>
      <c r="BH27" s="579">
        <f ca="1">OFFSET(Sector1!$G$522,0,(COLUMN()-6)/6)</f>
        <v>54.690599999999996</v>
      </c>
      <c r="BI27" s="578"/>
      <c r="BJ27" s="578"/>
      <c r="BK27" s="579"/>
      <c r="BL27" s="580"/>
      <c r="BM27" s="581">
        <f t="shared" ref="BM27:BM34" ca="1" si="9">+BN27+BO27+BP27</f>
        <v>56.387999999999998</v>
      </c>
      <c r="BN27" s="579">
        <f ca="1">OFFSET(Sector1!$G$522,0,(COLUMN()-6)/6)</f>
        <v>56.387999999999998</v>
      </c>
      <c r="BO27" s="578"/>
      <c r="BP27" s="578"/>
      <c r="BQ27" s="579"/>
      <c r="BR27" s="580"/>
      <c r="BS27" s="581">
        <f t="shared" ref="BS27:BS34" ca="1" si="10">+BT27+BU27+BV27</f>
        <v>58.363599999999998</v>
      </c>
      <c r="BT27" s="579">
        <f ca="1">OFFSET(Sector1!$G$522,0,(COLUMN()-6)/6)</f>
        <v>58.363599999999998</v>
      </c>
      <c r="BU27" s="578"/>
      <c r="BV27" s="578"/>
      <c r="BW27" s="579"/>
      <c r="BX27" s="580"/>
      <c r="BY27" s="581">
        <f t="shared" ref="BY27:BY34" ca="1" si="11">+BZ27+CA27+CB27</f>
        <v>61.0137</v>
      </c>
      <c r="BZ27" s="579">
        <f ca="1">OFFSET(Sector1!$G$522,0,(COLUMN()-6)/6)</f>
        <v>61.0137</v>
      </c>
      <c r="CA27" s="578"/>
      <c r="CB27" s="578"/>
      <c r="CC27" s="579"/>
      <c r="CD27" s="580"/>
      <c r="CE27" s="581">
        <f t="shared" ref="CE27:CE34" ca="1" si="12">+CF27+CG27+CH27</f>
        <v>64.282699999999991</v>
      </c>
      <c r="CF27" s="579">
        <f ca="1">OFFSET(Sector1!$G$522,0,(COLUMN()-6)/6)</f>
        <v>64.282699999999991</v>
      </c>
      <c r="CG27" s="578"/>
      <c r="CH27" s="578"/>
      <c r="CI27" s="579"/>
      <c r="CJ27" s="580"/>
      <c r="CK27" s="581">
        <f ca="1">+CL27+CM27+CN27</f>
        <v>68.967199999999991</v>
      </c>
      <c r="CL27" s="579">
        <f ca="1">OFFSET(Sector1!$G$522,0,(COLUMN()-6)/6)</f>
        <v>68.967199999999991</v>
      </c>
      <c r="CM27" s="578"/>
      <c r="CN27" s="578"/>
      <c r="CO27" s="579"/>
      <c r="CP27" s="580"/>
      <c r="CQ27" s="581">
        <f ca="1">+CR27+CS27+CT27</f>
        <v>69.971899999999991</v>
      </c>
      <c r="CR27" s="579">
        <f ca="1">OFFSET(Sector1!$G$522,0,(COLUMN()-6)/6)</f>
        <v>69.971899999999991</v>
      </c>
      <c r="CS27" s="578"/>
      <c r="CT27" s="578"/>
      <c r="CU27" s="579"/>
      <c r="CV27" s="580"/>
      <c r="CW27" s="581">
        <f ca="1">+CX27+CY27+CZ27</f>
        <v>72.380399999999995</v>
      </c>
      <c r="CX27" s="579">
        <f ca="1">OFFSET(Sector1!$G$522,0,(COLUMN()-6)/6)</f>
        <v>72.380399999999995</v>
      </c>
      <c r="CY27" s="578"/>
      <c r="CZ27" s="578"/>
      <c r="DA27" s="579"/>
      <c r="DB27" s="580"/>
      <c r="DC27" s="581">
        <f ca="1">+DD27+DE27+DF27</f>
        <v>76.219700000000003</v>
      </c>
      <c r="DD27" s="579">
        <f ca="1">OFFSET(Sector1!$G$522,0,(COLUMN()-6)/6)</f>
        <v>76.219700000000003</v>
      </c>
      <c r="DE27" s="578"/>
      <c r="DF27" s="578"/>
      <c r="DG27" s="579"/>
      <c r="DH27" s="580"/>
      <c r="DI27" s="581">
        <f ca="1">+DJ27+DK27+DL27</f>
        <v>79.155699999999996</v>
      </c>
      <c r="DJ27" s="579">
        <f ca="1">OFFSET(Sector1!$G$522,0,(COLUMN()-6)/6)</f>
        <v>79.155699999999996</v>
      </c>
      <c r="DK27" s="578"/>
      <c r="DL27" s="578"/>
      <c r="DM27" s="579"/>
      <c r="DN27" s="580"/>
      <c r="DO27" s="581">
        <f ca="1">+DP27+DQ27+DR27</f>
        <v>80.077100000000002</v>
      </c>
      <c r="DP27" s="579">
        <f ca="1">OFFSET(Sector1!$G$522,0,(COLUMN()-6)/6)</f>
        <v>80.077100000000002</v>
      </c>
      <c r="DQ27" s="578"/>
      <c r="DR27" s="578"/>
      <c r="DS27" s="579"/>
      <c r="DT27" s="580"/>
      <c r="DU27" s="581">
        <f ca="1">+DV27+DW27+DX27</f>
        <v>81.846600000000009</v>
      </c>
      <c r="DV27" s="579">
        <f ca="1">OFFSET(Sector1!$G$522,0,(COLUMN()-6)/6)</f>
        <v>81.846600000000009</v>
      </c>
      <c r="DW27" s="578"/>
      <c r="DX27" s="578"/>
      <c r="DY27" s="579"/>
      <c r="DZ27" s="580"/>
      <c r="EA27" s="581">
        <f ca="1">+EB27+EC27+ED27</f>
        <v>83.7654</v>
      </c>
      <c r="EB27" s="579">
        <f ca="1">OFFSET(Sector1!$G$522,0,(COLUMN()-6)/6)</f>
        <v>83.7654</v>
      </c>
      <c r="EC27" s="578"/>
      <c r="ED27" s="578"/>
      <c r="EE27" s="579"/>
      <c r="EF27" s="580"/>
      <c r="EG27" s="581">
        <f ca="1">+EH27+EI27+EJ27</f>
        <v>86.500454959999985</v>
      </c>
      <c r="EH27" s="579">
        <f ca="1">OFFSET(Sector1!$G$522,0,(COLUMN()-6)/6)</f>
        <v>86.500454959999985</v>
      </c>
      <c r="EI27" s="578"/>
      <c r="EJ27" s="578"/>
      <c r="EK27" s="579"/>
      <c r="EL27" s="580"/>
      <c r="EM27" s="581">
        <f ca="1">+EN27+EO27+EP27</f>
        <v>89.012178342327999</v>
      </c>
      <c r="EN27" s="579">
        <f ca="1">OFFSET(Sector1!$G$522,0,(COLUMN()-6)/6)</f>
        <v>89.012178342327999</v>
      </c>
      <c r="EO27" s="578"/>
      <c r="EP27" s="578"/>
      <c r="EQ27" s="579"/>
      <c r="ER27" s="580"/>
    </row>
    <row r="28" spans="1:148">
      <c r="A28" s="567"/>
      <c r="B28" s="568" t="s">
        <v>622</v>
      </c>
      <c r="C28" s="4136" t="s">
        <v>1481</v>
      </c>
      <c r="D28" s="4135"/>
      <c r="E28" s="581">
        <f ca="1">+F28+G28+H28+I28</f>
        <v>17.215199999999999</v>
      </c>
      <c r="F28" s="579">
        <f ca="1">OFFSET(Sector1!$G$589,0,(COLUMN()-6)/6)</f>
        <v>6.4878999999999998</v>
      </c>
      <c r="G28" s="579">
        <f ca="1">OFFSET(Sector1!$G$591,0,(COLUMN()-7)/6)</f>
        <v>8.1986000000000008</v>
      </c>
      <c r="H28" s="579">
        <f ca="1">OFFSET(Sector1!$G$593,0,(COLUMN()-8)/6)</f>
        <v>0.6855</v>
      </c>
      <c r="I28" s="579">
        <f ca="1">OFFSET(Sector1!$G$596,0,(COLUMN()-9)/6)</f>
        <v>1.8432000000000002</v>
      </c>
      <c r="J28" s="580"/>
      <c r="K28" s="581">
        <f t="shared" ca="1" si="0"/>
        <v>15.769100000000002</v>
      </c>
      <c r="L28" s="579">
        <f ca="1">OFFSET(Sector1!$G$589,0,(COLUMN()-6)/6)</f>
        <v>6.6266000000000007</v>
      </c>
      <c r="M28" s="579">
        <f ca="1">OFFSET(Sector1!$G$591,0,(COLUMN()-7)/6)</f>
        <v>8.4001000000000001</v>
      </c>
      <c r="N28" s="579">
        <f ca="1">OFFSET(Sector1!$G$593,0,(COLUMN()-8)/6)</f>
        <v>0.74239999999999995</v>
      </c>
      <c r="O28" s="579">
        <f ca="1">OFFSET(Sector1!$G$596,0,(COLUMN()-9)/6)</f>
        <v>2.3280000000000003</v>
      </c>
      <c r="P28" s="580"/>
      <c r="Q28" s="581">
        <f t="shared" ca="1" si="1"/>
        <v>16.011499999999998</v>
      </c>
      <c r="R28" s="579">
        <f ca="1">OFFSET(Sector1!$G$589,0,(COLUMN()-6)/6)</f>
        <v>6.8475000000000001</v>
      </c>
      <c r="S28" s="579">
        <f ca="1">OFFSET(Sector1!$G$591,0,(COLUMN()-7)/6)</f>
        <v>8.4994999999999994</v>
      </c>
      <c r="T28" s="579">
        <f ca="1">OFFSET(Sector1!$G$593,0,(COLUMN()-8)/6)</f>
        <v>0.66449999999999998</v>
      </c>
      <c r="U28" s="579">
        <f ca="1">OFFSET(Sector1!$G$596,0,(COLUMN()-9)/6)</f>
        <v>2.2884999999999995</v>
      </c>
      <c r="V28" s="580"/>
      <c r="W28" s="581">
        <f t="shared" ca="1" si="2"/>
        <v>16.402899999999999</v>
      </c>
      <c r="X28" s="579">
        <f ca="1">OFFSET(Sector1!$G$589,0,(COLUMN()-6)/6)</f>
        <v>7.0491999999999999</v>
      </c>
      <c r="Y28" s="579">
        <f ca="1">OFFSET(Sector1!$G$591,0,(COLUMN()-7)/6)</f>
        <v>8.5106000000000002</v>
      </c>
      <c r="Z28" s="579">
        <f ca="1">OFFSET(Sector1!$G$593,0,(COLUMN()-8)/6)</f>
        <v>0.84310000000000007</v>
      </c>
      <c r="AA28" s="579">
        <f ca="1">OFFSET(Sector1!$G$596,0,(COLUMN()-9)/6)</f>
        <v>2.5347000000000004</v>
      </c>
      <c r="AB28" s="580"/>
      <c r="AC28" s="581">
        <f t="shared" ca="1" si="3"/>
        <v>17.0228</v>
      </c>
      <c r="AD28" s="579">
        <f ca="1">OFFSET(Sector1!$G$589,0,(COLUMN()-6)/6)</f>
        <v>7.0804999999999998</v>
      </c>
      <c r="AE28" s="579">
        <f ca="1">OFFSET(Sector1!$G$591,0,(COLUMN()-7)/6)</f>
        <v>8.9922000000000004</v>
      </c>
      <c r="AF28" s="579">
        <f ca="1">OFFSET(Sector1!$G$593,0,(COLUMN()-8)/6)</f>
        <v>0.95010000000000006</v>
      </c>
      <c r="AG28" s="579">
        <f ca="1">OFFSET(Sector1!$G$596,0,(COLUMN()-9)/6)</f>
        <v>2.6181000000000005</v>
      </c>
      <c r="AH28" s="580"/>
      <c r="AI28" s="581">
        <f t="shared" ca="1" si="4"/>
        <v>17.510299999999997</v>
      </c>
      <c r="AJ28" s="579">
        <f ca="1">OFFSET(Sector1!$G$589,0,(COLUMN()-6)/6)</f>
        <v>7.3998999999999997</v>
      </c>
      <c r="AK28" s="579">
        <f ca="1">OFFSET(Sector1!$G$591,0,(COLUMN()-7)/6)</f>
        <v>9.2243999999999993</v>
      </c>
      <c r="AL28" s="579">
        <f ca="1">OFFSET(Sector1!$G$593,0,(COLUMN()-8)/6)</f>
        <v>0.88600000000000001</v>
      </c>
      <c r="AM28" s="579">
        <f ca="1">OFFSET(Sector1!$G$596,0,(COLUMN()-9)/6)</f>
        <v>2.7263000000000002</v>
      </c>
      <c r="AN28" s="580"/>
      <c r="AO28" s="581">
        <f t="shared" ca="1" si="5"/>
        <v>17.870799999999999</v>
      </c>
      <c r="AP28" s="579">
        <f ca="1">OFFSET(Sector1!$G$589,0,(COLUMN()-6)/6)</f>
        <v>8.0670999999999999</v>
      </c>
      <c r="AQ28" s="579">
        <f ca="1">OFFSET(Sector1!$G$591,0,(COLUMN()-7)/6)</f>
        <v>8.7437000000000005</v>
      </c>
      <c r="AR28" s="579">
        <f ca="1">OFFSET(Sector1!$G$593,0,(COLUMN()-8)/6)</f>
        <v>1.06</v>
      </c>
      <c r="AS28" s="579">
        <f ca="1">OFFSET(Sector1!$G$596,0,(COLUMN()-9)/6)</f>
        <v>2.4079000000000006</v>
      </c>
      <c r="AT28" s="580"/>
      <c r="AU28" s="581">
        <f t="shared" ca="1" si="6"/>
        <v>18.424299999999999</v>
      </c>
      <c r="AV28" s="579">
        <f ca="1">OFFSET(Sector1!$G$589,0,(COLUMN()-6)/6)</f>
        <v>7.7969999999999997</v>
      </c>
      <c r="AW28" s="579">
        <f ca="1">OFFSET(Sector1!$G$591,0,(COLUMN()-7)/6)</f>
        <v>9.5617000000000001</v>
      </c>
      <c r="AX28" s="579">
        <f ca="1">OFFSET(Sector1!$G$593,0,(COLUMN()-8)/6)</f>
        <v>1.0655999999999999</v>
      </c>
      <c r="AY28" s="579">
        <f ca="1">OFFSET(Sector1!$G$596,0,(COLUMN()-9)/6)</f>
        <v>2.6333000000000002</v>
      </c>
      <c r="AZ28" s="580"/>
      <c r="BA28" s="581">
        <f t="shared" ca="1" si="7"/>
        <v>18.337800000000001</v>
      </c>
      <c r="BB28" s="579">
        <f ca="1">OFFSET(Sector1!$G$589,0,(COLUMN()-6)/6)</f>
        <v>7.9718999999999998</v>
      </c>
      <c r="BC28" s="579">
        <f ca="1">OFFSET(Sector1!$G$591,0,(COLUMN()-7)/6)</f>
        <v>9.430299999999999</v>
      </c>
      <c r="BD28" s="579">
        <f ca="1">OFFSET(Sector1!$G$593,0,(COLUMN()-8)/6)</f>
        <v>0.93559999999999999</v>
      </c>
      <c r="BE28" s="579">
        <f ca="1">OFFSET(Sector1!$G$596,0,(COLUMN()-9)/6)</f>
        <v>3.3849</v>
      </c>
      <c r="BF28" s="580"/>
      <c r="BG28" s="581">
        <f t="shared" ca="1" si="8"/>
        <v>18.341200000000001</v>
      </c>
      <c r="BH28" s="579">
        <f ca="1">OFFSET(Sector1!$G$589,0,(COLUMN()-6)/6)</f>
        <v>8.3895999999999997</v>
      </c>
      <c r="BI28" s="579">
        <f ca="1">OFFSET(Sector1!$G$591,0,(COLUMN()-7)/6)</f>
        <v>8.6647999999999996</v>
      </c>
      <c r="BJ28" s="579">
        <f ca="1">OFFSET(Sector1!$G$593,0,(COLUMN()-8)/6)</f>
        <v>1.2867999999999999</v>
      </c>
      <c r="BK28" s="579">
        <f ca="1">OFFSET(Sector1!$G$596,0,(COLUMN()-9)/6)</f>
        <v>3.8216000000000001</v>
      </c>
      <c r="BL28" s="580"/>
      <c r="BM28" s="581">
        <f t="shared" ca="1" si="9"/>
        <v>19.493599999999997</v>
      </c>
      <c r="BN28" s="579">
        <f ca="1">OFFSET(Sector1!$G$589,0,(COLUMN()-6)/6)</f>
        <v>9.6702999999999992</v>
      </c>
      <c r="BO28" s="579">
        <f ca="1">OFFSET(Sector1!$G$591,0,(COLUMN()-7)/6)</f>
        <v>8.3533999999999988</v>
      </c>
      <c r="BP28" s="579">
        <f ca="1">OFFSET(Sector1!$G$593,0,(COLUMN()-8)/6)</f>
        <v>1.4699</v>
      </c>
      <c r="BQ28" s="579">
        <f ca="1">OFFSET(Sector1!$G$596,0,(COLUMN()-9)/6)</f>
        <v>3.8138000000000001</v>
      </c>
      <c r="BR28" s="580"/>
      <c r="BS28" s="581">
        <f t="shared" ca="1" si="10"/>
        <v>19.060899999999997</v>
      </c>
      <c r="BT28" s="579">
        <f ca="1">OFFSET(Sector1!$G$589,0,(COLUMN()-6)/6)</f>
        <v>9.1707000000000001</v>
      </c>
      <c r="BU28" s="579">
        <f ca="1">OFFSET(Sector1!$G$591,0,(COLUMN()-7)/6)</f>
        <v>8.3882999999999992</v>
      </c>
      <c r="BV28" s="579">
        <f ca="1">OFFSET(Sector1!$G$593,0,(COLUMN()-8)/6)</f>
        <v>1.5019</v>
      </c>
      <c r="BW28" s="579">
        <f ca="1">OFFSET(Sector1!$G$596,0,(COLUMN()-9)/6)</f>
        <v>3.8023999999999996</v>
      </c>
      <c r="BX28" s="580"/>
      <c r="BY28" s="581">
        <f t="shared" ca="1" si="11"/>
        <v>19.271900000000002</v>
      </c>
      <c r="BZ28" s="579">
        <f ca="1">OFFSET(Sector1!$G$589,0,(COLUMN()-6)/6)</f>
        <v>8.3891000000000009</v>
      </c>
      <c r="CA28" s="579">
        <f ca="1">OFFSET(Sector1!$G$591,0,(COLUMN()-7)/6)</f>
        <v>9.4182000000000006</v>
      </c>
      <c r="CB28" s="579">
        <f ca="1">OFFSET(Sector1!$G$593,0,(COLUMN()-8)/6)</f>
        <v>1.4645999999999999</v>
      </c>
      <c r="CC28" s="579">
        <f ca="1">OFFSET(Sector1!$G$596,0,(COLUMN()-9)/6)</f>
        <v>3.2037000000000004</v>
      </c>
      <c r="CD28" s="580"/>
      <c r="CE28" s="581">
        <f t="shared" ca="1" si="12"/>
        <v>21.094900000000003</v>
      </c>
      <c r="CF28" s="579">
        <f ca="1">OFFSET(Sector1!$G$589,0,(COLUMN()-6)/6)</f>
        <v>9.1127000000000002</v>
      </c>
      <c r="CG28" s="579">
        <f ca="1">OFFSET(Sector1!$G$591,0,(COLUMN()-7)/6)</f>
        <v>10.2418</v>
      </c>
      <c r="CH28" s="579">
        <f ca="1">OFFSET(Sector1!$G$593,0,(COLUMN()-8)/6)</f>
        <v>1.7404000000000002</v>
      </c>
      <c r="CI28" s="579">
        <f ca="1">OFFSET(Sector1!$G$596,0,(COLUMN()-9)/6)</f>
        <v>4.3076000000000008</v>
      </c>
      <c r="CJ28" s="580"/>
      <c r="CK28" s="581">
        <f ca="1">+CL28+CM28+CN28</f>
        <v>24.339400000000001</v>
      </c>
      <c r="CL28" s="579">
        <f ca="1">OFFSET(Sector1!$G$589,0,(COLUMN()-6)/6)</f>
        <v>10.7826</v>
      </c>
      <c r="CM28" s="579">
        <f ca="1">OFFSET(Sector1!$G$591,0,(COLUMN()-7)/6)</f>
        <v>11.423</v>
      </c>
      <c r="CN28" s="579">
        <f ca="1">OFFSET(Sector1!$G$593,0,(COLUMN()-8)/6)</f>
        <v>2.1338000000000004</v>
      </c>
      <c r="CO28" s="579">
        <f ca="1">OFFSET(Sector1!$G$596,0,(COLUMN()-9)/6)</f>
        <v>4.3136000000000001</v>
      </c>
      <c r="CP28" s="580"/>
      <c r="CQ28" s="581">
        <f ca="1">+CR28+CS28+CT28</f>
        <v>26.0367</v>
      </c>
      <c r="CR28" s="579">
        <f ca="1">OFFSET(Sector1!$G$589,0,(COLUMN()-6)/6)</f>
        <v>10.680399999999999</v>
      </c>
      <c r="CS28" s="579">
        <f ca="1">OFFSET(Sector1!$G$591,0,(COLUMN()-7)/6)</f>
        <v>12.7325</v>
      </c>
      <c r="CT28" s="579">
        <f ca="1">OFFSET(Sector1!$G$593,0,(COLUMN()-8)/6)</f>
        <v>2.6238000000000001</v>
      </c>
      <c r="CU28" s="579">
        <f ca="1">OFFSET(Sector1!$G$596,0,(COLUMN()-9)/6)</f>
        <v>3.5213999999999994</v>
      </c>
      <c r="CV28" s="580"/>
      <c r="CW28" s="581">
        <f ca="1">+CX28+CY28+CZ28</f>
        <v>26.213900000000002</v>
      </c>
      <c r="CX28" s="579">
        <f ca="1">OFFSET(Sector1!$G$589,0,(COLUMN()-6)/6)</f>
        <v>10.790100000000001</v>
      </c>
      <c r="CY28" s="579">
        <f ca="1">OFFSET(Sector1!$G$591,0,(COLUMN()-7)/6)</f>
        <v>12.618</v>
      </c>
      <c r="CZ28" s="579">
        <f ca="1">OFFSET(Sector1!$G$593,0,(COLUMN()-8)/6)</f>
        <v>2.8058000000000001</v>
      </c>
      <c r="DA28" s="579">
        <f ca="1">OFFSET(Sector1!$G$596,0,(COLUMN()-9)/6)</f>
        <v>3.7811999999999997</v>
      </c>
      <c r="DB28" s="580"/>
      <c r="DC28" s="581">
        <f ca="1">+DD28+DE28+DF28</f>
        <v>26.473200000000002</v>
      </c>
      <c r="DD28" s="579">
        <f ca="1">OFFSET(Sector1!$G$589,0,(COLUMN()-6)/6)</f>
        <v>11.275</v>
      </c>
      <c r="DE28" s="579">
        <f ca="1">OFFSET(Sector1!$G$591,0,(COLUMN()-7)/6)</f>
        <v>12.015499999999999</v>
      </c>
      <c r="DF28" s="579">
        <f ca="1">OFFSET(Sector1!$G$593,0,(COLUMN()-8)/6)</f>
        <v>3.1826999999999996</v>
      </c>
      <c r="DG28" s="579">
        <f ca="1">OFFSET(Sector1!$G$596,0,(COLUMN()-9)/6)</f>
        <v>4.8591000000000006</v>
      </c>
      <c r="DH28" s="580"/>
      <c r="DI28" s="581">
        <f ca="1">+DJ28+DK28+DL28</f>
        <v>25.971099999999996</v>
      </c>
      <c r="DJ28" s="579">
        <f ca="1">OFFSET(Sector1!$G$589,0,(COLUMN()-6)/6)</f>
        <v>11.3376</v>
      </c>
      <c r="DK28" s="579">
        <f ca="1">OFFSET(Sector1!$G$591,0,(COLUMN()-7)/6)</f>
        <v>11.800799999999999</v>
      </c>
      <c r="DL28" s="579">
        <f ca="1">OFFSET(Sector1!$G$593,0,(COLUMN()-8)/6)</f>
        <v>2.8327</v>
      </c>
      <c r="DM28" s="579">
        <f ca="1">OFFSET(Sector1!$G$596,0,(COLUMN()-9)/6)</f>
        <v>5.4581</v>
      </c>
      <c r="DN28" s="580"/>
      <c r="DO28" s="581">
        <f ca="1">+DP28+DQ28+DR28</f>
        <v>26.462200000000003</v>
      </c>
      <c r="DP28" s="579">
        <f ca="1">OFFSET(Sector1!$G$589,0,(COLUMN()-6)/6)</f>
        <v>11.893700000000001</v>
      </c>
      <c r="DQ28" s="579">
        <f ca="1">OFFSET(Sector1!$G$591,0,(COLUMN()-7)/6)</f>
        <v>11.7119</v>
      </c>
      <c r="DR28" s="579">
        <f ca="1">OFFSET(Sector1!$G$593,0,(COLUMN()-8)/6)</f>
        <v>2.8565999999999998</v>
      </c>
      <c r="DS28" s="579">
        <f ca="1">OFFSET(Sector1!$G$596,0,(COLUMN()-9)/6)</f>
        <v>5.0854999999999997</v>
      </c>
      <c r="DT28" s="580"/>
      <c r="DU28" s="581">
        <f ca="1">+DV28+DW28+DX28</f>
        <v>26.701799999999999</v>
      </c>
      <c r="DV28" s="579">
        <f ca="1">OFFSET(Sector1!$G$589,0,(COLUMN()-6)/6)</f>
        <v>11.6701</v>
      </c>
      <c r="DW28" s="579">
        <f ca="1">OFFSET(Sector1!$G$591,0,(COLUMN()-7)/6)</f>
        <v>12.341799999999999</v>
      </c>
      <c r="DX28" s="579">
        <f ca="1">OFFSET(Sector1!$G$593,0,(COLUMN()-8)/6)</f>
        <v>2.6899000000000002</v>
      </c>
      <c r="DY28" s="579">
        <f ca="1">OFFSET(Sector1!$G$596,0,(COLUMN()-9)/6)</f>
        <v>5.0801999999999996</v>
      </c>
      <c r="DZ28" s="580"/>
      <c r="EA28" s="581">
        <f ca="1">+EB28+EC28+ED28</f>
        <v>26.641800000000003</v>
      </c>
      <c r="EB28" s="579">
        <f ca="1">OFFSET(Sector1!$G$589,0,(COLUMN()-6)/6)</f>
        <v>11.9595</v>
      </c>
      <c r="EC28" s="579">
        <f ca="1">OFFSET(Sector1!$G$591,0,(COLUMN()-7)/6)</f>
        <v>12.150600000000001</v>
      </c>
      <c r="ED28" s="579">
        <f ca="1">OFFSET(Sector1!$G$593,0,(COLUMN()-8)/6)</f>
        <v>2.5316999999999998</v>
      </c>
      <c r="EE28" s="579">
        <f ca="1">OFFSET(Sector1!$G$596,0,(COLUMN()-9)/6)</f>
        <v>6.492</v>
      </c>
      <c r="EF28" s="580"/>
      <c r="EG28" s="581">
        <f ca="1">+EH28+EI28+EJ28</f>
        <v>27.318680000000001</v>
      </c>
      <c r="EH28" s="579">
        <f ca="1">OFFSET(Sector1!$G$589,0,(COLUMN()-6)/6)</f>
        <v>12.43788</v>
      </c>
      <c r="EI28" s="579">
        <f ca="1">OFFSET(Sector1!$G$591,0,(COLUMN()-7)/6)</f>
        <v>12.150600000000001</v>
      </c>
      <c r="EJ28" s="579">
        <f ca="1">OFFSET(Sector1!$G$593,0,(COLUMN()-8)/6)</f>
        <v>2.7302</v>
      </c>
      <c r="EK28" s="579">
        <f ca="1">OFFSET(Sector1!$G$596,0,(COLUMN()-9)/6)</f>
        <v>5.2021928500000003</v>
      </c>
      <c r="EL28" s="580"/>
      <c r="EM28" s="581">
        <f ca="1">+EN28+EO28+EP28</f>
        <v>27.926463524000003</v>
      </c>
      <c r="EN28" s="579">
        <f ca="1">OFFSET(Sector1!$G$589,0,(COLUMN()-6)/6)</f>
        <v>12.876937163999999</v>
      </c>
      <c r="EO28" s="579">
        <f ca="1">OFFSET(Sector1!$G$591,0,(COLUMN()-7)/6)</f>
        <v>12.150600000000001</v>
      </c>
      <c r="EP28" s="579">
        <f ca="1">OFFSET(Sector1!$G$593,0,(COLUMN()-8)/6)</f>
        <v>2.8989263600000004</v>
      </c>
      <c r="EQ28" s="579">
        <f ca="1">OFFSET(Sector1!$G$596,0,(COLUMN()-9)/6)</f>
        <v>6.2277127625499986</v>
      </c>
      <c r="ER28" s="580"/>
    </row>
    <row r="29" spans="1:148" s="577" customFormat="1">
      <c r="A29" s="572"/>
      <c r="B29" s="573" t="s">
        <v>624</v>
      </c>
      <c r="C29" s="4151" t="s">
        <v>1482</v>
      </c>
      <c r="D29" s="4152"/>
      <c r="E29" s="583">
        <f ca="1">+F29+G29+H29</f>
        <v>346.49200000000002</v>
      </c>
      <c r="F29" s="583">
        <f ca="1">+F22+F23+F24+F27+F28</f>
        <v>215.43540000000002</v>
      </c>
      <c r="G29" s="583">
        <f ca="1">+G22+G23+G24+G27+G28</f>
        <v>51.830899999999993</v>
      </c>
      <c r="H29" s="583">
        <f ca="1">+H22+H23+H24+H27+H28</f>
        <v>79.225700000000003</v>
      </c>
      <c r="I29" s="584"/>
      <c r="J29" s="580"/>
      <c r="K29" s="583">
        <f t="shared" ca="1" si="0"/>
        <v>353.75009999999997</v>
      </c>
      <c r="L29" s="583">
        <f ca="1">+L22+L23+L24+L27+L28</f>
        <v>217.643</v>
      </c>
      <c r="M29" s="583">
        <f ca="1">+M22+M23+M24+M27+M28</f>
        <v>53.914799999999993</v>
      </c>
      <c r="N29" s="583">
        <f ca="1">+N22+N23+N24+N27+N28</f>
        <v>82.192299999999989</v>
      </c>
      <c r="O29" s="584"/>
      <c r="P29" s="580"/>
      <c r="Q29" s="583">
        <f t="shared" ca="1" si="1"/>
        <v>370.50509999999997</v>
      </c>
      <c r="R29" s="583">
        <f ca="1">+R22+R23+R24+R27+R28</f>
        <v>224.69689999999997</v>
      </c>
      <c r="S29" s="583">
        <f ca="1">+S22+S23+S24+S27+S28</f>
        <v>57.108500000000014</v>
      </c>
      <c r="T29" s="583">
        <f ca="1">+T22+T23+T24+T27+T28</f>
        <v>88.699700000000007</v>
      </c>
      <c r="U29" s="584"/>
      <c r="V29" s="580"/>
      <c r="W29" s="583">
        <f t="shared" ca="1" si="2"/>
        <v>385.38920000000002</v>
      </c>
      <c r="X29" s="583">
        <f ca="1">+X22+X23+X24+X27+X28</f>
        <v>232.90690000000004</v>
      </c>
      <c r="Y29" s="583">
        <f ca="1">+Y22+Y23+Y24+Y27+Y28</f>
        <v>58.459199999999996</v>
      </c>
      <c r="Z29" s="583">
        <f ca="1">+Z22+Z23+Z24+Z27+Z28</f>
        <v>94.023100000000014</v>
      </c>
      <c r="AA29" s="584"/>
      <c r="AB29" s="580"/>
      <c r="AC29" s="583">
        <f t="shared" ca="1" si="3"/>
        <v>398.8347</v>
      </c>
      <c r="AD29" s="583">
        <f ca="1">+AD22+AD23+AD24+AD27+AD28</f>
        <v>239.51739999999998</v>
      </c>
      <c r="AE29" s="583">
        <f ca="1">+AE22+AE23+AE24+AE27+AE28</f>
        <v>60.844499999999982</v>
      </c>
      <c r="AF29" s="583">
        <f ca="1">+AF22+AF23+AF24+AF27+AF28</f>
        <v>98.472799999999992</v>
      </c>
      <c r="AG29" s="584"/>
      <c r="AH29" s="580"/>
      <c r="AI29" s="583">
        <f t="shared" ca="1" si="4"/>
        <v>419.63600000000008</v>
      </c>
      <c r="AJ29" s="583">
        <f ca="1">+AJ22+AJ23+AJ24+AJ27+AJ28</f>
        <v>251.59550000000004</v>
      </c>
      <c r="AK29" s="583">
        <f ca="1">+AK22+AK23+AK24+AK27+AK28</f>
        <v>64.091999999999999</v>
      </c>
      <c r="AL29" s="583">
        <f ca="1">+AL22+AL23+AL24+AL27+AL28</f>
        <v>103.9485</v>
      </c>
      <c r="AM29" s="584"/>
      <c r="AN29" s="580"/>
      <c r="AO29" s="583">
        <f t="shared" ca="1" si="5"/>
        <v>432.33249999999998</v>
      </c>
      <c r="AP29" s="583">
        <f ca="1">+AP22+AP23+AP24+AP27+AP28</f>
        <v>263.9434</v>
      </c>
      <c r="AQ29" s="583">
        <f ca="1">+AQ22+AQ23+AQ24+AQ27+AQ28</f>
        <v>60.536000000000001</v>
      </c>
      <c r="AR29" s="583">
        <f ca="1">+AR22+AR23+AR24+AR27+AR28</f>
        <v>107.8531</v>
      </c>
      <c r="AS29" s="584"/>
      <c r="AT29" s="580"/>
      <c r="AU29" s="583">
        <f t="shared" ca="1" si="6"/>
        <v>448.99770000000007</v>
      </c>
      <c r="AV29" s="583">
        <f ca="1">+AV22+AV23+AV24+AV27+AV28</f>
        <v>269.30110000000008</v>
      </c>
      <c r="AW29" s="583">
        <f ca="1">+AW22+AW23+AW24+AW27+AW28</f>
        <v>65.986800000000002</v>
      </c>
      <c r="AX29" s="583">
        <f ca="1">+AX22+AX23+AX24+AX27+AX28</f>
        <v>113.70979999999999</v>
      </c>
      <c r="AY29" s="584"/>
      <c r="AZ29" s="580"/>
      <c r="BA29" s="583">
        <f t="shared" ca="1" si="7"/>
        <v>460.3365</v>
      </c>
      <c r="BB29" s="583">
        <f ca="1">+BB22+BB23+BB24+BB27+BB28</f>
        <v>273.92649999999998</v>
      </c>
      <c r="BC29" s="583">
        <f ca="1">+BC22+BC23+BC24+BC27+BC28</f>
        <v>70.772800000000018</v>
      </c>
      <c r="BD29" s="583">
        <f ca="1">+BD22+BD23+BD24+BD27+BD28</f>
        <v>115.63720000000001</v>
      </c>
      <c r="BE29" s="584"/>
      <c r="BF29" s="580"/>
      <c r="BG29" s="583">
        <f t="shared" ca="1" si="8"/>
        <v>481.29360000000003</v>
      </c>
      <c r="BH29" s="583">
        <f ca="1">+BH22+BH23+BH24+BH27+BH28</f>
        <v>281.62239999999997</v>
      </c>
      <c r="BI29" s="583">
        <f ca="1">+BI22+BI23+BI24+BI27+BI28</f>
        <v>76.809000000000012</v>
      </c>
      <c r="BJ29" s="583">
        <f ca="1">+BJ22+BJ23+BJ24+BJ27+BJ28</f>
        <v>122.86220000000002</v>
      </c>
      <c r="BK29" s="584"/>
      <c r="BL29" s="580"/>
      <c r="BM29" s="583">
        <f t="shared" ca="1" si="9"/>
        <v>500.3691</v>
      </c>
      <c r="BN29" s="583">
        <f ca="1">+BN22+BN23+BN24+BN27+BN28</f>
        <v>292.0505</v>
      </c>
      <c r="BO29" s="583">
        <f ca="1">+BO22+BO23+BO24+BO27+BO28</f>
        <v>79.795900000000017</v>
      </c>
      <c r="BP29" s="583">
        <f ca="1">+BP22+BP23+BP24+BP27+BP28</f>
        <v>128.52270000000001</v>
      </c>
      <c r="BQ29" s="584"/>
      <c r="BR29" s="1789"/>
      <c r="BS29" s="583">
        <f t="shared" ca="1" si="10"/>
        <v>522.48800000000006</v>
      </c>
      <c r="BT29" s="583">
        <f ca="1">+BT22+BT23+BT24+BT27+BT28</f>
        <v>304.49980000000005</v>
      </c>
      <c r="BU29" s="583">
        <f ca="1">+BU22+BU23+BU24+BU27+BU28</f>
        <v>83.631199999999993</v>
      </c>
      <c r="BV29" s="583">
        <f ca="1">+BV22+BV23+BV24+BV27+BV28</f>
        <v>134.357</v>
      </c>
      <c r="BW29" s="584"/>
      <c r="BX29" s="580"/>
      <c r="BY29" s="583">
        <f t="shared" ca="1" si="11"/>
        <v>549.73519999999996</v>
      </c>
      <c r="BZ29" s="583">
        <f ca="1">+BZ22+BZ23+BZ24+BZ27+BZ28</f>
        <v>319.0915</v>
      </c>
      <c r="CA29" s="583">
        <f ca="1">+CA22+CA23+CA24+CA27+CA28</f>
        <v>90.265499999999975</v>
      </c>
      <c r="CB29" s="583">
        <f ca="1">+CB22+CB23+CB24+CB27+CB28</f>
        <v>140.37820000000002</v>
      </c>
      <c r="CC29" s="584"/>
      <c r="CD29" s="580"/>
      <c r="CE29" s="583">
        <f t="shared" ca="1" si="12"/>
        <v>573.89300000000003</v>
      </c>
      <c r="CF29" s="583">
        <f ca="1">+CF22+CF23+CF24+CF27+CF28</f>
        <v>337.45870000000002</v>
      </c>
      <c r="CG29" s="583">
        <f ca="1">+CG22+CG23+CG24+CG27+CG28</f>
        <v>90.201499999999982</v>
      </c>
      <c r="CH29" s="583">
        <f ca="1">+CH22+CH23+CH24+CH27+CH28</f>
        <v>146.2328</v>
      </c>
      <c r="CI29" s="584"/>
      <c r="CJ29" s="580"/>
      <c r="CK29" s="583">
        <f ca="1">+CL29+CM29+CN29</f>
        <v>565.65859999999998</v>
      </c>
      <c r="CL29" s="583">
        <f ca="1">+CL22+CL23+CL24+CL27+CL28</f>
        <v>342.32130000000001</v>
      </c>
      <c r="CM29" s="583">
        <f ca="1">+CM22+CM23+CM24+CM27+CM28</f>
        <v>81.373599999999968</v>
      </c>
      <c r="CN29" s="583">
        <f ca="1">+CN22+CN23+CN24+CN27+CN28</f>
        <v>141.96370000000002</v>
      </c>
      <c r="CO29" s="584"/>
      <c r="CP29" s="580"/>
      <c r="CQ29" s="583">
        <f ca="1">+CR29+CS29+CT29</f>
        <v>600.83640000000003</v>
      </c>
      <c r="CR29" s="583">
        <f ca="1">+CR22+CR23+CR24+CR27+CR28</f>
        <v>347.97</v>
      </c>
      <c r="CS29" s="583">
        <f ca="1">+CS22+CS23+CS24+CS27+CS28</f>
        <v>102.8847</v>
      </c>
      <c r="CT29" s="583">
        <f ca="1">+CT22+CT23+CT24+CT27+CT28</f>
        <v>149.98170000000002</v>
      </c>
      <c r="CU29" s="584"/>
      <c r="CV29" s="580"/>
      <c r="CW29" s="583">
        <f ca="1">+CX29+CY29+CZ29</f>
        <v>616.29920000000004</v>
      </c>
      <c r="CX29" s="583">
        <f ca="1">+CX22+CX23+CX24+CX27+CX28</f>
        <v>357.8365</v>
      </c>
      <c r="CY29" s="583">
        <f ca="1">+CY22+CY23+CY24+CY27+CY28</f>
        <v>99.64560000000003</v>
      </c>
      <c r="CZ29" s="583">
        <f ca="1">+CZ22+CZ23+CZ24+CZ27+CZ28</f>
        <v>158.81710000000001</v>
      </c>
      <c r="DA29" s="584"/>
      <c r="DB29" s="580"/>
      <c r="DC29" s="583">
        <f ca="1">+DD29+DE29+DF29</f>
        <v>640.40389999999991</v>
      </c>
      <c r="DD29" s="583">
        <f ca="1">+DD22+DD23+DD24+DD27+DD28</f>
        <v>367.88179999999994</v>
      </c>
      <c r="DE29" s="583">
        <f ca="1">+DE22+DE23+DE24+DE27+DE28</f>
        <v>105.44089999999996</v>
      </c>
      <c r="DF29" s="583">
        <f ca="1">+DF22+DF23+DF24+DF27+DF28</f>
        <v>167.08120000000002</v>
      </c>
      <c r="DG29" s="584"/>
      <c r="DH29" s="580"/>
      <c r="DI29" s="583">
        <f ca="1">+DJ29+DK29+DL29</f>
        <v>649.67160000000001</v>
      </c>
      <c r="DJ29" s="583">
        <f ca="1">+DJ22+DJ23+DJ24+DJ27+DJ28</f>
        <v>374.92570000000006</v>
      </c>
      <c r="DK29" s="583">
        <f ca="1">+DK22+DK23+DK24+DK27+DK28</f>
        <v>101.44439999999996</v>
      </c>
      <c r="DL29" s="583">
        <f ca="1">+DL22+DL23+DL24+DL27+DL28</f>
        <v>173.30149999999998</v>
      </c>
      <c r="DM29" s="584"/>
      <c r="DN29" s="580"/>
      <c r="DO29" s="583">
        <f ca="1">+DP29+DQ29+DR29</f>
        <v>657.14709999999991</v>
      </c>
      <c r="DP29" s="583">
        <f ca="1">+DP22+DP23+DP24+DP27+DP28</f>
        <v>379.31639999999999</v>
      </c>
      <c r="DQ29" s="583">
        <f ca="1">+DQ22+DQ23+DQ24+DQ27+DQ28</f>
        <v>102.90889999999999</v>
      </c>
      <c r="DR29" s="583">
        <f ca="1">+DR22+DR23+DR24+DR27+DR28</f>
        <v>174.92179999999999</v>
      </c>
      <c r="DS29" s="584"/>
      <c r="DT29" s="580"/>
      <c r="DU29" s="583">
        <f ca="1">+DV29+DW29+DX29</f>
        <v>668.06809999999996</v>
      </c>
      <c r="DV29" s="583">
        <f ca="1">+DV22+DV23+DV24+DV27+DV28</f>
        <v>382.85329999999999</v>
      </c>
      <c r="DW29" s="583">
        <f ca="1">+DW22+DW23+DW24+DW27+DW28</f>
        <v>107.36789999999999</v>
      </c>
      <c r="DX29" s="583">
        <f ca="1">+DX22+DX23+DX24+DX27+DX28</f>
        <v>177.84689999999998</v>
      </c>
      <c r="DY29" s="584"/>
      <c r="DZ29" s="580"/>
      <c r="EA29" s="583">
        <f ca="1">+EB29+EC29+ED29</f>
        <v>686.02719999999999</v>
      </c>
      <c r="EB29" s="583">
        <f ca="1">+EB22+EB23+EB24+EB27+EB28</f>
        <v>387.45949999999999</v>
      </c>
      <c r="EC29" s="583">
        <f ca="1">+EC22+EC23+EC24+EC27+EC28</f>
        <v>117.7024</v>
      </c>
      <c r="ED29" s="583">
        <f ca="1">+ED22+ED23+ED24+ED27+ED28</f>
        <v>180.86529999999999</v>
      </c>
      <c r="EE29" s="584"/>
      <c r="EF29" s="580"/>
      <c r="EG29" s="583">
        <f ca="1">+EH29+EI29+EJ29</f>
        <v>712.62053683503314</v>
      </c>
      <c r="EH29" s="583">
        <f ca="1">+EH22+EH23+EH24+EH27+EH28</f>
        <v>398.39760616774919</v>
      </c>
      <c r="EI29" s="583">
        <f ca="1">+EI22+EI23+EI24+EI27+EI28</f>
        <v>123.163730667284</v>
      </c>
      <c r="EJ29" s="583">
        <f ca="1">+EJ22+EJ23+EJ24+EJ27+EJ28</f>
        <v>191.05919999999998</v>
      </c>
      <c r="EK29" s="584"/>
      <c r="EL29" s="580"/>
      <c r="EM29" s="583">
        <f ca="1">+EN29+EO29+EP29</f>
        <v>734.89578732204257</v>
      </c>
      <c r="EN29" s="583">
        <f ca="1">+EN22+EN23+EN24+EN27+EN28</f>
        <v>410.1783341202642</v>
      </c>
      <c r="EO29" s="583">
        <f ca="1">+EO22+EO23+EO24+EO27+EO28</f>
        <v>128.25600049826409</v>
      </c>
      <c r="EP29" s="583">
        <f ca="1">+EP22+EP23+EP24+EP27+EP28</f>
        <v>196.46145270351425</v>
      </c>
      <c r="EQ29" s="584"/>
      <c r="ER29" s="580"/>
    </row>
    <row r="30" spans="1:148">
      <c r="A30" s="567"/>
      <c r="B30" s="568" t="s">
        <v>2133</v>
      </c>
      <c r="C30" s="4135" t="s">
        <v>1483</v>
      </c>
      <c r="D30" s="4135"/>
      <c r="E30" s="581">
        <f ca="1">+F30+G30+H30+I30</f>
        <v>33.712599999999995</v>
      </c>
      <c r="F30" s="579">
        <f ca="1">OFFSET(Sector1!$G$296,0,(COLUMN()-6)/6)</f>
        <v>28.452500000000001</v>
      </c>
      <c r="G30" s="579">
        <f ca="1">OFFSET(Sector1!$G$310,0,(COLUMN()-7)/6)</f>
        <v>5.0261000000000005</v>
      </c>
      <c r="H30" s="579">
        <f ca="1">OFFSET(Sector1!$G$317,0,(COLUMN()-8)/6)</f>
        <v>1.77E-2</v>
      </c>
      <c r="I30" s="579">
        <f ca="1">OFFSET(Sector1!$G$318,0,(COLUMN()-9)/6)</f>
        <v>0.21630000000000002</v>
      </c>
      <c r="J30" s="576">
        <f ca="1">+E30-E23</f>
        <v>2.899999999996794E-3</v>
      </c>
      <c r="K30" s="581">
        <f t="shared" ca="1" si="0"/>
        <v>34.217199999999998</v>
      </c>
      <c r="L30" s="579">
        <f ca="1">OFFSET(Sector1!$G$296,0,(COLUMN()-6)/6)</f>
        <v>28.4252</v>
      </c>
      <c r="M30" s="579">
        <f ca="1">OFFSET(Sector1!$G$310,0,(COLUMN()-7)/6)</f>
        <v>5.7726000000000006</v>
      </c>
      <c r="N30" s="579">
        <f ca="1">OFFSET(Sector1!$G$317,0,(COLUMN()-8)/6)</f>
        <v>1.9399999999999997E-2</v>
      </c>
      <c r="O30" s="579">
        <f ca="1">OFFSET(Sector1!$G$318,0,(COLUMN()-9)/6)</f>
        <v>0.20119999999999999</v>
      </c>
      <c r="P30" s="576">
        <f ca="1">+K30-K23+O30</f>
        <v>0</v>
      </c>
      <c r="Q30" s="581">
        <f t="shared" ca="1" si="1"/>
        <v>36.760100000000001</v>
      </c>
      <c r="R30" s="579">
        <f ca="1">OFFSET(Sector1!$G$296,0,(COLUMN()-6)/6)</f>
        <v>30.247299999999999</v>
      </c>
      <c r="S30" s="579">
        <f ca="1">OFFSET(Sector1!$G$310,0,(COLUMN()-7)/6)</f>
        <v>6.4838000000000005</v>
      </c>
      <c r="T30" s="579">
        <f ca="1">OFFSET(Sector1!$G$317,0,(COLUMN()-8)/6)</f>
        <v>2.9000000000000001E-2</v>
      </c>
      <c r="U30" s="579">
        <f ca="1">OFFSET(Sector1!$G$318,0,(COLUMN()-9)/6)</f>
        <v>0.21919999999999998</v>
      </c>
      <c r="V30" s="576">
        <f ca="1">+Q30-Q23+U30</f>
        <v>-7.4940054162198066E-16</v>
      </c>
      <c r="W30" s="581">
        <f t="shared" ca="1" si="2"/>
        <v>39.393299999999996</v>
      </c>
      <c r="X30" s="579">
        <f ca="1">OFFSET(Sector1!$G$296,0,(COLUMN()-6)/6)</f>
        <v>31.3674</v>
      </c>
      <c r="Y30" s="579">
        <f ca="1">OFFSET(Sector1!$G$310,0,(COLUMN()-7)/6)</f>
        <v>7.9874000000000001</v>
      </c>
      <c r="Z30" s="579">
        <f ca="1">OFFSET(Sector1!$G$317,0,(COLUMN()-8)/6)</f>
        <v>3.85E-2</v>
      </c>
      <c r="AA30" s="579">
        <f ca="1">OFFSET(Sector1!$G$318,0,(COLUMN()-9)/6)</f>
        <v>0.2293</v>
      </c>
      <c r="AB30" s="576">
        <f ca="1">+W30-W23+AA30</f>
        <v>-2.0539125955565396E-15</v>
      </c>
      <c r="AC30" s="581">
        <f t="shared" ca="1" si="3"/>
        <v>39.863300000000002</v>
      </c>
      <c r="AD30" s="579">
        <f ca="1">OFFSET(Sector1!$G$296,0,(COLUMN()-6)/6)</f>
        <v>31.906200000000002</v>
      </c>
      <c r="AE30" s="579">
        <f ca="1">OFFSET(Sector1!$G$310,0,(COLUMN()-7)/6)</f>
        <v>7.9116999999999997</v>
      </c>
      <c r="AF30" s="579">
        <f ca="1">OFFSET(Sector1!$G$317,0,(COLUMN()-8)/6)</f>
        <v>4.5399999999999996E-2</v>
      </c>
      <c r="AG30" s="579">
        <f ca="1">OFFSET(Sector1!$G$318,0,(COLUMN()-9)/6)</f>
        <v>0.3135</v>
      </c>
      <c r="AH30" s="576">
        <f ca="1">+AC30-AC23+AG30</f>
        <v>2.3314683517128287E-15</v>
      </c>
      <c r="AI30" s="581">
        <f t="shared" ca="1" si="4"/>
        <v>42.424500000000002</v>
      </c>
      <c r="AJ30" s="579">
        <f ca="1">OFFSET(Sector1!$G$296,0,(COLUMN()-6)/6)</f>
        <v>34.104800000000004</v>
      </c>
      <c r="AK30" s="579">
        <f ca="1">OFFSET(Sector1!$G$310,0,(COLUMN()-7)/6)</f>
        <v>8.2652000000000001</v>
      </c>
      <c r="AL30" s="579">
        <f ca="1">OFFSET(Sector1!$G$317,0,(COLUMN()-8)/6)</f>
        <v>5.45E-2</v>
      </c>
      <c r="AM30" s="579">
        <f ca="1">OFFSET(Sector1!$G$318,0,(COLUMN()-9)/6)</f>
        <v>0.41080000000000005</v>
      </c>
      <c r="AN30" s="576">
        <f ca="1">+AI30-AI23+AM30</f>
        <v>-1.7763568394002505E-15</v>
      </c>
      <c r="AO30" s="581">
        <f t="shared" ca="1" si="5"/>
        <v>44.195700000000009</v>
      </c>
      <c r="AP30" s="579">
        <f ca="1">OFFSET(Sector1!$G$296,0,(COLUMN()-6)/6)</f>
        <v>35.866800000000005</v>
      </c>
      <c r="AQ30" s="579">
        <f ca="1">OFFSET(Sector1!$G$310,0,(COLUMN()-7)/6)</f>
        <v>8.2675999999999998</v>
      </c>
      <c r="AR30" s="579">
        <f ca="1">OFFSET(Sector1!$G$317,0,(COLUMN()-8)/6)</f>
        <v>6.13E-2</v>
      </c>
      <c r="AS30" s="579">
        <f ca="1">OFFSET(Sector1!$G$318,0,(COLUMN()-9)/6)</f>
        <v>0.3851</v>
      </c>
      <c r="AT30" s="576">
        <f ca="1">+AO30-AO23+AS30</f>
        <v>5.773159728050814E-15</v>
      </c>
      <c r="AU30" s="581">
        <f t="shared" ca="1" si="6"/>
        <v>45.440200000000004</v>
      </c>
      <c r="AV30" s="579">
        <f ca="1">OFFSET(Sector1!$G$296,0,(COLUMN()-6)/6)</f>
        <v>37.0441</v>
      </c>
      <c r="AW30" s="579">
        <f ca="1">OFFSET(Sector1!$G$310,0,(COLUMN()-7)/6)</f>
        <v>8.34</v>
      </c>
      <c r="AX30" s="579">
        <f ca="1">OFFSET(Sector1!$G$317,0,(COLUMN()-8)/6)</f>
        <v>5.6100000000000004E-2</v>
      </c>
      <c r="AY30" s="579">
        <f ca="1">OFFSET(Sector1!$G$318,0,(COLUMN()-9)/6)</f>
        <v>0.45620000000000005</v>
      </c>
      <c r="AZ30" s="576">
        <f ca="1">+AU30-AU23+AY30</f>
        <v>4.5519144009631418E-15</v>
      </c>
      <c r="BA30" s="581">
        <f t="shared" ca="1" si="7"/>
        <v>45.217399999999998</v>
      </c>
      <c r="BB30" s="579">
        <f ca="1">OFFSET(Sector1!$G$296,0,(COLUMN()-6)/6)</f>
        <v>37.001599999999996</v>
      </c>
      <c r="BC30" s="579">
        <f ca="1">OFFSET(Sector1!$G$310,0,(COLUMN()-7)/6)</f>
        <v>8.1067</v>
      </c>
      <c r="BD30" s="579">
        <f ca="1">OFFSET(Sector1!$G$317,0,(COLUMN()-8)/6)</f>
        <v>0.10909999999999999</v>
      </c>
      <c r="BE30" s="579">
        <f ca="1">OFFSET(Sector1!$G$318,0,(COLUMN()-9)/6)</f>
        <v>0.45489999999999997</v>
      </c>
      <c r="BF30" s="576">
        <f ca="1">+BA30-BA23+BE30</f>
        <v>-2.1094237467877974E-15</v>
      </c>
      <c r="BG30" s="581">
        <f t="shared" ca="1" si="8"/>
        <v>47.832799999999999</v>
      </c>
      <c r="BH30" s="579">
        <f ca="1">OFFSET(Sector1!$G$296,0,(COLUMN()-6)/6)</f>
        <v>38.584499999999998</v>
      </c>
      <c r="BI30" s="579">
        <f ca="1">OFFSET(Sector1!$G$310,0,(COLUMN()-7)/6)</f>
        <v>9.216899999999999</v>
      </c>
      <c r="BJ30" s="579">
        <f ca="1">OFFSET(Sector1!$G$317,0,(COLUMN()-8)/6)</f>
        <v>3.1399999999999997E-2</v>
      </c>
      <c r="BK30" s="579">
        <f ca="1">OFFSET(Sector1!$G$318,0,(COLUMN()-9)/6)</f>
        <v>0.46820000000000006</v>
      </c>
      <c r="BL30" s="576">
        <f ca="1">+BG30-BG23+BK30</f>
        <v>-9.999999999921183E-5</v>
      </c>
      <c r="BM30" s="581">
        <f t="shared" ca="1" si="9"/>
        <v>50.227299999999993</v>
      </c>
      <c r="BN30" s="579">
        <f ca="1">OFFSET(Sector1!$G$296,0,(COLUMN()-6)/6)</f>
        <v>40.154199999999996</v>
      </c>
      <c r="BO30" s="579">
        <f ca="1">OFFSET(Sector1!$G$310,0,(COLUMN()-7)/6)</f>
        <v>10.039999999999999</v>
      </c>
      <c r="BP30" s="579">
        <f ca="1">OFFSET(Sector1!$G$317,0,(COLUMN()-8)/6)</f>
        <v>3.3100000000000004E-2</v>
      </c>
      <c r="BQ30" s="579">
        <f ca="1">OFFSET(Sector1!$G$318,0,(COLUMN()-9)/6)</f>
        <v>0.44879999999999998</v>
      </c>
      <c r="BR30" s="576">
        <f ca="1">+BM30-BM23+BQ30</f>
        <v>-5.6621374255882984E-15</v>
      </c>
      <c r="BS30" s="581">
        <f t="shared" ca="1" si="10"/>
        <v>52.247999999999998</v>
      </c>
      <c r="BT30" s="579">
        <f ca="1">OFFSET(Sector1!$G$296,0,(COLUMN()-6)/6)</f>
        <v>40.509599999999999</v>
      </c>
      <c r="BU30" s="579">
        <f ca="1">OFFSET(Sector1!$G$310,0,(COLUMN()-7)/6)</f>
        <v>11.6854</v>
      </c>
      <c r="BV30" s="579">
        <f ca="1">OFFSET(Sector1!$G$317,0,(COLUMN()-8)/6)</f>
        <v>5.2999999999999999E-2</v>
      </c>
      <c r="BW30" s="579">
        <f ca="1">OFFSET(Sector1!$G$318,0,(COLUMN()-9)/6)</f>
        <v>0.41190000000000004</v>
      </c>
      <c r="BX30" s="576">
        <f ca="1">+BS30-BS23+BW30</f>
        <v>-3.8000000000010248E-3</v>
      </c>
      <c r="BY30" s="581">
        <f t="shared" ca="1" si="11"/>
        <v>54.179299999999998</v>
      </c>
      <c r="BZ30" s="579">
        <f ca="1">OFFSET(Sector1!$G$296,0,(COLUMN()-6)/6)</f>
        <v>42.131500000000003</v>
      </c>
      <c r="CA30" s="579">
        <f ca="1">OFFSET(Sector1!$G$310,0,(COLUMN()-7)/6)</f>
        <v>11.9809</v>
      </c>
      <c r="CB30" s="579">
        <f ca="1">OFFSET(Sector1!$G$317,0,(COLUMN()-8)/6)</f>
        <v>6.6900000000000001E-2</v>
      </c>
      <c r="CC30" s="579">
        <f ca="1">OFFSET(Sector1!$G$318,0,(COLUMN()-9)/6)</f>
        <v>0.52529999999999999</v>
      </c>
      <c r="CD30" s="576">
        <f ca="1">+BY30-BY23+CC30</f>
        <v>3.6999999999934863E-3</v>
      </c>
      <c r="CE30" s="581">
        <f t="shared" ca="1" si="12"/>
        <v>56.656100000000009</v>
      </c>
      <c r="CF30" s="579">
        <f ca="1">OFFSET(Sector1!$G$296,0,(COLUMN()-6)/6)</f>
        <v>44.778400000000005</v>
      </c>
      <c r="CG30" s="579">
        <f ca="1">OFFSET(Sector1!$G$310,0,(COLUMN()-7)/6)</f>
        <v>11.869899999999999</v>
      </c>
      <c r="CH30" s="579">
        <f ca="1">OFFSET(Sector1!$G$317,0,(COLUMN()-8)/6)</f>
        <v>7.7999999999999996E-3</v>
      </c>
      <c r="CI30" s="579">
        <f ca="1">OFFSET(Sector1!$G$318,0,(COLUMN()-9)/6)</f>
        <v>0.46220000000000006</v>
      </c>
      <c r="CJ30" s="576">
        <f ca="1">+CE30-CE23+CI30</f>
        <v>4.3298697960381105E-15</v>
      </c>
      <c r="CK30" s="581">
        <f ca="1">+CL30+CM30+CN30</f>
        <v>51.6509</v>
      </c>
      <c r="CL30" s="579">
        <f ca="1">OFFSET(Sector1!$G$296,0,(COLUMN()-6)/6)</f>
        <v>43.255000000000003</v>
      </c>
      <c r="CM30" s="579">
        <f ca="1">OFFSET(Sector1!$G$310,0,(COLUMN()-7)/6)</f>
        <v>8.3765000000000001</v>
      </c>
      <c r="CN30" s="579">
        <f ca="1">OFFSET(Sector1!$G$317,0,(COLUMN()-8)/6)</f>
        <v>1.9399999999999997E-2</v>
      </c>
      <c r="CO30" s="579">
        <f ca="1">OFFSET(Sector1!$G$318,0,(COLUMN()-9)/6)</f>
        <v>0.48059999999999997</v>
      </c>
      <c r="CP30" s="576">
        <f ca="1">+CK30-CK23+CO30</f>
        <v>-2.6090241078691179E-15</v>
      </c>
      <c r="CQ30" s="581">
        <f ca="1">+CR30+CS30+CT30</f>
        <v>55.217199999999998</v>
      </c>
      <c r="CR30" s="579">
        <f ca="1">OFFSET(Sector1!$G$296,0,(COLUMN()-6)/6)</f>
        <v>45.653599999999997</v>
      </c>
      <c r="CS30" s="579">
        <f ca="1">OFFSET(Sector1!$G$310,0,(COLUMN()-7)/6)</f>
        <v>9.5425000000000004</v>
      </c>
      <c r="CT30" s="579">
        <f ca="1">OFFSET(Sector1!$G$317,0,(COLUMN()-8)/6)</f>
        <v>2.1100000000000001E-2</v>
      </c>
      <c r="CU30" s="579">
        <f ca="1">OFFSET(Sector1!$G$318,0,(COLUMN()-9)/6)</f>
        <v>0.46829999999999999</v>
      </c>
      <c r="CV30" s="576">
        <f ca="1">+CQ30-CQ23+CU30</f>
        <v>3.6999999999956512E-3</v>
      </c>
      <c r="CW30" s="581">
        <f ca="1">+CX30+CY30+CZ30</f>
        <v>59.277399999999993</v>
      </c>
      <c r="CX30" s="579">
        <f ca="1">OFFSET(Sector1!$G$296,0,(COLUMN()-6)/6)</f>
        <v>48.298999999999999</v>
      </c>
      <c r="CY30" s="579">
        <f ca="1">OFFSET(Sector1!$G$310,0,(COLUMN()-7)/6)</f>
        <v>10.9603</v>
      </c>
      <c r="CZ30" s="579">
        <f ca="1">OFFSET(Sector1!$G$317,0,(COLUMN()-8)/6)</f>
        <v>1.8100000000000002E-2</v>
      </c>
      <c r="DA30" s="579">
        <f ca="1">OFFSET(Sector1!$G$318,0,(COLUMN()-9)/6)</f>
        <v>0.45249999999999996</v>
      </c>
      <c r="DB30" s="576">
        <f ca="1">+CW30-CW23+DA30</f>
        <v>-7.716050021144838E-15</v>
      </c>
      <c r="DC30" s="581">
        <f ca="1">+DD30+DE30+DF30</f>
        <v>62.0398</v>
      </c>
      <c r="DD30" s="579">
        <f ca="1">OFFSET(Sector1!$G$296,0,(COLUMN()-6)/6)</f>
        <v>50.078400000000002</v>
      </c>
      <c r="DE30" s="579">
        <f ca="1">OFFSET(Sector1!$G$310,0,(COLUMN()-7)/6)</f>
        <v>11.9415</v>
      </c>
      <c r="DF30" s="579">
        <f ca="1">OFFSET(Sector1!$G$317,0,(COLUMN()-8)/6)</f>
        <v>1.9899999999999998E-2</v>
      </c>
      <c r="DG30" s="579">
        <f ca="1">OFFSET(Sector1!$G$318,0,(COLUMN()-9)/6)</f>
        <v>0.49469999999999992</v>
      </c>
      <c r="DH30" s="576">
        <f ca="1">+DC30-DC23+DG30</f>
        <v>2.1199999999998553E-2</v>
      </c>
      <c r="DI30" s="581">
        <f ca="1">+DJ30+DK30+DL30</f>
        <v>65.151300000000006</v>
      </c>
      <c r="DJ30" s="579">
        <f ca="1">OFFSET(Sector1!$G$296,0,(COLUMN()-6)/6)</f>
        <v>52.613199999999999</v>
      </c>
      <c r="DK30" s="579">
        <f ca="1">OFFSET(Sector1!$G$310,0,(COLUMN()-7)/6)</f>
        <v>12.5015</v>
      </c>
      <c r="DL30" s="579">
        <f ca="1">OFFSET(Sector1!$G$317,0,(COLUMN()-8)/6)</f>
        <v>3.6600000000000001E-2</v>
      </c>
      <c r="DM30" s="579">
        <f ca="1">OFFSET(Sector1!$G$318,0,(COLUMN()-9)/6)</f>
        <v>0.52090000000000003</v>
      </c>
      <c r="DN30" s="576">
        <f ca="1">+DI30-DI23+DM30</f>
        <v>-9.9999999999883515E-3</v>
      </c>
      <c r="DO30" s="581">
        <f ca="1">+DP30+DQ30+DR30</f>
        <v>66.557900000000004</v>
      </c>
      <c r="DP30" s="579">
        <f ca="1">OFFSET(Sector1!$G$296,0,(COLUMN()-6)/6)</f>
        <v>53.6203</v>
      </c>
      <c r="DQ30" s="579">
        <f ca="1">OFFSET(Sector1!$G$310,0,(COLUMN()-7)/6)</f>
        <v>12.892700000000001</v>
      </c>
      <c r="DR30" s="579">
        <f ca="1">OFFSET(Sector1!$G$317,0,(COLUMN()-8)/6)</f>
        <v>4.4899999999999995E-2</v>
      </c>
      <c r="DS30" s="579">
        <f ca="1">OFFSET(Sector1!$G$318,0,(COLUMN()-9)/6)</f>
        <v>0.59809999999999985</v>
      </c>
      <c r="DT30" s="576">
        <f ca="1">+DO30-DO23+DS30</f>
        <v>4.7800000000006948E-2</v>
      </c>
      <c r="DU30" s="581">
        <f ca="1">+DV30+DW30+DX30</f>
        <v>67.492800000000003</v>
      </c>
      <c r="DV30" s="579">
        <f ca="1">OFFSET(Sector1!$G$296,0,(COLUMN()-6)/6)</f>
        <v>53.569800000000001</v>
      </c>
      <c r="DW30" s="579">
        <f ca="1">OFFSET(Sector1!$G$310,0,(COLUMN()-7)/6)</f>
        <v>13.8781</v>
      </c>
      <c r="DX30" s="579">
        <f ca="1">OFFSET(Sector1!$G$317,0,(COLUMN()-8)/6)</f>
        <v>4.4899999999999995E-2</v>
      </c>
      <c r="DY30" s="579">
        <f ca="1">OFFSET(Sector1!$G$318,0,(COLUMN()-9)/6)</f>
        <v>0.53600000000000003</v>
      </c>
      <c r="DZ30" s="576">
        <f ca="1">+DU30-DU23+DY30</f>
        <v>-9.8999999999889177E-3</v>
      </c>
      <c r="EA30" s="581">
        <f ca="1">+EB30+EC30+ED30</f>
        <v>68.112099999999998</v>
      </c>
      <c r="EB30" s="579">
        <f ca="1">OFFSET(Sector1!$G$296,0,(COLUMN()-6)/6)</f>
        <v>53.116099999999996</v>
      </c>
      <c r="EC30" s="579">
        <f ca="1">OFFSET(Sector1!$G$310,0,(COLUMN()-7)/6)</f>
        <v>14.945499999999999</v>
      </c>
      <c r="ED30" s="579">
        <f ca="1">OFFSET(Sector1!$G$317,0,(COLUMN()-8)/6)</f>
        <v>5.0500000000000003E-2</v>
      </c>
      <c r="EE30" s="579">
        <f ca="1">OFFSET(Sector1!$G$318,0,(COLUMN()-9)/6)</f>
        <v>0.54740000000000011</v>
      </c>
      <c r="EF30" s="576">
        <f ca="1">+EA30-EA23+EE30</f>
        <v>-9.3900000000000983E-2</v>
      </c>
      <c r="EG30" s="581">
        <f ca="1">+EH30+EI30+EJ30</f>
        <v>72.851738149999989</v>
      </c>
      <c r="EH30" s="579">
        <f ca="1">OFFSET(Sector1!$G$296,0,(COLUMN()-6)/6)</f>
        <v>54.922047399999997</v>
      </c>
      <c r="EI30" s="579">
        <f ca="1">OFFSET(Sector1!$G$310,0,(COLUMN()-7)/6)</f>
        <v>17.882290749999996</v>
      </c>
      <c r="EJ30" s="579">
        <f ca="1">OFFSET(Sector1!$G$317,0,(COLUMN()-8)/6)</f>
        <v>4.7399999999999998E-2</v>
      </c>
      <c r="EK30" s="579">
        <f ca="1">OFFSET(Sector1!$G$318,0,(COLUMN()-9)/6)</f>
        <v>0.65496410000000005</v>
      </c>
      <c r="EL30" s="576">
        <f ca="1">+EG30-EG23+EK30</f>
        <v>-0.26999775000000248</v>
      </c>
      <c r="EM30" s="581">
        <f ca="1">+EN30+EO30+EP30</f>
        <v>73.62329782662998</v>
      </c>
      <c r="EN30" s="579">
        <f ca="1">OFFSET(Sector1!$G$296,0,(COLUMN()-6)/6)</f>
        <v>56.498310160379994</v>
      </c>
      <c r="EO30" s="579">
        <f ca="1">OFFSET(Sector1!$G$310,0,(COLUMN()-7)/6)</f>
        <v>17.077587666249997</v>
      </c>
      <c r="EP30" s="579">
        <f ca="1">OFFSET(Sector1!$G$317,0,(COLUMN()-8)/6)</f>
        <v>4.7399999999999998E-2</v>
      </c>
      <c r="EQ30" s="579">
        <f ca="1">OFFSET(Sector1!$G$318,0,(COLUMN()-9)/6)</f>
        <v>0.60145353303000004</v>
      </c>
      <c r="ER30" s="576">
        <f ca="1">+EM30-EM23+EQ30</f>
        <v>3.6637359812630166E-15</v>
      </c>
    </row>
    <row r="31" spans="1:148">
      <c r="A31" s="567"/>
      <c r="B31" s="568" t="s">
        <v>2133</v>
      </c>
      <c r="C31" s="4135" t="s">
        <v>1438</v>
      </c>
      <c r="D31" s="4135"/>
      <c r="E31" s="581">
        <f ca="1">+F31+G31+H31+I31</f>
        <v>41.467800000000004</v>
      </c>
      <c r="F31" s="579">
        <f ca="1">OFFSET(Sector1!$G$477,0,(COLUMN()-6)/6)</f>
        <v>41.467800000000004</v>
      </c>
      <c r="G31" s="578"/>
      <c r="H31" s="578"/>
      <c r="I31" s="579"/>
      <c r="J31" s="610">
        <f ca="1">-E31+E24</f>
        <v>-0.17270000000000607</v>
      </c>
      <c r="K31" s="581">
        <f t="shared" ca="1" si="0"/>
        <v>42.683599999999998</v>
      </c>
      <c r="L31" s="579">
        <f ca="1">OFFSET(Sector1!$G$477,0,(COLUMN()-6)/6)</f>
        <v>42.683599999999998</v>
      </c>
      <c r="M31" s="578"/>
      <c r="N31" s="578"/>
      <c r="O31" s="579"/>
      <c r="P31" s="610">
        <f ca="1">-K31+K24+O24</f>
        <v>0</v>
      </c>
      <c r="Q31" s="581">
        <f t="shared" ca="1" si="1"/>
        <v>44.672599999999996</v>
      </c>
      <c r="R31" s="579">
        <f ca="1">OFFSET(Sector1!$G$477,0,(COLUMN()-6)/6)</f>
        <v>44.672599999999996</v>
      </c>
      <c r="S31" s="578"/>
      <c r="T31" s="578"/>
      <c r="U31" s="579"/>
      <c r="V31" s="610">
        <f ca="1">-Q31+Q24+U24</f>
        <v>0</v>
      </c>
      <c r="W31" s="581">
        <f t="shared" ca="1" si="2"/>
        <v>46.648800000000001</v>
      </c>
      <c r="X31" s="579">
        <f ca="1">OFFSET(Sector1!$G$477,0,(COLUMN()-6)/6)</f>
        <v>46.648800000000001</v>
      </c>
      <c r="Y31" s="578"/>
      <c r="Z31" s="578"/>
      <c r="AA31" s="579"/>
      <c r="AB31" s="610">
        <f ca="1">-W31+W24+AA24</f>
        <v>-5.3290705182007514E-15</v>
      </c>
      <c r="AC31" s="581">
        <f t="shared" ca="1" si="3"/>
        <v>48.338099999999997</v>
      </c>
      <c r="AD31" s="579">
        <f ca="1">OFFSET(Sector1!$G$477,0,(COLUMN()-6)/6)</f>
        <v>48.338099999999997</v>
      </c>
      <c r="AE31" s="578"/>
      <c r="AF31" s="578"/>
      <c r="AG31" s="579"/>
      <c r="AH31" s="610">
        <f ca="1">-AC31+AC24+AG24</f>
        <v>-3.4416913763379853E-15</v>
      </c>
      <c r="AI31" s="581">
        <f t="shared" ca="1" si="4"/>
        <v>49.790900000000001</v>
      </c>
      <c r="AJ31" s="579">
        <f ca="1">OFFSET(Sector1!$G$477,0,(COLUMN()-6)/6)</f>
        <v>49.790900000000001</v>
      </c>
      <c r="AK31" s="578"/>
      <c r="AL31" s="578"/>
      <c r="AM31" s="579"/>
      <c r="AN31" s="610">
        <f ca="1">-AI31+AI24+AM24</f>
        <v>0</v>
      </c>
      <c r="AO31" s="581">
        <f t="shared" ca="1" si="5"/>
        <v>52.274900000000002</v>
      </c>
      <c r="AP31" s="579">
        <f ca="1">OFFSET(Sector1!$G$477,0,(COLUMN()-6)/6)</f>
        <v>52.274900000000002</v>
      </c>
      <c r="AQ31" s="578"/>
      <c r="AR31" s="578"/>
      <c r="AS31" s="579"/>
      <c r="AT31" s="610">
        <f ca="1">-AO31+AO24+AS24</f>
        <v>-2.55351295663786E-15</v>
      </c>
      <c r="AU31" s="581">
        <f t="shared" ca="1" si="6"/>
        <v>55.089700000000001</v>
      </c>
      <c r="AV31" s="579">
        <f ca="1">OFFSET(Sector1!$G$477,0,(COLUMN()-6)/6)</f>
        <v>55.089700000000001</v>
      </c>
      <c r="AW31" s="578"/>
      <c r="AX31" s="578"/>
      <c r="AY31" s="579"/>
      <c r="AZ31" s="610">
        <f ca="1">-AU31+AU24+AY24</f>
        <v>-7.8825834748386114E-15</v>
      </c>
      <c r="BA31" s="581">
        <f t="shared" ca="1" si="7"/>
        <v>56.517800000000001</v>
      </c>
      <c r="BB31" s="579">
        <f ca="1">OFFSET(Sector1!$G$477,0,(COLUMN()-6)/6)</f>
        <v>56.517800000000001</v>
      </c>
      <c r="BC31" s="578"/>
      <c r="BD31" s="578"/>
      <c r="BE31" s="579"/>
      <c r="BF31" s="610">
        <f ca="1">-BA31+BA24+BE24</f>
        <v>-1.3322676295501878E-15</v>
      </c>
      <c r="BG31" s="581">
        <f t="shared" ca="1" si="8"/>
        <v>58.253099999999996</v>
      </c>
      <c r="BH31" s="579">
        <f ca="1">OFFSET(Sector1!$G$477,0,(COLUMN()-6)/6)</f>
        <v>58.253099999999996</v>
      </c>
      <c r="BI31" s="578"/>
      <c r="BJ31" s="578"/>
      <c r="BK31" s="579"/>
      <c r="BL31" s="610">
        <f ca="1">-BG31+BG24+BK24</f>
        <v>-8.8817841970012523E-16</v>
      </c>
      <c r="BM31" s="581">
        <f t="shared" ca="1" si="9"/>
        <v>59.6661</v>
      </c>
      <c r="BN31" s="579">
        <f ca="1">OFFSET(Sector1!$G$477,0,(COLUMN()-6)/6)</f>
        <v>59.6661</v>
      </c>
      <c r="BO31" s="578"/>
      <c r="BP31" s="578"/>
      <c r="BQ31" s="579"/>
      <c r="BR31" s="610">
        <f ca="1">-BM31+BM24+BQ24</f>
        <v>3.219646771412954E-15</v>
      </c>
      <c r="BS31" s="581">
        <f t="shared" ca="1" si="10"/>
        <v>62.370899999999999</v>
      </c>
      <c r="BT31" s="579">
        <f ca="1">OFFSET(Sector1!$G$477,0,(COLUMN()-6)/6)</f>
        <v>62.370899999999999</v>
      </c>
      <c r="BU31" s="578"/>
      <c r="BV31" s="578"/>
      <c r="BW31" s="579"/>
      <c r="BX31" s="610">
        <f ca="1">-BS31+BS24+BW24</f>
        <v>5.773159728050814E-15</v>
      </c>
      <c r="BY31" s="581">
        <f t="shared" ca="1" si="11"/>
        <v>66.6661</v>
      </c>
      <c r="BZ31" s="579">
        <f ca="1">OFFSET(Sector1!$G$477,0,(COLUMN()-6)/6)</f>
        <v>66.6661</v>
      </c>
      <c r="CA31" s="578"/>
      <c r="CB31" s="578"/>
      <c r="CC31" s="579"/>
      <c r="CD31" s="610">
        <f ca="1">-BY31+BY24+CC24</f>
        <v>0</v>
      </c>
      <c r="CE31" s="581">
        <f t="shared" ca="1" si="12"/>
        <v>70.238199999999992</v>
      </c>
      <c r="CF31" s="579">
        <f ca="1">OFFSET(Sector1!$G$477,0,(COLUMN()-6)/6)</f>
        <v>70.238199999999992</v>
      </c>
      <c r="CG31" s="578"/>
      <c r="CH31" s="578"/>
      <c r="CI31" s="579"/>
      <c r="CJ31" s="610">
        <f ca="1">-CE31+CE24+CI24</f>
        <v>1.4876988529977098E-14</v>
      </c>
      <c r="CK31" s="581">
        <f ca="1">+CL31+CM31+CN31</f>
        <v>72.279800000000009</v>
      </c>
      <c r="CL31" s="579">
        <f ca="1">OFFSET(Sector1!$G$477,0,(COLUMN()-6)/6)</f>
        <v>72.279800000000009</v>
      </c>
      <c r="CM31" s="578"/>
      <c r="CN31" s="578"/>
      <c r="CO31" s="579"/>
      <c r="CP31" s="610">
        <f ca="1">-CK31+CK24+CO24</f>
        <v>-2.6645352591003757E-15</v>
      </c>
      <c r="CQ31" s="581">
        <f ca="1">+CR31+CS31+CT31</f>
        <v>73.893299999999996</v>
      </c>
      <c r="CR31" s="579">
        <f ca="1">OFFSET(Sector1!$G$477,0,(COLUMN()-6)/6)</f>
        <v>73.893299999999996</v>
      </c>
      <c r="CS31" s="578"/>
      <c r="CT31" s="578"/>
      <c r="CU31" s="579"/>
      <c r="CV31" s="610">
        <f ca="1">-CQ31+CQ24+CU24</f>
        <v>1.1324274851176597E-14</v>
      </c>
      <c r="CW31" s="581">
        <f ca="1">+CX31+CY31+CZ31</f>
        <v>76.480800000000002</v>
      </c>
      <c r="CX31" s="579">
        <f ca="1">OFFSET(Sector1!$G$477,0,(COLUMN()-6)/6)</f>
        <v>76.480800000000002</v>
      </c>
      <c r="CY31" s="578"/>
      <c r="CZ31" s="578"/>
      <c r="DA31" s="579"/>
      <c r="DB31" s="610">
        <f ca="1">-CW31+CW24+DA24</f>
        <v>4.2188474935755949E-15</v>
      </c>
      <c r="DC31" s="581">
        <f ca="1">+DD31+DE31+DF31</f>
        <v>79.7042</v>
      </c>
      <c r="DD31" s="579">
        <f ca="1">OFFSET(Sector1!$G$477,0,(COLUMN()-6)/6)</f>
        <v>79.7042</v>
      </c>
      <c r="DE31" s="578"/>
      <c r="DF31" s="578"/>
      <c r="DG31" s="579"/>
      <c r="DH31" s="610">
        <f ca="1">-DC31+DC24+DG24</f>
        <v>9.9999999995548094E-5</v>
      </c>
      <c r="DI31" s="581">
        <f ca="1">+DJ31+DK31+DL31</f>
        <v>81.562899999999999</v>
      </c>
      <c r="DJ31" s="579">
        <f ca="1">OFFSET(Sector1!$G$477,0,(COLUMN()-6)/6)</f>
        <v>81.562899999999999</v>
      </c>
      <c r="DK31" s="578"/>
      <c r="DL31" s="578"/>
      <c r="DM31" s="579"/>
      <c r="DN31" s="610">
        <f ca="1">-DI31+DI24+DM24</f>
        <v>1.0000000000220943E-4</v>
      </c>
      <c r="DO31" s="581">
        <f ca="1">+DP31+DQ31+DR31</f>
        <v>82.261800000000008</v>
      </c>
      <c r="DP31" s="579">
        <f ca="1">OFFSET(Sector1!$G$477,0,(COLUMN()-6)/6)</f>
        <v>82.261800000000008</v>
      </c>
      <c r="DQ31" s="578"/>
      <c r="DR31" s="578"/>
      <c r="DS31" s="579"/>
      <c r="DT31" s="610">
        <f ca="1">-DO31+DO24+DS24</f>
        <v>-3.9968028886505635E-15</v>
      </c>
      <c r="DU31" s="581">
        <f ca="1">+DV31+DW31+DX31</f>
        <v>83.798600000000008</v>
      </c>
      <c r="DV31" s="579">
        <f ca="1">OFFSET(Sector1!$G$477,0,(COLUMN()-6)/6)</f>
        <v>83.798600000000008</v>
      </c>
      <c r="DW31" s="578"/>
      <c r="DX31" s="578"/>
      <c r="DY31" s="579"/>
      <c r="DZ31" s="610">
        <f ca="1">-DU31+DU24+DY24</f>
        <v>2.9999999999941185E-3</v>
      </c>
      <c r="EA31" s="581">
        <f ca="1">+EB31+EC31+ED31</f>
        <v>83.183800000000005</v>
      </c>
      <c r="EB31" s="579">
        <f ca="1">OFFSET(Sector1!$G$477,0,(COLUMN()-6)/6)</f>
        <v>83.183800000000005</v>
      </c>
      <c r="EC31" s="578"/>
      <c r="ED31" s="578"/>
      <c r="EE31" s="579"/>
      <c r="EF31" s="610">
        <f ca="1">-EA31+EA24+EE24</f>
        <v>8.649999999999558E-2</v>
      </c>
      <c r="EG31" s="581">
        <f ca="1">+EH31+EI31+EJ31</f>
        <v>85.34728471999999</v>
      </c>
      <c r="EH31" s="579">
        <f ca="1">OFFSET(Sector1!$G$477,0,(COLUMN()-6)/6)</f>
        <v>85.34728471999999</v>
      </c>
      <c r="EI31" s="578"/>
      <c r="EJ31" s="578"/>
      <c r="EK31" s="579"/>
      <c r="EL31" s="610">
        <f ca="1">-EG31+EG24+EK24</f>
        <v>7.9936057773011271E-15</v>
      </c>
      <c r="EM31" s="581">
        <f ca="1">+EN31+EO31+EP31</f>
        <v>87.802911947287981</v>
      </c>
      <c r="EN31" s="579">
        <f ca="1">OFFSET(Sector1!$G$477,0,(COLUMN()-6)/6)</f>
        <v>87.802911947287981</v>
      </c>
      <c r="EO31" s="578"/>
      <c r="EP31" s="578"/>
      <c r="EQ31" s="579"/>
      <c r="ER31" s="610">
        <f ca="1">-EM31+EM24+EQ24</f>
        <v>2.1094237467877974E-14</v>
      </c>
    </row>
    <row r="32" spans="1:148">
      <c r="A32" s="567"/>
      <c r="B32" s="568" t="s">
        <v>2133</v>
      </c>
      <c r="C32" s="4135" t="s">
        <v>1439</v>
      </c>
      <c r="D32" s="4135"/>
      <c r="E32" s="581">
        <f ca="1">+F32+G32+H32-I32</f>
        <v>39.644099999999995</v>
      </c>
      <c r="F32" s="579">
        <f ca="1">OFFSET(Sector1!$G$518,0,(COLUMN()-6)/6)</f>
        <v>0.1024</v>
      </c>
      <c r="G32" s="579">
        <f ca="1">OFFSET(Sector1!$G$519,0,(COLUMN()-7)/6)</f>
        <v>6.7646999999999995</v>
      </c>
      <c r="H32" s="579">
        <f ca="1">OFFSET(Sector1!$G$520,0,(COLUMN()-8)/6)</f>
        <v>32.936099999999996</v>
      </c>
      <c r="I32" s="579">
        <f ca="1">OFFSET(Sector1!$G$521,0,(COLUMN()-9)/6)</f>
        <v>0.15909999999999996</v>
      </c>
      <c r="J32" s="610">
        <f ca="1">-E32+E27</f>
        <v>2.5000000000048317E-3</v>
      </c>
      <c r="K32" s="581">
        <f ca="1">+L32+M32+N32-O32</f>
        <v>40.591600000000007</v>
      </c>
      <c r="L32" s="579">
        <f ca="1">OFFSET(Sector1!$G$518,0,(COLUMN()-6)/6)</f>
        <v>0.1056</v>
      </c>
      <c r="M32" s="579">
        <f ca="1">OFFSET(Sector1!$G$519,0,(COLUMN()-7)/6)</f>
        <v>6.7424999999999997</v>
      </c>
      <c r="N32" s="579">
        <f ca="1">OFFSET(Sector1!$G$520,0,(COLUMN()-8)/6)</f>
        <v>33.900300000000001</v>
      </c>
      <c r="O32" s="579">
        <f ca="1">OFFSET(Sector1!$G$521,0,(COLUMN()-9)/6)</f>
        <v>0.15680000000000002</v>
      </c>
      <c r="P32" s="610">
        <f ca="1">-K32+K27</f>
        <v>0</v>
      </c>
      <c r="Q32" s="581">
        <f ca="1">+R32+S32+T32-U32</f>
        <v>42.070700000000002</v>
      </c>
      <c r="R32" s="579">
        <f ca="1">OFFSET(Sector1!$G$518,0,(COLUMN()-6)/6)</f>
        <v>0.1067</v>
      </c>
      <c r="S32" s="579">
        <f ca="1">OFFSET(Sector1!$G$519,0,(COLUMN()-7)/6)</f>
        <v>7.1728000000000005</v>
      </c>
      <c r="T32" s="579">
        <f ca="1">OFFSET(Sector1!$G$520,0,(COLUMN()-8)/6)</f>
        <v>34.947400000000002</v>
      </c>
      <c r="U32" s="579">
        <f ca="1">OFFSET(Sector1!$G$521,0,(COLUMN()-9)/6)</f>
        <v>0.15619999999999998</v>
      </c>
      <c r="V32" s="610">
        <f ca="1">-Q32+Q27</f>
        <v>0</v>
      </c>
      <c r="W32" s="581">
        <f ca="1">+X32+Y32+Z32-AA32</f>
        <v>43.272800000000004</v>
      </c>
      <c r="X32" s="579">
        <f ca="1">OFFSET(Sector1!$G$518,0,(COLUMN()-6)/6)</f>
        <v>0.108</v>
      </c>
      <c r="Y32" s="579">
        <f ca="1">OFFSET(Sector1!$G$519,0,(COLUMN()-7)/6)</f>
        <v>7.6583999999999994</v>
      </c>
      <c r="Z32" s="579">
        <f ca="1">OFFSET(Sector1!$G$520,0,(COLUMN()-8)/6)</f>
        <v>35.640800000000006</v>
      </c>
      <c r="AA32" s="579">
        <f ca="1">OFFSET(Sector1!$G$521,0,(COLUMN()-9)/6)</f>
        <v>0.13439999999999996</v>
      </c>
      <c r="AB32" s="610">
        <f ca="1">-W32+W27</f>
        <v>0</v>
      </c>
      <c r="AC32" s="581">
        <f ca="1">+AD32+AE32+AF32-AG32</f>
        <v>44.191400000000002</v>
      </c>
      <c r="AD32" s="579">
        <f ca="1">OFFSET(Sector1!$G$518,0,(COLUMN()-6)/6)</f>
        <v>0.1135</v>
      </c>
      <c r="AE32" s="579">
        <f ca="1">OFFSET(Sector1!$G$519,0,(COLUMN()-7)/6)</f>
        <v>7.9091000000000005</v>
      </c>
      <c r="AF32" s="579">
        <f ca="1">OFFSET(Sector1!$G$520,0,(COLUMN()-8)/6)</f>
        <v>36.285199999999996</v>
      </c>
      <c r="AG32" s="579">
        <f ca="1">OFFSET(Sector1!$G$521,0,(COLUMN()-9)/6)</f>
        <v>0.11639999999999998</v>
      </c>
      <c r="AH32" s="610">
        <f ca="1">-AC32+AC27</f>
        <v>0</v>
      </c>
      <c r="AI32" s="581">
        <f ca="1">+AJ32+AK32+AL32-AM32</f>
        <v>45.476299999999995</v>
      </c>
      <c r="AJ32" s="579">
        <f ca="1">OFFSET(Sector1!$G$518,0,(COLUMN()-6)/6)</f>
        <v>0.11940000000000001</v>
      </c>
      <c r="AK32" s="579">
        <f ca="1">OFFSET(Sector1!$G$519,0,(COLUMN()-7)/6)</f>
        <v>8.1843000000000004</v>
      </c>
      <c r="AL32" s="579">
        <f ca="1">OFFSET(Sector1!$G$520,0,(COLUMN()-8)/6)</f>
        <v>37.241599999999998</v>
      </c>
      <c r="AM32" s="579">
        <f ca="1">OFFSET(Sector1!$G$521,0,(COLUMN()-9)/6)</f>
        <v>6.9000000000000006E-2</v>
      </c>
      <c r="AN32" s="610">
        <f ca="1">-AI32+AI27</f>
        <v>0</v>
      </c>
      <c r="AO32" s="581">
        <f ca="1">+AP32+AQ32+AR32-AS32</f>
        <v>47.719899999999996</v>
      </c>
      <c r="AP32" s="579">
        <f ca="1">OFFSET(Sector1!$G$518,0,(COLUMN()-6)/6)</f>
        <v>0.12520000000000001</v>
      </c>
      <c r="AQ32" s="579">
        <f ca="1">OFFSET(Sector1!$G$519,0,(COLUMN()-7)/6)</f>
        <v>8.7964000000000002</v>
      </c>
      <c r="AR32" s="579">
        <f ca="1">OFFSET(Sector1!$G$520,0,(COLUMN()-8)/6)</f>
        <v>38.791899999999998</v>
      </c>
      <c r="AS32" s="579">
        <f ca="1">OFFSET(Sector1!$G$521,0,(COLUMN()-9)/6)</f>
        <v>-6.4000000000000341E-3</v>
      </c>
      <c r="AT32" s="610">
        <f ca="1">-AO32+AO27</f>
        <v>0</v>
      </c>
      <c r="AU32" s="581">
        <f ca="1">+AV32+AW32+AX32-AY32</f>
        <v>50.730099999999993</v>
      </c>
      <c r="AV32" s="579">
        <f ca="1">OFFSET(Sector1!$G$518,0,(COLUMN()-6)/6)</f>
        <v>0.13219999999999998</v>
      </c>
      <c r="AW32" s="579">
        <f ca="1">OFFSET(Sector1!$G$519,0,(COLUMN()-7)/6)</f>
        <v>9.3657000000000004</v>
      </c>
      <c r="AX32" s="579">
        <f ca="1">OFFSET(Sector1!$G$520,0,(COLUMN()-8)/6)</f>
        <v>41.471599999999995</v>
      </c>
      <c r="AY32" s="579">
        <f ca="1">OFFSET(Sector1!$G$521,0,(COLUMN()-9)/6)</f>
        <v>0.23939999999999997</v>
      </c>
      <c r="AZ32" s="610">
        <f ca="1">-AU32+AU27</f>
        <v>0</v>
      </c>
      <c r="BA32" s="581">
        <f ca="1">+BB32+BC32+BD32-BE32</f>
        <v>52.842700000000001</v>
      </c>
      <c r="BB32" s="579">
        <f ca="1">OFFSET(Sector1!$G$518,0,(COLUMN()-6)/6)</f>
        <v>0.13200000000000001</v>
      </c>
      <c r="BC32" s="579">
        <f ca="1">OFFSET(Sector1!$G$519,0,(COLUMN()-7)/6)</f>
        <v>9.5960000000000001</v>
      </c>
      <c r="BD32" s="579">
        <f ca="1">OFFSET(Sector1!$G$520,0,(COLUMN()-8)/6)</f>
        <v>43.290599999999998</v>
      </c>
      <c r="BE32" s="579">
        <f ca="1">OFFSET(Sector1!$G$521,0,(COLUMN()-9)/6)</f>
        <v>0.17590000000000003</v>
      </c>
      <c r="BF32" s="610">
        <f ca="1">-BA32+BA27</f>
        <v>0</v>
      </c>
      <c r="BG32" s="581">
        <f ca="1">+BH32+BI32+BJ32-BK32</f>
        <v>54.690600000000003</v>
      </c>
      <c r="BH32" s="579">
        <f ca="1">OFFSET(Sector1!$G$518,0,(COLUMN()-6)/6)</f>
        <v>0.1361</v>
      </c>
      <c r="BI32" s="579">
        <f ca="1">OFFSET(Sector1!$G$519,0,(COLUMN()-7)/6)</f>
        <v>9.6895000000000007</v>
      </c>
      <c r="BJ32" s="579">
        <f ca="1">OFFSET(Sector1!$G$520,0,(COLUMN()-8)/6)</f>
        <v>45.0214</v>
      </c>
      <c r="BK32" s="579">
        <f ca="1">OFFSET(Sector1!$G$521,0,(COLUMN()-9)/6)</f>
        <v>0.15639999999999998</v>
      </c>
      <c r="BL32" s="610">
        <f ca="1">-BG32+BG27</f>
        <v>0</v>
      </c>
      <c r="BM32" s="581">
        <f ca="1">+BN32+BO32+BP32-BQ32</f>
        <v>56.387999999999998</v>
      </c>
      <c r="BN32" s="579">
        <f ca="1">OFFSET(Sector1!$G$518,0,(COLUMN()-6)/6)</f>
        <v>0.14630000000000001</v>
      </c>
      <c r="BO32" s="579">
        <f ca="1">OFFSET(Sector1!$G$519,0,(COLUMN()-7)/6)</f>
        <v>9.7207000000000008</v>
      </c>
      <c r="BP32" s="579">
        <f ca="1">OFFSET(Sector1!$G$520,0,(COLUMN()-8)/6)</f>
        <v>46.677500000000002</v>
      </c>
      <c r="BQ32" s="579">
        <f ca="1">OFFSET(Sector1!$G$521,0,(COLUMN()-9)/6)</f>
        <v>0.15649999999999994</v>
      </c>
      <c r="BR32" s="610">
        <f ca="1">-BM32+BM27</f>
        <v>0</v>
      </c>
      <c r="BS32" s="581">
        <f ca="1">+BT32+BU32+BV32-BW32</f>
        <v>58.363599999999998</v>
      </c>
      <c r="BT32" s="579">
        <f ca="1">OFFSET(Sector1!$G$518,0,(COLUMN()-6)/6)</f>
        <v>0.15609999999999999</v>
      </c>
      <c r="BU32" s="579">
        <f ca="1">OFFSET(Sector1!$G$519,0,(COLUMN()-7)/6)</f>
        <v>10.0679</v>
      </c>
      <c r="BV32" s="579">
        <f ca="1">OFFSET(Sector1!$G$520,0,(COLUMN()-8)/6)</f>
        <v>48.273800000000001</v>
      </c>
      <c r="BW32" s="579">
        <f ca="1">OFFSET(Sector1!$G$521,0,(COLUMN()-9)/6)</f>
        <v>0.13420000000000004</v>
      </c>
      <c r="BX32" s="610">
        <f ca="1">-BS32+BS27</f>
        <v>0</v>
      </c>
      <c r="BY32" s="581">
        <f ca="1">+BZ32+CA32+CB32-CC32</f>
        <v>61.0137</v>
      </c>
      <c r="BZ32" s="579">
        <f ca="1">OFFSET(Sector1!$G$518,0,(COLUMN()-6)/6)</f>
        <v>0.16059999999999999</v>
      </c>
      <c r="CA32" s="579">
        <f ca="1">OFFSET(Sector1!$G$519,0,(COLUMN()-7)/6)</f>
        <v>10.177700000000002</v>
      </c>
      <c r="CB32" s="579">
        <f ca="1">OFFSET(Sector1!$G$520,0,(COLUMN()-8)/6)</f>
        <v>50.788599999999995</v>
      </c>
      <c r="CC32" s="579">
        <f ca="1">OFFSET(Sector1!$G$521,0,(COLUMN()-9)/6)</f>
        <v>0.11320000000000005</v>
      </c>
      <c r="CD32" s="610">
        <f ca="1">-BY32+BY27</f>
        <v>0</v>
      </c>
      <c r="CE32" s="581">
        <f ca="1">+CF32+CG32+CH32-CI32</f>
        <v>64.282700000000006</v>
      </c>
      <c r="CF32" s="579">
        <f ca="1">OFFSET(Sector1!$G$518,0,(COLUMN()-6)/6)</f>
        <v>0.1709</v>
      </c>
      <c r="CG32" s="579">
        <f ca="1">OFFSET(Sector1!$G$519,0,(COLUMN()-7)/6)</f>
        <v>10.2012</v>
      </c>
      <c r="CH32" s="579">
        <f ca="1">OFFSET(Sector1!$G$520,0,(COLUMN()-8)/6)</f>
        <v>54.066300000000005</v>
      </c>
      <c r="CI32" s="579">
        <f ca="1">OFFSET(Sector1!$G$521,0,(COLUMN()-9)/6)</f>
        <v>0.15570000000000003</v>
      </c>
      <c r="CJ32" s="610">
        <f ca="1">-CE32+CE27</f>
        <v>0</v>
      </c>
      <c r="CK32" s="581">
        <f ca="1">+CL32+CM32+CN32-CO32</f>
        <v>68.967199999999991</v>
      </c>
      <c r="CL32" s="579">
        <f ca="1">OFFSET(Sector1!$G$518,0,(COLUMN()-6)/6)</f>
        <v>0.13469999999999999</v>
      </c>
      <c r="CM32" s="579">
        <f ca="1">OFFSET(Sector1!$G$519,0,(COLUMN()-7)/6)</f>
        <v>10.8371</v>
      </c>
      <c r="CN32" s="579">
        <f ca="1">OFFSET(Sector1!$G$520,0,(COLUMN()-8)/6)</f>
        <v>58.194499999999998</v>
      </c>
      <c r="CO32" s="579">
        <f ca="1">OFFSET(Sector1!$G$521,0,(COLUMN()-9)/6)</f>
        <v>0.19910000000000003</v>
      </c>
      <c r="CP32" s="610">
        <f ca="1">-CK32+CK27</f>
        <v>0</v>
      </c>
      <c r="CQ32" s="581">
        <f ca="1">+CR32+CS32+CT32-CU32</f>
        <v>69.971899999999991</v>
      </c>
      <c r="CR32" s="579">
        <f ca="1">OFFSET(Sector1!$G$518,0,(COLUMN()-6)/6)</f>
        <v>0.1348</v>
      </c>
      <c r="CS32" s="579">
        <f ca="1">OFFSET(Sector1!$G$519,0,(COLUMN()-7)/6)</f>
        <v>10.260399999999999</v>
      </c>
      <c r="CT32" s="579">
        <f ca="1">OFFSET(Sector1!$G$520,0,(COLUMN()-8)/6)</f>
        <v>59.719000000000001</v>
      </c>
      <c r="CU32" s="579">
        <f ca="1">OFFSET(Sector1!$G$521,0,(COLUMN()-9)/6)</f>
        <v>0.14229999999999995</v>
      </c>
      <c r="CV32" s="610">
        <f ca="1">-CQ32+CQ27</f>
        <v>0</v>
      </c>
      <c r="CW32" s="581">
        <f ca="1">+CX32+CY32+CZ32-DA32</f>
        <v>72.380500000000012</v>
      </c>
      <c r="CX32" s="579">
        <f ca="1">OFFSET(Sector1!$G$518,0,(COLUMN()-6)/6)</f>
        <v>0.1411</v>
      </c>
      <c r="CY32" s="579">
        <f ca="1">OFFSET(Sector1!$G$519,0,(COLUMN()-7)/6)</f>
        <v>10.1821</v>
      </c>
      <c r="CZ32" s="579">
        <f ca="1">OFFSET(Sector1!$G$520,0,(COLUMN()-8)/6)</f>
        <v>62.197600000000001</v>
      </c>
      <c r="DA32" s="579">
        <f ca="1">OFFSET(Sector1!$G$521,0,(COLUMN()-9)/6)</f>
        <v>0.14029999999999995</v>
      </c>
      <c r="DB32" s="610">
        <f ca="1">-CW32+CW27</f>
        <v>-1.0000000001753051E-4</v>
      </c>
      <c r="DC32" s="581">
        <f ca="1">+DD32+DE32+DF32-DG32</f>
        <v>76.219699999999989</v>
      </c>
      <c r="DD32" s="579">
        <f ca="1">OFFSET(Sector1!$G$518,0,(COLUMN()-6)/6)</f>
        <v>0.14230000000000001</v>
      </c>
      <c r="DE32" s="579">
        <f ca="1">OFFSET(Sector1!$G$519,0,(COLUMN()-7)/6)</f>
        <v>10.8271</v>
      </c>
      <c r="DF32" s="579">
        <f ca="1">OFFSET(Sector1!$G$520,0,(COLUMN()-8)/6)</f>
        <v>65.408000000000001</v>
      </c>
      <c r="DG32" s="579">
        <f ca="1">OFFSET(Sector1!$G$521,0,(COLUMN()-9)/6)</f>
        <v>0.15770000000000003</v>
      </c>
      <c r="DH32" s="610">
        <f ca="1">-DC32+DC27</f>
        <v>0</v>
      </c>
      <c r="DI32" s="581">
        <f ca="1">+DJ32+DK32+DL32-DM32</f>
        <v>79.155699999999996</v>
      </c>
      <c r="DJ32" s="579">
        <f ca="1">OFFSET(Sector1!$G$518,0,(COLUMN()-6)/6)</f>
        <v>0.1492</v>
      </c>
      <c r="DK32" s="579">
        <f ca="1">OFFSET(Sector1!$G$519,0,(COLUMN()-7)/6)</f>
        <v>11.136899999999999</v>
      </c>
      <c r="DL32" s="579">
        <f ca="1">OFFSET(Sector1!$G$520,0,(COLUMN()-8)/6)</f>
        <v>68.186899999999994</v>
      </c>
      <c r="DM32" s="579">
        <f ca="1">OFFSET(Sector1!$G$521,0,(COLUMN()-9)/6)</f>
        <v>0.31729999999999997</v>
      </c>
      <c r="DN32" s="610">
        <f ca="1">-DI32+DI27</f>
        <v>0</v>
      </c>
      <c r="DO32" s="581">
        <f ca="1">+DP32+DQ32+DR32-DS32</f>
        <v>80.077099999999987</v>
      </c>
      <c r="DP32" s="579">
        <f ca="1">OFFSET(Sector1!$G$518,0,(COLUMN()-6)/6)</f>
        <v>0.14809999999999998</v>
      </c>
      <c r="DQ32" s="579">
        <f ca="1">OFFSET(Sector1!$G$519,0,(COLUMN()-7)/6)</f>
        <v>11.0589</v>
      </c>
      <c r="DR32" s="579">
        <f ca="1">OFFSET(Sector1!$G$520,0,(COLUMN()-8)/6)</f>
        <v>69.181899999999999</v>
      </c>
      <c r="DS32" s="579">
        <f ca="1">OFFSET(Sector1!$G$521,0,(COLUMN()-9)/6)</f>
        <v>0.31179999999999997</v>
      </c>
      <c r="DT32" s="610">
        <f ca="1">-DO32+DO27</f>
        <v>0</v>
      </c>
      <c r="DU32" s="581">
        <f ca="1">+DV32+DW32+DX32-DY32</f>
        <v>81.850499999999997</v>
      </c>
      <c r="DV32" s="579">
        <f ca="1">OFFSET(Sector1!$G$518,0,(COLUMN()-6)/6)</f>
        <v>0.1416</v>
      </c>
      <c r="DW32" s="579">
        <f ca="1">OFFSET(Sector1!$G$519,0,(COLUMN()-7)/6)</f>
        <v>11.359299999999999</v>
      </c>
      <c r="DX32" s="579">
        <f ca="1">OFFSET(Sector1!$G$520,0,(COLUMN()-8)/6)</f>
        <v>70.655699999999996</v>
      </c>
      <c r="DY32" s="579">
        <f ca="1">OFFSET(Sector1!$G$521,0,(COLUMN()-9)/6)</f>
        <v>0.30610000000000004</v>
      </c>
      <c r="DZ32" s="610">
        <f ca="1">-DU32+DU27</f>
        <v>-3.899999999987358E-3</v>
      </c>
      <c r="EA32" s="581">
        <f ca="1">+EB32+EC32+ED32-EE32</f>
        <v>83.81580000000001</v>
      </c>
      <c r="EB32" s="579">
        <f ca="1">OFFSET(Sector1!$G$518,0,(COLUMN()-6)/6)</f>
        <v>0.13669999999999999</v>
      </c>
      <c r="EC32" s="579">
        <f ca="1">OFFSET(Sector1!$G$519,0,(COLUMN()-7)/6)</f>
        <v>11.1334</v>
      </c>
      <c r="ED32" s="579">
        <f ca="1">OFFSET(Sector1!$G$520,0,(COLUMN()-8)/6)</f>
        <v>72.838100000000011</v>
      </c>
      <c r="EE32" s="579">
        <f ca="1">OFFSET(Sector1!$G$521,0,(COLUMN()-9)/6)</f>
        <v>0.29239999999999999</v>
      </c>
      <c r="EF32" s="610">
        <f ca="1">-EA32+EA27</f>
        <v>-5.0400000000010436E-2</v>
      </c>
      <c r="EG32" s="581">
        <f ca="1">+EH32+EI32+EJ32-EK32</f>
        <v>86.500454959999985</v>
      </c>
      <c r="EH32" s="579">
        <f ca="1">OFFSET(Sector1!$G$518,0,(COLUMN()-6)/6)</f>
        <v>0.14074632000000001</v>
      </c>
      <c r="EI32" s="579">
        <f ca="1">OFFSET(Sector1!$G$519,0,(COLUMN()-7)/6)</f>
        <v>11.46294864</v>
      </c>
      <c r="EJ32" s="579">
        <f ca="1">OFFSET(Sector1!$G$520,0,(COLUMN()-8)/6)</f>
        <v>75.218399999999988</v>
      </c>
      <c r="EK32" s="579">
        <f ca="1">OFFSET(Sector1!$G$521,0,(COLUMN()-9)/6)</f>
        <v>0.32164000000000004</v>
      </c>
      <c r="EL32" s="610">
        <f ca="1">-EG32+EG27</f>
        <v>0</v>
      </c>
      <c r="EM32" s="581">
        <f ca="1">+EN32+EO32+EP32-EQ32</f>
        <v>89.012178342327999</v>
      </c>
      <c r="EN32" s="579">
        <f ca="1">OFFSET(Sector1!$G$518,0,(COLUMN()-6)/6)</f>
        <v>0.14487018717600003</v>
      </c>
      <c r="EO32" s="579">
        <f ca="1">OFFSET(Sector1!$G$519,0,(COLUMN()-7)/6)</f>
        <v>11.798813035152001</v>
      </c>
      <c r="EP32" s="579">
        <f ca="1">OFFSET(Sector1!$G$520,0,(COLUMN()-8)/6)</f>
        <v>77.422299119999991</v>
      </c>
      <c r="EQ32" s="579">
        <f ca="1">OFFSET(Sector1!$G$521,0,(COLUMN()-9)/6)</f>
        <v>0.35380400000000006</v>
      </c>
      <c r="ER32" s="610">
        <f ca="1">-EM32+EM27</f>
        <v>0</v>
      </c>
    </row>
    <row r="33" spans="1:148">
      <c r="A33" s="567"/>
      <c r="B33" s="568" t="s">
        <v>2133</v>
      </c>
      <c r="C33" s="4135" t="s">
        <v>1440</v>
      </c>
      <c r="D33" s="4135"/>
      <c r="E33" s="581">
        <f ca="1">+F33+G33+H33+I33</f>
        <v>17.988</v>
      </c>
      <c r="F33" s="579">
        <f ca="1">OFFSET(Sector1!$G$588,0,(COLUMN()-6)/6)</f>
        <v>5.7714999999999996</v>
      </c>
      <c r="G33" s="579">
        <f ca="1">OFFSET(Sector1!$G$590,0,(COLUMN()-7)/6)</f>
        <v>7.4355000000000002</v>
      </c>
      <c r="H33" s="579">
        <f ca="1">OFFSET(Sector1!$G$592,0,(COLUMN()-8)/6)</f>
        <v>4.7809999999999997</v>
      </c>
      <c r="I33" s="579"/>
      <c r="J33" s="576">
        <f ca="1">+E33-E28</f>
        <v>0.77280000000000015</v>
      </c>
      <c r="K33" s="581">
        <f t="shared" ca="1" si="0"/>
        <v>18.097100000000001</v>
      </c>
      <c r="L33" s="579">
        <f ca="1">OFFSET(Sector1!$G$588,0,(COLUMN()-6)/6)</f>
        <v>6.1592000000000002</v>
      </c>
      <c r="M33" s="579">
        <f ca="1">OFFSET(Sector1!$G$590,0,(COLUMN()-7)/6)</f>
        <v>7.8162000000000003</v>
      </c>
      <c r="N33" s="579">
        <f ca="1">OFFSET(Sector1!$G$592,0,(COLUMN()-8)/6)</f>
        <v>4.1216999999999997</v>
      </c>
      <c r="O33" s="579"/>
      <c r="P33" s="576">
        <f ca="1">+K33-K28-O28</f>
        <v>0</v>
      </c>
      <c r="Q33" s="581">
        <f t="shared" ca="1" si="1"/>
        <v>18.3</v>
      </c>
      <c r="R33" s="579">
        <f ca="1">OFFSET(Sector1!$G$588,0,(COLUMN()-6)/6)</f>
        <v>6.1097999999999999</v>
      </c>
      <c r="S33" s="579">
        <f ca="1">OFFSET(Sector1!$G$590,0,(COLUMN()-7)/6)</f>
        <v>7.8411999999999997</v>
      </c>
      <c r="T33" s="579">
        <f ca="1">OFFSET(Sector1!$G$592,0,(COLUMN()-8)/6)</f>
        <v>4.3490000000000002</v>
      </c>
      <c r="U33" s="579"/>
      <c r="V33" s="576">
        <f ca="1">+Q33-Q28-U28</f>
        <v>0</v>
      </c>
      <c r="W33" s="581">
        <f t="shared" ca="1" si="2"/>
        <v>18.9376</v>
      </c>
      <c r="X33" s="579">
        <f ca="1">OFFSET(Sector1!$G$588,0,(COLUMN()-6)/6)</f>
        <v>6.5125000000000002</v>
      </c>
      <c r="Y33" s="579">
        <f ca="1">OFFSET(Sector1!$G$590,0,(COLUMN()-7)/6)</f>
        <v>7.9358999999999993</v>
      </c>
      <c r="Z33" s="579">
        <f ca="1">OFFSET(Sector1!$G$592,0,(COLUMN()-8)/6)</f>
        <v>4.4891999999999994</v>
      </c>
      <c r="AA33" s="579"/>
      <c r="AB33" s="576">
        <f ca="1">+W33-W28-AA28</f>
        <v>0</v>
      </c>
      <c r="AC33" s="581">
        <f t="shared" ca="1" si="3"/>
        <v>19.640900000000002</v>
      </c>
      <c r="AD33" s="579">
        <f ca="1">OFFSET(Sector1!$G$588,0,(COLUMN()-6)/6)</f>
        <v>6.8028000000000004</v>
      </c>
      <c r="AE33" s="579">
        <f ca="1">OFFSET(Sector1!$G$590,0,(COLUMN()-7)/6)</f>
        <v>8.2545000000000002</v>
      </c>
      <c r="AF33" s="579">
        <f ca="1">OFFSET(Sector1!$G$592,0,(COLUMN()-8)/6)</f>
        <v>4.5836000000000006</v>
      </c>
      <c r="AG33" s="579"/>
      <c r="AH33" s="576">
        <f ca="1">+AC33-AC28-AG28</f>
        <v>0</v>
      </c>
      <c r="AI33" s="581">
        <f t="shared" ca="1" si="4"/>
        <v>20.236599999999999</v>
      </c>
      <c r="AJ33" s="579">
        <f ca="1">OFFSET(Sector1!$G$588,0,(COLUMN()-6)/6)</f>
        <v>7.2183000000000002</v>
      </c>
      <c r="AK33" s="579">
        <f ca="1">OFFSET(Sector1!$G$590,0,(COLUMN()-7)/6)</f>
        <v>8.3047000000000004</v>
      </c>
      <c r="AL33" s="579">
        <f ca="1">OFFSET(Sector1!$G$592,0,(COLUMN()-8)/6)</f>
        <v>4.7136000000000005</v>
      </c>
      <c r="AM33" s="579"/>
      <c r="AN33" s="576">
        <f ca="1">+AI33-AI28-AM28</f>
        <v>0</v>
      </c>
      <c r="AO33" s="581">
        <f t="shared" ca="1" si="5"/>
        <v>20.278700000000001</v>
      </c>
      <c r="AP33" s="579">
        <f ca="1">OFFSET(Sector1!$G$588,0,(COLUMN()-6)/6)</f>
        <v>7.5238999999999994</v>
      </c>
      <c r="AQ33" s="579">
        <f ca="1">OFFSET(Sector1!$G$590,0,(COLUMN()-7)/6)</f>
        <v>7.8238000000000003</v>
      </c>
      <c r="AR33" s="579">
        <f ca="1">OFFSET(Sector1!$G$592,0,(COLUMN()-8)/6)</f>
        <v>4.931</v>
      </c>
      <c r="AS33" s="579"/>
      <c r="AT33" s="576">
        <f ca="1">+AO33-AO28-AS28</f>
        <v>0</v>
      </c>
      <c r="AU33" s="581">
        <f t="shared" ca="1" si="6"/>
        <v>21.057600000000001</v>
      </c>
      <c r="AV33" s="579">
        <f ca="1">OFFSET(Sector1!$G$588,0,(COLUMN()-6)/6)</f>
        <v>7.3048999999999999</v>
      </c>
      <c r="AW33" s="579">
        <f ca="1">OFFSET(Sector1!$G$590,0,(COLUMN()-7)/6)</f>
        <v>8.742700000000001</v>
      </c>
      <c r="AX33" s="579">
        <f ca="1">OFFSET(Sector1!$G$592,0,(COLUMN()-8)/6)</f>
        <v>5.01</v>
      </c>
      <c r="AY33" s="579"/>
      <c r="AZ33" s="576">
        <f ca="1">+AU33-AU28-AY28</f>
        <v>0</v>
      </c>
      <c r="BA33" s="581">
        <f t="shared" ca="1" si="7"/>
        <v>21.7227</v>
      </c>
      <c r="BB33" s="579">
        <f ca="1">OFFSET(Sector1!$G$588,0,(COLUMN()-6)/6)</f>
        <v>7.6550000000000002</v>
      </c>
      <c r="BC33" s="579">
        <f ca="1">OFFSET(Sector1!$G$590,0,(COLUMN()-7)/6)</f>
        <v>8.6210000000000004</v>
      </c>
      <c r="BD33" s="579">
        <f ca="1">OFFSET(Sector1!$G$592,0,(COLUMN()-8)/6)</f>
        <v>5.4466999999999999</v>
      </c>
      <c r="BE33" s="579"/>
      <c r="BF33" s="576">
        <f ca="1">+BA33-BA28-BE28</f>
        <v>0</v>
      </c>
      <c r="BG33" s="581">
        <f t="shared" ca="1" si="8"/>
        <v>22.159100000000002</v>
      </c>
      <c r="BH33" s="579">
        <f ca="1">OFFSET(Sector1!$G$588,0,(COLUMN()-6)/6)</f>
        <v>7.9916999999999998</v>
      </c>
      <c r="BI33" s="579">
        <f ca="1">OFFSET(Sector1!$G$590,0,(COLUMN()-7)/6)</f>
        <v>8.2820999999999998</v>
      </c>
      <c r="BJ33" s="579">
        <f ca="1">OFFSET(Sector1!$G$592,0,(COLUMN()-8)/6)</f>
        <v>5.8853</v>
      </c>
      <c r="BK33" s="579"/>
      <c r="BL33" s="576">
        <f ca="1">+BG33-BG28-BK28</f>
        <v>-3.6999999999984823E-3</v>
      </c>
      <c r="BM33" s="581">
        <f t="shared" ca="1" si="9"/>
        <v>23.3184</v>
      </c>
      <c r="BN33" s="579">
        <f ca="1">OFFSET(Sector1!$G$588,0,(COLUMN()-6)/6)</f>
        <v>8.8757000000000001</v>
      </c>
      <c r="BO33" s="579">
        <f ca="1">OFFSET(Sector1!$G$590,0,(COLUMN()-7)/6)</f>
        <v>8.1745999999999999</v>
      </c>
      <c r="BP33" s="579">
        <f ca="1">OFFSET(Sector1!$G$592,0,(COLUMN()-8)/6)</f>
        <v>6.2681000000000004</v>
      </c>
      <c r="BQ33" s="579"/>
      <c r="BR33" s="576">
        <f ca="1">+BM33-BM28-BQ28</f>
        <v>1.1000000000003229E-2</v>
      </c>
      <c r="BS33" s="581">
        <f t="shared" ca="1" si="10"/>
        <v>22.879100000000001</v>
      </c>
      <c r="BT33" s="579">
        <f ca="1">OFFSET(Sector1!$G$588,0,(COLUMN()-6)/6)</f>
        <v>8.2775999999999996</v>
      </c>
      <c r="BU33" s="579">
        <f ca="1">OFFSET(Sector1!$G$590,0,(COLUMN()-7)/6)</f>
        <v>8.2874999999999996</v>
      </c>
      <c r="BV33" s="579">
        <f ca="1">OFFSET(Sector1!$G$592,0,(COLUMN()-8)/6)</f>
        <v>6.3140000000000001</v>
      </c>
      <c r="BW33" s="579"/>
      <c r="BX33" s="576">
        <f ca="1">+BS33-BS28-BW28</f>
        <v>1.5800000000004921E-2</v>
      </c>
      <c r="BY33" s="581">
        <f t="shared" ca="1" si="11"/>
        <v>22.483699999999999</v>
      </c>
      <c r="BZ33" s="579">
        <f ca="1">OFFSET(Sector1!$G$588,0,(COLUMN()-6)/6)</f>
        <v>7.2381000000000002</v>
      </c>
      <c r="CA33" s="579">
        <f ca="1">OFFSET(Sector1!$G$590,0,(COLUMN()-7)/6)</f>
        <v>9.3032000000000004</v>
      </c>
      <c r="CB33" s="579">
        <f ca="1">OFFSET(Sector1!$G$592,0,(COLUMN()-8)/6)</f>
        <v>5.9423999999999992</v>
      </c>
      <c r="CC33" s="579"/>
      <c r="CD33" s="576">
        <f ca="1">+BY33-BY28-CC28</f>
        <v>8.0999999999962213E-3</v>
      </c>
      <c r="CE33" s="581">
        <f t="shared" ca="1" si="12"/>
        <v>25.414099999999998</v>
      </c>
      <c r="CF33" s="579">
        <f ca="1">OFFSET(Sector1!$G$588,0,(COLUMN()-6)/6)</f>
        <v>7.9157999999999999</v>
      </c>
      <c r="CG33" s="579">
        <f ca="1">OFFSET(Sector1!$G$590,0,(COLUMN()-7)/6)</f>
        <v>10.979899999999999</v>
      </c>
      <c r="CH33" s="579">
        <f ca="1">OFFSET(Sector1!$G$592,0,(COLUMN()-8)/6)</f>
        <v>6.5183999999999997</v>
      </c>
      <c r="CI33" s="579"/>
      <c r="CJ33" s="576">
        <f ca="1">+CE33-CE28-CI28</f>
        <v>1.1599999999994282E-2</v>
      </c>
      <c r="CK33" s="581">
        <f ca="1">+CL33+CM33+CN33</f>
        <v>28.6646</v>
      </c>
      <c r="CL33" s="579">
        <f ca="1">OFFSET(Sector1!$G$588,0,(COLUMN()-6)/6)</f>
        <v>8.7327999999999992</v>
      </c>
      <c r="CM33" s="579">
        <f ca="1">OFFSET(Sector1!$G$590,0,(COLUMN()-7)/6)</f>
        <v>12.226299999999998</v>
      </c>
      <c r="CN33" s="579">
        <f ca="1">OFFSET(Sector1!$G$592,0,(COLUMN()-8)/6)</f>
        <v>7.7054999999999998</v>
      </c>
      <c r="CO33" s="579"/>
      <c r="CP33" s="576">
        <f ca="1">+CK33-CK28-CO28</f>
        <v>1.1599999999998722E-2</v>
      </c>
      <c r="CQ33" s="581">
        <f ca="1">+CR33+CS33+CT33</f>
        <v>29.569199999999999</v>
      </c>
      <c r="CR33" s="579">
        <f ca="1">OFFSET(Sector1!$G$588,0,(COLUMN()-6)/6)</f>
        <v>8.8559999999999999</v>
      </c>
      <c r="CS33" s="579">
        <f ca="1">OFFSET(Sector1!$G$590,0,(COLUMN()-7)/6)</f>
        <v>13.0205</v>
      </c>
      <c r="CT33" s="579">
        <f ca="1">OFFSET(Sector1!$G$592,0,(COLUMN()-8)/6)</f>
        <v>7.6926999999999994</v>
      </c>
      <c r="CU33" s="579"/>
      <c r="CV33" s="576">
        <f ca="1">+CQ33-CQ28-CU28</f>
        <v>1.1099999999999444E-2</v>
      </c>
      <c r="CW33" s="581">
        <f ca="1">+CX33+CY33+CZ33</f>
        <v>30.006</v>
      </c>
      <c r="CX33" s="579">
        <f ca="1">OFFSET(Sector1!$G$588,0,(COLUMN()-6)/6)</f>
        <v>9.0937999999999999</v>
      </c>
      <c r="CY33" s="579">
        <f ca="1">OFFSET(Sector1!$G$590,0,(COLUMN()-7)/6)</f>
        <v>12.914</v>
      </c>
      <c r="CZ33" s="579">
        <f ca="1">OFFSET(Sector1!$G$592,0,(COLUMN()-8)/6)</f>
        <v>7.9981999999999998</v>
      </c>
      <c r="DA33" s="579"/>
      <c r="DB33" s="576">
        <f ca="1">+CW33-CW28-DA28</f>
        <v>1.0899999999998133E-2</v>
      </c>
      <c r="DC33" s="581">
        <f ca="1">+DD33+DE33+DF33</f>
        <v>31.3429</v>
      </c>
      <c r="DD33" s="579">
        <f ca="1">OFFSET(Sector1!$G$588,0,(COLUMN()-6)/6)</f>
        <v>9.7940000000000005</v>
      </c>
      <c r="DE33" s="579">
        <f ca="1">OFFSET(Sector1!$G$590,0,(COLUMN()-7)/6)</f>
        <v>13.2311</v>
      </c>
      <c r="DF33" s="579">
        <f ca="1">OFFSET(Sector1!$G$592,0,(COLUMN()-8)/6)</f>
        <v>8.3178000000000001</v>
      </c>
      <c r="DG33" s="579"/>
      <c r="DH33" s="576">
        <f ca="1">+DC33-DC28-DG28</f>
        <v>1.05999999999975E-2</v>
      </c>
      <c r="DI33" s="581">
        <f ca="1">+DJ33+DK33+DL33</f>
        <v>31.439399999999999</v>
      </c>
      <c r="DJ33" s="579">
        <f ca="1">OFFSET(Sector1!$G$588,0,(COLUMN()-6)/6)</f>
        <v>9.8018000000000001</v>
      </c>
      <c r="DK33" s="579">
        <f ca="1">OFFSET(Sector1!$G$590,0,(COLUMN()-7)/6)</f>
        <v>13.1213</v>
      </c>
      <c r="DL33" s="579">
        <f ca="1">OFFSET(Sector1!$G$592,0,(COLUMN()-8)/6)</f>
        <v>8.5162999999999993</v>
      </c>
      <c r="DM33" s="579"/>
      <c r="DN33" s="576">
        <f ca="1">+DI33-DI28-DM28</f>
        <v>1.0200000000002873E-2</v>
      </c>
      <c r="DO33" s="581">
        <f ca="1">+DP33+DQ33+DR33</f>
        <v>31.557300000000001</v>
      </c>
      <c r="DP33" s="579">
        <f ca="1">OFFSET(Sector1!$G$588,0,(COLUMN()-6)/6)</f>
        <v>9.9252000000000002</v>
      </c>
      <c r="DQ33" s="579">
        <f ca="1">OFFSET(Sector1!$G$590,0,(COLUMN()-7)/6)</f>
        <v>13.2645</v>
      </c>
      <c r="DR33" s="579">
        <f ca="1">OFFSET(Sector1!$G$592,0,(COLUMN()-8)/6)</f>
        <v>8.3675999999999995</v>
      </c>
      <c r="DS33" s="579"/>
      <c r="DT33" s="576">
        <f ca="1">+DO33-DO28-DS28</f>
        <v>9.5999999999989427E-3</v>
      </c>
      <c r="DU33" s="581">
        <f ca="1">+DV33+DW33+DX33</f>
        <v>31.834699999999998</v>
      </c>
      <c r="DV33" s="579">
        <f ca="1">OFFSET(Sector1!$G$588,0,(COLUMN()-6)/6)</f>
        <v>9.9629999999999992</v>
      </c>
      <c r="DW33" s="579">
        <f ca="1">OFFSET(Sector1!$G$590,0,(COLUMN()-7)/6)</f>
        <v>13.4261</v>
      </c>
      <c r="DX33" s="579">
        <f ca="1">OFFSET(Sector1!$G$592,0,(COLUMN()-8)/6)</f>
        <v>8.4456000000000007</v>
      </c>
      <c r="DY33" s="579"/>
      <c r="DZ33" s="576">
        <f ca="1">+DU33-DU28-DY28</f>
        <v>5.2699999999999747E-2</v>
      </c>
      <c r="EA33" s="581">
        <f ca="1">+EB33+EC33+ED33</f>
        <v>33.140100000000004</v>
      </c>
      <c r="EB33" s="579">
        <f ca="1">OFFSET(Sector1!$G$588,0,(COLUMN()-6)/6)</f>
        <v>9.9991000000000003</v>
      </c>
      <c r="EC33" s="579">
        <f ca="1">OFFSET(Sector1!$G$590,0,(COLUMN()-7)/6)</f>
        <v>13.9785</v>
      </c>
      <c r="ED33" s="579">
        <f ca="1">OFFSET(Sector1!$G$592,0,(COLUMN()-8)/6)</f>
        <v>9.1624999999999996</v>
      </c>
      <c r="EE33" s="579"/>
      <c r="EF33" s="576">
        <f ca="1">+EA33-EA28-EE28</f>
        <v>6.3000000000004164E-3</v>
      </c>
      <c r="EG33" s="581">
        <f ca="1">+EH33+EI33+EJ33</f>
        <v>32.520872850000003</v>
      </c>
      <c r="EH33" s="579">
        <f ca="1">OFFSET(Sector1!$G$588,0,(COLUMN()-6)/6)</f>
        <v>10.409063099999999</v>
      </c>
      <c r="EI33" s="579">
        <f ca="1">OFFSET(Sector1!$G$590,0,(COLUMN()-7)/6)</f>
        <v>14.167209750000001</v>
      </c>
      <c r="EJ33" s="579">
        <f ca="1">OFFSET(Sector1!$G$592,0,(COLUMN()-8)/6)</f>
        <v>7.9446000000000003</v>
      </c>
      <c r="EK33" s="579"/>
      <c r="EL33" s="576">
        <f ca="1">+EG33-EG28-EK28</f>
        <v>0</v>
      </c>
      <c r="EM33" s="581">
        <f ca="1">+EN33+EO33+EP33</f>
        <v>34.154176286549998</v>
      </c>
      <c r="EN33" s="579">
        <f ca="1">OFFSET(Sector1!$G$588,0,(COLUMN()-6)/6)</f>
        <v>10.856652813299998</v>
      </c>
      <c r="EO33" s="579">
        <f ca="1">OFFSET(Sector1!$G$590,0,(COLUMN()-7)/6)</f>
        <v>14.549724413250001</v>
      </c>
      <c r="EP33" s="579">
        <f ca="1">OFFSET(Sector1!$G$592,0,(COLUMN()-8)/6)</f>
        <v>8.7477990600000002</v>
      </c>
      <c r="EQ33" s="579"/>
      <c r="ER33" s="576">
        <f ca="1">+EM33-EM28-EQ28</f>
        <v>0</v>
      </c>
    </row>
    <row r="34" spans="1:148" s="577" customFormat="1">
      <c r="A34" s="572"/>
      <c r="B34" s="573" t="s">
        <v>624</v>
      </c>
      <c r="C34" s="4151" t="s">
        <v>1441</v>
      </c>
      <c r="D34" s="4152"/>
      <c r="E34" s="583">
        <f ca="1">+F34+G34+H34</f>
        <v>213.73670000000004</v>
      </c>
      <c r="F34" s="583">
        <f ca="1">+F29-F30-F31-F32-F33</f>
        <v>139.64120000000003</v>
      </c>
      <c r="G34" s="583">
        <f ca="1">+G29-G30-G31-G32-G33</f>
        <v>32.604599999999998</v>
      </c>
      <c r="H34" s="583">
        <f ca="1">+H29-H30-H31-H32-H33</f>
        <v>41.490900000000003</v>
      </c>
      <c r="I34" s="584"/>
      <c r="J34" s="580"/>
      <c r="K34" s="583">
        <f t="shared" ca="1" si="0"/>
        <v>218.00379999999996</v>
      </c>
      <c r="L34" s="583">
        <f ca="1">+L29-L30-L31-L32-L33</f>
        <v>140.26939999999999</v>
      </c>
      <c r="M34" s="583">
        <f ca="1">+M29-M30-M31-M32-M33</f>
        <v>33.583499999999987</v>
      </c>
      <c r="N34" s="583">
        <f ca="1">+N29-N30-N31-N32-N33</f>
        <v>44.150899999999986</v>
      </c>
      <c r="O34" s="584"/>
      <c r="P34" s="580"/>
      <c r="Q34" s="583">
        <f t="shared" ca="1" si="1"/>
        <v>228.5455</v>
      </c>
      <c r="R34" s="583">
        <f ca="1">+R29-R30-R31-R32-R33</f>
        <v>143.56049999999999</v>
      </c>
      <c r="S34" s="583">
        <f ca="1">+S29-S30-S31-S32-S33</f>
        <v>35.610700000000008</v>
      </c>
      <c r="T34" s="583">
        <f ca="1">+T29-T30-T31-T32-T33</f>
        <v>49.374300000000005</v>
      </c>
      <c r="U34" s="584"/>
      <c r="V34" s="580"/>
      <c r="W34" s="583">
        <f t="shared" ca="1" si="2"/>
        <v>237.00230000000005</v>
      </c>
      <c r="X34" s="583">
        <f ca="1">+X29-X30-X31-X32-X33</f>
        <v>148.27020000000005</v>
      </c>
      <c r="Y34" s="583">
        <f ca="1">+Y29-Y30-Y31-Y32-Y33</f>
        <v>34.877499999999998</v>
      </c>
      <c r="Z34" s="583">
        <f ca="1">+Z29-Z30-Z31-Z32-Z33</f>
        <v>53.854600000000012</v>
      </c>
      <c r="AA34" s="584"/>
      <c r="AB34" s="580"/>
      <c r="AC34" s="583">
        <f t="shared" ca="1" si="3"/>
        <v>246.68459999999999</v>
      </c>
      <c r="AD34" s="583">
        <f ca="1">+AD29-AD30-AD31-AD32-AD33</f>
        <v>152.35679999999999</v>
      </c>
      <c r="AE34" s="583">
        <f ca="1">+AE29-AE30-AE31-AE32-AE33</f>
        <v>36.769199999999984</v>
      </c>
      <c r="AF34" s="583">
        <f ca="1">+AF29-AF30-AF31-AF32-AF33</f>
        <v>57.558599999999998</v>
      </c>
      <c r="AG34" s="584"/>
      <c r="AH34" s="580"/>
      <c r="AI34" s="583">
        <f t="shared" ca="1" si="4"/>
        <v>261.63870000000003</v>
      </c>
      <c r="AJ34" s="583">
        <f ca="1">+AJ29-AJ30-AJ31-AJ32-AJ33</f>
        <v>160.36210000000003</v>
      </c>
      <c r="AK34" s="583">
        <f ca="1">+AK29-AK30-AK31-AK32-AK33</f>
        <v>39.337800000000001</v>
      </c>
      <c r="AL34" s="583">
        <f ca="1">+AL29-AL30-AL31-AL32-AL33</f>
        <v>61.938800000000001</v>
      </c>
      <c r="AM34" s="584"/>
      <c r="AN34" s="580"/>
      <c r="AO34" s="583">
        <f t="shared" ca="1" si="5"/>
        <v>267.86969999999997</v>
      </c>
      <c r="AP34" s="583">
        <f ca="1">+AP29-AP30-AP31-AP32-AP33</f>
        <v>168.15259999999998</v>
      </c>
      <c r="AQ34" s="583">
        <f ca="1">+AQ29-AQ30-AQ31-AQ32-AQ33</f>
        <v>35.648200000000003</v>
      </c>
      <c r="AR34" s="583">
        <f ca="1">+AR29-AR30-AR31-AR32-AR33</f>
        <v>64.068899999999999</v>
      </c>
      <c r="AS34" s="584"/>
      <c r="AT34" s="580"/>
      <c r="AU34" s="583">
        <f t="shared" ca="1" si="6"/>
        <v>276.44070000000005</v>
      </c>
      <c r="AV34" s="583">
        <f ca="1">+AV29-AV30-AV31-AV32-AV33</f>
        <v>169.73020000000005</v>
      </c>
      <c r="AW34" s="583">
        <f ca="1">+AW29-AW30-AW31-AW32-AW33</f>
        <v>39.538399999999996</v>
      </c>
      <c r="AX34" s="583">
        <f ca="1">+AX29-AX30-AX31-AX32-AX33</f>
        <v>67.172099999999986</v>
      </c>
      <c r="AY34" s="584"/>
      <c r="AZ34" s="580"/>
      <c r="BA34" s="583">
        <f t="shared" ca="1" si="7"/>
        <v>283.86</v>
      </c>
      <c r="BB34" s="583">
        <f ca="1">+BB29-BB30-BB31-BB32-BB33</f>
        <v>172.62009999999998</v>
      </c>
      <c r="BC34" s="583">
        <f ca="1">+BC29-BC30-BC31-BC32-BC33</f>
        <v>44.449100000000008</v>
      </c>
      <c r="BD34" s="583">
        <f ca="1">+BD29-BD30-BD31-BD32-BD33</f>
        <v>66.790800000000019</v>
      </c>
      <c r="BE34" s="584"/>
      <c r="BF34" s="580"/>
      <c r="BG34" s="583">
        <f t="shared" ca="1" si="8"/>
        <v>298.20159999999998</v>
      </c>
      <c r="BH34" s="583">
        <f ca="1">+BH29-BH30-BH31-BH32-BH33</f>
        <v>176.65699999999998</v>
      </c>
      <c r="BI34" s="583">
        <f ca="1">+BI29-BI30-BI31-BI32-BI33</f>
        <v>49.620500000000014</v>
      </c>
      <c r="BJ34" s="583">
        <f ca="1">+BJ29-BJ30-BJ31-BJ32-BJ33</f>
        <v>71.92410000000001</v>
      </c>
      <c r="BK34" s="584"/>
      <c r="BL34" s="580"/>
      <c r="BM34" s="583">
        <f t="shared" ca="1" si="9"/>
        <v>310.61280000000005</v>
      </c>
      <c r="BN34" s="583">
        <f ca="1">+BN29-BN30-BN31-BN32-BN33</f>
        <v>183.20820000000001</v>
      </c>
      <c r="BO34" s="583">
        <f ca="1">+BO29-BO30-BO31-BO32-BO33</f>
        <v>51.860600000000026</v>
      </c>
      <c r="BP34" s="583">
        <f ca="1">+BP29-BP30-BP31-BP32-BP33</f>
        <v>75.544000000000011</v>
      </c>
      <c r="BQ34" s="584"/>
      <c r="BR34" s="580"/>
      <c r="BS34" s="583">
        <f t="shared" ca="1" si="10"/>
        <v>326.49220000000003</v>
      </c>
      <c r="BT34" s="583">
        <f ca="1">+BT29-BT30-BT31-BT32-BT33</f>
        <v>193.18560000000005</v>
      </c>
      <c r="BU34" s="583">
        <f ca="1">+BU29-BU30-BU31-BU32-BU33</f>
        <v>53.590399999999988</v>
      </c>
      <c r="BV34" s="583">
        <f ca="1">+BV29-BV30-BV31-BV32-BV33</f>
        <v>79.716200000000015</v>
      </c>
      <c r="BW34" s="584"/>
      <c r="BX34" s="580"/>
      <c r="BY34" s="583">
        <f t="shared" ca="1" si="11"/>
        <v>345.2792</v>
      </c>
      <c r="BZ34" s="583">
        <f ca="1">+BZ29-BZ30-BZ31-BZ32-BZ33</f>
        <v>202.89519999999999</v>
      </c>
      <c r="CA34" s="583">
        <f ca="1">+CA29-CA30-CA31-CA32-CA33</f>
        <v>58.803699999999964</v>
      </c>
      <c r="CB34" s="583">
        <f ca="1">+CB29-CB30-CB31-CB32-CB33</f>
        <v>83.580300000000022</v>
      </c>
      <c r="CC34" s="584"/>
      <c r="CD34" s="580"/>
      <c r="CE34" s="583">
        <f t="shared" ca="1" si="12"/>
        <v>357.14619999999996</v>
      </c>
      <c r="CF34" s="583">
        <f ca="1">+CF29-CF30-CF31-CF32-CF33</f>
        <v>214.3554</v>
      </c>
      <c r="CG34" s="583">
        <f ca="1">+CG29-CG30-CG31-CG32-CG33</f>
        <v>57.15049999999998</v>
      </c>
      <c r="CH34" s="583">
        <f ca="1">+CH29-CH30-CH31-CH32-CH33</f>
        <v>85.640299999999982</v>
      </c>
      <c r="CI34" s="584"/>
      <c r="CJ34" s="580"/>
      <c r="CK34" s="583">
        <f ca="1">+CL34+CM34+CN34</f>
        <v>343.89699999999993</v>
      </c>
      <c r="CL34" s="583">
        <f ca="1">+CL29-CL30-CL31-CL32-CL33</f>
        <v>217.91899999999998</v>
      </c>
      <c r="CM34" s="583">
        <f ca="1">+CM29-CM30-CM31-CM32-CM33</f>
        <v>49.933699999999959</v>
      </c>
      <c r="CN34" s="583">
        <f ca="1">+CN29-CN30-CN31-CN32-CN33</f>
        <v>76.044300000000021</v>
      </c>
      <c r="CO34" s="584"/>
      <c r="CP34" s="580"/>
      <c r="CQ34" s="583">
        <f ca="1">+CR34+CS34+CT34</f>
        <v>372.04250000000002</v>
      </c>
      <c r="CR34" s="583">
        <f ca="1">+CR29-CR30-CR31-CR32-CR33</f>
        <v>219.43230000000003</v>
      </c>
      <c r="CS34" s="583">
        <f ca="1">+CS29-CS30-CS31-CS32-CS33</f>
        <v>70.061299999999989</v>
      </c>
      <c r="CT34" s="583">
        <f ca="1">+CT29-CT30-CT31-CT32-CT33</f>
        <v>82.548900000000032</v>
      </c>
      <c r="CU34" s="584"/>
      <c r="CV34" s="580"/>
      <c r="CW34" s="583">
        <f ca="1">+CX34+CY34+CZ34</f>
        <v>378.01420000000007</v>
      </c>
      <c r="CX34" s="583">
        <f ca="1">+CX29-CX30-CX31-CX32-CX33</f>
        <v>223.82180000000005</v>
      </c>
      <c r="CY34" s="583">
        <f ca="1">+CY29-CY30-CY31-CY32-CY33</f>
        <v>65.589200000000019</v>
      </c>
      <c r="CZ34" s="583">
        <f ca="1">+CZ29-CZ30-CZ31-CZ32-CZ33</f>
        <v>88.603200000000015</v>
      </c>
      <c r="DA34" s="584"/>
      <c r="DB34" s="580"/>
      <c r="DC34" s="583">
        <f ca="1">+DD34+DE34+DF34</f>
        <v>390.93959999999993</v>
      </c>
      <c r="DD34" s="583">
        <f ca="1">+DD29-DD30-DD31-DD32-DD33</f>
        <v>228.16289999999992</v>
      </c>
      <c r="DE34" s="583">
        <f ca="1">+DE29-DE30-DE31-DE32-DE33</f>
        <v>69.441199999999952</v>
      </c>
      <c r="DF34" s="583">
        <f ca="1">+DF29-DF30-DF31-DF32-DF33</f>
        <v>93.33550000000001</v>
      </c>
      <c r="DG34" s="584"/>
      <c r="DH34" s="580"/>
      <c r="DI34" s="583">
        <f ca="1">+DJ34+DK34+DL34</f>
        <v>392.04499999999996</v>
      </c>
      <c r="DJ34" s="583">
        <f ca="1">+DJ29-DJ30-DJ31-DJ32-DJ33</f>
        <v>230.79860000000002</v>
      </c>
      <c r="DK34" s="583">
        <f ca="1">+DK29-DK30-DK31-DK32-DK33</f>
        <v>64.68469999999995</v>
      </c>
      <c r="DL34" s="583">
        <f ca="1">+DL29-DL30-DL31-DL32-DL33</f>
        <v>96.561699999999988</v>
      </c>
      <c r="DM34" s="584"/>
      <c r="DN34" s="580"/>
      <c r="DO34" s="583">
        <f ca="1">+DP34+DQ34+DR34</f>
        <v>396.38120000000004</v>
      </c>
      <c r="DP34" s="583">
        <f ca="1">+DP29-DP30-DP31-DP32-DP33</f>
        <v>233.36100000000002</v>
      </c>
      <c r="DQ34" s="583">
        <f ca="1">+DQ29-DQ30-DQ31-DQ32-DQ33</f>
        <v>65.692799999999991</v>
      </c>
      <c r="DR34" s="583">
        <f ca="1">+DR29-DR30-DR31-DR32-DR33</f>
        <v>97.327399999999983</v>
      </c>
      <c r="DS34" s="584"/>
      <c r="DT34" s="580"/>
      <c r="DU34" s="583">
        <f ca="1">+DV34+DW34+DX34</f>
        <v>402.78539999999992</v>
      </c>
      <c r="DV34" s="583">
        <f ca="1">+DV29-DV30-DV31-DV32-DV33</f>
        <v>235.38029999999998</v>
      </c>
      <c r="DW34" s="583">
        <f ca="1">+DW29-DW30-DW31-DW32-DW33</f>
        <v>68.704399999999978</v>
      </c>
      <c r="DX34" s="583">
        <f ca="1">+DX29-DX30-DX31-DX32-DX33</f>
        <v>98.700699999999969</v>
      </c>
      <c r="DY34" s="584"/>
      <c r="DZ34" s="580"/>
      <c r="EA34" s="583">
        <f ca="1">+EB34+EC34+ED34</f>
        <v>417.48299999999995</v>
      </c>
      <c r="EB34" s="583">
        <f ca="1">+EB29-EB30-EB31-EB32-EB33</f>
        <v>241.02379999999997</v>
      </c>
      <c r="EC34" s="583">
        <f ca="1">+EC29-EC30-EC31-EC32-EC33</f>
        <v>77.64500000000001</v>
      </c>
      <c r="ED34" s="583">
        <f ca="1">+ED29-ED30-ED31-ED32-ED33</f>
        <v>98.814199999999985</v>
      </c>
      <c r="EE34" s="584"/>
      <c r="EF34" s="580"/>
      <c r="EG34" s="583">
        <f ca="1">+EH34+EI34+EJ34</f>
        <v>435.07854615503317</v>
      </c>
      <c r="EH34" s="583">
        <f ca="1">+EH29-EH30-EH31-EH32-EH33</f>
        <v>247.57846462774918</v>
      </c>
      <c r="EI34" s="583">
        <f ca="1">+EI29-EI30-EI31-EI32-EI33</f>
        <v>79.651281527284013</v>
      </c>
      <c r="EJ34" s="583">
        <f ca="1">+EJ29-EJ30-EJ31-EJ32-EJ33</f>
        <v>107.84879999999998</v>
      </c>
      <c r="EK34" s="584"/>
      <c r="EL34" s="580"/>
      <c r="EM34" s="583">
        <f ca="1">+EN34+EO34+EP34</f>
        <v>449.94941891924645</v>
      </c>
      <c r="EN34" s="583">
        <f ca="1">+EN29-EN30-EN31-EN32-EN33</f>
        <v>254.87558901212014</v>
      </c>
      <c r="EO34" s="583">
        <f ca="1">+EO29-EO30-EO31-EO32-EO33</f>
        <v>84.829875383612091</v>
      </c>
      <c r="EP34" s="583">
        <f ca="1">+EP29-EP30-EP31-EP32-EP33</f>
        <v>110.24395452351425</v>
      </c>
      <c r="EQ34" s="584"/>
      <c r="ER34" s="580"/>
    </row>
    <row r="35" spans="1:148" ht="13.8" thickBot="1">
      <c r="A35" s="567"/>
      <c r="B35" s="568" t="s">
        <v>622</v>
      </c>
      <c r="C35" s="4136" t="s">
        <v>1442</v>
      </c>
      <c r="D35" s="4135"/>
      <c r="E35" s="581">
        <f ca="1">+F35+G35+H35</f>
        <v>3.4911309954033243E-17</v>
      </c>
      <c r="F35" s="579">
        <f ca="1">OFFSET(Sector1!$G$666,0,(COLUMN()-6)/6)</f>
        <v>1.0929</v>
      </c>
      <c r="G35" s="579">
        <f ca="1">-OFFSET(Sector1!$G$667,0,(COLUMN()-7)/6)</f>
        <v>-1.0911999999999999</v>
      </c>
      <c r="H35" s="579">
        <f ca="1">-OFFSET(Sector1!$G$668,0,(COLUMN()-8)/6)</f>
        <v>-1.6999999999999999E-3</v>
      </c>
      <c r="I35" s="579">
        <f ca="1">-OFFSET(Sector1!$G$669,0,(COLUMN()-8)/6)</f>
        <v>-3.4911309954033243E-17</v>
      </c>
      <c r="J35" s="576">
        <f ca="1">+E35+I35</f>
        <v>0</v>
      </c>
      <c r="K35" s="581">
        <f ca="1">+L35+M35+N35</f>
        <v>6.7871055997592578E-17</v>
      </c>
      <c r="L35" s="579">
        <f ca="1">OFFSET(Sector1!$G$666,0,(COLUMN()-6)/6)</f>
        <v>1.33</v>
      </c>
      <c r="M35" s="579">
        <f ca="1">-OFFSET(Sector1!$G$667,0,(COLUMN()-7)/6)</f>
        <v>-1.3286</v>
      </c>
      <c r="N35" s="579">
        <f ca="1">-OFFSET(Sector1!$G$668,0,(COLUMN()-8)/6)</f>
        <v>-1.4E-3</v>
      </c>
      <c r="O35" s="579">
        <f ca="1">-OFFSET(Sector1!$G$669,0,(COLUMN()-8)/6)</f>
        <v>-6.7871055997592578E-17</v>
      </c>
      <c r="P35" s="576">
        <f ca="1">+K35+O35</f>
        <v>0</v>
      </c>
      <c r="Q35" s="581">
        <f ca="1">+R35+S35+T35</f>
        <v>2.3852447794681098E-17</v>
      </c>
      <c r="R35" s="579">
        <f ca="1">OFFSET(Sector1!$G$666,0,(COLUMN()-6)/6)</f>
        <v>1.4627000000000001</v>
      </c>
      <c r="S35" s="579">
        <f ca="1">-OFFSET(Sector1!$G$667,0,(COLUMN()-7)/6)</f>
        <v>-1.4609000000000001</v>
      </c>
      <c r="T35" s="579">
        <f ca="1">-OFFSET(Sector1!$G$668,0,(COLUMN()-8)/6)</f>
        <v>-1.8E-3</v>
      </c>
      <c r="U35" s="579">
        <f ca="1">-OFFSET(Sector1!$G$669,0,(COLUMN()-8)/6)</f>
        <v>-2.3852447794681098E-17</v>
      </c>
      <c r="V35" s="576">
        <f ca="1">+Q35+U35</f>
        <v>0</v>
      </c>
      <c r="W35" s="581">
        <f ca="1">+X35+Y35+Z35</f>
        <v>1.7997756063259374E-16</v>
      </c>
      <c r="X35" s="579">
        <f ca="1">OFFSET(Sector1!$G$666,0,(COLUMN()-6)/6)</f>
        <v>1.4350000000000001</v>
      </c>
      <c r="Y35" s="579">
        <f ca="1">-OFFSET(Sector1!$G$667,0,(COLUMN()-7)/6)</f>
        <v>-1.4325999999999999</v>
      </c>
      <c r="Z35" s="579">
        <f ca="1">-OFFSET(Sector1!$G$668,0,(COLUMN()-8)/6)</f>
        <v>-2.3999999999999998E-3</v>
      </c>
      <c r="AA35" s="579">
        <f ca="1">-OFFSET(Sector1!$G$669,0,(COLUMN()-8)/6)</f>
        <v>-1.7997756063259374E-16</v>
      </c>
      <c r="AB35" s="576">
        <f ca="1">+W35+AA35</f>
        <v>0</v>
      </c>
      <c r="AC35" s="581">
        <f ca="1">+AD35+AE35+AF35</f>
        <v>6.9822619908066486E-17</v>
      </c>
      <c r="AD35" s="579">
        <f ca="1">OFFSET(Sector1!$G$666,0,(COLUMN()-6)/6)</f>
        <v>1.4472</v>
      </c>
      <c r="AE35" s="579">
        <f ca="1">-OFFSET(Sector1!$G$667,0,(COLUMN()-7)/6)</f>
        <v>-1.4438</v>
      </c>
      <c r="AF35" s="579">
        <f ca="1">-OFFSET(Sector1!$G$668,0,(COLUMN()-8)/6)</f>
        <v>-3.3999999999999998E-3</v>
      </c>
      <c r="AG35" s="579">
        <f ca="1">-OFFSET(Sector1!$G$669,0,(COLUMN()-8)/6)</f>
        <v>-6.9822619908066486E-17</v>
      </c>
      <c r="AH35" s="576">
        <f ca="1">+AC35+AG35</f>
        <v>0</v>
      </c>
      <c r="AI35" s="581">
        <f ca="1">+AJ35+AK35+AL35</f>
        <v>0</v>
      </c>
      <c r="AJ35" s="579">
        <f ca="1">OFFSET(Sector1!$G$666,0,(COLUMN()-6)/6)</f>
        <v>1.3915</v>
      </c>
      <c r="AK35" s="579">
        <f ca="1">-OFFSET(Sector1!$G$667,0,(COLUMN()-7)/6)</f>
        <v>-1.3895</v>
      </c>
      <c r="AL35" s="579">
        <f ca="1">-OFFSET(Sector1!$G$668,0,(COLUMN()-8)/6)</f>
        <v>-2E-3</v>
      </c>
      <c r="AM35" s="579">
        <f ca="1">-OFFSET(Sector1!$G$669,0,(COLUMN()-8)/6)</f>
        <v>0</v>
      </c>
      <c r="AN35" s="576">
        <f ca="1">+AI35+AM35</f>
        <v>0</v>
      </c>
      <c r="AO35" s="581">
        <f ca="1">+AP35+AQ35+AR35</f>
        <v>-8.814563662307151E-17</v>
      </c>
      <c r="AP35" s="579">
        <f ca="1">OFFSET(Sector1!$G$666,0,(COLUMN()-6)/6)</f>
        <v>1.3982000000000001</v>
      </c>
      <c r="AQ35" s="579">
        <f ca="1">-OFFSET(Sector1!$G$667,0,(COLUMN()-7)/6)</f>
        <v>-1.3974000000000002</v>
      </c>
      <c r="AR35" s="579">
        <f ca="1">-OFFSET(Sector1!$G$668,0,(COLUMN()-8)/6)</f>
        <v>-8.0000000000000004E-4</v>
      </c>
      <c r="AS35" s="579">
        <f ca="1">-OFFSET(Sector1!$G$669,0,(COLUMN()-8)/6)</f>
        <v>8.814563662307151E-17</v>
      </c>
      <c r="AT35" s="576">
        <f ca="1">+AO35+AS35</f>
        <v>0</v>
      </c>
      <c r="AU35" s="581">
        <f ca="1">+AV35+AW35+AX35</f>
        <v>-1.212138028838794E-16</v>
      </c>
      <c r="AV35" s="579">
        <f ca="1">OFFSET(Sector1!$G$666,0,(COLUMN()-6)/6)</f>
        <v>1.4002999999999999</v>
      </c>
      <c r="AW35" s="579">
        <f ca="1">-OFFSET(Sector1!$G$667,0,(COLUMN()-7)/6)</f>
        <v>-1.3992</v>
      </c>
      <c r="AX35" s="579">
        <f ca="1">-OFFSET(Sector1!$G$668,0,(COLUMN()-8)/6)</f>
        <v>-1.1000000000000001E-3</v>
      </c>
      <c r="AY35" s="579">
        <f ca="1">-OFFSET(Sector1!$G$669,0,(COLUMN()-8)/6)</f>
        <v>1.212138028838794E-16</v>
      </c>
      <c r="AZ35" s="576">
        <f ca="1">+AU35+AY35</f>
        <v>0</v>
      </c>
      <c r="BA35" s="581">
        <f ca="1">+BB35+BC35+BD35</f>
        <v>-1.708702623837155E-16</v>
      </c>
      <c r="BB35" s="579">
        <f ca="1">OFFSET(Sector1!$G$666,0,(COLUMN()-6)/6)</f>
        <v>1.5860999999999998</v>
      </c>
      <c r="BC35" s="579">
        <f ca="1">-OFFSET(Sector1!$G$667,0,(COLUMN()-7)/6)</f>
        <v>-1.5906</v>
      </c>
      <c r="BD35" s="579">
        <f ca="1">-OFFSET(Sector1!$G$668,0,(COLUMN()-8)/6)</f>
        <v>4.4999999999999997E-3</v>
      </c>
      <c r="BE35" s="579">
        <f ca="1">-OFFSET(Sector1!$G$669,0,(COLUMN()-8)/6)</f>
        <v>1.708702623837155E-16</v>
      </c>
      <c r="BF35" s="576">
        <f ca="1">+BA35+BE35</f>
        <v>0</v>
      </c>
      <c r="BG35" s="581">
        <f ca="1">+BH35+BI35+BJ35</f>
        <v>2.3678975447083417E-16</v>
      </c>
      <c r="BH35" s="579">
        <f ca="1">OFFSET(Sector1!$G$666,0,(COLUMN()-6)/6)</f>
        <v>1.7039000000000002</v>
      </c>
      <c r="BI35" s="579">
        <f ca="1">-OFFSET(Sector1!$G$667,0,(COLUMN()-7)/6)</f>
        <v>-1.7</v>
      </c>
      <c r="BJ35" s="579">
        <f ca="1">-OFFSET(Sector1!$G$668,0,(COLUMN()-8)/6)</f>
        <v>-3.8999999999999998E-3</v>
      </c>
      <c r="BK35" s="579">
        <f ca="1">-OFFSET(Sector1!$G$669,0,(COLUMN()-8)/6)</f>
        <v>-2.3678975447083417E-16</v>
      </c>
      <c r="BL35" s="576">
        <f ca="1">+BG35+BK35</f>
        <v>0</v>
      </c>
      <c r="BM35" s="581">
        <f ca="1">+BN35+BO35+BP35</f>
        <v>1.1188966420050406E-16</v>
      </c>
      <c r="BN35" s="579">
        <f ca="1">OFFSET(Sector1!$G$666,0,(COLUMN()-6)/6)</f>
        <v>1.7681</v>
      </c>
      <c r="BO35" s="579">
        <f ca="1">-OFFSET(Sector1!$G$667,0,(COLUMN()-7)/6)</f>
        <v>-1.7670999999999999</v>
      </c>
      <c r="BP35" s="579">
        <f ca="1">-OFFSET(Sector1!$G$668,0,(COLUMN()-8)/6)</f>
        <v>-1E-3</v>
      </c>
      <c r="BQ35" s="579">
        <f ca="1">-OFFSET(Sector1!$G$669,0,(COLUMN()-8)/6)</f>
        <v>-1.1188966420050406E-16</v>
      </c>
      <c r="BR35" s="576">
        <f ca="1">+BM35+BQ35</f>
        <v>0</v>
      </c>
      <c r="BS35" s="581">
        <f ca="1">+BT35+BU35+BV35</f>
        <v>-9.7144514654701197E-17</v>
      </c>
      <c r="BT35" s="579">
        <f ca="1">OFFSET(Sector1!$G$666,0,(COLUMN()-6)/6)</f>
        <v>1.8597999999999999</v>
      </c>
      <c r="BU35" s="579">
        <f ca="1">-OFFSET(Sector1!$G$667,0,(COLUMN()-7)/6)</f>
        <v>-1.8569</v>
      </c>
      <c r="BV35" s="579">
        <f ca="1">-OFFSET(Sector1!$G$668,0,(COLUMN()-8)/6)</f>
        <v>-2.8999999999999998E-3</v>
      </c>
      <c r="BW35" s="579">
        <f ca="1">-OFFSET(Sector1!$G$669,0,(COLUMN()-8)/6)</f>
        <v>9.7144514654701197E-17</v>
      </c>
      <c r="BX35" s="576">
        <f ca="1">+BS35+BW35</f>
        <v>0</v>
      </c>
      <c r="BY35" s="581">
        <f ca="1">+BZ35+CA35+CB35</f>
        <v>1.3205582460873444E-16</v>
      </c>
      <c r="BZ35" s="579">
        <f ca="1">OFFSET(Sector1!$G$666,0,(COLUMN()-6)/6)</f>
        <v>2.2318000000000002</v>
      </c>
      <c r="CA35" s="579">
        <f ca="1">-OFFSET(Sector1!$G$667,0,(COLUMN()-7)/6)</f>
        <v>-2.2330000000000001</v>
      </c>
      <c r="CB35" s="579">
        <f ca="1">-OFFSET(Sector1!$G$668,0,(COLUMN()-8)/6)</f>
        <v>1.1999999999999999E-3</v>
      </c>
      <c r="CC35" s="579">
        <f ca="1">-OFFSET(Sector1!$G$669,0,(COLUMN()-8)/6)</f>
        <v>-1.3205582460873444E-16</v>
      </c>
      <c r="CD35" s="576">
        <f ca="1">+BY35+CC35</f>
        <v>0</v>
      </c>
      <c r="CE35" s="581">
        <f ca="1">+CF35+CG35+CH35</f>
        <v>-1.8561541192951836E-16</v>
      </c>
      <c r="CF35" s="579">
        <f ca="1">OFFSET(Sector1!$G$666,0,(COLUMN()-6)/6)</f>
        <v>2.6881999999999997</v>
      </c>
      <c r="CG35" s="579">
        <f ca="1">-OFFSET(Sector1!$G$667,0,(COLUMN()-7)/6)</f>
        <v>-2.6844999999999999</v>
      </c>
      <c r="CH35" s="579">
        <f ca="1">-OFFSET(Sector1!$G$668,0,(COLUMN()-8)/6)</f>
        <v>-3.7000000000000002E-3</v>
      </c>
      <c r="CI35" s="579">
        <f ca="1">-OFFSET(Sector1!$G$669,0,(COLUMN()-8)/6)</f>
        <v>1.8561541192951836E-16</v>
      </c>
      <c r="CJ35" s="576">
        <f ca="1">+CE35+CI35</f>
        <v>0</v>
      </c>
      <c r="CK35" s="581">
        <f ca="1">+CL35+CM35+CN35</f>
        <v>2.1684043449710089E-16</v>
      </c>
      <c r="CL35" s="579">
        <f ca="1">OFFSET(Sector1!$G$666,0,(COLUMN()-6)/6)</f>
        <v>2.6683000000000003</v>
      </c>
      <c r="CM35" s="579">
        <f ca="1">-OFFSET(Sector1!$G$667,0,(COLUMN()-7)/6)</f>
        <v>-2.6743000000000001</v>
      </c>
      <c r="CN35" s="579">
        <f ca="1">-OFFSET(Sector1!$G$668,0,(COLUMN()-8)/6)</f>
        <v>6.0000000000000001E-3</v>
      </c>
      <c r="CO35" s="579">
        <f ca="1">-OFFSET(Sector1!$G$669,0,(COLUMN()-8)/6)</f>
        <v>-2.1684043449710089E-16</v>
      </c>
      <c r="CP35" s="576">
        <f ca="1">+CK35+CO35</f>
        <v>0</v>
      </c>
      <c r="CQ35" s="581">
        <f ca="1">+CR35+CS35+CT35</f>
        <v>-9.540979117872439E-17</v>
      </c>
      <c r="CR35" s="579">
        <f ca="1">OFFSET(Sector1!$G$666,0,(COLUMN()-6)/6)</f>
        <v>3.3869999999999996</v>
      </c>
      <c r="CS35" s="579">
        <f ca="1">-OFFSET(Sector1!$G$667,0,(COLUMN()-7)/6)</f>
        <v>-3.3941999999999997</v>
      </c>
      <c r="CT35" s="579">
        <f ca="1">-OFFSET(Sector1!$G$668,0,(COLUMN()-8)/6)</f>
        <v>7.1999999999999998E-3</v>
      </c>
      <c r="CU35" s="579">
        <f ca="1">-OFFSET(Sector1!$G$669,0,(COLUMN()-8)/6)</f>
        <v>9.540979117872439E-17</v>
      </c>
      <c r="CV35" s="576">
        <f ca="1">+CQ35+CU35</f>
        <v>0</v>
      </c>
      <c r="CW35" s="581">
        <f ca="1">+CX35+CY35+CZ35</f>
        <v>-8.5001450322863548E-17</v>
      </c>
      <c r="CX35" s="579">
        <f ca="1">OFFSET(Sector1!$G$666,0,(COLUMN()-6)/6)</f>
        <v>2.9038999999999997</v>
      </c>
      <c r="CY35" s="579">
        <f ca="1">-OFFSET(Sector1!$G$667,0,(COLUMN()-7)/6)</f>
        <v>-2.9131999999999998</v>
      </c>
      <c r="CZ35" s="579">
        <f ca="1">-OFFSET(Sector1!$G$668,0,(COLUMN()-8)/6)</f>
        <v>9.300000000000001E-3</v>
      </c>
      <c r="DA35" s="579">
        <f ca="1">-OFFSET(Sector1!$G$669,0,(COLUMN()-8)/6)</f>
        <v>8.5001450322863548E-17</v>
      </c>
      <c r="DB35" s="576">
        <f ca="1">+CW35+DA35</f>
        <v>0</v>
      </c>
      <c r="DC35" s="581">
        <f ca="1">+DD35+DE35+DF35</f>
        <v>-1.5959455978986625E-16</v>
      </c>
      <c r="DD35" s="579">
        <f ca="1">OFFSET(Sector1!$G$666,0,(COLUMN()-6)/6)</f>
        <v>2.8317999999999999</v>
      </c>
      <c r="DE35" s="579">
        <f ca="1">-OFFSET(Sector1!$G$667,0,(COLUMN()-7)/6)</f>
        <v>-2.8687</v>
      </c>
      <c r="DF35" s="579">
        <f ca="1">-OFFSET(Sector1!$G$668,0,(COLUMN()-8)/6)</f>
        <v>3.6899999999999995E-2</v>
      </c>
      <c r="DG35" s="579">
        <f ca="1">-OFFSET(Sector1!$G$669,0,(COLUMN()-8)/6)</f>
        <v>1.5959455978986625E-16</v>
      </c>
      <c r="DH35" s="576">
        <f ca="1">+DC35+DG35</f>
        <v>0</v>
      </c>
      <c r="DI35" s="581">
        <f ca="1">+DJ35+DK35+DL35</f>
        <v>-1.0408340855860843E-16</v>
      </c>
      <c r="DJ35" s="579">
        <f ca="1">OFFSET(Sector1!$G$666,0,(COLUMN()-6)/6)</f>
        <v>2.8161999999999998</v>
      </c>
      <c r="DK35" s="579">
        <f ca="1">-OFFSET(Sector1!$G$667,0,(COLUMN()-7)/6)</f>
        <v>-2.8555999999999999</v>
      </c>
      <c r="DL35" s="579">
        <f ca="1">-OFFSET(Sector1!$G$668,0,(COLUMN()-8)/6)</f>
        <v>3.9399999999999998E-2</v>
      </c>
      <c r="DM35" s="579">
        <f ca="1">-OFFSET(Sector1!$G$669,0,(COLUMN()-8)/6)</f>
        <v>1.0408340855860843E-16</v>
      </c>
      <c r="DN35" s="576">
        <f ca="1">+DI35+DM35</f>
        <v>0</v>
      </c>
      <c r="DO35" s="581">
        <f ca="1">+DP35+DQ35+DR35</f>
        <v>0</v>
      </c>
      <c r="DP35" s="579">
        <f ca="1">OFFSET(Sector1!$G$666,0,(COLUMN()-6)/6)</f>
        <v>2.6561999999999997</v>
      </c>
      <c r="DQ35" s="579">
        <f ca="1">-OFFSET(Sector1!$G$667,0,(COLUMN()-7)/6)</f>
        <v>-2.6986999999999997</v>
      </c>
      <c r="DR35" s="579">
        <f ca="1">-OFFSET(Sector1!$G$668,0,(COLUMN()-8)/6)</f>
        <v>4.2500000000000003E-2</v>
      </c>
      <c r="DS35" s="579">
        <f ca="1">-OFFSET(Sector1!$G$669,0,(COLUMN()-8)/6)</f>
        <v>0</v>
      </c>
      <c r="DT35" s="576">
        <f ca="1">+DO35+DS35</f>
        <v>0</v>
      </c>
      <c r="DU35" s="581">
        <f ca="1">+DV35+DW35+DX35</f>
        <v>-1.2490009027033011E-16</v>
      </c>
      <c r="DV35" s="579">
        <f ca="1">OFFSET(Sector1!$G$666,0,(COLUMN()-6)/6)</f>
        <v>2.7558999999999996</v>
      </c>
      <c r="DW35" s="579">
        <f ca="1">-OFFSET(Sector1!$G$667,0,(COLUMN()-7)/6)</f>
        <v>-2.8030999999999997</v>
      </c>
      <c r="DX35" s="579">
        <f ca="1">-OFFSET(Sector1!$G$668,0,(COLUMN()-8)/6)</f>
        <v>4.7200000000000006E-2</v>
      </c>
      <c r="DY35" s="579">
        <f ca="1">-OFFSET(Sector1!$G$669,0,(COLUMN()-8)/6)</f>
        <v>1.2490009027033011E-16</v>
      </c>
      <c r="DZ35" s="576">
        <f ca="1">+DU35+DY35</f>
        <v>0</v>
      </c>
      <c r="EA35" s="581">
        <f ca="1">+EB35+EC35+ED35</f>
        <v>0</v>
      </c>
      <c r="EB35" s="579">
        <f ca="1">OFFSET(Sector1!$G$666,0,(COLUMN()-6)/6)</f>
        <v>2.8010000000000002</v>
      </c>
      <c r="EC35" s="579">
        <f ca="1">-OFFSET(Sector1!$G$667,0,(COLUMN()-7)/6)</f>
        <v>-2.8010000000000002</v>
      </c>
      <c r="ED35" s="579">
        <f ca="1">-OFFSET(Sector1!$G$668,0,(COLUMN()-8)/6)</f>
        <v>0</v>
      </c>
      <c r="EE35" s="579">
        <f ca="1">-OFFSET(Sector1!$G$669,0,(COLUMN()-8)/6)</f>
        <v>0</v>
      </c>
      <c r="EF35" s="576">
        <f ca="1">+EA35+EE35</f>
        <v>0</v>
      </c>
      <c r="EG35" s="581">
        <f ca="1">+EH35+EI35+EJ35</f>
        <v>0</v>
      </c>
      <c r="EH35" s="579">
        <f ca="1">OFFSET(Sector1!$G$666,0,(COLUMN()-6)/6)</f>
        <v>2.9410500000000002</v>
      </c>
      <c r="EI35" s="579">
        <f ca="1">-OFFSET(Sector1!$G$667,0,(COLUMN()-7)/6)</f>
        <v>-2.9410500000000002</v>
      </c>
      <c r="EJ35" s="579">
        <f ca="1">-OFFSET(Sector1!$G$668,0,(COLUMN()-8)/6)</f>
        <v>0</v>
      </c>
      <c r="EK35" s="579">
        <f ca="1">-OFFSET(Sector1!$G$669,0,(COLUMN()-8)/6)</f>
        <v>0</v>
      </c>
      <c r="EL35" s="576">
        <f ca="1">+EG35+EK35</f>
        <v>0</v>
      </c>
      <c r="EM35" s="581">
        <f ca="1">+EN35+EO35+EP35</f>
        <v>0</v>
      </c>
      <c r="EN35" s="579">
        <f ca="1">OFFSET(Sector1!$G$666,0,(COLUMN()-6)/6)</f>
        <v>3.0881025000000002</v>
      </c>
      <c r="EO35" s="579">
        <f ca="1">-OFFSET(Sector1!$G$667,0,(COLUMN()-7)/6)</f>
        <v>-3.0881025000000002</v>
      </c>
      <c r="EP35" s="579">
        <f ca="1">-OFFSET(Sector1!$G$668,0,(COLUMN()-8)/6)</f>
        <v>0</v>
      </c>
      <c r="EQ35" s="579">
        <f ca="1">-OFFSET(Sector1!$G$669,0,(COLUMN()-8)/6)</f>
        <v>0</v>
      </c>
      <c r="ER35" s="576">
        <f ca="1">+EM35+EQ35</f>
        <v>0</v>
      </c>
    </row>
    <row r="36" spans="1:148">
      <c r="A36" s="567"/>
      <c r="B36" s="568" t="s">
        <v>2133</v>
      </c>
      <c r="C36" s="4136" t="s">
        <v>1043</v>
      </c>
      <c r="D36" s="4135"/>
      <c r="E36" s="581">
        <f ca="1">+F36+G36+H36+I36</f>
        <v>157.7364</v>
      </c>
      <c r="F36" s="1130">
        <f ca="1">OFFSET('VVP2'!$G$192,0,(COLUMN()-6)/6)</f>
        <v>112.9679</v>
      </c>
      <c r="G36" s="601"/>
      <c r="H36" s="1053">
        <f ca="1">+H37+H38</f>
        <v>44.768500000000003</v>
      </c>
      <c r="I36" s="585"/>
      <c r="J36" s="580"/>
      <c r="K36" s="581">
        <f ca="1">+L36+M36+N36+O36</f>
        <v>163.04489999999998</v>
      </c>
      <c r="L36" s="1130">
        <f ca="1">OFFSET('VVP2'!$G$192,0,(COLUMN()-6)/6)</f>
        <v>116.6069</v>
      </c>
      <c r="M36" s="601"/>
      <c r="N36" s="1053">
        <f ca="1">+N37+N38</f>
        <v>46.438000000000002</v>
      </c>
      <c r="O36" s="585"/>
      <c r="P36" s="580"/>
      <c r="Q36" s="581">
        <f ca="1">+R36+S36+T36+U36</f>
        <v>167.84469999999999</v>
      </c>
      <c r="R36" s="1130">
        <f ca="1">OFFSET('VVP2'!$G$192,0,(COLUMN()-6)/6)</f>
        <v>120.49119999999999</v>
      </c>
      <c r="S36" s="601"/>
      <c r="T36" s="1053">
        <f ca="1">+T37+T38</f>
        <v>47.353499999999997</v>
      </c>
      <c r="U36" s="585"/>
      <c r="V36" s="580"/>
      <c r="W36" s="581">
        <f ca="1">+X36+Y36+Z36+AA36</f>
        <v>174.1636</v>
      </c>
      <c r="X36" s="1130">
        <f ca="1">OFFSET('VVP2'!$G$192,0,(COLUMN()-6)/6)</f>
        <v>125.2568</v>
      </c>
      <c r="Y36" s="601"/>
      <c r="Z36" s="1053">
        <f ca="1">+Z37+Z38</f>
        <v>48.906800000000004</v>
      </c>
      <c r="AA36" s="585"/>
      <c r="AB36" s="580"/>
      <c r="AC36" s="581">
        <f ca="1">+AD36+AE36+AF36+AG36</f>
        <v>179.47459999999998</v>
      </c>
      <c r="AD36" s="1130">
        <f ca="1">OFFSET('VVP2'!$G$192,0,(COLUMN()-6)/6)</f>
        <v>128.14839999999998</v>
      </c>
      <c r="AE36" s="601"/>
      <c r="AF36" s="1053">
        <f ca="1">+AF37+AF38</f>
        <v>51.3262</v>
      </c>
      <c r="AG36" s="585"/>
      <c r="AH36" s="580"/>
      <c r="AI36" s="581">
        <f ca="1">+AJ36+AK36+AL36+AM36</f>
        <v>190.0051</v>
      </c>
      <c r="AJ36" s="1130">
        <f ca="1">OFFSET('VVP2'!$G$192,0,(COLUMN()-6)/6)</f>
        <v>136.1028</v>
      </c>
      <c r="AK36" s="601"/>
      <c r="AL36" s="1053">
        <f ca="1">+AL37+AL38</f>
        <v>53.902299999999997</v>
      </c>
      <c r="AM36" s="585"/>
      <c r="AN36" s="580"/>
      <c r="AO36" s="581">
        <f ca="1">+AP36+AQ36+AR36+AS36</f>
        <v>196.84719999999999</v>
      </c>
      <c r="AP36" s="1130">
        <f ca="1">OFFSET('VVP2'!$G$192,0,(COLUMN()-6)/6)</f>
        <v>140.29089999999999</v>
      </c>
      <c r="AQ36" s="601"/>
      <c r="AR36" s="1053">
        <f ca="1">+AR37+AR38</f>
        <v>56.5563</v>
      </c>
      <c r="AS36" s="585"/>
      <c r="AT36" s="580"/>
      <c r="AU36" s="581">
        <f ca="1">+AV36+AW36+AX36+AY36</f>
        <v>203.08259999999996</v>
      </c>
      <c r="AV36" s="1130">
        <f ca="1">OFFSET('VVP2'!$G$192,0,(COLUMN()-6)/6)</f>
        <v>142.79829999999998</v>
      </c>
      <c r="AW36" s="601"/>
      <c r="AX36" s="1053">
        <f ca="1">+AX37+AX38</f>
        <v>60.284299999999988</v>
      </c>
      <c r="AY36" s="585"/>
      <c r="AZ36" s="580"/>
      <c r="BA36" s="581">
        <f ca="1">+BB36+BC36+BD36+BE36</f>
        <v>208.9742</v>
      </c>
      <c r="BB36" s="1130">
        <f ca="1">OFFSET('VVP2'!$G$192,0,(COLUMN()-6)/6)</f>
        <v>145.8004</v>
      </c>
      <c r="BC36" s="601"/>
      <c r="BD36" s="1053">
        <f ca="1">+BD37+BD38</f>
        <v>63.1738</v>
      </c>
      <c r="BE36" s="585"/>
      <c r="BF36" s="580"/>
      <c r="BG36" s="581">
        <f ca="1">+BH36+BI36+BJ36+BK36</f>
        <v>217.47070000000002</v>
      </c>
      <c r="BH36" s="1130">
        <f ca="1">OFFSET('VVP2'!$G$192,0,(COLUMN()-6)/6)</f>
        <v>151.649</v>
      </c>
      <c r="BI36" s="601"/>
      <c r="BJ36" s="1053">
        <f ca="1">+BJ37+BJ38</f>
        <v>65.821700000000007</v>
      </c>
      <c r="BK36" s="585"/>
      <c r="BL36" s="580"/>
      <c r="BM36" s="581">
        <f ca="1">+BN36+BO36+BP36+BQ36</f>
        <v>226.52289999999999</v>
      </c>
      <c r="BN36" s="1130">
        <f ca="1">OFFSET('VVP2'!$G$192,0,(COLUMN()-6)/6)</f>
        <v>157.66120000000001</v>
      </c>
      <c r="BO36" s="601"/>
      <c r="BP36" s="1053">
        <f ca="1">+BP37+BP38</f>
        <v>68.861699999999999</v>
      </c>
      <c r="BQ36" s="585"/>
      <c r="BR36" s="580"/>
      <c r="BS36" s="581">
        <f ca="1">+BT36+BU36+BV36+BW36</f>
        <v>236.4624</v>
      </c>
      <c r="BT36" s="1130">
        <f ca="1">OFFSET('VVP2'!$G$192,0,(COLUMN()-6)/6)</f>
        <v>164.9487</v>
      </c>
      <c r="BU36" s="601"/>
      <c r="BV36" s="1053">
        <f ca="1">+BV37+BV38</f>
        <v>71.5137</v>
      </c>
      <c r="BW36" s="585"/>
      <c r="BX36" s="580"/>
      <c r="BY36" s="581">
        <f ca="1">+BZ36+CA36+CB36+CC36</f>
        <v>247.27780000000001</v>
      </c>
      <c r="BZ36" s="1130">
        <f ca="1">OFFSET('VVP2'!$G$192,0,(COLUMN()-6)/6)</f>
        <v>172.86610000000002</v>
      </c>
      <c r="CA36" s="601"/>
      <c r="CB36" s="1053">
        <f ca="1">+CB37+CB38</f>
        <v>74.411699999999996</v>
      </c>
      <c r="CC36" s="585"/>
      <c r="CD36" s="580"/>
      <c r="CE36" s="581">
        <f ca="1">+CF36+CG36+CH36+CI36</f>
        <v>261.24969999999996</v>
      </c>
      <c r="CF36" s="1130">
        <f ca="1">OFFSET('VVP2'!$G$192,0,(COLUMN()-6)/6)</f>
        <v>181.39229999999998</v>
      </c>
      <c r="CG36" s="601"/>
      <c r="CH36" s="1053">
        <f ca="1">+CH37+CH38</f>
        <v>79.857399999999998</v>
      </c>
      <c r="CI36" s="585"/>
      <c r="CJ36" s="580"/>
      <c r="CK36" s="581">
        <f ca="1">+CL36+CM36+CN36+CO36</f>
        <v>265.32749999999999</v>
      </c>
      <c r="CL36" s="1130">
        <f ca="1">OFFSET('VVP2'!$G$192,0,(COLUMN()-6)/6)</f>
        <v>181.54570000000001</v>
      </c>
      <c r="CM36" s="601"/>
      <c r="CN36" s="1053">
        <f ca="1">+CN37+CN38</f>
        <v>83.781800000000004</v>
      </c>
      <c r="CO36" s="585"/>
      <c r="CP36" s="580"/>
      <c r="CQ36" s="581">
        <f ca="1">+CR36+CS36+CT36+CU36</f>
        <v>275.69179999999994</v>
      </c>
      <c r="CR36" s="1130">
        <f ca="1">OFFSET('VVP2'!$G$192,0,(COLUMN()-6)/6)</f>
        <v>189.69289999999998</v>
      </c>
      <c r="CS36" s="601"/>
      <c r="CT36" s="1053">
        <f ca="1">+CT37+CT38</f>
        <v>85.998899999999992</v>
      </c>
      <c r="CU36" s="585"/>
      <c r="CV36" s="580"/>
      <c r="CW36" s="581">
        <f ca="1">+CX36+CY36+CZ36+DA36</f>
        <v>286.19670000000002</v>
      </c>
      <c r="CX36" s="1130">
        <f ca="1">OFFSET('VVP2'!$G$192,0,(COLUMN()-6)/6)</f>
        <v>196.06920000000002</v>
      </c>
      <c r="CY36" s="601"/>
      <c r="CZ36" s="1053">
        <f ca="1">+CZ37+CZ38</f>
        <v>90.127499999999998</v>
      </c>
      <c r="DA36" s="585"/>
      <c r="DB36" s="580"/>
      <c r="DC36" s="581">
        <f ca="1">+DD36+DE36+DF36+DG36</f>
        <v>295.19280000000003</v>
      </c>
      <c r="DD36" s="1130">
        <f ca="1">OFFSET('VVP2'!$G$192,0,(COLUMN()-6)/6)</f>
        <v>201.18220000000002</v>
      </c>
      <c r="DE36" s="601"/>
      <c r="DF36" s="1053">
        <f ca="1">+DF37+DF38</f>
        <v>94.010599999999997</v>
      </c>
      <c r="DG36" s="585"/>
      <c r="DH36" s="580"/>
      <c r="DI36" s="581">
        <f ca="1">+DJ36+DK36+DL36+DM36</f>
        <v>300.47190000000001</v>
      </c>
      <c r="DJ36" s="1130">
        <f ca="1">OFFSET('VVP2'!$G$192,0,(COLUMN()-6)/6)</f>
        <v>204.38479999999998</v>
      </c>
      <c r="DK36" s="601"/>
      <c r="DL36" s="1053">
        <f ca="1">+DL37+DL38</f>
        <v>96.087100000000007</v>
      </c>
      <c r="DM36" s="585"/>
      <c r="DN36" s="580"/>
      <c r="DO36" s="581">
        <f ca="1">+DP36+DQ36+DR36+DS36</f>
        <v>304.24670000000003</v>
      </c>
      <c r="DP36" s="1130">
        <f ca="1">OFFSET('VVP2'!$G$192,0,(COLUMN()-6)/6)</f>
        <v>206.88900000000001</v>
      </c>
      <c r="DQ36" s="601"/>
      <c r="DR36" s="1053">
        <f ca="1">+DR37+DR38</f>
        <v>97.357700000000008</v>
      </c>
      <c r="DS36" s="585"/>
      <c r="DT36" s="580"/>
      <c r="DU36" s="581">
        <f ca="1">+DV36+DW36+DX36+DY36</f>
        <v>307.97570000000002</v>
      </c>
      <c r="DV36" s="1130">
        <f ca="1">OFFSET('VVP2'!$G$192,0,(COLUMN()-6)/6)</f>
        <v>209.88810000000001</v>
      </c>
      <c r="DW36" s="601"/>
      <c r="DX36" s="1053">
        <f ca="1">+DX37+DX38</f>
        <v>98.087599999999995</v>
      </c>
      <c r="DY36" s="585"/>
      <c r="DZ36" s="580"/>
      <c r="EA36" s="581">
        <f ca="1">+EB36+EC36+ED36+EE36</f>
        <v>315.81439999999998</v>
      </c>
      <c r="EB36" s="1130">
        <f ca="1">OFFSET('VVP2'!$G$192,0,(COLUMN()-6)/6)</f>
        <v>216.57429999999999</v>
      </c>
      <c r="EC36" s="601"/>
      <c r="ED36" s="1053">
        <f ca="1">+ED37+ED38</f>
        <v>99.240100000000012</v>
      </c>
      <c r="EE36" s="585"/>
      <c r="EF36" s="580"/>
      <c r="EG36" s="581">
        <f ca="1">+EH36+EI36+EJ36+EK36</f>
        <v>325.13530000000003</v>
      </c>
      <c r="EH36" s="1130">
        <f ca="1">OFFSET('VVP2'!$G$192,0,(COLUMN()-6)/6)</f>
        <v>222.72300000000001</v>
      </c>
      <c r="EI36" s="601"/>
      <c r="EJ36" s="1053">
        <f ca="1">+EJ37+EJ38</f>
        <v>102.41229999999999</v>
      </c>
      <c r="EK36" s="585"/>
      <c r="EL36" s="580"/>
      <c r="EM36" s="581">
        <f ca="1">+EN36+EO36+EP36+EQ36</f>
        <v>335.01185472128998</v>
      </c>
      <c r="EN36" s="1130">
        <f ca="1">OFFSET('VVP2'!$G$192,0,(COLUMN()-6)/6)</f>
        <v>230.24669430149996</v>
      </c>
      <c r="EO36" s="601"/>
      <c r="EP36" s="1053">
        <f ca="1">+EP37+EP38</f>
        <v>104.76516041979002</v>
      </c>
      <c r="EQ36" s="585"/>
      <c r="ER36" s="580"/>
    </row>
    <row r="37" spans="1:148" s="596" customFormat="1">
      <c r="A37" s="591"/>
      <c r="B37" s="568"/>
      <c r="C37" s="611"/>
      <c r="D37" s="612" t="s">
        <v>783</v>
      </c>
      <c r="E37" s="595"/>
      <c r="F37" s="578"/>
      <c r="G37" s="601"/>
      <c r="H37" s="1134">
        <f ca="1">OFFSET('VVP2'!$G$198,0,(COLUMN()-8)/6)</f>
        <v>26.657700000000002</v>
      </c>
      <c r="I37" s="585"/>
      <c r="J37" s="613"/>
      <c r="K37" s="595"/>
      <c r="L37" s="578"/>
      <c r="M37" s="601"/>
      <c r="N37" s="1134">
        <f ca="1">OFFSET('VVP2'!$G$198,0,(COLUMN()-8)/6)</f>
        <v>28.097549999999998</v>
      </c>
      <c r="O37" s="585"/>
      <c r="P37" s="613"/>
      <c r="Q37" s="595"/>
      <c r="R37" s="578"/>
      <c r="S37" s="601"/>
      <c r="T37" s="1134">
        <f ca="1">OFFSET('VVP2'!$G$198,0,(COLUMN()-8)/6)</f>
        <v>28.59742</v>
      </c>
      <c r="U37" s="585"/>
      <c r="V37" s="613"/>
      <c r="W37" s="595"/>
      <c r="X37" s="578"/>
      <c r="Y37" s="601"/>
      <c r="Z37" s="1134">
        <f ca="1">OFFSET('VVP2'!$G$198,0,(COLUMN()-8)/6)</f>
        <v>29.6874</v>
      </c>
      <c r="AA37" s="585"/>
      <c r="AB37" s="613"/>
      <c r="AC37" s="595"/>
      <c r="AD37" s="578"/>
      <c r="AE37" s="601"/>
      <c r="AF37" s="1134">
        <f ca="1">OFFSET('VVP2'!$G$198,0,(COLUMN()-8)/6)</f>
        <v>30.96294</v>
      </c>
      <c r="AG37" s="585"/>
      <c r="AH37" s="613"/>
      <c r="AI37" s="595"/>
      <c r="AJ37" s="578"/>
      <c r="AK37" s="601"/>
      <c r="AL37" s="1134">
        <f ca="1">OFFSET('VVP2'!$G$198,0,(COLUMN()-8)/6)</f>
        <v>32.323070000000001</v>
      </c>
      <c r="AM37" s="585"/>
      <c r="AN37" s="613"/>
      <c r="AO37" s="595"/>
      <c r="AP37" s="578"/>
      <c r="AQ37" s="601"/>
      <c r="AR37" s="1134">
        <f ca="1">OFFSET('VVP2'!$G$198,0,(COLUMN()-8)/6)</f>
        <v>34.466670000000001</v>
      </c>
      <c r="AS37" s="585"/>
      <c r="AT37" s="613"/>
      <c r="AU37" s="595"/>
      <c r="AV37" s="578"/>
      <c r="AW37" s="601"/>
      <c r="AX37" s="1134">
        <f ca="1">OFFSET('VVP2'!$G$198,0,(COLUMN()-8)/6)</f>
        <v>36.268269999999994</v>
      </c>
      <c r="AY37" s="585"/>
      <c r="AZ37" s="613"/>
      <c r="BA37" s="595"/>
      <c r="BB37" s="578"/>
      <c r="BC37" s="601"/>
      <c r="BD37" s="1134">
        <f ca="1">OFFSET('VVP2'!$G$198,0,(COLUMN()-8)/6)</f>
        <v>38.63326</v>
      </c>
      <c r="BE37" s="585"/>
      <c r="BF37" s="613"/>
      <c r="BG37" s="595"/>
      <c r="BH37" s="578"/>
      <c r="BI37" s="601"/>
      <c r="BJ37" s="1134">
        <f ca="1">OFFSET('VVP2'!$G$198,0,(COLUMN()-8)/6)</f>
        <v>40.629910000000002</v>
      </c>
      <c r="BK37" s="585"/>
      <c r="BL37" s="613"/>
      <c r="BM37" s="595"/>
      <c r="BN37" s="578"/>
      <c r="BO37" s="601"/>
      <c r="BP37" s="1134">
        <f ca="1">OFFSET('VVP2'!$G$198,0,(COLUMN()-8)/6)</f>
        <v>42.544309999999996</v>
      </c>
      <c r="BQ37" s="585"/>
      <c r="BR37" s="613"/>
      <c r="BS37" s="595"/>
      <c r="BT37" s="578"/>
      <c r="BU37" s="601"/>
      <c r="BV37" s="1134">
        <f ca="1">OFFSET('VVP2'!$G$198,0,(COLUMN()-8)/6)</f>
        <v>44.138940000000005</v>
      </c>
      <c r="BW37" s="585"/>
      <c r="BX37" s="613"/>
      <c r="BY37" s="595"/>
      <c r="BZ37" s="578"/>
      <c r="CA37" s="601"/>
      <c r="CB37" s="1134">
        <f ca="1">OFFSET('VVP2'!$G$198,0,(COLUMN()-8)/6)</f>
        <v>45.990639999999999</v>
      </c>
      <c r="CC37" s="585"/>
      <c r="CD37" s="613"/>
      <c r="CE37" s="595"/>
      <c r="CF37" s="578"/>
      <c r="CG37" s="601"/>
      <c r="CH37" s="1134">
        <f ca="1">OFFSET('VVP2'!$G$198,0,(COLUMN()-8)/6)</f>
        <v>49.736429999999999</v>
      </c>
      <c r="CI37" s="585"/>
      <c r="CJ37" s="613"/>
      <c r="CK37" s="595"/>
      <c r="CL37" s="578"/>
      <c r="CM37" s="601"/>
      <c r="CN37" s="1134">
        <f ca="1">OFFSET('VVP2'!$G$198,0,(COLUMN()-8)/6)</f>
        <v>52.559280000000001</v>
      </c>
      <c r="CO37" s="585"/>
      <c r="CP37" s="613"/>
      <c r="CQ37" s="595"/>
      <c r="CR37" s="578"/>
      <c r="CS37" s="601"/>
      <c r="CT37" s="1134">
        <f ca="1">OFFSET('VVP2'!$G$198,0,(COLUMN()-8)/6)</f>
        <v>54.753219999999999</v>
      </c>
      <c r="CU37" s="585"/>
      <c r="CV37" s="613"/>
      <c r="CW37" s="595"/>
      <c r="CX37" s="578"/>
      <c r="CY37" s="601"/>
      <c r="CZ37" s="1134">
        <f ca="1">OFFSET('VVP2'!$G$198,0,(COLUMN()-8)/6)</f>
        <v>57.776780000000002</v>
      </c>
      <c r="DA37" s="585"/>
      <c r="DB37" s="613"/>
      <c r="DC37" s="595"/>
      <c r="DD37" s="578"/>
      <c r="DE37" s="601"/>
      <c r="DF37" s="1134">
        <f ca="1">OFFSET('VVP2'!$G$198,0,(COLUMN()-8)/6)</f>
        <v>60.306669999999997</v>
      </c>
      <c r="DG37" s="585"/>
      <c r="DH37" s="613"/>
      <c r="DI37" s="595"/>
      <c r="DJ37" s="578"/>
      <c r="DK37" s="601"/>
      <c r="DL37" s="1134">
        <f ca="1">OFFSET('VVP2'!$G$198,0,(COLUMN()-8)/6)</f>
        <v>61.176910000000007</v>
      </c>
      <c r="DM37" s="585"/>
      <c r="DN37" s="613"/>
      <c r="DO37" s="595"/>
      <c r="DP37" s="578"/>
      <c r="DQ37" s="601"/>
      <c r="DR37" s="1134">
        <f ca="1">OFFSET('VVP2'!$G$198,0,(COLUMN()-8)/6)</f>
        <v>62.885580000000004</v>
      </c>
      <c r="DS37" s="585"/>
      <c r="DT37" s="613"/>
      <c r="DU37" s="595"/>
      <c r="DV37" s="578"/>
      <c r="DW37" s="601"/>
      <c r="DX37" s="1134">
        <f ca="1">OFFSET('VVP2'!$G$198,0,(COLUMN()-8)/6)</f>
        <v>64.084599999999995</v>
      </c>
      <c r="DY37" s="585"/>
      <c r="DZ37" s="613"/>
      <c r="EA37" s="595"/>
      <c r="EB37" s="578"/>
      <c r="EC37" s="601"/>
      <c r="ED37" s="1134">
        <f ca="1">OFFSET('VVP2'!$G$198,0,(COLUMN()-8)/6)</f>
        <v>65.977190000000007</v>
      </c>
      <c r="EE37" s="585"/>
      <c r="EF37" s="613"/>
      <c r="EG37" s="595"/>
      <c r="EH37" s="578"/>
      <c r="EI37" s="601"/>
      <c r="EJ37" s="1134">
        <f ca="1">OFFSET('VVP2'!$G$198,0,(COLUMN()-8)/6)</f>
        <v>68.266030000000001</v>
      </c>
      <c r="EK37" s="585"/>
      <c r="EL37" s="613"/>
      <c r="EM37" s="595"/>
      <c r="EN37" s="578"/>
      <c r="EO37" s="601"/>
      <c r="EP37" s="1134">
        <f ca="1">OFFSET('VVP2'!$G$198,0,(COLUMN()-8)/6)</f>
        <v>69.792550685790019</v>
      </c>
      <c r="EQ37" s="585"/>
      <c r="ER37" s="613"/>
    </row>
    <row r="38" spans="1:148" s="596" customFormat="1" ht="13.8" thickBot="1">
      <c r="A38" s="591"/>
      <c r="B38" s="592"/>
      <c r="C38" s="611"/>
      <c r="D38" s="612" t="s">
        <v>596</v>
      </c>
      <c r="E38" s="614"/>
      <c r="F38" s="578"/>
      <c r="G38" s="601"/>
      <c r="H38" s="1135">
        <f ca="1">OFFSET('VVP2'!$G$199,0,(COLUMN()-8)/6)</f>
        <v>18.110799999999998</v>
      </c>
      <c r="I38" s="585"/>
      <c r="J38" s="613"/>
      <c r="K38" s="614"/>
      <c r="L38" s="578"/>
      <c r="M38" s="601"/>
      <c r="N38" s="1135">
        <f ca="1">OFFSET('VVP2'!$G$199,0,(COLUMN()-8)/6)</f>
        <v>18.340450000000001</v>
      </c>
      <c r="O38" s="585"/>
      <c r="P38" s="613"/>
      <c r="Q38" s="614"/>
      <c r="R38" s="578"/>
      <c r="S38" s="601"/>
      <c r="T38" s="1135">
        <f ca="1">OFFSET('VVP2'!$G$199,0,(COLUMN()-8)/6)</f>
        <v>18.756080000000001</v>
      </c>
      <c r="U38" s="585"/>
      <c r="V38" s="613"/>
      <c r="W38" s="614"/>
      <c r="X38" s="578"/>
      <c r="Y38" s="601"/>
      <c r="Z38" s="1135">
        <f ca="1">OFFSET('VVP2'!$G$199,0,(COLUMN()-8)/6)</f>
        <v>19.2194</v>
      </c>
      <c r="AA38" s="585"/>
      <c r="AB38" s="613"/>
      <c r="AC38" s="614"/>
      <c r="AD38" s="578"/>
      <c r="AE38" s="601"/>
      <c r="AF38" s="1135">
        <f ca="1">OFFSET('VVP2'!$G$199,0,(COLUMN()-8)/6)</f>
        <v>20.363259999999997</v>
      </c>
      <c r="AG38" s="585"/>
      <c r="AH38" s="613"/>
      <c r="AI38" s="614"/>
      <c r="AJ38" s="578"/>
      <c r="AK38" s="601"/>
      <c r="AL38" s="1135">
        <f ca="1">OFFSET('VVP2'!$G$199,0,(COLUMN()-8)/6)</f>
        <v>21.579229999999999</v>
      </c>
      <c r="AM38" s="585"/>
      <c r="AN38" s="613"/>
      <c r="AO38" s="614"/>
      <c r="AP38" s="578"/>
      <c r="AQ38" s="601"/>
      <c r="AR38" s="1135">
        <f ca="1">OFFSET('VVP2'!$G$199,0,(COLUMN()-8)/6)</f>
        <v>22.08963</v>
      </c>
      <c r="AS38" s="585"/>
      <c r="AT38" s="613"/>
      <c r="AU38" s="614"/>
      <c r="AV38" s="578"/>
      <c r="AW38" s="601"/>
      <c r="AX38" s="1135">
        <f ca="1">OFFSET('VVP2'!$G$199,0,(COLUMN()-8)/6)</f>
        <v>24.016029999999997</v>
      </c>
      <c r="AY38" s="585"/>
      <c r="AZ38" s="613"/>
      <c r="BA38" s="614"/>
      <c r="BB38" s="578"/>
      <c r="BC38" s="601"/>
      <c r="BD38" s="1135">
        <f ca="1">OFFSET('VVP2'!$G$199,0,(COLUMN()-8)/6)</f>
        <v>24.54054</v>
      </c>
      <c r="BE38" s="585"/>
      <c r="BF38" s="613"/>
      <c r="BG38" s="614"/>
      <c r="BH38" s="578"/>
      <c r="BI38" s="601"/>
      <c r="BJ38" s="1135">
        <f ca="1">OFFSET('VVP2'!$G$199,0,(COLUMN()-8)/6)</f>
        <v>25.191790000000001</v>
      </c>
      <c r="BK38" s="585"/>
      <c r="BL38" s="613"/>
      <c r="BM38" s="614"/>
      <c r="BN38" s="578"/>
      <c r="BO38" s="601"/>
      <c r="BP38" s="1135">
        <f ca="1">OFFSET('VVP2'!$G$199,0,(COLUMN()-8)/6)</f>
        <v>26.31739</v>
      </c>
      <c r="BQ38" s="585"/>
      <c r="BR38" s="613"/>
      <c r="BS38" s="614"/>
      <c r="BT38" s="578"/>
      <c r="BU38" s="601"/>
      <c r="BV38" s="1135">
        <f ca="1">OFFSET('VVP2'!$G$199,0,(COLUMN()-8)/6)</f>
        <v>27.374759999999998</v>
      </c>
      <c r="BW38" s="585"/>
      <c r="BX38" s="613"/>
      <c r="BY38" s="614"/>
      <c r="BZ38" s="578"/>
      <c r="CA38" s="601"/>
      <c r="CB38" s="1135">
        <f ca="1">OFFSET('VVP2'!$G$199,0,(COLUMN()-8)/6)</f>
        <v>28.421060000000001</v>
      </c>
      <c r="CC38" s="585"/>
      <c r="CD38" s="613"/>
      <c r="CE38" s="614"/>
      <c r="CF38" s="578"/>
      <c r="CG38" s="601"/>
      <c r="CH38" s="1135">
        <f ca="1">OFFSET('VVP2'!$G$199,0,(COLUMN()-8)/6)</f>
        <v>30.12097</v>
      </c>
      <c r="CI38" s="585"/>
      <c r="CJ38" s="613"/>
      <c r="CK38" s="614"/>
      <c r="CL38" s="578"/>
      <c r="CM38" s="601"/>
      <c r="CN38" s="1135">
        <f ca="1">OFFSET('VVP2'!$G$199,0,(COLUMN()-8)/6)</f>
        <v>31.222519999999999</v>
      </c>
      <c r="CO38" s="585"/>
      <c r="CP38" s="613"/>
      <c r="CQ38" s="614"/>
      <c r="CR38" s="578"/>
      <c r="CS38" s="601"/>
      <c r="CT38" s="1135">
        <f ca="1">OFFSET('VVP2'!$G$199,0,(COLUMN()-8)/6)</f>
        <v>31.24568</v>
      </c>
      <c r="CU38" s="585"/>
      <c r="CV38" s="613"/>
      <c r="CW38" s="614"/>
      <c r="CX38" s="578"/>
      <c r="CY38" s="601"/>
      <c r="CZ38" s="1135">
        <f ca="1">OFFSET('VVP2'!$G$199,0,(COLUMN()-8)/6)</f>
        <v>32.350720000000003</v>
      </c>
      <c r="DA38" s="585"/>
      <c r="DB38" s="613"/>
      <c r="DC38" s="614"/>
      <c r="DD38" s="578"/>
      <c r="DE38" s="601"/>
      <c r="DF38" s="1135">
        <f ca="1">OFFSET('VVP2'!$G$199,0,(COLUMN()-8)/6)</f>
        <v>33.70393</v>
      </c>
      <c r="DG38" s="585"/>
      <c r="DH38" s="613"/>
      <c r="DI38" s="614"/>
      <c r="DJ38" s="578"/>
      <c r="DK38" s="601"/>
      <c r="DL38" s="1135">
        <f ca="1">OFFSET('VVP2'!$G$199,0,(COLUMN()-8)/6)</f>
        <v>34.91019</v>
      </c>
      <c r="DM38" s="585"/>
      <c r="DN38" s="613"/>
      <c r="DO38" s="614"/>
      <c r="DP38" s="578"/>
      <c r="DQ38" s="601"/>
      <c r="DR38" s="1135">
        <f ca="1">OFFSET('VVP2'!$G$199,0,(COLUMN()-8)/6)</f>
        <v>34.472120000000004</v>
      </c>
      <c r="DS38" s="585"/>
      <c r="DT38" s="613"/>
      <c r="DU38" s="614"/>
      <c r="DV38" s="578"/>
      <c r="DW38" s="601"/>
      <c r="DX38" s="1135">
        <f ca="1">OFFSET('VVP2'!$G$199,0,(COLUMN()-8)/6)</f>
        <v>34.003</v>
      </c>
      <c r="DY38" s="585"/>
      <c r="DZ38" s="613"/>
      <c r="EA38" s="614"/>
      <c r="EB38" s="578"/>
      <c r="EC38" s="601"/>
      <c r="ED38" s="1135">
        <f ca="1">OFFSET('VVP2'!$G$199,0,(COLUMN()-8)/6)</f>
        <v>33.262910000000005</v>
      </c>
      <c r="EE38" s="585"/>
      <c r="EF38" s="613"/>
      <c r="EG38" s="614"/>
      <c r="EH38" s="578"/>
      <c r="EI38" s="601"/>
      <c r="EJ38" s="1135">
        <f ca="1">OFFSET('VVP2'!$G$199,0,(COLUMN()-8)/6)</f>
        <v>34.146269999999994</v>
      </c>
      <c r="EK38" s="585"/>
      <c r="EL38" s="613"/>
      <c r="EM38" s="614"/>
      <c r="EN38" s="578"/>
      <c r="EO38" s="601"/>
      <c r="EP38" s="1135">
        <f ca="1">OFFSET('VVP2'!$G$199,0,(COLUMN()-8)/6)</f>
        <v>34.972609733999995</v>
      </c>
      <c r="EQ38" s="585"/>
      <c r="ER38" s="613"/>
    </row>
    <row r="39" spans="1:148" s="577" customFormat="1" ht="13.8" thickBot="1">
      <c r="A39" s="572"/>
      <c r="B39" s="573" t="s">
        <v>624</v>
      </c>
      <c r="C39" s="4151" t="s">
        <v>249</v>
      </c>
      <c r="D39" s="4152"/>
      <c r="E39" s="583">
        <f ca="1">+F39+G39+H39</f>
        <v>56.00030000000001</v>
      </c>
      <c r="F39" s="583">
        <f ca="1">+F34+F35-F36</f>
        <v>27.766200000000012</v>
      </c>
      <c r="G39" s="583">
        <f ca="1">+G34+G35-G36</f>
        <v>31.513399999999997</v>
      </c>
      <c r="H39" s="583">
        <f ca="1">+H34+H35-H36</f>
        <v>-3.2792999999999992</v>
      </c>
      <c r="I39" s="583"/>
      <c r="J39" s="580"/>
      <c r="K39" s="583">
        <f ca="1">+L39+M39+N39</f>
        <v>54.958899999999979</v>
      </c>
      <c r="L39" s="583">
        <f ca="1">+L34+L35-L36</f>
        <v>24.992500000000007</v>
      </c>
      <c r="M39" s="583">
        <f ca="1">+M34+M35-M36</f>
        <v>32.254899999999985</v>
      </c>
      <c r="N39" s="583">
        <f ca="1">+N34+N35-N36</f>
        <v>-2.2885000000000133</v>
      </c>
      <c r="O39" s="583"/>
      <c r="P39" s="580"/>
      <c r="Q39" s="583">
        <f ca="1">+R39+S39+T39</f>
        <v>60.700800000000022</v>
      </c>
      <c r="R39" s="583">
        <f ca="1">+R34+R35-R36</f>
        <v>24.532000000000011</v>
      </c>
      <c r="S39" s="583">
        <f ca="1">+S34+S35-S36</f>
        <v>34.149800000000006</v>
      </c>
      <c r="T39" s="583">
        <f ca="1">+T34+T35-T36</f>
        <v>2.0190000000000055</v>
      </c>
      <c r="U39" s="583"/>
      <c r="V39" s="580"/>
      <c r="W39" s="583">
        <f ca="1">+X39+Y39+Z39</f>
        <v>62.838700000000053</v>
      </c>
      <c r="X39" s="583">
        <f ca="1">+X34+X35-X36</f>
        <v>24.448400000000049</v>
      </c>
      <c r="Y39" s="583">
        <f ca="1">+Y34+Y35-Y36</f>
        <v>33.444899999999997</v>
      </c>
      <c r="Z39" s="583">
        <f ca="1">+Z34+Z35-Z36</f>
        <v>4.9454000000000065</v>
      </c>
      <c r="AA39" s="583"/>
      <c r="AB39" s="580"/>
      <c r="AC39" s="583">
        <f ca="1">+AD39+AE39+AF39</f>
        <v>67.210000000000008</v>
      </c>
      <c r="AD39" s="583">
        <f ca="1">+AD34+AD35-AD36</f>
        <v>25.655600000000021</v>
      </c>
      <c r="AE39" s="583">
        <f ca="1">+AE34+AE35-AE36</f>
        <v>35.325399999999981</v>
      </c>
      <c r="AF39" s="583">
        <f ca="1">+AF34+AF35-AF36</f>
        <v>6.2289999999999992</v>
      </c>
      <c r="AG39" s="583"/>
      <c r="AH39" s="580"/>
      <c r="AI39" s="583">
        <f ca="1">+AJ39+AK39+AL39</f>
        <v>71.63360000000003</v>
      </c>
      <c r="AJ39" s="583">
        <f ca="1">+AJ34+AJ35-AJ36</f>
        <v>25.650800000000032</v>
      </c>
      <c r="AK39" s="583">
        <f ca="1">+AK34+AK35-AK36</f>
        <v>37.948300000000003</v>
      </c>
      <c r="AL39" s="583">
        <f ca="1">+AL34+AL35-AL36</f>
        <v>8.0345000000000013</v>
      </c>
      <c r="AM39" s="583"/>
      <c r="AN39" s="580"/>
      <c r="AO39" s="583">
        <f ca="1">+AP39+AQ39+AR39</f>
        <v>71.022499999999994</v>
      </c>
      <c r="AP39" s="583">
        <f ca="1">+AP34+AP35-AP36</f>
        <v>29.259899999999988</v>
      </c>
      <c r="AQ39" s="583">
        <f ca="1">+AQ34+AQ35-AQ36</f>
        <v>34.250800000000005</v>
      </c>
      <c r="AR39" s="583">
        <f ca="1">+AR34+AR35-AR36</f>
        <v>7.5118000000000009</v>
      </c>
      <c r="AS39" s="583"/>
      <c r="AT39" s="580"/>
      <c r="AU39" s="583">
        <f ca="1">+AV39+AW39+AX39</f>
        <v>73.35810000000005</v>
      </c>
      <c r="AV39" s="583">
        <f ca="1">+AV34+AV35-AV36</f>
        <v>28.332200000000057</v>
      </c>
      <c r="AW39" s="583">
        <f ca="1">+AW34+AW35-AW36</f>
        <v>38.139199999999995</v>
      </c>
      <c r="AX39" s="583">
        <f ca="1">+AX34+AX35-AX36</f>
        <v>6.8867000000000047</v>
      </c>
      <c r="AY39" s="583"/>
      <c r="AZ39" s="580"/>
      <c r="BA39" s="583">
        <f ca="1">+BB39+BC39+BD39</f>
        <v>74.885799999999989</v>
      </c>
      <c r="BB39" s="583">
        <f ca="1">+BB34+BB35-BB36</f>
        <v>28.405799999999971</v>
      </c>
      <c r="BC39" s="583">
        <f ca="1">+BC34+BC35-BC36</f>
        <v>42.858500000000006</v>
      </c>
      <c r="BD39" s="583">
        <f ca="1">+BD34+BD35-BD36</f>
        <v>3.6215000000000117</v>
      </c>
      <c r="BE39" s="583"/>
      <c r="BF39" s="580"/>
      <c r="BG39" s="583">
        <f ca="1">+BH39+BI39+BJ39</f>
        <v>80.730899999999991</v>
      </c>
      <c r="BH39" s="583">
        <f ca="1">+BH34+BH35-BH36</f>
        <v>26.711899999999986</v>
      </c>
      <c r="BI39" s="583">
        <f ca="1">+BI34+BI35-BI36</f>
        <v>47.920500000000011</v>
      </c>
      <c r="BJ39" s="583">
        <f ca="1">+BJ34+BJ35-BJ36</f>
        <v>6.0985000000000014</v>
      </c>
      <c r="BK39" s="583"/>
      <c r="BL39" s="580"/>
      <c r="BM39" s="583">
        <f ca="1">+BN39+BO39+BP39</f>
        <v>84.089900000000043</v>
      </c>
      <c r="BN39" s="583">
        <f ca="1">+BN34+BN35-BN36</f>
        <v>27.315100000000001</v>
      </c>
      <c r="BO39" s="583">
        <f ca="1">+BO34+BO35-BO36</f>
        <v>50.093500000000027</v>
      </c>
      <c r="BP39" s="583">
        <f ca="1">+BP34+BP35-BP36</f>
        <v>6.6813000000000073</v>
      </c>
      <c r="BQ39" s="583"/>
      <c r="BR39" s="580"/>
      <c r="BS39" s="583">
        <f ca="1">+BT39+BU39+BV39</f>
        <v>90.029800000000066</v>
      </c>
      <c r="BT39" s="583">
        <f ca="1">+BT34+BT35-BT36</f>
        <v>30.096700000000055</v>
      </c>
      <c r="BU39" s="583">
        <f ca="1">+BU34+BU35-BU36</f>
        <v>51.733499999999985</v>
      </c>
      <c r="BV39" s="583">
        <f ca="1">+BV34+BV35-BV36</f>
        <v>8.199600000000018</v>
      </c>
      <c r="BW39" s="583"/>
      <c r="BX39" s="580"/>
      <c r="BY39" s="583">
        <f ca="1">+BZ39+CA39+CB39</f>
        <v>98.001399999999947</v>
      </c>
      <c r="BZ39" s="583">
        <f ca="1">+BZ34+BZ35-BZ36</f>
        <v>32.260899999999964</v>
      </c>
      <c r="CA39" s="583">
        <f ca="1">+CA34+CA35-CA36</f>
        <v>56.570699999999967</v>
      </c>
      <c r="CB39" s="583">
        <f ca="1">+CB34+CB35-CB36</f>
        <v>9.1698000000000235</v>
      </c>
      <c r="CC39" s="583"/>
      <c r="CD39" s="580"/>
      <c r="CE39" s="583">
        <f ca="1">+CF39+CG39+CH39</f>
        <v>95.896499999999989</v>
      </c>
      <c r="CF39" s="583">
        <f ca="1">+CF34+CF35-CF36</f>
        <v>35.65130000000002</v>
      </c>
      <c r="CG39" s="583">
        <f ca="1">+CG34+CG35-CG36</f>
        <v>54.46599999999998</v>
      </c>
      <c r="CH39" s="583">
        <f ca="1">+CH34+CH35-CH36</f>
        <v>5.7791999999999888</v>
      </c>
      <c r="CI39" s="583"/>
      <c r="CJ39" s="580"/>
      <c r="CK39" s="583">
        <f ca="1">+CL39+CM39+CN39</f>
        <v>78.569499999999934</v>
      </c>
      <c r="CL39" s="583">
        <f ca="1">+CL34+CL35-CL36</f>
        <v>39.04159999999996</v>
      </c>
      <c r="CM39" s="583">
        <f ca="1">+CM34+CM35-CM36</f>
        <v>47.259399999999957</v>
      </c>
      <c r="CN39" s="583">
        <f ca="1">+CN34+CN35-CN36</f>
        <v>-7.7314999999999827</v>
      </c>
      <c r="CO39" s="583"/>
      <c r="CP39" s="580"/>
      <c r="CQ39" s="583">
        <f ca="1">+CR39+CS39+CT39</f>
        <v>96.350700000000074</v>
      </c>
      <c r="CR39" s="583">
        <f ca="1">+CR34+CR35-CR36</f>
        <v>33.126400000000046</v>
      </c>
      <c r="CS39" s="583">
        <f ca="1">+CS34+CS35-CS36</f>
        <v>66.667099999999991</v>
      </c>
      <c r="CT39" s="583">
        <f ca="1">+CT34+CT35-CT36</f>
        <v>-3.4427999999999628</v>
      </c>
      <c r="CU39" s="583"/>
      <c r="CV39" s="580"/>
      <c r="CW39" s="583">
        <f ca="1">+CX39+CY39+CZ39</f>
        <v>91.817500000000052</v>
      </c>
      <c r="CX39" s="583">
        <f ca="1">+CX34+CX35-CX36</f>
        <v>30.656500000000023</v>
      </c>
      <c r="CY39" s="583">
        <f ca="1">+CY34+CY35-CY36</f>
        <v>62.676000000000016</v>
      </c>
      <c r="CZ39" s="583">
        <f ca="1">+CZ34+CZ35-CZ36</f>
        <v>-1.5149999999999864</v>
      </c>
      <c r="DA39" s="583"/>
      <c r="DB39" s="580"/>
      <c r="DC39" s="583">
        <f ca="1">+DD39+DE39+DF39</f>
        <v>95.746799999999851</v>
      </c>
      <c r="DD39" s="583">
        <f ca="1">+DD34+DD35-DD36</f>
        <v>29.812499999999886</v>
      </c>
      <c r="DE39" s="583">
        <f ca="1">+DE34+DE35-DE36</f>
        <v>66.572499999999948</v>
      </c>
      <c r="DF39" s="583">
        <f ca="1">+DF34+DF35-DF36</f>
        <v>-0.63819999999998345</v>
      </c>
      <c r="DG39" s="583"/>
      <c r="DH39" s="580"/>
      <c r="DI39" s="583">
        <f ca="1">+DJ39+DK39+DL39</f>
        <v>91.573099999999982</v>
      </c>
      <c r="DJ39" s="583">
        <f ca="1">+DJ34+DJ35-DJ36</f>
        <v>29.230000000000047</v>
      </c>
      <c r="DK39" s="583">
        <f ca="1">+DK34+DK35-DK36</f>
        <v>61.829099999999947</v>
      </c>
      <c r="DL39" s="583">
        <f ca="1">+DL34+DL35-DL36</f>
        <v>0.51399999999998158</v>
      </c>
      <c r="DM39" s="583"/>
      <c r="DN39" s="580"/>
      <c r="DO39" s="583">
        <f ca="1">+DP39+DQ39+DR39</f>
        <v>92.134499999999989</v>
      </c>
      <c r="DP39" s="583">
        <f ca="1">+DP34+DP35-DP36</f>
        <v>29.128200000000021</v>
      </c>
      <c r="DQ39" s="583">
        <f ca="1">+DQ34+DQ35-DQ36</f>
        <v>62.994099999999989</v>
      </c>
      <c r="DR39" s="583">
        <f ca="1">+DR34+DR35-DR36</f>
        <v>1.2199999999978672E-2</v>
      </c>
      <c r="DS39" s="583"/>
      <c r="DT39" s="580"/>
      <c r="DU39" s="583">
        <f ca="1">+DV39+DW39+DX39</f>
        <v>94.809699999999921</v>
      </c>
      <c r="DV39" s="583">
        <f ca="1">+DV34+DV35-DV36</f>
        <v>28.248099999999965</v>
      </c>
      <c r="DW39" s="583">
        <f ca="1">+DW34+DW35-DW36</f>
        <v>65.901299999999978</v>
      </c>
      <c r="DX39" s="583">
        <f ca="1">+DX34+DX35-DX36</f>
        <v>0.66029999999997813</v>
      </c>
      <c r="DY39" s="583"/>
      <c r="DZ39" s="580"/>
      <c r="EA39" s="583">
        <f ca="1">+EB39+EC39+ED39</f>
        <v>101.66859999999994</v>
      </c>
      <c r="EB39" s="583">
        <f ca="1">+EB34+EB35-EB36</f>
        <v>27.25049999999996</v>
      </c>
      <c r="EC39" s="583">
        <f ca="1">+EC34+EC35-EC36</f>
        <v>74.844000000000008</v>
      </c>
      <c r="ED39" s="583">
        <f ca="1">+ED34+ED35-ED36</f>
        <v>-0.42590000000002703</v>
      </c>
      <c r="EE39" s="583"/>
      <c r="EF39" s="580"/>
      <c r="EG39" s="583">
        <f ca="1">+EH39+EI39+EJ39</f>
        <v>109.94324615503317</v>
      </c>
      <c r="EH39" s="583">
        <f ca="1">+EH34+EH35-EH36</f>
        <v>27.796514627749161</v>
      </c>
      <c r="EI39" s="583">
        <f ca="1">+EI34+EI35-EI36</f>
        <v>76.710231527284009</v>
      </c>
      <c r="EJ39" s="583">
        <f ca="1">+EJ34+EJ35-EJ36</f>
        <v>5.4364999999999952</v>
      </c>
      <c r="EK39" s="583"/>
      <c r="EL39" s="580"/>
      <c r="EM39" s="583">
        <f ca="1">+EN39+EO39+EP39</f>
        <v>114.93756419795649</v>
      </c>
      <c r="EN39" s="583">
        <f ca="1">+EN34+EN35-EN36</f>
        <v>27.716997210620178</v>
      </c>
      <c r="EO39" s="583">
        <f ca="1">+EO34+EO35-EO36</f>
        <v>81.741772883612086</v>
      </c>
      <c r="EP39" s="583">
        <f ca="1">+EP34+EP35-EP36</f>
        <v>5.4787941037242263</v>
      </c>
      <c r="EQ39" s="583"/>
      <c r="ER39" s="580"/>
    </row>
    <row r="40" spans="1:148">
      <c r="A40" s="567"/>
      <c r="B40" s="568" t="s">
        <v>622</v>
      </c>
      <c r="C40" s="4136" t="s">
        <v>250</v>
      </c>
      <c r="D40" s="4135"/>
      <c r="E40" s="581">
        <f ca="1">+F40+G40+H40</f>
        <v>-0.24909999999999988</v>
      </c>
      <c r="F40" s="579">
        <f ca="1">OFFSET(Sector1!$G$795,0,(COLUMN()-6)/6)</f>
        <v>0.59199999999999997</v>
      </c>
      <c r="G40" s="579">
        <f ca="1">OFFSET(Sector1!$G$796,0,(COLUMN()-7)/6)</f>
        <v>0.66820000000000002</v>
      </c>
      <c r="H40" s="1052">
        <f ca="1">+H41-H42+H43-H44</f>
        <v>-1.5092999999999999</v>
      </c>
      <c r="I40" s="579">
        <f ca="1">-OFFSET(Sector1!$G$797,0,(COLUMN()-9)/6)</f>
        <v>0.22929999999999995</v>
      </c>
      <c r="J40" s="615">
        <f ca="1">+E40+I40</f>
        <v>-1.9799999999999929E-2</v>
      </c>
      <c r="K40" s="581">
        <f ca="1">+L40+M40+N40</f>
        <v>-0.10569999999999991</v>
      </c>
      <c r="L40" s="579">
        <f ca="1">OFFSET(Sector1!$G$795,0,(COLUMN()-6)/6)</f>
        <v>0.10340000000000009</v>
      </c>
      <c r="M40" s="579">
        <f ca="1">OFFSET(Sector1!$G$796,0,(COLUMN()-7)/6)</f>
        <v>1.4042999999999999</v>
      </c>
      <c r="N40" s="1052">
        <f ca="1">+N41-N42+N43-N44</f>
        <v>-1.6133999999999999</v>
      </c>
      <c r="O40" s="579">
        <f ca="1">-OFFSET(Sector1!$G$797,0,(COLUMN()-9)/6)</f>
        <v>0.10569999999999999</v>
      </c>
      <c r="P40" s="615">
        <f ca="1">+K40+O40</f>
        <v>0</v>
      </c>
      <c r="Q40" s="581">
        <f ca="1">+R40+S40+T40</f>
        <v>0.39400000000000013</v>
      </c>
      <c r="R40" s="579">
        <f ca="1">OFFSET(Sector1!$G$795,0,(COLUMN()-6)/6)</f>
        <v>-2.1699999999999931E-2</v>
      </c>
      <c r="S40" s="579">
        <f ca="1">OFFSET(Sector1!$G$796,0,(COLUMN()-7)/6)</f>
        <v>2.3801000000000001</v>
      </c>
      <c r="T40" s="1052">
        <f ca="1">+T41-T42+T43-T44</f>
        <v>-1.9643999999999999</v>
      </c>
      <c r="U40" s="579">
        <f ca="1">-OFFSET(Sector1!$G$797,0,(COLUMN()-9)/6)</f>
        <v>-0.39400000000000002</v>
      </c>
      <c r="V40" s="615">
        <f ca="1">+Q40+U40</f>
        <v>0</v>
      </c>
      <c r="W40" s="581">
        <f ca="1">+X40+Y40+Z40</f>
        <v>-0.13249999999999984</v>
      </c>
      <c r="X40" s="579">
        <f ca="1">OFFSET(Sector1!$G$795,0,(COLUMN()-6)/6)</f>
        <v>-0.16729999999999995</v>
      </c>
      <c r="Y40" s="579">
        <f ca="1">OFFSET(Sector1!$G$796,0,(COLUMN()-7)/6)</f>
        <v>2.246</v>
      </c>
      <c r="Z40" s="1052">
        <f ca="1">+Z41-Z42+Z43-Z44</f>
        <v>-2.2111999999999998</v>
      </c>
      <c r="AA40" s="579">
        <f ca="1">-OFFSET(Sector1!$G$797,0,(COLUMN()-9)/6)</f>
        <v>0.13250000000000001</v>
      </c>
      <c r="AB40" s="615">
        <f ca="1">+W40+AA40</f>
        <v>0</v>
      </c>
      <c r="AC40" s="581">
        <f ca="1">+AD40+AE40+AF40</f>
        <v>-4.170000000000007E-2</v>
      </c>
      <c r="AD40" s="579">
        <f ca="1">OFFSET(Sector1!$G$795,0,(COLUMN()-6)/6)</f>
        <v>-0.10130000000000018</v>
      </c>
      <c r="AE40" s="579">
        <f ca="1">OFFSET(Sector1!$G$796,0,(COLUMN()-7)/6)</f>
        <v>1.7175000000000002</v>
      </c>
      <c r="AF40" s="1052">
        <f ca="1">+AF41-AF42+AF43-AF44</f>
        <v>-1.6579000000000002</v>
      </c>
      <c r="AG40" s="579">
        <f ca="1">-OFFSET(Sector1!$G$797,0,(COLUMN()-9)/6)</f>
        <v>4.1700000000000043E-2</v>
      </c>
      <c r="AH40" s="615">
        <f ca="1">+AC40+AG40</f>
        <v>0</v>
      </c>
      <c r="AI40" s="581">
        <f ca="1">+AJ40+AK40+AL40</f>
        <v>-0.20869999999999966</v>
      </c>
      <c r="AJ40" s="579">
        <f ca="1">OFFSET(Sector1!$G$795,0,(COLUMN()-6)/6)</f>
        <v>-0.27950000000000003</v>
      </c>
      <c r="AK40" s="579">
        <f ca="1">OFFSET(Sector1!$G$796,0,(COLUMN()-7)/6)</f>
        <v>2.0594000000000001</v>
      </c>
      <c r="AL40" s="1052">
        <f ca="1">+AL41-AL42+AL43-AL44</f>
        <v>-1.9885999999999997</v>
      </c>
      <c r="AM40" s="579">
        <f ca="1">-OFFSET(Sector1!$G$797,0,(COLUMN()-9)/6)</f>
        <v>0.20869999999999994</v>
      </c>
      <c r="AN40" s="615">
        <f ca="1">+AI40+AM40</f>
        <v>2.7755575615628914E-16</v>
      </c>
      <c r="AO40" s="581">
        <f ca="1">+AP40+AQ40+AR40</f>
        <v>-0.49520000000000008</v>
      </c>
      <c r="AP40" s="579">
        <f ca="1">OFFSET(Sector1!$G$795,0,(COLUMN()-6)/6)</f>
        <v>-0.90979999999999994</v>
      </c>
      <c r="AQ40" s="579">
        <f ca="1">OFFSET(Sector1!$G$796,0,(COLUMN()-7)/6)</f>
        <v>1.6375999999999999</v>
      </c>
      <c r="AR40" s="1052">
        <f ca="1">+AR41-AR42+AR43-AR44</f>
        <v>-1.2230000000000001</v>
      </c>
      <c r="AS40" s="579">
        <f ca="1">-OFFSET(Sector1!$G$797,0,(COLUMN()-9)/6)</f>
        <v>0.49519999999999997</v>
      </c>
      <c r="AT40" s="615">
        <f ca="1">+AO40+AS40</f>
        <v>0</v>
      </c>
      <c r="AU40" s="581">
        <f ca="1">+AV40+AW40+AX40</f>
        <v>-0.35349999999999993</v>
      </c>
      <c r="AV40" s="579">
        <f ca="1">OFFSET(Sector1!$G$795,0,(COLUMN()-6)/6)</f>
        <v>-0.56590000000000007</v>
      </c>
      <c r="AW40" s="579">
        <f ca="1">OFFSET(Sector1!$G$796,0,(COLUMN()-7)/6)</f>
        <v>1.3277999999999999</v>
      </c>
      <c r="AX40" s="1052">
        <f ca="1">+AX41-AX42+AX43-AX44</f>
        <v>-1.1153999999999997</v>
      </c>
      <c r="AY40" s="579">
        <f ca="1">-OFFSET(Sector1!$G$797,0,(COLUMN()-9)/6)</f>
        <v>0.35350000000000004</v>
      </c>
      <c r="AZ40" s="615">
        <f ca="1">+AU40+AY40</f>
        <v>0</v>
      </c>
      <c r="BA40" s="581">
        <f ca="1">+BB40+BC40+BD40</f>
        <v>-5.5499999999999883E-2</v>
      </c>
      <c r="BB40" s="579">
        <f ca="1">OFFSET(Sector1!$G$795,0,(COLUMN()-6)/6)</f>
        <v>-0.95559999999999989</v>
      </c>
      <c r="BC40" s="579">
        <f ca="1">OFFSET(Sector1!$G$796,0,(COLUMN()-7)/6)</f>
        <v>3.4469000000000003</v>
      </c>
      <c r="BD40" s="1052">
        <f ca="1">+BD41-BD42+BD43-BD44</f>
        <v>-2.5468000000000002</v>
      </c>
      <c r="BE40" s="579">
        <f ca="1">-OFFSET(Sector1!$G$797,0,(COLUMN()-9)/6)</f>
        <v>5.5500000000000001E-2</v>
      </c>
      <c r="BF40" s="615">
        <f ca="1">+BA40+BE40</f>
        <v>1.1796119636642288E-16</v>
      </c>
      <c r="BG40" s="581">
        <f ca="1">+BH40+BI40+BJ40</f>
        <v>-3.5599999999999854E-2</v>
      </c>
      <c r="BH40" s="579">
        <f ca="1">OFFSET(Sector1!$G$795,0,(COLUMN()-6)/6)</f>
        <v>-1.2715000000000001</v>
      </c>
      <c r="BI40" s="579">
        <f ca="1">OFFSET(Sector1!$G$796,0,(COLUMN()-7)/6)</f>
        <v>1.6475000000000002</v>
      </c>
      <c r="BJ40" s="1052">
        <f ca="1">+BJ41-BJ42+BJ43-BJ44</f>
        <v>-0.41159999999999997</v>
      </c>
      <c r="BK40" s="579">
        <f ca="1">-OFFSET(Sector1!$G$797,0,(COLUMN()-9)/6)</f>
        <v>3.5599999999999965E-2</v>
      </c>
      <c r="BL40" s="615">
        <f ca="1">+BG40+BK40</f>
        <v>1.1102230246251565E-16</v>
      </c>
      <c r="BM40" s="581">
        <f ca="1">+BN40+BO40+BP40</f>
        <v>-0.16049999999999898</v>
      </c>
      <c r="BN40" s="579">
        <f ca="1">OFFSET(Sector1!$G$795,0,(COLUMN()-6)/6)</f>
        <v>-1.2925</v>
      </c>
      <c r="BO40" s="579">
        <f ca="1">OFFSET(Sector1!$G$796,0,(COLUMN()-7)/6)</f>
        <v>9.8975000000000009</v>
      </c>
      <c r="BP40" s="1052">
        <f ca="1">+BP41-BP42+BP43-BP44</f>
        <v>-8.7654999999999994</v>
      </c>
      <c r="BQ40" s="579">
        <f ca="1">-OFFSET(Sector1!$G$797,0,(COLUMN()-9)/6)</f>
        <v>0.1605</v>
      </c>
      <c r="BR40" s="615">
        <f ca="1">+BM40+BQ40</f>
        <v>1.0269562977782698E-15</v>
      </c>
      <c r="BS40" s="581">
        <f ca="1">+BT40+BU40+BV40</f>
        <v>-7.4499999999999567E-2</v>
      </c>
      <c r="BT40" s="579">
        <f ca="1">OFFSET(Sector1!$G$795,0,(COLUMN()-6)/6)</f>
        <v>-1.6690999999999998</v>
      </c>
      <c r="BU40" s="579">
        <f ca="1">OFFSET(Sector1!$G$796,0,(COLUMN()-7)/6)</f>
        <v>3.1446000000000001</v>
      </c>
      <c r="BV40" s="1052">
        <f ca="1">+BV41-BV42+BV43-BV44</f>
        <v>-1.5499999999999998</v>
      </c>
      <c r="BW40" s="579">
        <f ca="1">-OFFSET(Sector1!$G$797,0,(COLUMN()-9)/6)</f>
        <v>7.4499999999999997E-2</v>
      </c>
      <c r="BX40" s="615">
        <f ca="1">+BS40+BW40</f>
        <v>4.3021142204224816E-16</v>
      </c>
      <c r="BY40" s="581">
        <f ca="1">+BZ40+CA40+CB40</f>
        <v>-0.19949999999999934</v>
      </c>
      <c r="BZ40" s="579">
        <f ca="1">OFFSET(Sector1!$G$795,0,(COLUMN()-6)/6)</f>
        <v>-1.6176999999999999</v>
      </c>
      <c r="CA40" s="579">
        <f ca="1">OFFSET(Sector1!$G$796,0,(COLUMN()-7)/6)</f>
        <v>3.3786999999999998</v>
      </c>
      <c r="CB40" s="1052">
        <f ca="1">+CB41-CB42+CB43-CB44</f>
        <v>-1.9604999999999992</v>
      </c>
      <c r="CC40" s="579">
        <f ca="1">-OFFSET(Sector1!$G$797,0,(COLUMN()-9)/6)</f>
        <v>0.19950000000000001</v>
      </c>
      <c r="CD40" s="615">
        <f ca="1">+BY40+CC40</f>
        <v>6.6613381477509392E-16</v>
      </c>
      <c r="CE40" s="581">
        <f ca="1">+CF40+CG40+CH40</f>
        <v>-0.17979999999999907</v>
      </c>
      <c r="CF40" s="579">
        <f ca="1">OFFSET(Sector1!$G$795,0,(COLUMN()-6)/6)</f>
        <v>-1.6184999999999998</v>
      </c>
      <c r="CG40" s="579">
        <f ca="1">OFFSET(Sector1!$G$796,0,(COLUMN()-7)/6)</f>
        <v>3.4189000000000003</v>
      </c>
      <c r="CH40" s="1052">
        <f ca="1">+CH41-CH42+CH43-CH44</f>
        <v>-1.9801999999999995</v>
      </c>
      <c r="CI40" s="579">
        <f ca="1">-OFFSET(Sector1!$G$797,0,(COLUMN()-9)/6)</f>
        <v>0.17979999999999996</v>
      </c>
      <c r="CJ40" s="615">
        <f ca="1">+CE40+CI40</f>
        <v>8.8817841970012523E-16</v>
      </c>
      <c r="CK40" s="581">
        <f ca="1">+CL40+CM40+CN40</f>
        <v>-0.20270000000000055</v>
      </c>
      <c r="CL40" s="579">
        <f ca="1">OFFSET(Sector1!$G$795,0,(COLUMN()-6)/6)</f>
        <v>-1.1763000000000001</v>
      </c>
      <c r="CM40" s="579">
        <f ca="1">OFFSET(Sector1!$G$796,0,(COLUMN()-7)/6)</f>
        <v>3.4713999999999996</v>
      </c>
      <c r="CN40" s="1052">
        <f ca="1">+CN41-CN42+CN43-CN44</f>
        <v>-2.4978000000000002</v>
      </c>
      <c r="CO40" s="579">
        <f ca="1">-OFFSET(Sector1!$G$797,0,(COLUMN()-9)/6)</f>
        <v>0.20269999999999999</v>
      </c>
      <c r="CP40" s="615">
        <f ca="1">+CK40+CO40</f>
        <v>-5.5511151231257827E-16</v>
      </c>
      <c r="CQ40" s="581">
        <f ca="1">+CR40+CS40+CT40</f>
        <v>-0.27699999999999969</v>
      </c>
      <c r="CR40" s="579">
        <f ca="1">OFFSET(Sector1!$G$795,0,(COLUMN()-6)/6)</f>
        <v>-1.5324</v>
      </c>
      <c r="CS40" s="579">
        <f ca="1">OFFSET(Sector1!$G$796,0,(COLUMN()-7)/6)</f>
        <v>3.7886000000000002</v>
      </c>
      <c r="CT40" s="1052">
        <f ca="1">+CT41-CT42+CT43-CT44</f>
        <v>-2.5331999999999999</v>
      </c>
      <c r="CU40" s="579">
        <f ca="1">-OFFSET(Sector1!$G$797,0,(COLUMN()-9)/6)</f>
        <v>0.27700000000000002</v>
      </c>
      <c r="CV40" s="615">
        <f ca="1">+CQ40+CU40</f>
        <v>0</v>
      </c>
      <c r="CW40" s="581">
        <f ca="1">+CX40+CY40+CZ40</f>
        <v>-0.46049999999999969</v>
      </c>
      <c r="CX40" s="579">
        <f ca="1">OFFSET(Sector1!$G$795,0,(COLUMN()-6)/6)</f>
        <v>-1.1284000000000001</v>
      </c>
      <c r="CY40" s="579">
        <f ca="1">OFFSET(Sector1!$G$796,0,(COLUMN()-7)/6)</f>
        <v>4.9819000000000004</v>
      </c>
      <c r="CZ40" s="1052">
        <f ca="1">+CZ41-CZ42+CZ43-CZ44</f>
        <v>-4.3140000000000001</v>
      </c>
      <c r="DA40" s="579">
        <f ca="1">-OFFSET(Sector1!$G$797,0,(COLUMN()-9)/6)</f>
        <v>0.46050000000000002</v>
      </c>
      <c r="DB40" s="615">
        <f ca="1">+CW40+DA40</f>
        <v>0</v>
      </c>
      <c r="DC40" s="581">
        <f ca="1">+DD40+DE40+DF40</f>
        <v>2.3100000000000005</v>
      </c>
      <c r="DD40" s="579">
        <f ca="1">OFFSET(Sector1!$G$795,0,(COLUMN()-6)/6)</f>
        <v>-1.4658000000000002</v>
      </c>
      <c r="DE40" s="579">
        <f ca="1">OFFSET(Sector1!$G$796,0,(COLUMN()-7)/6)</f>
        <v>9.2680000000000007</v>
      </c>
      <c r="DF40" s="1052">
        <f ca="1">+DF41-DF42+DF43-DF44</f>
        <v>-5.4922000000000004</v>
      </c>
      <c r="DG40" s="579">
        <f ca="1">-OFFSET(Sector1!$G$797,0,(COLUMN()-9)/6)</f>
        <v>-2.31</v>
      </c>
      <c r="DH40" s="615">
        <f ca="1">+DC40+DG40</f>
        <v>0</v>
      </c>
      <c r="DI40" s="581">
        <f ca="1">+DJ40+DK40+DL40</f>
        <v>-0.17379999999999907</v>
      </c>
      <c r="DJ40" s="579">
        <f ca="1">OFFSET(Sector1!$G$795,0,(COLUMN()-6)/6)</f>
        <v>-2.5019999999999998</v>
      </c>
      <c r="DK40" s="579">
        <f ca="1">OFFSET(Sector1!$G$796,0,(COLUMN()-7)/6)</f>
        <v>5.4373000000000005</v>
      </c>
      <c r="DL40" s="1052">
        <f ca="1">+DL41-DL42+DL43-DL44</f>
        <v>-3.1090999999999998</v>
      </c>
      <c r="DM40" s="579">
        <f ca="1">-OFFSET(Sector1!$G$797,0,(COLUMN()-9)/6)</f>
        <v>0.17380000000000001</v>
      </c>
      <c r="DN40" s="615">
        <f ca="1">+DI40+DM40</f>
        <v>9.4368957093138306E-16</v>
      </c>
      <c r="DO40" s="581">
        <f ca="1">+DP40+DQ40+DR40</f>
        <v>-0.2847000000000004</v>
      </c>
      <c r="DP40" s="579">
        <f ca="1">OFFSET(Sector1!$G$795,0,(COLUMN()-6)/6)</f>
        <v>-2.9704999999999999</v>
      </c>
      <c r="DQ40" s="579">
        <f ca="1">OFFSET(Sector1!$G$796,0,(COLUMN()-7)/6)</f>
        <v>5.6782999999999992</v>
      </c>
      <c r="DR40" s="1052">
        <f ca="1">+DR41-DR42+DR43-DR44</f>
        <v>-2.9924999999999997</v>
      </c>
      <c r="DS40" s="579">
        <f ca="1">-OFFSET(Sector1!$G$797,0,(COLUMN()-9)/6)</f>
        <v>0.28999999999999998</v>
      </c>
      <c r="DT40" s="615">
        <f ca="1">+DO40+DS40</f>
        <v>5.2999999999995828E-3</v>
      </c>
      <c r="DU40" s="581">
        <f ca="1">+DV40+DW40+DX40</f>
        <v>-4.0499999999999314E-2</v>
      </c>
      <c r="DV40" s="579">
        <f ca="1">OFFSET(Sector1!$G$795,0,(COLUMN()-6)/6)</f>
        <v>-3.028</v>
      </c>
      <c r="DW40" s="579">
        <f ca="1">OFFSET(Sector1!$G$796,0,(COLUMN()-7)/6)</f>
        <v>4.3631000000000002</v>
      </c>
      <c r="DX40" s="1052">
        <f ca="1">+DX41-DX42+DX43-DX44</f>
        <v>-1.3755999999999995</v>
      </c>
      <c r="DY40" s="579">
        <f ca="1">-OFFSET(Sector1!$G$797,0,(COLUMN()-9)/6)</f>
        <v>-2.519999999999999E-2</v>
      </c>
      <c r="DZ40" s="615">
        <f ca="1">+DU40+DY40</f>
        <v>-6.5699999999999301E-2</v>
      </c>
      <c r="EA40" s="581">
        <f ca="1">+EB40+EC40+ED40</f>
        <v>-0.47180000000000044</v>
      </c>
      <c r="EB40" s="579">
        <f ca="1">OFFSET(Sector1!$G$795,0,(COLUMN()-6)/6)</f>
        <v>-2.8125</v>
      </c>
      <c r="EC40" s="579">
        <f ca="1">OFFSET(Sector1!$G$796,0,(COLUMN()-7)/6)</f>
        <v>3.0581</v>
      </c>
      <c r="ED40" s="1052">
        <f ca="1">+ED41-ED42+ED43-ED44</f>
        <v>-0.71740000000000048</v>
      </c>
      <c r="EE40" s="579">
        <f ca="1">-OFFSET(Sector1!$G$797,0,(COLUMN()-9)/6)</f>
        <v>0.35199999999999998</v>
      </c>
      <c r="EF40" s="615">
        <f ca="1">+EA40+EE40</f>
        <v>-0.11980000000000046</v>
      </c>
      <c r="EG40" s="581">
        <f ca="1">+EH40+EI40+EJ40</f>
        <v>-0.14208700000000007</v>
      </c>
      <c r="EH40" s="579">
        <f ca="1">OFFSET(Sector1!$G$795,0,(COLUMN()-6)/6)</f>
        <v>-2.953125</v>
      </c>
      <c r="EI40" s="579">
        <f ca="1">OFFSET(Sector1!$G$796,0,(COLUMN()-7)/6)</f>
        <v>2.9969380000000001</v>
      </c>
      <c r="EJ40" s="1052">
        <f ca="1">+EJ41-EJ42+EJ43-EJ44</f>
        <v>-0.18590000000000018</v>
      </c>
      <c r="EK40" s="579">
        <f ca="1">-OFFSET(Sector1!$G$797,0,(COLUMN()-9)/6)</f>
        <v>0.14208700000000007</v>
      </c>
      <c r="EL40" s="615">
        <f ca="1">+EG40+EK40</f>
        <v>0</v>
      </c>
      <c r="EM40" s="581">
        <f ca="1">+EN40+EO40+EP40</f>
        <v>0.13566012950414708</v>
      </c>
      <c r="EN40" s="579">
        <f ca="1">OFFSET(Sector1!$G$795,0,(COLUMN()-6)/6)</f>
        <v>-3.1007812500000003</v>
      </c>
      <c r="EO40" s="579">
        <f ca="1">OFFSET(Sector1!$G$796,0,(COLUMN()-7)/6)</f>
        <v>2.93699924</v>
      </c>
      <c r="EP40" s="1052">
        <f ca="1">+EP41-EP42+EP43-EP44</f>
        <v>0.29944213950414733</v>
      </c>
      <c r="EQ40" s="579">
        <f ca="1">-OFFSET(Sector1!$G$797,0,(COLUMN()-9)/6)</f>
        <v>-0.13566012950414708</v>
      </c>
      <c r="ER40" s="615">
        <f ca="1">+EM40+EQ40</f>
        <v>0</v>
      </c>
    </row>
    <row r="41" spans="1:148" s="596" customFormat="1">
      <c r="A41" s="591"/>
      <c r="B41" s="592"/>
      <c r="C41" s="611"/>
      <c r="D41" s="612" t="s">
        <v>1582</v>
      </c>
      <c r="E41" s="581"/>
      <c r="F41" s="578"/>
      <c r="G41" s="601"/>
      <c r="H41" s="590">
        <f ca="1">OFFSET(Sector1!$G$788,0,(COLUMN()-8)/6)</f>
        <v>0.7612000000000001</v>
      </c>
      <c r="I41" s="585"/>
      <c r="J41" s="613"/>
      <c r="K41" s="581"/>
      <c r="L41" s="578"/>
      <c r="M41" s="601"/>
      <c r="N41" s="590">
        <f ca="1">OFFSET(Sector1!$G$788,0,(COLUMN()-8)/6)</f>
        <v>0.83029999999999993</v>
      </c>
      <c r="O41" s="585"/>
      <c r="P41" s="613"/>
      <c r="Q41" s="581"/>
      <c r="R41" s="578"/>
      <c r="S41" s="601"/>
      <c r="T41" s="590">
        <f ca="1">OFFSET(Sector1!$G$788,0,(COLUMN()-8)/6)</f>
        <v>0.81599999999999995</v>
      </c>
      <c r="U41" s="585"/>
      <c r="V41" s="613"/>
      <c r="W41" s="581"/>
      <c r="X41" s="578"/>
      <c r="Y41" s="601"/>
      <c r="Z41" s="590">
        <f ca="1">OFFSET(Sector1!$G$788,0,(COLUMN()-8)/6)</f>
        <v>0.95620000000000005</v>
      </c>
      <c r="AA41" s="585"/>
      <c r="AB41" s="613"/>
      <c r="AC41" s="581"/>
      <c r="AD41" s="578"/>
      <c r="AE41" s="601"/>
      <c r="AF41" s="590">
        <f ca="1">OFFSET(Sector1!$G$788,0,(COLUMN()-8)/6)</f>
        <v>1.0222</v>
      </c>
      <c r="AG41" s="585"/>
      <c r="AH41" s="613"/>
      <c r="AI41" s="581"/>
      <c r="AJ41" s="578"/>
      <c r="AK41" s="601"/>
      <c r="AL41" s="590">
        <f ca="1">OFFSET(Sector1!$G$788,0,(COLUMN()-8)/6)</f>
        <v>1.1747999999999998</v>
      </c>
      <c r="AM41" s="585"/>
      <c r="AN41" s="613"/>
      <c r="AO41" s="581"/>
      <c r="AP41" s="578"/>
      <c r="AQ41" s="601"/>
      <c r="AR41" s="590">
        <f ca="1">OFFSET(Sector1!$G$788,0,(COLUMN()-8)/6)</f>
        <v>1.2061999999999999</v>
      </c>
      <c r="AS41" s="585"/>
      <c r="AT41" s="613"/>
      <c r="AU41" s="581"/>
      <c r="AV41" s="578"/>
      <c r="AW41" s="601"/>
      <c r="AX41" s="590">
        <f ca="1">OFFSET(Sector1!$G$788,0,(COLUMN()-8)/6)</f>
        <v>1.2559</v>
      </c>
      <c r="AY41" s="585"/>
      <c r="AZ41" s="613"/>
      <c r="BA41" s="581"/>
      <c r="BB41" s="578"/>
      <c r="BC41" s="601"/>
      <c r="BD41" s="590">
        <f ca="1">OFFSET(Sector1!$G$788,0,(COLUMN()-8)/6)</f>
        <v>1.3904000000000001</v>
      </c>
      <c r="BE41" s="585"/>
      <c r="BF41" s="613"/>
      <c r="BG41" s="581"/>
      <c r="BH41" s="578"/>
      <c r="BI41" s="601"/>
      <c r="BJ41" s="590">
        <f ca="1">OFFSET(Sector1!$G$788,0,(COLUMN()-8)/6)</f>
        <v>2.1766000000000001</v>
      </c>
      <c r="BK41" s="585"/>
      <c r="BL41" s="613"/>
      <c r="BM41" s="581"/>
      <c r="BN41" s="578"/>
      <c r="BO41" s="601"/>
      <c r="BP41" s="590">
        <f ca="1">OFFSET(Sector1!$G$788,0,(COLUMN()-8)/6)</f>
        <v>1.8728</v>
      </c>
      <c r="BQ41" s="585"/>
      <c r="BR41" s="613"/>
      <c r="BS41" s="581"/>
      <c r="BT41" s="578"/>
      <c r="BU41" s="601"/>
      <c r="BV41" s="590">
        <f ca="1">OFFSET(Sector1!$G$788,0,(COLUMN()-8)/6)</f>
        <v>2.1533000000000002</v>
      </c>
      <c r="BW41" s="585"/>
      <c r="BX41" s="613"/>
      <c r="BY41" s="581"/>
      <c r="BZ41" s="578"/>
      <c r="CA41" s="601"/>
      <c r="CB41" s="590">
        <f ca="1">OFFSET(Sector1!$G$788,0,(COLUMN()-8)/6)</f>
        <v>2.2157</v>
      </c>
      <c r="CC41" s="585"/>
      <c r="CD41" s="613"/>
      <c r="CE41" s="581"/>
      <c r="CF41" s="578"/>
      <c r="CG41" s="601"/>
      <c r="CH41" s="590">
        <f ca="1">OFFSET(Sector1!$G$788,0,(COLUMN()-8)/6)</f>
        <v>2.3700999999999999</v>
      </c>
      <c r="CI41" s="585"/>
      <c r="CJ41" s="613"/>
      <c r="CK41" s="581"/>
      <c r="CL41" s="578"/>
      <c r="CM41" s="601"/>
      <c r="CN41" s="590">
        <f ca="1">OFFSET(Sector1!$G$788,0,(COLUMN()-8)/6)</f>
        <v>2.2346999999999997</v>
      </c>
      <c r="CO41" s="585"/>
      <c r="CP41" s="613"/>
      <c r="CQ41" s="581"/>
      <c r="CR41" s="578"/>
      <c r="CS41" s="601"/>
      <c r="CT41" s="590">
        <f ca="1">OFFSET(Sector1!$G$788,0,(COLUMN()-8)/6)</f>
        <v>2.5963000000000003</v>
      </c>
      <c r="CU41" s="585"/>
      <c r="CV41" s="613"/>
      <c r="CW41" s="581"/>
      <c r="CX41" s="578"/>
      <c r="CY41" s="601"/>
      <c r="CZ41" s="590">
        <f ca="1">OFFSET(Sector1!$G$788,0,(COLUMN()-8)/6)</f>
        <v>2.7716999999999996</v>
      </c>
      <c r="DA41" s="585"/>
      <c r="DB41" s="613"/>
      <c r="DC41" s="581"/>
      <c r="DD41" s="578"/>
      <c r="DE41" s="601"/>
      <c r="DF41" s="590">
        <f ca="1">OFFSET(Sector1!$G$788,0,(COLUMN()-8)/6)</f>
        <v>3.3180000000000001</v>
      </c>
      <c r="DG41" s="585"/>
      <c r="DH41" s="613"/>
      <c r="DI41" s="581"/>
      <c r="DJ41" s="578"/>
      <c r="DK41" s="601"/>
      <c r="DL41" s="590">
        <f ca="1">OFFSET(Sector1!$G$788,0,(COLUMN()-8)/6)</f>
        <v>3.9729999999999999</v>
      </c>
      <c r="DM41" s="585"/>
      <c r="DN41" s="613"/>
      <c r="DO41" s="581"/>
      <c r="DP41" s="578"/>
      <c r="DQ41" s="601"/>
      <c r="DR41" s="590">
        <f ca="1">OFFSET(Sector1!$G$788,0,(COLUMN()-8)/6)</f>
        <v>3.8996</v>
      </c>
      <c r="DS41" s="585"/>
      <c r="DT41" s="613"/>
      <c r="DU41" s="581"/>
      <c r="DV41" s="578"/>
      <c r="DW41" s="601"/>
      <c r="DX41" s="590">
        <f ca="1">OFFSET(Sector1!$G$788,0,(COLUMN()-8)/6)</f>
        <v>3.6375000000000002</v>
      </c>
      <c r="DY41" s="585"/>
      <c r="DZ41" s="613"/>
      <c r="EA41" s="581"/>
      <c r="EB41" s="578"/>
      <c r="EC41" s="601"/>
      <c r="ED41" s="590">
        <f ca="1">OFFSET(Sector1!$G$788,0,(COLUMN()-8)/6)</f>
        <v>3.3464999999999998</v>
      </c>
      <c r="EE41" s="585"/>
      <c r="EF41" s="613"/>
      <c r="EG41" s="581"/>
      <c r="EH41" s="578"/>
      <c r="EI41" s="601"/>
      <c r="EJ41" s="590">
        <f ca="1">OFFSET(Sector1!$G$788,0,(COLUMN()-8)/6)</f>
        <v>3.6185</v>
      </c>
      <c r="EK41" s="585"/>
      <c r="EL41" s="613"/>
      <c r="EM41" s="581"/>
      <c r="EN41" s="578"/>
      <c r="EO41" s="601"/>
      <c r="EP41" s="590">
        <f ca="1">OFFSET(Sector1!$G$788,0,(COLUMN()-8)/6)</f>
        <v>3.8460691613307296</v>
      </c>
      <c r="EQ41" s="585"/>
      <c r="ER41" s="613"/>
    </row>
    <row r="42" spans="1:148" s="596" customFormat="1">
      <c r="A42" s="591"/>
      <c r="B42" s="592"/>
      <c r="C42" s="611"/>
      <c r="D42" s="612" t="s">
        <v>450</v>
      </c>
      <c r="E42" s="581"/>
      <c r="F42" s="578"/>
      <c r="G42" s="601"/>
      <c r="H42" s="590">
        <f ca="1">OFFSET(Sector1!$G$789,0,(COLUMN()-8)/6)</f>
        <v>0</v>
      </c>
      <c r="I42" s="585"/>
      <c r="J42" s="613"/>
      <c r="K42" s="581"/>
      <c r="L42" s="578"/>
      <c r="M42" s="601"/>
      <c r="N42" s="590">
        <f ca="1">OFFSET(Sector1!$G$789,0,(COLUMN()-8)/6)</f>
        <v>0</v>
      </c>
      <c r="O42" s="585"/>
      <c r="P42" s="613"/>
      <c r="Q42" s="581"/>
      <c r="R42" s="578"/>
      <c r="S42" s="601"/>
      <c r="T42" s="590">
        <f ca="1">OFFSET(Sector1!$G$789,0,(COLUMN()-8)/6)</f>
        <v>0</v>
      </c>
      <c r="U42" s="585"/>
      <c r="V42" s="613"/>
      <c r="W42" s="581"/>
      <c r="X42" s="578"/>
      <c r="Y42" s="601"/>
      <c r="Z42" s="590">
        <f ca="1">OFFSET(Sector1!$G$789,0,(COLUMN()-8)/6)</f>
        <v>0</v>
      </c>
      <c r="AA42" s="585"/>
      <c r="AB42" s="613"/>
      <c r="AC42" s="581"/>
      <c r="AD42" s="578"/>
      <c r="AE42" s="601"/>
      <c r="AF42" s="590">
        <f ca="1">OFFSET(Sector1!$G$789,0,(COLUMN()-8)/6)</f>
        <v>0</v>
      </c>
      <c r="AG42" s="585"/>
      <c r="AH42" s="613"/>
      <c r="AI42" s="581"/>
      <c r="AJ42" s="578"/>
      <c r="AK42" s="601"/>
      <c r="AL42" s="590">
        <f ca="1">OFFSET(Sector1!$G$789,0,(COLUMN()-8)/6)</f>
        <v>0</v>
      </c>
      <c r="AM42" s="585"/>
      <c r="AN42" s="613"/>
      <c r="AO42" s="581"/>
      <c r="AP42" s="578"/>
      <c r="AQ42" s="601"/>
      <c r="AR42" s="590">
        <f ca="1">OFFSET(Sector1!$G$789,0,(COLUMN()-8)/6)</f>
        <v>0</v>
      </c>
      <c r="AS42" s="585"/>
      <c r="AT42" s="613"/>
      <c r="AU42" s="581"/>
      <c r="AV42" s="578"/>
      <c r="AW42" s="601"/>
      <c r="AX42" s="590">
        <f ca="1">OFFSET(Sector1!$G$789,0,(COLUMN()-8)/6)</f>
        <v>0</v>
      </c>
      <c r="AY42" s="585"/>
      <c r="AZ42" s="613"/>
      <c r="BA42" s="581"/>
      <c r="BB42" s="578"/>
      <c r="BC42" s="601"/>
      <c r="BD42" s="590">
        <f ca="1">OFFSET(Sector1!$G$789,0,(COLUMN()-8)/6)</f>
        <v>0</v>
      </c>
      <c r="BE42" s="585"/>
      <c r="BF42" s="613"/>
      <c r="BG42" s="581"/>
      <c r="BH42" s="578"/>
      <c r="BI42" s="601"/>
      <c r="BJ42" s="590">
        <f ca="1">OFFSET(Sector1!$G$789,0,(COLUMN()-8)/6)</f>
        <v>0</v>
      </c>
      <c r="BK42" s="585"/>
      <c r="BL42" s="613"/>
      <c r="BM42" s="581"/>
      <c r="BN42" s="578"/>
      <c r="BO42" s="601"/>
      <c r="BP42" s="590">
        <f ca="1">OFFSET(Sector1!$G$789,0,(COLUMN()-8)/6)</f>
        <v>0</v>
      </c>
      <c r="BQ42" s="585"/>
      <c r="BR42" s="613"/>
      <c r="BS42" s="581"/>
      <c r="BT42" s="578"/>
      <c r="BU42" s="601"/>
      <c r="BV42" s="590">
        <f ca="1">OFFSET(Sector1!$G$789,0,(COLUMN()-8)/6)</f>
        <v>0</v>
      </c>
      <c r="BW42" s="585"/>
      <c r="BX42" s="613"/>
      <c r="BY42" s="581"/>
      <c r="BZ42" s="578"/>
      <c r="CA42" s="601"/>
      <c r="CB42" s="590">
        <f ca="1">OFFSET(Sector1!$G$789,0,(COLUMN()-8)/6)</f>
        <v>0</v>
      </c>
      <c r="CC42" s="585"/>
      <c r="CD42" s="613"/>
      <c r="CE42" s="581"/>
      <c r="CF42" s="578"/>
      <c r="CG42" s="601"/>
      <c r="CH42" s="590">
        <f ca="1">OFFSET(Sector1!$G$789,0,(COLUMN()-8)/6)</f>
        <v>0</v>
      </c>
      <c r="CI42" s="585"/>
      <c r="CJ42" s="613"/>
      <c r="CK42" s="581"/>
      <c r="CL42" s="578"/>
      <c r="CM42" s="601"/>
      <c r="CN42" s="590">
        <f ca="1">OFFSET(Sector1!$G$789,0,(COLUMN()-8)/6)</f>
        <v>0</v>
      </c>
      <c r="CO42" s="585"/>
      <c r="CP42" s="613"/>
      <c r="CQ42" s="581"/>
      <c r="CR42" s="578"/>
      <c r="CS42" s="601"/>
      <c r="CT42" s="590">
        <f ca="1">OFFSET(Sector1!$G$789,0,(COLUMN()-8)/6)</f>
        <v>0</v>
      </c>
      <c r="CU42" s="585"/>
      <c r="CV42" s="613"/>
      <c r="CW42" s="581"/>
      <c r="CX42" s="578"/>
      <c r="CY42" s="601"/>
      <c r="CZ42" s="590">
        <f ca="1">OFFSET(Sector1!$G$789,0,(COLUMN()-8)/6)</f>
        <v>0</v>
      </c>
      <c r="DA42" s="585"/>
      <c r="DB42" s="613"/>
      <c r="DC42" s="581"/>
      <c r="DD42" s="578"/>
      <c r="DE42" s="601"/>
      <c r="DF42" s="590">
        <f ca="1">OFFSET(Sector1!$G$789,0,(COLUMN()-8)/6)</f>
        <v>0</v>
      </c>
      <c r="DG42" s="585"/>
      <c r="DH42" s="613"/>
      <c r="DI42" s="581"/>
      <c r="DJ42" s="578"/>
      <c r="DK42" s="601"/>
      <c r="DL42" s="590">
        <f ca="1">OFFSET(Sector1!$G$789,0,(COLUMN()-8)/6)</f>
        <v>0</v>
      </c>
      <c r="DM42" s="585"/>
      <c r="DN42" s="613"/>
      <c r="DO42" s="581"/>
      <c r="DP42" s="578"/>
      <c r="DQ42" s="601"/>
      <c r="DR42" s="590">
        <f ca="1">OFFSET(Sector1!$G$789,0,(COLUMN()-8)/6)</f>
        <v>0</v>
      </c>
      <c r="DS42" s="585"/>
      <c r="DT42" s="613"/>
      <c r="DU42" s="581"/>
      <c r="DV42" s="578"/>
      <c r="DW42" s="601"/>
      <c r="DX42" s="590">
        <f ca="1">OFFSET(Sector1!$G$789,0,(COLUMN()-8)/6)</f>
        <v>0</v>
      </c>
      <c r="DY42" s="585"/>
      <c r="DZ42" s="613"/>
      <c r="EA42" s="581"/>
      <c r="EB42" s="578"/>
      <c r="EC42" s="601"/>
      <c r="ED42" s="590">
        <f ca="1">OFFSET(Sector1!$G$789,0,(COLUMN()-8)/6)</f>
        <v>0</v>
      </c>
      <c r="EE42" s="585"/>
      <c r="EF42" s="613"/>
      <c r="EG42" s="581"/>
      <c r="EH42" s="578"/>
      <c r="EI42" s="601"/>
      <c r="EJ42" s="590">
        <f ca="1">OFFSET(Sector1!$G$789,0,(COLUMN()-8)/6)</f>
        <v>0</v>
      </c>
      <c r="EK42" s="585"/>
      <c r="EL42" s="613"/>
      <c r="EM42" s="581"/>
      <c r="EN42" s="578"/>
      <c r="EO42" s="601"/>
      <c r="EP42" s="590">
        <f ca="1">OFFSET(Sector1!$G$789,0,(COLUMN()-8)/6)</f>
        <v>0</v>
      </c>
      <c r="EQ42" s="585"/>
      <c r="ER42" s="613"/>
    </row>
    <row r="43" spans="1:148" s="596" customFormat="1">
      <c r="A43" s="591"/>
      <c r="B43" s="592"/>
      <c r="C43" s="611"/>
      <c r="D43" s="612" t="s">
        <v>279</v>
      </c>
      <c r="E43" s="581"/>
      <c r="F43" s="578"/>
      <c r="G43" s="601"/>
      <c r="H43" s="590">
        <f ca="1">OFFSET(Sector1!$G$790,0,(COLUMN()-8)/6)</f>
        <v>0.15250000000000008</v>
      </c>
      <c r="I43" s="585"/>
      <c r="J43" s="613"/>
      <c r="K43" s="581"/>
      <c r="L43" s="578"/>
      <c r="M43" s="601"/>
      <c r="N43" s="590">
        <f ca="1">OFFSET(Sector1!$G$790,0,(COLUMN()-8)/6)</f>
        <v>0.15140000000000009</v>
      </c>
      <c r="O43" s="585"/>
      <c r="P43" s="613"/>
      <c r="Q43" s="581"/>
      <c r="R43" s="578"/>
      <c r="S43" s="601"/>
      <c r="T43" s="590">
        <f ca="1">OFFSET(Sector1!$G$790,0,(COLUMN()-8)/6)</f>
        <v>0.52700000000000002</v>
      </c>
      <c r="U43" s="585"/>
      <c r="V43" s="613"/>
      <c r="W43" s="581"/>
      <c r="X43" s="578"/>
      <c r="Y43" s="601"/>
      <c r="Z43" s="590">
        <f ca="1">OFFSET(Sector1!$G$790,0,(COLUMN()-8)/6)</f>
        <v>0.10550000000000004</v>
      </c>
      <c r="AA43" s="585"/>
      <c r="AB43" s="613"/>
      <c r="AC43" s="581"/>
      <c r="AD43" s="578"/>
      <c r="AE43" s="601"/>
      <c r="AF43" s="590">
        <f ca="1">OFFSET(Sector1!$G$790,0,(COLUMN()-8)/6)</f>
        <v>0.49249999999999994</v>
      </c>
      <c r="AG43" s="585"/>
      <c r="AH43" s="613"/>
      <c r="AI43" s="581"/>
      <c r="AJ43" s="578"/>
      <c r="AK43" s="601"/>
      <c r="AL43" s="590">
        <f ca="1">OFFSET(Sector1!$G$790,0,(COLUMN()-8)/6)</f>
        <v>0.15510000000000024</v>
      </c>
      <c r="AM43" s="585"/>
      <c r="AN43" s="613"/>
      <c r="AO43" s="581"/>
      <c r="AP43" s="578"/>
      <c r="AQ43" s="601"/>
      <c r="AR43" s="590">
        <f ca="1">OFFSET(Sector1!$G$790,0,(COLUMN()-8)/6)</f>
        <v>0.26229999999999998</v>
      </c>
      <c r="AS43" s="585"/>
      <c r="AT43" s="613"/>
      <c r="AU43" s="581"/>
      <c r="AV43" s="578"/>
      <c r="AW43" s="601"/>
      <c r="AX43" s="590">
        <f ca="1">OFFSET(Sector1!$G$790,0,(COLUMN()-8)/6)</f>
        <v>0.19340000000000002</v>
      </c>
      <c r="AY43" s="585"/>
      <c r="AZ43" s="613"/>
      <c r="BA43" s="581"/>
      <c r="BB43" s="578"/>
      <c r="BC43" s="601"/>
      <c r="BD43" s="590">
        <f ca="1">OFFSET(Sector1!$G$790,0,(COLUMN()-8)/6)</f>
        <v>0.27410000000000001</v>
      </c>
      <c r="BE43" s="585"/>
      <c r="BF43" s="613"/>
      <c r="BG43" s="581"/>
      <c r="BH43" s="578"/>
      <c r="BI43" s="601"/>
      <c r="BJ43" s="590">
        <f ca="1">OFFSET(Sector1!$G$790,0,(COLUMN()-8)/6)</f>
        <v>0.21599999999999975</v>
      </c>
      <c r="BK43" s="585"/>
      <c r="BL43" s="613"/>
      <c r="BM43" s="581"/>
      <c r="BN43" s="578"/>
      <c r="BO43" s="601"/>
      <c r="BP43" s="590">
        <f ca="1">OFFSET(Sector1!$G$790,0,(COLUMN()-8)/6)</f>
        <v>0.42579999999999996</v>
      </c>
      <c r="BQ43" s="585"/>
      <c r="BR43" s="613"/>
      <c r="BS43" s="581"/>
      <c r="BT43" s="578"/>
      <c r="BU43" s="601"/>
      <c r="BV43" s="590">
        <f ca="1">OFFSET(Sector1!$G$790,0,(COLUMN()-8)/6)</f>
        <v>0.26529999999999987</v>
      </c>
      <c r="BW43" s="585"/>
      <c r="BX43" s="613"/>
      <c r="BY43" s="581"/>
      <c r="BZ43" s="578"/>
      <c r="CA43" s="601"/>
      <c r="CB43" s="590">
        <f ca="1">OFFSET(Sector1!$G$790,0,(COLUMN()-8)/6)</f>
        <v>0.15520000000000023</v>
      </c>
      <c r="CC43" s="585"/>
      <c r="CD43" s="613"/>
      <c r="CE43" s="581"/>
      <c r="CF43" s="578"/>
      <c r="CG43" s="601"/>
      <c r="CH43" s="590">
        <f ca="1">OFFSET(Sector1!$G$790,0,(COLUMN()-8)/6)</f>
        <v>0.16320000000000023</v>
      </c>
      <c r="CI43" s="585"/>
      <c r="CJ43" s="613"/>
      <c r="CK43" s="581"/>
      <c r="CL43" s="578"/>
      <c r="CM43" s="601"/>
      <c r="CN43" s="590">
        <f ca="1">OFFSET(Sector1!$G$790,0,(COLUMN()-8)/6)</f>
        <v>0.1875</v>
      </c>
      <c r="CO43" s="585"/>
      <c r="CP43" s="613"/>
      <c r="CQ43" s="581"/>
      <c r="CR43" s="578"/>
      <c r="CS43" s="601"/>
      <c r="CT43" s="590">
        <f ca="1">OFFSET(Sector1!$G$790,0,(COLUMN()-8)/6)</f>
        <v>0.21199999999999974</v>
      </c>
      <c r="CU43" s="585"/>
      <c r="CV43" s="613"/>
      <c r="CW43" s="581"/>
      <c r="CX43" s="578"/>
      <c r="CY43" s="601"/>
      <c r="CZ43" s="590">
        <f ca="1">OFFSET(Sector1!$G$790,0,(COLUMN()-8)/6)</f>
        <v>0.27380000000000049</v>
      </c>
      <c r="DA43" s="585"/>
      <c r="DB43" s="613"/>
      <c r="DC43" s="581"/>
      <c r="DD43" s="578"/>
      <c r="DE43" s="601"/>
      <c r="DF43" s="590">
        <f ca="1">OFFSET(Sector1!$G$790,0,(COLUMN()-8)/6)</f>
        <v>0.53350000000000009</v>
      </c>
      <c r="DG43" s="585"/>
      <c r="DH43" s="613"/>
      <c r="DI43" s="581"/>
      <c r="DJ43" s="578"/>
      <c r="DK43" s="601"/>
      <c r="DL43" s="590">
        <f ca="1">OFFSET(Sector1!$G$790,0,(COLUMN()-8)/6)</f>
        <v>0.52590000000000003</v>
      </c>
      <c r="DM43" s="585"/>
      <c r="DN43" s="613"/>
      <c r="DO43" s="581"/>
      <c r="DP43" s="578"/>
      <c r="DQ43" s="601"/>
      <c r="DR43" s="590">
        <f ca="1">OFFSET(Sector1!$G$790,0,(COLUMN()-8)/6)</f>
        <v>0.2258</v>
      </c>
      <c r="DS43" s="585"/>
      <c r="DT43" s="613"/>
      <c r="DU43" s="581"/>
      <c r="DV43" s="578"/>
      <c r="DW43" s="601"/>
      <c r="DX43" s="590">
        <f ca="1">OFFSET(Sector1!$G$790,0,(COLUMN()-8)/6)</f>
        <v>0.20080000000000009</v>
      </c>
      <c r="DY43" s="585"/>
      <c r="DZ43" s="613"/>
      <c r="EA43" s="581"/>
      <c r="EB43" s="578"/>
      <c r="EC43" s="601"/>
      <c r="ED43" s="590">
        <f ca="1">OFFSET(Sector1!$G$790,0,(COLUMN()-8)/6)</f>
        <v>0.62469999999999981</v>
      </c>
      <c r="EE43" s="585"/>
      <c r="EF43" s="613"/>
      <c r="EG43" s="581"/>
      <c r="EH43" s="578"/>
      <c r="EI43" s="601"/>
      <c r="EJ43" s="590">
        <f ca="1">OFFSET(Sector1!$G$790,0,(COLUMN()-8)/6)</f>
        <v>0.4341999999999997</v>
      </c>
      <c r="EK43" s="585"/>
      <c r="EL43" s="613"/>
      <c r="EM43" s="581"/>
      <c r="EN43" s="578"/>
      <c r="EO43" s="601"/>
      <c r="EP43" s="590">
        <f ca="1">OFFSET(Sector1!$G$790,0,(COLUMN()-8)/6)</f>
        <v>0.31023571428571406</v>
      </c>
      <c r="EQ43" s="585"/>
      <c r="ER43" s="613"/>
    </row>
    <row r="44" spans="1:148" s="596" customFormat="1" ht="13.8" thickBot="1">
      <c r="A44" s="591"/>
      <c r="B44" s="592"/>
      <c r="C44" s="611"/>
      <c r="D44" s="612" t="s">
        <v>104</v>
      </c>
      <c r="E44" s="581"/>
      <c r="F44" s="578"/>
      <c r="G44" s="601"/>
      <c r="H44" s="597">
        <f ca="1">OFFSET(Sector1!$G$793,0,(COLUMN()-8)/6)</f>
        <v>2.423</v>
      </c>
      <c r="I44" s="585"/>
      <c r="J44" s="613"/>
      <c r="K44" s="581"/>
      <c r="L44" s="578"/>
      <c r="M44" s="601"/>
      <c r="N44" s="597">
        <f ca="1">OFFSET(Sector1!$G$793,0,(COLUMN()-8)/6)</f>
        <v>2.5951</v>
      </c>
      <c r="O44" s="585"/>
      <c r="P44" s="613"/>
      <c r="Q44" s="581"/>
      <c r="R44" s="578"/>
      <c r="S44" s="601"/>
      <c r="T44" s="597">
        <f ca="1">OFFSET(Sector1!$G$793,0,(COLUMN()-8)/6)</f>
        <v>3.3073999999999999</v>
      </c>
      <c r="U44" s="585"/>
      <c r="V44" s="613"/>
      <c r="W44" s="581"/>
      <c r="X44" s="578"/>
      <c r="Y44" s="601"/>
      <c r="Z44" s="597">
        <f ca="1">OFFSET(Sector1!$G$793,0,(COLUMN()-8)/6)</f>
        <v>3.2728999999999999</v>
      </c>
      <c r="AA44" s="585"/>
      <c r="AB44" s="613"/>
      <c r="AC44" s="581"/>
      <c r="AD44" s="578"/>
      <c r="AE44" s="601"/>
      <c r="AF44" s="597">
        <f ca="1">OFFSET(Sector1!$G$793,0,(COLUMN()-8)/6)</f>
        <v>3.1726000000000001</v>
      </c>
      <c r="AG44" s="585"/>
      <c r="AH44" s="613"/>
      <c r="AI44" s="581"/>
      <c r="AJ44" s="578"/>
      <c r="AK44" s="601"/>
      <c r="AL44" s="597">
        <f ca="1">OFFSET(Sector1!$G$793,0,(COLUMN()-8)/6)</f>
        <v>3.3184999999999998</v>
      </c>
      <c r="AM44" s="585"/>
      <c r="AN44" s="613"/>
      <c r="AO44" s="581"/>
      <c r="AP44" s="578"/>
      <c r="AQ44" s="601"/>
      <c r="AR44" s="597">
        <f ca="1">OFFSET(Sector1!$G$793,0,(COLUMN()-8)/6)</f>
        <v>2.6915</v>
      </c>
      <c r="AS44" s="585"/>
      <c r="AT44" s="613"/>
      <c r="AU44" s="581"/>
      <c r="AV44" s="578"/>
      <c r="AW44" s="601"/>
      <c r="AX44" s="597">
        <f ca="1">OFFSET(Sector1!$G$793,0,(COLUMN()-8)/6)</f>
        <v>2.5646999999999998</v>
      </c>
      <c r="AY44" s="585"/>
      <c r="AZ44" s="613"/>
      <c r="BA44" s="581"/>
      <c r="BB44" s="578"/>
      <c r="BC44" s="601"/>
      <c r="BD44" s="597">
        <f ca="1">OFFSET(Sector1!$G$793,0,(COLUMN()-8)/6)</f>
        <v>4.2113000000000005</v>
      </c>
      <c r="BE44" s="585"/>
      <c r="BF44" s="613"/>
      <c r="BG44" s="581"/>
      <c r="BH44" s="578"/>
      <c r="BI44" s="601"/>
      <c r="BJ44" s="597">
        <f ca="1">OFFSET(Sector1!$G$793,0,(COLUMN()-8)/6)</f>
        <v>2.8041999999999998</v>
      </c>
      <c r="BK44" s="585"/>
      <c r="BL44" s="613"/>
      <c r="BM44" s="581"/>
      <c r="BN44" s="578"/>
      <c r="BO44" s="601"/>
      <c r="BP44" s="597">
        <f ca="1">OFFSET(Sector1!$G$793,0,(COLUMN()-8)/6)</f>
        <v>11.0641</v>
      </c>
      <c r="BQ44" s="585"/>
      <c r="BR44" s="613"/>
      <c r="BS44" s="581"/>
      <c r="BT44" s="578"/>
      <c r="BU44" s="601"/>
      <c r="BV44" s="597">
        <f ca="1">OFFSET(Sector1!$G$793,0,(COLUMN()-8)/6)</f>
        <v>3.9685999999999999</v>
      </c>
      <c r="BW44" s="585"/>
      <c r="BX44" s="613"/>
      <c r="BY44" s="581"/>
      <c r="BZ44" s="578"/>
      <c r="CA44" s="601"/>
      <c r="CB44" s="597">
        <f ca="1">OFFSET(Sector1!$G$793,0,(COLUMN()-8)/6)</f>
        <v>4.3313999999999995</v>
      </c>
      <c r="CC44" s="585"/>
      <c r="CD44" s="613"/>
      <c r="CE44" s="581"/>
      <c r="CF44" s="578"/>
      <c r="CG44" s="601"/>
      <c r="CH44" s="597">
        <f ca="1">OFFSET(Sector1!$G$793,0,(COLUMN()-8)/6)</f>
        <v>4.5134999999999996</v>
      </c>
      <c r="CI44" s="585"/>
      <c r="CJ44" s="613"/>
      <c r="CK44" s="581"/>
      <c r="CL44" s="578"/>
      <c r="CM44" s="601"/>
      <c r="CN44" s="597">
        <f ca="1">OFFSET(Sector1!$G$793,0,(COLUMN()-8)/6)</f>
        <v>4.92</v>
      </c>
      <c r="CO44" s="585"/>
      <c r="CP44" s="613"/>
      <c r="CQ44" s="581"/>
      <c r="CR44" s="578"/>
      <c r="CS44" s="601"/>
      <c r="CT44" s="597">
        <f ca="1">OFFSET(Sector1!$G$793,0,(COLUMN()-8)/6)</f>
        <v>5.3414999999999999</v>
      </c>
      <c r="CU44" s="585"/>
      <c r="CV44" s="613"/>
      <c r="CW44" s="581"/>
      <c r="CX44" s="578"/>
      <c r="CY44" s="601"/>
      <c r="CZ44" s="597">
        <f ca="1">OFFSET(Sector1!$G$793,0,(COLUMN()-8)/6)</f>
        <v>7.3594999999999997</v>
      </c>
      <c r="DA44" s="585"/>
      <c r="DB44" s="613"/>
      <c r="DC44" s="581"/>
      <c r="DD44" s="578"/>
      <c r="DE44" s="601"/>
      <c r="DF44" s="597">
        <f ca="1">OFFSET(Sector1!$G$793,0,(COLUMN()-8)/6)</f>
        <v>9.3437000000000001</v>
      </c>
      <c r="DG44" s="585"/>
      <c r="DH44" s="613"/>
      <c r="DI44" s="581"/>
      <c r="DJ44" s="578"/>
      <c r="DK44" s="601"/>
      <c r="DL44" s="597">
        <f ca="1">OFFSET(Sector1!$G$793,0,(COLUMN()-8)/6)</f>
        <v>7.6079999999999997</v>
      </c>
      <c r="DM44" s="585"/>
      <c r="DN44" s="613"/>
      <c r="DO44" s="581"/>
      <c r="DP44" s="578"/>
      <c r="DQ44" s="601"/>
      <c r="DR44" s="597">
        <f ca="1">OFFSET(Sector1!$G$793,0,(COLUMN()-8)/6)</f>
        <v>7.1178999999999997</v>
      </c>
      <c r="DS44" s="585"/>
      <c r="DT44" s="613"/>
      <c r="DU44" s="581"/>
      <c r="DV44" s="578"/>
      <c r="DW44" s="601"/>
      <c r="DX44" s="597">
        <f ca="1">OFFSET(Sector1!$G$793,0,(COLUMN()-8)/6)</f>
        <v>5.2138999999999998</v>
      </c>
      <c r="DY44" s="585"/>
      <c r="DZ44" s="613"/>
      <c r="EA44" s="581"/>
      <c r="EB44" s="578"/>
      <c r="EC44" s="601"/>
      <c r="ED44" s="597">
        <f ca="1">OFFSET(Sector1!$G$793,0,(COLUMN()-8)/6)</f>
        <v>4.6886000000000001</v>
      </c>
      <c r="EE44" s="585"/>
      <c r="EF44" s="613"/>
      <c r="EG44" s="581"/>
      <c r="EH44" s="578"/>
      <c r="EI44" s="601"/>
      <c r="EJ44" s="597">
        <f ca="1">OFFSET(Sector1!$G$793,0,(COLUMN()-8)/6)</f>
        <v>4.2385999999999999</v>
      </c>
      <c r="EK44" s="585"/>
      <c r="EL44" s="613"/>
      <c r="EM44" s="581"/>
      <c r="EN44" s="578"/>
      <c r="EO44" s="601"/>
      <c r="EP44" s="597">
        <f ca="1">OFFSET(Sector1!$G$793,0,(COLUMN()-8)/6)</f>
        <v>3.8568627361122965</v>
      </c>
      <c r="EQ44" s="585"/>
      <c r="ER44" s="613"/>
    </row>
    <row r="45" spans="1:148">
      <c r="A45" s="567"/>
      <c r="B45" s="568" t="s">
        <v>2133</v>
      </c>
      <c r="C45" s="4136" t="s">
        <v>1247</v>
      </c>
      <c r="D45" s="4135"/>
      <c r="E45" s="581">
        <f ca="1">+F45+G45+H45</f>
        <v>6.1999999999999798E-3</v>
      </c>
      <c r="F45" s="579">
        <f ca="1">OFFSET(Sector1!$G$828,0,(COLUMN()-6)/6)</f>
        <v>-0.189</v>
      </c>
      <c r="G45" s="579">
        <f ca="1">OFFSET(Sector1!$G$829,0,(COLUMN()-7)/6)</f>
        <v>0.19119999999999998</v>
      </c>
      <c r="H45" s="579">
        <f ca="1">OFFSET(Sector1!$G$830,0,(COLUMN()-8)/6)</f>
        <v>4.0000000000000001E-3</v>
      </c>
      <c r="I45" s="579">
        <f ca="1">OFFSET(Sector1!$G$831,0,(COLUMN()-9)/6)</f>
        <v>-6.7000000000000002E-3</v>
      </c>
      <c r="J45" s="615">
        <f ca="1">+E45+I45</f>
        <v>-5.0000000000002039E-4</v>
      </c>
      <c r="K45" s="581">
        <f ca="1">+L45+M45+N45</f>
        <v>1.6999999999999987E-2</v>
      </c>
      <c r="L45" s="579">
        <f ca="1">OFFSET(Sector1!$G$828,0,(COLUMN()-6)/6)</f>
        <v>-0.17980000000000002</v>
      </c>
      <c r="M45" s="579">
        <f ca="1">OFFSET(Sector1!$G$829,0,(COLUMN()-7)/6)</f>
        <v>0.191</v>
      </c>
      <c r="N45" s="579">
        <f ca="1">OFFSET(Sector1!$G$830,0,(COLUMN()-8)/6)</f>
        <v>5.7999999999999996E-3</v>
      </c>
      <c r="O45" s="579">
        <f ca="1">OFFSET(Sector1!$G$831,0,(COLUMN()-9)/6)</f>
        <v>-1.7000000000000001E-2</v>
      </c>
      <c r="P45" s="615">
        <f ca="1">+K45+O45</f>
        <v>0</v>
      </c>
      <c r="Q45" s="581">
        <f ca="1">+R45+S45+T45</f>
        <v>5.2999999999999985E-2</v>
      </c>
      <c r="R45" s="579">
        <f ca="1">OFFSET(Sector1!$G$828,0,(COLUMN()-6)/6)</f>
        <v>-0.19900000000000001</v>
      </c>
      <c r="S45" s="579">
        <f ca="1">OFFSET(Sector1!$G$829,0,(COLUMN()-7)/6)</f>
        <v>0.25509999999999999</v>
      </c>
      <c r="T45" s="579">
        <f ca="1">OFFSET(Sector1!$G$830,0,(COLUMN()-8)/6)</f>
        <v>-3.0999999999999999E-3</v>
      </c>
      <c r="U45" s="579">
        <f ca="1">OFFSET(Sector1!$G$831,0,(COLUMN()-9)/6)</f>
        <v>-5.2999999999999999E-2</v>
      </c>
      <c r="V45" s="615">
        <f ca="1">+Q45+U45</f>
        <v>0</v>
      </c>
      <c r="W45" s="581">
        <f ca="1">+X45+Y45+Z45</f>
        <v>2.5999999999999981E-2</v>
      </c>
      <c r="X45" s="579">
        <f ca="1">OFFSET(Sector1!$G$828,0,(COLUMN()-6)/6)</f>
        <v>-0.193</v>
      </c>
      <c r="Y45" s="579">
        <f ca="1">OFFSET(Sector1!$G$829,0,(COLUMN()-7)/6)</f>
        <v>0.21659999999999999</v>
      </c>
      <c r="Z45" s="579">
        <f ca="1">OFFSET(Sector1!$G$830,0,(COLUMN()-8)/6)</f>
        <v>2.3999999999999998E-3</v>
      </c>
      <c r="AA45" s="579">
        <f ca="1">OFFSET(Sector1!$G$831,0,(COLUMN()-9)/6)</f>
        <v>-2.5999999999999999E-2</v>
      </c>
      <c r="AB45" s="615">
        <f ca="1">+W45+AA45</f>
        <v>0</v>
      </c>
      <c r="AC45" s="581">
        <f ca="1">+AD45+AE45+AF45</f>
        <v>-3.3699999999999994E-2</v>
      </c>
      <c r="AD45" s="579">
        <f ca="1">OFFSET(Sector1!$G$828,0,(COLUMN()-6)/6)</f>
        <v>-0.21</v>
      </c>
      <c r="AE45" s="579">
        <f ca="1">OFFSET(Sector1!$G$829,0,(COLUMN()-7)/6)</f>
        <v>0.1585</v>
      </c>
      <c r="AF45" s="579">
        <f ca="1">OFFSET(Sector1!$G$830,0,(COLUMN()-8)/6)</f>
        <v>1.78E-2</v>
      </c>
      <c r="AG45" s="579">
        <f ca="1">OFFSET(Sector1!$G$831,0,(COLUMN()-9)/6)</f>
        <v>3.3700000000000001E-2</v>
      </c>
      <c r="AH45" s="615">
        <f ca="1">+AC45+AG45</f>
        <v>0</v>
      </c>
      <c r="AI45" s="581">
        <f ca="1">+AJ45+AK45+AL45</f>
        <v>7.7399999999999997E-2</v>
      </c>
      <c r="AJ45" s="579">
        <f ca="1">OFFSET(Sector1!$G$828,0,(COLUMN()-6)/6)</f>
        <v>-0.1988</v>
      </c>
      <c r="AK45" s="579">
        <f ca="1">OFFSET(Sector1!$G$829,0,(COLUMN()-7)/6)</f>
        <v>0.2747</v>
      </c>
      <c r="AL45" s="579">
        <f ca="1">OFFSET(Sector1!$G$830,0,(COLUMN()-8)/6)</f>
        <v>1.5E-3</v>
      </c>
      <c r="AM45" s="579">
        <f ca="1">OFFSET(Sector1!$G$831,0,(COLUMN()-9)/6)</f>
        <v>-7.740000000000001E-2</v>
      </c>
      <c r="AN45" s="615">
        <f ca="1">+AI45+AM45</f>
        <v>0</v>
      </c>
      <c r="AO45" s="581">
        <f ca="1">+AP45+AQ45+AR45</f>
        <v>-3.8700000000000012E-2</v>
      </c>
      <c r="AP45" s="579">
        <f ca="1">OFFSET(Sector1!$G$828,0,(COLUMN()-6)/6)</f>
        <v>-0.27910000000000001</v>
      </c>
      <c r="AQ45" s="579">
        <f ca="1">OFFSET(Sector1!$G$829,0,(COLUMN()-7)/6)</f>
        <v>0.15390000000000001</v>
      </c>
      <c r="AR45" s="579">
        <f ca="1">OFFSET(Sector1!$G$830,0,(COLUMN()-8)/6)</f>
        <v>8.6499999999999994E-2</v>
      </c>
      <c r="AS45" s="579">
        <f ca="1">OFFSET(Sector1!$G$831,0,(COLUMN()-9)/6)</f>
        <v>3.8700000000000005E-2</v>
      </c>
      <c r="AT45" s="615">
        <f ca="1">+AO45+AS45</f>
        <v>0</v>
      </c>
      <c r="AU45" s="581">
        <f ca="1">+AV45+AW45+AX45</f>
        <v>8.4299999999999986E-2</v>
      </c>
      <c r="AV45" s="579">
        <f ca="1">OFFSET(Sector1!$G$828,0,(COLUMN()-6)/6)</f>
        <v>-0.2356</v>
      </c>
      <c r="AW45" s="579">
        <f ca="1">OFFSET(Sector1!$G$829,0,(COLUMN()-7)/6)</f>
        <v>0.46539999999999998</v>
      </c>
      <c r="AX45" s="579">
        <f ca="1">OFFSET(Sector1!$G$830,0,(COLUMN()-8)/6)</f>
        <v>-0.14549999999999999</v>
      </c>
      <c r="AY45" s="579">
        <f ca="1">OFFSET(Sector1!$G$831,0,(COLUMN()-9)/6)</f>
        <v>-8.43E-2</v>
      </c>
      <c r="AZ45" s="615">
        <f ca="1">+AU45+AY45</f>
        <v>0</v>
      </c>
      <c r="BA45" s="581">
        <f ca="1">+BB45+BC45+BD45</f>
        <v>7.1200000000000069E-2</v>
      </c>
      <c r="BB45" s="579">
        <f ca="1">OFFSET(Sector1!$G$828,0,(COLUMN()-6)/6)</f>
        <v>-0.20899999999999999</v>
      </c>
      <c r="BC45" s="579">
        <f ca="1">OFFSET(Sector1!$G$829,0,(COLUMN()-7)/6)</f>
        <v>0.25660000000000005</v>
      </c>
      <c r="BD45" s="579">
        <f ca="1">OFFSET(Sector1!$G$830,0,(COLUMN()-8)/6)</f>
        <v>2.3600000000000003E-2</v>
      </c>
      <c r="BE45" s="579">
        <f ca="1">OFFSET(Sector1!$G$831,0,(COLUMN()-9)/6)</f>
        <v>-7.1199999999999999E-2</v>
      </c>
      <c r="BF45" s="615">
        <f ca="1">+BA45+BE45</f>
        <v>0</v>
      </c>
      <c r="BG45" s="581">
        <f ca="1">+BH45+BI45+BJ45</f>
        <v>8.1300000000000011E-2</v>
      </c>
      <c r="BH45" s="579">
        <f ca="1">OFFSET(Sector1!$G$828,0,(COLUMN()-6)/6)</f>
        <v>-0.28939999999999999</v>
      </c>
      <c r="BI45" s="579">
        <f ca="1">OFFSET(Sector1!$G$829,0,(COLUMN()-7)/6)</f>
        <v>0.3553</v>
      </c>
      <c r="BJ45" s="579">
        <f ca="1">OFFSET(Sector1!$G$830,0,(COLUMN()-8)/6)</f>
        <v>1.54E-2</v>
      </c>
      <c r="BK45" s="579">
        <f ca="1">OFFSET(Sector1!$G$831,0,(COLUMN()-9)/6)</f>
        <v>-8.1299999999999997E-2</v>
      </c>
      <c r="BL45" s="615">
        <f ca="1">+BG45+BK45</f>
        <v>0</v>
      </c>
      <c r="BM45" s="581">
        <f ca="1">+BN45+BO45+BP45</f>
        <v>0.15540000000000001</v>
      </c>
      <c r="BN45" s="579">
        <f ca="1">OFFSET(Sector1!$G$828,0,(COLUMN()-6)/6)</f>
        <v>-9.8400000000000001E-2</v>
      </c>
      <c r="BO45" s="579">
        <f ca="1">OFFSET(Sector1!$G$829,0,(COLUMN()-7)/6)</f>
        <v>0.3029</v>
      </c>
      <c r="BP45" s="579">
        <f ca="1">OFFSET(Sector1!$G$830,0,(COLUMN()-8)/6)</f>
        <v>-4.9100000000000005E-2</v>
      </c>
      <c r="BQ45" s="579">
        <f ca="1">OFFSET(Sector1!$G$831,0,(COLUMN()-9)/6)</f>
        <v>-0.15540000000000001</v>
      </c>
      <c r="BR45" s="615">
        <f ca="1">+BM45+BQ45</f>
        <v>0</v>
      </c>
      <c r="BS45" s="581">
        <f ca="1">+BT45+BU45+BV45</f>
        <v>-6.8900000000000017E-2</v>
      </c>
      <c r="BT45" s="579">
        <f ca="1">OFFSET(Sector1!$G$828,0,(COLUMN()-6)/6)</f>
        <v>-0.34100000000000003</v>
      </c>
      <c r="BU45" s="579">
        <f ca="1">OFFSET(Sector1!$G$829,0,(COLUMN()-7)/6)</f>
        <v>0.73480000000000001</v>
      </c>
      <c r="BV45" s="579">
        <f ca="1">OFFSET(Sector1!$G$830,0,(COLUMN()-8)/6)</f>
        <v>-0.4627</v>
      </c>
      <c r="BW45" s="579">
        <f ca="1">OFFSET(Sector1!$G$831,0,(COLUMN()-9)/6)</f>
        <v>6.8900000000000003E-2</v>
      </c>
      <c r="BX45" s="615">
        <f ca="1">+BS45+BW45</f>
        <v>0</v>
      </c>
      <c r="BY45" s="581">
        <f ca="1">+BZ45+CA45+CB45</f>
        <v>0.78200000000000003</v>
      </c>
      <c r="BZ45" s="579">
        <f ca="1">OFFSET(Sector1!$G$828,0,(COLUMN()-6)/6)</f>
        <v>-0.51370000000000005</v>
      </c>
      <c r="CA45" s="579">
        <f ca="1">OFFSET(Sector1!$G$829,0,(COLUMN()-7)/6)</f>
        <v>1.2899</v>
      </c>
      <c r="CB45" s="579">
        <f ca="1">OFFSET(Sector1!$G$830,0,(COLUMN()-8)/6)</f>
        <v>5.7999999999999996E-3</v>
      </c>
      <c r="CC45" s="579">
        <f ca="1">OFFSET(Sector1!$G$831,0,(COLUMN()-9)/6)</f>
        <v>-0.78200000000000003</v>
      </c>
      <c r="CD45" s="615">
        <f ca="1">+BY45+CC45</f>
        <v>0</v>
      </c>
      <c r="CE45" s="581">
        <f ca="1">+CF45+CG45+CH45</f>
        <v>1.125</v>
      </c>
      <c r="CF45" s="579">
        <f ca="1">OFFSET(Sector1!$G$828,0,(COLUMN()-6)/6)</f>
        <v>-0.42460000000000003</v>
      </c>
      <c r="CG45" s="579">
        <f ca="1">OFFSET(Sector1!$G$829,0,(COLUMN()-7)/6)</f>
        <v>1.5078</v>
      </c>
      <c r="CH45" s="579">
        <f ca="1">OFFSET(Sector1!$G$830,0,(COLUMN()-8)/6)</f>
        <v>4.1799999999999997E-2</v>
      </c>
      <c r="CI45" s="579">
        <f ca="1">OFFSET(Sector1!$G$831,0,(COLUMN()-9)/6)</f>
        <v>-1.125</v>
      </c>
      <c r="CJ45" s="615">
        <f ca="1">+CE45+CI45</f>
        <v>0</v>
      </c>
      <c r="CK45" s="581">
        <f ca="1">+CL45+CM45+CN45</f>
        <v>0.26289999999999991</v>
      </c>
      <c r="CL45" s="579">
        <f ca="1">OFFSET(Sector1!$G$828,0,(COLUMN()-6)/6)</f>
        <v>-0.30060000000000003</v>
      </c>
      <c r="CM45" s="579">
        <f ca="1">OFFSET(Sector1!$G$829,0,(COLUMN()-7)/6)</f>
        <v>0.51639999999999997</v>
      </c>
      <c r="CN45" s="579">
        <f ca="1">OFFSET(Sector1!$G$830,0,(COLUMN()-8)/6)</f>
        <v>4.7100000000000003E-2</v>
      </c>
      <c r="CO45" s="579">
        <f ca="1">OFFSET(Sector1!$G$831,0,(COLUMN()-9)/6)</f>
        <v>-0.26289999999999997</v>
      </c>
      <c r="CP45" s="615">
        <f ca="1">+CK45+CO45</f>
        <v>0</v>
      </c>
      <c r="CQ45" s="581">
        <f ca="1">+CR45+CS45+CT45</f>
        <v>3.1599999999999934E-2</v>
      </c>
      <c r="CR45" s="579">
        <f ca="1">OFFSET(Sector1!$G$828,0,(COLUMN()-6)/6)</f>
        <v>-0.47420000000000001</v>
      </c>
      <c r="CS45" s="579">
        <f ca="1">OFFSET(Sector1!$G$829,0,(COLUMN()-7)/6)</f>
        <v>0.60639999999999994</v>
      </c>
      <c r="CT45" s="579">
        <f ca="1">OFFSET(Sector1!$G$830,0,(COLUMN()-8)/6)</f>
        <v>-0.10059999999999999</v>
      </c>
      <c r="CU45" s="579">
        <f ca="1">OFFSET(Sector1!$G$831,0,(COLUMN()-9)/6)</f>
        <v>-3.1600000000000003E-2</v>
      </c>
      <c r="CV45" s="615">
        <f ca="1">+CQ45+CU45</f>
        <v>-6.9388939039072284E-17</v>
      </c>
      <c r="CW45" s="581">
        <f ca="1">+CX45+CY45+CZ45</f>
        <v>-8.4999999999999909E-2</v>
      </c>
      <c r="CX45" s="579">
        <f ca="1">OFFSET(Sector1!$G$828,0,(COLUMN()-6)/6)</f>
        <v>-0.78039999999999998</v>
      </c>
      <c r="CY45" s="579">
        <f ca="1">OFFSET(Sector1!$G$829,0,(COLUMN()-7)/6)</f>
        <v>0.72010000000000007</v>
      </c>
      <c r="CZ45" s="579">
        <f ca="1">OFFSET(Sector1!$G$830,0,(COLUMN()-8)/6)</f>
        <v>-2.47E-2</v>
      </c>
      <c r="DA45" s="579">
        <f ca="1">OFFSET(Sector1!$G$831,0,(COLUMN()-9)/6)</f>
        <v>8.4999999999999909E-2</v>
      </c>
      <c r="DB45" s="615">
        <f ca="1">+CW45+DA45</f>
        <v>0</v>
      </c>
      <c r="DC45" s="581">
        <f ca="1">+DD45+DE45+DF45</f>
        <v>-0.37400000000000011</v>
      </c>
      <c r="DD45" s="579">
        <f ca="1">OFFSET(Sector1!$G$828,0,(COLUMN()-6)/6)</f>
        <v>-0.58220000000000005</v>
      </c>
      <c r="DE45" s="579">
        <f ca="1">OFFSET(Sector1!$G$829,0,(COLUMN()-7)/6)</f>
        <v>0.10909999999999999</v>
      </c>
      <c r="DF45" s="579">
        <f ca="1">OFFSET(Sector1!$G$830,0,(COLUMN()-8)/6)</f>
        <v>9.9099999999999994E-2</v>
      </c>
      <c r="DG45" s="579">
        <f ca="1">OFFSET(Sector1!$G$831,0,(COLUMN()-9)/6)</f>
        <v>0.37400000000000011</v>
      </c>
      <c r="DH45" s="615">
        <f ca="1">+DC45+DG45</f>
        <v>0</v>
      </c>
      <c r="DI45" s="581">
        <f ca="1">+DJ45+DK45+DL45</f>
        <v>8.7499999999999939E-2</v>
      </c>
      <c r="DJ45" s="579">
        <f ca="1">OFFSET(Sector1!$G$828,0,(COLUMN()-6)/6)</f>
        <v>-0.91459999999999997</v>
      </c>
      <c r="DK45" s="579">
        <f ca="1">OFFSET(Sector1!$G$829,0,(COLUMN()-7)/6)</f>
        <v>0.77889999999999993</v>
      </c>
      <c r="DL45" s="579">
        <f ca="1">OFFSET(Sector1!$G$830,0,(COLUMN()-8)/6)</f>
        <v>0.22319999999999998</v>
      </c>
      <c r="DM45" s="579">
        <f ca="1">OFFSET(Sector1!$G$831,0,(COLUMN()-9)/6)</f>
        <v>-8.7499999999999939E-2</v>
      </c>
      <c r="DN45" s="615">
        <f ca="1">+DI45+DM45</f>
        <v>0</v>
      </c>
      <c r="DO45" s="581">
        <f ca="1">+DP45+DQ45+DR45</f>
        <v>0.625</v>
      </c>
      <c r="DP45" s="579">
        <f ca="1">OFFSET(Sector1!$G$828,0,(COLUMN()-6)/6)</f>
        <v>-0.86799999999999999</v>
      </c>
      <c r="DQ45" s="579">
        <f ca="1">OFFSET(Sector1!$G$829,0,(COLUMN()-7)/6)</f>
        <v>1.3807</v>
      </c>
      <c r="DR45" s="579">
        <f ca="1">OFFSET(Sector1!$G$830,0,(COLUMN()-8)/6)</f>
        <v>0.1123</v>
      </c>
      <c r="DS45" s="579">
        <f ca="1">OFFSET(Sector1!$G$831,0,(COLUMN()-9)/6)</f>
        <v>-0.625</v>
      </c>
      <c r="DT45" s="615">
        <f ca="1">+DO45+DS45</f>
        <v>0</v>
      </c>
      <c r="DU45" s="581">
        <f ca="1">+DV45+DW45+DX45</f>
        <v>-8.6100000000000024E-2</v>
      </c>
      <c r="DV45" s="579">
        <f ca="1">OFFSET(Sector1!$G$828,0,(COLUMN()-6)/6)</f>
        <v>-0.50390000000000001</v>
      </c>
      <c r="DW45" s="579">
        <f ca="1">OFFSET(Sector1!$G$829,0,(COLUMN()-7)/6)</f>
        <v>0.30399999999999999</v>
      </c>
      <c r="DX45" s="579">
        <f ca="1">OFFSET(Sector1!$G$830,0,(COLUMN()-8)/6)</f>
        <v>0.1138</v>
      </c>
      <c r="DY45" s="579">
        <f ca="1">OFFSET(Sector1!$G$831,0,(COLUMN()-9)/6)</f>
        <v>8.6100000000000024E-2</v>
      </c>
      <c r="DZ45" s="615">
        <f ca="1">+DU45+DY45</f>
        <v>0</v>
      </c>
      <c r="EA45" s="581">
        <f ca="1">+EB45+EC45+ED45</f>
        <v>-0.81599999999999995</v>
      </c>
      <c r="EB45" s="579">
        <f ca="1">OFFSET(Sector1!$G$828,0,(COLUMN()-6)/6)</f>
        <v>-0.66749999999999998</v>
      </c>
      <c r="EC45" s="579">
        <f ca="1">OFFSET(Sector1!$G$829,0,(COLUMN()-7)/6)</f>
        <v>-0.19419999999999998</v>
      </c>
      <c r="ED45" s="579">
        <f ca="1">OFFSET(Sector1!$G$830,0,(COLUMN()-8)/6)</f>
        <v>4.5700000000000005E-2</v>
      </c>
      <c r="EE45" s="579">
        <f ca="1">OFFSET(Sector1!$G$831,0,(COLUMN()-9)/6)</f>
        <v>0.81599999999999995</v>
      </c>
      <c r="EF45" s="615">
        <f ca="1">+EA45+EE45</f>
        <v>0</v>
      </c>
      <c r="EG45" s="581">
        <f ca="1">+EH45+EI45+EJ45</f>
        <v>-0.70929999999999993</v>
      </c>
      <c r="EH45" s="579">
        <f ca="1">OFFSET(Sector1!$G$828,0,(COLUMN()-6)/6)</f>
        <v>-0.66749999999999998</v>
      </c>
      <c r="EI45" s="579">
        <f ca="1">OFFSET(Sector1!$G$829,0,(COLUMN()-7)/6)</f>
        <v>-0.19419999999999998</v>
      </c>
      <c r="EJ45" s="579">
        <f ca="1">OFFSET(Sector1!$G$830,0,(COLUMN()-8)/6)</f>
        <v>0.15240000000000001</v>
      </c>
      <c r="EK45" s="579">
        <f ca="1">OFFSET(Sector1!$G$831,0,(COLUMN()-9)/6)</f>
        <v>0.70929999999999993</v>
      </c>
      <c r="EL45" s="615">
        <f ca="1">+EG45+EK45</f>
        <v>0</v>
      </c>
      <c r="EM45" s="581">
        <f ca="1">+EN45+EO45+EP45</f>
        <v>-0.76069999999999993</v>
      </c>
      <c r="EN45" s="579">
        <f ca="1">OFFSET(Sector1!$G$828,0,(COLUMN()-6)/6)</f>
        <v>-0.66749999999999998</v>
      </c>
      <c r="EO45" s="579">
        <f ca="1">OFFSET(Sector1!$G$829,0,(COLUMN()-7)/6)</f>
        <v>-0.19419999999999998</v>
      </c>
      <c r="EP45" s="579">
        <f ca="1">OFFSET(Sector1!$G$830,0,(COLUMN()-8)/6)</f>
        <v>0.10100000000000001</v>
      </c>
      <c r="EQ45" s="579">
        <f ca="1">OFFSET(Sector1!$G$831,0,(COLUMN()-9)/6)</f>
        <v>0.76069999999999993</v>
      </c>
      <c r="ER45" s="615">
        <f ca="1">+EM45+EQ45</f>
        <v>0</v>
      </c>
    </row>
    <row r="46" spans="1:148">
      <c r="A46" s="567"/>
      <c r="B46" s="568" t="s">
        <v>2133</v>
      </c>
      <c r="C46" s="4136" t="s">
        <v>1248</v>
      </c>
      <c r="D46" s="4135"/>
      <c r="E46" s="581">
        <f ca="1">OFFSET('VVP2'!$G$220,0,(COLUMN()-5)/6)</f>
        <v>44.869</v>
      </c>
      <c r="F46" s="1130">
        <f ca="1">OFFSET('VVP2'!$G$236,0,(COLUMN()-6)/6)</f>
        <v>14.479299999999999</v>
      </c>
      <c r="G46" s="1130">
        <f ca="1">OFFSET('VVP2'!$G$240,0,(COLUMN()-7)/6)</f>
        <v>25.806999999999999</v>
      </c>
      <c r="H46" s="1130">
        <f ca="1">OFFSET('VVP2'!$G$237,0,(COLUMN()-8)/6)</f>
        <v>4.6926999999999994</v>
      </c>
      <c r="I46" s="570"/>
      <c r="J46" s="615">
        <f ca="1">+E46-F46-G46-H46</f>
        <v>-0.10999999999999677</v>
      </c>
      <c r="K46" s="581">
        <f ca="1">OFFSET('VVP2'!$G$220,0,(COLUMN()-5)/6)</f>
        <v>45.993000000000002</v>
      </c>
      <c r="L46" s="1130">
        <f ca="1">OFFSET('VVP2'!$G$236,0,(COLUMN()-6)/6)</f>
        <v>13.462299999999999</v>
      </c>
      <c r="M46" s="1130">
        <f ca="1">OFFSET('VVP2'!$G$240,0,(COLUMN()-7)/6)</f>
        <v>27.8751</v>
      </c>
      <c r="N46" s="1130">
        <f ca="1">OFFSET('VVP2'!$G$237,0,(COLUMN()-8)/6)</f>
        <v>4.6556000000000006</v>
      </c>
      <c r="O46" s="570"/>
      <c r="P46" s="615">
        <f ca="1">+K46-L46-M46-N46</f>
        <v>0</v>
      </c>
      <c r="Q46" s="581">
        <f ca="1">OFFSET('VVP2'!$G$220,0,(COLUMN()-5)/6)</f>
        <v>49.601900000000001</v>
      </c>
      <c r="R46" s="1130">
        <f ca="1">OFFSET('VVP2'!$G$236,0,(COLUMN()-6)/6)</f>
        <v>14.876299999999999</v>
      </c>
      <c r="S46" s="1130">
        <f ca="1">OFFSET('VVP2'!$G$240,0,(COLUMN()-7)/6)</f>
        <v>29.753400000000003</v>
      </c>
      <c r="T46" s="1130">
        <f ca="1">OFFSET('VVP2'!$G$237,0,(COLUMN()-8)/6)</f>
        <v>4.9722</v>
      </c>
      <c r="U46" s="570"/>
      <c r="V46" s="615">
        <f ca="1">+Q46-R46-S46-T46</f>
        <v>0</v>
      </c>
      <c r="W46" s="581">
        <f ca="1">OFFSET('VVP2'!$G$220,0,(COLUMN()-5)/6)</f>
        <v>51.438199999999995</v>
      </c>
      <c r="X46" s="1130">
        <f ca="1">OFFSET('VVP2'!$G$236,0,(COLUMN()-6)/6)</f>
        <v>14.363</v>
      </c>
      <c r="Y46" s="1130">
        <f ca="1">OFFSET('VVP2'!$G$240,0,(COLUMN()-7)/6)</f>
        <v>32.0428</v>
      </c>
      <c r="Z46" s="1130">
        <f ca="1">OFFSET('VVP2'!$G$237,0,(COLUMN()-8)/6)</f>
        <v>5.0324</v>
      </c>
      <c r="AA46" s="570"/>
      <c r="AB46" s="615">
        <f ca="1">+W46-X46-Y46-Z46</f>
        <v>0</v>
      </c>
      <c r="AC46" s="581">
        <f ca="1">OFFSET('VVP2'!$G$220,0,(COLUMN()-5)/6)</f>
        <v>54.368199999999995</v>
      </c>
      <c r="AD46" s="1130">
        <f ca="1">OFFSET('VVP2'!$G$236,0,(COLUMN()-6)/6)</f>
        <v>14.995100000000001</v>
      </c>
      <c r="AE46" s="1130">
        <f ca="1">OFFSET('VVP2'!$G$240,0,(COLUMN()-7)/6)</f>
        <v>33.416899999999998</v>
      </c>
      <c r="AF46" s="1130">
        <f ca="1">OFFSET('VVP2'!$G$237,0,(COLUMN()-8)/6)</f>
        <v>5.9561999999999999</v>
      </c>
      <c r="AG46" s="570"/>
      <c r="AH46" s="615">
        <f ca="1">+AC46-AD46-AE46-AF46</f>
        <v>0</v>
      </c>
      <c r="AI46" s="581">
        <f ca="1">OFFSET('VVP2'!$G$220,0,(COLUMN()-5)/6)</f>
        <v>58.074199999999998</v>
      </c>
      <c r="AJ46" s="1130">
        <f ca="1">OFFSET('VVP2'!$G$236,0,(COLUMN()-6)/6)</f>
        <v>15.137799999999999</v>
      </c>
      <c r="AK46" s="1130">
        <f ca="1">OFFSET('VVP2'!$G$240,0,(COLUMN()-7)/6)</f>
        <v>36.666699999999999</v>
      </c>
      <c r="AL46" s="1130">
        <f ca="1">OFFSET('VVP2'!$G$237,0,(COLUMN()-8)/6)</f>
        <v>6.2696999999999994</v>
      </c>
      <c r="AM46" s="570"/>
      <c r="AN46" s="615">
        <f ca="1">+AI46-AJ46-AK46-AL46</f>
        <v>0</v>
      </c>
      <c r="AO46" s="581">
        <f ca="1">OFFSET('VVP2'!$G$220,0,(COLUMN()-5)/6)</f>
        <v>59.577199999999998</v>
      </c>
      <c r="AP46" s="1130">
        <f ca="1">OFFSET('VVP2'!$G$236,0,(COLUMN()-6)/6)</f>
        <v>14.555</v>
      </c>
      <c r="AQ46" s="1130">
        <f ca="1">OFFSET('VVP2'!$G$240,0,(COLUMN()-7)/6)</f>
        <v>39.230199999999996</v>
      </c>
      <c r="AR46" s="1130">
        <f ca="1">OFFSET('VVP2'!$G$237,0,(COLUMN()-8)/6)</f>
        <v>5.7919999999999998</v>
      </c>
      <c r="AS46" s="570"/>
      <c r="AT46" s="615">
        <f ca="1">+AO46-AP46-AQ46-AR46</f>
        <v>0</v>
      </c>
      <c r="AU46" s="581">
        <f ca="1">OFFSET('VVP2'!$G$220,0,(COLUMN()-5)/6)</f>
        <v>56.832900000000002</v>
      </c>
      <c r="AV46" s="1130">
        <f ca="1">OFFSET('VVP2'!$G$236,0,(COLUMN()-6)/6)</f>
        <v>14.399700000000001</v>
      </c>
      <c r="AW46" s="1130">
        <f ca="1">OFFSET('VVP2'!$G$240,0,(COLUMN()-7)/6)</f>
        <v>36.600099999999998</v>
      </c>
      <c r="AX46" s="1130">
        <f ca="1">OFFSET('VVP2'!$G$237,0,(COLUMN()-8)/6)</f>
        <v>5.8331</v>
      </c>
      <c r="AY46" s="570"/>
      <c r="AZ46" s="615">
        <f ca="1">+AU46-AV46-AW46-AX46</f>
        <v>0</v>
      </c>
      <c r="BA46" s="581">
        <f ca="1">OFFSET('VVP2'!$G$220,0,(COLUMN()-5)/6)</f>
        <v>57.769500000000001</v>
      </c>
      <c r="BB46" s="1130">
        <f ca="1">OFFSET('VVP2'!$G$236,0,(COLUMN()-6)/6)</f>
        <v>14.9672</v>
      </c>
      <c r="BC46" s="1130">
        <f ca="1">OFFSET('VVP2'!$G$240,0,(COLUMN()-7)/6)</f>
        <v>36.71</v>
      </c>
      <c r="BD46" s="1130">
        <f ca="1">OFFSET('VVP2'!$G$237,0,(COLUMN()-8)/6)</f>
        <v>6.0922999999999998</v>
      </c>
      <c r="BE46" s="570"/>
      <c r="BF46" s="615">
        <f ca="1">+BA46-BB46-BC46-BD46</f>
        <v>0</v>
      </c>
      <c r="BG46" s="581">
        <f ca="1">OFFSET('VVP2'!$G$220,0,(COLUMN()-5)/6)</f>
        <v>63.780500000000004</v>
      </c>
      <c r="BH46" s="1130">
        <f ca="1">OFFSET('VVP2'!$G$236,0,(COLUMN()-6)/6)</f>
        <v>16.460599999999999</v>
      </c>
      <c r="BI46" s="1130">
        <f ca="1">OFFSET('VVP2'!$G$240,0,(COLUMN()-7)/6)</f>
        <v>41.126400000000004</v>
      </c>
      <c r="BJ46" s="1130">
        <f ca="1">OFFSET('VVP2'!$G$237,0,(COLUMN()-8)/6)</f>
        <v>6.1935000000000002</v>
      </c>
      <c r="BK46" s="570"/>
      <c r="BL46" s="615">
        <f ca="1">+BG46-BH46-BI46-BJ46</f>
        <v>0</v>
      </c>
      <c r="BM46" s="581">
        <f ca="1">OFFSET('VVP2'!$G$220,0,(COLUMN()-5)/6)</f>
        <v>69.016300000000001</v>
      </c>
      <c r="BN46" s="1130">
        <f ca="1">OFFSET('VVP2'!$G$236,0,(COLUMN()-6)/6)</f>
        <v>19.201000000000001</v>
      </c>
      <c r="BO46" s="1130">
        <f ca="1">OFFSET('VVP2'!$G$240,0,(COLUMN()-7)/6)</f>
        <v>43.191099999999999</v>
      </c>
      <c r="BP46" s="1130">
        <f ca="1">OFFSET('VVP2'!$G$237,0,(COLUMN()-8)/6)</f>
        <v>6.6242000000000001</v>
      </c>
      <c r="BQ46" s="570"/>
      <c r="BR46" s="615">
        <f ca="1">+BM46-BN46-BO46-BP46</f>
        <v>0</v>
      </c>
      <c r="BS46" s="581">
        <f ca="1">OFFSET('VVP2'!$G$220,0,(COLUMN()-5)/6)</f>
        <v>72.992899999999992</v>
      </c>
      <c r="BT46" s="1130">
        <f ca="1">OFFSET('VVP2'!$G$236,0,(COLUMN()-6)/6)</f>
        <v>21.168200000000002</v>
      </c>
      <c r="BU46" s="1130">
        <f ca="1">OFFSET('VVP2'!$G$240,0,(COLUMN()-7)/6)</f>
        <v>45.407199999999996</v>
      </c>
      <c r="BV46" s="1130">
        <f ca="1">OFFSET('VVP2'!$G$237,0,(COLUMN()-8)/6)</f>
        <v>6.4175000000000004</v>
      </c>
      <c r="BW46" s="570"/>
      <c r="BX46" s="615">
        <f ca="1">+BS46-BT46-BU46-BV46</f>
        <v>0</v>
      </c>
      <c r="BY46" s="581">
        <f ca="1">OFFSET('VVP2'!$G$220,0,(COLUMN()-5)/6)</f>
        <v>80.094200000000001</v>
      </c>
      <c r="BZ46" s="1130">
        <f ca="1">OFFSET('VVP2'!$G$236,0,(COLUMN()-6)/6)</f>
        <v>23.024699999999999</v>
      </c>
      <c r="CA46" s="1130">
        <f ca="1">OFFSET('VVP2'!$G$240,0,(COLUMN()-7)/6)</f>
        <v>50.039400000000001</v>
      </c>
      <c r="CB46" s="1130">
        <f ca="1">OFFSET('VVP2'!$G$237,0,(COLUMN()-8)/6)</f>
        <v>7.0301</v>
      </c>
      <c r="CC46" s="570"/>
      <c r="CD46" s="615">
        <f ca="1">+BY46-BZ46-CA46-CB46</f>
        <v>0</v>
      </c>
      <c r="CE46" s="581">
        <f ca="1">OFFSET('VVP2'!$G$220,0,(COLUMN()-5)/6)</f>
        <v>84.885800000000003</v>
      </c>
      <c r="CF46" s="1130">
        <f ca="1">OFFSET('VVP2'!$G$236,0,(COLUMN()-6)/6)</f>
        <v>24.052599999999998</v>
      </c>
      <c r="CG46" s="1130">
        <f ca="1">OFFSET('VVP2'!$G$240,0,(COLUMN()-7)/6)</f>
        <v>53.416499999999999</v>
      </c>
      <c r="CH46" s="1130">
        <f ca="1">OFFSET('VVP2'!$G$237,0,(COLUMN()-8)/6)</f>
        <v>7.4166999999999996</v>
      </c>
      <c r="CI46" s="570"/>
      <c r="CJ46" s="615">
        <f ca="1">+CE46-CF46-CG46-CH46</f>
        <v>0</v>
      </c>
      <c r="CK46" s="581">
        <f ca="1">OFFSET('VVP2'!$G$220,0,(COLUMN()-5)/6)</f>
        <v>78.780299999999997</v>
      </c>
      <c r="CL46" s="1130">
        <f ca="1">OFFSET('VVP2'!$G$236,0,(COLUMN()-6)/6)</f>
        <v>21.7988</v>
      </c>
      <c r="CM46" s="1130">
        <f ca="1">OFFSET('VVP2'!$G$240,0,(COLUMN()-7)/6)</f>
        <v>48.850900000000003</v>
      </c>
      <c r="CN46" s="1130">
        <f ca="1">OFFSET('VVP2'!$G$237,0,(COLUMN()-8)/6)</f>
        <v>8.1306000000000012</v>
      </c>
      <c r="CO46" s="570"/>
      <c r="CP46" s="615">
        <f ca="1">+CK46-CL46-CM46-CN46</f>
        <v>0</v>
      </c>
      <c r="CQ46" s="581">
        <f ca="1">OFFSET('VVP2'!$G$220,0,(COLUMN()-5)/6)</f>
        <v>79.660899999999998</v>
      </c>
      <c r="CR46" s="1130">
        <f ca="1">OFFSET('VVP2'!$G$236,0,(COLUMN()-6)/6)</f>
        <v>22.4406</v>
      </c>
      <c r="CS46" s="1130">
        <f ca="1">OFFSET('VVP2'!$G$240,0,(COLUMN()-7)/6)</f>
        <v>48.826300000000003</v>
      </c>
      <c r="CT46" s="1130">
        <f ca="1">OFFSET('VVP2'!$G$237,0,(COLUMN()-8)/6)</f>
        <v>8.3940000000000001</v>
      </c>
      <c r="CU46" s="570"/>
      <c r="CV46" s="615">
        <f ca="1">+CQ46-CR46-CS46-CT46</f>
        <v>0</v>
      </c>
      <c r="CW46" s="581">
        <f ca="1">OFFSET('VVP2'!$G$220,0,(COLUMN()-5)/6)</f>
        <v>85.609399999999994</v>
      </c>
      <c r="CX46" s="1130">
        <f ca="1">OFFSET('VVP2'!$G$236,0,(COLUMN()-6)/6)</f>
        <v>22.331299999999999</v>
      </c>
      <c r="CY46" s="1130">
        <f ca="1">OFFSET('VVP2'!$G$240,0,(COLUMN()-7)/6)</f>
        <v>54.003399999999999</v>
      </c>
      <c r="CZ46" s="1130">
        <f ca="1">OFFSET('VVP2'!$G$237,0,(COLUMN()-8)/6)</f>
        <v>9.2747000000000011</v>
      </c>
      <c r="DA46" s="570"/>
      <c r="DB46" s="615">
        <f ca="1">+CW46-CX46-CY46-CZ46</f>
        <v>0</v>
      </c>
      <c r="DC46" s="581">
        <f ca="1">OFFSET('VVP2'!$G$220,0,(COLUMN()-5)/6)</f>
        <v>87.671800000000005</v>
      </c>
      <c r="DD46" s="1130">
        <f ca="1">OFFSET('VVP2'!$G$236,0,(COLUMN()-6)/6)</f>
        <v>22.794700000000002</v>
      </c>
      <c r="DE46" s="1130">
        <f ca="1">OFFSET('VVP2'!$G$240,0,(COLUMN()-7)/6)</f>
        <v>55.233599999999996</v>
      </c>
      <c r="DF46" s="1130">
        <f ca="1">OFFSET('VVP2'!$G$237,0,(COLUMN()-8)/6)</f>
        <v>9.6434999999999995</v>
      </c>
      <c r="DG46" s="570"/>
      <c r="DH46" s="615">
        <f ca="1">+DC46-DD46-DE46-DF46</f>
        <v>0</v>
      </c>
      <c r="DI46" s="581">
        <f ca="1">OFFSET('VVP2'!$G$220,0,(COLUMN()-5)/6)</f>
        <v>86.943699999999993</v>
      </c>
      <c r="DJ46" s="1130">
        <f ca="1">OFFSET('VVP2'!$G$236,0,(COLUMN()-6)/6)</f>
        <v>22.203799999999998</v>
      </c>
      <c r="DK46" s="1130">
        <f ca="1">OFFSET('VVP2'!$G$240,0,(COLUMN()-7)/6)</f>
        <v>55.489599999999996</v>
      </c>
      <c r="DL46" s="1130">
        <f ca="1">OFFSET('VVP2'!$G$237,0,(COLUMN()-8)/6)</f>
        <v>9.2502999999999993</v>
      </c>
      <c r="DM46" s="570"/>
      <c r="DN46" s="615">
        <f ca="1">+DI46-DJ46-DK46-DL46</f>
        <v>0</v>
      </c>
      <c r="DO46" s="581">
        <f ca="1">OFFSET('VVP2'!$G$220,0,(COLUMN()-5)/6)</f>
        <v>92.314399999999992</v>
      </c>
      <c r="DP46" s="1130">
        <f ca="1">OFFSET('VVP2'!$G$236,0,(COLUMN()-6)/6)</f>
        <v>23.541400000000003</v>
      </c>
      <c r="DQ46" s="1130">
        <f ca="1">OFFSET('VVP2'!$G$240,0,(COLUMN()-7)/6)</f>
        <v>59.203000000000003</v>
      </c>
      <c r="DR46" s="1130">
        <f ca="1">OFFSET('VVP2'!$G$237,0,(COLUMN()-8)/6)</f>
        <v>9.3675999999999995</v>
      </c>
      <c r="DS46" s="570"/>
      <c r="DT46" s="615">
        <f ca="1">+DO46-DP46-DQ46-DR46</f>
        <v>0.2023999999999937</v>
      </c>
      <c r="DU46" s="581">
        <f ca="1">OFFSET('VVP2'!$G$220,0,(COLUMN()-5)/6)</f>
        <v>95.18610000000001</v>
      </c>
      <c r="DV46" s="1130">
        <f ca="1">OFFSET('VVP2'!$G$236,0,(COLUMN()-6)/6)</f>
        <v>23.821900000000003</v>
      </c>
      <c r="DW46" s="1130">
        <f ca="1">OFFSET('VVP2'!$G$240,0,(COLUMN()-7)/6)</f>
        <v>61.737099999999998</v>
      </c>
      <c r="DX46" s="1130">
        <f ca="1">OFFSET('VVP2'!$G$237,0,(COLUMN()-8)/6)</f>
        <v>9.4318999999999988</v>
      </c>
      <c r="DY46" s="570"/>
      <c r="DZ46" s="615">
        <f ca="1">+DU46-DV46-DW46-DX46</f>
        <v>0.19520000000001403</v>
      </c>
      <c r="EA46" s="581">
        <f ca="1">OFFSET('VVP2'!$G$220,0,(COLUMN()-5)/6)</f>
        <v>99.153600000000012</v>
      </c>
      <c r="EB46" s="1130">
        <f ca="1">OFFSET('VVP2'!$G$236,0,(COLUMN()-6)/6)</f>
        <v>24.479200000000002</v>
      </c>
      <c r="EC46" s="1130">
        <f ca="1">OFFSET('VVP2'!$G$240,0,(COLUMN()-7)/6)</f>
        <v>65.284700000000001</v>
      </c>
      <c r="ED46" s="1130">
        <f ca="1">OFFSET('VVP2'!$G$237,0,(COLUMN()-8)/6)</f>
        <v>9.3502999999999989</v>
      </c>
      <c r="EE46" s="570"/>
      <c r="EF46" s="615">
        <f ca="1">+EA46-EB46-EC46-ED46</f>
        <v>3.9400000000005875E-2</v>
      </c>
      <c r="EG46" s="581">
        <f ca="1">OFFSET('VVP2'!$G$220,0,(COLUMN()-5)/6)</f>
        <v>101.91210000000001</v>
      </c>
      <c r="EH46" s="1130">
        <f ca="1">OFFSET('VVP2'!$G$236,0,(COLUMN()-6)/6)</f>
        <v>24.924416425268898</v>
      </c>
      <c r="EI46" s="1130">
        <f ca="1">OFFSET('VVP2'!$G$240,0,(COLUMN()-7)/6)</f>
        <v>67.283083574731108</v>
      </c>
      <c r="EJ46" s="1130">
        <f ca="1">OFFSET('VVP2'!$G$237,0,(COLUMN()-8)/6)</f>
        <v>9.704600000000001</v>
      </c>
      <c r="EK46" s="570"/>
      <c r="EL46" s="615">
        <f ca="1">+EG46-EH46-EI46-EJ46</f>
        <v>0</v>
      </c>
      <c r="EM46" s="581">
        <f ca="1">OFFSET('VVP2'!$G$220,0,(COLUMN()-5)/6)</f>
        <v>107.0297678215</v>
      </c>
      <c r="EN46" s="1130">
        <f ca="1">OFFSET('VVP2'!$G$236,0,(COLUMN()-6)/6)</f>
        <v>25.349876213648237</v>
      </c>
      <c r="EO46" s="1130">
        <f ca="1">OFFSET('VVP2'!$G$240,0,(COLUMN()-7)/6)</f>
        <v>70.808394976491769</v>
      </c>
      <c r="EP46" s="1130">
        <f ca="1">OFFSET('VVP2'!$G$237,0,(COLUMN()-8)/6)</f>
        <v>10.871496631360001</v>
      </c>
      <c r="EQ46" s="570"/>
      <c r="ER46" s="615">
        <f ca="1">+EM46-EN46-EO46-EP46</f>
        <v>0</v>
      </c>
    </row>
    <row r="47" spans="1:148">
      <c r="A47" s="567"/>
      <c r="B47" s="568" t="s">
        <v>2133</v>
      </c>
      <c r="C47" s="4148" t="s">
        <v>1528</v>
      </c>
      <c r="D47" s="4149"/>
      <c r="E47" s="1130">
        <f ca="1">OFFSET('VVP2'!$G$274,0,(COLUMN()-5)/6)</f>
        <v>1.3454000000000002</v>
      </c>
      <c r="F47" s="579">
        <f ca="1">OFFSET(Sector1!$G$850,0,(COLUMN()-6)/6)</f>
        <v>1.5499999999999998E-2</v>
      </c>
      <c r="G47" s="579">
        <f ca="1">OFFSET(Sector1!$G$851,0,(COLUMN()-7)/6)</f>
        <v>1.0882000000000001</v>
      </c>
      <c r="H47" s="579">
        <f ca="1">OFFSET(Sector1!$G$852,0,(COLUMN()-8)/6)</f>
        <v>-9.2299999999999993E-2</v>
      </c>
      <c r="I47" s="578"/>
      <c r="J47" s="615">
        <f ca="1">+E47-F47-G47-H47</f>
        <v>0.33400000000000002</v>
      </c>
      <c r="K47" s="1130">
        <f ca="1">OFFSET('VVP2'!$G$274,0,(COLUMN()-5)/6)</f>
        <v>0.80310000000000004</v>
      </c>
      <c r="L47" s="579">
        <f ca="1">OFFSET(Sector1!$G$850,0,(COLUMN()-6)/6)</f>
        <v>-1.78E-2</v>
      </c>
      <c r="M47" s="579">
        <f ca="1">OFFSET(Sector1!$G$851,0,(COLUMN()-7)/6)</f>
        <v>0.89479999999999993</v>
      </c>
      <c r="N47" s="579">
        <f ca="1">OFFSET(Sector1!$G$852,0,(COLUMN()-8)/6)</f>
        <v>-7.3900000000000007E-2</v>
      </c>
      <c r="O47" s="578"/>
      <c r="P47" s="615">
        <f ca="1">+K47-L47-M47-N47</f>
        <v>1.5265566588595902E-16</v>
      </c>
      <c r="Q47" s="1130">
        <f ca="1">OFFSET('VVP2'!$G$274,0,(COLUMN()-5)/6)</f>
        <v>0.77849999999999997</v>
      </c>
      <c r="R47" s="579">
        <f ca="1">OFFSET(Sector1!$G$850,0,(COLUMN()-6)/6)</f>
        <v>-1.8900000000000004E-2</v>
      </c>
      <c r="S47" s="579">
        <f ca="1">OFFSET(Sector1!$G$851,0,(COLUMN()-7)/6)</f>
        <v>0.91020000000000001</v>
      </c>
      <c r="T47" s="579">
        <f ca="1">OFFSET(Sector1!$G$852,0,(COLUMN()-8)/6)</f>
        <v>-0.1128</v>
      </c>
      <c r="U47" s="578"/>
      <c r="V47" s="615">
        <f ca="1">+Q47-R47-S47-T47</f>
        <v>0</v>
      </c>
      <c r="W47" s="1130">
        <f ca="1">OFFSET('VVP2'!$G$274,0,(COLUMN()-5)/6)</f>
        <v>1.1260999999999999</v>
      </c>
      <c r="X47" s="579">
        <f ca="1">OFFSET(Sector1!$G$850,0,(COLUMN()-6)/6)</f>
        <v>7.1300000000000002E-2</v>
      </c>
      <c r="Y47" s="579">
        <f ca="1">OFFSET(Sector1!$G$851,0,(COLUMN()-7)/6)</f>
        <v>1.1325000000000001</v>
      </c>
      <c r="Z47" s="579">
        <f ca="1">OFFSET(Sector1!$G$852,0,(COLUMN()-8)/6)</f>
        <v>-7.7700000000000005E-2</v>
      </c>
      <c r="AA47" s="578"/>
      <c r="AB47" s="615">
        <f ca="1">+W47-X47-Y47-Z47</f>
        <v>0</v>
      </c>
      <c r="AC47" s="1130">
        <f ca="1">OFFSET('VVP2'!$G$274,0,(COLUMN()-5)/6)</f>
        <v>1.1020999999999999</v>
      </c>
      <c r="AD47" s="579">
        <f ca="1">OFFSET(Sector1!$G$850,0,(COLUMN()-6)/6)</f>
        <v>-3.0799999999999998E-2</v>
      </c>
      <c r="AE47" s="579">
        <f ca="1">OFFSET(Sector1!$G$851,0,(COLUMN()-7)/6)</f>
        <v>1.1903999999999999</v>
      </c>
      <c r="AF47" s="579">
        <f ca="1">OFFSET(Sector1!$G$852,0,(COLUMN()-8)/6)</f>
        <v>-5.7500000000000002E-2</v>
      </c>
      <c r="AG47" s="578"/>
      <c r="AH47" s="615">
        <f ca="1">+AC47-AD47-AE47-AF47</f>
        <v>-1.0408340855860843E-16</v>
      </c>
      <c r="AI47" s="1130">
        <f ca="1">OFFSET('VVP2'!$G$274,0,(COLUMN()-5)/6)</f>
        <v>3.3356999999999997</v>
      </c>
      <c r="AJ47" s="579">
        <f ca="1">OFFSET(Sector1!$G$850,0,(COLUMN()-6)/6)</f>
        <v>-2.29E-2</v>
      </c>
      <c r="AK47" s="579">
        <f ca="1">OFFSET(Sector1!$G$851,0,(COLUMN()-7)/6)</f>
        <v>3.3982000000000001</v>
      </c>
      <c r="AL47" s="579">
        <f ca="1">OFFSET(Sector1!$G$852,0,(COLUMN()-8)/6)</f>
        <v>-3.9600000000000003E-2</v>
      </c>
      <c r="AM47" s="578"/>
      <c r="AN47" s="615">
        <f ca="1">+AI47-AJ47-AK47-AL47</f>
        <v>-5.2041704279304213E-16</v>
      </c>
      <c r="AO47" s="1130">
        <f ca="1">OFFSET('VVP2'!$G$274,0,(COLUMN()-5)/6)</f>
        <v>0.47</v>
      </c>
      <c r="AP47" s="579">
        <f ca="1">OFFSET(Sector1!$G$850,0,(COLUMN()-6)/6)</f>
        <v>-6.2900000000000011E-2</v>
      </c>
      <c r="AQ47" s="579">
        <f ca="1">OFFSET(Sector1!$G$851,0,(COLUMN()-7)/6)</f>
        <v>0.57950000000000002</v>
      </c>
      <c r="AR47" s="579">
        <f ca="1">OFFSET(Sector1!$G$852,0,(COLUMN()-8)/6)</f>
        <v>-4.6600000000000003E-2</v>
      </c>
      <c r="AS47" s="578"/>
      <c r="AT47" s="615">
        <f ca="1">+AO47-AP47-AQ47-AR47</f>
        <v>-8.3266726846886741E-17</v>
      </c>
      <c r="AU47" s="1130">
        <f ca="1">OFFSET('VVP2'!$G$274,0,(COLUMN()-5)/6)</f>
        <v>8.199999999999999E-3</v>
      </c>
      <c r="AV47" s="579">
        <f ca="1">OFFSET(Sector1!$G$850,0,(COLUMN()-6)/6)</f>
        <v>-8.1500000000000003E-2</v>
      </c>
      <c r="AW47" s="579">
        <f ca="1">OFFSET(Sector1!$G$851,0,(COLUMN()-7)/6)</f>
        <v>0.13059999999999999</v>
      </c>
      <c r="AX47" s="579">
        <f ca="1">OFFSET(Sector1!$G$852,0,(COLUMN()-8)/6)</f>
        <v>-4.0899999999999999E-2</v>
      </c>
      <c r="AY47" s="578"/>
      <c r="AZ47" s="615">
        <f ca="1">+AU47-AV47-AW47-AX47</f>
        <v>0</v>
      </c>
      <c r="BA47" s="1130">
        <f ca="1">OFFSET('VVP2'!$G$274,0,(COLUMN()-5)/6)</f>
        <v>1.1904000000000001</v>
      </c>
      <c r="BB47" s="579">
        <f ca="1">OFFSET(Sector1!$G$850,0,(COLUMN()-6)/6)</f>
        <v>-8.1299999999999997E-2</v>
      </c>
      <c r="BC47" s="579">
        <f ca="1">OFFSET(Sector1!$G$851,0,(COLUMN()-7)/6)</f>
        <v>1.3355999999999999</v>
      </c>
      <c r="BD47" s="579">
        <f ca="1">OFFSET(Sector1!$G$852,0,(COLUMN()-8)/6)</f>
        <v>-6.3899999999999998E-2</v>
      </c>
      <c r="BE47" s="578"/>
      <c r="BF47" s="615">
        <f ca="1">+BA47-BB47-BC47-BD47</f>
        <v>1.5265566588595902E-16</v>
      </c>
      <c r="BG47" s="1130">
        <f ca="1">OFFSET('VVP2'!$G$274,0,(COLUMN()-5)/6)</f>
        <v>3.4138999999999999</v>
      </c>
      <c r="BH47" s="579">
        <f ca="1">OFFSET(Sector1!$G$850,0,(COLUMN()-6)/6)</f>
        <v>-9.7500000000000003E-2</v>
      </c>
      <c r="BI47" s="579">
        <f ca="1">OFFSET(Sector1!$G$851,0,(COLUMN()-7)/6)</f>
        <v>3.5648</v>
      </c>
      <c r="BJ47" s="579">
        <f ca="1">OFFSET(Sector1!$G$852,0,(COLUMN()-8)/6)</f>
        <v>-5.3399999999999996E-2</v>
      </c>
      <c r="BK47" s="578"/>
      <c r="BL47" s="615">
        <f ca="1">+BG47-BH47-BI47-BJ47</f>
        <v>1.0408340855860843E-16</v>
      </c>
      <c r="BM47" s="1130">
        <f ca="1">OFFSET('VVP2'!$G$274,0,(COLUMN()-5)/6)</f>
        <v>4.5220000000000002</v>
      </c>
      <c r="BN47" s="579">
        <f ca="1">OFFSET(Sector1!$G$850,0,(COLUMN()-6)/6)</f>
        <v>-8.270000000000001E-2</v>
      </c>
      <c r="BO47" s="579">
        <f ca="1">OFFSET(Sector1!$G$851,0,(COLUMN()-7)/6)</f>
        <v>4.6634000000000002</v>
      </c>
      <c r="BP47" s="579">
        <f ca="1">OFFSET(Sector1!$G$852,0,(COLUMN()-8)/6)</f>
        <v>-5.8700000000000002E-2</v>
      </c>
      <c r="BQ47" s="578"/>
      <c r="BR47" s="615">
        <f ca="1">+BM47-BN47-BO47-BP47</f>
        <v>0</v>
      </c>
      <c r="BS47" s="1130">
        <f ca="1">OFFSET('VVP2'!$G$274,0,(COLUMN()-5)/6)</f>
        <v>5.0276000000000005</v>
      </c>
      <c r="BT47" s="579">
        <f ca="1">OFFSET(Sector1!$G$850,0,(COLUMN()-6)/6)</f>
        <v>-1.4099999999999994E-2</v>
      </c>
      <c r="BU47" s="579">
        <f ca="1">OFFSET(Sector1!$G$851,0,(COLUMN()-7)/6)</f>
        <v>5.0633999999999997</v>
      </c>
      <c r="BV47" s="579">
        <f ca="1">OFFSET(Sector1!$G$852,0,(COLUMN()-8)/6)</f>
        <v>-2.1700000000000001E-2</v>
      </c>
      <c r="BW47" s="578"/>
      <c r="BX47" s="615">
        <f ca="1">+BS47-BT47-BU47-BV47</f>
        <v>8.3613671542082102E-16</v>
      </c>
      <c r="BY47" s="1130">
        <f ca="1">OFFSET('VVP2'!$G$274,0,(COLUMN()-5)/6)</f>
        <v>4.1791999999999998</v>
      </c>
      <c r="BZ47" s="579">
        <f ca="1">OFFSET(Sector1!$G$850,0,(COLUMN()-6)/6)</f>
        <v>-3.6099999999999993E-2</v>
      </c>
      <c r="CA47" s="579">
        <f ca="1">OFFSET(Sector1!$G$851,0,(COLUMN()-7)/6)</f>
        <v>4.2675999999999998</v>
      </c>
      <c r="CB47" s="579">
        <f ca="1">OFFSET(Sector1!$G$852,0,(COLUMN()-8)/6)</f>
        <v>-5.2299999999999999E-2</v>
      </c>
      <c r="CC47" s="578"/>
      <c r="CD47" s="615">
        <f ca="1">+BY47-BZ47-CA47-CB47</f>
        <v>2.0816681711721685E-16</v>
      </c>
      <c r="CE47" s="1130">
        <f ca="1">OFFSET('VVP2'!$G$274,0,(COLUMN()-5)/6)</f>
        <v>6.2169999999999996</v>
      </c>
      <c r="CF47" s="579">
        <f ca="1">OFFSET(Sector1!$G$850,0,(COLUMN()-6)/6)</f>
        <v>-1.4200000000000003E-2</v>
      </c>
      <c r="CG47" s="579">
        <f ca="1">OFFSET(Sector1!$G$851,0,(COLUMN()-7)/6)</f>
        <v>5.9844999999999997</v>
      </c>
      <c r="CH47" s="579">
        <f ca="1">OFFSET(Sector1!$G$852,0,(COLUMN()-8)/6)</f>
        <v>0.24669999999999997</v>
      </c>
      <c r="CI47" s="578"/>
      <c r="CJ47" s="615">
        <f ca="1">+CE47-CF47-CG47-CH47</f>
        <v>-2.7755575615628914E-16</v>
      </c>
      <c r="CK47" s="1130">
        <f ca="1">OFFSET('VVP2'!$G$274,0,(COLUMN()-5)/6)</f>
        <v>-3.2189000000000001</v>
      </c>
      <c r="CL47" s="579">
        <f ca="1">OFFSET(Sector1!$G$850,0,(COLUMN()-6)/6)</f>
        <v>2.2299999999999997E-2</v>
      </c>
      <c r="CM47" s="579">
        <f ca="1">OFFSET(Sector1!$G$851,0,(COLUMN()-7)/6)</f>
        <v>-3.6092999999999997</v>
      </c>
      <c r="CN47" s="579">
        <f ca="1">OFFSET(Sector1!$G$852,0,(COLUMN()-8)/6)</f>
        <v>0.36810000000000004</v>
      </c>
      <c r="CO47" s="578"/>
      <c r="CP47" s="615">
        <f ca="1">+CK47-CL47-CM47-CN47</f>
        <v>0</v>
      </c>
      <c r="CQ47" s="1130">
        <f ca="1">OFFSET('VVP2'!$G$274,0,(COLUMN()-5)/6)</f>
        <v>3.1879</v>
      </c>
      <c r="CR47" s="579">
        <f ca="1">OFFSET(Sector1!$G$850,0,(COLUMN()-6)/6)</f>
        <v>2.0299999999999999E-2</v>
      </c>
      <c r="CS47" s="579">
        <f ca="1">OFFSET(Sector1!$G$851,0,(COLUMN()-7)/6)</f>
        <v>2.8279000000000001</v>
      </c>
      <c r="CT47" s="579">
        <f ca="1">OFFSET(Sector1!$G$852,0,(COLUMN()-8)/6)</f>
        <v>0.3397</v>
      </c>
      <c r="CU47" s="578"/>
      <c r="CV47" s="615">
        <f ca="1">+CQ47-CR47-CS47-CT47</f>
        <v>0</v>
      </c>
      <c r="CW47" s="1130">
        <f ca="1">OFFSET('VVP2'!$G$274,0,(COLUMN()-5)/6)</f>
        <v>5.3386000000000005</v>
      </c>
      <c r="CX47" s="579">
        <f ca="1">OFFSET(Sector1!$G$850,0,(COLUMN()-6)/6)</f>
        <v>0.2278</v>
      </c>
      <c r="CY47" s="579">
        <f ca="1">OFFSET(Sector1!$G$851,0,(COLUMN()-7)/6)</f>
        <v>4.5380000000000003</v>
      </c>
      <c r="CZ47" s="579">
        <f ca="1">OFFSET(Sector1!$G$852,0,(COLUMN()-8)/6)</f>
        <v>0.57279999999999998</v>
      </c>
      <c r="DA47" s="578"/>
      <c r="DB47" s="615">
        <f ca="1">+CW47-CX47-CY47-CZ47</f>
        <v>0</v>
      </c>
      <c r="DC47" s="1130">
        <f ca="1">OFFSET('VVP2'!$G$274,0,(COLUMN()-5)/6)</f>
        <v>2.2458</v>
      </c>
      <c r="DD47" s="579">
        <f ca="1">OFFSET(Sector1!$G$850,0,(COLUMN()-6)/6)</f>
        <v>7.640000000000001E-2</v>
      </c>
      <c r="DE47" s="579">
        <f ca="1">OFFSET(Sector1!$G$851,0,(COLUMN()-7)/6)</f>
        <v>1.633</v>
      </c>
      <c r="DF47" s="579">
        <f ca="1">OFFSET(Sector1!$G$852,0,(COLUMN()-8)/6)</f>
        <v>0.53639999999999999</v>
      </c>
      <c r="DG47" s="578"/>
      <c r="DH47" s="615">
        <f ca="1">+DC47-DD47-DE47-DF47</f>
        <v>0</v>
      </c>
      <c r="DI47" s="1130">
        <f ca="1">OFFSET('VVP2'!$G$274,0,(COLUMN()-5)/6)</f>
        <v>5.1499999999999997E-2</v>
      </c>
      <c r="DJ47" s="579">
        <f ca="1">OFFSET(Sector1!$G$850,0,(COLUMN()-6)/6)</f>
        <v>0.10110000000000001</v>
      </c>
      <c r="DK47" s="579">
        <f ca="1">OFFSET(Sector1!$G$851,0,(COLUMN()-7)/6)</f>
        <v>-0.29120000000000001</v>
      </c>
      <c r="DL47" s="579">
        <f ca="1">OFFSET(Sector1!$G$852,0,(COLUMN()-8)/6)</f>
        <v>0.24159999999999998</v>
      </c>
      <c r="DM47" s="578"/>
      <c r="DN47" s="615">
        <f ca="1">+DI47-DJ47-DK47-DL47</f>
        <v>0</v>
      </c>
      <c r="DO47" s="1130">
        <f ca="1">OFFSET('VVP2'!$G$274,0,(COLUMN()-5)/6)</f>
        <v>1.1437999999999999</v>
      </c>
      <c r="DP47" s="579">
        <f ca="1">OFFSET(Sector1!$G$850,0,(COLUMN()-6)/6)</f>
        <v>6.1999999999999989E-3</v>
      </c>
      <c r="DQ47" s="579">
        <f ca="1">OFFSET(Sector1!$G$851,0,(COLUMN()-7)/6)</f>
        <v>1.2723</v>
      </c>
      <c r="DR47" s="579">
        <f ca="1">OFFSET(Sector1!$G$852,0,(COLUMN()-8)/6)</f>
        <v>-0.13550000000000001</v>
      </c>
      <c r="DS47" s="578"/>
      <c r="DT47" s="615">
        <f ca="1">+DO47-DP47-DQ47-DR47</f>
        <v>7.999999999999674E-4</v>
      </c>
      <c r="DU47" s="1130">
        <f ca="1">OFFSET('VVP2'!$G$274,0,(COLUMN()-5)/6)</f>
        <v>1.5740000000000001</v>
      </c>
      <c r="DV47" s="579">
        <f ca="1">OFFSET(Sector1!$G$850,0,(COLUMN()-6)/6)</f>
        <v>-9.9699999999999997E-2</v>
      </c>
      <c r="DW47" s="579">
        <f ca="1">OFFSET(Sector1!$G$851,0,(COLUMN()-7)/6)</f>
        <v>1.7552999999999999</v>
      </c>
      <c r="DX47" s="579">
        <f ca="1">OFFSET(Sector1!$G$852,0,(COLUMN()-8)/6)</f>
        <v>-8.1599999999999992E-2</v>
      </c>
      <c r="DY47" s="578"/>
      <c r="DZ47" s="615">
        <f ca="1">+DU47-DV47-DW47-DX47</f>
        <v>0</v>
      </c>
      <c r="EA47" s="1130">
        <f ca="1">OFFSET('VVP2'!$G$274,0,(COLUMN()-5)/6)</f>
        <v>1.9818</v>
      </c>
      <c r="EB47" s="579">
        <f ca="1">OFFSET(Sector1!$G$850,0,(COLUMN()-6)/6)</f>
        <v>-1.41E-2</v>
      </c>
      <c r="EC47" s="579">
        <f ca="1">OFFSET(Sector1!$G$851,0,(COLUMN()-7)/6)</f>
        <v>2.0428999999999999</v>
      </c>
      <c r="ED47" s="579">
        <f ca="1">OFFSET(Sector1!$G$852,0,(COLUMN()-8)/6)</f>
        <v>-4.7E-2</v>
      </c>
      <c r="EE47" s="578"/>
      <c r="EF47" s="615">
        <f ca="1">+EA47-EB47-EC47-ED47</f>
        <v>6.9388939039072284E-17</v>
      </c>
      <c r="EG47" s="1130">
        <f ca="1">OFFSET('VVP2'!$G$274,0,(COLUMN()-5)/6)</f>
        <v>5.5851000000000006</v>
      </c>
      <c r="EH47" s="579">
        <f ca="1">OFFSET(Sector1!$G$850,0,(COLUMN()-6)/6)</f>
        <v>-1.41E-2</v>
      </c>
      <c r="EI47" s="579">
        <f ca="1">OFFSET(Sector1!$G$851,0,(COLUMN()-7)/6)</f>
        <v>5.6830000000000007</v>
      </c>
      <c r="EJ47" s="579">
        <f ca="1">OFFSET(Sector1!$G$852,0,(COLUMN()-8)/6)</f>
        <v>-8.3799999999999999E-2</v>
      </c>
      <c r="EK47" s="578"/>
      <c r="EL47" s="615">
        <f ca="1">+EG47-EH47-EI47-EJ47</f>
        <v>0</v>
      </c>
      <c r="EM47" s="1130">
        <f ca="1">OFFSET('VVP2'!$G$274,0,(COLUMN()-5)/6)</f>
        <v>5.5851000000000006</v>
      </c>
      <c r="EN47" s="579">
        <f ca="1">OFFSET(Sector1!$G$850,0,(COLUMN()-6)/6)</f>
        <v>-1.41E-2</v>
      </c>
      <c r="EO47" s="579">
        <f ca="1">OFFSET(Sector1!$G$851,0,(COLUMN()-7)/6)</f>
        <v>5.6832000000000003</v>
      </c>
      <c r="EP47" s="579">
        <f ca="1">OFFSET(Sector1!$G$852,0,(COLUMN()-8)/6)</f>
        <v>-8.4000000000000005E-2</v>
      </c>
      <c r="EQ47" s="578"/>
      <c r="ER47" s="615">
        <f ca="1">+EM47-EN47-EO47-EP47</f>
        <v>3.7470027081099033E-16</v>
      </c>
    </row>
    <row r="48" spans="1:148" s="577" customFormat="1">
      <c r="A48" s="572"/>
      <c r="B48" s="616" t="s">
        <v>624</v>
      </c>
      <c r="C48" s="4150" t="s">
        <v>1529</v>
      </c>
      <c r="D48" s="4150"/>
      <c r="E48" s="617">
        <f ca="1">+E39+E40-E45-E46-E47</f>
        <v>9.5306000000000122</v>
      </c>
      <c r="F48" s="617">
        <f ca="1">+F39+F40-F45-F46-F47</f>
        <v>14.052400000000013</v>
      </c>
      <c r="G48" s="617">
        <f ca="1">+G39+G40-G45-G46-G47</f>
        <v>5.0951999999999984</v>
      </c>
      <c r="H48" s="617">
        <f ca="1">+H39+H40-H45-H46-H47</f>
        <v>-9.3929999999999989</v>
      </c>
      <c r="I48" s="617">
        <f ca="1">-OFFSET('VVP2'!$G$345,0,(COLUMN()-9)/6)-I11-I17+I16+I18-I30+I28+I24+I32+I35+I40-I45</f>
        <v>-9.3330000000000037</v>
      </c>
      <c r="J48" s="618">
        <f ca="1">+E48+I48</f>
        <v>0.19760000000000844</v>
      </c>
      <c r="K48" s="617">
        <f ca="1">+K39+K40-K45-K46-K47</f>
        <v>8.040099999999974</v>
      </c>
      <c r="L48" s="617">
        <f ca="1">+L39+L40-L45-L46-L47</f>
        <v>11.831200000000008</v>
      </c>
      <c r="M48" s="617">
        <f ca="1">+M39+M40-M45-M46-M47</f>
        <v>4.6982999999999819</v>
      </c>
      <c r="N48" s="617">
        <f ca="1">+N39+N40-N45-N46-N47</f>
        <v>-8.489400000000014</v>
      </c>
      <c r="O48" s="617">
        <f ca="1">-OFFSET('VVP2'!$G$345,0,(COLUMN()-9)/6)-O11-O17+O16+O18-O30+O28+O24+O32+O35+O40-O45</f>
        <v>-8.0400000000000116</v>
      </c>
      <c r="P48" s="618">
        <f ca="1">+K48+O48</f>
        <v>9.9999999962463448E-5</v>
      </c>
      <c r="Q48" s="617">
        <f ca="1">+Q39+Q40-Q45-Q46-Q47</f>
        <v>10.661400000000024</v>
      </c>
      <c r="R48" s="617">
        <f ca="1">+R39+R40-R45-R46-R47</f>
        <v>9.8519000000000148</v>
      </c>
      <c r="S48" s="617">
        <f ca="1">+S39+S40-S45-S46-S47</f>
        <v>5.6112000000000037</v>
      </c>
      <c r="T48" s="617">
        <f ca="1">+T39+T40-T45-T46-T47</f>
        <v>-4.8016999999999941</v>
      </c>
      <c r="U48" s="617">
        <f ca="1">-OFFSET('VVP2'!$G$345,0,(COLUMN()-9)/6)-U11-U17+U16+U18-U30+U28+U24+U32+U35+U40-U45</f>
        <v>-10.661400000000016</v>
      </c>
      <c r="V48" s="618">
        <f ca="1">+Q48+U48</f>
        <v>0</v>
      </c>
      <c r="W48" s="617">
        <f ca="1">+W39+W40-W45-W46-W47</f>
        <v>10.115900000000055</v>
      </c>
      <c r="X48" s="617">
        <f ca="1">+X39+X40-X45-X46-X47</f>
        <v>10.039800000000049</v>
      </c>
      <c r="Y48" s="617">
        <f ca="1">+Y39+Y40-Y45-Y46-Y47</f>
        <v>2.2989999999999995</v>
      </c>
      <c r="Z48" s="617">
        <f ca="1">+Z39+Z40-Z45-Z46-Z47</f>
        <v>-2.2228999999999934</v>
      </c>
      <c r="AA48" s="617">
        <f ca="1">-OFFSET('VVP2'!$G$345,0,(COLUMN()-9)/6)-AA11-AA17+AA16+AA18-AA30+AA28+AA24+AA32+AA35+AA40-AA45</f>
        <v>-10.115800000000018</v>
      </c>
      <c r="AB48" s="618">
        <f ca="1">+W48+AA48</f>
        <v>1.0000000003707044E-4</v>
      </c>
      <c r="AC48" s="617">
        <f ca="1">+AC39+AC40-AC45-AC46-AC47</f>
        <v>11.731700000000004</v>
      </c>
      <c r="AD48" s="617">
        <f ca="1">+AD39+AD40-AD45-AD46-AD47</f>
        <v>10.800000000000018</v>
      </c>
      <c r="AE48" s="617">
        <f ca="1">+AE39+AE40-AE45-AE46-AE47</f>
        <v>2.277099999999987</v>
      </c>
      <c r="AF48" s="617">
        <f ca="1">+AF39+AF40-AF45-AF46-AF47</f>
        <v>-1.3454000000000006</v>
      </c>
      <c r="AG48" s="617">
        <f ca="1">-OFFSET('VVP2'!$G$345,0,(COLUMN()-9)/6)-AG11-AG17+AG16+AG18-AG30+AG28+AG24+AG32+AG35+AG40-AG45</f>
        <v>-11.731699999999977</v>
      </c>
      <c r="AH48" s="618">
        <f ca="1">+AC48+AG48</f>
        <v>2.6645352591003757E-14</v>
      </c>
      <c r="AI48" s="617">
        <f ca="1">+AI39+AI40-AI45-AI46-AI47</f>
        <v>9.9376000000000424</v>
      </c>
      <c r="AJ48" s="617">
        <f ca="1">+AJ39+AJ40-AJ45-AJ46-AJ47</f>
        <v>10.455200000000033</v>
      </c>
      <c r="AK48" s="617">
        <f ca="1">+AK39+AK40-AK45-AK46-AK47</f>
        <v>-0.33190000000000186</v>
      </c>
      <c r="AL48" s="617">
        <f ca="1">+AL39+AL40-AL45-AL46-AL47</f>
        <v>-0.18569999999999806</v>
      </c>
      <c r="AM48" s="617">
        <f ca="1">-OFFSET('VVP2'!$G$345,0,(COLUMN()-9)/6)-AM11-AM17+AM16+AM18-AM30+AM28+AM24+AM32+AM35+AM40-AM45</f>
        <v>-9.9375999999999891</v>
      </c>
      <c r="AN48" s="618">
        <f ca="1">+AI48+AM48</f>
        <v>5.3290705182007514E-14</v>
      </c>
      <c r="AO48" s="617">
        <f ca="1">+AO39+AO40-AO45-AO46-AO47</f>
        <v>10.518800000000004</v>
      </c>
      <c r="AP48" s="617">
        <f ca="1">+AP39+AP40-AP45-AP46-AP47</f>
        <v>14.137099999999988</v>
      </c>
      <c r="AQ48" s="617">
        <f ca="1">+AQ39+AQ40-AQ45-AQ46-AQ47</f>
        <v>-4.0751999999999926</v>
      </c>
      <c r="AR48" s="617">
        <f ca="1">+AR39+AR40-AR45-AR46-AR47</f>
        <v>0.45690000000000119</v>
      </c>
      <c r="AS48" s="617">
        <f ca="1">-OFFSET('VVP2'!$G$345,0,(COLUMN()-9)/6)-AS11-AS17+AS16+AS18-AS30+AS28+AS24+AS32+AS35+AS40-AS45</f>
        <v>-10.518700000000003</v>
      </c>
      <c r="AT48" s="618">
        <f ca="1">+AO48+AS48</f>
        <v>1.000000000015433E-4</v>
      </c>
      <c r="AU48" s="617">
        <f ca="1">+AU39+AU40-AU45-AU46-AU47</f>
        <v>16.079200000000053</v>
      </c>
      <c r="AV48" s="617">
        <f ca="1">+AV39+AV40-AV45-AV46-AV47</f>
        <v>13.683700000000059</v>
      </c>
      <c r="AW48" s="617">
        <f ca="1">+AW39+AW40-AW45-AW46-AW47</f>
        <v>2.2708999999999988</v>
      </c>
      <c r="AX48" s="617">
        <f ca="1">+AX39+AX40-AX45-AX46-AX47</f>
        <v>0.12460000000000565</v>
      </c>
      <c r="AY48" s="617">
        <f ca="1">-OFFSET('VVP2'!$G$345,0,(COLUMN()-9)/6)-AY11-AY17+AY16+AY18-AY30+AY28+AY24+AY32+AY35+AY40-AY45</f>
        <v>-16.079199999999972</v>
      </c>
      <c r="AZ48" s="618">
        <f ca="1">+AU48+AY48</f>
        <v>8.1712414612411521E-14</v>
      </c>
      <c r="BA48" s="617">
        <f ca="1">+BA39+BA40-BA45-BA46-BA47</f>
        <v>15.799199999999988</v>
      </c>
      <c r="BB48" s="617">
        <f ca="1">+BB39+BB40-BB45-BB46-BB47</f>
        <v>12.773299999999971</v>
      </c>
      <c r="BC48" s="617">
        <f ca="1">+BC39+BC40-BC45-BC46-BC47</f>
        <v>8.0032000000000068</v>
      </c>
      <c r="BD48" s="617">
        <f ca="1">+BD39+BD40-BD45-BD46-BD47</f>
        <v>-4.9772999999999881</v>
      </c>
      <c r="BE48" s="617">
        <f ca="1">-OFFSET('VVP2'!$G$345,0,(COLUMN()-9)/6)-BE11-BE17+BE16+BE18-BE30+BE28+BE24+BE32+BE35+BE40-BE45</f>
        <v>-15.799199999999983</v>
      </c>
      <c r="BF48" s="618">
        <f ca="1">+BA48+BE48</f>
        <v>0</v>
      </c>
      <c r="BG48" s="617">
        <f ca="1">+BG39+BG40-BG45-BG46-BG47</f>
        <v>13.419599999999987</v>
      </c>
      <c r="BH48" s="617">
        <f ca="1">+BH39+BH40-BH45-BH46-BH47</f>
        <v>9.3666999999999874</v>
      </c>
      <c r="BI48" s="617">
        <f ca="1">+BI39+BI40-BI45-BI46-BI47</f>
        <v>4.5215000000000085</v>
      </c>
      <c r="BJ48" s="617">
        <f ca="1">+BJ39+BJ40-BJ45-BJ46-BJ47</f>
        <v>-0.46859999999999846</v>
      </c>
      <c r="BK48" s="617">
        <f ca="1">-OFFSET('VVP2'!$G$345,0,(COLUMN()-9)/6)-BK11-BK17+BK16+BK18-BK30+BK28+BK24+BK32+BK35+BK40-BK45</f>
        <v>-13.41580000000001</v>
      </c>
      <c r="BL48" s="618">
        <f ca="1">+BG48+BK48</f>
        <v>3.7999999999769329E-3</v>
      </c>
      <c r="BM48" s="617">
        <f ca="1">+BM39+BM40-BM45-BM46-BM47</f>
        <v>10.235700000000042</v>
      </c>
      <c r="BN48" s="617">
        <f ca="1">+BN39+BN40-BN45-BN46-BN47</f>
        <v>7.0027000000000017</v>
      </c>
      <c r="BO48" s="617">
        <f ca="1">+BO39+BO40-BO45-BO46-BO47</f>
        <v>11.833600000000029</v>
      </c>
      <c r="BP48" s="617">
        <f ca="1">+BP39+BP40-BP45-BP46-BP47</f>
        <v>-8.6005999999999911</v>
      </c>
      <c r="BQ48" s="617">
        <f ca="1">-OFFSET('VVP2'!$G$345,0,(COLUMN()-9)/6)-BQ11-BQ17+BQ16+BQ18-BQ30+BQ28+BQ24+BQ32+BQ35+BQ40-BQ45</f>
        <v>-10.246700000000002</v>
      </c>
      <c r="BR48" s="618">
        <f ca="1">+BM48+BQ48</f>
        <v>-1.0999999999960153E-2</v>
      </c>
      <c r="BS48" s="617">
        <f ca="1">+BS39+BS40-BS45-BS46-BS47</f>
        <v>12.003700000000073</v>
      </c>
      <c r="BT48" s="617">
        <f ca="1">+BT39+BT40-BT45-BT46-BT47</f>
        <v>7.6145000000000538</v>
      </c>
      <c r="BU48" s="617">
        <f ca="1">+BU39+BU40-BU45-BU46-BU47</f>
        <v>3.6726999999999865</v>
      </c>
      <c r="BV48" s="617">
        <f ca="1">+BV39+BV40-BV45-BV46-BV47</f>
        <v>0.71650000000001768</v>
      </c>
      <c r="BW48" s="617">
        <f ca="1">-OFFSET('VVP2'!$G$345,0,(COLUMN()-9)/6)-BW11-BW17+BW16+BW18-BW30+BW28+BW24+BW32+BW35+BW40-BW45</f>
        <v>-12.015700000000018</v>
      </c>
      <c r="BX48" s="618">
        <f ca="1">+BS48+BW48</f>
        <v>-1.1999999999945388E-2</v>
      </c>
      <c r="BY48" s="617">
        <f ca="1">+BY39+BY40-BY45-BY46-BY47</f>
        <v>12.74649999999995</v>
      </c>
      <c r="BZ48" s="617">
        <f ca="1">+BZ39+BZ40-BZ45-BZ46-BZ47</f>
        <v>8.1682999999999648</v>
      </c>
      <c r="CA48" s="617">
        <f ca="1">+CA39+CA40-CA45-CA46-CA47</f>
        <v>4.3524999999999654</v>
      </c>
      <c r="CB48" s="617">
        <f ca="1">+CB39+CB40-CB45-CB46-CB47</f>
        <v>0.22570000000002399</v>
      </c>
      <c r="CC48" s="617">
        <f ca="1">-OFFSET('VVP2'!$G$345,0,(COLUMN()-9)/6)-CC11-CC17+CC16+CC18-CC30+CC28+CC24+CC32+CC35+CC40-CC45</f>
        <v>-12.758299999999986</v>
      </c>
      <c r="CD48" s="618">
        <f ca="1">+BY48+CC48</f>
        <v>-1.1800000000036448E-2</v>
      </c>
      <c r="CE48" s="617">
        <f ca="1">+CE39+CE40-CE45-CE46-CE47</f>
        <v>3.4888999999999859</v>
      </c>
      <c r="CF48" s="617">
        <f ca="1">+CF39+CF40-CF45-CF46-CF47</f>
        <v>10.419000000000024</v>
      </c>
      <c r="CG48" s="617">
        <f ca="1">+CG39+CG40-CG45-CG46-CG47</f>
        <v>-3.0239000000000216</v>
      </c>
      <c r="CH48" s="617">
        <f ca="1">+CH39+CH40-CH45-CH46-CH47</f>
        <v>-3.9062000000000103</v>
      </c>
      <c r="CI48" s="617">
        <f ca="1">-OFFSET('VVP2'!$G$345,0,(COLUMN()-9)/6)-CI11-CI17+CI16+CI18-CI30+CI28+CI24+CI32+CI35+CI40-CI45</f>
        <v>-3.500499999999926</v>
      </c>
      <c r="CJ48" s="618">
        <f ca="1">+CE48+CI48</f>
        <v>-1.1599999999940103E-2</v>
      </c>
      <c r="CK48" s="617">
        <f ca="1">+CK39+CK40-CK45-CK46-CK47</f>
        <v>2.542499999999928</v>
      </c>
      <c r="CL48" s="617">
        <f ca="1">+CL39+CL40-CL45-CL46-CL47</f>
        <v>16.344799999999964</v>
      </c>
      <c r="CM48" s="617">
        <f ca="1">+CM39+CM40-CM45-CM46-CM47</f>
        <v>4.9727999999999586</v>
      </c>
      <c r="CN48" s="617">
        <f ca="1">+CN39+CN40-CN45-CN46-CN47</f>
        <v>-18.775099999999981</v>
      </c>
      <c r="CO48" s="617">
        <f ca="1">-OFFSET('VVP2'!$G$345,0,(COLUMN()-9)/6)-CO11-CO17+CO16+CO18-CO30+CO28+CO24+CO32+CO35+CO40-CO45</f>
        <v>-2.5540999999999818</v>
      </c>
      <c r="CP48" s="618">
        <f ca="1">+CK48+CO48</f>
        <v>-1.160000000005379E-2</v>
      </c>
      <c r="CQ48" s="617">
        <f ca="1">+CQ39+CQ40-CQ45-CQ46-CQ47</f>
        <v>13.193300000000079</v>
      </c>
      <c r="CR48" s="617">
        <f ca="1">+CR39+CR40-CR45-CR46-CR47</f>
        <v>9.6073000000000466</v>
      </c>
      <c r="CS48" s="617">
        <f ca="1">+CS39+CS40-CS45-CS46-CS47</f>
        <v>18.195099999999996</v>
      </c>
      <c r="CT48" s="617">
        <f ca="1">+CT39+CT40-CT45-CT46-CT47</f>
        <v>-14.609099999999962</v>
      </c>
      <c r="CU48" s="617">
        <f ca="1">-OFFSET('VVP2'!$G$345,0,(COLUMN()-9)/6)-CU11-CU17+CU16+CU18-CU30+CU28+CU24+CU32+CU35+CU40-CU45</f>
        <v>-13.208100000000028</v>
      </c>
      <c r="CV48" s="618">
        <f ca="1">+CQ48+CU48</f>
        <v>-1.479999999994952E-2</v>
      </c>
      <c r="CW48" s="617">
        <f ca="1">+CW39+CW40-CW45-CW46-CW47</f>
        <v>0.49400000000005573</v>
      </c>
      <c r="CX48" s="617">
        <f ca="1">+CX39+CX40-CX45-CX46-CX47</f>
        <v>7.7494000000000245</v>
      </c>
      <c r="CY48" s="617">
        <f ca="1">+CY39+CY40-CY45-CY46-CY47</f>
        <v>8.3964000000000105</v>
      </c>
      <c r="CZ48" s="617">
        <f ca="1">+CZ39+CZ40-CZ45-CZ46-CZ47</f>
        <v>-15.651799999999987</v>
      </c>
      <c r="DA48" s="617">
        <f ca="1">-OFFSET('VVP2'!$G$345,0,(COLUMN()-9)/6)-DA11-DA17+DA16+DA18-DA30+DA28+DA24+DA32+DA35+DA40-DA45</f>
        <v>-0.50499999999997502</v>
      </c>
      <c r="DB48" s="618">
        <f ca="1">+CW48+DA48</f>
        <v>-1.0999999999919297E-2</v>
      </c>
      <c r="DC48" s="617">
        <f ca="1">+DC39+DC40-DC45-DC46-DC47</f>
        <v>8.5131999999998449</v>
      </c>
      <c r="DD48" s="617">
        <f ca="1">+DD39+DD40-DD45-DD46-DD47</f>
        <v>6.0577999999998831</v>
      </c>
      <c r="DE48" s="617">
        <f ca="1">+DE39+DE40-DE45-DE46-DE47</f>
        <v>18.864799999999956</v>
      </c>
      <c r="DF48" s="617">
        <f ca="1">+DF39+DF40-DF45-DF46-DF47</f>
        <v>-16.409399999999984</v>
      </c>
      <c r="DG48" s="617">
        <f ca="1">-OFFSET('VVP2'!$G$345,0,(COLUMN()-9)/6)-DG11-DG17+DG16+DG18-DG30+DG28+DG24+DG32+DG35+DG40-DG45</f>
        <v>-8.5449000000000073</v>
      </c>
      <c r="DH48" s="618">
        <f ca="1">+DC48+DG48</f>
        <v>-3.1700000000162376E-2</v>
      </c>
      <c r="DI48" s="617">
        <f ca="1">+DI39+DI40-DI45-DI46-DI47</f>
        <v>4.3165999999999842</v>
      </c>
      <c r="DJ48" s="617">
        <f ca="1">+DJ39+DJ40-DJ45-DJ46-DJ47</f>
        <v>5.3377000000000505</v>
      </c>
      <c r="DK48" s="617">
        <f ca="1">+DK39+DK40-DK45-DK46-DK47</f>
        <v>11.289099999999959</v>
      </c>
      <c r="DL48" s="617">
        <f ca="1">+DL39+DL40-DL45-DL46-DL47</f>
        <v>-12.310200000000018</v>
      </c>
      <c r="DM48" s="617">
        <f ca="1">-OFFSET('VVP2'!$G$345,0,(COLUMN()-9)/6)-DM11-DM17+DM16+DM18-DM30+DM28+DM24+DM32+DM35+DM40-DM45</f>
        <v>-4.3166000000000029</v>
      </c>
      <c r="DN48" s="618">
        <f ca="1">+DI48+DM48</f>
        <v>-1.865174681370263E-14</v>
      </c>
      <c r="DO48" s="617">
        <f ca="1">+DO39+DO40-DO45-DO46-DO47</f>
        <v>-2.233400000000004</v>
      </c>
      <c r="DP48" s="617">
        <f ca="1">+DP39+DP40-DP45-DP46-DP47</f>
        <v>3.4781000000000151</v>
      </c>
      <c r="DQ48" s="617">
        <f ca="1">+DQ39+DQ40-DQ45-DQ46-DQ47</f>
        <v>6.8163999999999749</v>
      </c>
      <c r="DR48" s="617">
        <f ca="1">+DR39+DR40-DR45-DR46-DR47</f>
        <v>-12.32470000000002</v>
      </c>
      <c r="DS48" s="617">
        <f ca="1">-OFFSET('VVP2'!$G$345,0,(COLUMN()-9)/6)-DS11-DS17+DS16+DS18-DS30+DS28+DS24+DS32+DS35+DS40-DS45</f>
        <v>1.939600000000024</v>
      </c>
      <c r="DT48" s="618">
        <f ca="1">+DO48+DS48</f>
        <v>-0.29379999999998008</v>
      </c>
      <c r="DU48" s="617">
        <f ca="1">+DU39+DU40-DU45-DU46-DU47</f>
        <v>-1.9048000000000818</v>
      </c>
      <c r="DV48" s="617">
        <f ca="1">+DV39+DV40-DV45-DV46-DV47</f>
        <v>2.0017999999999652</v>
      </c>
      <c r="DW48" s="617">
        <f ca="1">+DW39+DW40-DW45-DW46-DW47</f>
        <v>6.4679999999999804</v>
      </c>
      <c r="DX48" s="617">
        <f ca="1">+DX39+DX40-DX45-DX46-DX47</f>
        <v>-10.179400000000021</v>
      </c>
      <c r="DY48" s="617">
        <f ca="1">-OFFSET('VVP2'!$G$345,0,(COLUMN()-9)/6)-DY11-DY17+DY16+DY18-DY30+DY28+DY24+DY32+DY35+DY40-DY45</f>
        <v>1.6817000000000106</v>
      </c>
      <c r="DZ48" s="618">
        <f ca="1">+DU48+DY48</f>
        <v>-0.22310000000007113</v>
      </c>
      <c r="EA48" s="617">
        <f ca="1">+EA39+EA40-EA45-EA46-EA47</f>
        <v>0.87739999999993024</v>
      </c>
      <c r="EB48" s="617">
        <f ca="1">+EB39+EB40-EB45-EB46-EB47</f>
        <v>0.64039999999995789</v>
      </c>
      <c r="EC48" s="617">
        <f ca="1">+EC39+EC40-EC45-EC46-EC47</f>
        <v>10.768699999999999</v>
      </c>
      <c r="ED48" s="617">
        <f ca="1">+ED39+ED40-ED45-ED46-ED47</f>
        <v>-10.492300000000025</v>
      </c>
      <c r="EE48" s="617">
        <f ca="1">-OFFSET('VVP2'!$G$345,0,(COLUMN()-9)/6)-EE11-EE17+EE16+EE18-EE30+EE28+EE24+EE32+EE35+EE40-EE45</f>
        <v>-0.87200000000000988</v>
      </c>
      <c r="EF48" s="618">
        <f ca="1">+EA48+EE48</f>
        <v>5.3999999999203574E-3</v>
      </c>
      <c r="EG48" s="617">
        <f ca="1">+EG39+EG40-EG45-EG46-EG47</f>
        <v>3.0132591550331504</v>
      </c>
      <c r="EH48" s="617">
        <f ca="1">+EH39+EH40-EH45-EH46-EH47</f>
        <v>0.60057320248026347</v>
      </c>
      <c r="EI48" s="617">
        <f ca="1">+EI39+EI40-EI45-EI46-EI47</f>
        <v>6.9352859525528947</v>
      </c>
      <c r="EJ48" s="617">
        <f ca="1">+EJ39+EJ40-EJ45-EJ46-EJ47</f>
        <v>-4.5226000000000059</v>
      </c>
      <c r="EK48" s="617">
        <f ca="1">-OFFSET('VVP2'!$G$345,0,(COLUMN()-9)/6)-EK11-EK17+EK16+EK18-EK30+EK28+EK24+EK32+EK35+EK40-EK45</f>
        <v>-3.3691990077492853</v>
      </c>
      <c r="EL48" s="618">
        <f ca="1">+EG48+EK48</f>
        <v>-0.35593985271613482</v>
      </c>
      <c r="EM48" s="617">
        <f ca="1">+EM39+EM40-EM45-EM46-EM47</f>
        <v>3.2190565059606335</v>
      </c>
      <c r="EN48" s="617">
        <f ca="1">+EN39+EN40-EN45-EN46-EN47</f>
        <v>-5.2060253028058945E-2</v>
      </c>
      <c r="EO48" s="617">
        <f ca="1">+EO39+EO40-EO45-EO46-EO47</f>
        <v>8.3813771471203182</v>
      </c>
      <c r="EP48" s="617">
        <f ca="1">+EP39+EP40-EP45-EP46-EP47</f>
        <v>-5.1102603881316275</v>
      </c>
      <c r="EQ48" s="617">
        <f ca="1">-OFFSET('VVP2'!$G$345,0,(COLUMN()-9)/6)-EQ11-EQ17+EQ16+EQ18-EQ30+EQ28+EQ24+EQ32+EQ35+EQ40-EQ45</f>
        <v>-3.2190565059606775</v>
      </c>
      <c r="ER48" s="618">
        <f ca="1">+EM48+EQ48</f>
        <v>-4.3964831775156199E-14</v>
      </c>
    </row>
    <row r="49" spans="1:148">
      <c r="A49" s="619"/>
      <c r="B49" s="620"/>
      <c r="C49" s="4144" t="s">
        <v>64</v>
      </c>
      <c r="D49" s="4145"/>
      <c r="E49" s="621"/>
      <c r="F49" s="622">
        <f ca="1">+F48/E5</f>
        <v>6.650739170848903E-2</v>
      </c>
      <c r="G49" s="622">
        <f ca="1">+G48/E5</f>
        <v>2.4114632534876099E-2</v>
      </c>
      <c r="H49" s="622">
        <f ca="1">+H48/E5</f>
        <v>-4.4455319398667613E-2</v>
      </c>
      <c r="I49" s="622">
        <f ca="1">+I48/E5</f>
        <v>-4.4171350574658264E-2</v>
      </c>
      <c r="J49" s="623"/>
      <c r="K49" s="621"/>
      <c r="L49" s="622">
        <f ca="1">+L48/K5</f>
        <v>5.478868438991142E-2</v>
      </c>
      <c r="M49" s="622">
        <f ca="1">+M48/K5</f>
        <v>2.1757190806437191E-2</v>
      </c>
      <c r="N49" s="622">
        <f ca="1">+N48/K5</f>
        <v>-3.9313261314128281E-2</v>
      </c>
      <c r="O49" s="622">
        <f ca="1">+O48/K5</f>
        <v>-3.7232150795767818E-2</v>
      </c>
      <c r="P49" s="623"/>
      <c r="Q49" s="621"/>
      <c r="R49" s="622">
        <f ca="1">+R48/Q5</f>
        <v>4.3598516077669229E-2</v>
      </c>
      <c r="S49" s="622">
        <f ca="1">+S48/Q5</f>
        <v>2.4831757672633438E-2</v>
      </c>
      <c r="T49" s="622">
        <f ca="1">+T48/Q5</f>
        <v>-2.1249403125300069E-2</v>
      </c>
      <c r="U49" s="622">
        <f ca="1">+U48/Q5</f>
        <v>-4.7180870625002556E-2</v>
      </c>
      <c r="V49" s="623"/>
      <c r="W49" s="621"/>
      <c r="X49" s="622">
        <f ca="1">+X48/W5</f>
        <v>4.281554491116045E-2</v>
      </c>
      <c r="Y49" s="622">
        <f ca="1">+Y48/W5</f>
        <v>9.8042727694533129E-3</v>
      </c>
      <c r="Z49" s="622">
        <f ca="1">+Z48/W5</f>
        <v>-9.4797381205818654E-3</v>
      </c>
      <c r="AA49" s="622">
        <f ca="1">+AA48/W5</f>
        <v>-4.3139653101886048E-2</v>
      </c>
      <c r="AB49" s="623"/>
      <c r="AC49" s="621"/>
      <c r="AD49" s="622">
        <f ca="1">+AD48/AC5</f>
        <v>4.422133597569472E-2</v>
      </c>
      <c r="AE49" s="622">
        <f ca="1">+AE48/AC5</f>
        <v>9.3237411250234915E-3</v>
      </c>
      <c r="AF49" s="622">
        <f ca="1">+AF48/AC5</f>
        <v>-5.5088319834907034E-3</v>
      </c>
      <c r="AG49" s="622">
        <f ca="1">+AG48/AC5</f>
        <v>-4.8036245117227393E-2</v>
      </c>
      <c r="AH49" s="623"/>
      <c r="AI49" s="621"/>
      <c r="AJ49" s="622">
        <f ca="1">+AJ48/AI5</f>
        <v>4.048919147090501E-2</v>
      </c>
      <c r="AK49" s="622">
        <f ca="1">+AK48/AI5</f>
        <v>-1.2853281285095843E-3</v>
      </c>
      <c r="AL49" s="622">
        <f ca="1">+AL48/AI5</f>
        <v>-7.1914863954271162E-4</v>
      </c>
      <c r="AM49" s="622">
        <f ca="1">+AM48/AI5</f>
        <v>-3.8484714702852543E-2</v>
      </c>
      <c r="AN49" s="623"/>
      <c r="AO49" s="621"/>
      <c r="AP49" s="622">
        <f ca="1">+AP48/AO5</f>
        <v>5.3189303972633821E-2</v>
      </c>
      <c r="AQ49" s="622">
        <f ca="1">+AQ48/AO5</f>
        <v>-1.5332497580782277E-2</v>
      </c>
      <c r="AR49" s="622">
        <f ca="1">+AR48/AO5</f>
        <v>1.7190366471975494E-3</v>
      </c>
      <c r="AS49" s="622">
        <f ca="1">+AS48/AO5</f>
        <v>-3.9575466799905493E-2</v>
      </c>
      <c r="AT49" s="623"/>
      <c r="AU49" s="621"/>
      <c r="AV49" s="622">
        <f ca="1">+AV48/AU5</f>
        <v>4.9747132587885774E-2</v>
      </c>
      <c r="AW49" s="622">
        <f ca="1">+AW48/AU5</f>
        <v>8.2558637936982881E-3</v>
      </c>
      <c r="AX49" s="622">
        <f ca="1">+AX48/AU5</f>
        <v>4.5298367550083838E-4</v>
      </c>
      <c r="AY49" s="622">
        <f ca="1">+AY48/AU5</f>
        <v>-5.8455980057084571E-2</v>
      </c>
      <c r="AZ49" s="623"/>
      <c r="BA49" s="621"/>
      <c r="BB49" s="622">
        <f ca="1">+BB48/BA5</f>
        <v>4.5193384435485047E-2</v>
      </c>
      <c r="BC49" s="622">
        <f ca="1">+BC48/BA5</f>
        <v>2.8316229503266586E-2</v>
      </c>
      <c r="BD49" s="622">
        <f ca="1">+BD48/BA5</f>
        <v>-1.7610252037511036E-2</v>
      </c>
      <c r="BE49" s="622">
        <f ca="1">+BE48/BA5</f>
        <v>-5.5899361901240577E-2</v>
      </c>
      <c r="BF49" s="623"/>
      <c r="BG49" s="621"/>
      <c r="BH49" s="622">
        <f ca="1">+BH48/BG5</f>
        <v>3.135708518071656E-2</v>
      </c>
      <c r="BI49" s="622">
        <f ca="1">+BI48/BG5</f>
        <v>1.5136714173039637E-2</v>
      </c>
      <c r="BJ49" s="622">
        <f ca="1">+BJ48/BG5</f>
        <v>-1.5687414047299208E-3</v>
      </c>
      <c r="BK49" s="622">
        <f ca="1">+BK48/BG5</f>
        <v>-4.4912336614544933E-2</v>
      </c>
      <c r="BL49" s="623"/>
      <c r="BM49" s="621"/>
      <c r="BN49" s="622">
        <f ca="1">+BN48/BM5</f>
        <v>2.2481963575282978E-2</v>
      </c>
      <c r="BO49" s="622">
        <f ca="1">+BO48/BM5</f>
        <v>3.7991426758888606E-2</v>
      </c>
      <c r="BP49" s="622">
        <f ca="1">+BP48/BM5</f>
        <v>-2.7611974799088713E-2</v>
      </c>
      <c r="BQ49" s="622">
        <f ca="1">+BQ48/BM5</f>
        <v>-3.2896730713417976E-2</v>
      </c>
      <c r="BR49" s="623"/>
      <c r="BS49" s="621"/>
      <c r="BT49" s="622">
        <f ca="1">+BT48/BS5</f>
        <v>2.331001974211289E-2</v>
      </c>
      <c r="BU49" s="622">
        <f ca="1">+BU48/BS5</f>
        <v>1.1243116357851085E-2</v>
      </c>
      <c r="BV49" s="622">
        <f ca="1">+BV48/BS5</f>
        <v>2.1933980097477417E-3</v>
      </c>
      <c r="BW49" s="622">
        <f ca="1">+BW48/BS5</f>
        <v>-3.6783269317132355E-2</v>
      </c>
      <c r="BX49" s="623"/>
      <c r="BY49" s="621"/>
      <c r="BZ49" s="622">
        <f ca="1">+BZ48/BY5</f>
        <v>2.3695978532835234E-2</v>
      </c>
      <c r="CA49" s="622">
        <f ca="1">+CA48/BY5</f>
        <v>1.2626464082387398E-2</v>
      </c>
      <c r="CB49" s="622">
        <f ca="1">+CB48/BY5</f>
        <v>6.5474852231939371E-4</v>
      </c>
      <c r="CC49" s="622">
        <f ca="1">+CC48/BY5</f>
        <v>-3.701142256228012E-2</v>
      </c>
      <c r="CD49" s="623"/>
      <c r="CE49" s="621"/>
      <c r="CF49" s="622">
        <f ca="1">+CF48/CE5</f>
        <v>2.9426725363837704E-2</v>
      </c>
      <c r="CG49" s="622">
        <f ca="1">+CG48/CE5</f>
        <v>-8.540500511345547E-3</v>
      </c>
      <c r="CH49" s="622">
        <f ca="1">+CH48/CE5</f>
        <v>-1.1032409503428629E-2</v>
      </c>
      <c r="CI49" s="622">
        <f ca="1">+CI48/CE5</f>
        <v>-9.8865776116816833E-3</v>
      </c>
      <c r="CJ49" s="623"/>
      <c r="CK49" s="621"/>
      <c r="CL49" s="622">
        <f ca="1">+CL48/CK5</f>
        <v>4.6862631031325853E-2</v>
      </c>
      <c r="CM49" s="622">
        <f ca="1">+CM48/CK5</f>
        <v>1.4257653296007033E-2</v>
      </c>
      <c r="CN49" s="622">
        <f ca="1">+CN48/CK5</f>
        <v>-5.3830611807807197E-2</v>
      </c>
      <c r="CO49" s="622">
        <f ca="1">+CO48/CK5</f>
        <v>-7.3229312024074185E-3</v>
      </c>
      <c r="CP49" s="623"/>
      <c r="CQ49" s="621"/>
      <c r="CR49" s="622">
        <f ca="1">+CR48/CQ5</f>
        <v>2.6314124467098913E-2</v>
      </c>
      <c r="CS49" s="622">
        <f ca="1">+CS48/CQ5</f>
        <v>4.9835867110562697E-2</v>
      </c>
      <c r="CT49" s="622">
        <f ca="1">+CT48/CQ5</f>
        <v>-4.0013913977110308E-2</v>
      </c>
      <c r="CU49" s="622">
        <f ca="1">+CU48/CQ5</f>
        <v>-3.6176614384258655E-2</v>
      </c>
      <c r="CV49" s="623"/>
      <c r="CW49" s="621"/>
      <c r="CX49" s="622">
        <f ca="1">+CX48/CW5</f>
        <v>2.0441232445886616E-2</v>
      </c>
      <c r="CY49" s="622">
        <f ca="1">+CY48/CW5</f>
        <v>2.2147877785201699E-2</v>
      </c>
      <c r="CZ49" s="622">
        <f ca="1">+CZ48/CW5</f>
        <v>-4.1286045628890863E-2</v>
      </c>
      <c r="DA49" s="622">
        <f ca="1">+DA48/CW5</f>
        <v>-1.3320802107482125E-3</v>
      </c>
      <c r="DB49" s="623"/>
      <c r="DC49" s="621"/>
      <c r="DD49" s="622">
        <f ca="1">+DD48/DC5</f>
        <v>1.5633028223734351E-2</v>
      </c>
      <c r="DE49" s="622">
        <f ca="1">+DE48/DC5</f>
        <v>4.8683342275266397E-2</v>
      </c>
      <c r="DF49" s="622">
        <f ca="1">+DF48/DC5</f>
        <v>-4.2346827781463758E-2</v>
      </c>
      <c r="DG49" s="622">
        <f ca="1">+DG48/DC5</f>
        <v>-2.205134914803895E-2</v>
      </c>
      <c r="DH49" s="623"/>
      <c r="DI49" s="621"/>
      <c r="DJ49" s="622">
        <f ca="1">+DJ48/DI5</f>
        <v>1.3604788502211734E-2</v>
      </c>
      <c r="DK49" s="622">
        <f ca="1">+DK48/DI5</f>
        <v>2.8773782318286239E-2</v>
      </c>
      <c r="DL49" s="622">
        <f ca="1">+DL48/DI5</f>
        <v>-3.1376373235649353E-2</v>
      </c>
      <c r="DM49" s="622">
        <f ca="1">+DM48/DI5</f>
        <v>-1.1002197584848652E-2</v>
      </c>
      <c r="DN49" s="623"/>
      <c r="DO49" s="621"/>
      <c r="DP49" s="622">
        <f ca="1">+DP48/DO5</f>
        <v>8.6889895830054818E-3</v>
      </c>
      <c r="DQ49" s="622">
        <f ca="1">+DQ48/DO5</f>
        <v>1.7028730799458925E-2</v>
      </c>
      <c r="DR49" s="622">
        <f ca="1">+DR48/DO5</f>
        <v>-3.0789566117612306E-2</v>
      </c>
      <c r="DS49" s="622">
        <f ca="1">+DS48/DO5</f>
        <v>4.845508810901805E-3</v>
      </c>
      <c r="DT49" s="623"/>
      <c r="DU49" s="621"/>
      <c r="DV49" s="622">
        <f ca="1">+DV48/DU5</f>
        <v>4.8772619892250109E-3</v>
      </c>
      <c r="DW49" s="622">
        <f ca="1">+DW48/DU5</f>
        <v>1.5758882279102718E-2</v>
      </c>
      <c r="DX49" s="622">
        <f ca="1">+DX48/DU5</f>
        <v>-2.4801479015445119E-2</v>
      </c>
      <c r="DY49" s="622">
        <f ca="1">+DY48/DU5</f>
        <v>4.0973581213307499E-3</v>
      </c>
      <c r="DZ49" s="623"/>
      <c r="EA49" s="621"/>
      <c r="EB49" s="622">
        <f ca="1">+EB48/EA5</f>
        <v>1.5137747832161944E-3</v>
      </c>
      <c r="EC49" s="622">
        <f ca="1">+EC48/EA5</f>
        <v>2.5455007039383672E-2</v>
      </c>
      <c r="ED49" s="622">
        <f ca="1">+ED48/EA5</f>
        <v>-2.480165390059394E-2</v>
      </c>
      <c r="EE49" s="622">
        <f ca="1">+EE48/EA5</f>
        <v>-2.0612298734613106E-3</v>
      </c>
      <c r="EF49" s="623"/>
      <c r="EG49" s="621"/>
      <c r="EH49" s="622">
        <f ca="1">+EH48/EG5</f>
        <v>1.3696563174174497E-3</v>
      </c>
      <c r="EI49" s="622">
        <f ca="1">+EI48/EG5</f>
        <v>1.5816486947438736E-2</v>
      </c>
      <c r="EJ49" s="622">
        <f ca="1">+EJ48/EG5</f>
        <v>-1.0314159265798629E-2</v>
      </c>
      <c r="EK49" s="622">
        <f ca="1">+EK48/EG5</f>
        <v>-7.6837339504039256E-3</v>
      </c>
      <c r="EL49" s="623"/>
      <c r="EM49" s="621"/>
      <c r="EN49" s="622">
        <f ca="1">+EN48/EM5</f>
        <v>-1.148287530100368E-4</v>
      </c>
      <c r="EO49" s="622">
        <f ca="1">+EO48/EM5</f>
        <v>1.8486715494677453E-2</v>
      </c>
      <c r="EP49" s="622">
        <f ca="1">+EP48/EM5</f>
        <v>-1.1271647635086809E-2</v>
      </c>
      <c r="EQ49" s="622">
        <f ca="1">+EQ48/EM5</f>
        <v>-7.1002391065807056E-3</v>
      </c>
      <c r="ER49" s="623"/>
    </row>
    <row r="50" spans="1:148" ht="60" customHeight="1">
      <c r="C50" s="624"/>
      <c r="E50" s="1094"/>
      <c r="F50"/>
      <c r="H50" s="1370"/>
      <c r="I50" s="1136"/>
      <c r="J50"/>
      <c r="BN50" s="1094"/>
      <c r="BQ50" s="1370"/>
      <c r="BX50" s="1335"/>
      <c r="BY50" s="1094">
        <f ca="1">+BY5-BY36-BY46-BY47</f>
        <v>13.161299999999963</v>
      </c>
      <c r="CC50" s="1094"/>
      <c r="CD50" s="1094"/>
    </row>
    <row r="51" spans="1:148">
      <c r="C51" s="624"/>
      <c r="E51" s="4134">
        <f ca="1">+E2</f>
        <v>1995</v>
      </c>
      <c r="F51" s="4123"/>
      <c r="G51" s="4123"/>
      <c r="H51" s="4123"/>
      <c r="I51" s="4123"/>
      <c r="J51" s="4130"/>
      <c r="K51" s="4134">
        <f ca="1">+E51+1</f>
        <v>1996</v>
      </c>
      <c r="L51" s="4123"/>
      <c r="M51" s="4123"/>
      <c r="N51" s="4123"/>
      <c r="O51" s="4123"/>
      <c r="P51" s="4130"/>
      <c r="Q51" s="4134">
        <f ca="1">+K51+1</f>
        <v>1997</v>
      </c>
      <c r="R51" s="4123"/>
      <c r="S51" s="4123"/>
      <c r="T51" s="4123"/>
      <c r="U51" s="4123"/>
      <c r="V51" s="4130"/>
      <c r="W51" s="4134">
        <f ca="1">+Q51+1</f>
        <v>1998</v>
      </c>
      <c r="X51" s="4123"/>
      <c r="Y51" s="4123"/>
      <c r="Z51" s="4123"/>
      <c r="AA51" s="4123"/>
      <c r="AB51" s="4130"/>
      <c r="AC51" s="4134">
        <f ca="1">+W51+1</f>
        <v>1999</v>
      </c>
      <c r="AD51" s="4123"/>
      <c r="AE51" s="4123"/>
      <c r="AF51" s="4123"/>
      <c r="AG51" s="4123"/>
      <c r="AH51" s="4130"/>
      <c r="AI51" s="4134">
        <f ca="1">+AC51+1</f>
        <v>2000</v>
      </c>
      <c r="AJ51" s="4123"/>
      <c r="AK51" s="4123"/>
      <c r="AL51" s="4123"/>
      <c r="AM51" s="4123"/>
      <c r="AN51" s="4130"/>
      <c r="AO51" s="4134">
        <f ca="1">+AI51+1</f>
        <v>2001</v>
      </c>
      <c r="AP51" s="4123"/>
      <c r="AQ51" s="4123"/>
      <c r="AR51" s="4123"/>
      <c r="AS51" s="4123"/>
      <c r="AT51" s="4130"/>
      <c r="AU51" s="4134">
        <f ca="1">+AO51+1</f>
        <v>2002</v>
      </c>
      <c r="AV51" s="4123"/>
      <c r="AW51" s="4123"/>
      <c r="AX51" s="4123"/>
      <c r="AY51" s="4123"/>
      <c r="AZ51" s="4130"/>
      <c r="BA51" s="4134">
        <f ca="1">+AU51+1</f>
        <v>2003</v>
      </c>
      <c r="BB51" s="4123"/>
      <c r="BC51" s="4123"/>
      <c r="BD51" s="4123"/>
      <c r="BE51" s="4123"/>
      <c r="BF51" s="4130"/>
      <c r="BG51" s="4134">
        <f ca="1">+BA51+1</f>
        <v>2004</v>
      </c>
      <c r="BH51" s="4123"/>
      <c r="BI51" s="4123"/>
      <c r="BJ51" s="4123"/>
      <c r="BK51" s="4123"/>
      <c r="BL51" s="4130"/>
      <c r="BM51" s="4134">
        <f ca="1">+BG51+1</f>
        <v>2005</v>
      </c>
      <c r="BN51" s="4123"/>
      <c r="BO51" s="4123"/>
      <c r="BP51" s="4123"/>
      <c r="BQ51" s="4123"/>
      <c r="BR51" s="4130"/>
      <c r="BS51" s="4134">
        <f ca="1">+BM51+1</f>
        <v>2006</v>
      </c>
      <c r="BT51" s="4123"/>
      <c r="BU51" s="4123"/>
      <c r="BV51" s="4123"/>
      <c r="BW51" s="4123"/>
      <c r="BX51" s="4130"/>
      <c r="BY51" s="4134">
        <f ca="1">+BS51+1</f>
        <v>2007</v>
      </c>
      <c r="BZ51" s="4123"/>
      <c r="CA51" s="4123"/>
      <c r="CB51" s="4123"/>
      <c r="CC51" s="4123"/>
      <c r="CD51" s="4130"/>
      <c r="CE51" s="4134">
        <f ca="1">+BY51+1</f>
        <v>2008</v>
      </c>
      <c r="CF51" s="4123"/>
      <c r="CG51" s="4123"/>
      <c r="CH51" s="4123"/>
      <c r="CI51" s="4123"/>
      <c r="CJ51" s="4130"/>
      <c r="CK51" s="4134">
        <f ca="1">+CE51+1</f>
        <v>2009</v>
      </c>
      <c r="CL51" s="4123"/>
      <c r="CM51" s="4123"/>
      <c r="CN51" s="4123"/>
      <c r="CO51" s="4123"/>
      <c r="CP51" s="4130"/>
      <c r="CQ51" s="4134">
        <f ca="1">+CK51+1</f>
        <v>2010</v>
      </c>
      <c r="CR51" s="4123"/>
      <c r="CS51" s="4123"/>
      <c r="CT51" s="4123"/>
      <c r="CU51" s="4123"/>
      <c r="CV51" s="4130"/>
      <c r="CW51" s="4134">
        <f ca="1">+CQ51+1</f>
        <v>2011</v>
      </c>
      <c r="CX51" s="4123"/>
      <c r="CY51" s="4123"/>
      <c r="CZ51" s="4123"/>
      <c r="DA51" s="4123"/>
      <c r="DB51" s="4130"/>
      <c r="DC51" s="4134">
        <f ca="1">+CW51+1</f>
        <v>2012</v>
      </c>
      <c r="DD51" s="4123"/>
      <c r="DE51" s="4123"/>
      <c r="DF51" s="4123"/>
      <c r="DG51" s="4123"/>
      <c r="DH51" s="4130"/>
      <c r="DI51" s="4134">
        <f ca="1">+DC51+1</f>
        <v>2013</v>
      </c>
      <c r="DJ51" s="4123"/>
      <c r="DK51" s="4123"/>
      <c r="DL51" s="4123"/>
      <c r="DM51" s="4123"/>
      <c r="DN51" s="4130"/>
      <c r="DO51" s="4134">
        <f ca="1">+DI51+1</f>
        <v>2014</v>
      </c>
      <c r="DP51" s="4123"/>
      <c r="DQ51" s="4123"/>
      <c r="DR51" s="4123"/>
      <c r="DS51" s="4123"/>
      <c r="DT51" s="4130"/>
      <c r="DU51" s="4134">
        <f ca="1">+DO51+1</f>
        <v>2015</v>
      </c>
      <c r="DV51" s="4123"/>
      <c r="DW51" s="4123"/>
      <c r="DX51" s="4123"/>
      <c r="DY51" s="4123"/>
      <c r="DZ51" s="4130"/>
      <c r="EA51" s="4134">
        <f ca="1">+DU51+1</f>
        <v>2016</v>
      </c>
      <c r="EB51" s="4123"/>
      <c r="EC51" s="4123"/>
      <c r="ED51" s="4123"/>
      <c r="EE51" s="4123"/>
      <c r="EF51" s="4130"/>
      <c r="EG51" s="4134">
        <f ca="1">+EA51+1</f>
        <v>2017</v>
      </c>
      <c r="EH51" s="4123"/>
      <c r="EI51" s="4123"/>
      <c r="EJ51" s="4123"/>
      <c r="EK51" s="4123"/>
      <c r="EL51" s="4130"/>
      <c r="EM51" s="4134">
        <f ca="1">+EG51+1</f>
        <v>2018</v>
      </c>
      <c r="EN51" s="4123"/>
      <c r="EO51" s="4123"/>
      <c r="EP51" s="4123"/>
      <c r="EQ51" s="4123"/>
      <c r="ER51" s="4130"/>
    </row>
    <row r="52" spans="1:148">
      <c r="C52" s="624"/>
      <c r="D52" s="625" t="s">
        <v>65</v>
      </c>
      <c r="E52" s="4131"/>
      <c r="F52" s="4132"/>
      <c r="G52" s="4132"/>
      <c r="H52" s="4132"/>
      <c r="I52" s="4132"/>
      <c r="J52" s="4133"/>
      <c r="K52" s="4131"/>
      <c r="L52" s="4132"/>
      <c r="M52" s="4132"/>
      <c r="N52" s="4132"/>
      <c r="O52" s="4132"/>
      <c r="P52" s="4133"/>
      <c r="Q52" s="4131"/>
      <c r="R52" s="4132"/>
      <c r="S52" s="4132"/>
      <c r="T52" s="4132"/>
      <c r="U52" s="4132"/>
      <c r="V52" s="4133"/>
      <c r="W52" s="4131"/>
      <c r="X52" s="4132"/>
      <c r="Y52" s="4132"/>
      <c r="Z52" s="4132"/>
      <c r="AA52" s="4132"/>
      <c r="AB52" s="4133"/>
      <c r="AC52" s="4131"/>
      <c r="AD52" s="4132"/>
      <c r="AE52" s="4132"/>
      <c r="AF52" s="4132"/>
      <c r="AG52" s="4132"/>
      <c r="AH52" s="4133"/>
      <c r="AI52" s="4131"/>
      <c r="AJ52" s="4132"/>
      <c r="AK52" s="4132"/>
      <c r="AL52" s="4132"/>
      <c r="AM52" s="4132"/>
      <c r="AN52" s="4133"/>
      <c r="AO52" s="4131"/>
      <c r="AP52" s="4132"/>
      <c r="AQ52" s="4132"/>
      <c r="AR52" s="4132"/>
      <c r="AS52" s="4132"/>
      <c r="AT52" s="4133"/>
      <c r="AU52" s="4131"/>
      <c r="AV52" s="4132"/>
      <c r="AW52" s="4132"/>
      <c r="AX52" s="4132"/>
      <c r="AY52" s="4132"/>
      <c r="AZ52" s="4133"/>
      <c r="BA52" s="4131"/>
      <c r="BB52" s="4132"/>
      <c r="BC52" s="4132"/>
      <c r="BD52" s="4132"/>
      <c r="BE52" s="4132"/>
      <c r="BF52" s="4133"/>
      <c r="BG52" s="4131"/>
      <c r="BH52" s="4132"/>
      <c r="BI52" s="4132"/>
      <c r="BJ52" s="4132"/>
      <c r="BK52" s="4132"/>
      <c r="BL52" s="4133"/>
      <c r="BM52" s="4131"/>
      <c r="BN52" s="4132"/>
      <c r="BO52" s="4132"/>
      <c r="BP52" s="4132"/>
      <c r="BQ52" s="4132"/>
      <c r="BR52" s="4133"/>
      <c r="BS52" s="4131"/>
      <c r="BT52" s="4132"/>
      <c r="BU52" s="4132"/>
      <c r="BV52" s="4132"/>
      <c r="BW52" s="4132"/>
      <c r="BX52" s="4133"/>
      <c r="BY52" s="4131"/>
      <c r="BZ52" s="4132"/>
      <c r="CA52" s="4132"/>
      <c r="CB52" s="4132"/>
      <c r="CC52" s="4132"/>
      <c r="CD52" s="4133"/>
      <c r="CE52" s="4131"/>
      <c r="CF52" s="4132"/>
      <c r="CG52" s="4132"/>
      <c r="CH52" s="4132"/>
      <c r="CI52" s="4132"/>
      <c r="CJ52" s="4133"/>
      <c r="CK52" s="4131"/>
      <c r="CL52" s="4132"/>
      <c r="CM52" s="4132"/>
      <c r="CN52" s="4132"/>
      <c r="CO52" s="4132"/>
      <c r="CP52" s="4133"/>
      <c r="CQ52" s="4131"/>
      <c r="CR52" s="4132"/>
      <c r="CS52" s="4132"/>
      <c r="CT52" s="4132"/>
      <c r="CU52" s="4132"/>
      <c r="CV52" s="4133"/>
      <c r="CW52" s="4131"/>
      <c r="CX52" s="4132"/>
      <c r="CY52" s="4132"/>
      <c r="CZ52" s="4132"/>
      <c r="DA52" s="4132"/>
      <c r="DB52" s="4133"/>
      <c r="DC52" s="4131"/>
      <c r="DD52" s="4132"/>
      <c r="DE52" s="4132"/>
      <c r="DF52" s="4132"/>
      <c r="DG52" s="4132"/>
      <c r="DH52" s="4133"/>
      <c r="DI52" s="4131"/>
      <c r="DJ52" s="4132"/>
      <c r="DK52" s="4132"/>
      <c r="DL52" s="4132"/>
      <c r="DM52" s="4132"/>
      <c r="DN52" s="4133"/>
      <c r="DO52" s="4131"/>
      <c r="DP52" s="4132"/>
      <c r="DQ52" s="4132"/>
      <c r="DR52" s="4132"/>
      <c r="DS52" s="4132"/>
      <c r="DT52" s="4133"/>
      <c r="DU52" s="4131"/>
      <c r="DV52" s="4132"/>
      <c r="DW52" s="4132"/>
      <c r="DX52" s="4132"/>
      <c r="DY52" s="4132"/>
      <c r="DZ52" s="4133"/>
      <c r="EA52" s="4131"/>
      <c r="EB52" s="4132"/>
      <c r="EC52" s="4132"/>
      <c r="ED52" s="4132"/>
      <c r="EE52" s="4132"/>
      <c r="EF52" s="4133"/>
      <c r="EG52" s="4131"/>
      <c r="EH52" s="4132"/>
      <c r="EI52" s="4132"/>
      <c r="EJ52" s="4132"/>
      <c r="EK52" s="4132"/>
      <c r="EL52" s="4133"/>
      <c r="EM52" s="4131"/>
      <c r="EN52" s="4132"/>
      <c r="EO52" s="4132"/>
      <c r="EP52" s="4132"/>
      <c r="EQ52" s="4132"/>
      <c r="ER52" s="4133"/>
    </row>
    <row r="53" spans="1:148">
      <c r="C53" s="624"/>
      <c r="E53" s="562" t="s">
        <v>588</v>
      </c>
      <c r="F53" s="562" t="s">
        <v>589</v>
      </c>
      <c r="G53" s="562" t="s">
        <v>590</v>
      </c>
      <c r="H53" s="562" t="s">
        <v>591</v>
      </c>
      <c r="I53" s="562" t="s">
        <v>592</v>
      </c>
      <c r="J53" s="562" t="s">
        <v>619</v>
      </c>
      <c r="K53" s="562" t="s">
        <v>588</v>
      </c>
      <c r="L53" s="562" t="s">
        <v>589</v>
      </c>
      <c r="M53" s="562" t="s">
        <v>590</v>
      </c>
      <c r="N53" s="562" t="s">
        <v>591</v>
      </c>
      <c r="O53" s="562" t="s">
        <v>592</v>
      </c>
      <c r="P53" s="562" t="s">
        <v>619</v>
      </c>
      <c r="Q53" s="562" t="s">
        <v>588</v>
      </c>
      <c r="R53" s="562" t="s">
        <v>589</v>
      </c>
      <c r="S53" s="562" t="s">
        <v>590</v>
      </c>
      <c r="T53" s="562" t="s">
        <v>591</v>
      </c>
      <c r="U53" s="562" t="s">
        <v>592</v>
      </c>
      <c r="V53" s="562" t="s">
        <v>619</v>
      </c>
      <c r="W53" s="562" t="s">
        <v>588</v>
      </c>
      <c r="X53" s="562" t="s">
        <v>589</v>
      </c>
      <c r="Y53" s="562" t="s">
        <v>590</v>
      </c>
      <c r="Z53" s="562" t="s">
        <v>591</v>
      </c>
      <c r="AA53" s="562" t="s">
        <v>592</v>
      </c>
      <c r="AB53" s="562" t="s">
        <v>619</v>
      </c>
      <c r="AC53" s="562" t="s">
        <v>588</v>
      </c>
      <c r="AD53" s="562" t="s">
        <v>589</v>
      </c>
      <c r="AE53" s="562" t="s">
        <v>590</v>
      </c>
      <c r="AF53" s="562" t="s">
        <v>591</v>
      </c>
      <c r="AG53" s="562" t="s">
        <v>592</v>
      </c>
      <c r="AH53" s="562" t="s">
        <v>619</v>
      </c>
      <c r="AI53" s="562" t="s">
        <v>588</v>
      </c>
      <c r="AJ53" s="562" t="s">
        <v>589</v>
      </c>
      <c r="AK53" s="562" t="s">
        <v>590</v>
      </c>
      <c r="AL53" s="562" t="s">
        <v>591</v>
      </c>
      <c r="AM53" s="562" t="s">
        <v>592</v>
      </c>
      <c r="AN53" s="562" t="s">
        <v>619</v>
      </c>
      <c r="AO53" s="562" t="s">
        <v>588</v>
      </c>
      <c r="AP53" s="562" t="s">
        <v>589</v>
      </c>
      <c r="AQ53" s="562" t="s">
        <v>590</v>
      </c>
      <c r="AR53" s="562" t="s">
        <v>591</v>
      </c>
      <c r="AS53" s="562" t="s">
        <v>592</v>
      </c>
      <c r="AT53" s="562" t="s">
        <v>619</v>
      </c>
      <c r="AU53" s="562" t="s">
        <v>588</v>
      </c>
      <c r="AV53" s="562" t="s">
        <v>589</v>
      </c>
      <c r="AW53" s="562" t="s">
        <v>590</v>
      </c>
      <c r="AX53" s="562" t="s">
        <v>591</v>
      </c>
      <c r="AY53" s="562" t="s">
        <v>592</v>
      </c>
      <c r="AZ53" s="562" t="s">
        <v>619</v>
      </c>
      <c r="BA53" s="562" t="s">
        <v>588</v>
      </c>
      <c r="BB53" s="562" t="s">
        <v>589</v>
      </c>
      <c r="BC53" s="562" t="s">
        <v>590</v>
      </c>
      <c r="BD53" s="562" t="s">
        <v>591</v>
      </c>
      <c r="BE53" s="562" t="s">
        <v>592</v>
      </c>
      <c r="BF53" s="562" t="s">
        <v>619</v>
      </c>
      <c r="BG53" s="562" t="s">
        <v>588</v>
      </c>
      <c r="BH53" s="562" t="s">
        <v>589</v>
      </c>
      <c r="BI53" s="562" t="s">
        <v>590</v>
      </c>
      <c r="BJ53" s="562" t="s">
        <v>591</v>
      </c>
      <c r="BK53" s="562" t="s">
        <v>592</v>
      </c>
      <c r="BL53" s="562" t="s">
        <v>619</v>
      </c>
      <c r="BM53" s="562" t="s">
        <v>588</v>
      </c>
      <c r="BN53" s="562" t="s">
        <v>589</v>
      </c>
      <c r="BO53" s="562" t="s">
        <v>590</v>
      </c>
      <c r="BP53" s="562" t="s">
        <v>591</v>
      </c>
      <c r="BQ53" s="562" t="s">
        <v>592</v>
      </c>
      <c r="BR53" s="562" t="s">
        <v>619</v>
      </c>
      <c r="BS53" s="562" t="s">
        <v>588</v>
      </c>
      <c r="BT53" s="562" t="s">
        <v>589</v>
      </c>
      <c r="BU53" s="562" t="s">
        <v>590</v>
      </c>
      <c r="BV53" s="562" t="s">
        <v>591</v>
      </c>
      <c r="BW53" s="562" t="s">
        <v>592</v>
      </c>
      <c r="BX53" s="562" t="s">
        <v>619</v>
      </c>
      <c r="BY53" s="562" t="s">
        <v>588</v>
      </c>
      <c r="BZ53" s="562" t="s">
        <v>589</v>
      </c>
      <c r="CA53" s="562" t="s">
        <v>590</v>
      </c>
      <c r="CB53" s="562" t="s">
        <v>591</v>
      </c>
      <c r="CC53" s="562" t="s">
        <v>592</v>
      </c>
      <c r="CD53" s="562" t="s">
        <v>619</v>
      </c>
      <c r="CE53" s="562" t="s">
        <v>588</v>
      </c>
      <c r="CF53" s="562" t="s">
        <v>589</v>
      </c>
      <c r="CG53" s="562" t="s">
        <v>590</v>
      </c>
      <c r="CH53" s="562" t="s">
        <v>591</v>
      </c>
      <c r="CI53" s="562" t="s">
        <v>592</v>
      </c>
      <c r="CJ53" s="562" t="s">
        <v>619</v>
      </c>
      <c r="CK53" s="562" t="s">
        <v>588</v>
      </c>
      <c r="CL53" s="562" t="s">
        <v>589</v>
      </c>
      <c r="CM53" s="562" t="s">
        <v>590</v>
      </c>
      <c r="CN53" s="562" t="s">
        <v>591</v>
      </c>
      <c r="CO53" s="562" t="s">
        <v>592</v>
      </c>
      <c r="CP53" s="562" t="s">
        <v>619</v>
      </c>
      <c r="CQ53" s="562" t="s">
        <v>588</v>
      </c>
      <c r="CR53" s="562" t="s">
        <v>589</v>
      </c>
      <c r="CS53" s="562" t="s">
        <v>590</v>
      </c>
      <c r="CT53" s="562" t="s">
        <v>591</v>
      </c>
      <c r="CU53" s="562" t="s">
        <v>592</v>
      </c>
      <c r="CV53" s="562" t="s">
        <v>619</v>
      </c>
      <c r="CW53" s="562" t="s">
        <v>588</v>
      </c>
      <c r="CX53" s="562" t="s">
        <v>589</v>
      </c>
      <c r="CY53" s="562" t="s">
        <v>590</v>
      </c>
      <c r="CZ53" s="562" t="s">
        <v>591</v>
      </c>
      <c r="DA53" s="562" t="s">
        <v>592</v>
      </c>
      <c r="DB53" s="562" t="s">
        <v>619</v>
      </c>
      <c r="DC53" s="562" t="s">
        <v>588</v>
      </c>
      <c r="DD53" s="562" t="s">
        <v>589</v>
      </c>
      <c r="DE53" s="562" t="s">
        <v>590</v>
      </c>
      <c r="DF53" s="562" t="s">
        <v>591</v>
      </c>
      <c r="DG53" s="562" t="s">
        <v>592</v>
      </c>
      <c r="DH53" s="562" t="s">
        <v>619</v>
      </c>
      <c r="DI53" s="562" t="s">
        <v>588</v>
      </c>
      <c r="DJ53" s="562" t="s">
        <v>589</v>
      </c>
      <c r="DK53" s="562" t="s">
        <v>590</v>
      </c>
      <c r="DL53" s="562" t="s">
        <v>591</v>
      </c>
      <c r="DM53" s="562" t="s">
        <v>592</v>
      </c>
      <c r="DN53" s="562" t="s">
        <v>619</v>
      </c>
      <c r="DO53" s="562" t="s">
        <v>588</v>
      </c>
      <c r="DP53" s="562" t="s">
        <v>589</v>
      </c>
      <c r="DQ53" s="562" t="s">
        <v>590</v>
      </c>
      <c r="DR53" s="562" t="s">
        <v>591</v>
      </c>
      <c r="DS53" s="562" t="s">
        <v>592</v>
      </c>
      <c r="DT53" s="562" t="s">
        <v>619</v>
      </c>
      <c r="DU53" s="562" t="s">
        <v>588</v>
      </c>
      <c r="DV53" s="562" t="s">
        <v>589</v>
      </c>
      <c r="DW53" s="562" t="s">
        <v>590</v>
      </c>
      <c r="DX53" s="562" t="s">
        <v>591</v>
      </c>
      <c r="DY53" s="562" t="s">
        <v>592</v>
      </c>
      <c r="DZ53" s="562" t="s">
        <v>619</v>
      </c>
      <c r="EA53" s="562" t="s">
        <v>588</v>
      </c>
      <c r="EB53" s="562" t="s">
        <v>589</v>
      </c>
      <c r="EC53" s="562" t="s">
        <v>590</v>
      </c>
      <c r="ED53" s="562" t="s">
        <v>591</v>
      </c>
      <c r="EE53" s="562" t="s">
        <v>592</v>
      </c>
      <c r="EF53" s="562" t="s">
        <v>619</v>
      </c>
      <c r="EG53" s="562" t="s">
        <v>588</v>
      </c>
      <c r="EH53" s="562" t="s">
        <v>589</v>
      </c>
      <c r="EI53" s="562" t="s">
        <v>590</v>
      </c>
      <c r="EJ53" s="562" t="s">
        <v>591</v>
      </c>
      <c r="EK53" s="562" t="s">
        <v>592</v>
      </c>
      <c r="EL53" s="562" t="s">
        <v>619</v>
      </c>
      <c r="EM53" s="562" t="s">
        <v>588</v>
      </c>
      <c r="EN53" s="562" t="s">
        <v>589</v>
      </c>
      <c r="EO53" s="562" t="s">
        <v>590</v>
      </c>
      <c r="EP53" s="562" t="s">
        <v>591</v>
      </c>
      <c r="EQ53" s="562" t="s">
        <v>592</v>
      </c>
      <c r="ER53" s="562" t="s">
        <v>619</v>
      </c>
    </row>
    <row r="54" spans="1:148">
      <c r="B54" s="564"/>
      <c r="C54" s="4141" t="s">
        <v>620</v>
      </c>
      <c r="D54" s="4142"/>
      <c r="E54" s="626"/>
      <c r="F54" s="627"/>
      <c r="G54" s="627"/>
      <c r="H54" s="627"/>
      <c r="I54" s="627"/>
      <c r="J54" s="566"/>
      <c r="K54" s="626">
        <f t="shared" ref="K54:O61" ca="1" si="13">IF(K5="","",IF(E5=0,"N",(K5/E5-1)*100))</f>
        <v>2.2015156362700239</v>
      </c>
      <c r="L54" s="627" t="str">
        <f t="shared" si="13"/>
        <v/>
      </c>
      <c r="M54" s="627" t="str">
        <f t="shared" si="13"/>
        <v/>
      </c>
      <c r="N54" s="627" t="str">
        <f t="shared" si="13"/>
        <v/>
      </c>
      <c r="O54" s="627" t="str">
        <f t="shared" si="13"/>
        <v/>
      </c>
      <c r="P54" s="566"/>
      <c r="Q54" s="626">
        <f t="shared" ref="Q54:U61" ca="1" si="14">IF(Q5="","",IF(K5=0,"N",(Q5/K5-1)*100))</f>
        <v>4.6430437005423819</v>
      </c>
      <c r="R54" s="627" t="str">
        <f t="shared" si="14"/>
        <v/>
      </c>
      <c r="S54" s="627" t="str">
        <f t="shared" si="14"/>
        <v/>
      </c>
      <c r="T54" s="627" t="str">
        <f t="shared" si="14"/>
        <v/>
      </c>
      <c r="U54" s="627" t="str">
        <f t="shared" si="14"/>
        <v/>
      </c>
      <c r="V54" s="566"/>
      <c r="W54" s="626">
        <f t="shared" ref="W54:AA61" ca="1" si="15">IF(W5="","",IF(Q5=0,"N",(W5/Q5-1)*100))</f>
        <v>3.7708319780571209</v>
      </c>
      <c r="X54" s="627" t="str">
        <f t="shared" si="15"/>
        <v/>
      </c>
      <c r="Y54" s="627" t="str">
        <f t="shared" si="15"/>
        <v/>
      </c>
      <c r="Z54" s="627" t="str">
        <f t="shared" si="15"/>
        <v/>
      </c>
      <c r="AA54" s="627" t="str">
        <f t="shared" si="15"/>
        <v/>
      </c>
      <c r="AB54" s="566"/>
      <c r="AC54" s="626">
        <f t="shared" ref="AC54:AG61" ca="1" si="16">IF(AC5="","",IF(W5=0,"N",(AC5/W5-1)*100))</f>
        <v>4.1521670897131546</v>
      </c>
      <c r="AD54" s="627" t="str">
        <f t="shared" si="16"/>
        <v/>
      </c>
      <c r="AE54" s="627" t="str">
        <f t="shared" si="16"/>
        <v/>
      </c>
      <c r="AF54" s="627" t="str">
        <f t="shared" si="16"/>
        <v/>
      </c>
      <c r="AG54" s="627" t="str">
        <f t="shared" si="16"/>
        <v/>
      </c>
      <c r="AH54" s="566"/>
      <c r="AI54" s="626">
        <f t="shared" ref="AI54:AM61" ca="1" si="17">IF(AI5="","",IF(AC5=0,"N",(AI5/AC5-1)*100))</f>
        <v>5.7307575769983465</v>
      </c>
      <c r="AJ54" s="627" t="str">
        <f t="shared" si="17"/>
        <v/>
      </c>
      <c r="AK54" s="627" t="str">
        <f t="shared" si="17"/>
        <v/>
      </c>
      <c r="AL54" s="627" t="str">
        <f t="shared" si="17"/>
        <v/>
      </c>
      <c r="AM54" s="627" t="str">
        <f t="shared" si="17"/>
        <v/>
      </c>
      <c r="AN54" s="566"/>
      <c r="AO54" s="626">
        <f t="shared" ref="AO54:AS61" ca="1" si="18">IF(AO5="","",IF(AI5=0,"N",(AO5/AI5-1)*100))</f>
        <v>2.9301918504232916</v>
      </c>
      <c r="AP54" s="627" t="str">
        <f t="shared" si="18"/>
        <v/>
      </c>
      <c r="AQ54" s="627" t="str">
        <f t="shared" si="18"/>
        <v/>
      </c>
      <c r="AR54" s="627" t="str">
        <f t="shared" si="18"/>
        <v/>
      </c>
      <c r="AS54" s="627" t="str">
        <f t="shared" si="18"/>
        <v/>
      </c>
      <c r="AT54" s="566"/>
      <c r="AU54" s="626">
        <f t="shared" ref="AU54:AY61" ca="1" si="19">IF(AU5="","",IF(AO5=0,"N",(AU5/AO5-1)*100))</f>
        <v>3.4902576636151039</v>
      </c>
      <c r="AV54" s="627" t="str">
        <f t="shared" si="19"/>
        <v/>
      </c>
      <c r="AW54" s="627" t="str">
        <f t="shared" si="19"/>
        <v/>
      </c>
      <c r="AX54" s="627" t="str">
        <f t="shared" si="19"/>
        <v/>
      </c>
      <c r="AY54" s="627" t="str">
        <f t="shared" si="19"/>
        <v/>
      </c>
      <c r="AZ54" s="566"/>
      <c r="BA54" s="626">
        <f t="shared" ref="BA54:BE61" ca="1" si="20">IF(BA5="","",IF(AU5=0,"N",(BA5/AU5-1)*100))</f>
        <v>2.7525847517551494</v>
      </c>
      <c r="BB54" s="627" t="str">
        <f t="shared" si="20"/>
        <v/>
      </c>
      <c r="BC54" s="627" t="str">
        <f t="shared" si="20"/>
        <v/>
      </c>
      <c r="BD54" s="627" t="str">
        <f t="shared" si="20"/>
        <v/>
      </c>
      <c r="BE54" s="627" t="str">
        <f t="shared" si="20"/>
        <v/>
      </c>
      <c r="BF54" s="566"/>
      <c r="BG54" s="626">
        <f t="shared" ref="BG54:BG66" ca="1" si="21">IF(BG5="","",IF(BA5=0,"N",(BG5/BA5-1)*100))</f>
        <v>5.6872696909280984</v>
      </c>
      <c r="BH54" s="627" t="str">
        <f t="shared" ref="BH54:BH66" si="22">IF(BH5="","",IF(BB5=0,"N",(BH5/BB5-1)*100))</f>
        <v/>
      </c>
      <c r="BI54" s="627" t="str">
        <f t="shared" ref="BI54:BI66" si="23">IF(BI5="","",IF(BC5=0,"N",(BI5/BC5-1)*100))</f>
        <v/>
      </c>
      <c r="BJ54" s="627" t="str">
        <f t="shared" ref="BJ54:BJ66" si="24">IF(BJ5="","",IF(BD5=0,"N",(BJ5/BD5-1)*100))</f>
        <v/>
      </c>
      <c r="BK54" s="627" t="str">
        <f t="shared" ref="BK54:BK61" si="25">IF(BK5="","",IF(BE5=0,"N",(BK5/BE5-1)*100))</f>
        <v/>
      </c>
      <c r="BL54" s="566"/>
      <c r="BM54" s="626">
        <f t="shared" ref="BM54:BQ61" ca="1" si="26">IF(BM5="","",IF(BG5=0,"N",(BM5/BG5-1)*100))</f>
        <v>4.2750379296630614</v>
      </c>
      <c r="BN54" s="627" t="str">
        <f t="shared" si="26"/>
        <v/>
      </c>
      <c r="BO54" s="627" t="str">
        <f t="shared" si="26"/>
        <v/>
      </c>
      <c r="BP54" s="627" t="str">
        <f t="shared" si="26"/>
        <v/>
      </c>
      <c r="BQ54" s="627" t="str">
        <f t="shared" si="26"/>
        <v/>
      </c>
      <c r="BR54" s="566"/>
      <c r="BS54" s="626">
        <f t="shared" ref="BS54:BW61" ca="1" si="27">IF(BS5="","",IF(BM5=0,"N",(BS5/BM5-1)*100))</f>
        <v>4.8739119714601875</v>
      </c>
      <c r="BT54" s="627" t="str">
        <f t="shared" si="27"/>
        <v/>
      </c>
      <c r="BU54" s="627" t="str">
        <f t="shared" si="27"/>
        <v/>
      </c>
      <c r="BV54" s="627" t="str">
        <f t="shared" si="27"/>
        <v/>
      </c>
      <c r="BW54" s="627" t="str">
        <f t="shared" si="27"/>
        <v/>
      </c>
      <c r="BX54" s="566"/>
      <c r="BY54" s="626">
        <f t="shared" ref="BY54:CC61" ca="1" si="28">IF(BY5="","",IF(BS5=0,"N",(BY5/BS5-1)*100))</f>
        <v>5.5257099002302468</v>
      </c>
      <c r="BZ54" s="627" t="str">
        <f t="shared" si="28"/>
        <v/>
      </c>
      <c r="CA54" s="627" t="str">
        <f t="shared" si="28"/>
        <v/>
      </c>
      <c r="CB54" s="627" t="str">
        <f t="shared" si="28"/>
        <v/>
      </c>
      <c r="CC54" s="627" t="str">
        <f t="shared" si="28"/>
        <v/>
      </c>
      <c r="CD54" s="566"/>
      <c r="CE54" s="626">
        <f t="shared" ref="CE54:CE66" ca="1" si="29">IF(CE5="","",IF(BY5=0,"N",(CE5/BY5-1)*100))</f>
        <v>2.7133915944446585</v>
      </c>
      <c r="CF54" s="627" t="str">
        <f t="shared" ref="CF54:CF66" si="30">IF(CF5="","",IF(BZ5=0,"N",(CF5/BZ5-1)*100))</f>
        <v/>
      </c>
      <c r="CG54" s="627" t="str">
        <f t="shared" ref="CG54:CG66" si="31">IF(CG5="","",IF(CA5=0,"N",(CG5/CA5-1)*100))</f>
        <v/>
      </c>
      <c r="CH54" s="627" t="str">
        <f t="shared" ref="CH54:CH66" si="32">IF(CH5="","",IF(CB5=0,"N",(CH5/CB5-1)*100))</f>
        <v/>
      </c>
      <c r="CI54" s="627" t="str">
        <f t="shared" ref="CI54:CI61" si="33">IF(CI5="","",IF(CC5=0,"N",(CI5/CC5-1)*100))</f>
        <v/>
      </c>
      <c r="CJ54" s="566"/>
      <c r="CK54" s="626">
        <f t="shared" ref="CK54:CK68" ca="1" si="34">IF(CK5="","",IF(CE5=0,"N",(CK5/CE5-1)*100))</f>
        <v>-1.4926034955639711</v>
      </c>
      <c r="CL54" s="627" t="str">
        <f t="shared" ref="CL54:CL68" si="35">IF(CL5="","",IF(CF5=0,"N",(CL5/CF5-1)*100))</f>
        <v/>
      </c>
      <c r="CM54" s="627" t="str">
        <f t="shared" ref="CM54:CM68" si="36">IF(CM5="","",IF(CG5=0,"N",(CM5/CG5-1)*100))</f>
        <v/>
      </c>
      <c r="CN54" s="627" t="str">
        <f t="shared" ref="CN54:CN68" si="37">IF(CN5="","",IF(CH5=0,"N",(CN5/CH5-1)*100))</f>
        <v/>
      </c>
      <c r="CO54" s="627" t="str">
        <f t="shared" ref="CO54:CO61" si="38">IF(CO5="","",IF(CI5=0,"N",(CO5/CI5-1)*100))</f>
        <v/>
      </c>
      <c r="CP54" s="566"/>
      <c r="CQ54" s="626">
        <f t="shared" ref="CQ54:CQ68" ca="1" si="39">IF(CQ5="","",IF(CK5=0,"N",(CQ5/CK5-1)*100))</f>
        <v>4.6789805984326582</v>
      </c>
      <c r="CR54" s="627" t="str">
        <f t="shared" ref="CR54:CR68" si="40">IF(CR5="","",IF(CL5=0,"N",(CR5/CL5-1)*100))</f>
        <v/>
      </c>
      <c r="CS54" s="627" t="str">
        <f t="shared" ref="CS54:CS68" si="41">IF(CS5="","",IF(CM5=0,"N",(CS5/CM5-1)*100))</f>
        <v/>
      </c>
      <c r="CT54" s="627" t="str">
        <f t="shared" ref="CT54:CT93" si="42">IF(CT5="","",IF(CN5=0,"N",(CT5/CN5-1)*100))</f>
        <v/>
      </c>
      <c r="CU54" s="627" t="str">
        <f t="shared" ref="CU54:CU61" si="43">IF(CU5="","",IF(CO5=0,"N",(CU5/CO5-1)*100))</f>
        <v/>
      </c>
      <c r="CV54" s="566"/>
      <c r="CW54" s="626">
        <f t="shared" ref="CW54:CW68" ca="1" si="44">IF(CW5="","",IF(CQ5=0,"N",(CW5/CQ5-1)*100))</f>
        <v>3.8361492246655304</v>
      </c>
      <c r="CX54" s="627" t="str">
        <f t="shared" ref="CX54:CX68" si="45">IF(CX5="","",IF(CR5=0,"N",(CX5/CR5-1)*100))</f>
        <v/>
      </c>
      <c r="CY54" s="627" t="str">
        <f t="shared" ref="CY54:CY68" si="46">IF(CY5="","",IF(CS5=0,"N",(CY5/CS5-1)*100))</f>
        <v/>
      </c>
      <c r="CZ54" s="627" t="str">
        <f t="shared" ref="CZ54:CZ93" si="47">IF(CZ5="","",IF(CT5=0,"N",(CZ5/CT5-1)*100))</f>
        <v/>
      </c>
      <c r="DA54" s="627" t="str">
        <f t="shared" ref="DA54:DA61" si="48">IF(DA5="","",IF(CU5=0,"N",(DA5/CU5-1)*100))</f>
        <v/>
      </c>
      <c r="DB54" s="566"/>
      <c r="DC54" s="626">
        <f t="shared" ref="DC54:DC68" ca="1" si="49">IF(DC5="","",IF(CW5=0,"N",(DC5/CW5-1)*100))</f>
        <v>2.2141019550453223</v>
      </c>
      <c r="DD54" s="627" t="str">
        <f t="shared" ref="DD54:DD68" si="50">IF(DD5="","",IF(CX5=0,"N",(DD5/CX5-1)*100))</f>
        <v/>
      </c>
      <c r="DE54" s="627" t="str">
        <f t="shared" ref="DE54:DE68" si="51">IF(DE5="","",IF(CY5=0,"N",(DE5/CY5-1)*100))</f>
        <v/>
      </c>
      <c r="DF54" s="627" t="str">
        <f t="shared" ref="DF54:DF93" si="52">IF(DF5="","",IF(CZ5=0,"N",(DF5/CZ5-1)*100))</f>
        <v/>
      </c>
      <c r="DG54" s="627" t="str">
        <f t="shared" ref="DG54:DG61" si="53">IF(DG5="","",IF(DA5=0,"N",(DG5/DA5-1)*100))</f>
        <v/>
      </c>
      <c r="DH54" s="566"/>
      <c r="DI54" s="626">
        <f t="shared" ref="DI54:DI68" ca="1" si="54">IF(DI5="","",IF(DC5=0,"N",(DI5/DC5-1)*100))</f>
        <v>1.2489545163988369</v>
      </c>
      <c r="DJ54" s="627" t="str">
        <f t="shared" ref="DJ54:DJ68" si="55">IF(DJ5="","",IF(DD5=0,"N",(DJ5/DD5-1)*100))</f>
        <v/>
      </c>
      <c r="DK54" s="627" t="str">
        <f t="shared" ref="DK54:DK68" si="56">IF(DK5="","",IF(DE5=0,"N",(DK5/DE5-1)*100))</f>
        <v/>
      </c>
      <c r="DL54" s="627" t="str">
        <f t="shared" ref="DL54:DL93" si="57">IF(DL5="","",IF(DF5=0,"N",(DL5/DF5-1)*100))</f>
        <v/>
      </c>
      <c r="DM54" s="627" t="str">
        <f t="shared" ref="DM54:DM61" si="58">IF(DM5="","",IF(DG5=0,"N",(DM5/DG5-1)*100))</f>
        <v/>
      </c>
      <c r="DN54" s="566"/>
      <c r="DO54" s="626">
        <f t="shared" ref="DO54:DO68" ca="1" si="59">IF(DO5="","",IF(DI5=0,"N",(DO5/DI5-1)*100))</f>
        <v>2.0258969393367909</v>
      </c>
      <c r="DP54" s="627" t="str">
        <f t="shared" ref="DP54:DP68" si="60">IF(DP5="","",IF(DJ5=0,"N",(DP5/DJ5-1)*100))</f>
        <v/>
      </c>
      <c r="DQ54" s="627" t="str">
        <f t="shared" ref="DQ54:DQ68" si="61">IF(DQ5="","",IF(DK5=0,"N",(DQ5/DK5-1)*100))</f>
        <v/>
      </c>
      <c r="DR54" s="627" t="str">
        <f t="shared" ref="DR54:DR93" si="62">IF(DR5="","",IF(DL5=0,"N",(DR5/DL5-1)*100))</f>
        <v/>
      </c>
      <c r="DS54" s="627" t="str">
        <f t="shared" ref="DS54:DS61" si="63">IF(DS5="","",IF(DM5=0,"N",(DS5/DM5-1)*100))</f>
        <v/>
      </c>
      <c r="DT54" s="566"/>
      <c r="DU54" s="626">
        <f t="shared" ref="DU54:DU68" ca="1" si="64">IF(DU5="","",IF(DO5=0,"N",(DU5/DO5-1)*100))</f>
        <v>2.5349235875551601</v>
      </c>
      <c r="DV54" s="627" t="str">
        <f t="shared" ref="DV54:DV68" si="65">IF(DV5="","",IF(DP5=0,"N",(DV5/DP5-1)*100))</f>
        <v/>
      </c>
      <c r="DW54" s="627" t="str">
        <f t="shared" ref="DW54:DW68" si="66">IF(DW5="","",IF(DQ5=0,"N",(DW5/DQ5-1)*100))</f>
        <v/>
      </c>
      <c r="DX54" s="627" t="str">
        <f t="shared" ref="DX54:DX93" si="67">IF(DX5="","",IF(DR5=0,"N",(DX5/DR5-1)*100))</f>
        <v/>
      </c>
      <c r="DY54" s="627" t="str">
        <f t="shared" ref="DY54:DY61" si="68">IF(DY5="","",IF(DS5=0,"N",(DY5/DS5-1)*100))</f>
        <v/>
      </c>
      <c r="DZ54" s="566"/>
      <c r="EA54" s="626">
        <f t="shared" ref="EA54:EA68" ca="1" si="69">IF(EA5="","",IF(DU5=0,"N",(EA5/DU5-1)*100))</f>
        <v>3.0731282307170593</v>
      </c>
      <c r="EB54" s="627" t="str">
        <f t="shared" ref="EB54:EB68" si="70">IF(EB5="","",IF(DV5=0,"N",(EB5/DV5-1)*100))</f>
        <v/>
      </c>
      <c r="EC54" s="627" t="str">
        <f t="shared" ref="EC54:EC68" si="71">IF(EC5="","",IF(DW5=0,"N",(EC5/DW5-1)*100))</f>
        <v/>
      </c>
      <c r="ED54" s="627" t="str">
        <f t="shared" ref="ED54:ED93" si="72">IF(ED5="","",IF(DX5=0,"N",(ED5/DX5-1)*100))</f>
        <v/>
      </c>
      <c r="EE54" s="627" t="str">
        <f t="shared" ref="EE54:EE61" si="73">IF(EE5="","",IF(DY5=0,"N",(EE5/DY5-1)*100))</f>
        <v/>
      </c>
      <c r="EF54" s="566"/>
      <c r="EG54" s="626">
        <f t="shared" ref="EG54:EG68" ca="1" si="74">IF(EG5="","",IF(EA5=0,"N",(EG5/EA5-1)*100))</f>
        <v>3.6488023592572416</v>
      </c>
      <c r="EH54" s="627" t="str">
        <f t="shared" ref="EH54:EH68" si="75">IF(EH5="","",IF(EB5=0,"N",(EH5/EB5-1)*100))</f>
        <v/>
      </c>
      <c r="EI54" s="627" t="str">
        <f t="shared" ref="EI54:EI68" si="76">IF(EI5="","",IF(EC5=0,"N",(EI5/EC5-1)*100))</f>
        <v/>
      </c>
      <c r="EJ54" s="627" t="str">
        <f t="shared" ref="EJ54:EJ93" si="77">IF(EJ5="","",IF(ED5=0,"N",(EJ5/ED5-1)*100))</f>
        <v/>
      </c>
      <c r="EK54" s="627" t="str">
        <f t="shared" ref="EK54:EK61" si="78">IF(EK5="","",IF(EE5=0,"N",(EK5/EE5-1)*100))</f>
        <v/>
      </c>
      <c r="EL54" s="566"/>
      <c r="EM54" s="626">
        <f t="shared" ref="EM54:EM68" ca="1" si="79">IF(EM5="","",IF(EG5=0,"N",(EM5/EG5-1)*100))</f>
        <v>3.3954150367401459</v>
      </c>
      <c r="EN54" s="627" t="str">
        <f t="shared" ref="EN54:EN68" si="80">IF(EN5="","",IF(EH5=0,"N",(EN5/EH5-1)*100))</f>
        <v/>
      </c>
      <c r="EO54" s="627" t="str">
        <f t="shared" ref="EO54:EO68" si="81">IF(EO5="","",IF(EI5=0,"N",(EO5/EI5-1)*100))</f>
        <v/>
      </c>
      <c r="EP54" s="627" t="str">
        <f t="shared" ref="EP54:EP93" si="82">IF(EP5="","",IF(EJ5=0,"N",(EP5/EJ5-1)*100))</f>
        <v/>
      </c>
      <c r="EQ54" s="627" t="str">
        <f t="shared" ref="EQ54:EQ61" si="83">IF(EQ5="","",IF(EK5=0,"N",(EQ5/EK5-1)*100))</f>
        <v/>
      </c>
      <c r="ER54" s="566"/>
    </row>
    <row r="55" spans="1:148">
      <c r="B55" s="568" t="s">
        <v>2133</v>
      </c>
      <c r="C55" s="4136" t="s">
        <v>1978</v>
      </c>
      <c r="D55" s="4135"/>
      <c r="E55" s="628"/>
      <c r="F55" s="629"/>
      <c r="G55" s="629"/>
      <c r="H55" s="629"/>
      <c r="I55" s="630"/>
      <c r="J55" s="566"/>
      <c r="K55" s="628">
        <f t="shared" ca="1" si="13"/>
        <v>5.4590450737162177</v>
      </c>
      <c r="L55" s="629" t="str">
        <f t="shared" si="13"/>
        <v/>
      </c>
      <c r="M55" s="629" t="str">
        <f t="shared" si="13"/>
        <v/>
      </c>
      <c r="N55" s="629" t="str">
        <f t="shared" si="13"/>
        <v/>
      </c>
      <c r="O55" s="630" t="str">
        <f t="shared" si="13"/>
        <v/>
      </c>
      <c r="P55" s="566"/>
      <c r="Q55" s="628">
        <f t="shared" ca="1" si="14"/>
        <v>5.762505574937582</v>
      </c>
      <c r="R55" s="629" t="str">
        <f t="shared" si="14"/>
        <v/>
      </c>
      <c r="S55" s="629" t="str">
        <f t="shared" si="14"/>
        <v/>
      </c>
      <c r="T55" s="629" t="str">
        <f t="shared" si="14"/>
        <v/>
      </c>
      <c r="U55" s="630" t="str">
        <f t="shared" si="14"/>
        <v/>
      </c>
      <c r="V55" s="566"/>
      <c r="W55" s="628">
        <f t="shared" ca="1" si="15"/>
        <v>3.7629365723699237</v>
      </c>
      <c r="X55" s="629" t="str">
        <f t="shared" si="15"/>
        <v/>
      </c>
      <c r="Y55" s="629" t="str">
        <f t="shared" si="15"/>
        <v/>
      </c>
      <c r="Z55" s="629" t="str">
        <f t="shared" si="15"/>
        <v/>
      </c>
      <c r="AA55" s="630" t="str">
        <f t="shared" si="15"/>
        <v/>
      </c>
      <c r="AB55" s="566"/>
      <c r="AC55" s="628">
        <f t="shared" ca="1" si="16"/>
        <v>7.019742789210226</v>
      </c>
      <c r="AD55" s="629" t="str">
        <f t="shared" si="16"/>
        <v/>
      </c>
      <c r="AE55" s="629" t="str">
        <f t="shared" si="16"/>
        <v/>
      </c>
      <c r="AF55" s="629" t="str">
        <f t="shared" si="16"/>
        <v/>
      </c>
      <c r="AG55" s="630" t="str">
        <f t="shared" si="16"/>
        <v/>
      </c>
      <c r="AH55" s="566"/>
      <c r="AI55" s="628">
        <f t="shared" ca="1" si="17"/>
        <v>5.3583089634025027</v>
      </c>
      <c r="AJ55" s="629" t="str">
        <f t="shared" si="17"/>
        <v/>
      </c>
      <c r="AK55" s="629" t="str">
        <f t="shared" si="17"/>
        <v/>
      </c>
      <c r="AL55" s="629" t="str">
        <f t="shared" si="17"/>
        <v/>
      </c>
      <c r="AM55" s="630" t="str">
        <f t="shared" si="17"/>
        <v/>
      </c>
      <c r="AN55" s="566"/>
      <c r="AO55" s="628">
        <f t="shared" ca="1" si="18"/>
        <v>-1.3837893190867256</v>
      </c>
      <c r="AP55" s="629" t="str">
        <f t="shared" si="18"/>
        <v/>
      </c>
      <c r="AQ55" s="629" t="str">
        <f t="shared" si="18"/>
        <v/>
      </c>
      <c r="AR55" s="629" t="str">
        <f t="shared" si="18"/>
        <v/>
      </c>
      <c r="AS55" s="630" t="str">
        <f t="shared" si="18"/>
        <v/>
      </c>
      <c r="AT55" s="566"/>
      <c r="AU55" s="628">
        <f t="shared" ca="1" si="19"/>
        <v>4.1986897027578962</v>
      </c>
      <c r="AV55" s="629" t="str">
        <f t="shared" si="19"/>
        <v/>
      </c>
      <c r="AW55" s="629" t="str">
        <f t="shared" si="19"/>
        <v/>
      </c>
      <c r="AX55" s="629" t="str">
        <f t="shared" si="19"/>
        <v/>
      </c>
      <c r="AY55" s="630" t="str">
        <f t="shared" si="19"/>
        <v/>
      </c>
      <c r="AZ55" s="566"/>
      <c r="BA55" s="628">
        <f t="shared" ca="1" si="20"/>
        <v>2.5995738403540303</v>
      </c>
      <c r="BB55" s="629" t="str">
        <f t="shared" si="20"/>
        <v/>
      </c>
      <c r="BC55" s="629" t="str">
        <f t="shared" si="20"/>
        <v/>
      </c>
      <c r="BD55" s="629" t="str">
        <f t="shared" si="20"/>
        <v/>
      </c>
      <c r="BE55" s="630" t="str">
        <f t="shared" si="20"/>
        <v/>
      </c>
      <c r="BF55" s="566"/>
      <c r="BG55" s="628">
        <f t="shared" ca="1" si="21"/>
        <v>7.4340213432168234</v>
      </c>
      <c r="BH55" s="629" t="str">
        <f t="shared" si="22"/>
        <v/>
      </c>
      <c r="BI55" s="629" t="str">
        <f t="shared" si="23"/>
        <v/>
      </c>
      <c r="BJ55" s="629" t="str">
        <f t="shared" si="24"/>
        <v/>
      </c>
      <c r="BK55" s="630" t="str">
        <f t="shared" si="25"/>
        <v/>
      </c>
      <c r="BL55" s="566"/>
      <c r="BM55" s="628">
        <f t="shared" ca="1" si="26"/>
        <v>6.0836230509119904</v>
      </c>
      <c r="BN55" s="629" t="str">
        <f t="shared" si="26"/>
        <v/>
      </c>
      <c r="BO55" s="629" t="str">
        <f t="shared" si="26"/>
        <v/>
      </c>
      <c r="BP55" s="629" t="str">
        <f t="shared" si="26"/>
        <v/>
      </c>
      <c r="BQ55" s="630" t="str">
        <f t="shared" si="26"/>
        <v/>
      </c>
      <c r="BR55" s="566"/>
      <c r="BS55" s="628">
        <f t="shared" ca="1" si="27"/>
        <v>4.402822516210958</v>
      </c>
      <c r="BT55" s="629" t="str">
        <f t="shared" si="27"/>
        <v/>
      </c>
      <c r="BU55" s="629" t="str">
        <f t="shared" si="27"/>
        <v/>
      </c>
      <c r="BV55" s="629" t="str">
        <f t="shared" si="27"/>
        <v/>
      </c>
      <c r="BW55" s="630" t="str">
        <f t="shared" si="27"/>
        <v/>
      </c>
      <c r="BX55" s="566"/>
      <c r="BY55" s="628">
        <f t="shared" ca="1" si="28"/>
        <v>5.3801207278039165</v>
      </c>
      <c r="BZ55" s="629" t="str">
        <f t="shared" si="28"/>
        <v/>
      </c>
      <c r="CA55" s="629" t="str">
        <f t="shared" si="28"/>
        <v/>
      </c>
      <c r="CB55" s="629" t="str">
        <f t="shared" si="28"/>
        <v/>
      </c>
      <c r="CC55" s="630" t="str">
        <f t="shared" si="28"/>
        <v/>
      </c>
      <c r="CD55" s="566"/>
      <c r="CE55" s="628">
        <f t="shared" ca="1" si="29"/>
        <v>0.43267319668538473</v>
      </c>
      <c r="CF55" s="629" t="str">
        <f t="shared" si="30"/>
        <v/>
      </c>
      <c r="CG55" s="629" t="str">
        <f t="shared" si="31"/>
        <v/>
      </c>
      <c r="CH55" s="629" t="str">
        <f t="shared" si="32"/>
        <v/>
      </c>
      <c r="CI55" s="630" t="str">
        <f t="shared" si="33"/>
        <v/>
      </c>
      <c r="CJ55" s="566"/>
      <c r="CK55" s="628">
        <f t="shared" ca="1" si="34"/>
        <v>-3.3548822505594211</v>
      </c>
      <c r="CL55" s="629" t="str">
        <f t="shared" si="35"/>
        <v/>
      </c>
      <c r="CM55" s="629" t="str">
        <f t="shared" si="36"/>
        <v/>
      </c>
      <c r="CN55" s="629" t="str">
        <f t="shared" si="37"/>
        <v/>
      </c>
      <c r="CO55" s="630" t="str">
        <f t="shared" si="38"/>
        <v/>
      </c>
      <c r="CP55" s="566"/>
      <c r="CQ55" s="628">
        <f t="shared" ca="1" si="39"/>
        <v>7.4020986088905838</v>
      </c>
      <c r="CR55" s="629" t="str">
        <f t="shared" si="40"/>
        <v/>
      </c>
      <c r="CS55" s="629" t="str">
        <f t="shared" si="41"/>
        <v/>
      </c>
      <c r="CT55" s="629" t="str">
        <f t="shared" si="42"/>
        <v/>
      </c>
      <c r="CU55" s="630" t="str">
        <f t="shared" si="43"/>
        <v/>
      </c>
      <c r="CV55" s="566"/>
      <c r="CW55" s="628">
        <f t="shared" ca="1" si="44"/>
        <v>2.5914473925424453</v>
      </c>
      <c r="CX55" s="629" t="str">
        <f t="shared" si="45"/>
        <v/>
      </c>
      <c r="CY55" s="629" t="str">
        <f t="shared" si="46"/>
        <v/>
      </c>
      <c r="CZ55" s="629" t="str">
        <f t="shared" si="47"/>
        <v/>
      </c>
      <c r="DA55" s="630" t="str">
        <f t="shared" si="48"/>
        <v/>
      </c>
      <c r="DB55" s="566"/>
      <c r="DC55" s="628">
        <f t="shared" ca="1" si="49"/>
        <v>2.3956618388104367</v>
      </c>
      <c r="DD55" s="629" t="str">
        <f t="shared" si="50"/>
        <v/>
      </c>
      <c r="DE55" s="629" t="str">
        <f t="shared" si="51"/>
        <v/>
      </c>
      <c r="DF55" s="629" t="str">
        <f t="shared" si="52"/>
        <v/>
      </c>
      <c r="DG55" s="630" t="str">
        <f t="shared" si="53"/>
        <v/>
      </c>
      <c r="DH55" s="566"/>
      <c r="DI55" s="628">
        <f t="shared" ca="1" si="54"/>
        <v>1.3272153607028825</v>
      </c>
      <c r="DJ55" s="629" t="str">
        <f t="shared" si="55"/>
        <v/>
      </c>
      <c r="DK55" s="629" t="str">
        <f t="shared" si="56"/>
        <v/>
      </c>
      <c r="DL55" s="629" t="str">
        <f t="shared" si="57"/>
        <v/>
      </c>
      <c r="DM55" s="630" t="str">
        <f t="shared" si="58"/>
        <v/>
      </c>
      <c r="DN55" s="566"/>
      <c r="DO55" s="628">
        <f t="shared" ca="1" si="59"/>
        <v>1.4326851537168617</v>
      </c>
      <c r="DP55" s="629" t="str">
        <f t="shared" si="60"/>
        <v/>
      </c>
      <c r="DQ55" s="629" t="str">
        <f t="shared" si="61"/>
        <v/>
      </c>
      <c r="DR55" s="629" t="str">
        <f t="shared" si="62"/>
        <v/>
      </c>
      <c r="DS55" s="630" t="str">
        <f t="shared" si="63"/>
        <v/>
      </c>
      <c r="DT55" s="566"/>
      <c r="DU55" s="628">
        <f t="shared" ca="1" si="64"/>
        <v>2.1081466556490014</v>
      </c>
      <c r="DV55" s="629" t="str">
        <f t="shared" si="65"/>
        <v/>
      </c>
      <c r="DW55" s="629" t="str">
        <f t="shared" si="66"/>
        <v/>
      </c>
      <c r="DX55" s="629" t="str">
        <f t="shared" si="67"/>
        <v/>
      </c>
      <c r="DY55" s="630" t="str">
        <f t="shared" si="68"/>
        <v/>
      </c>
      <c r="DZ55" s="566"/>
      <c r="EA55" s="628">
        <f t="shared" ca="1" si="69"/>
        <v>5.243588521308018</v>
      </c>
      <c r="EB55" s="629" t="str">
        <f t="shared" si="70"/>
        <v/>
      </c>
      <c r="EC55" s="629" t="str">
        <f t="shared" si="71"/>
        <v/>
      </c>
      <c r="ED55" s="629" t="str">
        <f t="shared" si="72"/>
        <v/>
      </c>
      <c r="EE55" s="630" t="str">
        <f t="shared" si="73"/>
        <v/>
      </c>
      <c r="EF55" s="566"/>
      <c r="EG55" s="628">
        <f t="shared" ca="1" si="74"/>
        <v>5.0044556614287306</v>
      </c>
      <c r="EH55" s="629" t="str">
        <f t="shared" si="75"/>
        <v/>
      </c>
      <c r="EI55" s="629" t="str">
        <f t="shared" si="76"/>
        <v/>
      </c>
      <c r="EJ55" s="629" t="str">
        <f t="shared" si="77"/>
        <v/>
      </c>
      <c r="EK55" s="630" t="str">
        <f t="shared" si="78"/>
        <v/>
      </c>
      <c r="EL55" s="566"/>
      <c r="EM55" s="628">
        <f t="shared" ca="1" si="79"/>
        <v>2.8000000000000025</v>
      </c>
      <c r="EN55" s="629" t="str">
        <f t="shared" si="80"/>
        <v/>
      </c>
      <c r="EO55" s="629" t="str">
        <f t="shared" si="81"/>
        <v/>
      </c>
      <c r="EP55" s="629" t="str">
        <f t="shared" si="82"/>
        <v/>
      </c>
      <c r="EQ55" s="630" t="str">
        <f t="shared" si="83"/>
        <v/>
      </c>
      <c r="ER55" s="566"/>
    </row>
    <row r="56" spans="1:148">
      <c r="B56" s="568" t="s">
        <v>622</v>
      </c>
      <c r="C56" s="4136" t="s">
        <v>1979</v>
      </c>
      <c r="D56" s="4135"/>
      <c r="E56" s="628"/>
      <c r="F56" s="629"/>
      <c r="G56" s="629"/>
      <c r="H56" s="629"/>
      <c r="I56" s="630"/>
      <c r="J56" s="566"/>
      <c r="K56" s="628">
        <f t="shared" ca="1" si="13"/>
        <v>-2.9501667284179245</v>
      </c>
      <c r="L56" s="629" t="str">
        <f t="shared" si="13"/>
        <v/>
      </c>
      <c r="M56" s="629" t="str">
        <f t="shared" si="13"/>
        <v/>
      </c>
      <c r="N56" s="629" t="str">
        <f t="shared" si="13"/>
        <v/>
      </c>
      <c r="O56" s="630" t="str">
        <f t="shared" si="13"/>
        <v/>
      </c>
      <c r="P56" s="566"/>
      <c r="Q56" s="628">
        <f t="shared" ca="1" si="14"/>
        <v>-7.9599141016463815</v>
      </c>
      <c r="R56" s="629" t="str">
        <f t="shared" si="14"/>
        <v/>
      </c>
      <c r="S56" s="629" t="str">
        <f t="shared" si="14"/>
        <v/>
      </c>
      <c r="T56" s="629" t="str">
        <f t="shared" si="14"/>
        <v/>
      </c>
      <c r="U56" s="630" t="str">
        <f t="shared" si="14"/>
        <v/>
      </c>
      <c r="V56" s="566"/>
      <c r="W56" s="628">
        <f t="shared" ca="1" si="15"/>
        <v>2.457613936848646</v>
      </c>
      <c r="X56" s="629" t="str">
        <f t="shared" si="15"/>
        <v/>
      </c>
      <c r="Y56" s="629" t="str">
        <f t="shared" si="15"/>
        <v/>
      </c>
      <c r="Z56" s="629" t="str">
        <f t="shared" si="15"/>
        <v/>
      </c>
      <c r="AA56" s="630" t="str">
        <f t="shared" si="15"/>
        <v/>
      </c>
      <c r="AB56" s="566"/>
      <c r="AC56" s="628">
        <f t="shared" ca="1" si="16"/>
        <v>5.9359344162744687</v>
      </c>
      <c r="AD56" s="629" t="str">
        <f t="shared" si="16"/>
        <v/>
      </c>
      <c r="AE56" s="629" t="str">
        <f t="shared" si="16"/>
        <v/>
      </c>
      <c r="AF56" s="629" t="str">
        <f t="shared" si="16"/>
        <v/>
      </c>
      <c r="AG56" s="630" t="str">
        <f t="shared" si="16"/>
        <v/>
      </c>
      <c r="AH56" s="566"/>
      <c r="AI56" s="628">
        <f t="shared" ca="1" si="17"/>
        <v>-6.682908187637338</v>
      </c>
      <c r="AJ56" s="629" t="str">
        <f t="shared" si="17"/>
        <v/>
      </c>
      <c r="AK56" s="629" t="str">
        <f t="shared" si="17"/>
        <v/>
      </c>
      <c r="AL56" s="629" t="str">
        <f t="shared" si="17"/>
        <v/>
      </c>
      <c r="AM56" s="630" t="str">
        <f t="shared" si="17"/>
        <v/>
      </c>
      <c r="AN56" s="566"/>
      <c r="AO56" s="628">
        <f t="shared" ca="1" si="18"/>
        <v>6.78781673918607</v>
      </c>
      <c r="AP56" s="629" t="str">
        <f t="shared" si="18"/>
        <v/>
      </c>
      <c r="AQ56" s="629" t="str">
        <f t="shared" si="18"/>
        <v/>
      </c>
      <c r="AR56" s="629" t="str">
        <f t="shared" si="18"/>
        <v/>
      </c>
      <c r="AS56" s="630" t="str">
        <f t="shared" si="18"/>
        <v/>
      </c>
      <c r="AT56" s="566"/>
      <c r="AU56" s="628">
        <f t="shared" ca="1" si="19"/>
        <v>-2.6652605340108382</v>
      </c>
      <c r="AV56" s="629" t="str">
        <f t="shared" si="19"/>
        <v/>
      </c>
      <c r="AW56" s="629" t="str">
        <f t="shared" si="19"/>
        <v/>
      </c>
      <c r="AX56" s="629" t="str">
        <f t="shared" si="19"/>
        <v/>
      </c>
      <c r="AY56" s="630" t="str">
        <f t="shared" si="19"/>
        <v/>
      </c>
      <c r="AZ56" s="566"/>
      <c r="BA56" s="628">
        <f t="shared" ca="1" si="20"/>
        <v>21.851760650086185</v>
      </c>
      <c r="BB56" s="629" t="str">
        <f t="shared" si="20"/>
        <v/>
      </c>
      <c r="BC56" s="629" t="str">
        <f t="shared" si="20"/>
        <v/>
      </c>
      <c r="BD56" s="629" t="str">
        <f t="shared" si="20"/>
        <v/>
      </c>
      <c r="BE56" s="630" t="str">
        <f t="shared" si="20"/>
        <v/>
      </c>
      <c r="BF56" s="566"/>
      <c r="BG56" s="628">
        <f t="shared" ca="1" si="21"/>
        <v>-20.859267642066115</v>
      </c>
      <c r="BH56" s="629" t="str">
        <f t="shared" si="22"/>
        <v/>
      </c>
      <c r="BI56" s="629" t="str">
        <f t="shared" si="23"/>
        <v/>
      </c>
      <c r="BJ56" s="629" t="str">
        <f t="shared" si="24"/>
        <v/>
      </c>
      <c r="BK56" s="630" t="str">
        <f t="shared" si="25"/>
        <v/>
      </c>
      <c r="BL56" s="566"/>
      <c r="BM56" s="628">
        <f t="shared" ca="1" si="26"/>
        <v>37.086972064756665</v>
      </c>
      <c r="BN56" s="629" t="str">
        <f t="shared" si="26"/>
        <v/>
      </c>
      <c r="BO56" s="629" t="str">
        <f t="shared" si="26"/>
        <v/>
      </c>
      <c r="BP56" s="629" t="str">
        <f t="shared" si="26"/>
        <v/>
      </c>
      <c r="BQ56" s="630" t="str">
        <f t="shared" si="26"/>
        <v/>
      </c>
      <c r="BR56" s="566"/>
      <c r="BS56" s="628">
        <f t="shared" ca="1" si="27"/>
        <v>-10.423574116156919</v>
      </c>
      <c r="BT56" s="629" t="str">
        <f t="shared" si="27"/>
        <v/>
      </c>
      <c r="BU56" s="629" t="str">
        <f t="shared" si="27"/>
        <v/>
      </c>
      <c r="BV56" s="629" t="str">
        <f t="shared" si="27"/>
        <v/>
      </c>
      <c r="BW56" s="630" t="str">
        <f t="shared" si="27"/>
        <v/>
      </c>
      <c r="BX56" s="566"/>
      <c r="BY56" s="628">
        <f t="shared" ca="1" si="28"/>
        <v>3.6306924516531502</v>
      </c>
      <c r="BZ56" s="629" t="str">
        <f t="shared" si="28"/>
        <v/>
      </c>
      <c r="CA56" s="629" t="str">
        <f t="shared" si="28"/>
        <v/>
      </c>
      <c r="CB56" s="629" t="str">
        <f t="shared" si="28"/>
        <v/>
      </c>
      <c r="CC56" s="630" t="str">
        <f t="shared" si="28"/>
        <v/>
      </c>
      <c r="CD56" s="566"/>
      <c r="CE56" s="628">
        <f t="shared" ca="1" si="29"/>
        <v>-5.4057307970142077</v>
      </c>
      <c r="CF56" s="629" t="str">
        <f t="shared" si="30"/>
        <v/>
      </c>
      <c r="CG56" s="629" t="str">
        <f t="shared" si="31"/>
        <v/>
      </c>
      <c r="CH56" s="629" t="str">
        <f t="shared" si="32"/>
        <v/>
      </c>
      <c r="CI56" s="630" t="str">
        <f t="shared" si="33"/>
        <v/>
      </c>
      <c r="CJ56" s="566"/>
      <c r="CK56" s="628">
        <f t="shared" ca="1" si="34"/>
        <v>-19.087013703279453</v>
      </c>
      <c r="CL56" s="629" t="str">
        <f t="shared" si="35"/>
        <v/>
      </c>
      <c r="CM56" s="629" t="str">
        <f t="shared" si="36"/>
        <v/>
      </c>
      <c r="CN56" s="629" t="str">
        <f t="shared" si="37"/>
        <v/>
      </c>
      <c r="CO56" s="630" t="str">
        <f t="shared" si="38"/>
        <v/>
      </c>
      <c r="CP56" s="566"/>
      <c r="CQ56" s="628">
        <f t="shared" ca="1" si="39"/>
        <v>22.939387583892625</v>
      </c>
      <c r="CR56" s="629" t="str">
        <f t="shared" si="40"/>
        <v/>
      </c>
      <c r="CS56" s="629" t="str">
        <f t="shared" si="41"/>
        <v/>
      </c>
      <c r="CT56" s="629" t="str">
        <f t="shared" si="42"/>
        <v/>
      </c>
      <c r="CU56" s="630" t="str">
        <f t="shared" si="43"/>
        <v/>
      </c>
      <c r="CV56" s="566"/>
      <c r="CW56" s="628">
        <f t="shared" ca="1" si="44"/>
        <v>7.03714760950227</v>
      </c>
      <c r="CX56" s="629" t="str">
        <f t="shared" si="45"/>
        <v/>
      </c>
      <c r="CY56" s="629" t="str">
        <f t="shared" si="46"/>
        <v/>
      </c>
      <c r="CZ56" s="629" t="str">
        <f t="shared" si="47"/>
        <v/>
      </c>
      <c r="DA56" s="630" t="str">
        <f t="shared" si="48"/>
        <v/>
      </c>
      <c r="DB56" s="566"/>
      <c r="DC56" s="628">
        <f t="shared" ca="1" si="49"/>
        <v>-13.31633262939792</v>
      </c>
      <c r="DD56" s="629" t="str">
        <f t="shared" si="50"/>
        <v/>
      </c>
      <c r="DE56" s="629" t="str">
        <f t="shared" si="51"/>
        <v/>
      </c>
      <c r="DF56" s="629" t="str">
        <f t="shared" si="52"/>
        <v/>
      </c>
      <c r="DG56" s="630" t="str">
        <f t="shared" si="53"/>
        <v/>
      </c>
      <c r="DH56" s="566"/>
      <c r="DI56" s="628">
        <f t="shared" ca="1" si="54"/>
        <v>-4.1875430935417128</v>
      </c>
      <c r="DJ56" s="629" t="str">
        <f t="shared" si="55"/>
        <v/>
      </c>
      <c r="DK56" s="629" t="str">
        <f t="shared" si="56"/>
        <v/>
      </c>
      <c r="DL56" s="629" t="str">
        <f t="shared" si="57"/>
        <v/>
      </c>
      <c r="DM56" s="630" t="str">
        <f t="shared" si="58"/>
        <v/>
      </c>
      <c r="DN56" s="566"/>
      <c r="DO56" s="628">
        <f t="shared" ca="1" si="59"/>
        <v>-7.2011130301285808</v>
      </c>
      <c r="DP56" s="629" t="str">
        <f t="shared" si="60"/>
        <v/>
      </c>
      <c r="DQ56" s="629" t="str">
        <f t="shared" si="61"/>
        <v/>
      </c>
      <c r="DR56" s="629" t="str">
        <f t="shared" si="62"/>
        <v/>
      </c>
      <c r="DS56" s="630" t="str">
        <f t="shared" si="63"/>
        <v/>
      </c>
      <c r="DT56" s="566"/>
      <c r="DU56" s="628">
        <f t="shared" ca="1" si="64"/>
        <v>10.587809543504111</v>
      </c>
      <c r="DV56" s="629" t="str">
        <f t="shared" si="65"/>
        <v/>
      </c>
      <c r="DW56" s="629" t="str">
        <f t="shared" si="66"/>
        <v/>
      </c>
      <c r="DX56" s="629" t="str">
        <f t="shared" si="67"/>
        <v/>
      </c>
      <c r="DY56" s="630" t="str">
        <f t="shared" si="68"/>
        <v/>
      </c>
      <c r="DZ56" s="566"/>
      <c r="EA56" s="628">
        <f t="shared" ca="1" si="69"/>
        <v>-3.9362348651301948</v>
      </c>
      <c r="EB56" s="629" t="str">
        <f t="shared" si="70"/>
        <v/>
      </c>
      <c r="EC56" s="629" t="str">
        <f t="shared" si="71"/>
        <v/>
      </c>
      <c r="ED56" s="629" t="str">
        <f t="shared" si="72"/>
        <v/>
      </c>
      <c r="EE56" s="630" t="str">
        <f t="shared" si="73"/>
        <v/>
      </c>
      <c r="EF56" s="566"/>
      <c r="EG56" s="628">
        <f t="shared" ca="1" si="74"/>
        <v>2.438074845491256</v>
      </c>
      <c r="EH56" s="629" t="str">
        <f t="shared" si="75"/>
        <v/>
      </c>
      <c r="EI56" s="629" t="str">
        <f t="shared" si="76"/>
        <v/>
      </c>
      <c r="EJ56" s="629" t="str">
        <f t="shared" si="77"/>
        <v/>
      </c>
      <c r="EK56" s="630" t="str">
        <f t="shared" si="78"/>
        <v/>
      </c>
      <c r="EL56" s="566"/>
      <c r="EM56" s="628">
        <f t="shared" ca="1" si="79"/>
        <v>-1.0700000000000043</v>
      </c>
      <c r="EN56" s="629" t="str">
        <f t="shared" si="80"/>
        <v/>
      </c>
      <c r="EO56" s="629" t="str">
        <f t="shared" si="81"/>
        <v/>
      </c>
      <c r="EP56" s="629" t="str">
        <f t="shared" si="82"/>
        <v/>
      </c>
      <c r="EQ56" s="630" t="str">
        <f t="shared" si="83"/>
        <v/>
      </c>
      <c r="ER56" s="566"/>
    </row>
    <row r="57" spans="1:148">
      <c r="B57" s="568" t="s">
        <v>624</v>
      </c>
      <c r="C57" s="4137" t="s">
        <v>1684</v>
      </c>
      <c r="D57" s="4137"/>
      <c r="E57" s="575"/>
      <c r="F57" s="575"/>
      <c r="G57" s="575"/>
      <c r="H57" s="575"/>
      <c r="I57" s="631"/>
      <c r="J57" s="576"/>
      <c r="K57" s="575">
        <f t="shared" ca="1" si="13"/>
        <v>1.7545828382291351</v>
      </c>
      <c r="L57" s="575">
        <f t="shared" ca="1" si="13"/>
        <v>2.1543928673414259</v>
      </c>
      <c r="M57" s="575">
        <f t="shared" ca="1" si="13"/>
        <v>1.2851663639525501</v>
      </c>
      <c r="N57" s="575">
        <f t="shared" ca="1" si="13"/>
        <v>2.5075048560833535</v>
      </c>
      <c r="O57" s="631" t="str">
        <f t="shared" si="13"/>
        <v/>
      </c>
      <c r="P57" s="576" t="str">
        <f ca="1">IF(ROUND(P8,2)=0,"ok","!")</f>
        <v>ok</v>
      </c>
      <c r="Q57" s="575">
        <f t="shared" ca="1" si="14"/>
        <v>4.3685382789494964</v>
      </c>
      <c r="R57" s="575">
        <f t="shared" ca="1" si="14"/>
        <v>3.6609102580030584</v>
      </c>
      <c r="S57" s="575">
        <f t="shared" ca="1" si="14"/>
        <v>4.8771957436018809</v>
      </c>
      <c r="T57" s="575">
        <f t="shared" ca="1" si="14"/>
        <v>3.1304994004492492</v>
      </c>
      <c r="U57" s="631" t="str">
        <f t="shared" si="14"/>
        <v/>
      </c>
      <c r="V57" s="576" t="str">
        <f ca="1">IF(ROUND(V8,2)=0,"ok","!")</f>
        <v>ok</v>
      </c>
      <c r="W57" s="575">
        <f t="shared" ca="1" si="15"/>
        <v>3.7593149637869194</v>
      </c>
      <c r="X57" s="575">
        <f t="shared" ca="1" si="15"/>
        <v>2.7965322999480513</v>
      </c>
      <c r="Y57" s="575">
        <f t="shared" ca="1" si="15"/>
        <v>4.2276247767006003</v>
      </c>
      <c r="Z57" s="575">
        <f t="shared" ca="1" si="15"/>
        <v>2.9984639218139542</v>
      </c>
      <c r="AA57" s="631" t="str">
        <f t="shared" si="15"/>
        <v/>
      </c>
      <c r="AB57" s="576" t="str">
        <f ca="1">IF(ROUND(AB8,2)=0,"ok","!")</f>
        <v>ok</v>
      </c>
      <c r="AC57" s="575">
        <f t="shared" ca="1" si="16"/>
        <v>3.8096556962097461</v>
      </c>
      <c r="AD57" s="575">
        <f t="shared" ca="1" si="16"/>
        <v>2.1804924021608274</v>
      </c>
      <c r="AE57" s="575">
        <f t="shared" ca="1" si="16"/>
        <v>4.1820190125487322</v>
      </c>
      <c r="AF57" s="575">
        <f t="shared" ca="1" si="16"/>
        <v>4.3141332621041695</v>
      </c>
      <c r="AG57" s="631" t="str">
        <f t="shared" si="16"/>
        <v/>
      </c>
      <c r="AH57" s="576" t="str">
        <f ca="1">IF(ROUND(AH8,2)=0,"ok","!")</f>
        <v>ok</v>
      </c>
      <c r="AI57" s="575">
        <f t="shared" ca="1" si="17"/>
        <v>5.6597381712696126</v>
      </c>
      <c r="AJ57" s="575">
        <f t="shared" ca="1" si="17"/>
        <v>4.6249699885659412</v>
      </c>
      <c r="AK57" s="575">
        <f t="shared" ca="1" si="17"/>
        <v>6.3845528886556258</v>
      </c>
      <c r="AL57" s="575">
        <f t="shared" ca="1" si="17"/>
        <v>3.8211221021506203</v>
      </c>
      <c r="AM57" s="631" t="str">
        <f t="shared" si="17"/>
        <v/>
      </c>
      <c r="AN57" s="576" t="str">
        <f ca="1">IF(ROUND(AN8,2)=0,"ok","!")</f>
        <v>ok</v>
      </c>
      <c r="AO57" s="575">
        <f t="shared" ca="1" si="18"/>
        <v>3.5185208485094321</v>
      </c>
      <c r="AP57" s="575">
        <f t="shared" ca="1" si="18"/>
        <v>2.7453314823608466</v>
      </c>
      <c r="AQ57" s="575">
        <f t="shared" ca="1" si="18"/>
        <v>3.5938668661181783</v>
      </c>
      <c r="AR57" s="575">
        <f t="shared" ca="1" si="18"/>
        <v>4.1805155910505709</v>
      </c>
      <c r="AS57" s="631" t="str">
        <f t="shared" si="18"/>
        <v/>
      </c>
      <c r="AT57" s="576" t="str">
        <f ca="1">IF(ROUND(AT8,2)=0,"ok","!")</f>
        <v>ok</v>
      </c>
      <c r="AU57" s="575">
        <f t="shared" ca="1" si="19"/>
        <v>3.3495153158839441</v>
      </c>
      <c r="AV57" s="575">
        <f t="shared" ca="1" si="19"/>
        <v>-0.29919595234092489</v>
      </c>
      <c r="AW57" s="575">
        <f t="shared" ca="1" si="19"/>
        <v>3.6626076580932754</v>
      </c>
      <c r="AX57" s="575">
        <f t="shared" ca="1" si="19"/>
        <v>6.60648557852197</v>
      </c>
      <c r="AY57" s="631" t="str">
        <f t="shared" si="19"/>
        <v/>
      </c>
      <c r="AZ57" s="576" t="str">
        <f ca="1">IF(ROUND(AZ8,2)=0,"ok","!")</f>
        <v>ok</v>
      </c>
      <c r="BA57" s="575">
        <f t="shared" ca="1" si="20"/>
        <v>2.9287815512837989</v>
      </c>
      <c r="BB57" s="575">
        <f t="shared" ca="1" si="20"/>
        <v>1.9234394788614662</v>
      </c>
      <c r="BC57" s="575">
        <f t="shared" ca="1" si="20"/>
        <v>2.9476633504155636</v>
      </c>
      <c r="BD57" s="575">
        <f t="shared" ca="1" si="20"/>
        <v>4.0453763162277445</v>
      </c>
      <c r="BE57" s="631" t="str">
        <f t="shared" si="20"/>
        <v/>
      </c>
      <c r="BF57" s="576" t="str">
        <f ca="1">IF(ROUND(BF8,2)=0,"ok","!")</f>
        <v>ok</v>
      </c>
      <c r="BG57" s="575">
        <f t="shared" ca="1" si="21"/>
        <v>5.2130961137878407</v>
      </c>
      <c r="BH57" s="575">
        <f t="shared" ca="1" si="22"/>
        <v>1.7409054013766134</v>
      </c>
      <c r="BI57" s="575">
        <f t="shared" ca="1" si="23"/>
        <v>6.7342814837674014</v>
      </c>
      <c r="BJ57" s="575">
        <f t="shared" ca="1" si="24"/>
        <v>2.7543379552343872</v>
      </c>
      <c r="BK57" s="631" t="str">
        <f t="shared" si="25"/>
        <v/>
      </c>
      <c r="BL57" s="576" t="str">
        <f ca="1">IF(ROUND(BL8,2)=0,"ok","!")</f>
        <v>ok</v>
      </c>
      <c r="BM57" s="575">
        <f t="shared" ca="1" si="26"/>
        <v>4.2879043993466315</v>
      </c>
      <c r="BN57" s="575">
        <f t="shared" ca="1" si="26"/>
        <v>3.5586945036799822</v>
      </c>
      <c r="BO57" s="575">
        <f t="shared" ca="1" si="26"/>
        <v>4.1914696053955813</v>
      </c>
      <c r="BP57" s="575">
        <f t="shared" ca="1" si="26"/>
        <v>5.5598279925123784</v>
      </c>
      <c r="BQ57" s="631" t="str">
        <f t="shared" si="26"/>
        <v/>
      </c>
      <c r="BR57" s="576" t="str">
        <f ca="1">IF(ROUND(BR8,2)=0,"ok","!")</f>
        <v>ok</v>
      </c>
      <c r="BS57" s="575">
        <f t="shared" ca="1" si="27"/>
        <v>4.7868039187805245</v>
      </c>
      <c r="BT57" s="575">
        <f t="shared" ca="1" si="27"/>
        <v>4.8633844793863235</v>
      </c>
      <c r="BU57" s="575">
        <f t="shared" ca="1" si="27"/>
        <v>4.7426908885988217</v>
      </c>
      <c r="BV57" s="575">
        <f t="shared" ca="1" si="27"/>
        <v>4.8935896084425723</v>
      </c>
      <c r="BW57" s="631" t="str">
        <f t="shared" si="27"/>
        <v/>
      </c>
      <c r="BX57" s="576" t="str">
        <f ca="1">IF(ROUND(BX8,2)=0,"ok","!")</f>
        <v>ok</v>
      </c>
      <c r="BY57" s="575">
        <f t="shared" ca="1" si="28"/>
        <v>5.5286749835004478</v>
      </c>
      <c r="BZ57" s="575">
        <f t="shared" ca="1" si="28"/>
        <v>4.1347918915298987</v>
      </c>
      <c r="CA57" s="575">
        <f t="shared" ca="1" si="28"/>
        <v>6.1696064790166094</v>
      </c>
      <c r="CB57" s="575">
        <f t="shared" ca="1" si="28"/>
        <v>4.2997040924571461</v>
      </c>
      <c r="CC57" s="631" t="str">
        <f t="shared" si="28"/>
        <v/>
      </c>
      <c r="CD57" s="576" t="str">
        <f ca="1">IF(ROUND(CD8,2)=0,"ok","!")</f>
        <v>ok</v>
      </c>
      <c r="CE57" s="575">
        <f t="shared" ca="1" si="29"/>
        <v>2.9383371016810989</v>
      </c>
      <c r="CF57" s="575">
        <f t="shared" ca="1" si="30"/>
        <v>2.5047805125314682</v>
      </c>
      <c r="CG57" s="575">
        <f t="shared" ca="1" si="31"/>
        <v>2.4663341430478658</v>
      </c>
      <c r="CH57" s="575">
        <f t="shared" ca="1" si="32"/>
        <v>5.5352141627482698</v>
      </c>
      <c r="CI57" s="631" t="str">
        <f t="shared" si="33"/>
        <v/>
      </c>
      <c r="CJ57" s="576" t="str">
        <f ca="1">IF(ROUND(CJ8,2)=0,"ok","!")</f>
        <v>ok</v>
      </c>
      <c r="CK57" s="575">
        <f t="shared" ca="1" si="34"/>
        <v>-1.391885651123892</v>
      </c>
      <c r="CL57" s="575">
        <f t="shared" ca="1" si="35"/>
        <v>-2.6360268068020831</v>
      </c>
      <c r="CM57" s="575">
        <f t="shared" ca="1" si="36"/>
        <v>-2.1692470742397774</v>
      </c>
      <c r="CN57" s="575">
        <f t="shared" ca="1" si="37"/>
        <v>3.3438227232241546</v>
      </c>
      <c r="CO57" s="631" t="str">
        <f t="shared" si="38"/>
        <v/>
      </c>
      <c r="CP57" s="576" t="str">
        <f ca="1">IF(ROUND(CP8,2)=0,"ok","!")</f>
        <v>ok</v>
      </c>
      <c r="CQ57" s="575">
        <f t="shared" ca="1" si="39"/>
        <v>4.4585606232189656</v>
      </c>
      <c r="CR57" s="575">
        <f t="shared" ca="1" si="40"/>
        <v>1.4742280154491638</v>
      </c>
      <c r="CS57" s="575">
        <f t="shared" ca="1" si="41"/>
        <v>5.5740763967145002</v>
      </c>
      <c r="CT57" s="575">
        <f t="shared" ca="1" si="42"/>
        <v>2.9753023401916101</v>
      </c>
      <c r="CU57" s="631" t="str">
        <f t="shared" si="43"/>
        <v/>
      </c>
      <c r="CV57" s="576" t="str">
        <f ca="1">IF(ROUND(CV8,2)=0,"ok","!")</f>
        <v>ok</v>
      </c>
      <c r="CW57" s="575">
        <f t="shared" ca="1" si="44"/>
        <v>4.0150832823687033</v>
      </c>
      <c r="CX57" s="575">
        <f t="shared" ca="1" si="45"/>
        <v>2.3092941385203014</v>
      </c>
      <c r="CY57" s="575">
        <f t="shared" ca="1" si="46"/>
        <v>4.3139109549070298</v>
      </c>
      <c r="CZ57" s="575">
        <f t="shared" ca="1" si="47"/>
        <v>4.4999666358445545</v>
      </c>
      <c r="DA57" s="631" t="str">
        <f t="shared" si="48"/>
        <v/>
      </c>
      <c r="DB57" s="576" t="str">
        <f ca="1">IF(ROUND(DB8,2)=0,"ok","!")</f>
        <v>ok</v>
      </c>
      <c r="DC57" s="575">
        <f t="shared" ca="1" si="49"/>
        <v>2.0769081065102446</v>
      </c>
      <c r="DD57" s="575">
        <f t="shared" ca="1" si="50"/>
        <v>1.3393329804129106</v>
      </c>
      <c r="DE57" s="575">
        <f t="shared" ca="1" si="51"/>
        <v>1.8095513395913532</v>
      </c>
      <c r="DF57" s="575">
        <f t="shared" ca="1" si="52"/>
        <v>3.9361962205218592</v>
      </c>
      <c r="DG57" s="631" t="str">
        <f t="shared" si="53"/>
        <v/>
      </c>
      <c r="DH57" s="576" t="str">
        <f ca="1">IF(ROUND(DH8,2)=0,"ok","!")</f>
        <v>ok</v>
      </c>
      <c r="DI57" s="575">
        <f t="shared" ca="1" si="54"/>
        <v>1.2051396833674399</v>
      </c>
      <c r="DJ57" s="575">
        <f t="shared" ca="1" si="55"/>
        <v>0.10952054140616063</v>
      </c>
      <c r="DK57" s="575">
        <f t="shared" ca="1" si="56"/>
        <v>1.0613779511422061</v>
      </c>
      <c r="DL57" s="575">
        <f t="shared" ca="1" si="57"/>
        <v>2.863823146852762</v>
      </c>
      <c r="DM57" s="631" t="str">
        <f t="shared" si="58"/>
        <v/>
      </c>
      <c r="DN57" s="576" t="str">
        <f ca="1">IF(ROUND(DN8,2)=0,"ok","!")</f>
        <v>ok</v>
      </c>
      <c r="DO57" s="575">
        <f t="shared" ca="1" si="59"/>
        <v>2.0447074555556055</v>
      </c>
      <c r="DP57" s="575">
        <f t="shared" ca="1" si="60"/>
        <v>2.9079360509577157</v>
      </c>
      <c r="DQ57" s="575">
        <f t="shared" ca="1" si="61"/>
        <v>2.0193468280352844</v>
      </c>
      <c r="DR57" s="575">
        <f t="shared" ca="1" si="62"/>
        <v>1.3035658216270063</v>
      </c>
      <c r="DS57" s="631" t="str">
        <f t="shared" si="63"/>
        <v/>
      </c>
      <c r="DT57" s="576" t="str">
        <f ca="1">IF(ROUND(DT8,2)=0,"ok","!")</f>
        <v>!</v>
      </c>
      <c r="DU57" s="575">
        <f t="shared" ca="1" si="64"/>
        <v>2.6310776956355086</v>
      </c>
      <c r="DV57" s="575">
        <f t="shared" ca="1" si="65"/>
        <v>1.0922932738374191</v>
      </c>
      <c r="DW57" s="575">
        <f t="shared" ca="1" si="66"/>
        <v>3.4629768664167448</v>
      </c>
      <c r="DX57" s="575">
        <f t="shared" ca="1" si="67"/>
        <v>0.61214829688349681</v>
      </c>
      <c r="DY57" s="631" t="str">
        <f t="shared" si="68"/>
        <v/>
      </c>
      <c r="DZ57" s="576" t="str">
        <f ca="1">IF(ROUND(DZ8,2)=0,"ok","!")</f>
        <v>!</v>
      </c>
      <c r="EA57" s="575">
        <f t="shared" ca="1" si="69"/>
        <v>2.7659280336222114</v>
      </c>
      <c r="EB57" s="575">
        <f t="shared" ca="1" si="70"/>
        <v>1.3456412810920027</v>
      </c>
      <c r="EC57" s="575">
        <f t="shared" ca="1" si="71"/>
        <v>3.113361417693139</v>
      </c>
      <c r="ED57" s="575">
        <f t="shared" ca="1" si="72"/>
        <v>2.2572290094612146</v>
      </c>
      <c r="EE57" s="631" t="str">
        <f t="shared" si="73"/>
        <v/>
      </c>
      <c r="EF57" s="576" t="str">
        <f ca="1">IF(ROUND(EF8,2)=0,"ok","!")</f>
        <v>!</v>
      </c>
      <c r="EG57" s="575">
        <f t="shared" ca="1" si="74"/>
        <v>3.471812509201988</v>
      </c>
      <c r="EH57" s="575">
        <f t="shared" ca="1" si="75"/>
        <v>1.8864206927977634</v>
      </c>
      <c r="EI57" s="575">
        <f t="shared" ca="1" si="76"/>
        <v>4.1305114878057214</v>
      </c>
      <c r="EJ57" s="575">
        <f t="shared" ca="1" si="77"/>
        <v>2.7969932690748989</v>
      </c>
      <c r="EK57" s="631" t="str">
        <f t="shared" si="78"/>
        <v/>
      </c>
      <c r="EL57" s="576" t="str">
        <f ca="1">IF(ROUND(EL8,2)=0,"ok","!")</f>
        <v>ok</v>
      </c>
      <c r="EM57" s="575">
        <f t="shared" ca="1" si="79"/>
        <v>3.4473098004715874</v>
      </c>
      <c r="EN57" s="575">
        <f t="shared" ca="1" si="80"/>
        <v>2.0241971516241186</v>
      </c>
      <c r="EO57" s="575">
        <f t="shared" ca="1" si="81"/>
        <v>4.2120894855262492</v>
      </c>
      <c r="EP57" s="575">
        <f t="shared" ca="1" si="82"/>
        <v>1.5329593522446894</v>
      </c>
      <c r="EQ57" s="631" t="str">
        <f t="shared" si="83"/>
        <v/>
      </c>
      <c r="ER57" s="576" t="str">
        <f ca="1">IF(ROUND(ER8,2)=0,"ok","!")</f>
        <v>ok</v>
      </c>
    </row>
    <row r="58" spans="1:148">
      <c r="B58" s="568" t="s">
        <v>2133</v>
      </c>
      <c r="C58" s="4136" t="s">
        <v>1685</v>
      </c>
      <c r="D58" s="4136"/>
      <c r="E58" s="632"/>
      <c r="F58" s="633"/>
      <c r="G58" s="634"/>
      <c r="H58" s="634"/>
      <c r="I58" s="635"/>
      <c r="J58" s="580"/>
      <c r="K58" s="632">
        <f t="shared" ca="1" si="13"/>
        <v>6.5879538919565439</v>
      </c>
      <c r="L58" s="633">
        <f t="shared" ca="1" si="13"/>
        <v>9.3779508970726955</v>
      </c>
      <c r="M58" s="634">
        <f t="shared" ca="1" si="13"/>
        <v>4.4732721986132873</v>
      </c>
      <c r="N58" s="634" t="str">
        <f t="shared" ca="1" si="13"/>
        <v>N</v>
      </c>
      <c r="O58" s="635" t="str">
        <f t="shared" si="13"/>
        <v/>
      </c>
      <c r="P58" s="580"/>
      <c r="Q58" s="632">
        <f t="shared" ca="1" si="14"/>
        <v>9.3917112299465089</v>
      </c>
      <c r="R58" s="633">
        <f t="shared" ca="1" si="14"/>
        <v>4.8130362056871601</v>
      </c>
      <c r="S58" s="634">
        <f t="shared" ca="1" si="14"/>
        <v>13.025048169556829</v>
      </c>
      <c r="T58" s="634" t="str">
        <f t="shared" ca="1" si="14"/>
        <v>N</v>
      </c>
      <c r="U58" s="635" t="str">
        <f t="shared" si="14"/>
        <v/>
      </c>
      <c r="V58" s="580"/>
      <c r="W58" s="632">
        <f t="shared" ca="1" si="15"/>
        <v>1.7327921085941167</v>
      </c>
      <c r="X58" s="633">
        <f t="shared" ca="1" si="15"/>
        <v>3.1969111969111896</v>
      </c>
      <c r="Y58" s="634">
        <f t="shared" ca="1" si="15"/>
        <v>0.65537750501951653</v>
      </c>
      <c r="Z58" s="634" t="str">
        <f t="shared" ca="1" si="15"/>
        <v>N</v>
      </c>
      <c r="AA58" s="635" t="str">
        <f t="shared" si="15"/>
        <v/>
      </c>
      <c r="AB58" s="580"/>
      <c r="AC58" s="632">
        <f t="shared" ca="1" si="16"/>
        <v>4.8159430238544632</v>
      </c>
      <c r="AD58" s="633">
        <f t="shared" ca="1" si="16"/>
        <v>1.1872692806544904</v>
      </c>
      <c r="AE58" s="634">
        <f t="shared" ca="1" si="16"/>
        <v>7.553631915694381</v>
      </c>
      <c r="AF58" s="634" t="str">
        <f t="shared" ca="1" si="16"/>
        <v>N</v>
      </c>
      <c r="AG58" s="635" t="str">
        <f t="shared" si="16"/>
        <v/>
      </c>
      <c r="AH58" s="580"/>
      <c r="AI58" s="632">
        <f t="shared" ca="1" si="17"/>
        <v>-0.3970446777593617</v>
      </c>
      <c r="AJ58" s="633">
        <f t="shared" ca="1" si="17"/>
        <v>0.80851902977716605</v>
      </c>
      <c r="AK58" s="634">
        <f t="shared" ca="1" si="17"/>
        <v>-1.2527557126360223</v>
      </c>
      <c r="AL58" s="634" t="str">
        <f t="shared" ca="1" si="17"/>
        <v>N</v>
      </c>
      <c r="AM58" s="635" t="str">
        <f t="shared" si="17"/>
        <v/>
      </c>
      <c r="AN58" s="580"/>
      <c r="AO58" s="632">
        <f t="shared" ca="1" si="18"/>
        <v>3.567098855487294</v>
      </c>
      <c r="AP58" s="633">
        <f t="shared" ca="1" si="18"/>
        <v>5.2034428794992094</v>
      </c>
      <c r="AQ58" s="634">
        <f t="shared" ca="1" si="18"/>
        <v>2.3813742513908887</v>
      </c>
      <c r="AR58" s="634" t="str">
        <f t="shared" ca="1" si="18"/>
        <v>N</v>
      </c>
      <c r="AS58" s="635" t="str">
        <f t="shared" si="18"/>
        <v/>
      </c>
      <c r="AT58" s="580"/>
      <c r="AU58" s="632">
        <f t="shared" ca="1" si="19"/>
        <v>0.9523242664127185</v>
      </c>
      <c r="AV58" s="633">
        <f t="shared" ca="1" si="19"/>
        <v>11.500557828188928</v>
      </c>
      <c r="AW58" s="634">
        <f t="shared" ca="1" si="19"/>
        <v>-6.9018033297566834</v>
      </c>
      <c r="AX58" s="634" t="str">
        <f t="shared" ca="1" si="19"/>
        <v>N</v>
      </c>
      <c r="AY58" s="635" t="str">
        <f t="shared" si="19"/>
        <v/>
      </c>
      <c r="AZ58" s="580"/>
      <c r="BA58" s="632">
        <f t="shared" ca="1" si="20"/>
        <v>7.0101998702906565</v>
      </c>
      <c r="BB58" s="633">
        <f t="shared" ca="1" si="20"/>
        <v>6.5371466688901814</v>
      </c>
      <c r="BC58" s="634">
        <f t="shared" ca="1" si="20"/>
        <v>7.4320556195858201</v>
      </c>
      <c r="BD58" s="634" t="str">
        <f t="shared" ca="1" si="20"/>
        <v>N</v>
      </c>
      <c r="BE58" s="635" t="str">
        <f t="shared" si="20"/>
        <v/>
      </c>
      <c r="BF58" s="580"/>
      <c r="BG58" s="632">
        <f t="shared" ca="1" si="21"/>
        <v>2.5803489439852889</v>
      </c>
      <c r="BH58" s="633">
        <f t="shared" ca="1" si="22"/>
        <v>2.0427330359239049</v>
      </c>
      <c r="BI58" s="634">
        <f t="shared" ca="1" si="23"/>
        <v>3.0557862679955861</v>
      </c>
      <c r="BJ58" s="634" t="str">
        <f t="shared" ca="1" si="24"/>
        <v>N</v>
      </c>
      <c r="BK58" s="635" t="str">
        <f t="shared" si="25"/>
        <v/>
      </c>
      <c r="BL58" s="580"/>
      <c r="BM58" s="632">
        <f t="shared" ca="1" si="26"/>
        <v>-0.55321815414911546</v>
      </c>
      <c r="BN58" s="633">
        <f t="shared" ca="1" si="26"/>
        <v>1.3614051234852154</v>
      </c>
      <c r="BO58" s="634">
        <f t="shared" ca="1" si="26"/>
        <v>-2.2297592263004096</v>
      </c>
      <c r="BP58" s="634" t="str">
        <f t="shared" ca="1" si="26"/>
        <v>N</v>
      </c>
      <c r="BQ58" s="635" t="str">
        <f t="shared" si="26"/>
        <v/>
      </c>
      <c r="BR58" s="580"/>
      <c r="BS58" s="632">
        <f t="shared" ca="1" si="27"/>
        <v>5.6709754077701291</v>
      </c>
      <c r="BT58" s="633">
        <f t="shared" ca="1" si="27"/>
        <v>2.830010215277512</v>
      </c>
      <c r="BU58" s="634">
        <f t="shared" ca="1" si="27"/>
        <v>8.2500429331959335</v>
      </c>
      <c r="BV58" s="634" t="str">
        <f t="shared" ca="1" si="27"/>
        <v>N</v>
      </c>
      <c r="BW58" s="635" t="str">
        <f t="shared" si="27"/>
        <v/>
      </c>
      <c r="BX58" s="580"/>
      <c r="BY58" s="632">
        <f t="shared" ca="1" si="28"/>
        <v>1.4617691154422685</v>
      </c>
      <c r="BZ58" s="633">
        <f t="shared" ca="1" si="28"/>
        <v>3.6204422532101876</v>
      </c>
      <c r="CA58" s="634">
        <f t="shared" ca="1" si="28"/>
        <v>-0.39978424342418384</v>
      </c>
      <c r="CB58" s="634" t="str">
        <f t="shared" ca="1" si="28"/>
        <v>N</v>
      </c>
      <c r="CC58" s="635" t="str">
        <f t="shared" si="28"/>
        <v/>
      </c>
      <c r="CD58" s="580"/>
      <c r="CE58" s="632">
        <f t="shared" ca="1" si="29"/>
        <v>8.4007791248278849</v>
      </c>
      <c r="CF58" s="633">
        <f t="shared" ca="1" si="30"/>
        <v>3.533004296417297</v>
      </c>
      <c r="CG58" s="634">
        <f t="shared" ca="1" si="31"/>
        <v>12.767990825395813</v>
      </c>
      <c r="CH58" s="634" t="str">
        <f t="shared" ca="1" si="32"/>
        <v>N</v>
      </c>
      <c r="CI58" s="635" t="str">
        <f t="shared" si="33"/>
        <v/>
      </c>
      <c r="CJ58" s="580"/>
      <c r="CK58" s="632">
        <f t="shared" ca="1" si="34"/>
        <v>2.8997630001394104</v>
      </c>
      <c r="CL58" s="633">
        <f t="shared" ca="1" si="35"/>
        <v>3.8137046436655275</v>
      </c>
      <c r="CM58" s="634">
        <f t="shared" ca="1" si="36"/>
        <v>2.1469533037656419</v>
      </c>
      <c r="CN58" s="634" t="str">
        <f t="shared" ca="1" si="37"/>
        <v>N</v>
      </c>
      <c r="CO58" s="635" t="str">
        <f t="shared" si="38"/>
        <v/>
      </c>
      <c r="CP58" s="580"/>
      <c r="CQ58" s="632">
        <f t="shared" ca="1" si="39"/>
        <v>5.6105014376251372</v>
      </c>
      <c r="CR58" s="633">
        <f t="shared" ca="1" si="40"/>
        <v>4.701024116286745</v>
      </c>
      <c r="CS58" s="634">
        <f t="shared" ca="1" si="41"/>
        <v>6.3718576288061213</v>
      </c>
      <c r="CT58" s="634" t="str">
        <f t="shared" ca="1" si="42"/>
        <v>N</v>
      </c>
      <c r="CU58" s="635" t="str">
        <f t="shared" si="43"/>
        <v/>
      </c>
      <c r="CV58" s="580"/>
      <c r="CW58" s="632">
        <f t="shared" ca="1" si="44"/>
        <v>7.6458178915559394</v>
      </c>
      <c r="CX58" s="633">
        <f t="shared" ca="1" si="45"/>
        <v>5.4428422680087074</v>
      </c>
      <c r="CY58" s="634">
        <f t="shared" ca="1" si="46"/>
        <v>9.4610404804617243</v>
      </c>
      <c r="CZ58" s="634" t="str">
        <f t="shared" ca="1" si="47"/>
        <v>N</v>
      </c>
      <c r="DA58" s="635" t="str">
        <f t="shared" si="48"/>
        <v/>
      </c>
      <c r="DB58" s="580"/>
      <c r="DC58" s="632">
        <f t="shared" ca="1" si="49"/>
        <v>18.734110169491515</v>
      </c>
      <c r="DD58" s="633">
        <f t="shared" ca="1" si="50"/>
        <v>-0.1376503680651231</v>
      </c>
      <c r="DE58" s="634">
        <f t="shared" ca="1" si="51"/>
        <v>33.713362785615899</v>
      </c>
      <c r="DF58" s="634" t="str">
        <f t="shared" ca="1" si="52"/>
        <v>N</v>
      </c>
      <c r="DG58" s="635" t="str">
        <f t="shared" si="53"/>
        <v/>
      </c>
      <c r="DH58" s="580"/>
      <c r="DI58" s="632">
        <f t="shared" ca="1" si="54"/>
        <v>-0.86318419056964357</v>
      </c>
      <c r="DJ58" s="633">
        <f t="shared" ca="1" si="55"/>
        <v>6.2507491310080487</v>
      </c>
      <c r="DK58" s="634">
        <f t="shared" ca="1" si="56"/>
        <v>-5.0802898962626024</v>
      </c>
      <c r="DL58" s="634" t="str">
        <f t="shared" ca="1" si="57"/>
        <v>N</v>
      </c>
      <c r="DM58" s="635" t="str">
        <f t="shared" si="58"/>
        <v/>
      </c>
      <c r="DN58" s="580"/>
      <c r="DO58" s="632">
        <f t="shared" ca="1" si="59"/>
        <v>3.1576934326276174</v>
      </c>
      <c r="DP58" s="633">
        <f t="shared" ca="1" si="60"/>
        <v>2.529753511196331</v>
      </c>
      <c r="DQ58" s="634">
        <f t="shared" ca="1" si="61"/>
        <v>3.5743693390223763</v>
      </c>
      <c r="DR58" s="634" t="str">
        <f t="shared" ca="1" si="62"/>
        <v>N</v>
      </c>
      <c r="DS58" s="635" t="str">
        <f t="shared" si="63"/>
        <v/>
      </c>
      <c r="DT58" s="580"/>
      <c r="DU58" s="632">
        <f t="shared" ca="1" si="64"/>
        <v>1.7687920524312783</v>
      </c>
      <c r="DV58" s="633">
        <f t="shared" ca="1" si="65"/>
        <v>1.4578462384816415</v>
      </c>
      <c r="DW58" s="634">
        <f t="shared" ca="1" si="66"/>
        <v>1.9730423156145038</v>
      </c>
      <c r="DX58" s="634" t="str">
        <f t="shared" ca="1" si="67"/>
        <v>N</v>
      </c>
      <c r="DY58" s="635" t="str">
        <f t="shared" si="68"/>
        <v/>
      </c>
      <c r="DZ58" s="580"/>
      <c r="EA58" s="632">
        <f t="shared" ca="1" si="69"/>
        <v>3.6679060896027682</v>
      </c>
      <c r="EB58" s="633">
        <f t="shared" ca="1" si="70"/>
        <v>3.3374000271112925</v>
      </c>
      <c r="EC58" s="634">
        <f t="shared" ca="1" si="71"/>
        <v>3.8839080052446961</v>
      </c>
      <c r="ED58" s="634" t="str">
        <f t="shared" ca="1" si="72"/>
        <v>N</v>
      </c>
      <c r="EE58" s="635" t="str">
        <f t="shared" si="73"/>
        <v/>
      </c>
      <c r="EF58" s="580"/>
      <c r="EG58" s="632">
        <f t="shared" ca="1" si="74"/>
        <v>-0.48113686647536236</v>
      </c>
      <c r="EH58" s="633">
        <f t="shared" ca="1" si="75"/>
        <v>0.25398782663448305</v>
      </c>
      <c r="EI58" s="634">
        <f t="shared" ca="1" si="76"/>
        <v>-0.95904941640841956</v>
      </c>
      <c r="EJ58" s="634" t="str">
        <f t="shared" ca="1" si="77"/>
        <v>N</v>
      </c>
      <c r="EK58" s="635" t="str">
        <f t="shared" si="78"/>
        <v/>
      </c>
      <c r="EL58" s="580"/>
      <c r="EM58" s="632">
        <f t="shared" ca="1" si="79"/>
        <v>2.444517203470542</v>
      </c>
      <c r="EN58" s="633">
        <f t="shared" ca="1" si="80"/>
        <v>3.1199999999999894</v>
      </c>
      <c r="EO58" s="634">
        <f t="shared" ca="1" si="81"/>
        <v>2.0000000000000018</v>
      </c>
      <c r="EP58" s="634" t="str">
        <f t="shared" ca="1" si="82"/>
        <v>N</v>
      </c>
      <c r="EQ58" s="635" t="str">
        <f t="shared" si="83"/>
        <v/>
      </c>
      <c r="ER58" s="580"/>
    </row>
    <row r="59" spans="1:148">
      <c r="B59" s="568" t="s">
        <v>622</v>
      </c>
      <c r="C59" s="4136" t="s">
        <v>828</v>
      </c>
      <c r="D59" s="4136"/>
      <c r="E59" s="636"/>
      <c r="F59" s="633"/>
      <c r="G59" s="633"/>
      <c r="H59" s="633"/>
      <c r="I59" s="635"/>
      <c r="J59" s="580"/>
      <c r="K59" s="636">
        <f t="shared" ca="1" si="13"/>
        <v>23.199143821519751</v>
      </c>
      <c r="L59" s="633">
        <f t="shared" ca="1" si="13"/>
        <v>36.487285629804859</v>
      </c>
      <c r="M59" s="633">
        <f t="shared" ca="1" si="13"/>
        <v>13.883112861124648</v>
      </c>
      <c r="N59" s="633" t="str">
        <f t="shared" ca="1" si="13"/>
        <v>N</v>
      </c>
      <c r="O59" s="635" t="str">
        <f t="shared" si="13"/>
        <v/>
      </c>
      <c r="P59" s="580"/>
      <c r="Q59" s="636">
        <f t="shared" ca="1" si="14"/>
        <v>-8.439692616104244</v>
      </c>
      <c r="R59" s="633">
        <f t="shared" ca="1" si="14"/>
        <v>-8.3188908145580669</v>
      </c>
      <c r="S59" s="633">
        <f t="shared" ca="1" si="14"/>
        <v>-9.1721378345829603</v>
      </c>
      <c r="T59" s="633">
        <f t="shared" ca="1" si="14"/>
        <v>1.4354066985646119</v>
      </c>
      <c r="U59" s="635" t="str">
        <f t="shared" si="14"/>
        <v/>
      </c>
      <c r="V59" s="580"/>
      <c r="W59" s="636">
        <f t="shared" ca="1" si="15"/>
        <v>6.1815793314844658</v>
      </c>
      <c r="X59" s="633">
        <f t="shared" ca="1" si="15"/>
        <v>-9.5935727788279745</v>
      </c>
      <c r="Y59" s="633">
        <f t="shared" ca="1" si="15"/>
        <v>7.0915312232677552</v>
      </c>
      <c r="Z59" s="633">
        <f t="shared" ca="1" si="15"/>
        <v>12.52620545073373</v>
      </c>
      <c r="AA59" s="635" t="str">
        <f t="shared" si="15"/>
        <v/>
      </c>
      <c r="AB59" s="580"/>
      <c r="AC59" s="636">
        <f t="shared" ca="1" si="16"/>
        <v>5.2993332875111543</v>
      </c>
      <c r="AD59" s="633">
        <f t="shared" ca="1" si="16"/>
        <v>-12.598013591217983</v>
      </c>
      <c r="AE59" s="633">
        <f t="shared" ca="1" si="16"/>
        <v>6.8455946960619851</v>
      </c>
      <c r="AF59" s="633">
        <f t="shared" ca="1" si="16"/>
        <v>3.2137866790870939</v>
      </c>
      <c r="AG59" s="635" t="str">
        <f t="shared" si="16"/>
        <v/>
      </c>
      <c r="AH59" s="580"/>
      <c r="AI59" s="636">
        <f t="shared" ca="1" si="17"/>
        <v>0.20234986945171229</v>
      </c>
      <c r="AJ59" s="633">
        <f t="shared" ca="1" si="17"/>
        <v>-11.244019138755966</v>
      </c>
      <c r="AK59" s="633">
        <f t="shared" ca="1" si="17"/>
        <v>0.79620215311004827</v>
      </c>
      <c r="AL59" s="633">
        <f t="shared" ca="1" si="17"/>
        <v>1.6696750902527091</v>
      </c>
      <c r="AM59" s="635" t="str">
        <f t="shared" si="17"/>
        <v/>
      </c>
      <c r="AN59" s="580"/>
      <c r="AO59" s="636">
        <f t="shared" ca="1" si="18"/>
        <v>3.2994593186111754</v>
      </c>
      <c r="AP59" s="633">
        <f t="shared" ca="1" si="18"/>
        <v>-18.935309973045833</v>
      </c>
      <c r="AQ59" s="633">
        <f t="shared" ca="1" si="18"/>
        <v>4.6875579454848992</v>
      </c>
      <c r="AR59" s="633">
        <f t="shared" ca="1" si="18"/>
        <v>1.3315579227696439</v>
      </c>
      <c r="AS59" s="635" t="str">
        <f t="shared" si="18"/>
        <v/>
      </c>
      <c r="AT59" s="580"/>
      <c r="AU59" s="636">
        <f t="shared" ca="1" si="19"/>
        <v>4.2692732145672263</v>
      </c>
      <c r="AV59" s="633">
        <f t="shared" ca="1" si="19"/>
        <v>3.8237738985868797</v>
      </c>
      <c r="AW59" s="633">
        <f t="shared" ca="1" si="19"/>
        <v>3.8896170604697078</v>
      </c>
      <c r="AX59" s="633">
        <f t="shared" ca="1" si="19"/>
        <v>9.1984231274638617</v>
      </c>
      <c r="AY59" s="635" t="str">
        <f t="shared" si="19"/>
        <v/>
      </c>
      <c r="AZ59" s="580"/>
      <c r="BA59" s="636">
        <f t="shared" ca="1" si="20"/>
        <v>6.5983247149898894</v>
      </c>
      <c r="BB59" s="633">
        <f t="shared" ca="1" si="20"/>
        <v>18.334667734187349</v>
      </c>
      <c r="BC59" s="633">
        <f t="shared" ca="1" si="20"/>
        <v>5.9228697105057071</v>
      </c>
      <c r="BD59" s="633">
        <f t="shared" ca="1" si="20"/>
        <v>8.6642599277978238</v>
      </c>
      <c r="BE59" s="635" t="str">
        <f t="shared" si="20"/>
        <v/>
      </c>
      <c r="BF59" s="580"/>
      <c r="BG59" s="636">
        <f t="shared" ca="1" si="21"/>
        <v>12.093273949675165</v>
      </c>
      <c r="BH59" s="633">
        <f t="shared" ca="1" si="22"/>
        <v>11.772665764546675</v>
      </c>
      <c r="BI59" s="633">
        <f t="shared" ca="1" si="23"/>
        <v>11.856167911408688</v>
      </c>
      <c r="BJ59" s="633">
        <f t="shared" ca="1" si="24"/>
        <v>14.987080103359185</v>
      </c>
      <c r="BK59" s="635" t="str">
        <f t="shared" si="25"/>
        <v/>
      </c>
      <c r="BL59" s="580"/>
      <c r="BM59" s="636">
        <f t="shared" ca="1" si="26"/>
        <v>25.059472591992726</v>
      </c>
      <c r="BN59" s="633">
        <f t="shared" ca="1" si="26"/>
        <v>129.4794188861986</v>
      </c>
      <c r="BO59" s="633">
        <f t="shared" ca="1" si="26"/>
        <v>20.298155236423288</v>
      </c>
      <c r="BP59" s="633">
        <f t="shared" ca="1" si="26"/>
        <v>22.79293739967898</v>
      </c>
      <c r="BQ59" s="635" t="str">
        <f t="shared" si="26"/>
        <v/>
      </c>
      <c r="BR59" s="580"/>
      <c r="BS59" s="636">
        <f t="shared" ca="1" si="27"/>
        <v>28.646592196859299</v>
      </c>
      <c r="BT59" s="633">
        <f t="shared" ca="1" si="27"/>
        <v>29.596412556053806</v>
      </c>
      <c r="BU59" s="633">
        <f t="shared" ca="1" si="27"/>
        <v>30.990430622009569</v>
      </c>
      <c r="BV59" s="633">
        <f t="shared" ca="1" si="27"/>
        <v>2.0915032679738488</v>
      </c>
      <c r="BW59" s="635" t="str">
        <f t="shared" si="27"/>
        <v/>
      </c>
      <c r="BX59" s="580"/>
      <c r="BY59" s="636">
        <f t="shared" ca="1" si="28"/>
        <v>17.29377713458755</v>
      </c>
      <c r="BZ59" s="633">
        <f t="shared" ca="1" si="28"/>
        <v>8.711581518420509</v>
      </c>
      <c r="CA59" s="633">
        <f t="shared" ca="1" si="28"/>
        <v>18.491799685867694</v>
      </c>
      <c r="CB59" s="633">
        <f t="shared" ca="1" si="28"/>
        <v>11.293213828425097</v>
      </c>
      <c r="CC59" s="635" t="str">
        <f t="shared" si="28"/>
        <v/>
      </c>
      <c r="CD59" s="580"/>
      <c r="CE59" s="636">
        <f t="shared" ca="1" si="29"/>
        <v>15.414532092374532</v>
      </c>
      <c r="CF59" s="633">
        <f t="shared" ca="1" si="30"/>
        <v>11.739374648942146</v>
      </c>
      <c r="CG59" s="633">
        <f t="shared" ca="1" si="31"/>
        <v>16.154687957582571</v>
      </c>
      <c r="CH59" s="633">
        <f t="shared" ca="1" si="32"/>
        <v>8.881730326737225</v>
      </c>
      <c r="CI59" s="635" t="str">
        <f t="shared" si="33"/>
        <v/>
      </c>
      <c r="CJ59" s="580"/>
      <c r="CK59" s="636">
        <f t="shared" ca="1" si="34"/>
        <v>9.452707413432492</v>
      </c>
      <c r="CL59" s="633">
        <f t="shared" ca="1" si="35"/>
        <v>4.3565683646112463</v>
      </c>
      <c r="CM59" s="633">
        <f t="shared" ca="1" si="36"/>
        <v>9.493099787685777</v>
      </c>
      <c r="CN59" s="633">
        <f t="shared" ca="1" si="37"/>
        <v>15.236686390532551</v>
      </c>
      <c r="CO59" s="635" t="str">
        <f t="shared" si="38"/>
        <v/>
      </c>
      <c r="CP59" s="580"/>
      <c r="CQ59" s="636">
        <f t="shared" ca="1" si="39"/>
        <v>13.794787409098141</v>
      </c>
      <c r="CR59" s="633">
        <f t="shared" ca="1" si="40"/>
        <v>5.218368657675021</v>
      </c>
      <c r="CS59" s="633">
        <f t="shared" ca="1" si="41"/>
        <v>15.051991177254752</v>
      </c>
      <c r="CT59" s="633">
        <f t="shared" ca="1" si="42"/>
        <v>4.5662937832385841</v>
      </c>
      <c r="CU59" s="635" t="str">
        <f t="shared" si="43"/>
        <v/>
      </c>
      <c r="CV59" s="580"/>
      <c r="CW59" s="636">
        <f t="shared" ca="1" si="44"/>
        <v>7.1658472417878816</v>
      </c>
      <c r="CX59" s="633">
        <f t="shared" ca="1" si="45"/>
        <v>1.495498245078597</v>
      </c>
      <c r="CY59" s="633">
        <f t="shared" ca="1" si="46"/>
        <v>7.8064760781174414</v>
      </c>
      <c r="CZ59" s="633">
        <f t="shared" ca="1" si="47"/>
        <v>3.0164854437039423</v>
      </c>
      <c r="DA59" s="635" t="str">
        <f t="shared" si="48"/>
        <v/>
      </c>
      <c r="DB59" s="580"/>
      <c r="DC59" s="636">
        <f t="shared" ca="1" si="49"/>
        <v>2.5097936798119225</v>
      </c>
      <c r="DD59" s="633">
        <f t="shared" ca="1" si="50"/>
        <v>-0.51120132310930044</v>
      </c>
      <c r="DE59" s="633">
        <f t="shared" ca="1" si="51"/>
        <v>2.55312912208705</v>
      </c>
      <c r="DF59" s="633">
        <f t="shared" ca="1" si="52"/>
        <v>5.1753489955737031</v>
      </c>
      <c r="DG59" s="635" t="str">
        <f t="shared" si="53"/>
        <v/>
      </c>
      <c r="DH59" s="580"/>
      <c r="DI59" s="636">
        <f t="shared" ca="1" si="54"/>
        <v>3.3604239382436285</v>
      </c>
      <c r="DJ59" s="633">
        <f t="shared" ca="1" si="55"/>
        <v>7.6469699259482882</v>
      </c>
      <c r="DK59" s="633">
        <f t="shared" ca="1" si="56"/>
        <v>3.1288705958574026</v>
      </c>
      <c r="DL59" s="633">
        <f t="shared" ca="1" si="57"/>
        <v>2.7031401748138562</v>
      </c>
      <c r="DM59" s="635" t="str">
        <f t="shared" si="58"/>
        <v/>
      </c>
      <c r="DN59" s="580"/>
      <c r="DO59" s="636">
        <f t="shared" ca="1" si="59"/>
        <v>2.6431681866732504</v>
      </c>
      <c r="DP59" s="633">
        <f t="shared" ca="1" si="60"/>
        <v>-3.130703355327813</v>
      </c>
      <c r="DQ59" s="633">
        <f t="shared" ca="1" si="61"/>
        <v>3.2196374789822846</v>
      </c>
      <c r="DR59" s="633">
        <f t="shared" ca="1" si="62"/>
        <v>-0.70921985815601829</v>
      </c>
      <c r="DS59" s="635" t="str">
        <f t="shared" si="63"/>
        <v/>
      </c>
      <c r="DT59" s="580"/>
      <c r="DU59" s="636">
        <f t="shared" ca="1" si="64"/>
        <v>0.97977218695719515</v>
      </c>
      <c r="DV59" s="633">
        <f t="shared" ca="1" si="65"/>
        <v>8.5507246376811619</v>
      </c>
      <c r="DW59" s="633">
        <f t="shared" ca="1" si="66"/>
        <v>1.2933310659017039</v>
      </c>
      <c r="DX59" s="633">
        <f t="shared" ca="1" si="67"/>
        <v>-12.873015873015881</v>
      </c>
      <c r="DY59" s="635" t="str">
        <f t="shared" si="68"/>
        <v/>
      </c>
      <c r="DZ59" s="580"/>
      <c r="EA59" s="636">
        <f t="shared" ca="1" si="69"/>
        <v>-1.3618599931827791</v>
      </c>
      <c r="EB59" s="633">
        <f t="shared" ca="1" si="70"/>
        <v>-13.004005340453928</v>
      </c>
      <c r="EC59" s="633">
        <f t="shared" ca="1" si="71"/>
        <v>-0.45859399851554405</v>
      </c>
      <c r="ED59" s="633">
        <f t="shared" ca="1" si="72"/>
        <v>-4.0991073055201221</v>
      </c>
      <c r="EE59" s="635" t="str">
        <f t="shared" si="73"/>
        <v/>
      </c>
      <c r="EF59" s="580"/>
      <c r="EG59" s="636">
        <f t="shared" ca="1" si="74"/>
        <v>3.0246682150233406</v>
      </c>
      <c r="EH59" s="633">
        <f t="shared" ca="1" si="75"/>
        <v>2.0000000000000018</v>
      </c>
      <c r="EI59" s="633">
        <f t="shared" ca="1" si="76"/>
        <v>3.180000000000005</v>
      </c>
      <c r="EJ59" s="633">
        <f t="shared" ca="1" si="77"/>
        <v>0.96884498480243053</v>
      </c>
      <c r="EK59" s="635" t="str">
        <f t="shared" si="78"/>
        <v/>
      </c>
      <c r="EL59" s="580"/>
      <c r="EM59" s="636">
        <f t="shared" ca="1" si="79"/>
        <v>0.37435201952575881</v>
      </c>
      <c r="EN59" s="633">
        <f t="shared" ca="1" si="80"/>
        <v>3.0000000000000027</v>
      </c>
      <c r="EO59" s="633">
        <f t="shared" ca="1" si="81"/>
        <v>-6.0000000000004494E-2</v>
      </c>
      <c r="EP59" s="633">
        <f t="shared" ca="1" si="82"/>
        <v>6.590000000000007</v>
      </c>
      <c r="EQ59" s="635" t="str">
        <f t="shared" si="83"/>
        <v/>
      </c>
      <c r="ER59" s="580"/>
    </row>
    <row r="60" spans="1:148">
      <c r="B60" s="568" t="s">
        <v>2133</v>
      </c>
      <c r="C60" s="4136" t="s">
        <v>829</v>
      </c>
      <c r="D60" s="4135"/>
      <c r="E60" s="636"/>
      <c r="F60" s="635"/>
      <c r="G60" s="633"/>
      <c r="H60" s="633"/>
      <c r="I60" s="633"/>
      <c r="J60" s="580"/>
      <c r="K60" s="636">
        <f t="shared" ca="1" si="13"/>
        <v>2.2463577156194736</v>
      </c>
      <c r="L60" s="635">
        <f t="shared" ca="1" si="13"/>
        <v>0.93547909364666282</v>
      </c>
      <c r="M60" s="633">
        <f t="shared" ca="1" si="13"/>
        <v>2.0109042532739707</v>
      </c>
      <c r="N60" s="633">
        <f t="shared" ca="1" si="13"/>
        <v>3.2259265387160951</v>
      </c>
      <c r="O60" s="633">
        <f t="shared" ca="1" si="13"/>
        <v>4.3593071655552151</v>
      </c>
      <c r="P60" s="580"/>
      <c r="Q60" s="636">
        <f t="shared" ca="1" si="14"/>
        <v>3.8883897833922987</v>
      </c>
      <c r="R60" s="635">
        <f t="shared" ca="1" si="14"/>
        <v>-0.4010466338982388</v>
      </c>
      <c r="S60" s="633">
        <f t="shared" ca="1" si="14"/>
        <v>4.2722027901740622</v>
      </c>
      <c r="T60" s="633">
        <f t="shared" ca="1" si="14"/>
        <v>3.3671396343149418</v>
      </c>
      <c r="U60" s="633">
        <f t="shared" ca="1" si="14"/>
        <v>-0.33451987820043438</v>
      </c>
      <c r="V60" s="580"/>
      <c r="W60" s="636">
        <f t="shared" ca="1" si="15"/>
        <v>3.5553692925322844</v>
      </c>
      <c r="X60" s="635">
        <f t="shared" ca="1" si="15"/>
        <v>-1.1490584104692059</v>
      </c>
      <c r="Y60" s="633">
        <f t="shared" ca="1" si="15"/>
        <v>3.9578764729980564</v>
      </c>
      <c r="Z60" s="633">
        <f t="shared" ca="1" si="15"/>
        <v>3.0031555035237689</v>
      </c>
      <c r="AA60" s="633">
        <f t="shared" ca="1" si="15"/>
        <v>8.0898489607986512</v>
      </c>
      <c r="AB60" s="580"/>
      <c r="AC60" s="636">
        <f t="shared" ca="1" si="16"/>
        <v>5.2088627414742961</v>
      </c>
      <c r="AD60" s="635">
        <f t="shared" ca="1" si="16"/>
        <v>3.3903777849531913</v>
      </c>
      <c r="AE60" s="633">
        <f t="shared" ca="1" si="16"/>
        <v>5.5048285326175117</v>
      </c>
      <c r="AF60" s="633">
        <f t="shared" ca="1" si="16"/>
        <v>4.5233695508996696</v>
      </c>
      <c r="AG60" s="633">
        <f t="shared" ca="1" si="16"/>
        <v>8.3880727735976777</v>
      </c>
      <c r="AH60" s="580"/>
      <c r="AI60" s="636">
        <f t="shared" ca="1" si="17"/>
        <v>4.5197891735528462</v>
      </c>
      <c r="AJ60" s="635">
        <f t="shared" ca="1" si="17"/>
        <v>0.67025416806802962</v>
      </c>
      <c r="AK60" s="633">
        <f t="shared" ca="1" si="17"/>
        <v>4.971970255404079</v>
      </c>
      <c r="AL60" s="633">
        <f t="shared" ca="1" si="17"/>
        <v>3.6146877520451648</v>
      </c>
      <c r="AM60" s="633">
        <f t="shared" ca="1" si="17"/>
        <v>5.8951002717990253</v>
      </c>
      <c r="AN60" s="580"/>
      <c r="AO60" s="636">
        <f t="shared" ca="1" si="18"/>
        <v>5.5574402395243139</v>
      </c>
      <c r="AP60" s="635">
        <f t="shared" ca="1" si="18"/>
        <v>2.5056675814341789</v>
      </c>
      <c r="AQ60" s="633">
        <f t="shared" ca="1" si="18"/>
        <v>6.0217133312821414</v>
      </c>
      <c r="AR60" s="633">
        <f t="shared" ca="1" si="18"/>
        <v>4.4602056524896794</v>
      </c>
      <c r="AS60" s="633">
        <f t="shared" ca="1" si="18"/>
        <v>9.2365856196455098</v>
      </c>
      <c r="AT60" s="580"/>
      <c r="AU60" s="636">
        <f t="shared" ca="1" si="19"/>
        <v>3.8688258261777575</v>
      </c>
      <c r="AV60" s="635">
        <f t="shared" ca="1" si="19"/>
        <v>4.8865091374694414</v>
      </c>
      <c r="AW60" s="633">
        <f t="shared" ca="1" si="19"/>
        <v>2.7873360695383154</v>
      </c>
      <c r="AX60" s="633">
        <f t="shared" ca="1" si="19"/>
        <v>7.3682144496709956</v>
      </c>
      <c r="AY60" s="633">
        <f t="shared" ca="1" si="19"/>
        <v>9.6399314155076965</v>
      </c>
      <c r="AZ60" s="580"/>
      <c r="BA60" s="636">
        <f t="shared" ca="1" si="20"/>
        <v>1.8840769981371297</v>
      </c>
      <c r="BB60" s="635">
        <f t="shared" ca="1" si="20"/>
        <v>2.1707284591823139</v>
      </c>
      <c r="BC60" s="633">
        <f t="shared" ca="1" si="20"/>
        <v>1.1792724618753025</v>
      </c>
      <c r="BD60" s="633">
        <f t="shared" ca="1" si="20"/>
        <v>4.1180352655762364</v>
      </c>
      <c r="BE60" s="633">
        <f t="shared" ca="1" si="20"/>
        <v>8.6591369823342479</v>
      </c>
      <c r="BF60" s="580"/>
      <c r="BG60" s="636">
        <f t="shared" ca="1" si="21"/>
        <v>2.9021908873462898</v>
      </c>
      <c r="BH60" s="635">
        <f t="shared" ca="1" si="22"/>
        <v>3.0956725755995951</v>
      </c>
      <c r="BI60" s="633">
        <f t="shared" ca="1" si="23"/>
        <v>2.8627562642369098</v>
      </c>
      <c r="BJ60" s="633">
        <f t="shared" ca="1" si="24"/>
        <v>2.9993274650192525</v>
      </c>
      <c r="BK60" s="633">
        <f t="shared" ca="1" si="25"/>
        <v>8.7873134328358091</v>
      </c>
      <c r="BL60" s="580"/>
      <c r="BM60" s="636">
        <f t="shared" ca="1" si="26"/>
        <v>3.4654175748304317</v>
      </c>
      <c r="BN60" s="635">
        <f t="shared" ca="1" si="26"/>
        <v>0.43829150599488109</v>
      </c>
      <c r="BO60" s="633">
        <f t="shared" ca="1" si="26"/>
        <v>3.038674542934694</v>
      </c>
      <c r="BP60" s="633">
        <f t="shared" ca="1" si="26"/>
        <v>5.2166727820617709</v>
      </c>
      <c r="BQ60" s="633">
        <f t="shared" ca="1" si="26"/>
        <v>3.9125854423401885</v>
      </c>
      <c r="BR60" s="580"/>
      <c r="BS60" s="636">
        <f t="shared" ca="1" si="27"/>
        <v>4.8323363008787812</v>
      </c>
      <c r="BT60" s="635">
        <f t="shared" ca="1" si="27"/>
        <v>0.82660232875275685</v>
      </c>
      <c r="BU60" s="633">
        <f t="shared" ca="1" si="27"/>
        <v>5.1517246443520071</v>
      </c>
      <c r="BV60" s="633">
        <f t="shared" ca="1" si="27"/>
        <v>4.3772670981418571</v>
      </c>
      <c r="BW60" s="633">
        <f t="shared" ca="1" si="27"/>
        <v>5.8966379025793492</v>
      </c>
      <c r="BX60" s="580"/>
      <c r="BY60" s="636">
        <f t="shared" ca="1" si="28"/>
        <v>5.4013979031452886</v>
      </c>
      <c r="BZ60" s="635">
        <f t="shared" ca="1" si="28"/>
        <v>1.7228822905179131</v>
      </c>
      <c r="CA60" s="633">
        <f t="shared" ca="1" si="28"/>
        <v>5.9209366534295427</v>
      </c>
      <c r="CB60" s="633">
        <f t="shared" ca="1" si="28"/>
        <v>4.2615714067736787</v>
      </c>
      <c r="CC60" s="633">
        <f t="shared" ca="1" si="28"/>
        <v>3.9051541801179868</v>
      </c>
      <c r="CD60" s="580"/>
      <c r="CE60" s="636">
        <f t="shared" ca="1" si="29"/>
        <v>5.6046589837958738</v>
      </c>
      <c r="CF60" s="635">
        <f t="shared" ca="1" si="30"/>
        <v>3.4324053429336976</v>
      </c>
      <c r="CG60" s="633">
        <f t="shared" ca="1" si="31"/>
        <v>5.654923666208922</v>
      </c>
      <c r="CH60" s="633">
        <f t="shared" ca="1" si="32"/>
        <v>5.7148696624167217</v>
      </c>
      <c r="CI60" s="633">
        <f t="shared" ca="1" si="33"/>
        <v>1.542780003856925</v>
      </c>
      <c r="CJ60" s="580"/>
      <c r="CK60" s="636">
        <f t="shared" ca="1" si="34"/>
        <v>0.70760905398707941</v>
      </c>
      <c r="CL60" s="635">
        <f t="shared" ca="1" si="35"/>
        <v>0.57747453772372115</v>
      </c>
      <c r="CM60" s="633">
        <f t="shared" ca="1" si="36"/>
        <v>-0.4705189406132515</v>
      </c>
      <c r="CN60" s="633">
        <f t="shared" ca="1" si="37"/>
        <v>4.4184969663409568</v>
      </c>
      <c r="CO60" s="633">
        <f t="shared" ca="1" si="38"/>
        <v>3.4375065943573757</v>
      </c>
      <c r="CP60" s="580"/>
      <c r="CQ60" s="636">
        <f t="shared" ca="1" si="39"/>
        <v>2.0073676410576891</v>
      </c>
      <c r="CR60" s="635">
        <f t="shared" ca="1" si="40"/>
        <v>0.55252964193719389</v>
      </c>
      <c r="CS60" s="633">
        <f t="shared" ca="1" si="41"/>
        <v>1.8478505204534201</v>
      </c>
      <c r="CT60" s="633">
        <f t="shared" ca="1" si="42"/>
        <v>2.6533905704972494</v>
      </c>
      <c r="CU60" s="633">
        <f t="shared" ca="1" si="43"/>
        <v>5.4714594638703984</v>
      </c>
      <c r="CV60" s="580"/>
      <c r="CW60" s="636">
        <f t="shared" ca="1" si="44"/>
        <v>4.5828444187328232</v>
      </c>
      <c r="CX60" s="635">
        <f t="shared" ca="1" si="45"/>
        <v>3.2754507411318246</v>
      </c>
      <c r="CY60" s="633">
        <f t="shared" ca="1" si="46"/>
        <v>4.7800184074963115</v>
      </c>
      <c r="CZ60" s="633">
        <f t="shared" ca="1" si="47"/>
        <v>4.1468671924753897</v>
      </c>
      <c r="DA60" s="633">
        <f t="shared" ca="1" si="48"/>
        <v>1.1586073500967187</v>
      </c>
      <c r="DB60" s="580"/>
      <c r="DC60" s="636">
        <f t="shared" ca="1" si="49"/>
        <v>3.485694276510376</v>
      </c>
      <c r="DD60" s="635">
        <f t="shared" ca="1" si="50"/>
        <v>2.7171340389676946</v>
      </c>
      <c r="DE60" s="633">
        <f t="shared" ca="1" si="51"/>
        <v>3.3327864307008959</v>
      </c>
      <c r="DF60" s="633">
        <f t="shared" ca="1" si="52"/>
        <v>4.0287871304593104</v>
      </c>
      <c r="DG60" s="633">
        <f t="shared" ca="1" si="53"/>
        <v>2.4111359681829425</v>
      </c>
      <c r="DH60" s="580"/>
      <c r="DI60" s="636">
        <f t="shared" ca="1" si="54"/>
        <v>1.9997922398560686</v>
      </c>
      <c r="DJ60" s="635">
        <f t="shared" ca="1" si="55"/>
        <v>-0.50324435923905231</v>
      </c>
      <c r="DK60" s="633">
        <f t="shared" ca="1" si="56"/>
        <v>1.7019169967051662</v>
      </c>
      <c r="DL60" s="633">
        <f t="shared" ca="1" si="57"/>
        <v>3.1618408720959001</v>
      </c>
      <c r="DM60" s="633">
        <f t="shared" ca="1" si="58"/>
        <v>1.5683345780433067</v>
      </c>
      <c r="DN60" s="580"/>
      <c r="DO60" s="636">
        <f t="shared" ca="1" si="59"/>
        <v>1.2795685794277256</v>
      </c>
      <c r="DP60" s="635">
        <f t="shared" ca="1" si="60"/>
        <v>-1.3172765169059852</v>
      </c>
      <c r="DQ60" s="633">
        <f t="shared" ca="1" si="61"/>
        <v>1.3448304542807987</v>
      </c>
      <c r="DR60" s="633">
        <f t="shared" ca="1" si="62"/>
        <v>1.3681027063211504</v>
      </c>
      <c r="DS60" s="633">
        <f t="shared" ca="1" si="63"/>
        <v>4.4779411764706012</v>
      </c>
      <c r="DT60" s="580"/>
      <c r="DU60" s="636">
        <f t="shared" ca="1" si="64"/>
        <v>0.7836102304262349</v>
      </c>
      <c r="DV60" s="635">
        <f t="shared" ca="1" si="65"/>
        <v>-1.9675578251727055</v>
      </c>
      <c r="DW60" s="633">
        <f t="shared" ca="1" si="66"/>
        <v>1.0073136866577848</v>
      </c>
      <c r="DX60" s="633">
        <f t="shared" ca="1" si="67"/>
        <v>0.41803998797176334</v>
      </c>
      <c r="DY60" s="633">
        <f t="shared" ca="1" si="68"/>
        <v>4.555211485678079</v>
      </c>
      <c r="DZ60" s="580"/>
      <c r="EA60" s="636">
        <f t="shared" ca="1" si="69"/>
        <v>1.1431972907730348</v>
      </c>
      <c r="EB60" s="635">
        <f t="shared" ca="1" si="70"/>
        <v>1.8883100965221278</v>
      </c>
      <c r="EC60" s="633">
        <f t="shared" ca="1" si="71"/>
        <v>0.71028876418413045</v>
      </c>
      <c r="ED60" s="633">
        <f t="shared" ca="1" si="72"/>
        <v>2.3392636956138579</v>
      </c>
      <c r="EE60" s="633">
        <f t="shared" ca="1" si="73"/>
        <v>2.3323517038283503</v>
      </c>
      <c r="EF60" s="580"/>
      <c r="EG60" s="636">
        <f t="shared" ca="1" si="74"/>
        <v>3.3121976237530548</v>
      </c>
      <c r="EH60" s="635">
        <f t="shared" ca="1" si="75"/>
        <v>2.0000000000000018</v>
      </c>
      <c r="EI60" s="633">
        <f t="shared" ca="1" si="76"/>
        <v>3.5195821625521262</v>
      </c>
      <c r="EJ60" s="633">
        <f t="shared" ca="1" si="77"/>
        <v>2.8459575965514405</v>
      </c>
      <c r="EK60" s="633">
        <f t="shared" ca="1" si="78"/>
        <v>2.0278067742548922</v>
      </c>
      <c r="EL60" s="580"/>
      <c r="EM60" s="636">
        <f t="shared" ca="1" si="79"/>
        <v>3.2965925312135269</v>
      </c>
      <c r="EN60" s="635">
        <f t="shared" ca="1" si="80"/>
        <v>1.6000000000000014</v>
      </c>
      <c r="EO60" s="633">
        <f t="shared" ca="1" si="81"/>
        <v>3.8538587916425504</v>
      </c>
      <c r="EP60" s="633">
        <f t="shared" ca="1" si="82"/>
        <v>1.8456353368852207</v>
      </c>
      <c r="EQ60" s="633">
        <f t="shared" ca="1" si="83"/>
        <v>1.7776159926722102</v>
      </c>
      <c r="ER60" s="580"/>
    </row>
    <row r="61" spans="1:148" ht="13.8" thickBot="1">
      <c r="B61" s="568" t="s">
        <v>624</v>
      </c>
      <c r="C61" s="4137" t="s">
        <v>560</v>
      </c>
      <c r="D61" s="4138"/>
      <c r="E61" s="584"/>
      <c r="F61" s="584"/>
      <c r="G61" s="584"/>
      <c r="H61" s="584"/>
      <c r="I61" s="584"/>
      <c r="J61" s="580"/>
      <c r="K61" s="584">
        <f t="shared" ca="1" si="13"/>
        <v>1.5237238707095591</v>
      </c>
      <c r="L61" s="584">
        <f t="shared" ca="1" si="13"/>
        <v>2.1080086962724565</v>
      </c>
      <c r="M61" s="584">
        <f t="shared" ca="1" si="13"/>
        <v>0.52175079744989361</v>
      </c>
      <c r="N61" s="584">
        <f t="shared" ca="1" si="13"/>
        <v>2.8138482137163745</v>
      </c>
      <c r="O61" s="584" t="str">
        <f t="shared" si="13"/>
        <v/>
      </c>
      <c r="P61" s="580"/>
      <c r="Q61" s="584">
        <f t="shared" ca="1" si="14"/>
        <v>4.2828812995772791</v>
      </c>
      <c r="R61" s="584">
        <f t="shared" ca="1" si="14"/>
        <v>4.0165960988233218</v>
      </c>
      <c r="S61" s="584">
        <f t="shared" ca="1" si="14"/>
        <v>4.7256350253709334</v>
      </c>
      <c r="T61" s="584">
        <f t="shared" ca="1" si="14"/>
        <v>1.8438514169956344</v>
      </c>
      <c r="U61" s="584" t="str">
        <f t="shared" si="14"/>
        <v/>
      </c>
      <c r="V61" s="580"/>
      <c r="W61" s="584">
        <f t="shared" ca="1" si="15"/>
        <v>4.2027495282895178</v>
      </c>
      <c r="X61" s="584">
        <f t="shared" ca="1" si="15"/>
        <v>3.1665196900057646</v>
      </c>
      <c r="Y61" s="584">
        <f t="shared" ca="1" si="15"/>
        <v>5.019323274267129</v>
      </c>
      <c r="Z61" s="584">
        <f t="shared" ca="1" si="15"/>
        <v>3.3428728003410457</v>
      </c>
      <c r="AA61" s="584" t="str">
        <f t="shared" si="15"/>
        <v/>
      </c>
      <c r="AB61" s="580"/>
      <c r="AC61" s="584">
        <f t="shared" ca="1" si="16"/>
        <v>2.018697512280121</v>
      </c>
      <c r="AD61" s="584">
        <f t="shared" ca="1" si="16"/>
        <v>2.0189526241006783</v>
      </c>
      <c r="AE61" s="584">
        <f t="shared" ca="1" si="16"/>
        <v>1.9031978343123201</v>
      </c>
      <c r="AF61" s="584">
        <f t="shared" ca="1" si="16"/>
        <v>3.1758189959933958</v>
      </c>
      <c r="AG61" s="584" t="str">
        <f t="shared" si="16"/>
        <v/>
      </c>
      <c r="AH61" s="580"/>
      <c r="AI61" s="584">
        <f t="shared" ca="1" si="17"/>
        <v>7.2990933708096062</v>
      </c>
      <c r="AJ61" s="584">
        <f t="shared" ca="1" si="17"/>
        <v>5.2228557160097999</v>
      </c>
      <c r="AK61" s="584">
        <f t="shared" ca="1" si="17"/>
        <v>8.9865539761813764</v>
      </c>
      <c r="AL61" s="584">
        <f t="shared" ca="1" si="17"/>
        <v>4.8217311023546428</v>
      </c>
      <c r="AM61" s="584" t="str">
        <f t="shared" si="17"/>
        <v/>
      </c>
      <c r="AN61" s="580"/>
      <c r="AO61" s="584">
        <f t="shared" ca="1" si="18"/>
        <v>0.89347216260198259</v>
      </c>
      <c r="AP61" s="584">
        <f t="shared" ca="1" si="18"/>
        <v>2.5544481358434679</v>
      </c>
      <c r="AQ61" s="584">
        <f t="shared" ca="1" si="18"/>
        <v>-0.38263327834412442</v>
      </c>
      <c r="AR61" s="584">
        <f t="shared" ca="1" si="18"/>
        <v>2.6023317473577112</v>
      </c>
      <c r="AS61" s="584" t="str">
        <f t="shared" si="18"/>
        <v/>
      </c>
      <c r="AT61" s="580"/>
      <c r="AU61" s="584">
        <f t="shared" ca="1" si="19"/>
        <v>2.8008430134763174</v>
      </c>
      <c r="AV61" s="584">
        <f t="shared" ca="1" si="19"/>
        <v>-1.5117702109279429</v>
      </c>
      <c r="AW61" s="584">
        <f t="shared" ca="1" si="19"/>
        <v>5.7827756969496713</v>
      </c>
      <c r="AX61" s="584">
        <f t="shared" ca="1" si="19"/>
        <v>2.6584541319316424</v>
      </c>
      <c r="AY61" s="584" t="str">
        <f t="shared" si="19"/>
        <v/>
      </c>
      <c r="AZ61" s="580"/>
      <c r="BA61" s="584">
        <f t="shared" ca="1" si="20"/>
        <v>4.2625992933366108</v>
      </c>
      <c r="BB61" s="584">
        <f t="shared" ca="1" si="20"/>
        <v>1.6589743857487349</v>
      </c>
      <c r="BC61" s="584">
        <f t="shared" ca="1" si="20"/>
        <v>5.9717543795095418</v>
      </c>
      <c r="BD61" s="584">
        <f t="shared" ca="1" si="20"/>
        <v>3.8395889726038579</v>
      </c>
      <c r="BE61" s="584" t="str">
        <f t="shared" si="20"/>
        <v/>
      </c>
      <c r="BF61" s="580"/>
      <c r="BG61" s="584">
        <f t="shared" ca="1" si="21"/>
        <v>8.6320475160949641</v>
      </c>
      <c r="BH61" s="584">
        <f t="shared" ca="1" si="22"/>
        <v>1.5990324146236912</v>
      </c>
      <c r="BI61" s="584">
        <f t="shared" ca="1" si="23"/>
        <v>13.591002567853995</v>
      </c>
      <c r="BJ61" s="584">
        <f t="shared" ca="1" si="24"/>
        <v>1.9376369794781301</v>
      </c>
      <c r="BK61" s="584" t="str">
        <f t="shared" si="25"/>
        <v/>
      </c>
      <c r="BL61" s="580"/>
      <c r="BM61" s="584">
        <f t="shared" ca="1" si="26"/>
        <v>6.2477427447035216</v>
      </c>
      <c r="BN61" s="584">
        <f t="shared" ca="1" si="26"/>
        <v>4.6035637558448306</v>
      </c>
      <c r="BO61" s="584">
        <f t="shared" ca="1" si="26"/>
        <v>6.9706662072261949</v>
      </c>
      <c r="BP61" s="584">
        <f t="shared" ca="1" si="26"/>
        <v>8.368759670982918</v>
      </c>
      <c r="BQ61" s="584" t="str">
        <f t="shared" si="26"/>
        <v/>
      </c>
      <c r="BR61" s="580"/>
      <c r="BS61" s="584">
        <f t="shared" ca="1" si="27"/>
        <v>5.6348887690936156</v>
      </c>
      <c r="BT61" s="584">
        <f t="shared" ca="1" si="27"/>
        <v>5.6847176850366221</v>
      </c>
      <c r="BU61" s="584">
        <f t="shared" ca="1" si="27"/>
        <v>5.4418517051247672</v>
      </c>
      <c r="BV61" s="584">
        <f t="shared" ca="1" si="27"/>
        <v>7.5586551034825478</v>
      </c>
      <c r="BW61" s="584" t="str">
        <f t="shared" si="27"/>
        <v/>
      </c>
      <c r="BX61" s="580"/>
      <c r="BY61" s="584">
        <f t="shared" ca="1" si="28"/>
        <v>6.4301365755708773</v>
      </c>
      <c r="BZ61" s="584">
        <f t="shared" ca="1" si="28"/>
        <v>4.4831740936599029</v>
      </c>
      <c r="CA61" s="584">
        <f t="shared" ca="1" si="28"/>
        <v>7.6154775733849212</v>
      </c>
      <c r="CB61" s="584">
        <f t="shared" ca="1" si="28"/>
        <v>4.8838769179174069</v>
      </c>
      <c r="CC61" s="584" t="str">
        <f t="shared" si="28"/>
        <v/>
      </c>
      <c r="CD61" s="580"/>
      <c r="CE61" s="584">
        <f t="shared" ca="1" si="29"/>
        <v>0.1650471415898469</v>
      </c>
      <c r="CF61" s="584">
        <f t="shared" ca="1" si="30"/>
        <v>2.4501094091903708</v>
      </c>
      <c r="CG61" s="584">
        <f t="shared" ca="1" si="31"/>
        <v>-1.4268511290038033</v>
      </c>
      <c r="CH61" s="584">
        <f t="shared" ca="1" si="32"/>
        <v>4.780366921139767</v>
      </c>
      <c r="CI61" s="584" t="str">
        <f t="shared" si="33"/>
        <v/>
      </c>
      <c r="CJ61" s="580"/>
      <c r="CK61" s="584">
        <f t="shared" ca="1" si="34"/>
        <v>-3.5854227939479899</v>
      </c>
      <c r="CL61" s="584">
        <f t="shared" ca="1" si="35"/>
        <v>-3.2956212876204094</v>
      </c>
      <c r="CM61" s="584">
        <f t="shared" ca="1" si="36"/>
        <v>-3.9183080044174479</v>
      </c>
      <c r="CN61" s="584">
        <f t="shared" ca="1" si="37"/>
        <v>-1.6657130141777277</v>
      </c>
      <c r="CO61" s="584" t="str">
        <f t="shared" si="38"/>
        <v/>
      </c>
      <c r="CP61" s="580"/>
      <c r="CQ61" s="584">
        <f t="shared" ca="1" si="39"/>
        <v>8.2934253261702331</v>
      </c>
      <c r="CR61" s="584">
        <f t="shared" ca="1" si="40"/>
        <v>1.413530579746336</v>
      </c>
      <c r="CS61" s="584">
        <f t="shared" ca="1" si="41"/>
        <v>12.374621553188048</v>
      </c>
      <c r="CT61" s="584">
        <f t="shared" ca="1" si="42"/>
        <v>4.9085149026962149</v>
      </c>
      <c r="CU61" s="584" t="str">
        <f t="shared" si="43"/>
        <v/>
      </c>
      <c r="CV61" s="580"/>
      <c r="CW61" s="584">
        <f t="shared" ca="1" si="44"/>
        <v>3.3638985633434926</v>
      </c>
      <c r="CX61" s="584">
        <f t="shared" ca="1" si="45"/>
        <v>1.9737916705686587</v>
      </c>
      <c r="CY61" s="584">
        <f t="shared" ca="1" si="46"/>
        <v>3.7898130959730825</v>
      </c>
      <c r="CZ61" s="584">
        <f t="shared" ca="1" si="47"/>
        <v>6.3502237122678107</v>
      </c>
      <c r="DA61" s="584" t="str">
        <f t="shared" si="48"/>
        <v/>
      </c>
      <c r="DB61" s="580"/>
      <c r="DC61" s="584">
        <f t="shared" ca="1" si="49"/>
        <v>-0.49482340615399911</v>
      </c>
      <c r="DD61" s="584">
        <f t="shared" ca="1" si="50"/>
        <v>1.2630544817717748</v>
      </c>
      <c r="DE61" s="584">
        <f t="shared" ca="1" si="51"/>
        <v>-1.7065985229307135</v>
      </c>
      <c r="DF61" s="584">
        <f t="shared" ca="1" si="52"/>
        <v>3.5186537324850775</v>
      </c>
      <c r="DG61" s="584" t="str">
        <f t="shared" si="53"/>
        <v/>
      </c>
      <c r="DH61" s="580"/>
      <c r="DI61" s="584">
        <f t="shared" ca="1" si="54"/>
        <v>0.45343525485557201</v>
      </c>
      <c r="DJ61" s="584">
        <f t="shared" ca="1" si="55"/>
        <v>-0.14742356752379671</v>
      </c>
      <c r="DK61" s="584">
        <f t="shared" ca="1" si="56"/>
        <v>0.68072320910863571</v>
      </c>
      <c r="DL61" s="584">
        <f t="shared" ca="1" si="57"/>
        <v>1.2293017163200748</v>
      </c>
      <c r="DM61" s="584" t="str">
        <f t="shared" si="58"/>
        <v/>
      </c>
      <c r="DN61" s="580"/>
      <c r="DO61" s="584">
        <f t="shared" ca="1" si="59"/>
        <v>3.0464773459726535</v>
      </c>
      <c r="DP61" s="584">
        <f t="shared" ca="1" si="60"/>
        <v>3.3271024089387424</v>
      </c>
      <c r="DQ61" s="584">
        <f t="shared" ca="1" si="61"/>
        <v>3.1043751511769191</v>
      </c>
      <c r="DR61" s="584">
        <f t="shared" ca="1" si="62"/>
        <v>0.80405233529081688</v>
      </c>
      <c r="DS61" s="584" t="str">
        <f t="shared" si="63"/>
        <v/>
      </c>
      <c r="DT61" s="580"/>
      <c r="DU61" s="584">
        <f t="shared" ca="1" si="64"/>
        <v>4.9679230177983147</v>
      </c>
      <c r="DV61" s="584">
        <f t="shared" ca="1" si="65"/>
        <v>1.5034842813835825</v>
      </c>
      <c r="DW61" s="584">
        <f t="shared" ca="1" si="66"/>
        <v>7.0078423486829022</v>
      </c>
      <c r="DX61" s="584">
        <f t="shared" ca="1" si="67"/>
        <v>0.76362678837884612</v>
      </c>
      <c r="DY61" s="584" t="str">
        <f t="shared" si="68"/>
        <v/>
      </c>
      <c r="DZ61" s="580"/>
      <c r="EA61" s="584">
        <f t="shared" ca="1" si="69"/>
        <v>4.43704288037714</v>
      </c>
      <c r="EB61" s="584">
        <f t="shared" ca="1" si="70"/>
        <v>0.92417309768160205</v>
      </c>
      <c r="EC61" s="584">
        <f t="shared" ca="1" si="71"/>
        <v>6.1129001183497067</v>
      </c>
      <c r="ED61" s="584">
        <f t="shared" ca="1" si="72"/>
        <v>1.4209494773520515</v>
      </c>
      <c r="EE61" s="584" t="str">
        <f t="shared" si="73"/>
        <v/>
      </c>
      <c r="EF61" s="580"/>
      <c r="EG61" s="584">
        <f t="shared" ca="1" si="74"/>
        <v>3.8565377430854308</v>
      </c>
      <c r="EH61" s="584">
        <f t="shared" ca="1" si="75"/>
        <v>2.0000000000000018</v>
      </c>
      <c r="EI61" s="584">
        <f t="shared" ca="1" si="76"/>
        <v>5.1279035470929379</v>
      </c>
      <c r="EJ61" s="584">
        <f t="shared" ca="1" si="77"/>
        <v>2.4188093832195223</v>
      </c>
      <c r="EK61" s="584" t="str">
        <f t="shared" si="78"/>
        <v/>
      </c>
      <c r="EL61" s="580"/>
      <c r="EM61" s="584">
        <f t="shared" ca="1" si="79"/>
        <v>3.4628918034243394</v>
      </c>
      <c r="EN61" s="584">
        <f t="shared" ca="1" si="80"/>
        <v>2.0000000000000018</v>
      </c>
      <c r="EO61" s="584">
        <f t="shared" ca="1" si="81"/>
        <v>4.3759941710800776</v>
      </c>
      <c r="EP61" s="584">
        <f t="shared" ca="1" si="82"/>
        <v>5.2137904358673381E-2</v>
      </c>
      <c r="EQ61" s="584" t="str">
        <f t="shared" si="83"/>
        <v/>
      </c>
      <c r="ER61" s="580"/>
    </row>
    <row r="62" spans="1:148">
      <c r="B62" s="568" t="s">
        <v>622</v>
      </c>
      <c r="C62" s="4136" t="s">
        <v>561</v>
      </c>
      <c r="D62" s="4135"/>
      <c r="E62" s="632"/>
      <c r="F62" s="637"/>
      <c r="G62" s="638"/>
      <c r="H62" s="635"/>
      <c r="I62" s="633"/>
      <c r="J62" s="576"/>
      <c r="K62" s="632">
        <f t="shared" ref="K62:N66" ca="1" si="84">IF(K13="","",IF(E13=0,"N",(K13/E13-1)*100))</f>
        <v>2.0526289652432528</v>
      </c>
      <c r="L62" s="637">
        <f t="shared" ca="1" si="84"/>
        <v>2.0526289652432528</v>
      </c>
      <c r="M62" s="638" t="str">
        <f t="shared" si="84"/>
        <v/>
      </c>
      <c r="N62" s="635" t="str">
        <f t="shared" si="84"/>
        <v/>
      </c>
      <c r="O62" s="633"/>
      <c r="P62" s="576" t="str">
        <f ca="1">IF(ROUND(P13,2)=0,"ok","!")</f>
        <v>ok</v>
      </c>
      <c r="Q62" s="632">
        <f t="shared" ref="Q62:T66" ca="1" si="85">IF(Q13="","",IF(K13=0,"N",(Q13/K13-1)*100))</f>
        <v>3.7995649298102396</v>
      </c>
      <c r="R62" s="637">
        <f t="shared" ca="1" si="85"/>
        <v>3.7995649298102396</v>
      </c>
      <c r="S62" s="638" t="str">
        <f t="shared" si="85"/>
        <v/>
      </c>
      <c r="T62" s="635" t="str">
        <f t="shared" si="85"/>
        <v/>
      </c>
      <c r="U62" s="633"/>
      <c r="V62" s="576" t="str">
        <f ca="1">IF(ROUND(V13,2)=0,"ok","!")</f>
        <v>ok</v>
      </c>
      <c r="W62" s="632">
        <f t="shared" ref="W62:Z66" ca="1" si="86">IF(W13="","",IF(Q13=0,"N",(W13/Q13-1)*100))</f>
        <v>3.646939324750198</v>
      </c>
      <c r="X62" s="637">
        <f t="shared" ca="1" si="86"/>
        <v>3.646939324750198</v>
      </c>
      <c r="Y62" s="638" t="str">
        <f t="shared" si="86"/>
        <v/>
      </c>
      <c r="Z62" s="635" t="str">
        <f t="shared" si="86"/>
        <v/>
      </c>
      <c r="AA62" s="633"/>
      <c r="AB62" s="576" t="str">
        <f ca="1">IF(ROUND(AB13,2)=0,"ok","!")</f>
        <v>ok</v>
      </c>
      <c r="AC62" s="632">
        <f t="shared" ref="AC62:AF66" ca="1" si="87">IF(AC13="","",IF(W13=0,"N",(AC13/W13-1)*100))</f>
        <v>5.2756646826560116</v>
      </c>
      <c r="AD62" s="637">
        <f t="shared" ca="1" si="87"/>
        <v>5.2756646826560116</v>
      </c>
      <c r="AE62" s="638" t="str">
        <f t="shared" si="87"/>
        <v/>
      </c>
      <c r="AF62" s="635" t="str">
        <f t="shared" si="87"/>
        <v/>
      </c>
      <c r="AG62" s="633"/>
      <c r="AH62" s="576" t="str">
        <f ca="1">IF(ROUND(AH13,2)=0,"ok","!")</f>
        <v>ok</v>
      </c>
      <c r="AI62" s="632">
        <f t="shared" ref="AI62:AL66" ca="1" si="88">IF(AI13="","",IF(AC13=0,"N",(AI13/AC13-1)*100))</f>
        <v>4.5495809805842002</v>
      </c>
      <c r="AJ62" s="637">
        <f t="shared" ca="1" si="88"/>
        <v>4.5495809805842002</v>
      </c>
      <c r="AK62" s="638" t="str">
        <f t="shared" si="88"/>
        <v/>
      </c>
      <c r="AL62" s="635" t="str">
        <f t="shared" si="88"/>
        <v/>
      </c>
      <c r="AM62" s="633"/>
      <c r="AN62" s="576" t="str">
        <f ca="1">IF(ROUND(AN13,2)=0,"ok","!")</f>
        <v>ok</v>
      </c>
      <c r="AO62" s="632">
        <f t="shared" ref="AO62:AR66" ca="1" si="89">IF(AO13="","",IF(AI13=0,"N",(AO13/AI13-1)*100))</f>
        <v>5.638239177501525</v>
      </c>
      <c r="AP62" s="637">
        <f t="shared" ca="1" si="89"/>
        <v>5.638239177501525</v>
      </c>
      <c r="AQ62" s="638" t="str">
        <f t="shared" si="89"/>
        <v/>
      </c>
      <c r="AR62" s="635" t="str">
        <f t="shared" si="89"/>
        <v/>
      </c>
      <c r="AS62" s="633"/>
      <c r="AT62" s="576" t="str">
        <f ca="1">IF(ROUND(AT13,2)=0,"ok","!")</f>
        <v>ok</v>
      </c>
      <c r="AU62" s="632">
        <f t="shared" ref="AU62:AX66" ca="1" si="90">IF(AU13="","",IF(AO13=0,"N",(AU13/AO13-1)*100))</f>
        <v>3.9996859092854109</v>
      </c>
      <c r="AV62" s="637">
        <f t="shared" ca="1" si="90"/>
        <v>3.9996859092854109</v>
      </c>
      <c r="AW62" s="638" t="str">
        <f t="shared" si="90"/>
        <v/>
      </c>
      <c r="AX62" s="635" t="str">
        <f t="shared" si="90"/>
        <v/>
      </c>
      <c r="AY62" s="633"/>
      <c r="AZ62" s="576" t="str">
        <f ca="1">IF(ROUND(AZ13,2)=0,"ok","!")</f>
        <v>ok</v>
      </c>
      <c r="BA62" s="632">
        <f t="shared" ref="BA62:BD66" ca="1" si="91">IF(BA13="","",IF(AU13=0,"N",(BA13/AU13-1)*100))</f>
        <v>2.0461259788522979</v>
      </c>
      <c r="BB62" s="637">
        <f t="shared" ca="1" si="91"/>
        <v>2.0461259788522979</v>
      </c>
      <c r="BC62" s="638" t="str">
        <f t="shared" si="91"/>
        <v/>
      </c>
      <c r="BD62" s="635" t="str">
        <f t="shared" si="91"/>
        <v/>
      </c>
      <c r="BE62" s="633"/>
      <c r="BF62" s="576" t="str">
        <f ca="1">IF(ROUND(BF13,2)=0,"ok","!")</f>
        <v>ok</v>
      </c>
      <c r="BG62" s="632">
        <f t="shared" ca="1" si="21"/>
        <v>3.0520759655551233</v>
      </c>
      <c r="BH62" s="637">
        <f t="shared" ca="1" si="22"/>
        <v>3.0520759655551233</v>
      </c>
      <c r="BI62" s="638" t="str">
        <f t="shared" si="23"/>
        <v/>
      </c>
      <c r="BJ62" s="635" t="str">
        <f t="shared" si="24"/>
        <v/>
      </c>
      <c r="BK62" s="633"/>
      <c r="BL62" s="576" t="str">
        <f ca="1">IF(ROUND(BL13,2)=0,"ok","!")</f>
        <v>ok</v>
      </c>
      <c r="BM62" s="632">
        <f t="shared" ref="BM62:BP66" ca="1" si="92">IF(BM13="","",IF(BG13=0,"N",(BM13/BG13-1)*100))</f>
        <v>3.4774400803078809</v>
      </c>
      <c r="BN62" s="637">
        <f t="shared" ca="1" si="92"/>
        <v>3.4774400803078809</v>
      </c>
      <c r="BO62" s="638" t="str">
        <f t="shared" si="92"/>
        <v/>
      </c>
      <c r="BP62" s="635" t="str">
        <f t="shared" si="92"/>
        <v/>
      </c>
      <c r="BQ62" s="633"/>
      <c r="BR62" s="576" t="str">
        <f ca="1">IF(ROUND(BR13,2)=0,"ok","!")</f>
        <v>ok</v>
      </c>
      <c r="BS62" s="632">
        <f t="shared" ref="BS62:BV66" ca="1" si="93">IF(BS13="","",IF(BM13=0,"N",(BS13/BM13-1)*100))</f>
        <v>4.8610713262675631</v>
      </c>
      <c r="BT62" s="637">
        <f t="shared" ca="1" si="93"/>
        <v>4.8610713262675631</v>
      </c>
      <c r="BU62" s="638" t="str">
        <f t="shared" si="93"/>
        <v/>
      </c>
      <c r="BV62" s="635" t="str">
        <f t="shared" si="93"/>
        <v/>
      </c>
      <c r="BW62" s="633"/>
      <c r="BX62" s="576" t="str">
        <f ca="1">IF(ROUND(BX13,2)=0,"ok","!")</f>
        <v>ok</v>
      </c>
      <c r="BY62" s="632">
        <f t="shared" ref="BY62:CB66" ca="1" si="94">IF(BY13="","",IF(BS13=0,"N",(BY13/BS13-1)*100))</f>
        <v>5.3606019492325352</v>
      </c>
      <c r="BZ62" s="637">
        <f t="shared" ca="1" si="94"/>
        <v>5.3606019492325352</v>
      </c>
      <c r="CA62" s="638" t="str">
        <f t="shared" si="94"/>
        <v/>
      </c>
      <c r="CB62" s="635" t="str">
        <f t="shared" si="94"/>
        <v/>
      </c>
      <c r="CC62" s="633"/>
      <c r="CD62" s="576" t="str">
        <f ca="1">IF(ROUND(CD13,2)=0,"ok","!")</f>
        <v>ok</v>
      </c>
      <c r="CE62" s="632">
        <f t="shared" ca="1" si="29"/>
        <v>5.4954393845199956</v>
      </c>
      <c r="CF62" s="637">
        <f t="shared" ca="1" si="30"/>
        <v>5.4954393845199956</v>
      </c>
      <c r="CG62" s="638" t="str">
        <f t="shared" si="31"/>
        <v/>
      </c>
      <c r="CH62" s="635" t="str">
        <f t="shared" si="32"/>
        <v/>
      </c>
      <c r="CI62" s="633"/>
      <c r="CJ62" s="576" t="str">
        <f ca="1">IF(ROUND(CJ13,2)=0,"ok","!")</f>
        <v>ok</v>
      </c>
      <c r="CK62" s="632">
        <f t="shared" ca="1" si="34"/>
        <v>0.77826281908093264</v>
      </c>
      <c r="CL62" s="637">
        <f t="shared" ca="1" si="35"/>
        <v>0.77826281908093264</v>
      </c>
      <c r="CM62" s="638" t="str">
        <f t="shared" si="36"/>
        <v/>
      </c>
      <c r="CN62" s="635" t="str">
        <f t="shared" si="37"/>
        <v/>
      </c>
      <c r="CO62" s="633"/>
      <c r="CP62" s="576" t="str">
        <f ca="1">IF(ROUND(CP13,2)=0,"ok","!")</f>
        <v>ok</v>
      </c>
      <c r="CQ62" s="632">
        <f t="shared" ca="1" si="39"/>
        <v>2.0993891887878702</v>
      </c>
      <c r="CR62" s="637">
        <f t="shared" ca="1" si="40"/>
        <v>2.0993891887878702</v>
      </c>
      <c r="CS62" s="638" t="str">
        <f t="shared" si="41"/>
        <v/>
      </c>
      <c r="CT62" s="635" t="str">
        <f t="shared" si="42"/>
        <v/>
      </c>
      <c r="CU62" s="633"/>
      <c r="CV62" s="576" t="str">
        <f ca="1">IF(ROUND(CV13,2)=0,"ok","!")</f>
        <v>ok</v>
      </c>
      <c r="CW62" s="632">
        <f t="shared" ca="1" si="44"/>
        <v>4.4888773294974982</v>
      </c>
      <c r="CX62" s="637">
        <f t="shared" ca="1" si="45"/>
        <v>4.4888773294974982</v>
      </c>
      <c r="CY62" s="638" t="str">
        <f t="shared" si="46"/>
        <v/>
      </c>
      <c r="CZ62" s="635" t="str">
        <f t="shared" si="47"/>
        <v/>
      </c>
      <c r="DA62" s="633"/>
      <c r="DB62" s="576" t="str">
        <f ca="1">IF(ROUND(DB13,2)=0,"ok","!")</f>
        <v>ok</v>
      </c>
      <c r="DC62" s="632">
        <f t="shared" ca="1" si="49"/>
        <v>3.457146340472228</v>
      </c>
      <c r="DD62" s="637">
        <f t="shared" ca="1" si="50"/>
        <v>3.457146340472228</v>
      </c>
      <c r="DE62" s="638" t="str">
        <f t="shared" si="51"/>
        <v/>
      </c>
      <c r="DF62" s="635" t="str">
        <f t="shared" si="52"/>
        <v/>
      </c>
      <c r="DG62" s="633"/>
      <c r="DH62" s="576" t="str">
        <f ca="1">IF(ROUND(DH13,2)=0,"ok","!")</f>
        <v>ok</v>
      </c>
      <c r="DI62" s="632">
        <f t="shared" ca="1" si="54"/>
        <v>1.9884946401285353</v>
      </c>
      <c r="DJ62" s="637">
        <f t="shared" ca="1" si="55"/>
        <v>1.9884946401285353</v>
      </c>
      <c r="DK62" s="638" t="str">
        <f t="shared" si="56"/>
        <v/>
      </c>
      <c r="DL62" s="635" t="str">
        <f t="shared" si="57"/>
        <v/>
      </c>
      <c r="DM62" s="633"/>
      <c r="DN62" s="576" t="str">
        <f ca="1">IF(ROUND(DN13,2)=0,"ok","!")</f>
        <v>ok</v>
      </c>
      <c r="DO62" s="632">
        <f t="shared" ca="1" si="59"/>
        <v>1.3585677049983813</v>
      </c>
      <c r="DP62" s="637">
        <f t="shared" ca="1" si="60"/>
        <v>1.3585677049983813</v>
      </c>
      <c r="DQ62" s="638" t="str">
        <f t="shared" si="61"/>
        <v/>
      </c>
      <c r="DR62" s="635" t="str">
        <f t="shared" si="62"/>
        <v/>
      </c>
      <c r="DS62" s="633"/>
      <c r="DT62" s="576" t="str">
        <f ca="1">IF(ROUND(DT13,2)=0,"ok","!")</f>
        <v>!</v>
      </c>
      <c r="DU62" s="632">
        <f t="shared" ca="1" si="64"/>
        <v>0.92669425691802587</v>
      </c>
      <c r="DV62" s="637">
        <f t="shared" ca="1" si="65"/>
        <v>0.92669425691802587</v>
      </c>
      <c r="DW62" s="638" t="str">
        <f t="shared" si="66"/>
        <v/>
      </c>
      <c r="DX62" s="635" t="str">
        <f t="shared" si="67"/>
        <v/>
      </c>
      <c r="DY62" s="633"/>
      <c r="DZ62" s="576" t="str">
        <f ca="1">IF(ROUND(DZ13,2)=0,"ok","!")</f>
        <v>!</v>
      </c>
      <c r="EA62" s="632">
        <f t="shared" ca="1" si="69"/>
        <v>1.2903541579307287</v>
      </c>
      <c r="EB62" s="637">
        <f t="shared" ca="1" si="70"/>
        <v>1.2903541579307287</v>
      </c>
      <c r="EC62" s="638" t="str">
        <f t="shared" si="71"/>
        <v/>
      </c>
      <c r="ED62" s="635" t="str">
        <f t="shared" si="72"/>
        <v/>
      </c>
      <c r="EE62" s="633"/>
      <c r="EF62" s="576" t="str">
        <f ca="1">IF(ROUND(EF13,2)=0,"ok","!")</f>
        <v>!</v>
      </c>
      <c r="EG62" s="632">
        <f t="shared" ca="1" si="74"/>
        <v>3.1223503830386745</v>
      </c>
      <c r="EH62" s="637">
        <f t="shared" ca="1" si="75"/>
        <v>3.1223503830386745</v>
      </c>
      <c r="EI62" s="638" t="str">
        <f t="shared" si="76"/>
        <v/>
      </c>
      <c r="EJ62" s="635" t="str">
        <f t="shared" si="77"/>
        <v/>
      </c>
      <c r="EK62" s="633"/>
      <c r="EL62" s="576" t="str">
        <f ca="1">IF(ROUND(EL13,2)=0,"ok","!")</f>
        <v>ok</v>
      </c>
      <c r="EM62" s="632">
        <f t="shared" ca="1" si="79"/>
        <v>3.2541301814727586</v>
      </c>
      <c r="EN62" s="637">
        <f t="shared" ca="1" si="80"/>
        <v>3.2541301814727586</v>
      </c>
      <c r="EO62" s="638" t="str">
        <f t="shared" si="81"/>
        <v/>
      </c>
      <c r="EP62" s="635" t="str">
        <f t="shared" si="82"/>
        <v/>
      </c>
      <c r="EQ62" s="633"/>
      <c r="ER62" s="576" t="str">
        <f ca="1">IF(ROUND(ER13,2)=0,"ok","!")</f>
        <v>ok</v>
      </c>
    </row>
    <row r="63" spans="1:148" s="586" customFormat="1">
      <c r="B63" s="587"/>
      <c r="C63" s="588"/>
      <c r="D63" s="589" t="s">
        <v>1696</v>
      </c>
      <c r="E63" s="639"/>
      <c r="F63" s="606"/>
      <c r="G63" s="640"/>
      <c r="H63" s="641"/>
      <c r="I63" s="641"/>
      <c r="J63" s="566"/>
      <c r="K63" s="639" t="str">
        <f t="shared" si="84"/>
        <v/>
      </c>
      <c r="L63" s="606">
        <f t="shared" ca="1" si="84"/>
        <v>1.7507606898239381</v>
      </c>
      <c r="M63" s="640" t="str">
        <f t="shared" si="84"/>
        <v/>
      </c>
      <c r="N63" s="641" t="str">
        <f t="shared" si="84"/>
        <v/>
      </c>
      <c r="O63" s="641" t="str">
        <f>IF(O14="","",IF(I14=0,"N",(O14/I14-1)*100))</f>
        <v/>
      </c>
      <c r="P63" s="566"/>
      <c r="Q63" s="639" t="str">
        <f t="shared" si="85"/>
        <v/>
      </c>
      <c r="R63" s="606">
        <f t="shared" ca="1" si="85"/>
        <v>3.466294181950702</v>
      </c>
      <c r="S63" s="640" t="str">
        <f t="shared" si="85"/>
        <v/>
      </c>
      <c r="T63" s="641" t="str">
        <f t="shared" si="85"/>
        <v/>
      </c>
      <c r="U63" s="641" t="str">
        <f>IF(U14="","",IF(O14=0,"N",(U14/O14-1)*100))</f>
        <v/>
      </c>
      <c r="V63" s="566"/>
      <c r="W63" s="639" t="str">
        <f t="shared" si="86"/>
        <v/>
      </c>
      <c r="X63" s="606">
        <f t="shared" ca="1" si="86"/>
        <v>3.0070271577459451</v>
      </c>
      <c r="Y63" s="640" t="str">
        <f t="shared" si="86"/>
        <v/>
      </c>
      <c r="Z63" s="641" t="str">
        <f t="shared" si="86"/>
        <v/>
      </c>
      <c r="AA63" s="641" t="str">
        <f>IF(AA14="","",IF(U14=0,"N",(AA14/U14-1)*100))</f>
        <v/>
      </c>
      <c r="AB63" s="566"/>
      <c r="AC63" s="639" t="str">
        <f t="shared" si="87"/>
        <v/>
      </c>
      <c r="AD63" s="606">
        <f t="shared" ca="1" si="87"/>
        <v>5.7997408408199558</v>
      </c>
      <c r="AE63" s="640" t="str">
        <f t="shared" si="87"/>
        <v/>
      </c>
      <c r="AF63" s="641" t="str">
        <f t="shared" si="87"/>
        <v/>
      </c>
      <c r="AG63" s="641" t="str">
        <f>IF(AG14="","",IF(AA14=0,"N",(AG14/AA14-1)*100))</f>
        <v/>
      </c>
      <c r="AH63" s="566"/>
      <c r="AI63" s="639" t="str">
        <f t="shared" si="88"/>
        <v/>
      </c>
      <c r="AJ63" s="606">
        <f t="shared" ca="1" si="88"/>
        <v>5.4408769172601179</v>
      </c>
      <c r="AK63" s="640" t="str">
        <f t="shared" si="88"/>
        <v/>
      </c>
      <c r="AL63" s="641" t="str">
        <f t="shared" si="88"/>
        <v/>
      </c>
      <c r="AM63" s="641" t="str">
        <f>IF(AM14="","",IF(AG14=0,"N",(AM14/AG14-1)*100))</f>
        <v/>
      </c>
      <c r="AN63" s="566"/>
      <c r="AO63" s="639" t="str">
        <f t="shared" si="89"/>
        <v/>
      </c>
      <c r="AP63" s="606">
        <f t="shared" ca="1" si="89"/>
        <v>5.7422309580703157</v>
      </c>
      <c r="AQ63" s="640" t="str">
        <f t="shared" si="89"/>
        <v/>
      </c>
      <c r="AR63" s="641" t="str">
        <f t="shared" si="89"/>
        <v/>
      </c>
      <c r="AS63" s="641" t="str">
        <f>IF(AS14="","",IF(AM14=0,"N",(AS14/AM14-1)*100))</f>
        <v/>
      </c>
      <c r="AT63" s="566"/>
      <c r="AU63" s="639" t="str">
        <f t="shared" si="90"/>
        <v/>
      </c>
      <c r="AV63" s="606">
        <f t="shared" ca="1" si="90"/>
        <v>3.1758514715557906</v>
      </c>
      <c r="AW63" s="640" t="str">
        <f t="shared" si="90"/>
        <v/>
      </c>
      <c r="AX63" s="641" t="str">
        <f t="shared" si="90"/>
        <v/>
      </c>
      <c r="AY63" s="641" t="str">
        <f>IF(AY14="","",IF(AS14=0,"N",(AY14/AS14-1)*100))</f>
        <v/>
      </c>
      <c r="AZ63" s="566"/>
      <c r="BA63" s="639" t="str">
        <f t="shared" si="91"/>
        <v/>
      </c>
      <c r="BB63" s="606">
        <f t="shared" ca="1" si="91"/>
        <v>1.8119114214093957</v>
      </c>
      <c r="BC63" s="640" t="str">
        <f t="shared" si="91"/>
        <v/>
      </c>
      <c r="BD63" s="641" t="str">
        <f t="shared" si="91"/>
        <v/>
      </c>
      <c r="BE63" s="641" t="str">
        <f>IF(BE14="","",IF(AY14=0,"N",(BE14/AY14-1)*100))</f>
        <v/>
      </c>
      <c r="BF63" s="566"/>
      <c r="BG63" s="639" t="str">
        <f t="shared" si="21"/>
        <v/>
      </c>
      <c r="BH63" s="606">
        <f t="shared" ca="1" si="22"/>
        <v>3.1999948495469832</v>
      </c>
      <c r="BI63" s="640" t="str">
        <f t="shared" si="23"/>
        <v/>
      </c>
      <c r="BJ63" s="641" t="str">
        <f t="shared" si="24"/>
        <v/>
      </c>
      <c r="BK63" s="641" t="str">
        <f>IF(BK14="","",IF(BE14=0,"N",(BK14/BE14-1)*100))</f>
        <v/>
      </c>
      <c r="BL63" s="566"/>
      <c r="BM63" s="639" t="str">
        <f t="shared" si="92"/>
        <v/>
      </c>
      <c r="BN63" s="606">
        <f t="shared" ca="1" si="92"/>
        <v>3.7555388405063672</v>
      </c>
      <c r="BO63" s="640" t="str">
        <f t="shared" si="92"/>
        <v/>
      </c>
      <c r="BP63" s="641" t="str">
        <f t="shared" si="92"/>
        <v/>
      </c>
      <c r="BQ63" s="641" t="str">
        <f>IF(BQ14="","",IF(BK14=0,"N",(BQ14/BK14-1)*100))</f>
        <v/>
      </c>
      <c r="BR63" s="566"/>
      <c r="BS63" s="639" t="str">
        <f t="shared" si="93"/>
        <v/>
      </c>
      <c r="BT63" s="606">
        <f t="shared" ca="1" si="93"/>
        <v>4.7973915493344732</v>
      </c>
      <c r="BU63" s="640" t="str">
        <f t="shared" si="93"/>
        <v/>
      </c>
      <c r="BV63" s="641" t="str">
        <f t="shared" si="93"/>
        <v/>
      </c>
      <c r="BW63" s="641" t="str">
        <f>IF(BW14="","",IF(BQ14=0,"N",(BW14/BQ14-1)*100))</f>
        <v/>
      </c>
      <c r="BX63" s="566"/>
      <c r="BY63" s="639" t="str">
        <f t="shared" si="94"/>
        <v/>
      </c>
      <c r="BZ63" s="606">
        <f t="shared" ca="1" si="94"/>
        <v>4.611546241684894</v>
      </c>
      <c r="CA63" s="640" t="str">
        <f t="shared" si="94"/>
        <v/>
      </c>
      <c r="CB63" s="641" t="str">
        <f t="shared" si="94"/>
        <v/>
      </c>
      <c r="CC63" s="641" t="str">
        <f>IF(CC14="","",IF(BW14=0,"N",(CC14/BW14-1)*100))</f>
        <v/>
      </c>
      <c r="CD63" s="566"/>
      <c r="CE63" s="639" t="str">
        <f t="shared" si="29"/>
        <v/>
      </c>
      <c r="CF63" s="606">
        <f t="shared" ca="1" si="30"/>
        <v>5.2802092245591181</v>
      </c>
      <c r="CG63" s="640" t="str">
        <f t="shared" si="31"/>
        <v/>
      </c>
      <c r="CH63" s="641" t="str">
        <f t="shared" si="32"/>
        <v/>
      </c>
      <c r="CI63" s="641" t="str">
        <f>IF(CI14="","",IF(CC14=0,"N",(CI14/CC14-1)*100))</f>
        <v/>
      </c>
      <c r="CJ63" s="566"/>
      <c r="CK63" s="639" t="str">
        <f t="shared" si="34"/>
        <v/>
      </c>
      <c r="CL63" s="606">
        <f t="shared" ca="1" si="35"/>
        <v>0.14258869932464169</v>
      </c>
      <c r="CM63" s="640" t="str">
        <f t="shared" si="36"/>
        <v/>
      </c>
      <c r="CN63" s="641" t="str">
        <f t="shared" si="37"/>
        <v/>
      </c>
      <c r="CO63" s="641" t="str">
        <f t="shared" ref="CO63:CO68" si="95">IF(CO14="","",IF(CI14=0,"N",(CO14/CI14-1)*100))</f>
        <v/>
      </c>
      <c r="CP63" s="566"/>
      <c r="CQ63" s="639" t="str">
        <f t="shared" si="39"/>
        <v/>
      </c>
      <c r="CR63" s="606">
        <f t="shared" ca="1" si="40"/>
        <v>1.9534927963698934</v>
      </c>
      <c r="CS63" s="640" t="str">
        <f t="shared" si="41"/>
        <v/>
      </c>
      <c r="CT63" s="641" t="str">
        <f t="shared" si="42"/>
        <v/>
      </c>
      <c r="CU63" s="641" t="str">
        <f t="shared" ref="CU63:CU68" si="96">IF(CU14="","",IF(CO14=0,"N",(CU14/CO14-1)*100))</f>
        <v/>
      </c>
      <c r="CV63" s="566"/>
      <c r="CW63" s="639" t="str">
        <f t="shared" si="44"/>
        <v/>
      </c>
      <c r="CX63" s="606">
        <f t="shared" ca="1" si="45"/>
        <v>4.5842784752552879</v>
      </c>
      <c r="CY63" s="640" t="str">
        <f t="shared" si="46"/>
        <v/>
      </c>
      <c r="CZ63" s="641" t="str">
        <f t="shared" si="47"/>
        <v/>
      </c>
      <c r="DA63" s="641" t="str">
        <f t="shared" ref="DA63:DA68" si="97">IF(DA14="","",IF(CU14=0,"N",(DA14/CU14-1)*100))</f>
        <v/>
      </c>
      <c r="DB63" s="566"/>
      <c r="DC63" s="639" t="str">
        <f t="shared" si="49"/>
        <v/>
      </c>
      <c r="DD63" s="606">
        <f t="shared" ca="1" si="50"/>
        <v>3.2062536023657273</v>
      </c>
      <c r="DE63" s="640" t="str">
        <f t="shared" si="51"/>
        <v/>
      </c>
      <c r="DF63" s="641" t="str">
        <f t="shared" si="52"/>
        <v/>
      </c>
      <c r="DG63" s="641" t="str">
        <f t="shared" ref="DG63:DG68" si="98">IF(DG14="","",IF(DA14=0,"N",(DG14/DA14-1)*100))</f>
        <v/>
      </c>
      <c r="DH63" s="566"/>
      <c r="DI63" s="639" t="str">
        <f t="shared" si="54"/>
        <v/>
      </c>
      <c r="DJ63" s="606">
        <f t="shared" ca="1" si="55"/>
        <v>1.8468083669575863</v>
      </c>
      <c r="DK63" s="640" t="str">
        <f t="shared" si="56"/>
        <v/>
      </c>
      <c r="DL63" s="641" t="str">
        <f t="shared" si="57"/>
        <v/>
      </c>
      <c r="DM63" s="641" t="str">
        <f t="shared" ref="DM63:DM68" si="99">IF(DM14="","",IF(DG14=0,"N",(DM14/DG14-1)*100))</f>
        <v/>
      </c>
      <c r="DN63" s="566"/>
      <c r="DO63" s="639" t="str">
        <f t="shared" si="59"/>
        <v/>
      </c>
      <c r="DP63" s="606">
        <f t="shared" ca="1" si="60"/>
        <v>1.5081161113479569</v>
      </c>
      <c r="DQ63" s="640" t="str">
        <f t="shared" si="61"/>
        <v/>
      </c>
      <c r="DR63" s="641" t="str">
        <f t="shared" si="62"/>
        <v/>
      </c>
      <c r="DS63" s="641" t="str">
        <f t="shared" ref="DS63:DS68" si="100">IF(DS14="","",IF(DM14=0,"N",(DS14/DM14-1)*100))</f>
        <v/>
      </c>
      <c r="DT63" s="566"/>
      <c r="DU63" s="639" t="str">
        <f t="shared" si="64"/>
        <v/>
      </c>
      <c r="DV63" s="606">
        <f t="shared" ca="1" si="65"/>
        <v>0.8108206971242149</v>
      </c>
      <c r="DW63" s="640" t="str">
        <f t="shared" si="66"/>
        <v/>
      </c>
      <c r="DX63" s="641" t="str">
        <f t="shared" si="67"/>
        <v/>
      </c>
      <c r="DY63" s="641" t="str">
        <f t="shared" ref="DY63:DY68" si="101">IF(DY14="","",IF(DS14=0,"N",(DY14/DS14-1)*100))</f>
        <v/>
      </c>
      <c r="DZ63" s="566"/>
      <c r="EA63" s="639" t="str">
        <f t="shared" si="69"/>
        <v/>
      </c>
      <c r="EB63" s="606">
        <f t="shared" ca="1" si="70"/>
        <v>2.475100934277874</v>
      </c>
      <c r="EC63" s="640" t="str">
        <f t="shared" si="71"/>
        <v/>
      </c>
      <c r="ED63" s="641" t="str">
        <f t="shared" si="72"/>
        <v/>
      </c>
      <c r="EE63" s="641" t="str">
        <f t="shared" ref="EE63:EE68" si="102">IF(EE14="","",IF(DY14=0,"N",(EE14/DY14-1)*100))</f>
        <v/>
      </c>
      <c r="EF63" s="566"/>
      <c r="EG63" s="639" t="str">
        <f t="shared" si="74"/>
        <v/>
      </c>
      <c r="EH63" s="606">
        <f t="shared" ca="1" si="75"/>
        <v>3.2770968351844232</v>
      </c>
      <c r="EI63" s="640" t="str">
        <f t="shared" si="76"/>
        <v/>
      </c>
      <c r="EJ63" s="641" t="str">
        <f t="shared" si="77"/>
        <v/>
      </c>
      <c r="EK63" s="641" t="str">
        <f t="shared" ref="EK63:EK68" si="103">IF(EK14="","",IF(EE14=0,"N",(EK14/EE14-1)*100))</f>
        <v/>
      </c>
      <c r="EL63" s="566"/>
      <c r="EM63" s="639" t="str">
        <f t="shared" si="79"/>
        <v/>
      </c>
      <c r="EN63" s="606">
        <f t="shared" ca="1" si="80"/>
        <v>3.46557792337161</v>
      </c>
      <c r="EO63" s="640" t="str">
        <f t="shared" si="81"/>
        <v/>
      </c>
      <c r="EP63" s="641" t="str">
        <f t="shared" si="82"/>
        <v/>
      </c>
      <c r="EQ63" s="641" t="str">
        <f t="shared" ref="EQ63:EQ68" si="104">IF(EQ14="","",IF(EK14=0,"N",(EQ14/EK14-1)*100))</f>
        <v/>
      </c>
      <c r="ER63" s="566"/>
    </row>
    <row r="64" spans="1:148" s="586" customFormat="1" ht="13.8" thickBot="1">
      <c r="B64" s="587"/>
      <c r="C64" s="588"/>
      <c r="D64" s="589" t="s">
        <v>1765</v>
      </c>
      <c r="E64" s="639"/>
      <c r="F64" s="642"/>
      <c r="G64" s="640"/>
      <c r="H64" s="641"/>
      <c r="I64" s="641"/>
      <c r="J64" s="566"/>
      <c r="K64" s="639" t="str">
        <f t="shared" si="84"/>
        <v/>
      </c>
      <c r="L64" s="642">
        <f t="shared" ca="1" si="84"/>
        <v>2.9304371576843957</v>
      </c>
      <c r="M64" s="640" t="str">
        <f t="shared" si="84"/>
        <v/>
      </c>
      <c r="N64" s="641" t="str">
        <f t="shared" si="84"/>
        <v/>
      </c>
      <c r="O64" s="641" t="str">
        <f>IF(O15="","",IF(I15=0,"N",(O15/I15-1)*100))</f>
        <v/>
      </c>
      <c r="P64" s="566"/>
      <c r="Q64" s="639" t="str">
        <f t="shared" si="85"/>
        <v/>
      </c>
      <c r="R64" s="642">
        <f t="shared" ca="1" si="85"/>
        <v>4.7575818942340087</v>
      </c>
      <c r="S64" s="640" t="str">
        <f t="shared" si="85"/>
        <v/>
      </c>
      <c r="T64" s="641" t="str">
        <f t="shared" si="85"/>
        <v/>
      </c>
      <c r="U64" s="641" t="str">
        <f>IF(U15="","",IF(O15=0,"N",(U15/O15-1)*100))</f>
        <v/>
      </c>
      <c r="V64" s="566"/>
      <c r="W64" s="639" t="str">
        <f t="shared" si="86"/>
        <v/>
      </c>
      <c r="X64" s="642">
        <f t="shared" ca="1" si="86"/>
        <v>5.4637505332764791</v>
      </c>
      <c r="Y64" s="640" t="str">
        <f t="shared" si="86"/>
        <v/>
      </c>
      <c r="Z64" s="641" t="str">
        <f t="shared" si="86"/>
        <v/>
      </c>
      <c r="AA64" s="641" t="str">
        <f>IF(AA15="","",IF(U15=0,"N",(AA15/U15-1)*100))</f>
        <v/>
      </c>
      <c r="AB64" s="566"/>
      <c r="AC64" s="639" t="str">
        <f t="shared" si="87"/>
        <v/>
      </c>
      <c r="AD64" s="642">
        <f t="shared" ca="1" si="87"/>
        <v>3.8223907719048933</v>
      </c>
      <c r="AE64" s="640" t="str">
        <f t="shared" si="87"/>
        <v/>
      </c>
      <c r="AF64" s="641" t="str">
        <f t="shared" si="87"/>
        <v/>
      </c>
      <c r="AG64" s="641" t="str">
        <f>IF(AG15="","",IF(AA15=0,"N",(AG15/AA15-1)*100))</f>
        <v/>
      </c>
      <c r="AH64" s="566"/>
      <c r="AI64" s="639" t="str">
        <f t="shared" si="88"/>
        <v/>
      </c>
      <c r="AJ64" s="642">
        <f t="shared" ca="1" si="88"/>
        <v>2.0309265798125198</v>
      </c>
      <c r="AK64" s="640" t="str">
        <f t="shared" si="88"/>
        <v/>
      </c>
      <c r="AL64" s="641" t="str">
        <f t="shared" si="88"/>
        <v/>
      </c>
      <c r="AM64" s="641" t="str">
        <f>IF(AM15="","",IF(AG15=0,"N",(AM15/AG15-1)*100))</f>
        <v/>
      </c>
      <c r="AN64" s="566"/>
      <c r="AO64" s="639" t="str">
        <f t="shared" si="89"/>
        <v/>
      </c>
      <c r="AP64" s="642">
        <f t="shared" ca="1" si="89"/>
        <v>5.3345545239742664</v>
      </c>
      <c r="AQ64" s="640" t="str">
        <f t="shared" si="89"/>
        <v/>
      </c>
      <c r="AR64" s="641" t="str">
        <f t="shared" si="89"/>
        <v/>
      </c>
      <c r="AS64" s="641" t="str">
        <f>IF(AS15="","",IF(AM15=0,"N",(AS15/AM15-1)*100))</f>
        <v/>
      </c>
      <c r="AT64" s="566"/>
      <c r="AU64" s="639" t="str">
        <f t="shared" si="90"/>
        <v/>
      </c>
      <c r="AV64" s="642">
        <f t="shared" ca="1" si="90"/>
        <v>6.4148207311235828</v>
      </c>
      <c r="AW64" s="640" t="str">
        <f t="shared" si="90"/>
        <v/>
      </c>
      <c r="AX64" s="641" t="str">
        <f t="shared" si="90"/>
        <v/>
      </c>
      <c r="AY64" s="641" t="str">
        <f>IF(AY15="","",IF(AS15=0,"N",(AY15/AS15-1)*100))</f>
        <v/>
      </c>
      <c r="AZ64" s="566"/>
      <c r="BA64" s="639" t="str">
        <f t="shared" si="91"/>
        <v/>
      </c>
      <c r="BB64" s="642">
        <f t="shared" ca="1" si="91"/>
        <v>2.711845460207285</v>
      </c>
      <c r="BC64" s="640" t="str">
        <f t="shared" si="91"/>
        <v/>
      </c>
      <c r="BD64" s="641" t="str">
        <f t="shared" si="91"/>
        <v/>
      </c>
      <c r="BE64" s="641" t="str">
        <f>IF(BE15="","",IF(AY15=0,"N",(BE15/AY15-1)*100))</f>
        <v/>
      </c>
      <c r="BF64" s="566"/>
      <c r="BG64" s="639" t="str">
        <f t="shared" si="21"/>
        <v/>
      </c>
      <c r="BH64" s="642">
        <f t="shared" ca="1" si="22"/>
        <v>2.6353226521141471</v>
      </c>
      <c r="BI64" s="640" t="str">
        <f t="shared" si="23"/>
        <v/>
      </c>
      <c r="BJ64" s="641" t="str">
        <f t="shared" si="24"/>
        <v/>
      </c>
      <c r="BK64" s="641" t="str">
        <f>IF(BK15="","",IF(BE15=0,"N",(BK15/BE15-1)*100))</f>
        <v/>
      </c>
      <c r="BL64" s="566"/>
      <c r="BM64" s="639" t="str">
        <f t="shared" si="92"/>
        <v/>
      </c>
      <c r="BN64" s="642">
        <f t="shared" ca="1" si="92"/>
        <v>2.6896013694167831</v>
      </c>
      <c r="BO64" s="640" t="str">
        <f t="shared" si="92"/>
        <v/>
      </c>
      <c r="BP64" s="641" t="str">
        <f t="shared" si="92"/>
        <v/>
      </c>
      <c r="BQ64" s="641" t="str">
        <f>IF(BQ15="","",IF(BK15=0,"N",(BQ15/BK15-1)*100))</f>
        <v/>
      </c>
      <c r="BR64" s="566"/>
      <c r="BS64" s="639" t="str">
        <f t="shared" si="93"/>
        <v/>
      </c>
      <c r="BT64" s="642">
        <f t="shared" ca="1" si="93"/>
        <v>5.0433452821746494</v>
      </c>
      <c r="BU64" s="640" t="str">
        <f t="shared" si="93"/>
        <v/>
      </c>
      <c r="BV64" s="641" t="str">
        <f t="shared" si="93"/>
        <v/>
      </c>
      <c r="BW64" s="641" t="str">
        <f>IF(BW15="","",IF(BQ15=0,"N",(BW15/BQ15-1)*100))</f>
        <v/>
      </c>
      <c r="BX64" s="566"/>
      <c r="BY64" s="639" t="str">
        <f t="shared" si="94"/>
        <v/>
      </c>
      <c r="BZ64" s="642">
        <f t="shared" ca="1" si="94"/>
        <v>7.4996430636142586</v>
      </c>
      <c r="CA64" s="640" t="str">
        <f t="shared" si="94"/>
        <v/>
      </c>
      <c r="CB64" s="641" t="str">
        <f t="shared" si="94"/>
        <v/>
      </c>
      <c r="CC64" s="641" t="str">
        <f>IF(CC15="","",IF(BW15=0,"N",(CC15/BW15-1)*100))</f>
        <v/>
      </c>
      <c r="CD64" s="566"/>
      <c r="CE64" s="639" t="str">
        <f t="shared" si="29"/>
        <v/>
      </c>
      <c r="CF64" s="642">
        <f t="shared" ca="1" si="30"/>
        <v>6.0935489419515321</v>
      </c>
      <c r="CG64" s="640" t="str">
        <f t="shared" si="31"/>
        <v/>
      </c>
      <c r="CH64" s="641" t="str">
        <f t="shared" si="32"/>
        <v/>
      </c>
      <c r="CI64" s="641" t="str">
        <f>IF(CI15="","",IF(CC15=0,"N",(CI15/CC15-1)*100))</f>
        <v/>
      </c>
      <c r="CJ64" s="566"/>
      <c r="CK64" s="639" t="str">
        <f t="shared" si="34"/>
        <v/>
      </c>
      <c r="CL64" s="642">
        <f t="shared" ca="1" si="35"/>
        <v>2.5312143425902711</v>
      </c>
      <c r="CM64" s="640" t="str">
        <f t="shared" si="36"/>
        <v/>
      </c>
      <c r="CN64" s="641" t="str">
        <f t="shared" si="37"/>
        <v/>
      </c>
      <c r="CO64" s="641" t="str">
        <f t="shared" si="95"/>
        <v/>
      </c>
      <c r="CP64" s="566"/>
      <c r="CQ64" s="639" t="str">
        <f t="shared" si="39"/>
        <v/>
      </c>
      <c r="CR64" s="642">
        <f t="shared" ca="1" si="40"/>
        <v>2.4923440283421305</v>
      </c>
      <c r="CS64" s="640" t="str">
        <f t="shared" si="41"/>
        <v/>
      </c>
      <c r="CT64" s="641" t="str">
        <f t="shared" si="42"/>
        <v/>
      </c>
      <c r="CU64" s="641" t="str">
        <f t="shared" si="96"/>
        <v/>
      </c>
      <c r="CV64" s="566"/>
      <c r="CW64" s="639" t="str">
        <f t="shared" si="44"/>
        <v/>
      </c>
      <c r="CX64" s="642">
        <f t="shared" ca="1" si="45"/>
        <v>4.2332764391811217</v>
      </c>
      <c r="CY64" s="640" t="str">
        <f t="shared" si="46"/>
        <v/>
      </c>
      <c r="CZ64" s="641" t="str">
        <f t="shared" si="47"/>
        <v/>
      </c>
      <c r="DA64" s="641" t="str">
        <f t="shared" si="97"/>
        <v/>
      </c>
      <c r="DB64" s="566"/>
      <c r="DC64" s="639" t="str">
        <f t="shared" si="49"/>
        <v/>
      </c>
      <c r="DD64" s="642">
        <f t="shared" ca="1" si="50"/>
        <v>4.1316073961243038</v>
      </c>
      <c r="DE64" s="640" t="str">
        <f t="shared" si="51"/>
        <v/>
      </c>
      <c r="DF64" s="641" t="str">
        <f t="shared" si="52"/>
        <v/>
      </c>
      <c r="DG64" s="641" t="str">
        <f t="shared" si="98"/>
        <v/>
      </c>
      <c r="DH64" s="566"/>
      <c r="DI64" s="639" t="str">
        <f t="shared" si="54"/>
        <v/>
      </c>
      <c r="DJ64" s="642">
        <f t="shared" ca="1" si="55"/>
        <v>2.3659972903483872</v>
      </c>
      <c r="DK64" s="640" t="str">
        <f t="shared" si="56"/>
        <v/>
      </c>
      <c r="DL64" s="641" t="str">
        <f t="shared" si="57"/>
        <v/>
      </c>
      <c r="DM64" s="641" t="str">
        <f t="shared" si="99"/>
        <v/>
      </c>
      <c r="DN64" s="566"/>
      <c r="DO64" s="639" t="str">
        <f t="shared" si="59"/>
        <v/>
      </c>
      <c r="DP64" s="642">
        <f t="shared" ca="1" si="60"/>
        <v>0.96213842911656577</v>
      </c>
      <c r="DQ64" s="640" t="str">
        <f t="shared" si="61"/>
        <v/>
      </c>
      <c r="DR64" s="641" t="str">
        <f t="shared" si="62"/>
        <v/>
      </c>
      <c r="DS64" s="641" t="str">
        <f t="shared" si="100"/>
        <v/>
      </c>
      <c r="DT64" s="566"/>
      <c r="DU64" s="639" t="str">
        <f t="shared" si="64"/>
        <v/>
      </c>
      <c r="DV64" s="642">
        <f t="shared" ca="1" si="65"/>
        <v>1.2355178747072593</v>
      </c>
      <c r="DW64" s="640" t="str">
        <f t="shared" si="66"/>
        <v/>
      </c>
      <c r="DX64" s="641" t="str">
        <f t="shared" si="67"/>
        <v/>
      </c>
      <c r="DY64" s="641" t="str">
        <f t="shared" si="101"/>
        <v/>
      </c>
      <c r="DZ64" s="566"/>
      <c r="EA64" s="639" t="str">
        <f t="shared" si="69"/>
        <v/>
      </c>
      <c r="EB64" s="642">
        <f t="shared" ca="1" si="70"/>
        <v>-1.8539600214612539</v>
      </c>
      <c r="EC64" s="640" t="str">
        <f t="shared" si="71"/>
        <v/>
      </c>
      <c r="ED64" s="641" t="str">
        <f t="shared" si="72"/>
        <v/>
      </c>
      <c r="EE64" s="641" t="str">
        <f t="shared" si="102"/>
        <v/>
      </c>
      <c r="EF64" s="566"/>
      <c r="EG64" s="639" t="str">
        <f t="shared" si="74"/>
        <v/>
      </c>
      <c r="EH64" s="642">
        <f t="shared" ca="1" si="75"/>
        <v>2.6935386372914039</v>
      </c>
      <c r="EI64" s="640" t="str">
        <f t="shared" si="76"/>
        <v/>
      </c>
      <c r="EJ64" s="641" t="str">
        <f t="shared" si="77"/>
        <v/>
      </c>
      <c r="EK64" s="641" t="str">
        <f t="shared" si="103"/>
        <v/>
      </c>
      <c r="EL64" s="566"/>
      <c r="EM64" s="639" t="str">
        <f t="shared" si="79"/>
        <v/>
      </c>
      <c r="EN64" s="642">
        <f t="shared" ca="1" si="80"/>
        <v>2.6648661595399359</v>
      </c>
      <c r="EO64" s="640" t="str">
        <f t="shared" si="81"/>
        <v/>
      </c>
      <c r="EP64" s="641" t="str">
        <f t="shared" si="82"/>
        <v/>
      </c>
      <c r="EQ64" s="641" t="str">
        <f t="shared" si="104"/>
        <v/>
      </c>
      <c r="ER64" s="566"/>
    </row>
    <row r="65" spans="2:148" ht="13.8" thickBot="1">
      <c r="B65" s="568" t="s">
        <v>622</v>
      </c>
      <c r="C65" s="4136" t="s">
        <v>1415</v>
      </c>
      <c r="D65" s="4135"/>
      <c r="E65" s="636"/>
      <c r="F65" s="635"/>
      <c r="G65" s="635"/>
      <c r="H65" s="643"/>
      <c r="I65" s="637"/>
      <c r="J65" s="576"/>
      <c r="K65" s="636">
        <f t="shared" ca="1" si="84"/>
        <v>6.0390508453505687</v>
      </c>
      <c r="L65" s="635" t="str">
        <f t="shared" si="84"/>
        <v/>
      </c>
      <c r="M65" s="635" t="str">
        <f t="shared" si="84"/>
        <v/>
      </c>
      <c r="N65" s="643">
        <f t="shared" ca="1" si="84"/>
        <v>6.0390508453505687</v>
      </c>
      <c r="O65" s="637">
        <f ca="1">IF(O16="","",IF(I16=0,"N",(O16/I16-1)*100))</f>
        <v>-5.7218966435801928</v>
      </c>
      <c r="P65" s="576" t="str">
        <f ca="1">IF(ROUND(P16,2)=0,"ok","!")</f>
        <v>ok</v>
      </c>
      <c r="Q65" s="636">
        <f t="shared" ca="1" si="85"/>
        <v>6.0962876392638865</v>
      </c>
      <c r="R65" s="635" t="str">
        <f t="shared" si="85"/>
        <v/>
      </c>
      <c r="S65" s="635" t="str">
        <f t="shared" si="85"/>
        <v/>
      </c>
      <c r="T65" s="643">
        <f t="shared" ca="1" si="85"/>
        <v>6.0962876392638865</v>
      </c>
      <c r="U65" s="637">
        <f ca="1">IF(U16="","",IF(O16=0,"N",(U16/O16-1)*100))</f>
        <v>12.646925858951196</v>
      </c>
      <c r="V65" s="576" t="str">
        <f ca="1">IF(ROUND(V16,2)=0,"ok","!")</f>
        <v>ok</v>
      </c>
      <c r="W65" s="636">
        <f t="shared" ca="1" si="86"/>
        <v>3.5183861488364832</v>
      </c>
      <c r="X65" s="635" t="str">
        <f t="shared" si="86"/>
        <v/>
      </c>
      <c r="Y65" s="635" t="str">
        <f t="shared" si="86"/>
        <v/>
      </c>
      <c r="Z65" s="643">
        <f t="shared" ca="1" si="86"/>
        <v>3.5183861488364832</v>
      </c>
      <c r="AA65" s="637">
        <f ca="1">IF(AA16="","",IF(U16=0,"N",(AA16/U16-1)*100))</f>
        <v>1.5350657168656578</v>
      </c>
      <c r="AB65" s="576" t="str">
        <f ca="1">IF(ROUND(AB16,2)=0,"ok","!")</f>
        <v>ok</v>
      </c>
      <c r="AC65" s="636">
        <f t="shared" ca="1" si="87"/>
        <v>7.1068309638337102</v>
      </c>
      <c r="AD65" s="635" t="str">
        <f t="shared" si="87"/>
        <v/>
      </c>
      <c r="AE65" s="635" t="str">
        <f t="shared" si="87"/>
        <v/>
      </c>
      <c r="AF65" s="643">
        <f t="shared" ca="1" si="87"/>
        <v>7.1068309638337102</v>
      </c>
      <c r="AG65" s="637">
        <f ca="1">IF(AG16="","",IF(AA16=0,"N",(AG16/AA16-1)*100))</f>
        <v>-5.7114624505928857</v>
      </c>
      <c r="AH65" s="576" t="str">
        <f ca="1">IF(ROUND(AH16,2)=0,"ok","!")</f>
        <v>ok</v>
      </c>
      <c r="AI65" s="636">
        <f t="shared" ca="1" si="88"/>
        <v>4.3897759797189018</v>
      </c>
      <c r="AJ65" s="635" t="str">
        <f t="shared" si="88"/>
        <v/>
      </c>
      <c r="AK65" s="635" t="str">
        <f t="shared" si="88"/>
        <v/>
      </c>
      <c r="AL65" s="643">
        <f t="shared" ca="1" si="88"/>
        <v>4.3897759797189018</v>
      </c>
      <c r="AM65" s="637">
        <f ca="1">IF(AM16="","",IF(AG16=0,"N",(AM16/AG16-1)*100))</f>
        <v>8.4783064347096815</v>
      </c>
      <c r="AN65" s="576" t="str">
        <f ca="1">IF(ROUND(AN16,2)=0,"ok","!")</f>
        <v>ok</v>
      </c>
      <c r="AO65" s="636">
        <f t="shared" ca="1" si="89"/>
        <v>-0.63517730665727523</v>
      </c>
      <c r="AP65" s="635" t="str">
        <f t="shared" si="89"/>
        <v/>
      </c>
      <c r="AQ65" s="635" t="str">
        <f t="shared" si="89"/>
        <v/>
      </c>
      <c r="AR65" s="643">
        <f t="shared" ca="1" si="89"/>
        <v>-0.63517730665727523</v>
      </c>
      <c r="AS65" s="637">
        <f ca="1">IF(AS16="","",IF(AM16=0,"N",(AS16/AM16-1)*100))</f>
        <v>-2.3475992657714273</v>
      </c>
      <c r="AT65" s="576" t="str">
        <f ca="1">IF(ROUND(AT16,2)=0,"ok","!")</f>
        <v>ok</v>
      </c>
      <c r="AU65" s="636">
        <f t="shared" ca="1" si="90"/>
        <v>3.7774768580375984</v>
      </c>
      <c r="AV65" s="635" t="str">
        <f t="shared" si="90"/>
        <v/>
      </c>
      <c r="AW65" s="635" t="str">
        <f t="shared" si="90"/>
        <v/>
      </c>
      <c r="AX65" s="643">
        <f t="shared" ca="1" si="90"/>
        <v>3.7774768580375984</v>
      </c>
      <c r="AY65" s="637">
        <f ca="1">IF(AY16="","",IF(AS16=0,"N",(AY16/AS16-1)*100))</f>
        <v>1.8895924020577937</v>
      </c>
      <c r="AZ65" s="576" t="str">
        <f ca="1">IF(ROUND(AZ16,2)=0,"ok","!")</f>
        <v>ok</v>
      </c>
      <c r="BA65" s="636">
        <f t="shared" ca="1" si="91"/>
        <v>2.9947863925424034</v>
      </c>
      <c r="BB65" s="635" t="str">
        <f t="shared" si="91"/>
        <v/>
      </c>
      <c r="BC65" s="635" t="str">
        <f t="shared" si="91"/>
        <v/>
      </c>
      <c r="BD65" s="643">
        <f t="shared" ca="1" si="91"/>
        <v>2.9947863925424034</v>
      </c>
      <c r="BE65" s="637">
        <f ca="1">IF(BE16="","",IF(AY16=0,"N",(BE16/AY16-1)*100))</f>
        <v>11.127293912030289</v>
      </c>
      <c r="BF65" s="576" t="str">
        <f ca="1">IF(ROUND(BF16,2)=0,"ok","!")</f>
        <v>ok</v>
      </c>
      <c r="BG65" s="636">
        <f t="shared" ca="1" si="21"/>
        <v>6.830063064454972</v>
      </c>
      <c r="BH65" s="635" t="str">
        <f t="shared" si="22"/>
        <v/>
      </c>
      <c r="BI65" s="635" t="str">
        <f t="shared" si="23"/>
        <v/>
      </c>
      <c r="BJ65" s="643">
        <f t="shared" ca="1" si="24"/>
        <v>6.830063064454972</v>
      </c>
      <c r="BK65" s="637">
        <f ca="1">IF(BK16="","",IF(BE16=0,"N",(BK16/BE16-1)*100))</f>
        <v>3.1280034949759505</v>
      </c>
      <c r="BL65" s="576" t="str">
        <f ca="1">IF(ROUND(BL16,2)=0,"ok","!")</f>
        <v>ok</v>
      </c>
      <c r="BM65" s="636">
        <f t="shared" ca="1" si="92"/>
        <v>5.0739023768140212</v>
      </c>
      <c r="BN65" s="635" t="str">
        <f t="shared" si="92"/>
        <v/>
      </c>
      <c r="BO65" s="635" t="str">
        <f t="shared" si="92"/>
        <v/>
      </c>
      <c r="BP65" s="643">
        <f t="shared" ca="1" si="92"/>
        <v>5.0739023768140212</v>
      </c>
      <c r="BQ65" s="637">
        <f ca="1">IF(BQ16="","",IF(BK16=0,"N",(BQ16/BK16-1)*100))</f>
        <v>7.210031347962409</v>
      </c>
      <c r="BR65" s="576" t="str">
        <f ca="1">IF(ROUND(BR16,2)=0,"ok","!")</f>
        <v>ok</v>
      </c>
      <c r="BS65" s="636">
        <f t="shared" ca="1" si="93"/>
        <v>4.6311890789424215</v>
      </c>
      <c r="BT65" s="635" t="str">
        <f t="shared" si="93"/>
        <v/>
      </c>
      <c r="BU65" s="635" t="str">
        <f t="shared" si="93"/>
        <v/>
      </c>
      <c r="BV65" s="643">
        <f t="shared" ca="1" si="93"/>
        <v>4.6311890789424215</v>
      </c>
      <c r="BW65" s="637">
        <f ca="1">IF(BW16="","",IF(BQ16=0,"N",(BW16/BQ16-1)*100))</f>
        <v>2.7580211790737996</v>
      </c>
      <c r="BX65" s="576" t="str">
        <f ca="1">IF(ROUND(BX16,2)=0,"ok","!")</f>
        <v>ok</v>
      </c>
      <c r="BY65" s="636">
        <f t="shared" ca="1" si="94"/>
        <v>4.6390704638352931</v>
      </c>
      <c r="BZ65" s="635" t="str">
        <f t="shared" si="94"/>
        <v/>
      </c>
      <c r="CA65" s="635" t="str">
        <f t="shared" si="94"/>
        <v/>
      </c>
      <c r="CB65" s="643">
        <f t="shared" ca="1" si="94"/>
        <v>4.6390704638352931</v>
      </c>
      <c r="CC65" s="637">
        <f ca="1">IF(CC16="","",IF(BW16=0,"N",(CC16/BW16-1)*100))</f>
        <v>11.52041836499269</v>
      </c>
      <c r="CD65" s="576" t="str">
        <f ca="1">IF(ROUND(CD16,2)=0,"ok","!")</f>
        <v>ok</v>
      </c>
      <c r="CE65" s="636">
        <f t="shared" ca="1" si="29"/>
        <v>1.1442364176211584</v>
      </c>
      <c r="CF65" s="635" t="str">
        <f t="shared" si="30"/>
        <v/>
      </c>
      <c r="CG65" s="635" t="str">
        <f t="shared" si="31"/>
        <v/>
      </c>
      <c r="CH65" s="643">
        <f t="shared" ca="1" si="32"/>
        <v>1.1442364176211584</v>
      </c>
      <c r="CI65" s="637">
        <f ca="1">IF(CI16="","",IF(CC16=0,"N",(CI16/CC16-1)*100))</f>
        <v>11.688849044893445</v>
      </c>
      <c r="CJ65" s="576" t="str">
        <f ca="1">IF(ROUND(CJ16,2)=0,"ok","!")</f>
        <v>ok</v>
      </c>
      <c r="CK65" s="636">
        <f t="shared" ca="1" si="34"/>
        <v>-1.6268816256613028</v>
      </c>
      <c r="CL65" s="635" t="str">
        <f t="shared" si="35"/>
        <v/>
      </c>
      <c r="CM65" s="635" t="str">
        <f t="shared" si="36"/>
        <v/>
      </c>
      <c r="CN65" s="643">
        <f t="shared" ca="1" si="37"/>
        <v>-1.6268816256613028</v>
      </c>
      <c r="CO65" s="637">
        <f t="shared" ca="1" si="95"/>
        <v>-25.635959496171878</v>
      </c>
      <c r="CP65" s="576" t="str">
        <f ca="1">IF(ROUND(CP16,2)=0,"ok","!")</f>
        <v>ok</v>
      </c>
      <c r="CQ65" s="636">
        <f t="shared" ca="1" si="39"/>
        <v>7.1713101648503086</v>
      </c>
      <c r="CR65" s="635" t="str">
        <f t="shared" si="40"/>
        <v/>
      </c>
      <c r="CS65" s="635" t="str">
        <f t="shared" si="41"/>
        <v/>
      </c>
      <c r="CT65" s="643">
        <f t="shared" ca="1" si="42"/>
        <v>7.1713101648503086</v>
      </c>
      <c r="CU65" s="637">
        <f t="shared" ca="1" si="96"/>
        <v>5.8618399202922333</v>
      </c>
      <c r="CV65" s="576" t="str">
        <f ca="1">IF(ROUND(CV16,2)=0,"ok","!")</f>
        <v>ok</v>
      </c>
      <c r="CW65" s="636">
        <f t="shared" ca="1" si="44"/>
        <v>3.3831274476390227</v>
      </c>
      <c r="CX65" s="635" t="str">
        <f t="shared" si="45"/>
        <v/>
      </c>
      <c r="CY65" s="635" t="str">
        <f t="shared" si="46"/>
        <v/>
      </c>
      <c r="CZ65" s="643">
        <f t="shared" ca="1" si="47"/>
        <v>3.3831274476390227</v>
      </c>
      <c r="DA65" s="637">
        <f t="shared" ca="1" si="97"/>
        <v>1.4352941176470679</v>
      </c>
      <c r="DB65" s="576" t="str">
        <f ca="1">IF(ROUND(DB16,2)=0,"ok","!")</f>
        <v>ok</v>
      </c>
      <c r="DC65" s="636">
        <f t="shared" ca="1" si="49"/>
        <v>5.0963707537154956</v>
      </c>
      <c r="DD65" s="635" t="str">
        <f t="shared" si="50"/>
        <v/>
      </c>
      <c r="DE65" s="635" t="str">
        <f t="shared" si="51"/>
        <v/>
      </c>
      <c r="DF65" s="643">
        <f t="shared" ca="1" si="52"/>
        <v>5.0963707537154956</v>
      </c>
      <c r="DG65" s="637">
        <f t="shared" ca="1" si="98"/>
        <v>-2.9150235830820437</v>
      </c>
      <c r="DH65" s="576" t="str">
        <f ca="1">IF(ROUND(DH16,2)=0,"ok","!")</f>
        <v>ok</v>
      </c>
      <c r="DI65" s="636">
        <f t="shared" ca="1" si="54"/>
        <v>1.1260959114905988</v>
      </c>
      <c r="DJ65" s="635" t="str">
        <f t="shared" si="55"/>
        <v/>
      </c>
      <c r="DK65" s="635" t="str">
        <f t="shared" si="56"/>
        <v/>
      </c>
      <c r="DL65" s="643">
        <f t="shared" ca="1" si="57"/>
        <v>1.1260959114905988</v>
      </c>
      <c r="DM65" s="637">
        <f t="shared" ca="1" si="99"/>
        <v>-6.1962408410321634</v>
      </c>
      <c r="DN65" s="576" t="str">
        <f ca="1">IF(ROUND(DN16,2)=0,"ok","!")</f>
        <v>ok</v>
      </c>
      <c r="DO65" s="636">
        <f t="shared" ca="1" si="59"/>
        <v>1.6414614352155299</v>
      </c>
      <c r="DP65" s="635" t="str">
        <f t="shared" si="60"/>
        <v/>
      </c>
      <c r="DQ65" s="635" t="str">
        <f t="shared" si="61"/>
        <v/>
      </c>
      <c r="DR65" s="643">
        <f t="shared" ca="1" si="62"/>
        <v>1.6414614352155299</v>
      </c>
      <c r="DS65" s="637">
        <f t="shared" ca="1" si="100"/>
        <v>5.3659364917643115</v>
      </c>
      <c r="DT65" s="576" t="str">
        <f ca="1">IF(ROUND(DT16,2)=0,"ok","!")</f>
        <v>ok</v>
      </c>
      <c r="DU65" s="636">
        <f t="shared" ca="1" si="64"/>
        <v>1.4562212335366587</v>
      </c>
      <c r="DV65" s="635" t="str">
        <f t="shared" si="65"/>
        <v/>
      </c>
      <c r="DW65" s="635" t="str">
        <f t="shared" si="66"/>
        <v/>
      </c>
      <c r="DX65" s="643">
        <f t="shared" ca="1" si="67"/>
        <v>1.4562212335366587</v>
      </c>
      <c r="DY65" s="637">
        <f t="shared" ca="1" si="101"/>
        <v>29.484286865431098</v>
      </c>
      <c r="DZ65" s="576" t="str">
        <f ca="1">IF(ROUND(DZ16,2)=0,"ok","!")</f>
        <v>!</v>
      </c>
      <c r="EA65" s="636">
        <f t="shared" ca="1" si="69"/>
        <v>4.6568910295823107</v>
      </c>
      <c r="EB65" s="635" t="str">
        <f t="shared" si="70"/>
        <v/>
      </c>
      <c r="EC65" s="635" t="str">
        <f t="shared" si="71"/>
        <v/>
      </c>
      <c r="ED65" s="643">
        <f t="shared" ca="1" si="72"/>
        <v>4.6568910295823107</v>
      </c>
      <c r="EE65" s="637">
        <f t="shared" ca="1" si="102"/>
        <v>15.383657974982867</v>
      </c>
      <c r="EF65" s="576" t="str">
        <f ca="1">IF(ROUND(EF16,2)=0,"ok","!")</f>
        <v>!</v>
      </c>
      <c r="EG65" s="636">
        <f t="shared" ca="1" si="74"/>
        <v>3.5740560981473379</v>
      </c>
      <c r="EH65" s="635" t="str">
        <f t="shared" si="75"/>
        <v/>
      </c>
      <c r="EI65" s="635" t="str">
        <f t="shared" si="76"/>
        <v/>
      </c>
      <c r="EJ65" s="643">
        <f t="shared" ca="1" si="77"/>
        <v>3.5740560981473379</v>
      </c>
      <c r="EK65" s="637">
        <f t="shared" ca="1" si="103"/>
        <v>3.1900000000000039</v>
      </c>
      <c r="EL65" s="576" t="str">
        <f ca="1">IF(ROUND(EL16,2)=0,"ok","!")</f>
        <v>!</v>
      </c>
      <c r="EM65" s="636">
        <f t="shared" ca="1" si="79"/>
        <v>3.1798581107057577</v>
      </c>
      <c r="EN65" s="635" t="str">
        <f t="shared" si="80"/>
        <v/>
      </c>
      <c r="EO65" s="635" t="str">
        <f t="shared" si="81"/>
        <v/>
      </c>
      <c r="EP65" s="643">
        <f t="shared" ca="1" si="82"/>
        <v>3.1798581107057577</v>
      </c>
      <c r="EQ65" s="637">
        <f t="shared" ca="1" si="104"/>
        <v>3.6000000000000032</v>
      </c>
      <c r="ER65" s="576" t="str">
        <f ca="1">IF(ROUND(ER16,2)=0,"ok","!")</f>
        <v>ok</v>
      </c>
    </row>
    <row r="66" spans="2:148" ht="13.8" thickBot="1">
      <c r="B66" s="568" t="s">
        <v>2133</v>
      </c>
      <c r="C66" s="4136" t="s">
        <v>1645</v>
      </c>
      <c r="D66" s="4135"/>
      <c r="E66" s="636"/>
      <c r="F66" s="635"/>
      <c r="G66" s="635"/>
      <c r="H66" s="643"/>
      <c r="I66" s="637"/>
      <c r="J66" s="576"/>
      <c r="K66" s="636">
        <f t="shared" ca="1" si="84"/>
        <v>41.39389297725684</v>
      </c>
      <c r="L66" s="635" t="str">
        <f t="shared" si="84"/>
        <v/>
      </c>
      <c r="M66" s="635" t="str">
        <f t="shared" si="84"/>
        <v/>
      </c>
      <c r="N66" s="643">
        <f t="shared" ca="1" si="84"/>
        <v>41.39389297725684</v>
      </c>
      <c r="O66" s="637">
        <f ca="1">IF(O17="","",IF(I17=0,"N",(O17/I17-1)*100))</f>
        <v>-17.510527862109505</v>
      </c>
      <c r="P66" s="576" t="str">
        <f ca="1">IF(ROUND(P17,2)=0,"ok","!")</f>
        <v>ok</v>
      </c>
      <c r="Q66" s="636">
        <f t="shared" ca="1" si="85"/>
        <v>-9.5426498987329804</v>
      </c>
      <c r="R66" s="635" t="str">
        <f t="shared" si="85"/>
        <v/>
      </c>
      <c r="S66" s="635" t="str">
        <f t="shared" si="85"/>
        <v/>
      </c>
      <c r="T66" s="643">
        <f t="shared" ca="1" si="85"/>
        <v>-9.5426498987329804</v>
      </c>
      <c r="U66" s="637">
        <f ca="1">IF(U17="","",IF(O17=0,"N",(U17/O17-1)*100))</f>
        <v>-1.6858601448414889</v>
      </c>
      <c r="V66" s="576" t="str">
        <f ca="1">IF(ROUND(V17,2)=0,"ok","!")</f>
        <v>ok</v>
      </c>
      <c r="W66" s="636">
        <f t="shared" ca="1" si="86"/>
        <v>7.8547253319448007</v>
      </c>
      <c r="X66" s="635" t="str">
        <f t="shared" si="86"/>
        <v/>
      </c>
      <c r="Y66" s="635" t="str">
        <f t="shared" si="86"/>
        <v/>
      </c>
      <c r="Z66" s="643">
        <f t="shared" ca="1" si="86"/>
        <v>7.8547253319448007</v>
      </c>
      <c r="AA66" s="637">
        <f ca="1">IF(AA17="","",IF(U17=0,"N",(AA17/U17-1)*100))</f>
        <v>-10.252384977659702</v>
      </c>
      <c r="AB66" s="576" t="str">
        <f ca="1">IF(ROUND(AB17,2)=0,"ok","!")</f>
        <v>ok</v>
      </c>
      <c r="AC66" s="636">
        <f t="shared" ca="1" si="87"/>
        <v>3.7922128080720485</v>
      </c>
      <c r="AD66" s="635" t="str">
        <f t="shared" si="87"/>
        <v/>
      </c>
      <c r="AE66" s="635" t="str">
        <f t="shared" si="87"/>
        <v/>
      </c>
      <c r="AF66" s="643">
        <f t="shared" ca="1" si="87"/>
        <v>3.7922128080720485</v>
      </c>
      <c r="AG66" s="637">
        <f ca="1">IF(AG17="","",IF(AA17=0,"N",(AG17/AA17-1)*100))</f>
        <v>15.392895586652312</v>
      </c>
      <c r="AH66" s="576" t="str">
        <f ca="1">IF(ROUND(AH17,2)=0,"ok","!")</f>
        <v>ok</v>
      </c>
      <c r="AI66" s="636">
        <f t="shared" ca="1" si="88"/>
        <v>0.69072980138611406</v>
      </c>
      <c r="AJ66" s="635" t="str">
        <f t="shared" si="88"/>
        <v/>
      </c>
      <c r="AK66" s="635" t="str">
        <f t="shared" si="88"/>
        <v/>
      </c>
      <c r="AL66" s="643">
        <f t="shared" ca="1" si="88"/>
        <v>0.69072980138611406</v>
      </c>
      <c r="AM66" s="637">
        <f ca="1">IF(AM17="","",IF(AG17=0,"N",(AM17/AG17-1)*100))</f>
        <v>-19.053171641791046</v>
      </c>
      <c r="AN66" s="576" t="str">
        <f ca="1">IF(ROUND(AN17,2)=0,"ok","!")</f>
        <v>ok</v>
      </c>
      <c r="AO66" s="636">
        <f t="shared" ca="1" si="89"/>
        <v>4.492435616121937</v>
      </c>
      <c r="AP66" s="635" t="str">
        <f t="shared" si="89"/>
        <v/>
      </c>
      <c r="AQ66" s="635" t="str">
        <f t="shared" si="89"/>
        <v/>
      </c>
      <c r="AR66" s="643">
        <f t="shared" ca="1" si="89"/>
        <v>4.492435616121937</v>
      </c>
      <c r="AS66" s="637">
        <f ca="1">IF(AS17="","",IF(AM17=0,"N",(AS17/AM17-1)*100))</f>
        <v>5.6755978104292781</v>
      </c>
      <c r="AT66" s="576" t="str">
        <f ca="1">IF(ROUND(AT17,2)=0,"ok","!")</f>
        <v>ok</v>
      </c>
      <c r="AU66" s="636">
        <f t="shared" ca="1" si="90"/>
        <v>2.272325375773665</v>
      </c>
      <c r="AV66" s="635" t="str">
        <f t="shared" si="90"/>
        <v/>
      </c>
      <c r="AW66" s="635" t="str">
        <f t="shared" si="90"/>
        <v/>
      </c>
      <c r="AX66" s="643">
        <f t="shared" ca="1" si="90"/>
        <v>2.272325375773665</v>
      </c>
      <c r="AY66" s="637">
        <f ca="1">IF(AY17="","",IF(AS17=0,"N",(AY17/AS17-1)*100))</f>
        <v>-3.1352235550708873</v>
      </c>
      <c r="AZ66" s="576" t="str">
        <f ca="1">IF(ROUND(AZ17,2)=0,"ok","!")</f>
        <v>ok</v>
      </c>
      <c r="BA66" s="636">
        <f t="shared" ca="1" si="91"/>
        <v>10.951413503933583</v>
      </c>
      <c r="BB66" s="635" t="str">
        <f t="shared" si="91"/>
        <v/>
      </c>
      <c r="BC66" s="635" t="str">
        <f t="shared" si="91"/>
        <v/>
      </c>
      <c r="BD66" s="643">
        <f t="shared" ca="1" si="91"/>
        <v>10.951413503933583</v>
      </c>
      <c r="BE66" s="637">
        <f ca="1">IF(BE17="","",IF(AY17=0,"N",(BE17/AY17-1)*100))</f>
        <v>21.840698001688708</v>
      </c>
      <c r="BF66" s="576" t="str">
        <f ca="1">IF(ROUND(BF17,2)=0,"ok","!")</f>
        <v>ok</v>
      </c>
      <c r="BG66" s="636">
        <f t="shared" ca="1" si="21"/>
        <v>-0.69153598909126313</v>
      </c>
      <c r="BH66" s="635" t="str">
        <f t="shared" si="22"/>
        <v/>
      </c>
      <c r="BI66" s="635" t="str">
        <f t="shared" si="23"/>
        <v/>
      </c>
      <c r="BJ66" s="643">
        <f t="shared" ca="1" si="24"/>
        <v>-0.69153598909126313</v>
      </c>
      <c r="BK66" s="637">
        <f ca="1">IF(BK17="","",IF(BE17=0,"N",(BK17/BE17-1)*100))</f>
        <v>-6.2716562716562567</v>
      </c>
      <c r="BL66" s="576" t="str">
        <f ca="1">IF(ROUND(BL17,2)=0,"ok","!")</f>
        <v>ok</v>
      </c>
      <c r="BM66" s="636">
        <f t="shared" ca="1" si="92"/>
        <v>32.104746959591999</v>
      </c>
      <c r="BN66" s="635" t="str">
        <f t="shared" si="92"/>
        <v/>
      </c>
      <c r="BO66" s="635" t="str">
        <f t="shared" si="92"/>
        <v/>
      </c>
      <c r="BP66" s="643">
        <f t="shared" ca="1" si="92"/>
        <v>32.104746959591999</v>
      </c>
      <c r="BQ66" s="637">
        <f ca="1">IF(BQ17="","",IF(BK17=0,"N",(BQ17/BK17-1)*100))</f>
        <v>9.8213185459026455</v>
      </c>
      <c r="BR66" s="576" t="str">
        <f ca="1">IF(ROUND(BR17,2)=0,"ok","!")</f>
        <v>ok</v>
      </c>
      <c r="BS66" s="636">
        <f t="shared" ca="1" si="93"/>
        <v>18.331922728555107</v>
      </c>
      <c r="BT66" s="635" t="str">
        <f t="shared" si="93"/>
        <v/>
      </c>
      <c r="BU66" s="635" t="str">
        <f t="shared" si="93"/>
        <v/>
      </c>
      <c r="BV66" s="643">
        <f t="shared" ca="1" si="93"/>
        <v>18.331922728555107</v>
      </c>
      <c r="BW66" s="637">
        <f ca="1">IF(BW17="","",IF(BQ17=0,"N",(BW17/BQ17-1)*100))</f>
        <v>-11.086175942549371</v>
      </c>
      <c r="BX66" s="576" t="str">
        <f ca="1">IF(ROUND(BX17,2)=0,"ok","!")</f>
        <v>ok</v>
      </c>
      <c r="BY66" s="636">
        <f t="shared" ca="1" si="94"/>
        <v>16.351498876940251</v>
      </c>
      <c r="BZ66" s="635" t="str">
        <f t="shared" si="94"/>
        <v/>
      </c>
      <c r="CA66" s="635" t="str">
        <f t="shared" si="94"/>
        <v/>
      </c>
      <c r="CB66" s="643">
        <f t="shared" ca="1" si="94"/>
        <v>16.351498876940251</v>
      </c>
      <c r="CC66" s="637">
        <f ca="1">IF(CC17="","",IF(BW17=0,"N",(CC17/BW17-1)*100))</f>
        <v>-14.689550731953549</v>
      </c>
      <c r="CD66" s="576" t="str">
        <f ca="1">IF(ROUND(CD17,2)=0,"ok","!")</f>
        <v>ok</v>
      </c>
      <c r="CE66" s="636">
        <f t="shared" ca="1" si="29"/>
        <v>10.988525085199097</v>
      </c>
      <c r="CF66" s="635" t="str">
        <f t="shared" si="30"/>
        <v/>
      </c>
      <c r="CG66" s="635" t="str">
        <f t="shared" si="31"/>
        <v/>
      </c>
      <c r="CH66" s="643">
        <f t="shared" ca="1" si="32"/>
        <v>10.988525085199097</v>
      </c>
      <c r="CI66" s="637">
        <f ca="1">IF(CI17="","",IF(CC17=0,"N",(CI17/CC17-1)*100))</f>
        <v>-0.62130177514794216</v>
      </c>
      <c r="CJ66" s="576" t="str">
        <f ca="1">IF(ROUND(CJ17,2)=0,"ok","!")</f>
        <v>ok</v>
      </c>
      <c r="CK66" s="636">
        <f t="shared" ca="1" si="34"/>
        <v>3.9217591557918041</v>
      </c>
      <c r="CL66" s="635" t="str">
        <f t="shared" si="35"/>
        <v/>
      </c>
      <c r="CM66" s="635" t="str">
        <f t="shared" si="36"/>
        <v/>
      </c>
      <c r="CN66" s="643">
        <f t="shared" ca="1" si="37"/>
        <v>3.9217591557918041</v>
      </c>
      <c r="CO66" s="637">
        <f t="shared" ca="1" si="95"/>
        <v>-5.954153021732667</v>
      </c>
      <c r="CP66" s="576" t="str">
        <f ca="1">IF(ROUND(CP17,2)=0,"ok","!")</f>
        <v>ok</v>
      </c>
      <c r="CQ66" s="636">
        <f t="shared" ca="1" si="39"/>
        <v>15.676630917540123</v>
      </c>
      <c r="CR66" s="635" t="str">
        <f t="shared" si="40"/>
        <v/>
      </c>
      <c r="CS66" s="635" t="str">
        <f t="shared" si="41"/>
        <v/>
      </c>
      <c r="CT66" s="643">
        <f t="shared" ca="1" si="42"/>
        <v>15.676630917540123</v>
      </c>
      <c r="CU66" s="637">
        <f t="shared" ca="1" si="96"/>
        <v>9.5441595441595695</v>
      </c>
      <c r="CV66" s="576" t="str">
        <f ca="1">IF(ROUND(CV17,2)=0,"ok","!")</f>
        <v>ok</v>
      </c>
      <c r="CW66" s="636">
        <f t="shared" ca="1" si="44"/>
        <v>8.1121933476134611</v>
      </c>
      <c r="CX66" s="635" t="str">
        <f t="shared" si="45"/>
        <v/>
      </c>
      <c r="CY66" s="635" t="str">
        <f t="shared" si="46"/>
        <v/>
      </c>
      <c r="CZ66" s="643">
        <f t="shared" ca="1" si="47"/>
        <v>8.1121933476134611</v>
      </c>
      <c r="DA66" s="637">
        <f t="shared" ca="1" si="97"/>
        <v>-10.186389250108363</v>
      </c>
      <c r="DB66" s="576" t="str">
        <f ca="1">IF(ROUND(DB17,2)=0,"ok","!")</f>
        <v>ok</v>
      </c>
      <c r="DC66" s="636">
        <f t="shared" ca="1" si="49"/>
        <v>-0.50018317620054153</v>
      </c>
      <c r="DD66" s="635" t="str">
        <f t="shared" si="50"/>
        <v/>
      </c>
      <c r="DE66" s="635" t="str">
        <f t="shared" si="51"/>
        <v/>
      </c>
      <c r="DF66" s="643">
        <f t="shared" ca="1" si="52"/>
        <v>-0.50018317620054153</v>
      </c>
      <c r="DG66" s="637">
        <f t="shared" ca="1" si="98"/>
        <v>3.3783783783783772</v>
      </c>
      <c r="DH66" s="576" t="str">
        <f ca="1">IF(ROUND(DH17,2)=0,"ok","!")</f>
        <v>ok</v>
      </c>
      <c r="DI66" s="636">
        <f t="shared" ca="1" si="54"/>
        <v>2.1212485535233805</v>
      </c>
      <c r="DJ66" s="635" t="str">
        <f t="shared" si="55"/>
        <v/>
      </c>
      <c r="DK66" s="635" t="str">
        <f t="shared" si="56"/>
        <v/>
      </c>
      <c r="DL66" s="643">
        <f t="shared" ca="1" si="57"/>
        <v>2.1212485535233805</v>
      </c>
      <c r="DM66" s="637">
        <f t="shared" ca="1" si="99"/>
        <v>3.4702769996887373</v>
      </c>
      <c r="DN66" s="576" t="str">
        <f ca="1">IF(ROUND(DN17,2)=0,"ok","!")</f>
        <v>ok</v>
      </c>
      <c r="DO66" s="636">
        <f t="shared" ca="1" si="59"/>
        <v>3.0506603877708649</v>
      </c>
      <c r="DP66" s="635" t="str">
        <f t="shared" si="60"/>
        <v/>
      </c>
      <c r="DQ66" s="635" t="str">
        <f t="shared" si="61"/>
        <v/>
      </c>
      <c r="DR66" s="643">
        <f t="shared" ca="1" si="62"/>
        <v>3.0506603877708649</v>
      </c>
      <c r="DS66" s="637">
        <f t="shared" ca="1" si="100"/>
        <v>2.8425327116859744</v>
      </c>
      <c r="DT66" s="576" t="str">
        <f ca="1">IF(ROUND(DT17,2)=0,"ok","!")</f>
        <v>!</v>
      </c>
      <c r="DU66" s="636">
        <f t="shared" ca="1" si="64"/>
        <v>0.37914759623280947</v>
      </c>
      <c r="DV66" s="635" t="str">
        <f t="shared" si="65"/>
        <v/>
      </c>
      <c r="DW66" s="635" t="str">
        <f t="shared" si="66"/>
        <v/>
      </c>
      <c r="DX66" s="643">
        <f t="shared" ca="1" si="67"/>
        <v>0.37914759623280947</v>
      </c>
      <c r="DY66" s="637">
        <f t="shared" ca="1" si="101"/>
        <v>36.107048844691448</v>
      </c>
      <c r="DZ66" s="576" t="str">
        <f ca="1">IF(ROUND(DZ17,2)=0,"ok","!")</f>
        <v>!</v>
      </c>
      <c r="EA66" s="636">
        <f t="shared" ca="1" si="69"/>
        <v>1.4226572391913495</v>
      </c>
      <c r="EB66" s="635" t="str">
        <f t="shared" si="70"/>
        <v/>
      </c>
      <c r="EC66" s="635" t="str">
        <f t="shared" si="71"/>
        <v/>
      </c>
      <c r="ED66" s="643">
        <f t="shared" ca="1" si="72"/>
        <v>1.4226572391913495</v>
      </c>
      <c r="EE66" s="637">
        <f t="shared" ca="1" si="102"/>
        <v>-19.404749113570439</v>
      </c>
      <c r="EF66" s="576" t="str">
        <f ca="1">IF(ROUND(EF17,2)=0,"ok","!")</f>
        <v>!</v>
      </c>
      <c r="EG66" s="636">
        <f t="shared" ca="1" si="74"/>
        <v>3.1315313293403202</v>
      </c>
      <c r="EH66" s="635" t="str">
        <f t="shared" si="75"/>
        <v/>
      </c>
      <c r="EI66" s="635" t="str">
        <f t="shared" si="76"/>
        <v/>
      </c>
      <c r="EJ66" s="643">
        <f t="shared" ca="1" si="77"/>
        <v>3.1315313293403202</v>
      </c>
      <c r="EK66" s="637">
        <f t="shared" ca="1" si="103"/>
        <v>0</v>
      </c>
      <c r="EL66" s="576" t="str">
        <f ca="1">IF(ROUND(EL17,2)=0,"ok","!")</f>
        <v>!</v>
      </c>
      <c r="EM66" s="636">
        <f t="shared" ca="1" si="79"/>
        <v>-3.4319929813189098</v>
      </c>
      <c r="EN66" s="635" t="str">
        <f t="shared" si="80"/>
        <v/>
      </c>
      <c r="EO66" s="635" t="str">
        <f t="shared" si="81"/>
        <v/>
      </c>
      <c r="EP66" s="643">
        <f t="shared" ca="1" si="82"/>
        <v>-3.4319929813189098</v>
      </c>
      <c r="EQ66" s="637">
        <f t="shared" ca="1" si="104"/>
        <v>0</v>
      </c>
      <c r="ER66" s="576" t="str">
        <f ca="1">IF(ROUND(ER17,2)=0,"ok","!")</f>
        <v>ok</v>
      </c>
    </row>
    <row r="67" spans="2:148">
      <c r="B67" s="568" t="s">
        <v>622</v>
      </c>
      <c r="C67" s="4136" t="s">
        <v>1631</v>
      </c>
      <c r="D67" s="4135"/>
      <c r="E67" s="636"/>
      <c r="F67" s="633"/>
      <c r="G67" s="643"/>
      <c r="H67" s="637"/>
      <c r="I67" s="634"/>
      <c r="J67" s="576"/>
      <c r="K67" s="636">
        <f ca="1">IF(K18="","",IF(E18=0,"N",(K18/E18-1)*100))</f>
        <v>10.604187097599404</v>
      </c>
      <c r="L67" s="633">
        <f t="shared" ref="L67:O68" ca="1" si="105">IF(L18="","",IF(F18=0,"N",(L18/F18-1)*100))</f>
        <v>-6.3474174410445112</v>
      </c>
      <c r="M67" s="643">
        <f t="shared" ca="1" si="105"/>
        <v>-13.953295964589307</v>
      </c>
      <c r="N67" s="637">
        <f t="shared" ca="1" si="105"/>
        <v>-4.2619510539147587</v>
      </c>
      <c r="O67" s="634">
        <f t="shared" ca="1" si="105"/>
        <v>17.380876962758407</v>
      </c>
      <c r="P67" s="576" t="str">
        <f ca="1">IF(ROUND(P18,2)=0,"ok","!")</f>
        <v>ok</v>
      </c>
      <c r="Q67" s="636">
        <f ca="1">IF(Q18="","",IF(K18=0,"N",(Q18/K18-1)*100))</f>
        <v>23.149575944487033</v>
      </c>
      <c r="R67" s="633">
        <f t="shared" ref="R67:U68" ca="1" si="106">IF(R18="","",IF(L18=0,"N",(R18/L18-1)*100))</f>
        <v>-0.7038735752236458</v>
      </c>
      <c r="S67" s="643">
        <f t="shared" ca="1" si="106"/>
        <v>-1.5408283454724225</v>
      </c>
      <c r="T67" s="637">
        <f t="shared" ca="1" si="106"/>
        <v>-4.2440848430146279</v>
      </c>
      <c r="U67" s="634">
        <f t="shared" ca="1" si="106"/>
        <v>23.149575944487299</v>
      </c>
      <c r="V67" s="576" t="str">
        <f ca="1">IF(ROUND(V18,2)=0,"ok","!")</f>
        <v>ok</v>
      </c>
      <c r="W67" s="636">
        <f ca="1">IF(W18="","",IF(Q18=0,"N",(W18/Q18-1)*100))</f>
        <v>3.3025512599778928</v>
      </c>
      <c r="X67" s="633">
        <f t="shared" ref="X67:AA68" ca="1" si="107">IF(X18="","",IF(R18=0,"N",(X18/R18-1)*100))</f>
        <v>5.7917162108600984</v>
      </c>
      <c r="Y67" s="643">
        <f t="shared" ca="1" si="107"/>
        <v>18.601074218750036</v>
      </c>
      <c r="Z67" s="637">
        <f t="shared" ca="1" si="107"/>
        <v>-0.73791297205221262</v>
      </c>
      <c r="AA67" s="634">
        <f t="shared" ca="1" si="107"/>
        <v>3.3025512599780704</v>
      </c>
      <c r="AB67" s="576" t="str">
        <f ca="1">IF(ROUND(AB18,2)=0,"ok","!")</f>
        <v>ok</v>
      </c>
      <c r="AC67" s="636">
        <f ca="1">IF(AC18="","",IF(W18=0,"N",(AC18/W18-1)*100))</f>
        <v>-11.890909090908641</v>
      </c>
      <c r="AD67" s="633">
        <f t="shared" ref="AD67:AG68" ca="1" si="108">IF(AD18="","",IF(X18=0,"N",(AD18/X18-1)*100))</f>
        <v>-4.8874415052469704</v>
      </c>
      <c r="AE67" s="643">
        <f t="shared" ca="1" si="108"/>
        <v>-6.7045431153380015</v>
      </c>
      <c r="AF67" s="637">
        <f t="shared" ca="1" si="108"/>
        <v>-2.1223487597588186</v>
      </c>
      <c r="AG67" s="634">
        <f t="shared" ca="1" si="108"/>
        <v>-11.89090909090913</v>
      </c>
      <c r="AH67" s="576" t="str">
        <f ca="1">IF(ROUND(AH18,2)=0,"ok","!")</f>
        <v>ok</v>
      </c>
      <c r="AI67" s="636">
        <f ca="1">IF(AI18="","",IF(AC18=0,"N",(AI18/AC18-1)*100))</f>
        <v>35.826798734350838</v>
      </c>
      <c r="AJ67" s="633">
        <f t="shared" ref="AJ67:AM68" ca="1" si="109">IF(AJ18="","",IF(AD18=0,"N",(AJ18/AD18-1)*100))</f>
        <v>10.859701085515594</v>
      </c>
      <c r="AK67" s="643">
        <f t="shared" ca="1" si="109"/>
        <v>21.340629274965917</v>
      </c>
      <c r="AL67" s="637">
        <f t="shared" ca="1" si="109"/>
        <v>-0.75466729497857266</v>
      </c>
      <c r="AM67" s="634">
        <f t="shared" ca="1" si="109"/>
        <v>35.826798734351506</v>
      </c>
      <c r="AN67" s="576" t="str">
        <f ca="1">IF(ROUND(AN18,2)=0,"ok","!")</f>
        <v>ok</v>
      </c>
      <c r="AO67" s="636">
        <f ca="1">IF(AO18="","",IF(AI18=0,"N",(AO18/AI18-1)*100))</f>
        <v>-50.586179829336643</v>
      </c>
      <c r="AP67" s="633">
        <f t="shared" ref="AP67:AS68" ca="1" si="110">IF(AP18="","",IF(AJ18=0,"N",(AP18/AJ18-1)*100))</f>
        <v>3.5996638127190783</v>
      </c>
      <c r="AQ67" s="643">
        <f t="shared" ca="1" si="110"/>
        <v>31.519802160235557</v>
      </c>
      <c r="AR67" s="637">
        <f t="shared" ca="1" si="110"/>
        <v>-2.9005746685007772</v>
      </c>
      <c r="AS67" s="634">
        <f t="shared" ca="1" si="110"/>
        <v>-50.586179829336885</v>
      </c>
      <c r="AT67" s="576" t="str">
        <f ca="1">IF(ROUND(AT18,2)=0,"ok","!")</f>
        <v>ok</v>
      </c>
      <c r="AU67" s="636">
        <f ca="1">IF(AU18="","",IF(AO18=0,"N",(AU18/AO18-1)*100))</f>
        <v>-26.2054829618247</v>
      </c>
      <c r="AV67" s="633">
        <f t="shared" ref="AV67:AY68" ca="1" si="111">IF(AV18="","",IF(AP18=0,"N",(AV18/AP18-1)*100))</f>
        <v>-7.7614352141938348</v>
      </c>
      <c r="AW67" s="643">
        <f t="shared" ca="1" si="111"/>
        <v>-5.64995575710644</v>
      </c>
      <c r="AX67" s="637">
        <f t="shared" ca="1" si="111"/>
        <v>-7.3695337950078539</v>
      </c>
      <c r="AY67" s="634">
        <f t="shared" ca="1" si="111"/>
        <v>-26.205482961824124</v>
      </c>
      <c r="AZ67" s="576" t="str">
        <f ca="1">IF(ROUND(AZ18,2)=0,"ok","!")</f>
        <v>ok</v>
      </c>
      <c r="BA67" s="636">
        <f ca="1">IF(BA18="","",IF(AU18=0,"N",(BA18/AU18-1)*100))</f>
        <v>20.804110825637643</v>
      </c>
      <c r="BB67" s="633">
        <f t="shared" ref="BB67:BE68" ca="1" si="112">IF(BB18="","",IF(AV18=0,"N",(BB18/AV18-1)*100))</f>
        <v>-4.4738018198394736</v>
      </c>
      <c r="BC67" s="643">
        <f t="shared" ca="1" si="112"/>
        <v>-7.0829334056256466</v>
      </c>
      <c r="BD67" s="637">
        <f t="shared" ca="1" si="112"/>
        <v>-4.535326951890772</v>
      </c>
      <c r="BE67" s="634">
        <f t="shared" ca="1" si="112"/>
        <v>20.804110825636979</v>
      </c>
      <c r="BF67" s="576" t="str">
        <f ca="1">IF(ROUND(BF18,2)=0,"ok","!")</f>
        <v>ok</v>
      </c>
      <c r="BG67" s="636">
        <f ca="1">IF(BG18="","",IF(BA18=0,"N",(BG18/BA18-1)*100))</f>
        <v>-86.066563200551542</v>
      </c>
      <c r="BH67" s="633">
        <f t="shared" ref="BH67:BK68" ca="1" si="113">IF(BH18="","",IF(BB18=0,"N",(BH18/BB18-1)*100))</f>
        <v>1.1497780539108327</v>
      </c>
      <c r="BI67" s="643">
        <f t="shared" ca="1" si="113"/>
        <v>15.649444865001261</v>
      </c>
      <c r="BJ67" s="637">
        <f t="shared" ca="1" si="113"/>
        <v>-1.4645967682911931</v>
      </c>
      <c r="BK67" s="634">
        <f t="shared" ca="1" si="113"/>
        <v>-86.066563200551741</v>
      </c>
      <c r="BL67" s="576" t="str">
        <f ca="1">IF(ROUND(BL18,2)=0,"ok","!")</f>
        <v>ok</v>
      </c>
      <c r="BM67" s="636">
        <f ca="1">IF(BM18="","",IF(BG18=0,"N",(BM18/BG18-1)*100))</f>
        <v>-188.07755775577357</v>
      </c>
      <c r="BN67" s="633">
        <f t="shared" ref="BN67:BQ68" ca="1" si="114">IF(BN18="","",IF(BH18=0,"N",(BN18/BH18-1)*100))</f>
        <v>1.2547455356812343</v>
      </c>
      <c r="BO67" s="643">
        <f t="shared" ca="1" si="114"/>
        <v>12.684267226684497</v>
      </c>
      <c r="BP67" s="637">
        <f t="shared" ca="1" si="114"/>
        <v>-8.791925260794919</v>
      </c>
      <c r="BQ67" s="634">
        <f t="shared" ca="1" si="114"/>
        <v>-188.07755775577505</v>
      </c>
      <c r="BR67" s="576" t="str">
        <f ca="1">IF(ROUND(BR18,2)=0,"ok","!")</f>
        <v>ok</v>
      </c>
      <c r="BS67" s="636">
        <f ca="1">IF(BS18="","",IF(BM18=0,"N",(BS18/BM18-1)*100))</f>
        <v>-309.88290398126327</v>
      </c>
      <c r="BT67" s="633">
        <f t="shared" ref="BT67:BW68" ca="1" si="115">IF(BT18="","",IF(BN18=0,"N",(BT18/BN18-1)*100))</f>
        <v>3.5604524109704272</v>
      </c>
      <c r="BU67" s="643">
        <f t="shared" ca="1" si="115"/>
        <v>4.7438961667624957</v>
      </c>
      <c r="BV67" s="637">
        <f t="shared" ca="1" si="115"/>
        <v>-4.2645794688503713</v>
      </c>
      <c r="BW67" s="634">
        <f t="shared" ca="1" si="115"/>
        <v>-309.88290398126736</v>
      </c>
      <c r="BX67" s="576" t="str">
        <f ca="1">IF(ROUND(BX18,2)=0,"ok","!")</f>
        <v>ok</v>
      </c>
      <c r="BY67" s="636">
        <f ca="1">IF(BY18="","",IF(BS18=0,"N",(BY18/BS18-1)*100))</f>
        <v>40.615933943318197</v>
      </c>
      <c r="BZ67" s="633">
        <f t="shared" ref="BZ67:CC68" ca="1" si="116">IF(BZ18="","",IF(BT18=0,"N",(BZ18/BT18-1)*100))</f>
        <v>6.800570242917825</v>
      </c>
      <c r="CA67" s="643">
        <f t="shared" ca="1" si="116"/>
        <v>9.8460471967880316</v>
      </c>
      <c r="CB67" s="637">
        <f t="shared" ca="1" si="116"/>
        <v>0.38562598060527531</v>
      </c>
      <c r="CC67" s="634">
        <f t="shared" ca="1" si="116"/>
        <v>40.615933943315682</v>
      </c>
      <c r="CD67" s="576" t="str">
        <f ca="1">IF(ROUND(CD18,2)=0,"ok","!")</f>
        <v>ok</v>
      </c>
      <c r="CE67" s="636">
        <f ca="1">IF(CE18="","",IF(BY18=0,"N",(CE18/BY18-1)*100))</f>
        <v>615.68005078558349</v>
      </c>
      <c r="CF67" s="633">
        <f t="shared" ref="CF67:CI68" ca="1" si="117">IF(CF18="","",IF(BZ18=0,"N",(CF18/BZ18-1)*100))</f>
        <v>12.246745523029157</v>
      </c>
      <c r="CG67" s="643">
        <f t="shared" ca="1" si="117"/>
        <v>0.4522768986427339</v>
      </c>
      <c r="CH67" s="637">
        <f t="shared" ca="1" si="117"/>
        <v>-2.4366820450051896</v>
      </c>
      <c r="CI67" s="634">
        <f t="shared" ca="1" si="117"/>
        <v>615.68005078558417</v>
      </c>
      <c r="CJ67" s="576" t="str">
        <f ca="1">IF(ROUND(CJ18,2)=0,"ok","!")</f>
        <v>ok</v>
      </c>
      <c r="CK67" s="636">
        <f t="shared" ca="1" si="34"/>
        <v>-186.47078390065431</v>
      </c>
      <c r="CL67" s="633">
        <f t="shared" ca="1" si="35"/>
        <v>-3.9372906401040852</v>
      </c>
      <c r="CM67" s="643">
        <f t="shared" ca="1" si="36"/>
        <v>37.916014428639386</v>
      </c>
      <c r="CN67" s="637">
        <f t="shared" ca="1" si="37"/>
        <v>-1.6502287159097406</v>
      </c>
      <c r="CO67" s="634">
        <f t="shared" ca="1" si="95"/>
        <v>-186.47078390065391</v>
      </c>
      <c r="CP67" s="576" t="str">
        <f ca="1">IF(ROUND(CP18,2)=0,"ok","!")</f>
        <v>ok</v>
      </c>
      <c r="CQ67" s="636">
        <f t="shared" ca="1" si="39"/>
        <v>-277.47602195209515</v>
      </c>
      <c r="CR67" s="633">
        <f t="shared" ca="1" si="40"/>
        <v>0.71150605178489368</v>
      </c>
      <c r="CS67" s="643">
        <f t="shared" ca="1" si="41"/>
        <v>-37.309818093473815</v>
      </c>
      <c r="CT67" s="637">
        <f t="shared" ca="1" si="42"/>
        <v>-7.4485830912944699</v>
      </c>
      <c r="CU67" s="634">
        <f t="shared" ca="1" si="96"/>
        <v>-277.47602195209544</v>
      </c>
      <c r="CV67" s="576" t="str">
        <f ca="1">IF(ROUND(CV18,2)=0,"ok","!")</f>
        <v>ok</v>
      </c>
      <c r="CW67" s="636">
        <f t="shared" ca="1" si="44"/>
        <v>-110.62784480890129</v>
      </c>
      <c r="CX67" s="633">
        <f t="shared" ca="1" si="45"/>
        <v>-6.1499002044591577</v>
      </c>
      <c r="CY67" s="643">
        <f t="shared" ca="1" si="46"/>
        <v>36.869194530899939</v>
      </c>
      <c r="CZ67" s="637">
        <f t="shared" ca="1" si="47"/>
        <v>-4.8144103646059371</v>
      </c>
      <c r="DA67" s="634">
        <f t="shared" ca="1" si="97"/>
        <v>-110.62784480890109</v>
      </c>
      <c r="DB67" s="576" t="str">
        <f ca="1">IF(ROUND(DB18,2)=0,"ok","!")</f>
        <v>ok</v>
      </c>
      <c r="DC67" s="636">
        <f t="shared" ca="1" si="49"/>
        <v>-744.37797416722151</v>
      </c>
      <c r="DD67" s="633">
        <f t="shared" ca="1" si="50"/>
        <v>-5.437027287256968</v>
      </c>
      <c r="DE67" s="643">
        <f t="shared" ca="1" si="51"/>
        <v>-32.914517285010213</v>
      </c>
      <c r="DF67" s="637">
        <f t="shared" ca="1" si="52"/>
        <v>3.2056137224325987</v>
      </c>
      <c r="DG67" s="634">
        <f t="shared" ca="1" si="98"/>
        <v>-744.37797416723333</v>
      </c>
      <c r="DH67" s="576" t="str">
        <f ca="1">IF(ROUND(DH18,2)=0,"ok","!")</f>
        <v>ok</v>
      </c>
      <c r="DI67" s="636">
        <f t="shared" ca="1" si="54"/>
        <v>-67.481115753048897</v>
      </c>
      <c r="DJ67" s="633">
        <f t="shared" ca="1" si="55"/>
        <v>0.20055675927703742</v>
      </c>
      <c r="DK67" s="643">
        <f t="shared" ca="1" si="56"/>
        <v>30.397794718932136</v>
      </c>
      <c r="DL67" s="637">
        <f t="shared" ca="1" si="57"/>
        <v>-14.598847374214852</v>
      </c>
      <c r="DM67" s="634">
        <f t="shared" ca="1" si="99"/>
        <v>-67.481115753048982</v>
      </c>
      <c r="DN67" s="576" t="str">
        <f ca="1">IF(ROUND(DN18,2)=0,"ok","!")</f>
        <v>ok</v>
      </c>
      <c r="DO67" s="636">
        <f t="shared" ca="1" si="59"/>
        <v>-249.57176226317205</v>
      </c>
      <c r="DP67" s="633">
        <f t="shared" ca="1" si="60"/>
        <v>-5.0733389673353386</v>
      </c>
      <c r="DQ67" s="643">
        <f t="shared" ca="1" si="61"/>
        <v>6.3273150255398924</v>
      </c>
      <c r="DR67" s="637">
        <f t="shared" ca="1" si="62"/>
        <v>14.058965512883702</v>
      </c>
      <c r="DS67" s="634">
        <f t="shared" ca="1" si="100"/>
        <v>-249.44848170256941</v>
      </c>
      <c r="DT67" s="576" t="str">
        <f ca="1">IF(ROUND(DT18,2)=0,"ok","!")</f>
        <v>ok</v>
      </c>
      <c r="DU67" s="636">
        <f t="shared" ca="1" si="64"/>
        <v>170.04598299496752</v>
      </c>
      <c r="DV67" s="633">
        <f t="shared" ca="1" si="65"/>
        <v>-2.483375083349848</v>
      </c>
      <c r="DW67" s="643">
        <f t="shared" ca="1" si="66"/>
        <v>16.387384002168947</v>
      </c>
      <c r="DX67" s="637">
        <f t="shared" ca="1" si="67"/>
        <v>-2.3754653430242967</v>
      </c>
      <c r="DY67" s="634">
        <f t="shared" ca="1" si="101"/>
        <v>169.20939521556068</v>
      </c>
      <c r="DZ67" s="576" t="str">
        <f ca="1">IF(ROUND(DZ18,2)=0,"ok","!")</f>
        <v>!</v>
      </c>
      <c r="EA67" s="636">
        <f t="shared" ca="1" si="69"/>
        <v>-63.782107917944963</v>
      </c>
      <c r="EB67" s="633">
        <f t="shared" ca="1" si="70"/>
        <v>-2.9487534882001842</v>
      </c>
      <c r="EC67" s="643">
        <f t="shared" ca="1" si="71"/>
        <v>-17.502676812672156</v>
      </c>
      <c r="ED67" s="637">
        <f t="shared" ca="1" si="72"/>
        <v>-5.5100326856727611</v>
      </c>
      <c r="EE67" s="634">
        <f t="shared" ca="1" si="102"/>
        <v>-63.162223619913902</v>
      </c>
      <c r="EF67" s="576" t="str">
        <f ca="1">IF(ROUND(EF18,2)=0,"ok","!")</f>
        <v>!</v>
      </c>
      <c r="EG67" s="636">
        <f t="shared" ca="1" si="74"/>
        <v>-39.799891776812316</v>
      </c>
      <c r="EH67" s="633">
        <f t="shared" ca="1" si="75"/>
        <v>-2.5287820293318219E-5</v>
      </c>
      <c r="EI67" s="643">
        <f t="shared" ca="1" si="76"/>
        <v>2.4999999999999911</v>
      </c>
      <c r="EJ67" s="637">
        <f t="shared" ca="1" si="77"/>
        <v>-16.839424913220537</v>
      </c>
      <c r="EK67" s="634">
        <f t="shared" ca="1" si="103"/>
        <v>-40.579999999999991</v>
      </c>
      <c r="EL67" s="576" t="str">
        <f ca="1">IF(ROUND(EL18,2)=0,"ok","!")</f>
        <v>ok</v>
      </c>
      <c r="EM67" s="636">
        <f t="shared" ca="1" si="79"/>
        <v>-43.32999999999997</v>
      </c>
      <c r="EN67" s="633">
        <f t="shared" ca="1" si="80"/>
        <v>2.211270116728925</v>
      </c>
      <c r="EO67" s="643">
        <f t="shared" ca="1" si="81"/>
        <v>2.4999999999999911</v>
      </c>
      <c r="EP67" s="637">
        <f t="shared" ca="1" si="82"/>
        <v>-7.5791686525990549</v>
      </c>
      <c r="EQ67" s="634">
        <f t="shared" ca="1" si="104"/>
        <v>-43.33</v>
      </c>
      <c r="ER67" s="576" t="str">
        <f ca="1">IF(ROUND(ER18,2)=0,"ok","!")</f>
        <v>ok</v>
      </c>
    </row>
    <row r="68" spans="2:148">
      <c r="B68" s="592"/>
      <c r="C68" s="599"/>
      <c r="D68" s="600" t="s">
        <v>1294</v>
      </c>
      <c r="E68" s="644"/>
      <c r="F68" s="635"/>
      <c r="G68" s="645"/>
      <c r="H68" s="606"/>
      <c r="I68" s="638"/>
      <c r="J68" s="580"/>
      <c r="K68" s="644" t="str">
        <f>IF(K19="","",IF(E19=0,"N",(K19/E19-1)*100))</f>
        <v/>
      </c>
      <c r="L68" s="635" t="str">
        <f t="shared" si="105"/>
        <v/>
      </c>
      <c r="M68" s="645" t="str">
        <f t="shared" si="105"/>
        <v/>
      </c>
      <c r="N68" s="606">
        <f t="shared" ca="1" si="105"/>
        <v>25.312021020363474</v>
      </c>
      <c r="O68" s="638" t="str">
        <f t="shared" si="105"/>
        <v/>
      </c>
      <c r="P68" s="580"/>
      <c r="Q68" s="644" t="str">
        <f>IF(Q19="","",IF(K19=0,"N",(Q19/K19-1)*100))</f>
        <v/>
      </c>
      <c r="R68" s="635" t="str">
        <f t="shared" si="106"/>
        <v/>
      </c>
      <c r="S68" s="645" t="str">
        <f t="shared" si="106"/>
        <v/>
      </c>
      <c r="T68" s="606">
        <f t="shared" ca="1" si="106"/>
        <v>-6.9648785601956975</v>
      </c>
      <c r="U68" s="638" t="str">
        <f t="shared" si="106"/>
        <v/>
      </c>
      <c r="V68" s="580"/>
      <c r="W68" s="644" t="str">
        <f>IF(W19="","",IF(Q19=0,"N",(W19/Q19-1)*100))</f>
        <v/>
      </c>
      <c r="X68" s="635" t="str">
        <f t="shared" si="107"/>
        <v/>
      </c>
      <c r="Y68" s="645" t="str">
        <f t="shared" si="107"/>
        <v/>
      </c>
      <c r="Z68" s="606">
        <f t="shared" ca="1" si="107"/>
        <v>-1.0442491172714119</v>
      </c>
      <c r="AA68" s="638" t="str">
        <f t="shared" si="107"/>
        <v/>
      </c>
      <c r="AB68" s="580"/>
      <c r="AC68" s="644" t="str">
        <f>IF(AC19="","",IF(W19=0,"N",(AC19/W19-1)*100))</f>
        <v/>
      </c>
      <c r="AD68" s="635" t="str">
        <f t="shared" si="108"/>
        <v/>
      </c>
      <c r="AE68" s="645" t="str">
        <f t="shared" si="108"/>
        <v/>
      </c>
      <c r="AF68" s="606">
        <f t="shared" ca="1" si="108"/>
        <v>-9.6454600668083863</v>
      </c>
      <c r="AG68" s="638" t="str">
        <f t="shared" si="108"/>
        <v/>
      </c>
      <c r="AH68" s="580"/>
      <c r="AI68" s="644" t="str">
        <f>IF(AI19="","",IF(AC19=0,"N",(AI19/AC19-1)*100))</f>
        <v/>
      </c>
      <c r="AJ68" s="635" t="str">
        <f t="shared" si="109"/>
        <v/>
      </c>
      <c r="AK68" s="645" t="str">
        <f t="shared" si="109"/>
        <v/>
      </c>
      <c r="AL68" s="606">
        <f t="shared" ca="1" si="109"/>
        <v>21.673738604377601</v>
      </c>
      <c r="AM68" s="638" t="str">
        <f t="shared" si="109"/>
        <v/>
      </c>
      <c r="AN68" s="580"/>
      <c r="AO68" s="644" t="str">
        <f>IF(AO19="","",IF(AI19=0,"N",(AO19/AI19-1)*100))</f>
        <v/>
      </c>
      <c r="AP68" s="635" t="str">
        <f t="shared" si="110"/>
        <v/>
      </c>
      <c r="AQ68" s="645" t="str">
        <f t="shared" si="110"/>
        <v/>
      </c>
      <c r="AR68" s="606">
        <f t="shared" ca="1" si="110"/>
        <v>19.770734065326991</v>
      </c>
      <c r="AS68" s="638" t="str">
        <f t="shared" si="110"/>
        <v/>
      </c>
      <c r="AT68" s="580"/>
      <c r="AU68" s="644" t="str">
        <f>IF(AU19="","",IF(AO19=0,"N",(AU19/AO19-1)*100))</f>
        <v/>
      </c>
      <c r="AV68" s="635" t="str">
        <f t="shared" si="111"/>
        <v/>
      </c>
      <c r="AW68" s="645" t="str">
        <f t="shared" si="111"/>
        <v/>
      </c>
      <c r="AX68" s="606">
        <f t="shared" ca="1" si="111"/>
        <v>-11.090290590405916</v>
      </c>
      <c r="AY68" s="638" t="str">
        <f t="shared" si="111"/>
        <v/>
      </c>
      <c r="AZ68" s="580"/>
      <c r="BA68" s="644" t="str">
        <f>IF(BA19="","",IF(AU19=0,"N",(BA19/AU19-1)*100))</f>
        <v/>
      </c>
      <c r="BB68" s="635" t="str">
        <f t="shared" si="112"/>
        <v/>
      </c>
      <c r="BC68" s="645" t="str">
        <f t="shared" si="112"/>
        <v/>
      </c>
      <c r="BD68" s="606">
        <f t="shared" ca="1" si="112"/>
        <v>-4.6431698064265063</v>
      </c>
      <c r="BE68" s="638" t="str">
        <f t="shared" si="112"/>
        <v/>
      </c>
      <c r="BF68" s="580"/>
      <c r="BG68" s="644" t="str">
        <f>IF(BG19="","",IF(BA19=0,"N",(BG19/BA19-1)*100))</f>
        <v/>
      </c>
      <c r="BH68" s="635" t="str">
        <f t="shared" si="113"/>
        <v/>
      </c>
      <c r="BI68" s="645" t="str">
        <f t="shared" si="113"/>
        <v/>
      </c>
      <c r="BJ68" s="606">
        <f t="shared" ca="1" si="113"/>
        <v>-23.77503485327621</v>
      </c>
      <c r="BK68" s="638" t="str">
        <f t="shared" si="113"/>
        <v/>
      </c>
      <c r="BL68" s="580"/>
      <c r="BM68" s="644" t="str">
        <f>IF(BM19="","",IF(BG19=0,"N",(BM19/BG19-1)*100))</f>
        <v/>
      </c>
      <c r="BN68" s="635" t="str">
        <f t="shared" si="114"/>
        <v/>
      </c>
      <c r="BO68" s="645" t="str">
        <f t="shared" si="114"/>
        <v/>
      </c>
      <c r="BP68" s="606">
        <f t="shared" ca="1" si="114"/>
        <v>12.793861801311524</v>
      </c>
      <c r="BQ68" s="638" t="str">
        <f t="shared" si="114"/>
        <v/>
      </c>
      <c r="BR68" s="580"/>
      <c r="BS68" s="644" t="str">
        <f>IF(BS19="","",IF(BM19=0,"N",(BS19/BM19-1)*100))</f>
        <v/>
      </c>
      <c r="BT68" s="635" t="str">
        <f t="shared" si="115"/>
        <v/>
      </c>
      <c r="BU68" s="645" t="str">
        <f t="shared" si="115"/>
        <v/>
      </c>
      <c r="BV68" s="606">
        <f t="shared" ca="1" si="115"/>
        <v>10.816689736998208</v>
      </c>
      <c r="BW68" s="638" t="str">
        <f t="shared" si="115"/>
        <v/>
      </c>
      <c r="BX68" s="580"/>
      <c r="BY68" s="644" t="str">
        <f>IF(BY19="","",IF(BS19=0,"N",(BY19/BS19-1)*100))</f>
        <v/>
      </c>
      <c r="BZ68" s="635" t="str">
        <f t="shared" si="116"/>
        <v/>
      </c>
      <c r="CA68" s="645" t="str">
        <f t="shared" si="116"/>
        <v/>
      </c>
      <c r="CB68" s="606">
        <f t="shared" ca="1" si="116"/>
        <v>10.913633119200572</v>
      </c>
      <c r="CC68" s="638" t="str">
        <f t="shared" si="116"/>
        <v/>
      </c>
      <c r="CD68" s="580"/>
      <c r="CE68" s="644" t="str">
        <f>IF(CE19="","",IF(BY19=0,"N",(CE19/BY19-1)*100))</f>
        <v/>
      </c>
      <c r="CF68" s="635" t="str">
        <f t="shared" si="117"/>
        <v/>
      </c>
      <c r="CG68" s="645" t="str">
        <f t="shared" si="117"/>
        <v/>
      </c>
      <c r="CH68" s="606">
        <f t="shared" ca="1" si="117"/>
        <v>18.183280777398814</v>
      </c>
      <c r="CI68" s="638" t="str">
        <f t="shared" si="117"/>
        <v/>
      </c>
      <c r="CJ68" s="580"/>
      <c r="CK68" s="644" t="str">
        <f t="shared" si="34"/>
        <v/>
      </c>
      <c r="CL68" s="635" t="str">
        <f t="shared" si="35"/>
        <v/>
      </c>
      <c r="CM68" s="645" t="str">
        <f t="shared" si="36"/>
        <v/>
      </c>
      <c r="CN68" s="606">
        <f t="shared" ca="1" si="37"/>
        <v>-14.225816112608559</v>
      </c>
      <c r="CO68" s="638" t="str">
        <f t="shared" si="95"/>
        <v/>
      </c>
      <c r="CP68" s="580"/>
      <c r="CQ68" s="644" t="str">
        <f t="shared" si="39"/>
        <v/>
      </c>
      <c r="CR68" s="635" t="str">
        <f t="shared" si="40"/>
        <v/>
      </c>
      <c r="CS68" s="645" t="str">
        <f t="shared" si="41"/>
        <v/>
      </c>
      <c r="CT68" s="606">
        <f t="shared" ca="1" si="42"/>
        <v>18.8230066023362</v>
      </c>
      <c r="CU68" s="638" t="str">
        <f t="shared" si="96"/>
        <v/>
      </c>
      <c r="CV68" s="580"/>
      <c r="CW68" s="644" t="str">
        <f t="shared" si="44"/>
        <v/>
      </c>
      <c r="CX68" s="635" t="str">
        <f t="shared" si="45"/>
        <v/>
      </c>
      <c r="CY68" s="645" t="str">
        <f t="shared" si="46"/>
        <v/>
      </c>
      <c r="CZ68" s="606">
        <f t="shared" ca="1" si="47"/>
        <v>24.678100122882938</v>
      </c>
      <c r="DA68" s="638" t="str">
        <f t="shared" si="97"/>
        <v/>
      </c>
      <c r="DB68" s="580"/>
      <c r="DC68" s="644" t="str">
        <f t="shared" si="49"/>
        <v/>
      </c>
      <c r="DD68" s="635" t="str">
        <f t="shared" si="50"/>
        <v/>
      </c>
      <c r="DE68" s="645" t="str">
        <f t="shared" si="51"/>
        <v/>
      </c>
      <c r="DF68" s="606">
        <f t="shared" ca="1" si="52"/>
        <v>0.92560850188549981</v>
      </c>
      <c r="DG68" s="638" t="str">
        <f t="shared" si="98"/>
        <v/>
      </c>
      <c r="DH68" s="580"/>
      <c r="DI68" s="644" t="str">
        <f t="shared" si="54"/>
        <v/>
      </c>
      <c r="DJ68" s="635" t="str">
        <f t="shared" si="55"/>
        <v/>
      </c>
      <c r="DK68" s="645" t="str">
        <f t="shared" si="56"/>
        <v/>
      </c>
      <c r="DL68" s="606">
        <f t="shared" ca="1" si="57"/>
        <v>7.5301460597826164</v>
      </c>
      <c r="DM68" s="638" t="str">
        <f t="shared" si="99"/>
        <v/>
      </c>
      <c r="DN68" s="580"/>
      <c r="DO68" s="644" t="str">
        <f t="shared" si="59"/>
        <v/>
      </c>
      <c r="DP68" s="635" t="str">
        <f t="shared" si="60"/>
        <v/>
      </c>
      <c r="DQ68" s="645" t="str">
        <f t="shared" si="61"/>
        <v/>
      </c>
      <c r="DR68" s="606">
        <f t="shared" ca="1" si="62"/>
        <v>-20.384592604292131</v>
      </c>
      <c r="DS68" s="638" t="str">
        <f t="shared" si="100"/>
        <v/>
      </c>
      <c r="DT68" s="580"/>
      <c r="DU68" s="644" t="str">
        <f t="shared" si="64"/>
        <v/>
      </c>
      <c r="DV68" s="635" t="str">
        <f t="shared" si="65"/>
        <v/>
      </c>
      <c r="DW68" s="645" t="str">
        <f t="shared" si="66"/>
        <v/>
      </c>
      <c r="DX68" s="606">
        <f t="shared" ca="1" si="67"/>
        <v>-10.539106283787136</v>
      </c>
      <c r="DY68" s="638" t="str">
        <f t="shared" si="101"/>
        <v/>
      </c>
      <c r="DZ68" s="580"/>
      <c r="EA68" s="644" t="str">
        <f t="shared" si="69"/>
        <v/>
      </c>
      <c r="EB68" s="635" t="str">
        <f t="shared" si="70"/>
        <v/>
      </c>
      <c r="EC68" s="645" t="str">
        <f t="shared" si="71"/>
        <v/>
      </c>
      <c r="ED68" s="606">
        <f t="shared" ca="1" si="72"/>
        <v>5.0698525335403088</v>
      </c>
      <c r="EE68" s="638" t="str">
        <f t="shared" si="102"/>
        <v/>
      </c>
      <c r="EF68" s="580"/>
      <c r="EG68" s="644" t="str">
        <f t="shared" si="74"/>
        <v/>
      </c>
      <c r="EH68" s="635" t="str">
        <f t="shared" si="75"/>
        <v/>
      </c>
      <c r="EI68" s="645" t="str">
        <f t="shared" si="76"/>
        <v/>
      </c>
      <c r="EJ68" s="606">
        <f t="shared" ca="1" si="77"/>
        <v>1.6330299432792517</v>
      </c>
      <c r="EK68" s="638" t="str">
        <f t="shared" si="103"/>
        <v/>
      </c>
      <c r="EL68" s="580"/>
      <c r="EM68" s="644" t="str">
        <f t="shared" si="79"/>
        <v/>
      </c>
      <c r="EN68" s="635" t="str">
        <f t="shared" si="80"/>
        <v/>
      </c>
      <c r="EO68" s="645" t="str">
        <f t="shared" si="81"/>
        <v/>
      </c>
      <c r="EP68" s="606">
        <f t="shared" ca="1" si="82"/>
        <v>-0.98000000000000309</v>
      </c>
      <c r="EQ68" s="638" t="str">
        <f t="shared" si="104"/>
        <v/>
      </c>
      <c r="ER68" s="580"/>
    </row>
    <row r="69" spans="2:148">
      <c r="B69" s="592"/>
      <c r="C69" s="599"/>
      <c r="D69" s="600" t="s">
        <v>1295</v>
      </c>
      <c r="E69" s="644"/>
      <c r="F69" s="635"/>
      <c r="G69" s="645"/>
      <c r="H69" s="606"/>
      <c r="I69" s="638"/>
      <c r="J69" s="580"/>
      <c r="K69" s="644"/>
      <c r="L69" s="635"/>
      <c r="M69" s="645"/>
      <c r="N69" s="606">
        <f ca="1">IF(N20="","",IF(H20=0,"N",(N20/H20-1)*100))</f>
        <v>-17.647058823479057</v>
      </c>
      <c r="O69" s="638"/>
      <c r="P69" s="580"/>
      <c r="Q69" s="644"/>
      <c r="R69" s="635"/>
      <c r="S69" s="645"/>
      <c r="T69" s="606">
        <f t="shared" ref="T69:T91" ca="1" si="118">IF(T20="","",IF(N20=0,"N",(T20/N20-1)*100))</f>
        <v>28.57142857150281</v>
      </c>
      <c r="U69" s="638"/>
      <c r="V69" s="580"/>
      <c r="W69" s="644"/>
      <c r="X69" s="635"/>
      <c r="Y69" s="645"/>
      <c r="Z69" s="606">
        <f t="shared" ref="Z69:Z91" ca="1" si="119">IF(Z20="","",IF(T20=0,"N",(Z20/T20-1)*100))</f>
        <v>33.333333333198588</v>
      </c>
      <c r="AA69" s="638"/>
      <c r="AB69" s="580"/>
      <c r="AC69" s="644"/>
      <c r="AD69" s="635"/>
      <c r="AE69" s="645"/>
      <c r="AF69" s="606">
        <f t="shared" ref="AF69:AF91" ca="1" si="120">IF(AF20="","",IF(Z20=0,"N",(AF20/Z20-1)*100))</f>
        <v>41.666666666641405</v>
      </c>
      <c r="AG69" s="638"/>
      <c r="AH69" s="580"/>
      <c r="AI69" s="644"/>
      <c r="AJ69" s="635"/>
      <c r="AK69" s="645"/>
      <c r="AL69" s="606">
        <f t="shared" ref="AL69:AL91" ca="1" si="121">IF(AL20="","",IF(AF20=0,"N",(AL20/AF20-1)*100))</f>
        <v>14.705882352934886</v>
      </c>
      <c r="AM69" s="638"/>
      <c r="AN69" s="580"/>
      <c r="AO69" s="644"/>
      <c r="AP69" s="635"/>
      <c r="AQ69" s="645"/>
      <c r="AR69" s="606">
        <f t="shared" ref="AR69:AR91" ca="1" si="122">IF(AR20="","",IF(AL20=0,"N",(AR20/AL20-1)*100))</f>
        <v>2.5641025640642967</v>
      </c>
      <c r="AS69" s="638"/>
      <c r="AT69" s="580"/>
      <c r="AU69" s="644"/>
      <c r="AV69" s="635"/>
      <c r="AW69" s="645"/>
      <c r="AX69" s="606">
        <f t="shared" ref="AX69:AX91" ca="1" si="123">IF(AX20="","",IF(AR20=0,"N",(AX20/AR20-1)*100))</f>
        <v>120.00000000002728</v>
      </c>
      <c r="AY69" s="638"/>
      <c r="AZ69" s="580"/>
      <c r="BA69" s="644"/>
      <c r="BB69" s="635"/>
      <c r="BC69" s="645"/>
      <c r="BD69" s="606">
        <f t="shared" ref="BD69:BD91" ca="1" si="124">IF(BD20="","",IF(AX20=0,"N",(BD20/AX20-1)*100))</f>
        <v>-36.363636363660802</v>
      </c>
      <c r="BE69" s="638"/>
      <c r="BF69" s="580"/>
      <c r="BG69" s="644"/>
      <c r="BH69" s="635"/>
      <c r="BI69" s="645"/>
      <c r="BJ69" s="606">
        <f t="shared" ref="BJ69:BJ91" ca="1" si="125">IF(BJ20="","",IF(BD20=0,"N",(BJ20/BD20-1)*100))</f>
        <v>1.7857142857537367</v>
      </c>
      <c r="BK69" s="638"/>
      <c r="BL69" s="580"/>
      <c r="BM69" s="644"/>
      <c r="BN69" s="635"/>
      <c r="BO69" s="645"/>
      <c r="BP69" s="606">
        <f t="shared" ref="BP69:BP91" ca="1" si="126">IF(BP20="","",IF(BJ20=0,"N",(BP20/BJ20-1)*100))</f>
        <v>-3.5087719298368847</v>
      </c>
      <c r="BQ69" s="638"/>
      <c r="BR69" s="580"/>
      <c r="BS69" s="644"/>
      <c r="BT69" s="635"/>
      <c r="BU69" s="645"/>
      <c r="BV69" s="606">
        <f t="shared" ref="BV69:BV91" ca="1" si="127">IF(BV20="","",IF(BP20=0,"N",(BV20/BP20-1)*100))</f>
        <v>87.272727272747133</v>
      </c>
      <c r="BW69" s="638"/>
      <c r="BX69" s="580"/>
      <c r="BY69" s="644"/>
      <c r="BZ69" s="635"/>
      <c r="CA69" s="645"/>
      <c r="CB69" s="606">
        <f t="shared" ref="CB69:CB91" ca="1" si="128">IF(CB20="","",IF(BV20=0,"N",(CB20/BV20-1)*100))</f>
        <v>-37.86407766991303</v>
      </c>
      <c r="CC69" s="638"/>
      <c r="CD69" s="580"/>
      <c r="CE69" s="644"/>
      <c r="CF69" s="635"/>
      <c r="CG69" s="645"/>
      <c r="CH69" s="606">
        <f t="shared" ref="CH69:CH91" ca="1" si="129">IF(CH20="","",IF(CB20=0,"N",(CH20/CB20-1)*100))</f>
        <v>-56.24999999998046</v>
      </c>
      <c r="CI69" s="638"/>
      <c r="CJ69" s="580"/>
      <c r="CK69" s="644"/>
      <c r="CL69" s="635"/>
      <c r="CM69" s="645"/>
      <c r="CN69" s="606">
        <f t="shared" ref="CN69:CN91" ca="1" si="130">IF(CN20="","",IF(CH20=0,"N",(CN20/CH20-1)*100))</f>
        <v>35.714285714271796</v>
      </c>
      <c r="CO69" s="638"/>
      <c r="CP69" s="580"/>
      <c r="CQ69" s="644"/>
      <c r="CR69" s="635"/>
      <c r="CS69" s="645"/>
      <c r="CT69" s="606">
        <f t="shared" ca="1" si="42"/>
        <v>26.315789473628783</v>
      </c>
      <c r="CU69" s="638"/>
      <c r="CV69" s="580"/>
      <c r="CW69" s="644"/>
      <c r="CX69" s="635"/>
      <c r="CY69" s="645"/>
      <c r="CZ69" s="606">
        <f t="shared" ca="1" si="47"/>
        <v>52.083333333379109</v>
      </c>
      <c r="DA69" s="638"/>
      <c r="DB69" s="580"/>
      <c r="DC69" s="644"/>
      <c r="DD69" s="635"/>
      <c r="DE69" s="645"/>
      <c r="DF69" s="606">
        <f t="shared" ca="1" si="52"/>
        <v>-4.1095890411102172</v>
      </c>
      <c r="DG69" s="638"/>
      <c r="DH69" s="580"/>
      <c r="DI69" s="644"/>
      <c r="DJ69" s="635"/>
      <c r="DK69" s="645"/>
      <c r="DL69" s="606">
        <f t="shared" ca="1" si="57"/>
        <v>-8.5714285714077914</v>
      </c>
      <c r="DM69" s="638"/>
      <c r="DN69" s="580"/>
      <c r="DO69" s="644"/>
      <c r="DP69" s="635"/>
      <c r="DQ69" s="645"/>
      <c r="DR69" s="606">
        <f t="shared" ca="1" si="62"/>
        <v>-60.937500000008882</v>
      </c>
      <c r="DS69" s="638"/>
      <c r="DT69" s="580"/>
      <c r="DU69" s="644"/>
      <c r="DV69" s="635"/>
      <c r="DW69" s="645"/>
      <c r="DX69" s="606">
        <f t="shared" ca="1" si="67"/>
        <v>-44.000000000014559</v>
      </c>
      <c r="DY69" s="638"/>
      <c r="DZ69" s="580"/>
      <c r="EA69" s="644"/>
      <c r="EB69" s="635"/>
      <c r="EC69" s="645"/>
      <c r="ED69" s="606">
        <f t="shared" ca="1" si="72"/>
        <v>-100</v>
      </c>
      <c r="EE69" s="638"/>
      <c r="EF69" s="580"/>
      <c r="EG69" s="644"/>
      <c r="EH69" s="635"/>
      <c r="EI69" s="645"/>
      <c r="EJ69" s="606" t="str">
        <f t="shared" ca="1" si="77"/>
        <v>N</v>
      </c>
      <c r="EK69" s="638"/>
      <c r="EL69" s="580"/>
      <c r="EM69" s="644"/>
      <c r="EN69" s="635"/>
      <c r="EO69" s="645"/>
      <c r="EP69" s="606" t="str">
        <f t="shared" ca="1" si="82"/>
        <v>N</v>
      </c>
      <c r="EQ69" s="638"/>
      <c r="ER69" s="580"/>
    </row>
    <row r="70" spans="2:148" ht="13.8" thickBot="1">
      <c r="B70" s="592"/>
      <c r="C70" s="599"/>
      <c r="D70" s="600" t="s">
        <v>1632</v>
      </c>
      <c r="E70" s="644"/>
      <c r="F70" s="635"/>
      <c r="G70" s="645"/>
      <c r="H70" s="609"/>
      <c r="I70" s="638"/>
      <c r="J70" s="580"/>
      <c r="K70" s="644" t="str">
        <f t="shared" ref="K70:O83" si="131">IF(K21="","",IF(E21=0,"N",(K21/E21-1)*100))</f>
        <v/>
      </c>
      <c r="L70" s="635" t="str">
        <f t="shared" si="131"/>
        <v/>
      </c>
      <c r="M70" s="645" t="str">
        <f t="shared" si="131"/>
        <v/>
      </c>
      <c r="N70" s="609">
        <f t="shared" ca="1" si="131"/>
        <v>-0.60703445813248269</v>
      </c>
      <c r="O70" s="638" t="str">
        <f t="shared" si="131"/>
        <v/>
      </c>
      <c r="P70" s="580"/>
      <c r="Q70" s="644" t="str">
        <f t="shared" ref="Q70:Q90" si="132">IF(Q21="","",IF(K21=0,"N",(Q21/K21-1)*100))</f>
        <v/>
      </c>
      <c r="R70" s="635" t="str">
        <f t="shared" ref="R70:R90" si="133">IF(R21="","",IF(L21=0,"N",(R21/L21-1)*100))</f>
        <v/>
      </c>
      <c r="S70" s="645" t="str">
        <f t="shared" ref="S70:S90" si="134">IF(S21="","",IF(M21=0,"N",(S21/M21-1)*100))</f>
        <v/>
      </c>
      <c r="T70" s="609">
        <f t="shared" ca="1" si="118"/>
        <v>-4.6703790192204053</v>
      </c>
      <c r="U70" s="638" t="str">
        <f t="shared" ref="U70:U90" si="135">IF(U21="","",IF(O21=0,"N",(U21/O21-1)*100))</f>
        <v/>
      </c>
      <c r="V70" s="580"/>
      <c r="W70" s="644" t="str">
        <f t="shared" ref="W70:W90" si="136">IF(W21="","",IF(Q21=0,"N",(W21/Q21-1)*100))</f>
        <v/>
      </c>
      <c r="X70" s="635" t="str">
        <f t="shared" ref="X70:X90" si="137">IF(X21="","",IF(R21=0,"N",(X21/R21-1)*100))</f>
        <v/>
      </c>
      <c r="Y70" s="645" t="str">
        <f t="shared" ref="Y70:Y90" si="138">IF(Y21="","",IF(S21=0,"N",(Y21/S21-1)*100))</f>
        <v/>
      </c>
      <c r="Z70" s="609">
        <f t="shared" ca="1" si="119"/>
        <v>-0.78798156808330688</v>
      </c>
      <c r="AA70" s="638" t="str">
        <f t="shared" ref="AA70:AA90" si="139">IF(AA21="","",IF(U21=0,"N",(AA21/U21-1)*100))</f>
        <v/>
      </c>
      <c r="AB70" s="580"/>
      <c r="AC70" s="644" t="str">
        <f t="shared" ref="AC70:AC90" si="140">IF(AC21="","",IF(W21=0,"N",(AC21/W21-1)*100))</f>
        <v/>
      </c>
      <c r="AD70" s="635" t="str">
        <f t="shared" ref="AD70:AD90" si="141">IF(AD21="","",IF(X21=0,"N",(AD21/X21-1)*100))</f>
        <v/>
      </c>
      <c r="AE70" s="645" t="str">
        <f t="shared" ref="AE70:AE90" si="142">IF(AE21="","",IF(Y21=0,"N",(AE21/Y21-1)*100))</f>
        <v/>
      </c>
      <c r="AF70" s="609">
        <f t="shared" ca="1" si="120"/>
        <v>-3.2690459335485866</v>
      </c>
      <c r="AG70" s="638" t="str">
        <f t="shared" ref="AG70:AG90" si="143">IF(AG21="","",IF(AA21=0,"N",(AG21/AA21-1)*100))</f>
        <v/>
      </c>
      <c r="AH70" s="580"/>
      <c r="AI70" s="644" t="str">
        <f t="shared" ref="AI70:AI90" si="144">IF(AI21="","",IF(AC21=0,"N",(AI21/AC21-1)*100))</f>
        <v/>
      </c>
      <c r="AJ70" s="635" t="str">
        <f t="shared" ref="AJ70:AJ90" si="145">IF(AJ21="","",IF(AD21=0,"N",(AJ21/AD21-1)*100))</f>
        <v/>
      </c>
      <c r="AK70" s="645" t="str">
        <f t="shared" ref="AK70:AK90" si="146">IF(AK21="","",IF(AE21=0,"N",(AK21/AE21-1)*100))</f>
        <v/>
      </c>
      <c r="AL70" s="609">
        <f t="shared" ca="1" si="121"/>
        <v>2.4186207019652572</v>
      </c>
      <c r="AM70" s="638" t="str">
        <f t="shared" ref="AM70:AM90" si="147">IF(AM21="","",IF(AG21=0,"N",(AM21/AG21-1)*100))</f>
        <v/>
      </c>
      <c r="AN70" s="580"/>
      <c r="AO70" s="644" t="str">
        <f t="shared" ref="AO70:AO90" si="148">IF(AO21="","",IF(AI21=0,"N",(AO21/AI21-1)*100))</f>
        <v/>
      </c>
      <c r="AP70" s="635" t="str">
        <f t="shared" ref="AP70:AP90" si="149">IF(AP21="","",IF(AJ21=0,"N",(AP21/AJ21-1)*100))</f>
        <v/>
      </c>
      <c r="AQ70" s="645" t="str">
        <f t="shared" ref="AQ70:AQ90" si="150">IF(AQ21="","",IF(AK21=0,"N",(AQ21/AK21-1)*100))</f>
        <v/>
      </c>
      <c r="AR70" s="609">
        <f t="shared" ca="1" si="122"/>
        <v>0.91265046242505754</v>
      </c>
      <c r="AS70" s="638" t="str">
        <f t="shared" ref="AS70:AS90" si="151">IF(AS21="","",IF(AM21=0,"N",(AS21/AM21-1)*100))</f>
        <v/>
      </c>
      <c r="AT70" s="580"/>
      <c r="AU70" s="644" t="str">
        <f t="shared" ref="AU70:AU90" si="152">IF(AU21="","",IF(AO21=0,"N",(AU21/AO21-1)*100))</f>
        <v/>
      </c>
      <c r="AV70" s="635" t="str">
        <f t="shared" ref="AV70:AV90" si="153">IF(AV21="","",IF(AP21=0,"N",(AV21/AP21-1)*100))</f>
        <v/>
      </c>
      <c r="AW70" s="645" t="str">
        <f t="shared" ref="AW70:AW90" si="154">IF(AW21="","",IF(AQ21=0,"N",(AW21/AQ21-1)*100))</f>
        <v/>
      </c>
      <c r="AX70" s="609">
        <f t="shared" ca="1" si="123"/>
        <v>-8.1418710817641191</v>
      </c>
      <c r="AY70" s="638" t="str">
        <f t="shared" ref="AY70:AY90" si="155">IF(AY21="","",IF(AS21=0,"N",(AY21/AS21-1)*100))</f>
        <v/>
      </c>
      <c r="AZ70" s="580"/>
      <c r="BA70" s="644" t="str">
        <f t="shared" ref="BA70:BA90" si="156">IF(BA21="","",IF(AU21=0,"N",(BA21/AU21-1)*100))</f>
        <v/>
      </c>
      <c r="BB70" s="635" t="str">
        <f t="shared" ref="BB70:BB90" si="157">IF(BB21="","",IF(AV21=0,"N",(BB21/AV21-1)*100))</f>
        <v/>
      </c>
      <c r="BC70" s="645" t="str">
        <f t="shared" ref="BC70:BC90" si="158">IF(BC21="","",IF(AW21=0,"N",(BC21/AW21-1)*100))</f>
        <v/>
      </c>
      <c r="BD70" s="609">
        <f t="shared" ca="1" si="124"/>
        <v>-4.5386177333233029</v>
      </c>
      <c r="BE70" s="638" t="str">
        <f t="shared" ref="BE70:BE90" si="159">IF(BE21="","",IF(AY21=0,"N",(BE21/AY21-1)*100))</f>
        <v/>
      </c>
      <c r="BF70" s="580"/>
      <c r="BG70" s="644" t="str">
        <f t="shared" ref="BG70:BG90" si="160">IF(BG21="","",IF(BA21=0,"N",(BG21/BA21-1)*100))</f>
        <v/>
      </c>
      <c r="BH70" s="635" t="str">
        <f t="shared" ref="BH70:BH90" si="161">IF(BH21="","",IF(BB21=0,"N",(BH21/BB21-1)*100))</f>
        <v/>
      </c>
      <c r="BI70" s="645" t="str">
        <f t="shared" ref="BI70:BI90" si="162">IF(BI21="","",IF(BC21=0,"N",(BI21/BC21-1)*100))</f>
        <v/>
      </c>
      <c r="BJ70" s="609">
        <f t="shared" ca="1" si="125"/>
        <v>-5.7732960439070062</v>
      </c>
      <c r="BK70" s="638" t="str">
        <f t="shared" ref="BK70:BK90" si="163">IF(BK21="","",IF(BE21=0,"N",(BK21/BE21-1)*100))</f>
        <v/>
      </c>
      <c r="BL70" s="580"/>
      <c r="BM70" s="644" t="str">
        <f t="shared" ref="BM70:BM90" si="164">IF(BM21="","",IF(BG21=0,"N",(BM21/BG21-1)*100))</f>
        <v/>
      </c>
      <c r="BN70" s="635" t="str">
        <f t="shared" ref="BN70:BN90" si="165">IF(BN21="","",IF(BH21=0,"N",(BN21/BH21-1)*100))</f>
        <v/>
      </c>
      <c r="BO70" s="645" t="str">
        <f t="shared" ref="BO70:BO90" si="166">IF(BO21="","",IF(BI21=0,"N",(BO21/BI21-1)*100))</f>
        <v/>
      </c>
      <c r="BP70" s="609">
        <f t="shared" ca="1" si="126"/>
        <v>-5.4226353046095355</v>
      </c>
      <c r="BQ70" s="638" t="str">
        <f t="shared" ref="BQ70:BQ90" si="167">IF(BQ21="","",IF(BK21=0,"N",(BQ21/BK21-1)*100))</f>
        <v/>
      </c>
      <c r="BR70" s="580"/>
      <c r="BS70" s="644" t="str">
        <f t="shared" ref="BS70:BS90" si="168">IF(BS21="","",IF(BM21=0,"N",(BS21/BM21-1)*100))</f>
        <v/>
      </c>
      <c r="BT70" s="635" t="str">
        <f t="shared" ref="BT70:BT90" si="169">IF(BT21="","",IF(BN21=0,"N",(BT21/BN21-1)*100))</f>
        <v/>
      </c>
      <c r="BU70" s="645" t="str">
        <f t="shared" ref="BU70:BU90" si="170">IF(BU21="","",IF(BO21=0,"N",(BU21/BO21-1)*100))</f>
        <v/>
      </c>
      <c r="BV70" s="609">
        <f t="shared" ca="1" si="127"/>
        <v>-1.4925043279678807</v>
      </c>
      <c r="BW70" s="638" t="str">
        <f t="shared" ref="BW70:BW90" si="171">IF(BW21="","",IF(BQ21=0,"N",(BW21/BQ21-1)*100))</f>
        <v/>
      </c>
      <c r="BX70" s="580"/>
      <c r="BY70" s="644" t="str">
        <f t="shared" ref="BY70:BY90" si="172">IF(BY21="","",IF(BS21=0,"N",(BY21/BS21-1)*100))</f>
        <v/>
      </c>
      <c r="BZ70" s="635" t="str">
        <f t="shared" ref="BZ70:BZ90" si="173">IF(BZ21="","",IF(BT21=0,"N",(BZ21/BT21-1)*100))</f>
        <v/>
      </c>
      <c r="CA70" s="645" t="str">
        <f t="shared" ref="CA70:CA90" si="174">IF(CA21="","",IF(BU21=0,"N",(CA21/BU21-1)*100))</f>
        <v/>
      </c>
      <c r="CB70" s="609">
        <f t="shared" ca="1" si="128"/>
        <v>2.6211682707767858</v>
      </c>
      <c r="CC70" s="638" t="str">
        <f t="shared" ref="CC70:CC90" si="175">IF(CC21="","",IF(BW21=0,"N",(CC21/BW21-1)*100))</f>
        <v/>
      </c>
      <c r="CD70" s="580"/>
      <c r="CE70" s="644" t="str">
        <f t="shared" ref="CE70:CE90" si="176">IF(CE21="","",IF(BY21=0,"N",(CE21/BY21-1)*100))</f>
        <v/>
      </c>
      <c r="CF70" s="635" t="str">
        <f t="shared" ref="CF70:CF90" si="177">IF(CF21="","",IF(BZ21=0,"N",(CF21/BZ21-1)*100))</f>
        <v/>
      </c>
      <c r="CG70" s="645" t="str">
        <f t="shared" ref="CG70:CG90" si="178">IF(CG21="","",IF(CA21=0,"N",(CG21/CA21-1)*100))</f>
        <v/>
      </c>
      <c r="CH70" s="609">
        <f t="shared" ca="1" si="129"/>
        <v>2.2583513088089369</v>
      </c>
      <c r="CI70" s="638" t="str">
        <f t="shared" ref="CI70:CI90" si="179">IF(CI21="","",IF(CC21=0,"N",(CI21/CC21-1)*100))</f>
        <v/>
      </c>
      <c r="CJ70" s="580"/>
      <c r="CK70" s="644" t="str">
        <f t="shared" ref="CK70:CK90" si="180">IF(CK21="","",IF(CE21=0,"N",(CK21/CE21-1)*100))</f>
        <v/>
      </c>
      <c r="CL70" s="635" t="str">
        <f t="shared" ref="CL70:CL90" si="181">IF(CL21="","",IF(CF21=0,"N",(CL21/CF21-1)*100))</f>
        <v/>
      </c>
      <c r="CM70" s="645" t="str">
        <f t="shared" ref="CM70:CM90" si="182">IF(CM21="","",IF(CG21=0,"N",(CM21/CG21-1)*100))</f>
        <v/>
      </c>
      <c r="CN70" s="609">
        <f t="shared" ca="1" si="130"/>
        <v>-4.9492955538293799</v>
      </c>
      <c r="CO70" s="638" t="str">
        <f t="shared" ref="CO70:CO90" si="183">IF(CO21="","",IF(CI21=0,"N",(CO21/CI21-1)*100))</f>
        <v/>
      </c>
      <c r="CP70" s="580"/>
      <c r="CQ70" s="644" t="str">
        <f t="shared" ref="CQ70:CQ90" si="184">IF(CQ21="","",IF(CK21=0,"N",(CQ21/CK21-1)*100))</f>
        <v/>
      </c>
      <c r="CR70" s="635" t="str">
        <f t="shared" ref="CR70:CR90" si="185">IF(CR21="","",IF(CL21=0,"N",(CR21/CL21-1)*100))</f>
        <v/>
      </c>
      <c r="CS70" s="645" t="str">
        <f t="shared" ref="CS70:CS90" si="186">IF(CS21="","",IF(CM21=0,"N",(CS21/CM21-1)*100))</f>
        <v/>
      </c>
      <c r="CT70" s="609">
        <f t="shared" ca="1" si="42"/>
        <v>-1.2528303018488729</v>
      </c>
      <c r="CU70" s="638" t="str">
        <f t="shared" ref="CU70:CU90" si="187">IF(CU21="","",IF(CO21=0,"N",(CU21/CO21-1)*100))</f>
        <v/>
      </c>
      <c r="CV70" s="580"/>
      <c r="CW70" s="644" t="str">
        <f t="shared" ref="CW70:CW90" si="188">IF(CW21="","",IF(CQ21=0,"N",(CW21/CQ21-1)*100))</f>
        <v/>
      </c>
      <c r="CX70" s="635" t="str">
        <f t="shared" ref="CX70:CX90" si="189">IF(CX21="","",IF(CR21=0,"N",(CX21/CR21-1)*100))</f>
        <v/>
      </c>
      <c r="CY70" s="645" t="str">
        <f t="shared" ref="CY70:CY90" si="190">IF(CY21="","",IF(CS21=0,"N",(CY21/CS21-1)*100))</f>
        <v/>
      </c>
      <c r="CZ70" s="609">
        <f t="shared" ca="1" si="47"/>
        <v>3.5472677989780266</v>
      </c>
      <c r="DA70" s="638" t="str">
        <f t="shared" ref="DA70:DA90" si="191">IF(DA21="","",IF(CU21=0,"N",(DA21/CU21-1)*100))</f>
        <v/>
      </c>
      <c r="DB70" s="580"/>
      <c r="DC70" s="644" t="str">
        <f t="shared" ref="DC70:DC90" si="192">IF(DC21="","",IF(CW21=0,"N",(DC21/CW21-1)*100))</f>
        <v/>
      </c>
      <c r="DD70" s="635" t="str">
        <f t="shared" ref="DD70:DD90" si="193">IF(DD21="","",IF(CX21=0,"N",(DD21/CX21-1)*100))</f>
        <v/>
      </c>
      <c r="DE70" s="645" t="str">
        <f t="shared" ref="DE70:DE90" si="194">IF(DE21="","",IF(CY21=0,"N",(DE21/CY21-1)*100))</f>
        <v/>
      </c>
      <c r="DF70" s="609">
        <f t="shared" ca="1" si="52"/>
        <v>2.4292596367476049</v>
      </c>
      <c r="DG70" s="638" t="str">
        <f t="shared" ref="DG70:DG90" si="195">IF(DG21="","",IF(DA21=0,"N",(DG21/DA21-1)*100))</f>
        <v/>
      </c>
      <c r="DH70" s="580"/>
      <c r="DI70" s="644" t="str">
        <f t="shared" ref="DI70:DI90" si="196">IF(DI21="","",IF(DC21=0,"N",(DI21/DC21-1)*100))</f>
        <v/>
      </c>
      <c r="DJ70" s="635" t="str">
        <f t="shared" ref="DJ70:DJ90" si="197">IF(DJ21="","",IF(DD21=0,"N",(DJ21/DD21-1)*100))</f>
        <v/>
      </c>
      <c r="DK70" s="645" t="str">
        <f t="shared" ref="DK70:DK90" si="198">IF(DK21="","",IF(DE21=0,"N",(DK21/DE21-1)*100))</f>
        <v/>
      </c>
      <c r="DL70" s="609">
        <f t="shared" ca="1" si="57"/>
        <v>-7.1399937004266611</v>
      </c>
      <c r="DM70" s="638" t="str">
        <f t="shared" ref="DM70:DM90" si="199">IF(DM21="","",IF(DG21=0,"N",(DM21/DG21-1)*100))</f>
        <v/>
      </c>
      <c r="DN70" s="580"/>
      <c r="DO70" s="644" t="str">
        <f t="shared" ref="DO70:DO90" si="200">IF(DO21="","",IF(DI21=0,"N",(DO21/DI21-1)*100))</f>
        <v/>
      </c>
      <c r="DP70" s="635" t="str">
        <f t="shared" ref="DP70:DP90" si="201">IF(DP21="","",IF(DJ21=0,"N",(DP21/DJ21-1)*100))</f>
        <v/>
      </c>
      <c r="DQ70" s="645" t="str">
        <f t="shared" ref="DQ70:DQ90" si="202">IF(DQ21="","",IF(DK21=0,"N",(DQ21/DK21-1)*100))</f>
        <v/>
      </c>
      <c r="DR70" s="609">
        <f t="shared" ca="1" si="62"/>
        <v>0.64678764704975134</v>
      </c>
      <c r="DS70" s="638" t="str">
        <f t="shared" ref="DS70:DS90" si="203">IF(DS21="","",IF(DM21=0,"N",(DS21/DM21-1)*100))</f>
        <v/>
      </c>
      <c r="DT70" s="580"/>
      <c r="DU70" s="644" t="str">
        <f t="shared" ref="DU70:DU90" si="204">IF(DU21="","",IF(DO21=0,"N",(DU21/DO21-1)*100))</f>
        <v/>
      </c>
      <c r="DV70" s="635" t="str">
        <f t="shared" ref="DV70:DV90" si="205">IF(DV21="","",IF(DP21=0,"N",(DV21/DP21-1)*100))</f>
        <v/>
      </c>
      <c r="DW70" s="645" t="str">
        <f t="shared" ref="DW70:DW90" si="206">IF(DW21="","",IF(DQ21=0,"N",(DW21/DQ21-1)*100))</f>
        <v/>
      </c>
      <c r="DX70" s="609">
        <f t="shared" ca="1" si="67"/>
        <v>-4.8890522913363599</v>
      </c>
      <c r="DY70" s="638" t="str">
        <f t="shared" ref="DY70:DY90" si="207">IF(DY21="","",IF(DS21=0,"N",(DY21/DS21-1)*100))</f>
        <v/>
      </c>
      <c r="DZ70" s="580"/>
      <c r="EA70" s="644" t="str">
        <f t="shared" ref="EA70:EA90" si="208">IF(EA21="","",IF(DU21=0,"N",(EA21/DU21-1)*100))</f>
        <v/>
      </c>
      <c r="EB70" s="635" t="str">
        <f t="shared" ref="EB70:EB90" si="209">IF(EB21="","",IF(DV21=0,"N",(EB21/DV21-1)*100))</f>
        <v/>
      </c>
      <c r="EC70" s="645" t="str">
        <f t="shared" ref="EC70:EC90" si="210">IF(EC21="","",IF(DW21=0,"N",(EC21/DW21-1)*100))</f>
        <v/>
      </c>
      <c r="ED70" s="609">
        <f t="shared" ca="1" si="72"/>
        <v>-2.4256285534813848</v>
      </c>
      <c r="EE70" s="638" t="str">
        <f t="shared" ref="EE70:EE90" si="211">IF(EE21="","",IF(DY21=0,"N",(EE21/DY21-1)*100))</f>
        <v/>
      </c>
      <c r="EF70" s="580"/>
      <c r="EG70" s="644" t="str">
        <f t="shared" ref="EG70:EG90" si="212">IF(EG21="","",IF(EA21=0,"N",(EG21/EA21-1)*100))</f>
        <v/>
      </c>
      <c r="EH70" s="635" t="str">
        <f t="shared" ref="EH70:EH90" si="213">IF(EH21="","",IF(EB21=0,"N",(EH21/EB21-1)*100))</f>
        <v/>
      </c>
      <c r="EI70" s="645" t="str">
        <f t="shared" ref="EI70:EI90" si="214">IF(EI21="","",IF(EC21=0,"N",(EI21/EC21-1)*100))</f>
        <v/>
      </c>
      <c r="EJ70" s="609">
        <f t="shared" ca="1" si="77"/>
        <v>-11.060398474769329</v>
      </c>
      <c r="EK70" s="638" t="str">
        <f t="shared" ref="EK70:EK90" si="215">IF(EK21="","",IF(EE21=0,"N",(EK21/EE21-1)*100))</f>
        <v/>
      </c>
      <c r="EL70" s="580"/>
      <c r="EM70" s="644" t="str">
        <f t="shared" ref="EM70:EM90" si="216">IF(EM21="","",IF(EG21=0,"N",(EM21/EG21-1)*100))</f>
        <v/>
      </c>
      <c r="EN70" s="635" t="str">
        <f t="shared" ref="EN70:EN90" si="217">IF(EN21="","",IF(EH21=0,"N",(EN21/EH21-1)*100))</f>
        <v/>
      </c>
      <c r="EO70" s="645" t="str">
        <f t="shared" ref="EO70:EO90" si="218">IF(EO21="","",IF(EI21=0,"N",(EO21/EI21-1)*100))</f>
        <v/>
      </c>
      <c r="EP70" s="609">
        <f t="shared" ca="1" si="82"/>
        <v>-5.2200000000000131</v>
      </c>
      <c r="EQ70" s="638" t="str">
        <f t="shared" ref="EQ70:EQ90" si="219">IF(EQ21="","",IF(EK21=0,"N",(EQ21/EK21-1)*100))</f>
        <v/>
      </c>
      <c r="ER70" s="580"/>
    </row>
    <row r="71" spans="2:148">
      <c r="B71" s="568" t="s">
        <v>624</v>
      </c>
      <c r="C71" s="4137" t="s">
        <v>2026</v>
      </c>
      <c r="D71" s="4138"/>
      <c r="E71" s="584"/>
      <c r="F71" s="584"/>
      <c r="G71" s="584"/>
      <c r="H71" s="584"/>
      <c r="I71" s="584"/>
      <c r="J71" s="580"/>
      <c r="K71" s="584">
        <f t="shared" ca="1" si="131"/>
        <v>1.7721877183376922</v>
      </c>
      <c r="L71" s="584">
        <f t="shared" ca="1" si="131"/>
        <v>0.66235811783199594</v>
      </c>
      <c r="M71" s="584">
        <f t="shared" ca="1" si="131"/>
        <v>4.3521691059758449</v>
      </c>
      <c r="N71" s="584">
        <f t="shared" ca="1" si="131"/>
        <v>10.09029044166696</v>
      </c>
      <c r="O71" s="584" t="str">
        <f t="shared" si="131"/>
        <v/>
      </c>
      <c r="P71" s="580"/>
      <c r="Q71" s="584">
        <f t="shared" ca="1" si="132"/>
        <v>4.7516208484791544</v>
      </c>
      <c r="R71" s="584">
        <f t="shared" ca="1" si="133"/>
        <v>3.1428048041559631</v>
      </c>
      <c r="S71" s="584">
        <f t="shared" ca="1" si="134"/>
        <v>6.0929906872940309</v>
      </c>
      <c r="T71" s="584">
        <f t="shared" ca="1" si="118"/>
        <v>22.759740784434147</v>
      </c>
      <c r="U71" s="584" t="str">
        <f t="shared" si="135"/>
        <v/>
      </c>
      <c r="V71" s="580"/>
      <c r="W71" s="584">
        <f t="shared" ca="1" si="136"/>
        <v>3.7672300313204454</v>
      </c>
      <c r="X71" s="584">
        <f t="shared" ca="1" si="137"/>
        <v>3.8736395099959076</v>
      </c>
      <c r="Y71" s="584">
        <f t="shared" ca="1" si="138"/>
        <v>2.2689968853512266</v>
      </c>
      <c r="Z71" s="584">
        <f t="shared" ca="1" si="119"/>
        <v>6.5262465032088768</v>
      </c>
      <c r="AA71" s="584" t="str">
        <f t="shared" si="139"/>
        <v/>
      </c>
      <c r="AB71" s="580"/>
      <c r="AC71" s="584">
        <f t="shared" ca="1" si="140"/>
        <v>4.0522795217986962</v>
      </c>
      <c r="AD71" s="584">
        <f t="shared" ca="1" si="141"/>
        <v>3.0990771982645438</v>
      </c>
      <c r="AE71" s="584">
        <f t="shared" ca="1" si="142"/>
        <v>3.9246445050867607</v>
      </c>
      <c r="AF71" s="584">
        <f t="shared" ca="1" si="120"/>
        <v>15.126050420168035</v>
      </c>
      <c r="AG71" s="584" t="str">
        <f t="shared" si="143"/>
        <v/>
      </c>
      <c r="AH71" s="580"/>
      <c r="AI71" s="584">
        <f t="shared" ca="1" si="144"/>
        <v>5.9873174044160926</v>
      </c>
      <c r="AJ71" s="584">
        <f t="shared" ca="1" si="145"/>
        <v>5.5641251886973109</v>
      </c>
      <c r="AK71" s="584">
        <f t="shared" ca="1" si="146"/>
        <v>6.3820483956498197</v>
      </c>
      <c r="AL71" s="584">
        <f t="shared" ca="1" si="121"/>
        <v>9.349506225847982</v>
      </c>
      <c r="AM71" s="584" t="str">
        <f t="shared" si="147"/>
        <v/>
      </c>
      <c r="AN71" s="580"/>
      <c r="AO71" s="584">
        <f t="shared" ca="1" si="148"/>
        <v>2.2283336512871621</v>
      </c>
      <c r="AP71" s="584">
        <f t="shared" ca="1" si="149"/>
        <v>4.748894636905665</v>
      </c>
      <c r="AQ71" s="584">
        <f t="shared" ca="1" si="150"/>
        <v>-8.0540713080131781</v>
      </c>
      <c r="AR71" s="584">
        <f t="shared" ca="1" si="122"/>
        <v>0.7426131343869713</v>
      </c>
      <c r="AS71" s="584" t="str">
        <f t="shared" si="151"/>
        <v/>
      </c>
      <c r="AT71" s="580"/>
      <c r="AU71" s="584">
        <f t="shared" ca="1" si="152"/>
        <v>3.3356589244682988</v>
      </c>
      <c r="AV71" s="584">
        <f t="shared" ca="1" si="153"/>
        <v>1.2549079176584987</v>
      </c>
      <c r="AW71" s="584">
        <f t="shared" ca="1" si="154"/>
        <v>9.7152110177693096</v>
      </c>
      <c r="AX71" s="584">
        <f t="shared" ca="1" si="123"/>
        <v>11.353305432807304</v>
      </c>
      <c r="AY71" s="584" t="str">
        <f t="shared" si="155"/>
        <v/>
      </c>
      <c r="AZ71" s="580"/>
      <c r="BA71" s="584">
        <f t="shared" ca="1" si="156"/>
        <v>2.9361437196326889</v>
      </c>
      <c r="BB71" s="584">
        <f t="shared" ca="1" si="157"/>
        <v>1.109988615744828</v>
      </c>
      <c r="BC71" s="584">
        <f t="shared" ca="1" si="158"/>
        <v>9.8332303891291097</v>
      </c>
      <c r="BD71" s="584">
        <f t="shared" ca="1" si="124"/>
        <v>5.8423318574003957</v>
      </c>
      <c r="BE71" s="584" t="str">
        <f t="shared" si="159"/>
        <v/>
      </c>
      <c r="BF71" s="580"/>
      <c r="BG71" s="584">
        <f t="shared" ca="1" si="160"/>
        <v>5.1473426217520046</v>
      </c>
      <c r="BH71" s="584">
        <f t="shared" ca="1" si="161"/>
        <v>2.5477521587718099</v>
      </c>
      <c r="BI71" s="584">
        <f t="shared" ca="1" si="162"/>
        <v>13.075907629832638</v>
      </c>
      <c r="BJ71" s="584">
        <f t="shared" ca="1" si="125"/>
        <v>11.424543940076703</v>
      </c>
      <c r="BK71" s="584" t="str">
        <f t="shared" si="163"/>
        <v/>
      </c>
      <c r="BL71" s="580"/>
      <c r="BM71" s="584">
        <f t="shared" ca="1" si="164"/>
        <v>4.1195231312657565</v>
      </c>
      <c r="BN71" s="584">
        <f t="shared" ca="1" si="165"/>
        <v>3.4064066891904554</v>
      </c>
      <c r="BO71" s="584">
        <f t="shared" ca="1" si="166"/>
        <v>5.508381409081875</v>
      </c>
      <c r="BP71" s="584">
        <f t="shared" ca="1" si="126"/>
        <v>6.9450112411239218</v>
      </c>
      <c r="BQ71" s="584" t="str">
        <f t="shared" si="167"/>
        <v/>
      </c>
      <c r="BR71" s="580"/>
      <c r="BS71" s="584">
        <f t="shared" ca="1" si="168"/>
        <v>5.0642820763832752</v>
      </c>
      <c r="BT71" s="584">
        <f t="shared" ca="1" si="169"/>
        <v>4.8544162192007967</v>
      </c>
      <c r="BU71" s="584">
        <f t="shared" ca="1" si="170"/>
        <v>5.6326287585590551</v>
      </c>
      <c r="BV71" s="584">
        <f t="shared" ca="1" si="127"/>
        <v>5.5164327392061452</v>
      </c>
      <c r="BW71" s="584" t="str">
        <f t="shared" si="171"/>
        <v/>
      </c>
      <c r="BX71" s="580"/>
      <c r="BY71" s="584">
        <f t="shared" ca="1" si="172"/>
        <v>5.4792931791534549</v>
      </c>
      <c r="BZ71" s="584">
        <f t="shared" ca="1" si="173"/>
        <v>5.3708594337893656</v>
      </c>
      <c r="CA71" s="584">
        <f t="shared" ca="1" si="174"/>
        <v>7.0109100702077098</v>
      </c>
      <c r="CB71" s="584">
        <f t="shared" ca="1" si="128"/>
        <v>3.1074932274269829</v>
      </c>
      <c r="CC71" s="584" t="str">
        <f t="shared" si="175"/>
        <v/>
      </c>
      <c r="CD71" s="580"/>
      <c r="CE71" s="584">
        <f t="shared" ca="1" si="176"/>
        <v>3.7599567512342613</v>
      </c>
      <c r="CF71" s="584">
        <f t="shared" ca="1" si="177"/>
        <v>5.7565861319827327</v>
      </c>
      <c r="CG71" s="584">
        <f t="shared" ca="1" si="178"/>
        <v>-1.9496585719866566</v>
      </c>
      <c r="CH71" s="584">
        <f t="shared" ca="1" si="129"/>
        <v>0.31662521522859421</v>
      </c>
      <c r="CI71" s="584" t="str">
        <f t="shared" si="179"/>
        <v/>
      </c>
      <c r="CJ71" s="580"/>
      <c r="CK71" s="584">
        <f t="shared" ca="1" si="180"/>
        <v>-3.6304680482329488</v>
      </c>
      <c r="CL71" s="584">
        <f t="shared" ca="1" si="181"/>
        <v>-0.55158845044419591</v>
      </c>
      <c r="CM71" s="584">
        <f t="shared" ca="1" si="182"/>
        <v>-15.842495762003706</v>
      </c>
      <c r="CN71" s="584">
        <f t="shared" ca="1" si="130"/>
        <v>-3.4439136335752685</v>
      </c>
      <c r="CO71" s="584" t="str">
        <f t="shared" si="183"/>
        <v/>
      </c>
      <c r="CP71" s="580"/>
      <c r="CQ71" s="584">
        <f t="shared" ca="1" si="184"/>
        <v>7.8454595775790947</v>
      </c>
      <c r="CR71" s="584">
        <f t="shared" ca="1" si="185"/>
        <v>1.8084735067642965</v>
      </c>
      <c r="CS71" s="584">
        <f t="shared" ca="1" si="186"/>
        <v>35.582653471947687</v>
      </c>
      <c r="CT71" s="584">
        <f t="shared" ca="1" si="42"/>
        <v>8.5055533975469508</v>
      </c>
      <c r="CU71" s="584" t="str">
        <f t="shared" si="187"/>
        <v/>
      </c>
      <c r="CV71" s="580"/>
      <c r="CW71" s="584">
        <f t="shared" ca="1" si="188"/>
        <v>1.6783760094379208</v>
      </c>
      <c r="CX71" s="584">
        <f t="shared" ca="1" si="189"/>
        <v>2.7479303503330499</v>
      </c>
      <c r="CY71" s="584">
        <f t="shared" ca="1" si="190"/>
        <v>-3.3546681035158676</v>
      </c>
      <c r="CZ71" s="584">
        <f t="shared" ca="1" si="47"/>
        <v>4.6842386291927607</v>
      </c>
      <c r="DA71" s="584" t="str">
        <f t="shared" si="191"/>
        <v/>
      </c>
      <c r="DB71" s="580"/>
      <c r="DC71" s="584">
        <f t="shared" ca="1" si="192"/>
        <v>3.6700014885265864</v>
      </c>
      <c r="DD71" s="584">
        <f t="shared" ca="1" si="193"/>
        <v>2.0835632760452638</v>
      </c>
      <c r="DE71" s="584">
        <f t="shared" ca="1" si="194"/>
        <v>7.8389953787964872</v>
      </c>
      <c r="DF71" s="584">
        <f t="shared" ca="1" si="52"/>
        <v>7.3631526476861886</v>
      </c>
      <c r="DG71" s="584" t="str">
        <f t="shared" si="195"/>
        <v/>
      </c>
      <c r="DH71" s="580"/>
      <c r="DI71" s="584">
        <f t="shared" ca="1" si="196"/>
        <v>0.45989432783559714</v>
      </c>
      <c r="DJ71" s="584">
        <f t="shared" ca="1" si="197"/>
        <v>1.441025845974675</v>
      </c>
      <c r="DK71" s="584">
        <f t="shared" ca="1" si="198"/>
        <v>-4.9738114777755023</v>
      </c>
      <c r="DL71" s="584">
        <f t="shared" ca="1" si="57"/>
        <v>4.7265178978737055</v>
      </c>
      <c r="DM71" s="584" t="str">
        <f t="shared" si="199"/>
        <v/>
      </c>
      <c r="DN71" s="580"/>
      <c r="DO71" s="584">
        <f t="shared" ca="1" si="200"/>
        <v>1.0067245357542776</v>
      </c>
      <c r="DP71" s="584">
        <f t="shared" ca="1" si="201"/>
        <v>1.0251397198286716</v>
      </c>
      <c r="DQ71" s="584">
        <f t="shared" ca="1" si="202"/>
        <v>2.2628443753078598</v>
      </c>
      <c r="DR71" s="584">
        <f t="shared" ca="1" si="62"/>
        <v>-1.5800068561472425</v>
      </c>
      <c r="DS71" s="584" t="str">
        <f t="shared" si="203"/>
        <v/>
      </c>
      <c r="DT71" s="580"/>
      <c r="DU71" s="584">
        <f t="shared" ca="1" si="204"/>
        <v>1.5992379781596622</v>
      </c>
      <c r="DV71" s="584">
        <f t="shared" ca="1" si="205"/>
        <v>0.69551441081485699</v>
      </c>
      <c r="DW71" s="584">
        <f t="shared" ca="1" si="206"/>
        <v>4.4614436999379059</v>
      </c>
      <c r="DX71" s="584">
        <f t="shared" ca="1" si="67"/>
        <v>2.5916410671401824</v>
      </c>
      <c r="DY71" s="584" t="str">
        <f t="shared" si="207"/>
        <v/>
      </c>
      <c r="DZ71" s="580"/>
      <c r="EA71" s="584">
        <f t="shared" ca="1" si="208"/>
        <v>3.9104717430165081</v>
      </c>
      <c r="EB71" s="584">
        <f t="shared" ca="1" si="209"/>
        <v>0.83089265028786219</v>
      </c>
      <c r="EC71" s="584">
        <f t="shared" ca="1" si="210"/>
        <v>13.25610689240424</v>
      </c>
      <c r="ED71" s="584">
        <f t="shared" ca="1" si="72"/>
        <v>7.3457072183264804</v>
      </c>
      <c r="EE71" s="584" t="str">
        <f t="shared" si="211"/>
        <v/>
      </c>
      <c r="EF71" s="580"/>
      <c r="EG71" s="584">
        <f t="shared" ca="1" si="212"/>
        <v>3.7879654461461909</v>
      </c>
      <c r="EH71" s="584">
        <f t="shared" ca="1" si="213"/>
        <v>2.6483003882227019</v>
      </c>
      <c r="EI71" s="584">
        <f t="shared" ca="1" si="214"/>
        <v>5.7069085432045474</v>
      </c>
      <c r="EJ71" s="584">
        <f t="shared" ca="1" si="77"/>
        <v>7.5098391258337616</v>
      </c>
      <c r="EK71" s="584" t="str">
        <f t="shared" si="215"/>
        <v/>
      </c>
      <c r="EL71" s="580"/>
      <c r="EM71" s="584">
        <f t="shared" ca="1" si="216"/>
        <v>3.6947950091928083</v>
      </c>
      <c r="EN71" s="584">
        <f t="shared" ca="1" si="217"/>
        <v>2.9484719925624292</v>
      </c>
      <c r="EO71" s="584">
        <f t="shared" ca="1" si="218"/>
        <v>4.7767915458883481</v>
      </c>
      <c r="EP71" s="584">
        <f t="shared" ca="1" si="82"/>
        <v>6.3181307111432217</v>
      </c>
      <c r="EQ71" s="584" t="str">
        <f t="shared" si="219"/>
        <v/>
      </c>
      <c r="ER71" s="580"/>
    </row>
    <row r="72" spans="2:148" s="646" customFormat="1" ht="13.8" thickBot="1">
      <c r="B72" s="647" t="s">
        <v>622</v>
      </c>
      <c r="C72" s="4136" t="s">
        <v>2127</v>
      </c>
      <c r="D72" s="4135"/>
      <c r="E72" s="648"/>
      <c r="F72" s="649"/>
      <c r="G72" s="649"/>
      <c r="H72" s="650"/>
      <c r="I72" s="650"/>
      <c r="J72" s="651"/>
      <c r="K72" s="648">
        <f t="shared" ca="1" si="131"/>
        <v>2.1023622280827103</v>
      </c>
      <c r="L72" s="649" t="str">
        <f t="shared" si="131"/>
        <v/>
      </c>
      <c r="M72" s="649" t="str">
        <f t="shared" si="131"/>
        <v/>
      </c>
      <c r="N72" s="650">
        <f t="shared" ca="1" si="131"/>
        <v>2.1023622280827103</v>
      </c>
      <c r="O72" s="650" t="str">
        <f t="shared" si="131"/>
        <v/>
      </c>
      <c r="P72" s="651"/>
      <c r="Q72" s="648">
        <f t="shared" ca="1" si="132"/>
        <v>7.4404969434953561</v>
      </c>
      <c r="R72" s="649" t="str">
        <f t="shared" si="133"/>
        <v/>
      </c>
      <c r="S72" s="649" t="str">
        <f t="shared" si="134"/>
        <v/>
      </c>
      <c r="T72" s="650">
        <f t="shared" ca="1" si="118"/>
        <v>7.4404969434953561</v>
      </c>
      <c r="U72" s="650" t="str">
        <f t="shared" si="135"/>
        <v/>
      </c>
      <c r="V72" s="651"/>
      <c r="W72" s="648">
        <f t="shared" ca="1" si="136"/>
        <v>7.1480530999775471</v>
      </c>
      <c r="X72" s="649" t="str">
        <f t="shared" si="137"/>
        <v/>
      </c>
      <c r="Y72" s="649" t="str">
        <f t="shared" si="138"/>
        <v/>
      </c>
      <c r="Z72" s="650">
        <f t="shared" ca="1" si="119"/>
        <v>7.1480530999775471</v>
      </c>
      <c r="AA72" s="650" t="str">
        <f t="shared" si="139"/>
        <v/>
      </c>
      <c r="AB72" s="651"/>
      <c r="AC72" s="648">
        <f t="shared" ca="1" si="140"/>
        <v>1.3986967033965403</v>
      </c>
      <c r="AD72" s="649" t="str">
        <f t="shared" si="141"/>
        <v/>
      </c>
      <c r="AE72" s="649" t="str">
        <f t="shared" si="142"/>
        <v/>
      </c>
      <c r="AF72" s="650">
        <f t="shared" ca="1" si="120"/>
        <v>1.3986967033965403</v>
      </c>
      <c r="AG72" s="650" t="str">
        <f t="shared" si="143"/>
        <v/>
      </c>
      <c r="AH72" s="651"/>
      <c r="AI72" s="648">
        <f t="shared" ca="1" si="144"/>
        <v>6.6170028474144438</v>
      </c>
      <c r="AJ72" s="649" t="str">
        <f t="shared" si="145"/>
        <v/>
      </c>
      <c r="AK72" s="649" t="str">
        <f t="shared" si="146"/>
        <v/>
      </c>
      <c r="AL72" s="650">
        <f t="shared" ca="1" si="121"/>
        <v>6.6170028474144438</v>
      </c>
      <c r="AM72" s="650" t="str">
        <f t="shared" si="147"/>
        <v/>
      </c>
      <c r="AN72" s="651"/>
      <c r="AO72" s="648">
        <f t="shared" ca="1" si="148"/>
        <v>4.0749101792213471</v>
      </c>
      <c r="AP72" s="649" t="str">
        <f t="shared" si="149"/>
        <v/>
      </c>
      <c r="AQ72" s="649" t="str">
        <f t="shared" si="150"/>
        <v/>
      </c>
      <c r="AR72" s="650">
        <f t="shared" ca="1" si="122"/>
        <v>4.0749101792213471</v>
      </c>
      <c r="AS72" s="650" t="str">
        <f t="shared" si="151"/>
        <v/>
      </c>
      <c r="AT72" s="651"/>
      <c r="AU72" s="648">
        <f t="shared" ca="1" si="152"/>
        <v>2.9510461902881868</v>
      </c>
      <c r="AV72" s="649" t="str">
        <f t="shared" si="153"/>
        <v/>
      </c>
      <c r="AW72" s="649" t="str">
        <f t="shared" si="154"/>
        <v/>
      </c>
      <c r="AX72" s="650">
        <f t="shared" ca="1" si="123"/>
        <v>2.9510461902881868</v>
      </c>
      <c r="AY72" s="650" t="str">
        <f t="shared" si="155"/>
        <v/>
      </c>
      <c r="AZ72" s="651"/>
      <c r="BA72" s="648">
        <f t="shared" ca="1" si="156"/>
        <v>-0.48827359008549731</v>
      </c>
      <c r="BB72" s="649" t="str">
        <f t="shared" si="157"/>
        <v/>
      </c>
      <c r="BC72" s="649" t="str">
        <f t="shared" si="158"/>
        <v/>
      </c>
      <c r="BD72" s="650">
        <f t="shared" ca="1" si="124"/>
        <v>-0.48827359008549731</v>
      </c>
      <c r="BE72" s="650" t="str">
        <f t="shared" si="159"/>
        <v/>
      </c>
      <c r="BF72" s="651"/>
      <c r="BG72" s="648">
        <f t="shared" ca="1" si="160"/>
        <v>5.7557863300074619</v>
      </c>
      <c r="BH72" s="649" t="str">
        <f t="shared" si="161"/>
        <v/>
      </c>
      <c r="BI72" s="649" t="str">
        <f t="shared" si="162"/>
        <v/>
      </c>
      <c r="BJ72" s="650">
        <f t="shared" ca="1" si="125"/>
        <v>5.7557863300074619</v>
      </c>
      <c r="BK72" s="650" t="str">
        <f t="shared" si="163"/>
        <v/>
      </c>
      <c r="BL72" s="651"/>
      <c r="BM72" s="648">
        <f t="shared" ca="1" si="164"/>
        <v>4.9170722819977142</v>
      </c>
      <c r="BN72" s="649" t="str">
        <f t="shared" si="165"/>
        <v/>
      </c>
      <c r="BO72" s="649" t="str">
        <f t="shared" si="166"/>
        <v/>
      </c>
      <c r="BP72" s="650">
        <f t="shared" ca="1" si="126"/>
        <v>4.9170722819977142</v>
      </c>
      <c r="BQ72" s="650" t="str">
        <f t="shared" si="167"/>
        <v/>
      </c>
      <c r="BR72" s="651"/>
      <c r="BS72" s="648">
        <f t="shared" ca="1" si="168"/>
        <v>3.9221644917426524</v>
      </c>
      <c r="BT72" s="649" t="str">
        <f t="shared" si="169"/>
        <v/>
      </c>
      <c r="BU72" s="649" t="str">
        <f t="shared" si="170"/>
        <v/>
      </c>
      <c r="BV72" s="650">
        <f t="shared" ca="1" si="127"/>
        <v>3.9221644917426524</v>
      </c>
      <c r="BW72" s="650" t="str">
        <f t="shared" si="171"/>
        <v/>
      </c>
      <c r="BX72" s="651"/>
      <c r="BY72" s="648">
        <f t="shared" ca="1" si="172"/>
        <v>3.8683191648137161</v>
      </c>
      <c r="BZ72" s="649" t="str">
        <f t="shared" si="173"/>
        <v/>
      </c>
      <c r="CA72" s="649" t="str">
        <f t="shared" si="174"/>
        <v/>
      </c>
      <c r="CB72" s="650">
        <f t="shared" ca="1" si="128"/>
        <v>3.8683191648137161</v>
      </c>
      <c r="CC72" s="650" t="str">
        <f t="shared" si="175"/>
        <v/>
      </c>
      <c r="CD72" s="651"/>
      <c r="CE72" s="648">
        <f t="shared" ca="1" si="176"/>
        <v>4.419305715262456</v>
      </c>
      <c r="CF72" s="649" t="str">
        <f t="shared" si="177"/>
        <v/>
      </c>
      <c r="CG72" s="649" t="str">
        <f t="shared" si="178"/>
        <v/>
      </c>
      <c r="CH72" s="650">
        <f t="shared" ca="1" si="129"/>
        <v>4.419305715262456</v>
      </c>
      <c r="CI72" s="650" t="str">
        <f t="shared" si="179"/>
        <v/>
      </c>
      <c r="CJ72" s="651"/>
      <c r="CK72" s="648">
        <f t="shared" ca="1" si="180"/>
        <v>-8.7306519976960146</v>
      </c>
      <c r="CL72" s="649" t="str">
        <f t="shared" si="181"/>
        <v/>
      </c>
      <c r="CM72" s="649" t="str">
        <f t="shared" si="182"/>
        <v/>
      </c>
      <c r="CN72" s="650">
        <f t="shared" ca="1" si="130"/>
        <v>-8.7306519976960146</v>
      </c>
      <c r="CO72" s="650" t="str">
        <f t="shared" si="183"/>
        <v/>
      </c>
      <c r="CP72" s="651"/>
      <c r="CQ72" s="648">
        <f t="shared" ca="1" si="184"/>
        <v>6.8102778550396481</v>
      </c>
      <c r="CR72" s="649" t="str">
        <f t="shared" si="185"/>
        <v/>
      </c>
      <c r="CS72" s="649" t="str">
        <f t="shared" si="186"/>
        <v/>
      </c>
      <c r="CT72" s="650">
        <f t="shared" ca="1" si="42"/>
        <v>6.8102778550396481</v>
      </c>
      <c r="CU72" s="650" t="str">
        <f t="shared" si="187"/>
        <v/>
      </c>
      <c r="CV72" s="651"/>
      <c r="CW72" s="648">
        <f t="shared" ca="1" si="188"/>
        <v>7.2700595167541238</v>
      </c>
      <c r="CX72" s="649" t="str">
        <f t="shared" si="189"/>
        <v/>
      </c>
      <c r="CY72" s="649" t="str">
        <f t="shared" si="190"/>
        <v/>
      </c>
      <c r="CZ72" s="650">
        <f t="shared" ca="1" si="47"/>
        <v>7.2700595167541238</v>
      </c>
      <c r="DA72" s="650" t="str">
        <f t="shared" si="191"/>
        <v/>
      </c>
      <c r="DB72" s="651"/>
      <c r="DC72" s="648">
        <f t="shared" ca="1" si="192"/>
        <v>4.6599776661270242</v>
      </c>
      <c r="DD72" s="649" t="str">
        <f t="shared" si="193"/>
        <v/>
      </c>
      <c r="DE72" s="649" t="str">
        <f t="shared" si="194"/>
        <v/>
      </c>
      <c r="DF72" s="650">
        <f t="shared" ca="1" si="52"/>
        <v>4.6599776661270242</v>
      </c>
      <c r="DG72" s="650" t="str">
        <f t="shared" si="195"/>
        <v/>
      </c>
      <c r="DH72" s="651"/>
      <c r="DI72" s="648">
        <f t="shared" ca="1" si="196"/>
        <v>5.0691612824790733</v>
      </c>
      <c r="DJ72" s="649" t="str">
        <f t="shared" si="197"/>
        <v/>
      </c>
      <c r="DK72" s="649" t="str">
        <f t="shared" si="198"/>
        <v/>
      </c>
      <c r="DL72" s="650">
        <f t="shared" ca="1" si="57"/>
        <v>5.0691612824790733</v>
      </c>
      <c r="DM72" s="650" t="str">
        <f t="shared" si="199"/>
        <v/>
      </c>
      <c r="DN72" s="651"/>
      <c r="DO72" s="648">
        <f t="shared" ca="1" si="200"/>
        <v>2.1710600436648075</v>
      </c>
      <c r="DP72" s="649" t="str">
        <f t="shared" si="201"/>
        <v/>
      </c>
      <c r="DQ72" s="649" t="str">
        <f t="shared" si="202"/>
        <v/>
      </c>
      <c r="DR72" s="650">
        <f t="shared" ca="1" si="62"/>
        <v>2.1710600436648075</v>
      </c>
      <c r="DS72" s="650" t="str">
        <f t="shared" si="203"/>
        <v/>
      </c>
      <c r="DT72" s="651"/>
      <c r="DU72" s="648">
        <f t="shared" ca="1" si="204"/>
        <v>1.3865667682935845</v>
      </c>
      <c r="DV72" s="649" t="str">
        <f t="shared" si="205"/>
        <v/>
      </c>
      <c r="DW72" s="649" t="str">
        <f t="shared" si="206"/>
        <v/>
      </c>
      <c r="DX72" s="650">
        <f t="shared" ca="1" si="67"/>
        <v>1.3865667682935845</v>
      </c>
      <c r="DY72" s="650" t="str">
        <f t="shared" si="207"/>
        <v/>
      </c>
      <c r="DZ72" s="651"/>
      <c r="EA72" s="648">
        <f t="shared" ca="1" si="208"/>
        <v>1.0504315926083363</v>
      </c>
      <c r="EB72" s="649" t="str">
        <f t="shared" si="209"/>
        <v/>
      </c>
      <c r="EC72" s="649" t="str">
        <f t="shared" si="210"/>
        <v/>
      </c>
      <c r="ED72" s="650">
        <f t="shared" ca="1" si="72"/>
        <v>1.0504315926083363</v>
      </c>
      <c r="EE72" s="650" t="str">
        <f t="shared" si="211"/>
        <v/>
      </c>
      <c r="EF72" s="651"/>
      <c r="EG72" s="648">
        <f t="shared" ca="1" si="212"/>
        <v>7.3062568542064721</v>
      </c>
      <c r="EH72" s="649" t="str">
        <f t="shared" si="213"/>
        <v/>
      </c>
      <c r="EI72" s="649" t="str">
        <f t="shared" si="214"/>
        <v/>
      </c>
      <c r="EJ72" s="650">
        <f t="shared" ca="1" si="77"/>
        <v>7.3062568542064721</v>
      </c>
      <c r="EK72" s="650" t="str">
        <f t="shared" si="215"/>
        <v/>
      </c>
      <c r="EL72" s="651"/>
      <c r="EM72" s="648">
        <f t="shared" ca="1" si="216"/>
        <v>0.60730740146954787</v>
      </c>
      <c r="EN72" s="649" t="str">
        <f t="shared" si="217"/>
        <v/>
      </c>
      <c r="EO72" s="649" t="str">
        <f t="shared" si="218"/>
        <v/>
      </c>
      <c r="EP72" s="650">
        <f t="shared" ca="1" si="82"/>
        <v>0.60730740146954787</v>
      </c>
      <c r="EQ72" s="650" t="str">
        <f t="shared" si="219"/>
        <v/>
      </c>
      <c r="ER72" s="651"/>
    </row>
    <row r="73" spans="2:148">
      <c r="B73" s="568" t="s">
        <v>622</v>
      </c>
      <c r="C73" s="4136" t="s">
        <v>1417</v>
      </c>
      <c r="D73" s="4135"/>
      <c r="E73" s="636"/>
      <c r="F73" s="633"/>
      <c r="G73" s="643"/>
      <c r="H73" s="637"/>
      <c r="I73" s="634"/>
      <c r="J73" s="580"/>
      <c r="K73" s="636">
        <f t="shared" ca="1" si="131"/>
        <v>2.058839910788457</v>
      </c>
      <c r="L73" s="633">
        <f t="shared" ca="1" si="131"/>
        <v>3.125</v>
      </c>
      <c r="M73" s="643">
        <f t="shared" ca="1" si="131"/>
        <v>4.1187834007811785</v>
      </c>
      <c r="N73" s="637">
        <f t="shared" ca="1" si="131"/>
        <v>3.1757420584119789</v>
      </c>
      <c r="O73" s="634">
        <f t="shared" ca="1" si="131"/>
        <v>5.1778038296209417</v>
      </c>
      <c r="P73" s="580"/>
      <c r="Q73" s="636">
        <f t="shared" ca="1" si="132"/>
        <v>4.6975582093376822</v>
      </c>
      <c r="R73" s="633">
        <f t="shared" ca="1" si="133"/>
        <v>1.0416666666666741</v>
      </c>
      <c r="S73" s="643">
        <f t="shared" ca="1" si="134"/>
        <v>10.441495124593692</v>
      </c>
      <c r="T73" s="637">
        <f t="shared" ca="1" si="118"/>
        <v>3.4848524196596786</v>
      </c>
      <c r="U73" s="634">
        <f t="shared" ca="1" si="135"/>
        <v>1.7090841538175638</v>
      </c>
      <c r="V73" s="580"/>
      <c r="W73" s="636">
        <f t="shared" ca="1" si="136"/>
        <v>4.3807266159170188</v>
      </c>
      <c r="X73" s="633">
        <f t="shared" ca="1" si="137"/>
        <v>1.2183692596063667</v>
      </c>
      <c r="Y73" s="643">
        <f t="shared" ca="1" si="138"/>
        <v>5.171060698957719</v>
      </c>
      <c r="Z73" s="637">
        <f t="shared" ca="1" si="119"/>
        <v>4.2104206516950349</v>
      </c>
      <c r="AA73" s="634">
        <f t="shared" ca="1" si="139"/>
        <v>7.8904109589041038</v>
      </c>
      <c r="AB73" s="580"/>
      <c r="AC73" s="636">
        <f t="shared" ca="1" si="140"/>
        <v>3.5303236564252494</v>
      </c>
      <c r="AD73" s="633">
        <f t="shared" ca="1" si="141"/>
        <v>5.0925925925926041</v>
      </c>
      <c r="AE73" s="643">
        <f t="shared" ca="1" si="142"/>
        <v>3.2646589014422744</v>
      </c>
      <c r="AF73" s="637">
        <f t="shared" ca="1" si="120"/>
        <v>3.5867756211637181</v>
      </c>
      <c r="AG73" s="634">
        <f t="shared" ca="1" si="143"/>
        <v>10.716099542915192</v>
      </c>
      <c r="AH73" s="580"/>
      <c r="AI73" s="636">
        <f t="shared" ca="1" si="144"/>
        <v>2.9705918744403315</v>
      </c>
      <c r="AJ73" s="633">
        <f t="shared" ca="1" si="145"/>
        <v>5.1982378854625644</v>
      </c>
      <c r="AK73" s="643">
        <f t="shared" ca="1" si="146"/>
        <v>3.063217677012875</v>
      </c>
      <c r="AL73" s="637">
        <f t="shared" ca="1" si="121"/>
        <v>2.9428706485267631</v>
      </c>
      <c r="AM73" s="634">
        <f t="shared" ca="1" si="147"/>
        <v>5.5504587155963181</v>
      </c>
      <c r="AN73" s="580"/>
      <c r="AO73" s="636">
        <f t="shared" ca="1" si="148"/>
        <v>4.9860897830169115</v>
      </c>
      <c r="AP73" s="633">
        <f t="shared" ca="1" si="149"/>
        <v>4.8576214405360085</v>
      </c>
      <c r="AQ73" s="643">
        <f t="shared" ca="1" si="150"/>
        <v>6.6673970201577726</v>
      </c>
      <c r="AR73" s="637">
        <f t="shared" ca="1" si="122"/>
        <v>4.6013870906225662</v>
      </c>
      <c r="AS73" s="634">
        <f t="shared" ca="1" si="151"/>
        <v>5.186150948862811</v>
      </c>
      <c r="AT73" s="580"/>
      <c r="AU73" s="636">
        <f t="shared" ca="1" si="152"/>
        <v>5.352597926624858</v>
      </c>
      <c r="AV73" s="633">
        <f t="shared" ca="1" si="153"/>
        <v>5.5910543130990309</v>
      </c>
      <c r="AW73" s="643">
        <f t="shared" ca="1" si="154"/>
        <v>5.6179775280898792</v>
      </c>
      <c r="AX73" s="637">
        <f t="shared" ca="1" si="123"/>
        <v>5.2898985295176004</v>
      </c>
      <c r="AY73" s="634">
        <f t="shared" ca="1" si="155"/>
        <v>7.6573474727999136</v>
      </c>
      <c r="AZ73" s="580"/>
      <c r="BA73" s="636">
        <f t="shared" ca="1" si="156"/>
        <v>2.4419974957649027</v>
      </c>
      <c r="BB73" s="633">
        <f t="shared" ca="1" si="157"/>
        <v>-0.15128593040845129</v>
      </c>
      <c r="BC73" s="643">
        <f t="shared" ca="1" si="158"/>
        <v>3.69714885837642</v>
      </c>
      <c r="BD73" s="637">
        <f t="shared" ca="1" si="124"/>
        <v>2.1557360988968544</v>
      </c>
      <c r="BE73" s="634">
        <f t="shared" ca="1" si="159"/>
        <v>13.035691441729558</v>
      </c>
      <c r="BF73" s="580"/>
      <c r="BG73" s="636">
        <f t="shared" ca="1" si="160"/>
        <v>2.9844951486675431</v>
      </c>
      <c r="BH73" s="633">
        <f t="shared" ca="1" si="161"/>
        <v>3.1060606060606011</v>
      </c>
      <c r="BI73" s="643">
        <f t="shared" ca="1" si="162"/>
        <v>1.6410660364973184</v>
      </c>
      <c r="BJ73" s="637">
        <f t="shared" ca="1" si="125"/>
        <v>3.303641521552958</v>
      </c>
      <c r="BK73" s="634">
        <f t="shared" ca="1" si="163"/>
        <v>8.4766862833861367</v>
      </c>
      <c r="BL73" s="580"/>
      <c r="BM73" s="636">
        <f t="shared" ca="1" si="164"/>
        <v>2.4126182921252681</v>
      </c>
      <c r="BN73" s="633">
        <f t="shared" ca="1" si="165"/>
        <v>7.4944893460690887</v>
      </c>
      <c r="BO73" s="643">
        <f t="shared" ca="1" si="166"/>
        <v>1.3073402959737246</v>
      </c>
      <c r="BP73" s="637">
        <f t="shared" ca="1" si="126"/>
        <v>2.656321176518861</v>
      </c>
      <c r="BQ73" s="634">
        <f t="shared" ca="1" si="167"/>
        <v>3.20292123109025</v>
      </c>
      <c r="BR73" s="580"/>
      <c r="BS73" s="636">
        <f t="shared" ca="1" si="168"/>
        <v>4.4806388885575199</v>
      </c>
      <c r="BT73" s="633">
        <f t="shared" ca="1" si="169"/>
        <v>6.698564593301426</v>
      </c>
      <c r="BU73" s="643">
        <f t="shared" ca="1" si="170"/>
        <v>3.5954646874003959</v>
      </c>
      <c r="BV73" s="637">
        <f t="shared" ca="1" si="127"/>
        <v>4.6782235999503818</v>
      </c>
      <c r="BW73" s="634">
        <f t="shared" ca="1" si="171"/>
        <v>7.6526486049333098</v>
      </c>
      <c r="BX73" s="580"/>
      <c r="BY73" s="636">
        <f t="shared" ca="1" si="172"/>
        <v>6.8627866766711287</v>
      </c>
      <c r="BZ73" s="633">
        <f t="shared" ca="1" si="173"/>
        <v>2.8827674567584838</v>
      </c>
      <c r="CA73" s="643">
        <f t="shared" ca="1" si="174"/>
        <v>9.9047937197260794</v>
      </c>
      <c r="CB73" s="637">
        <f t="shared" ca="1" si="128"/>
        <v>6.180059709168928</v>
      </c>
      <c r="CC73" s="634">
        <f t="shared" ca="1" si="175"/>
        <v>8.2542961780448731</v>
      </c>
      <c r="CD73" s="580"/>
      <c r="CE73" s="636">
        <f t="shared" ca="1" si="176"/>
        <v>5.3688335040365853</v>
      </c>
      <c r="CF73" s="633">
        <f t="shared" ca="1" si="177"/>
        <v>6.4134495641344991</v>
      </c>
      <c r="CG73" s="643">
        <f t="shared" ca="1" si="178"/>
        <v>3.5586306191009331</v>
      </c>
      <c r="CH73" s="637">
        <f t="shared" ca="1" si="129"/>
        <v>5.7938683877413188</v>
      </c>
      <c r="CI73" s="634">
        <f t="shared" ca="1" si="179"/>
        <v>4.7536433032616232</v>
      </c>
      <c r="CJ73" s="580"/>
      <c r="CK73" s="636">
        <f t="shared" ca="1" si="180"/>
        <v>2.8668445587898717</v>
      </c>
      <c r="CL73" s="633">
        <f t="shared" ca="1" si="181"/>
        <v>-21.181977764774729</v>
      </c>
      <c r="CM73" s="643">
        <f t="shared" ca="1" si="182"/>
        <v>4.6914705450725736</v>
      </c>
      <c r="CN73" s="637">
        <f t="shared" ca="1" si="130"/>
        <v>2.5178492223605131</v>
      </c>
      <c r="CO73" s="634">
        <f t="shared" ca="1" si="183"/>
        <v>5.1838357071878116</v>
      </c>
      <c r="CP73" s="580"/>
      <c r="CQ73" s="636">
        <f t="shared" ca="1" si="184"/>
        <v>2.1522442036006506</v>
      </c>
      <c r="CR73" s="633">
        <f t="shared" ca="1" si="185"/>
        <v>7.423904974017681E-2</v>
      </c>
      <c r="CS73" s="643">
        <f t="shared" ca="1" si="186"/>
        <v>0.99082947846809155</v>
      </c>
      <c r="CT73" s="637">
        <f t="shared" ca="1" si="42"/>
        <v>2.4317610073865348</v>
      </c>
      <c r="CU73" s="634">
        <f t="shared" ca="1" si="187"/>
        <v>6.7076051015588334</v>
      </c>
      <c r="CV73" s="580"/>
      <c r="CW73" s="636">
        <f t="shared" ca="1" si="188"/>
        <v>3.4576407643452489</v>
      </c>
      <c r="CX73" s="633">
        <f t="shared" ca="1" si="189"/>
        <v>4.6735905044510417</v>
      </c>
      <c r="CY73" s="643">
        <f t="shared" ca="1" si="190"/>
        <v>-4.087342752363277</v>
      </c>
      <c r="CZ73" s="637">
        <f t="shared" ca="1" si="47"/>
        <v>5.2138739153020142</v>
      </c>
      <c r="DA73" s="634">
        <f t="shared" ca="1" si="191"/>
        <v>5.8580492843440801</v>
      </c>
      <c r="DB73" s="580"/>
      <c r="DC73" s="636">
        <f t="shared" ca="1" si="192"/>
        <v>4.2230098872691357</v>
      </c>
      <c r="DD73" s="633">
        <f t="shared" ca="1" si="193"/>
        <v>0.85046066619418603</v>
      </c>
      <c r="DE73" s="643">
        <f t="shared" ca="1" si="194"/>
        <v>4.6073226649198995</v>
      </c>
      <c r="DF73" s="637">
        <f t="shared" ca="1" si="52"/>
        <v>4.1490357065387951</v>
      </c>
      <c r="DG73" s="634">
        <f t="shared" ca="1" si="195"/>
        <v>3.784499581823253</v>
      </c>
      <c r="DH73" s="580"/>
      <c r="DI73" s="636">
        <f t="shared" ca="1" si="196"/>
        <v>2.3514610970757577</v>
      </c>
      <c r="DJ73" s="633">
        <f t="shared" ca="1" si="197"/>
        <v>4.8489107519325225</v>
      </c>
      <c r="DK73" s="643">
        <f t="shared" ca="1" si="198"/>
        <v>1.324450269404398</v>
      </c>
      <c r="DL73" s="637">
        <f t="shared" ca="1" si="57"/>
        <v>2.5651666410212215</v>
      </c>
      <c r="DM73" s="634">
        <f t="shared" ca="1" si="199"/>
        <v>1.30951581492178</v>
      </c>
      <c r="DN73" s="580"/>
      <c r="DO73" s="636">
        <f t="shared" ca="1" si="200"/>
        <v>0.77709657432945001</v>
      </c>
      <c r="DP73" s="633">
        <f t="shared" ca="1" si="201"/>
        <v>-0.737265415549615</v>
      </c>
      <c r="DQ73" s="643">
        <f t="shared" ca="1" si="202"/>
        <v>-1.1512011440151015</v>
      </c>
      <c r="DR73" s="637">
        <f t="shared" ca="1" si="62"/>
        <v>1.1871621611382555</v>
      </c>
      <c r="DS73" s="634">
        <f t="shared" ca="1" si="203"/>
        <v>5.084184011666415</v>
      </c>
      <c r="DT73" s="580"/>
      <c r="DU73" s="636">
        <f t="shared" ca="1" si="204"/>
        <v>1.9079905548703646</v>
      </c>
      <c r="DV73" s="633">
        <f t="shared" ca="1" si="205"/>
        <v>-4.3889264010803402</v>
      </c>
      <c r="DW73" s="643">
        <f t="shared" ca="1" si="206"/>
        <v>2.7195998749609096</v>
      </c>
      <c r="DX73" s="637">
        <f t="shared" ca="1" si="67"/>
        <v>1.7547590557218662</v>
      </c>
      <c r="DY73" s="634">
        <f t="shared" ca="1" si="207"/>
        <v>3.1539771652067117E-2</v>
      </c>
      <c r="DZ73" s="580"/>
      <c r="EA73" s="636">
        <f t="shared" ca="1" si="208"/>
        <v>-0.75241012068240076</v>
      </c>
      <c r="EB73" s="633">
        <f t="shared" ca="1" si="209"/>
        <v>-3.4604519774011355</v>
      </c>
      <c r="EC73" s="643">
        <f t="shared" ca="1" si="210"/>
        <v>-1.4012937196563269</v>
      </c>
      <c r="ED73" s="637">
        <f t="shared" ca="1" si="72"/>
        <v>-0.61182378533035653</v>
      </c>
      <c r="EE73" s="634">
        <f t="shared" ca="1" si="211"/>
        <v>5.5051078320090596</v>
      </c>
      <c r="EF73" s="580"/>
      <c r="EG73" s="636">
        <f t="shared" ca="1" si="212"/>
        <v>2.5111694396376283</v>
      </c>
      <c r="EH73" s="633">
        <f t="shared" ca="1" si="213"/>
        <v>1.6699999999999937</v>
      </c>
      <c r="EI73" s="643">
        <f t="shared" ca="1" si="214"/>
        <v>1.6699999999999937</v>
      </c>
      <c r="EJ73" s="637">
        <f t="shared" ca="1" si="77"/>
        <v>2.6864133324053352</v>
      </c>
      <c r="EK73" s="634">
        <f t="shared" ca="1" si="215"/>
        <v>1.6699999999999937</v>
      </c>
      <c r="EL73" s="580"/>
      <c r="EM73" s="636">
        <f t="shared" ca="1" si="216"/>
        <v>2.8688233597068846</v>
      </c>
      <c r="EN73" s="633">
        <f t="shared" ca="1" si="217"/>
        <v>3.2899999999999929</v>
      </c>
      <c r="EO73" s="643">
        <f t="shared" ca="1" si="218"/>
        <v>3.2899999999999929</v>
      </c>
      <c r="EP73" s="637">
        <f t="shared" ca="1" si="82"/>
        <v>2.781946618827047</v>
      </c>
      <c r="EQ73" s="634">
        <f t="shared" ca="1" si="219"/>
        <v>3.2899999999999929</v>
      </c>
      <c r="ER73" s="580"/>
    </row>
    <row r="74" spans="2:148">
      <c r="B74" s="592"/>
      <c r="C74" s="593"/>
      <c r="D74" s="594" t="s">
        <v>656</v>
      </c>
      <c r="E74" s="644"/>
      <c r="F74" s="652"/>
      <c r="G74" s="653"/>
      <c r="H74" s="606"/>
      <c r="I74" s="654"/>
      <c r="J74" s="608"/>
      <c r="K74" s="644" t="str">
        <f t="shared" si="131"/>
        <v/>
      </c>
      <c r="L74" s="652" t="str">
        <f t="shared" si="131"/>
        <v/>
      </c>
      <c r="M74" s="653" t="str">
        <f t="shared" si="131"/>
        <v/>
      </c>
      <c r="N74" s="606">
        <f t="shared" ca="1" si="131"/>
        <v>2.8919821561439241</v>
      </c>
      <c r="O74" s="654" t="str">
        <f t="shared" si="131"/>
        <v/>
      </c>
      <c r="P74" s="608"/>
      <c r="Q74" s="644" t="str">
        <f t="shared" si="132"/>
        <v/>
      </c>
      <c r="R74" s="652" t="str">
        <f t="shared" si="133"/>
        <v/>
      </c>
      <c r="S74" s="653" t="str">
        <f t="shared" si="134"/>
        <v/>
      </c>
      <c r="T74" s="606">
        <f t="shared" ca="1" si="118"/>
        <v>3.2548218053578992</v>
      </c>
      <c r="U74" s="654" t="str">
        <f t="shared" si="135"/>
        <v/>
      </c>
      <c r="V74" s="608"/>
      <c r="W74" s="644" t="str">
        <f t="shared" si="136"/>
        <v/>
      </c>
      <c r="X74" s="652" t="str">
        <f t="shared" si="137"/>
        <v/>
      </c>
      <c r="Y74" s="653" t="str">
        <f t="shared" si="138"/>
        <v/>
      </c>
      <c r="Z74" s="606">
        <f t="shared" ca="1" si="119"/>
        <v>4.1803645666773193</v>
      </c>
      <c r="AA74" s="654" t="str">
        <f t="shared" si="139"/>
        <v/>
      </c>
      <c r="AB74" s="608"/>
      <c r="AC74" s="644" t="str">
        <f t="shared" si="140"/>
        <v/>
      </c>
      <c r="AD74" s="652" t="str">
        <f t="shared" si="141"/>
        <v/>
      </c>
      <c r="AE74" s="653" t="str">
        <f t="shared" si="142"/>
        <v/>
      </c>
      <c r="AF74" s="606">
        <f t="shared" ca="1" si="120"/>
        <v>3.7062730989771975</v>
      </c>
      <c r="AG74" s="654" t="str">
        <f t="shared" si="143"/>
        <v/>
      </c>
      <c r="AH74" s="608"/>
      <c r="AI74" s="644" t="str">
        <f t="shared" si="144"/>
        <v/>
      </c>
      <c r="AJ74" s="652" t="str">
        <f t="shared" si="145"/>
        <v/>
      </c>
      <c r="AK74" s="653" t="str">
        <f t="shared" si="146"/>
        <v/>
      </c>
      <c r="AL74" s="606">
        <f t="shared" ca="1" si="121"/>
        <v>2.6799192531508531</v>
      </c>
      <c r="AM74" s="654" t="str">
        <f t="shared" si="147"/>
        <v/>
      </c>
      <c r="AN74" s="608"/>
      <c r="AO74" s="644" t="str">
        <f t="shared" si="148"/>
        <v/>
      </c>
      <c r="AP74" s="652" t="str">
        <f t="shared" si="149"/>
        <v/>
      </c>
      <c r="AQ74" s="653" t="str">
        <f t="shared" si="150"/>
        <v/>
      </c>
      <c r="AR74" s="606">
        <f t="shared" ca="1" si="122"/>
        <v>4.4571922744306658</v>
      </c>
      <c r="AS74" s="654" t="str">
        <f t="shared" si="151"/>
        <v/>
      </c>
      <c r="AT74" s="608"/>
      <c r="AU74" s="644" t="str">
        <f t="shared" si="152"/>
        <v/>
      </c>
      <c r="AV74" s="652" t="str">
        <f t="shared" si="153"/>
        <v/>
      </c>
      <c r="AW74" s="653" t="str">
        <f t="shared" si="154"/>
        <v/>
      </c>
      <c r="AX74" s="606">
        <f t="shared" ca="1" si="123"/>
        <v>5.0468868148426216</v>
      </c>
      <c r="AY74" s="654" t="str">
        <f t="shared" si="155"/>
        <v/>
      </c>
      <c r="AZ74" s="608"/>
      <c r="BA74" s="644" t="str">
        <f t="shared" si="156"/>
        <v/>
      </c>
      <c r="BB74" s="652" t="str">
        <f t="shared" si="157"/>
        <v/>
      </c>
      <c r="BC74" s="653" t="str">
        <f t="shared" si="158"/>
        <v/>
      </c>
      <c r="BD74" s="606">
        <f t="shared" ca="1" si="124"/>
        <v>2.2437935110994456</v>
      </c>
      <c r="BE74" s="654" t="str">
        <f t="shared" si="159"/>
        <v/>
      </c>
      <c r="BF74" s="608"/>
      <c r="BG74" s="644" t="str">
        <f t="shared" si="160"/>
        <v/>
      </c>
      <c r="BH74" s="652" t="str">
        <f t="shared" si="161"/>
        <v/>
      </c>
      <c r="BI74" s="653" t="str">
        <f t="shared" si="162"/>
        <v/>
      </c>
      <c r="BJ74" s="606">
        <f t="shared" ca="1" si="125"/>
        <v>3.2523876451408196</v>
      </c>
      <c r="BK74" s="654" t="str">
        <f t="shared" si="163"/>
        <v/>
      </c>
      <c r="BL74" s="608"/>
      <c r="BM74" s="644" t="str">
        <f t="shared" si="164"/>
        <v/>
      </c>
      <c r="BN74" s="652" t="str">
        <f t="shared" si="165"/>
        <v/>
      </c>
      <c r="BO74" s="653" t="str">
        <f t="shared" si="166"/>
        <v/>
      </c>
      <c r="BP74" s="606">
        <f t="shared" ca="1" si="126"/>
        <v>2.7030053577338675</v>
      </c>
      <c r="BQ74" s="654" t="str">
        <f t="shared" si="167"/>
        <v/>
      </c>
      <c r="BR74" s="608"/>
      <c r="BS74" s="644" t="str">
        <f t="shared" si="168"/>
        <v/>
      </c>
      <c r="BT74" s="652" t="str">
        <f t="shared" si="169"/>
        <v/>
      </c>
      <c r="BU74" s="653" t="str">
        <f t="shared" si="170"/>
        <v/>
      </c>
      <c r="BV74" s="606">
        <f t="shared" ca="1" si="127"/>
        <v>4.1656267945366254</v>
      </c>
      <c r="BW74" s="654" t="str">
        <f t="shared" si="171"/>
        <v/>
      </c>
      <c r="BX74" s="608"/>
      <c r="BY74" s="644" t="str">
        <f t="shared" si="172"/>
        <v/>
      </c>
      <c r="BZ74" s="652" t="str">
        <f t="shared" si="173"/>
        <v/>
      </c>
      <c r="CA74" s="653" t="str">
        <f t="shared" si="174"/>
        <v/>
      </c>
      <c r="CB74" s="606">
        <f t="shared" ca="1" si="128"/>
        <v>6.3342195797656542</v>
      </c>
      <c r="CC74" s="654" t="str">
        <f t="shared" si="175"/>
        <v/>
      </c>
      <c r="CD74" s="608"/>
      <c r="CE74" s="644" t="str">
        <f t="shared" si="176"/>
        <v/>
      </c>
      <c r="CF74" s="652" t="str">
        <f t="shared" si="177"/>
        <v/>
      </c>
      <c r="CG74" s="653" t="str">
        <f t="shared" si="178"/>
        <v/>
      </c>
      <c r="CH74" s="606">
        <f t="shared" ca="1" si="129"/>
        <v>5.7906434437167364</v>
      </c>
      <c r="CI74" s="654" t="str">
        <f t="shared" si="179"/>
        <v/>
      </c>
      <c r="CJ74" s="608"/>
      <c r="CK74" s="644" t="str">
        <f t="shared" si="180"/>
        <v/>
      </c>
      <c r="CL74" s="652" t="str">
        <f t="shared" si="181"/>
        <v/>
      </c>
      <c r="CM74" s="653" t="str">
        <f t="shared" si="182"/>
        <v/>
      </c>
      <c r="CN74" s="606">
        <f t="shared" ca="1" si="130"/>
        <v>2.1021288034656305</v>
      </c>
      <c r="CO74" s="654" t="str">
        <f t="shared" si="183"/>
        <v/>
      </c>
      <c r="CP74" s="608"/>
      <c r="CQ74" s="644" t="str">
        <f t="shared" si="184"/>
        <v/>
      </c>
      <c r="CR74" s="652" t="str">
        <f t="shared" si="185"/>
        <v/>
      </c>
      <c r="CS74" s="653" t="str">
        <f t="shared" si="186"/>
        <v/>
      </c>
      <c r="CT74" s="606">
        <f t="shared" ca="1" si="42"/>
        <v>2.2917506293403278</v>
      </c>
      <c r="CU74" s="654" t="str">
        <f t="shared" si="187"/>
        <v/>
      </c>
      <c r="CV74" s="608"/>
      <c r="CW74" s="644" t="str">
        <f t="shared" si="188"/>
        <v/>
      </c>
      <c r="CX74" s="652" t="str">
        <f t="shared" si="189"/>
        <v/>
      </c>
      <c r="CY74" s="653" t="str">
        <f t="shared" si="190"/>
        <v/>
      </c>
      <c r="CZ74" s="606">
        <f t="shared" ca="1" si="47"/>
        <v>5.0062662472009967</v>
      </c>
      <c r="DA74" s="654" t="str">
        <f t="shared" si="191"/>
        <v/>
      </c>
      <c r="DB74" s="608"/>
      <c r="DC74" s="644" t="str">
        <f t="shared" si="192"/>
        <v/>
      </c>
      <c r="DD74" s="652" t="str">
        <f t="shared" si="193"/>
        <v/>
      </c>
      <c r="DE74" s="653" t="str">
        <f t="shared" si="194"/>
        <v/>
      </c>
      <c r="DF74" s="606">
        <f t="shared" ca="1" si="52"/>
        <v>4.0558248628795202</v>
      </c>
      <c r="DG74" s="654" t="str">
        <f t="shared" si="195"/>
        <v/>
      </c>
      <c r="DH74" s="608"/>
      <c r="DI74" s="644" t="str">
        <f t="shared" si="196"/>
        <v/>
      </c>
      <c r="DJ74" s="652" t="str">
        <f t="shared" si="197"/>
        <v/>
      </c>
      <c r="DK74" s="653" t="str">
        <f t="shared" si="198"/>
        <v/>
      </c>
      <c r="DL74" s="606">
        <f t="shared" ca="1" si="57"/>
        <v>2.2481173579955049</v>
      </c>
      <c r="DM74" s="654" t="str">
        <f t="shared" si="199"/>
        <v/>
      </c>
      <c r="DN74" s="608"/>
      <c r="DO74" s="644" t="str">
        <f t="shared" si="200"/>
        <v/>
      </c>
      <c r="DP74" s="652" t="str">
        <f t="shared" si="201"/>
        <v/>
      </c>
      <c r="DQ74" s="653" t="str">
        <f t="shared" si="202"/>
        <v/>
      </c>
      <c r="DR74" s="606">
        <f t="shared" ca="1" si="62"/>
        <v>1.3014561635751765</v>
      </c>
      <c r="DS74" s="654" t="str">
        <f t="shared" si="203"/>
        <v/>
      </c>
      <c r="DT74" s="608"/>
      <c r="DU74" s="644" t="str">
        <f t="shared" si="204"/>
        <v/>
      </c>
      <c r="DV74" s="652" t="str">
        <f t="shared" si="205"/>
        <v/>
      </c>
      <c r="DW74" s="653" t="str">
        <f t="shared" si="206"/>
        <v/>
      </c>
      <c r="DX74" s="606">
        <f t="shared" ca="1" si="67"/>
        <v>2.6866794370533631</v>
      </c>
      <c r="DY74" s="654" t="str">
        <f t="shared" si="207"/>
        <v/>
      </c>
      <c r="DZ74" s="608"/>
      <c r="EA74" s="644" t="str">
        <f t="shared" si="208"/>
        <v/>
      </c>
      <c r="EB74" s="652" t="str">
        <f t="shared" si="209"/>
        <v/>
      </c>
      <c r="EC74" s="653" t="str">
        <f t="shared" si="210"/>
        <v/>
      </c>
      <c r="ED74" s="606">
        <f t="shared" ca="1" si="72"/>
        <v>-1.1867262471613849</v>
      </c>
      <c r="EE74" s="654" t="str">
        <f t="shared" si="211"/>
        <v/>
      </c>
      <c r="EF74" s="608"/>
      <c r="EG74" s="644" t="str">
        <f t="shared" si="212"/>
        <v/>
      </c>
      <c r="EH74" s="652" t="str">
        <f t="shared" si="213"/>
        <v/>
      </c>
      <c r="EI74" s="653" t="str">
        <f t="shared" si="214"/>
        <v/>
      </c>
      <c r="EJ74" s="606">
        <f t="shared" ca="1" si="77"/>
        <v>2.5848796693947129</v>
      </c>
      <c r="EK74" s="654" t="str">
        <f t="shared" si="215"/>
        <v/>
      </c>
      <c r="EL74" s="608"/>
      <c r="EM74" s="644" t="str">
        <f t="shared" si="216"/>
        <v/>
      </c>
      <c r="EN74" s="652" t="str">
        <f t="shared" si="217"/>
        <v/>
      </c>
      <c r="EO74" s="653" t="str">
        <f t="shared" si="218"/>
        <v/>
      </c>
      <c r="EP74" s="606">
        <f t="shared" ca="1" si="82"/>
        <v>2.8599999999999959</v>
      </c>
      <c r="EQ74" s="654" t="str">
        <f t="shared" si="219"/>
        <v/>
      </c>
      <c r="ER74" s="608"/>
    </row>
    <row r="75" spans="2:148" ht="13.8" thickBot="1">
      <c r="B75" s="592"/>
      <c r="C75" s="593"/>
      <c r="D75" s="594" t="s">
        <v>1479</v>
      </c>
      <c r="E75" s="644"/>
      <c r="F75" s="652"/>
      <c r="G75" s="653"/>
      <c r="H75" s="609"/>
      <c r="I75" s="654"/>
      <c r="J75" s="608"/>
      <c r="K75" s="644" t="str">
        <f t="shared" si="131"/>
        <v/>
      </c>
      <c r="L75" s="652" t="str">
        <f t="shared" si="131"/>
        <v/>
      </c>
      <c r="M75" s="653" t="str">
        <f t="shared" si="131"/>
        <v/>
      </c>
      <c r="N75" s="609">
        <f t="shared" ca="1" si="131"/>
        <v>5.1853990711999698</v>
      </c>
      <c r="O75" s="654" t="str">
        <f t="shared" si="131"/>
        <v/>
      </c>
      <c r="P75" s="608"/>
      <c r="Q75" s="644" t="str">
        <f t="shared" si="132"/>
        <v/>
      </c>
      <c r="R75" s="652" t="str">
        <f t="shared" si="133"/>
        <v/>
      </c>
      <c r="S75" s="653" t="str">
        <f t="shared" si="134"/>
        <v/>
      </c>
      <c r="T75" s="609">
        <f t="shared" ca="1" si="118"/>
        <v>5.0784645651278826</v>
      </c>
      <c r="U75" s="654" t="str">
        <f t="shared" si="135"/>
        <v/>
      </c>
      <c r="V75" s="608"/>
      <c r="W75" s="644" t="str">
        <f t="shared" si="136"/>
        <v/>
      </c>
      <c r="X75" s="652" t="str">
        <f t="shared" si="137"/>
        <v/>
      </c>
      <c r="Y75" s="653" t="str">
        <f t="shared" si="138"/>
        <v/>
      </c>
      <c r="Z75" s="609">
        <f t="shared" ca="1" si="119"/>
        <v>4.4150302608089831</v>
      </c>
      <c r="AA75" s="654" t="str">
        <f t="shared" si="139"/>
        <v/>
      </c>
      <c r="AB75" s="608"/>
      <c r="AC75" s="644" t="str">
        <f t="shared" si="140"/>
        <v/>
      </c>
      <c r="AD75" s="652" t="str">
        <f t="shared" si="141"/>
        <v/>
      </c>
      <c r="AE75" s="653" t="str">
        <f t="shared" si="142"/>
        <v/>
      </c>
      <c r="AF75" s="609">
        <f t="shared" ca="1" si="120"/>
        <v>2.7751136316250591</v>
      </c>
      <c r="AG75" s="654" t="str">
        <f t="shared" si="143"/>
        <v/>
      </c>
      <c r="AH75" s="608"/>
      <c r="AI75" s="644" t="str">
        <f t="shared" si="144"/>
        <v/>
      </c>
      <c r="AJ75" s="652" t="str">
        <f t="shared" si="145"/>
        <v/>
      </c>
      <c r="AK75" s="653" t="str">
        <f t="shared" si="146"/>
        <v/>
      </c>
      <c r="AL75" s="609">
        <f t="shared" ca="1" si="121"/>
        <v>4.7450956525267207</v>
      </c>
      <c r="AM75" s="654" t="str">
        <f t="shared" si="147"/>
        <v/>
      </c>
      <c r="AN75" s="608"/>
      <c r="AO75" s="644" t="str">
        <f t="shared" si="148"/>
        <v/>
      </c>
      <c r="AP75" s="652" t="str">
        <f t="shared" si="149"/>
        <v/>
      </c>
      <c r="AQ75" s="653" t="str">
        <f t="shared" si="150"/>
        <v/>
      </c>
      <c r="AR75" s="609">
        <f t="shared" ca="1" si="122"/>
        <v>5.5701890300588808</v>
      </c>
      <c r="AS75" s="654" t="str">
        <f t="shared" si="151"/>
        <v/>
      </c>
      <c r="AT75" s="608"/>
      <c r="AU75" s="644" t="str">
        <f t="shared" si="152"/>
        <v/>
      </c>
      <c r="AV75" s="652" t="str">
        <f t="shared" si="153"/>
        <v/>
      </c>
      <c r="AW75" s="653" t="str">
        <f t="shared" si="154"/>
        <v/>
      </c>
      <c r="AX75" s="609">
        <f t="shared" ca="1" si="123"/>
        <v>6.9054083804212185</v>
      </c>
      <c r="AY75" s="654" t="str">
        <f t="shared" si="155"/>
        <v/>
      </c>
      <c r="AZ75" s="608"/>
      <c r="BA75" s="644" t="str">
        <f t="shared" si="156"/>
        <v/>
      </c>
      <c r="BB75" s="652" t="str">
        <f t="shared" si="157"/>
        <v/>
      </c>
      <c r="BC75" s="653" t="str">
        <f t="shared" si="158"/>
        <v/>
      </c>
      <c r="BD75" s="609">
        <f t="shared" ca="1" si="124"/>
        <v>1.5805189456342683</v>
      </c>
      <c r="BE75" s="654" t="str">
        <f t="shared" si="159"/>
        <v/>
      </c>
      <c r="BF75" s="608"/>
      <c r="BG75" s="644" t="str">
        <f t="shared" si="160"/>
        <v/>
      </c>
      <c r="BH75" s="652" t="str">
        <f t="shared" si="161"/>
        <v/>
      </c>
      <c r="BI75" s="653" t="str">
        <f t="shared" si="162"/>
        <v/>
      </c>
      <c r="BJ75" s="609">
        <f t="shared" ca="1" si="125"/>
        <v>3.640633182977715</v>
      </c>
      <c r="BK75" s="654" t="str">
        <f t="shared" si="163"/>
        <v/>
      </c>
      <c r="BL75" s="608"/>
      <c r="BM75" s="644" t="str">
        <f t="shared" si="164"/>
        <v/>
      </c>
      <c r="BN75" s="652" t="str">
        <f t="shared" si="165"/>
        <v/>
      </c>
      <c r="BO75" s="653" t="str">
        <f t="shared" si="166"/>
        <v/>
      </c>
      <c r="BP75" s="609">
        <f t="shared" ca="1" si="126"/>
        <v>2.3505248744865259</v>
      </c>
      <c r="BQ75" s="654" t="str">
        <f t="shared" si="167"/>
        <v/>
      </c>
      <c r="BR75" s="608"/>
      <c r="BS75" s="644" t="str">
        <f t="shared" si="168"/>
        <v/>
      </c>
      <c r="BT75" s="652" t="str">
        <f t="shared" si="169"/>
        <v/>
      </c>
      <c r="BU75" s="653" t="str">
        <f t="shared" si="170"/>
        <v/>
      </c>
      <c r="BV75" s="609">
        <f t="shared" ca="1" si="127"/>
        <v>8.0474597865902275</v>
      </c>
      <c r="BW75" s="654" t="str">
        <f t="shared" si="171"/>
        <v/>
      </c>
      <c r="BX75" s="608"/>
      <c r="BY75" s="644" t="str">
        <f t="shared" si="172"/>
        <v/>
      </c>
      <c r="BZ75" s="652" t="str">
        <f t="shared" si="173"/>
        <v/>
      </c>
      <c r="CA75" s="653" t="str">
        <f t="shared" si="174"/>
        <v/>
      </c>
      <c r="CB75" s="609">
        <f t="shared" ca="1" si="128"/>
        <v>5.2031897174358299</v>
      </c>
      <c r="CC75" s="654" t="str">
        <f t="shared" si="175"/>
        <v/>
      </c>
      <c r="CD75" s="608"/>
      <c r="CE75" s="644" t="str">
        <f t="shared" si="176"/>
        <v/>
      </c>
      <c r="CF75" s="652" t="str">
        <f t="shared" si="177"/>
        <v/>
      </c>
      <c r="CG75" s="653" t="str">
        <f t="shared" si="178"/>
        <v/>
      </c>
      <c r="CH75" s="609">
        <f t="shared" ca="1" si="129"/>
        <v>5.8145236994381566</v>
      </c>
      <c r="CI75" s="654" t="str">
        <f t="shared" si="179"/>
        <v/>
      </c>
      <c r="CJ75" s="608"/>
      <c r="CK75" s="644" t="str">
        <f t="shared" si="180"/>
        <v/>
      </c>
      <c r="CL75" s="652" t="str">
        <f t="shared" si="181"/>
        <v/>
      </c>
      <c r="CM75" s="653" t="str">
        <f t="shared" si="182"/>
        <v/>
      </c>
      <c r="CN75" s="609">
        <f t="shared" ca="1" si="130"/>
        <v>5.1798789772652176</v>
      </c>
      <c r="CO75" s="654" t="str">
        <f t="shared" si="183"/>
        <v/>
      </c>
      <c r="CP75" s="608"/>
      <c r="CQ75" s="644" t="str">
        <f t="shared" si="184"/>
        <v/>
      </c>
      <c r="CR75" s="652" t="str">
        <f t="shared" si="185"/>
        <v/>
      </c>
      <c r="CS75" s="653" t="str">
        <f t="shared" si="186"/>
        <v/>
      </c>
      <c r="CT75" s="609">
        <f t="shared" ca="1" si="42"/>
        <v>3.302070875558627</v>
      </c>
      <c r="CU75" s="654" t="str">
        <f t="shared" si="187"/>
        <v/>
      </c>
      <c r="CV75" s="608"/>
      <c r="CW75" s="644" t="str">
        <f t="shared" si="188"/>
        <v/>
      </c>
      <c r="CX75" s="652" t="str">
        <f t="shared" si="189"/>
        <v/>
      </c>
      <c r="CY75" s="653" t="str">
        <f t="shared" si="190"/>
        <v/>
      </c>
      <c r="CZ75" s="609">
        <f t="shared" ca="1" si="47"/>
        <v>6.4917497379902045</v>
      </c>
      <c r="DA75" s="654" t="str">
        <f t="shared" si="191"/>
        <v/>
      </c>
      <c r="DB75" s="608"/>
      <c r="DC75" s="644" t="str">
        <f t="shared" si="192"/>
        <v/>
      </c>
      <c r="DD75" s="652" t="str">
        <f t="shared" si="193"/>
        <v/>
      </c>
      <c r="DE75" s="653" t="str">
        <f t="shared" si="194"/>
        <v/>
      </c>
      <c r="DF75" s="609">
        <f t="shared" ca="1" si="52"/>
        <v>4.7147679807747256</v>
      </c>
      <c r="DG75" s="654" t="str">
        <f t="shared" si="195"/>
        <v/>
      </c>
      <c r="DH75" s="608"/>
      <c r="DI75" s="644" t="str">
        <f t="shared" si="196"/>
        <v/>
      </c>
      <c r="DJ75" s="652" t="str">
        <f t="shared" si="197"/>
        <v/>
      </c>
      <c r="DK75" s="653" t="str">
        <f t="shared" si="198"/>
        <v/>
      </c>
      <c r="DL75" s="609">
        <f t="shared" ca="1" si="57"/>
        <v>4.4773509644281839</v>
      </c>
      <c r="DM75" s="654" t="str">
        <f t="shared" si="199"/>
        <v/>
      </c>
      <c r="DN75" s="608"/>
      <c r="DO75" s="644" t="str">
        <f t="shared" si="200"/>
        <v/>
      </c>
      <c r="DP75" s="652" t="str">
        <f t="shared" si="201"/>
        <v/>
      </c>
      <c r="DQ75" s="653" t="str">
        <f t="shared" si="202"/>
        <v/>
      </c>
      <c r="DR75" s="609">
        <f t="shared" ca="1" si="62"/>
        <v>0.51254157862807848</v>
      </c>
      <c r="DS75" s="654" t="str">
        <f t="shared" si="203"/>
        <v/>
      </c>
      <c r="DT75" s="608"/>
      <c r="DU75" s="644" t="str">
        <f t="shared" si="204"/>
        <v/>
      </c>
      <c r="DV75" s="652" t="str">
        <f t="shared" si="205"/>
        <v/>
      </c>
      <c r="DW75" s="653" t="str">
        <f t="shared" si="206"/>
        <v/>
      </c>
      <c r="DX75" s="609">
        <f t="shared" ca="1" si="67"/>
        <v>-3.7890771344128549</v>
      </c>
      <c r="DY75" s="654" t="str">
        <f t="shared" si="207"/>
        <v/>
      </c>
      <c r="DZ75" s="608"/>
      <c r="EA75" s="644" t="str">
        <f t="shared" si="208"/>
        <v/>
      </c>
      <c r="EB75" s="652" t="str">
        <f t="shared" si="209"/>
        <v/>
      </c>
      <c r="EC75" s="653" t="str">
        <f t="shared" si="210"/>
        <v/>
      </c>
      <c r="ED75" s="609">
        <f t="shared" ca="1" si="72"/>
        <v>3.0383662696996216</v>
      </c>
      <c r="EE75" s="654" t="str">
        <f t="shared" si="211"/>
        <v/>
      </c>
      <c r="EF75" s="608"/>
      <c r="EG75" s="644" t="str">
        <f t="shared" si="212"/>
        <v/>
      </c>
      <c r="EH75" s="652" t="str">
        <f t="shared" si="213"/>
        <v/>
      </c>
      <c r="EI75" s="653" t="str">
        <f t="shared" si="214"/>
        <v/>
      </c>
      <c r="EJ75" s="609">
        <f t="shared" ca="1" si="77"/>
        <v>3.3046399328154452</v>
      </c>
      <c r="EK75" s="654" t="str">
        <f t="shared" si="215"/>
        <v/>
      </c>
      <c r="EL75" s="608"/>
      <c r="EM75" s="644" t="str">
        <f t="shared" si="216"/>
        <v/>
      </c>
      <c r="EN75" s="652" t="str">
        <f t="shared" si="217"/>
        <v/>
      </c>
      <c r="EO75" s="653" t="str">
        <f t="shared" si="218"/>
        <v/>
      </c>
      <c r="EP75" s="609">
        <f t="shared" ca="1" si="82"/>
        <v>2.3099999999999898</v>
      </c>
      <c r="EQ75" s="654" t="str">
        <f t="shared" si="219"/>
        <v/>
      </c>
      <c r="ER75" s="608"/>
    </row>
    <row r="76" spans="2:148">
      <c r="B76" s="568" t="s">
        <v>622</v>
      </c>
      <c r="C76" s="4136" t="s">
        <v>1480</v>
      </c>
      <c r="D76" s="4135"/>
      <c r="E76" s="636"/>
      <c r="F76" s="633"/>
      <c r="G76" s="635"/>
      <c r="H76" s="635"/>
      <c r="I76" s="635"/>
      <c r="J76" s="580"/>
      <c r="K76" s="636">
        <f t="shared" ca="1" si="131"/>
        <v>2.3835587414809956</v>
      </c>
      <c r="L76" s="633">
        <f t="shared" ca="1" si="131"/>
        <v>2.3835587414809956</v>
      </c>
      <c r="M76" s="635" t="str">
        <f t="shared" si="131"/>
        <v/>
      </c>
      <c r="N76" s="635" t="str">
        <f t="shared" si="131"/>
        <v/>
      </c>
      <c r="O76" s="635" t="str">
        <f t="shared" si="131"/>
        <v/>
      </c>
      <c r="P76" s="580"/>
      <c r="Q76" s="636">
        <f t="shared" ca="1" si="132"/>
        <v>3.6438573497965088</v>
      </c>
      <c r="R76" s="633">
        <f t="shared" ca="1" si="133"/>
        <v>3.6438573497965088</v>
      </c>
      <c r="S76" s="635" t="str">
        <f t="shared" si="134"/>
        <v/>
      </c>
      <c r="T76" s="635" t="str">
        <f t="shared" si="118"/>
        <v/>
      </c>
      <c r="U76" s="635" t="str">
        <f t="shared" si="135"/>
        <v/>
      </c>
      <c r="V76" s="580"/>
      <c r="W76" s="636">
        <f t="shared" ca="1" si="136"/>
        <v>2.857333013237251</v>
      </c>
      <c r="X76" s="633">
        <f t="shared" ca="1" si="137"/>
        <v>2.857333013237251</v>
      </c>
      <c r="Y76" s="635" t="str">
        <f t="shared" si="138"/>
        <v/>
      </c>
      <c r="Z76" s="635" t="str">
        <f t="shared" si="119"/>
        <v/>
      </c>
      <c r="AA76" s="635" t="str">
        <f t="shared" si="139"/>
        <v/>
      </c>
      <c r="AB76" s="580"/>
      <c r="AC76" s="636">
        <f t="shared" ca="1" si="140"/>
        <v>2.1228115582998974</v>
      </c>
      <c r="AD76" s="633">
        <f t="shared" ca="1" si="141"/>
        <v>2.1228115582998974</v>
      </c>
      <c r="AE76" s="635" t="str">
        <f t="shared" si="142"/>
        <v/>
      </c>
      <c r="AF76" s="635" t="str">
        <f t="shared" si="120"/>
        <v/>
      </c>
      <c r="AG76" s="635" t="str">
        <f t="shared" si="143"/>
        <v/>
      </c>
      <c r="AH76" s="580"/>
      <c r="AI76" s="636">
        <f t="shared" ca="1" si="144"/>
        <v>2.9075793027602659</v>
      </c>
      <c r="AJ76" s="633">
        <f t="shared" ca="1" si="145"/>
        <v>2.9075793027602659</v>
      </c>
      <c r="AK76" s="635" t="str">
        <f t="shared" si="146"/>
        <v/>
      </c>
      <c r="AL76" s="635" t="str">
        <f t="shared" si="121"/>
        <v/>
      </c>
      <c r="AM76" s="635" t="str">
        <f t="shared" si="147"/>
        <v/>
      </c>
      <c r="AN76" s="580"/>
      <c r="AO76" s="636">
        <f t="shared" ca="1" si="148"/>
        <v>4.9335587987589191</v>
      </c>
      <c r="AP76" s="633">
        <f t="shared" ca="1" si="149"/>
        <v>4.9335587987589191</v>
      </c>
      <c r="AQ76" s="635" t="str">
        <f t="shared" si="150"/>
        <v/>
      </c>
      <c r="AR76" s="635" t="str">
        <f t="shared" si="122"/>
        <v/>
      </c>
      <c r="AS76" s="635" t="str">
        <f t="shared" si="151"/>
        <v/>
      </c>
      <c r="AT76" s="580"/>
      <c r="AU76" s="636">
        <f t="shared" ca="1" si="152"/>
        <v>6.3080601593884289</v>
      </c>
      <c r="AV76" s="633">
        <f t="shared" ca="1" si="153"/>
        <v>6.3080601593884289</v>
      </c>
      <c r="AW76" s="635" t="str">
        <f t="shared" si="154"/>
        <v/>
      </c>
      <c r="AX76" s="635" t="str">
        <f t="shared" si="123"/>
        <v/>
      </c>
      <c r="AY76" s="635" t="str">
        <f t="shared" si="155"/>
        <v/>
      </c>
      <c r="AZ76" s="580"/>
      <c r="BA76" s="636">
        <f t="shared" ca="1" si="156"/>
        <v>4.1643915545208632</v>
      </c>
      <c r="BB76" s="633">
        <f t="shared" ca="1" si="157"/>
        <v>4.1643915545208632</v>
      </c>
      <c r="BC76" s="635" t="str">
        <f t="shared" si="158"/>
        <v/>
      </c>
      <c r="BD76" s="635" t="str">
        <f t="shared" si="124"/>
        <v/>
      </c>
      <c r="BE76" s="635" t="str">
        <f t="shared" si="159"/>
        <v/>
      </c>
      <c r="BF76" s="580"/>
      <c r="BG76" s="636">
        <f t="shared" ca="1" si="160"/>
        <v>3.4969825538816224</v>
      </c>
      <c r="BH76" s="633">
        <f t="shared" ca="1" si="161"/>
        <v>3.4969825538816224</v>
      </c>
      <c r="BI76" s="635" t="str">
        <f t="shared" si="162"/>
        <v/>
      </c>
      <c r="BJ76" s="635" t="str">
        <f t="shared" si="125"/>
        <v/>
      </c>
      <c r="BK76" s="635" t="str">
        <f t="shared" si="163"/>
        <v/>
      </c>
      <c r="BL76" s="580"/>
      <c r="BM76" s="636">
        <f t="shared" ca="1" si="164"/>
        <v>3.1036412107382283</v>
      </c>
      <c r="BN76" s="633">
        <f t="shared" ca="1" si="165"/>
        <v>3.1036412107382283</v>
      </c>
      <c r="BO76" s="635" t="str">
        <f t="shared" si="166"/>
        <v/>
      </c>
      <c r="BP76" s="635" t="str">
        <f t="shared" si="126"/>
        <v/>
      </c>
      <c r="BQ76" s="635" t="str">
        <f t="shared" si="167"/>
        <v/>
      </c>
      <c r="BR76" s="580"/>
      <c r="BS76" s="636">
        <f t="shared" ca="1" si="168"/>
        <v>3.5035823224799589</v>
      </c>
      <c r="BT76" s="633">
        <f t="shared" ca="1" si="169"/>
        <v>3.5035823224799589</v>
      </c>
      <c r="BU76" s="635" t="str">
        <f t="shared" si="170"/>
        <v/>
      </c>
      <c r="BV76" s="635" t="str">
        <f t="shared" si="127"/>
        <v/>
      </c>
      <c r="BW76" s="635" t="str">
        <f t="shared" si="171"/>
        <v/>
      </c>
      <c r="BX76" s="580"/>
      <c r="BY76" s="636">
        <f t="shared" ca="1" si="172"/>
        <v>4.5406726110109652</v>
      </c>
      <c r="BZ76" s="633">
        <f t="shared" ca="1" si="173"/>
        <v>4.5406726110109652</v>
      </c>
      <c r="CA76" s="635" t="str">
        <f t="shared" si="174"/>
        <v/>
      </c>
      <c r="CB76" s="635" t="str">
        <f t="shared" si="128"/>
        <v/>
      </c>
      <c r="CC76" s="635" t="str">
        <f t="shared" si="175"/>
        <v/>
      </c>
      <c r="CD76" s="580"/>
      <c r="CE76" s="636">
        <f t="shared" ca="1" si="176"/>
        <v>5.3578130813243474</v>
      </c>
      <c r="CF76" s="633">
        <f t="shared" ca="1" si="177"/>
        <v>5.3578130813243474</v>
      </c>
      <c r="CG76" s="635" t="str">
        <f t="shared" si="178"/>
        <v/>
      </c>
      <c r="CH76" s="635" t="str">
        <f t="shared" si="129"/>
        <v/>
      </c>
      <c r="CI76" s="635" t="str">
        <f t="shared" si="179"/>
        <v/>
      </c>
      <c r="CJ76" s="580"/>
      <c r="CK76" s="636">
        <f t="shared" ca="1" si="180"/>
        <v>7.287341695355054</v>
      </c>
      <c r="CL76" s="633">
        <f t="shared" ca="1" si="181"/>
        <v>7.287341695355054</v>
      </c>
      <c r="CM76" s="635" t="str">
        <f t="shared" si="182"/>
        <v/>
      </c>
      <c r="CN76" s="635" t="str">
        <f t="shared" si="130"/>
        <v/>
      </c>
      <c r="CO76" s="635" t="str">
        <f t="shared" si="183"/>
        <v/>
      </c>
      <c r="CP76" s="580"/>
      <c r="CQ76" s="636">
        <f t="shared" ca="1" si="184"/>
        <v>1.456779454581314</v>
      </c>
      <c r="CR76" s="633">
        <f t="shared" ca="1" si="185"/>
        <v>1.456779454581314</v>
      </c>
      <c r="CS76" s="635" t="str">
        <f t="shared" si="186"/>
        <v/>
      </c>
      <c r="CT76" s="635" t="str">
        <f t="shared" si="42"/>
        <v/>
      </c>
      <c r="CU76" s="635" t="str">
        <f t="shared" si="187"/>
        <v/>
      </c>
      <c r="CV76" s="580"/>
      <c r="CW76" s="636">
        <f t="shared" ca="1" si="188"/>
        <v>3.4420960414109247</v>
      </c>
      <c r="CX76" s="633">
        <f t="shared" ca="1" si="189"/>
        <v>3.4420960414109247</v>
      </c>
      <c r="CY76" s="635" t="str">
        <f t="shared" si="190"/>
        <v/>
      </c>
      <c r="CZ76" s="635" t="str">
        <f t="shared" si="47"/>
        <v/>
      </c>
      <c r="DA76" s="635" t="str">
        <f t="shared" si="191"/>
        <v/>
      </c>
      <c r="DB76" s="580"/>
      <c r="DC76" s="636">
        <f t="shared" ca="1" si="192"/>
        <v>5.3043365330946113</v>
      </c>
      <c r="DD76" s="633">
        <f t="shared" ca="1" si="193"/>
        <v>5.3043365330946113</v>
      </c>
      <c r="DE76" s="635" t="str">
        <f t="shared" si="194"/>
        <v/>
      </c>
      <c r="DF76" s="635" t="str">
        <f t="shared" si="52"/>
        <v/>
      </c>
      <c r="DG76" s="635" t="str">
        <f t="shared" si="195"/>
        <v/>
      </c>
      <c r="DH76" s="580"/>
      <c r="DI76" s="636">
        <f t="shared" ca="1" si="196"/>
        <v>3.8520225086165372</v>
      </c>
      <c r="DJ76" s="633">
        <f t="shared" ca="1" si="197"/>
        <v>3.8520225086165372</v>
      </c>
      <c r="DK76" s="635" t="str">
        <f t="shared" si="198"/>
        <v/>
      </c>
      <c r="DL76" s="635" t="str">
        <f t="shared" si="57"/>
        <v/>
      </c>
      <c r="DM76" s="635" t="str">
        <f t="shared" si="199"/>
        <v/>
      </c>
      <c r="DN76" s="580"/>
      <c r="DO76" s="636">
        <f t="shared" ca="1" si="200"/>
        <v>1.1640349336813571</v>
      </c>
      <c r="DP76" s="633">
        <f t="shared" ca="1" si="201"/>
        <v>1.1640349336813571</v>
      </c>
      <c r="DQ76" s="635" t="str">
        <f t="shared" si="202"/>
        <v/>
      </c>
      <c r="DR76" s="635" t="str">
        <f t="shared" si="62"/>
        <v/>
      </c>
      <c r="DS76" s="635" t="str">
        <f t="shared" si="203"/>
        <v/>
      </c>
      <c r="DT76" s="580"/>
      <c r="DU76" s="636">
        <f t="shared" ca="1" si="204"/>
        <v>2.2097453579113191</v>
      </c>
      <c r="DV76" s="633">
        <f t="shared" ca="1" si="205"/>
        <v>2.2097453579113191</v>
      </c>
      <c r="DW76" s="635" t="str">
        <f t="shared" si="206"/>
        <v/>
      </c>
      <c r="DX76" s="635" t="str">
        <f t="shared" si="67"/>
        <v/>
      </c>
      <c r="DY76" s="635" t="str">
        <f t="shared" si="207"/>
        <v/>
      </c>
      <c r="DZ76" s="580"/>
      <c r="EA76" s="636">
        <f t="shared" ca="1" si="208"/>
        <v>2.3443857166943971</v>
      </c>
      <c r="EB76" s="633">
        <f t="shared" ca="1" si="209"/>
        <v>2.3443857166943971</v>
      </c>
      <c r="EC76" s="635" t="str">
        <f t="shared" si="210"/>
        <v/>
      </c>
      <c r="ED76" s="635" t="str">
        <f t="shared" si="72"/>
        <v/>
      </c>
      <c r="EE76" s="635" t="str">
        <f t="shared" si="211"/>
        <v/>
      </c>
      <c r="EF76" s="580"/>
      <c r="EG76" s="636">
        <f t="shared" ca="1" si="212"/>
        <v>3.265136870354568</v>
      </c>
      <c r="EH76" s="633">
        <f t="shared" ca="1" si="213"/>
        <v>3.265136870354568</v>
      </c>
      <c r="EI76" s="635" t="str">
        <f t="shared" si="214"/>
        <v/>
      </c>
      <c r="EJ76" s="635" t="str">
        <f t="shared" si="77"/>
        <v/>
      </c>
      <c r="EK76" s="635" t="str">
        <f t="shared" si="215"/>
        <v/>
      </c>
      <c r="EL76" s="580"/>
      <c r="EM76" s="636">
        <f t="shared" ca="1" si="216"/>
        <v>2.9037111810446437</v>
      </c>
      <c r="EN76" s="633">
        <f t="shared" ca="1" si="217"/>
        <v>2.9037111810446437</v>
      </c>
      <c r="EO76" s="635" t="str">
        <f t="shared" si="218"/>
        <v/>
      </c>
      <c r="EP76" s="635" t="str">
        <f t="shared" si="82"/>
        <v/>
      </c>
      <c r="EQ76" s="635" t="str">
        <f t="shared" si="219"/>
        <v/>
      </c>
      <c r="ER76" s="580"/>
    </row>
    <row r="77" spans="2:148">
      <c r="B77" s="568" t="s">
        <v>622</v>
      </c>
      <c r="C77" s="4136" t="s">
        <v>1481</v>
      </c>
      <c r="D77" s="4135"/>
      <c r="E77" s="636"/>
      <c r="F77" s="633"/>
      <c r="G77" s="633"/>
      <c r="H77" s="633"/>
      <c r="I77" s="633"/>
      <c r="J77" s="580"/>
      <c r="K77" s="636">
        <f t="shared" ca="1" si="131"/>
        <v>-8.4001347646265998</v>
      </c>
      <c r="L77" s="633">
        <f t="shared" ca="1" si="131"/>
        <v>2.1378257987946903</v>
      </c>
      <c r="M77" s="633">
        <f t="shared" ca="1" si="131"/>
        <v>2.4577366867513994</v>
      </c>
      <c r="N77" s="633">
        <f t="shared" ca="1" si="131"/>
        <v>8.3005105762217202</v>
      </c>
      <c r="O77" s="633">
        <f t="shared" ca="1" si="131"/>
        <v>26.30208333333335</v>
      </c>
      <c r="P77" s="580"/>
      <c r="Q77" s="636">
        <f t="shared" ca="1" si="132"/>
        <v>1.5371834790824934</v>
      </c>
      <c r="R77" s="633">
        <f t="shared" ca="1" si="133"/>
        <v>3.3335345426010132</v>
      </c>
      <c r="S77" s="633">
        <f t="shared" ca="1" si="134"/>
        <v>1.1833192461994324</v>
      </c>
      <c r="T77" s="633">
        <f t="shared" ca="1" si="118"/>
        <v>-10.492995689655171</v>
      </c>
      <c r="U77" s="633">
        <f t="shared" ca="1" si="135"/>
        <v>-1.6967353951890307</v>
      </c>
      <c r="V77" s="580"/>
      <c r="W77" s="636">
        <f t="shared" ca="1" si="136"/>
        <v>2.444493020641425</v>
      </c>
      <c r="X77" s="633">
        <f t="shared" ca="1" si="137"/>
        <v>2.9456005841548061</v>
      </c>
      <c r="Y77" s="633">
        <f t="shared" ca="1" si="138"/>
        <v>0.13059591740691712</v>
      </c>
      <c r="Z77" s="633">
        <f t="shared" ca="1" si="119"/>
        <v>26.877351392024096</v>
      </c>
      <c r="AA77" s="633">
        <f t="shared" ca="1" si="139"/>
        <v>10.758138518680394</v>
      </c>
      <c r="AB77" s="580"/>
      <c r="AC77" s="636">
        <f t="shared" ca="1" si="140"/>
        <v>3.7792097738814645</v>
      </c>
      <c r="AD77" s="633">
        <f t="shared" ca="1" si="141"/>
        <v>0.44402201668274355</v>
      </c>
      <c r="AE77" s="633">
        <f t="shared" ca="1" si="142"/>
        <v>5.6588254647145897</v>
      </c>
      <c r="AF77" s="633">
        <f t="shared" ca="1" si="120"/>
        <v>12.691258450954802</v>
      </c>
      <c r="AG77" s="633">
        <f t="shared" ca="1" si="143"/>
        <v>3.2903302165936843</v>
      </c>
      <c r="AH77" s="580"/>
      <c r="AI77" s="636">
        <f t="shared" ca="1" si="144"/>
        <v>2.8638061893460298</v>
      </c>
      <c r="AJ77" s="633">
        <f t="shared" ca="1" si="145"/>
        <v>4.5109808629334003</v>
      </c>
      <c r="AK77" s="633">
        <f t="shared" ca="1" si="146"/>
        <v>2.5822379395475936</v>
      </c>
      <c r="AL77" s="633">
        <f t="shared" ca="1" si="121"/>
        <v>-6.7466582465003704</v>
      </c>
      <c r="AM77" s="633">
        <f t="shared" ca="1" si="147"/>
        <v>4.1327680378900666</v>
      </c>
      <c r="AN77" s="580"/>
      <c r="AO77" s="636">
        <f t="shared" ca="1" si="148"/>
        <v>2.0587882560550108</v>
      </c>
      <c r="AP77" s="633">
        <f t="shared" ca="1" si="149"/>
        <v>9.0163380586224093</v>
      </c>
      <c r="AQ77" s="633">
        <f t="shared" ca="1" si="150"/>
        <v>-5.2111790468756691</v>
      </c>
      <c r="AR77" s="633">
        <f t="shared" ca="1" si="122"/>
        <v>19.638826185101578</v>
      </c>
      <c r="AS77" s="633">
        <f t="shared" ca="1" si="151"/>
        <v>-11.678832116788307</v>
      </c>
      <c r="AT77" s="580"/>
      <c r="AU77" s="636">
        <f t="shared" ca="1" si="152"/>
        <v>3.0972312375495248</v>
      </c>
      <c r="AV77" s="633">
        <f t="shared" ca="1" si="153"/>
        <v>-3.3481672472139956</v>
      </c>
      <c r="AW77" s="633">
        <f t="shared" ca="1" si="154"/>
        <v>9.3553072497912773</v>
      </c>
      <c r="AX77" s="633">
        <f t="shared" ca="1" si="123"/>
        <v>0.52830188679242607</v>
      </c>
      <c r="AY77" s="633">
        <f t="shared" ca="1" si="155"/>
        <v>9.3608538560571155</v>
      </c>
      <c r="AZ77" s="580"/>
      <c r="BA77" s="636">
        <f t="shared" ca="1" si="156"/>
        <v>-0.46948866442685366</v>
      </c>
      <c r="BB77" s="633">
        <f t="shared" ca="1" si="157"/>
        <v>2.2431704501731486</v>
      </c>
      <c r="BC77" s="633">
        <f t="shared" ca="1" si="158"/>
        <v>-1.3742326155390838</v>
      </c>
      <c r="BD77" s="633">
        <f t="shared" ca="1" si="124"/>
        <v>-12.199699699699696</v>
      </c>
      <c r="BE77" s="633">
        <f t="shared" ca="1" si="159"/>
        <v>28.542133444727135</v>
      </c>
      <c r="BF77" s="580"/>
      <c r="BG77" s="636">
        <f t="shared" ca="1" si="160"/>
        <v>1.8540937298916482E-2</v>
      </c>
      <c r="BH77" s="633">
        <f t="shared" ca="1" si="161"/>
        <v>5.2396542856784523</v>
      </c>
      <c r="BI77" s="633">
        <f t="shared" ca="1" si="162"/>
        <v>-8.1174511945537162</v>
      </c>
      <c r="BJ77" s="633">
        <f t="shared" ca="1" si="125"/>
        <v>37.537409149209068</v>
      </c>
      <c r="BK77" s="633">
        <f t="shared" ca="1" si="163"/>
        <v>12.901415108274982</v>
      </c>
      <c r="BL77" s="580"/>
      <c r="BM77" s="636">
        <f t="shared" ca="1" si="164"/>
        <v>6.2831221512223756</v>
      </c>
      <c r="BN77" s="633">
        <f t="shared" ca="1" si="165"/>
        <v>15.265328501954789</v>
      </c>
      <c r="BO77" s="633">
        <f t="shared" ca="1" si="166"/>
        <v>-3.5938509832887156</v>
      </c>
      <c r="BP77" s="633">
        <f t="shared" ca="1" si="126"/>
        <v>14.22909543052533</v>
      </c>
      <c r="BQ77" s="633">
        <f t="shared" ca="1" si="167"/>
        <v>-0.20410299351056871</v>
      </c>
      <c r="BR77" s="580"/>
      <c r="BS77" s="636">
        <f t="shared" ca="1" si="168"/>
        <v>-2.2197028768416338</v>
      </c>
      <c r="BT77" s="633">
        <f t="shared" ca="1" si="169"/>
        <v>-5.1663340330703189</v>
      </c>
      <c r="BU77" s="633">
        <f t="shared" ca="1" si="170"/>
        <v>0.41779395216319237</v>
      </c>
      <c r="BV77" s="633">
        <f t="shared" ca="1" si="127"/>
        <v>2.1770188448193784</v>
      </c>
      <c r="BW77" s="633">
        <f t="shared" ca="1" si="171"/>
        <v>-0.29891446850911496</v>
      </c>
      <c r="BX77" s="580"/>
      <c r="BY77" s="636">
        <f t="shared" ca="1" si="172"/>
        <v>1.1069781594783334</v>
      </c>
      <c r="BZ77" s="633">
        <f t="shared" ca="1" si="173"/>
        <v>-8.5227954245586375</v>
      </c>
      <c r="CA77" s="633">
        <f t="shared" ca="1" si="174"/>
        <v>12.27781552877223</v>
      </c>
      <c r="CB77" s="633">
        <f t="shared" ca="1" si="128"/>
        <v>-2.4835208735601633</v>
      </c>
      <c r="CC77" s="633">
        <f t="shared" ca="1" si="175"/>
        <v>-15.745318746055103</v>
      </c>
      <c r="CD77" s="580"/>
      <c r="CE77" s="636">
        <f t="shared" ca="1" si="176"/>
        <v>9.4593683030733899</v>
      </c>
      <c r="CF77" s="633">
        <f t="shared" ca="1" si="177"/>
        <v>8.6254782992216015</v>
      </c>
      <c r="CG77" s="633">
        <f t="shared" ca="1" si="178"/>
        <v>8.7447707629907825</v>
      </c>
      <c r="CH77" s="633">
        <f t="shared" ca="1" si="129"/>
        <v>18.831080158405044</v>
      </c>
      <c r="CI77" s="633">
        <f t="shared" ca="1" si="179"/>
        <v>34.457034054374638</v>
      </c>
      <c r="CJ77" s="580"/>
      <c r="CK77" s="636">
        <f t="shared" ca="1" si="180"/>
        <v>15.380494811542111</v>
      </c>
      <c r="CL77" s="633">
        <f t="shared" ca="1" si="181"/>
        <v>18.324975034841493</v>
      </c>
      <c r="CM77" s="633">
        <f t="shared" ca="1" si="182"/>
        <v>11.533128942178127</v>
      </c>
      <c r="CN77" s="633">
        <f t="shared" ca="1" si="130"/>
        <v>22.603999080671123</v>
      </c>
      <c r="CO77" s="633">
        <f t="shared" ca="1" si="183"/>
        <v>0.13928869904353824</v>
      </c>
      <c r="CP77" s="580"/>
      <c r="CQ77" s="636">
        <f t="shared" ca="1" si="184"/>
        <v>6.9734668890769624</v>
      </c>
      <c r="CR77" s="633">
        <f t="shared" ca="1" si="185"/>
        <v>-0.94782334501883891</v>
      </c>
      <c r="CS77" s="633">
        <f t="shared" ca="1" si="186"/>
        <v>11.463713560360667</v>
      </c>
      <c r="CT77" s="633">
        <f t="shared" ca="1" si="42"/>
        <v>22.963726684787677</v>
      </c>
      <c r="CU77" s="633">
        <f t="shared" ca="1" si="187"/>
        <v>-18.365170623145421</v>
      </c>
      <c r="CV77" s="580"/>
      <c r="CW77" s="636">
        <f t="shared" ca="1" si="188"/>
        <v>0.68057779979797672</v>
      </c>
      <c r="CX77" s="633">
        <f t="shared" ca="1" si="189"/>
        <v>1.0271150893225167</v>
      </c>
      <c r="CY77" s="633">
        <f t="shared" ca="1" si="190"/>
        <v>-0.89927351266443356</v>
      </c>
      <c r="CZ77" s="633">
        <f t="shared" ca="1" si="47"/>
        <v>6.9365043067306953</v>
      </c>
      <c r="DA77" s="633">
        <f t="shared" ca="1" si="191"/>
        <v>7.3777474867950277</v>
      </c>
      <c r="DB77" s="580"/>
      <c r="DC77" s="636">
        <f t="shared" ca="1" si="192"/>
        <v>0.98916986789450156</v>
      </c>
      <c r="DD77" s="633">
        <f t="shared" ca="1" si="193"/>
        <v>4.4939342545481376</v>
      </c>
      <c r="DE77" s="633">
        <f t="shared" ca="1" si="194"/>
        <v>-4.7749247107307102</v>
      </c>
      <c r="DF77" s="633">
        <f t="shared" ca="1" si="52"/>
        <v>13.432889015610506</v>
      </c>
      <c r="DG77" s="633">
        <f t="shared" ca="1" si="195"/>
        <v>28.506823230720425</v>
      </c>
      <c r="DH77" s="580"/>
      <c r="DI77" s="636">
        <f t="shared" ca="1" si="196"/>
        <v>-1.8966350875602722</v>
      </c>
      <c r="DJ77" s="633">
        <f t="shared" ca="1" si="197"/>
        <v>0.55521064301551348</v>
      </c>
      <c r="DK77" s="633">
        <f t="shared" ca="1" si="198"/>
        <v>-1.786858640922151</v>
      </c>
      <c r="DL77" s="633">
        <f t="shared" ca="1" si="57"/>
        <v>-10.996952273227123</v>
      </c>
      <c r="DM77" s="633">
        <f t="shared" ca="1" si="199"/>
        <v>12.327385729867647</v>
      </c>
      <c r="DN77" s="580"/>
      <c r="DO77" s="636">
        <f t="shared" ca="1" si="200"/>
        <v>1.8909480152939473</v>
      </c>
      <c r="DP77" s="633">
        <f t="shared" ca="1" si="201"/>
        <v>4.9049181484617677</v>
      </c>
      <c r="DQ77" s="633">
        <f t="shared" ca="1" si="202"/>
        <v>-0.75333875669445494</v>
      </c>
      <c r="DR77" s="633">
        <f t="shared" ca="1" si="62"/>
        <v>0.843718007554628</v>
      </c>
      <c r="DS77" s="633">
        <f t="shared" ca="1" si="203"/>
        <v>-6.8265513640277771</v>
      </c>
      <c r="DT77" s="580"/>
      <c r="DU77" s="636">
        <f t="shared" ca="1" si="204"/>
        <v>0.90544248021704465</v>
      </c>
      <c r="DV77" s="633">
        <f t="shared" ca="1" si="205"/>
        <v>-1.8799868838124456</v>
      </c>
      <c r="DW77" s="633">
        <f t="shared" ca="1" si="206"/>
        <v>5.3782904567149625</v>
      </c>
      <c r="DX77" s="633">
        <f t="shared" ca="1" si="67"/>
        <v>-5.8356087656654676</v>
      </c>
      <c r="DY77" s="633">
        <f t="shared" ca="1" si="207"/>
        <v>-0.10421787434864438</v>
      </c>
      <c r="DZ77" s="580"/>
      <c r="EA77" s="636">
        <f t="shared" ca="1" si="208"/>
        <v>-0.2247039525425043</v>
      </c>
      <c r="EB77" s="633">
        <f t="shared" ca="1" si="209"/>
        <v>2.4798416466011552</v>
      </c>
      <c r="EC77" s="633">
        <f t="shared" ca="1" si="210"/>
        <v>-1.5492067607642213</v>
      </c>
      <c r="ED77" s="633">
        <f t="shared" ca="1" si="72"/>
        <v>-5.8812595263764589</v>
      </c>
      <c r="EE77" s="633">
        <f t="shared" ca="1" si="211"/>
        <v>27.790244478563842</v>
      </c>
      <c r="EF77" s="580"/>
      <c r="EG77" s="636">
        <f t="shared" ca="1" si="212"/>
        <v>2.5406691740047505</v>
      </c>
      <c r="EH77" s="633">
        <f t="shared" ca="1" si="213"/>
        <v>4.0000000000000036</v>
      </c>
      <c r="EI77" s="633">
        <f t="shared" ca="1" si="214"/>
        <v>0</v>
      </c>
      <c r="EJ77" s="633">
        <f t="shared" ca="1" si="77"/>
        <v>7.8405814274993046</v>
      </c>
      <c r="EK77" s="633">
        <f t="shared" ca="1" si="215"/>
        <v>-19.867639402341343</v>
      </c>
      <c r="EL77" s="580"/>
      <c r="EM77" s="636">
        <f t="shared" ca="1" si="216"/>
        <v>2.2247909635458196</v>
      </c>
      <c r="EN77" s="633">
        <f t="shared" ca="1" si="217"/>
        <v>3.5299999999999887</v>
      </c>
      <c r="EO77" s="633">
        <f t="shared" ca="1" si="218"/>
        <v>0</v>
      </c>
      <c r="EP77" s="633">
        <f t="shared" ca="1" si="82"/>
        <v>6.1800000000000077</v>
      </c>
      <c r="EQ77" s="633">
        <f t="shared" ca="1" si="219"/>
        <v>19.713223675473657</v>
      </c>
      <c r="ER77" s="580"/>
    </row>
    <row r="78" spans="2:148">
      <c r="B78" s="568" t="s">
        <v>624</v>
      </c>
      <c r="C78" s="4137" t="s">
        <v>1482</v>
      </c>
      <c r="D78" s="4138"/>
      <c r="E78" s="584"/>
      <c r="F78" s="584"/>
      <c r="G78" s="584"/>
      <c r="H78" s="584"/>
      <c r="I78" s="584"/>
      <c r="J78" s="580"/>
      <c r="K78" s="584">
        <f t="shared" ca="1" si="131"/>
        <v>2.0947381180517644</v>
      </c>
      <c r="L78" s="584">
        <f t="shared" ca="1" si="131"/>
        <v>1.0247155295740606</v>
      </c>
      <c r="M78" s="584">
        <f t="shared" ca="1" si="131"/>
        <v>4.0205745993220354</v>
      </c>
      <c r="N78" s="584">
        <f t="shared" ca="1" si="131"/>
        <v>3.7444920019639838</v>
      </c>
      <c r="O78" s="584" t="str">
        <f t="shared" si="131"/>
        <v/>
      </c>
      <c r="P78" s="580"/>
      <c r="Q78" s="584">
        <f t="shared" ca="1" si="132"/>
        <v>4.7363944208072217</v>
      </c>
      <c r="R78" s="584">
        <f t="shared" ca="1" si="133"/>
        <v>3.2410415221256761</v>
      </c>
      <c r="S78" s="584">
        <f t="shared" ca="1" si="134"/>
        <v>5.9236053922114618</v>
      </c>
      <c r="T78" s="584">
        <f t="shared" ca="1" si="118"/>
        <v>7.9172866558059773</v>
      </c>
      <c r="U78" s="584" t="str">
        <f t="shared" si="135"/>
        <v/>
      </c>
      <c r="V78" s="580"/>
      <c r="W78" s="584">
        <f t="shared" ca="1" si="136"/>
        <v>4.0172456465511708</v>
      </c>
      <c r="X78" s="584">
        <f t="shared" ca="1" si="137"/>
        <v>3.6538109782556338</v>
      </c>
      <c r="Y78" s="584">
        <f t="shared" ca="1" si="138"/>
        <v>2.365147044660576</v>
      </c>
      <c r="Z78" s="584">
        <f t="shared" ca="1" si="119"/>
        <v>6.0015986525320919</v>
      </c>
      <c r="AA78" s="584" t="str">
        <f t="shared" si="139"/>
        <v/>
      </c>
      <c r="AB78" s="580"/>
      <c r="AC78" s="584">
        <f t="shared" ca="1" si="140"/>
        <v>3.4888107917917743</v>
      </c>
      <c r="AD78" s="584">
        <f t="shared" ca="1" si="141"/>
        <v>2.8382585488020862</v>
      </c>
      <c r="AE78" s="584">
        <f t="shared" ca="1" si="142"/>
        <v>4.0802816323179059</v>
      </c>
      <c r="AF78" s="584">
        <f t="shared" ca="1" si="120"/>
        <v>4.7325604027095292</v>
      </c>
      <c r="AG78" s="584" t="str">
        <f t="shared" si="143"/>
        <v/>
      </c>
      <c r="AH78" s="580"/>
      <c r="AI78" s="584">
        <f t="shared" ca="1" si="144"/>
        <v>5.215519111050293</v>
      </c>
      <c r="AJ78" s="584">
        <f t="shared" ca="1" si="145"/>
        <v>5.0426816590360746</v>
      </c>
      <c r="AK78" s="584">
        <f t="shared" ca="1" si="146"/>
        <v>5.337376426792928</v>
      </c>
      <c r="AL78" s="584">
        <f t="shared" ca="1" si="121"/>
        <v>5.5606218163797516</v>
      </c>
      <c r="AM78" s="584" t="str">
        <f t="shared" si="147"/>
        <v/>
      </c>
      <c r="AN78" s="580"/>
      <c r="AO78" s="584">
        <f t="shared" ca="1" si="148"/>
        <v>3.0255983757351279</v>
      </c>
      <c r="AP78" s="584">
        <f t="shared" ca="1" si="149"/>
        <v>4.9078381767559298</v>
      </c>
      <c r="AQ78" s="584">
        <f t="shared" ca="1" si="150"/>
        <v>-5.5482743556138026</v>
      </c>
      <c r="AR78" s="584">
        <f t="shared" ca="1" si="122"/>
        <v>3.7562831594491586</v>
      </c>
      <c r="AS78" s="584" t="str">
        <f t="shared" si="151"/>
        <v/>
      </c>
      <c r="AT78" s="580"/>
      <c r="AU78" s="584">
        <f t="shared" ca="1" si="152"/>
        <v>3.8547183013074582</v>
      </c>
      <c r="AV78" s="584">
        <f t="shared" ca="1" si="153"/>
        <v>2.0298670093664262</v>
      </c>
      <c r="AW78" s="584">
        <f t="shared" ca="1" si="154"/>
        <v>9.0042288885952217</v>
      </c>
      <c r="AX78" s="584">
        <f t="shared" ca="1" si="123"/>
        <v>5.4302565248472101</v>
      </c>
      <c r="AY78" s="584" t="str">
        <f t="shared" si="155"/>
        <v/>
      </c>
      <c r="AZ78" s="580"/>
      <c r="BA78" s="584">
        <f t="shared" ca="1" si="156"/>
        <v>2.5253581477143294</v>
      </c>
      <c r="BB78" s="584">
        <f t="shared" ca="1" si="157"/>
        <v>1.717557039313955</v>
      </c>
      <c r="BC78" s="584">
        <f t="shared" ca="1" si="158"/>
        <v>7.2529657446640972</v>
      </c>
      <c r="BD78" s="584">
        <f t="shared" ca="1" si="124"/>
        <v>1.695016612464384</v>
      </c>
      <c r="BE78" s="584" t="str">
        <f t="shared" si="159"/>
        <v/>
      </c>
      <c r="BF78" s="580"/>
      <c r="BG78" s="584">
        <f t="shared" ca="1" si="160"/>
        <v>4.552561007002498</v>
      </c>
      <c r="BH78" s="584">
        <f t="shared" ca="1" si="161"/>
        <v>2.8094762646184268</v>
      </c>
      <c r="BI78" s="584">
        <f t="shared" ca="1" si="162"/>
        <v>8.5289828860805272</v>
      </c>
      <c r="BJ78" s="584">
        <f t="shared" ca="1" si="125"/>
        <v>6.2479894013345305</v>
      </c>
      <c r="BK78" s="584" t="str">
        <f t="shared" si="163"/>
        <v/>
      </c>
      <c r="BL78" s="580"/>
      <c r="BM78" s="584">
        <f t="shared" ca="1" si="164"/>
        <v>3.9633811876991443</v>
      </c>
      <c r="BN78" s="584">
        <f t="shared" ca="1" si="165"/>
        <v>3.7028659652073248</v>
      </c>
      <c r="BO78" s="584">
        <f t="shared" ca="1" si="166"/>
        <v>3.888736996966502</v>
      </c>
      <c r="BP78" s="584">
        <f t="shared" ca="1" si="126"/>
        <v>4.6071940759647712</v>
      </c>
      <c r="BQ78" s="584" t="str">
        <f t="shared" si="167"/>
        <v/>
      </c>
      <c r="BR78" s="580"/>
      <c r="BS78" s="584">
        <f t="shared" ca="1" si="168"/>
        <v>4.4205167745170693</v>
      </c>
      <c r="BT78" s="584">
        <f t="shared" ca="1" si="169"/>
        <v>4.262721686831572</v>
      </c>
      <c r="BU78" s="584">
        <f t="shared" ca="1" si="170"/>
        <v>4.8063872955878439</v>
      </c>
      <c r="BV78" s="584">
        <f t="shared" ca="1" si="127"/>
        <v>4.5395093629374328</v>
      </c>
      <c r="BW78" s="584" t="str">
        <f t="shared" si="171"/>
        <v/>
      </c>
      <c r="BX78" s="580"/>
      <c r="BY78" s="584">
        <f t="shared" ca="1" si="172"/>
        <v>5.2148948875380796</v>
      </c>
      <c r="BZ78" s="584">
        <f t="shared" ca="1" si="173"/>
        <v>4.7920228519033214</v>
      </c>
      <c r="CA78" s="584">
        <f t="shared" ca="1" si="174"/>
        <v>7.9328049818727653</v>
      </c>
      <c r="CB78" s="584">
        <f t="shared" ca="1" si="128"/>
        <v>4.4814933349211605</v>
      </c>
      <c r="CC78" s="584" t="str">
        <f t="shared" si="175"/>
        <v/>
      </c>
      <c r="CD78" s="580"/>
      <c r="CE78" s="584">
        <f t="shared" ca="1" si="176"/>
        <v>4.3944429972830656</v>
      </c>
      <c r="CF78" s="584">
        <f t="shared" ca="1" si="177"/>
        <v>5.7560919046731218</v>
      </c>
      <c r="CG78" s="584">
        <f t="shared" ca="1" si="178"/>
        <v>-7.0901950357549204E-2</v>
      </c>
      <c r="CH78" s="584">
        <f t="shared" ca="1" si="129"/>
        <v>4.1705905902768237</v>
      </c>
      <c r="CI78" s="584" t="str">
        <f t="shared" si="179"/>
        <v/>
      </c>
      <c r="CJ78" s="580"/>
      <c r="CK78" s="584">
        <f t="shared" ca="1" si="180"/>
        <v>-1.4348319285999445</v>
      </c>
      <c r="CL78" s="584">
        <f t="shared" ca="1" si="181"/>
        <v>1.4409466995516818</v>
      </c>
      <c r="CM78" s="584">
        <f t="shared" ca="1" si="182"/>
        <v>-9.7868660720719873</v>
      </c>
      <c r="CN78" s="584">
        <f t="shared" ca="1" si="130"/>
        <v>-2.9193860748067291</v>
      </c>
      <c r="CO78" s="584" t="str">
        <f t="shared" si="183"/>
        <v/>
      </c>
      <c r="CP78" s="580"/>
      <c r="CQ78" s="584">
        <f t="shared" ca="1" si="184"/>
        <v>6.2189101341339148</v>
      </c>
      <c r="CR78" s="584">
        <f t="shared" ca="1" si="185"/>
        <v>1.6501164257088252</v>
      </c>
      <c r="CS78" s="584">
        <f t="shared" ca="1" si="186"/>
        <v>26.434986285478381</v>
      </c>
      <c r="CT78" s="584">
        <f t="shared" ca="1" si="42"/>
        <v>5.6479226731904086</v>
      </c>
      <c r="CU78" s="584" t="str">
        <f t="shared" si="187"/>
        <v/>
      </c>
      <c r="CV78" s="580"/>
      <c r="CW78" s="584">
        <f t="shared" ca="1" si="188"/>
        <v>2.573545810473532</v>
      </c>
      <c r="CX78" s="584">
        <f t="shared" ca="1" si="189"/>
        <v>2.8354455843894621</v>
      </c>
      <c r="CY78" s="584">
        <f t="shared" ca="1" si="190"/>
        <v>-3.1482815229086247</v>
      </c>
      <c r="CZ78" s="584">
        <f t="shared" ca="1" si="47"/>
        <v>5.8909853668814183</v>
      </c>
      <c r="DA78" s="584" t="str">
        <f t="shared" si="191"/>
        <v/>
      </c>
      <c r="DB78" s="580"/>
      <c r="DC78" s="584">
        <f t="shared" ca="1" si="192"/>
        <v>3.9112009231879297</v>
      </c>
      <c r="DD78" s="584">
        <f t="shared" ca="1" si="193"/>
        <v>2.8072317944088931</v>
      </c>
      <c r="DE78" s="584">
        <f t="shared" ca="1" si="194"/>
        <v>5.8159115906772918</v>
      </c>
      <c r="DF78" s="584">
        <f t="shared" ca="1" si="52"/>
        <v>5.2035328689417071</v>
      </c>
      <c r="DG78" s="584" t="str">
        <f t="shared" si="195"/>
        <v/>
      </c>
      <c r="DH78" s="580"/>
      <c r="DI78" s="584">
        <f t="shared" ca="1" si="196"/>
        <v>1.4471648283216343</v>
      </c>
      <c r="DJ78" s="584">
        <f t="shared" ca="1" si="197"/>
        <v>1.9147182600498747</v>
      </c>
      <c r="DK78" s="584">
        <f t="shared" ca="1" si="198"/>
        <v>-3.7902749312648143</v>
      </c>
      <c r="DL78" s="584">
        <f t="shared" ca="1" si="57"/>
        <v>3.7229203524992371</v>
      </c>
      <c r="DM78" s="584" t="str">
        <f t="shared" si="199"/>
        <v/>
      </c>
      <c r="DN78" s="580"/>
      <c r="DO78" s="584">
        <f t="shared" ca="1" si="200"/>
        <v>1.1506582710403057</v>
      </c>
      <c r="DP78" s="584">
        <f t="shared" ca="1" si="201"/>
        <v>1.1710853643801755</v>
      </c>
      <c r="DQ78" s="584">
        <f t="shared" ca="1" si="202"/>
        <v>1.4436479490243181</v>
      </c>
      <c r="DR78" s="584">
        <f t="shared" ca="1" si="62"/>
        <v>0.93496017056979852</v>
      </c>
      <c r="DS78" s="584" t="str">
        <f t="shared" si="203"/>
        <v/>
      </c>
      <c r="DT78" s="580"/>
      <c r="DU78" s="584">
        <f t="shared" ca="1" si="204"/>
        <v>1.6618805743797704</v>
      </c>
      <c r="DV78" s="584">
        <f t="shared" ca="1" si="205"/>
        <v>0.93244056940327003</v>
      </c>
      <c r="DW78" s="584">
        <f t="shared" ca="1" si="206"/>
        <v>4.3329585682093663</v>
      </c>
      <c r="DX78" s="584">
        <f t="shared" ca="1" si="67"/>
        <v>1.6722329635299849</v>
      </c>
      <c r="DY78" s="584" t="str">
        <f t="shared" si="207"/>
        <v/>
      </c>
      <c r="DZ78" s="580"/>
      <c r="EA78" s="584">
        <f t="shared" ca="1" si="208"/>
        <v>2.6882139710008746</v>
      </c>
      <c r="EB78" s="584">
        <f t="shared" ca="1" si="209"/>
        <v>1.2031240164313672</v>
      </c>
      <c r="EC78" s="584">
        <f t="shared" ca="1" si="210"/>
        <v>9.6253163189370383</v>
      </c>
      <c r="ED78" s="584">
        <f t="shared" ca="1" si="72"/>
        <v>1.6971901112698751</v>
      </c>
      <c r="EE78" s="584" t="str">
        <f t="shared" si="211"/>
        <v/>
      </c>
      <c r="EF78" s="580"/>
      <c r="EG78" s="584">
        <f t="shared" ca="1" si="212"/>
        <v>3.8764260127051919</v>
      </c>
      <c r="EH78" s="584">
        <f t="shared" ca="1" si="213"/>
        <v>2.8230321279383297</v>
      </c>
      <c r="EI78" s="584">
        <f t="shared" ca="1" si="214"/>
        <v>4.6399484354473719</v>
      </c>
      <c r="EJ78" s="584">
        <f t="shared" ca="1" si="77"/>
        <v>5.6361833917285331</v>
      </c>
      <c r="EK78" s="584" t="str">
        <f t="shared" si="215"/>
        <v/>
      </c>
      <c r="EL78" s="580"/>
      <c r="EM78" s="584">
        <f t="shared" ca="1" si="216"/>
        <v>3.1258221361316174</v>
      </c>
      <c r="EN78" s="584">
        <f t="shared" ca="1" si="217"/>
        <v>2.9570277958835378</v>
      </c>
      <c r="EO78" s="584">
        <f t="shared" ca="1" si="218"/>
        <v>4.134553089120363</v>
      </c>
      <c r="EP78" s="584">
        <f t="shared" ca="1" si="82"/>
        <v>2.8275281711188427</v>
      </c>
      <c r="EQ78" s="584" t="str">
        <f t="shared" si="219"/>
        <v/>
      </c>
      <c r="ER78" s="580"/>
    </row>
    <row r="79" spans="2:148">
      <c r="B79" s="568" t="s">
        <v>2133</v>
      </c>
      <c r="C79" s="4135" t="s">
        <v>1483</v>
      </c>
      <c r="D79" s="4135"/>
      <c r="E79" s="636"/>
      <c r="F79" s="633"/>
      <c r="G79" s="633"/>
      <c r="H79" s="633"/>
      <c r="I79" s="633"/>
      <c r="J79" s="576"/>
      <c r="K79" s="636">
        <f t="shared" ca="1" si="131"/>
        <v>1.4967697537419333</v>
      </c>
      <c r="L79" s="633">
        <f t="shared" ca="1" si="131"/>
        <v>-9.5949389333105373E-2</v>
      </c>
      <c r="M79" s="633">
        <f t="shared" ca="1" si="131"/>
        <v>14.852470106046445</v>
      </c>
      <c r="N79" s="633">
        <f t="shared" ca="1" si="131"/>
        <v>9.6045197740112886</v>
      </c>
      <c r="O79" s="633">
        <f t="shared" ca="1" si="131"/>
        <v>-6.9810448451225309</v>
      </c>
      <c r="P79" s="576" t="str">
        <f ca="1">IF(ROUND(P30,2)=0,"ok","!")</f>
        <v>ok</v>
      </c>
      <c r="Q79" s="636">
        <f t="shared" ca="1" si="132"/>
        <v>7.4316425657271923</v>
      </c>
      <c r="R79" s="633">
        <f t="shared" ca="1" si="133"/>
        <v>6.4101571844701111</v>
      </c>
      <c r="S79" s="633">
        <f t="shared" ca="1" si="134"/>
        <v>12.320271628035883</v>
      </c>
      <c r="T79" s="633">
        <f t="shared" ca="1" si="118"/>
        <v>49.48453608247425</v>
      </c>
      <c r="U79" s="633">
        <f t="shared" ca="1" si="135"/>
        <v>8.9463220675944264</v>
      </c>
      <c r="V79" s="576" t="str">
        <f ca="1">IF(ROUND(V30,2)=0,"ok","!")</f>
        <v>ok</v>
      </c>
      <c r="W79" s="636">
        <f t="shared" ca="1" si="136"/>
        <v>7.1632014058721216</v>
      </c>
      <c r="X79" s="633">
        <f t="shared" ca="1" si="137"/>
        <v>3.7031404455935002</v>
      </c>
      <c r="Y79" s="633">
        <f t="shared" ca="1" si="138"/>
        <v>23.190104568308701</v>
      </c>
      <c r="Z79" s="633">
        <f t="shared" ca="1" si="119"/>
        <v>32.75862068965516</v>
      </c>
      <c r="AA79" s="633">
        <f t="shared" ca="1" si="139"/>
        <v>4.6076642335766582</v>
      </c>
      <c r="AB79" s="576" t="str">
        <f ca="1">IF(ROUND(AB30,2)=0,"ok","!")</f>
        <v>ok</v>
      </c>
      <c r="AC79" s="636">
        <f t="shared" ca="1" si="140"/>
        <v>1.1930962879474594</v>
      </c>
      <c r="AD79" s="633">
        <f t="shared" ca="1" si="141"/>
        <v>1.717706918648032</v>
      </c>
      <c r="AE79" s="633">
        <f t="shared" ca="1" si="142"/>
        <v>-0.94774269474422468</v>
      </c>
      <c r="AF79" s="633">
        <f t="shared" ca="1" si="120"/>
        <v>17.922077922077918</v>
      </c>
      <c r="AG79" s="633">
        <f t="shared" ca="1" si="143"/>
        <v>36.720453554295673</v>
      </c>
      <c r="AH79" s="576" t="str">
        <f ca="1">IF(ROUND(AH30,2)=0,"ok","!")</f>
        <v>ok</v>
      </c>
      <c r="AI79" s="636">
        <f t="shared" ca="1" si="144"/>
        <v>6.4249572915438424</v>
      </c>
      <c r="AJ79" s="633">
        <f t="shared" ca="1" si="145"/>
        <v>6.8908237270499217</v>
      </c>
      <c r="AK79" s="633">
        <f t="shared" ca="1" si="146"/>
        <v>4.468066281582983</v>
      </c>
      <c r="AL79" s="633">
        <f t="shared" ca="1" si="121"/>
        <v>20.044052863436136</v>
      </c>
      <c r="AM79" s="633">
        <f t="shared" ca="1" si="147"/>
        <v>31.036682615629996</v>
      </c>
      <c r="AN79" s="576" t="str">
        <f ca="1">IF(ROUND(AN30,2)=0,"ok","!")</f>
        <v>ok</v>
      </c>
      <c r="AO79" s="636">
        <f t="shared" ca="1" si="148"/>
        <v>4.1749460806845384</v>
      </c>
      <c r="AP79" s="633">
        <f t="shared" ca="1" si="149"/>
        <v>5.1664281860617889</v>
      </c>
      <c r="AQ79" s="633">
        <f t="shared" ca="1" si="150"/>
        <v>2.903740986304193E-2</v>
      </c>
      <c r="AR79" s="633">
        <f t="shared" ca="1" si="122"/>
        <v>12.477064220183486</v>
      </c>
      <c r="AS79" s="633">
        <f t="shared" ca="1" si="151"/>
        <v>-6.2560856864654513</v>
      </c>
      <c r="AT79" s="576" t="str">
        <f ca="1">IF(ROUND(AT30,2)=0,"ok","!")</f>
        <v>ok</v>
      </c>
      <c r="AU79" s="636">
        <f t="shared" ca="1" si="152"/>
        <v>2.8158848032727057</v>
      </c>
      <c r="AV79" s="633">
        <f t="shared" ca="1" si="153"/>
        <v>3.2824227419228746</v>
      </c>
      <c r="AW79" s="633">
        <f t="shared" ca="1" si="154"/>
        <v>0.87570758140209648</v>
      </c>
      <c r="AX79" s="633">
        <f t="shared" ca="1" si="123"/>
        <v>-8.4828711256117355</v>
      </c>
      <c r="AY79" s="633">
        <f t="shared" ca="1" si="155"/>
        <v>18.462736951441205</v>
      </c>
      <c r="AZ79" s="576" t="str">
        <f ca="1">IF(ROUND(AZ30,2)=0,"ok","!")</f>
        <v>ok</v>
      </c>
      <c r="BA79" s="636">
        <f t="shared" ca="1" si="156"/>
        <v>-0.49031474333300906</v>
      </c>
      <c r="BB79" s="633">
        <f t="shared" ca="1" si="157"/>
        <v>-0.11472812134727395</v>
      </c>
      <c r="BC79" s="633">
        <f t="shared" ca="1" si="158"/>
        <v>-2.7973621103117519</v>
      </c>
      <c r="BD79" s="633">
        <f t="shared" ca="1" si="124"/>
        <v>94.474153297682676</v>
      </c>
      <c r="BE79" s="633">
        <f t="shared" ca="1" si="159"/>
        <v>-0.28496273564228014</v>
      </c>
      <c r="BF79" s="576" t="str">
        <f ca="1">IF(ROUND(BF30,2)=0,"ok","!")</f>
        <v>ok</v>
      </c>
      <c r="BG79" s="636">
        <f t="shared" ca="1" si="160"/>
        <v>5.7840565799891275</v>
      </c>
      <c r="BH79" s="633">
        <f t="shared" ca="1" si="161"/>
        <v>4.2779231168381893</v>
      </c>
      <c r="BI79" s="633">
        <f t="shared" ca="1" si="162"/>
        <v>13.694845004749133</v>
      </c>
      <c r="BJ79" s="633">
        <f t="shared" ca="1" si="125"/>
        <v>-71.219065077910173</v>
      </c>
      <c r="BK79" s="633">
        <f t="shared" ca="1" si="163"/>
        <v>2.9237194987909554</v>
      </c>
      <c r="BL79" s="576" t="str">
        <f ca="1">IF(ROUND(BL30,2)=0,"ok","!")</f>
        <v>ok</v>
      </c>
      <c r="BM79" s="636">
        <f t="shared" ca="1" si="164"/>
        <v>5.0059791607432347</v>
      </c>
      <c r="BN79" s="633">
        <f t="shared" ca="1" si="165"/>
        <v>4.068213920097441</v>
      </c>
      <c r="BO79" s="633">
        <f t="shared" ca="1" si="166"/>
        <v>8.9303344942442742</v>
      </c>
      <c r="BP79" s="633">
        <f t="shared" ca="1" si="126"/>
        <v>5.4140127388535353</v>
      </c>
      <c r="BQ79" s="633">
        <f t="shared" ca="1" si="167"/>
        <v>-4.1435284066638323</v>
      </c>
      <c r="BR79" s="576" t="str">
        <f ca="1">IF(ROUND(BR30,2)=0,"ok","!")</f>
        <v>ok</v>
      </c>
      <c r="BS79" s="636">
        <f t="shared" ca="1" si="168"/>
        <v>4.0231109376773322</v>
      </c>
      <c r="BT79" s="633">
        <f t="shared" ca="1" si="169"/>
        <v>0.88508798581470316</v>
      </c>
      <c r="BU79" s="633">
        <f t="shared" ca="1" si="170"/>
        <v>16.388446215139439</v>
      </c>
      <c r="BV79" s="633">
        <f t="shared" ca="1" si="127"/>
        <v>60.120845921450126</v>
      </c>
      <c r="BW79" s="633">
        <f t="shared" ca="1" si="171"/>
        <v>-8.2219251336898225</v>
      </c>
      <c r="BX79" s="576" t="str">
        <f ca="1">IF(ROUND(BX30,2)=0,"ok","!")</f>
        <v>ok</v>
      </c>
      <c r="BY79" s="636">
        <f t="shared" ca="1" si="172"/>
        <v>3.6964094319399843</v>
      </c>
      <c r="BZ79" s="633">
        <f t="shared" ca="1" si="173"/>
        <v>4.0037423228074465</v>
      </c>
      <c r="CA79" s="633">
        <f t="shared" ca="1" si="174"/>
        <v>2.5287966180019605</v>
      </c>
      <c r="CB79" s="633">
        <f t="shared" ca="1" si="128"/>
        <v>26.226415094339629</v>
      </c>
      <c r="CC79" s="633">
        <f t="shared" ca="1" si="175"/>
        <v>27.530954115076469</v>
      </c>
      <c r="CD79" s="576" t="str">
        <f ca="1">IF(ROUND(CD30,2)=0,"ok","!")</f>
        <v>ok</v>
      </c>
      <c r="CE79" s="636">
        <f t="shared" ca="1" si="176"/>
        <v>4.5714876345763322</v>
      </c>
      <c r="CF79" s="633">
        <f t="shared" ca="1" si="177"/>
        <v>6.2824727341775244</v>
      </c>
      <c r="CG79" s="633">
        <f t="shared" ca="1" si="178"/>
        <v>-0.92647463880010106</v>
      </c>
      <c r="CH79" s="633">
        <f t="shared" ca="1" si="129"/>
        <v>-88.340807174887885</v>
      </c>
      <c r="CI79" s="633">
        <f t="shared" ca="1" si="179"/>
        <v>-12.012183514182361</v>
      </c>
      <c r="CJ79" s="576" t="str">
        <f ca="1">IF(ROUND(CJ30,2)=0,"ok","!")</f>
        <v>ok</v>
      </c>
      <c r="CK79" s="636">
        <f t="shared" ca="1" si="180"/>
        <v>-8.834353229396319</v>
      </c>
      <c r="CL79" s="633">
        <f t="shared" ca="1" si="181"/>
        <v>-3.4020867203830463</v>
      </c>
      <c r="CM79" s="633">
        <f t="shared" ca="1" si="182"/>
        <v>-29.430744993639369</v>
      </c>
      <c r="CN79" s="633">
        <f t="shared" ca="1" si="130"/>
        <v>148.71794871794867</v>
      </c>
      <c r="CO79" s="633">
        <f t="shared" ca="1" si="183"/>
        <v>3.9809606231068662</v>
      </c>
      <c r="CP79" s="576" t="str">
        <f ca="1">IF(ROUND(CP30,2)=0,"ok","!")</f>
        <v>ok</v>
      </c>
      <c r="CQ79" s="636">
        <f t="shared" ca="1" si="184"/>
        <v>6.9046231527427393</v>
      </c>
      <c r="CR79" s="633">
        <f t="shared" ca="1" si="185"/>
        <v>5.5452548838284432</v>
      </c>
      <c r="CS79" s="633">
        <f t="shared" ca="1" si="186"/>
        <v>13.919894944189103</v>
      </c>
      <c r="CT79" s="633">
        <f t="shared" ca="1" si="42"/>
        <v>8.7628865979381576</v>
      </c>
      <c r="CU79" s="633">
        <f t="shared" ca="1" si="187"/>
        <v>-2.5593008739076106</v>
      </c>
      <c r="CV79" s="576" t="str">
        <f ca="1">IF(ROUND(CV30,2)=0,"ok","!")</f>
        <v>ok</v>
      </c>
      <c r="CW79" s="636">
        <f t="shared" ca="1" si="188"/>
        <v>7.3531435856942995</v>
      </c>
      <c r="CX79" s="633">
        <f t="shared" ca="1" si="189"/>
        <v>5.7945047049958953</v>
      </c>
      <c r="CY79" s="633">
        <f t="shared" ca="1" si="190"/>
        <v>14.857741681949177</v>
      </c>
      <c r="CZ79" s="633">
        <f t="shared" ca="1" si="47"/>
        <v>-14.218009478672977</v>
      </c>
      <c r="DA79" s="633">
        <f t="shared" ca="1" si="191"/>
        <v>-3.3739056160580927</v>
      </c>
      <c r="DB79" s="576" t="str">
        <f ca="1">IF(ROUND(DB30,2)=0,"ok","!")</f>
        <v>ok</v>
      </c>
      <c r="DC79" s="636">
        <f t="shared" ca="1" si="192"/>
        <v>4.660123419718154</v>
      </c>
      <c r="DD79" s="633">
        <f t="shared" ca="1" si="193"/>
        <v>3.6841342470858685</v>
      </c>
      <c r="DE79" s="633">
        <f t="shared" ca="1" si="194"/>
        <v>8.9523096995520071</v>
      </c>
      <c r="DF79" s="633">
        <f t="shared" ca="1" si="52"/>
        <v>9.9447513812154433</v>
      </c>
      <c r="DG79" s="633">
        <f t="shared" ca="1" si="195"/>
        <v>9.3259668508287152</v>
      </c>
      <c r="DH79" s="576" t="str">
        <f ca="1">IF(ROUND(DH30,2)=0,"ok","!")</f>
        <v>!</v>
      </c>
      <c r="DI79" s="636">
        <f t="shared" ca="1" si="196"/>
        <v>5.0153288695321541</v>
      </c>
      <c r="DJ79" s="633">
        <f t="shared" ca="1" si="197"/>
        <v>5.0616633119269006</v>
      </c>
      <c r="DK79" s="633">
        <f t="shared" ca="1" si="198"/>
        <v>4.6895281162333102</v>
      </c>
      <c r="DL79" s="633">
        <f t="shared" ca="1" si="57"/>
        <v>83.919597989949764</v>
      </c>
      <c r="DM79" s="633">
        <f t="shared" ca="1" si="199"/>
        <v>5.2961390741864012</v>
      </c>
      <c r="DN79" s="576" t="str">
        <f ca="1">IF(ROUND(DN30,2)=0,"ok","!")</f>
        <v>!</v>
      </c>
      <c r="DO79" s="636">
        <f t="shared" ca="1" si="200"/>
        <v>2.1589745714974073</v>
      </c>
      <c r="DP79" s="633">
        <f t="shared" ca="1" si="201"/>
        <v>1.9141584241217036</v>
      </c>
      <c r="DQ79" s="633">
        <f t="shared" ca="1" si="202"/>
        <v>3.1292244930608337</v>
      </c>
      <c r="DR79" s="633">
        <f t="shared" ca="1" si="62"/>
        <v>22.677595628415293</v>
      </c>
      <c r="DS79" s="633">
        <f t="shared" ca="1" si="203"/>
        <v>14.820502975619076</v>
      </c>
      <c r="DT79" s="576" t="str">
        <f ca="1">IF(ROUND(DT30,2)=0,"ok","!")</f>
        <v>!</v>
      </c>
      <c r="DU79" s="636">
        <f t="shared" ca="1" si="204"/>
        <v>1.4046416728893174</v>
      </c>
      <c r="DV79" s="633">
        <f t="shared" ca="1" si="205"/>
        <v>-9.4180748708971862E-2</v>
      </c>
      <c r="DW79" s="633">
        <f t="shared" ca="1" si="206"/>
        <v>7.6430848464634993</v>
      </c>
      <c r="DX79" s="633">
        <f t="shared" ca="1" si="67"/>
        <v>0</v>
      </c>
      <c r="DY79" s="633">
        <f t="shared" ca="1" si="207"/>
        <v>-10.382879117204457</v>
      </c>
      <c r="DZ79" s="576" t="str">
        <f ca="1">IF(ROUND(DZ30,2)=0,"ok","!")</f>
        <v>!</v>
      </c>
      <c r="EA79" s="636">
        <f t="shared" ca="1" si="208"/>
        <v>0.91757935661285206</v>
      </c>
      <c r="EB79" s="633">
        <f t="shared" ca="1" si="209"/>
        <v>-0.84693241341203818</v>
      </c>
      <c r="EC79" s="633">
        <f t="shared" ca="1" si="210"/>
        <v>7.6912545665472898</v>
      </c>
      <c r="ED79" s="633">
        <f t="shared" ca="1" si="72"/>
        <v>12.472160356347462</v>
      </c>
      <c r="EE79" s="633">
        <f t="shared" ca="1" si="211"/>
        <v>2.1268656716417977</v>
      </c>
      <c r="EF79" s="576" t="str">
        <f ca="1">IF(ROUND(EF30,2)=0,"ok","!")</f>
        <v>!</v>
      </c>
      <c r="EG79" s="636">
        <f t="shared" ca="1" si="212"/>
        <v>6.9585846714460331</v>
      </c>
      <c r="EH79" s="633">
        <f t="shared" ca="1" si="213"/>
        <v>3.400000000000003</v>
      </c>
      <c r="EI79" s="633">
        <f t="shared" ca="1" si="214"/>
        <v>19.649999999999967</v>
      </c>
      <c r="EJ79" s="633">
        <f t="shared" ca="1" si="77"/>
        <v>-6.1386138613861441</v>
      </c>
      <c r="EK79" s="633">
        <f t="shared" ca="1" si="215"/>
        <v>19.649999999999991</v>
      </c>
      <c r="EL79" s="576" t="str">
        <f ca="1">IF(ROUND(EL30,2)=0,"ok","!")</f>
        <v>!</v>
      </c>
      <c r="EM79" s="636">
        <f t="shared" ca="1" si="216"/>
        <v>1.059082042821502</v>
      </c>
      <c r="EN79" s="633">
        <f t="shared" ca="1" si="217"/>
        <v>2.8699999999999948</v>
      </c>
      <c r="EO79" s="633">
        <f t="shared" ca="1" si="218"/>
        <v>-4.4999999999999929</v>
      </c>
      <c r="EP79" s="633">
        <f t="shared" ca="1" si="82"/>
        <v>0</v>
      </c>
      <c r="EQ79" s="633">
        <f t="shared" ca="1" si="219"/>
        <v>-8.17</v>
      </c>
      <c r="ER79" s="576" t="str">
        <f ca="1">IF(ROUND(ER30,2)=0,"ok","!")</f>
        <v>ok</v>
      </c>
    </row>
    <row r="80" spans="2:148">
      <c r="B80" s="568" t="s">
        <v>2133</v>
      </c>
      <c r="C80" s="4135" t="s">
        <v>1438</v>
      </c>
      <c r="D80" s="4135"/>
      <c r="E80" s="636"/>
      <c r="F80" s="633"/>
      <c r="G80" s="635"/>
      <c r="H80" s="635"/>
      <c r="I80" s="635"/>
      <c r="J80" s="576"/>
      <c r="K80" s="636">
        <f t="shared" ca="1" si="131"/>
        <v>2.9319134364494737</v>
      </c>
      <c r="L80" s="633">
        <f t="shared" ca="1" si="131"/>
        <v>2.9319134364494737</v>
      </c>
      <c r="M80" s="635" t="str">
        <f t="shared" si="131"/>
        <v/>
      </c>
      <c r="N80" s="635" t="str">
        <f t="shared" si="131"/>
        <v/>
      </c>
      <c r="O80" s="635" t="str">
        <f t="shared" si="131"/>
        <v/>
      </c>
      <c r="P80" s="576" t="str">
        <f ca="1">IF(ROUND(P31,2)=0,"ok","!")</f>
        <v>ok</v>
      </c>
      <c r="Q80" s="636">
        <f t="shared" ca="1" si="132"/>
        <v>4.6598693643460143</v>
      </c>
      <c r="R80" s="633">
        <f t="shared" ca="1" si="133"/>
        <v>4.6598693643460143</v>
      </c>
      <c r="S80" s="635" t="str">
        <f t="shared" si="134"/>
        <v/>
      </c>
      <c r="T80" s="635" t="str">
        <f t="shared" si="118"/>
        <v/>
      </c>
      <c r="U80" s="635" t="str">
        <f t="shared" si="135"/>
        <v/>
      </c>
      <c r="V80" s="576" t="str">
        <f ca="1">IF(ROUND(V31,2)=0,"ok","!")</f>
        <v>ok</v>
      </c>
      <c r="W80" s="636">
        <f t="shared" ca="1" si="136"/>
        <v>4.4237407269780649</v>
      </c>
      <c r="X80" s="633">
        <f t="shared" ca="1" si="137"/>
        <v>4.4237407269780649</v>
      </c>
      <c r="Y80" s="635" t="str">
        <f t="shared" si="138"/>
        <v/>
      </c>
      <c r="Z80" s="635" t="str">
        <f t="shared" si="119"/>
        <v/>
      </c>
      <c r="AA80" s="635" t="str">
        <f t="shared" si="139"/>
        <v/>
      </c>
      <c r="AB80" s="576" t="str">
        <f ca="1">IF(ROUND(AB31,2)=0,"ok","!")</f>
        <v>ok</v>
      </c>
      <c r="AC80" s="636">
        <f t="shared" ca="1" si="140"/>
        <v>3.6213150177496489</v>
      </c>
      <c r="AD80" s="633">
        <f t="shared" ca="1" si="141"/>
        <v>3.6213150177496489</v>
      </c>
      <c r="AE80" s="635" t="str">
        <f t="shared" si="142"/>
        <v/>
      </c>
      <c r="AF80" s="635" t="str">
        <f t="shared" si="120"/>
        <v/>
      </c>
      <c r="AG80" s="635" t="str">
        <f t="shared" si="143"/>
        <v/>
      </c>
      <c r="AH80" s="576" t="str">
        <f ca="1">IF(ROUND(AH31,2)=0,"ok","!")</f>
        <v>ok</v>
      </c>
      <c r="AI80" s="636">
        <f t="shared" ca="1" si="144"/>
        <v>3.0054966992910437</v>
      </c>
      <c r="AJ80" s="633">
        <f t="shared" ca="1" si="145"/>
        <v>3.0054966992910437</v>
      </c>
      <c r="AK80" s="635" t="str">
        <f t="shared" si="146"/>
        <v/>
      </c>
      <c r="AL80" s="635" t="str">
        <f t="shared" si="121"/>
        <v/>
      </c>
      <c r="AM80" s="635" t="str">
        <f t="shared" si="147"/>
        <v/>
      </c>
      <c r="AN80" s="576" t="str">
        <f ca="1">IF(ROUND(AN31,2)=0,"ok","!")</f>
        <v>ok</v>
      </c>
      <c r="AO80" s="636">
        <f t="shared" ca="1" si="148"/>
        <v>4.9888634268510978</v>
      </c>
      <c r="AP80" s="633">
        <f t="shared" ca="1" si="149"/>
        <v>4.9888634268510978</v>
      </c>
      <c r="AQ80" s="635" t="str">
        <f t="shared" si="150"/>
        <v/>
      </c>
      <c r="AR80" s="635" t="str">
        <f t="shared" si="122"/>
        <v/>
      </c>
      <c r="AS80" s="635" t="str">
        <f t="shared" si="151"/>
        <v/>
      </c>
      <c r="AT80" s="576" t="str">
        <f ca="1">IF(ROUND(AT31,2)=0,"ok","!")</f>
        <v>ok</v>
      </c>
      <c r="AU80" s="636">
        <f t="shared" ca="1" si="152"/>
        <v>5.384610970083159</v>
      </c>
      <c r="AV80" s="633">
        <f t="shared" ca="1" si="153"/>
        <v>5.384610970083159</v>
      </c>
      <c r="AW80" s="635" t="str">
        <f t="shared" si="154"/>
        <v/>
      </c>
      <c r="AX80" s="635" t="str">
        <f t="shared" si="123"/>
        <v/>
      </c>
      <c r="AY80" s="635" t="str">
        <f t="shared" si="155"/>
        <v/>
      </c>
      <c r="AZ80" s="576" t="str">
        <f ca="1">IF(ROUND(AZ31,2)=0,"ok","!")</f>
        <v>ok</v>
      </c>
      <c r="BA80" s="636">
        <f t="shared" ca="1" si="156"/>
        <v>2.592317620172202</v>
      </c>
      <c r="BB80" s="633">
        <f t="shared" ca="1" si="157"/>
        <v>2.592317620172202</v>
      </c>
      <c r="BC80" s="635" t="str">
        <f t="shared" si="158"/>
        <v/>
      </c>
      <c r="BD80" s="635" t="str">
        <f t="shared" si="124"/>
        <v/>
      </c>
      <c r="BE80" s="635" t="str">
        <f t="shared" si="159"/>
        <v/>
      </c>
      <c r="BF80" s="576" t="str">
        <f ca="1">IF(ROUND(BF31,2)=0,"ok","!")</f>
        <v>ok</v>
      </c>
      <c r="BG80" s="636">
        <f t="shared" ca="1" si="160"/>
        <v>3.070360134329353</v>
      </c>
      <c r="BH80" s="633">
        <f t="shared" ca="1" si="161"/>
        <v>3.070360134329353</v>
      </c>
      <c r="BI80" s="635" t="str">
        <f t="shared" si="162"/>
        <v/>
      </c>
      <c r="BJ80" s="635" t="str">
        <f t="shared" si="125"/>
        <v/>
      </c>
      <c r="BK80" s="635" t="str">
        <f t="shared" si="163"/>
        <v/>
      </c>
      <c r="BL80" s="576" t="str">
        <f ca="1">IF(ROUND(BL31,2)=0,"ok","!")</f>
        <v>ok</v>
      </c>
      <c r="BM80" s="636">
        <f t="shared" ca="1" si="164"/>
        <v>2.4256219840660842</v>
      </c>
      <c r="BN80" s="633">
        <f t="shared" ca="1" si="165"/>
        <v>2.4256219840660842</v>
      </c>
      <c r="BO80" s="635" t="str">
        <f t="shared" si="166"/>
        <v/>
      </c>
      <c r="BP80" s="635" t="str">
        <f t="shared" si="126"/>
        <v/>
      </c>
      <c r="BQ80" s="635" t="str">
        <f t="shared" si="167"/>
        <v/>
      </c>
      <c r="BR80" s="576" t="str">
        <f ca="1">IF(ROUND(BR31,2)=0,"ok","!")</f>
        <v>ok</v>
      </c>
      <c r="BS80" s="636">
        <f t="shared" ca="1" si="168"/>
        <v>4.5332274105396531</v>
      </c>
      <c r="BT80" s="633">
        <f t="shared" ca="1" si="169"/>
        <v>4.5332274105396531</v>
      </c>
      <c r="BU80" s="635" t="str">
        <f t="shared" si="170"/>
        <v/>
      </c>
      <c r="BV80" s="635" t="str">
        <f t="shared" si="127"/>
        <v/>
      </c>
      <c r="BW80" s="635" t="str">
        <f t="shared" si="171"/>
        <v/>
      </c>
      <c r="BX80" s="576" t="str">
        <f ca="1">IF(ROUND(BX31,2)=0,"ok","!")</f>
        <v>ok</v>
      </c>
      <c r="BY80" s="636">
        <f t="shared" ca="1" si="172"/>
        <v>6.8865448470360358</v>
      </c>
      <c r="BZ80" s="633">
        <f t="shared" ca="1" si="173"/>
        <v>6.8865448470360358</v>
      </c>
      <c r="CA80" s="635" t="str">
        <f t="shared" si="174"/>
        <v/>
      </c>
      <c r="CB80" s="635" t="str">
        <f t="shared" si="128"/>
        <v/>
      </c>
      <c r="CC80" s="635" t="str">
        <f t="shared" si="175"/>
        <v/>
      </c>
      <c r="CD80" s="576" t="str">
        <f ca="1">IF(ROUND(CD31,2)=0,"ok","!")</f>
        <v>ok</v>
      </c>
      <c r="CE80" s="636">
        <f t="shared" ca="1" si="176"/>
        <v>5.3581955446621254</v>
      </c>
      <c r="CF80" s="633">
        <f t="shared" ca="1" si="177"/>
        <v>5.3581955446621254</v>
      </c>
      <c r="CG80" s="635" t="str">
        <f t="shared" si="178"/>
        <v/>
      </c>
      <c r="CH80" s="635" t="str">
        <f t="shared" si="129"/>
        <v/>
      </c>
      <c r="CI80" s="635" t="str">
        <f t="shared" si="179"/>
        <v/>
      </c>
      <c r="CJ80" s="576" t="str">
        <f ca="1">IF(ROUND(CJ31,2)=0,"ok","!")</f>
        <v>ok</v>
      </c>
      <c r="CK80" s="636">
        <f t="shared" ca="1" si="180"/>
        <v>2.9066804103750066</v>
      </c>
      <c r="CL80" s="633">
        <f t="shared" ca="1" si="181"/>
        <v>2.9066804103750066</v>
      </c>
      <c r="CM80" s="635" t="str">
        <f t="shared" si="182"/>
        <v/>
      </c>
      <c r="CN80" s="635" t="str">
        <f t="shared" si="130"/>
        <v/>
      </c>
      <c r="CO80" s="635" t="str">
        <f t="shared" si="183"/>
        <v/>
      </c>
      <c r="CP80" s="576" t="str">
        <f ca="1">IF(ROUND(CP31,2)=0,"ok","!")</f>
        <v>ok</v>
      </c>
      <c r="CQ80" s="636">
        <f t="shared" ca="1" si="184"/>
        <v>2.2322972670095753</v>
      </c>
      <c r="CR80" s="633">
        <f t="shared" ca="1" si="185"/>
        <v>2.2322972670095753</v>
      </c>
      <c r="CS80" s="635" t="str">
        <f t="shared" si="186"/>
        <v/>
      </c>
      <c r="CT80" s="635" t="str">
        <f t="shared" si="42"/>
        <v/>
      </c>
      <c r="CU80" s="635" t="str">
        <f t="shared" si="187"/>
        <v/>
      </c>
      <c r="CV80" s="576" t="str">
        <f ca="1">IF(ROUND(CV31,2)=0,"ok","!")</f>
        <v>ok</v>
      </c>
      <c r="CW80" s="636">
        <f t="shared" ca="1" si="188"/>
        <v>3.5016706521430407</v>
      </c>
      <c r="CX80" s="633">
        <f t="shared" ca="1" si="189"/>
        <v>3.5016706521430407</v>
      </c>
      <c r="CY80" s="635" t="str">
        <f t="shared" si="190"/>
        <v/>
      </c>
      <c r="CZ80" s="635" t="str">
        <f t="shared" si="47"/>
        <v/>
      </c>
      <c r="DA80" s="635" t="str">
        <f t="shared" si="191"/>
        <v/>
      </c>
      <c r="DB80" s="576" t="str">
        <f ca="1">IF(ROUND(DB31,2)=0,"ok","!")</f>
        <v>ok</v>
      </c>
      <c r="DC80" s="636">
        <f t="shared" ca="1" si="192"/>
        <v>4.214652566395749</v>
      </c>
      <c r="DD80" s="633">
        <f t="shared" ca="1" si="193"/>
        <v>4.214652566395749</v>
      </c>
      <c r="DE80" s="635" t="str">
        <f t="shared" si="194"/>
        <v/>
      </c>
      <c r="DF80" s="635" t="str">
        <f t="shared" si="52"/>
        <v/>
      </c>
      <c r="DG80" s="635" t="str">
        <f t="shared" si="195"/>
        <v/>
      </c>
      <c r="DH80" s="576" t="str">
        <f ca="1">IF(ROUND(DH31,2)=0,"ok","!")</f>
        <v>ok</v>
      </c>
      <c r="DI80" s="636">
        <f t="shared" ca="1" si="196"/>
        <v>2.3319975609817245</v>
      </c>
      <c r="DJ80" s="633">
        <f t="shared" ca="1" si="197"/>
        <v>2.3319975609817245</v>
      </c>
      <c r="DK80" s="635" t="str">
        <f t="shared" si="198"/>
        <v/>
      </c>
      <c r="DL80" s="635" t="str">
        <f t="shared" si="57"/>
        <v/>
      </c>
      <c r="DM80" s="635" t="str">
        <f t="shared" si="199"/>
        <v/>
      </c>
      <c r="DN80" s="576" t="str">
        <f ca="1">IF(ROUND(DN31,2)=0,"ok","!")</f>
        <v>ok</v>
      </c>
      <c r="DO80" s="636">
        <f t="shared" ca="1" si="200"/>
        <v>0.85688468654254724</v>
      </c>
      <c r="DP80" s="633">
        <f t="shared" ca="1" si="201"/>
        <v>0.85688468654254724</v>
      </c>
      <c r="DQ80" s="635" t="str">
        <f t="shared" si="202"/>
        <v/>
      </c>
      <c r="DR80" s="635" t="str">
        <f t="shared" si="62"/>
        <v/>
      </c>
      <c r="DS80" s="635" t="str">
        <f t="shared" si="203"/>
        <v/>
      </c>
      <c r="DT80" s="576" t="str">
        <f ca="1">IF(ROUND(DT31,2)=0,"ok","!")</f>
        <v>ok</v>
      </c>
      <c r="DU80" s="636">
        <f t="shared" ca="1" si="204"/>
        <v>1.8681818292330066</v>
      </c>
      <c r="DV80" s="633">
        <f t="shared" ca="1" si="205"/>
        <v>1.8681818292330066</v>
      </c>
      <c r="DW80" s="635" t="str">
        <f t="shared" si="206"/>
        <v/>
      </c>
      <c r="DX80" s="635" t="str">
        <f t="shared" si="67"/>
        <v/>
      </c>
      <c r="DY80" s="635" t="str">
        <f t="shared" si="207"/>
        <v/>
      </c>
      <c r="DZ80" s="576" t="str">
        <f ca="1">IF(ROUND(DZ31,2)=0,"ok","!")</f>
        <v>ok</v>
      </c>
      <c r="EA80" s="636">
        <f t="shared" ca="1" si="208"/>
        <v>-0.73366380822591504</v>
      </c>
      <c r="EB80" s="633">
        <f t="shared" ca="1" si="209"/>
        <v>-0.73366380822591504</v>
      </c>
      <c r="EC80" s="635" t="str">
        <f t="shared" si="210"/>
        <v/>
      </c>
      <c r="ED80" s="635" t="str">
        <f t="shared" si="72"/>
        <v/>
      </c>
      <c r="EE80" s="635" t="str">
        <f t="shared" si="211"/>
        <v/>
      </c>
      <c r="EF80" s="576" t="str">
        <f ca="1">IF(ROUND(EF31,2)=0,"ok","!")</f>
        <v>!</v>
      </c>
      <c r="EG80" s="636">
        <f t="shared" ca="1" si="212"/>
        <v>2.6008486267758757</v>
      </c>
      <c r="EH80" s="633">
        <f t="shared" ca="1" si="213"/>
        <v>2.6008486267758757</v>
      </c>
      <c r="EI80" s="635" t="str">
        <f t="shared" si="214"/>
        <v/>
      </c>
      <c r="EJ80" s="635" t="str">
        <f t="shared" si="77"/>
        <v/>
      </c>
      <c r="EK80" s="635" t="str">
        <f t="shared" si="215"/>
        <v/>
      </c>
      <c r="EL80" s="576" t="str">
        <f ca="1">IF(ROUND(EL31,2)=0,"ok","!")</f>
        <v>ok</v>
      </c>
      <c r="EM80" s="636">
        <f t="shared" ca="1" si="216"/>
        <v>2.8772177525555831</v>
      </c>
      <c r="EN80" s="633">
        <f t="shared" ca="1" si="217"/>
        <v>2.8772177525555831</v>
      </c>
      <c r="EO80" s="635" t="str">
        <f t="shared" si="218"/>
        <v/>
      </c>
      <c r="EP80" s="635" t="str">
        <f t="shared" si="82"/>
        <v/>
      </c>
      <c r="EQ80" s="635" t="str">
        <f t="shared" si="219"/>
        <v/>
      </c>
      <c r="ER80" s="576" t="str">
        <f ca="1">IF(ROUND(ER31,2)=0,"ok","!")</f>
        <v>ok</v>
      </c>
    </row>
    <row r="81" spans="2:148">
      <c r="B81" s="568" t="s">
        <v>2133</v>
      </c>
      <c r="C81" s="4135" t="s">
        <v>1439</v>
      </c>
      <c r="D81" s="4135"/>
      <c r="E81" s="636"/>
      <c r="F81" s="633"/>
      <c r="G81" s="633"/>
      <c r="H81" s="633"/>
      <c r="I81" s="635"/>
      <c r="J81" s="576"/>
      <c r="K81" s="636">
        <f t="shared" ca="1" si="131"/>
        <v>2.390015159885106</v>
      </c>
      <c r="L81" s="633">
        <f t="shared" ca="1" si="131"/>
        <v>3.125</v>
      </c>
      <c r="M81" s="633">
        <f t="shared" ca="1" si="131"/>
        <v>-0.32817419841234541</v>
      </c>
      <c r="N81" s="633">
        <f t="shared" ca="1" si="131"/>
        <v>2.9274868609216131</v>
      </c>
      <c r="O81" s="635">
        <f t="shared" ca="1" si="131"/>
        <v>-1.4456316781897849</v>
      </c>
      <c r="P81" s="576" t="str">
        <f ca="1">IF(ROUND(P32,2)=0,"ok","!")</f>
        <v>ok</v>
      </c>
      <c r="Q81" s="636">
        <f t="shared" ca="1" si="132"/>
        <v>3.6438573497965088</v>
      </c>
      <c r="R81" s="633">
        <f t="shared" ca="1" si="133"/>
        <v>1.0416666666666741</v>
      </c>
      <c r="S81" s="633">
        <f t="shared" ca="1" si="134"/>
        <v>6.3819058212829294</v>
      </c>
      <c r="T81" s="633">
        <f t="shared" ca="1" si="118"/>
        <v>3.0887632262841302</v>
      </c>
      <c r="U81" s="635">
        <f t="shared" ca="1" si="135"/>
        <v>-0.38265306122451381</v>
      </c>
      <c r="V81" s="576" t="str">
        <f ca="1">IF(ROUND(V32,2)=0,"ok","!")</f>
        <v>ok</v>
      </c>
      <c r="W81" s="636">
        <f t="shared" ca="1" si="136"/>
        <v>2.857333013237251</v>
      </c>
      <c r="X81" s="633">
        <f t="shared" ca="1" si="137"/>
        <v>1.2183692596063667</v>
      </c>
      <c r="Y81" s="633">
        <f t="shared" ca="1" si="138"/>
        <v>6.7700200758420648</v>
      </c>
      <c r="Z81" s="633">
        <f t="shared" ca="1" si="119"/>
        <v>1.9841247131403339</v>
      </c>
      <c r="AA81" s="635">
        <f t="shared" ca="1" si="139"/>
        <v>-13.956466069142138</v>
      </c>
      <c r="AB81" s="576" t="str">
        <f ca="1">IF(ROUND(AB32,2)=0,"ok","!")</f>
        <v>ok</v>
      </c>
      <c r="AC81" s="636">
        <f t="shared" ca="1" si="140"/>
        <v>2.1228115582998974</v>
      </c>
      <c r="AD81" s="633">
        <f t="shared" ca="1" si="141"/>
        <v>5.0925925925926041</v>
      </c>
      <c r="AE81" s="633">
        <f t="shared" ca="1" si="142"/>
        <v>3.2735297190013668</v>
      </c>
      <c r="AF81" s="633">
        <f t="shared" ca="1" si="120"/>
        <v>1.8080402235639781</v>
      </c>
      <c r="AG81" s="635">
        <f t="shared" ca="1" si="143"/>
        <v>-13.392857142857139</v>
      </c>
      <c r="AH81" s="576" t="str">
        <f ca="1">IF(ROUND(AH32,2)=0,"ok","!")</f>
        <v>ok</v>
      </c>
      <c r="AI81" s="636">
        <f t="shared" ca="1" si="144"/>
        <v>2.9075793027602437</v>
      </c>
      <c r="AJ81" s="633">
        <f t="shared" ca="1" si="145"/>
        <v>5.1982378854625644</v>
      </c>
      <c r="AK81" s="633">
        <f t="shared" ca="1" si="146"/>
        <v>3.4795362304181232</v>
      </c>
      <c r="AL81" s="633">
        <f t="shared" ca="1" si="121"/>
        <v>2.6357853890842664</v>
      </c>
      <c r="AM81" s="635">
        <f t="shared" ca="1" si="147"/>
        <v>-40.721649484536059</v>
      </c>
      <c r="AN81" s="576" t="str">
        <f ca="1">IF(ROUND(AN32,2)=0,"ok","!")</f>
        <v>ok</v>
      </c>
      <c r="AO81" s="636">
        <f t="shared" ca="1" si="148"/>
        <v>4.9335587987589191</v>
      </c>
      <c r="AP81" s="633">
        <f t="shared" ca="1" si="149"/>
        <v>4.8576214405360085</v>
      </c>
      <c r="AQ81" s="633">
        <f t="shared" ca="1" si="150"/>
        <v>7.4789536062949802</v>
      </c>
      <c r="AR81" s="633">
        <f t="shared" ca="1" si="122"/>
        <v>4.1628179240419394</v>
      </c>
      <c r="AS81" s="635">
        <f t="shared" ca="1" si="151"/>
        <v>-109.27536231884064</v>
      </c>
      <c r="AT81" s="576" t="str">
        <f ca="1">IF(ROUND(AT32,2)=0,"ok","!")</f>
        <v>ok</v>
      </c>
      <c r="AU81" s="636">
        <f t="shared" ca="1" si="152"/>
        <v>6.3080601593884289</v>
      </c>
      <c r="AV81" s="633">
        <f t="shared" ca="1" si="153"/>
        <v>5.5910543130990309</v>
      </c>
      <c r="AW81" s="633">
        <f t="shared" ca="1" si="154"/>
        <v>6.4719658041926253</v>
      </c>
      <c r="AX81" s="633">
        <f t="shared" ca="1" si="123"/>
        <v>6.9078854090673492</v>
      </c>
      <c r="AY81" s="635">
        <f t="shared" ca="1" si="155"/>
        <v>-3840.6249999999795</v>
      </c>
      <c r="AZ81" s="576" t="str">
        <f ca="1">IF(ROUND(AZ32,2)=0,"ok","!")</f>
        <v>ok</v>
      </c>
      <c r="BA81" s="636">
        <f t="shared" ca="1" si="156"/>
        <v>4.1643915545209076</v>
      </c>
      <c r="BB81" s="633">
        <f t="shared" ca="1" si="157"/>
        <v>-0.15128593040845129</v>
      </c>
      <c r="BC81" s="633">
        <f t="shared" ca="1" si="158"/>
        <v>2.4589726341864404</v>
      </c>
      <c r="BD81" s="633">
        <f t="shared" ca="1" si="124"/>
        <v>4.3861341255220454</v>
      </c>
      <c r="BE81" s="635">
        <f t="shared" ca="1" si="159"/>
        <v>-26.524644945697563</v>
      </c>
      <c r="BF81" s="576" t="str">
        <f ca="1">IF(ROUND(BF32,2)=0,"ok","!")</f>
        <v>ok</v>
      </c>
      <c r="BG81" s="636">
        <f t="shared" ca="1" si="160"/>
        <v>3.4969825538816224</v>
      </c>
      <c r="BH81" s="633">
        <f t="shared" ca="1" si="161"/>
        <v>3.1060606060606011</v>
      </c>
      <c r="BI81" s="633">
        <f t="shared" ca="1" si="162"/>
        <v>0.97436431846602556</v>
      </c>
      <c r="BJ81" s="633">
        <f t="shared" ca="1" si="125"/>
        <v>3.9980965844779393</v>
      </c>
      <c r="BK81" s="635">
        <f t="shared" ca="1" si="163"/>
        <v>-11.085844229675978</v>
      </c>
      <c r="BL81" s="576" t="str">
        <f ca="1">IF(ROUND(BL32,2)=0,"ok","!")</f>
        <v>ok</v>
      </c>
      <c r="BM81" s="636">
        <f t="shared" ca="1" si="164"/>
        <v>3.1036412107382061</v>
      </c>
      <c r="BN81" s="633">
        <f t="shared" ca="1" si="165"/>
        <v>7.4944893460690887</v>
      </c>
      <c r="BO81" s="633">
        <f t="shared" ca="1" si="166"/>
        <v>0.32199803911450164</v>
      </c>
      <c r="BP81" s="633">
        <f t="shared" ca="1" si="126"/>
        <v>3.6784729039967656</v>
      </c>
      <c r="BQ81" s="635">
        <f t="shared" ca="1" si="167"/>
        <v>6.393861892579622E-2</v>
      </c>
      <c r="BR81" s="576" t="str">
        <f ca="1">IF(ROUND(BR32,2)=0,"ok","!")</f>
        <v>ok</v>
      </c>
      <c r="BS81" s="636">
        <f t="shared" ca="1" si="168"/>
        <v>3.5035823224799589</v>
      </c>
      <c r="BT81" s="633">
        <f t="shared" ca="1" si="169"/>
        <v>6.698564593301426</v>
      </c>
      <c r="BU81" s="633">
        <f t="shared" ca="1" si="170"/>
        <v>3.5717592354459926</v>
      </c>
      <c r="BV81" s="633">
        <f t="shared" ca="1" si="127"/>
        <v>3.4198489636334317</v>
      </c>
      <c r="BW81" s="635">
        <f t="shared" ca="1" si="171"/>
        <v>-14.249201277955216</v>
      </c>
      <c r="BX81" s="576" t="str">
        <f ca="1">IF(ROUND(BX32,2)=0,"ok","!")</f>
        <v>ok</v>
      </c>
      <c r="BY81" s="636">
        <f t="shared" ca="1" si="172"/>
        <v>4.5406726110109652</v>
      </c>
      <c r="BZ81" s="633">
        <f t="shared" ca="1" si="173"/>
        <v>2.8827674567584838</v>
      </c>
      <c r="CA81" s="633">
        <f t="shared" ca="1" si="174"/>
        <v>1.0905948608945337</v>
      </c>
      <c r="CB81" s="633">
        <f t="shared" ca="1" si="128"/>
        <v>5.2094510894107993</v>
      </c>
      <c r="CC81" s="635">
        <f t="shared" ca="1" si="175"/>
        <v>-15.648286140089407</v>
      </c>
      <c r="CD81" s="576" t="str">
        <f ca="1">IF(ROUND(CD32,2)=0,"ok","!")</f>
        <v>ok</v>
      </c>
      <c r="CE81" s="636">
        <f t="shared" ca="1" si="176"/>
        <v>5.3578130813243696</v>
      </c>
      <c r="CF81" s="633">
        <f t="shared" ca="1" si="177"/>
        <v>6.4134495641344991</v>
      </c>
      <c r="CG81" s="633">
        <f t="shared" ca="1" si="178"/>
        <v>0.23089696100295765</v>
      </c>
      <c r="CH81" s="633">
        <f t="shared" ca="1" si="129"/>
        <v>6.4536136062029792</v>
      </c>
      <c r="CI81" s="635">
        <f t="shared" ca="1" si="179"/>
        <v>37.544169611307396</v>
      </c>
      <c r="CJ81" s="576" t="str">
        <f ca="1">IF(ROUND(CJ32,2)=0,"ok","!")</f>
        <v>ok</v>
      </c>
      <c r="CK81" s="636">
        <f t="shared" ca="1" si="180"/>
        <v>7.2873416953550318</v>
      </c>
      <c r="CL81" s="633">
        <f t="shared" ca="1" si="181"/>
        <v>-21.181977764774729</v>
      </c>
      <c r="CM81" s="633">
        <f t="shared" ca="1" si="182"/>
        <v>6.2335803630945374</v>
      </c>
      <c r="CN81" s="633">
        <f t="shared" ca="1" si="130"/>
        <v>7.6354401910247116</v>
      </c>
      <c r="CO81" s="635">
        <f t="shared" ca="1" si="183"/>
        <v>27.874116891457913</v>
      </c>
      <c r="CP81" s="576" t="str">
        <f ca="1">IF(ROUND(CP32,2)=0,"ok","!")</f>
        <v>ok</v>
      </c>
      <c r="CQ81" s="636">
        <f t="shared" ca="1" si="184"/>
        <v>1.456779454581314</v>
      </c>
      <c r="CR81" s="633">
        <f t="shared" ca="1" si="185"/>
        <v>7.423904974017681E-2</v>
      </c>
      <c r="CS81" s="633">
        <f t="shared" ca="1" si="186"/>
        <v>-5.3215343588229436</v>
      </c>
      <c r="CT81" s="633">
        <f t="shared" ca="1" si="42"/>
        <v>2.6196633702497696</v>
      </c>
      <c r="CU81" s="635">
        <f t="shared" ca="1" si="187"/>
        <v>-28.528377699648455</v>
      </c>
      <c r="CV81" s="576" t="str">
        <f ca="1">IF(ROUND(CV32,2)=0,"ok","!")</f>
        <v>ok</v>
      </c>
      <c r="CW81" s="636">
        <f t="shared" ca="1" si="188"/>
        <v>3.4422389559237709</v>
      </c>
      <c r="CX81" s="633">
        <f t="shared" ca="1" si="189"/>
        <v>4.6735905044510417</v>
      </c>
      <c r="CY81" s="633">
        <f t="shared" ca="1" si="190"/>
        <v>-0.76312814315230293</v>
      </c>
      <c r="CZ81" s="633">
        <f t="shared" ca="1" si="47"/>
        <v>4.1504378840904854</v>
      </c>
      <c r="DA81" s="635">
        <f t="shared" ca="1" si="191"/>
        <v>-1.4054813773717534</v>
      </c>
      <c r="DB81" s="576" t="str">
        <f ca="1">IF(ROUND(DB32,2)=0,"ok","!")</f>
        <v>ok</v>
      </c>
      <c r="DC81" s="636">
        <f t="shared" ca="1" si="192"/>
        <v>5.3041910459308506</v>
      </c>
      <c r="DD81" s="633">
        <f t="shared" ca="1" si="193"/>
        <v>0.85046066619418603</v>
      </c>
      <c r="DE81" s="633">
        <f t="shared" ca="1" si="194"/>
        <v>6.3346460946170247</v>
      </c>
      <c r="DF81" s="633">
        <f t="shared" ca="1" si="52"/>
        <v>5.1616139529499616</v>
      </c>
      <c r="DG81" s="635">
        <f t="shared" ca="1" si="195"/>
        <v>12.401995723449822</v>
      </c>
      <c r="DH81" s="576" t="str">
        <f ca="1">IF(ROUND(DH32,2)=0,"ok","!")</f>
        <v>ok</v>
      </c>
      <c r="DI81" s="636">
        <f t="shared" ca="1" si="196"/>
        <v>3.8520225086165594</v>
      </c>
      <c r="DJ81" s="633">
        <f t="shared" ca="1" si="197"/>
        <v>4.8489107519325225</v>
      </c>
      <c r="DK81" s="633">
        <f t="shared" ca="1" si="198"/>
        <v>2.8613386779470007</v>
      </c>
      <c r="DL81" s="633">
        <f t="shared" ca="1" si="57"/>
        <v>4.2485628669275854</v>
      </c>
      <c r="DM81" s="635">
        <f t="shared" ca="1" si="199"/>
        <v>101.20481927710836</v>
      </c>
      <c r="DN81" s="576" t="str">
        <f ca="1">IF(ROUND(DN32,2)=0,"ok","!")</f>
        <v>ok</v>
      </c>
      <c r="DO81" s="636">
        <f t="shared" ca="1" si="200"/>
        <v>1.1640349336813349</v>
      </c>
      <c r="DP81" s="633">
        <f t="shared" ca="1" si="201"/>
        <v>-0.737265415549615</v>
      </c>
      <c r="DQ81" s="633">
        <f t="shared" ca="1" si="202"/>
        <v>-0.70037443094577156</v>
      </c>
      <c r="DR81" s="633">
        <f t="shared" ca="1" si="62"/>
        <v>1.4592245724618813</v>
      </c>
      <c r="DS81" s="635">
        <f t="shared" ca="1" si="203"/>
        <v>-1.7333753545540564</v>
      </c>
      <c r="DT81" s="576" t="str">
        <f ca="1">IF(ROUND(DT32,2)=0,"ok","!")</f>
        <v>ok</v>
      </c>
      <c r="DU81" s="636">
        <f t="shared" ca="1" si="204"/>
        <v>2.2146156641536852</v>
      </c>
      <c r="DV81" s="633">
        <f t="shared" ca="1" si="205"/>
        <v>-4.3889264010803402</v>
      </c>
      <c r="DW81" s="633">
        <f t="shared" ca="1" si="206"/>
        <v>2.7163641953539708</v>
      </c>
      <c r="DX81" s="633">
        <f t="shared" ca="1" si="67"/>
        <v>2.1303259956722664</v>
      </c>
      <c r="DY81" s="635">
        <f t="shared" ca="1" si="207"/>
        <v>-1.8280949326491158</v>
      </c>
      <c r="DZ81" s="576" t="str">
        <f ca="1">IF(ROUND(DZ32,2)=0,"ok","!")</f>
        <v>ok</v>
      </c>
      <c r="EA81" s="636">
        <f t="shared" ca="1" si="208"/>
        <v>2.4010849047959582</v>
      </c>
      <c r="EB81" s="633">
        <f t="shared" ca="1" si="209"/>
        <v>-3.4604519774011355</v>
      </c>
      <c r="EC81" s="633">
        <f t="shared" ca="1" si="210"/>
        <v>-1.9886788798605504</v>
      </c>
      <c r="ED81" s="633">
        <f t="shared" ca="1" si="72"/>
        <v>3.0887812306721329</v>
      </c>
      <c r="EE81" s="635">
        <f t="shared" ca="1" si="211"/>
        <v>-4.4756615485135764</v>
      </c>
      <c r="EF81" s="576" t="str">
        <f ca="1">IF(ROUND(EF32,2)=0,"ok","!")</f>
        <v>!</v>
      </c>
      <c r="EG81" s="636">
        <f t="shared" ca="1" si="212"/>
        <v>3.2030416222239344</v>
      </c>
      <c r="EH81" s="633">
        <f t="shared" ca="1" si="213"/>
        <v>2.9600000000000071</v>
      </c>
      <c r="EI81" s="633">
        <f t="shared" ca="1" si="214"/>
        <v>2.9600000000000071</v>
      </c>
      <c r="EJ81" s="633">
        <f t="shared" ca="1" si="77"/>
        <v>3.2679325792407843</v>
      </c>
      <c r="EK81" s="635">
        <f t="shared" ca="1" si="215"/>
        <v>10.000000000000009</v>
      </c>
      <c r="EL81" s="576" t="str">
        <f ca="1">IF(ROUND(EL32,2)=0,"ok","!")</f>
        <v>ok</v>
      </c>
      <c r="EM81" s="636">
        <f t="shared" ca="1" si="216"/>
        <v>2.9037111810446437</v>
      </c>
      <c r="EN81" s="633">
        <f t="shared" ca="1" si="217"/>
        <v>2.9300000000000104</v>
      </c>
      <c r="EO81" s="633">
        <f t="shared" ca="1" si="218"/>
        <v>2.9300000000000104</v>
      </c>
      <c r="EP81" s="633">
        <f t="shared" ca="1" si="82"/>
        <v>2.9300000000000104</v>
      </c>
      <c r="EQ81" s="635">
        <f t="shared" ca="1" si="219"/>
        <v>10.000000000000009</v>
      </c>
      <c r="ER81" s="576" t="str">
        <f ca="1">IF(ROUND(ER32,2)=0,"ok","!")</f>
        <v>ok</v>
      </c>
    </row>
    <row r="82" spans="2:148">
      <c r="B82" s="568" t="s">
        <v>2133</v>
      </c>
      <c r="C82" s="4135" t="s">
        <v>1440</v>
      </c>
      <c r="D82" s="4135"/>
      <c r="E82" s="636"/>
      <c r="F82" s="633"/>
      <c r="G82" s="633"/>
      <c r="H82" s="633"/>
      <c r="I82" s="633"/>
      <c r="J82" s="576"/>
      <c r="K82" s="636">
        <f t="shared" ca="1" si="131"/>
        <v>0.6065154547476137</v>
      </c>
      <c r="L82" s="633">
        <f t="shared" ca="1" si="131"/>
        <v>6.7174911201594245</v>
      </c>
      <c r="M82" s="633">
        <f t="shared" ca="1" si="131"/>
        <v>5.1200322775872609</v>
      </c>
      <c r="N82" s="633">
        <f t="shared" ca="1" si="131"/>
        <v>-13.79000209161263</v>
      </c>
      <c r="O82" s="633" t="str">
        <f t="shared" si="131"/>
        <v/>
      </c>
      <c r="P82" s="576" t="str">
        <f ca="1">IF(ROUND(P33,2)=0,"ok","!")</f>
        <v>ok</v>
      </c>
      <c r="Q82" s="636">
        <f t="shared" ca="1" si="132"/>
        <v>1.1211741107691298</v>
      </c>
      <c r="R82" s="633">
        <f t="shared" ca="1" si="133"/>
        <v>-0.80205221457332332</v>
      </c>
      <c r="S82" s="633">
        <f t="shared" ca="1" si="134"/>
        <v>0.31984851974105055</v>
      </c>
      <c r="T82" s="633">
        <f t="shared" ca="1" si="118"/>
        <v>5.5147148021447601</v>
      </c>
      <c r="U82" s="633" t="str">
        <f t="shared" si="135"/>
        <v/>
      </c>
      <c r="V82" s="576" t="str">
        <f ca="1">IF(ROUND(V33,2)=0,"ok","!")</f>
        <v>ok</v>
      </c>
      <c r="W82" s="636">
        <f t="shared" ca="1" si="136"/>
        <v>3.4841530054644743</v>
      </c>
      <c r="X82" s="633">
        <f t="shared" ca="1" si="137"/>
        <v>6.5910504435497064</v>
      </c>
      <c r="Y82" s="633">
        <f t="shared" ca="1" si="138"/>
        <v>1.2077233076569938</v>
      </c>
      <c r="Z82" s="633">
        <f t="shared" ca="1" si="119"/>
        <v>3.2237295930098719</v>
      </c>
      <c r="AA82" s="633" t="str">
        <f t="shared" si="139"/>
        <v/>
      </c>
      <c r="AB82" s="576" t="str">
        <f ca="1">IF(ROUND(AB33,2)=0,"ok","!")</f>
        <v>ok</v>
      </c>
      <c r="AC82" s="636">
        <f t="shared" ca="1" si="140"/>
        <v>3.7137757688408435</v>
      </c>
      <c r="AD82" s="633">
        <f t="shared" ca="1" si="141"/>
        <v>4.457581573896352</v>
      </c>
      <c r="AE82" s="633">
        <f t="shared" ca="1" si="142"/>
        <v>4.0146675235323226</v>
      </c>
      <c r="AF82" s="633">
        <f t="shared" ca="1" si="120"/>
        <v>2.1028245567139114</v>
      </c>
      <c r="AG82" s="633" t="str">
        <f t="shared" si="143"/>
        <v/>
      </c>
      <c r="AH82" s="576" t="str">
        <f ca="1">IF(ROUND(AH33,2)=0,"ok","!")</f>
        <v>ok</v>
      </c>
      <c r="AI82" s="636">
        <f t="shared" ca="1" si="144"/>
        <v>3.0329567382350042</v>
      </c>
      <c r="AJ82" s="633">
        <f t="shared" ca="1" si="145"/>
        <v>6.1077791497618605</v>
      </c>
      <c r="AK82" s="633">
        <f t="shared" ca="1" si="146"/>
        <v>0.60815312859652249</v>
      </c>
      <c r="AL82" s="633">
        <f t="shared" ca="1" si="121"/>
        <v>2.8361986211711265</v>
      </c>
      <c r="AM82" s="633" t="str">
        <f t="shared" si="147"/>
        <v/>
      </c>
      <c r="AN82" s="576" t="str">
        <f ca="1">IF(ROUND(AN33,2)=0,"ok","!")</f>
        <v>ok</v>
      </c>
      <c r="AO82" s="636">
        <f t="shared" ca="1" si="148"/>
        <v>0.20803889981519941</v>
      </c>
      <c r="AP82" s="633">
        <f t="shared" ca="1" si="149"/>
        <v>4.2336838313730363</v>
      </c>
      <c r="AQ82" s="633">
        <f t="shared" ca="1" si="150"/>
        <v>-5.7906968343227394</v>
      </c>
      <c r="AR82" s="633">
        <f t="shared" ca="1" si="122"/>
        <v>4.6121860149354932</v>
      </c>
      <c r="AS82" s="633" t="str">
        <f t="shared" si="151"/>
        <v/>
      </c>
      <c r="AT82" s="576" t="str">
        <f ca="1">IF(ROUND(AT33,2)=0,"ok","!")</f>
        <v>ok</v>
      </c>
      <c r="AU82" s="636">
        <f t="shared" ca="1" si="152"/>
        <v>3.8409759994477044</v>
      </c>
      <c r="AV82" s="633">
        <f t="shared" ca="1" si="153"/>
        <v>-2.9107244912877528</v>
      </c>
      <c r="AW82" s="633">
        <f t="shared" ca="1" si="154"/>
        <v>11.744932130166941</v>
      </c>
      <c r="AX82" s="633">
        <f t="shared" ca="1" si="123"/>
        <v>1.6021091056580783</v>
      </c>
      <c r="AY82" s="633" t="str">
        <f t="shared" si="155"/>
        <v/>
      </c>
      <c r="AZ82" s="576" t="str">
        <f ca="1">IF(ROUND(AZ33,2)=0,"ok","!")</f>
        <v>ok</v>
      </c>
      <c r="BA82" s="636">
        <f t="shared" ca="1" si="156"/>
        <v>3.1584795988146785</v>
      </c>
      <c r="BB82" s="633">
        <f t="shared" ca="1" si="157"/>
        <v>4.792673410998094</v>
      </c>
      <c r="BC82" s="633">
        <f t="shared" ca="1" si="158"/>
        <v>-1.3920184839923633</v>
      </c>
      <c r="BD82" s="633">
        <f t="shared" ca="1" si="124"/>
        <v>8.7165668662674722</v>
      </c>
      <c r="BE82" s="633" t="str">
        <f t="shared" si="159"/>
        <v/>
      </c>
      <c r="BF82" s="576" t="str">
        <f ca="1">IF(ROUND(BF33,2)=0,"ok","!")</f>
        <v>ok</v>
      </c>
      <c r="BG82" s="636">
        <f t="shared" ca="1" si="160"/>
        <v>2.0089583707366243</v>
      </c>
      <c r="BH82" s="633">
        <f t="shared" ca="1" si="161"/>
        <v>4.3984323971260508</v>
      </c>
      <c r="BI82" s="633">
        <f t="shared" ca="1" si="162"/>
        <v>-3.9310984804547089</v>
      </c>
      <c r="BJ82" s="633">
        <f t="shared" ca="1" si="125"/>
        <v>8.052582297537958</v>
      </c>
      <c r="BK82" s="633" t="str">
        <f t="shared" si="163"/>
        <v/>
      </c>
      <c r="BL82" s="576" t="str">
        <f ca="1">IF(ROUND(BL33,2)=0,"ok","!")</f>
        <v>ok</v>
      </c>
      <c r="BM82" s="636">
        <f t="shared" ca="1" si="164"/>
        <v>5.2317106741699648</v>
      </c>
      <c r="BN82" s="633">
        <f t="shared" ca="1" si="165"/>
        <v>11.061476281642202</v>
      </c>
      <c r="BO82" s="633">
        <f t="shared" ca="1" si="166"/>
        <v>-1.2979799809227144</v>
      </c>
      <c r="BP82" s="633">
        <f t="shared" ca="1" si="126"/>
        <v>6.5043413249961768</v>
      </c>
      <c r="BQ82" s="633" t="str">
        <f t="shared" si="167"/>
        <v/>
      </c>
      <c r="BR82" s="576" t="str">
        <f ca="1">IF(ROUND(BR33,2)=0,"ok","!")</f>
        <v>!</v>
      </c>
      <c r="BS82" s="636">
        <f t="shared" ca="1" si="168"/>
        <v>-1.8839199945107743</v>
      </c>
      <c r="BT82" s="633">
        <f t="shared" ca="1" si="169"/>
        <v>-6.7386234325180094</v>
      </c>
      <c r="BU82" s="633">
        <f t="shared" ca="1" si="170"/>
        <v>1.3811073324688561</v>
      </c>
      <c r="BV82" s="633">
        <f t="shared" ca="1" si="127"/>
        <v>0.73227931909189969</v>
      </c>
      <c r="BW82" s="633" t="str">
        <f t="shared" si="171"/>
        <v/>
      </c>
      <c r="BX82" s="576" t="str">
        <f ca="1">IF(ROUND(BX33,2)=0,"ok","!")</f>
        <v>!</v>
      </c>
      <c r="BY82" s="636">
        <f t="shared" ca="1" si="172"/>
        <v>-1.7282148336254632</v>
      </c>
      <c r="BZ82" s="633">
        <f t="shared" ca="1" si="173"/>
        <v>-12.557987822557259</v>
      </c>
      <c r="CA82" s="633">
        <f t="shared" ca="1" si="174"/>
        <v>12.255806938159886</v>
      </c>
      <c r="CB82" s="633">
        <f t="shared" ca="1" si="128"/>
        <v>-5.8853341780171213</v>
      </c>
      <c r="CC82" s="633" t="str">
        <f t="shared" si="175"/>
        <v/>
      </c>
      <c r="CD82" s="576" t="str">
        <f ca="1">IF(ROUND(CD33,2)=0,"ok","!")</f>
        <v>!</v>
      </c>
      <c r="CE82" s="636">
        <f t="shared" ca="1" si="176"/>
        <v>13.033442004652262</v>
      </c>
      <c r="CF82" s="633">
        <f t="shared" ca="1" si="177"/>
        <v>9.362954366477382</v>
      </c>
      <c r="CG82" s="633">
        <f t="shared" ca="1" si="178"/>
        <v>18.022830853899706</v>
      </c>
      <c r="CH82" s="633">
        <f t="shared" ca="1" si="129"/>
        <v>9.6930533117932214</v>
      </c>
      <c r="CI82" s="633" t="str">
        <f t="shared" si="179"/>
        <v/>
      </c>
      <c r="CJ82" s="576" t="str">
        <f ca="1">IF(ROUND(CJ33,2)=0,"ok","!")</f>
        <v>!</v>
      </c>
      <c r="CK82" s="636">
        <f t="shared" ca="1" si="180"/>
        <v>12.79014405389136</v>
      </c>
      <c r="CL82" s="633">
        <f t="shared" ca="1" si="181"/>
        <v>10.321129892114488</v>
      </c>
      <c r="CM82" s="633">
        <f t="shared" ca="1" si="182"/>
        <v>11.351651654386652</v>
      </c>
      <c r="CN82" s="633">
        <f t="shared" ca="1" si="130"/>
        <v>18.211524300441816</v>
      </c>
      <c r="CO82" s="633" t="str">
        <f t="shared" si="183"/>
        <v/>
      </c>
      <c r="CP82" s="576" t="str">
        <f ca="1">IF(ROUND(CP33,2)=0,"ok","!")</f>
        <v>!</v>
      </c>
      <c r="CQ82" s="636">
        <f t="shared" ca="1" si="184"/>
        <v>3.1558089071537676</v>
      </c>
      <c r="CR82" s="633">
        <f t="shared" ca="1" si="185"/>
        <v>1.4107731769879228</v>
      </c>
      <c r="CS82" s="633">
        <f t="shared" ca="1" si="186"/>
        <v>6.4958327539811789</v>
      </c>
      <c r="CT82" s="633">
        <f t="shared" ca="1" si="42"/>
        <v>-0.16611511258192158</v>
      </c>
      <c r="CU82" s="633" t="str">
        <f t="shared" si="187"/>
        <v/>
      </c>
      <c r="CV82" s="576" t="str">
        <f ca="1">IF(ROUND(CV33,2)=0,"ok","!")</f>
        <v>!</v>
      </c>
      <c r="CW82" s="636">
        <f t="shared" ca="1" si="188"/>
        <v>1.4772127754555386</v>
      </c>
      <c r="CX82" s="633">
        <f t="shared" ca="1" si="189"/>
        <v>2.6851851851851904</v>
      </c>
      <c r="CY82" s="633">
        <f t="shared" ca="1" si="190"/>
        <v>-0.81794093928805323</v>
      </c>
      <c r="CZ82" s="633">
        <f t="shared" ca="1" si="47"/>
        <v>3.9712974638293597</v>
      </c>
      <c r="DA82" s="633" t="str">
        <f t="shared" si="191"/>
        <v/>
      </c>
      <c r="DB82" s="576" t="str">
        <f ca="1">IF(ROUND(DB33,2)=0,"ok","!")</f>
        <v>!</v>
      </c>
      <c r="DC82" s="636">
        <f t="shared" ca="1" si="192"/>
        <v>4.4554422448843667</v>
      </c>
      <c r="DD82" s="633">
        <f t="shared" ca="1" si="193"/>
        <v>7.6997514790296817</v>
      </c>
      <c r="DE82" s="633">
        <f t="shared" ca="1" si="194"/>
        <v>2.4554746786433324</v>
      </c>
      <c r="DF82" s="633">
        <f t="shared" ca="1" si="52"/>
        <v>3.9958990772923864</v>
      </c>
      <c r="DG82" s="633" t="str">
        <f t="shared" si="195"/>
        <v/>
      </c>
      <c r="DH82" s="576" t="str">
        <f ca="1">IF(ROUND(DH33,2)=0,"ok","!")</f>
        <v>!</v>
      </c>
      <c r="DI82" s="636">
        <f t="shared" ca="1" si="196"/>
        <v>0.30788472030347513</v>
      </c>
      <c r="DJ82" s="633">
        <f t="shared" ca="1" si="197"/>
        <v>7.964059628342568E-2</v>
      </c>
      <c r="DK82" s="633">
        <f t="shared" ca="1" si="198"/>
        <v>-0.82986297435587719</v>
      </c>
      <c r="DL82" s="633">
        <f t="shared" ca="1" si="57"/>
        <v>2.386448339705205</v>
      </c>
      <c r="DM82" s="633" t="str">
        <f t="shared" si="199"/>
        <v/>
      </c>
      <c r="DN82" s="576" t="str">
        <f ca="1">IF(ROUND(DN33,2)=0,"ok","!")</f>
        <v>!</v>
      </c>
      <c r="DO82" s="636">
        <f t="shared" ca="1" si="200"/>
        <v>0.37500715662512896</v>
      </c>
      <c r="DP82" s="633">
        <f t="shared" ca="1" si="201"/>
        <v>1.2589524373074257</v>
      </c>
      <c r="DQ82" s="633">
        <f t="shared" ca="1" si="202"/>
        <v>1.0913552772972235</v>
      </c>
      <c r="DR82" s="633">
        <f t="shared" ca="1" si="62"/>
        <v>-1.7460634313023249</v>
      </c>
      <c r="DS82" s="633" t="str">
        <f t="shared" si="203"/>
        <v/>
      </c>
      <c r="DT82" s="576" t="str">
        <f ca="1">IF(ROUND(DT33,2)=0,"ok","!")</f>
        <v>!</v>
      </c>
      <c r="DU82" s="636">
        <f t="shared" ca="1" si="204"/>
        <v>0.87903591245130919</v>
      </c>
      <c r="DV82" s="633">
        <f t="shared" ca="1" si="205"/>
        <v>0.3808487486398171</v>
      </c>
      <c r="DW82" s="633">
        <f t="shared" ca="1" si="206"/>
        <v>1.2182894191262283</v>
      </c>
      <c r="DX82" s="633">
        <f t="shared" ca="1" si="67"/>
        <v>0.93216692958555392</v>
      </c>
      <c r="DY82" s="633" t="str">
        <f t="shared" si="207"/>
        <v/>
      </c>
      <c r="DZ82" s="576" t="str">
        <f ca="1">IF(ROUND(DZ33,2)=0,"ok","!")</f>
        <v>!</v>
      </c>
      <c r="EA82" s="636">
        <f t="shared" ca="1" si="208"/>
        <v>4.1005569394403141</v>
      </c>
      <c r="EB82" s="633">
        <f t="shared" ca="1" si="209"/>
        <v>0.36234066044364965</v>
      </c>
      <c r="EC82" s="633">
        <f t="shared" ca="1" si="210"/>
        <v>4.114374241216745</v>
      </c>
      <c r="ED82" s="633">
        <f t="shared" ca="1" si="72"/>
        <v>8.488443686653401</v>
      </c>
      <c r="EE82" s="633" t="str">
        <f t="shared" si="211"/>
        <v/>
      </c>
      <c r="EF82" s="576" t="str">
        <f ca="1">IF(ROUND(EF33,2)=0,"ok","!")</f>
        <v>!</v>
      </c>
      <c r="EG82" s="636">
        <f t="shared" ca="1" si="212"/>
        <v>-1.8685132211429645</v>
      </c>
      <c r="EH82" s="633">
        <f t="shared" ca="1" si="213"/>
        <v>4.0999999999999925</v>
      </c>
      <c r="EI82" s="633">
        <f t="shared" ca="1" si="214"/>
        <v>1.3500000000000068</v>
      </c>
      <c r="EJ82" s="633">
        <f t="shared" ca="1" si="77"/>
        <v>-13.292223738062747</v>
      </c>
      <c r="EK82" s="633" t="str">
        <f t="shared" si="215"/>
        <v/>
      </c>
      <c r="EL82" s="576" t="str">
        <f ca="1">IF(ROUND(EL33,2)=0,"ok","!")</f>
        <v>ok</v>
      </c>
      <c r="EM82" s="636">
        <f t="shared" ca="1" si="216"/>
        <v>5.0223234907730729</v>
      </c>
      <c r="EN82" s="633">
        <f t="shared" ca="1" si="217"/>
        <v>4.2999999999999927</v>
      </c>
      <c r="EO82" s="633">
        <f t="shared" ca="1" si="218"/>
        <v>2.6999999999999913</v>
      </c>
      <c r="EP82" s="633">
        <f t="shared" ca="1" si="82"/>
        <v>10.109999999999996</v>
      </c>
      <c r="EQ82" s="633" t="str">
        <f t="shared" si="219"/>
        <v/>
      </c>
      <c r="ER82" s="576" t="str">
        <f ca="1">IF(ROUND(ER33,2)=0,"ok","!")</f>
        <v>ok</v>
      </c>
    </row>
    <row r="83" spans="2:148">
      <c r="B83" s="568" t="s">
        <v>624</v>
      </c>
      <c r="C83" s="4137" t="s">
        <v>1441</v>
      </c>
      <c r="D83" s="4138"/>
      <c r="E83" s="584"/>
      <c r="F83" s="584"/>
      <c r="G83" s="584"/>
      <c r="H83" s="584"/>
      <c r="I83" s="584"/>
      <c r="J83" s="580"/>
      <c r="K83" s="584">
        <f t="shared" ca="1" si="131"/>
        <v>1.9964283157735352</v>
      </c>
      <c r="L83" s="584">
        <f t="shared" ca="1" si="131"/>
        <v>0.44986723116098304</v>
      </c>
      <c r="M83" s="584">
        <f t="shared" ca="1" si="131"/>
        <v>3.0023370935389204</v>
      </c>
      <c r="N83" s="584">
        <f t="shared" ca="1" si="131"/>
        <v>6.4110443494838298</v>
      </c>
      <c r="O83" s="584" t="str">
        <f t="shared" si="131"/>
        <v/>
      </c>
      <c r="P83" s="580"/>
      <c r="Q83" s="584">
        <f t="shared" ca="1" si="132"/>
        <v>4.8355579122932868</v>
      </c>
      <c r="R83" s="584">
        <f t="shared" ca="1" si="133"/>
        <v>2.3462708188671133</v>
      </c>
      <c r="S83" s="584">
        <f t="shared" ca="1" si="134"/>
        <v>6.036297586612549</v>
      </c>
      <c r="T83" s="584">
        <f t="shared" ca="1" si="118"/>
        <v>11.83078940633151</v>
      </c>
      <c r="U83" s="584" t="str">
        <f t="shared" si="135"/>
        <v/>
      </c>
      <c r="V83" s="580"/>
      <c r="W83" s="584">
        <f t="shared" ca="1" si="136"/>
        <v>3.7002697493497161</v>
      </c>
      <c r="X83" s="584">
        <f t="shared" ca="1" si="137"/>
        <v>3.2806377798907382</v>
      </c>
      <c r="Y83" s="584">
        <f t="shared" ca="1" si="138"/>
        <v>-2.0589317255768957</v>
      </c>
      <c r="Z83" s="584">
        <f t="shared" ca="1" si="119"/>
        <v>9.0741539626891132</v>
      </c>
      <c r="AA83" s="584" t="str">
        <f t="shared" si="139"/>
        <v/>
      </c>
      <c r="AB83" s="580"/>
      <c r="AC83" s="584">
        <f t="shared" ca="1" si="140"/>
        <v>4.0853190032332787</v>
      </c>
      <c r="AD83" s="584">
        <f t="shared" ca="1" si="141"/>
        <v>2.756184317549959</v>
      </c>
      <c r="AE83" s="584">
        <f t="shared" ca="1" si="142"/>
        <v>5.4238405849042604</v>
      </c>
      <c r="AF83" s="584">
        <f t="shared" ca="1" si="120"/>
        <v>6.8777783142015547</v>
      </c>
      <c r="AG83" s="584" t="str">
        <f t="shared" si="143"/>
        <v/>
      </c>
      <c r="AH83" s="580"/>
      <c r="AI83" s="584">
        <f t="shared" ca="1" si="144"/>
        <v>6.0620322468447618</v>
      </c>
      <c r="AJ83" s="584">
        <f t="shared" ca="1" si="145"/>
        <v>5.2543109332829463</v>
      </c>
      <c r="AK83" s="584">
        <f t="shared" ca="1" si="146"/>
        <v>6.9857380633791877</v>
      </c>
      <c r="AL83" s="584">
        <f t="shared" ca="1" si="121"/>
        <v>7.6099835645759395</v>
      </c>
      <c r="AM83" s="584" t="str">
        <f t="shared" si="147"/>
        <v/>
      </c>
      <c r="AN83" s="580"/>
      <c r="AO83" s="584">
        <f t="shared" ca="1" si="148"/>
        <v>2.3815284206808673</v>
      </c>
      <c r="AP83" s="584">
        <f t="shared" ca="1" si="149"/>
        <v>4.8580680846658675</v>
      </c>
      <c r="AQ83" s="584">
        <f t="shared" ca="1" si="150"/>
        <v>-9.3792738790679628</v>
      </c>
      <c r="AR83" s="584">
        <f t="shared" ca="1" si="122"/>
        <v>3.4390398264092958</v>
      </c>
      <c r="AS83" s="584" t="str">
        <f t="shared" si="151"/>
        <v/>
      </c>
      <c r="AT83" s="580"/>
      <c r="AU83" s="584">
        <f t="shared" ca="1" si="152"/>
        <v>3.1996899985329064</v>
      </c>
      <c r="AV83" s="584">
        <f t="shared" ca="1" si="153"/>
        <v>0.93819542487008079</v>
      </c>
      <c r="AW83" s="584">
        <f t="shared" ca="1" si="154"/>
        <v>10.91275295807359</v>
      </c>
      <c r="AX83" s="584">
        <f t="shared" ca="1" si="123"/>
        <v>4.8435356311720357</v>
      </c>
      <c r="AY83" s="584" t="str">
        <f t="shared" si="155"/>
        <v/>
      </c>
      <c r="AZ83" s="580"/>
      <c r="BA83" s="584">
        <f t="shared" ca="1" si="156"/>
        <v>2.6838667388701998</v>
      </c>
      <c r="BB83" s="584">
        <f t="shared" ca="1" si="157"/>
        <v>1.7026433716568645</v>
      </c>
      <c r="BC83" s="584">
        <f t="shared" ca="1" si="158"/>
        <v>12.420077696619014</v>
      </c>
      <c r="BD83" s="584">
        <f t="shared" ca="1" si="124"/>
        <v>-0.56764638890248742</v>
      </c>
      <c r="BE83" s="584" t="str">
        <f t="shared" si="159"/>
        <v/>
      </c>
      <c r="BF83" s="580"/>
      <c r="BG83" s="584">
        <f t="shared" ca="1" si="160"/>
        <v>5.0523497498766945</v>
      </c>
      <c r="BH83" s="584">
        <f t="shared" ca="1" si="161"/>
        <v>2.3386036736162241</v>
      </c>
      <c r="BI83" s="584">
        <f t="shared" ca="1" si="162"/>
        <v>11.634431293322045</v>
      </c>
      <c r="BJ83" s="584">
        <f t="shared" ca="1" si="125"/>
        <v>7.6856393395497324</v>
      </c>
      <c r="BK83" s="584" t="str">
        <f t="shared" si="163"/>
        <v/>
      </c>
      <c r="BL83" s="580"/>
      <c r="BM83" s="584">
        <f t="shared" ca="1" si="164"/>
        <v>4.1620165686569344</v>
      </c>
      <c r="BN83" s="584">
        <f t="shared" ca="1" si="165"/>
        <v>3.7084293291519854</v>
      </c>
      <c r="BO83" s="584">
        <f t="shared" ca="1" si="166"/>
        <v>4.5144647877389588</v>
      </c>
      <c r="BP83" s="584">
        <f t="shared" ca="1" si="126"/>
        <v>5.0329444511644894</v>
      </c>
      <c r="BQ83" s="584" t="str">
        <f t="shared" si="167"/>
        <v/>
      </c>
      <c r="BR83" s="580"/>
      <c r="BS83" s="584">
        <f t="shared" ca="1" si="168"/>
        <v>5.1122812710873378</v>
      </c>
      <c r="BT83" s="584">
        <f t="shared" ca="1" si="169"/>
        <v>5.4459352801894401</v>
      </c>
      <c r="BU83" s="584">
        <f t="shared" ca="1" si="170"/>
        <v>3.3354801139978241</v>
      </c>
      <c r="BV83" s="584">
        <f t="shared" ca="1" si="127"/>
        <v>5.5228740866250181</v>
      </c>
      <c r="BW83" s="584" t="str">
        <f t="shared" si="171"/>
        <v/>
      </c>
      <c r="BX83" s="580"/>
      <c r="BY83" s="584">
        <f t="shared" ca="1" si="172"/>
        <v>5.7541956591918408</v>
      </c>
      <c r="BZ83" s="584">
        <f t="shared" ca="1" si="173"/>
        <v>5.0260474900820418</v>
      </c>
      <c r="CA83" s="584">
        <f t="shared" ca="1" si="174"/>
        <v>9.7280483071594546</v>
      </c>
      <c r="CB83" s="584">
        <f t="shared" ca="1" si="128"/>
        <v>4.8473208707891402</v>
      </c>
      <c r="CC83" s="584" t="str">
        <f t="shared" si="175"/>
        <v/>
      </c>
      <c r="CD83" s="580"/>
      <c r="CE83" s="584">
        <f t="shared" ca="1" si="176"/>
        <v>3.4369287231897916</v>
      </c>
      <c r="CF83" s="584">
        <f t="shared" ca="1" si="177"/>
        <v>5.6483347067845857</v>
      </c>
      <c r="CG83" s="584">
        <f t="shared" ca="1" si="178"/>
        <v>-2.8113877187999847</v>
      </c>
      <c r="CH83" s="584">
        <f t="shared" ca="1" si="129"/>
        <v>2.4646956280367061</v>
      </c>
      <c r="CI83" s="584" t="str">
        <f t="shared" si="179"/>
        <v/>
      </c>
      <c r="CJ83" s="580"/>
      <c r="CK83" s="584">
        <f t="shared" ca="1" si="180"/>
        <v>-3.7097412768216542</v>
      </c>
      <c r="CL83" s="584">
        <f t="shared" ca="1" si="181"/>
        <v>1.6624726972121806</v>
      </c>
      <c r="CM83" s="584">
        <f t="shared" ca="1" si="182"/>
        <v>-12.627711043647949</v>
      </c>
      <c r="CN83" s="584">
        <f t="shared" ca="1" si="130"/>
        <v>-11.20500512025292</v>
      </c>
      <c r="CO83" s="584" t="str">
        <f t="shared" si="183"/>
        <v/>
      </c>
      <c r="CP83" s="580"/>
      <c r="CQ83" s="584">
        <f t="shared" ca="1" si="184"/>
        <v>8.1842819216219063</v>
      </c>
      <c r="CR83" s="584">
        <f t="shared" ca="1" si="185"/>
        <v>0.69443233495016798</v>
      </c>
      <c r="CS83" s="584">
        <f t="shared" ca="1" si="186"/>
        <v>40.308649268930694</v>
      </c>
      <c r="CT83" s="584">
        <f t="shared" ca="1" si="42"/>
        <v>8.553698304803925</v>
      </c>
      <c r="CU83" s="584" t="str">
        <f t="shared" si="187"/>
        <v/>
      </c>
      <c r="CV83" s="580"/>
      <c r="CW83" s="584">
        <f t="shared" ca="1" si="188"/>
        <v>1.6051123191570982</v>
      </c>
      <c r="CX83" s="584">
        <f t="shared" ca="1" si="189"/>
        <v>2.0003891860952194</v>
      </c>
      <c r="CY83" s="584">
        <f t="shared" ca="1" si="190"/>
        <v>-6.3831244924087427</v>
      </c>
      <c r="CZ83" s="584">
        <f t="shared" ca="1" si="47"/>
        <v>7.3341982752041179</v>
      </c>
      <c r="DA83" s="584" t="str">
        <f t="shared" si="191"/>
        <v/>
      </c>
      <c r="DB83" s="580"/>
      <c r="DC83" s="584">
        <f t="shared" ca="1" si="192"/>
        <v>3.4192895399167256</v>
      </c>
      <c r="DD83" s="584">
        <f t="shared" ca="1" si="193"/>
        <v>1.9395340400264249</v>
      </c>
      <c r="DE83" s="584">
        <f t="shared" ca="1" si="194"/>
        <v>5.8729181023704058</v>
      </c>
      <c r="DF83" s="584">
        <f t="shared" ca="1" si="52"/>
        <v>5.3410034852014343</v>
      </c>
      <c r="DG83" s="584" t="str">
        <f t="shared" si="195"/>
        <v/>
      </c>
      <c r="DH83" s="580"/>
      <c r="DI83" s="584">
        <f t="shared" ca="1" si="196"/>
        <v>0.28275467616993843</v>
      </c>
      <c r="DJ83" s="584">
        <f t="shared" ca="1" si="197"/>
        <v>1.1551834237731429</v>
      </c>
      <c r="DK83" s="584">
        <f t="shared" ca="1" si="198"/>
        <v>-6.8496800170504084</v>
      </c>
      <c r="DL83" s="584">
        <f t="shared" ca="1" si="57"/>
        <v>3.4565626155106832</v>
      </c>
      <c r="DM83" s="584" t="str">
        <f t="shared" si="199"/>
        <v/>
      </c>
      <c r="DN83" s="580"/>
      <c r="DO83" s="584">
        <f t="shared" ca="1" si="200"/>
        <v>1.1060464997640684</v>
      </c>
      <c r="DP83" s="584">
        <f t="shared" ca="1" si="201"/>
        <v>1.1102320378026498</v>
      </c>
      <c r="DQ83" s="584">
        <f t="shared" ca="1" si="202"/>
        <v>1.5584829179080106</v>
      </c>
      <c r="DR83" s="584">
        <f t="shared" ca="1" si="62"/>
        <v>0.79296449834664884</v>
      </c>
      <c r="DS83" s="584" t="str">
        <f t="shared" si="203"/>
        <v/>
      </c>
      <c r="DT83" s="580"/>
      <c r="DU83" s="584">
        <f t="shared" ca="1" si="204"/>
        <v>1.615666938795246</v>
      </c>
      <c r="DV83" s="584">
        <f t="shared" ca="1" si="205"/>
        <v>0.86531168447168127</v>
      </c>
      <c r="DW83" s="584">
        <f t="shared" ca="1" si="206"/>
        <v>4.5843684543815932</v>
      </c>
      <c r="DX83" s="584">
        <f t="shared" ca="1" si="67"/>
        <v>1.4110106711984427</v>
      </c>
      <c r="DY83" s="584" t="str">
        <f t="shared" si="207"/>
        <v/>
      </c>
      <c r="DZ83" s="580"/>
      <c r="EA83" s="584">
        <f t="shared" ca="1" si="208"/>
        <v>3.6489902563499044</v>
      </c>
      <c r="EB83" s="584">
        <f t="shared" ca="1" si="209"/>
        <v>2.3976093156478973</v>
      </c>
      <c r="EC83" s="584">
        <f t="shared" ca="1" si="210"/>
        <v>13.013140352000786</v>
      </c>
      <c r="ED83" s="584">
        <f t="shared" ca="1" si="72"/>
        <v>0.11499411858275632</v>
      </c>
      <c r="EE83" s="584" t="str">
        <f t="shared" si="211"/>
        <v/>
      </c>
      <c r="EF83" s="580"/>
      <c r="EG83" s="584">
        <f t="shared" ca="1" si="212"/>
        <v>4.214673688517423</v>
      </c>
      <c r="EH83" s="584">
        <f t="shared" ca="1" si="213"/>
        <v>2.7195092881903138</v>
      </c>
      <c r="EI83" s="584">
        <f t="shared" ca="1" si="214"/>
        <v>2.5839159344246188</v>
      </c>
      <c r="EJ83" s="584">
        <f t="shared" ca="1" si="77"/>
        <v>9.143017906333295</v>
      </c>
      <c r="EK83" s="584" t="str">
        <f t="shared" si="215"/>
        <v/>
      </c>
      <c r="EL83" s="580"/>
      <c r="EM83" s="584">
        <f t="shared" ca="1" si="216"/>
        <v>3.4179742705388039</v>
      </c>
      <c r="EN83" s="584">
        <f t="shared" ca="1" si="217"/>
        <v>2.9473986743324687</v>
      </c>
      <c r="EO83" s="584">
        <f t="shared" ca="1" si="218"/>
        <v>6.5015825948188777</v>
      </c>
      <c r="EP83" s="584">
        <f t="shared" ca="1" si="82"/>
        <v>2.2208448527144098</v>
      </c>
      <c r="EQ83" s="584" t="str">
        <f t="shared" si="219"/>
        <v/>
      </c>
      <c r="ER83" s="580"/>
    </row>
    <row r="84" spans="2:148" ht="13.8" thickBot="1">
      <c r="B84" s="568" t="s">
        <v>622</v>
      </c>
      <c r="C84" s="4136" t="s">
        <v>1442</v>
      </c>
      <c r="D84" s="4135"/>
      <c r="E84" s="636"/>
      <c r="F84" s="633"/>
      <c r="G84" s="633"/>
      <c r="H84" s="633"/>
      <c r="I84" s="635"/>
      <c r="J84" s="576"/>
      <c r="K84" s="636">
        <f t="shared" ref="K84:O90" ca="1" si="220">IF(K35="","",IF(E35=0,"N",(K35/E35-1)*100))</f>
        <v>94.409937888198755</v>
      </c>
      <c r="L84" s="633">
        <f t="shared" ca="1" si="220"/>
        <v>21.694574068990757</v>
      </c>
      <c r="M84" s="633">
        <f t="shared" ca="1" si="220"/>
        <v>21.755865102639294</v>
      </c>
      <c r="N84" s="633">
        <f t="shared" ca="1" si="220"/>
        <v>-17.647058823529406</v>
      </c>
      <c r="O84" s="635">
        <f t="shared" ca="1" si="220"/>
        <v>94.409937888198755</v>
      </c>
      <c r="P84" s="576" t="str">
        <f ca="1">IF(ROUND(P35,2)=0,"ok","!")</f>
        <v>ok</v>
      </c>
      <c r="Q84" s="636">
        <f t="shared" ca="1" si="132"/>
        <v>-64.856230031948883</v>
      </c>
      <c r="R84" s="633">
        <f t="shared" ca="1" si="133"/>
        <v>9.9774436090225507</v>
      </c>
      <c r="S84" s="633">
        <f t="shared" ca="1" si="134"/>
        <v>9.9578503688092734</v>
      </c>
      <c r="T84" s="633">
        <f t="shared" ca="1" si="118"/>
        <v>28.571428571428559</v>
      </c>
      <c r="U84" s="635">
        <f t="shared" ca="1" si="135"/>
        <v>-64.856230031948883</v>
      </c>
      <c r="V84" s="576" t="str">
        <f ca="1">IF(ROUND(V35,2)=0,"ok","!")</f>
        <v>ok</v>
      </c>
      <c r="W84" s="636">
        <f t="shared" ca="1" si="136"/>
        <v>654.54545454545462</v>
      </c>
      <c r="X84" s="633">
        <f t="shared" ca="1" si="137"/>
        <v>-1.8937581185478947</v>
      </c>
      <c r="Y84" s="633">
        <f t="shared" ca="1" si="138"/>
        <v>-1.9371620234102438</v>
      </c>
      <c r="Z84" s="633">
        <f t="shared" ca="1" si="119"/>
        <v>33.333333333333329</v>
      </c>
      <c r="AA84" s="635">
        <f t="shared" ca="1" si="139"/>
        <v>654.54545454545462</v>
      </c>
      <c r="AB84" s="576" t="str">
        <f ca="1">IF(ROUND(AB35,2)=0,"ok","!")</f>
        <v>ok</v>
      </c>
      <c r="AC84" s="636">
        <f t="shared" ca="1" si="140"/>
        <v>-61.204819277108435</v>
      </c>
      <c r="AD84" s="633">
        <f t="shared" ca="1" si="141"/>
        <v>0.8501742160278658</v>
      </c>
      <c r="AE84" s="633">
        <f t="shared" ca="1" si="142"/>
        <v>0.7817953371492381</v>
      </c>
      <c r="AF84" s="633">
        <f t="shared" ca="1" si="120"/>
        <v>41.666666666666671</v>
      </c>
      <c r="AG84" s="635">
        <f t="shared" ca="1" si="143"/>
        <v>-61.204819277108435</v>
      </c>
      <c r="AH84" s="576" t="str">
        <f ca="1">IF(ROUND(AH35,2)=0,"ok","!")</f>
        <v>ok</v>
      </c>
      <c r="AI84" s="636">
        <f t="shared" ca="1" si="144"/>
        <v>-100</v>
      </c>
      <c r="AJ84" s="633">
        <f t="shared" ca="1" si="145"/>
        <v>-3.8488114980652299</v>
      </c>
      <c r="AK84" s="633">
        <f t="shared" ca="1" si="146"/>
        <v>-3.7609087131181607</v>
      </c>
      <c r="AL84" s="633">
        <f t="shared" ca="1" si="121"/>
        <v>-41.17647058823529</v>
      </c>
      <c r="AM84" s="635">
        <f t="shared" ca="1" si="147"/>
        <v>-100</v>
      </c>
      <c r="AN84" s="576" t="str">
        <f ca="1">IF(ROUND(AN35,2)=0,"ok","!")</f>
        <v>ok</v>
      </c>
      <c r="AO84" s="636" t="str">
        <f t="shared" ca="1" si="148"/>
        <v>N</v>
      </c>
      <c r="AP84" s="633">
        <f t="shared" ca="1" si="149"/>
        <v>0.48149478979520044</v>
      </c>
      <c r="AQ84" s="633">
        <f t="shared" ca="1" si="150"/>
        <v>0.56854983807126391</v>
      </c>
      <c r="AR84" s="633">
        <f t="shared" ca="1" si="122"/>
        <v>-60</v>
      </c>
      <c r="AS84" s="635" t="str">
        <f t="shared" ca="1" si="151"/>
        <v>N</v>
      </c>
      <c r="AT84" s="576" t="str">
        <f ca="1">IF(ROUND(AT35,2)=0,"ok","!")</f>
        <v>ok</v>
      </c>
      <c r="AU84" s="636">
        <f t="shared" ca="1" si="152"/>
        <v>37.515375153751542</v>
      </c>
      <c r="AV84" s="633">
        <f t="shared" ca="1" si="153"/>
        <v>0.15019310542123687</v>
      </c>
      <c r="AW84" s="633">
        <f t="shared" ca="1" si="154"/>
        <v>0.12881064834691092</v>
      </c>
      <c r="AX84" s="633">
        <f t="shared" ca="1" si="123"/>
        <v>37.5</v>
      </c>
      <c r="AY84" s="635">
        <f t="shared" ca="1" si="155"/>
        <v>37.515375153751542</v>
      </c>
      <c r="AZ84" s="576" t="str">
        <f ca="1">IF(ROUND(AZ35,2)=0,"ok","!")</f>
        <v>ok</v>
      </c>
      <c r="BA84" s="636">
        <f t="shared" ca="1" si="156"/>
        <v>40.966010733452585</v>
      </c>
      <c r="BB84" s="633">
        <f t="shared" ca="1" si="157"/>
        <v>13.268585303149315</v>
      </c>
      <c r="BC84" s="633">
        <f t="shared" ca="1" si="158"/>
        <v>13.67924528301887</v>
      </c>
      <c r="BD84" s="633">
        <f t="shared" ca="1" si="124"/>
        <v>-509.09090909090901</v>
      </c>
      <c r="BE84" s="635">
        <f t="shared" ca="1" si="159"/>
        <v>40.966010733452585</v>
      </c>
      <c r="BF84" s="576" t="str">
        <f ca="1">IF(ROUND(BF35,2)=0,"ok","!")</f>
        <v>ok</v>
      </c>
      <c r="BG84" s="636">
        <f t="shared" ca="1" si="160"/>
        <v>-238.57868020304568</v>
      </c>
      <c r="BH84" s="633">
        <f t="shared" ca="1" si="161"/>
        <v>7.4270222558477039</v>
      </c>
      <c r="BI84" s="633">
        <f t="shared" ca="1" si="162"/>
        <v>6.8779077077832262</v>
      </c>
      <c r="BJ84" s="633">
        <f t="shared" ca="1" si="125"/>
        <v>-186.66666666666666</v>
      </c>
      <c r="BK84" s="635">
        <f t="shared" ca="1" si="163"/>
        <v>-238.57868020304568</v>
      </c>
      <c r="BL84" s="576" t="str">
        <f ca="1">IF(ROUND(BL35,2)=0,"ok","!")</f>
        <v>ok</v>
      </c>
      <c r="BM84" s="636">
        <f t="shared" ca="1" si="164"/>
        <v>-52.747252747252752</v>
      </c>
      <c r="BN84" s="633">
        <f t="shared" ca="1" si="165"/>
        <v>3.7678267503961305</v>
      </c>
      <c r="BO84" s="633">
        <f t="shared" ca="1" si="166"/>
        <v>3.9470588235294146</v>
      </c>
      <c r="BP84" s="633">
        <f t="shared" ca="1" si="126"/>
        <v>-74.358974358974365</v>
      </c>
      <c r="BQ84" s="635">
        <f t="shared" ca="1" si="167"/>
        <v>-52.747252747252752</v>
      </c>
      <c r="BR84" s="576" t="str">
        <f ca="1">IF(ROUND(BR35,2)=0,"ok","!")</f>
        <v>ok</v>
      </c>
      <c r="BS84" s="636">
        <f t="shared" ca="1" si="168"/>
        <v>-186.8217054263566</v>
      </c>
      <c r="BT84" s="633">
        <f t="shared" ca="1" si="169"/>
        <v>5.1863582376562301</v>
      </c>
      <c r="BU84" s="633">
        <f t="shared" ca="1" si="170"/>
        <v>5.0817723954501792</v>
      </c>
      <c r="BV84" s="633">
        <f t="shared" ca="1" si="127"/>
        <v>190</v>
      </c>
      <c r="BW84" s="635">
        <f t="shared" ca="1" si="171"/>
        <v>-186.8217054263566</v>
      </c>
      <c r="BX84" s="576" t="str">
        <f ca="1">IF(ROUND(BX35,2)=0,"ok","!")</f>
        <v>ok</v>
      </c>
      <c r="BY84" s="636">
        <f t="shared" ca="1" si="172"/>
        <v>-235.9375</v>
      </c>
      <c r="BZ84" s="633">
        <f t="shared" ca="1" si="173"/>
        <v>20.002150768899906</v>
      </c>
      <c r="CA84" s="633">
        <f t="shared" ca="1" si="174"/>
        <v>20.254187086003551</v>
      </c>
      <c r="CB84" s="633">
        <f t="shared" ca="1" si="128"/>
        <v>-141.37931034482759</v>
      </c>
      <c r="CC84" s="635">
        <f t="shared" ca="1" si="175"/>
        <v>-235.9375</v>
      </c>
      <c r="CD84" s="576" t="str">
        <f ca="1">IF(ROUND(CD35,2)=0,"ok","!")</f>
        <v>ok</v>
      </c>
      <c r="CE84" s="636">
        <f t="shared" ca="1" si="176"/>
        <v>-240.55829228243022</v>
      </c>
      <c r="CF84" s="633">
        <f t="shared" ca="1" si="177"/>
        <v>20.449861098664734</v>
      </c>
      <c r="CG84" s="633">
        <f t="shared" ca="1" si="178"/>
        <v>20.219435736677106</v>
      </c>
      <c r="CH84" s="633">
        <f t="shared" ca="1" si="129"/>
        <v>-408.33333333333337</v>
      </c>
      <c r="CI84" s="635">
        <f t="shared" ca="1" si="179"/>
        <v>-240.55829228243022</v>
      </c>
      <c r="CJ84" s="576" t="str">
        <f ca="1">IF(ROUND(CJ35,2)=0,"ok","!")</f>
        <v>ok</v>
      </c>
      <c r="CK84" s="636">
        <f t="shared" ca="1" si="180"/>
        <v>-216.82242990654208</v>
      </c>
      <c r="CL84" s="633">
        <f t="shared" ca="1" si="181"/>
        <v>-0.74027230116804343</v>
      </c>
      <c r="CM84" s="633">
        <f t="shared" ca="1" si="182"/>
        <v>-0.37995902402681025</v>
      </c>
      <c r="CN84" s="633">
        <f t="shared" ca="1" si="130"/>
        <v>-262.16216216216213</v>
      </c>
      <c r="CO84" s="635">
        <f t="shared" ca="1" si="183"/>
        <v>-216.82242990654208</v>
      </c>
      <c r="CP84" s="576" t="str">
        <f ca="1">IF(ROUND(CP35,2)=0,"ok","!")</f>
        <v>ok</v>
      </c>
      <c r="CQ84" s="636">
        <f t="shared" ca="1" si="184"/>
        <v>-144</v>
      </c>
      <c r="CR84" s="633">
        <f t="shared" ca="1" si="185"/>
        <v>26.934752464115697</v>
      </c>
      <c r="CS84" s="633">
        <f t="shared" ca="1" si="186"/>
        <v>26.91919380772536</v>
      </c>
      <c r="CT84" s="633">
        <f t="shared" ca="1" si="42"/>
        <v>19.999999999999996</v>
      </c>
      <c r="CU84" s="635">
        <f t="shared" ca="1" si="187"/>
        <v>-144</v>
      </c>
      <c r="CV84" s="576" t="str">
        <f ca="1">IF(ROUND(CV35,2)=0,"ok","!")</f>
        <v>ok</v>
      </c>
      <c r="CW84" s="636">
        <f t="shared" ca="1" si="188"/>
        <v>-10.909090909090914</v>
      </c>
      <c r="CX84" s="633">
        <f t="shared" ca="1" si="189"/>
        <v>-14.263359905521112</v>
      </c>
      <c r="CY84" s="633">
        <f t="shared" ca="1" si="190"/>
        <v>-14.171233280301687</v>
      </c>
      <c r="CZ84" s="633">
        <f t="shared" ca="1" si="47"/>
        <v>29.166666666666675</v>
      </c>
      <c r="DA84" s="635">
        <f t="shared" ca="1" si="191"/>
        <v>-10.909090909090914</v>
      </c>
      <c r="DB84" s="576" t="str">
        <f ca="1">IF(ROUND(DB35,2)=0,"ok","!")</f>
        <v>ok</v>
      </c>
      <c r="DC84" s="636">
        <f t="shared" ca="1" si="192"/>
        <v>87.75510204081634</v>
      </c>
      <c r="DD84" s="633">
        <f t="shared" ca="1" si="193"/>
        <v>-2.482867867350802</v>
      </c>
      <c r="DE84" s="633">
        <f t="shared" ca="1" si="194"/>
        <v>-1.527529864067001</v>
      </c>
      <c r="DF84" s="633">
        <f t="shared" ca="1" si="52"/>
        <v>296.77419354838702</v>
      </c>
      <c r="DG84" s="635">
        <f t="shared" ca="1" si="195"/>
        <v>87.75510204081634</v>
      </c>
      <c r="DH84" s="576" t="str">
        <f ca="1">IF(ROUND(DH35,2)=0,"ok","!")</f>
        <v>ok</v>
      </c>
      <c r="DI84" s="636">
        <f t="shared" ca="1" si="196"/>
        <v>-34.782608695652172</v>
      </c>
      <c r="DJ84" s="633">
        <f t="shared" ca="1" si="197"/>
        <v>-0.5508863620312221</v>
      </c>
      <c r="DK84" s="633">
        <f t="shared" ca="1" si="198"/>
        <v>-0.45665283926518141</v>
      </c>
      <c r="DL84" s="633">
        <f t="shared" ca="1" si="57"/>
        <v>6.7750677506775103</v>
      </c>
      <c r="DM84" s="635">
        <f t="shared" ca="1" si="199"/>
        <v>-34.782608695652172</v>
      </c>
      <c r="DN84" s="576" t="str">
        <f ca="1">IF(ROUND(DN35,2)=0,"ok","!")</f>
        <v>ok</v>
      </c>
      <c r="DO84" s="636">
        <f t="shared" ca="1" si="200"/>
        <v>-100</v>
      </c>
      <c r="DP84" s="633">
        <f t="shared" ca="1" si="201"/>
        <v>-5.6814146722533927</v>
      </c>
      <c r="DQ84" s="633">
        <f t="shared" ca="1" si="202"/>
        <v>-5.494467012186588</v>
      </c>
      <c r="DR84" s="633">
        <f t="shared" ca="1" si="62"/>
        <v>7.868020304568546</v>
      </c>
      <c r="DS84" s="635">
        <f t="shared" ca="1" si="203"/>
        <v>-100</v>
      </c>
      <c r="DT84" s="576" t="str">
        <f ca="1">IF(ROUND(DT35,2)=0,"ok","!")</f>
        <v>ok</v>
      </c>
      <c r="DU84" s="636" t="str">
        <f t="shared" ca="1" si="204"/>
        <v>N</v>
      </c>
      <c r="DV84" s="633">
        <f t="shared" ca="1" si="205"/>
        <v>3.7534824184925819</v>
      </c>
      <c r="DW84" s="633">
        <f t="shared" ca="1" si="206"/>
        <v>3.8685292918812841</v>
      </c>
      <c r="DX84" s="633">
        <f t="shared" ca="1" si="67"/>
        <v>11.058823529411764</v>
      </c>
      <c r="DY84" s="635" t="str">
        <f t="shared" ca="1" si="207"/>
        <v>N</v>
      </c>
      <c r="DZ84" s="576" t="str">
        <f ca="1">IF(ROUND(DZ35,2)=0,"ok","!")</f>
        <v>ok</v>
      </c>
      <c r="EA84" s="636">
        <f t="shared" ca="1" si="208"/>
        <v>-100</v>
      </c>
      <c r="EB84" s="633">
        <f t="shared" ca="1" si="209"/>
        <v>1.6364889872637178</v>
      </c>
      <c r="EC84" s="633">
        <f t="shared" ca="1" si="210"/>
        <v>-7.4917056116430292E-2</v>
      </c>
      <c r="ED84" s="633">
        <f t="shared" ca="1" si="72"/>
        <v>-100</v>
      </c>
      <c r="EE84" s="635">
        <f t="shared" ca="1" si="211"/>
        <v>-100</v>
      </c>
      <c r="EF84" s="576" t="str">
        <f ca="1">IF(ROUND(EF35,2)=0,"ok","!")</f>
        <v>ok</v>
      </c>
      <c r="EG84" s="636" t="str">
        <f t="shared" ca="1" si="212"/>
        <v>N</v>
      </c>
      <c r="EH84" s="633">
        <f t="shared" ca="1" si="213"/>
        <v>5.0000000000000044</v>
      </c>
      <c r="EI84" s="633">
        <f t="shared" ca="1" si="214"/>
        <v>5.0000000000000044</v>
      </c>
      <c r="EJ84" s="633" t="str">
        <f t="shared" ca="1" si="77"/>
        <v>N</v>
      </c>
      <c r="EK84" s="635" t="str">
        <f t="shared" ca="1" si="215"/>
        <v>N</v>
      </c>
      <c r="EL84" s="576" t="str">
        <f ca="1">IF(ROUND(EL35,2)=0,"ok","!")</f>
        <v>ok</v>
      </c>
      <c r="EM84" s="636" t="str">
        <f t="shared" ca="1" si="216"/>
        <v>N</v>
      </c>
      <c r="EN84" s="633">
        <f t="shared" ca="1" si="217"/>
        <v>5.0000000000000044</v>
      </c>
      <c r="EO84" s="633">
        <f t="shared" ca="1" si="218"/>
        <v>5.0000000000000044</v>
      </c>
      <c r="EP84" s="633" t="str">
        <f t="shared" ca="1" si="82"/>
        <v>N</v>
      </c>
      <c r="EQ84" s="635" t="str">
        <f t="shared" ca="1" si="219"/>
        <v>N</v>
      </c>
      <c r="ER84" s="576" t="str">
        <f ca="1">IF(ROUND(ER35,2)=0,"ok","!")</f>
        <v>ok</v>
      </c>
    </row>
    <row r="85" spans="2:148">
      <c r="B85" s="568" t="s">
        <v>2133</v>
      </c>
      <c r="C85" s="4136" t="s">
        <v>1043</v>
      </c>
      <c r="D85" s="4135"/>
      <c r="E85" s="636"/>
      <c r="F85" s="633"/>
      <c r="G85" s="645"/>
      <c r="H85" s="637"/>
      <c r="I85" s="638"/>
      <c r="J85" s="580"/>
      <c r="K85" s="636">
        <f t="shared" ca="1" si="220"/>
        <v>3.3654248480375903</v>
      </c>
      <c r="L85" s="633">
        <f t="shared" ca="1" si="220"/>
        <v>3.2212690507657404</v>
      </c>
      <c r="M85" s="645" t="str">
        <f t="shared" si="220"/>
        <v/>
      </c>
      <c r="N85" s="637">
        <f t="shared" ca="1" si="220"/>
        <v>3.7291845829098502</v>
      </c>
      <c r="O85" s="638" t="str">
        <f t="shared" si="220"/>
        <v/>
      </c>
      <c r="P85" s="580"/>
      <c r="Q85" s="636">
        <f t="shared" ca="1" si="132"/>
        <v>2.9438516629468392</v>
      </c>
      <c r="R85" s="633">
        <f t="shared" ca="1" si="133"/>
        <v>3.3311064782615807</v>
      </c>
      <c r="S85" s="645" t="str">
        <f t="shared" si="134"/>
        <v/>
      </c>
      <c r="T85" s="637">
        <f t="shared" ca="1" si="118"/>
        <v>1.9714457986993228</v>
      </c>
      <c r="U85" s="638" t="str">
        <f t="shared" si="135"/>
        <v/>
      </c>
      <c r="V85" s="580"/>
      <c r="W85" s="636">
        <f t="shared" ca="1" si="136"/>
        <v>3.7647301344635897</v>
      </c>
      <c r="X85" s="633">
        <f t="shared" ca="1" si="137"/>
        <v>3.9551436121476158</v>
      </c>
      <c r="Y85" s="645" t="str">
        <f t="shared" si="138"/>
        <v/>
      </c>
      <c r="Z85" s="637">
        <f t="shared" ca="1" si="119"/>
        <v>3.2802221588689395</v>
      </c>
      <c r="AA85" s="638" t="str">
        <f t="shared" si="139"/>
        <v/>
      </c>
      <c r="AB85" s="580"/>
      <c r="AC85" s="636">
        <f t="shared" ca="1" si="140"/>
        <v>3.049431683773185</v>
      </c>
      <c r="AD85" s="633">
        <f t="shared" ca="1" si="141"/>
        <v>2.3085373408868737</v>
      </c>
      <c r="AE85" s="645" t="str">
        <f t="shared" si="142"/>
        <v/>
      </c>
      <c r="AF85" s="637">
        <f t="shared" ca="1" si="120"/>
        <v>4.9469603408932805</v>
      </c>
      <c r="AG85" s="638" t="str">
        <f t="shared" si="143"/>
        <v/>
      </c>
      <c r="AH85" s="580"/>
      <c r="AI85" s="636">
        <f t="shared" ca="1" si="144"/>
        <v>5.8674040783486925</v>
      </c>
      <c r="AJ85" s="633">
        <f t="shared" ca="1" si="145"/>
        <v>6.2071785523658773</v>
      </c>
      <c r="AK85" s="645" t="str">
        <f t="shared" si="146"/>
        <v/>
      </c>
      <c r="AL85" s="637">
        <f t="shared" ca="1" si="121"/>
        <v>5.0190740791252741</v>
      </c>
      <c r="AM85" s="638" t="str">
        <f t="shared" si="147"/>
        <v/>
      </c>
      <c r="AN85" s="580"/>
      <c r="AO85" s="636">
        <f t="shared" ca="1" si="148"/>
        <v>3.6010086045058731</v>
      </c>
      <c r="AP85" s="633">
        <f t="shared" ca="1" si="149"/>
        <v>3.0771593236876837</v>
      </c>
      <c r="AQ85" s="645" t="str">
        <f t="shared" si="150"/>
        <v/>
      </c>
      <c r="AR85" s="637">
        <f t="shared" ca="1" si="122"/>
        <v>4.9237231064351628</v>
      </c>
      <c r="AS85" s="638" t="str">
        <f t="shared" si="151"/>
        <v/>
      </c>
      <c r="AT85" s="580"/>
      <c r="AU85" s="636">
        <f t="shared" ca="1" si="152"/>
        <v>3.1676345917035942</v>
      </c>
      <c r="AV85" s="633">
        <f t="shared" ca="1" si="153"/>
        <v>1.7872862744483076</v>
      </c>
      <c r="AW85" s="645" t="str">
        <f t="shared" si="154"/>
        <v/>
      </c>
      <c r="AX85" s="637">
        <f t="shared" ca="1" si="123"/>
        <v>6.5916617600514593</v>
      </c>
      <c r="AY85" s="638" t="str">
        <f t="shared" si="155"/>
        <v/>
      </c>
      <c r="AZ85" s="580"/>
      <c r="BA85" s="636">
        <f t="shared" ca="1" si="156"/>
        <v>2.9010855681383063</v>
      </c>
      <c r="BB85" s="633">
        <f t="shared" ca="1" si="157"/>
        <v>2.1023359521787022</v>
      </c>
      <c r="BC85" s="645" t="str">
        <f t="shared" si="158"/>
        <v/>
      </c>
      <c r="BD85" s="637">
        <f t="shared" ca="1" si="124"/>
        <v>4.7931219239503609</v>
      </c>
      <c r="BE85" s="638" t="str">
        <f t="shared" si="159"/>
        <v/>
      </c>
      <c r="BF85" s="580"/>
      <c r="BG85" s="636">
        <f t="shared" ca="1" si="160"/>
        <v>4.0658129089619743</v>
      </c>
      <c r="BH85" s="633">
        <f t="shared" ca="1" si="161"/>
        <v>4.0113744543910812</v>
      </c>
      <c r="BI85" s="645" t="str">
        <f t="shared" si="162"/>
        <v/>
      </c>
      <c r="BJ85" s="637">
        <f t="shared" ca="1" si="125"/>
        <v>4.1914527858067929</v>
      </c>
      <c r="BK85" s="638" t="str">
        <f t="shared" si="163"/>
        <v/>
      </c>
      <c r="BL85" s="580"/>
      <c r="BM85" s="636">
        <f t="shared" ca="1" si="164"/>
        <v>4.1624917747540069</v>
      </c>
      <c r="BN85" s="633">
        <f t="shared" ca="1" si="165"/>
        <v>3.9645497167801969</v>
      </c>
      <c r="BO85" s="645" t="str">
        <f t="shared" si="166"/>
        <v/>
      </c>
      <c r="BP85" s="637">
        <f t="shared" ca="1" si="126"/>
        <v>4.6185376555148094</v>
      </c>
      <c r="BQ85" s="638" t="str">
        <f t="shared" si="167"/>
        <v/>
      </c>
      <c r="BR85" s="580"/>
      <c r="BS85" s="636">
        <f t="shared" ca="1" si="168"/>
        <v>4.3878565919825308</v>
      </c>
      <c r="BT85" s="633">
        <f t="shared" ca="1" si="169"/>
        <v>4.622253287428979</v>
      </c>
      <c r="BU85" s="645" t="str">
        <f t="shared" si="170"/>
        <v/>
      </c>
      <c r="BV85" s="637">
        <f t="shared" ca="1" si="127"/>
        <v>3.8511974000061011</v>
      </c>
      <c r="BW85" s="638" t="str">
        <f t="shared" si="171"/>
        <v/>
      </c>
      <c r="BX85" s="580"/>
      <c r="BY85" s="636">
        <f t="shared" ca="1" si="172"/>
        <v>4.5738349944853818</v>
      </c>
      <c r="BZ85" s="633">
        <f t="shared" ca="1" si="173"/>
        <v>4.7999165801246191</v>
      </c>
      <c r="CA85" s="645" t="str">
        <f t="shared" si="174"/>
        <v/>
      </c>
      <c r="CB85" s="637">
        <f t="shared" ca="1" si="128"/>
        <v>4.0523703849751902</v>
      </c>
      <c r="CC85" s="638" t="str">
        <f t="shared" si="175"/>
        <v/>
      </c>
      <c r="CD85" s="580"/>
      <c r="CE85" s="636">
        <f t="shared" ca="1" si="176"/>
        <v>5.6502848213628276</v>
      </c>
      <c r="CF85" s="633">
        <f t="shared" ca="1" si="177"/>
        <v>4.9322568161137115</v>
      </c>
      <c r="CG85" s="645" t="str">
        <f t="shared" si="178"/>
        <v/>
      </c>
      <c r="CH85" s="637">
        <f t="shared" ca="1" si="129"/>
        <v>7.3183383795827783</v>
      </c>
      <c r="CI85" s="638" t="str">
        <f t="shared" si="179"/>
        <v/>
      </c>
      <c r="CJ85" s="580"/>
      <c r="CK85" s="636">
        <f t="shared" ca="1" si="180"/>
        <v>1.5608821751757151</v>
      </c>
      <c r="CL85" s="633">
        <f t="shared" ca="1" si="181"/>
        <v>8.4568088061098834E-2</v>
      </c>
      <c r="CM85" s="645" t="str">
        <f t="shared" si="182"/>
        <v/>
      </c>
      <c r="CN85" s="637">
        <f t="shared" ca="1" si="130"/>
        <v>4.9142596678579675</v>
      </c>
      <c r="CO85" s="638" t="str">
        <f t="shared" si="183"/>
        <v/>
      </c>
      <c r="CP85" s="580"/>
      <c r="CQ85" s="636">
        <f t="shared" ca="1" si="184"/>
        <v>3.9062290942325939</v>
      </c>
      <c r="CR85" s="633">
        <f t="shared" ca="1" si="185"/>
        <v>4.4876854698293389</v>
      </c>
      <c r="CS85" s="645" t="str">
        <f t="shared" si="186"/>
        <v/>
      </c>
      <c r="CT85" s="637">
        <f t="shared" ca="1" si="42"/>
        <v>2.6462787860847881</v>
      </c>
      <c r="CU85" s="638" t="str">
        <f t="shared" si="187"/>
        <v/>
      </c>
      <c r="CV85" s="580"/>
      <c r="CW85" s="636">
        <f t="shared" ca="1" si="188"/>
        <v>3.8103781106293644</v>
      </c>
      <c r="CX85" s="633">
        <f t="shared" ca="1" si="189"/>
        <v>3.3613804206694242</v>
      </c>
      <c r="CY85" s="645" t="str">
        <f t="shared" si="190"/>
        <v/>
      </c>
      <c r="CZ85" s="637">
        <f t="shared" ca="1" si="47"/>
        <v>4.8007590794766131</v>
      </c>
      <c r="DA85" s="638" t="str">
        <f t="shared" si="191"/>
        <v/>
      </c>
      <c r="DB85" s="580"/>
      <c r="DC85" s="636">
        <f t="shared" ca="1" si="192"/>
        <v>3.143327648432015</v>
      </c>
      <c r="DD85" s="633">
        <f t="shared" ca="1" si="193"/>
        <v>2.6077527730005601</v>
      </c>
      <c r="DE85" s="645" t="str">
        <f t="shared" si="194"/>
        <v/>
      </c>
      <c r="DF85" s="637">
        <f t="shared" ca="1" si="52"/>
        <v>4.3084519153421486</v>
      </c>
      <c r="DG85" s="638" t="str">
        <f t="shared" si="195"/>
        <v/>
      </c>
      <c r="DH85" s="580"/>
      <c r="DI85" s="636">
        <f t="shared" ca="1" si="196"/>
        <v>1.7883566265843864</v>
      </c>
      <c r="DJ85" s="633">
        <f t="shared" ca="1" si="197"/>
        <v>1.5918903362225789</v>
      </c>
      <c r="DK85" s="645" t="str">
        <f t="shared" si="198"/>
        <v/>
      </c>
      <c r="DL85" s="637">
        <f t="shared" ca="1" si="57"/>
        <v>2.2087934764803308</v>
      </c>
      <c r="DM85" s="638" t="str">
        <f t="shared" si="199"/>
        <v/>
      </c>
      <c r="DN85" s="580"/>
      <c r="DO85" s="636">
        <f t="shared" ca="1" si="200"/>
        <v>1.2562905216760845</v>
      </c>
      <c r="DP85" s="633">
        <f t="shared" ca="1" si="201"/>
        <v>1.2252378846176581</v>
      </c>
      <c r="DQ85" s="645" t="str">
        <f t="shared" si="202"/>
        <v/>
      </c>
      <c r="DR85" s="637">
        <f t="shared" ca="1" si="62"/>
        <v>1.3223419168650219</v>
      </c>
      <c r="DS85" s="638" t="str">
        <f t="shared" si="203"/>
        <v/>
      </c>
      <c r="DT85" s="580"/>
      <c r="DU85" s="636">
        <f t="shared" ca="1" si="204"/>
        <v>1.2256501056543856</v>
      </c>
      <c r="DV85" s="633">
        <f t="shared" ca="1" si="205"/>
        <v>1.4496179110537577</v>
      </c>
      <c r="DW85" s="645" t="str">
        <f t="shared" si="206"/>
        <v/>
      </c>
      <c r="DX85" s="637">
        <f t="shared" ca="1" si="67"/>
        <v>0.74970957613007538</v>
      </c>
      <c r="DY85" s="638" t="str">
        <f t="shared" si="207"/>
        <v/>
      </c>
      <c r="DZ85" s="580"/>
      <c r="EA85" s="636">
        <f t="shared" ca="1" si="208"/>
        <v>2.5452332765214747</v>
      </c>
      <c r="EB85" s="633">
        <f t="shared" ca="1" si="209"/>
        <v>3.1856022328088152</v>
      </c>
      <c r="EC85" s="645" t="str">
        <f t="shared" si="210"/>
        <v/>
      </c>
      <c r="ED85" s="637">
        <f t="shared" ca="1" si="72"/>
        <v>1.1749701287420811</v>
      </c>
      <c r="EE85" s="638" t="str">
        <f t="shared" si="211"/>
        <v/>
      </c>
      <c r="EF85" s="580"/>
      <c r="EG85" s="636">
        <f t="shared" ca="1" si="212"/>
        <v>2.9513853706480964</v>
      </c>
      <c r="EH85" s="633">
        <f t="shared" ca="1" si="213"/>
        <v>2.8390718566330353</v>
      </c>
      <c r="EI85" s="645" t="str">
        <f t="shared" si="214"/>
        <v/>
      </c>
      <c r="EJ85" s="637">
        <f t="shared" ca="1" si="77"/>
        <v>3.1964901284863512</v>
      </c>
      <c r="EK85" s="638" t="str">
        <f t="shared" si="215"/>
        <v/>
      </c>
      <c r="EL85" s="580"/>
      <c r="EM85" s="636">
        <f t="shared" ca="1" si="216"/>
        <v>3.0376753066461815</v>
      </c>
      <c r="EN85" s="633">
        <f t="shared" ca="1" si="217"/>
        <v>3.3780499999999769</v>
      </c>
      <c r="EO85" s="645" t="str">
        <f t="shared" si="218"/>
        <v/>
      </c>
      <c r="EP85" s="637">
        <f t="shared" ca="1" si="82"/>
        <v>2.2974392917550324</v>
      </c>
      <c r="EQ85" s="638" t="str">
        <f t="shared" si="219"/>
        <v/>
      </c>
      <c r="ER85" s="580"/>
    </row>
    <row r="86" spans="2:148">
      <c r="B86" s="568"/>
      <c r="C86" s="611"/>
      <c r="D86" s="612" t="s">
        <v>783</v>
      </c>
      <c r="E86" s="644"/>
      <c r="F86" s="635"/>
      <c r="G86" s="645"/>
      <c r="H86" s="606"/>
      <c r="I86" s="638"/>
      <c r="J86" s="613"/>
      <c r="K86" s="644" t="str">
        <f t="shared" si="220"/>
        <v/>
      </c>
      <c r="L86" s="635" t="str">
        <f t="shared" si="220"/>
        <v/>
      </c>
      <c r="M86" s="645" t="str">
        <f t="shared" si="220"/>
        <v/>
      </c>
      <c r="N86" s="606">
        <f t="shared" ca="1" si="220"/>
        <v>5.4012536715470461</v>
      </c>
      <c r="O86" s="638" t="str">
        <f t="shared" si="220"/>
        <v/>
      </c>
      <c r="P86" s="613"/>
      <c r="Q86" s="644" t="str">
        <f t="shared" si="132"/>
        <v/>
      </c>
      <c r="R86" s="635" t="str">
        <f t="shared" si="133"/>
        <v/>
      </c>
      <c r="S86" s="645" t="str">
        <f t="shared" si="134"/>
        <v/>
      </c>
      <c r="T86" s="606">
        <f t="shared" ca="1" si="118"/>
        <v>1.779051910219942</v>
      </c>
      <c r="U86" s="638" t="str">
        <f t="shared" si="135"/>
        <v/>
      </c>
      <c r="V86" s="613"/>
      <c r="W86" s="644" t="str">
        <f t="shared" si="136"/>
        <v/>
      </c>
      <c r="X86" s="635" t="str">
        <f t="shared" si="137"/>
        <v/>
      </c>
      <c r="Y86" s="645" t="str">
        <f t="shared" si="138"/>
        <v/>
      </c>
      <c r="Z86" s="606">
        <f t="shared" ca="1" si="119"/>
        <v>3.8114627123705613</v>
      </c>
      <c r="AA86" s="638" t="str">
        <f t="shared" si="139"/>
        <v/>
      </c>
      <c r="AB86" s="613"/>
      <c r="AC86" s="644" t="str">
        <f t="shared" si="140"/>
        <v/>
      </c>
      <c r="AD86" s="635" t="str">
        <f t="shared" si="141"/>
        <v/>
      </c>
      <c r="AE86" s="645" t="str">
        <f t="shared" si="142"/>
        <v/>
      </c>
      <c r="AF86" s="606">
        <f t="shared" ca="1" si="120"/>
        <v>4.2965702621314161</v>
      </c>
      <c r="AG86" s="638" t="str">
        <f t="shared" si="143"/>
        <v/>
      </c>
      <c r="AH86" s="613"/>
      <c r="AI86" s="644" t="str">
        <f t="shared" si="144"/>
        <v/>
      </c>
      <c r="AJ86" s="635" t="str">
        <f t="shared" si="145"/>
        <v/>
      </c>
      <c r="AK86" s="645" t="str">
        <f t="shared" si="146"/>
        <v/>
      </c>
      <c r="AL86" s="606">
        <f t="shared" ca="1" si="121"/>
        <v>4.3927676118611592</v>
      </c>
      <c r="AM86" s="638" t="str">
        <f t="shared" si="147"/>
        <v/>
      </c>
      <c r="AN86" s="613"/>
      <c r="AO86" s="644" t="str">
        <f t="shared" si="148"/>
        <v/>
      </c>
      <c r="AP86" s="635" t="str">
        <f t="shared" si="149"/>
        <v/>
      </c>
      <c r="AQ86" s="645" t="str">
        <f t="shared" si="150"/>
        <v/>
      </c>
      <c r="AR86" s="606">
        <f t="shared" ca="1" si="122"/>
        <v>6.6317958040495562</v>
      </c>
      <c r="AS86" s="638" t="str">
        <f t="shared" si="151"/>
        <v/>
      </c>
      <c r="AT86" s="613"/>
      <c r="AU86" s="644" t="str">
        <f t="shared" si="152"/>
        <v/>
      </c>
      <c r="AV86" s="635" t="str">
        <f t="shared" si="153"/>
        <v/>
      </c>
      <c r="AW86" s="645" t="str">
        <f t="shared" si="154"/>
        <v/>
      </c>
      <c r="AX86" s="606">
        <f t="shared" ca="1" si="123"/>
        <v>5.2270787981548272</v>
      </c>
      <c r="AY86" s="638" t="str">
        <f t="shared" si="155"/>
        <v/>
      </c>
      <c r="AZ86" s="613"/>
      <c r="BA86" s="644" t="str">
        <f t="shared" si="156"/>
        <v/>
      </c>
      <c r="BB86" s="635" t="str">
        <f t="shared" si="157"/>
        <v/>
      </c>
      <c r="BC86" s="645" t="str">
        <f t="shared" si="158"/>
        <v/>
      </c>
      <c r="BD86" s="606">
        <f t="shared" ca="1" si="124"/>
        <v>6.5208238496073934</v>
      </c>
      <c r="BE86" s="638" t="str">
        <f t="shared" si="159"/>
        <v/>
      </c>
      <c r="BF86" s="613"/>
      <c r="BG86" s="644" t="str">
        <f t="shared" si="160"/>
        <v/>
      </c>
      <c r="BH86" s="635" t="str">
        <f t="shared" si="161"/>
        <v/>
      </c>
      <c r="BI86" s="645" t="str">
        <f t="shared" si="162"/>
        <v/>
      </c>
      <c r="BJ86" s="606">
        <f t="shared" ca="1" si="125"/>
        <v>5.1682151596836645</v>
      </c>
      <c r="BK86" s="638" t="str">
        <f t="shared" si="163"/>
        <v/>
      </c>
      <c r="BL86" s="613"/>
      <c r="BM86" s="644" t="str">
        <f t="shared" si="164"/>
        <v/>
      </c>
      <c r="BN86" s="635" t="str">
        <f t="shared" si="165"/>
        <v/>
      </c>
      <c r="BO86" s="645" t="str">
        <f t="shared" si="166"/>
        <v/>
      </c>
      <c r="BP86" s="606">
        <f t="shared" ca="1" si="126"/>
        <v>4.7117997554018576</v>
      </c>
      <c r="BQ86" s="638" t="str">
        <f t="shared" si="167"/>
        <v/>
      </c>
      <c r="BR86" s="613"/>
      <c r="BS86" s="644" t="str">
        <f t="shared" si="168"/>
        <v/>
      </c>
      <c r="BT86" s="635" t="str">
        <f t="shared" si="169"/>
        <v/>
      </c>
      <c r="BU86" s="645" t="str">
        <f t="shared" si="170"/>
        <v/>
      </c>
      <c r="BV86" s="606">
        <f t="shared" ca="1" si="127"/>
        <v>3.7481627977983711</v>
      </c>
      <c r="BW86" s="638" t="str">
        <f t="shared" si="171"/>
        <v/>
      </c>
      <c r="BX86" s="613"/>
      <c r="BY86" s="644" t="str">
        <f t="shared" si="172"/>
        <v/>
      </c>
      <c r="BZ86" s="635" t="str">
        <f t="shared" si="173"/>
        <v/>
      </c>
      <c r="CA86" s="645" t="str">
        <f t="shared" si="174"/>
        <v/>
      </c>
      <c r="CB86" s="606">
        <f t="shared" ca="1" si="128"/>
        <v>4.1951619137206242</v>
      </c>
      <c r="CC86" s="638" t="str">
        <f t="shared" si="175"/>
        <v/>
      </c>
      <c r="CD86" s="613"/>
      <c r="CE86" s="644" t="str">
        <f t="shared" si="176"/>
        <v/>
      </c>
      <c r="CF86" s="635" t="str">
        <f t="shared" si="177"/>
        <v/>
      </c>
      <c r="CG86" s="645" t="str">
        <f t="shared" si="178"/>
        <v/>
      </c>
      <c r="CH86" s="606">
        <f t="shared" ca="1" si="129"/>
        <v>8.1446790042495554</v>
      </c>
      <c r="CI86" s="638" t="str">
        <f t="shared" si="179"/>
        <v/>
      </c>
      <c r="CJ86" s="613"/>
      <c r="CK86" s="644" t="str">
        <f t="shared" si="180"/>
        <v/>
      </c>
      <c r="CL86" s="635" t="str">
        <f t="shared" si="181"/>
        <v/>
      </c>
      <c r="CM86" s="645" t="str">
        <f t="shared" si="182"/>
        <v/>
      </c>
      <c r="CN86" s="606">
        <f t="shared" ca="1" si="130"/>
        <v>5.6756184551243427</v>
      </c>
      <c r="CO86" s="638" t="str">
        <f t="shared" si="183"/>
        <v/>
      </c>
      <c r="CP86" s="613"/>
      <c r="CQ86" s="644" t="str">
        <f t="shared" si="184"/>
        <v/>
      </c>
      <c r="CR86" s="635" t="str">
        <f t="shared" si="185"/>
        <v/>
      </c>
      <c r="CS86" s="645" t="str">
        <f t="shared" si="186"/>
        <v/>
      </c>
      <c r="CT86" s="606">
        <f t="shared" ca="1" si="42"/>
        <v>4.1742200425880949</v>
      </c>
      <c r="CU86" s="638" t="str">
        <f t="shared" si="187"/>
        <v/>
      </c>
      <c r="CV86" s="613"/>
      <c r="CW86" s="644" t="str">
        <f t="shared" si="188"/>
        <v/>
      </c>
      <c r="CX86" s="635" t="str">
        <f t="shared" si="189"/>
        <v/>
      </c>
      <c r="CY86" s="645" t="str">
        <f t="shared" si="190"/>
        <v/>
      </c>
      <c r="CZ86" s="606">
        <f t="shared" ca="1" si="47"/>
        <v>5.5221592446982992</v>
      </c>
      <c r="DA86" s="638" t="str">
        <f t="shared" si="191"/>
        <v/>
      </c>
      <c r="DB86" s="613"/>
      <c r="DC86" s="644" t="str">
        <f t="shared" si="192"/>
        <v/>
      </c>
      <c r="DD86" s="635" t="str">
        <f t="shared" si="193"/>
        <v/>
      </c>
      <c r="DE86" s="645" t="str">
        <f t="shared" si="194"/>
        <v/>
      </c>
      <c r="DF86" s="606">
        <f t="shared" ca="1" si="52"/>
        <v>4.3787313865535582</v>
      </c>
      <c r="DG86" s="638" t="str">
        <f t="shared" si="195"/>
        <v/>
      </c>
      <c r="DH86" s="613"/>
      <c r="DI86" s="644" t="str">
        <f t="shared" si="196"/>
        <v/>
      </c>
      <c r="DJ86" s="635" t="str">
        <f t="shared" si="197"/>
        <v/>
      </c>
      <c r="DK86" s="645" t="str">
        <f t="shared" si="198"/>
        <v/>
      </c>
      <c r="DL86" s="606">
        <f t="shared" ca="1" si="57"/>
        <v>1.4430244614733523</v>
      </c>
      <c r="DM86" s="638" t="str">
        <f t="shared" si="199"/>
        <v/>
      </c>
      <c r="DN86" s="613"/>
      <c r="DO86" s="644" t="str">
        <f t="shared" si="200"/>
        <v/>
      </c>
      <c r="DP86" s="635" t="str">
        <f t="shared" si="201"/>
        <v/>
      </c>
      <c r="DQ86" s="645" t="str">
        <f t="shared" si="202"/>
        <v/>
      </c>
      <c r="DR86" s="606">
        <f t="shared" ca="1" si="62"/>
        <v>2.792998207984021</v>
      </c>
      <c r="DS86" s="638" t="str">
        <f t="shared" si="203"/>
        <v/>
      </c>
      <c r="DT86" s="613"/>
      <c r="DU86" s="644" t="str">
        <f t="shared" si="204"/>
        <v/>
      </c>
      <c r="DV86" s="635" t="str">
        <f t="shared" si="205"/>
        <v/>
      </c>
      <c r="DW86" s="645" t="str">
        <f t="shared" si="206"/>
        <v/>
      </c>
      <c r="DX86" s="606">
        <f t="shared" ca="1" si="67"/>
        <v>1.9066692236916483</v>
      </c>
      <c r="DY86" s="638" t="str">
        <f t="shared" si="207"/>
        <v/>
      </c>
      <c r="DZ86" s="613"/>
      <c r="EA86" s="644" t="str">
        <f t="shared" si="208"/>
        <v/>
      </c>
      <c r="EB86" s="635" t="str">
        <f t="shared" si="209"/>
        <v/>
      </c>
      <c r="EC86" s="645" t="str">
        <f t="shared" si="210"/>
        <v/>
      </c>
      <c r="ED86" s="606">
        <f t="shared" ca="1" si="72"/>
        <v>2.9532680238310238</v>
      </c>
      <c r="EE86" s="638" t="str">
        <f t="shared" si="211"/>
        <v/>
      </c>
      <c r="EF86" s="613"/>
      <c r="EG86" s="644" t="str">
        <f t="shared" si="212"/>
        <v/>
      </c>
      <c r="EH86" s="635" t="str">
        <f t="shared" si="213"/>
        <v/>
      </c>
      <c r="EI86" s="645" t="str">
        <f t="shared" si="214"/>
        <v/>
      </c>
      <c r="EJ86" s="606">
        <f t="shared" ca="1" si="77"/>
        <v>3.4691383491779471</v>
      </c>
      <c r="EK86" s="638" t="str">
        <f t="shared" si="215"/>
        <v/>
      </c>
      <c r="EL86" s="613"/>
      <c r="EM86" s="644" t="str">
        <f t="shared" si="216"/>
        <v/>
      </c>
      <c r="EN86" s="635" t="str">
        <f t="shared" si="217"/>
        <v/>
      </c>
      <c r="EO86" s="645" t="str">
        <f t="shared" si="218"/>
        <v/>
      </c>
      <c r="EP86" s="606">
        <f t="shared" ca="1" si="82"/>
        <v>2.2361351404058816</v>
      </c>
      <c r="EQ86" s="638" t="str">
        <f t="shared" si="219"/>
        <v/>
      </c>
      <c r="ER86" s="613"/>
    </row>
    <row r="87" spans="2:148" ht="13.8" thickBot="1">
      <c r="B87" s="592"/>
      <c r="C87" s="611"/>
      <c r="D87" s="612" t="s">
        <v>596</v>
      </c>
      <c r="E87" s="644"/>
      <c r="F87" s="635"/>
      <c r="G87" s="645"/>
      <c r="H87" s="609"/>
      <c r="I87" s="638"/>
      <c r="J87" s="613"/>
      <c r="K87" s="644" t="str">
        <f t="shared" si="220"/>
        <v/>
      </c>
      <c r="L87" s="635" t="str">
        <f t="shared" si="220"/>
        <v/>
      </c>
      <c r="M87" s="645" t="str">
        <f t="shared" si="220"/>
        <v/>
      </c>
      <c r="N87" s="609">
        <f t="shared" ca="1" si="220"/>
        <v>1.2680279170439901</v>
      </c>
      <c r="O87" s="638" t="str">
        <f t="shared" si="220"/>
        <v/>
      </c>
      <c r="P87" s="613"/>
      <c r="Q87" s="644" t="str">
        <f t="shared" si="132"/>
        <v/>
      </c>
      <c r="R87" s="635" t="str">
        <f t="shared" si="133"/>
        <v/>
      </c>
      <c r="S87" s="645" t="str">
        <f t="shared" si="134"/>
        <v/>
      </c>
      <c r="T87" s="609">
        <f t="shared" ca="1" si="118"/>
        <v>2.2661930323410795</v>
      </c>
      <c r="U87" s="638" t="str">
        <f t="shared" si="135"/>
        <v/>
      </c>
      <c r="V87" s="613"/>
      <c r="W87" s="644" t="str">
        <f t="shared" si="136"/>
        <v/>
      </c>
      <c r="X87" s="635" t="str">
        <f t="shared" si="137"/>
        <v/>
      </c>
      <c r="Y87" s="645" t="str">
        <f t="shared" si="138"/>
        <v/>
      </c>
      <c r="Z87" s="609">
        <f t="shared" ca="1" si="119"/>
        <v>2.4702389838388461</v>
      </c>
      <c r="AA87" s="638" t="str">
        <f t="shared" si="139"/>
        <v/>
      </c>
      <c r="AB87" s="613"/>
      <c r="AC87" s="644" t="str">
        <f t="shared" si="140"/>
        <v/>
      </c>
      <c r="AD87" s="635" t="str">
        <f t="shared" si="141"/>
        <v/>
      </c>
      <c r="AE87" s="645" t="str">
        <f t="shared" si="142"/>
        <v/>
      </c>
      <c r="AF87" s="609">
        <f t="shared" ca="1" si="120"/>
        <v>5.9515905803510849</v>
      </c>
      <c r="AG87" s="638" t="str">
        <f t="shared" si="143"/>
        <v/>
      </c>
      <c r="AH87" s="613"/>
      <c r="AI87" s="644" t="str">
        <f t="shared" si="144"/>
        <v/>
      </c>
      <c r="AJ87" s="635" t="str">
        <f t="shared" si="145"/>
        <v/>
      </c>
      <c r="AK87" s="645" t="str">
        <f t="shared" si="146"/>
        <v/>
      </c>
      <c r="AL87" s="609">
        <f t="shared" ca="1" si="121"/>
        <v>5.9713916141128864</v>
      </c>
      <c r="AM87" s="638" t="str">
        <f t="shared" si="147"/>
        <v/>
      </c>
      <c r="AN87" s="613"/>
      <c r="AO87" s="644" t="str">
        <f t="shared" si="148"/>
        <v/>
      </c>
      <c r="AP87" s="635" t="str">
        <f t="shared" si="149"/>
        <v/>
      </c>
      <c r="AQ87" s="645" t="str">
        <f t="shared" si="150"/>
        <v/>
      </c>
      <c r="AR87" s="609">
        <f t="shared" ca="1" si="122"/>
        <v>2.3652373138429938</v>
      </c>
      <c r="AS87" s="638" t="str">
        <f t="shared" si="151"/>
        <v/>
      </c>
      <c r="AT87" s="613"/>
      <c r="AU87" s="644" t="str">
        <f t="shared" si="152"/>
        <v/>
      </c>
      <c r="AV87" s="635" t="str">
        <f t="shared" si="153"/>
        <v/>
      </c>
      <c r="AW87" s="645" t="str">
        <f t="shared" si="154"/>
        <v/>
      </c>
      <c r="AX87" s="609">
        <f t="shared" ca="1" si="123"/>
        <v>8.7208341651716204</v>
      </c>
      <c r="AY87" s="638" t="str">
        <f t="shared" si="155"/>
        <v/>
      </c>
      <c r="AZ87" s="613"/>
      <c r="BA87" s="644" t="str">
        <f t="shared" si="156"/>
        <v/>
      </c>
      <c r="BB87" s="635" t="str">
        <f t="shared" si="157"/>
        <v/>
      </c>
      <c r="BC87" s="645" t="str">
        <f t="shared" si="158"/>
        <v/>
      </c>
      <c r="BD87" s="609">
        <f t="shared" ca="1" si="124"/>
        <v>2.1839996035981191</v>
      </c>
      <c r="BE87" s="638" t="str">
        <f t="shared" si="159"/>
        <v/>
      </c>
      <c r="BF87" s="613"/>
      <c r="BG87" s="644" t="str">
        <f t="shared" si="160"/>
        <v/>
      </c>
      <c r="BH87" s="635" t="str">
        <f t="shared" si="161"/>
        <v/>
      </c>
      <c r="BI87" s="645" t="str">
        <f t="shared" si="162"/>
        <v/>
      </c>
      <c r="BJ87" s="609">
        <f t="shared" ca="1" si="125"/>
        <v>2.6537720848848423</v>
      </c>
      <c r="BK87" s="638" t="str">
        <f t="shared" si="163"/>
        <v/>
      </c>
      <c r="BL87" s="613"/>
      <c r="BM87" s="644" t="str">
        <f t="shared" si="164"/>
        <v/>
      </c>
      <c r="BN87" s="635" t="str">
        <f t="shared" si="165"/>
        <v/>
      </c>
      <c r="BO87" s="645" t="str">
        <f t="shared" si="166"/>
        <v/>
      </c>
      <c r="BP87" s="609">
        <f t="shared" ca="1" si="126"/>
        <v>4.4681223525600888</v>
      </c>
      <c r="BQ87" s="638" t="str">
        <f t="shared" si="167"/>
        <v/>
      </c>
      <c r="BR87" s="613"/>
      <c r="BS87" s="644" t="str">
        <f t="shared" si="168"/>
        <v/>
      </c>
      <c r="BT87" s="635" t="str">
        <f t="shared" si="169"/>
        <v/>
      </c>
      <c r="BU87" s="645" t="str">
        <f t="shared" si="170"/>
        <v/>
      </c>
      <c r="BV87" s="609">
        <f t="shared" ca="1" si="127"/>
        <v>4.0177616397370608</v>
      </c>
      <c r="BW87" s="638" t="str">
        <f t="shared" si="171"/>
        <v/>
      </c>
      <c r="BX87" s="613"/>
      <c r="BY87" s="644" t="str">
        <f t="shared" si="172"/>
        <v/>
      </c>
      <c r="BZ87" s="635" t="str">
        <f t="shared" si="173"/>
        <v/>
      </c>
      <c r="CA87" s="645" t="str">
        <f t="shared" si="174"/>
        <v/>
      </c>
      <c r="CB87" s="609">
        <f t="shared" ca="1" si="128"/>
        <v>3.822133965740715</v>
      </c>
      <c r="CC87" s="638" t="str">
        <f t="shared" si="175"/>
        <v/>
      </c>
      <c r="CD87" s="613"/>
      <c r="CE87" s="644" t="str">
        <f t="shared" si="176"/>
        <v/>
      </c>
      <c r="CF87" s="635" t="str">
        <f t="shared" si="177"/>
        <v/>
      </c>
      <c r="CG87" s="645" t="str">
        <f t="shared" si="178"/>
        <v/>
      </c>
      <c r="CH87" s="609">
        <f t="shared" ca="1" si="129"/>
        <v>5.9811632641428636</v>
      </c>
      <c r="CI87" s="638" t="str">
        <f t="shared" si="179"/>
        <v/>
      </c>
      <c r="CJ87" s="613"/>
      <c r="CK87" s="644" t="str">
        <f t="shared" si="180"/>
        <v/>
      </c>
      <c r="CL87" s="635" t="str">
        <f t="shared" si="181"/>
        <v/>
      </c>
      <c r="CM87" s="645" t="str">
        <f t="shared" si="182"/>
        <v/>
      </c>
      <c r="CN87" s="609">
        <f t="shared" ca="1" si="130"/>
        <v>3.657086740566462</v>
      </c>
      <c r="CO87" s="638" t="str">
        <f t="shared" si="183"/>
        <v/>
      </c>
      <c r="CP87" s="613"/>
      <c r="CQ87" s="644" t="str">
        <f t="shared" si="184"/>
        <v/>
      </c>
      <c r="CR87" s="635" t="str">
        <f t="shared" si="185"/>
        <v/>
      </c>
      <c r="CS87" s="645" t="str">
        <f t="shared" si="186"/>
        <v/>
      </c>
      <c r="CT87" s="609">
        <f t="shared" ca="1" si="42"/>
        <v>7.4177228487637414E-2</v>
      </c>
      <c r="CU87" s="638" t="str">
        <f t="shared" si="187"/>
        <v/>
      </c>
      <c r="CV87" s="613"/>
      <c r="CW87" s="644" t="str">
        <f t="shared" si="188"/>
        <v/>
      </c>
      <c r="CX87" s="635" t="str">
        <f t="shared" si="189"/>
        <v/>
      </c>
      <c r="CY87" s="645" t="str">
        <f t="shared" si="190"/>
        <v/>
      </c>
      <c r="CZ87" s="609">
        <f t="shared" ca="1" si="47"/>
        <v>3.5366169019205307</v>
      </c>
      <c r="DA87" s="638" t="str">
        <f t="shared" si="191"/>
        <v/>
      </c>
      <c r="DB87" s="613"/>
      <c r="DC87" s="644" t="str">
        <f t="shared" si="192"/>
        <v/>
      </c>
      <c r="DD87" s="635" t="str">
        <f t="shared" si="193"/>
        <v/>
      </c>
      <c r="DE87" s="645" t="str">
        <f t="shared" si="194"/>
        <v/>
      </c>
      <c r="DF87" s="609">
        <f t="shared" ca="1" si="52"/>
        <v>4.1829362684972615</v>
      </c>
      <c r="DG87" s="638" t="str">
        <f t="shared" si="195"/>
        <v/>
      </c>
      <c r="DH87" s="613"/>
      <c r="DI87" s="644" t="str">
        <f t="shared" si="196"/>
        <v/>
      </c>
      <c r="DJ87" s="635" t="str">
        <f t="shared" si="197"/>
        <v/>
      </c>
      <c r="DK87" s="645" t="str">
        <f t="shared" si="198"/>
        <v/>
      </c>
      <c r="DL87" s="609">
        <f t="shared" ca="1" si="57"/>
        <v>3.5789891564574239</v>
      </c>
      <c r="DM87" s="638" t="str">
        <f t="shared" si="199"/>
        <v/>
      </c>
      <c r="DN87" s="613"/>
      <c r="DO87" s="644" t="str">
        <f t="shared" si="200"/>
        <v/>
      </c>
      <c r="DP87" s="635" t="str">
        <f t="shared" si="201"/>
        <v/>
      </c>
      <c r="DQ87" s="645" t="str">
        <f t="shared" si="202"/>
        <v/>
      </c>
      <c r="DR87" s="609">
        <f t="shared" ca="1" si="62"/>
        <v>-1.2548485127121811</v>
      </c>
      <c r="DS87" s="638" t="str">
        <f t="shared" si="203"/>
        <v/>
      </c>
      <c r="DT87" s="613"/>
      <c r="DU87" s="644" t="str">
        <f t="shared" si="204"/>
        <v/>
      </c>
      <c r="DV87" s="635" t="str">
        <f t="shared" si="205"/>
        <v/>
      </c>
      <c r="DW87" s="645" t="str">
        <f t="shared" si="206"/>
        <v/>
      </c>
      <c r="DX87" s="609">
        <f t="shared" ca="1" si="67"/>
        <v>-1.3608678549506203</v>
      </c>
      <c r="DY87" s="638" t="str">
        <f t="shared" si="207"/>
        <v/>
      </c>
      <c r="DZ87" s="613"/>
      <c r="EA87" s="644" t="str">
        <f t="shared" si="208"/>
        <v/>
      </c>
      <c r="EB87" s="635" t="str">
        <f t="shared" si="209"/>
        <v/>
      </c>
      <c r="EC87" s="645" t="str">
        <f t="shared" si="210"/>
        <v/>
      </c>
      <c r="ED87" s="609">
        <f t="shared" ca="1" si="72"/>
        <v>-2.1765432461841483</v>
      </c>
      <c r="EE87" s="638" t="str">
        <f t="shared" si="211"/>
        <v/>
      </c>
      <c r="EF87" s="613"/>
      <c r="EG87" s="644" t="str">
        <f t="shared" si="212"/>
        <v/>
      </c>
      <c r="EH87" s="635" t="str">
        <f t="shared" si="213"/>
        <v/>
      </c>
      <c r="EI87" s="645" t="str">
        <f t="shared" si="214"/>
        <v/>
      </c>
      <c r="EJ87" s="609">
        <f t="shared" ca="1" si="77"/>
        <v>2.6556906776947331</v>
      </c>
      <c r="EK87" s="638" t="str">
        <f t="shared" si="215"/>
        <v/>
      </c>
      <c r="EL87" s="613"/>
      <c r="EM87" s="644" t="str">
        <f t="shared" si="216"/>
        <v/>
      </c>
      <c r="EN87" s="635" t="str">
        <f t="shared" si="217"/>
        <v/>
      </c>
      <c r="EO87" s="645" t="str">
        <f t="shared" si="218"/>
        <v/>
      </c>
      <c r="EP87" s="609">
        <f t="shared" ca="1" si="82"/>
        <v>2.42</v>
      </c>
      <c r="EQ87" s="638" t="str">
        <f t="shared" si="219"/>
        <v/>
      </c>
      <c r="ER87" s="613"/>
    </row>
    <row r="88" spans="2:148" ht="13.8" thickBot="1">
      <c r="B88" s="568" t="s">
        <v>624</v>
      </c>
      <c r="C88" s="4137" t="s">
        <v>249</v>
      </c>
      <c r="D88" s="4138"/>
      <c r="E88" s="584"/>
      <c r="F88" s="584"/>
      <c r="G88" s="584"/>
      <c r="H88" s="584"/>
      <c r="I88" s="584"/>
      <c r="J88" s="580"/>
      <c r="K88" s="584">
        <f t="shared" ca="1" si="220"/>
        <v>-1.8596328948238372</v>
      </c>
      <c r="L88" s="584">
        <f t="shared" ca="1" si="220"/>
        <v>-9.9894836167714889</v>
      </c>
      <c r="M88" s="584">
        <f t="shared" ca="1" si="220"/>
        <v>2.352967309144649</v>
      </c>
      <c r="N88" s="584">
        <f t="shared" ca="1" si="220"/>
        <v>-30.213765132802305</v>
      </c>
      <c r="O88" s="584" t="str">
        <f t="shared" si="220"/>
        <v/>
      </c>
      <c r="P88" s="580"/>
      <c r="Q88" s="584">
        <f t="shared" ca="1" si="132"/>
        <v>10.447625407349936</v>
      </c>
      <c r="R88" s="584">
        <f t="shared" ca="1" si="133"/>
        <v>-1.8425527658297303</v>
      </c>
      <c r="S88" s="584">
        <f t="shared" ca="1" si="134"/>
        <v>5.8747663145755302</v>
      </c>
      <c r="T88" s="584">
        <f t="shared" ca="1" si="118"/>
        <v>-188.22372733231347</v>
      </c>
      <c r="U88" s="584" t="str">
        <f t="shared" si="135"/>
        <v/>
      </c>
      <c r="V88" s="580"/>
      <c r="W88" s="584">
        <f t="shared" ca="1" si="136"/>
        <v>3.5220293636987199</v>
      </c>
      <c r="X88" s="584">
        <f t="shared" ca="1" si="137"/>
        <v>-0.34077939018408721</v>
      </c>
      <c r="Y88" s="584">
        <f t="shared" ca="1" si="138"/>
        <v>-2.064140932011338</v>
      </c>
      <c r="Z88" s="584">
        <f t="shared" ca="1" si="119"/>
        <v>144.94304110945978</v>
      </c>
      <c r="AA88" s="584" t="str">
        <f t="shared" si="139"/>
        <v/>
      </c>
      <c r="AB88" s="580"/>
      <c r="AC88" s="584">
        <f t="shared" ca="1" si="140"/>
        <v>6.9563819748020839</v>
      </c>
      <c r="AD88" s="584">
        <f t="shared" ca="1" si="141"/>
        <v>4.9377464373945523</v>
      </c>
      <c r="AE88" s="584">
        <f t="shared" ca="1" si="142"/>
        <v>5.6226808870709188</v>
      </c>
      <c r="AF88" s="584">
        <f t="shared" ca="1" si="120"/>
        <v>25.955433331985091</v>
      </c>
      <c r="AG88" s="584" t="str">
        <f t="shared" si="143"/>
        <v/>
      </c>
      <c r="AH88" s="580"/>
      <c r="AI88" s="584">
        <f t="shared" ca="1" si="144"/>
        <v>6.5817586668650785</v>
      </c>
      <c r="AJ88" s="584">
        <f t="shared" ca="1" si="145"/>
        <v>-1.8709365596547567E-2</v>
      </c>
      <c r="AK88" s="584">
        <f t="shared" ca="1" si="146"/>
        <v>7.4249690024742021</v>
      </c>
      <c r="AL88" s="584">
        <f t="shared" ca="1" si="121"/>
        <v>28.985390913469299</v>
      </c>
      <c r="AM88" s="584" t="str">
        <f t="shared" si="147"/>
        <v/>
      </c>
      <c r="AN88" s="580"/>
      <c r="AO88" s="584">
        <f t="shared" ca="1" si="148"/>
        <v>-0.85309128677050206</v>
      </c>
      <c r="AP88" s="584">
        <f t="shared" ca="1" si="149"/>
        <v>14.070126467790288</v>
      </c>
      <c r="AQ88" s="584">
        <f t="shared" ca="1" si="150"/>
        <v>-9.7435194725455361</v>
      </c>
      <c r="AR88" s="584">
        <f t="shared" ca="1" si="122"/>
        <v>-6.5056941937892905</v>
      </c>
      <c r="AS88" s="584" t="str">
        <f t="shared" si="151"/>
        <v/>
      </c>
      <c r="AT88" s="580"/>
      <c r="AU88" s="584">
        <f t="shared" ca="1" si="152"/>
        <v>3.2885353233131243</v>
      </c>
      <c r="AV88" s="584">
        <f t="shared" ca="1" si="153"/>
        <v>-3.1705508221146705</v>
      </c>
      <c r="AW88" s="584">
        <f t="shared" ca="1" si="154"/>
        <v>11.352727527532181</v>
      </c>
      <c r="AX88" s="584">
        <f t="shared" ca="1" si="123"/>
        <v>-8.3215740568172265</v>
      </c>
      <c r="AY88" s="584" t="str">
        <f t="shared" si="155"/>
        <v/>
      </c>
      <c r="AZ88" s="580"/>
      <c r="BA88" s="584">
        <f t="shared" ca="1" si="156"/>
        <v>2.0825239475939838</v>
      </c>
      <c r="BB88" s="584">
        <f t="shared" ca="1" si="157"/>
        <v>0.25977509688592804</v>
      </c>
      <c r="BC88" s="584">
        <f t="shared" ca="1" si="158"/>
        <v>12.373883038973066</v>
      </c>
      <c r="BD88" s="584">
        <f t="shared" ca="1" si="124"/>
        <v>-47.41312965571305</v>
      </c>
      <c r="BE88" s="584" t="str">
        <f t="shared" si="159"/>
        <v/>
      </c>
      <c r="BF88" s="580"/>
      <c r="BG88" s="584">
        <f t="shared" ca="1" si="160"/>
        <v>7.8053516153930413</v>
      </c>
      <c r="BH88" s="584">
        <f t="shared" ca="1" si="161"/>
        <v>-5.9632187792633466</v>
      </c>
      <c r="BI88" s="584">
        <f t="shared" ca="1" si="162"/>
        <v>11.810959319621549</v>
      </c>
      <c r="BJ88" s="584">
        <f t="shared" ca="1" si="125"/>
        <v>68.397073036034286</v>
      </c>
      <c r="BK88" s="584" t="str">
        <f t="shared" si="163"/>
        <v/>
      </c>
      <c r="BL88" s="580"/>
      <c r="BM88" s="584">
        <f t="shared" ca="1" si="164"/>
        <v>4.1607364714131068</v>
      </c>
      <c r="BN88" s="584">
        <f t="shared" ca="1" si="165"/>
        <v>2.2581695798502333</v>
      </c>
      <c r="BO88" s="584">
        <f t="shared" ca="1" si="166"/>
        <v>4.5345937542388137</v>
      </c>
      <c r="BP88" s="584">
        <f t="shared" ca="1" si="126"/>
        <v>9.5564483069608297</v>
      </c>
      <c r="BQ88" s="584" t="str">
        <f t="shared" si="167"/>
        <v/>
      </c>
      <c r="BR88" s="580"/>
      <c r="BS88" s="584">
        <f t="shared" ca="1" si="168"/>
        <v>7.0637496298604496</v>
      </c>
      <c r="BT88" s="584">
        <f t="shared" ca="1" si="169"/>
        <v>10.183378424388167</v>
      </c>
      <c r="BU88" s="584">
        <f t="shared" ca="1" si="170"/>
        <v>3.2738778484233677</v>
      </c>
      <c r="BV88" s="584">
        <f t="shared" ca="1" si="127"/>
        <v>22.724619460284813</v>
      </c>
      <c r="BW88" s="584" t="str">
        <f t="shared" si="171"/>
        <v/>
      </c>
      <c r="BX88" s="580"/>
      <c r="BY88" s="584">
        <f t="shared" ca="1" si="172"/>
        <v>8.8544015426001987</v>
      </c>
      <c r="BZ88" s="584">
        <f t="shared" ca="1" si="173"/>
        <v>7.1908215850904122</v>
      </c>
      <c r="CA88" s="584">
        <f t="shared" ca="1" si="174"/>
        <v>9.3502276088027756</v>
      </c>
      <c r="CB88" s="584">
        <f t="shared" ca="1" si="128"/>
        <v>11.832284501683056</v>
      </c>
      <c r="CC88" s="584" t="str">
        <f t="shared" si="175"/>
        <v/>
      </c>
      <c r="CD88" s="580"/>
      <c r="CE88" s="584">
        <f t="shared" ca="1" si="176"/>
        <v>-2.1478264596219598</v>
      </c>
      <c r="CF88" s="584">
        <f t="shared" ca="1" si="177"/>
        <v>10.509316231103472</v>
      </c>
      <c r="CG88" s="584">
        <f t="shared" ca="1" si="178"/>
        <v>-3.7204772081660398</v>
      </c>
      <c r="CH88" s="584">
        <f t="shared" ca="1" si="129"/>
        <v>-36.975724661388753</v>
      </c>
      <c r="CI88" s="584" t="str">
        <f t="shared" si="179"/>
        <v/>
      </c>
      <c r="CJ88" s="580"/>
      <c r="CK88" s="584">
        <f t="shared" ca="1" si="180"/>
        <v>-18.068438368449378</v>
      </c>
      <c r="CL88" s="584">
        <f t="shared" ca="1" si="181"/>
        <v>9.5096111502243517</v>
      </c>
      <c r="CM88" s="584">
        <f t="shared" ca="1" si="182"/>
        <v>-13.231373701024541</v>
      </c>
      <c r="CN88" s="584">
        <f t="shared" ca="1" si="130"/>
        <v>-233.78149224806197</v>
      </c>
      <c r="CO88" s="584" t="str">
        <f t="shared" si="183"/>
        <v/>
      </c>
      <c r="CP88" s="580"/>
      <c r="CQ88" s="584">
        <f t="shared" ca="1" si="184"/>
        <v>22.631173674263106</v>
      </c>
      <c r="CR88" s="584">
        <f t="shared" ca="1" si="185"/>
        <v>-15.151018400885008</v>
      </c>
      <c r="CS88" s="584">
        <f t="shared" ca="1" si="186"/>
        <v>41.066327545419632</v>
      </c>
      <c r="CT88" s="584">
        <f t="shared" ca="1" si="42"/>
        <v>-55.470477915023345</v>
      </c>
      <c r="CU88" s="584" t="str">
        <f t="shared" si="187"/>
        <v/>
      </c>
      <c r="CV88" s="580"/>
      <c r="CW88" s="584">
        <f t="shared" ca="1" si="188"/>
        <v>-4.7048957610064228</v>
      </c>
      <c r="CX88" s="584">
        <f t="shared" ca="1" si="189"/>
        <v>-7.4559867658424146</v>
      </c>
      <c r="CY88" s="584">
        <f t="shared" ca="1" si="190"/>
        <v>-5.9866110870278932</v>
      </c>
      <c r="CZ88" s="584">
        <f t="shared" ca="1" si="47"/>
        <v>-55.995120250958443</v>
      </c>
      <c r="DA88" s="584" t="str">
        <f t="shared" si="191"/>
        <v/>
      </c>
      <c r="DB88" s="580"/>
      <c r="DC88" s="584">
        <f t="shared" ca="1" si="192"/>
        <v>4.279467421787575</v>
      </c>
      <c r="DD88" s="584">
        <f t="shared" ca="1" si="193"/>
        <v>-2.7530866211085248</v>
      </c>
      <c r="DE88" s="584">
        <f t="shared" ca="1" si="194"/>
        <v>6.2168932286679635</v>
      </c>
      <c r="DF88" s="584">
        <f t="shared" ca="1" si="52"/>
        <v>-57.874587458746582</v>
      </c>
      <c r="DG88" s="584" t="str">
        <f t="shared" si="195"/>
        <v/>
      </c>
      <c r="DH88" s="580"/>
      <c r="DI88" s="584">
        <f t="shared" ca="1" si="196"/>
        <v>-4.3591012963356217</v>
      </c>
      <c r="DJ88" s="584">
        <f t="shared" ca="1" si="197"/>
        <v>-1.953878406708065</v>
      </c>
      <c r="DK88" s="584">
        <f t="shared" ca="1" si="198"/>
        <v>-7.125164294566078</v>
      </c>
      <c r="DL88" s="584">
        <f t="shared" ca="1" si="57"/>
        <v>-180.53901598244985</v>
      </c>
      <c r="DM88" s="584" t="str">
        <f t="shared" si="199"/>
        <v/>
      </c>
      <c r="DN88" s="580"/>
      <c r="DO88" s="584">
        <f t="shared" ca="1" si="200"/>
        <v>0.6130621328752639</v>
      </c>
      <c r="DP88" s="584">
        <f t="shared" ca="1" si="201"/>
        <v>-0.34827232295595589</v>
      </c>
      <c r="DQ88" s="584">
        <f t="shared" ca="1" si="202"/>
        <v>1.884226035960479</v>
      </c>
      <c r="DR88" s="584">
        <f t="shared" ca="1" si="62"/>
        <v>-97.626459143972937</v>
      </c>
      <c r="DS88" s="584" t="str">
        <f t="shared" si="203"/>
        <v/>
      </c>
      <c r="DT88" s="580"/>
      <c r="DU88" s="584">
        <f t="shared" ca="1" si="204"/>
        <v>2.903581177517589</v>
      </c>
      <c r="DV88" s="584">
        <f t="shared" ca="1" si="205"/>
        <v>-3.0214706023717786</v>
      </c>
      <c r="DW88" s="584">
        <f t="shared" ca="1" si="206"/>
        <v>4.6150353763288798</v>
      </c>
      <c r="DX88" s="584">
        <f t="shared" ca="1" si="67"/>
        <v>5312.2950819764956</v>
      </c>
      <c r="DY88" s="584" t="str">
        <f t="shared" si="207"/>
        <v/>
      </c>
      <c r="DZ88" s="580"/>
      <c r="EA88" s="584">
        <f t="shared" ca="1" si="208"/>
        <v>7.2343863549827025</v>
      </c>
      <c r="EB88" s="584">
        <f t="shared" ca="1" si="209"/>
        <v>-3.5315649548111394</v>
      </c>
      <c r="EC88" s="584">
        <f t="shared" ca="1" si="210"/>
        <v>13.569838531258149</v>
      </c>
      <c r="ED88" s="584">
        <f t="shared" ca="1" si="72"/>
        <v>-164.50098440103608</v>
      </c>
      <c r="EE88" s="584" t="str">
        <f t="shared" si="211"/>
        <v/>
      </c>
      <c r="EF88" s="580"/>
      <c r="EG88" s="584">
        <f t="shared" ca="1" si="212"/>
        <v>8.1388414466543537</v>
      </c>
      <c r="EH88" s="584">
        <f t="shared" ca="1" si="213"/>
        <v>2.0036866396917485</v>
      </c>
      <c r="EI88" s="584">
        <f t="shared" ca="1" si="214"/>
        <v>2.4934951730051891</v>
      </c>
      <c r="EJ88" s="584">
        <f t="shared" ca="1" si="77"/>
        <v>-1376.4733505516906</v>
      </c>
      <c r="EK88" s="584" t="str">
        <f t="shared" si="215"/>
        <v/>
      </c>
      <c r="EL88" s="580"/>
      <c r="EM88" s="584">
        <f t="shared" ca="1" si="216"/>
        <v>4.5426328743111144</v>
      </c>
      <c r="EN88" s="584">
        <f t="shared" ca="1" si="217"/>
        <v>-0.28606974001553764</v>
      </c>
      <c r="EO88" s="584">
        <f t="shared" ca="1" si="218"/>
        <v>6.5591528745920558</v>
      </c>
      <c r="EP88" s="584">
        <f t="shared" ca="1" si="82"/>
        <v>0.77796567137369266</v>
      </c>
      <c r="EQ88" s="584" t="str">
        <f t="shared" si="219"/>
        <v/>
      </c>
      <c r="ER88" s="580"/>
    </row>
    <row r="89" spans="2:148">
      <c r="B89" s="568" t="s">
        <v>622</v>
      </c>
      <c r="C89" s="4136" t="s">
        <v>250</v>
      </c>
      <c r="D89" s="4135"/>
      <c r="E89" s="636"/>
      <c r="F89" s="633"/>
      <c r="G89" s="643"/>
      <c r="H89" s="637"/>
      <c r="I89" s="634"/>
      <c r="J89" s="576"/>
      <c r="K89" s="636">
        <f t="shared" ca="1" si="220"/>
        <v>-57.567242071457272</v>
      </c>
      <c r="L89" s="633">
        <f t="shared" ca="1" si="220"/>
        <v>-82.533783783783761</v>
      </c>
      <c r="M89" s="643">
        <f t="shared" ca="1" si="220"/>
        <v>110.16162825501343</v>
      </c>
      <c r="N89" s="637">
        <f t="shared" ca="1" si="220"/>
        <v>6.8972371297952861</v>
      </c>
      <c r="O89" s="634">
        <f t="shared" ca="1" si="220"/>
        <v>-53.903183602267767</v>
      </c>
      <c r="P89" s="576" t="str">
        <f ca="1">IF(ROUND(P40,2)=0,"ok","!")</f>
        <v>ok</v>
      </c>
      <c r="Q89" s="636">
        <f t="shared" ca="1" si="132"/>
        <v>-472.75307473983014</v>
      </c>
      <c r="R89" s="633">
        <f t="shared" ca="1" si="133"/>
        <v>-120.98646034816238</v>
      </c>
      <c r="S89" s="643">
        <f t="shared" ca="1" si="134"/>
        <v>69.486576942248817</v>
      </c>
      <c r="T89" s="637">
        <f t="shared" ca="1" si="118"/>
        <v>21.755299367794724</v>
      </c>
      <c r="U89" s="634">
        <f t="shared" ca="1" si="135"/>
        <v>-472.7530747398298</v>
      </c>
      <c r="V89" s="576" t="str">
        <f ca="1">IF(ROUND(V40,2)=0,"ok","!")</f>
        <v>ok</v>
      </c>
      <c r="W89" s="636">
        <f t="shared" ca="1" si="136"/>
        <v>-133.62944162436543</v>
      </c>
      <c r="X89" s="633">
        <f t="shared" ca="1" si="137"/>
        <v>670.96774193548617</v>
      </c>
      <c r="Y89" s="643">
        <f t="shared" ca="1" si="138"/>
        <v>-5.6342170497037936</v>
      </c>
      <c r="Z89" s="637">
        <f t="shared" ca="1" si="119"/>
        <v>12.563632661372415</v>
      </c>
      <c r="AA89" s="634">
        <f t="shared" ca="1" si="139"/>
        <v>-133.62944162436548</v>
      </c>
      <c r="AB89" s="576" t="str">
        <f ca="1">IF(ROUND(AB40,2)=0,"ok","!")</f>
        <v>ok</v>
      </c>
      <c r="AC89" s="636">
        <f t="shared" ca="1" si="140"/>
        <v>-68.528301886792363</v>
      </c>
      <c r="AD89" s="633">
        <f t="shared" ca="1" si="141"/>
        <v>-39.450089659294548</v>
      </c>
      <c r="AE89" s="643">
        <f t="shared" ca="1" si="142"/>
        <v>-23.5307212822796</v>
      </c>
      <c r="AF89" s="637">
        <f t="shared" ca="1" si="120"/>
        <v>-25.02261215629521</v>
      </c>
      <c r="AG89" s="634">
        <f t="shared" ca="1" si="143"/>
        <v>-68.52830188679242</v>
      </c>
      <c r="AH89" s="576" t="str">
        <f ca="1">IF(ROUND(AH40,2)=0,"ok","!")</f>
        <v>ok</v>
      </c>
      <c r="AI89" s="636">
        <f t="shared" ca="1" si="144"/>
        <v>400.47961630695272</v>
      </c>
      <c r="AJ89" s="633">
        <f t="shared" ca="1" si="145"/>
        <v>175.9131293188544</v>
      </c>
      <c r="AK89" s="643">
        <f t="shared" ca="1" si="146"/>
        <v>19.906841339155747</v>
      </c>
      <c r="AL89" s="637">
        <f t="shared" ca="1" si="121"/>
        <v>19.946920803425993</v>
      </c>
      <c r="AM89" s="634">
        <f t="shared" ca="1" si="147"/>
        <v>400.4796163069538</v>
      </c>
      <c r="AN89" s="576" t="str">
        <f ca="1">IF(ROUND(AN40,2)=0,"ok","!")</f>
        <v>ok</v>
      </c>
      <c r="AO89" s="636">
        <f t="shared" ca="1" si="148"/>
        <v>137.2783900335414</v>
      </c>
      <c r="AP89" s="633">
        <f t="shared" ca="1" si="149"/>
        <v>225.50983899821105</v>
      </c>
      <c r="AQ89" s="643">
        <f t="shared" ca="1" si="150"/>
        <v>-20.481693697193361</v>
      </c>
      <c r="AR89" s="637">
        <f t="shared" ca="1" si="122"/>
        <v>-38.499446847028054</v>
      </c>
      <c r="AS89" s="634">
        <f t="shared" ca="1" si="151"/>
        <v>137.27839003354103</v>
      </c>
      <c r="AT89" s="576" t="str">
        <f ca="1">IF(ROUND(AT40,2)=0,"ok","!")</f>
        <v>ok</v>
      </c>
      <c r="AU89" s="636">
        <f t="shared" ca="1" si="152"/>
        <v>-28.614701130856247</v>
      </c>
      <c r="AV89" s="633">
        <f t="shared" ca="1" si="153"/>
        <v>-37.79951637722575</v>
      </c>
      <c r="AW89" s="643">
        <f t="shared" ca="1" si="154"/>
        <v>-18.917928676111384</v>
      </c>
      <c r="AX89" s="637">
        <f t="shared" ca="1" si="123"/>
        <v>-8.7980376124284891</v>
      </c>
      <c r="AY89" s="634">
        <f t="shared" ca="1" si="155"/>
        <v>-28.614701130856211</v>
      </c>
      <c r="AZ89" s="576" t="str">
        <f ca="1">IF(ROUND(AZ40,2)=0,"ok","!")</f>
        <v>ok</v>
      </c>
      <c r="BA89" s="636">
        <f t="shared" ca="1" si="156"/>
        <v>-84.299858557284324</v>
      </c>
      <c r="BB89" s="633">
        <f t="shared" ca="1" si="157"/>
        <v>68.863756847499531</v>
      </c>
      <c r="BC89" s="643">
        <f t="shared" ca="1" si="158"/>
        <v>159.59481849676163</v>
      </c>
      <c r="BD89" s="637">
        <f t="shared" ca="1" si="124"/>
        <v>128.33064371525916</v>
      </c>
      <c r="BE89" s="634">
        <f t="shared" ca="1" si="159"/>
        <v>-84.299858557284296</v>
      </c>
      <c r="BF89" s="576" t="str">
        <f ca="1">IF(ROUND(BF40,2)=0,"ok","!")</f>
        <v>ok</v>
      </c>
      <c r="BG89" s="636">
        <f t="shared" ca="1" si="160"/>
        <v>-35.855855855855978</v>
      </c>
      <c r="BH89" s="633">
        <f t="shared" ca="1" si="161"/>
        <v>33.057764755127693</v>
      </c>
      <c r="BI89" s="643">
        <f t="shared" ca="1" si="162"/>
        <v>-52.203429168238124</v>
      </c>
      <c r="BJ89" s="637">
        <f t="shared" ca="1" si="125"/>
        <v>-83.83854248468667</v>
      </c>
      <c r="BK89" s="634">
        <f t="shared" ca="1" si="163"/>
        <v>-35.855855855855921</v>
      </c>
      <c r="BL89" s="576" t="str">
        <f ca="1">IF(ROUND(BL40,2)=0,"ok","!")</f>
        <v>ok</v>
      </c>
      <c r="BM89" s="636">
        <f t="shared" ca="1" si="164"/>
        <v>350.84269662921247</v>
      </c>
      <c r="BN89" s="633">
        <f t="shared" ca="1" si="165"/>
        <v>1.6515926071569043</v>
      </c>
      <c r="BO89" s="643">
        <f t="shared" ca="1" si="166"/>
        <v>500.75872534142638</v>
      </c>
      <c r="BP89" s="637">
        <f t="shared" ca="1" si="126"/>
        <v>2029.6161321671527</v>
      </c>
      <c r="BQ89" s="634">
        <f t="shared" ca="1" si="167"/>
        <v>350.84269662921395</v>
      </c>
      <c r="BR89" s="576" t="str">
        <f ca="1">IF(ROUND(BR40,2)=0,"ok","!")</f>
        <v>ok</v>
      </c>
      <c r="BS89" s="636">
        <f t="shared" ca="1" si="168"/>
        <v>-53.582554517133929</v>
      </c>
      <c r="BT89" s="633">
        <f t="shared" ca="1" si="169"/>
        <v>29.137330754352007</v>
      </c>
      <c r="BU89" s="643">
        <f t="shared" ca="1" si="170"/>
        <v>-68.228340490022731</v>
      </c>
      <c r="BV89" s="637">
        <f t="shared" ca="1" si="127"/>
        <v>-82.317038389139242</v>
      </c>
      <c r="BW89" s="634">
        <f t="shared" ca="1" si="171"/>
        <v>-53.582554517133964</v>
      </c>
      <c r="BX89" s="576" t="str">
        <f ca="1">IF(ROUND(BX40,2)=0,"ok","!")</f>
        <v>ok</v>
      </c>
      <c r="BY89" s="636">
        <f t="shared" ca="1" si="172"/>
        <v>167.78523489932954</v>
      </c>
      <c r="BZ89" s="633">
        <f t="shared" ca="1" si="173"/>
        <v>-3.0795039242705546</v>
      </c>
      <c r="CA89" s="643">
        <f t="shared" ca="1" si="174"/>
        <v>7.4445080455383783</v>
      </c>
      <c r="CB89" s="637">
        <f t="shared" ca="1" si="128"/>
        <v>26.483870967741897</v>
      </c>
      <c r="CC89" s="634">
        <f t="shared" ca="1" si="175"/>
        <v>167.78523489932891</v>
      </c>
      <c r="CD89" s="576" t="str">
        <f ca="1">IF(ROUND(CD40,2)=0,"ok","!")</f>
        <v>ok</v>
      </c>
      <c r="CE89" s="636">
        <f t="shared" ca="1" si="176"/>
        <v>-9.8746867167921479</v>
      </c>
      <c r="CF89" s="633">
        <f t="shared" ca="1" si="177"/>
        <v>4.9452926995119384E-2</v>
      </c>
      <c r="CG89" s="643">
        <f t="shared" ca="1" si="178"/>
        <v>1.1898067303992788</v>
      </c>
      <c r="CH89" s="637">
        <f t="shared" ca="1" si="129"/>
        <v>1.0048457026268887</v>
      </c>
      <c r="CI89" s="634">
        <f t="shared" ca="1" si="179"/>
        <v>-9.8746867167920023</v>
      </c>
      <c r="CJ89" s="576" t="str">
        <f ca="1">IF(ROUND(CJ40,2)=0,"ok","!")</f>
        <v>ok</v>
      </c>
      <c r="CK89" s="636">
        <f t="shared" ca="1" si="180"/>
        <v>12.736373748610452</v>
      </c>
      <c r="CL89" s="633">
        <f t="shared" ca="1" si="181"/>
        <v>-27.321594068582002</v>
      </c>
      <c r="CM89" s="643">
        <f t="shared" ca="1" si="182"/>
        <v>1.5355816198192151</v>
      </c>
      <c r="CN89" s="637">
        <f t="shared" ca="1" si="130"/>
        <v>26.138773861226184</v>
      </c>
      <c r="CO89" s="634">
        <f t="shared" ca="1" si="183"/>
        <v>12.736373748609587</v>
      </c>
      <c r="CP89" s="576" t="str">
        <f ca="1">IF(ROUND(CP40,2)=0,"ok","!")</f>
        <v>ok</v>
      </c>
      <c r="CQ89" s="636">
        <f t="shared" ca="1" si="184"/>
        <v>36.655155402071514</v>
      </c>
      <c r="CR89" s="633">
        <f t="shared" ca="1" si="185"/>
        <v>30.27288956898748</v>
      </c>
      <c r="CS89" s="643">
        <f t="shared" ca="1" si="186"/>
        <v>9.1375237656277086</v>
      </c>
      <c r="CT89" s="637">
        <f t="shared" ca="1" si="42"/>
        <v>1.4172471775161899</v>
      </c>
      <c r="CU89" s="634">
        <f t="shared" ca="1" si="187"/>
        <v>36.655155402072047</v>
      </c>
      <c r="CV89" s="576" t="str">
        <f ca="1">IF(ROUND(CV40,2)=0,"ok","!")</f>
        <v>ok</v>
      </c>
      <c r="CW89" s="636">
        <f t="shared" ca="1" si="188"/>
        <v>66.245487364621013</v>
      </c>
      <c r="CX89" s="633">
        <f t="shared" ca="1" si="189"/>
        <v>-26.363873662229174</v>
      </c>
      <c r="CY89" s="643">
        <f t="shared" ca="1" si="190"/>
        <v>31.497122947790746</v>
      </c>
      <c r="CZ89" s="637">
        <f t="shared" ca="1" si="47"/>
        <v>70.298436759829471</v>
      </c>
      <c r="DA89" s="634">
        <f t="shared" ca="1" si="191"/>
        <v>66.245487364620928</v>
      </c>
      <c r="DB89" s="576" t="str">
        <f ca="1">IF(ROUND(DB40,2)=0,"ok","!")</f>
        <v>ok</v>
      </c>
      <c r="DC89" s="636">
        <f t="shared" ca="1" si="192"/>
        <v>-601.62866449511455</v>
      </c>
      <c r="DD89" s="633">
        <f t="shared" ca="1" si="193"/>
        <v>29.900744416873472</v>
      </c>
      <c r="DE89" s="643">
        <f t="shared" ca="1" si="194"/>
        <v>86.03344105662498</v>
      </c>
      <c r="DF89" s="637">
        <f t="shared" ca="1" si="52"/>
        <v>27.311080203987025</v>
      </c>
      <c r="DG89" s="634">
        <f t="shared" ca="1" si="195"/>
        <v>-601.62866449511398</v>
      </c>
      <c r="DH89" s="576" t="str">
        <f ca="1">IF(ROUND(DH40,2)=0,"ok","!")</f>
        <v>ok</v>
      </c>
      <c r="DI89" s="636">
        <f t="shared" ca="1" si="196"/>
        <v>-107.52380952380949</v>
      </c>
      <c r="DJ89" s="633">
        <f t="shared" ca="1" si="197"/>
        <v>70.691772410970088</v>
      </c>
      <c r="DK89" s="643">
        <f t="shared" ca="1" si="198"/>
        <v>-41.332542080276212</v>
      </c>
      <c r="DL89" s="637">
        <f t="shared" ca="1" si="57"/>
        <v>-43.390626706966252</v>
      </c>
      <c r="DM89" s="634">
        <f t="shared" ca="1" si="199"/>
        <v>-107.52380952380953</v>
      </c>
      <c r="DN89" s="576" t="str">
        <f ca="1">IF(ROUND(DN40,2)=0,"ok","!")</f>
        <v>ok</v>
      </c>
      <c r="DO89" s="636">
        <f t="shared" ca="1" si="200"/>
        <v>63.808975834293392</v>
      </c>
      <c r="DP89" s="633">
        <f t="shared" ca="1" si="201"/>
        <v>18.725019984012793</v>
      </c>
      <c r="DQ89" s="643">
        <f t="shared" ca="1" si="202"/>
        <v>4.4323469368988011</v>
      </c>
      <c r="DR89" s="637">
        <f t="shared" ca="1" si="62"/>
        <v>-3.7502814319256395</v>
      </c>
      <c r="DS89" s="634">
        <f t="shared" ca="1" si="203"/>
        <v>66.85845799769848</v>
      </c>
      <c r="DT89" s="576" t="str">
        <f ca="1">IF(ROUND(DT40,2)=0,"ok","!")</f>
        <v>!</v>
      </c>
      <c r="DU89" s="636">
        <f t="shared" ca="1" si="204"/>
        <v>-85.774499473129879</v>
      </c>
      <c r="DV89" s="633">
        <f t="shared" ca="1" si="205"/>
        <v>1.9357010604275304</v>
      </c>
      <c r="DW89" s="643">
        <f t="shared" ca="1" si="206"/>
        <v>-23.161861824841921</v>
      </c>
      <c r="DX89" s="637">
        <f t="shared" ca="1" si="67"/>
        <v>-54.031746031746039</v>
      </c>
      <c r="DY89" s="634">
        <f t="shared" ca="1" si="207"/>
        <v>-108.68965517241378</v>
      </c>
      <c r="DZ89" s="576" t="str">
        <f ca="1">IF(ROUND(DZ40,2)=0,"ok","!")</f>
        <v>!</v>
      </c>
      <c r="EA89" s="636">
        <f t="shared" ca="1" si="208"/>
        <v>1064.938271604959</v>
      </c>
      <c r="EB89" s="633">
        <f t="shared" ca="1" si="209"/>
        <v>-7.1169088507265554</v>
      </c>
      <c r="EC89" s="643">
        <f t="shared" ca="1" si="210"/>
        <v>-29.909926428456835</v>
      </c>
      <c r="ED89" s="637">
        <f t="shared" ca="1" si="72"/>
        <v>-47.848211689444554</v>
      </c>
      <c r="EE89" s="634">
        <f t="shared" ca="1" si="211"/>
        <v>-1496.8253968253973</v>
      </c>
      <c r="EF89" s="576" t="str">
        <f ca="1">IF(ROUND(EF40,2)=0,"ok","!")</f>
        <v>!</v>
      </c>
      <c r="EG89" s="636">
        <f t="shared" ca="1" si="212"/>
        <v>-69.884061042814778</v>
      </c>
      <c r="EH89" s="633">
        <f t="shared" ca="1" si="213"/>
        <v>5.0000000000000044</v>
      </c>
      <c r="EI89" s="643">
        <f t="shared" ca="1" si="214"/>
        <v>-2.0000000000000018</v>
      </c>
      <c r="EJ89" s="637">
        <f t="shared" ca="1" si="77"/>
        <v>-74.086980763869519</v>
      </c>
      <c r="EK89" s="634">
        <f t="shared" ca="1" si="215"/>
        <v>-59.63437499999997</v>
      </c>
      <c r="EL89" s="576" t="str">
        <f ca="1">IF(ROUND(EL40,2)=0,"ok","!")</f>
        <v>ok</v>
      </c>
      <c r="EM89" s="636">
        <f t="shared" ca="1" si="216"/>
        <v>-195.47680611466708</v>
      </c>
      <c r="EN89" s="633">
        <f t="shared" ca="1" si="217"/>
        <v>5.0000000000000044</v>
      </c>
      <c r="EO89" s="643">
        <f t="shared" ca="1" si="218"/>
        <v>-2.0000000000000018</v>
      </c>
      <c r="EP89" s="637">
        <f t="shared" ca="1" si="82"/>
        <v>-261.07699811949817</v>
      </c>
      <c r="EQ89" s="634">
        <f t="shared" ca="1" si="219"/>
        <v>-195.47680611466708</v>
      </c>
      <c r="ER89" s="576" t="str">
        <f ca="1">IF(ROUND(ER40,2)=0,"ok","!")</f>
        <v>ok</v>
      </c>
    </row>
    <row r="90" spans="2:148">
      <c r="B90" s="592"/>
      <c r="C90" s="611"/>
      <c r="D90" s="612" t="s">
        <v>1582</v>
      </c>
      <c r="E90" s="636"/>
      <c r="F90" s="635"/>
      <c r="G90" s="645"/>
      <c r="H90" s="606"/>
      <c r="I90" s="638"/>
      <c r="J90" s="613"/>
      <c r="K90" s="636" t="str">
        <f t="shared" si="220"/>
        <v/>
      </c>
      <c r="L90" s="635" t="str">
        <f t="shared" si="220"/>
        <v/>
      </c>
      <c r="M90" s="645" t="str">
        <f t="shared" si="220"/>
        <v/>
      </c>
      <c r="N90" s="606">
        <f t="shared" ca="1" si="220"/>
        <v>9.0777719390436005</v>
      </c>
      <c r="O90" s="638" t="str">
        <f t="shared" si="220"/>
        <v/>
      </c>
      <c r="P90" s="613"/>
      <c r="Q90" s="636" t="str">
        <f t="shared" si="132"/>
        <v/>
      </c>
      <c r="R90" s="635" t="str">
        <f t="shared" si="133"/>
        <v/>
      </c>
      <c r="S90" s="645" t="str">
        <f t="shared" si="134"/>
        <v/>
      </c>
      <c r="T90" s="606">
        <f t="shared" ca="1" si="118"/>
        <v>-1.7222690593761247</v>
      </c>
      <c r="U90" s="638" t="str">
        <f t="shared" si="135"/>
        <v/>
      </c>
      <c r="V90" s="613"/>
      <c r="W90" s="636" t="str">
        <f t="shared" si="136"/>
        <v/>
      </c>
      <c r="X90" s="635" t="str">
        <f t="shared" si="137"/>
        <v/>
      </c>
      <c r="Y90" s="645" t="str">
        <f t="shared" si="138"/>
        <v/>
      </c>
      <c r="Z90" s="606">
        <f t="shared" ca="1" si="119"/>
        <v>17.181372549019613</v>
      </c>
      <c r="AA90" s="638" t="str">
        <f t="shared" si="139"/>
        <v/>
      </c>
      <c r="AB90" s="613"/>
      <c r="AC90" s="636" t="str">
        <f t="shared" si="140"/>
        <v/>
      </c>
      <c r="AD90" s="635" t="str">
        <f t="shared" si="141"/>
        <v/>
      </c>
      <c r="AE90" s="645" t="str">
        <f t="shared" si="142"/>
        <v/>
      </c>
      <c r="AF90" s="606">
        <f t="shared" ca="1" si="120"/>
        <v>6.9023216900230056</v>
      </c>
      <c r="AG90" s="638" t="str">
        <f t="shared" si="143"/>
        <v/>
      </c>
      <c r="AH90" s="613"/>
      <c r="AI90" s="636" t="str">
        <f t="shared" si="144"/>
        <v/>
      </c>
      <c r="AJ90" s="635" t="str">
        <f t="shared" si="145"/>
        <v/>
      </c>
      <c r="AK90" s="645" t="str">
        <f t="shared" si="146"/>
        <v/>
      </c>
      <c r="AL90" s="606">
        <f t="shared" ca="1" si="121"/>
        <v>14.928585404030503</v>
      </c>
      <c r="AM90" s="638" t="str">
        <f t="shared" si="147"/>
        <v/>
      </c>
      <c r="AN90" s="613"/>
      <c r="AO90" s="636" t="str">
        <f t="shared" si="148"/>
        <v/>
      </c>
      <c r="AP90" s="635" t="str">
        <f t="shared" si="149"/>
        <v/>
      </c>
      <c r="AQ90" s="645" t="str">
        <f t="shared" si="150"/>
        <v/>
      </c>
      <c r="AR90" s="606">
        <f t="shared" ca="1" si="122"/>
        <v>2.6727953694245965</v>
      </c>
      <c r="AS90" s="638" t="str">
        <f t="shared" si="151"/>
        <v/>
      </c>
      <c r="AT90" s="613"/>
      <c r="AU90" s="636" t="str">
        <f t="shared" si="152"/>
        <v/>
      </c>
      <c r="AV90" s="635" t="str">
        <f t="shared" si="153"/>
        <v/>
      </c>
      <c r="AW90" s="645" t="str">
        <f t="shared" si="154"/>
        <v/>
      </c>
      <c r="AX90" s="606">
        <f t="shared" ca="1" si="123"/>
        <v>4.1203780467584217</v>
      </c>
      <c r="AY90" s="638" t="str">
        <f t="shared" si="155"/>
        <v/>
      </c>
      <c r="AZ90" s="613"/>
      <c r="BA90" s="636" t="str">
        <f t="shared" si="156"/>
        <v/>
      </c>
      <c r="BB90" s="635" t="str">
        <f t="shared" si="157"/>
        <v/>
      </c>
      <c r="BC90" s="645" t="str">
        <f t="shared" si="158"/>
        <v/>
      </c>
      <c r="BD90" s="606">
        <f t="shared" ca="1" si="124"/>
        <v>10.709451389441838</v>
      </c>
      <c r="BE90" s="638" t="str">
        <f t="shared" si="159"/>
        <v/>
      </c>
      <c r="BF90" s="613"/>
      <c r="BG90" s="636" t="str">
        <f t="shared" si="160"/>
        <v/>
      </c>
      <c r="BH90" s="635" t="str">
        <f t="shared" si="161"/>
        <v/>
      </c>
      <c r="BI90" s="645" t="str">
        <f t="shared" si="162"/>
        <v/>
      </c>
      <c r="BJ90" s="606">
        <f t="shared" ca="1" si="125"/>
        <v>56.544879171461446</v>
      </c>
      <c r="BK90" s="638" t="str">
        <f t="shared" si="163"/>
        <v/>
      </c>
      <c r="BL90" s="613"/>
      <c r="BM90" s="636" t="str">
        <f t="shared" si="164"/>
        <v/>
      </c>
      <c r="BN90" s="635" t="str">
        <f t="shared" si="165"/>
        <v/>
      </c>
      <c r="BO90" s="645" t="str">
        <f t="shared" si="166"/>
        <v/>
      </c>
      <c r="BP90" s="606">
        <f t="shared" ca="1" si="126"/>
        <v>-13.957548470090975</v>
      </c>
      <c r="BQ90" s="638" t="str">
        <f t="shared" si="167"/>
        <v/>
      </c>
      <c r="BR90" s="613"/>
      <c r="BS90" s="636" t="str">
        <f t="shared" si="168"/>
        <v/>
      </c>
      <c r="BT90" s="635" t="str">
        <f t="shared" si="169"/>
        <v/>
      </c>
      <c r="BU90" s="645" t="str">
        <f t="shared" si="170"/>
        <v/>
      </c>
      <c r="BV90" s="606">
        <f t="shared" ca="1" si="127"/>
        <v>14.977573686458779</v>
      </c>
      <c r="BW90" s="638" t="str">
        <f t="shared" si="171"/>
        <v/>
      </c>
      <c r="BX90" s="613"/>
      <c r="BY90" s="636" t="str">
        <f t="shared" si="172"/>
        <v/>
      </c>
      <c r="BZ90" s="635" t="str">
        <f t="shared" si="173"/>
        <v/>
      </c>
      <c r="CA90" s="645" t="str">
        <f t="shared" si="174"/>
        <v/>
      </c>
      <c r="CB90" s="606">
        <f t="shared" ca="1" si="128"/>
        <v>2.8978776761250158</v>
      </c>
      <c r="CC90" s="638" t="str">
        <f t="shared" si="175"/>
        <v/>
      </c>
      <c r="CD90" s="613"/>
      <c r="CE90" s="636" t="str">
        <f t="shared" si="176"/>
        <v/>
      </c>
      <c r="CF90" s="635" t="str">
        <f t="shared" si="177"/>
        <v/>
      </c>
      <c r="CG90" s="645" t="str">
        <f t="shared" si="178"/>
        <v/>
      </c>
      <c r="CH90" s="606">
        <f t="shared" ca="1" si="129"/>
        <v>6.9684524078169385</v>
      </c>
      <c r="CI90" s="638" t="str">
        <f t="shared" si="179"/>
        <v/>
      </c>
      <c r="CJ90" s="613"/>
      <c r="CK90" s="636" t="str">
        <f t="shared" si="180"/>
        <v/>
      </c>
      <c r="CL90" s="635" t="str">
        <f t="shared" si="181"/>
        <v/>
      </c>
      <c r="CM90" s="645" t="str">
        <f t="shared" si="182"/>
        <v/>
      </c>
      <c r="CN90" s="606">
        <f t="shared" ca="1" si="130"/>
        <v>-5.7128391207122098</v>
      </c>
      <c r="CO90" s="638" t="str">
        <f t="shared" si="183"/>
        <v/>
      </c>
      <c r="CP90" s="613"/>
      <c r="CQ90" s="636" t="str">
        <f t="shared" si="184"/>
        <v/>
      </c>
      <c r="CR90" s="635" t="str">
        <f t="shared" si="185"/>
        <v/>
      </c>
      <c r="CS90" s="645" t="str">
        <f t="shared" si="186"/>
        <v/>
      </c>
      <c r="CT90" s="606">
        <f t="shared" ca="1" si="42"/>
        <v>16.181142882713594</v>
      </c>
      <c r="CU90" s="638" t="str">
        <f t="shared" si="187"/>
        <v/>
      </c>
      <c r="CV90" s="613"/>
      <c r="CW90" s="636" t="str">
        <f t="shared" si="188"/>
        <v/>
      </c>
      <c r="CX90" s="635" t="str">
        <f t="shared" si="189"/>
        <v/>
      </c>
      <c r="CY90" s="645" t="str">
        <f t="shared" si="190"/>
        <v/>
      </c>
      <c r="CZ90" s="606">
        <f t="shared" ca="1" si="47"/>
        <v>6.7557678234410279</v>
      </c>
      <c r="DA90" s="638" t="str">
        <f t="shared" si="191"/>
        <v/>
      </c>
      <c r="DB90" s="613"/>
      <c r="DC90" s="636" t="str">
        <f t="shared" si="192"/>
        <v/>
      </c>
      <c r="DD90" s="635" t="str">
        <f t="shared" si="193"/>
        <v/>
      </c>
      <c r="DE90" s="645" t="str">
        <f t="shared" si="194"/>
        <v/>
      </c>
      <c r="DF90" s="606">
        <f t="shared" ca="1" si="52"/>
        <v>19.709925316592724</v>
      </c>
      <c r="DG90" s="638" t="str">
        <f t="shared" si="195"/>
        <v/>
      </c>
      <c r="DH90" s="613"/>
      <c r="DI90" s="636" t="str">
        <f t="shared" si="196"/>
        <v/>
      </c>
      <c r="DJ90" s="635" t="str">
        <f t="shared" si="197"/>
        <v/>
      </c>
      <c r="DK90" s="645" t="str">
        <f t="shared" si="198"/>
        <v/>
      </c>
      <c r="DL90" s="606">
        <f t="shared" ca="1" si="57"/>
        <v>19.74080771549125</v>
      </c>
      <c r="DM90" s="638" t="str">
        <f t="shared" si="199"/>
        <v/>
      </c>
      <c r="DN90" s="613"/>
      <c r="DO90" s="636" t="str">
        <f t="shared" si="200"/>
        <v/>
      </c>
      <c r="DP90" s="635" t="str">
        <f t="shared" si="201"/>
        <v/>
      </c>
      <c r="DQ90" s="645" t="str">
        <f t="shared" si="202"/>
        <v/>
      </c>
      <c r="DR90" s="606">
        <f t="shared" ca="1" si="62"/>
        <v>-1.8474704253712559</v>
      </c>
      <c r="DS90" s="638" t="str">
        <f t="shared" si="203"/>
        <v/>
      </c>
      <c r="DT90" s="613"/>
      <c r="DU90" s="636" t="str">
        <f t="shared" si="204"/>
        <v/>
      </c>
      <c r="DV90" s="635" t="str">
        <f t="shared" si="205"/>
        <v/>
      </c>
      <c r="DW90" s="645" t="str">
        <f t="shared" si="206"/>
        <v/>
      </c>
      <c r="DX90" s="606">
        <f t="shared" ca="1" si="67"/>
        <v>-6.7212021745820083</v>
      </c>
      <c r="DY90" s="638" t="str">
        <f t="shared" si="207"/>
        <v/>
      </c>
      <c r="DZ90" s="613"/>
      <c r="EA90" s="636" t="str">
        <f t="shared" si="208"/>
        <v/>
      </c>
      <c r="EB90" s="635" t="str">
        <f t="shared" si="209"/>
        <v/>
      </c>
      <c r="EC90" s="645" t="str">
        <f t="shared" si="210"/>
        <v/>
      </c>
      <c r="ED90" s="606">
        <f t="shared" ca="1" si="72"/>
        <v>-8.0000000000000071</v>
      </c>
      <c r="EE90" s="638" t="str">
        <f t="shared" si="211"/>
        <v/>
      </c>
      <c r="EF90" s="613"/>
      <c r="EG90" s="636" t="str">
        <f t="shared" si="212"/>
        <v/>
      </c>
      <c r="EH90" s="635" t="str">
        <f t="shared" si="213"/>
        <v/>
      </c>
      <c r="EI90" s="645" t="str">
        <f t="shared" si="214"/>
        <v/>
      </c>
      <c r="EJ90" s="606">
        <f t="shared" ca="1" si="77"/>
        <v>8.1278948154788644</v>
      </c>
      <c r="EK90" s="638" t="str">
        <f t="shared" si="215"/>
        <v/>
      </c>
      <c r="EL90" s="613"/>
      <c r="EM90" s="636" t="str">
        <f t="shared" si="216"/>
        <v/>
      </c>
      <c r="EN90" s="635" t="str">
        <f t="shared" si="217"/>
        <v/>
      </c>
      <c r="EO90" s="645" t="str">
        <f t="shared" si="218"/>
        <v/>
      </c>
      <c r="EP90" s="606">
        <f t="shared" ca="1" si="82"/>
        <v>6.28904687939007</v>
      </c>
      <c r="EQ90" s="638" t="str">
        <f t="shared" si="219"/>
        <v/>
      </c>
      <c r="ER90" s="613"/>
    </row>
    <row r="91" spans="2:148">
      <c r="B91" s="592"/>
      <c r="C91" s="611"/>
      <c r="D91" s="612" t="s">
        <v>450</v>
      </c>
      <c r="E91" s="636"/>
      <c r="F91" s="635"/>
      <c r="G91" s="645"/>
      <c r="H91" s="606"/>
      <c r="I91" s="638"/>
      <c r="J91" s="613"/>
      <c r="K91" s="636"/>
      <c r="L91" s="635"/>
      <c r="M91" s="645"/>
      <c r="N91" s="606" t="str">
        <f ca="1">IF(N42="","",IF(H42=0,"N",(N42/H42-1)*100))</f>
        <v>N</v>
      </c>
      <c r="O91" s="638"/>
      <c r="P91" s="613"/>
      <c r="Q91" s="636"/>
      <c r="R91" s="635"/>
      <c r="S91" s="645"/>
      <c r="T91" s="606" t="str">
        <f t="shared" ca="1" si="118"/>
        <v>N</v>
      </c>
      <c r="U91" s="638"/>
      <c r="V91" s="613"/>
      <c r="W91" s="636"/>
      <c r="X91" s="635"/>
      <c r="Y91" s="645"/>
      <c r="Z91" s="606" t="str">
        <f t="shared" ca="1" si="119"/>
        <v>N</v>
      </c>
      <c r="AA91" s="638"/>
      <c r="AB91" s="613"/>
      <c r="AC91" s="636"/>
      <c r="AD91" s="635"/>
      <c r="AE91" s="645"/>
      <c r="AF91" s="606" t="str">
        <f t="shared" ca="1" si="120"/>
        <v>N</v>
      </c>
      <c r="AG91" s="638"/>
      <c r="AH91" s="613"/>
      <c r="AI91" s="636"/>
      <c r="AJ91" s="635"/>
      <c r="AK91" s="645"/>
      <c r="AL91" s="606" t="str">
        <f t="shared" ca="1" si="121"/>
        <v>N</v>
      </c>
      <c r="AM91" s="638"/>
      <c r="AN91" s="613"/>
      <c r="AO91" s="636"/>
      <c r="AP91" s="635"/>
      <c r="AQ91" s="645"/>
      <c r="AR91" s="606" t="str">
        <f t="shared" ca="1" si="122"/>
        <v>N</v>
      </c>
      <c r="AS91" s="638"/>
      <c r="AT91" s="613"/>
      <c r="AU91" s="636"/>
      <c r="AV91" s="635"/>
      <c r="AW91" s="645"/>
      <c r="AX91" s="606" t="str">
        <f t="shared" ca="1" si="123"/>
        <v>N</v>
      </c>
      <c r="AY91" s="638"/>
      <c r="AZ91" s="613"/>
      <c r="BA91" s="636"/>
      <c r="BB91" s="635"/>
      <c r="BC91" s="645"/>
      <c r="BD91" s="606" t="str">
        <f t="shared" ca="1" si="124"/>
        <v>N</v>
      </c>
      <c r="BE91" s="638"/>
      <c r="BF91" s="613"/>
      <c r="BG91" s="636"/>
      <c r="BH91" s="635"/>
      <c r="BI91" s="645"/>
      <c r="BJ91" s="606" t="str">
        <f t="shared" ca="1" si="125"/>
        <v>N</v>
      </c>
      <c r="BK91" s="638"/>
      <c r="BL91" s="613"/>
      <c r="BM91" s="636"/>
      <c r="BN91" s="635"/>
      <c r="BO91" s="645"/>
      <c r="BP91" s="606" t="str">
        <f t="shared" ca="1" si="126"/>
        <v>N</v>
      </c>
      <c r="BQ91" s="638"/>
      <c r="BR91" s="613"/>
      <c r="BS91" s="636"/>
      <c r="BT91" s="635"/>
      <c r="BU91" s="645"/>
      <c r="BV91" s="606" t="str">
        <f t="shared" ca="1" si="127"/>
        <v>N</v>
      </c>
      <c r="BW91" s="638"/>
      <c r="BX91" s="613"/>
      <c r="BY91" s="636"/>
      <c r="BZ91" s="635"/>
      <c r="CA91" s="645"/>
      <c r="CB91" s="606" t="str">
        <f t="shared" ca="1" si="128"/>
        <v>N</v>
      </c>
      <c r="CC91" s="638"/>
      <c r="CD91" s="613"/>
      <c r="CE91" s="636"/>
      <c r="CF91" s="635"/>
      <c r="CG91" s="645"/>
      <c r="CH91" s="606" t="str">
        <f t="shared" ca="1" si="129"/>
        <v>N</v>
      </c>
      <c r="CI91" s="638"/>
      <c r="CJ91" s="613"/>
      <c r="CK91" s="636"/>
      <c r="CL91" s="635"/>
      <c r="CM91" s="645"/>
      <c r="CN91" s="606" t="str">
        <f t="shared" ca="1" si="130"/>
        <v>N</v>
      </c>
      <c r="CO91" s="638"/>
      <c r="CP91" s="613"/>
      <c r="CQ91" s="636"/>
      <c r="CR91" s="635"/>
      <c r="CS91" s="645"/>
      <c r="CT91" s="606" t="str">
        <f t="shared" ca="1" si="42"/>
        <v>N</v>
      </c>
      <c r="CU91" s="638"/>
      <c r="CV91" s="613"/>
      <c r="CW91" s="636"/>
      <c r="CX91" s="635"/>
      <c r="CY91" s="645"/>
      <c r="CZ91" s="606" t="str">
        <f t="shared" ca="1" si="47"/>
        <v>N</v>
      </c>
      <c r="DA91" s="638"/>
      <c r="DB91" s="613"/>
      <c r="DC91" s="636"/>
      <c r="DD91" s="635"/>
      <c r="DE91" s="645"/>
      <c r="DF91" s="606" t="str">
        <f t="shared" ca="1" si="52"/>
        <v>N</v>
      </c>
      <c r="DG91" s="638"/>
      <c r="DH91" s="613"/>
      <c r="DI91" s="636"/>
      <c r="DJ91" s="635"/>
      <c r="DK91" s="645"/>
      <c r="DL91" s="606" t="str">
        <f t="shared" ca="1" si="57"/>
        <v>N</v>
      </c>
      <c r="DM91" s="638"/>
      <c r="DN91" s="613"/>
      <c r="DO91" s="636"/>
      <c r="DP91" s="635"/>
      <c r="DQ91" s="645"/>
      <c r="DR91" s="606" t="str">
        <f t="shared" ca="1" si="62"/>
        <v>N</v>
      </c>
      <c r="DS91" s="638"/>
      <c r="DT91" s="613"/>
      <c r="DU91" s="636"/>
      <c r="DV91" s="635"/>
      <c r="DW91" s="645"/>
      <c r="DX91" s="606" t="str">
        <f t="shared" ca="1" si="67"/>
        <v>N</v>
      </c>
      <c r="DY91" s="638"/>
      <c r="DZ91" s="613"/>
      <c r="EA91" s="636"/>
      <c r="EB91" s="635"/>
      <c r="EC91" s="645"/>
      <c r="ED91" s="606" t="str">
        <f t="shared" ca="1" si="72"/>
        <v>N</v>
      </c>
      <c r="EE91" s="638"/>
      <c r="EF91" s="613"/>
      <c r="EG91" s="636"/>
      <c r="EH91" s="635"/>
      <c r="EI91" s="645"/>
      <c r="EJ91" s="606" t="str">
        <f t="shared" ca="1" si="77"/>
        <v>N</v>
      </c>
      <c r="EK91" s="638"/>
      <c r="EL91" s="613"/>
      <c r="EM91" s="636"/>
      <c r="EN91" s="635"/>
      <c r="EO91" s="645"/>
      <c r="EP91" s="606" t="str">
        <f t="shared" ca="1" si="82"/>
        <v>N</v>
      </c>
      <c r="EQ91" s="638"/>
      <c r="ER91" s="613"/>
    </row>
    <row r="92" spans="2:148">
      <c r="B92" s="592"/>
      <c r="C92" s="611"/>
      <c r="D92" s="612" t="s">
        <v>279</v>
      </c>
      <c r="E92" s="636"/>
      <c r="F92" s="635"/>
      <c r="G92" s="645"/>
      <c r="H92" s="606"/>
      <c r="I92" s="638"/>
      <c r="J92" s="613"/>
      <c r="K92" s="636" t="str">
        <f t="shared" ref="K92:O97" si="221">IF(K43="","",IF(E43=0,"N",(K43/E43-1)*100))</f>
        <v/>
      </c>
      <c r="L92" s="635" t="str">
        <f t="shared" si="221"/>
        <v/>
      </c>
      <c r="M92" s="645" t="str">
        <f t="shared" si="221"/>
        <v/>
      </c>
      <c r="N92" s="606">
        <f t="shared" ca="1" si="221"/>
        <v>-0.72131147540982488</v>
      </c>
      <c r="O92" s="638" t="str">
        <f t="shared" si="221"/>
        <v/>
      </c>
      <c r="P92" s="613"/>
      <c r="Q92" s="636" t="str">
        <f t="shared" ref="Q92:Q97" si="222">IF(Q43="","",IF(K43=0,"N",(Q43/K43-1)*100))</f>
        <v/>
      </c>
      <c r="R92" s="635" t="str">
        <f t="shared" ref="R92:R97" si="223">IF(R43="","",IF(L43=0,"N",(R43/L43-1)*100))</f>
        <v/>
      </c>
      <c r="S92" s="645" t="str">
        <f t="shared" ref="S92:T97" si="224">IF(S43="","",IF(M43=0,"N",(S43/M43-1)*100))</f>
        <v/>
      </c>
      <c r="T92" s="606">
        <f t="shared" ca="1" si="224"/>
        <v>248.08454425363257</v>
      </c>
      <c r="U92" s="638" t="str">
        <f t="shared" ref="U92:U97" si="225">IF(U43="","",IF(O43=0,"N",(U43/O43-1)*100))</f>
        <v/>
      </c>
      <c r="V92" s="613"/>
      <c r="W92" s="636" t="str">
        <f t="shared" ref="W92:W97" si="226">IF(W43="","",IF(Q43=0,"N",(W43/Q43-1)*100))</f>
        <v/>
      </c>
      <c r="X92" s="635" t="str">
        <f t="shared" ref="X92:X97" si="227">IF(X43="","",IF(R43=0,"N",(X43/R43-1)*100))</f>
        <v/>
      </c>
      <c r="Y92" s="645" t="str">
        <f t="shared" ref="Y92:Z97" si="228">IF(Y43="","",IF(S43=0,"N",(Y43/S43-1)*100))</f>
        <v/>
      </c>
      <c r="Z92" s="606">
        <f t="shared" ca="1" si="228"/>
        <v>-79.981024667931692</v>
      </c>
      <c r="AA92" s="638" t="str">
        <f t="shared" ref="AA92:AA97" si="229">IF(AA43="","",IF(U43=0,"N",(AA43/U43-1)*100))</f>
        <v/>
      </c>
      <c r="AB92" s="613"/>
      <c r="AC92" s="636" t="str">
        <f t="shared" ref="AC92:AC97" si="230">IF(AC43="","",IF(W43=0,"N",(AC43/W43-1)*100))</f>
        <v/>
      </c>
      <c r="AD92" s="635" t="str">
        <f t="shared" ref="AD92:AD97" si="231">IF(AD43="","",IF(X43=0,"N",(AD43/X43-1)*100))</f>
        <v/>
      </c>
      <c r="AE92" s="645" t="str">
        <f t="shared" ref="AE92:AF97" si="232">IF(AE43="","",IF(Y43=0,"N",(AE43/Y43-1)*100))</f>
        <v/>
      </c>
      <c r="AF92" s="606">
        <f t="shared" ca="1" si="232"/>
        <v>366.82464454976281</v>
      </c>
      <c r="AG92" s="638" t="str">
        <f t="shared" ref="AG92:AG97" si="233">IF(AG43="","",IF(AA43=0,"N",(AG43/AA43-1)*100))</f>
        <v/>
      </c>
      <c r="AH92" s="613"/>
      <c r="AI92" s="636" t="str">
        <f t="shared" ref="AI92:AI97" si="234">IF(AI43="","",IF(AC43=0,"N",(AI43/AC43-1)*100))</f>
        <v/>
      </c>
      <c r="AJ92" s="635" t="str">
        <f t="shared" ref="AJ92:AJ97" si="235">IF(AJ43="","",IF(AD43=0,"N",(AJ43/AD43-1)*100))</f>
        <v/>
      </c>
      <c r="AK92" s="645" t="str">
        <f t="shared" ref="AK92:AL97" si="236">IF(AK43="","",IF(AE43=0,"N",(AK43/AE43-1)*100))</f>
        <v/>
      </c>
      <c r="AL92" s="606">
        <f t="shared" ca="1" si="236"/>
        <v>-68.507614213197911</v>
      </c>
      <c r="AM92" s="638" t="str">
        <f t="shared" ref="AM92:AM97" si="237">IF(AM43="","",IF(AG43=0,"N",(AM43/AG43-1)*100))</f>
        <v/>
      </c>
      <c r="AN92" s="613"/>
      <c r="AO92" s="636" t="str">
        <f t="shared" ref="AO92:AO97" si="238">IF(AO43="","",IF(AI43=0,"N",(AO43/AI43-1)*100))</f>
        <v/>
      </c>
      <c r="AP92" s="635" t="str">
        <f t="shared" ref="AP92:AP97" si="239">IF(AP43="","",IF(AJ43=0,"N",(AP43/AJ43-1)*100))</f>
        <v/>
      </c>
      <c r="AQ92" s="645" t="str">
        <f t="shared" ref="AQ92:AR97" si="240">IF(AQ43="","",IF(AK43=0,"N",(AQ43/AK43-1)*100))</f>
        <v/>
      </c>
      <c r="AR92" s="606">
        <f t="shared" ca="1" si="240"/>
        <v>69.116698903932686</v>
      </c>
      <c r="AS92" s="638" t="str">
        <f t="shared" ref="AS92:AS97" si="241">IF(AS43="","",IF(AM43=0,"N",(AS43/AM43-1)*100))</f>
        <v/>
      </c>
      <c r="AT92" s="613"/>
      <c r="AU92" s="636" t="str">
        <f t="shared" ref="AU92:AU97" si="242">IF(AU43="","",IF(AO43=0,"N",(AU43/AO43-1)*100))</f>
        <v/>
      </c>
      <c r="AV92" s="635" t="str">
        <f t="shared" ref="AV92:AV97" si="243">IF(AV43="","",IF(AP43=0,"N",(AV43/AP43-1)*100))</f>
        <v/>
      </c>
      <c r="AW92" s="645" t="str">
        <f t="shared" ref="AW92:AX97" si="244">IF(AW43="","",IF(AQ43=0,"N",(AW43/AQ43-1)*100))</f>
        <v/>
      </c>
      <c r="AX92" s="606">
        <f t="shared" ca="1" si="244"/>
        <v>-26.267632481890956</v>
      </c>
      <c r="AY92" s="638" t="str">
        <f t="shared" ref="AY92:AY97" si="245">IF(AY43="","",IF(AS43=0,"N",(AY43/AS43-1)*100))</f>
        <v/>
      </c>
      <c r="AZ92" s="613"/>
      <c r="BA92" s="636" t="str">
        <f t="shared" ref="BA92:BA97" si="246">IF(BA43="","",IF(AU43=0,"N",(BA43/AU43-1)*100))</f>
        <v/>
      </c>
      <c r="BB92" s="635" t="str">
        <f t="shared" ref="BB92:BB97" si="247">IF(BB43="","",IF(AV43=0,"N",(BB43/AV43-1)*100))</f>
        <v/>
      </c>
      <c r="BC92" s="645" t="str">
        <f t="shared" ref="BC92:BD97" si="248">IF(BC43="","",IF(AW43=0,"N",(BC43/AW43-1)*100))</f>
        <v/>
      </c>
      <c r="BD92" s="606">
        <f t="shared" ca="1" si="248"/>
        <v>41.726990692864518</v>
      </c>
      <c r="BE92" s="638" t="str">
        <f t="shared" ref="BE92:BE97" si="249">IF(BE43="","",IF(AY43=0,"N",(BE43/AY43-1)*100))</f>
        <v/>
      </c>
      <c r="BF92" s="613"/>
      <c r="BG92" s="636" t="str">
        <f t="shared" ref="BG92:BG97" si="250">IF(BG43="","",IF(BA43=0,"N",(BG43/BA43-1)*100))</f>
        <v/>
      </c>
      <c r="BH92" s="635" t="str">
        <f t="shared" ref="BH92:BH97" si="251">IF(BH43="","",IF(BB43=0,"N",(BH43/BB43-1)*100))</f>
        <v/>
      </c>
      <c r="BI92" s="645" t="str">
        <f t="shared" ref="BI92:BJ97" si="252">IF(BI43="","",IF(BC43=0,"N",(BI43/BC43-1)*100))</f>
        <v/>
      </c>
      <c r="BJ92" s="606">
        <f t="shared" ca="1" si="252"/>
        <v>-21.196643560744345</v>
      </c>
      <c r="BK92" s="638" t="str">
        <f t="shared" ref="BK92:BK97" si="253">IF(BK43="","",IF(BE43=0,"N",(BK43/BE43-1)*100))</f>
        <v/>
      </c>
      <c r="BL92" s="613"/>
      <c r="BM92" s="636" t="str">
        <f t="shared" ref="BM92:BM97" si="254">IF(BM43="","",IF(BG43=0,"N",(BM43/BG43-1)*100))</f>
        <v/>
      </c>
      <c r="BN92" s="635" t="str">
        <f t="shared" ref="BN92:BN97" si="255">IF(BN43="","",IF(BH43=0,"N",(BN43/BH43-1)*100))</f>
        <v/>
      </c>
      <c r="BO92" s="645" t="str">
        <f t="shared" ref="BO92:BP97" si="256">IF(BO43="","",IF(BI43=0,"N",(BO43/BI43-1)*100))</f>
        <v/>
      </c>
      <c r="BP92" s="606">
        <f t="shared" ca="1" si="256"/>
        <v>97.129629629629832</v>
      </c>
      <c r="BQ92" s="638" t="str">
        <f t="shared" ref="BQ92:BQ97" si="257">IF(BQ43="","",IF(BK43=0,"N",(BQ43/BK43-1)*100))</f>
        <v/>
      </c>
      <c r="BR92" s="613"/>
      <c r="BS92" s="636" t="str">
        <f t="shared" ref="BS92:BS97" si="258">IF(BS43="","",IF(BM43=0,"N",(BS43/BM43-1)*100))</f>
        <v/>
      </c>
      <c r="BT92" s="635" t="str">
        <f t="shared" ref="BT92:BT97" si="259">IF(BT43="","",IF(BN43=0,"N",(BT43/BN43-1)*100))</f>
        <v/>
      </c>
      <c r="BU92" s="645" t="str">
        <f t="shared" ref="BU92:BV97" si="260">IF(BU43="","",IF(BO43=0,"N",(BU43/BO43-1)*100))</f>
        <v/>
      </c>
      <c r="BV92" s="606">
        <f t="shared" ca="1" si="260"/>
        <v>-37.693752935650558</v>
      </c>
      <c r="BW92" s="638" t="str">
        <f t="shared" ref="BW92:BW97" si="261">IF(BW43="","",IF(BQ43=0,"N",(BW43/BQ43-1)*100))</f>
        <v/>
      </c>
      <c r="BX92" s="613"/>
      <c r="BY92" s="636" t="str">
        <f t="shared" ref="BY92:BY97" si="262">IF(BY43="","",IF(BS43=0,"N",(BY43/BS43-1)*100))</f>
        <v/>
      </c>
      <c r="BZ92" s="635" t="str">
        <f t="shared" ref="BZ92:BZ97" si="263">IF(BZ43="","",IF(BT43=0,"N",(BZ43/BT43-1)*100))</f>
        <v/>
      </c>
      <c r="CA92" s="645" t="str">
        <f t="shared" ref="CA92:CB97" si="264">IF(CA43="","",IF(BU43=0,"N",(CA43/BU43-1)*100))</f>
        <v/>
      </c>
      <c r="CB92" s="606">
        <f t="shared" ca="1" si="264"/>
        <v>-41.500188465887554</v>
      </c>
      <c r="CC92" s="638" t="str">
        <f t="shared" ref="CC92:CC97" si="265">IF(CC43="","",IF(BW43=0,"N",(CC43/BW43-1)*100))</f>
        <v/>
      </c>
      <c r="CD92" s="613"/>
      <c r="CE92" s="636" t="str">
        <f t="shared" ref="CE92:CE97" si="266">IF(CE43="","",IF(BY43=0,"N",(CE43/BY43-1)*100))</f>
        <v/>
      </c>
      <c r="CF92" s="635" t="str">
        <f t="shared" ref="CF92:CF97" si="267">IF(CF43="","",IF(BZ43=0,"N",(CF43/BZ43-1)*100))</f>
        <v/>
      </c>
      <c r="CG92" s="645" t="str">
        <f t="shared" ref="CG92:CH97" si="268">IF(CG43="","",IF(CA43=0,"N",(CG43/CA43-1)*100))</f>
        <v/>
      </c>
      <c r="CH92" s="606">
        <f t="shared" ca="1" si="268"/>
        <v>5.1546391752577359</v>
      </c>
      <c r="CI92" s="638" t="str">
        <f t="shared" ref="CI92:CI97" si="269">IF(CI43="","",IF(CC43=0,"N",(CI43/CC43-1)*100))</f>
        <v/>
      </c>
      <c r="CJ92" s="613"/>
      <c r="CK92" s="636" t="str">
        <f t="shared" ref="CK92:CK97" si="270">IF(CK43="","",IF(CE43=0,"N",(CK43/CE43-1)*100))</f>
        <v/>
      </c>
      <c r="CL92" s="635" t="str">
        <f t="shared" ref="CL92:CL97" si="271">IF(CL43="","",IF(CF43=0,"N",(CL43/CF43-1)*100))</f>
        <v/>
      </c>
      <c r="CM92" s="645" t="str">
        <f t="shared" ref="CM92:CN97" si="272">IF(CM43="","",IF(CG43=0,"N",(CM43/CG43-1)*100))</f>
        <v/>
      </c>
      <c r="CN92" s="606">
        <f t="shared" ca="1" si="272"/>
        <v>14.889705882352766</v>
      </c>
      <c r="CO92" s="638" t="str">
        <f t="shared" ref="CO92:CO97" si="273">IF(CO43="","",IF(CI43=0,"N",(CO43/CI43-1)*100))</f>
        <v/>
      </c>
      <c r="CP92" s="613"/>
      <c r="CQ92" s="636" t="str">
        <f t="shared" ref="CQ92:CQ97" si="274">IF(CQ43="","",IF(CK43=0,"N",(CQ43/CK43-1)*100))</f>
        <v/>
      </c>
      <c r="CR92" s="635" t="str">
        <f t="shared" ref="CR92:CR97" si="275">IF(CR43="","",IF(CL43=0,"N",(CR43/CL43-1)*100))</f>
        <v/>
      </c>
      <c r="CS92" s="645" t="str">
        <f t="shared" ref="CS92:CS97" si="276">IF(CS43="","",IF(CM43=0,"N",(CS43/CM43-1)*100))</f>
        <v/>
      </c>
      <c r="CT92" s="606">
        <f t="shared" ca="1" si="42"/>
        <v>13.066666666666539</v>
      </c>
      <c r="CU92" s="638" t="str">
        <f t="shared" ref="CU92:CU97" si="277">IF(CU43="","",IF(CO43=0,"N",(CU43/CO43-1)*100))</f>
        <v/>
      </c>
      <c r="CV92" s="613"/>
      <c r="CW92" s="636" t="str">
        <f t="shared" ref="CW92:CW97" si="278">IF(CW43="","",IF(CQ43=0,"N",(CW43/CQ43-1)*100))</f>
        <v/>
      </c>
      <c r="CX92" s="635" t="str">
        <f t="shared" ref="CX92:CX97" si="279">IF(CX43="","",IF(CR43=0,"N",(CX43/CR43-1)*100))</f>
        <v/>
      </c>
      <c r="CY92" s="645" t="str">
        <f t="shared" ref="CY92:CY97" si="280">IF(CY43="","",IF(CS43=0,"N",(CY43/CS43-1)*100))</f>
        <v/>
      </c>
      <c r="CZ92" s="606">
        <f t="shared" ca="1" si="47"/>
        <v>29.150943396226793</v>
      </c>
      <c r="DA92" s="638" t="str">
        <f t="shared" ref="DA92:DA97" si="281">IF(DA43="","",IF(CU43=0,"N",(DA43/CU43-1)*100))</f>
        <v/>
      </c>
      <c r="DB92" s="613"/>
      <c r="DC92" s="636" t="str">
        <f t="shared" ref="DC92:DC97" si="282">IF(DC43="","",IF(CW43=0,"N",(DC43/CW43-1)*100))</f>
        <v/>
      </c>
      <c r="DD92" s="635" t="str">
        <f t="shared" ref="DD92:DD97" si="283">IF(DD43="","",IF(CX43=0,"N",(DD43/CX43-1)*100))</f>
        <v/>
      </c>
      <c r="DE92" s="645" t="str">
        <f t="shared" ref="DE92:DE97" si="284">IF(DE43="","",IF(CY43=0,"N",(DE43/CY43-1)*100))</f>
        <v/>
      </c>
      <c r="DF92" s="606">
        <f t="shared" ca="1" si="52"/>
        <v>94.850255661066157</v>
      </c>
      <c r="DG92" s="638" t="str">
        <f t="shared" ref="DG92:DG97" si="285">IF(DG43="","",IF(DA43=0,"N",(DG43/DA43-1)*100))</f>
        <v/>
      </c>
      <c r="DH92" s="613"/>
      <c r="DI92" s="636" t="str">
        <f t="shared" ref="DI92:DI97" si="286">IF(DI43="","",IF(DC43=0,"N",(DI43/DC43-1)*100))</f>
        <v/>
      </c>
      <c r="DJ92" s="635" t="str">
        <f t="shared" ref="DJ92:DJ97" si="287">IF(DJ43="","",IF(DD43=0,"N",(DJ43/DD43-1)*100))</f>
        <v/>
      </c>
      <c r="DK92" s="645" t="str">
        <f t="shared" ref="DK92:DK97" si="288">IF(DK43="","",IF(DE43=0,"N",(DK43/DE43-1)*100))</f>
        <v/>
      </c>
      <c r="DL92" s="606">
        <f t="shared" ca="1" si="57"/>
        <v>-1.4245548266166863</v>
      </c>
      <c r="DM92" s="638" t="str">
        <f t="shared" ref="DM92:DM97" si="289">IF(DM43="","",IF(DG43=0,"N",(DM43/DG43-1)*100))</f>
        <v/>
      </c>
      <c r="DN92" s="613"/>
      <c r="DO92" s="636" t="str">
        <f t="shared" ref="DO92:DO97" si="290">IF(DO43="","",IF(DI43=0,"N",(DO43/DI43-1)*100))</f>
        <v/>
      </c>
      <c r="DP92" s="635" t="str">
        <f t="shared" ref="DP92:DP97" si="291">IF(DP43="","",IF(DJ43=0,"N",(DP43/DJ43-1)*100))</f>
        <v/>
      </c>
      <c r="DQ92" s="645" t="str">
        <f t="shared" ref="DQ92:DQ97" si="292">IF(DQ43="","",IF(DK43=0,"N",(DQ43/DK43-1)*100))</f>
        <v/>
      </c>
      <c r="DR92" s="606">
        <f t="shared" ca="1" si="62"/>
        <v>-57.064080623692725</v>
      </c>
      <c r="DS92" s="638" t="str">
        <f t="shared" ref="DS92:DS97" si="293">IF(DS43="","",IF(DM43=0,"N",(DS43/DM43-1)*100))</f>
        <v/>
      </c>
      <c r="DT92" s="613"/>
      <c r="DU92" s="636" t="str">
        <f t="shared" ref="DU92:DU97" si="294">IF(DU43="","",IF(DO43=0,"N",(DU43/DO43-1)*100))</f>
        <v/>
      </c>
      <c r="DV92" s="635" t="str">
        <f t="shared" ref="DV92:DV97" si="295">IF(DV43="","",IF(DP43=0,"N",(DV43/DP43-1)*100))</f>
        <v/>
      </c>
      <c r="DW92" s="645" t="str">
        <f t="shared" ref="DW92:DW97" si="296">IF(DW43="","",IF(DQ43=0,"N",(DW43/DQ43-1)*100))</f>
        <v/>
      </c>
      <c r="DX92" s="606">
        <f t="shared" ca="1" si="67"/>
        <v>-11.071744906997305</v>
      </c>
      <c r="DY92" s="638" t="str">
        <f t="shared" ref="DY92:DY97" si="297">IF(DY43="","",IF(DS43=0,"N",(DY43/DS43-1)*100))</f>
        <v/>
      </c>
      <c r="DZ92" s="613"/>
      <c r="EA92" s="636" t="str">
        <f t="shared" ref="EA92:EA97" si="298">IF(EA43="","",IF(DU43=0,"N",(EA43/DU43-1)*100))</f>
        <v/>
      </c>
      <c r="EB92" s="635" t="str">
        <f t="shared" ref="EB92:EB97" si="299">IF(EB43="","",IF(DV43=0,"N",(EB43/DV43-1)*100))</f>
        <v/>
      </c>
      <c r="EC92" s="645" t="str">
        <f t="shared" ref="EC92:EC97" si="300">IF(EC43="","",IF(DW43=0,"N",(EC43/DW43-1)*100))</f>
        <v/>
      </c>
      <c r="ED92" s="606">
        <f t="shared" ca="1" si="72"/>
        <v>211.10557768924281</v>
      </c>
      <c r="EE92" s="638" t="str">
        <f t="shared" ref="EE92:EE97" si="301">IF(EE43="","",IF(DY43=0,"N",(EE43/DY43-1)*100))</f>
        <v/>
      </c>
      <c r="EF92" s="613"/>
      <c r="EG92" s="636" t="str">
        <f t="shared" ref="EG92:EG97" si="302">IF(EG43="","",IF(EA43=0,"N",(EG43/EA43-1)*100))</f>
        <v/>
      </c>
      <c r="EH92" s="635" t="str">
        <f t="shared" ref="EH92:EH97" si="303">IF(EH43="","",IF(EB43=0,"N",(EH43/EB43-1)*100))</f>
        <v/>
      </c>
      <c r="EI92" s="645" t="str">
        <f t="shared" ref="EI92:EI97" si="304">IF(EI43="","",IF(EC43=0,"N",(EI43/EC43-1)*100))</f>
        <v/>
      </c>
      <c r="EJ92" s="606">
        <f t="shared" ca="1" si="77"/>
        <v>-30.494637425964488</v>
      </c>
      <c r="EK92" s="638" t="str">
        <f t="shared" ref="EK92:EK97" si="305">IF(EK43="","",IF(EE43=0,"N",(EK43/EE43-1)*100))</f>
        <v/>
      </c>
      <c r="EL92" s="613"/>
      <c r="EM92" s="636" t="str">
        <f t="shared" ref="EM92:EM97" si="306">IF(EM43="","",IF(EG43=0,"N",(EM43/EG43-1)*100))</f>
        <v/>
      </c>
      <c r="EN92" s="635" t="str">
        <f t="shared" ref="EN92:EN97" si="307">IF(EN43="","",IF(EH43=0,"N",(EN43/EH43-1)*100))</f>
        <v/>
      </c>
      <c r="EO92" s="645" t="str">
        <f t="shared" ref="EO92:EO97" si="308">IF(EO43="","",IF(EI43=0,"N",(EO43/EI43-1)*100))</f>
        <v/>
      </c>
      <c r="EP92" s="606">
        <f t="shared" ca="1" si="82"/>
        <v>-28.55004277159966</v>
      </c>
      <c r="EQ92" s="638" t="str">
        <f t="shared" ref="EQ92:EQ97" si="309">IF(EQ43="","",IF(EK43=0,"N",(EQ43/EK43-1)*100))</f>
        <v/>
      </c>
      <c r="ER92" s="613"/>
    </row>
    <row r="93" spans="2:148" ht="13.8" thickBot="1">
      <c r="B93" s="592"/>
      <c r="C93" s="611"/>
      <c r="D93" s="612" t="s">
        <v>104</v>
      </c>
      <c r="E93" s="636"/>
      <c r="F93" s="635"/>
      <c r="G93" s="645"/>
      <c r="H93" s="609"/>
      <c r="I93" s="638"/>
      <c r="J93" s="613"/>
      <c r="K93" s="636" t="str">
        <f t="shared" si="221"/>
        <v/>
      </c>
      <c r="L93" s="635" t="str">
        <f t="shared" si="221"/>
        <v/>
      </c>
      <c r="M93" s="645" t="str">
        <f t="shared" si="221"/>
        <v/>
      </c>
      <c r="N93" s="609">
        <f t="shared" ca="1" si="221"/>
        <v>7.1027651671481618</v>
      </c>
      <c r="O93" s="638" t="str">
        <f t="shared" si="221"/>
        <v/>
      </c>
      <c r="P93" s="613"/>
      <c r="Q93" s="636" t="str">
        <f t="shared" si="222"/>
        <v/>
      </c>
      <c r="R93" s="635" t="str">
        <f t="shared" si="223"/>
        <v/>
      </c>
      <c r="S93" s="645" t="str">
        <f t="shared" si="224"/>
        <v/>
      </c>
      <c r="T93" s="609">
        <f t="shared" ca="1" si="224"/>
        <v>27.447882547878688</v>
      </c>
      <c r="U93" s="638" t="str">
        <f t="shared" si="225"/>
        <v/>
      </c>
      <c r="V93" s="613"/>
      <c r="W93" s="636" t="str">
        <f t="shared" si="226"/>
        <v/>
      </c>
      <c r="X93" s="635" t="str">
        <f t="shared" si="227"/>
        <v/>
      </c>
      <c r="Y93" s="645" t="str">
        <f t="shared" si="228"/>
        <v/>
      </c>
      <c r="Z93" s="609">
        <f t="shared" ca="1" si="228"/>
        <v>-1.0431154381084884</v>
      </c>
      <c r="AA93" s="638" t="str">
        <f t="shared" si="229"/>
        <v/>
      </c>
      <c r="AB93" s="613"/>
      <c r="AC93" s="636" t="str">
        <f t="shared" si="230"/>
        <v/>
      </c>
      <c r="AD93" s="635" t="str">
        <f t="shared" si="231"/>
        <v/>
      </c>
      <c r="AE93" s="645" t="str">
        <f t="shared" si="232"/>
        <v/>
      </c>
      <c r="AF93" s="609">
        <f t="shared" ca="1" si="232"/>
        <v>-3.0645604815301319</v>
      </c>
      <c r="AG93" s="638" t="str">
        <f t="shared" si="233"/>
        <v/>
      </c>
      <c r="AH93" s="613"/>
      <c r="AI93" s="636" t="str">
        <f t="shared" si="234"/>
        <v/>
      </c>
      <c r="AJ93" s="635" t="str">
        <f t="shared" si="235"/>
        <v/>
      </c>
      <c r="AK93" s="645" t="str">
        <f t="shared" si="236"/>
        <v/>
      </c>
      <c r="AL93" s="609">
        <f t="shared" ca="1" si="236"/>
        <v>4.59875181239362</v>
      </c>
      <c r="AM93" s="638" t="str">
        <f t="shared" si="237"/>
        <v/>
      </c>
      <c r="AN93" s="613"/>
      <c r="AO93" s="636" t="str">
        <f t="shared" si="238"/>
        <v/>
      </c>
      <c r="AP93" s="635" t="str">
        <f t="shared" si="239"/>
        <v/>
      </c>
      <c r="AQ93" s="645" t="str">
        <f t="shared" si="240"/>
        <v/>
      </c>
      <c r="AR93" s="609">
        <f t="shared" ca="1" si="240"/>
        <v>-18.894078649992462</v>
      </c>
      <c r="AS93" s="638" t="str">
        <f t="shared" si="241"/>
        <v/>
      </c>
      <c r="AT93" s="613"/>
      <c r="AU93" s="636" t="str">
        <f t="shared" si="242"/>
        <v/>
      </c>
      <c r="AV93" s="635" t="str">
        <f t="shared" si="243"/>
        <v/>
      </c>
      <c r="AW93" s="645" t="str">
        <f t="shared" si="244"/>
        <v/>
      </c>
      <c r="AX93" s="609">
        <f t="shared" ca="1" si="244"/>
        <v>-4.7111276240014988</v>
      </c>
      <c r="AY93" s="638" t="str">
        <f t="shared" si="245"/>
        <v/>
      </c>
      <c r="AZ93" s="613"/>
      <c r="BA93" s="636" t="str">
        <f t="shared" si="246"/>
        <v/>
      </c>
      <c r="BB93" s="635" t="str">
        <f t="shared" si="247"/>
        <v/>
      </c>
      <c r="BC93" s="645" t="str">
        <f t="shared" si="248"/>
        <v/>
      </c>
      <c r="BD93" s="609">
        <f t="shared" ca="1" si="248"/>
        <v>64.202440831286339</v>
      </c>
      <c r="BE93" s="638" t="str">
        <f t="shared" si="249"/>
        <v/>
      </c>
      <c r="BF93" s="613"/>
      <c r="BG93" s="636" t="str">
        <f t="shared" si="250"/>
        <v/>
      </c>
      <c r="BH93" s="635" t="str">
        <f t="shared" si="251"/>
        <v/>
      </c>
      <c r="BI93" s="645" t="str">
        <f t="shared" si="252"/>
        <v/>
      </c>
      <c r="BJ93" s="609">
        <f t="shared" ca="1" si="252"/>
        <v>-33.412485455797515</v>
      </c>
      <c r="BK93" s="638" t="str">
        <f t="shared" si="253"/>
        <v/>
      </c>
      <c r="BL93" s="613"/>
      <c r="BM93" s="636" t="str">
        <f t="shared" si="254"/>
        <v/>
      </c>
      <c r="BN93" s="635" t="str">
        <f t="shared" si="255"/>
        <v/>
      </c>
      <c r="BO93" s="645" t="str">
        <f t="shared" si="256"/>
        <v/>
      </c>
      <c r="BP93" s="609">
        <f t="shared" ca="1" si="256"/>
        <v>294.55459667641401</v>
      </c>
      <c r="BQ93" s="638" t="str">
        <f t="shared" si="257"/>
        <v/>
      </c>
      <c r="BR93" s="613"/>
      <c r="BS93" s="636" t="str">
        <f t="shared" si="258"/>
        <v/>
      </c>
      <c r="BT93" s="635" t="str">
        <f t="shared" si="259"/>
        <v/>
      </c>
      <c r="BU93" s="645" t="str">
        <f t="shared" si="260"/>
        <v/>
      </c>
      <c r="BV93" s="609">
        <f t="shared" ca="1" si="260"/>
        <v>-64.130837573774642</v>
      </c>
      <c r="BW93" s="638" t="str">
        <f t="shared" si="261"/>
        <v/>
      </c>
      <c r="BX93" s="613"/>
      <c r="BY93" s="636" t="str">
        <f t="shared" si="262"/>
        <v/>
      </c>
      <c r="BZ93" s="635" t="str">
        <f t="shared" si="263"/>
        <v/>
      </c>
      <c r="CA93" s="645" t="str">
        <f t="shared" si="264"/>
        <v/>
      </c>
      <c r="CB93" s="609">
        <f t="shared" ca="1" si="264"/>
        <v>9.1417628382804992</v>
      </c>
      <c r="CC93" s="638" t="str">
        <f t="shared" si="265"/>
        <v/>
      </c>
      <c r="CD93" s="613"/>
      <c r="CE93" s="636" t="str">
        <f t="shared" si="266"/>
        <v/>
      </c>
      <c r="CF93" s="635" t="str">
        <f t="shared" si="267"/>
        <v/>
      </c>
      <c r="CG93" s="645" t="str">
        <f t="shared" si="268"/>
        <v/>
      </c>
      <c r="CH93" s="609">
        <f t="shared" ca="1" si="268"/>
        <v>4.2041834049037385</v>
      </c>
      <c r="CI93" s="638" t="str">
        <f t="shared" si="269"/>
        <v/>
      </c>
      <c r="CJ93" s="613"/>
      <c r="CK93" s="636" t="str">
        <f t="shared" si="270"/>
        <v/>
      </c>
      <c r="CL93" s="635" t="str">
        <f t="shared" si="271"/>
        <v/>
      </c>
      <c r="CM93" s="645" t="str">
        <f t="shared" si="272"/>
        <v/>
      </c>
      <c r="CN93" s="609">
        <f t="shared" ca="1" si="272"/>
        <v>9.0063143901628617</v>
      </c>
      <c r="CO93" s="638" t="str">
        <f t="shared" si="273"/>
        <v/>
      </c>
      <c r="CP93" s="613"/>
      <c r="CQ93" s="636" t="str">
        <f t="shared" si="274"/>
        <v/>
      </c>
      <c r="CR93" s="635" t="str">
        <f t="shared" si="275"/>
        <v/>
      </c>
      <c r="CS93" s="645" t="str">
        <f t="shared" si="276"/>
        <v/>
      </c>
      <c r="CT93" s="609">
        <f t="shared" ca="1" si="42"/>
        <v>8.5670731707317103</v>
      </c>
      <c r="CU93" s="638" t="str">
        <f t="shared" si="277"/>
        <v/>
      </c>
      <c r="CV93" s="613"/>
      <c r="CW93" s="636" t="str">
        <f t="shared" si="278"/>
        <v/>
      </c>
      <c r="CX93" s="635" t="str">
        <f t="shared" si="279"/>
        <v/>
      </c>
      <c r="CY93" s="645" t="str">
        <f t="shared" si="280"/>
        <v/>
      </c>
      <c r="CZ93" s="609">
        <f t="shared" ca="1" si="47"/>
        <v>37.779649911073676</v>
      </c>
      <c r="DA93" s="638" t="str">
        <f t="shared" si="281"/>
        <v/>
      </c>
      <c r="DB93" s="613"/>
      <c r="DC93" s="636" t="str">
        <f t="shared" si="282"/>
        <v/>
      </c>
      <c r="DD93" s="635" t="str">
        <f t="shared" si="283"/>
        <v/>
      </c>
      <c r="DE93" s="645" t="str">
        <f t="shared" si="284"/>
        <v/>
      </c>
      <c r="DF93" s="609">
        <f t="shared" ca="1" si="52"/>
        <v>26.961070724913384</v>
      </c>
      <c r="DG93" s="638" t="str">
        <f t="shared" si="285"/>
        <v/>
      </c>
      <c r="DH93" s="613"/>
      <c r="DI93" s="636" t="str">
        <f t="shared" si="286"/>
        <v/>
      </c>
      <c r="DJ93" s="635" t="str">
        <f t="shared" si="287"/>
        <v/>
      </c>
      <c r="DK93" s="645" t="str">
        <f t="shared" si="288"/>
        <v/>
      </c>
      <c r="DL93" s="609">
        <f t="shared" ca="1" si="57"/>
        <v>-18.576152915868448</v>
      </c>
      <c r="DM93" s="638" t="str">
        <f t="shared" si="289"/>
        <v/>
      </c>
      <c r="DN93" s="613"/>
      <c r="DO93" s="636" t="str">
        <f t="shared" si="290"/>
        <v/>
      </c>
      <c r="DP93" s="635" t="str">
        <f t="shared" si="291"/>
        <v/>
      </c>
      <c r="DQ93" s="645" t="str">
        <f t="shared" si="292"/>
        <v/>
      </c>
      <c r="DR93" s="609">
        <f t="shared" ca="1" si="62"/>
        <v>-6.4419032597266002</v>
      </c>
      <c r="DS93" s="638" t="str">
        <f t="shared" si="293"/>
        <v/>
      </c>
      <c r="DT93" s="613"/>
      <c r="DU93" s="636" t="str">
        <f t="shared" si="294"/>
        <v/>
      </c>
      <c r="DV93" s="635" t="str">
        <f t="shared" si="295"/>
        <v/>
      </c>
      <c r="DW93" s="645" t="str">
        <f t="shared" si="296"/>
        <v/>
      </c>
      <c r="DX93" s="609">
        <f t="shared" ca="1" si="67"/>
        <v>-26.749462622402675</v>
      </c>
      <c r="DY93" s="638" t="str">
        <f t="shared" si="297"/>
        <v/>
      </c>
      <c r="DZ93" s="613"/>
      <c r="EA93" s="636" t="str">
        <f t="shared" si="298"/>
        <v/>
      </c>
      <c r="EB93" s="635" t="str">
        <f t="shared" si="299"/>
        <v/>
      </c>
      <c r="EC93" s="645" t="str">
        <f t="shared" si="300"/>
        <v/>
      </c>
      <c r="ED93" s="609">
        <f t="shared" ca="1" si="72"/>
        <v>-10.07499184871209</v>
      </c>
      <c r="EE93" s="638" t="str">
        <f t="shared" si="301"/>
        <v/>
      </c>
      <c r="EF93" s="613"/>
      <c r="EG93" s="636" t="str">
        <f t="shared" si="302"/>
        <v/>
      </c>
      <c r="EH93" s="635" t="str">
        <f t="shared" si="303"/>
        <v/>
      </c>
      <c r="EI93" s="645" t="str">
        <f t="shared" si="304"/>
        <v/>
      </c>
      <c r="EJ93" s="609">
        <f t="shared" ca="1" si="77"/>
        <v>-9.5977477285330455</v>
      </c>
      <c r="EK93" s="638" t="str">
        <f t="shared" si="305"/>
        <v/>
      </c>
      <c r="EL93" s="613"/>
      <c r="EM93" s="636" t="str">
        <f t="shared" si="306"/>
        <v/>
      </c>
      <c r="EN93" s="635" t="str">
        <f t="shared" si="307"/>
        <v/>
      </c>
      <c r="EO93" s="645" t="str">
        <f t="shared" si="308"/>
        <v/>
      </c>
      <c r="EP93" s="609">
        <f t="shared" ca="1" si="82"/>
        <v>-9.0062111047917615</v>
      </c>
      <c r="EQ93" s="638" t="str">
        <f t="shared" si="309"/>
        <v/>
      </c>
      <c r="ER93" s="613"/>
    </row>
    <row r="94" spans="2:148">
      <c r="B94" s="568" t="s">
        <v>2133</v>
      </c>
      <c r="C94" s="4136" t="s">
        <v>1247</v>
      </c>
      <c r="D94" s="4135"/>
      <c r="E94" s="636"/>
      <c r="F94" s="633"/>
      <c r="G94" s="633"/>
      <c r="H94" s="633"/>
      <c r="I94" s="633"/>
      <c r="J94" s="576"/>
      <c r="K94" s="636">
        <f t="shared" ca="1" si="221"/>
        <v>174.19354838709745</v>
      </c>
      <c r="L94" s="633">
        <f t="shared" ca="1" si="221"/>
        <v>-4.8677248677248652</v>
      </c>
      <c r="M94" s="633">
        <f t="shared" ca="1" si="221"/>
        <v>-0.10460251046023883</v>
      </c>
      <c r="N94" s="633">
        <f t="shared" ca="1" si="221"/>
        <v>44.999999999999993</v>
      </c>
      <c r="O94" s="633">
        <f t="shared" ca="1" si="221"/>
        <v>153.73134328358211</v>
      </c>
      <c r="P94" s="576" t="str">
        <f ca="1">IF(ROUND(P45,2)=0,"ok","!")</f>
        <v>ok</v>
      </c>
      <c r="Q94" s="636">
        <f t="shared" ca="1" si="222"/>
        <v>211.76470588235307</v>
      </c>
      <c r="R94" s="633">
        <f t="shared" ca="1" si="223"/>
        <v>10.678531701890993</v>
      </c>
      <c r="S94" s="633">
        <f t="shared" ca="1" si="224"/>
        <v>33.560209424083752</v>
      </c>
      <c r="T94" s="633">
        <f ca="1">IF(T45="","",IF(N45=0,"N",(T45/N45-1)*100))</f>
        <v>-153.44827586206898</v>
      </c>
      <c r="U94" s="633">
        <f t="shared" ca="1" si="225"/>
        <v>211.7647058823529</v>
      </c>
      <c r="V94" s="576" t="str">
        <f ca="1">IF(ROUND(V45,2)=0,"ok","!")</f>
        <v>ok</v>
      </c>
      <c r="W94" s="636">
        <f t="shared" ca="1" si="226"/>
        <v>-50.943396226415118</v>
      </c>
      <c r="X94" s="633">
        <f t="shared" ca="1" si="227"/>
        <v>-3.0150753768844241</v>
      </c>
      <c r="Y94" s="633">
        <f t="shared" ca="1" si="228"/>
        <v>-15.092120736965898</v>
      </c>
      <c r="Z94" s="633">
        <f ca="1">IF(Z45="","",IF(T45=0,"N",(Z45/T45-1)*100))</f>
        <v>-177.41935483870967</v>
      </c>
      <c r="AA94" s="633">
        <f t="shared" ca="1" si="229"/>
        <v>-50.943396226415096</v>
      </c>
      <c r="AB94" s="576" t="str">
        <f ca="1">IF(ROUND(AB45,2)=0,"ok","!")</f>
        <v>ok</v>
      </c>
      <c r="AC94" s="636">
        <f t="shared" ca="1" si="230"/>
        <v>-229.6153846153847</v>
      </c>
      <c r="AD94" s="633">
        <f t="shared" ca="1" si="231"/>
        <v>8.8082901554404014</v>
      </c>
      <c r="AE94" s="633">
        <f t="shared" ca="1" si="232"/>
        <v>-26.823638042474606</v>
      </c>
      <c r="AF94" s="633">
        <f ca="1">IF(AF45="","",IF(Z45=0,"N",(AF45/Z45-1)*100))</f>
        <v>641.66666666666674</v>
      </c>
      <c r="AG94" s="633">
        <f t="shared" ca="1" si="233"/>
        <v>-229.61538461538458</v>
      </c>
      <c r="AH94" s="576" t="str">
        <f ca="1">IF(ROUND(AH45,2)=0,"ok","!")</f>
        <v>ok</v>
      </c>
      <c r="AI94" s="636">
        <f t="shared" ca="1" si="234"/>
        <v>-329.67359050445111</v>
      </c>
      <c r="AJ94" s="633">
        <f t="shared" ca="1" si="235"/>
        <v>-5.3333333333333233</v>
      </c>
      <c r="AK94" s="633">
        <f t="shared" ca="1" si="236"/>
        <v>73.312302839116711</v>
      </c>
      <c r="AL94" s="633">
        <f ca="1">IF(AL45="","",IF(AF45=0,"N",(AL45/AF45-1)*100))</f>
        <v>-91.573033707865164</v>
      </c>
      <c r="AM94" s="633">
        <f t="shared" ca="1" si="237"/>
        <v>-329.67359050445111</v>
      </c>
      <c r="AN94" s="576" t="str">
        <f ca="1">IF(ROUND(AN45,2)=0,"ok","!")</f>
        <v>ok</v>
      </c>
      <c r="AO94" s="636">
        <f t="shared" ca="1" si="238"/>
        <v>-150.00000000000003</v>
      </c>
      <c r="AP94" s="633">
        <f t="shared" ca="1" si="239"/>
        <v>40.392354124748486</v>
      </c>
      <c r="AQ94" s="633">
        <f t="shared" ca="1" si="240"/>
        <v>-43.975245722606481</v>
      </c>
      <c r="AR94" s="633">
        <f ca="1">IF(AR45="","",IF(AL45=0,"N",(AR45/AL45-1)*100))</f>
        <v>5666.6666666666661</v>
      </c>
      <c r="AS94" s="633">
        <f t="shared" ca="1" si="241"/>
        <v>-150</v>
      </c>
      <c r="AT94" s="576" t="str">
        <f ca="1">IF(ROUND(AT45,2)=0,"ok","!")</f>
        <v>ok</v>
      </c>
      <c r="AU94" s="636">
        <f t="shared" ca="1" si="242"/>
        <v>-317.82945736434101</v>
      </c>
      <c r="AV94" s="633">
        <f t="shared" ca="1" si="243"/>
        <v>-15.585811537083483</v>
      </c>
      <c r="AW94" s="633">
        <f t="shared" ca="1" si="244"/>
        <v>202.40415854450936</v>
      </c>
      <c r="AX94" s="633">
        <f ca="1">IF(AX45="","",IF(AR45=0,"N",(AX45/AR45-1)*100))</f>
        <v>-268.20809248554912</v>
      </c>
      <c r="AY94" s="633">
        <f t="shared" ca="1" si="245"/>
        <v>-317.82945736434107</v>
      </c>
      <c r="AZ94" s="576" t="str">
        <f ca="1">IF(ROUND(AZ45,2)=0,"ok","!")</f>
        <v>ok</v>
      </c>
      <c r="BA94" s="636">
        <f t="shared" ca="1" si="246"/>
        <v>-15.539739027283417</v>
      </c>
      <c r="BB94" s="633">
        <f t="shared" ca="1" si="247"/>
        <v>-11.290322580645162</v>
      </c>
      <c r="BC94" s="633">
        <f t="shared" ca="1" si="248"/>
        <v>-44.864632574129772</v>
      </c>
      <c r="BD94" s="633">
        <f ca="1">IF(BD45="","",IF(AX45=0,"N",(BD45/AX45-1)*100))</f>
        <v>-116.21993127147768</v>
      </c>
      <c r="BE94" s="633">
        <f t="shared" ca="1" si="249"/>
        <v>-15.539739027283517</v>
      </c>
      <c r="BF94" s="576" t="str">
        <f ca="1">IF(ROUND(BF45,2)=0,"ok","!")</f>
        <v>ok</v>
      </c>
      <c r="BG94" s="636">
        <f t="shared" ca="1" si="250"/>
        <v>14.18539325842687</v>
      </c>
      <c r="BH94" s="633">
        <f t="shared" ca="1" si="251"/>
        <v>38.4688995215311</v>
      </c>
      <c r="BI94" s="633">
        <f t="shared" ca="1" si="252"/>
        <v>38.464536243180028</v>
      </c>
      <c r="BJ94" s="633">
        <f ca="1">IF(BJ45="","",IF(BD45=0,"N",(BJ45/BD45-1)*100))</f>
        <v>-34.745762711864415</v>
      </c>
      <c r="BK94" s="633">
        <f t="shared" ca="1" si="253"/>
        <v>14.185393258426959</v>
      </c>
      <c r="BL94" s="576" t="str">
        <f ca="1">IF(ROUND(BL45,2)=0,"ok","!")</f>
        <v>ok</v>
      </c>
      <c r="BM94" s="636">
        <f t="shared" ca="1" si="254"/>
        <v>91.143911439114376</v>
      </c>
      <c r="BN94" s="633">
        <f t="shared" ca="1" si="255"/>
        <v>-65.998617829993094</v>
      </c>
      <c r="BO94" s="633">
        <f t="shared" ca="1" si="256"/>
        <v>-14.748100197016612</v>
      </c>
      <c r="BP94" s="633">
        <f ca="1">IF(BP45="","",IF(BJ45=0,"N",(BP45/BJ45-1)*100))</f>
        <v>-418.8311688311689</v>
      </c>
      <c r="BQ94" s="633">
        <f t="shared" ca="1" si="257"/>
        <v>91.143911439114405</v>
      </c>
      <c r="BR94" s="576" t="str">
        <f ca="1">IF(ROUND(BR45,2)=0,"ok","!")</f>
        <v>ok</v>
      </c>
      <c r="BS94" s="636">
        <f t="shared" ca="1" si="258"/>
        <v>-144.33719433719435</v>
      </c>
      <c r="BT94" s="633">
        <f t="shared" ca="1" si="259"/>
        <v>246.54471544715452</v>
      </c>
      <c r="BU94" s="633">
        <f t="shared" ca="1" si="260"/>
        <v>142.58831297457908</v>
      </c>
      <c r="BV94" s="633">
        <f ca="1">IF(BV45="","",IF(BP45=0,"N",(BV45/BP45-1)*100))</f>
        <v>842.36252545824846</v>
      </c>
      <c r="BW94" s="633">
        <f t="shared" ca="1" si="261"/>
        <v>-144.33719433719435</v>
      </c>
      <c r="BX94" s="576" t="str">
        <f ca="1">IF(ROUND(BX45,2)=0,"ok","!")</f>
        <v>ok</v>
      </c>
      <c r="BY94" s="636">
        <f t="shared" ca="1" si="262"/>
        <v>-1234.9782293178516</v>
      </c>
      <c r="BZ94" s="633">
        <f t="shared" ca="1" si="263"/>
        <v>50.645161290322591</v>
      </c>
      <c r="CA94" s="633">
        <f t="shared" ca="1" si="264"/>
        <v>75.544365813826886</v>
      </c>
      <c r="CB94" s="633">
        <f ca="1">IF(CB45="","",IF(BV45=0,"N",(CB45/BV45-1)*100))</f>
        <v>-101.25351199481305</v>
      </c>
      <c r="CC94" s="633">
        <f t="shared" ca="1" si="265"/>
        <v>-1234.9782293178519</v>
      </c>
      <c r="CD94" s="576" t="str">
        <f ca="1">IF(ROUND(CD45,2)=0,"ok","!")</f>
        <v>ok</v>
      </c>
      <c r="CE94" s="636">
        <f t="shared" ca="1" si="266"/>
        <v>43.861892583120209</v>
      </c>
      <c r="CF94" s="633">
        <f t="shared" ca="1" si="267"/>
        <v>-17.344753747323338</v>
      </c>
      <c r="CG94" s="633">
        <f t="shared" ca="1" si="268"/>
        <v>16.892782386231488</v>
      </c>
      <c r="CH94" s="633">
        <f ca="1">IF(CH45="","",IF(CB45=0,"N",(CH45/CB45-1)*100))</f>
        <v>620.68965517241384</v>
      </c>
      <c r="CI94" s="633">
        <f t="shared" ca="1" si="269"/>
        <v>43.861892583120209</v>
      </c>
      <c r="CJ94" s="576" t="str">
        <f ca="1">IF(ROUND(CJ45,2)=0,"ok","!")</f>
        <v>ok</v>
      </c>
      <c r="CK94" s="636">
        <f t="shared" ca="1" si="270"/>
        <v>-76.63111111111111</v>
      </c>
      <c r="CL94" s="633">
        <f t="shared" ca="1" si="271"/>
        <v>-29.203956665096563</v>
      </c>
      <c r="CM94" s="633">
        <f t="shared" ca="1" si="272"/>
        <v>-65.751425918556833</v>
      </c>
      <c r="CN94" s="633">
        <f ca="1">IF(CN45="","",IF(CH45=0,"N",(CN45/CH45-1)*100))</f>
        <v>12.679425837320579</v>
      </c>
      <c r="CO94" s="633">
        <f t="shared" ca="1" si="273"/>
        <v>-76.63111111111111</v>
      </c>
      <c r="CP94" s="576" t="str">
        <f ca="1">IF(ROUND(CP45,2)=0,"ok","!")</f>
        <v>ok</v>
      </c>
      <c r="CQ94" s="636">
        <f t="shared" ca="1" si="274"/>
        <v>-87.980220616203894</v>
      </c>
      <c r="CR94" s="633">
        <f t="shared" ca="1" si="275"/>
        <v>57.75116433799068</v>
      </c>
      <c r="CS94" s="633">
        <f t="shared" ca="1" si="276"/>
        <v>17.428350116188994</v>
      </c>
      <c r="CT94" s="633">
        <f ca="1">IF(CT45="","",IF(CN45=0,"N",(CT45/CN45-1)*100))</f>
        <v>-313.58811040339702</v>
      </c>
      <c r="CU94" s="633">
        <f t="shared" ca="1" si="277"/>
        <v>-87.98022061620388</v>
      </c>
      <c r="CV94" s="576" t="str">
        <f ca="1">IF(ROUND(CV45,2)=0,"ok","!")</f>
        <v>ok</v>
      </c>
      <c r="CW94" s="636">
        <f t="shared" ca="1" si="278"/>
        <v>-368.98734177215215</v>
      </c>
      <c r="CX94" s="633">
        <f t="shared" ca="1" si="279"/>
        <v>64.57191058625051</v>
      </c>
      <c r="CY94" s="633">
        <f t="shared" ca="1" si="280"/>
        <v>18.750000000000021</v>
      </c>
      <c r="CZ94" s="633">
        <f ca="1">IF(CZ45="","",IF(CT45=0,"N",(CZ45/CT45-1)*100))</f>
        <v>-75.44731610337972</v>
      </c>
      <c r="DA94" s="633">
        <f t="shared" ca="1" si="281"/>
        <v>-368.98734177215158</v>
      </c>
      <c r="DB94" s="576" t="str">
        <f ca="1">IF(ROUND(DB45,2)=0,"ok","!")</f>
        <v>ok</v>
      </c>
      <c r="DC94" s="636">
        <f t="shared" ca="1" si="282"/>
        <v>340.00000000000057</v>
      </c>
      <c r="DD94" s="633">
        <f t="shared" ca="1" si="283"/>
        <v>-25.39723218862121</v>
      </c>
      <c r="DE94" s="633">
        <f t="shared" ca="1" si="284"/>
        <v>-84.849326482433</v>
      </c>
      <c r="DF94" s="633">
        <f ca="1">IF(DF45="","",IF(CZ45=0,"N",(DF45/CZ45-1)*100))</f>
        <v>-501.21457489878543</v>
      </c>
      <c r="DG94" s="633">
        <f t="shared" ca="1" si="285"/>
        <v>340.00000000000057</v>
      </c>
      <c r="DH94" s="576" t="str">
        <f ca="1">IF(ROUND(DH45,2)=0,"ok","!")</f>
        <v>ok</v>
      </c>
      <c r="DI94" s="636">
        <f t="shared" ca="1" si="286"/>
        <v>-123.39572192513366</v>
      </c>
      <c r="DJ94" s="633">
        <f t="shared" ca="1" si="287"/>
        <v>57.093782205427665</v>
      </c>
      <c r="DK94" s="633">
        <f t="shared" ca="1" si="288"/>
        <v>613.93217231897347</v>
      </c>
      <c r="DL94" s="633">
        <f ca="1">IF(DL45="","",IF(DF45=0,"N",(DL45/DF45-1)*100))</f>
        <v>125.22704339051462</v>
      </c>
      <c r="DM94" s="633">
        <f t="shared" ca="1" si="289"/>
        <v>-123.39572192513366</v>
      </c>
      <c r="DN94" s="576" t="str">
        <f ca="1">IF(ROUND(DN45,2)=0,"ok","!")</f>
        <v>ok</v>
      </c>
      <c r="DO94" s="636">
        <f t="shared" ca="1" si="290"/>
        <v>614.28571428571479</v>
      </c>
      <c r="DP94" s="633">
        <f t="shared" ca="1" si="291"/>
        <v>-5.0951235512792454</v>
      </c>
      <c r="DQ94" s="633">
        <f t="shared" ca="1" si="292"/>
        <v>77.262806522018252</v>
      </c>
      <c r="DR94" s="633">
        <f ca="1">IF(DR45="","",IF(DL45=0,"N",(DR45/DL45-1)*100))</f>
        <v>-49.686379928315404</v>
      </c>
      <c r="DS94" s="633">
        <f t="shared" ca="1" si="293"/>
        <v>614.28571428571479</v>
      </c>
      <c r="DT94" s="576" t="str">
        <f ca="1">IF(ROUND(DT45,2)=0,"ok","!")</f>
        <v>ok</v>
      </c>
      <c r="DU94" s="636">
        <f t="shared" ca="1" si="294"/>
        <v>-113.77600000000001</v>
      </c>
      <c r="DV94" s="633">
        <f t="shared" ca="1" si="295"/>
        <v>-41.947004608294925</v>
      </c>
      <c r="DW94" s="633">
        <f t="shared" ca="1" si="296"/>
        <v>-77.982182950677199</v>
      </c>
      <c r="DX94" s="633">
        <f ca="1">IF(DX45="","",IF(DR45=0,"N",(DX45/DR45-1)*100))</f>
        <v>1.3357079252003468</v>
      </c>
      <c r="DY94" s="633">
        <f t="shared" ca="1" si="297"/>
        <v>-113.77600000000001</v>
      </c>
      <c r="DZ94" s="576" t="str">
        <f ca="1">IF(ROUND(DZ45,2)=0,"ok","!")</f>
        <v>ok</v>
      </c>
      <c r="EA94" s="636">
        <f t="shared" ca="1" si="298"/>
        <v>847.73519163763035</v>
      </c>
      <c r="EB94" s="633">
        <f t="shared" ca="1" si="299"/>
        <v>32.466759277634452</v>
      </c>
      <c r="EC94" s="633">
        <f t="shared" ca="1" si="300"/>
        <v>-163.88157894736844</v>
      </c>
      <c r="ED94" s="633">
        <f ca="1">IF(ED45="","",IF(DX45=0,"N",(ED45/DX45-1)*100))</f>
        <v>-59.841827768014056</v>
      </c>
      <c r="EE94" s="633">
        <f t="shared" ca="1" si="301"/>
        <v>847.73519163763035</v>
      </c>
      <c r="EF94" s="576" t="str">
        <f ca="1">IF(ROUND(EF45,2)=0,"ok","!")</f>
        <v>ok</v>
      </c>
      <c r="EG94" s="636">
        <f t="shared" ca="1" si="302"/>
        <v>-13.075980392156861</v>
      </c>
      <c r="EH94" s="633">
        <f t="shared" ca="1" si="303"/>
        <v>0</v>
      </c>
      <c r="EI94" s="633">
        <f t="shared" ca="1" si="304"/>
        <v>0</v>
      </c>
      <c r="EJ94" s="633">
        <f ca="1">IF(EJ45="","",IF(ED45=0,"N",(EJ45/ED45-1)*100))</f>
        <v>233.4792122538293</v>
      </c>
      <c r="EK94" s="633">
        <f t="shared" ca="1" si="305"/>
        <v>-13.075980392156861</v>
      </c>
      <c r="EL94" s="576" t="str">
        <f ca="1">IF(ROUND(EL45,2)=0,"ok","!")</f>
        <v>ok</v>
      </c>
      <c r="EM94" s="636">
        <f t="shared" ca="1" si="306"/>
        <v>7.2465811363315868</v>
      </c>
      <c r="EN94" s="633">
        <f t="shared" ca="1" si="307"/>
        <v>0</v>
      </c>
      <c r="EO94" s="633">
        <f t="shared" ca="1" si="308"/>
        <v>0</v>
      </c>
      <c r="EP94" s="633">
        <f ca="1">IF(EP45="","",IF(EJ45=0,"N",(EP45/EJ45-1)*100))</f>
        <v>-33.727034120734913</v>
      </c>
      <c r="EQ94" s="633">
        <f t="shared" ca="1" si="309"/>
        <v>7.2465811363315868</v>
      </c>
      <c r="ER94" s="576" t="str">
        <f ca="1">IF(ROUND(ER45,2)=0,"ok","!")</f>
        <v>ok</v>
      </c>
    </row>
    <row r="95" spans="2:148">
      <c r="B95" s="568" t="s">
        <v>2133</v>
      </c>
      <c r="C95" s="4136" t="s">
        <v>1248</v>
      </c>
      <c r="D95" s="4135"/>
      <c r="E95" s="636"/>
      <c r="F95" s="633"/>
      <c r="G95" s="633"/>
      <c r="H95" s="633"/>
      <c r="I95" s="635"/>
      <c r="J95" s="580"/>
      <c r="K95" s="636">
        <f t="shared" ca="1" si="221"/>
        <v>2.5050703158082444</v>
      </c>
      <c r="L95" s="633">
        <f t="shared" ca="1" si="221"/>
        <v>-7.023820212303078</v>
      </c>
      <c r="M95" s="633">
        <f t="shared" ca="1" si="221"/>
        <v>8.0137172085093198</v>
      </c>
      <c r="N95" s="633">
        <f t="shared" ca="1" si="221"/>
        <v>-0.79058963922685743</v>
      </c>
      <c r="O95" s="635" t="str">
        <f t="shared" si="221"/>
        <v/>
      </c>
      <c r="P95" s="580"/>
      <c r="Q95" s="636">
        <f t="shared" ca="1" si="222"/>
        <v>7.8466288348226776</v>
      </c>
      <c r="R95" s="633">
        <f t="shared" ca="1" si="223"/>
        <v>10.503405807328603</v>
      </c>
      <c r="S95" s="633">
        <f t="shared" ca="1" si="224"/>
        <v>6.7382717909532319</v>
      </c>
      <c r="T95" s="633">
        <f ca="1">IF(T46="","",IF(N46=0,"N",(T46/N46-1)*100))</f>
        <v>6.8004124065641269</v>
      </c>
      <c r="U95" s="635" t="str">
        <f t="shared" si="225"/>
        <v/>
      </c>
      <c r="V95" s="580"/>
      <c r="W95" s="636">
        <f t="shared" ca="1" si="226"/>
        <v>3.7020759285430582</v>
      </c>
      <c r="X95" s="633">
        <f t="shared" ca="1" si="227"/>
        <v>-3.4504547501730931</v>
      </c>
      <c r="Y95" s="633">
        <f t="shared" ca="1" si="228"/>
        <v>7.694582803982053</v>
      </c>
      <c r="Z95" s="633">
        <f ca="1">IF(Z46="","",IF(T46=0,"N",(Z46/T46-1)*100))</f>
        <v>1.2107316680745051</v>
      </c>
      <c r="AA95" s="635" t="str">
        <f t="shared" si="229"/>
        <v/>
      </c>
      <c r="AB95" s="580"/>
      <c r="AC95" s="636">
        <f t="shared" ca="1" si="230"/>
        <v>5.6961557752798431</v>
      </c>
      <c r="AD95" s="633">
        <f t="shared" ca="1" si="231"/>
        <v>4.4008911787231098</v>
      </c>
      <c r="AE95" s="633">
        <f t="shared" ca="1" si="232"/>
        <v>4.2883268628209681</v>
      </c>
      <c r="AF95" s="633">
        <f ca="1">IF(AF46="","",IF(Z46=0,"N",(AF46/Z46-1)*100))</f>
        <v>18.357046339718618</v>
      </c>
      <c r="AG95" s="635" t="str">
        <f t="shared" si="233"/>
        <v/>
      </c>
      <c r="AH95" s="580"/>
      <c r="AI95" s="636">
        <f t="shared" ca="1" si="234"/>
        <v>6.8164846362395837</v>
      </c>
      <c r="AJ95" s="633">
        <f t="shared" ca="1" si="235"/>
        <v>0.95164420377322756</v>
      </c>
      <c r="AK95" s="633">
        <f t="shared" ca="1" si="236"/>
        <v>9.7250193764233153</v>
      </c>
      <c r="AL95" s="633">
        <f ca="1">IF(AL46="","",IF(AF46=0,"N",(AL46/AF46-1)*100))</f>
        <v>5.2634229878110173</v>
      </c>
      <c r="AM95" s="635" t="str">
        <f t="shared" si="237"/>
        <v/>
      </c>
      <c r="AN95" s="580"/>
      <c r="AO95" s="636">
        <f t="shared" ca="1" si="238"/>
        <v>2.5880683677089067</v>
      </c>
      <c r="AP95" s="633">
        <f t="shared" ca="1" si="239"/>
        <v>-3.8499649883074083</v>
      </c>
      <c r="AQ95" s="633">
        <f t="shared" ca="1" si="240"/>
        <v>6.9913572805842872</v>
      </c>
      <c r="AR95" s="633">
        <f ca="1">IF(AR46="","",IF(AL46=0,"N",(AR46/AL46-1)*100))</f>
        <v>-7.6191843309887153</v>
      </c>
      <c r="AS95" s="635" t="str">
        <f t="shared" si="241"/>
        <v/>
      </c>
      <c r="AT95" s="580"/>
      <c r="AU95" s="636">
        <f t="shared" ca="1" si="242"/>
        <v>-4.6062923400226889</v>
      </c>
      <c r="AV95" s="633">
        <f t="shared" ca="1" si="243"/>
        <v>-1.0669872895911925</v>
      </c>
      <c r="AW95" s="633">
        <f t="shared" ca="1" si="244"/>
        <v>-6.7042737482857611</v>
      </c>
      <c r="AX95" s="633">
        <f ca="1">IF(AX46="","",IF(AR46=0,"N",(AX46/AR46-1)*100))</f>
        <v>0.70959944751380899</v>
      </c>
      <c r="AY95" s="635" t="str">
        <f t="shared" si="245"/>
        <v/>
      </c>
      <c r="AZ95" s="580"/>
      <c r="BA95" s="636">
        <f t="shared" ca="1" si="246"/>
        <v>1.6479891049022699</v>
      </c>
      <c r="BB95" s="633">
        <f t="shared" ca="1" si="247"/>
        <v>3.9410543275206988</v>
      </c>
      <c r="BC95" s="633">
        <f t="shared" ca="1" si="248"/>
        <v>0.30027240362731078</v>
      </c>
      <c r="BD95" s="633">
        <f ca="1">IF(BD46="","",IF(AX46=0,"N",(BD46/AX46-1)*100))</f>
        <v>4.4436063156811922</v>
      </c>
      <c r="BE95" s="635" t="str">
        <f t="shared" si="249"/>
        <v/>
      </c>
      <c r="BF95" s="580"/>
      <c r="BG95" s="636">
        <f t="shared" ca="1" si="250"/>
        <v>10.405144583214332</v>
      </c>
      <c r="BH95" s="633">
        <f t="shared" ca="1" si="251"/>
        <v>9.9778181623817463</v>
      </c>
      <c r="BI95" s="633">
        <f t="shared" ca="1" si="252"/>
        <v>12.030509397984201</v>
      </c>
      <c r="BJ95" s="633">
        <f ca="1">IF(BJ46="","",IF(BD46=0,"N",(BJ46/BD46-1)*100))</f>
        <v>1.6611132084762836</v>
      </c>
      <c r="BK95" s="635" t="str">
        <f t="shared" si="253"/>
        <v/>
      </c>
      <c r="BL95" s="580"/>
      <c r="BM95" s="636">
        <f t="shared" ca="1" si="254"/>
        <v>8.2090921206324765</v>
      </c>
      <c r="BN95" s="633">
        <f t="shared" ca="1" si="255"/>
        <v>16.648238824830198</v>
      </c>
      <c r="BO95" s="633">
        <f t="shared" ca="1" si="256"/>
        <v>5.0203762060379686</v>
      </c>
      <c r="BP95" s="633">
        <f ca="1">IF(BP46="","",IF(BJ46=0,"N",(BP46/BJ46-1)*100))</f>
        <v>6.9540647452974946</v>
      </c>
      <c r="BQ95" s="635" t="str">
        <f t="shared" si="257"/>
        <v/>
      </c>
      <c r="BR95" s="580"/>
      <c r="BS95" s="636">
        <f t="shared" ca="1" si="258"/>
        <v>5.7618272784834668</v>
      </c>
      <c r="BT95" s="633">
        <f t="shared" ca="1" si="259"/>
        <v>10.245299723972723</v>
      </c>
      <c r="BU95" s="633">
        <f t="shared" ca="1" si="260"/>
        <v>5.1309181752722033</v>
      </c>
      <c r="BV95" s="633">
        <f ca="1">IF(BV46="","",IF(BP46=0,"N",(BV46/BP46-1)*100))</f>
        <v>-3.1203768002173837</v>
      </c>
      <c r="BW95" s="635" t="str">
        <f t="shared" si="261"/>
        <v/>
      </c>
      <c r="BX95" s="580"/>
      <c r="BY95" s="636">
        <f t="shared" ca="1" si="262"/>
        <v>9.7287544405003867</v>
      </c>
      <c r="BZ95" s="633">
        <f t="shared" ca="1" si="263"/>
        <v>8.7702308179249844</v>
      </c>
      <c r="CA95" s="633">
        <f t="shared" ca="1" si="264"/>
        <v>10.201465846826064</v>
      </c>
      <c r="CB95" s="633">
        <f ca="1">IF(CB46="","",IF(BV46=0,"N",(CB46/BV46-1)*100))</f>
        <v>9.5457732761978988</v>
      </c>
      <c r="CC95" s="635" t="str">
        <f t="shared" si="265"/>
        <v/>
      </c>
      <c r="CD95" s="580"/>
      <c r="CE95" s="636">
        <f t="shared" ca="1" si="266"/>
        <v>5.9824556584621602</v>
      </c>
      <c r="CF95" s="633">
        <f t="shared" ca="1" si="267"/>
        <v>4.4643361259864456</v>
      </c>
      <c r="CG95" s="633">
        <f t="shared" ca="1" si="268"/>
        <v>6.7488818810777174</v>
      </c>
      <c r="CH95" s="633">
        <f ca="1">IF(CH46="","",IF(CB46=0,"N",(CH46/CB46-1)*100))</f>
        <v>5.4992105375456957</v>
      </c>
      <c r="CI95" s="635" t="str">
        <f t="shared" si="269"/>
        <v/>
      </c>
      <c r="CJ95" s="580"/>
      <c r="CK95" s="636">
        <f t="shared" ca="1" si="270"/>
        <v>-7.1926046523682512</v>
      </c>
      <c r="CL95" s="633">
        <f t="shared" ca="1" si="271"/>
        <v>-9.3702967662539489</v>
      </c>
      <c r="CM95" s="633">
        <f t="shared" ca="1" si="272"/>
        <v>-8.5471717540460226</v>
      </c>
      <c r="CN95" s="633">
        <f ca="1">IF(CN46="","",IF(CH46=0,"N",(CN46/CH46-1)*100))</f>
        <v>9.6255747165181482</v>
      </c>
      <c r="CO95" s="635" t="str">
        <f t="shared" si="273"/>
        <v/>
      </c>
      <c r="CP95" s="580"/>
      <c r="CQ95" s="636">
        <f t="shared" ca="1" si="274"/>
        <v>1.1177921383899392</v>
      </c>
      <c r="CR95" s="633">
        <f t="shared" ca="1" si="275"/>
        <v>2.9441987632346622</v>
      </c>
      <c r="CS95" s="633">
        <f t="shared" ca="1" si="276"/>
        <v>-5.0357311738369326E-2</v>
      </c>
      <c r="CT95" s="633">
        <f ca="1">IF(CT46="","",IF(CN46=0,"N",(CT46/CN46-1)*100))</f>
        <v>3.2396133126706417</v>
      </c>
      <c r="CU95" s="635" t="str">
        <f t="shared" si="277"/>
        <v/>
      </c>
      <c r="CV95" s="580"/>
      <c r="CW95" s="636">
        <f t="shared" ca="1" si="278"/>
        <v>7.4672769200448297</v>
      </c>
      <c r="CX95" s="633">
        <f t="shared" ca="1" si="279"/>
        <v>-0.48706362574976181</v>
      </c>
      <c r="CY95" s="633">
        <f t="shared" ca="1" si="280"/>
        <v>10.60309710135725</v>
      </c>
      <c r="CZ95" s="633">
        <f ca="1">IF(CZ46="","",IF(CT46=0,"N",(CZ46/CT46-1)*100))</f>
        <v>10.492018108172507</v>
      </c>
      <c r="DA95" s="635" t="str">
        <f t="shared" si="281"/>
        <v/>
      </c>
      <c r="DB95" s="580"/>
      <c r="DC95" s="636">
        <f t="shared" ca="1" si="282"/>
        <v>2.4090812457510546</v>
      </c>
      <c r="DD95" s="633">
        <f t="shared" ca="1" si="283"/>
        <v>2.0751143014513529</v>
      </c>
      <c r="DE95" s="633">
        <f t="shared" ca="1" si="284"/>
        <v>2.278004718221438</v>
      </c>
      <c r="DF95" s="633">
        <f ca="1">IF(DF46="","",IF(CZ46=0,"N",(DF46/CZ46-1)*100))</f>
        <v>3.9764089404508818</v>
      </c>
      <c r="DG95" s="635" t="str">
        <f t="shared" si="285"/>
        <v/>
      </c>
      <c r="DH95" s="580"/>
      <c r="DI95" s="636">
        <f t="shared" ca="1" si="286"/>
        <v>-0.83048369030863656</v>
      </c>
      <c r="DJ95" s="633">
        <f t="shared" ca="1" si="287"/>
        <v>-2.5922692555725879</v>
      </c>
      <c r="DK95" s="633">
        <f t="shared" ca="1" si="288"/>
        <v>0.46348599403260859</v>
      </c>
      <c r="DL95" s="633">
        <f ca="1">IF(DL46="","",IF(DF46=0,"N",(DL46/DF46-1)*100))</f>
        <v>-4.0773578057759163</v>
      </c>
      <c r="DM95" s="635" t="str">
        <f t="shared" si="289"/>
        <v/>
      </c>
      <c r="DN95" s="580"/>
      <c r="DO95" s="636">
        <f t="shared" ca="1" si="290"/>
        <v>6.1772158304742142</v>
      </c>
      <c r="DP95" s="633">
        <f t="shared" ca="1" si="291"/>
        <v>6.0241940568731778</v>
      </c>
      <c r="DQ95" s="633">
        <f t="shared" ca="1" si="292"/>
        <v>6.6920648193535603</v>
      </c>
      <c r="DR95" s="633">
        <f ca="1">IF(DR46="","",IF(DL46=0,"N",(DR46/DL46-1)*100))</f>
        <v>1.2680669816114154</v>
      </c>
      <c r="DS95" s="635" t="str">
        <f t="shared" si="293"/>
        <v/>
      </c>
      <c r="DT95" s="580"/>
      <c r="DU95" s="636">
        <f t="shared" ca="1" si="294"/>
        <v>3.1107822831541121</v>
      </c>
      <c r="DV95" s="633">
        <f t="shared" ca="1" si="295"/>
        <v>1.1915179216189342</v>
      </c>
      <c r="DW95" s="633">
        <f t="shared" ca="1" si="296"/>
        <v>4.2803574143202017</v>
      </c>
      <c r="DX95" s="633">
        <f ca="1">IF(DX46="","",IF(DR46=0,"N",(DX46/DR46-1)*100))</f>
        <v>0.68640847175369668</v>
      </c>
      <c r="DY95" s="635" t="str">
        <f t="shared" si="297"/>
        <v/>
      </c>
      <c r="DZ95" s="580"/>
      <c r="EA95" s="636">
        <f t="shared" ca="1" si="298"/>
        <v>4.1681506018210746</v>
      </c>
      <c r="EB95" s="633">
        <f t="shared" ca="1" si="299"/>
        <v>2.7592257544528431</v>
      </c>
      <c r="EC95" s="633">
        <f t="shared" ca="1" si="300"/>
        <v>5.7463016565403979</v>
      </c>
      <c r="ED95" s="633">
        <f ca="1">IF(ED46="","",IF(DX46=0,"N",(ED46/DX46-1)*100))</f>
        <v>-0.86514912159798563</v>
      </c>
      <c r="EE95" s="635" t="str">
        <f t="shared" si="301"/>
        <v/>
      </c>
      <c r="EF95" s="580"/>
      <c r="EG95" s="636">
        <f t="shared" ca="1" si="302"/>
        <v>2.7820472479062719</v>
      </c>
      <c r="EH95" s="633">
        <f t="shared" ca="1" si="303"/>
        <v>1.8187539840717637</v>
      </c>
      <c r="EI95" s="633">
        <f t="shared" ca="1" si="304"/>
        <v>3.0610289619636966</v>
      </c>
      <c r="EJ95" s="633">
        <f ca="1">IF(EJ46="","",IF(ED46=0,"N",(EJ46/ED46-1)*100))</f>
        <v>3.7891832347625387</v>
      </c>
      <c r="EK95" s="635" t="str">
        <f t="shared" si="305"/>
        <v/>
      </c>
      <c r="EL95" s="580"/>
      <c r="EM95" s="636">
        <f t="shared" ca="1" si="306"/>
        <v>5.0216488733918707</v>
      </c>
      <c r="EN95" s="633">
        <f t="shared" ca="1" si="307"/>
        <v>1.7069999999999919</v>
      </c>
      <c r="EO95" s="633">
        <f t="shared" ca="1" si="308"/>
        <v>5.2395211611327319</v>
      </c>
      <c r="EP95" s="633">
        <f ca="1">IF(EP46="","",IF(EJ46=0,"N",(EP46/EJ46-1)*100))</f>
        <v>12.024159999999995</v>
      </c>
      <c r="EQ95" s="635" t="str">
        <f t="shared" si="309"/>
        <v/>
      </c>
      <c r="ER95" s="580"/>
    </row>
    <row r="96" spans="2:148">
      <c r="B96" s="568" t="s">
        <v>2133</v>
      </c>
      <c r="C96" s="4148" t="s">
        <v>1528</v>
      </c>
      <c r="D96" s="4149"/>
      <c r="E96" s="636"/>
      <c r="F96" s="655"/>
      <c r="G96" s="655"/>
      <c r="H96" s="655"/>
      <c r="I96" s="635"/>
      <c r="J96" s="576"/>
      <c r="K96" s="636">
        <f t="shared" ca="1" si="221"/>
        <v>-40.307715177642343</v>
      </c>
      <c r="L96" s="655">
        <f t="shared" ca="1" si="221"/>
        <v>-214.83870967741936</v>
      </c>
      <c r="M96" s="655">
        <f t="shared" ca="1" si="221"/>
        <v>-17.772468296269082</v>
      </c>
      <c r="N96" s="655">
        <f t="shared" ca="1" si="221"/>
        <v>-19.934994582881892</v>
      </c>
      <c r="O96" s="635" t="str">
        <f t="shared" si="221"/>
        <v/>
      </c>
      <c r="P96" s="576" t="str">
        <f ca="1">IF(ROUND(P47,2)=0,"ok","!")</f>
        <v>ok</v>
      </c>
      <c r="Q96" s="636">
        <f t="shared" ca="1" si="222"/>
        <v>-3.0631303698169687</v>
      </c>
      <c r="R96" s="655">
        <f t="shared" ca="1" si="223"/>
        <v>6.1797752808989026</v>
      </c>
      <c r="S96" s="655">
        <f t="shared" ca="1" si="224"/>
        <v>1.7210549843540646</v>
      </c>
      <c r="T96" s="655">
        <f ca="1">IF(T47="","",IF(N47=0,"N",(T47/N47-1)*100))</f>
        <v>52.638700947225956</v>
      </c>
      <c r="U96" s="635" t="str">
        <f t="shared" si="225"/>
        <v/>
      </c>
      <c r="V96" s="576" t="str">
        <f ca="1">IF(ROUND(V47,2)=0,"ok","!")</f>
        <v>ok</v>
      </c>
      <c r="W96" s="636">
        <f t="shared" ca="1" si="226"/>
        <v>44.649967886962095</v>
      </c>
      <c r="X96" s="655">
        <f t="shared" ca="1" si="227"/>
        <v>-477.24867724867721</v>
      </c>
      <c r="Y96" s="655">
        <f t="shared" ca="1" si="228"/>
        <v>24.423203691496376</v>
      </c>
      <c r="Z96" s="655">
        <f ca="1">IF(Z47="","",IF(T47=0,"N",(Z47/T47-1)*100))</f>
        <v>-31.117021276595736</v>
      </c>
      <c r="AA96" s="635" t="str">
        <f t="shared" si="229"/>
        <v/>
      </c>
      <c r="AB96" s="576" t="str">
        <f ca="1">IF(ROUND(AB47,2)=0,"ok","!")</f>
        <v>ok</v>
      </c>
      <c r="AC96" s="636">
        <f t="shared" ca="1" si="230"/>
        <v>-2.1312494449871267</v>
      </c>
      <c r="AD96" s="655">
        <f t="shared" ca="1" si="231"/>
        <v>-143.1977559607293</v>
      </c>
      <c r="AE96" s="655">
        <f t="shared" ca="1" si="232"/>
        <v>5.1125827814569424</v>
      </c>
      <c r="AF96" s="655">
        <f ca="1">IF(AF47="","",IF(Z47=0,"N",(AF47/Z47-1)*100))</f>
        <v>-25.997425997426006</v>
      </c>
      <c r="AG96" s="635" t="str">
        <f t="shared" si="233"/>
        <v/>
      </c>
      <c r="AH96" s="576" t="str">
        <f ca="1">IF(ROUND(AH47,2)=0,"ok","!")</f>
        <v>ok</v>
      </c>
      <c r="AI96" s="636">
        <f t="shared" ca="1" si="234"/>
        <v>202.66763451592414</v>
      </c>
      <c r="AJ96" s="655">
        <f t="shared" ca="1" si="235"/>
        <v>-25.649350649350644</v>
      </c>
      <c r="AK96" s="655">
        <f t="shared" ca="1" si="236"/>
        <v>185.46706989247315</v>
      </c>
      <c r="AL96" s="655">
        <f ca="1">IF(AL47="","",IF(AF47=0,"N",(AL47/AF47-1)*100))</f>
        <v>-31.130434782608695</v>
      </c>
      <c r="AM96" s="635" t="str">
        <f t="shared" si="237"/>
        <v/>
      </c>
      <c r="AN96" s="576" t="str">
        <f ca="1">IF(ROUND(AN47,2)=0,"ok","!")</f>
        <v>ok</v>
      </c>
      <c r="AO96" s="636">
        <f t="shared" ca="1" si="238"/>
        <v>-85.910003897232968</v>
      </c>
      <c r="AP96" s="655">
        <f t="shared" ca="1" si="239"/>
        <v>174.67248908296949</v>
      </c>
      <c r="AQ96" s="655">
        <f t="shared" ca="1" si="240"/>
        <v>-82.946854216938377</v>
      </c>
      <c r="AR96" s="655">
        <f ca="1">IF(AR47="","",IF(AL47=0,"N",(AR47/AL47-1)*100))</f>
        <v>17.676767676767668</v>
      </c>
      <c r="AS96" s="635" t="str">
        <f t="shared" si="241"/>
        <v/>
      </c>
      <c r="AT96" s="576" t="str">
        <f ca="1">IF(ROUND(AT47,2)=0,"ok","!")</f>
        <v>ok</v>
      </c>
      <c r="AU96" s="636">
        <f t="shared" ca="1" si="242"/>
        <v>-98.255319148936167</v>
      </c>
      <c r="AV96" s="655">
        <f t="shared" ca="1" si="243"/>
        <v>29.570747217806016</v>
      </c>
      <c r="AW96" s="655">
        <f t="shared" ca="1" si="244"/>
        <v>-77.463330457290766</v>
      </c>
      <c r="AX96" s="655">
        <f ca="1">IF(AX47="","",IF(AR47=0,"N",(AX47/AR47-1)*100))</f>
        <v>-12.231759656652363</v>
      </c>
      <c r="AY96" s="635" t="str">
        <f t="shared" si="245"/>
        <v/>
      </c>
      <c r="AZ96" s="576" t="str">
        <f ca="1">IF(ROUND(AZ47,2)=0,"ok","!")</f>
        <v>ok</v>
      </c>
      <c r="BA96" s="636">
        <f t="shared" ca="1" si="246"/>
        <v>14417.073170731712</v>
      </c>
      <c r="BB96" s="655">
        <f t="shared" ca="1" si="247"/>
        <v>-0.24539877300614465</v>
      </c>
      <c r="BC96" s="655">
        <f t="shared" ca="1" si="248"/>
        <v>922.6646248085757</v>
      </c>
      <c r="BD96" s="655">
        <f ca="1">IF(BD47="","",IF(AX47=0,"N",(BD47/AX47-1)*100))</f>
        <v>56.234718826405874</v>
      </c>
      <c r="BE96" s="635" t="str">
        <f t="shared" si="249"/>
        <v/>
      </c>
      <c r="BF96" s="576" t="str">
        <f ca="1">IF(ROUND(BF47,2)=0,"ok","!")</f>
        <v>ok</v>
      </c>
      <c r="BG96" s="636">
        <f t="shared" ca="1" si="250"/>
        <v>186.78595430107526</v>
      </c>
      <c r="BH96" s="655">
        <f t="shared" ca="1" si="251"/>
        <v>19.92619926199264</v>
      </c>
      <c r="BI96" s="655">
        <f t="shared" ca="1" si="252"/>
        <v>166.90625935908957</v>
      </c>
      <c r="BJ96" s="655">
        <f ca="1">IF(BJ47="","",IF(BD47=0,"N",(BJ47/BD47-1)*100))</f>
        <v>-16.431924882629112</v>
      </c>
      <c r="BK96" s="635" t="str">
        <f t="shared" si="253"/>
        <v/>
      </c>
      <c r="BL96" s="576" t="str">
        <f ca="1">IF(ROUND(BL47,2)=0,"ok","!")</f>
        <v>ok</v>
      </c>
      <c r="BM96" s="636">
        <f t="shared" ca="1" si="254"/>
        <v>32.458478572893192</v>
      </c>
      <c r="BN96" s="655">
        <f t="shared" ca="1" si="255"/>
        <v>-15.179487179487172</v>
      </c>
      <c r="BO96" s="655">
        <f t="shared" ca="1" si="256"/>
        <v>30.817998204667862</v>
      </c>
      <c r="BP96" s="655">
        <f ca="1">IF(BP47="","",IF(BJ47=0,"N",(BP47/BJ47-1)*100))</f>
        <v>9.9250936329588146</v>
      </c>
      <c r="BQ96" s="635" t="str">
        <f t="shared" si="257"/>
        <v/>
      </c>
      <c r="BR96" s="576" t="str">
        <f ca="1">IF(ROUND(BR47,2)=0,"ok","!")</f>
        <v>ok</v>
      </c>
      <c r="BS96" s="636">
        <f t="shared" ca="1" si="258"/>
        <v>11.180893409995573</v>
      </c>
      <c r="BT96" s="655">
        <f t="shared" ca="1" si="259"/>
        <v>-82.950423216444989</v>
      </c>
      <c r="BU96" s="655">
        <f t="shared" ca="1" si="260"/>
        <v>8.5774327743706191</v>
      </c>
      <c r="BV96" s="655">
        <f ca="1">IF(BV47="","",IF(BP47=0,"N",(BV47/BP47-1)*100))</f>
        <v>-63.032367972742762</v>
      </c>
      <c r="BW96" s="635" t="str">
        <f t="shared" si="261"/>
        <v/>
      </c>
      <c r="BX96" s="576" t="str">
        <f ca="1">IF(ROUND(BX47,2)=0,"ok","!")</f>
        <v>ok</v>
      </c>
      <c r="BY96" s="636">
        <f t="shared" ca="1" si="262"/>
        <v>-16.874850823454544</v>
      </c>
      <c r="BZ96" s="655">
        <f t="shared" ca="1" si="263"/>
        <v>156.0283687943263</v>
      </c>
      <c r="CA96" s="655">
        <f t="shared" ca="1" si="264"/>
        <v>-15.716712090690043</v>
      </c>
      <c r="CB96" s="655">
        <f ca="1">IF(CB47="","",IF(BV47=0,"N",(CB47/BV47-1)*100))</f>
        <v>141.01382488479263</v>
      </c>
      <c r="CC96" s="635" t="str">
        <f t="shared" si="265"/>
        <v/>
      </c>
      <c r="CD96" s="576" t="str">
        <f ca="1">IF(ROUND(CD47,2)=0,"ok","!")</f>
        <v>ok</v>
      </c>
      <c r="CE96" s="636">
        <f t="shared" ca="1" si="266"/>
        <v>48.760528330781014</v>
      </c>
      <c r="CF96" s="655">
        <f t="shared" ca="1" si="267"/>
        <v>-60.664819944598328</v>
      </c>
      <c r="CG96" s="655">
        <f t="shared" ca="1" si="268"/>
        <v>40.231043209297958</v>
      </c>
      <c r="CH96" s="655">
        <f ca="1">IF(CH47="","",IF(CB47=0,"N",(CH47/CB47-1)*100))</f>
        <v>-571.70172084130013</v>
      </c>
      <c r="CI96" s="635" t="str">
        <f t="shared" si="269"/>
        <v/>
      </c>
      <c r="CJ96" s="576" t="str">
        <f ca="1">IF(ROUND(CJ47,2)=0,"ok","!")</f>
        <v>ok</v>
      </c>
      <c r="CK96" s="636">
        <f t="shared" ca="1" si="270"/>
        <v>-151.77577609779638</v>
      </c>
      <c r="CL96" s="655">
        <f t="shared" ca="1" si="271"/>
        <v>-257.04225352112672</v>
      </c>
      <c r="CM96" s="655">
        <f t="shared" ca="1" si="272"/>
        <v>-160.31080290751106</v>
      </c>
      <c r="CN96" s="655">
        <f ca="1">IF(CN47="","",IF(CH47=0,"N",(CN47/CH47-1)*100))</f>
        <v>49.20956627482775</v>
      </c>
      <c r="CO96" s="635" t="str">
        <f t="shared" si="273"/>
        <v/>
      </c>
      <c r="CP96" s="576" t="str">
        <f ca="1">IF(ROUND(CP47,2)=0,"ok","!")</f>
        <v>ok</v>
      </c>
      <c r="CQ96" s="636">
        <f t="shared" ca="1" si="274"/>
        <v>-199.03693808443879</v>
      </c>
      <c r="CR96" s="655">
        <f t="shared" ca="1" si="275"/>
        <v>-8.9686098654708442</v>
      </c>
      <c r="CS96" s="655">
        <f t="shared" ca="1" si="276"/>
        <v>-178.35037264843598</v>
      </c>
      <c r="CT96" s="655">
        <f ca="1">IF(CT47="","",IF(CN47=0,"N",(CT47/CN47-1)*100))</f>
        <v>-7.7152947568595582</v>
      </c>
      <c r="CU96" s="635" t="str">
        <f t="shared" si="277"/>
        <v/>
      </c>
      <c r="CV96" s="576" t="str">
        <f ca="1">IF(ROUND(CV47,2)=0,"ok","!")</f>
        <v>ok</v>
      </c>
      <c r="CW96" s="636">
        <f t="shared" ca="1" si="278"/>
        <v>67.464475046268717</v>
      </c>
      <c r="CX96" s="655">
        <f t="shared" ca="1" si="279"/>
        <v>1022.1674876847292</v>
      </c>
      <c r="CY96" s="655">
        <f t="shared" ca="1" si="280"/>
        <v>60.472435376074117</v>
      </c>
      <c r="CZ96" s="655">
        <f ca="1">IF(CZ47="","",IF(CT47=0,"N",(CZ47/CT47-1)*100))</f>
        <v>68.619370032381497</v>
      </c>
      <c r="DA96" s="635" t="str">
        <f t="shared" si="281"/>
        <v/>
      </c>
      <c r="DB96" s="576" t="str">
        <f ca="1">IF(ROUND(DB47,2)=0,"ok","!")</f>
        <v>ok</v>
      </c>
      <c r="DC96" s="636">
        <f t="shared" ca="1" si="282"/>
        <v>-57.932791368523581</v>
      </c>
      <c r="DD96" s="655">
        <f t="shared" ca="1" si="283"/>
        <v>-66.461808604038623</v>
      </c>
      <c r="DE96" s="655">
        <f t="shared" ca="1" si="284"/>
        <v>-64.01498457470251</v>
      </c>
      <c r="DF96" s="655">
        <f ca="1">IF(DF47="","",IF(CZ47=0,"N",(DF47/CZ47-1)*100))</f>
        <v>-6.3547486033519558</v>
      </c>
      <c r="DG96" s="635" t="str">
        <f t="shared" si="285"/>
        <v/>
      </c>
      <c r="DH96" s="576" t="str">
        <f ca="1">IF(ROUND(DH47,2)=0,"ok","!")</f>
        <v>ok</v>
      </c>
      <c r="DI96" s="636">
        <f t="shared" ca="1" si="286"/>
        <v>-97.706830528096887</v>
      </c>
      <c r="DJ96" s="655">
        <f t="shared" ca="1" si="287"/>
        <v>32.329842931937172</v>
      </c>
      <c r="DK96" s="655">
        <f t="shared" ca="1" si="288"/>
        <v>-117.83221065523577</v>
      </c>
      <c r="DL96" s="655">
        <f ca="1">IF(DL47="","",IF(DF47=0,"N",(DL47/DF47-1)*100))</f>
        <v>-54.95898583146905</v>
      </c>
      <c r="DM96" s="635" t="str">
        <f t="shared" si="289"/>
        <v/>
      </c>
      <c r="DN96" s="576" t="str">
        <f ca="1">IF(ROUND(DN47,2)=0,"ok","!")</f>
        <v>ok</v>
      </c>
      <c r="DO96" s="636">
        <f t="shared" ca="1" si="290"/>
        <v>2120.9708737864075</v>
      </c>
      <c r="DP96" s="655">
        <f t="shared" ca="1" si="291"/>
        <v>-93.867457962413454</v>
      </c>
      <c r="DQ96" s="655">
        <f t="shared" ca="1" si="292"/>
        <v>-536.91620879120876</v>
      </c>
      <c r="DR96" s="655">
        <f ca="1">IF(DR47="","",IF(DL47=0,"N",(DR47/DL47-1)*100))</f>
        <v>-156.08443708609272</v>
      </c>
      <c r="DS96" s="635" t="str">
        <f t="shared" si="293"/>
        <v/>
      </c>
      <c r="DT96" s="576" t="str">
        <f ca="1">IF(ROUND(DT47,2)=0,"ok","!")</f>
        <v>ok</v>
      </c>
      <c r="DU96" s="636">
        <f t="shared" ca="1" si="294"/>
        <v>37.611470536807154</v>
      </c>
      <c r="DV96" s="655">
        <f t="shared" ca="1" si="295"/>
        <v>-1708.0645161290324</v>
      </c>
      <c r="DW96" s="655">
        <f t="shared" ca="1" si="296"/>
        <v>37.96274463569911</v>
      </c>
      <c r="DX96" s="655">
        <f ca="1">IF(DX47="","",IF(DR47=0,"N",(DX47/DR47-1)*100))</f>
        <v>-39.778597785977865</v>
      </c>
      <c r="DY96" s="635" t="str">
        <f t="shared" si="297"/>
        <v/>
      </c>
      <c r="DZ96" s="576" t="str">
        <f ca="1">IF(ROUND(DZ47,2)=0,"ok","!")</f>
        <v>ok</v>
      </c>
      <c r="EA96" s="636">
        <f t="shared" ca="1" si="298"/>
        <v>25.908513341804309</v>
      </c>
      <c r="EB96" s="655">
        <f t="shared" ca="1" si="299"/>
        <v>-85.857572718154458</v>
      </c>
      <c r="EC96" s="655">
        <f t="shared" ca="1" si="300"/>
        <v>16.384663590269465</v>
      </c>
      <c r="ED96" s="655">
        <f ca="1">IF(ED47="","",IF(DX47=0,"N",(ED47/DX47-1)*100))</f>
        <v>-42.401960784313722</v>
      </c>
      <c r="EE96" s="635" t="str">
        <f t="shared" si="301"/>
        <v/>
      </c>
      <c r="EF96" s="576" t="str">
        <f ca="1">IF(ROUND(EF47,2)=0,"ok","!")</f>
        <v>ok</v>
      </c>
      <c r="EG96" s="636">
        <f t="shared" ca="1" si="302"/>
        <v>181.81955797759616</v>
      </c>
      <c r="EH96" s="655">
        <f t="shared" ca="1" si="303"/>
        <v>0</v>
      </c>
      <c r="EI96" s="655">
        <f t="shared" ca="1" si="304"/>
        <v>178.18297518233885</v>
      </c>
      <c r="EJ96" s="655">
        <f ca="1">IF(EJ47="","",IF(ED47=0,"N",(EJ47/ED47-1)*100))</f>
        <v>78.297872340425528</v>
      </c>
      <c r="EK96" s="635" t="str">
        <f t="shared" si="305"/>
        <v/>
      </c>
      <c r="EL96" s="576" t="str">
        <f ca="1">IF(ROUND(EL47,2)=0,"ok","!")</f>
        <v>ok</v>
      </c>
      <c r="EM96" s="636">
        <f t="shared" ca="1" si="306"/>
        <v>0</v>
      </c>
      <c r="EN96" s="655">
        <f t="shared" ca="1" si="307"/>
        <v>0</v>
      </c>
      <c r="EO96" s="655">
        <f t="shared" ca="1" si="308"/>
        <v>3.5192679922468884E-3</v>
      </c>
      <c r="EP96" s="655">
        <f ca="1">IF(EP47="","",IF(EJ47=0,"N",(EP47/EJ47-1)*100))</f>
        <v>0.23866348448688957</v>
      </c>
      <c r="EQ96" s="635" t="str">
        <f t="shared" si="309"/>
        <v/>
      </c>
      <c r="ER96" s="576" t="str">
        <f ca="1">IF(ROUND(ER47,2)=0,"ok","!")</f>
        <v>ok</v>
      </c>
    </row>
    <row r="97" spans="2:148">
      <c r="B97" s="656" t="s">
        <v>624</v>
      </c>
      <c r="C97" s="4143" t="s">
        <v>1529</v>
      </c>
      <c r="D97" s="4143"/>
      <c r="E97" s="657"/>
      <c r="F97" s="657"/>
      <c r="G97" s="657"/>
      <c r="H97" s="657"/>
      <c r="I97" s="657"/>
      <c r="J97" s="576"/>
      <c r="K97" s="657">
        <f t="shared" ca="1" si="221"/>
        <v>-15.639099322183657</v>
      </c>
      <c r="L97" s="657">
        <f t="shared" ca="1" si="221"/>
        <v>-15.806552617346526</v>
      </c>
      <c r="M97" s="657">
        <f t="shared" ca="1" si="221"/>
        <v>-7.7896844088557238</v>
      </c>
      <c r="N97" s="657">
        <f t="shared" ca="1" si="221"/>
        <v>-9.6199297349088155</v>
      </c>
      <c r="O97" s="657">
        <f t="shared" ca="1" si="221"/>
        <v>-13.854066216650507</v>
      </c>
      <c r="P97" s="576" t="str">
        <f ca="1">IF(ROUND(P48,2)=0,"ok","!")</f>
        <v>ok</v>
      </c>
      <c r="Q97" s="657">
        <f t="shared" ca="1" si="222"/>
        <v>32.602828323031517</v>
      </c>
      <c r="R97" s="657">
        <f t="shared" ca="1" si="223"/>
        <v>-16.729494894854213</v>
      </c>
      <c r="S97" s="657">
        <f t="shared" ca="1" si="224"/>
        <v>19.430432284018174</v>
      </c>
      <c r="T97" s="657">
        <f ca="1">IF(T48="","",IF(N48=0,"N",(T48/N48-1)*100))</f>
        <v>-43.438876716847055</v>
      </c>
      <c r="U97" s="657">
        <f t="shared" ca="1" si="225"/>
        <v>32.604477611940318</v>
      </c>
      <c r="V97" s="576" t="str">
        <f ca="1">IF(ROUND(V48,2)=0,"ok","!")</f>
        <v>ok</v>
      </c>
      <c r="W97" s="657">
        <f t="shared" ca="1" si="226"/>
        <v>-5.1165888157274626</v>
      </c>
      <c r="X97" s="657">
        <f t="shared" ca="1" si="227"/>
        <v>1.9072463179694799</v>
      </c>
      <c r="Y97" s="657">
        <f t="shared" ca="1" si="228"/>
        <v>-59.028371827773064</v>
      </c>
      <c r="Z97" s="657">
        <f ca="1">IF(Z48="","",IF(T48=0,"N",(Z48/T48-1)*100))</f>
        <v>-53.705979132390688</v>
      </c>
      <c r="AA97" s="657">
        <f t="shared" ca="1" si="229"/>
        <v>-5.1175267788470364</v>
      </c>
      <c r="AB97" s="576" t="str">
        <f ca="1">IF(ROUND(AB48,2)=0,"ok","!")</f>
        <v>ok</v>
      </c>
      <c r="AC97" s="657">
        <f t="shared" ca="1" si="230"/>
        <v>15.972874385867208</v>
      </c>
      <c r="AD97" s="657">
        <f t="shared" ca="1" si="231"/>
        <v>7.5718639813538546</v>
      </c>
      <c r="AE97" s="657">
        <f t="shared" ca="1" si="232"/>
        <v>-0.95258808177522969</v>
      </c>
      <c r="AF97" s="657">
        <f ca="1">IF(AF48="","",IF(Z48=0,"N",(AF48/Z48-1)*100))</f>
        <v>-39.475459984704464</v>
      </c>
      <c r="AG97" s="657">
        <f t="shared" ca="1" si="233"/>
        <v>15.974020838687553</v>
      </c>
      <c r="AH97" s="576" t="str">
        <f ca="1">IF(ROUND(AH48,2)=0,"ok","!")</f>
        <v>ok</v>
      </c>
      <c r="AI97" s="657">
        <f t="shared" ca="1" si="234"/>
        <v>-15.292753820844041</v>
      </c>
      <c r="AJ97" s="657">
        <f t="shared" ca="1" si="235"/>
        <v>-3.192592592592447</v>
      </c>
      <c r="AK97" s="657">
        <f t="shared" ca="1" si="236"/>
        <v>-114.57555662904588</v>
      </c>
      <c r="AL97" s="657">
        <f ca="1">IF(AL48="","",IF(AF48=0,"N",(AL48/AF48-1)*100))</f>
        <v>-86.197413408651855</v>
      </c>
      <c r="AM97" s="657">
        <f t="shared" ca="1" si="237"/>
        <v>-15.292753820844307</v>
      </c>
      <c r="AN97" s="576" t="str">
        <f ca="1">IF(ROUND(AN48,2)=0,"ok","!")</f>
        <v>ok</v>
      </c>
      <c r="AO97" s="657">
        <f t="shared" ca="1" si="238"/>
        <v>5.8484946063431797</v>
      </c>
      <c r="AP97" s="657">
        <f t="shared" ca="1" si="239"/>
        <v>35.215969087152253</v>
      </c>
      <c r="AQ97" s="657">
        <f t="shared" ca="1" si="240"/>
        <v>1127.8397107562428</v>
      </c>
      <c r="AR97" s="657">
        <f ca="1">IF(AR48="","",IF(AL48=0,"N",(AR48/AL48-1)*100))</f>
        <v>-346.04200323102094</v>
      </c>
      <c r="AS97" s="657">
        <f t="shared" ca="1" si="241"/>
        <v>5.8474883271616207</v>
      </c>
      <c r="AT97" s="576" t="str">
        <f ca="1">IF(ROUND(AT48,2)=0,"ok","!")</f>
        <v>ok</v>
      </c>
      <c r="AU97" s="657">
        <f t="shared" ca="1" si="242"/>
        <v>52.861543141803693</v>
      </c>
      <c r="AV97" s="657">
        <f t="shared" ca="1" si="243"/>
        <v>-3.2071641284275421</v>
      </c>
      <c r="AW97" s="657">
        <f t="shared" ca="1" si="244"/>
        <v>-155.72487239890074</v>
      </c>
      <c r="AX97" s="657">
        <f ca="1">IF(AX48="","",IF(AR48=0,"N",(AX48/AR48-1)*100))</f>
        <v>-72.729262420659808</v>
      </c>
      <c r="AY97" s="657">
        <f t="shared" ca="1" si="245"/>
        <v>52.862996377879078</v>
      </c>
      <c r="AZ97" s="576" t="str">
        <f ca="1">IF(ROUND(AZ48,2)=0,"ok","!")</f>
        <v>ok</v>
      </c>
      <c r="BA97" s="657">
        <f t="shared" ca="1" si="246"/>
        <v>-1.7413801681679719</v>
      </c>
      <c r="BB97" s="657">
        <f t="shared" ca="1" si="247"/>
        <v>-6.6531712913911019</v>
      </c>
      <c r="BC97" s="657">
        <f t="shared" ca="1" si="248"/>
        <v>252.42414901580918</v>
      </c>
      <c r="BD97" s="657">
        <f ca="1">IF(BD48="","",IF(AX48=0,"N",(BD48/AX48-1)*100))</f>
        <v>-4094.6227929372094</v>
      </c>
      <c r="BE97" s="657">
        <f t="shared" ca="1" si="249"/>
        <v>-1.7413801681675056</v>
      </c>
      <c r="BF97" s="576" t="str">
        <f ca="1">IF(ROUND(BF48,2)=0,"ok","!")</f>
        <v>ok</v>
      </c>
      <c r="BG97" s="657">
        <f t="shared" ca="1" si="250"/>
        <v>-15.06152210238495</v>
      </c>
      <c r="BH97" s="657">
        <f t="shared" ca="1" si="251"/>
        <v>-26.669693814440986</v>
      </c>
      <c r="BI97" s="657">
        <f t="shared" ca="1" si="252"/>
        <v>-43.503848460615693</v>
      </c>
      <c r="BJ97" s="657">
        <f ca="1">IF(BJ48="","",IF(BD48=0,"N",(BJ48/BD48-1)*100))</f>
        <v>-90.585257067084569</v>
      </c>
      <c r="BK97" s="657">
        <f t="shared" ca="1" si="253"/>
        <v>-15.085573953111398</v>
      </c>
      <c r="BL97" s="576" t="str">
        <f ca="1">IF(ROUND(BL48,2)=0,"ok","!")</f>
        <v>ok</v>
      </c>
      <c r="BM97" s="657">
        <f t="shared" ca="1" si="254"/>
        <v>-23.725744433514762</v>
      </c>
      <c r="BN97" s="657">
        <f t="shared" ca="1" si="255"/>
        <v>-25.238344347528894</v>
      </c>
      <c r="BO97" s="657">
        <f t="shared" ca="1" si="256"/>
        <v>161.71845626451415</v>
      </c>
      <c r="BP97" s="657">
        <f ca="1">IF(BP48="","",IF(BJ48=0,"N",(BP48/BJ48-1)*100))</f>
        <v>1735.3819889031197</v>
      </c>
      <c r="BQ97" s="657">
        <f t="shared" ca="1" si="257"/>
        <v>-23.622147020677154</v>
      </c>
      <c r="BR97" s="576" t="str">
        <f ca="1">IF(ROUND(BR48,2)=0,"ok","!")</f>
        <v>!</v>
      </c>
      <c r="BS97" s="657">
        <f t="shared" ca="1" si="258"/>
        <v>17.272878259425582</v>
      </c>
      <c r="BT97" s="657">
        <f t="shared" ca="1" si="259"/>
        <v>8.7366301569402172</v>
      </c>
      <c r="BU97" s="657">
        <f t="shared" ca="1" si="260"/>
        <v>-68.963797998918523</v>
      </c>
      <c r="BV97" s="657">
        <f ca="1">IF(BV48="","",IF(BP48=0,"N",(BV48/BP48-1)*100))</f>
        <v>-108.33081412924702</v>
      </c>
      <c r="BW97" s="657">
        <f t="shared" ca="1" si="261"/>
        <v>17.264094781734762</v>
      </c>
      <c r="BX97" s="576" t="str">
        <f ca="1">IF(ROUND(BX48,2)=0,"ok","!")</f>
        <v>!</v>
      </c>
      <c r="BY97" s="657">
        <f t="shared" ca="1" si="262"/>
        <v>6.1880920049640631</v>
      </c>
      <c r="BZ97" s="657">
        <f t="shared" ca="1" si="263"/>
        <v>7.2729660516108297</v>
      </c>
      <c r="CA97" s="657">
        <f t="shared" ca="1" si="264"/>
        <v>18.509543387697924</v>
      </c>
      <c r="CB97" s="657">
        <f ca="1">IF(CB48="","",IF(BV48=0,"N",(CB48/BV48-1)*100))</f>
        <v>-68.49965108164433</v>
      </c>
      <c r="CC97" s="657">
        <f t="shared" ca="1" si="265"/>
        <v>6.1802475095081189</v>
      </c>
      <c r="CD97" s="576" t="str">
        <f ca="1">IF(ROUND(CD48,2)=0,"ok","!")</f>
        <v>!</v>
      </c>
      <c r="CE97" s="657">
        <f t="shared" ca="1" si="266"/>
        <v>-72.628564704036407</v>
      </c>
      <c r="CF97" s="657">
        <f t="shared" ca="1" si="267"/>
        <v>27.554081020531427</v>
      </c>
      <c r="CG97" s="657">
        <f t="shared" ca="1" si="268"/>
        <v>-169.47501435956451</v>
      </c>
      <c r="CH97" s="657">
        <f ca="1">IF(CH48="","",IF(CB48=0,"N",(CH48/CB48-1)*100))</f>
        <v>-1830.7044749665906</v>
      </c>
      <c r="CI97" s="657">
        <f t="shared" ca="1" si="269"/>
        <v>-72.562959014916331</v>
      </c>
      <c r="CJ97" s="576" t="str">
        <f ca="1">IF(ROUND(CJ48,2)=0,"ok","!")</f>
        <v>!</v>
      </c>
      <c r="CK97" s="657">
        <f t="shared" ca="1" si="270"/>
        <v>-27.126028261058266</v>
      </c>
      <c r="CL97" s="657">
        <f t="shared" ca="1" si="271"/>
        <v>56.874940013436294</v>
      </c>
      <c r="CM97" s="657">
        <f t="shared" ca="1" si="272"/>
        <v>-264.44988260193537</v>
      </c>
      <c r="CN97" s="657">
        <f ca="1">IF(CN48="","",IF(CH48=0,"N",(CN48/CH48-1)*100))</f>
        <v>380.64871230351571</v>
      </c>
      <c r="CO97" s="657">
        <f t="shared" ca="1" si="273"/>
        <v>-27.036137694614027</v>
      </c>
      <c r="CP97" s="576" t="str">
        <f ca="1">IF(ROUND(CP48,2)=0,"ok","!")</f>
        <v>!</v>
      </c>
      <c r="CQ97" s="657">
        <f t="shared" ca="1" si="274"/>
        <v>418.91052114062745</v>
      </c>
      <c r="CR97" s="657">
        <f t="shared" ca="1" si="275"/>
        <v>-41.221061132592219</v>
      </c>
      <c r="CS97" s="657">
        <f t="shared" ca="1" si="276"/>
        <v>265.89245495495794</v>
      </c>
      <c r="CT97" s="657">
        <f ca="1">IF(CT48="","",IF(CN48=0,"N",(CT48/CN48-1)*100))</f>
        <v>-22.188963041475262</v>
      </c>
      <c r="CU97" s="657">
        <f t="shared" ca="1" si="277"/>
        <v>417.13323675659223</v>
      </c>
      <c r="CV97" s="576" t="str">
        <f ca="1">IF(ROUND(CV48,2)=0,"ok","!")</f>
        <v>!</v>
      </c>
      <c r="CW97" s="657">
        <f t="shared" ca="1" si="278"/>
        <v>-96.255675229093157</v>
      </c>
      <c r="CX97" s="657">
        <f t="shared" ca="1" si="279"/>
        <v>-19.338419743320323</v>
      </c>
      <c r="CY97" s="657">
        <f t="shared" ca="1" si="280"/>
        <v>-53.853510010936944</v>
      </c>
      <c r="CZ97" s="657">
        <f ca="1">IF(CZ48="","",IF(CT48=0,"N",(CZ48/CT48-1)*100))</f>
        <v>7.1373322107455506</v>
      </c>
      <c r="DA97" s="657">
        <f t="shared" ca="1" si="281"/>
        <v>-96.176588608505583</v>
      </c>
      <c r="DB97" s="576" t="str">
        <f ca="1">IF(ROUND(DB48,2)=0,"ok","!")</f>
        <v>!</v>
      </c>
      <c r="DC97" s="657">
        <f t="shared" ca="1" si="282"/>
        <v>1623.3198380564545</v>
      </c>
      <c r="DD97" s="657">
        <f t="shared" ca="1" si="283"/>
        <v>-21.828786744781993</v>
      </c>
      <c r="DE97" s="657">
        <f t="shared" ca="1" si="284"/>
        <v>124.67724262779205</v>
      </c>
      <c r="DF97" s="657">
        <f ca="1">IF(DF48="","",IF(CZ48=0,"N",(DF48/CZ48-1)*100))</f>
        <v>4.8403378525153418</v>
      </c>
      <c r="DG97" s="657">
        <f t="shared" ca="1" si="285"/>
        <v>1592.0594059406792</v>
      </c>
      <c r="DH97" s="576" t="str">
        <f ca="1">IF(ROUND(DH48,2)=0,"ok","!")</f>
        <v>!</v>
      </c>
      <c r="DI97" s="657">
        <f t="shared" ca="1" si="286"/>
        <v>-49.295212141144773</v>
      </c>
      <c r="DJ97" s="657">
        <f t="shared" ca="1" si="287"/>
        <v>-11.887153752184732</v>
      </c>
      <c r="DK97" s="657">
        <f t="shared" ca="1" si="288"/>
        <v>-40.157860141639532</v>
      </c>
      <c r="DL97" s="657">
        <f ca="1">IF(DL48="","",IF(DF48=0,"N",(DL48/DF48-1)*100))</f>
        <v>-24.980803685692166</v>
      </c>
      <c r="DM97" s="657">
        <f t="shared" ca="1" si="289"/>
        <v>-49.483317534435756</v>
      </c>
      <c r="DN97" s="576" t="str">
        <f ca="1">IF(ROUND(DN48,2)=0,"ok","!")</f>
        <v>ok</v>
      </c>
      <c r="DO97" s="657">
        <f t="shared" ca="1" si="290"/>
        <v>-151.73979520919269</v>
      </c>
      <c r="DP97" s="657">
        <f t="shared" ca="1" si="291"/>
        <v>-34.838975588737057</v>
      </c>
      <c r="DQ97" s="657">
        <f t="shared" ca="1" si="292"/>
        <v>-39.619633097412553</v>
      </c>
      <c r="DR97" s="657">
        <f ca="1">IF(DR48="","",IF(DL48=0,"N",(DR48/DL48-1)*100))</f>
        <v>0.11778850059300794</v>
      </c>
      <c r="DS97" s="657">
        <f t="shared" ca="1" si="293"/>
        <v>-144.93351248667986</v>
      </c>
      <c r="DT97" s="576" t="str">
        <f ca="1">IF(ROUND(DT48,2)=0,"ok","!")</f>
        <v>!</v>
      </c>
      <c r="DU97" s="657">
        <f t="shared" ca="1" si="294"/>
        <v>-14.712993641977334</v>
      </c>
      <c r="DV97" s="657">
        <f t="shared" ca="1" si="295"/>
        <v>-42.445588108451268</v>
      </c>
      <c r="DW97" s="657">
        <f t="shared" ca="1" si="296"/>
        <v>-5.1112023942256339</v>
      </c>
      <c r="DX97" s="657">
        <f ca="1">IF(DX48="","",IF(DR48=0,"N",(DX48/DR48-1)*100))</f>
        <v>-17.40650888054066</v>
      </c>
      <c r="DY97" s="657">
        <f t="shared" ca="1" si="297"/>
        <v>-13.296555990926484</v>
      </c>
      <c r="DZ97" s="576" t="str">
        <f ca="1">IF(ROUND(DZ48,2)=0,"ok","!")</f>
        <v>!</v>
      </c>
      <c r="EA97" s="657">
        <f t="shared" ca="1" si="298"/>
        <v>-146.06257874841938</v>
      </c>
      <c r="EB97" s="657">
        <f t="shared" ca="1" si="299"/>
        <v>-68.00879208712314</v>
      </c>
      <c r="EC97" s="657">
        <f t="shared" ca="1" si="300"/>
        <v>66.491960420532337</v>
      </c>
      <c r="ED97" s="657">
        <f ca="1">IF(ED48="","",IF(DX48=0,"N",(ED48/DX48-1)*100))</f>
        <v>3.0738550405721821</v>
      </c>
      <c r="EE97" s="657">
        <f t="shared" ca="1" si="301"/>
        <v>-151.8522923232446</v>
      </c>
      <c r="EF97" s="576" t="str">
        <f ca="1">IF(ROUND(EF48,2)=0,"ok","!")</f>
        <v>!</v>
      </c>
      <c r="EG97" s="657">
        <f t="shared" ca="1" si="302"/>
        <v>243.43049407720426</v>
      </c>
      <c r="EH97" s="657">
        <f t="shared" ca="1" si="303"/>
        <v>-6.2190502060738613</v>
      </c>
      <c r="EI97" s="657">
        <f t="shared" ca="1" si="304"/>
        <v>-35.597742043580979</v>
      </c>
      <c r="EJ97" s="657">
        <f ca="1">IF(EJ48="","",IF(ED48=0,"N",(EJ48/ED48-1)*100))</f>
        <v>-56.896009454552434</v>
      </c>
      <c r="EK97" s="657">
        <f t="shared" ca="1" si="305"/>
        <v>286.3760329987669</v>
      </c>
      <c r="EL97" s="576" t="str">
        <f ca="1">IF(ROUND(EL48,2)=0,"ok","!")</f>
        <v>!</v>
      </c>
      <c r="EM97" s="657">
        <f t="shared" ca="1" si="306"/>
        <v>6.8297262312712936</v>
      </c>
      <c r="EN97" s="657">
        <f t="shared" ca="1" si="307"/>
        <v>-108.66842756437669</v>
      </c>
      <c r="EO97" s="657">
        <f t="shared" ca="1" si="308"/>
        <v>20.851212256577732</v>
      </c>
      <c r="EP97" s="657">
        <f ca="1">IF(EP48="","",IF(EJ48=0,"N",(EP48/EJ48-1)*100))</f>
        <v>12.993861675399575</v>
      </c>
      <c r="EQ97" s="657">
        <f t="shared" ca="1" si="309"/>
        <v>-4.4563263091101035</v>
      </c>
      <c r="ER97" s="576" t="str">
        <f ca="1">IF(ROUND(ER48,2)=0,"ok","!")</f>
        <v>ok</v>
      </c>
    </row>
    <row r="98" spans="2:148">
      <c r="B98" s="620"/>
      <c r="C98" s="4144"/>
      <c r="D98" s="4145"/>
      <c r="E98" s="623"/>
      <c r="F98" s="658"/>
      <c r="G98" s="658"/>
      <c r="H98" s="658"/>
      <c r="I98" s="658"/>
      <c r="J98" s="623"/>
      <c r="K98" s="623"/>
      <c r="L98" s="658"/>
      <c r="M98" s="658"/>
      <c r="N98" s="658"/>
      <c r="O98" s="658"/>
      <c r="P98" s="623"/>
      <c r="Q98" s="623"/>
      <c r="R98" s="658"/>
      <c r="S98" s="658"/>
      <c r="T98" s="658"/>
      <c r="U98" s="658"/>
      <c r="V98" s="623"/>
      <c r="W98" s="623"/>
      <c r="X98" s="658"/>
      <c r="Y98" s="658"/>
      <c r="Z98" s="658"/>
      <c r="AA98" s="658"/>
      <c r="AB98" s="623"/>
      <c r="AC98" s="623"/>
      <c r="AD98" s="658"/>
      <c r="AE98" s="658"/>
      <c r="AF98" s="658"/>
      <c r="AG98" s="658"/>
      <c r="AH98" s="623"/>
      <c r="AI98" s="623"/>
      <c r="AJ98" s="658"/>
      <c r="AK98" s="658"/>
      <c r="AL98" s="658"/>
      <c r="AM98" s="658"/>
      <c r="AN98" s="623"/>
      <c r="AO98" s="623"/>
      <c r="AP98" s="658"/>
      <c r="AQ98" s="658"/>
      <c r="AR98" s="658"/>
      <c r="AS98" s="658"/>
      <c r="AT98" s="623"/>
      <c r="AU98" s="623"/>
      <c r="AV98" s="658"/>
      <c r="AW98" s="658"/>
      <c r="AX98" s="658"/>
      <c r="AY98" s="658"/>
      <c r="AZ98" s="623"/>
      <c r="BA98" s="623"/>
      <c r="BB98" s="658"/>
      <c r="BC98" s="658"/>
      <c r="BD98" s="658"/>
      <c r="BE98" s="658"/>
      <c r="BF98" s="623"/>
      <c r="BG98" s="623"/>
      <c r="BH98" s="658"/>
      <c r="BI98" s="658"/>
      <c r="BJ98" s="658"/>
      <c r="BK98" s="658"/>
      <c r="BL98" s="623"/>
      <c r="BM98" s="623"/>
      <c r="BN98" s="658"/>
      <c r="BO98" s="658"/>
      <c r="BP98" s="658"/>
      <c r="BQ98" s="658"/>
      <c r="BR98" s="623"/>
      <c r="BS98" s="623"/>
      <c r="BT98" s="658"/>
      <c r="BU98" s="658"/>
      <c r="BV98" s="658"/>
      <c r="BW98" s="658"/>
      <c r="BX98" s="623"/>
      <c r="BY98" s="623"/>
      <c r="BZ98" s="658"/>
      <c r="CA98" s="658"/>
      <c r="CB98" s="658"/>
      <c r="CC98" s="658"/>
      <c r="CD98" s="623"/>
      <c r="CE98" s="623"/>
      <c r="CF98" s="658"/>
      <c r="CG98" s="658"/>
      <c r="CH98" s="658"/>
      <c r="CI98" s="658"/>
      <c r="CJ98" s="623"/>
      <c r="CK98" s="623"/>
      <c r="CL98" s="658"/>
      <c r="CM98" s="658"/>
      <c r="CN98" s="658"/>
      <c r="CO98" s="658"/>
      <c r="CP98" s="623"/>
    </row>
    <row r="99" spans="2:148" ht="60" customHeight="1">
      <c r="C99" s="624"/>
      <c r="J99"/>
    </row>
    <row r="100" spans="2:148">
      <c r="C100" s="4146" t="s">
        <v>1980</v>
      </c>
      <c r="D100" s="4146"/>
      <c r="E100" s="4134" t="s">
        <v>1981</v>
      </c>
      <c r="F100" s="4123"/>
      <c r="G100" s="4123"/>
      <c r="H100" s="4123"/>
      <c r="I100" s="4123"/>
      <c r="J100" s="4130"/>
      <c r="K100" s="4139" t="s">
        <v>1982</v>
      </c>
      <c r="L100" s="4140"/>
      <c r="M100" s="4140"/>
      <c r="N100" s="4140"/>
      <c r="O100" s="4140"/>
      <c r="P100" s="4140"/>
    </row>
    <row r="101" spans="2:148">
      <c r="C101" s="4146"/>
      <c r="D101" s="4146"/>
      <c r="E101" s="4131"/>
      <c r="F101" s="4132"/>
      <c r="G101" s="4132"/>
      <c r="H101" s="4132"/>
      <c r="I101" s="4132"/>
      <c r="J101" s="4133"/>
      <c r="K101" s="4131"/>
      <c r="L101" s="4132"/>
      <c r="M101" s="4132"/>
      <c r="N101" s="4132"/>
      <c r="O101" s="4132"/>
      <c r="P101" s="4132"/>
    </row>
    <row r="102" spans="2:148">
      <c r="C102" s="4147"/>
      <c r="D102" s="4147"/>
      <c r="E102" s="562" t="s">
        <v>588</v>
      </c>
      <c r="F102" s="562" t="s">
        <v>589</v>
      </c>
      <c r="G102" s="562" t="s">
        <v>590</v>
      </c>
      <c r="H102" s="562" t="s">
        <v>591</v>
      </c>
      <c r="I102" s="562" t="s">
        <v>592</v>
      </c>
      <c r="J102" s="562" t="s">
        <v>619</v>
      </c>
      <c r="K102" s="562" t="s">
        <v>588</v>
      </c>
      <c r="L102" s="562" t="s">
        <v>589</v>
      </c>
      <c r="M102" s="562" t="s">
        <v>590</v>
      </c>
      <c r="N102" s="562" t="s">
        <v>591</v>
      </c>
      <c r="O102" s="562" t="s">
        <v>592</v>
      </c>
      <c r="P102" s="562" t="s">
        <v>619</v>
      </c>
    </row>
    <row r="103" spans="2:148" ht="12.75" customHeight="1">
      <c r="B103" s="564"/>
      <c r="C103" s="4141" t="s">
        <v>620</v>
      </c>
      <c r="D103" s="4142"/>
      <c r="E103" s="659">
        <v>47</v>
      </c>
      <c r="F103" s="660"/>
      <c r="G103" s="660"/>
      <c r="H103" s="660"/>
      <c r="I103" s="660"/>
      <c r="J103" s="661"/>
      <c r="K103" s="662" t="s">
        <v>1983</v>
      </c>
      <c r="L103" s="663"/>
      <c r="M103" s="663"/>
      <c r="N103" s="663"/>
      <c r="O103" s="663"/>
      <c r="P103" s="661"/>
    </row>
    <row r="104" spans="2:148" ht="12.75" customHeight="1">
      <c r="B104" s="568" t="s">
        <v>2133</v>
      </c>
      <c r="C104" s="4136" t="s">
        <v>1978</v>
      </c>
      <c r="D104" s="4135"/>
      <c r="E104" s="664">
        <v>50</v>
      </c>
      <c r="F104" s="665"/>
      <c r="G104" s="665"/>
      <c r="H104" s="665"/>
      <c r="I104" s="665"/>
      <c r="J104" s="661"/>
      <c r="K104" s="666" t="s">
        <v>485</v>
      </c>
      <c r="L104" s="667"/>
      <c r="M104" s="667"/>
      <c r="N104" s="667"/>
      <c r="O104" s="667"/>
      <c r="P104" s="661"/>
    </row>
    <row r="105" spans="2:148" ht="12.75" customHeight="1">
      <c r="B105" s="568" t="s">
        <v>622</v>
      </c>
      <c r="C105" s="4136" t="s">
        <v>1979</v>
      </c>
      <c r="D105" s="4135"/>
      <c r="E105" s="668">
        <v>51</v>
      </c>
      <c r="F105" s="665"/>
      <c r="G105" s="665"/>
      <c r="H105" s="665"/>
      <c r="I105" s="665"/>
      <c r="J105" s="661"/>
      <c r="K105" s="669" t="s">
        <v>335</v>
      </c>
      <c r="L105" s="667"/>
      <c r="M105" s="667"/>
      <c r="N105" s="667"/>
      <c r="O105" s="667"/>
      <c r="P105" s="661"/>
    </row>
    <row r="106" spans="2:148" ht="12.75" customHeight="1">
      <c r="B106" s="568" t="s">
        <v>624</v>
      </c>
      <c r="C106" s="4137" t="s">
        <v>1684</v>
      </c>
      <c r="D106" s="4137"/>
      <c r="E106" s="670">
        <v>57</v>
      </c>
      <c r="F106" s="671"/>
      <c r="G106" s="671">
        <v>100</v>
      </c>
      <c r="H106" s="671"/>
      <c r="I106" s="672"/>
      <c r="J106" s="661"/>
      <c r="K106" s="673" t="s">
        <v>1984</v>
      </c>
      <c r="L106" s="674" t="s">
        <v>1933</v>
      </c>
      <c r="M106" s="674" t="s">
        <v>1756</v>
      </c>
      <c r="N106" s="674" t="s">
        <v>1649</v>
      </c>
      <c r="O106" s="675"/>
      <c r="P106" s="661"/>
    </row>
    <row r="107" spans="2:148" ht="12.75" customHeight="1">
      <c r="B107" s="568" t="s">
        <v>2133</v>
      </c>
      <c r="C107" s="4136" t="s">
        <v>1685</v>
      </c>
      <c r="D107" s="4136"/>
      <c r="E107" s="676"/>
      <c r="F107" s="677"/>
      <c r="G107" s="677">
        <v>102</v>
      </c>
      <c r="H107" s="665"/>
      <c r="I107" s="665"/>
      <c r="J107" s="661"/>
      <c r="K107" s="678"/>
      <c r="L107" s="679" t="s">
        <v>1935</v>
      </c>
      <c r="M107" s="679" t="s">
        <v>1352</v>
      </c>
      <c r="N107" s="667">
        <v>0</v>
      </c>
      <c r="O107" s="667"/>
      <c r="P107" s="661"/>
    </row>
    <row r="108" spans="2:148" ht="12.75" customHeight="1">
      <c r="B108" s="568" t="s">
        <v>622</v>
      </c>
      <c r="C108" s="4136" t="s">
        <v>828</v>
      </c>
      <c r="D108" s="4136"/>
      <c r="E108" s="676"/>
      <c r="F108" s="677"/>
      <c r="G108" s="677">
        <v>101</v>
      </c>
      <c r="H108" s="665"/>
      <c r="I108" s="665"/>
      <c r="J108" s="661"/>
      <c r="K108" s="678"/>
      <c r="L108" s="679" t="s">
        <v>1936</v>
      </c>
      <c r="M108" s="679" t="s">
        <v>679</v>
      </c>
      <c r="N108" s="667">
        <v>0</v>
      </c>
      <c r="O108" s="667"/>
      <c r="P108" s="661"/>
    </row>
    <row r="109" spans="2:148" ht="12.75" customHeight="1">
      <c r="B109" s="568" t="s">
        <v>2133</v>
      </c>
      <c r="C109" s="4136" t="s">
        <v>829</v>
      </c>
      <c r="D109" s="4135"/>
      <c r="E109" s="676"/>
      <c r="F109" s="677"/>
      <c r="G109" s="677">
        <v>103</v>
      </c>
      <c r="H109" s="677">
        <v>120</v>
      </c>
      <c r="I109" s="680" t="s">
        <v>1985</v>
      </c>
      <c r="J109" s="661"/>
      <c r="K109" s="678"/>
      <c r="L109" s="679" t="s">
        <v>1986</v>
      </c>
      <c r="M109" s="679" t="s">
        <v>1987</v>
      </c>
      <c r="N109" s="679" t="s">
        <v>1988</v>
      </c>
      <c r="O109" s="681" t="s">
        <v>328</v>
      </c>
      <c r="P109" s="661"/>
    </row>
    <row r="110" spans="2:148" ht="12.75" customHeight="1">
      <c r="B110" s="568" t="s">
        <v>624</v>
      </c>
      <c r="C110" s="4137" t="s">
        <v>560</v>
      </c>
      <c r="D110" s="4138"/>
      <c r="E110" s="682"/>
      <c r="F110" s="682">
        <v>89</v>
      </c>
      <c r="G110" s="682">
        <v>104</v>
      </c>
      <c r="H110" s="682" t="s">
        <v>1989</v>
      </c>
      <c r="I110" s="682"/>
      <c r="J110" s="661"/>
      <c r="K110" s="683"/>
      <c r="L110" s="683" t="s">
        <v>143</v>
      </c>
      <c r="M110" s="683" t="s">
        <v>1470</v>
      </c>
      <c r="N110" s="683" t="s">
        <v>1990</v>
      </c>
      <c r="O110" s="683"/>
      <c r="P110" s="661"/>
    </row>
    <row r="111" spans="2:148" ht="12.75" customHeight="1">
      <c r="B111" s="568" t="s">
        <v>622</v>
      </c>
      <c r="C111" s="4136" t="s">
        <v>561</v>
      </c>
      <c r="D111" s="4135"/>
      <c r="E111" s="676"/>
      <c r="F111" s="676">
        <v>87</v>
      </c>
      <c r="G111" s="665"/>
      <c r="H111" s="665"/>
      <c r="I111" s="677" t="s">
        <v>1985</v>
      </c>
      <c r="J111" s="661"/>
      <c r="K111" s="678"/>
      <c r="L111" s="678" t="s">
        <v>729</v>
      </c>
      <c r="M111" s="667"/>
      <c r="N111" s="667"/>
      <c r="O111" s="679" t="s">
        <v>329</v>
      </c>
      <c r="P111" s="661"/>
    </row>
    <row r="112" spans="2:148">
      <c r="B112" s="587"/>
      <c r="C112" s="588"/>
      <c r="D112" s="589" t="s">
        <v>1696</v>
      </c>
      <c r="E112" s="684"/>
      <c r="F112" s="685">
        <v>88</v>
      </c>
      <c r="G112" s="686"/>
      <c r="H112" s="686"/>
      <c r="I112" s="686"/>
      <c r="J112" s="661"/>
      <c r="K112" s="678"/>
      <c r="L112" s="679" t="s">
        <v>217</v>
      </c>
      <c r="M112" s="667"/>
      <c r="N112" s="667"/>
      <c r="O112" s="667"/>
      <c r="P112" s="661"/>
    </row>
    <row r="113" spans="2:16">
      <c r="B113" s="587"/>
      <c r="C113" s="588"/>
      <c r="D113" s="589" t="s">
        <v>1765</v>
      </c>
      <c r="E113" s="684"/>
      <c r="F113" s="685"/>
      <c r="G113" s="686"/>
      <c r="H113" s="686"/>
      <c r="I113" s="686"/>
      <c r="J113" s="661"/>
      <c r="K113" s="678"/>
      <c r="L113" s="679" t="s">
        <v>1991</v>
      </c>
      <c r="M113" s="667"/>
      <c r="N113" s="667"/>
      <c r="O113" s="667"/>
      <c r="P113" s="661"/>
    </row>
    <row r="114" spans="2:16" ht="12.75" customHeight="1">
      <c r="B114" s="568" t="s">
        <v>622</v>
      </c>
      <c r="C114" s="4136" t="s">
        <v>1415</v>
      </c>
      <c r="D114" s="4135"/>
      <c r="E114" s="676"/>
      <c r="F114" s="665"/>
      <c r="G114" s="665"/>
      <c r="H114" s="677">
        <v>113</v>
      </c>
      <c r="I114" s="677" t="s">
        <v>1992</v>
      </c>
      <c r="J114" s="661"/>
      <c r="K114" s="678"/>
      <c r="L114" s="667"/>
      <c r="M114" s="667"/>
      <c r="N114" s="679" t="s">
        <v>1537</v>
      </c>
      <c r="O114" s="679" t="s">
        <v>280</v>
      </c>
      <c r="P114" s="661"/>
    </row>
    <row r="115" spans="2:16" ht="12.75" customHeight="1" thickBot="1">
      <c r="B115" s="568" t="s">
        <v>2133</v>
      </c>
      <c r="C115" s="4136" t="s">
        <v>1645</v>
      </c>
      <c r="D115" s="4135"/>
      <c r="E115" s="676"/>
      <c r="F115" s="665"/>
      <c r="G115" s="665"/>
      <c r="H115" s="677">
        <v>123</v>
      </c>
      <c r="I115" s="677" t="s">
        <v>281</v>
      </c>
      <c r="J115" s="661"/>
      <c r="K115" s="678"/>
      <c r="L115" s="667"/>
      <c r="M115" s="667"/>
      <c r="N115" s="679" t="s">
        <v>282</v>
      </c>
      <c r="O115" s="679" t="s">
        <v>296</v>
      </c>
      <c r="P115" s="661"/>
    </row>
    <row r="116" spans="2:16" ht="12.75" customHeight="1">
      <c r="B116" s="568" t="s">
        <v>622</v>
      </c>
      <c r="C116" s="4136" t="s">
        <v>1631</v>
      </c>
      <c r="D116" s="4135"/>
      <c r="E116" s="676"/>
      <c r="F116" s="677">
        <v>90</v>
      </c>
      <c r="G116" s="677">
        <v>105</v>
      </c>
      <c r="H116" s="687"/>
      <c r="I116" s="677" t="s">
        <v>1985</v>
      </c>
      <c r="J116" s="661"/>
      <c r="K116" s="678"/>
      <c r="L116" s="679" t="s">
        <v>297</v>
      </c>
      <c r="M116" s="679" t="s">
        <v>1472</v>
      </c>
      <c r="N116" s="688"/>
      <c r="O116" s="679" t="s">
        <v>331</v>
      </c>
      <c r="P116" s="661"/>
    </row>
    <row r="117" spans="2:16">
      <c r="B117" s="592"/>
      <c r="C117" s="599"/>
      <c r="D117" s="600" t="s">
        <v>1294</v>
      </c>
      <c r="E117" s="693"/>
      <c r="F117" s="665"/>
      <c r="G117" s="665"/>
      <c r="H117" s="689" t="s">
        <v>1989</v>
      </c>
      <c r="I117" s="665"/>
      <c r="J117" s="661"/>
      <c r="K117" s="678"/>
      <c r="L117" s="667"/>
      <c r="M117" s="667"/>
      <c r="N117" s="690" t="s">
        <v>683</v>
      </c>
      <c r="O117" s="667"/>
      <c r="P117" s="661"/>
    </row>
    <row r="118" spans="2:16">
      <c r="B118" s="592"/>
      <c r="C118" s="599"/>
      <c r="D118" s="600" t="s">
        <v>1295</v>
      </c>
      <c r="E118" s="693"/>
      <c r="F118" s="665"/>
      <c r="G118" s="665"/>
      <c r="H118" s="689" t="s">
        <v>643</v>
      </c>
      <c r="I118" s="665"/>
      <c r="J118" s="661"/>
      <c r="K118" s="678"/>
      <c r="L118" s="667"/>
      <c r="M118" s="667"/>
      <c r="N118" s="690"/>
      <c r="O118" s="667"/>
      <c r="P118" s="661"/>
    </row>
    <row r="119" spans="2:16" ht="13.8" thickBot="1">
      <c r="B119" s="592"/>
      <c r="C119" s="599"/>
      <c r="D119" s="600" t="s">
        <v>1632</v>
      </c>
      <c r="E119" s="693"/>
      <c r="F119" s="665"/>
      <c r="G119" s="665"/>
      <c r="H119" s="691">
        <v>122</v>
      </c>
      <c r="I119" s="665"/>
      <c r="J119" s="661"/>
      <c r="K119" s="678"/>
      <c r="L119" s="667"/>
      <c r="M119" s="667"/>
      <c r="N119" s="692" t="s">
        <v>881</v>
      </c>
      <c r="O119" s="667"/>
      <c r="P119" s="661"/>
    </row>
    <row r="120" spans="2:16" ht="12.75" customHeight="1">
      <c r="B120" s="568" t="s">
        <v>624</v>
      </c>
      <c r="C120" s="4137" t="s">
        <v>2026</v>
      </c>
      <c r="D120" s="4138"/>
      <c r="E120" s="682"/>
      <c r="F120" s="682"/>
      <c r="G120" s="682"/>
      <c r="H120" s="682"/>
      <c r="I120" s="682"/>
      <c r="J120" s="661"/>
      <c r="K120" s="683"/>
      <c r="L120" s="683" t="s">
        <v>882</v>
      </c>
      <c r="M120" s="683" t="s">
        <v>883</v>
      </c>
      <c r="N120" s="683" t="s">
        <v>884</v>
      </c>
      <c r="O120" s="683"/>
      <c r="P120" s="661"/>
    </row>
    <row r="121" spans="2:16" ht="13.5" customHeight="1" thickBot="1">
      <c r="B121" s="568" t="s">
        <v>622</v>
      </c>
      <c r="C121" s="4136" t="s">
        <v>2127</v>
      </c>
      <c r="D121" s="4135"/>
      <c r="E121" s="676"/>
      <c r="F121" s="665"/>
      <c r="G121" s="665"/>
      <c r="H121" s="677">
        <v>114</v>
      </c>
      <c r="I121" s="694" t="s">
        <v>897</v>
      </c>
      <c r="J121" s="661"/>
      <c r="K121" s="678"/>
      <c r="L121" s="667"/>
      <c r="M121" s="667"/>
      <c r="N121" s="679" t="s">
        <v>898</v>
      </c>
      <c r="O121" s="695" t="s">
        <v>1103</v>
      </c>
      <c r="P121" s="661"/>
    </row>
    <row r="122" spans="2:16" ht="12.75" customHeight="1">
      <c r="B122" s="568" t="s">
        <v>622</v>
      </c>
      <c r="C122" s="4136" t="s">
        <v>1417</v>
      </c>
      <c r="D122" s="4135"/>
      <c r="E122" s="676"/>
      <c r="F122" s="677" t="s">
        <v>1104</v>
      </c>
      <c r="G122" s="677" t="s">
        <v>1105</v>
      </c>
      <c r="H122" s="687">
        <v>115</v>
      </c>
      <c r="I122" s="677" t="s">
        <v>897</v>
      </c>
      <c r="J122" s="661"/>
      <c r="K122" s="678"/>
      <c r="L122" s="679" t="s">
        <v>1106</v>
      </c>
      <c r="M122" s="679" t="s">
        <v>1107</v>
      </c>
      <c r="N122" s="688" t="s">
        <v>267</v>
      </c>
      <c r="O122" s="679" t="s">
        <v>268</v>
      </c>
      <c r="P122" s="661"/>
    </row>
    <row r="123" spans="2:16">
      <c r="B123" s="592"/>
      <c r="C123" s="593"/>
      <c r="D123" s="594" t="s">
        <v>656</v>
      </c>
      <c r="E123" s="693"/>
      <c r="F123" s="696"/>
      <c r="G123" s="696"/>
      <c r="H123" s="689"/>
      <c r="I123" s="696"/>
      <c r="J123" s="661"/>
      <c r="K123" s="678"/>
      <c r="L123" s="697"/>
      <c r="M123" s="697"/>
      <c r="N123" s="690" t="s">
        <v>1370</v>
      </c>
      <c r="O123" s="697"/>
      <c r="P123" s="661"/>
    </row>
    <row r="124" spans="2:16" ht="13.8" thickBot="1">
      <c r="B124" s="592"/>
      <c r="C124" s="593"/>
      <c r="D124" s="594" t="s">
        <v>1479</v>
      </c>
      <c r="E124" s="693"/>
      <c r="F124" s="696"/>
      <c r="G124" s="696"/>
      <c r="H124" s="691">
        <v>116</v>
      </c>
      <c r="I124" s="696"/>
      <c r="J124" s="661"/>
      <c r="K124" s="678"/>
      <c r="L124" s="697"/>
      <c r="M124" s="697"/>
      <c r="N124" s="692" t="s">
        <v>681</v>
      </c>
      <c r="O124" s="697"/>
      <c r="P124" s="661"/>
    </row>
    <row r="125" spans="2:16" ht="12.75" customHeight="1">
      <c r="B125" s="568" t="s">
        <v>622</v>
      </c>
      <c r="C125" s="4136" t="s">
        <v>1480</v>
      </c>
      <c r="D125" s="4135"/>
      <c r="E125" s="676"/>
      <c r="F125" s="677" t="s">
        <v>269</v>
      </c>
      <c r="G125" s="665"/>
      <c r="H125" s="665"/>
      <c r="I125" s="677" t="s">
        <v>897</v>
      </c>
      <c r="J125" s="661"/>
      <c r="K125" s="678"/>
      <c r="L125" s="679" t="s">
        <v>1106</v>
      </c>
      <c r="M125" s="667"/>
      <c r="N125" s="667"/>
      <c r="O125" s="679" t="s">
        <v>268</v>
      </c>
      <c r="P125" s="661"/>
    </row>
    <row r="126" spans="2:16" ht="12.75" customHeight="1">
      <c r="B126" s="568" t="s">
        <v>622</v>
      </c>
      <c r="C126" s="4136" t="s">
        <v>1481</v>
      </c>
      <c r="D126" s="4135"/>
      <c r="E126" s="676"/>
      <c r="F126" s="677" t="s">
        <v>269</v>
      </c>
      <c r="G126" s="677" t="s">
        <v>1105</v>
      </c>
      <c r="H126" s="677" t="s">
        <v>1989</v>
      </c>
      <c r="I126" s="677" t="s">
        <v>897</v>
      </c>
      <c r="J126" s="661"/>
      <c r="K126" s="678"/>
      <c r="L126" s="679" t="s">
        <v>1940</v>
      </c>
      <c r="M126" s="679" t="s">
        <v>1758</v>
      </c>
      <c r="N126" s="679" t="s">
        <v>1067</v>
      </c>
      <c r="O126" s="679" t="s">
        <v>1956</v>
      </c>
      <c r="P126" s="661"/>
    </row>
    <row r="127" spans="2:16" ht="12.75" customHeight="1">
      <c r="B127" s="568" t="s">
        <v>624</v>
      </c>
      <c r="C127" s="4137" t="s">
        <v>1482</v>
      </c>
      <c r="D127" s="4138"/>
      <c r="E127" s="682"/>
      <c r="F127" s="682"/>
      <c r="G127" s="682"/>
      <c r="H127" s="682"/>
      <c r="I127" s="682"/>
      <c r="J127" s="661"/>
      <c r="K127" s="683"/>
      <c r="L127" s="683" t="s">
        <v>270</v>
      </c>
      <c r="M127" s="683" t="s">
        <v>271</v>
      </c>
      <c r="N127" s="683" t="s">
        <v>272</v>
      </c>
      <c r="O127" s="683"/>
      <c r="P127" s="661"/>
    </row>
    <row r="128" spans="2:16" ht="12.75" customHeight="1">
      <c r="B128" s="568" t="s">
        <v>2133</v>
      </c>
      <c r="C128" s="4135" t="s">
        <v>1483</v>
      </c>
      <c r="D128" s="4135"/>
      <c r="E128" s="676"/>
      <c r="F128" s="677">
        <v>92</v>
      </c>
      <c r="G128" s="677">
        <v>107</v>
      </c>
      <c r="H128" s="677" t="s">
        <v>643</v>
      </c>
      <c r="I128" s="677" t="s">
        <v>897</v>
      </c>
      <c r="J128" s="661"/>
      <c r="K128" s="678"/>
      <c r="L128" s="679" t="s">
        <v>301</v>
      </c>
      <c r="M128" s="679" t="s">
        <v>426</v>
      </c>
      <c r="N128" s="679" t="s">
        <v>680</v>
      </c>
      <c r="O128" s="679" t="s">
        <v>1429</v>
      </c>
      <c r="P128" s="661"/>
    </row>
    <row r="129" spans="2:16" ht="12.75" customHeight="1">
      <c r="B129" s="568" t="s">
        <v>2133</v>
      </c>
      <c r="C129" s="4135" t="s">
        <v>1438</v>
      </c>
      <c r="D129" s="4135"/>
      <c r="E129" s="676"/>
      <c r="F129" s="677" t="s">
        <v>269</v>
      </c>
      <c r="G129" s="665"/>
      <c r="H129" s="665"/>
      <c r="I129" s="677" t="s">
        <v>897</v>
      </c>
      <c r="J129" s="661"/>
      <c r="K129" s="678"/>
      <c r="L129" s="679" t="s">
        <v>644</v>
      </c>
      <c r="M129" s="667"/>
      <c r="N129" s="667"/>
      <c r="O129" s="679" t="s">
        <v>645</v>
      </c>
      <c r="P129" s="661"/>
    </row>
    <row r="130" spans="2:16" ht="12.75" customHeight="1">
      <c r="B130" s="568" t="s">
        <v>2133</v>
      </c>
      <c r="C130" s="4135" t="s">
        <v>1439</v>
      </c>
      <c r="D130" s="4135"/>
      <c r="E130" s="676"/>
      <c r="F130" s="677" t="s">
        <v>1104</v>
      </c>
      <c r="G130" s="677" t="s">
        <v>1105</v>
      </c>
      <c r="H130" s="677">
        <v>121</v>
      </c>
      <c r="I130" s="677" t="s">
        <v>897</v>
      </c>
      <c r="J130" s="661"/>
      <c r="K130" s="678"/>
      <c r="L130" s="679" t="s">
        <v>644</v>
      </c>
      <c r="M130" s="679" t="s">
        <v>1761</v>
      </c>
      <c r="N130" s="679" t="s">
        <v>646</v>
      </c>
      <c r="O130" s="679" t="s">
        <v>645</v>
      </c>
      <c r="P130" s="661"/>
    </row>
    <row r="131" spans="2:16" ht="12.75" customHeight="1">
      <c r="B131" s="568" t="s">
        <v>2133</v>
      </c>
      <c r="C131" s="4135" t="s">
        <v>1440</v>
      </c>
      <c r="D131" s="4135"/>
      <c r="E131" s="676"/>
      <c r="F131" s="677" t="s">
        <v>1104</v>
      </c>
      <c r="G131" s="677" t="s">
        <v>1105</v>
      </c>
      <c r="H131" s="677" t="s">
        <v>643</v>
      </c>
      <c r="I131" s="677" t="s">
        <v>897</v>
      </c>
      <c r="J131" s="661"/>
      <c r="K131" s="678"/>
      <c r="L131" s="679" t="s">
        <v>1942</v>
      </c>
      <c r="M131" s="679" t="s">
        <v>1759</v>
      </c>
      <c r="N131" s="679" t="s">
        <v>1068</v>
      </c>
      <c r="O131" s="679" t="s">
        <v>1955</v>
      </c>
      <c r="P131" s="661"/>
    </row>
    <row r="132" spans="2:16" ht="12.75" customHeight="1">
      <c r="B132" s="568" t="s">
        <v>624</v>
      </c>
      <c r="C132" s="4137" t="s">
        <v>1441</v>
      </c>
      <c r="D132" s="4138"/>
      <c r="E132" s="682"/>
      <c r="F132" s="682"/>
      <c r="G132" s="682"/>
      <c r="H132" s="682"/>
      <c r="I132" s="682"/>
      <c r="J132" s="661"/>
      <c r="K132" s="683"/>
      <c r="L132" s="683" t="s">
        <v>647</v>
      </c>
      <c r="M132" s="683" t="s">
        <v>657</v>
      </c>
      <c r="N132" s="683" t="s">
        <v>658</v>
      </c>
      <c r="O132" s="683"/>
      <c r="P132" s="661"/>
    </row>
    <row r="133" spans="2:16" ht="13.5" customHeight="1" thickBot="1">
      <c r="B133" s="568" t="s">
        <v>622</v>
      </c>
      <c r="C133" s="4136" t="s">
        <v>1442</v>
      </c>
      <c r="D133" s="4135"/>
      <c r="E133" s="676"/>
      <c r="F133" s="677">
        <v>94</v>
      </c>
      <c r="G133" s="677">
        <v>108</v>
      </c>
      <c r="H133" s="677" t="s">
        <v>659</v>
      </c>
      <c r="I133" s="665"/>
      <c r="J133" s="661"/>
      <c r="K133" s="678"/>
      <c r="L133" s="679" t="s">
        <v>1943</v>
      </c>
      <c r="M133" s="679" t="s">
        <v>1757</v>
      </c>
      <c r="N133" s="679" t="s">
        <v>659</v>
      </c>
      <c r="O133" s="667"/>
      <c r="P133" s="661"/>
    </row>
    <row r="134" spans="2:16" ht="12.75" customHeight="1">
      <c r="B134" s="568" t="s">
        <v>2133</v>
      </c>
      <c r="C134" s="4136" t="s">
        <v>1043</v>
      </c>
      <c r="D134" s="4135"/>
      <c r="E134" s="676"/>
      <c r="F134" s="698">
        <v>95</v>
      </c>
      <c r="G134" s="699"/>
      <c r="H134" s="687"/>
      <c r="I134" s="700"/>
      <c r="J134" s="661"/>
      <c r="K134" s="678"/>
      <c r="L134" s="701" t="s">
        <v>876</v>
      </c>
      <c r="M134" s="702"/>
      <c r="N134" s="688" t="s">
        <v>1382</v>
      </c>
      <c r="O134" s="703"/>
      <c r="P134" s="661"/>
    </row>
    <row r="135" spans="2:16">
      <c r="B135" s="568"/>
      <c r="C135" s="611"/>
      <c r="D135" s="612" t="s">
        <v>783</v>
      </c>
      <c r="E135" s="693"/>
      <c r="F135" s="665"/>
      <c r="G135" s="699"/>
      <c r="H135" s="704">
        <v>119</v>
      </c>
      <c r="I135" s="700"/>
      <c r="J135" s="661"/>
      <c r="K135" s="678"/>
      <c r="L135" s="667"/>
      <c r="M135" s="702"/>
      <c r="N135" s="705" t="s">
        <v>1461</v>
      </c>
      <c r="O135" s="703"/>
      <c r="P135" s="661"/>
    </row>
    <row r="136" spans="2:16" ht="13.8" thickBot="1">
      <c r="B136" s="592"/>
      <c r="C136" s="611"/>
      <c r="D136" s="612" t="s">
        <v>596</v>
      </c>
      <c r="E136" s="693"/>
      <c r="F136" s="665"/>
      <c r="G136" s="699"/>
      <c r="H136" s="706">
        <v>118</v>
      </c>
      <c r="I136" s="700"/>
      <c r="J136" s="661"/>
      <c r="K136" s="678"/>
      <c r="L136" s="667"/>
      <c r="M136" s="702"/>
      <c r="N136" s="707" t="s">
        <v>1462</v>
      </c>
      <c r="O136" s="703"/>
      <c r="P136" s="661"/>
    </row>
    <row r="137" spans="2:16" ht="12.75" customHeight="1">
      <c r="B137" s="568" t="s">
        <v>624</v>
      </c>
      <c r="C137" s="4137" t="s">
        <v>249</v>
      </c>
      <c r="D137" s="4138"/>
      <c r="E137" s="682"/>
      <c r="F137" s="682"/>
      <c r="G137" s="682"/>
      <c r="H137" s="682"/>
      <c r="I137" s="682"/>
      <c r="J137" s="661"/>
      <c r="K137" s="683"/>
      <c r="L137" s="683" t="s">
        <v>660</v>
      </c>
      <c r="M137" s="683" t="s">
        <v>661</v>
      </c>
      <c r="N137" s="683" t="s">
        <v>662</v>
      </c>
      <c r="O137" s="683"/>
      <c r="P137" s="661"/>
    </row>
    <row r="138" spans="2:16" ht="12.75" customHeight="1">
      <c r="B138" s="568" t="s">
        <v>622</v>
      </c>
      <c r="C138" s="4136" t="s">
        <v>250</v>
      </c>
      <c r="D138" s="4135"/>
      <c r="E138" s="676"/>
      <c r="F138" s="677" t="s">
        <v>663</v>
      </c>
      <c r="G138" s="677" t="s">
        <v>664</v>
      </c>
      <c r="H138" s="676"/>
      <c r="I138" s="677">
        <v>142</v>
      </c>
      <c r="J138" s="661"/>
      <c r="K138" s="678"/>
      <c r="L138" s="679" t="s">
        <v>582</v>
      </c>
      <c r="M138" s="679" t="s">
        <v>804</v>
      </c>
      <c r="N138" s="678" t="s">
        <v>665</v>
      </c>
      <c r="O138" s="679" t="s">
        <v>332</v>
      </c>
      <c r="P138" s="661"/>
    </row>
    <row r="139" spans="2:16">
      <c r="B139" s="592"/>
      <c r="C139" s="611"/>
      <c r="D139" s="612" t="s">
        <v>1582</v>
      </c>
      <c r="E139" s="676"/>
      <c r="F139" s="665"/>
      <c r="G139" s="665"/>
      <c r="H139" s="708">
        <v>130</v>
      </c>
      <c r="I139" s="665"/>
      <c r="J139" s="661"/>
      <c r="K139" s="678"/>
      <c r="L139" s="667"/>
      <c r="M139" s="667"/>
      <c r="N139" s="679" t="s">
        <v>1079</v>
      </c>
      <c r="O139" s="667"/>
      <c r="P139" s="661"/>
    </row>
    <row r="140" spans="2:16">
      <c r="B140" s="592"/>
      <c r="C140" s="611"/>
      <c r="D140" s="612" t="s">
        <v>450</v>
      </c>
      <c r="E140" s="676"/>
      <c r="F140" s="665"/>
      <c r="G140" s="665"/>
      <c r="H140" s="708">
        <v>148</v>
      </c>
      <c r="I140" s="665"/>
      <c r="J140" s="661"/>
      <c r="K140" s="678"/>
      <c r="L140" s="667"/>
      <c r="M140" s="667"/>
      <c r="N140" s="679"/>
      <c r="O140" s="667"/>
      <c r="P140" s="661"/>
    </row>
    <row r="141" spans="2:16">
      <c r="B141" s="592"/>
      <c r="C141" s="611"/>
      <c r="D141" s="612" t="s">
        <v>279</v>
      </c>
      <c r="E141" s="676"/>
      <c r="F141" s="665"/>
      <c r="G141" s="665"/>
      <c r="H141" s="708" t="s">
        <v>666</v>
      </c>
      <c r="I141" s="665"/>
      <c r="J141" s="661"/>
      <c r="K141" s="678"/>
      <c r="L141" s="667"/>
      <c r="M141" s="667"/>
      <c r="N141" s="679" t="s">
        <v>1080</v>
      </c>
      <c r="O141" s="667"/>
      <c r="P141" s="661"/>
    </row>
    <row r="142" spans="2:16">
      <c r="B142" s="592"/>
      <c r="C142" s="611"/>
      <c r="D142" s="612" t="s">
        <v>104</v>
      </c>
      <c r="E142" s="676"/>
      <c r="F142" s="665"/>
      <c r="G142" s="665"/>
      <c r="H142" s="708" t="s">
        <v>667</v>
      </c>
      <c r="I142" s="665"/>
      <c r="J142" s="661"/>
      <c r="K142" s="678"/>
      <c r="L142" s="667"/>
      <c r="M142" s="667"/>
      <c r="N142" s="679" t="s">
        <v>212</v>
      </c>
      <c r="O142" s="667"/>
      <c r="P142" s="661"/>
    </row>
    <row r="143" spans="2:16" ht="12.75" customHeight="1">
      <c r="B143" s="568" t="s">
        <v>2133</v>
      </c>
      <c r="C143" s="4136" t="s">
        <v>1247</v>
      </c>
      <c r="D143" s="4135"/>
      <c r="E143" s="676"/>
      <c r="F143" s="677" t="s">
        <v>663</v>
      </c>
      <c r="G143" s="677" t="s">
        <v>664</v>
      </c>
      <c r="H143" s="677" t="s">
        <v>667</v>
      </c>
      <c r="I143" s="677"/>
      <c r="J143" s="661"/>
      <c r="K143" s="678"/>
      <c r="L143" s="679" t="s">
        <v>921</v>
      </c>
      <c r="M143" s="679" t="s">
        <v>1762</v>
      </c>
      <c r="N143" s="679" t="s">
        <v>668</v>
      </c>
      <c r="O143" s="679" t="s">
        <v>902</v>
      </c>
      <c r="P143" s="661"/>
    </row>
    <row r="144" spans="2:16" ht="12.75" customHeight="1">
      <c r="B144" s="568" t="s">
        <v>2133</v>
      </c>
      <c r="C144" s="4136" t="s">
        <v>1248</v>
      </c>
      <c r="D144" s="4135"/>
      <c r="E144" s="698"/>
      <c r="F144" s="698" t="s">
        <v>903</v>
      </c>
      <c r="G144" s="698" t="s">
        <v>904</v>
      </c>
      <c r="H144" s="698">
        <v>126</v>
      </c>
      <c r="I144" s="665"/>
      <c r="J144" s="661"/>
      <c r="K144" s="701"/>
      <c r="L144" s="701" t="s">
        <v>377</v>
      </c>
      <c r="M144" s="701" t="s">
        <v>1763</v>
      </c>
      <c r="N144" s="701" t="s">
        <v>213</v>
      </c>
      <c r="O144" s="667"/>
      <c r="P144" s="661"/>
    </row>
    <row r="145" spans="2:16" ht="12.75" customHeight="1">
      <c r="B145" s="568" t="s">
        <v>2133</v>
      </c>
      <c r="C145" s="4148" t="s">
        <v>1528</v>
      </c>
      <c r="D145" s="4149"/>
      <c r="E145" s="698"/>
      <c r="F145" s="677" t="s">
        <v>903</v>
      </c>
      <c r="G145" s="677" t="s">
        <v>904</v>
      </c>
      <c r="H145" s="677" t="s">
        <v>667</v>
      </c>
      <c r="I145" s="665"/>
      <c r="J145" s="661"/>
      <c r="K145" s="701"/>
      <c r="L145" s="679" t="s">
        <v>905</v>
      </c>
      <c r="M145" s="679" t="s">
        <v>906</v>
      </c>
      <c r="N145" s="679" t="s">
        <v>907</v>
      </c>
      <c r="O145" s="667"/>
      <c r="P145" s="661"/>
    </row>
    <row r="146" spans="2:16" ht="12.75" customHeight="1">
      <c r="B146" s="656" t="s">
        <v>624</v>
      </c>
      <c r="C146" s="4143" t="s">
        <v>1529</v>
      </c>
      <c r="D146" s="4143"/>
      <c r="E146" s="709"/>
      <c r="F146" s="709"/>
      <c r="G146" s="709"/>
      <c r="H146" s="709"/>
      <c r="I146" s="709"/>
      <c r="J146" s="661"/>
      <c r="K146" s="710"/>
      <c r="L146" s="710" t="s">
        <v>908</v>
      </c>
      <c r="M146" s="710" t="s">
        <v>909</v>
      </c>
      <c r="N146" s="710" t="s">
        <v>910</v>
      </c>
      <c r="O146" s="710" t="s">
        <v>911</v>
      </c>
      <c r="P146" s="661"/>
    </row>
    <row r="147" spans="2:16" ht="12.75" customHeight="1">
      <c r="B147" s="620"/>
      <c r="C147" s="4144"/>
      <c r="D147" s="4145"/>
      <c r="E147" s="711"/>
      <c r="F147" s="712"/>
      <c r="G147" s="712"/>
      <c r="H147" s="712"/>
      <c r="I147" s="712"/>
      <c r="J147" s="712"/>
      <c r="K147" s="711"/>
      <c r="L147" s="712"/>
      <c r="M147" s="712"/>
      <c r="N147" s="712"/>
      <c r="O147" s="712"/>
      <c r="P147" s="712"/>
    </row>
  </sheetData>
  <mergeCells count="147">
    <mergeCell ref="EG2:EL3"/>
    <mergeCell ref="EG51:EL52"/>
    <mergeCell ref="CE2:CJ3"/>
    <mergeCell ref="CE51:CJ52"/>
    <mergeCell ref="AO2:AT3"/>
    <mergeCell ref="AU2:AZ3"/>
    <mergeCell ref="BY2:CD3"/>
    <mergeCell ref="BG2:BL3"/>
    <mergeCell ref="BM2:BR3"/>
    <mergeCell ref="BS2:BX3"/>
    <mergeCell ref="BY51:CD52"/>
    <mergeCell ref="BA2:BF3"/>
    <mergeCell ref="BS51:BX52"/>
    <mergeCell ref="CK2:CP3"/>
    <mergeCell ref="CK51:CP52"/>
    <mergeCell ref="EA2:EF3"/>
    <mergeCell ref="EA51:EF52"/>
    <mergeCell ref="DU2:DZ3"/>
    <mergeCell ref="DU51:DZ52"/>
    <mergeCell ref="CW2:DB3"/>
    <mergeCell ref="CW51:DB52"/>
    <mergeCell ref="CQ2:CV3"/>
    <mergeCell ref="CQ51:CV52"/>
    <mergeCell ref="DI2:DN3"/>
    <mergeCell ref="AC2:AH3"/>
    <mergeCell ref="AI2:AN3"/>
    <mergeCell ref="E2:J3"/>
    <mergeCell ref="K2:P3"/>
    <mergeCell ref="Q2:V3"/>
    <mergeCell ref="W2:AB3"/>
    <mergeCell ref="AI51:AN52"/>
    <mergeCell ref="C5:D5"/>
    <mergeCell ref="C6:D6"/>
    <mergeCell ref="C7:D7"/>
    <mergeCell ref="C18:D18"/>
    <mergeCell ref="C8:D8"/>
    <mergeCell ref="C9:D9"/>
    <mergeCell ref="C10:D10"/>
    <mergeCell ref="C11:D11"/>
    <mergeCell ref="C27:D27"/>
    <mergeCell ref="C28:D28"/>
    <mergeCell ref="C29:D29"/>
    <mergeCell ref="C30:D30"/>
    <mergeCell ref="C22:D22"/>
    <mergeCell ref="C23:D23"/>
    <mergeCell ref="C24:D24"/>
    <mergeCell ref="C12:D12"/>
    <mergeCell ref="C13:D13"/>
    <mergeCell ref="C16:D16"/>
    <mergeCell ref="C17:D17"/>
    <mergeCell ref="C45:D45"/>
    <mergeCell ref="C46:D46"/>
    <mergeCell ref="C47:D47"/>
    <mergeCell ref="C48:D48"/>
    <mergeCell ref="C35:D35"/>
    <mergeCell ref="C36:D36"/>
    <mergeCell ref="C39:D39"/>
    <mergeCell ref="C40:D40"/>
    <mergeCell ref="C31:D31"/>
    <mergeCell ref="C32:D32"/>
    <mergeCell ref="C33:D33"/>
    <mergeCell ref="C34:D34"/>
    <mergeCell ref="C49:D49"/>
    <mergeCell ref="E51:J52"/>
    <mergeCell ref="K51:P52"/>
    <mergeCell ref="Q51:V52"/>
    <mergeCell ref="BG51:BL52"/>
    <mergeCell ref="BM51:BR52"/>
    <mergeCell ref="W51:AB52"/>
    <mergeCell ref="AC51:AH52"/>
    <mergeCell ref="AU51:AZ52"/>
    <mergeCell ref="BA51:BF52"/>
    <mergeCell ref="AO51:AT52"/>
    <mergeCell ref="C54:D54"/>
    <mergeCell ref="C55:D55"/>
    <mergeCell ref="C66:D66"/>
    <mergeCell ref="C67:D67"/>
    <mergeCell ref="C56:D56"/>
    <mergeCell ref="C57:D57"/>
    <mergeCell ref="C58:D58"/>
    <mergeCell ref="C59:D59"/>
    <mergeCell ref="C73:D73"/>
    <mergeCell ref="C76:D76"/>
    <mergeCell ref="C77:D77"/>
    <mergeCell ref="C78:D78"/>
    <mergeCell ref="C71:D71"/>
    <mergeCell ref="C72:D72"/>
    <mergeCell ref="C60:D60"/>
    <mergeCell ref="C61:D61"/>
    <mergeCell ref="C62:D62"/>
    <mergeCell ref="C65:D65"/>
    <mergeCell ref="C89:D89"/>
    <mergeCell ref="C94:D94"/>
    <mergeCell ref="C95:D95"/>
    <mergeCell ref="C96:D96"/>
    <mergeCell ref="C83:D83"/>
    <mergeCell ref="C84:D84"/>
    <mergeCell ref="C85:D85"/>
    <mergeCell ref="C88:D88"/>
    <mergeCell ref="C79:D79"/>
    <mergeCell ref="C80:D80"/>
    <mergeCell ref="C81:D81"/>
    <mergeCell ref="C82:D82"/>
    <mergeCell ref="C146:D146"/>
    <mergeCell ref="C147:D147"/>
    <mergeCell ref="C138:D138"/>
    <mergeCell ref="C143:D143"/>
    <mergeCell ref="C144:D144"/>
    <mergeCell ref="C145:D145"/>
    <mergeCell ref="C132:D132"/>
    <mergeCell ref="C133:D133"/>
    <mergeCell ref="C134:D134"/>
    <mergeCell ref="C137:D137"/>
    <mergeCell ref="C130:D130"/>
    <mergeCell ref="C131:D131"/>
    <mergeCell ref="C122:D122"/>
    <mergeCell ref="C125:D125"/>
    <mergeCell ref="C126:D126"/>
    <mergeCell ref="C127:D127"/>
    <mergeCell ref="C115:D115"/>
    <mergeCell ref="C116:D116"/>
    <mergeCell ref="C120:D120"/>
    <mergeCell ref="C121:D121"/>
    <mergeCell ref="EM2:ER3"/>
    <mergeCell ref="EM51:ER52"/>
    <mergeCell ref="DI51:DN52"/>
    <mergeCell ref="DC2:DH3"/>
    <mergeCell ref="DC51:DH52"/>
    <mergeCell ref="DO2:DT3"/>
    <mergeCell ref="DO51:DT52"/>
    <mergeCell ref="C128:D128"/>
    <mergeCell ref="C129:D129"/>
    <mergeCell ref="C109:D109"/>
    <mergeCell ref="C110:D110"/>
    <mergeCell ref="C111:D111"/>
    <mergeCell ref="C114:D114"/>
    <mergeCell ref="C105:D105"/>
    <mergeCell ref="C106:D106"/>
    <mergeCell ref="C107:D107"/>
    <mergeCell ref="C108:D108"/>
    <mergeCell ref="E100:J101"/>
    <mergeCell ref="K100:P101"/>
    <mergeCell ref="C103:D103"/>
    <mergeCell ref="C104:D104"/>
    <mergeCell ref="C97:D97"/>
    <mergeCell ref="C98:D98"/>
    <mergeCell ref="C100:D102"/>
  </mergeCells>
  <phoneticPr fontId="76" type="noConversion"/>
  <conditionalFormatting sqref="J103:J146 P103:P146">
    <cfRule type="cellIs" dxfId="20" priority="13" stopIfTrue="1" operator="notBetween">
      <formula>-0.05</formula>
      <formula>0.05</formula>
    </cfRule>
  </conditionalFormatting>
  <conditionalFormatting sqref="CD89 CD94 CD79:CD82 CD84 V89 V94 V79:V82 V84 AB89 AB94 AB79:AB82 AB84 AB96:AB97 AH89 AH94 AH79:AH82 AH84 AH96:AH97 AN89 AN94 AN79:AN82 AN84 AN96:AN97 AT89 AT94 AT79:AT82 AT84 AT96:AT97 AZ89 AZ94 AZ79:AZ82 AZ84 AZ96:AZ97 BX89 BX94 BX79:BX82 BX84 BF89 J96:J97 BF94 BF79:BF82 BF84 BF96:BF97 BR89 CD96:CD97 BR94 BR79:BR82 BR84 BR96:BR97 J89 V96:V97 J94 J79:J82 J84 P89 BX96:BX97 P94 P79:P82 P84 P96:P97 BL89 BL94 BL79:BL82 BL84 BL96:BL97 CJ89 CJ94 CJ79:CJ82 CJ84 CJ96:CJ97 CP89 CP94 CP79:CP82 CP84 CP96:CP97 CD57 J57 CD62 CD65:CD67 V57 AB57 V62 V65:V67 AH57 AB62 AB65:AB67 AN57 AH62 AH65:AH67 AT57 AN62 AN65:AN67 AZ57 AT62 AT65:AT67 BF57 AZ62 AZ65:AZ67 BX57 BR57 BX62 BX65:BX67 BF62 BF65:BF67 BR62 BR65:BR67 P57 J62 J65:J67 P62 P65:P67 BL57 BL62 BL65:BL67 CJ57 CJ62 CJ65:CJ67 CP57 CP62 CP65:CP67 CV89 CV94 CV79:CV82 CV84 CV96:CV97 CV57 CV62 CV65:CV67 DB89 DB94 DB79:DB82 DB84 DB96:DB97 DB57 DB62 DB65:DB67 DH89 DH94 DH79:DH82 DH84 DH96:DH97 DH57 DH62 DH65:DH67 DN89 DN94 DN79:DN82 DN84 DN96:DN97 DN57 DN62 DN65:DN67 DT89 DT94 DT79:DT82 DT84 DT96:DT97 DT57 DT62 DT65:DT67">
    <cfRule type="cellIs" dxfId="19" priority="14" stopIfTrue="1" operator="equal">
      <formula>"!"</formula>
    </cfRule>
  </conditionalFormatting>
  <conditionalFormatting sqref="CD90:CD93 CD68:CD78 CD83 CD95 V90:V93 V68:V78 V83 V95 V85:V88 CD85:CD88 AB90:AB93 AB68:AB78 AB83 AB95 AB85:AB88 AH90:AH93 AH68:AH78 AH83 AH95 AH85:AH88 AN90:AN93 AN68:AN78 AN83 AN95 AN85:AN88 AT90:AT93 AT68:AT78 AT83 AT95 AZ90:AZ93 AZ68:AZ78 AZ83 AZ95 BX90:BX93 BX68:BX78 BX83 BX95 BX85:BX88 BF90:BF93 BF68:BF78 BF83 BF95 BR90:BR93 BR68:BR78 BR83 BR95 BR85:BR88 P90:P93 P68:P78 P83 P95 P85:P88 J90:J93 J68:J78 J83 J95 J85:J88 BF85:BF88 AZ85:AZ88 AT85:AT88 BL90:BL93 BL68:BL78 BL83 BL95 BL85:BL88 CJ90:CJ93 CJ68:CJ78 CJ83 CJ95 CJ85:CJ88 CP90:CP93 CP68:CP78 CP83 CP95 CP85:CP88 CD58:CD61 CD54:CD56 CD63:CD64 AN58:AN61 BR58:BR61 V58:V61 V54:V56 V63:V64 AH58:AH61 AB58:AB61 BX58:BX61 P58:P61 J58:J61 AB54:AB56 AB63:AB64 AH54:AH56 AH63:AH64 AN54:AN56 AN63:AN64 AT58:AT61 AT54:AT56 AT63:AT64 AZ58:AZ61 AZ54:AZ56 AZ63:AZ64 BX54:BX56 BX63:BX64 BF58:BF61 BF54:BF56 BF63:BF64 BR54:BR56 BR63:BR64 P54:P56 P63:P64 J54:J56 J63:J64 BL58:BL61 BL54:BL56 BL63:BL64 CJ58:CJ61 CJ54:CJ56 CJ63:CJ64 CP58:CP61 CP54:CP56 CP63:CP64 CV90:CV93 CV68:CV78 CV83 CV95 CV85:CV88 CV58:CV61 CV54:CV56 CV63:CV64 DB90:DB93 DB68:DB78 DB83 DB95 DB85:DB88 DB58:DB61 DB54:DB56 DB63:DB64 DH90:DH93 DH68:DH78 DH83 DH95 DH85:DH88 DH58:DH61 DH54:DH56 DH63:DH64 DN90:DN93 DN68:DN78 DN83 DN95 DN85:DN88 DN58:DN61 DN54:DN56 DN63:DN64 DT90:DT93 DT68:DT78 DT83 DT95 DT85:DT88 DT58:DT61 DT54:DT56 DT63:DT64">
    <cfRule type="cellIs" dxfId="18" priority="15" stopIfTrue="1" operator="notBetween">
      <formula>-0.0005</formula>
      <formula>0.0005</formula>
    </cfRule>
  </conditionalFormatting>
  <conditionalFormatting sqref="CJ5:CJ48 CD5:CD48 J5:J48 BR5:BR48 P5:P48 V5:V48 AB5:AB48 AH5:AH48 AN5:AN48 AT5:AT48 AZ5:AZ48 BF5:BF48 BL5:BL48 BX5:BX48 CP5:CP48 CV5:CV48 DB5:DB48 DH5:DH48 DN5:DN48 DT5:DT48">
    <cfRule type="cellIs" dxfId="17" priority="16" stopIfTrue="1" operator="notBetween">
      <formula>-0.005</formula>
      <formula>0.005</formula>
    </cfRule>
  </conditionalFormatting>
  <conditionalFormatting sqref="DZ89 DZ94 DZ79:DZ82 DZ84 DZ96:DZ97 DZ57 DZ62 DZ65:DZ67">
    <cfRule type="cellIs" dxfId="16" priority="10" stopIfTrue="1" operator="equal">
      <formula>"!"</formula>
    </cfRule>
  </conditionalFormatting>
  <conditionalFormatting sqref="DZ90:DZ93 DZ68:DZ78 DZ83 DZ95 DZ85:DZ88 DZ58:DZ61 DZ54:DZ56 DZ63:DZ64">
    <cfRule type="cellIs" dxfId="15" priority="11" stopIfTrue="1" operator="notBetween">
      <formula>-0.0005</formula>
      <formula>0.0005</formula>
    </cfRule>
  </conditionalFormatting>
  <conditionalFormatting sqref="DZ5:DZ48">
    <cfRule type="cellIs" dxfId="14" priority="12" stopIfTrue="1" operator="notBetween">
      <formula>-0.005</formula>
      <formula>0.005</formula>
    </cfRule>
  </conditionalFormatting>
  <conditionalFormatting sqref="EF89 EF94 EF79:EF82 EF84 EF96:EF97 EF57 EF62 EF65:EF67">
    <cfRule type="cellIs" dxfId="13" priority="7" stopIfTrue="1" operator="equal">
      <formula>"!"</formula>
    </cfRule>
  </conditionalFormatting>
  <conditionalFormatting sqref="EF90:EF93 EF68:EF78 EF83 EF95 EF85:EF88 EF58:EF61 EF54:EF56 EF63:EF64">
    <cfRule type="cellIs" dxfId="12" priority="8" stopIfTrue="1" operator="notBetween">
      <formula>-0.0005</formula>
      <formula>0.0005</formula>
    </cfRule>
  </conditionalFormatting>
  <conditionalFormatting sqref="EF5:EF48">
    <cfRule type="cellIs" dxfId="11" priority="9" stopIfTrue="1" operator="notBetween">
      <formula>-0.005</formula>
      <formula>0.005</formula>
    </cfRule>
  </conditionalFormatting>
  <conditionalFormatting sqref="EL89 EL94 EL79:EL82 EL84 EL96:EL97 EL57 EL62 EL65:EL67">
    <cfRule type="cellIs" dxfId="10" priority="4" stopIfTrue="1" operator="equal">
      <formula>"!"</formula>
    </cfRule>
  </conditionalFormatting>
  <conditionalFormatting sqref="EL90:EL93 EL68:EL78 EL83 EL95 EL85:EL88 EL58:EL61 EL54:EL56 EL63:EL64">
    <cfRule type="cellIs" dxfId="9" priority="5" stopIfTrue="1" operator="notBetween">
      <formula>-0.0005</formula>
      <formula>0.0005</formula>
    </cfRule>
  </conditionalFormatting>
  <conditionalFormatting sqref="EL5:EL48">
    <cfRule type="cellIs" dxfId="8" priority="6" stopIfTrue="1" operator="notBetween">
      <formula>-0.005</formula>
      <formula>0.005</formula>
    </cfRule>
  </conditionalFormatting>
  <conditionalFormatting sqref="ER89 ER94 ER79:ER82 ER84 ER96:ER97 ER57 ER62 ER65:ER67">
    <cfRule type="cellIs" dxfId="7" priority="1" stopIfTrue="1" operator="equal">
      <formula>"!"</formula>
    </cfRule>
  </conditionalFormatting>
  <conditionalFormatting sqref="ER90:ER93 ER68:ER78 ER83 ER95 ER85:ER88 ER58:ER61 ER54:ER56 ER63:ER64">
    <cfRule type="cellIs" dxfId="6" priority="2" stopIfTrue="1" operator="notBetween">
      <formula>-0.0005</formula>
      <formula>0.0005</formula>
    </cfRule>
  </conditionalFormatting>
  <conditionalFormatting sqref="ER5:ER48">
    <cfRule type="cellIs" dxfId="5" priority="3" stopIfTrue="1" operator="notBetween">
      <formula>-0.005</formula>
      <formula>0.005</formula>
    </cfRule>
  </conditionalFormatting>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indexed="44"/>
    <pageSetUpPr fitToPage="1"/>
  </sheetPr>
  <dimension ref="A1:IV558"/>
  <sheetViews>
    <sheetView showGridLines="0" topLeftCell="A8" zoomScale="85" zoomScaleNormal="85" workbookViewId="0">
      <selection activeCell="G43" sqref="G43"/>
    </sheetView>
  </sheetViews>
  <sheetFormatPr defaultRowHeight="13.2"/>
  <cols>
    <col min="1" max="1" width="3.109375" customWidth="1"/>
    <col min="2" max="2" width="2.44140625" customWidth="1"/>
    <col min="3" max="3" width="39.109375" customWidth="1"/>
    <col min="4" max="4" width="14.109375" customWidth="1"/>
    <col min="5" max="7" width="8.6640625" customWidth="1"/>
    <col min="8" max="8" width="9.5546875" style="28" customWidth="1"/>
    <col min="9" max="12" width="8.6640625" customWidth="1"/>
    <col min="13" max="13" width="9" customWidth="1"/>
    <col min="14" max="14" width="6.44140625" customWidth="1"/>
    <col min="15" max="16" width="5" customWidth="1"/>
    <col min="17" max="17" width="4.33203125" customWidth="1"/>
    <col min="18" max="18" width="3.109375" customWidth="1"/>
    <col min="19" max="19" width="2.44140625" customWidth="1"/>
    <col min="20" max="20" width="39.109375" customWidth="1"/>
    <col min="21" max="21" width="14.109375" customWidth="1"/>
    <col min="22" max="22" width="8.6640625" customWidth="1"/>
    <col min="23" max="23" width="11.5546875" customWidth="1"/>
    <col min="24" max="26" width="8.6640625" customWidth="1"/>
    <col min="27" max="34" width="9.33203125" customWidth="1"/>
    <col min="35" max="35" width="3.109375" customWidth="1"/>
    <col min="36" max="36" width="2.44140625" customWidth="1"/>
    <col min="37" max="37" width="39.109375" customWidth="1"/>
    <col min="38" max="38" width="14.109375" customWidth="1"/>
    <col min="39" max="52" width="9.33203125" customWidth="1"/>
    <col min="53" max="54" width="48.44140625" customWidth="1"/>
    <col min="55" max="55" width="9.33203125" customWidth="1"/>
  </cols>
  <sheetData>
    <row r="1" spans="1:256" s="45" customFormat="1">
      <c r="A1" s="41"/>
      <c r="B1" s="41"/>
      <c r="C1" s="28"/>
      <c r="D1" s="28"/>
      <c r="E1" s="42"/>
      <c r="F1" s="42"/>
      <c r="G1" s="42"/>
      <c r="H1" s="42"/>
      <c r="I1" s="42"/>
      <c r="J1" s="42"/>
      <c r="K1" s="42"/>
      <c r="L1" s="42"/>
      <c r="M1" s="42"/>
      <c r="N1" s="42"/>
      <c r="O1" s="42"/>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c r="BC1" s="43"/>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row>
    <row r="2" spans="1:256" s="45" customFormat="1">
      <c r="A2" s="41"/>
      <c r="B2" s="41"/>
      <c r="C2" s="41"/>
      <c r="D2" s="41"/>
      <c r="E2" s="42"/>
      <c r="F2" s="42"/>
      <c r="G2" s="42"/>
      <c r="H2" s="42"/>
      <c r="I2" s="42"/>
      <c r="J2" s="42"/>
      <c r="K2" s="42"/>
      <c r="L2" s="42"/>
      <c r="M2" s="42"/>
      <c r="N2" s="42"/>
      <c r="O2" s="42"/>
      <c r="P2" s="43"/>
      <c r="Q2" s="43"/>
      <c r="R2" s="43"/>
      <c r="S2" s="43"/>
      <c r="T2" s="1989" t="s">
        <v>1038</v>
      </c>
      <c r="U2" s="1988">
        <v>4</v>
      </c>
      <c r="V2" s="1949">
        <v>1</v>
      </c>
      <c r="W2" s="2006" t="str">
        <f>+Transfer!CA98</f>
        <v>SF2018 -  TCE5</v>
      </c>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row>
    <row r="3" spans="1:256">
      <c r="A3" s="41"/>
      <c r="B3" s="46"/>
      <c r="C3" s="46"/>
      <c r="D3" s="41"/>
      <c r="E3" s="47"/>
      <c r="F3" s="47"/>
      <c r="G3" s="47"/>
      <c r="H3" s="47"/>
      <c r="I3" s="47"/>
      <c r="J3" s="47"/>
      <c r="K3" s="47"/>
      <c r="L3" s="42"/>
      <c r="M3" s="42"/>
      <c r="N3" s="42"/>
      <c r="O3" s="42"/>
      <c r="P3" s="43"/>
      <c r="Q3" s="43"/>
      <c r="R3" s="43"/>
      <c r="S3" s="43"/>
      <c r="T3" s="43"/>
      <c r="U3" s="43"/>
      <c r="V3" s="1949">
        <v>2</v>
      </c>
      <c r="W3" s="2006" t="str">
        <f>+Transfer!CN98</f>
        <v>SF2018 - first storage</v>
      </c>
      <c r="X3" s="43"/>
      <c r="Y3" s="43"/>
      <c r="Z3" s="43"/>
      <c r="AA3" s="43"/>
      <c r="AB3" s="43"/>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row>
    <row r="4" spans="1:256">
      <c r="A4" s="41"/>
      <c r="B4" s="46"/>
      <c r="C4" s="46"/>
      <c r="D4" s="41"/>
      <c r="E4" s="47"/>
      <c r="F4" s="47"/>
      <c r="G4" s="47"/>
      <c r="H4" s="47"/>
      <c r="I4" s="47"/>
      <c r="J4" s="47"/>
      <c r="K4" s="47"/>
      <c r="L4" s="42"/>
      <c r="M4" s="42"/>
      <c r="N4" s="42"/>
      <c r="O4" s="42"/>
      <c r="P4" s="43"/>
      <c r="Q4" s="43"/>
      <c r="R4" s="43"/>
      <c r="S4" s="43"/>
      <c r="T4" s="1949" t="str">
        <f>VLOOKUP(U2,V2:W6,2)</f>
        <v>SF2018 - final storage FRI</v>
      </c>
      <c r="U4" s="43"/>
      <c r="V4" s="1949">
        <v>3</v>
      </c>
      <c r="W4" s="2006" t="str">
        <f>+Transfer!DA98</f>
        <v>SF2018 TCE5</v>
      </c>
      <c r="X4" s="43"/>
      <c r="Y4" s="43"/>
      <c r="Z4" s="43"/>
      <c r="AA4" s="43"/>
      <c r="AB4" s="43"/>
      <c r="AC4" s="43"/>
      <c r="AD4" s="43"/>
      <c r="AE4" s="43"/>
      <c r="AF4" s="43"/>
      <c r="AG4" s="43"/>
      <c r="AH4" s="43"/>
      <c r="AI4" s="43"/>
      <c r="AJ4" s="43"/>
      <c r="AK4" s="43"/>
      <c r="AL4" s="43"/>
      <c r="AM4" s="43"/>
      <c r="AN4" s="43"/>
      <c r="AO4" s="43"/>
      <c r="AP4" s="43"/>
      <c r="AQ4" s="43"/>
      <c r="AR4" s="43"/>
      <c r="AS4" s="43"/>
      <c r="AT4" s="43"/>
      <c r="AU4" s="43"/>
      <c r="AV4" s="43"/>
      <c r="AW4" s="43"/>
      <c r="AX4" s="43"/>
      <c r="AY4" s="43"/>
      <c r="AZ4" s="43"/>
      <c r="BA4" s="43"/>
      <c r="BB4" s="43"/>
      <c r="BC4" s="43"/>
    </row>
    <row r="5" spans="1:256" s="1" customFormat="1" ht="13.5" customHeight="1">
      <c r="A5" s="46"/>
      <c r="B5" s="46"/>
      <c r="C5" s="46"/>
      <c r="D5" s="46"/>
      <c r="E5" s="47"/>
      <c r="F5" s="47"/>
      <c r="G5" s="47"/>
      <c r="H5" s="47"/>
      <c r="I5" s="47"/>
      <c r="J5" s="47"/>
      <c r="K5" s="47"/>
      <c r="L5" s="47"/>
      <c r="M5" s="47"/>
      <c r="N5" s="47"/>
      <c r="O5" s="47"/>
      <c r="P5" s="1983"/>
      <c r="Q5" s="1983"/>
      <c r="R5" s="1983"/>
      <c r="S5" s="1983"/>
      <c r="T5" s="1983"/>
      <c r="U5" s="1983"/>
      <c r="V5" s="1987">
        <v>4</v>
      </c>
      <c r="W5" s="2006" t="str">
        <f>Transfer!DN98</f>
        <v>SF2018 - final storage FRI</v>
      </c>
      <c r="X5" s="1983"/>
      <c r="Y5" s="1983"/>
      <c r="Z5" s="1983"/>
      <c r="AA5" s="1983"/>
      <c r="AB5" s="1983"/>
      <c r="AC5" s="1983"/>
      <c r="AD5" s="1983"/>
      <c r="AE5" s="1983"/>
      <c r="AF5" s="1983"/>
      <c r="AG5" s="1983"/>
      <c r="AH5" s="1983"/>
      <c r="AI5" s="1983"/>
      <c r="AJ5" s="1983"/>
      <c r="AK5" s="1983"/>
      <c r="AL5" s="1983"/>
      <c r="AM5" s="1983"/>
      <c r="AN5" s="1983"/>
      <c r="AO5" s="1983"/>
      <c r="AP5" s="1983"/>
      <c r="AQ5" s="1983"/>
      <c r="AR5" s="1983"/>
      <c r="AS5" s="1983"/>
      <c r="AT5" s="1983"/>
      <c r="AU5" s="1983"/>
      <c r="AV5" s="1983"/>
      <c r="AW5" s="1983"/>
      <c r="AX5" s="1983"/>
      <c r="AY5" s="1983"/>
      <c r="AZ5" s="1983"/>
      <c r="BA5" s="1983"/>
      <c r="BB5" s="1983"/>
      <c r="BC5" s="1983"/>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row>
    <row r="6" spans="1:256" s="1" customFormat="1" ht="13.5" customHeight="1">
      <c r="A6" s="46"/>
      <c r="B6" s="46"/>
      <c r="C6" s="46"/>
      <c r="D6" s="46"/>
      <c r="E6" s="47"/>
      <c r="F6" s="47"/>
      <c r="G6" s="47"/>
      <c r="H6" s="47"/>
      <c r="I6" s="47"/>
      <c r="J6" s="47"/>
      <c r="K6" s="47"/>
      <c r="L6" s="47"/>
      <c r="M6" s="47"/>
      <c r="N6" s="47"/>
      <c r="O6" s="47"/>
      <c r="P6" s="1983"/>
      <c r="Q6" s="1983"/>
      <c r="R6" s="1983"/>
      <c r="S6" s="1983"/>
      <c r="T6" s="1983"/>
      <c r="U6" s="1983"/>
      <c r="V6" s="1987">
        <v>5</v>
      </c>
      <c r="W6" s="2006" t="str">
        <f>+Transfer!EA98</f>
        <v>SF2018 - final storage</v>
      </c>
      <c r="X6" s="1983"/>
      <c r="Y6" s="1983"/>
      <c r="Z6" s="1983"/>
      <c r="AA6" s="1983"/>
      <c r="AB6" s="1983"/>
      <c r="AC6" s="1983"/>
      <c r="AD6" s="1983"/>
      <c r="AE6" s="1983"/>
      <c r="AF6" s="1983"/>
      <c r="AG6" s="1983"/>
      <c r="AH6" s="1983"/>
      <c r="AI6" s="1983"/>
      <c r="AJ6" s="1983"/>
      <c r="AK6" s="1983"/>
      <c r="AL6" s="1983"/>
      <c r="AM6" s="1983"/>
      <c r="AN6" s="1983"/>
      <c r="AO6" s="1983"/>
      <c r="AP6" s="1983"/>
      <c r="AQ6" s="1983"/>
      <c r="AR6" s="1983"/>
      <c r="AS6" s="1983"/>
      <c r="AT6" s="1983"/>
      <c r="AU6" s="1983"/>
      <c r="AV6" s="1983"/>
      <c r="AW6" s="1983"/>
      <c r="AX6" s="1983"/>
      <c r="AY6" s="1983"/>
      <c r="AZ6" s="1983"/>
      <c r="BA6" s="1983"/>
      <c r="BB6" s="1983"/>
      <c r="BC6" s="1983"/>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row>
    <row r="7" spans="1:256" s="113" customFormat="1" ht="13.5" customHeight="1">
      <c r="A7" s="1984"/>
      <c r="B7" s="1984"/>
      <c r="C7" s="1984"/>
      <c r="D7" s="1984"/>
      <c r="E7" s="1985"/>
      <c r="F7" s="1985"/>
      <c r="G7" s="1985"/>
      <c r="H7" s="1985"/>
      <c r="I7" s="1985"/>
      <c r="J7" s="1985"/>
      <c r="K7" s="1985"/>
      <c r="L7" s="1985"/>
      <c r="M7" s="1985"/>
      <c r="N7" s="1985"/>
      <c r="O7" s="1985"/>
      <c r="P7" s="1986"/>
      <c r="Q7" s="1986"/>
      <c r="R7" s="1986"/>
      <c r="S7" s="1986"/>
      <c r="T7" s="1986"/>
      <c r="U7" s="1986"/>
      <c r="V7" s="1986"/>
      <c r="W7" s="1986"/>
      <c r="X7" s="1986"/>
      <c r="Y7" s="1986"/>
      <c r="Z7" s="1986"/>
      <c r="AA7" s="1986"/>
      <c r="AB7" s="1986"/>
      <c r="AC7" s="1986"/>
      <c r="AD7" s="1986"/>
      <c r="AE7" s="1986"/>
      <c r="AF7" s="1986"/>
      <c r="AG7" s="1986"/>
      <c r="AH7" s="1986"/>
      <c r="AI7" s="1986"/>
      <c r="AJ7" s="1986"/>
      <c r="AK7" s="1986"/>
      <c r="AL7" s="1986"/>
      <c r="AM7" s="1986"/>
      <c r="AN7" s="1986"/>
      <c r="AO7" s="1986"/>
      <c r="AP7" s="1986"/>
      <c r="AQ7" s="1986"/>
      <c r="AR7" s="1986"/>
      <c r="AS7" s="1986"/>
      <c r="AT7" s="1986"/>
      <c r="AU7" s="1986"/>
      <c r="AV7" s="1986"/>
      <c r="AW7" s="1986"/>
      <c r="AX7" s="1986"/>
      <c r="AY7" s="1986"/>
      <c r="AZ7" s="1986"/>
      <c r="BA7" s="1986"/>
      <c r="BB7" s="1986"/>
      <c r="BC7" s="1986"/>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row>
    <row r="8" spans="1:256">
      <c r="A8" s="51"/>
      <c r="B8" s="51"/>
      <c r="C8" s="51"/>
      <c r="D8" s="51"/>
      <c r="E8" s="52"/>
      <c r="F8" s="52"/>
      <c r="G8" s="52"/>
      <c r="H8" s="52"/>
      <c r="I8" s="52"/>
      <c r="J8" s="52"/>
      <c r="K8" s="52"/>
      <c r="L8" s="53"/>
      <c r="M8" s="53"/>
      <c r="N8" s="53"/>
      <c r="O8" s="53"/>
      <c r="P8" s="54"/>
      <c r="Q8" s="54"/>
      <c r="R8" s="54"/>
      <c r="S8" s="54"/>
      <c r="T8" s="54"/>
      <c r="U8" s="54"/>
      <c r="V8" s="54"/>
      <c r="W8" s="54"/>
      <c r="X8" s="54"/>
      <c r="Y8" s="54"/>
      <c r="Z8" s="54"/>
      <c r="AA8" s="54"/>
      <c r="AB8" s="54"/>
      <c r="AC8" s="54"/>
      <c r="AD8" s="54"/>
      <c r="AE8" s="54"/>
      <c r="AF8" s="54"/>
      <c r="AG8" s="54"/>
      <c r="AH8" s="54"/>
      <c r="AI8" s="51"/>
      <c r="AJ8" s="51"/>
      <c r="AK8" s="51"/>
      <c r="AL8" s="51"/>
      <c r="AM8" s="52"/>
      <c r="AN8" s="52"/>
      <c r="AO8" s="52"/>
      <c r="AP8" s="52"/>
      <c r="AQ8" s="52"/>
      <c r="AR8" s="52"/>
      <c r="AS8" s="52"/>
      <c r="AT8" s="53"/>
      <c r="AU8" s="53"/>
      <c r="AV8" s="53"/>
      <c r="AW8" s="53"/>
      <c r="AX8" s="54"/>
      <c r="AY8" s="54"/>
      <c r="AZ8" s="54"/>
      <c r="BA8" s="54"/>
      <c r="BB8" s="54"/>
      <c r="BC8" s="54"/>
    </row>
    <row r="9" spans="1:256">
      <c r="A9" s="45"/>
      <c r="B9" s="2301"/>
      <c r="C9" s="2302" t="s">
        <v>1640</v>
      </c>
      <c r="D9" s="2303"/>
      <c r="E9" s="2304"/>
      <c r="F9" s="2302"/>
      <c r="G9" s="2302"/>
      <c r="H9" s="2302"/>
      <c r="I9" s="2305"/>
      <c r="J9" s="53"/>
      <c r="K9" s="53"/>
      <c r="L9" s="53"/>
      <c r="M9" s="53"/>
      <c r="N9" s="54"/>
      <c r="O9" s="54"/>
      <c r="P9" s="54"/>
      <c r="Q9" s="54"/>
      <c r="R9" s="54"/>
      <c r="S9" s="2301"/>
      <c r="T9" s="2302" t="s">
        <v>1640</v>
      </c>
      <c r="U9" s="2303"/>
      <c r="V9" s="2304"/>
      <c r="W9" s="2302"/>
      <c r="X9" s="2302"/>
      <c r="Y9" s="2302"/>
      <c r="Z9" s="2305"/>
      <c r="AA9" s="54"/>
      <c r="AB9" s="54"/>
      <c r="AC9" s="54"/>
      <c r="AD9" s="54"/>
      <c r="AE9" s="54"/>
      <c r="AF9" s="54"/>
      <c r="AG9" s="54"/>
      <c r="AH9" s="54"/>
      <c r="AI9" s="45"/>
      <c r="AJ9" s="55"/>
      <c r="AK9" s="56" t="s">
        <v>1640</v>
      </c>
      <c r="AL9" s="57"/>
      <c r="AM9" s="58"/>
      <c r="AN9" s="56"/>
      <c r="AO9" s="56"/>
      <c r="AP9" s="56"/>
      <c r="AQ9" s="59"/>
      <c r="AR9" s="53"/>
      <c r="AS9" s="53"/>
      <c r="AT9" s="53"/>
      <c r="AU9" s="53"/>
      <c r="AV9" s="54"/>
      <c r="AW9" s="54"/>
      <c r="AX9" s="54"/>
      <c r="AY9" s="54"/>
      <c r="AZ9" s="54"/>
      <c r="BA9" s="54"/>
      <c r="BB9" s="54"/>
      <c r="BC9" s="54"/>
    </row>
    <row r="10" spans="1:256" ht="15.6">
      <c r="A10" s="45"/>
      <c r="B10" s="1575"/>
      <c r="C10" s="4155" t="str">
        <f>UPPER(Country)</f>
        <v>BELGIUM</v>
      </c>
      <c r="D10" s="4155"/>
      <c r="E10" s="4155"/>
      <c r="F10" s="4155"/>
      <c r="G10" s="4155"/>
      <c r="H10" s="4155"/>
      <c r="I10" s="2306"/>
      <c r="J10" s="53"/>
      <c r="K10" s="53"/>
      <c r="L10" s="53"/>
      <c r="M10" s="53"/>
      <c r="N10" s="54"/>
      <c r="O10" s="54"/>
      <c r="P10" s="54"/>
      <c r="Q10" s="54"/>
      <c r="R10" s="54"/>
      <c r="S10" s="60"/>
      <c r="T10" s="4155" t="str">
        <f>UPPER(Country)</f>
        <v>BELGIUM</v>
      </c>
      <c r="U10" s="4155"/>
      <c r="V10" s="4155"/>
      <c r="W10" s="4155"/>
      <c r="X10" s="4155"/>
      <c r="Y10" s="4155"/>
      <c r="Z10" s="2306"/>
      <c r="AA10" s="54"/>
      <c r="AB10" s="54"/>
      <c r="AC10" s="54"/>
      <c r="AD10" s="54"/>
      <c r="AE10" s="54"/>
      <c r="AF10" s="54"/>
      <c r="AG10" s="54"/>
      <c r="AH10" s="54"/>
      <c r="AI10" s="45"/>
      <c r="AJ10" s="60"/>
      <c r="AK10" s="4156" t="str">
        <f>UPPER(Country)</f>
        <v>BELGIUM</v>
      </c>
      <c r="AL10" s="4156"/>
      <c r="AM10" s="4156"/>
      <c r="AN10" s="4156"/>
      <c r="AO10" s="4156"/>
      <c r="AP10" s="4156"/>
      <c r="AQ10" s="61"/>
      <c r="AR10" s="53"/>
      <c r="AS10" s="53"/>
      <c r="AT10" s="53"/>
      <c r="AU10" s="53"/>
      <c r="AV10" s="54"/>
      <c r="AW10" s="54"/>
      <c r="AX10" s="54"/>
      <c r="AY10" s="54"/>
      <c r="AZ10" s="54"/>
      <c r="BA10" s="54"/>
      <c r="BB10" s="54"/>
      <c r="BC10" s="54"/>
    </row>
    <row r="11" spans="1:256" ht="15.6">
      <c r="A11" s="45"/>
      <c r="B11" s="1575"/>
      <c r="C11" s="4157" t="s">
        <v>508</v>
      </c>
      <c r="D11" s="4157"/>
      <c r="E11" s="4157"/>
      <c r="F11" s="4157"/>
      <c r="G11" s="4157"/>
      <c r="H11" s="4157"/>
      <c r="I11" s="2308"/>
      <c r="J11" s="53"/>
      <c r="K11" s="53"/>
      <c r="L11" s="53"/>
      <c r="M11" s="53"/>
      <c r="N11" s="54"/>
      <c r="O11" s="54"/>
      <c r="P11" s="54"/>
      <c r="Q11" s="54"/>
      <c r="R11" s="54"/>
      <c r="S11" s="1575"/>
      <c r="T11" s="4155" t="s">
        <v>508</v>
      </c>
      <c r="U11" s="4155"/>
      <c r="V11" s="4155"/>
      <c r="W11" s="4155"/>
      <c r="X11" s="4155"/>
      <c r="Y11" s="4155"/>
      <c r="Z11" s="2308"/>
      <c r="AA11" s="54"/>
      <c r="AB11" s="54"/>
      <c r="AC11" s="54"/>
      <c r="AD11" s="54"/>
      <c r="AE11" s="54"/>
      <c r="AF11" s="54"/>
      <c r="AG11" s="54"/>
      <c r="AH11" s="54"/>
      <c r="AI11" s="45"/>
      <c r="AJ11" s="60"/>
      <c r="AK11" s="4158" t="s">
        <v>508</v>
      </c>
      <c r="AL11" s="4158"/>
      <c r="AM11" s="4158"/>
      <c r="AN11" s="4158"/>
      <c r="AO11" s="4158"/>
      <c r="AP11" s="4158"/>
      <c r="AQ11" s="62"/>
      <c r="AR11" s="53"/>
      <c r="AS11" s="53"/>
      <c r="AT11" s="53"/>
      <c r="AU11" s="53"/>
      <c r="AV11" s="54"/>
      <c r="AW11" s="54"/>
      <c r="AX11" s="54"/>
      <c r="AY11" s="54"/>
      <c r="AZ11" s="54"/>
      <c r="BA11" s="54"/>
      <c r="BB11" s="54"/>
      <c r="BC11" s="54"/>
    </row>
    <row r="12" spans="1:256" ht="15.6">
      <c r="A12" s="45"/>
      <c r="B12" s="1575"/>
      <c r="C12" s="2309" t="str">
        <f>"Country: " &amp;UPPER(Country)</f>
        <v>Country: BELGIUM</v>
      </c>
      <c r="D12" s="2310"/>
      <c r="E12" s="2311"/>
      <c r="F12" s="2311"/>
      <c r="G12" s="2311"/>
      <c r="H12" s="2311"/>
      <c r="I12" s="2312"/>
      <c r="J12" s="53"/>
      <c r="K12" s="53"/>
      <c r="L12" s="53"/>
      <c r="M12" s="53"/>
      <c r="N12" s="54"/>
      <c r="O12" s="54"/>
      <c r="P12" s="54"/>
      <c r="Q12" s="54"/>
      <c r="R12" s="54"/>
      <c r="S12" s="1575"/>
      <c r="T12" s="2309" t="str">
        <f>"Country: " &amp;UPPER(Country)</f>
        <v>Country: BELGIUM</v>
      </c>
      <c r="U12" s="2310"/>
      <c r="V12" s="1915" t="s">
        <v>724</v>
      </c>
      <c r="W12" s="65"/>
      <c r="X12" s="65"/>
      <c r="Y12" s="49"/>
      <c r="Z12" s="2312"/>
      <c r="AA12" s="54"/>
      <c r="AB12" s="54"/>
      <c r="AC12" s="54"/>
      <c r="AD12" s="54"/>
      <c r="AE12" s="54"/>
      <c r="AF12" s="54"/>
      <c r="AG12" s="54"/>
      <c r="AH12" s="54"/>
      <c r="AI12" s="45"/>
      <c r="AJ12" s="60"/>
      <c r="AK12" s="63" t="str">
        <f>"Country: " &amp;UPPER(Country)</f>
        <v>Country: BELGIUM</v>
      </c>
      <c r="AL12" s="64"/>
      <c r="AM12" s="65"/>
      <c r="AN12" s="65"/>
      <c r="AO12" s="65"/>
      <c r="AP12" s="49"/>
      <c r="AQ12" s="66"/>
      <c r="AR12" s="53"/>
      <c r="AS12" s="53"/>
      <c r="AT12" s="53"/>
      <c r="AU12" s="53"/>
      <c r="AV12" s="54"/>
      <c r="AW12" s="54"/>
      <c r="AX12" s="54"/>
      <c r="AY12" s="54"/>
      <c r="AZ12" s="54"/>
      <c r="BA12" s="54"/>
      <c r="BB12" s="54"/>
      <c r="BC12" s="54"/>
    </row>
    <row r="13" spans="1:256" ht="15.6">
      <c r="A13" s="45"/>
      <c r="B13" s="1575"/>
      <c r="C13" s="2309" t="str">
        <f>"Currency unit: " &amp; Currency</f>
        <v>Currency unit: bn EUR</v>
      </c>
      <c r="D13" s="2313"/>
      <c r="E13" s="2311"/>
      <c r="F13" s="2314"/>
      <c r="G13" s="2311"/>
      <c r="H13" s="2311"/>
      <c r="I13" s="2312"/>
      <c r="J13" s="53"/>
      <c r="K13" s="53"/>
      <c r="L13" s="53"/>
      <c r="M13" s="53"/>
      <c r="N13" s="54"/>
      <c r="O13" s="54"/>
      <c r="P13" s="54"/>
      <c r="Q13" s="54"/>
      <c r="R13" s="54"/>
      <c r="S13" s="1575"/>
      <c r="T13" s="63" t="str">
        <f>"Currency unit: " &amp; Currency</f>
        <v>Currency unit: bn EUR</v>
      </c>
      <c r="U13" s="2313"/>
      <c r="V13" s="1915" t="str">
        <f>$T$4</f>
        <v>SF2018 - final storage FRI</v>
      </c>
      <c r="W13" s="68"/>
      <c r="X13" s="65"/>
      <c r="Y13" s="65"/>
      <c r="Z13" s="2312"/>
      <c r="AA13" s="54"/>
      <c r="AB13" s="54"/>
      <c r="AC13" s="54"/>
      <c r="AD13" s="54"/>
      <c r="AE13" s="54"/>
      <c r="AF13" s="54"/>
      <c r="AG13" s="54"/>
      <c r="AH13" s="54"/>
      <c r="AI13" s="45"/>
      <c r="AJ13" s="60"/>
      <c r="AK13" s="63" t="str">
        <f>"Currency unit: " &amp; Currency</f>
        <v>Currency unit: bn EUR</v>
      </c>
      <c r="AL13" s="67"/>
      <c r="AM13" s="65"/>
      <c r="AN13" s="68"/>
      <c r="AO13" s="65"/>
      <c r="AP13" s="65"/>
      <c r="AQ13" s="66"/>
      <c r="AR13" s="53"/>
      <c r="AS13" s="53"/>
      <c r="AT13" s="53"/>
      <c r="AU13" s="53"/>
      <c r="AV13" s="54"/>
      <c r="AW13" s="54"/>
      <c r="AX13" s="54"/>
      <c r="AY13" s="54"/>
      <c r="AZ13" s="54"/>
      <c r="BA13" s="54"/>
      <c r="BB13" s="54"/>
      <c r="BC13" s="54"/>
    </row>
    <row r="14" spans="1:256">
      <c r="A14" s="45"/>
      <c r="B14" s="1575"/>
      <c r="C14" s="2315" t="s">
        <v>1641</v>
      </c>
      <c r="D14" s="2311"/>
      <c r="E14" s="2311"/>
      <c r="F14" s="2311"/>
      <c r="G14" s="2311"/>
      <c r="H14" s="2311"/>
      <c r="I14" s="2312"/>
      <c r="J14" s="53"/>
      <c r="K14" s="53"/>
      <c r="L14" s="53"/>
      <c r="M14" s="53"/>
      <c r="N14" s="54"/>
      <c r="O14" s="54"/>
      <c r="P14" s="54"/>
      <c r="Q14" s="54"/>
      <c r="R14" s="54"/>
      <c r="S14" s="1575"/>
      <c r="T14" s="2315" t="s">
        <v>1641</v>
      </c>
      <c r="U14" s="2311"/>
      <c r="V14" s="2311"/>
      <c r="W14" s="2311"/>
      <c r="X14" s="2311"/>
      <c r="Y14" s="2311"/>
      <c r="Z14" s="2312"/>
      <c r="AA14" s="54"/>
      <c r="AB14" s="54"/>
      <c r="AC14" s="54"/>
      <c r="AD14" s="54"/>
      <c r="AE14" s="54"/>
      <c r="AF14" s="54"/>
      <c r="AG14" s="54"/>
      <c r="AH14" s="54"/>
      <c r="AI14" s="45"/>
      <c r="AJ14" s="60"/>
      <c r="AK14" s="69" t="s">
        <v>1641</v>
      </c>
      <c r="AL14" s="65"/>
      <c r="AM14" s="65"/>
      <c r="AN14" s="65"/>
      <c r="AO14" s="65"/>
      <c r="AP14" s="65"/>
      <c r="AQ14" s="66"/>
      <c r="AR14" s="53"/>
      <c r="AS14" s="53"/>
      <c r="AT14" s="53"/>
      <c r="AU14" s="53"/>
      <c r="AV14" s="54"/>
      <c r="AW14" s="54"/>
      <c r="AX14" s="54"/>
      <c r="AY14" s="54"/>
      <c r="AZ14" s="54"/>
      <c r="BA14" s="54"/>
      <c r="BB14" s="54"/>
      <c r="BC14" s="54"/>
    </row>
    <row r="15" spans="1:256" ht="13.8" thickBot="1">
      <c r="A15" s="45"/>
      <c r="B15" s="1575"/>
      <c r="C15" s="2311"/>
      <c r="D15" s="2311"/>
      <c r="E15" s="2311"/>
      <c r="F15" s="2311"/>
      <c r="G15" s="4159">
        <f ca="1">NOW()</f>
        <v>43213.646692361108</v>
      </c>
      <c r="H15" s="4159"/>
      <c r="I15" s="2316"/>
      <c r="J15" s="53"/>
      <c r="K15" s="53"/>
      <c r="L15" s="53"/>
      <c r="M15" s="53"/>
      <c r="N15" s="53"/>
      <c r="O15" s="54"/>
      <c r="P15" s="54"/>
      <c r="Q15" s="54"/>
      <c r="R15" s="54"/>
      <c r="S15" s="1575"/>
      <c r="T15" s="2311"/>
      <c r="U15" s="2311"/>
      <c r="V15" s="2311"/>
      <c r="W15" s="2311"/>
      <c r="X15" s="4159">
        <f ca="1">NOW()</f>
        <v>43213.646692361108</v>
      </c>
      <c r="Y15" s="4159"/>
      <c r="Z15" s="2316"/>
      <c r="AA15" s="54"/>
      <c r="AB15" s="54"/>
      <c r="AC15" s="54"/>
      <c r="AD15" s="54"/>
      <c r="AE15" s="54"/>
      <c r="AF15" s="54"/>
      <c r="AG15" s="54"/>
      <c r="AH15" s="54"/>
      <c r="AI15" s="45"/>
      <c r="AJ15" s="60"/>
      <c r="AK15" s="65"/>
      <c r="AL15" s="65"/>
      <c r="AM15" s="65"/>
      <c r="AN15" s="65"/>
      <c r="AO15" s="4160">
        <f ca="1">NOW()</f>
        <v>43213.646692361108</v>
      </c>
      <c r="AP15" s="4160"/>
      <c r="AQ15" s="71"/>
      <c r="AR15" s="53"/>
      <c r="AS15" s="53"/>
      <c r="AT15" s="53"/>
      <c r="AU15" s="53"/>
      <c r="AV15" s="53"/>
      <c r="AW15" s="54"/>
      <c r="AX15" s="54"/>
      <c r="AY15" s="54"/>
      <c r="AZ15" s="54"/>
      <c r="BA15" s="54"/>
      <c r="BB15" s="54"/>
      <c r="BC15" s="54"/>
    </row>
    <row r="16" spans="1:256">
      <c r="A16" s="45"/>
      <c r="B16" s="1575"/>
      <c r="C16" s="2317"/>
      <c r="D16" s="2318"/>
      <c r="E16" s="2319">
        <f>Last_forecast_year - 3</f>
        <v>2016</v>
      </c>
      <c r="F16" s="2320">
        <f>E16+1</f>
        <v>2017</v>
      </c>
      <c r="G16" s="2320">
        <f>F16+1</f>
        <v>2018</v>
      </c>
      <c r="H16" s="2321">
        <f>G16+1</f>
        <v>2019</v>
      </c>
      <c r="I16" s="2322"/>
      <c r="J16" s="53"/>
      <c r="K16" s="53"/>
      <c r="L16" s="53"/>
      <c r="M16" s="53"/>
      <c r="N16" s="53"/>
      <c r="O16" s="54"/>
      <c r="P16" s="54"/>
      <c r="Q16" s="54"/>
      <c r="R16" s="54"/>
      <c r="S16" s="1575"/>
      <c r="T16" s="2317"/>
      <c r="U16" s="2318"/>
      <c r="V16" s="2319">
        <f>Last_forecast_year-3</f>
        <v>2016</v>
      </c>
      <c r="W16" s="2320">
        <f>V16+1</f>
        <v>2017</v>
      </c>
      <c r="X16" s="2320">
        <f>W16+1</f>
        <v>2018</v>
      </c>
      <c r="Y16" s="2321">
        <f>X16+1</f>
        <v>2019</v>
      </c>
      <c r="Z16" s="2322"/>
      <c r="AA16" s="54"/>
      <c r="AB16" s="54"/>
      <c r="AC16" s="54"/>
      <c r="AD16" s="54"/>
      <c r="AE16" s="54"/>
      <c r="AF16" s="54"/>
      <c r="AG16" s="54"/>
      <c r="AH16" s="54"/>
      <c r="AI16" s="45"/>
      <c r="AJ16" s="60"/>
      <c r="AK16" s="72"/>
      <c r="AL16" s="73"/>
      <c r="AM16" s="74">
        <f>Last_forecast_year - 3</f>
        <v>2016</v>
      </c>
      <c r="AN16" s="75">
        <f>AM16+1</f>
        <v>2017</v>
      </c>
      <c r="AO16" s="75">
        <f>AN16+1</f>
        <v>2018</v>
      </c>
      <c r="AP16" s="1585">
        <f>AO16+1</f>
        <v>2019</v>
      </c>
      <c r="AQ16" s="76"/>
      <c r="AR16" s="53"/>
      <c r="AS16" s="53"/>
      <c r="AT16" s="53"/>
      <c r="AU16" s="53"/>
      <c r="AV16" s="53"/>
      <c r="AW16" s="54"/>
      <c r="AX16" s="54"/>
      <c r="AY16" s="54"/>
      <c r="AZ16" s="54"/>
      <c r="BA16" s="54"/>
      <c r="BB16" s="54"/>
      <c r="BC16" s="54"/>
    </row>
    <row r="17" spans="1:55">
      <c r="A17" s="45"/>
      <c r="B17" s="1575"/>
      <c r="C17" s="1576"/>
      <c r="D17" s="2311"/>
      <c r="E17" s="4161" t="s">
        <v>1642</v>
      </c>
      <c r="F17" s="4162"/>
      <c r="G17" s="4162"/>
      <c r="H17" s="4163"/>
      <c r="I17" s="2323"/>
      <c r="J17" s="53"/>
      <c r="K17" s="53"/>
      <c r="L17" s="53"/>
      <c r="M17" s="53"/>
      <c r="N17" s="53"/>
      <c r="O17" s="54"/>
      <c r="P17" s="54"/>
      <c r="Q17" s="54"/>
      <c r="R17" s="54"/>
      <c r="S17" s="1575"/>
      <c r="T17" s="1576"/>
      <c r="U17" s="2311"/>
      <c r="V17" s="4161" t="s">
        <v>1642</v>
      </c>
      <c r="W17" s="4162"/>
      <c r="X17" s="4162"/>
      <c r="Y17" s="4163"/>
      <c r="Z17" s="2323"/>
      <c r="AA17" s="54"/>
      <c r="AB17" s="54"/>
      <c r="AC17" s="54"/>
      <c r="AD17" s="54"/>
      <c r="AE17" s="54"/>
      <c r="AF17" s="54"/>
      <c r="AG17" s="54"/>
      <c r="AH17" s="54"/>
      <c r="AI17" s="45"/>
      <c r="AJ17" s="60"/>
      <c r="AK17" s="40"/>
      <c r="AL17" s="65"/>
      <c r="AM17" s="4164" t="s">
        <v>1642</v>
      </c>
      <c r="AN17" s="4165"/>
      <c r="AO17" s="4165"/>
      <c r="AP17" s="4166"/>
      <c r="AQ17" s="77"/>
      <c r="AR17" s="53"/>
      <c r="AS17" s="53"/>
      <c r="AT17" s="53"/>
      <c r="AU17" s="53"/>
      <c r="AV17" s="53"/>
      <c r="AW17" s="54"/>
      <c r="AX17" s="54"/>
      <c r="AY17" s="54"/>
      <c r="AZ17" s="54"/>
      <c r="BA17" s="54"/>
      <c r="BB17" s="54"/>
      <c r="BC17" s="54"/>
    </row>
    <row r="18" spans="1:55">
      <c r="A18" s="45"/>
      <c r="B18" s="1575"/>
      <c r="C18" s="2324" t="s">
        <v>998</v>
      </c>
      <c r="D18" s="2303"/>
      <c r="E18" s="2325"/>
      <c r="F18" s="2326"/>
      <c r="G18" s="2325"/>
      <c r="H18" s="2327"/>
      <c r="I18" s="2328"/>
      <c r="J18" s="53"/>
      <c r="K18" s="53"/>
      <c r="L18" s="53"/>
      <c r="M18" s="53"/>
      <c r="N18" s="53"/>
      <c r="O18" s="54"/>
      <c r="P18" s="54"/>
      <c r="Q18" s="54"/>
      <c r="R18" s="54"/>
      <c r="S18" s="1575"/>
      <c r="T18" s="2324" t="s">
        <v>998</v>
      </c>
      <c r="U18" s="2303"/>
      <c r="V18" s="2325"/>
      <c r="W18" s="2326"/>
      <c r="X18" s="2325"/>
      <c r="Y18" s="2327"/>
      <c r="Z18" s="2328"/>
      <c r="AA18" s="54"/>
      <c r="AB18" s="54"/>
      <c r="AC18" s="54"/>
      <c r="AD18" s="54"/>
      <c r="AE18" s="54"/>
      <c r="AF18" s="54"/>
      <c r="AG18" s="54"/>
      <c r="AH18" s="54"/>
      <c r="AI18" s="45"/>
      <c r="AJ18" s="60"/>
      <c r="AK18" s="78" t="s">
        <v>998</v>
      </c>
      <c r="AL18" s="57"/>
      <c r="AM18" s="79"/>
      <c r="AN18" s="80"/>
      <c r="AO18" s="79"/>
      <c r="AP18" s="81"/>
      <c r="AQ18" s="82"/>
      <c r="AR18" s="53"/>
      <c r="AS18" s="53"/>
      <c r="AT18" s="53"/>
      <c r="AU18" s="53"/>
      <c r="AV18" s="53"/>
      <c r="AW18" s="54"/>
      <c r="AX18" s="54"/>
      <c r="AY18" s="54"/>
      <c r="AZ18" s="54"/>
      <c r="BA18" s="54"/>
      <c r="BB18" s="54"/>
      <c r="BC18" s="54"/>
    </row>
    <row r="19" spans="1:55">
      <c r="A19" s="45"/>
      <c r="B19" s="1575"/>
      <c r="C19" s="1576" t="s">
        <v>999</v>
      </c>
      <c r="D19" s="2311"/>
      <c r="E19" s="2329"/>
      <c r="F19" s="2329"/>
      <c r="G19" s="2329"/>
      <c r="H19" s="2330"/>
      <c r="I19" s="2328"/>
      <c r="J19" s="53"/>
      <c r="K19" s="53"/>
      <c r="L19" s="53"/>
      <c r="M19" s="53"/>
      <c r="N19" s="53"/>
      <c r="O19" s="54"/>
      <c r="P19" s="54"/>
      <c r="Q19" s="54"/>
      <c r="R19" s="54"/>
      <c r="S19" s="1575"/>
      <c r="T19" s="1576" t="s">
        <v>999</v>
      </c>
      <c r="U19" s="2311"/>
      <c r="V19" s="2329"/>
      <c r="W19" s="2329"/>
      <c r="X19" s="2329"/>
      <c r="Y19" s="2330"/>
      <c r="Z19" s="2328"/>
      <c r="AA19" s="54"/>
      <c r="AB19" s="54"/>
      <c r="AC19" s="54"/>
      <c r="AD19" s="54"/>
      <c r="AE19" s="54"/>
      <c r="AF19" s="54"/>
      <c r="AG19" s="54"/>
      <c r="AH19" s="54"/>
      <c r="AI19" s="45"/>
      <c r="AJ19" s="60"/>
      <c r="AK19" s="40" t="s">
        <v>999</v>
      </c>
      <c r="AL19" s="65"/>
      <c r="AM19" s="83"/>
      <c r="AN19" s="83"/>
      <c r="AO19" s="83"/>
      <c r="AP19" s="84"/>
      <c r="AQ19" s="82"/>
      <c r="AR19" s="53"/>
      <c r="AS19" s="53"/>
      <c r="AT19" s="53"/>
      <c r="AU19" s="53"/>
      <c r="AV19" s="53"/>
      <c r="AW19" s="54"/>
      <c r="AX19" s="54"/>
      <c r="AY19" s="54"/>
      <c r="AZ19" s="54"/>
      <c r="BA19" s="1901" t="s">
        <v>1577</v>
      </c>
      <c r="BB19" s="1610"/>
      <c r="BC19" s="54"/>
    </row>
    <row r="20" spans="1:55">
      <c r="A20" s="45"/>
      <c r="B20" s="1575"/>
      <c r="C20" s="1576" t="s">
        <v>770</v>
      </c>
      <c r="D20" s="2311"/>
      <c r="E20" s="2329"/>
      <c r="F20" s="2329"/>
      <c r="G20" s="2329"/>
      <c r="H20" s="2330"/>
      <c r="I20" s="2328"/>
      <c r="J20" s="53"/>
      <c r="K20" s="53"/>
      <c r="L20" s="53"/>
      <c r="M20" s="53"/>
      <c r="N20" s="53"/>
      <c r="O20" s="54"/>
      <c r="P20" s="54"/>
      <c r="Q20" s="54"/>
      <c r="R20" s="54"/>
      <c r="S20" s="1575"/>
      <c r="T20" s="1576" t="s">
        <v>770</v>
      </c>
      <c r="U20" s="2311"/>
      <c r="V20" s="2329"/>
      <c r="W20" s="2329"/>
      <c r="X20" s="2329"/>
      <c r="Y20" s="2330"/>
      <c r="Z20" s="2328"/>
      <c r="AA20" s="54"/>
      <c r="AB20" s="54"/>
      <c r="AC20" s="54"/>
      <c r="AD20" s="54"/>
      <c r="AE20" s="54"/>
      <c r="AF20" s="54"/>
      <c r="AG20" s="54"/>
      <c r="AH20" s="54"/>
      <c r="AI20" s="45"/>
      <c r="AJ20" s="60"/>
      <c r="AK20" s="40" t="s">
        <v>770</v>
      </c>
      <c r="AL20" s="65"/>
      <c r="AM20" s="83"/>
      <c r="AN20" s="83"/>
      <c r="AO20" s="83"/>
      <c r="AP20" s="84"/>
      <c r="AQ20" s="82"/>
      <c r="AR20" s="53"/>
      <c r="AS20" s="53"/>
      <c r="AT20" s="53"/>
      <c r="AU20" s="53"/>
      <c r="AV20" s="53"/>
      <c r="AW20" s="54"/>
      <c r="AX20" s="54"/>
      <c r="AY20" s="54"/>
      <c r="AZ20" s="54"/>
      <c r="BA20" s="1583" t="s">
        <v>670</v>
      </c>
      <c r="BB20" s="1612"/>
      <c r="BC20" s="54"/>
    </row>
    <row r="21" spans="1:55">
      <c r="A21" s="45"/>
      <c r="B21" s="1575"/>
      <c r="C21" s="2331" t="s">
        <v>696</v>
      </c>
      <c r="D21" s="2311"/>
      <c r="E21" s="2329"/>
      <c r="F21" s="2329"/>
      <c r="G21" s="2329"/>
      <c r="H21" s="2330"/>
      <c r="I21" s="2332"/>
      <c r="J21" s="53"/>
      <c r="K21" s="53"/>
      <c r="L21" s="53"/>
      <c r="M21" s="53"/>
      <c r="N21" s="53"/>
      <c r="O21" s="54"/>
      <c r="P21" s="54"/>
      <c r="Q21" s="54"/>
      <c r="R21" s="54"/>
      <c r="S21" s="1575"/>
      <c r="T21" s="2331" t="s">
        <v>696</v>
      </c>
      <c r="U21" s="2311"/>
      <c r="V21" s="2329"/>
      <c r="W21" s="2329"/>
      <c r="X21" s="2329"/>
      <c r="Y21" s="2330"/>
      <c r="Z21" s="2332"/>
      <c r="AA21" s="54"/>
      <c r="AB21" s="54"/>
      <c r="AC21" s="54"/>
      <c r="AD21" s="54"/>
      <c r="AE21" s="54"/>
      <c r="AF21" s="54"/>
      <c r="AG21" s="54"/>
      <c r="AH21" s="54"/>
      <c r="AI21" s="45"/>
      <c r="AJ21" s="60"/>
      <c r="AK21" s="157" t="s">
        <v>696</v>
      </c>
      <c r="AL21" s="65"/>
      <c r="AM21" s="83"/>
      <c r="AN21" s="83"/>
      <c r="AO21" s="83"/>
      <c r="AP21" s="84"/>
      <c r="AQ21" s="85"/>
      <c r="AR21" s="53"/>
      <c r="AS21" s="53"/>
      <c r="AT21" s="53"/>
      <c r="AU21" s="53"/>
      <c r="AV21" s="53"/>
      <c r="AW21" s="54"/>
      <c r="AX21" s="54"/>
      <c r="AY21" s="54"/>
      <c r="AZ21" s="54"/>
      <c r="BA21" s="1583" t="s">
        <v>319</v>
      </c>
      <c r="BB21" s="1612"/>
      <c r="BC21" s="54"/>
    </row>
    <row r="22" spans="1:55">
      <c r="A22" s="45"/>
      <c r="B22" s="1575"/>
      <c r="C22" s="2333" t="s">
        <v>1488</v>
      </c>
      <c r="D22" s="2311"/>
      <c r="E22" s="2334"/>
      <c r="F22" s="2334"/>
      <c r="G22" s="2334"/>
      <c r="H22" s="2335"/>
      <c r="I22" s="1574"/>
      <c r="J22" s="53"/>
      <c r="K22" s="53"/>
      <c r="L22" s="53"/>
      <c r="M22" s="53"/>
      <c r="N22" s="53"/>
      <c r="O22" s="54"/>
      <c r="P22" s="54"/>
      <c r="Q22" s="54"/>
      <c r="R22" s="54"/>
      <c r="S22" s="1575"/>
      <c r="T22" s="2333" t="s">
        <v>1488</v>
      </c>
      <c r="U22" s="2311"/>
      <c r="V22" s="2334"/>
      <c r="W22" s="2334"/>
      <c r="X22" s="2334"/>
      <c r="Y22" s="2335"/>
      <c r="Z22" s="1574"/>
      <c r="AA22" s="54"/>
      <c r="AB22" s="54"/>
      <c r="AC22" s="54"/>
      <c r="AD22" s="54"/>
      <c r="AE22" s="54"/>
      <c r="AF22" s="54"/>
      <c r="AG22" s="54"/>
      <c r="AH22" s="54"/>
      <c r="AI22" s="45"/>
      <c r="AJ22" s="60"/>
      <c r="AK22" s="86" t="s">
        <v>1488</v>
      </c>
      <c r="AL22" s="65"/>
      <c r="AM22" s="87"/>
      <c r="AN22" s="88"/>
      <c r="AO22" s="87"/>
      <c r="AP22" s="89"/>
      <c r="AQ22" s="90"/>
      <c r="AR22" s="53"/>
      <c r="AS22" s="53"/>
      <c r="AT22" s="53"/>
      <c r="AU22" s="53"/>
      <c r="AV22" s="53"/>
      <c r="AW22" s="54"/>
      <c r="AX22" s="54"/>
      <c r="AY22" s="54"/>
      <c r="AZ22" s="54"/>
      <c r="BA22" s="1583"/>
      <c r="BB22" s="1612"/>
      <c r="BC22" s="54"/>
    </row>
    <row r="23" spans="1:55">
      <c r="A23" s="45"/>
      <c r="B23" s="1575"/>
      <c r="C23" s="1576" t="s">
        <v>1885</v>
      </c>
      <c r="D23" s="2311"/>
      <c r="E23" s="2336"/>
      <c r="F23" s="2337"/>
      <c r="G23" s="2336"/>
      <c r="H23" s="2338"/>
      <c r="I23" s="2328"/>
      <c r="J23" s="53"/>
      <c r="K23" s="53"/>
      <c r="L23" s="53"/>
      <c r="M23" s="53"/>
      <c r="N23" s="53"/>
      <c r="O23" s="54"/>
      <c r="P23" s="54"/>
      <c r="Q23" s="54"/>
      <c r="R23" s="54"/>
      <c r="S23" s="1575"/>
      <c r="T23" s="1576" t="s">
        <v>1885</v>
      </c>
      <c r="U23" s="2311"/>
      <c r="V23" s="2336"/>
      <c r="W23" s="2337"/>
      <c r="X23" s="2336"/>
      <c r="Y23" s="2338"/>
      <c r="Z23" s="2328"/>
      <c r="AA23" s="54"/>
      <c r="AB23" s="54"/>
      <c r="AC23" s="54"/>
      <c r="AD23" s="54"/>
      <c r="AE23" s="54"/>
      <c r="AF23" s="54"/>
      <c r="AG23" s="54"/>
      <c r="AH23" s="54"/>
      <c r="AI23" s="45"/>
      <c r="AJ23" s="60"/>
      <c r="AK23" s="40" t="s">
        <v>1885</v>
      </c>
      <c r="AL23" s="65"/>
      <c r="AM23" s="91"/>
      <c r="AN23" s="92"/>
      <c r="AO23" s="91"/>
      <c r="AP23" s="93"/>
      <c r="AQ23" s="82"/>
      <c r="AR23" s="53"/>
      <c r="AS23" s="53"/>
      <c r="AT23" s="53"/>
      <c r="AU23" s="53"/>
      <c r="AV23" s="53"/>
      <c r="AW23" s="54"/>
      <c r="AX23" s="54"/>
      <c r="AY23" s="54"/>
      <c r="AZ23" s="54"/>
      <c r="BA23" s="1583" t="s">
        <v>1159</v>
      </c>
      <c r="BB23" s="1612"/>
      <c r="BC23" s="54"/>
    </row>
    <row r="24" spans="1:55">
      <c r="A24" s="45"/>
      <c r="B24" s="1575"/>
      <c r="C24" s="2339" t="s">
        <v>1886</v>
      </c>
      <c r="D24" s="2340"/>
      <c r="E24" s="2341"/>
      <c r="F24" s="2342"/>
      <c r="G24" s="2341"/>
      <c r="H24" s="2343"/>
      <c r="I24" s="2332"/>
      <c r="J24" s="53"/>
      <c r="K24" s="53"/>
      <c r="L24" s="53"/>
      <c r="M24" s="53"/>
      <c r="N24" s="53"/>
      <c r="O24" s="54"/>
      <c r="P24" s="54"/>
      <c r="Q24" s="54"/>
      <c r="R24" s="54"/>
      <c r="S24" s="1575"/>
      <c r="T24" s="2339" t="s">
        <v>1886</v>
      </c>
      <c r="U24" s="2340"/>
      <c r="V24" s="2341"/>
      <c r="W24" s="2342"/>
      <c r="X24" s="2341"/>
      <c r="Y24" s="2343"/>
      <c r="Z24" s="2332"/>
      <c r="AA24" s="54"/>
      <c r="AB24" s="54"/>
      <c r="AC24" s="54"/>
      <c r="AD24" s="54"/>
      <c r="AE24" s="54"/>
      <c r="AF24" s="54"/>
      <c r="AG24" s="54"/>
      <c r="AH24" s="54"/>
      <c r="AI24" s="45"/>
      <c r="AJ24" s="60"/>
      <c r="AK24" s="94" t="s">
        <v>1886</v>
      </c>
      <c r="AL24" s="95"/>
      <c r="AM24" s="96"/>
      <c r="AN24" s="97"/>
      <c r="AO24" s="96"/>
      <c r="AP24" s="98"/>
      <c r="AQ24" s="85"/>
      <c r="AR24" s="53"/>
      <c r="AS24" s="53"/>
      <c r="AT24" s="53"/>
      <c r="AU24" s="53"/>
      <c r="AV24" s="53"/>
      <c r="AW24" s="54"/>
      <c r="AX24" s="54"/>
      <c r="AY24" s="54"/>
      <c r="AZ24" s="54"/>
      <c r="BA24" s="1902" t="s">
        <v>164</v>
      </c>
      <c r="BB24" s="1612"/>
      <c r="BC24" s="54"/>
    </row>
    <row r="25" spans="1:55">
      <c r="A25" s="45"/>
      <c r="B25" s="1575"/>
      <c r="C25" s="1576"/>
      <c r="D25" s="2311"/>
      <c r="E25" s="4167" t="s">
        <v>1887</v>
      </c>
      <c r="F25" s="4168"/>
      <c r="G25" s="4168"/>
      <c r="H25" s="4169"/>
      <c r="I25" s="2332"/>
      <c r="J25" s="53"/>
      <c r="K25" s="53"/>
      <c r="L25" s="53"/>
      <c r="M25" s="53"/>
      <c r="N25" s="53"/>
      <c r="O25" s="54"/>
      <c r="P25" s="54"/>
      <c r="Q25" s="54"/>
      <c r="R25" s="54"/>
      <c r="S25" s="1575"/>
      <c r="T25" s="1576"/>
      <c r="U25" s="2311"/>
      <c r="V25" s="4167" t="s">
        <v>1887</v>
      </c>
      <c r="W25" s="4168"/>
      <c r="X25" s="4168"/>
      <c r="Y25" s="4169"/>
      <c r="Z25" s="2332"/>
      <c r="AA25" s="54"/>
      <c r="AB25" s="54"/>
      <c r="AC25" s="54"/>
      <c r="AD25" s="54"/>
      <c r="AE25" s="54"/>
      <c r="AF25" s="54"/>
      <c r="AG25" s="54"/>
      <c r="AH25" s="54"/>
      <c r="AI25" s="45"/>
      <c r="AJ25" s="60"/>
      <c r="AK25" s="40"/>
      <c r="AL25" s="49"/>
      <c r="AM25" s="4170" t="s">
        <v>1887</v>
      </c>
      <c r="AN25" s="4171"/>
      <c r="AO25" s="4171"/>
      <c r="AP25" s="4172"/>
      <c r="AQ25" s="85"/>
      <c r="AR25" s="53"/>
      <c r="AS25" s="53"/>
      <c r="AT25" s="53"/>
      <c r="AU25" s="53"/>
      <c r="AV25" s="53"/>
      <c r="AW25" s="54"/>
      <c r="AX25" s="54"/>
      <c r="AY25" s="54"/>
      <c r="AZ25" s="54"/>
      <c r="BA25" s="1903"/>
      <c r="BB25" s="1612"/>
      <c r="BC25" s="54"/>
    </row>
    <row r="26" spans="1:55">
      <c r="A26" s="45"/>
      <c r="B26" s="1575"/>
      <c r="C26" s="2344" t="s">
        <v>1557</v>
      </c>
      <c r="D26" s="2303"/>
      <c r="E26" s="2325"/>
      <c r="F26" s="2326"/>
      <c r="G26" s="2325"/>
      <c r="H26" s="2327"/>
      <c r="I26" s="2328"/>
      <c r="J26" s="53"/>
      <c r="K26" s="53"/>
      <c r="L26" s="53"/>
      <c r="M26" s="53"/>
      <c r="N26" s="53"/>
      <c r="O26" s="54"/>
      <c r="P26" s="54"/>
      <c r="Q26" s="54"/>
      <c r="R26" s="54"/>
      <c r="S26" s="1575"/>
      <c r="T26" s="2344" t="s">
        <v>1557</v>
      </c>
      <c r="U26" s="2303"/>
      <c r="V26" s="2325"/>
      <c r="W26" s="2326"/>
      <c r="X26" s="2325"/>
      <c r="Y26" s="2327"/>
      <c r="Z26" s="2328"/>
      <c r="AA26" s="54"/>
      <c r="AB26" s="54"/>
      <c r="AC26" s="54"/>
      <c r="AD26" s="54"/>
      <c r="AE26" s="54"/>
      <c r="AF26" s="54"/>
      <c r="AG26" s="54"/>
      <c r="AH26" s="54"/>
      <c r="AI26" s="45"/>
      <c r="AJ26" s="60"/>
      <c r="AK26" s="99" t="s">
        <v>1557</v>
      </c>
      <c r="AL26" s="100"/>
      <c r="AM26" s="79"/>
      <c r="AN26" s="80"/>
      <c r="AO26" s="79"/>
      <c r="AP26" s="81"/>
      <c r="AQ26" s="82"/>
      <c r="AR26" s="53"/>
      <c r="AS26" s="53"/>
      <c r="AT26" s="53"/>
      <c r="AU26" s="53"/>
      <c r="AV26" s="53"/>
      <c r="AW26" s="54"/>
      <c r="AX26" s="54"/>
      <c r="AY26" s="54"/>
      <c r="AZ26" s="54"/>
      <c r="BA26" s="1583" t="s">
        <v>1727</v>
      </c>
      <c r="BB26" s="1612"/>
      <c r="BC26" s="54"/>
    </row>
    <row r="27" spans="1:55">
      <c r="A27" s="45"/>
      <c r="B27" s="1575"/>
      <c r="C27" s="2345" t="s">
        <v>1323</v>
      </c>
      <c r="D27" s="2346"/>
      <c r="E27" s="2347">
        <f ca="1">(((Transfer!D145/Transfer!D293)/(Transfer!C145/Transfer!C293))-1)*100</f>
        <v>-3.1999992730389559</v>
      </c>
      <c r="F27" s="2348">
        <f ca="1">(((Transfer!E145/Transfer!E293)/(Transfer!D145/Transfer!D293))-1)*100</f>
        <v>1.8823224924251925</v>
      </c>
      <c r="G27" s="2347">
        <f ca="1">(((Transfer!F145/Transfer!F293)/(Transfer!E145/Transfer!E293))-1)*100</f>
        <v>1.0000000000000009</v>
      </c>
      <c r="H27" s="2349">
        <f ca="1">(((Transfer!G145/Transfer!G293)/(Transfer!F145/Transfer!F293))-1)*100</f>
        <v>0.89999999999996749</v>
      </c>
      <c r="I27" s="2350"/>
      <c r="J27" s="53"/>
      <c r="K27" s="53"/>
      <c r="L27" s="53"/>
      <c r="M27" s="53"/>
      <c r="N27" s="53"/>
      <c r="O27" s="54"/>
      <c r="P27" s="54"/>
      <c r="Q27" s="54"/>
      <c r="R27" s="54"/>
      <c r="S27" s="1575"/>
      <c r="T27" s="1576" t="s">
        <v>1323</v>
      </c>
      <c r="U27" s="2352"/>
      <c r="V27" s="2336">
        <f t="shared" ref="V27:Y29" ca="1" si="0">ROUND(E27,1)-ROUND(AM27,1)</f>
        <v>0</v>
      </c>
      <c r="W27" s="2336">
        <f t="shared" ca="1" si="0"/>
        <v>0</v>
      </c>
      <c r="X27" s="2336">
        <f t="shared" ca="1" si="0"/>
        <v>0</v>
      </c>
      <c r="Y27" s="2338">
        <f t="shared" ca="1" si="0"/>
        <v>0</v>
      </c>
      <c r="Z27" s="2350"/>
      <c r="AA27" s="54"/>
      <c r="AB27" s="54"/>
      <c r="AC27" s="54"/>
      <c r="AD27" s="54"/>
      <c r="AE27" s="54"/>
      <c r="AF27" s="54"/>
      <c r="AG27" s="54"/>
      <c r="AH27" s="54"/>
      <c r="AI27" s="45"/>
      <c r="AJ27" s="60"/>
      <c r="AK27" s="2021" t="s">
        <v>1323</v>
      </c>
      <c r="AL27" s="2022"/>
      <c r="AM27" s="2023">
        <f>(((Transfer!AD145/Transfer!AD293)/(Transfer!AC145/Transfer!AC293))-1)*100</f>
        <v>-3.1999992730389559</v>
      </c>
      <c r="AN27" s="2024">
        <f>(((Transfer!AE145/Transfer!AE293)/(Transfer!AD145/Transfer!AD293))-1)*100</f>
        <v>1.8823224924251925</v>
      </c>
      <c r="AO27" s="2023">
        <f>(((Transfer!AF145/Transfer!AF293)/(Transfer!AE145/Transfer!AE293))-1)*100</f>
        <v>1.0000000000000009</v>
      </c>
      <c r="AP27" s="2025">
        <f>(((Transfer!AG145/Transfer!AG293)/(Transfer!AF145/Transfer!AF293))-1)*100</f>
        <v>0.8999999999999897</v>
      </c>
      <c r="AQ27" s="103"/>
      <c r="AR27" s="53"/>
      <c r="AS27" s="53"/>
      <c r="AT27" s="53"/>
      <c r="AU27" s="53"/>
      <c r="AV27" s="53"/>
      <c r="AW27" s="54"/>
      <c r="AX27" s="54"/>
      <c r="AY27" s="54"/>
      <c r="AZ27" s="54"/>
      <c r="BA27" s="1583" t="s">
        <v>165</v>
      </c>
      <c r="BB27" s="1612"/>
      <c r="BC27" s="54"/>
    </row>
    <row r="28" spans="1:55">
      <c r="A28" s="45"/>
      <c r="B28" s="1575"/>
      <c r="C28" s="2345" t="s">
        <v>1324</v>
      </c>
      <c r="D28" s="2346"/>
      <c r="E28" s="2347">
        <f ca="1">IF(Transfer!$C$280=1,((SUM(Transfer!D101,Transfer!D102,Transfer!D103,Transfer!D107,Transfer!D108,Transfer!D109)/SUM(Transfer!C136,Transfer!C137,Transfer!C138,Transfer!C142,Transfer!C143,Transfer!C144))-1)*100,((SUM(Transfer!D101,Transfer!D102,Transfer!D103,Transfer!D107,Transfer!D108,Transfer!D109)/SUM(Transfer!C101,Transfer!C102,Transfer!C103,Transfer!C107,Transfer!C108,Transfer!C109))-1)*100)</f>
        <v>4.5192127033813367</v>
      </c>
      <c r="F28" s="2348">
        <f ca="1">IF(Transfer!$C$280=1,((SUM(Transfer!E101,Transfer!E102,Transfer!E103,Transfer!E107,Transfer!E108,Transfer!E109)/SUM(Transfer!D136,Transfer!D137,Transfer!D138,Transfer!D142,Transfer!D143,Transfer!D144))-1)*100,((SUM(Transfer!E101,Transfer!E102,Transfer!E103,Transfer!E107,Transfer!E108,Transfer!E109)/SUM(Transfer!D101,Transfer!D102,Transfer!D103,Transfer!D107,Transfer!D108,Transfer!D109))-1)*100)</f>
        <v>2.7661847221578606</v>
      </c>
      <c r="G28" s="2347">
        <f ca="1">IF(Transfer!$C$280=1,((SUM(Transfer!F101,Transfer!F102,Transfer!F103,Transfer!F107,Transfer!F108,Transfer!F109)/SUM(Transfer!E136,Transfer!E137,Transfer!E138,Transfer!E142,Transfer!E143,Transfer!E144))-1)*100,((SUM(Transfer!F101,Transfer!F102,Transfer!F103,Transfer!F107,Transfer!F108,Transfer!F109)/SUM(Transfer!E101,Transfer!E102,Transfer!E103,Transfer!E107,Transfer!E108,Transfer!E109))-1)*100)</f>
        <v>3.2814908792469399</v>
      </c>
      <c r="H28" s="2349">
        <f ca="1">IF(Transfer!$C$280=1,((SUM(Transfer!G101,Transfer!G102,Transfer!G103,Transfer!G107,Transfer!G108,Transfer!G109)/SUM(Transfer!F136,Transfer!F137,Transfer!F138,Transfer!F142,Transfer!F143,Transfer!F144))-1)*100,((SUM(Transfer!G101,Transfer!G102,Transfer!G103,Transfer!G107,Transfer!G108,Transfer!G109)/SUM(Transfer!F101,Transfer!F102,Transfer!F103,Transfer!F107,Transfer!F108,Transfer!F109))-1)*100)</f>
        <v>3.0111642623307455</v>
      </c>
      <c r="I28" s="2350"/>
      <c r="J28" s="53"/>
      <c r="K28" s="53"/>
      <c r="L28" s="53"/>
      <c r="M28" s="53"/>
      <c r="N28" s="53"/>
      <c r="O28" s="54"/>
      <c r="P28" s="54"/>
      <c r="Q28" s="54"/>
      <c r="R28" s="54"/>
      <c r="S28" s="1575"/>
      <c r="T28" s="1576" t="s">
        <v>1324</v>
      </c>
      <c r="U28" s="2352"/>
      <c r="V28" s="2336">
        <f t="shared" ca="1" si="0"/>
        <v>0</v>
      </c>
      <c r="W28" s="2336">
        <f t="shared" ca="1" si="0"/>
        <v>0</v>
      </c>
      <c r="X28" s="2336">
        <f t="shared" ca="1" si="0"/>
        <v>0</v>
      </c>
      <c r="Y28" s="2338">
        <f t="shared" ca="1" si="0"/>
        <v>0</v>
      </c>
      <c r="Z28" s="2350"/>
      <c r="AA28" s="54"/>
      <c r="AB28" s="54"/>
      <c r="AC28" s="54"/>
      <c r="AD28" s="54"/>
      <c r="AE28" s="54"/>
      <c r="AF28" s="54"/>
      <c r="AG28" s="54"/>
      <c r="AH28" s="54"/>
      <c r="AI28" s="45"/>
      <c r="AJ28" s="60"/>
      <c r="AK28" s="2021" t="s">
        <v>1324</v>
      </c>
      <c r="AL28" s="2022"/>
      <c r="AM28" s="2023">
        <f>IF(Transfer!$C$280=1,((SUM(Transfer!AD101,Transfer!AD102,Transfer!AD103,Transfer!AD107,Transfer!AD108,Transfer!AD109)/SUM(Transfer!AC136,Transfer!AC137,Transfer!AC138,Transfer!AC142,Transfer!AC143,Transfer!AC144))-1)*100,((SUM(Transfer!AD101,Transfer!AD102,Transfer!AD103,Transfer!AD107,Transfer!AD108,Transfer!AD109)/SUM(Transfer!AC101,Transfer!AC102,Transfer!AC103,Transfer!AC107,Transfer!AC108,Transfer!AC109))-1)*100)</f>
        <v>4.5192127033813367</v>
      </c>
      <c r="AN28" s="2024">
        <f>IF(Transfer!$C$280=1,((SUM(Transfer!AE101,Transfer!AE102,Transfer!AE103,Transfer!AE107,Transfer!AE108,Transfer!AE109)/SUM(Transfer!AD136,Transfer!AD137,Transfer!AD138,Transfer!AD142,Transfer!AD143,Transfer!AD144))-1)*100,((SUM(Transfer!AE101,Transfer!AE102,Transfer!AE103,Transfer!AE107,Transfer!AE108,Transfer!AE109)/SUM(Transfer!AD101,Transfer!AD102,Transfer!AD103,Transfer!AD107,Transfer!AD108,Transfer!AD109))-1)*100)</f>
        <v>2.7661847221578606</v>
      </c>
      <c r="AO28" s="2023">
        <f>IF(Transfer!$C$280=1,((SUM(Transfer!AF101,Transfer!AF102,Transfer!AF103,Transfer!AF107,Transfer!AF108,Transfer!AF109)/SUM(Transfer!AE136,Transfer!AE137,Transfer!AE138,Transfer!AE142,Transfer!AE143,Transfer!AE144))-1)*100,((SUM(Transfer!AF101,Transfer!AF102,Transfer!AF103,Transfer!AF107,Transfer!AF108,Transfer!AF109)/SUM(Transfer!AE101,Transfer!AE102,Transfer!AE103,Transfer!AE107,Transfer!AE108,Transfer!AE109))-1)*100)</f>
        <v>3.2814908792469399</v>
      </c>
      <c r="AP28" s="2025">
        <f>IF(Transfer!$C$280=1,((SUM(Transfer!AG101,Transfer!AG102,Transfer!AG103,Transfer!AG107,Transfer!AG108,Transfer!AG109)/SUM(Transfer!AF136,Transfer!AF137,Transfer!AF138,Transfer!AF142,Transfer!AF143,Transfer!AF144))-1)*100,((SUM(Transfer!AG101,Transfer!AG102,Transfer!AG103,Transfer!AG107,Transfer!AG108,Transfer!AG109)/SUM(Transfer!AF101,Transfer!AF102,Transfer!AF103,Transfer!AF107,Transfer!AF108,Transfer!AF109))-1)*100)</f>
        <v>3.0240700716652968</v>
      </c>
      <c r="AQ28" s="103"/>
      <c r="AR28" s="53"/>
      <c r="AS28" s="53"/>
      <c r="AT28" s="53"/>
      <c r="AU28" s="53"/>
      <c r="AV28" s="53"/>
      <c r="AW28" s="54"/>
      <c r="AX28" s="54"/>
      <c r="AY28" s="54"/>
      <c r="AZ28" s="54"/>
      <c r="BA28" s="1583" t="s">
        <v>227</v>
      </c>
      <c r="BB28" s="1612"/>
      <c r="BC28" s="54"/>
    </row>
    <row r="29" spans="1:55">
      <c r="A29" s="45"/>
      <c r="B29" s="1575"/>
      <c r="C29" s="2345" t="s">
        <v>232</v>
      </c>
      <c r="D29" s="2346"/>
      <c r="E29" s="2347">
        <f ca="1">((Transfer!D295/Transfer!C295)-1)*100</f>
        <v>1.4660051412683783</v>
      </c>
      <c r="F29" s="2348">
        <f ca="1">((Transfer!E295/Transfer!D295)-1)*100</f>
        <v>1.6865077937902484</v>
      </c>
      <c r="G29" s="2347">
        <f ca="1">((Transfer!F295/Transfer!E295)-1)*100</f>
        <v>1.8083298569664841</v>
      </c>
      <c r="H29" s="2349">
        <f ca="1">((Transfer!G295/Transfer!F295)-1)*100</f>
        <v>1.7329264820707513</v>
      </c>
      <c r="I29" s="2332"/>
      <c r="J29" s="53"/>
      <c r="K29" s="53"/>
      <c r="L29" s="53"/>
      <c r="M29" s="53"/>
      <c r="N29" s="53"/>
      <c r="O29" s="54"/>
      <c r="P29" s="54"/>
      <c r="Q29" s="54"/>
      <c r="R29" s="54"/>
      <c r="S29" s="1575"/>
      <c r="T29" s="1576" t="s">
        <v>232</v>
      </c>
      <c r="U29" s="2313"/>
      <c r="V29" s="2336">
        <f t="shared" ca="1" si="0"/>
        <v>0</v>
      </c>
      <c r="W29" s="2336">
        <f t="shared" ca="1" si="0"/>
        <v>0</v>
      </c>
      <c r="X29" s="2336">
        <f t="shared" ca="1" si="0"/>
        <v>0</v>
      </c>
      <c r="Y29" s="2338">
        <f t="shared" ca="1" si="0"/>
        <v>0</v>
      </c>
      <c r="Z29" s="2332"/>
      <c r="AA29" s="54"/>
      <c r="AB29" s="54"/>
      <c r="AC29" s="54"/>
      <c r="AD29" s="54"/>
      <c r="AE29" s="54"/>
      <c r="AF29" s="54"/>
      <c r="AG29" s="54"/>
      <c r="AH29" s="54"/>
      <c r="AI29" s="45"/>
      <c r="AJ29" s="60"/>
      <c r="AK29" s="2021" t="s">
        <v>232</v>
      </c>
      <c r="AL29" s="2022"/>
      <c r="AM29" s="2023">
        <f>((Transfer!AD295/Transfer!AC295)-1)*100</f>
        <v>1.4660051412683783</v>
      </c>
      <c r="AN29" s="2024">
        <f>((Transfer!AE295/Transfer!AD295)-1)*100</f>
        <v>1.6865077937902484</v>
      </c>
      <c r="AO29" s="2023">
        <f>((Transfer!AF295/Transfer!AE295)-1)*100</f>
        <v>1.8083298569664841</v>
      </c>
      <c r="AP29" s="2025">
        <f>((Transfer!AG295/Transfer!AF295)-1)*100</f>
        <v>1.7444785498516024</v>
      </c>
      <c r="AQ29" s="85"/>
      <c r="AR29" s="53"/>
      <c r="AS29" s="53"/>
      <c r="AT29" s="53"/>
      <c r="AU29" s="53"/>
      <c r="AV29" s="53"/>
      <c r="AW29" s="54"/>
      <c r="AX29" s="54"/>
      <c r="AY29" s="54"/>
      <c r="AZ29" s="54"/>
      <c r="BA29" s="1583" t="s">
        <v>231</v>
      </c>
      <c r="BB29" s="1612"/>
      <c r="BC29" s="54"/>
    </row>
    <row r="30" spans="1:55">
      <c r="A30" s="45"/>
      <c r="B30" s="1575"/>
      <c r="C30" s="1576" t="s">
        <v>1834</v>
      </c>
      <c r="D30" s="2311"/>
      <c r="E30" s="1578"/>
      <c r="F30" s="2351"/>
      <c r="G30" s="1578"/>
      <c r="H30" s="1579"/>
      <c r="I30" s="2328"/>
      <c r="J30" s="53"/>
      <c r="K30" s="53"/>
      <c r="L30" s="53"/>
      <c r="M30" s="53"/>
      <c r="N30" s="53"/>
      <c r="O30" s="54"/>
      <c r="P30" s="54"/>
      <c r="Q30" s="54"/>
      <c r="R30" s="54"/>
      <c r="S30" s="1575"/>
      <c r="T30" s="1576" t="s">
        <v>1834</v>
      </c>
      <c r="U30" s="2311"/>
      <c r="V30" s="2336"/>
      <c r="W30" s="2337"/>
      <c r="X30" s="2336"/>
      <c r="Y30" s="2338"/>
      <c r="Z30" s="2328"/>
      <c r="AA30" s="54"/>
      <c r="AB30" s="54"/>
      <c r="AC30" s="54"/>
      <c r="AD30" s="54"/>
      <c r="AE30" s="54"/>
      <c r="AF30" s="54"/>
      <c r="AG30" s="54"/>
      <c r="AH30" s="54"/>
      <c r="AI30" s="45"/>
      <c r="AJ30" s="60"/>
      <c r="AK30" s="101" t="s">
        <v>1834</v>
      </c>
      <c r="AL30" s="65"/>
      <c r="AM30" s="1890"/>
      <c r="AN30" s="176"/>
      <c r="AO30" s="1890"/>
      <c r="AP30" s="1891"/>
      <c r="AQ30" s="82"/>
      <c r="AR30" s="53"/>
      <c r="AS30" s="53"/>
      <c r="AT30" s="53"/>
      <c r="AU30" s="53"/>
      <c r="AV30" s="53"/>
      <c r="AW30" s="54"/>
      <c r="AX30" s="54"/>
      <c r="AY30" s="54"/>
      <c r="AZ30" s="54"/>
      <c r="BA30" s="1583" t="s">
        <v>1883</v>
      </c>
      <c r="BB30" s="1612"/>
      <c r="BC30" s="54"/>
    </row>
    <row r="31" spans="1:55">
      <c r="A31" s="45"/>
      <c r="B31" s="1575"/>
      <c r="C31" s="1576" t="s">
        <v>1835</v>
      </c>
      <c r="D31" s="2352"/>
      <c r="E31" s="1578">
        <f ca="1">IF(Transfer!C160=-9999,(((Transfer!D159/Transfer!C159))-1)*100,(((Transfer!D160/Transfer!C160))-1)*100)</f>
        <v>1.2542387618468043</v>
      </c>
      <c r="F31" s="2351">
        <f ca="1">IF(Transfer!D160=-9999,(((Transfer!E159/Transfer!D159))-1)*100,(((Transfer!E160/Transfer!D160))-1)*100)</f>
        <v>1.4082995212640226</v>
      </c>
      <c r="G31" s="1578">
        <f ca="1">IF(Transfer!E160=-9999,(((Transfer!F159/Transfer!E159))-1)*100,(((Transfer!F160/Transfer!E160))-1)*100)</f>
        <v>1.2421290513792149</v>
      </c>
      <c r="H31" s="1579">
        <f ca="1">IF(Transfer!F160=-9999,(((Transfer!G159/Transfer!F159))-1)*100,(((Transfer!G160/Transfer!F160))-1)*100)</f>
        <v>1.0469191077248086</v>
      </c>
      <c r="I31" s="2350"/>
      <c r="J31" s="53"/>
      <c r="K31" s="53"/>
      <c r="L31" s="53"/>
      <c r="M31" s="53"/>
      <c r="N31" s="53"/>
      <c r="O31" s="54"/>
      <c r="P31" s="54"/>
      <c r="Q31" s="54"/>
      <c r="R31" s="54"/>
      <c r="S31" s="1575"/>
      <c r="T31" s="1576" t="s">
        <v>1835</v>
      </c>
      <c r="U31" s="2352"/>
      <c r="V31" s="2336">
        <f ca="1">ROUND(E31,1)-ROUND(AM31,1)</f>
        <v>0</v>
      </c>
      <c r="W31" s="2336">
        <f ca="1">ROUND(F31,1)-ROUND(AN31,1)</f>
        <v>0</v>
      </c>
      <c r="X31" s="2336">
        <f ca="1">ROUND(G31,1)-ROUND(AO31,1)</f>
        <v>0</v>
      </c>
      <c r="Y31" s="2338">
        <f ca="1">ROUND(H31,1)-ROUND(AP31,1)</f>
        <v>0</v>
      </c>
      <c r="Z31" s="2350"/>
      <c r="AA31" s="54"/>
      <c r="AB31" s="54"/>
      <c r="AC31" s="54"/>
      <c r="AD31" s="54"/>
      <c r="AE31" s="54"/>
      <c r="AF31" s="54"/>
      <c r="AG31" s="54"/>
      <c r="AH31" s="54"/>
      <c r="AI31" s="45"/>
      <c r="AJ31" s="60"/>
      <c r="AK31" s="101" t="s">
        <v>1835</v>
      </c>
      <c r="AL31" s="105"/>
      <c r="AM31" s="1890">
        <f>IF(Transfer!AC160=-9999,(((Transfer!AD159/Transfer!AC159))-1)*100,(((Transfer!AD160/Transfer!AC160))-1)*100)</f>
        <v>1.2542387618468043</v>
      </c>
      <c r="AN31" s="176">
        <f>IF(Transfer!AD160=-9999,(((Transfer!AE159/Transfer!AD159))-1)*100,(((Transfer!AE160/Transfer!AD160))-1)*100)</f>
        <v>1.4082995212640226</v>
      </c>
      <c r="AO31" s="1890">
        <f>IF(Transfer!AE160=-9999,(((Transfer!AF159/Transfer!AE159))-1)*100,(((Transfer!AF160/Transfer!AE160))-1)*100)</f>
        <v>1.2384941888773593</v>
      </c>
      <c r="AP31" s="1891">
        <f>IF(Transfer!AF160=-9999,(((Transfer!AG159/Transfer!AF159))-1)*100,(((Transfer!AG160/Transfer!AF160))-1)*100)</f>
        <v>1.0469566962630239</v>
      </c>
      <c r="AQ31" s="103"/>
      <c r="AR31" s="53"/>
      <c r="AS31" s="53"/>
      <c r="AT31" s="53"/>
      <c r="AU31" s="53"/>
      <c r="AV31" s="53"/>
      <c r="AW31" s="54"/>
      <c r="AX31" s="54"/>
      <c r="AY31" s="54"/>
      <c r="AZ31" s="54"/>
      <c r="BA31" s="1583" t="s">
        <v>1884</v>
      </c>
      <c r="BB31" s="1612"/>
      <c r="BC31" s="54"/>
    </row>
    <row r="32" spans="1:55">
      <c r="A32" s="45"/>
      <c r="B32" s="1575"/>
      <c r="C32" s="1576" t="s">
        <v>1431</v>
      </c>
      <c r="D32" s="2352"/>
      <c r="E32" s="1578"/>
      <c r="F32" s="2351"/>
      <c r="G32" s="1578"/>
      <c r="H32" s="1579"/>
      <c r="I32" s="2350"/>
      <c r="J32" s="53"/>
      <c r="K32" s="53"/>
      <c r="L32" s="53"/>
      <c r="M32" s="53"/>
      <c r="N32" s="53"/>
      <c r="O32" s="54"/>
      <c r="P32" s="54"/>
      <c r="Q32" s="54"/>
      <c r="R32" s="54"/>
      <c r="S32" s="1575"/>
      <c r="T32" s="1576" t="s">
        <v>1431</v>
      </c>
      <c r="U32" s="2352"/>
      <c r="V32" s="2336"/>
      <c r="W32" s="2337"/>
      <c r="X32" s="2336"/>
      <c r="Y32" s="2338"/>
      <c r="Z32" s="2350"/>
      <c r="AA32" s="54"/>
      <c r="AB32" s="54"/>
      <c r="AC32" s="54"/>
      <c r="AD32" s="54"/>
      <c r="AE32" s="54"/>
      <c r="AF32" s="54"/>
      <c r="AG32" s="54"/>
      <c r="AH32" s="54"/>
      <c r="AI32" s="45"/>
      <c r="AJ32" s="60"/>
      <c r="AK32" s="101" t="s">
        <v>1431</v>
      </c>
      <c r="AL32" s="105"/>
      <c r="AM32" s="1890"/>
      <c r="AN32" s="176"/>
      <c r="AO32" s="1890"/>
      <c r="AP32" s="1891"/>
      <c r="AQ32" s="103"/>
      <c r="AR32" s="53"/>
      <c r="AS32" s="53"/>
      <c r="AT32" s="53"/>
      <c r="AU32" s="53"/>
      <c r="AV32" s="53"/>
      <c r="AW32" s="54"/>
      <c r="AX32" s="54"/>
      <c r="AY32" s="54"/>
      <c r="AZ32" s="54"/>
      <c r="BA32" s="1583" t="s">
        <v>305</v>
      </c>
      <c r="BB32" s="1612"/>
      <c r="BC32" s="54"/>
    </row>
    <row r="33" spans="1:256">
      <c r="A33" s="45"/>
      <c r="B33" s="1575"/>
      <c r="C33" s="2345" t="s">
        <v>1723</v>
      </c>
      <c r="D33" s="2346"/>
      <c r="E33" s="2347">
        <f ca="1">IF(Transfer!C160=-9999,(((Transfer!D295/Transfer!D159)/(Transfer!C295/Transfer!C159))-1)*100,(((Transfer!D295/Transfer!D160)/(Transfer!C295/Transfer!C160))-1)*100)</f>
        <v>0.20914322403791097</v>
      </c>
      <c r="F33" s="2348">
        <f ca="1">IF(Transfer!D160=-9999,(((Transfer!E295/Transfer!E159)/(Transfer!D295/Transfer!D159))-1)*100,(((Transfer!E295/Transfer!E160)/(Transfer!D295/Transfer!D160))-1)*100)</f>
        <v>0.27434467774294369</v>
      </c>
      <c r="G33" s="2347">
        <f ca="1">IF(Transfer!E160=-9999,(((Transfer!F295/Transfer!F159)/(Transfer!E295/Transfer!E159))-1)*100,(((Transfer!F295/Transfer!F160)/(Transfer!E295/Transfer!E160))-1)*100)</f>
        <v>0.55925414735198409</v>
      </c>
      <c r="H33" s="2349">
        <f ca="1">IF(Transfer!F160=-9999,(((Transfer!G295/Transfer!G159)/(Transfer!F295/Transfer!F159))-1)*100,(((Transfer!G295/Transfer!G160)/(Transfer!F295/Transfer!F160))-1)*100)</f>
        <v>0.67889984217588406</v>
      </c>
      <c r="I33" s="2332"/>
      <c r="J33" s="53"/>
      <c r="K33" s="53"/>
      <c r="L33" s="53"/>
      <c r="M33" s="53"/>
      <c r="N33" s="53"/>
      <c r="O33" s="54"/>
      <c r="P33" s="54"/>
      <c r="Q33" s="54"/>
      <c r="R33" s="54"/>
      <c r="S33" s="1575"/>
      <c r="T33" s="1576" t="s">
        <v>1723</v>
      </c>
      <c r="U33" s="2313"/>
      <c r="V33" s="2336">
        <f t="shared" ref="V33:Y35" ca="1" si="1">ROUND(E33,1)-ROUND(AM33,1)</f>
        <v>0</v>
      </c>
      <c r="W33" s="2336">
        <f t="shared" ca="1" si="1"/>
        <v>0</v>
      </c>
      <c r="X33" s="2336">
        <f t="shared" ca="1" si="1"/>
        <v>0</v>
      </c>
      <c r="Y33" s="2338">
        <f t="shared" ca="1" si="1"/>
        <v>0</v>
      </c>
      <c r="Z33" s="2332"/>
      <c r="AA33" s="54"/>
      <c r="AB33" s="54"/>
      <c r="AC33" s="54"/>
      <c r="AD33" s="54"/>
      <c r="AE33" s="54"/>
      <c r="AF33" s="54"/>
      <c r="AG33" s="54"/>
      <c r="AH33" s="54"/>
      <c r="AI33" s="45"/>
      <c r="AJ33" s="60"/>
      <c r="AK33" s="2021" t="s">
        <v>1723</v>
      </c>
      <c r="AL33" s="2022"/>
      <c r="AM33" s="2023">
        <f>IF(Transfer!AC160=-9999,(((Transfer!AD295/Transfer!AD159)/(Transfer!AC295/Transfer!AC159))-1)*100,(((Transfer!AD295/Transfer!AD160)/(Transfer!AC295/Transfer!AC160))-1)*100)</f>
        <v>0.20914322403791097</v>
      </c>
      <c r="AN33" s="2024">
        <f>IF(Transfer!AD160=-9999,(((Transfer!AE295/Transfer!AE159)/(Transfer!AD295/Transfer!AD159))-1)*100,(((Transfer!AE295/Transfer!AE160)/(Transfer!AD295/Transfer!AD160))-1)*100)</f>
        <v>0.27434467774294369</v>
      </c>
      <c r="AO33" s="2023">
        <f>IF(Transfer!AE160=-9999,(((Transfer!AF295/Transfer!AF159)/(Transfer!AE295/Transfer!AE159))-1)*100,(((Transfer!AF295/Transfer!AF160)/(Transfer!AE295/Transfer!AE160))-1)*100)</f>
        <v>0.56286462244885538</v>
      </c>
      <c r="AP33" s="2025">
        <f>IF(Transfer!AF160=-9999,(((Transfer!AG295/Transfer!AG159)/(Transfer!AF295/Transfer!AF159))-1)*100,(((Transfer!AG295/Transfer!AG160)/(Transfer!AF295/Transfer!AF160))-1)*100)</f>
        <v>0.69029476630875219</v>
      </c>
      <c r="AQ33" s="85"/>
      <c r="AR33" s="53"/>
      <c r="AS33" s="53"/>
      <c r="AT33" s="53"/>
      <c r="AU33" s="53"/>
      <c r="AV33" s="53"/>
      <c r="AW33" s="54"/>
      <c r="AX33" s="54"/>
      <c r="AY33" s="54"/>
      <c r="AZ33" s="54"/>
      <c r="BA33" s="1583" t="s">
        <v>306</v>
      </c>
      <c r="BB33" s="1612"/>
      <c r="BC33" s="54"/>
    </row>
    <row r="34" spans="1:256">
      <c r="A34" s="45"/>
      <c r="B34" s="1575"/>
      <c r="C34" s="1576" t="s">
        <v>1954</v>
      </c>
      <c r="D34" s="2311"/>
      <c r="E34" s="1578">
        <f ca="1">IF(Transfer!C164=-9999,(((Transfer!D161/Transfer!D163)/(Transfer!C161/Transfer!C163))-1)*100,(((Transfer!D161/Transfer!D164)/(Transfer!C161/Transfer!C164))-1)*100)</f>
        <v>9.8952004584407227E-2</v>
      </c>
      <c r="F34" s="2351">
        <f ca="1">IF(Transfer!D164=-9999,(((Transfer!E161/Transfer!E163)/(Transfer!D161/Transfer!D163))-1)*100,(((Transfer!E161/Transfer!E164)/(Transfer!D161/Transfer!D164))-1)*100)</f>
        <v>1.7200583191249397</v>
      </c>
      <c r="G34" s="1578">
        <f ca="1">IF(Transfer!E164=-9999,(((Transfer!F161/Transfer!F163)/(Transfer!E161/Transfer!E163))-1)*100,(((Transfer!F161/Transfer!F164)/(Transfer!E161/Transfer!E164))-1)*100)</f>
        <v>2.040957093034379</v>
      </c>
      <c r="H34" s="1579">
        <f ca="1">IF(Transfer!F164=-9999,(((Transfer!G161/Transfer!G163)/(Transfer!F161/Transfer!F163))-1)*100,(((Transfer!G161/Transfer!G164)/(Transfer!F161/Transfer!F164))-1)*100)</f>
        <v>2.1853054733223409</v>
      </c>
      <c r="I34" s="2308"/>
      <c r="J34" s="53"/>
      <c r="K34" s="53"/>
      <c r="L34" s="53"/>
      <c r="M34" s="53"/>
      <c r="N34" s="53"/>
      <c r="O34" s="54"/>
      <c r="P34" s="54"/>
      <c r="Q34" s="54"/>
      <c r="R34" s="54"/>
      <c r="S34" s="1575"/>
      <c r="T34" s="1576" t="s">
        <v>1954</v>
      </c>
      <c r="U34" s="2311"/>
      <c r="V34" s="2336">
        <f t="shared" ca="1" si="1"/>
        <v>0</v>
      </c>
      <c r="W34" s="2336">
        <f t="shared" ca="1" si="1"/>
        <v>0</v>
      </c>
      <c r="X34" s="2336">
        <f t="shared" ca="1" si="1"/>
        <v>0</v>
      </c>
      <c r="Y34" s="2338">
        <f t="shared" ca="1" si="1"/>
        <v>0</v>
      </c>
      <c r="Z34" s="2308"/>
      <c r="AA34" s="54"/>
      <c r="AB34" s="54"/>
      <c r="AC34" s="54"/>
      <c r="AD34" s="54"/>
      <c r="AE34" s="54"/>
      <c r="AF34" s="54"/>
      <c r="AG34" s="54"/>
      <c r="AH34" s="54"/>
      <c r="AI34" s="45"/>
      <c r="AJ34" s="60"/>
      <c r="AK34" s="101" t="s">
        <v>1954</v>
      </c>
      <c r="AL34" s="65"/>
      <c r="AM34" s="1890">
        <f>IF(Transfer!AC164=-9999,(((Transfer!AD161/Transfer!AD163)/(Transfer!AC161/Transfer!AC163))-1)*100,(((Transfer!AD161/Transfer!AD164)/(Transfer!AC161/Transfer!AC164))-1)*100)</f>
        <v>9.8952004584407227E-2</v>
      </c>
      <c r="AN34" s="176">
        <f>IF(Transfer!AD164=-9999,(((Transfer!AE161/Transfer!AE163)/(Transfer!AD161/Transfer!AD163))-1)*100,(((Transfer!AE161/Transfer!AE164)/(Transfer!AD161/Transfer!AD164))-1)*100)</f>
        <v>1.7200583191249397</v>
      </c>
      <c r="AO34" s="1890">
        <f>IF(Transfer!AE164=-9999,(((Transfer!AF161/Transfer!AF163)/(Transfer!AE161/Transfer!AE163))-1)*100,(((Transfer!AF161/Transfer!AF164)/(Transfer!AE161/Transfer!AE164))-1)*100)</f>
        <v>2.0406157346410714</v>
      </c>
      <c r="AP34" s="1891">
        <f>IF(Transfer!AF164=-9999,(((Transfer!AG161/Transfer!AG163)/(Transfer!AF161/Transfer!AF163))-1)*100,(((Transfer!AG161/Transfer!AG164)/(Transfer!AF161/Transfer!AF164))-1)*100)</f>
        <v>2.1853208798504609</v>
      </c>
      <c r="AQ34" s="106"/>
      <c r="AR34" s="53"/>
      <c r="AS34" s="53"/>
      <c r="AT34" s="53"/>
      <c r="AU34" s="53"/>
      <c r="AV34" s="53"/>
      <c r="AW34" s="54"/>
      <c r="AX34" s="54"/>
      <c r="AY34" s="54"/>
      <c r="AZ34" s="54"/>
      <c r="BA34" s="1583" t="s">
        <v>307</v>
      </c>
      <c r="BB34" s="1612"/>
      <c r="BC34" s="54"/>
    </row>
    <row r="35" spans="1:256">
      <c r="A35" s="45"/>
      <c r="B35" s="1575"/>
      <c r="C35" s="2345" t="s">
        <v>1604</v>
      </c>
      <c r="D35" s="2346"/>
      <c r="E35" s="2347">
        <f ca="1">IF(Transfer!C164=-9999,((((Transfer!D161/Transfer!D163)/(Transfer!D301/Transfer!D159))/((Transfer!C161/Transfer!C163)/(Transfer!C301/Transfer!C159)))-1)*100,((((Transfer!D161/Transfer!D164)/(Transfer!D301/Transfer!D159))/((Transfer!C161/Transfer!C164)/(Transfer!C301/Transfer!C159)))-1)*100)</f>
        <v>0.13952906061822645</v>
      </c>
      <c r="F35" s="2348">
        <f ca="1">IF(Transfer!D164=-9999,((((Transfer!E161/Transfer!E163)/(Transfer!E301/Transfer!E159))/((Transfer!D161/Transfer!D163)/(Transfer!D301/Transfer!D159)))-1)*100,((((Transfer!E161/Transfer!E164)/(Transfer!E301/Transfer!E159))/((Transfer!D161/Transfer!D164)/(Transfer!D301/Transfer!D159)))-1)*100)</f>
        <v>1.4766209640411754</v>
      </c>
      <c r="G35" s="2347">
        <f ca="1">IF(Transfer!E164=-9999,((((Transfer!F161/Transfer!F163)/(Transfer!F301/Transfer!F159))/((Transfer!E161/Transfer!E163)/(Transfer!E301/Transfer!E159)))-1)*100,((((Transfer!F161/Transfer!F164)/(Transfer!F301/Transfer!F159))/((Transfer!E161/Transfer!E164)/(Transfer!E301/Transfer!E159)))-1)*100)</f>
        <v>1.4225320139528375</v>
      </c>
      <c r="H35" s="2349">
        <f ca="1">IF(Transfer!F164=-9999,((((Transfer!G161/Transfer!G163)/(Transfer!G301/Transfer!G159))/((Transfer!F161/Transfer!F163)/(Transfer!F301/Transfer!F159)))-1)*100,((((Transfer!G161/Transfer!G164)/(Transfer!G301/Transfer!G159))/((Transfer!F161/Transfer!F164)/(Transfer!F301/Transfer!F159)))-1)*100)</f>
        <v>1.5129856401251418</v>
      </c>
      <c r="I35" s="2328"/>
      <c r="J35" s="53"/>
      <c r="K35" s="53"/>
      <c r="L35" s="53"/>
      <c r="M35" s="53"/>
      <c r="N35" s="53"/>
      <c r="O35" s="54"/>
      <c r="P35" s="54"/>
      <c r="Q35" s="54"/>
      <c r="R35" s="54"/>
      <c r="S35" s="1575"/>
      <c r="T35" s="1576" t="s">
        <v>1604</v>
      </c>
      <c r="U35" s="2311"/>
      <c r="V35" s="2336">
        <f t="shared" ca="1" si="1"/>
        <v>0</v>
      </c>
      <c r="W35" s="2336">
        <f t="shared" ca="1" si="1"/>
        <v>0</v>
      </c>
      <c r="X35" s="2336">
        <f t="shared" ca="1" si="1"/>
        <v>-0.10000000000000009</v>
      </c>
      <c r="Y35" s="2338">
        <f t="shared" ca="1" si="1"/>
        <v>0</v>
      </c>
      <c r="Z35" s="2328"/>
      <c r="AA35" s="54"/>
      <c r="AB35" s="54"/>
      <c r="AC35" s="54"/>
      <c r="AD35" s="54"/>
      <c r="AE35" s="54"/>
      <c r="AF35" s="54"/>
      <c r="AG35" s="54"/>
      <c r="AH35" s="54"/>
      <c r="AI35" s="45"/>
      <c r="AJ35" s="60"/>
      <c r="AK35" s="2021" t="s">
        <v>1604</v>
      </c>
      <c r="AL35" s="2022"/>
      <c r="AM35" s="2023">
        <f>IF(Transfer!AC164=-9999,((((Transfer!AD161/Transfer!AD163)/(Transfer!AD301/Transfer!AD159))/((Transfer!AC161/Transfer!AC163)/(Transfer!AC301/Transfer!AC159)))-1)*100,((((Transfer!AD161/Transfer!AD164)/(Transfer!AD301/Transfer!AD159))/((Transfer!AC161/Transfer!AC164)/(Transfer!AC301/Transfer!AC159)))-1)*100)</f>
        <v>0.13952906061822645</v>
      </c>
      <c r="AN35" s="2024">
        <f>IF(Transfer!AD164=-9999,((((Transfer!AE161/Transfer!AE163)/(Transfer!AE301/Transfer!AE159))/((Transfer!AD161/Transfer!AD163)/(Transfer!AD301/Transfer!AD159)))-1)*100,((((Transfer!AE161/Transfer!AE164)/(Transfer!AE301/Transfer!AE159))/((Transfer!AD161/Transfer!AD164)/(Transfer!AD301/Transfer!AD159)))-1)*100)</f>
        <v>1.4766209640411754</v>
      </c>
      <c r="AO35" s="2023">
        <f>IF(Transfer!AE164=-9999,((((Transfer!AF161/Transfer!AF163)/(Transfer!AF301/Transfer!AF159))/((Transfer!AE161/Transfer!AE163)/(Transfer!AE301/Transfer!AE159)))-1)*100,((((Transfer!AF161/Transfer!AF164)/(Transfer!AF301/Transfer!AF159))/((Transfer!AE161/Transfer!AE164)/(Transfer!AE301/Transfer!AE159)))-1)*100)</f>
        <v>1.4823707668228492</v>
      </c>
      <c r="AP35" s="2025">
        <f>IF(Transfer!AF164=-9999,((((Transfer!AG161/Transfer!AG163)/(Transfer!AG301/Transfer!AG159))/((Transfer!AF161/Transfer!AF163)/(Transfer!AF301/Transfer!AF159)))-1)*100,((((Transfer!AG161/Transfer!AG164)/(Transfer!AG301/Transfer!AG159))/((Transfer!AF161/Transfer!AF164)/(Transfer!AF301/Transfer!AF159)))-1)*100)</f>
        <v>1.5488725100705203</v>
      </c>
      <c r="AQ35" s="82"/>
      <c r="AR35" s="53"/>
      <c r="AS35" s="53"/>
      <c r="AT35" s="53"/>
      <c r="AU35" s="53"/>
      <c r="AV35" s="53"/>
      <c r="AW35" s="54"/>
      <c r="AX35" s="54"/>
      <c r="AY35" s="54"/>
      <c r="AZ35" s="54"/>
      <c r="BA35" s="1583" t="s">
        <v>953</v>
      </c>
      <c r="BB35" s="1612"/>
      <c r="BC35" s="54"/>
    </row>
    <row r="36" spans="1:256">
      <c r="A36" s="45"/>
      <c r="B36" s="1575"/>
      <c r="C36" s="1576" t="s">
        <v>1605</v>
      </c>
      <c r="D36" s="2311"/>
      <c r="E36" s="2353"/>
      <c r="F36" s="2353"/>
      <c r="G36" s="2353"/>
      <c r="H36" s="2338"/>
      <c r="I36" s="2328"/>
      <c r="J36" s="53"/>
      <c r="K36" s="53"/>
      <c r="L36" s="53"/>
      <c r="M36" s="53"/>
      <c r="N36" s="53"/>
      <c r="O36" s="54"/>
      <c r="P36" s="54"/>
      <c r="Q36" s="54"/>
      <c r="R36" s="54"/>
      <c r="S36" s="1575"/>
      <c r="T36" s="1576" t="s">
        <v>1605</v>
      </c>
      <c r="U36" s="2311"/>
      <c r="V36" s="2353"/>
      <c r="W36" s="2353"/>
      <c r="X36" s="2353"/>
      <c r="Y36" s="2338"/>
      <c r="Z36" s="2328"/>
      <c r="AA36" s="54"/>
      <c r="AB36" s="54"/>
      <c r="AC36" s="54"/>
      <c r="AD36" s="54"/>
      <c r="AE36" s="54"/>
      <c r="AF36" s="54"/>
      <c r="AG36" s="54"/>
      <c r="AH36" s="54"/>
      <c r="AI36" s="45"/>
      <c r="AJ36" s="60"/>
      <c r="AK36" s="101" t="s">
        <v>1605</v>
      </c>
      <c r="AL36" s="49"/>
      <c r="AM36" s="107"/>
      <c r="AN36" s="107"/>
      <c r="AO36" s="107"/>
      <c r="AP36" s="93"/>
      <c r="AQ36" s="82"/>
      <c r="AR36" s="53"/>
      <c r="AS36" s="53"/>
      <c r="AT36" s="53"/>
      <c r="AU36" s="53"/>
      <c r="AV36" s="53"/>
      <c r="AW36" s="54"/>
      <c r="AX36" s="54"/>
      <c r="AY36" s="54"/>
      <c r="AZ36" s="54"/>
      <c r="BA36" s="1583" t="s">
        <v>954</v>
      </c>
      <c r="BB36" s="1612"/>
      <c r="BC36" s="54"/>
    </row>
    <row r="37" spans="1:256">
      <c r="A37" s="45"/>
      <c r="B37" s="1575"/>
      <c r="C37" s="1576" t="s">
        <v>1606</v>
      </c>
      <c r="D37" s="2311"/>
      <c r="E37" s="2353">
        <f ca="1">(((Transfer!D154/Transfer!C154))-1)*100</f>
        <v>1.7700147501232166</v>
      </c>
      <c r="F37" s="2353">
        <f ca="1">(((Transfer!E154/Transfer!D154))-1)*100</f>
        <v>2.2239872915008618</v>
      </c>
      <c r="G37" s="2353">
        <f ca="1">(((Transfer!F154/Transfer!E154))-1)*100</f>
        <v>1.5704560715091631</v>
      </c>
      <c r="H37" s="2338">
        <f ca="1">(((Transfer!G154/Transfer!F154))-1)*100</f>
        <v>1.6342607393390551</v>
      </c>
      <c r="I37" s="2328"/>
      <c r="J37" s="53"/>
      <c r="K37" s="53"/>
      <c r="L37" s="53"/>
      <c r="M37" s="53"/>
      <c r="N37" s="53"/>
      <c r="O37" s="54"/>
      <c r="P37" s="54"/>
      <c r="Q37" s="54"/>
      <c r="R37" s="54"/>
      <c r="S37" s="1575"/>
      <c r="T37" s="1576" t="s">
        <v>1606</v>
      </c>
      <c r="U37" s="2311"/>
      <c r="V37" s="2336">
        <f t="shared" ref="V37:Y38" ca="1" si="2">ROUND(E37,1)-ROUND(AM37,1)</f>
        <v>0</v>
      </c>
      <c r="W37" s="2336">
        <f t="shared" ca="1" si="2"/>
        <v>0</v>
      </c>
      <c r="X37" s="2336">
        <f t="shared" ca="1" si="2"/>
        <v>0</v>
      </c>
      <c r="Y37" s="2338">
        <f t="shared" ca="1" si="2"/>
        <v>0</v>
      </c>
      <c r="Z37" s="2328"/>
      <c r="AA37" s="54"/>
      <c r="AB37" s="54"/>
      <c r="AC37" s="54"/>
      <c r="AD37" s="54"/>
      <c r="AE37" s="54"/>
      <c r="AF37" s="54"/>
      <c r="AG37" s="54"/>
      <c r="AH37" s="54"/>
      <c r="AI37" s="45"/>
      <c r="AJ37" s="60"/>
      <c r="AK37" s="101" t="s">
        <v>1606</v>
      </c>
      <c r="AL37" s="49"/>
      <c r="AM37" s="107">
        <f>(((Transfer!AD154/Transfer!AC154))-1)*100</f>
        <v>1.7700147501232166</v>
      </c>
      <c r="AN37" s="107">
        <f>(((Transfer!AE154/Transfer!AD154))-1)*100</f>
        <v>2.2239872915008618</v>
      </c>
      <c r="AO37" s="107">
        <f>(((Transfer!AF154/Transfer!AE154))-1)*100</f>
        <v>1.5704560715091631</v>
      </c>
      <c r="AP37" s="93">
        <f>(((Transfer!AG154/Transfer!AF154))-1)*100</f>
        <v>1.6342607393390551</v>
      </c>
      <c r="AQ37" s="82"/>
      <c r="AR37" s="53"/>
      <c r="AS37" s="53"/>
      <c r="AT37" s="53"/>
      <c r="AU37" s="53"/>
      <c r="AV37" s="53"/>
      <c r="AW37" s="54"/>
      <c r="AX37" s="54"/>
      <c r="AY37" s="54"/>
      <c r="AZ37" s="54"/>
      <c r="BA37" s="1583" t="s">
        <v>1607</v>
      </c>
      <c r="BB37" s="1612"/>
      <c r="BC37" s="54"/>
    </row>
    <row r="38" spans="1:256">
      <c r="A38" s="45"/>
      <c r="B38" s="1575"/>
      <c r="C38" s="2339" t="s">
        <v>1608</v>
      </c>
      <c r="D38" s="2340"/>
      <c r="E38" s="2341">
        <f ca="1">(((Transfer!D155/Transfer!C155))-1)*100</f>
        <v>1.9738526465317152</v>
      </c>
      <c r="F38" s="2342">
        <f ca="1">(((Transfer!E155/Transfer!D155))-1)*100</f>
        <v>2.1259708600260829</v>
      </c>
      <c r="G38" s="2341">
        <f ca="1">(((Transfer!F155/Transfer!E155))-1)*100</f>
        <v>1.5704560715091631</v>
      </c>
      <c r="H38" s="2343">
        <f ca="1">(((Transfer!G155/Transfer!F155))-1)*100</f>
        <v>1.6342607393390551</v>
      </c>
      <c r="I38" s="2328"/>
      <c r="J38" s="53"/>
      <c r="K38" s="53"/>
      <c r="L38" s="53"/>
      <c r="M38" s="53"/>
      <c r="N38" s="53"/>
      <c r="O38" s="54"/>
      <c r="P38" s="54"/>
      <c r="Q38" s="54"/>
      <c r="R38" s="54"/>
      <c r="S38" s="1575"/>
      <c r="T38" s="2339" t="s">
        <v>1608</v>
      </c>
      <c r="U38" s="2340"/>
      <c r="V38" s="2336">
        <f t="shared" ca="1" si="2"/>
        <v>0</v>
      </c>
      <c r="W38" s="2336">
        <f t="shared" ca="1" si="2"/>
        <v>0</v>
      </c>
      <c r="X38" s="2336">
        <f t="shared" ca="1" si="2"/>
        <v>0</v>
      </c>
      <c r="Y38" s="2338">
        <f t="shared" ca="1" si="2"/>
        <v>0</v>
      </c>
      <c r="Z38" s="2328"/>
      <c r="AA38" s="54"/>
      <c r="AB38" s="54"/>
      <c r="AC38" s="54"/>
      <c r="AD38" s="54"/>
      <c r="AE38" s="54"/>
      <c r="AF38" s="54"/>
      <c r="AG38" s="54"/>
      <c r="AH38" s="54"/>
      <c r="AI38" s="45"/>
      <c r="AJ38" s="60"/>
      <c r="AK38" s="94" t="s">
        <v>1608</v>
      </c>
      <c r="AL38" s="95"/>
      <c r="AM38" s="96">
        <f>(((Transfer!AD155/Transfer!AC155))-1)*100</f>
        <v>1.9738526465317152</v>
      </c>
      <c r="AN38" s="97">
        <f>(((Transfer!AE155/Transfer!AD155))-1)*100</f>
        <v>2.1259708600260829</v>
      </c>
      <c r="AO38" s="96">
        <f>(((Transfer!AF155/Transfer!AE155))-1)*100</f>
        <v>1.5704560715091631</v>
      </c>
      <c r="AP38" s="98">
        <f>(((Transfer!AG155/Transfer!AF155))-1)*100</f>
        <v>1.6342607393390551</v>
      </c>
      <c r="AQ38" s="82"/>
      <c r="AR38" s="53"/>
      <c r="AS38" s="53"/>
      <c r="AT38" s="53"/>
      <c r="AU38" s="53"/>
      <c r="AV38" s="53"/>
      <c r="AW38" s="54"/>
      <c r="AX38" s="54"/>
      <c r="AY38" s="54"/>
      <c r="AZ38" s="54"/>
      <c r="BA38" s="1583" t="s">
        <v>2118</v>
      </c>
      <c r="BB38" s="1612"/>
      <c r="BC38" s="54"/>
    </row>
    <row r="39" spans="1:256">
      <c r="A39" s="45"/>
      <c r="B39" s="1575"/>
      <c r="C39" s="1576"/>
      <c r="D39" s="2311"/>
      <c r="E39" s="4167" t="s">
        <v>594</v>
      </c>
      <c r="F39" s="4168"/>
      <c r="G39" s="4168"/>
      <c r="H39" s="4169"/>
      <c r="I39" s="2328"/>
      <c r="J39" s="53"/>
      <c r="K39" s="53"/>
      <c r="L39" s="53"/>
      <c r="M39" s="53"/>
      <c r="N39" s="53"/>
      <c r="O39" s="54"/>
      <c r="P39" s="54"/>
      <c r="Q39" s="54"/>
      <c r="R39" s="54"/>
      <c r="S39" s="1575"/>
      <c r="T39" s="1576"/>
      <c r="U39" s="2311"/>
      <c r="V39" s="4167" t="s">
        <v>594</v>
      </c>
      <c r="W39" s="4168"/>
      <c r="X39" s="4168"/>
      <c r="Y39" s="4169"/>
      <c r="Z39" s="2328"/>
      <c r="AA39" s="54"/>
      <c r="AB39" s="54"/>
      <c r="AC39" s="54"/>
      <c r="AD39" s="54"/>
      <c r="AE39" s="54"/>
      <c r="AF39" s="54"/>
      <c r="AG39" s="54"/>
      <c r="AH39" s="54"/>
      <c r="AI39" s="45"/>
      <c r="AJ39" s="60"/>
      <c r="AK39" s="40"/>
      <c r="AL39" s="49"/>
      <c r="AM39" s="4170" t="s">
        <v>594</v>
      </c>
      <c r="AN39" s="4171"/>
      <c r="AO39" s="4171"/>
      <c r="AP39" s="4172"/>
      <c r="AQ39" s="82"/>
      <c r="AR39" s="53"/>
      <c r="AS39" s="53"/>
      <c r="AT39" s="53"/>
      <c r="AU39" s="53"/>
      <c r="AV39" s="53"/>
      <c r="AW39" s="54"/>
      <c r="AX39" s="54"/>
      <c r="AY39" s="54"/>
      <c r="AZ39" s="54"/>
      <c r="BA39" s="1903"/>
      <c r="BB39" s="1612"/>
      <c r="BC39" s="54"/>
    </row>
    <row r="40" spans="1:256">
      <c r="A40" s="108"/>
      <c r="B40" s="1575"/>
      <c r="C40" s="2344" t="s">
        <v>595</v>
      </c>
      <c r="D40" s="2303"/>
      <c r="E40" s="2336">
        <f ca="1">(((Transfer!D143+Transfer!D144+Transfer!D240+Transfer!D241) - (Transfer!D145+Transfer!D146)) / Transfer!D147)*100</f>
        <v>9.644286563900456E-2</v>
      </c>
      <c r="F40" s="2337">
        <f ca="1">(((Transfer!E143+Transfer!E144+Transfer!E240+Transfer!E241) - (Transfer!E145+Transfer!E146)) / Transfer!E147)*100</f>
        <v>0.63899302455528573</v>
      </c>
      <c r="G40" s="2336">
        <f ca="1">(((Transfer!F143+Transfer!F144+Transfer!F240+Transfer!F241) - (Transfer!F145+Transfer!F146)) / Transfer!F147)*100</f>
        <v>0.51231469886574721</v>
      </c>
      <c r="H40" s="2338">
        <f ca="1">(((Transfer!G143+Transfer!G144+Transfer!G240+Transfer!G241) - (Transfer!G145+Transfer!G146)) / Transfer!G147)*100</f>
        <v>0.64596410225683465</v>
      </c>
      <c r="I40" s="2354"/>
      <c r="J40" s="108"/>
      <c r="K40" s="53"/>
      <c r="L40" s="53"/>
      <c r="M40" s="53"/>
      <c r="N40" s="53"/>
      <c r="O40" s="54"/>
      <c r="P40" s="54"/>
      <c r="Q40" s="54"/>
      <c r="R40" s="54"/>
      <c r="S40" s="1575"/>
      <c r="T40" s="2344" t="s">
        <v>595</v>
      </c>
      <c r="U40" s="2303"/>
      <c r="V40" s="2336">
        <f t="shared" ref="V40:Y41" ca="1" si="3">ROUND(E40,1)-ROUND(AM40,1)</f>
        <v>0</v>
      </c>
      <c r="W40" s="2336">
        <f t="shared" ca="1" si="3"/>
        <v>0</v>
      </c>
      <c r="X40" s="2336">
        <f t="shared" ca="1" si="3"/>
        <v>-9.9999999999999978E-2</v>
      </c>
      <c r="Y40" s="2327">
        <f t="shared" ca="1" si="3"/>
        <v>-0.20000000000000007</v>
      </c>
      <c r="Z40" s="2328"/>
      <c r="AA40" s="54"/>
      <c r="AB40" s="54"/>
      <c r="AC40" s="54"/>
      <c r="AD40" s="54"/>
      <c r="AE40" s="54"/>
      <c r="AF40" s="54"/>
      <c r="AG40" s="54"/>
      <c r="AH40" s="54"/>
      <c r="AI40" s="108"/>
      <c r="AJ40" s="60"/>
      <c r="AK40" s="99" t="s">
        <v>595</v>
      </c>
      <c r="AL40" s="100"/>
      <c r="AM40" s="91">
        <f>(((Transfer!AD143+Transfer!AD144+Transfer!AD240+Transfer!AD241) - (Transfer!AD145+Transfer!AD146)) / Transfer!AD147)*100</f>
        <v>9.644286563900456E-2</v>
      </c>
      <c r="AN40" s="92">
        <f>(((Transfer!AE143+Transfer!AE144+Transfer!AE240+Transfer!AE241) - (Transfer!AE145+Transfer!AE146)) / Transfer!AE147)*100</f>
        <v>0.63899302455528573</v>
      </c>
      <c r="AO40" s="91">
        <f>(((Transfer!AF143+Transfer!AF144+Transfer!AF240+Transfer!AF241) - (Transfer!AF145+Transfer!AF146)) / Transfer!AF147)*100</f>
        <v>0.55696490197250315</v>
      </c>
      <c r="AP40" s="93">
        <f>(((Transfer!AG143+Transfer!AG144+Transfer!AG240+Transfer!AG241) - (Transfer!AG145+Transfer!AG146)) / Transfer!AG147)*100</f>
        <v>0.77681301368117728</v>
      </c>
      <c r="AQ40" s="243"/>
      <c r="AR40" s="108"/>
      <c r="AS40" s="53"/>
      <c r="AT40" s="53"/>
      <c r="AU40" s="53"/>
      <c r="AV40" s="53"/>
      <c r="AW40" s="54"/>
      <c r="AX40" s="54"/>
      <c r="AY40" s="54"/>
      <c r="AZ40" s="54"/>
      <c r="BA40" s="1583" t="s">
        <v>1576</v>
      </c>
      <c r="BB40" s="1612"/>
      <c r="BC40" s="54"/>
    </row>
    <row r="41" spans="1:256" s="45" customFormat="1">
      <c r="A41" s="108"/>
      <c r="B41" s="1575"/>
      <c r="C41" s="1576" t="s">
        <v>813</v>
      </c>
      <c r="D41" s="1577"/>
      <c r="E41" s="1578">
        <f ca="1">(((Transfer!D187+Transfer!D189+Transfer!D190+Transfer!D191+Transfer!D194+Transfer!D200+Transfer!D201+Transfer!D205+Transfer!D206)-(Transfer!D192+Transfer!D193+Transfer!D195+Transfer!D196+Transfer!D197+Transfer!D202+Transfer!D203+Transfer!D207+Transfer!D208+Transfer!D209+Transfer!D210))/Transfer!D147)*100</f>
        <v>2.6968781822599888</v>
      </c>
      <c r="F41" s="1578">
        <f ca="1">(((Transfer!E187+Transfer!E189+Transfer!E190+Transfer!E191+Transfer!E194+Transfer!E200+Transfer!E201+Transfer!E205+Transfer!E206)-(Transfer!E192+Transfer!E193+Transfer!E195+Transfer!E196+Transfer!E197+Transfer!E202+Transfer!E203+Transfer!E207+Transfer!E208+Transfer!E209+Transfer!E210))/Transfer!E147)*100</f>
        <v>1.7186143264856588</v>
      </c>
      <c r="G41" s="1578">
        <f ca="1">(((Transfer!F187+Transfer!F189+Transfer!F190+Transfer!F191+Transfer!F194+Transfer!F200+Transfer!F201+Transfer!F205+Transfer!F206)-(Transfer!F192+Transfer!F193+Transfer!F195+Transfer!F196+Transfer!F197+Transfer!F202+Transfer!F203+Transfer!F207+Transfer!F208+Transfer!F209+Transfer!F210))/Transfer!F147)*100</f>
        <v>1.837188674166738</v>
      </c>
      <c r="H41" s="1579">
        <f ca="1">(((Transfer!G187+Transfer!G189+Transfer!G190+Transfer!G191+Transfer!G194+Transfer!G200+Transfer!G201+Transfer!G205+Transfer!G206)-(Transfer!G192+Transfer!G193+Transfer!G195+Transfer!G196+Transfer!G197+Transfer!G202+Transfer!G203+Transfer!G207+Transfer!G208+Transfer!G209+Transfer!G210))/Transfer!G147)*100</f>
        <v>2.2318218769817864</v>
      </c>
      <c r="I41" s="2328"/>
      <c r="J41" s="108"/>
      <c r="K41" s="53"/>
      <c r="L41" s="53"/>
      <c r="M41" s="53"/>
      <c r="N41" s="53"/>
      <c r="O41" s="54"/>
      <c r="P41" s="54"/>
      <c r="Q41" s="54"/>
      <c r="R41" s="54"/>
      <c r="S41" s="1575"/>
      <c r="T41" s="1576" t="s">
        <v>813</v>
      </c>
      <c r="U41" s="1577"/>
      <c r="V41" s="2336">
        <f t="shared" ca="1" si="3"/>
        <v>0</v>
      </c>
      <c r="W41" s="2336">
        <f t="shared" ca="1" si="3"/>
        <v>0</v>
      </c>
      <c r="X41" s="2336">
        <f t="shared" ca="1" si="3"/>
        <v>-9.9999999999999867E-2</v>
      </c>
      <c r="Y41" s="2338">
        <f t="shared" ca="1" si="3"/>
        <v>-0.19999999999999973</v>
      </c>
      <c r="Z41" s="2328"/>
      <c r="AA41" s="54"/>
      <c r="AB41" s="54"/>
      <c r="AC41" s="54"/>
      <c r="AD41" s="54"/>
      <c r="AE41" s="54"/>
      <c r="AF41" s="54"/>
      <c r="AG41" s="54"/>
      <c r="AH41" s="54"/>
      <c r="AI41" s="108"/>
      <c r="AJ41" s="1575"/>
      <c r="AK41" s="1576" t="s">
        <v>813</v>
      </c>
      <c r="AL41" s="1577"/>
      <c r="AM41" s="1578">
        <f>(((Transfer!AD187+Transfer!AD189+Transfer!AD190+Transfer!AD191+Transfer!AD194+Transfer!AD200+Transfer!AD201+Transfer!AD205+Transfer!AD206)-(Transfer!AD192+Transfer!AD193+Transfer!AD195+Transfer!AD196+Transfer!AD197+Transfer!AD202+Transfer!AD203+Transfer!AD207+Transfer!AD208+Transfer!AD209+Transfer!AD210))/Transfer!AD147)*100</f>
        <v>2.6968781822599888</v>
      </c>
      <c r="AN41" s="1578">
        <f>(((Transfer!AE187+Transfer!AE189+Transfer!AE190+Transfer!AE191+Transfer!AE194+Transfer!AE200+Transfer!AE201+Transfer!AE205+Transfer!AE206)-(Transfer!AE192+Transfer!AE193+Transfer!AE195+Transfer!AE196+Transfer!AE197+Transfer!AE202+Transfer!AE203+Transfer!AE207+Transfer!AE208+Transfer!AE209+Transfer!AE210))/Transfer!AE147)*100</f>
        <v>1.7186143264856588</v>
      </c>
      <c r="AO41" s="1578">
        <f>(((Transfer!AF187+Transfer!AF189+Transfer!AF190+Transfer!AF191+Transfer!AF194+Transfer!AF200+Transfer!AF201+Transfer!AF205+Transfer!AF206)-(Transfer!AF192+Transfer!AF193+Transfer!AF195+Transfer!AF196+Transfer!AF197+Transfer!AF202+Transfer!AF203+Transfer!AF207+Transfer!AF208+Transfer!AF209+Transfer!AF210))/Transfer!AF147)*100</f>
        <v>1.8973529262202526</v>
      </c>
      <c r="AP41" s="1579">
        <f>(((Transfer!AG187+Transfer!AG189+Transfer!AG190+Transfer!AG191+Transfer!AG194+Transfer!AG200+Transfer!AG201+Transfer!AG205+Transfer!AG206)-(Transfer!AG192+Transfer!AG193+Transfer!AG195+Transfer!AG196+Transfer!AG197+Transfer!AG202+Transfer!AG203+Transfer!AG207+Transfer!AG208+Transfer!AG209+Transfer!AG210))/Transfer!AG147)*100</f>
        <v>2.4314784783847241</v>
      </c>
      <c r="AQ41" s="82"/>
      <c r="AR41" s="108"/>
      <c r="AS41" s="53"/>
      <c r="AT41" s="53"/>
      <c r="AU41" s="53"/>
      <c r="AV41" s="53"/>
      <c r="AW41" s="54"/>
      <c r="AX41" s="54"/>
      <c r="AY41" s="54"/>
      <c r="AZ41" s="54"/>
      <c r="BA41" s="1583" t="s">
        <v>835</v>
      </c>
      <c r="BB41" s="1612"/>
      <c r="BC41" s="54"/>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row>
    <row r="42" spans="1:256">
      <c r="A42" s="108"/>
      <c r="B42" s="1575"/>
      <c r="C42" s="2333" t="s">
        <v>1634</v>
      </c>
      <c r="D42" s="1577"/>
      <c r="E42" s="2336"/>
      <c r="F42" s="2336"/>
      <c r="G42" s="2336"/>
      <c r="H42" s="2338"/>
      <c r="I42" s="2328"/>
      <c r="J42" s="108"/>
      <c r="K42" s="53"/>
      <c r="L42" s="53"/>
      <c r="M42" s="53"/>
      <c r="N42" s="53"/>
      <c r="O42" s="54"/>
      <c r="P42" s="54"/>
      <c r="Q42" s="54"/>
      <c r="R42" s="54"/>
      <c r="S42" s="1575"/>
      <c r="T42" s="2333" t="s">
        <v>1634</v>
      </c>
      <c r="U42" s="1577"/>
      <c r="V42" s="1916"/>
      <c r="W42" s="91"/>
      <c r="X42" s="91"/>
      <c r="Y42" s="93"/>
      <c r="Z42" s="82"/>
      <c r="AA42" s="54"/>
      <c r="AB42" s="54"/>
      <c r="AC42" s="54"/>
      <c r="AD42" s="54"/>
      <c r="AE42" s="54"/>
      <c r="AF42" s="54"/>
      <c r="AG42" s="54"/>
      <c r="AH42" s="54"/>
      <c r="AI42" s="108"/>
      <c r="AJ42" s="60"/>
      <c r="AK42" s="86" t="s">
        <v>1634</v>
      </c>
      <c r="AL42" s="44"/>
      <c r="AM42" s="91"/>
      <c r="AN42" s="91"/>
      <c r="AO42" s="91"/>
      <c r="AP42" s="93"/>
      <c r="AQ42" s="82"/>
      <c r="AR42" s="108"/>
      <c r="AS42" s="53"/>
      <c r="AT42" s="53"/>
      <c r="AU42" s="53"/>
      <c r="AV42" s="53"/>
      <c r="AW42" s="54"/>
      <c r="AX42" s="54"/>
      <c r="AY42" s="54"/>
      <c r="AZ42" s="54"/>
      <c r="BA42" s="1583"/>
      <c r="BB42" s="1612"/>
      <c r="BC42" s="54"/>
    </row>
    <row r="43" spans="1:256">
      <c r="A43" s="108"/>
      <c r="B43" s="1575"/>
      <c r="C43" s="1576" t="s">
        <v>1503</v>
      </c>
      <c r="D43" s="1577"/>
      <c r="E43" s="2336">
        <f ca="1">100*Transfer!D237/Transfer!D147</f>
        <v>-2.4801653900593945</v>
      </c>
      <c r="F43" s="2336">
        <f ca="1">100*Transfer!E237/Transfer!E147</f>
        <v>-1.031415926579863</v>
      </c>
      <c r="G43" s="2336">
        <f ca="1">100*Transfer!F237/Transfer!F147</f>
        <v>-1.0901745760132395</v>
      </c>
      <c r="H43" s="2338">
        <f ca="1">100*Transfer!G237/Transfer!G147</f>
        <v>-1.3391420342884948</v>
      </c>
      <c r="I43" s="2354"/>
      <c r="J43" s="108"/>
      <c r="K43" s="53"/>
      <c r="L43" s="53"/>
      <c r="M43" s="53"/>
      <c r="N43" s="53"/>
      <c r="O43" s="54"/>
      <c r="P43" s="54"/>
      <c r="Q43" s="54"/>
      <c r="R43" s="54"/>
      <c r="S43" s="60"/>
      <c r="T43" s="101" t="s">
        <v>1635</v>
      </c>
      <c r="U43" s="44"/>
      <c r="V43" s="91">
        <f ca="1">ROUND(E43,1)-ROUND(AM43,1)</f>
        <v>0</v>
      </c>
      <c r="W43" s="91">
        <f ca="1">ROUND(F43,1)-ROUND(AN43,1)</f>
        <v>0</v>
      </c>
      <c r="X43" s="91">
        <f ca="1">ROUND(G43,1)-ROUND(AO43,1)</f>
        <v>0</v>
      </c>
      <c r="Y43" s="93">
        <f ca="1">ROUND(H43,1)-ROUND(AP43,1)</f>
        <v>9.9999999999999867E-2</v>
      </c>
      <c r="Z43" s="82"/>
      <c r="AA43" s="54"/>
      <c r="AB43" s="54"/>
      <c r="AC43" s="54"/>
      <c r="AD43" s="54"/>
      <c r="AE43" s="54"/>
      <c r="AF43" s="54"/>
      <c r="AG43" s="54"/>
      <c r="AH43" s="54"/>
      <c r="AI43" s="108"/>
      <c r="AJ43" s="60"/>
      <c r="AK43" s="101" t="s">
        <v>1503</v>
      </c>
      <c r="AL43" s="44"/>
      <c r="AM43" s="91">
        <f>100*Transfer!AD237/Transfer!AD147</f>
        <v>-2.4801653900593945</v>
      </c>
      <c r="AN43" s="91">
        <f>100*Transfer!AE237/Transfer!AE147</f>
        <v>-1.031415926579863</v>
      </c>
      <c r="AO43" s="91">
        <f>100*Transfer!AF237/Transfer!AF147</f>
        <v>-1.1056886249600359</v>
      </c>
      <c r="AP43" s="93">
        <f>100*Transfer!AG237/Transfer!AG147</f>
        <v>-1.4079778033110699</v>
      </c>
      <c r="AQ43" s="243"/>
      <c r="AR43" s="108"/>
      <c r="AS43" s="53"/>
      <c r="AT43" s="53"/>
      <c r="AU43" s="53"/>
      <c r="AV43" s="53"/>
      <c r="AW43" s="54"/>
      <c r="AX43" s="54"/>
      <c r="AY43" s="54"/>
      <c r="AZ43" s="54"/>
      <c r="BA43" s="1583" t="s">
        <v>1151</v>
      </c>
      <c r="BB43" s="1612"/>
      <c r="BC43" s="54"/>
    </row>
    <row r="44" spans="1:256">
      <c r="A44" s="108"/>
      <c r="B44" s="1575"/>
      <c r="C44" s="1576" t="s">
        <v>1880</v>
      </c>
      <c r="D44" s="1577"/>
      <c r="E44" s="2353"/>
      <c r="F44" s="2353"/>
      <c r="G44" s="2353"/>
      <c r="H44" s="2338"/>
      <c r="I44" s="2328"/>
      <c r="J44" s="108"/>
      <c r="K44" s="53"/>
      <c r="L44" s="53"/>
      <c r="M44" s="53"/>
      <c r="N44" s="53"/>
      <c r="O44" s="54"/>
      <c r="P44" s="54"/>
      <c r="Q44" s="54"/>
      <c r="R44" s="54"/>
      <c r="S44" s="60"/>
      <c r="T44" s="101" t="s">
        <v>1880</v>
      </c>
      <c r="U44" s="44"/>
      <c r="V44" s="107"/>
      <c r="W44" s="107"/>
      <c r="X44" s="107"/>
      <c r="Y44" s="93"/>
      <c r="Z44" s="82"/>
      <c r="AA44" s="54"/>
      <c r="AB44" s="54"/>
      <c r="AC44" s="54"/>
      <c r="AD44" s="54"/>
      <c r="AE44" s="54"/>
      <c r="AF44" s="54"/>
      <c r="AG44" s="54"/>
      <c r="AH44" s="54"/>
      <c r="AI44" s="108"/>
      <c r="AJ44" s="60"/>
      <c r="AK44" s="101" t="s">
        <v>1880</v>
      </c>
      <c r="AL44" s="44"/>
      <c r="AM44" s="107"/>
      <c r="AN44" s="107"/>
      <c r="AO44" s="107"/>
      <c r="AP44" s="93"/>
      <c r="AQ44" s="82"/>
      <c r="AR44" s="108"/>
      <c r="AS44" s="53"/>
      <c r="AT44" s="53"/>
      <c r="AU44" s="53"/>
      <c r="AV44" s="53"/>
      <c r="AW44" s="54"/>
      <c r="AX44" s="54"/>
      <c r="AY44" s="54"/>
      <c r="AZ44" s="54"/>
      <c r="BA44" s="1583" t="s">
        <v>1550</v>
      </c>
      <c r="BB44" s="1612"/>
      <c r="BC44" s="54"/>
    </row>
    <row r="45" spans="1:256" ht="13.8" thickBot="1">
      <c r="A45" s="108"/>
      <c r="B45" s="1575"/>
      <c r="C45" s="2355" t="s">
        <v>1881</v>
      </c>
      <c r="D45" s="2356"/>
      <c r="E45" s="2357">
        <f ca="1">(((Transfer!D228) / Transfer!D147)*100)</f>
        <v>105.93608818754544</v>
      </c>
      <c r="F45" s="2357">
        <f ca="1">(((Transfer!E228) / Transfer!E147)*100)</f>
        <v>103.12115018406575</v>
      </c>
      <c r="G45" s="2357">
        <f ca="1">(((Transfer!F228) / Transfer!F147)*100)</f>
        <v>101.54838249441926</v>
      </c>
      <c r="H45" s="2358">
        <f ca="1">(((Transfer!G228) / Transfer!G147)*100)</f>
        <v>100.18613979098588</v>
      </c>
      <c r="I45" s="2328"/>
      <c r="J45" s="108"/>
      <c r="K45" s="53"/>
      <c r="L45" s="53"/>
      <c r="M45" s="53"/>
      <c r="N45" s="53"/>
      <c r="O45" s="54"/>
      <c r="P45" s="54"/>
      <c r="Q45" s="54"/>
      <c r="R45" s="54"/>
      <c r="S45" s="60"/>
      <c r="T45" s="109" t="s">
        <v>1881</v>
      </c>
      <c r="U45" s="110"/>
      <c r="V45" s="111">
        <f ca="1">ROUND(E45,1)-ROUND(AM45,1)</f>
        <v>0</v>
      </c>
      <c r="W45" s="111">
        <f ca="1">ROUND(F45,1)-ROUND(AN45,1)</f>
        <v>0</v>
      </c>
      <c r="X45" s="111">
        <f ca="1">ROUND(G45,1)-ROUND(AO45,1)</f>
        <v>-9.9999999999994316E-2</v>
      </c>
      <c r="Y45" s="112">
        <f ca="1">ROUND(H45,1)-ROUND(AP45,1)</f>
        <v>-9.9999999999994316E-2</v>
      </c>
      <c r="Z45" s="82"/>
      <c r="AA45" s="54"/>
      <c r="AB45" s="54"/>
      <c r="AC45" s="54"/>
      <c r="AD45" s="54"/>
      <c r="AE45" s="54"/>
      <c r="AF45" s="54"/>
      <c r="AG45" s="54"/>
      <c r="AH45" s="54"/>
      <c r="AI45" s="108"/>
      <c r="AJ45" s="60"/>
      <c r="AK45" s="109" t="s">
        <v>1881</v>
      </c>
      <c r="AL45" s="110"/>
      <c r="AM45" s="111">
        <f>(((Transfer!AD228) / Transfer!AD147)*100)</f>
        <v>105.93608818754544</v>
      </c>
      <c r="AN45" s="111">
        <f>(((Transfer!AE228) / Transfer!AE147)*100)</f>
        <v>103.12115018406575</v>
      </c>
      <c r="AO45" s="111">
        <f>(((Transfer!AF228) / Transfer!AF147)*100)</f>
        <v>101.56389654336606</v>
      </c>
      <c r="AP45" s="112">
        <f>(((Transfer!AG228) / Transfer!AG147)*100)</f>
        <v>100.25871975856914</v>
      </c>
      <c r="AQ45" s="82"/>
      <c r="AR45" s="108"/>
      <c r="AS45" s="53"/>
      <c r="AT45" s="53"/>
      <c r="AU45" s="53"/>
      <c r="AV45" s="53"/>
      <c r="AW45" s="54"/>
      <c r="AX45" s="54"/>
      <c r="AY45" s="54"/>
      <c r="AZ45" s="54"/>
      <c r="BA45" s="1904" t="s">
        <v>781</v>
      </c>
      <c r="BB45" s="1615"/>
      <c r="BC45" s="54"/>
    </row>
    <row r="46" spans="1:256">
      <c r="A46" s="108"/>
      <c r="B46" s="1614"/>
      <c r="C46" s="2340"/>
      <c r="D46" s="2359"/>
      <c r="E46" s="2359"/>
      <c r="F46" s="2359"/>
      <c r="G46" s="2359"/>
      <c r="H46" s="2360" t="str">
        <f>UPPER(Country)</f>
        <v>BELGIUM</v>
      </c>
      <c r="I46" s="1615"/>
      <c r="J46" s="108"/>
      <c r="K46" s="53"/>
      <c r="L46" s="53"/>
      <c r="M46" s="53"/>
      <c r="N46" s="53"/>
      <c r="O46" s="54"/>
      <c r="P46" s="54"/>
      <c r="Q46" s="54"/>
      <c r="R46" s="54"/>
      <c r="S46" s="114"/>
      <c r="T46" s="115"/>
      <c r="U46" s="116"/>
      <c r="V46" s="116"/>
      <c r="W46" s="117"/>
      <c r="X46" s="116"/>
      <c r="Y46" s="118" t="str">
        <f>UPPER(Country)</f>
        <v>BELGIUM</v>
      </c>
      <c r="Z46" s="119"/>
      <c r="AA46" s="54"/>
      <c r="AB46" s="54"/>
      <c r="AC46" s="54"/>
      <c r="AD46" s="54"/>
      <c r="AE46" s="54"/>
      <c r="AF46" s="54"/>
      <c r="AG46" s="54"/>
      <c r="AH46" s="54"/>
      <c r="AI46" s="108"/>
      <c r="AJ46" s="114"/>
      <c r="AK46" s="115"/>
      <c r="AL46" s="116"/>
      <c r="AM46" s="116"/>
      <c r="AN46" s="117"/>
      <c r="AO46" s="116"/>
      <c r="AP46" s="118" t="str">
        <f>UPPER(Country)</f>
        <v>BELGIUM</v>
      </c>
      <c r="AQ46" s="119"/>
      <c r="AR46" s="108"/>
      <c r="AS46" s="53"/>
      <c r="AT46" s="53"/>
      <c r="AU46" s="53"/>
      <c r="AV46" s="53"/>
      <c r="AW46" s="54"/>
      <c r="AX46" s="54"/>
      <c r="AY46" s="54"/>
      <c r="AZ46" s="54"/>
      <c r="BA46" s="54"/>
      <c r="BB46" s="54"/>
      <c r="BC46" s="54"/>
    </row>
    <row r="47" spans="1:256">
      <c r="A47" s="108"/>
      <c r="B47" s="108"/>
      <c r="C47" s="108"/>
      <c r="D47" s="108"/>
      <c r="E47" s="120"/>
      <c r="F47" s="120"/>
      <c r="G47" s="120"/>
      <c r="H47" s="120"/>
      <c r="I47" s="108"/>
      <c r="J47" s="108"/>
      <c r="K47" s="108"/>
      <c r="L47" s="108"/>
      <c r="M47" s="108"/>
      <c r="N47" s="108"/>
      <c r="O47" s="108"/>
      <c r="P47" s="108"/>
      <c r="Q47" s="108"/>
      <c r="R47" s="54"/>
      <c r="S47" s="54"/>
      <c r="T47" s="54"/>
      <c r="U47" s="54"/>
      <c r="V47" s="54"/>
      <c r="W47" s="54"/>
      <c r="X47" s="54"/>
      <c r="Y47" s="54"/>
      <c r="Z47" s="54"/>
      <c r="AA47" s="54"/>
      <c r="AB47" s="54"/>
      <c r="AC47" s="54"/>
      <c r="AD47" s="54"/>
      <c r="AE47" s="54"/>
      <c r="AF47" s="54"/>
      <c r="AG47" s="54"/>
      <c r="AH47" s="54"/>
      <c r="AI47" s="108"/>
      <c r="AJ47" s="108"/>
      <c r="AK47" s="108"/>
      <c r="AL47" s="108"/>
      <c r="AM47" s="120"/>
      <c r="AN47" s="120"/>
      <c r="AO47" s="120"/>
      <c r="AP47" s="120"/>
      <c r="AQ47" s="108"/>
      <c r="AR47" s="108"/>
      <c r="AS47" s="108"/>
      <c r="AT47" s="108"/>
      <c r="AU47" s="108"/>
      <c r="AV47" s="108"/>
      <c r="AW47" s="108"/>
      <c r="AX47" s="108"/>
      <c r="AY47" s="108"/>
      <c r="AZ47" s="54"/>
      <c r="BA47" s="54"/>
      <c r="BB47" s="54"/>
      <c r="BC47" s="54"/>
    </row>
    <row r="48" spans="1:256" ht="15">
      <c r="A48" s="108"/>
      <c r="B48" s="108"/>
      <c r="C48" s="108"/>
      <c r="D48" s="121"/>
      <c r="E48" s="108"/>
      <c r="F48" s="108"/>
      <c r="G48" s="108"/>
      <c r="H48" s="108"/>
      <c r="I48" s="108"/>
      <c r="J48" s="108"/>
      <c r="K48" s="108"/>
      <c r="L48" s="108"/>
      <c r="M48" s="108"/>
      <c r="N48" s="108"/>
      <c r="O48" s="108"/>
      <c r="P48" s="108"/>
      <c r="Q48" s="108"/>
      <c r="R48" s="54"/>
      <c r="S48" s="54"/>
      <c r="T48" s="54"/>
      <c r="U48" s="54"/>
      <c r="V48" s="54"/>
      <c r="W48" s="54"/>
      <c r="X48" s="54"/>
      <c r="Y48" s="54"/>
      <c r="Z48" s="54"/>
      <c r="AA48" s="54"/>
      <c r="AB48" s="54"/>
      <c r="AC48" s="54"/>
      <c r="AD48" s="54"/>
      <c r="AE48" s="54"/>
      <c r="AF48" s="54"/>
      <c r="AG48" s="54"/>
      <c r="AH48" s="54"/>
      <c r="AI48" s="108"/>
      <c r="AJ48" s="108"/>
      <c r="AK48" s="108"/>
      <c r="AL48" s="121"/>
      <c r="AM48" s="108"/>
      <c r="AN48" s="108"/>
      <c r="AO48" s="108"/>
      <c r="AP48" s="108"/>
      <c r="AQ48" s="108"/>
      <c r="AR48" s="108"/>
      <c r="AS48" s="108"/>
      <c r="AT48" s="108"/>
      <c r="AU48" s="108"/>
      <c r="AV48" s="108"/>
      <c r="AW48" s="108"/>
      <c r="AX48" s="108"/>
      <c r="AY48" s="108"/>
      <c r="AZ48" s="54"/>
      <c r="BA48" s="54"/>
      <c r="BB48" s="54"/>
      <c r="BC48" s="54"/>
    </row>
    <row r="49" spans="1:256" s="45" customFormat="1">
      <c r="A49" s="108"/>
      <c r="B49" s="108"/>
      <c r="C49" s="108"/>
      <c r="D49" s="108"/>
      <c r="E49" s="108"/>
      <c r="F49" s="108"/>
      <c r="G49" s="108"/>
      <c r="H49" s="108"/>
      <c r="I49" s="108"/>
      <c r="J49" s="108"/>
      <c r="K49" s="108"/>
      <c r="L49" s="108"/>
      <c r="M49" s="108"/>
      <c r="N49" s="108"/>
      <c r="O49" s="108"/>
      <c r="P49" s="108"/>
      <c r="Q49" s="108"/>
      <c r="R49" s="54"/>
      <c r="S49" s="54"/>
      <c r="T49" s="54"/>
      <c r="U49" s="54"/>
      <c r="V49" s="54"/>
      <c r="W49" s="54"/>
      <c r="X49" s="54"/>
      <c r="Y49" s="54"/>
      <c r="Z49" s="54"/>
      <c r="AA49" s="54"/>
      <c r="AB49" s="54"/>
      <c r="AC49" s="54"/>
      <c r="AD49" s="54"/>
      <c r="AE49" s="54"/>
      <c r="AF49" s="54"/>
      <c r="AG49" s="54"/>
      <c r="AH49" s="54"/>
      <c r="AI49" s="108"/>
      <c r="AJ49" s="108"/>
      <c r="AK49" s="108"/>
      <c r="AL49" s="108"/>
      <c r="AM49" s="108"/>
      <c r="AN49" s="108"/>
      <c r="AO49" s="108"/>
      <c r="AP49" s="108"/>
      <c r="AQ49" s="108"/>
      <c r="AR49" s="108"/>
      <c r="AS49" s="108"/>
      <c r="AT49" s="108"/>
      <c r="AU49" s="108"/>
      <c r="AV49" s="108"/>
      <c r="AW49" s="108"/>
      <c r="AX49" s="108"/>
      <c r="AY49" s="108"/>
      <c r="AZ49" s="54"/>
      <c r="BA49" s="54"/>
      <c r="BB49" s="54"/>
      <c r="BC49" s="54"/>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c r="A50" s="45"/>
      <c r="B50" s="50"/>
      <c r="C50" s="108"/>
      <c r="D50" s="51"/>
      <c r="E50" s="52"/>
      <c r="F50" s="52"/>
      <c r="G50" s="52"/>
      <c r="H50" s="52"/>
      <c r="I50" s="52"/>
      <c r="J50" s="52"/>
      <c r="K50" s="52"/>
      <c r="L50" s="53"/>
      <c r="M50" s="53"/>
      <c r="N50" s="53"/>
      <c r="O50" s="53"/>
      <c r="P50" s="54"/>
      <c r="Q50" s="54"/>
      <c r="R50" s="54"/>
      <c r="S50" s="54"/>
      <c r="T50" s="54"/>
      <c r="U50" s="54"/>
      <c r="V50" s="54"/>
      <c r="W50" s="54"/>
      <c r="X50" s="54"/>
      <c r="Y50" s="54"/>
      <c r="Z50" s="54"/>
      <c r="AA50" s="54"/>
      <c r="AB50" s="54"/>
      <c r="AC50" s="54"/>
      <c r="AD50" s="54"/>
      <c r="AE50" s="54"/>
      <c r="AF50" s="54"/>
      <c r="AG50" s="54"/>
      <c r="AH50" s="54"/>
      <c r="AI50" s="45"/>
      <c r="AJ50" s="50"/>
      <c r="AK50" s="108"/>
      <c r="AL50" s="51"/>
      <c r="AM50" s="52"/>
      <c r="AN50" s="52"/>
      <c r="AO50" s="52"/>
      <c r="AP50" s="52"/>
      <c r="AQ50" s="52"/>
      <c r="AR50" s="52"/>
      <c r="AS50" s="52"/>
      <c r="AT50" s="53"/>
      <c r="AU50" s="53"/>
      <c r="AV50" s="53"/>
      <c r="AW50" s="53"/>
      <c r="AX50" s="54"/>
      <c r="AY50" s="54"/>
      <c r="AZ50" s="54"/>
      <c r="BA50" s="54"/>
      <c r="BB50" s="54"/>
      <c r="BC50" s="54"/>
    </row>
    <row r="51" spans="1:256">
      <c r="A51" s="45"/>
      <c r="B51" s="2301"/>
      <c r="C51" s="2302" t="s">
        <v>782</v>
      </c>
      <c r="D51" s="2303"/>
      <c r="E51" s="2304"/>
      <c r="F51" s="2302"/>
      <c r="G51" s="2302"/>
      <c r="H51" s="2302"/>
      <c r="I51" s="2302"/>
      <c r="J51" s="2302"/>
      <c r="K51" s="2305"/>
      <c r="L51" s="122"/>
      <c r="M51" s="122"/>
      <c r="N51" s="122"/>
      <c r="O51" s="122"/>
      <c r="P51" s="54"/>
      <c r="Q51" s="54"/>
      <c r="R51" s="54"/>
      <c r="S51" s="55"/>
      <c r="T51" s="56" t="s">
        <v>782</v>
      </c>
      <c r="U51" s="57"/>
      <c r="V51" s="58"/>
      <c r="W51" s="56"/>
      <c r="X51" s="56"/>
      <c r="Y51" s="56"/>
      <c r="Z51" s="56"/>
      <c r="AA51" s="56"/>
      <c r="AB51" s="59"/>
      <c r="AC51" s="54"/>
      <c r="AD51" s="54"/>
      <c r="AE51" s="54"/>
      <c r="AF51" s="54"/>
      <c r="AG51" s="54"/>
      <c r="AH51" s="54"/>
      <c r="AI51" s="45"/>
      <c r="AJ51" s="55"/>
      <c r="AK51" s="56" t="s">
        <v>782</v>
      </c>
      <c r="AL51" s="57"/>
      <c r="AM51" s="58"/>
      <c r="AN51" s="56"/>
      <c r="AO51" s="56"/>
      <c r="AP51" s="56"/>
      <c r="AQ51" s="56"/>
      <c r="AR51" s="56"/>
      <c r="AS51" s="59"/>
      <c r="AT51" s="122"/>
      <c r="AU51" s="122"/>
      <c r="AV51" s="122"/>
      <c r="AW51" s="122"/>
      <c r="AX51" s="54"/>
      <c r="AY51" s="54"/>
      <c r="AZ51" s="54"/>
      <c r="BA51" s="54"/>
      <c r="BB51" s="54"/>
      <c r="BC51" s="54"/>
    </row>
    <row r="52" spans="1:256">
      <c r="A52" s="45"/>
      <c r="B52" s="1575"/>
      <c r="C52" s="4157" t="s">
        <v>522</v>
      </c>
      <c r="D52" s="4157"/>
      <c r="E52" s="4157"/>
      <c r="F52" s="4157"/>
      <c r="G52" s="4157"/>
      <c r="H52" s="4157"/>
      <c r="I52" s="4157"/>
      <c r="J52" s="4157"/>
      <c r="K52" s="2361"/>
      <c r="L52" s="127"/>
      <c r="M52" s="128"/>
      <c r="N52" s="128"/>
      <c r="O52" s="128"/>
      <c r="P52" s="54"/>
      <c r="Q52" s="54"/>
      <c r="R52" s="54"/>
      <c r="S52" s="60"/>
      <c r="T52" s="4158" t="s">
        <v>522</v>
      </c>
      <c r="U52" s="4158"/>
      <c r="V52" s="4158"/>
      <c r="W52" s="4158"/>
      <c r="X52" s="4158"/>
      <c r="Y52" s="4158"/>
      <c r="Z52" s="4158"/>
      <c r="AA52" s="4158"/>
      <c r="AB52" s="126"/>
      <c r="AC52" s="54"/>
      <c r="AD52" s="54"/>
      <c r="AE52" s="54"/>
      <c r="AF52" s="54"/>
      <c r="AG52" s="54"/>
      <c r="AH52" s="54"/>
      <c r="AI52" s="45"/>
      <c r="AJ52" s="60"/>
      <c r="AK52" s="4158" t="s">
        <v>522</v>
      </c>
      <c r="AL52" s="4158"/>
      <c r="AM52" s="4158"/>
      <c r="AN52" s="4158"/>
      <c r="AO52" s="4158"/>
      <c r="AP52" s="4158"/>
      <c r="AQ52" s="4158"/>
      <c r="AR52" s="4158"/>
      <c r="AS52" s="126"/>
      <c r="AT52" s="127"/>
      <c r="AU52" s="128"/>
      <c r="AV52" s="128"/>
      <c r="AW52" s="128"/>
      <c r="AX52" s="54"/>
      <c r="AY52" s="54"/>
      <c r="AZ52" s="54"/>
      <c r="BA52" s="54"/>
      <c r="BB52" s="54"/>
      <c r="BC52" s="54"/>
    </row>
    <row r="53" spans="1:256">
      <c r="A53" s="45"/>
      <c r="B53" s="1575"/>
      <c r="C53" s="4157" t="s">
        <v>509</v>
      </c>
      <c r="D53" s="4157"/>
      <c r="E53" s="4157"/>
      <c r="F53" s="4157"/>
      <c r="G53" s="4157"/>
      <c r="H53" s="4157"/>
      <c r="I53" s="4157"/>
      <c r="J53" s="4157"/>
      <c r="K53" s="2362"/>
      <c r="L53" s="131"/>
      <c r="M53" s="131"/>
      <c r="N53" s="131"/>
      <c r="O53" s="131"/>
      <c r="P53" s="54"/>
      <c r="Q53" s="54"/>
      <c r="R53" s="54"/>
      <c r="S53" s="60"/>
      <c r="T53" s="4158" t="s">
        <v>509</v>
      </c>
      <c r="U53" s="4158"/>
      <c r="V53" s="4158"/>
      <c r="W53" s="4158"/>
      <c r="X53" s="4158"/>
      <c r="Y53" s="4158"/>
      <c r="Z53" s="4158"/>
      <c r="AA53" s="4158"/>
      <c r="AB53" s="130"/>
      <c r="AC53" s="54"/>
      <c r="AD53" s="54"/>
      <c r="AE53" s="54"/>
      <c r="AF53" s="54"/>
      <c r="AG53" s="54"/>
      <c r="AH53" s="54"/>
      <c r="AI53" s="45"/>
      <c r="AJ53" s="60"/>
      <c r="AK53" s="4158" t="s">
        <v>509</v>
      </c>
      <c r="AL53" s="4158"/>
      <c r="AM53" s="4158"/>
      <c r="AN53" s="4158"/>
      <c r="AO53" s="4158"/>
      <c r="AP53" s="4158"/>
      <c r="AQ53" s="4158"/>
      <c r="AR53" s="4158"/>
      <c r="AS53" s="130"/>
      <c r="AT53" s="131"/>
      <c r="AU53" s="131"/>
      <c r="AV53" s="131"/>
      <c r="AW53" s="131"/>
      <c r="AX53" s="54"/>
      <c r="AY53" s="54"/>
      <c r="AZ53" s="54"/>
      <c r="BA53" s="54"/>
      <c r="BB53" s="54"/>
      <c r="BC53" s="54"/>
    </row>
    <row r="54" spans="1:256" ht="15.6">
      <c r="A54" s="45"/>
      <c r="B54" s="1575"/>
      <c r="C54" s="2309" t="str">
        <f>"Country: " &amp;UPPER(Country)</f>
        <v>Country: BELGIUM</v>
      </c>
      <c r="D54" s="2310"/>
      <c r="E54" s="2311"/>
      <c r="F54" s="2311"/>
      <c r="G54" s="2311"/>
      <c r="H54" s="2311"/>
      <c r="I54" s="2311"/>
      <c r="J54" s="2314"/>
      <c r="K54" s="2312"/>
      <c r="L54" s="132"/>
      <c r="M54" s="132"/>
      <c r="N54" s="132"/>
      <c r="O54" s="132"/>
      <c r="P54" s="54"/>
      <c r="Q54" s="54"/>
      <c r="R54" s="54"/>
      <c r="S54" s="60"/>
      <c r="T54" s="63" t="str">
        <f>"Country: " &amp;UPPER(Country)</f>
        <v>Country: BELGIUM</v>
      </c>
      <c r="U54" s="64"/>
      <c r="V54" s="65"/>
      <c r="W54" s="65"/>
      <c r="X54" s="1915" t="s">
        <v>724</v>
      </c>
      <c r="Y54" s="49"/>
      <c r="Z54" s="65"/>
      <c r="AA54" s="68"/>
      <c r="AB54" s="66"/>
      <c r="AC54" s="54"/>
      <c r="AD54" s="54"/>
      <c r="AE54" s="54"/>
      <c r="AF54" s="54"/>
      <c r="AG54" s="54"/>
      <c r="AH54" s="54"/>
      <c r="AI54" s="45"/>
      <c r="AJ54" s="60"/>
      <c r="AK54" s="63" t="str">
        <f>"Country: " &amp;UPPER(Country)</f>
        <v>Country: BELGIUM</v>
      </c>
      <c r="AL54" s="64"/>
      <c r="AM54" s="65"/>
      <c r="AN54" s="65"/>
      <c r="AO54" s="65"/>
      <c r="AP54" s="49"/>
      <c r="AQ54" s="65"/>
      <c r="AR54" s="68"/>
      <c r="AS54" s="66"/>
      <c r="AT54" s="132"/>
      <c r="AU54" s="132"/>
      <c r="AV54" s="132"/>
      <c r="AW54" s="132"/>
      <c r="AX54" s="54"/>
      <c r="AY54" s="54"/>
      <c r="AZ54" s="54"/>
      <c r="BA54" s="54"/>
      <c r="BB54" s="54"/>
      <c r="BC54" s="54"/>
    </row>
    <row r="55" spans="1:256" ht="15.6">
      <c r="A55" s="45"/>
      <c r="B55" s="1575"/>
      <c r="C55" s="2309" t="str">
        <f>"Currency unit: " &amp; Currency</f>
        <v>Currency unit: bn EUR</v>
      </c>
      <c r="D55" s="2313"/>
      <c r="E55" s="2311"/>
      <c r="F55" s="2314"/>
      <c r="G55" s="2311"/>
      <c r="H55" s="2311"/>
      <c r="I55" s="2311"/>
      <c r="J55" s="2314"/>
      <c r="K55" s="2312"/>
      <c r="L55" s="132"/>
      <c r="M55" s="134"/>
      <c r="N55" s="132"/>
      <c r="O55" s="132"/>
      <c r="P55" s="54"/>
      <c r="Q55" s="54"/>
      <c r="R55" s="54"/>
      <c r="S55" s="60"/>
      <c r="T55" s="63" t="str">
        <f>"Currency unit: " &amp; Currency</f>
        <v>Currency unit: bn EUR</v>
      </c>
      <c r="U55" s="67"/>
      <c r="V55" s="65"/>
      <c r="W55" s="68"/>
      <c r="X55" s="1915" t="str">
        <f>$T$4</f>
        <v>SF2018 - final storage FRI</v>
      </c>
      <c r="Y55" s="49"/>
      <c r="Z55" s="65"/>
      <c r="AA55" s="68"/>
      <c r="AB55" s="66"/>
      <c r="AC55" s="54"/>
      <c r="AD55" s="54"/>
      <c r="AE55" s="54"/>
      <c r="AF55" s="54"/>
      <c r="AG55" s="54"/>
      <c r="AH55" s="54"/>
      <c r="AI55" s="45"/>
      <c r="AJ55" s="60"/>
      <c r="AK55" s="63" t="str">
        <f>"Currency unit: " &amp; Currency</f>
        <v>Currency unit: bn EUR</v>
      </c>
      <c r="AL55" s="67"/>
      <c r="AM55" s="65"/>
      <c r="AN55" s="68"/>
      <c r="AO55" s="65"/>
      <c r="AP55" s="49"/>
      <c r="AQ55" s="65"/>
      <c r="AR55" s="68"/>
      <c r="AS55" s="66"/>
      <c r="AT55" s="132"/>
      <c r="AU55" s="134"/>
      <c r="AV55" s="132"/>
      <c r="AW55" s="132"/>
      <c r="AX55" s="54"/>
      <c r="AY55" s="54"/>
      <c r="AZ55" s="54"/>
      <c r="BA55" s="54"/>
      <c r="BB55" s="54"/>
      <c r="BC55" s="54"/>
    </row>
    <row r="56" spans="1:256">
      <c r="A56" s="45"/>
      <c r="B56" s="1575"/>
      <c r="C56" s="2315" t="s">
        <v>1641</v>
      </c>
      <c r="D56" s="2311"/>
      <c r="E56" s="2311"/>
      <c r="F56" s="2311"/>
      <c r="G56" s="2311"/>
      <c r="H56" s="2311"/>
      <c r="I56" s="2311"/>
      <c r="J56" s="2314"/>
      <c r="K56" s="2312"/>
      <c r="L56" s="132"/>
      <c r="M56" s="134"/>
      <c r="N56" s="134"/>
      <c r="O56" s="132"/>
      <c r="P56" s="54"/>
      <c r="Q56" s="54"/>
      <c r="R56" s="54"/>
      <c r="S56" s="60"/>
      <c r="T56" s="69" t="s">
        <v>1641</v>
      </c>
      <c r="U56" s="65"/>
      <c r="V56" s="65"/>
      <c r="W56" s="65"/>
      <c r="X56" s="65"/>
      <c r="Y56" s="49"/>
      <c r="Z56" s="65"/>
      <c r="AA56" s="68"/>
      <c r="AB56" s="66"/>
      <c r="AC56" s="54"/>
      <c r="AD56" s="54"/>
      <c r="AE56" s="54"/>
      <c r="AF56" s="54"/>
      <c r="AG56" s="54"/>
      <c r="AH56" s="54"/>
      <c r="AI56" s="45"/>
      <c r="AJ56" s="60"/>
      <c r="AK56" s="69" t="s">
        <v>1641</v>
      </c>
      <c r="AL56" s="65"/>
      <c r="AM56" s="65"/>
      <c r="AN56" s="65"/>
      <c r="AO56" s="65"/>
      <c r="AP56" s="49"/>
      <c r="AQ56" s="65"/>
      <c r="AR56" s="68"/>
      <c r="AS56" s="66"/>
      <c r="AT56" s="132"/>
      <c r="AU56" s="134"/>
      <c r="AV56" s="134"/>
      <c r="AW56" s="132"/>
      <c r="AX56" s="54"/>
      <c r="AY56" s="54"/>
      <c r="AZ56" s="54"/>
      <c r="BA56" s="54"/>
      <c r="BB56" s="54"/>
      <c r="BC56" s="54"/>
    </row>
    <row r="57" spans="1:256" ht="13.8" thickBot="1">
      <c r="A57" s="45"/>
      <c r="B57" s="1575"/>
      <c r="C57" s="2311"/>
      <c r="D57" s="2311"/>
      <c r="E57" s="2311"/>
      <c r="F57" s="2311"/>
      <c r="G57" s="2311"/>
      <c r="H57" s="2311"/>
      <c r="I57" s="4159">
        <f ca="1">NOW()</f>
        <v>43213.646692361108</v>
      </c>
      <c r="J57" s="4159"/>
      <c r="K57" s="2363"/>
      <c r="L57" s="138"/>
      <c r="M57" s="134"/>
      <c r="N57" s="134"/>
      <c r="O57" s="45"/>
      <c r="P57" s="54"/>
      <c r="Q57" s="54"/>
      <c r="R57" s="54"/>
      <c r="S57" s="60"/>
      <c r="T57" s="65"/>
      <c r="U57" s="65"/>
      <c r="V57" s="65"/>
      <c r="W57" s="65"/>
      <c r="X57" s="65"/>
      <c r="Y57" s="49"/>
      <c r="Z57" s="4160">
        <f ca="1">NOW()</f>
        <v>43213.646692361108</v>
      </c>
      <c r="AA57" s="4160"/>
      <c r="AB57" s="137"/>
      <c r="AC57" s="54"/>
      <c r="AD57" s="54"/>
      <c r="AE57" s="54"/>
      <c r="AF57" s="54"/>
      <c r="AG57" s="54"/>
      <c r="AH57" s="54"/>
      <c r="AI57" s="45"/>
      <c r="AJ57" s="60"/>
      <c r="AK57" s="65"/>
      <c r="AL57" s="65"/>
      <c r="AM57" s="65"/>
      <c r="AN57" s="65"/>
      <c r="AO57" s="65"/>
      <c r="AP57" s="49"/>
      <c r="AQ57" s="4160">
        <f ca="1">NOW()</f>
        <v>43213.646692361108</v>
      </c>
      <c r="AR57" s="4160"/>
      <c r="AS57" s="137"/>
      <c r="AT57" s="138"/>
      <c r="AU57" s="134"/>
      <c r="AV57" s="134"/>
      <c r="AW57" s="45"/>
      <c r="AX57" s="54"/>
      <c r="AY57" s="54"/>
      <c r="AZ57" s="54"/>
      <c r="BA57" s="54"/>
      <c r="BB57" s="54"/>
      <c r="BC57" s="54"/>
    </row>
    <row r="58" spans="1:256">
      <c r="A58" s="45"/>
      <c r="B58" s="1575"/>
      <c r="C58" s="2317"/>
      <c r="D58" s="2318"/>
      <c r="E58" s="2364" t="s">
        <v>1641</v>
      </c>
      <c r="F58" s="4173">
        <f>E16</f>
        <v>2016</v>
      </c>
      <c r="G58" s="4174"/>
      <c r="H58" s="2320">
        <f>F58+1</f>
        <v>2017</v>
      </c>
      <c r="I58" s="2320">
        <f>H58+1</f>
        <v>2018</v>
      </c>
      <c r="J58" s="2321">
        <f>I58+1</f>
        <v>2019</v>
      </c>
      <c r="K58" s="2322"/>
      <c r="L58" s="142"/>
      <c r="M58" s="134"/>
      <c r="N58" s="134"/>
      <c r="O58" s="45"/>
      <c r="P58" s="54"/>
      <c r="Q58" s="54"/>
      <c r="R58" s="54"/>
      <c r="S58" s="60"/>
      <c r="T58" s="72"/>
      <c r="U58" s="73"/>
      <c r="V58" s="141" t="s">
        <v>1641</v>
      </c>
      <c r="W58" s="4175">
        <f>Last_forecast_year - 3</f>
        <v>2016</v>
      </c>
      <c r="X58" s="4176"/>
      <c r="Y58" s="75">
        <f>W58+1</f>
        <v>2017</v>
      </c>
      <c r="Z58" s="75">
        <f>Y58+1</f>
        <v>2018</v>
      </c>
      <c r="AA58" s="1585">
        <f>Z58+1</f>
        <v>2019</v>
      </c>
      <c r="AB58" s="76"/>
      <c r="AC58" s="54"/>
      <c r="AD58" s="54"/>
      <c r="AE58" s="54"/>
      <c r="AF58" s="54"/>
      <c r="AG58" s="54"/>
      <c r="AH58" s="54"/>
      <c r="AI58" s="45"/>
      <c r="AJ58" s="60"/>
      <c r="AK58" s="72"/>
      <c r="AL58" s="73"/>
      <c r="AM58" s="141" t="s">
        <v>1641</v>
      </c>
      <c r="AN58" s="4175">
        <f>Last_forecast_year - 3</f>
        <v>2016</v>
      </c>
      <c r="AO58" s="4176"/>
      <c r="AP58" s="75">
        <f>AN58+1</f>
        <v>2017</v>
      </c>
      <c r="AQ58" s="75">
        <f>AP58+1</f>
        <v>2018</v>
      </c>
      <c r="AR58" s="1585">
        <f>AQ58+1</f>
        <v>2019</v>
      </c>
      <c r="AS58" s="76"/>
      <c r="AT58" s="142"/>
      <c r="AU58" s="134"/>
      <c r="AV58" s="134"/>
      <c r="AW58" s="45"/>
      <c r="AX58" s="54"/>
      <c r="AY58" s="54"/>
      <c r="AZ58" s="54"/>
      <c r="BA58" s="54"/>
      <c r="BB58" s="54"/>
      <c r="BC58" s="54"/>
    </row>
    <row r="59" spans="1:256">
      <c r="A59" s="45"/>
      <c r="B59" s="1575"/>
      <c r="C59" s="1576"/>
      <c r="D59" s="2311"/>
      <c r="E59" s="2366" t="s">
        <v>625</v>
      </c>
      <c r="F59" s="2307" t="s">
        <v>1642</v>
      </c>
      <c r="G59" s="4161" t="s">
        <v>626</v>
      </c>
      <c r="H59" s="4162"/>
      <c r="I59" s="4162"/>
      <c r="J59" s="4163"/>
      <c r="K59" s="2323"/>
      <c r="L59" s="146"/>
      <c r="M59" s="134"/>
      <c r="N59" s="134"/>
      <c r="O59" s="45"/>
      <c r="P59" s="54"/>
      <c r="Q59" s="54"/>
      <c r="R59" s="54"/>
      <c r="S59" s="60"/>
      <c r="T59" s="40"/>
      <c r="U59" s="65"/>
      <c r="V59" s="145" t="s">
        <v>625</v>
      </c>
      <c r="W59" s="125" t="s">
        <v>1642</v>
      </c>
      <c r="X59" s="4164" t="s">
        <v>626</v>
      </c>
      <c r="Y59" s="4165"/>
      <c r="Z59" s="4165"/>
      <c r="AA59" s="4166"/>
      <c r="AB59" s="77"/>
      <c r="AC59" s="54"/>
      <c r="AD59" s="54"/>
      <c r="AE59" s="54"/>
      <c r="AF59" s="54"/>
      <c r="AG59" s="54"/>
      <c r="AH59" s="54"/>
      <c r="AI59" s="45"/>
      <c r="AJ59" s="60"/>
      <c r="AK59" s="40"/>
      <c r="AL59" s="65"/>
      <c r="AM59" s="145" t="s">
        <v>625</v>
      </c>
      <c r="AN59" s="125" t="s">
        <v>1642</v>
      </c>
      <c r="AO59" s="4164" t="s">
        <v>626</v>
      </c>
      <c r="AP59" s="4165"/>
      <c r="AQ59" s="4165"/>
      <c r="AR59" s="4166"/>
      <c r="AS59" s="77"/>
      <c r="AT59" s="146"/>
      <c r="AU59" s="134"/>
      <c r="AV59" s="134"/>
      <c r="AW59" s="45"/>
      <c r="AX59" s="54"/>
      <c r="AY59" s="54"/>
      <c r="AZ59" s="54"/>
      <c r="BA59" s="54"/>
      <c r="BB59" s="54"/>
      <c r="BC59" s="54"/>
    </row>
    <row r="60" spans="1:256">
      <c r="A60" s="45"/>
      <c r="B60" s="1575"/>
      <c r="C60" s="2367" t="s">
        <v>1841</v>
      </c>
      <c r="D60" s="2368"/>
      <c r="E60" s="2369" t="s">
        <v>628</v>
      </c>
      <c r="F60" s="2370" t="str">
        <f>IF(Transfer!$C$280=1,"--",Transfer!D101)</f>
        <v>--</v>
      </c>
      <c r="G60" s="2030">
        <f ca="1">((Transfer!D284/Transfer!C284)-1)*100</f>
        <v>1.656738641972888</v>
      </c>
      <c r="H60" s="2030">
        <f ca="1">((Transfer!E284/Transfer!D284)-1)*100</f>
        <v>1.1261883376440851</v>
      </c>
      <c r="I60" s="2030">
        <f ca="1">((Transfer!F284/Transfer!E284)-1)*100</f>
        <v>1.6499999999999959</v>
      </c>
      <c r="J60" s="2031">
        <f ca="1">((Transfer!G284/Transfer!F284)-1)*100</f>
        <v>1.7600000000000282</v>
      </c>
      <c r="K60" s="2328"/>
      <c r="L60" s="149"/>
      <c r="M60" s="134"/>
      <c r="N60" s="134"/>
      <c r="O60" s="45"/>
      <c r="P60" s="54"/>
      <c r="Q60" s="54"/>
      <c r="R60" s="54"/>
      <c r="S60" s="60"/>
      <c r="T60" s="147" t="s">
        <v>1841</v>
      </c>
      <c r="U60" s="57"/>
      <c r="V60" s="148" t="s">
        <v>628</v>
      </c>
      <c r="W60" s="1917" t="e">
        <f t="shared" ref="W60:AA63" si="4">ROUND(F60,1)-ROUND(AN60,1)</f>
        <v>#VALUE!</v>
      </c>
      <c r="X60" s="1917">
        <f t="shared" ca="1" si="4"/>
        <v>0</v>
      </c>
      <c r="Y60" s="1917">
        <f t="shared" ca="1" si="4"/>
        <v>0</v>
      </c>
      <c r="Z60" s="1917">
        <f t="shared" ca="1" si="4"/>
        <v>0</v>
      </c>
      <c r="AA60" s="81">
        <f t="shared" ca="1" si="4"/>
        <v>0</v>
      </c>
      <c r="AB60" s="82"/>
      <c r="AC60" s="54"/>
      <c r="AD60" s="54"/>
      <c r="AE60" s="54"/>
      <c r="AF60" s="54"/>
      <c r="AG60" s="54"/>
      <c r="AH60" s="54"/>
      <c r="AI60" s="45"/>
      <c r="AJ60" s="60"/>
      <c r="AK60" s="2026" t="s">
        <v>1841</v>
      </c>
      <c r="AL60" s="2027"/>
      <c r="AM60" s="2028" t="s">
        <v>628</v>
      </c>
      <c r="AN60" s="2029" t="str">
        <f>IF(Transfer!$C$280=1,"--",Transfer!AD101)</f>
        <v>--</v>
      </c>
      <c r="AO60" s="2030">
        <f>((Transfer!AD284/Transfer!AC284)-1)*100</f>
        <v>1.656738641972888</v>
      </c>
      <c r="AP60" s="2030">
        <f>((Transfer!AE284/Transfer!AD284)-1)*100</f>
        <v>1.1261883376440851</v>
      </c>
      <c r="AQ60" s="2030">
        <f>((Transfer!AF284/Transfer!AE284)-1)*100</f>
        <v>1.6499999999999959</v>
      </c>
      <c r="AR60" s="2031">
        <f>((Transfer!AG284/Transfer!AF284)-1)*100</f>
        <v>1.7600000000000282</v>
      </c>
      <c r="AS60" s="82"/>
      <c r="AT60" s="149"/>
      <c r="AU60" s="134"/>
      <c r="AV60" s="134"/>
      <c r="AW60" s="45"/>
      <c r="AX60" s="54"/>
      <c r="AY60" s="54"/>
      <c r="AZ60" s="54"/>
      <c r="BA60" s="1897" t="s">
        <v>1622</v>
      </c>
      <c r="BB60" s="54"/>
      <c r="BC60" s="54"/>
    </row>
    <row r="61" spans="1:256">
      <c r="A61" s="45"/>
      <c r="B61" s="1575"/>
      <c r="C61" s="2345" t="s">
        <v>97</v>
      </c>
      <c r="D61" s="2373"/>
      <c r="E61" s="2374" t="s">
        <v>628</v>
      </c>
      <c r="F61" s="2375" t="str">
        <f>IF(Transfer!$C$280=1,"--",Transfer!D102)</f>
        <v>--</v>
      </c>
      <c r="G61" s="2023">
        <f ca="1">((Transfer!D285/Transfer!C285)-1)*100</f>
        <v>0.52448957719308797</v>
      </c>
      <c r="H61" s="2023">
        <f ca="1">((Transfer!E285/Transfer!D285)-1)*100</f>
        <v>1.0591097991395237</v>
      </c>
      <c r="I61" s="2023">
        <f ca="1">((Transfer!F285/Transfer!E285)-1)*100</f>
        <v>0.19000000000000128</v>
      </c>
      <c r="J61" s="2025">
        <f ca="1">((Transfer!G285/Transfer!F285)-1)*100</f>
        <v>0.99999999999997868</v>
      </c>
      <c r="K61" s="2328"/>
      <c r="L61" s="149"/>
      <c r="M61" s="134"/>
      <c r="N61" s="134"/>
      <c r="O61" s="45"/>
      <c r="P61" s="54"/>
      <c r="Q61" s="54"/>
      <c r="R61" s="54"/>
      <c r="S61" s="60"/>
      <c r="T61" s="40" t="s">
        <v>97</v>
      </c>
      <c r="U61" s="65"/>
      <c r="V61" s="151" t="s">
        <v>628</v>
      </c>
      <c r="W61" s="91" t="e">
        <f t="shared" si="4"/>
        <v>#VALUE!</v>
      </c>
      <c r="X61" s="91">
        <f t="shared" ca="1" si="4"/>
        <v>0</v>
      </c>
      <c r="Y61" s="91">
        <f t="shared" ca="1" si="4"/>
        <v>0</v>
      </c>
      <c r="Z61" s="91">
        <f t="shared" ca="1" si="4"/>
        <v>0</v>
      </c>
      <c r="AA61" s="93">
        <f t="shared" ca="1" si="4"/>
        <v>0</v>
      </c>
      <c r="AB61" s="82"/>
      <c r="AC61" s="54"/>
      <c r="AD61" s="54"/>
      <c r="AE61" s="54"/>
      <c r="AF61" s="54"/>
      <c r="AG61" s="54"/>
      <c r="AH61" s="54"/>
      <c r="AI61" s="45"/>
      <c r="AJ61" s="60"/>
      <c r="AK61" s="2032" t="s">
        <v>97</v>
      </c>
      <c r="AL61" s="2033"/>
      <c r="AM61" s="2034" t="s">
        <v>628</v>
      </c>
      <c r="AN61" s="2052" t="str">
        <f>IF(Transfer!$C$280=1,"--",Transfer!AD102)</f>
        <v>--</v>
      </c>
      <c r="AO61" s="2023">
        <f>((Transfer!AD285/Transfer!AC285)-1)*100</f>
        <v>0.52448957719308797</v>
      </c>
      <c r="AP61" s="2023">
        <f>((Transfer!AE285/Transfer!AD285)-1)*100</f>
        <v>1.0591097991395237</v>
      </c>
      <c r="AQ61" s="2023">
        <f>((Transfer!AF285/Transfer!AE285)-1)*100</f>
        <v>0.19000000000000128</v>
      </c>
      <c r="AR61" s="2025">
        <f>((Transfer!AG285/Transfer!AF285)-1)*100</f>
        <v>0.99999999999997868</v>
      </c>
      <c r="AS61" s="82"/>
      <c r="AT61" s="149"/>
      <c r="AU61" s="134"/>
      <c r="AV61" s="134"/>
      <c r="AW61" s="45"/>
      <c r="AX61" s="54"/>
      <c r="AY61" s="54"/>
      <c r="AZ61" s="54"/>
      <c r="BA61" s="1898" t="s">
        <v>1623</v>
      </c>
      <c r="BB61" s="54"/>
      <c r="BC61" s="54"/>
    </row>
    <row r="62" spans="1:256">
      <c r="A62" s="45"/>
      <c r="B62" s="1575"/>
      <c r="C62" s="2345" t="s">
        <v>98</v>
      </c>
      <c r="D62" s="2373"/>
      <c r="E62" s="2374" t="s">
        <v>1499</v>
      </c>
      <c r="F62" s="2375" t="str">
        <f>IF(Transfer!$C$280=1,"--",Transfer!D103)</f>
        <v>--</v>
      </c>
      <c r="G62" s="2023">
        <f ca="1">((Transfer!D286/Transfer!C286)-1)*100</f>
        <v>3.6022040132188904</v>
      </c>
      <c r="H62" s="2023">
        <f ca="1">((Transfer!E286/Transfer!D286)-1)*100</f>
        <v>0.98909818111034831</v>
      </c>
      <c r="I62" s="2023">
        <f ca="1">((Transfer!F286/Transfer!E286)-1)*100</f>
        <v>3.9818305677147059</v>
      </c>
      <c r="J62" s="2025">
        <f ca="1">((Transfer!G286/Transfer!F286)-1)*100</f>
        <v>2.7355586859227454</v>
      </c>
      <c r="K62" s="2328"/>
      <c r="L62" s="149"/>
      <c r="M62" s="134"/>
      <c r="N62" s="134"/>
      <c r="O62" s="45"/>
      <c r="P62" s="54"/>
      <c r="Q62" s="54"/>
      <c r="R62" s="54"/>
      <c r="S62" s="60"/>
      <c r="T62" s="40" t="s">
        <v>98</v>
      </c>
      <c r="U62" s="65"/>
      <c r="V62" s="151" t="s">
        <v>1499</v>
      </c>
      <c r="W62" s="91" t="e">
        <f t="shared" si="4"/>
        <v>#VALUE!</v>
      </c>
      <c r="X62" s="91">
        <f t="shared" ca="1" si="4"/>
        <v>0</v>
      </c>
      <c r="Y62" s="91">
        <f t="shared" ca="1" si="4"/>
        <v>0</v>
      </c>
      <c r="Z62" s="91">
        <f t="shared" ca="1" si="4"/>
        <v>0</v>
      </c>
      <c r="AA62" s="93">
        <f t="shared" ca="1" si="4"/>
        <v>0</v>
      </c>
      <c r="AB62" s="82"/>
      <c r="AC62" s="54"/>
      <c r="AD62" s="54"/>
      <c r="AE62" s="54"/>
      <c r="AF62" s="54"/>
      <c r="AG62" s="54"/>
      <c r="AH62" s="54"/>
      <c r="AI62" s="45"/>
      <c r="AJ62" s="60"/>
      <c r="AK62" s="2032" t="s">
        <v>98</v>
      </c>
      <c r="AL62" s="2033"/>
      <c r="AM62" s="2034" t="s">
        <v>1499</v>
      </c>
      <c r="AN62" s="2052" t="str">
        <f>IF(Transfer!$C$280=1,"--",Transfer!AD103)</f>
        <v>--</v>
      </c>
      <c r="AO62" s="2023">
        <f>((Transfer!AD286/Transfer!AC286)-1)*100</f>
        <v>3.6022040132188904</v>
      </c>
      <c r="AP62" s="2023">
        <f>((Transfer!AE286/Transfer!AD286)-1)*100</f>
        <v>0.98909818111034831</v>
      </c>
      <c r="AQ62" s="2023">
        <f>((Transfer!AF286/Transfer!AE286)-1)*100</f>
        <v>3.9818305677147059</v>
      </c>
      <c r="AR62" s="2025">
        <f>((Transfer!AG286/Transfer!AF286)-1)*100</f>
        <v>2.7355586859227454</v>
      </c>
      <c r="AS62" s="82"/>
      <c r="AT62" s="149"/>
      <c r="AU62" s="134"/>
      <c r="AV62" s="134"/>
      <c r="AW62" s="45"/>
      <c r="AX62" s="54"/>
      <c r="AY62" s="54"/>
      <c r="AZ62" s="54"/>
      <c r="BA62" s="1898" t="s">
        <v>1544</v>
      </c>
      <c r="BB62" s="54"/>
      <c r="BC62" s="54"/>
    </row>
    <row r="63" spans="1:256">
      <c r="A63" s="45"/>
      <c r="B63" s="1575"/>
      <c r="C63" s="2376" t="s">
        <v>847</v>
      </c>
      <c r="D63" s="2377"/>
      <c r="E63" s="2378"/>
      <c r="F63" s="2379" t="str">
        <f>IF(Transfer!$C$280=1,"--",SUM(Transfer!D101,Transfer!D102,Transfer!D103))</f>
        <v>--</v>
      </c>
      <c r="G63" s="2077">
        <f ca="1">+Transfer!D307/Transfer!C307*100-100</f>
        <v>1.8401917466891717</v>
      </c>
      <c r="H63" s="2077">
        <f ca="1">+Transfer!E307/Transfer!D307*100-100</f>
        <v>1.0773688930869127</v>
      </c>
      <c r="I63" s="2077">
        <f ca="1">+Transfer!F307/Transfer!E307*100-100</f>
        <v>1.8557061652820295</v>
      </c>
      <c r="J63" s="2078">
        <f ca="1">+Transfer!G307/Transfer!F307*100-100</f>
        <v>1.8160858898058194</v>
      </c>
      <c r="K63" s="2332"/>
      <c r="L63" s="156"/>
      <c r="M63" s="134"/>
      <c r="N63" s="134"/>
      <c r="O63" s="45"/>
      <c r="P63" s="54"/>
      <c r="Q63" s="54"/>
      <c r="R63" s="54"/>
      <c r="S63" s="60"/>
      <c r="T63" s="153" t="s">
        <v>847</v>
      </c>
      <c r="U63" s="115"/>
      <c r="V63" s="154"/>
      <c r="W63" s="155" t="e">
        <f t="shared" si="4"/>
        <v>#VALUE!</v>
      </c>
      <c r="X63" s="291">
        <f t="shared" ca="1" si="4"/>
        <v>0</v>
      </c>
      <c r="Y63" s="291">
        <f t="shared" ca="1" si="4"/>
        <v>0</v>
      </c>
      <c r="Z63" s="291">
        <f t="shared" ca="1" si="4"/>
        <v>0</v>
      </c>
      <c r="AA63" s="318">
        <f t="shared" ca="1" si="4"/>
        <v>0</v>
      </c>
      <c r="AB63" s="85"/>
      <c r="AC63" s="54"/>
      <c r="AD63" s="54"/>
      <c r="AE63" s="54"/>
      <c r="AF63" s="54"/>
      <c r="AG63" s="54"/>
      <c r="AH63" s="54"/>
      <c r="AI63" s="45"/>
      <c r="AJ63" s="60"/>
      <c r="AK63" s="2073" t="s">
        <v>847</v>
      </c>
      <c r="AL63" s="2074"/>
      <c r="AM63" s="2075"/>
      <c r="AN63" s="2076" t="str">
        <f>IF(Transfer!$C$280=1,"--",SUM(Transfer!AD101,Transfer!AD102,Transfer!AD103))</f>
        <v>--</v>
      </c>
      <c r="AO63" s="2077">
        <f>+Transfer!AD307/Transfer!AC307*100-100</f>
        <v>1.8401917466891717</v>
      </c>
      <c r="AP63" s="2077">
        <f>+Transfer!AE307/Transfer!AD307*100-100</f>
        <v>1.0773688930869127</v>
      </c>
      <c r="AQ63" s="2077">
        <f>+Transfer!AF307/Transfer!AE307*100-100</f>
        <v>1.8557061652820295</v>
      </c>
      <c r="AR63" s="2078">
        <f>+Transfer!AG307/Transfer!AF307*100-100</f>
        <v>1.8160858898058194</v>
      </c>
      <c r="AS63" s="85"/>
      <c r="AT63" s="156"/>
      <c r="AU63" s="134"/>
      <c r="AV63" s="134"/>
      <c r="AW63" s="45"/>
      <c r="AX63" s="54"/>
      <c r="AY63" s="54"/>
      <c r="AZ63" s="54"/>
      <c r="BA63" s="1898" t="s">
        <v>1624</v>
      </c>
      <c r="BB63" s="54"/>
      <c r="BC63" s="54"/>
    </row>
    <row r="64" spans="1:256">
      <c r="A64" s="45"/>
      <c r="B64" s="1575"/>
      <c r="C64" s="2331" t="s">
        <v>1491</v>
      </c>
      <c r="D64" s="2311"/>
      <c r="E64" s="2380" t="s">
        <v>1500</v>
      </c>
      <c r="F64" s="2351" t="str">
        <f>IF(Transfer!$C$280=1,"--",Transfer!D107)</f>
        <v>--</v>
      </c>
      <c r="G64" s="2029" t="s">
        <v>708</v>
      </c>
      <c r="H64" s="2029" t="s">
        <v>708</v>
      </c>
      <c r="I64" s="2029" t="s">
        <v>708</v>
      </c>
      <c r="J64" s="2031" t="s">
        <v>708</v>
      </c>
      <c r="K64" s="2328"/>
      <c r="L64" s="149"/>
      <c r="M64" s="134"/>
      <c r="N64" s="134"/>
      <c r="O64" s="45"/>
      <c r="P64" s="54"/>
      <c r="Q64" s="54"/>
      <c r="R64" s="54"/>
      <c r="S64" s="60"/>
      <c r="T64" s="157" t="s">
        <v>1389</v>
      </c>
      <c r="U64" s="65"/>
      <c r="V64" s="151" t="s">
        <v>1500</v>
      </c>
      <c r="W64" s="91" t="e">
        <f t="shared" ref="W64:AA73" si="5">ROUND(F64,1)-ROUND(AN64,1)</f>
        <v>#VALUE!</v>
      </c>
      <c r="X64" s="91" t="e">
        <f t="shared" si="5"/>
        <v>#VALUE!</v>
      </c>
      <c r="Y64" s="91" t="e">
        <f t="shared" si="5"/>
        <v>#VALUE!</v>
      </c>
      <c r="Z64" s="91" t="e">
        <f t="shared" si="5"/>
        <v>#VALUE!</v>
      </c>
      <c r="AA64" s="93" t="e">
        <f t="shared" si="5"/>
        <v>#VALUE!</v>
      </c>
      <c r="AB64" s="82"/>
      <c r="AC64" s="54"/>
      <c r="AD64" s="54"/>
      <c r="AE64" s="54"/>
      <c r="AF64" s="54"/>
      <c r="AG64" s="54"/>
      <c r="AH64" s="54"/>
      <c r="AI64" s="45"/>
      <c r="AJ64" s="60"/>
      <c r="AK64" s="157" t="s">
        <v>1389</v>
      </c>
      <c r="AL64" s="65"/>
      <c r="AM64" s="151" t="s">
        <v>1500</v>
      </c>
      <c r="AN64" s="176" t="str">
        <f>IF(Transfer!$C$280=1,"--",Transfer!AD107)</f>
        <v>--</v>
      </c>
      <c r="AO64" s="1892">
        <f>100*Transfer!AD107/Transfer!AD112</f>
        <v>0.60297439952438447</v>
      </c>
      <c r="AP64" s="1892">
        <f>100*Transfer!AE107/Transfer!AE112</f>
        <v>0.68332227793120393</v>
      </c>
      <c r="AQ64" s="1892">
        <f>100*Transfer!AF107/Transfer!AF112</f>
        <v>1.2511036621674563</v>
      </c>
      <c r="AR64" s="1893">
        <f>100*Transfer!AG107/Transfer!AG112</f>
        <v>1.2107778773396112</v>
      </c>
      <c r="AS64" s="82"/>
      <c r="AT64" s="149"/>
      <c r="AU64" s="134"/>
      <c r="AV64" s="134"/>
      <c r="AW64" s="45"/>
      <c r="AX64" s="54"/>
      <c r="AY64" s="54"/>
      <c r="AZ64" s="54"/>
      <c r="BA64" s="1898" t="s">
        <v>1625</v>
      </c>
      <c r="BB64" s="54"/>
      <c r="BC64" s="54"/>
    </row>
    <row r="65" spans="1:55">
      <c r="A65" s="45"/>
      <c r="B65" s="1575"/>
      <c r="C65" s="2376" t="s">
        <v>1502</v>
      </c>
      <c r="D65" s="2377"/>
      <c r="E65" s="2378"/>
      <c r="F65" s="2379" t="str">
        <f>IF(Transfer!$C$280=1,"--",SUM(Transfer!D101,Transfer!D102,Transfer!D103,Transfer!D107))</f>
        <v>--</v>
      </c>
      <c r="G65" s="2077">
        <f ca="1">+Transfer!D310/Transfer!C310*100-100</f>
        <v>2.0645015575185823</v>
      </c>
      <c r="H65" s="2077">
        <f ca="1">+Transfer!E310/Transfer!D310*100-100</f>
        <v>1.3016942213764224</v>
      </c>
      <c r="I65" s="2077">
        <f ca="1">+Transfer!F310/Transfer!E310*100-100</f>
        <v>1.8317588835589476</v>
      </c>
      <c r="J65" s="2078">
        <f ca="1">+Transfer!G310/Transfer!F310*100-100</f>
        <v>1.7934263371197403</v>
      </c>
      <c r="K65" s="2332"/>
      <c r="L65" s="156"/>
      <c r="M65" s="134"/>
      <c r="N65" s="134"/>
      <c r="O65" s="45"/>
      <c r="P65" s="54"/>
      <c r="Q65" s="54"/>
      <c r="R65" s="54"/>
      <c r="S65" s="60"/>
      <c r="T65" s="158" t="s">
        <v>1502</v>
      </c>
      <c r="U65" s="95"/>
      <c r="V65" s="159"/>
      <c r="W65" s="291" t="e">
        <f t="shared" si="5"/>
        <v>#VALUE!</v>
      </c>
      <c r="X65" s="291">
        <f t="shared" ca="1" si="5"/>
        <v>0</v>
      </c>
      <c r="Y65" s="291">
        <f t="shared" ca="1" si="5"/>
        <v>0</v>
      </c>
      <c r="Z65" s="291">
        <f t="shared" ca="1" si="5"/>
        <v>0</v>
      </c>
      <c r="AA65" s="318">
        <f t="shared" ca="1" si="5"/>
        <v>0</v>
      </c>
      <c r="AB65" s="85"/>
      <c r="AC65" s="54"/>
      <c r="AD65" s="54"/>
      <c r="AE65" s="54"/>
      <c r="AF65" s="54"/>
      <c r="AG65" s="54"/>
      <c r="AH65" s="54"/>
      <c r="AI65" s="45"/>
      <c r="AJ65" s="60"/>
      <c r="AK65" s="2073" t="s">
        <v>1502</v>
      </c>
      <c r="AL65" s="2074"/>
      <c r="AM65" s="2075"/>
      <c r="AN65" s="2076" t="str">
        <f>IF(Transfer!$C$280=1,"--",SUM(Transfer!AD101,Transfer!AD102,Transfer!AD103,Transfer!AD107))</f>
        <v>--</v>
      </c>
      <c r="AO65" s="2077">
        <f>+Transfer!AD310/Transfer!AC310*100-100</f>
        <v>2.0645015575185823</v>
      </c>
      <c r="AP65" s="2077">
        <f>+Transfer!AE310/Transfer!AD310*100-100</f>
        <v>1.3016942213764224</v>
      </c>
      <c r="AQ65" s="2077">
        <f>+Transfer!AF310/Transfer!AE310*100-100</f>
        <v>1.8317588835589476</v>
      </c>
      <c r="AR65" s="2078">
        <f>+Transfer!AG310/Transfer!AF310*100-100</f>
        <v>1.7934263371197403</v>
      </c>
      <c r="AS65" s="85"/>
      <c r="AT65" s="156"/>
      <c r="AU65" s="134"/>
      <c r="AV65" s="134"/>
      <c r="AW65" s="45"/>
      <c r="AX65" s="54"/>
      <c r="AY65" s="54"/>
      <c r="AZ65" s="54"/>
      <c r="BA65" s="1898" t="s">
        <v>223</v>
      </c>
      <c r="BB65" s="54"/>
      <c r="BC65" s="54"/>
    </row>
    <row r="66" spans="1:55">
      <c r="A66" s="45"/>
      <c r="B66" s="1575"/>
      <c r="C66" s="2367" t="s">
        <v>785</v>
      </c>
      <c r="D66" s="2368"/>
      <c r="E66" s="2369" t="s">
        <v>1450</v>
      </c>
      <c r="F66" s="2370" t="str">
        <f>IF(Transfer!$C$280=1,"--",SUM(Transfer!D108,Transfer!D109))</f>
        <v>--</v>
      </c>
      <c r="G66" s="2030">
        <f ca="1">+Transfer!D313/Transfer!C313*100-100</f>
        <v>7.5172033272112344</v>
      </c>
      <c r="H66" s="2030">
        <f ca="1">+Transfer!E313/Transfer!D313*100-100</f>
        <v>4.5100042038371413</v>
      </c>
      <c r="I66" s="2030">
        <f ca="1">+Transfer!F313/Transfer!E313*100-100</f>
        <v>4.9709448745751956</v>
      </c>
      <c r="J66" s="2031">
        <f ca="1">+Transfer!G313/Transfer!F313*100-100</f>
        <v>4.3955402653327269</v>
      </c>
      <c r="K66" s="2328"/>
      <c r="L66" s="149"/>
      <c r="M66" s="134"/>
      <c r="N66" s="134"/>
      <c r="O66" s="45"/>
      <c r="P66" s="54"/>
      <c r="Q66" s="54"/>
      <c r="R66" s="54"/>
      <c r="S66" s="60"/>
      <c r="T66" s="99" t="s">
        <v>785</v>
      </c>
      <c r="U66" s="100"/>
      <c r="V66" s="160" t="s">
        <v>1450</v>
      </c>
      <c r="W66" s="1917" t="e">
        <f t="shared" si="5"/>
        <v>#VALUE!</v>
      </c>
      <c r="X66" s="1917">
        <f t="shared" ca="1" si="5"/>
        <v>0</v>
      </c>
      <c r="Y66" s="1917">
        <f t="shared" ca="1" si="5"/>
        <v>0</v>
      </c>
      <c r="Z66" s="1917">
        <f t="shared" ca="1" si="5"/>
        <v>0</v>
      </c>
      <c r="AA66" s="81">
        <f t="shared" ca="1" si="5"/>
        <v>0</v>
      </c>
      <c r="AB66" s="82"/>
      <c r="AC66" s="54"/>
      <c r="AD66" s="54"/>
      <c r="AE66" s="54"/>
      <c r="AF66" s="54"/>
      <c r="AG66" s="54"/>
      <c r="AH66" s="54"/>
      <c r="AI66" s="45"/>
      <c r="AJ66" s="60"/>
      <c r="AK66" s="2026" t="s">
        <v>785</v>
      </c>
      <c r="AL66" s="2027"/>
      <c r="AM66" s="2028" t="s">
        <v>1450</v>
      </c>
      <c r="AN66" s="2029" t="str">
        <f>IF(Transfer!$C$280=1,"--",SUM(Transfer!AD108,Transfer!AD109))</f>
        <v>--</v>
      </c>
      <c r="AO66" s="2030">
        <f>+Transfer!AD313/Transfer!AC313*100-100</f>
        <v>7.5172033272112344</v>
      </c>
      <c r="AP66" s="2030">
        <f>+Transfer!AE313/Transfer!AD313*100-100</f>
        <v>4.5100042038371413</v>
      </c>
      <c r="AQ66" s="2030">
        <f>+Transfer!AF313/Transfer!AE313*100-100</f>
        <v>4.9709448745751956</v>
      </c>
      <c r="AR66" s="2031">
        <f>+Transfer!AG313/Transfer!AF313*100-100</f>
        <v>4.4231179448391202</v>
      </c>
      <c r="AS66" s="82"/>
      <c r="AT66" s="149"/>
      <c r="AU66" s="134"/>
      <c r="AV66" s="134"/>
      <c r="AW66" s="45"/>
      <c r="AX66" s="54"/>
      <c r="AY66" s="54"/>
      <c r="AZ66" s="54"/>
      <c r="BA66" s="1899" t="s">
        <v>224</v>
      </c>
      <c r="BB66" s="54"/>
      <c r="BC66" s="54"/>
    </row>
    <row r="67" spans="1:55">
      <c r="A67" s="45"/>
      <c r="B67" s="1575"/>
      <c r="C67" s="2381" t="s">
        <v>1390</v>
      </c>
      <c r="D67" s="2346"/>
      <c r="E67" s="2382" t="s">
        <v>342</v>
      </c>
      <c r="F67" s="2348" t="str">
        <f>IF(Transfer!$C$280=1,"--",Transfer!D108)</f>
        <v>--</v>
      </c>
      <c r="G67" s="2023">
        <f ca="1">((Transfer!D291/Transfer!C291)-1)*100</f>
        <v>10.745357747723672</v>
      </c>
      <c r="H67" s="2023">
        <f ca="1">((Transfer!E291/Transfer!D291)-1)*100</f>
        <v>6.7364255536867201</v>
      </c>
      <c r="I67" s="2023">
        <f ca="1">((Transfer!F291/Transfer!E291)-1)*100</f>
        <v>5.1900000000000057</v>
      </c>
      <c r="J67" s="2025">
        <f ca="1">((Transfer!G291/Transfer!F291)-1)*100</f>
        <v>4.4699999999999962</v>
      </c>
      <c r="K67" s="2350"/>
      <c r="L67" s="149"/>
      <c r="M67" s="134"/>
      <c r="N67" s="134"/>
      <c r="O67" s="45"/>
      <c r="P67" s="54"/>
      <c r="Q67" s="54"/>
      <c r="R67" s="54"/>
      <c r="S67" s="60"/>
      <c r="T67" s="161" t="s">
        <v>1390</v>
      </c>
      <c r="U67" s="102"/>
      <c r="V67" s="162" t="s">
        <v>342</v>
      </c>
      <c r="W67" s="91" t="e">
        <f t="shared" si="5"/>
        <v>#VALUE!</v>
      </c>
      <c r="X67" s="91">
        <f t="shared" ca="1" si="5"/>
        <v>0</v>
      </c>
      <c r="Y67" s="91">
        <f t="shared" ca="1" si="5"/>
        <v>0</v>
      </c>
      <c r="Z67" s="91">
        <f t="shared" ca="1" si="5"/>
        <v>0</v>
      </c>
      <c r="AA67" s="93">
        <f t="shared" ca="1" si="5"/>
        <v>0</v>
      </c>
      <c r="AB67" s="103"/>
      <c r="AC67" s="54"/>
      <c r="AD67" s="54"/>
      <c r="AE67" s="54"/>
      <c r="AF67" s="54"/>
      <c r="AG67" s="54"/>
      <c r="AH67" s="54"/>
      <c r="AI67" s="45"/>
      <c r="AJ67" s="60"/>
      <c r="AK67" s="2035" t="s">
        <v>1390</v>
      </c>
      <c r="AL67" s="2022"/>
      <c r="AM67" s="2036" t="s">
        <v>342</v>
      </c>
      <c r="AN67" s="2024" t="str">
        <f>IF(Transfer!$C$280=1,"--",Transfer!AD108)</f>
        <v>--</v>
      </c>
      <c r="AO67" s="2023">
        <f>((Transfer!AD291/Transfer!AC291)-1)*100</f>
        <v>10.745357747723672</v>
      </c>
      <c r="AP67" s="2023">
        <f>((Transfer!AE291/Transfer!AD291)-1)*100</f>
        <v>6.7364255536867201</v>
      </c>
      <c r="AQ67" s="2023">
        <f>((Transfer!AF291/Transfer!AE291)-1)*100</f>
        <v>5.1900000000000057</v>
      </c>
      <c r="AR67" s="2025">
        <f>((Transfer!AG291/Transfer!AF291)-1)*100</f>
        <v>4.4699999999999962</v>
      </c>
      <c r="AS67" s="103"/>
      <c r="AT67" s="149"/>
      <c r="AU67" s="134"/>
      <c r="AV67" s="134"/>
      <c r="AW67" s="45"/>
      <c r="AX67" s="54"/>
      <c r="AY67" s="54"/>
      <c r="AZ67" s="54"/>
      <c r="BA67" s="1898" t="s">
        <v>225</v>
      </c>
      <c r="BB67" s="54"/>
      <c r="BC67" s="54"/>
    </row>
    <row r="68" spans="1:55">
      <c r="A68" s="45"/>
      <c r="B68" s="1575"/>
      <c r="C68" s="2381" t="s">
        <v>1391</v>
      </c>
      <c r="D68" s="2346"/>
      <c r="E68" s="2382" t="s">
        <v>1781</v>
      </c>
      <c r="F68" s="2348" t="str">
        <f>IF(Transfer!$C$280=1,"--",Transfer!D109)</f>
        <v>--</v>
      </c>
      <c r="G68" s="2023">
        <f ca="1">((Transfer!D292/Transfer!C292)-1)*100</f>
        <v>0.20970672967957071</v>
      </c>
      <c r="H68" s="2023">
        <f ca="1">((Transfer!E292/Transfer!D292)-1)*100</f>
        <v>-0.88600003592580467</v>
      </c>
      <c r="I68" s="2023">
        <f ca="1">((Transfer!F292/Transfer!E292)-1)*100</f>
        <v>4.4000000000000039</v>
      </c>
      <c r="J68" s="2025">
        <f ca="1">((Transfer!G292/Transfer!F292)-1)*100</f>
        <v>4.2000000000000037</v>
      </c>
      <c r="K68" s="2350"/>
      <c r="L68" s="149"/>
      <c r="M68" s="134"/>
      <c r="N68" s="134"/>
      <c r="O68" s="45"/>
      <c r="P68" s="54"/>
      <c r="Q68" s="54"/>
      <c r="R68" s="54"/>
      <c r="S68" s="60"/>
      <c r="T68" s="161" t="s">
        <v>1391</v>
      </c>
      <c r="U68" s="102"/>
      <c r="V68" s="162" t="s">
        <v>1781</v>
      </c>
      <c r="W68" s="91" t="e">
        <f t="shared" si="5"/>
        <v>#VALUE!</v>
      </c>
      <c r="X68" s="91">
        <f t="shared" ca="1" si="5"/>
        <v>0</v>
      </c>
      <c r="Y68" s="91">
        <f t="shared" ca="1" si="5"/>
        <v>0</v>
      </c>
      <c r="Z68" s="91">
        <f t="shared" ca="1" si="5"/>
        <v>0</v>
      </c>
      <c r="AA68" s="93">
        <f t="shared" ca="1" si="5"/>
        <v>-9.9999999999999645E-2</v>
      </c>
      <c r="AB68" s="103"/>
      <c r="AC68" s="54"/>
      <c r="AD68" s="54"/>
      <c r="AE68" s="54"/>
      <c r="AF68" s="54"/>
      <c r="AG68" s="54"/>
      <c r="AH68" s="54"/>
      <c r="AI68" s="45"/>
      <c r="AJ68" s="60"/>
      <c r="AK68" s="2035" t="s">
        <v>1391</v>
      </c>
      <c r="AL68" s="2022"/>
      <c r="AM68" s="2036" t="s">
        <v>1781</v>
      </c>
      <c r="AN68" s="2024" t="str">
        <f>IF(Transfer!$C$280=1,"--",Transfer!AD109)</f>
        <v>--</v>
      </c>
      <c r="AO68" s="2023">
        <f>((Transfer!AD292/Transfer!AC292)-1)*100</f>
        <v>0.20970672967957071</v>
      </c>
      <c r="AP68" s="2023">
        <f>((Transfer!AE292/Transfer!AD292)-1)*100</f>
        <v>-0.88600003592580467</v>
      </c>
      <c r="AQ68" s="2023">
        <f>((Transfer!AF292/Transfer!AE292)-1)*100</f>
        <v>4.4000000000000039</v>
      </c>
      <c r="AR68" s="2025">
        <f>((Transfer!AG292/Transfer!AF292)-1)*100</f>
        <v>4.2999999999999927</v>
      </c>
      <c r="AS68" s="103"/>
      <c r="AT68" s="149"/>
      <c r="AU68" s="134"/>
      <c r="AV68" s="134"/>
      <c r="AW68" s="45"/>
      <c r="AX68" s="54"/>
      <c r="AY68" s="54"/>
      <c r="AZ68" s="54"/>
      <c r="BA68" s="1898" t="s">
        <v>226</v>
      </c>
      <c r="BB68" s="54"/>
      <c r="BC68" s="54"/>
    </row>
    <row r="69" spans="1:55">
      <c r="A69" s="45"/>
      <c r="B69" s="1575"/>
      <c r="C69" s="2376" t="s">
        <v>1179</v>
      </c>
      <c r="D69" s="2377"/>
      <c r="E69" s="2378"/>
      <c r="F69" s="2379" t="str">
        <f>IF(Transfer!$C$280=1,"--",SUM(Transfer!D101,Transfer!D102,Transfer!D103,Transfer!D107,Transfer!D108,Transfer!D109))</f>
        <v>--</v>
      </c>
      <c r="G69" s="2077">
        <f ca="1">+Transfer!D316/Transfer!C316*100-100</f>
        <v>4.5192127033813421</v>
      </c>
      <c r="H69" s="2077">
        <f ca="1">+Transfer!E316/Transfer!D316*100-100</f>
        <v>2.7661847221578455</v>
      </c>
      <c r="I69" s="2077">
        <f ca="1">+Transfer!F316/Transfer!E316*100-100</f>
        <v>3.2814908792469453</v>
      </c>
      <c r="J69" s="2078">
        <f ca="1">+Transfer!G316/Transfer!F316*100-100</f>
        <v>3.0111642623307517</v>
      </c>
      <c r="K69" s="2332"/>
      <c r="L69" s="156"/>
      <c r="M69" s="134"/>
      <c r="N69" s="134"/>
      <c r="O69" s="45"/>
      <c r="P69" s="54"/>
      <c r="Q69" s="54"/>
      <c r="R69" s="54"/>
      <c r="S69" s="60"/>
      <c r="T69" s="163" t="s">
        <v>1179</v>
      </c>
      <c r="U69" s="104"/>
      <c r="V69" s="164"/>
      <c r="W69" s="155" t="e">
        <f t="shared" si="5"/>
        <v>#VALUE!</v>
      </c>
      <c r="X69" s="155">
        <f t="shared" ca="1" si="5"/>
        <v>0</v>
      </c>
      <c r="Y69" s="155">
        <f t="shared" ca="1" si="5"/>
        <v>0</v>
      </c>
      <c r="Z69" s="155">
        <f t="shared" ca="1" si="5"/>
        <v>0</v>
      </c>
      <c r="AA69" s="284">
        <f t="shared" ca="1" si="5"/>
        <v>0</v>
      </c>
      <c r="AB69" s="85"/>
      <c r="AC69" s="54"/>
      <c r="AD69" s="54"/>
      <c r="AE69" s="54"/>
      <c r="AF69" s="54"/>
      <c r="AG69" s="54"/>
      <c r="AH69" s="54"/>
      <c r="AI69" s="45"/>
      <c r="AJ69" s="60"/>
      <c r="AK69" s="2073" t="s">
        <v>1179</v>
      </c>
      <c r="AL69" s="2074"/>
      <c r="AM69" s="2075"/>
      <c r="AN69" s="2076" t="str">
        <f>IF(Transfer!$C$280=1,"--",SUM(Transfer!AD101,Transfer!AD102,Transfer!AD103,Transfer!AD107,Transfer!AD108,Transfer!AD109))</f>
        <v>--</v>
      </c>
      <c r="AO69" s="2077">
        <f>+Transfer!AD316/Transfer!AC316*100-100</f>
        <v>4.5192127033813421</v>
      </c>
      <c r="AP69" s="2077">
        <f>+Transfer!AE316/Transfer!AD316*100-100</f>
        <v>2.7661847221578455</v>
      </c>
      <c r="AQ69" s="2077">
        <f>+Transfer!AF316/Transfer!AE316*100-100</f>
        <v>3.2814908792469453</v>
      </c>
      <c r="AR69" s="2078">
        <f>+Transfer!AG316/Transfer!AF316*100-100</f>
        <v>3.0240700716652924</v>
      </c>
      <c r="AS69" s="85"/>
      <c r="AT69" s="156"/>
      <c r="AU69" s="134"/>
      <c r="AV69" s="134"/>
      <c r="AW69" s="45"/>
      <c r="AX69" s="54"/>
      <c r="AY69" s="54"/>
      <c r="AZ69" s="54"/>
      <c r="BA69" s="1898" t="s">
        <v>227</v>
      </c>
      <c r="BB69" s="54"/>
      <c r="BC69" s="54"/>
    </row>
    <row r="70" spans="1:55">
      <c r="A70" s="45"/>
      <c r="B70" s="1575"/>
      <c r="C70" s="2367" t="s">
        <v>1540</v>
      </c>
      <c r="D70" s="2368"/>
      <c r="E70" s="2369" t="s">
        <v>1790</v>
      </c>
      <c r="F70" s="2370" t="str">
        <f>IF(Transfer!$C$280=1,"--",SUM(Transfer!D110,Transfer!D111))</f>
        <v>--</v>
      </c>
      <c r="G70" s="2030">
        <f ca="1">+Transfer!D319/Transfer!C319*100-100</f>
        <v>8.3642301646597872</v>
      </c>
      <c r="H70" s="2030">
        <f ca="1">+Transfer!E319/Transfer!D319*100-100</f>
        <v>4.090345119755483</v>
      </c>
      <c r="I70" s="2030">
        <f ca="1">+Transfer!F319/Transfer!E319*100-100</f>
        <v>5.0478338547107029</v>
      </c>
      <c r="J70" s="2031">
        <f ca="1">+Transfer!G319/Transfer!F319*100-100</f>
        <v>4.5047708319876421</v>
      </c>
      <c r="K70" s="2328"/>
      <c r="L70" s="149"/>
      <c r="M70" s="134"/>
      <c r="N70" s="134"/>
      <c r="O70" s="45"/>
      <c r="P70" s="54"/>
      <c r="Q70" s="54"/>
      <c r="R70" s="54"/>
      <c r="S70" s="60"/>
      <c r="T70" s="165" t="s">
        <v>1540</v>
      </c>
      <c r="U70" s="57"/>
      <c r="V70" s="148" t="s">
        <v>1790</v>
      </c>
      <c r="W70" s="91" t="e">
        <f t="shared" si="5"/>
        <v>#VALUE!</v>
      </c>
      <c r="X70" s="91">
        <f t="shared" ca="1" si="5"/>
        <v>0</v>
      </c>
      <c r="Y70" s="91">
        <f t="shared" ca="1" si="5"/>
        <v>0</v>
      </c>
      <c r="Z70" s="91">
        <f t="shared" ca="1" si="5"/>
        <v>0</v>
      </c>
      <c r="AA70" s="93">
        <f t="shared" ca="1" si="5"/>
        <v>0</v>
      </c>
      <c r="AB70" s="82"/>
      <c r="AC70" s="54"/>
      <c r="AD70" s="54"/>
      <c r="AE70" s="54"/>
      <c r="AF70" s="54"/>
      <c r="AG70" s="54"/>
      <c r="AH70" s="54"/>
      <c r="AI70" s="45"/>
      <c r="AJ70" s="60"/>
      <c r="AK70" s="2026" t="s">
        <v>1540</v>
      </c>
      <c r="AL70" s="2027"/>
      <c r="AM70" s="2028" t="s">
        <v>1790</v>
      </c>
      <c r="AN70" s="2029" t="str">
        <f>IF(Transfer!$C$280=1,"--",SUM(Transfer!AD110,Transfer!AD111))</f>
        <v>--</v>
      </c>
      <c r="AO70" s="2030">
        <f>+Transfer!AD319/Transfer!AC319*100-100</f>
        <v>8.3642301646597872</v>
      </c>
      <c r="AP70" s="2030">
        <f>+Transfer!AE319/Transfer!AD319*100-100</f>
        <v>4.090345119755483</v>
      </c>
      <c r="AQ70" s="2030">
        <f>+Transfer!AF319/Transfer!AE319*100-100</f>
        <v>5.0478338547107029</v>
      </c>
      <c r="AR70" s="2031">
        <f>+Transfer!AG319/Transfer!AF319*100-100</f>
        <v>4.5192584732077563</v>
      </c>
      <c r="AS70" s="82"/>
      <c r="AT70" s="149"/>
      <c r="AU70" s="134"/>
      <c r="AV70" s="134"/>
      <c r="AW70" s="45"/>
      <c r="AX70" s="54"/>
      <c r="AY70" s="54"/>
      <c r="AZ70" s="54"/>
      <c r="BA70" s="1899" t="s">
        <v>228</v>
      </c>
      <c r="BB70" s="54"/>
      <c r="BC70" s="54"/>
    </row>
    <row r="71" spans="1:55">
      <c r="A71" s="45"/>
      <c r="B71" s="1575"/>
      <c r="C71" s="2381" t="s">
        <v>1669</v>
      </c>
      <c r="D71" s="2346"/>
      <c r="E71" s="2382" t="s">
        <v>391</v>
      </c>
      <c r="F71" s="2348" t="str">
        <f>IF(Transfer!$C$280=1,"--",Transfer!D110)</f>
        <v>--</v>
      </c>
      <c r="G71" s="2023">
        <f ca="1">((Transfer!D293/Transfer!C293)-1)*100</f>
        <v>11.134284037365273</v>
      </c>
      <c r="H71" s="2023">
        <f ca="1">((Transfer!E293/Transfer!D293)-1)*100</f>
        <v>5.1009384340167552</v>
      </c>
      <c r="I71" s="2023">
        <f ca="1">((Transfer!F293/Transfer!E293)-1)*100</f>
        <v>5.2000000000000046</v>
      </c>
      <c r="J71" s="2025">
        <f ca="1">((Transfer!G293/Transfer!F293)-1)*100</f>
        <v>4.830000000000001</v>
      </c>
      <c r="K71" s="2350"/>
      <c r="L71" s="149"/>
      <c r="M71" s="134"/>
      <c r="N71" s="134"/>
      <c r="O71" s="45"/>
      <c r="P71" s="54"/>
      <c r="Q71" s="54"/>
      <c r="R71" s="54"/>
      <c r="S71" s="60"/>
      <c r="T71" s="167" t="s">
        <v>1669</v>
      </c>
      <c r="U71" s="105"/>
      <c r="V71" s="168" t="s">
        <v>391</v>
      </c>
      <c r="W71" s="91" t="e">
        <f t="shared" si="5"/>
        <v>#VALUE!</v>
      </c>
      <c r="X71" s="91">
        <f t="shared" ca="1" si="5"/>
        <v>0</v>
      </c>
      <c r="Y71" s="91">
        <f t="shared" ca="1" si="5"/>
        <v>0</v>
      </c>
      <c r="Z71" s="91">
        <f t="shared" ca="1" si="5"/>
        <v>0</v>
      </c>
      <c r="AA71" s="93">
        <f t="shared" ca="1" si="5"/>
        <v>-0.10000000000000053</v>
      </c>
      <c r="AB71" s="103"/>
      <c r="AC71" s="54"/>
      <c r="AD71" s="54"/>
      <c r="AE71" s="54"/>
      <c r="AF71" s="54"/>
      <c r="AG71" s="54"/>
      <c r="AH71" s="54"/>
      <c r="AI71" s="45"/>
      <c r="AJ71" s="60"/>
      <c r="AK71" s="2035" t="s">
        <v>1669</v>
      </c>
      <c r="AL71" s="2022"/>
      <c r="AM71" s="2036" t="s">
        <v>391</v>
      </c>
      <c r="AN71" s="2024" t="str">
        <f>IF(Transfer!$C$280=1,"--",Transfer!AD110)</f>
        <v>--</v>
      </c>
      <c r="AO71" s="2023">
        <f>((Transfer!AD293/Transfer!AC293)-1)*100</f>
        <v>11.134284037365273</v>
      </c>
      <c r="AP71" s="2023">
        <f>((Transfer!AE293/Transfer!AD293)-1)*100</f>
        <v>5.1009384340167552</v>
      </c>
      <c r="AQ71" s="2023">
        <f>((Transfer!AF293/Transfer!AE293)-1)*100</f>
        <v>5.2000000000000046</v>
      </c>
      <c r="AR71" s="2025">
        <f>((Transfer!AG293/Transfer!AF293)-1)*100</f>
        <v>4.850000000000021</v>
      </c>
      <c r="AS71" s="103"/>
      <c r="AT71" s="149"/>
      <c r="AU71" s="134"/>
      <c r="AV71" s="134"/>
      <c r="AW71" s="45"/>
      <c r="AX71" s="54"/>
      <c r="AY71" s="54"/>
      <c r="AZ71" s="54"/>
      <c r="BA71" s="1898" t="s">
        <v>229</v>
      </c>
      <c r="BB71" s="54"/>
      <c r="BC71" s="54"/>
    </row>
    <row r="72" spans="1:55">
      <c r="A72" s="45"/>
      <c r="B72" s="1575"/>
      <c r="C72" s="2381" t="s">
        <v>889</v>
      </c>
      <c r="D72" s="2346"/>
      <c r="E72" s="2382" t="s">
        <v>392</v>
      </c>
      <c r="F72" s="2348" t="str">
        <f>IF(Transfer!$C$280=1,"--",Transfer!D111)</f>
        <v>--</v>
      </c>
      <c r="G72" s="2023">
        <f ca="1">((Transfer!D294/Transfer!C294)-1)*100</f>
        <v>1.7576554615445161</v>
      </c>
      <c r="H72" s="2023">
        <f ca="1">((Transfer!E294/Transfer!D294)-1)*100</f>
        <v>1.5403008848718924</v>
      </c>
      <c r="I72" s="2023">
        <f ca="1">((Transfer!F294/Transfer!E294)-1)*100</f>
        <v>4.6499999999999986</v>
      </c>
      <c r="J72" s="2025">
        <f ca="1">((Transfer!G294/Transfer!F294)-1)*100</f>
        <v>3.6499999999999977</v>
      </c>
      <c r="K72" s="2350"/>
      <c r="L72" s="149"/>
      <c r="M72" s="134"/>
      <c r="N72" s="134"/>
      <c r="O72" s="45"/>
      <c r="P72" s="54"/>
      <c r="Q72" s="54"/>
      <c r="R72" s="54"/>
      <c r="S72" s="60"/>
      <c r="T72" s="169" t="s">
        <v>889</v>
      </c>
      <c r="U72" s="170"/>
      <c r="V72" s="171" t="s">
        <v>392</v>
      </c>
      <c r="W72" s="155" t="e">
        <f t="shared" si="5"/>
        <v>#VALUE!</v>
      </c>
      <c r="X72" s="155">
        <f t="shared" ca="1" si="5"/>
        <v>0</v>
      </c>
      <c r="Y72" s="155">
        <f t="shared" ca="1" si="5"/>
        <v>0</v>
      </c>
      <c r="Z72" s="155">
        <f t="shared" ca="1" si="5"/>
        <v>0</v>
      </c>
      <c r="AA72" s="284">
        <f t="shared" ca="1" si="5"/>
        <v>0</v>
      </c>
      <c r="AB72" s="103"/>
      <c r="AC72" s="54"/>
      <c r="AD72" s="54"/>
      <c r="AE72" s="54"/>
      <c r="AF72" s="54"/>
      <c r="AG72" s="54"/>
      <c r="AH72" s="54"/>
      <c r="AI72" s="45"/>
      <c r="AJ72" s="60"/>
      <c r="AK72" s="2035" t="s">
        <v>889</v>
      </c>
      <c r="AL72" s="2022"/>
      <c r="AM72" s="2036" t="s">
        <v>392</v>
      </c>
      <c r="AN72" s="2024" t="str">
        <f>IF(Transfer!$C$280=1,"--",Transfer!AD111)</f>
        <v>--</v>
      </c>
      <c r="AO72" s="2023">
        <f>((Transfer!AD294/Transfer!AC294)-1)*100</f>
        <v>1.7576554615445161</v>
      </c>
      <c r="AP72" s="2023">
        <f>((Transfer!AE294/Transfer!AD294)-1)*100</f>
        <v>1.5403008848718924</v>
      </c>
      <c r="AQ72" s="2023">
        <f>((Transfer!AF294/Transfer!AE294)-1)*100</f>
        <v>4.6499999999999986</v>
      </c>
      <c r="AR72" s="2025">
        <f>((Transfer!AG294/Transfer!AF294)-1)*100</f>
        <v>3.6499999999999977</v>
      </c>
      <c r="AS72" s="103"/>
      <c r="AT72" s="149"/>
      <c r="AU72" s="134"/>
      <c r="AV72" s="134"/>
      <c r="AW72" s="45"/>
      <c r="AX72" s="54"/>
      <c r="AY72" s="54"/>
      <c r="AZ72" s="54"/>
      <c r="BA72" s="1898" t="s">
        <v>230</v>
      </c>
      <c r="BB72" s="54"/>
      <c r="BC72" s="54"/>
    </row>
    <row r="73" spans="1:55">
      <c r="A73" s="45"/>
      <c r="B73" s="1575"/>
      <c r="C73" s="2383" t="s">
        <v>393</v>
      </c>
      <c r="D73" s="2384"/>
      <c r="E73" s="2385" t="s">
        <v>394</v>
      </c>
      <c r="F73" s="2386" t="str">
        <f>IF(Transfer!$C$280=1,"--",Transfer!D112)</f>
        <v>--</v>
      </c>
      <c r="G73" s="2044">
        <f ca="1">((Transfer!D295/Transfer!C295)-1)*100</f>
        <v>1.4660051412683783</v>
      </c>
      <c r="H73" s="2044">
        <f ca="1">((Transfer!E295/Transfer!D295)-1)*100</f>
        <v>1.6865077937902484</v>
      </c>
      <c r="I73" s="2044">
        <f ca="1">((Transfer!F295/Transfer!E295)-1)*100</f>
        <v>1.8083298569664841</v>
      </c>
      <c r="J73" s="2044">
        <f ca="1">((Transfer!G295/Transfer!F295)-1)*100</f>
        <v>1.7329264820707513</v>
      </c>
      <c r="K73" s="2332"/>
      <c r="L73" s="156"/>
      <c r="M73" s="134"/>
      <c r="N73" s="134"/>
      <c r="O73" s="45"/>
      <c r="P73" s="54"/>
      <c r="Q73" s="54"/>
      <c r="R73" s="54"/>
      <c r="S73" s="60"/>
      <c r="T73" s="172" t="s">
        <v>393</v>
      </c>
      <c r="U73" s="173"/>
      <c r="V73" s="174" t="s">
        <v>394</v>
      </c>
      <c r="W73" s="291" t="e">
        <f t="shared" si="5"/>
        <v>#VALUE!</v>
      </c>
      <c r="X73" s="291">
        <f t="shared" ca="1" si="5"/>
        <v>0</v>
      </c>
      <c r="Y73" s="291">
        <f t="shared" ca="1" si="5"/>
        <v>0</v>
      </c>
      <c r="Z73" s="291">
        <f t="shared" ca="1" si="5"/>
        <v>0</v>
      </c>
      <c r="AA73" s="284">
        <f t="shared" ca="1" si="5"/>
        <v>0</v>
      </c>
      <c r="AB73" s="85"/>
      <c r="AC73" s="54"/>
      <c r="AD73" s="54"/>
      <c r="AE73" s="54"/>
      <c r="AF73" s="54"/>
      <c r="AG73" s="54"/>
      <c r="AH73" s="54"/>
      <c r="AI73" s="45"/>
      <c r="AJ73" s="60"/>
      <c r="AK73" s="2040" t="s">
        <v>393</v>
      </c>
      <c r="AL73" s="2041"/>
      <c r="AM73" s="2042" t="s">
        <v>394</v>
      </c>
      <c r="AN73" s="2043" t="str">
        <f>IF(Transfer!$C$280=1,"--",Transfer!AD112)</f>
        <v>--</v>
      </c>
      <c r="AO73" s="2044">
        <f>((Transfer!AD295/Transfer!AC295)-1)*100</f>
        <v>1.4660051412683783</v>
      </c>
      <c r="AP73" s="2044">
        <f>((Transfer!AE295/Transfer!AD295)-1)*100</f>
        <v>1.6865077937902484</v>
      </c>
      <c r="AQ73" s="2044">
        <f>((Transfer!AF295/Transfer!AE295)-1)*100</f>
        <v>1.8083298569664841</v>
      </c>
      <c r="AR73" s="2045">
        <f>((Transfer!AG295/Transfer!AF295)-1)*100</f>
        <v>1.7444785498516024</v>
      </c>
      <c r="AS73" s="85"/>
      <c r="AT73" s="156"/>
      <c r="AU73" s="134"/>
      <c r="AV73" s="134"/>
      <c r="AW73" s="45"/>
      <c r="AX73" s="54"/>
      <c r="AY73" s="54"/>
      <c r="AZ73" s="54"/>
      <c r="BA73" s="1898" t="s">
        <v>231</v>
      </c>
      <c r="BB73" s="54"/>
      <c r="BC73" s="54"/>
    </row>
    <row r="74" spans="1:55">
      <c r="A74" s="45"/>
      <c r="B74" s="1575"/>
      <c r="C74" s="1576"/>
      <c r="D74" s="2311"/>
      <c r="E74" s="2380"/>
      <c r="F74" s="2387"/>
      <c r="G74" s="4177" t="s">
        <v>154</v>
      </c>
      <c r="H74" s="4178"/>
      <c r="I74" s="4178"/>
      <c r="J74" s="4179"/>
      <c r="K74" s="2308"/>
      <c r="L74" s="177"/>
      <c r="M74" s="134"/>
      <c r="N74" s="134"/>
      <c r="O74" s="45"/>
      <c r="P74" s="54"/>
      <c r="Q74" s="54"/>
      <c r="R74" s="54"/>
      <c r="S74" s="60"/>
      <c r="T74" s="40"/>
      <c r="U74" s="65"/>
      <c r="V74" s="151"/>
      <c r="W74" s="1919"/>
      <c r="X74" s="4170" t="s">
        <v>154</v>
      </c>
      <c r="Y74" s="4180"/>
      <c r="Z74" s="4180"/>
      <c r="AA74" s="4181"/>
      <c r="AB74" s="106"/>
      <c r="AC74" s="54"/>
      <c r="AD74" s="54"/>
      <c r="AE74" s="54"/>
      <c r="AF74" s="54"/>
      <c r="AG74" s="54"/>
      <c r="AH74" s="54"/>
      <c r="AI74" s="45"/>
      <c r="AJ74" s="60"/>
      <c r="AK74" s="40"/>
      <c r="AL74" s="65"/>
      <c r="AM74" s="151"/>
      <c r="AN74" s="1894"/>
      <c r="AO74" s="4177" t="s">
        <v>154</v>
      </c>
      <c r="AP74" s="4178"/>
      <c r="AQ74" s="4178"/>
      <c r="AR74" s="4179"/>
      <c r="AS74" s="106"/>
      <c r="AT74" s="177"/>
      <c r="AU74" s="134"/>
      <c r="AV74" s="134"/>
      <c r="AW74" s="45"/>
      <c r="AX74" s="54"/>
      <c r="AY74" s="54"/>
      <c r="AZ74" s="54"/>
      <c r="BA74" s="1899"/>
      <c r="BB74" s="54"/>
      <c r="BC74" s="54"/>
    </row>
    <row r="75" spans="1:55">
      <c r="A75" s="45"/>
      <c r="B75" s="1575"/>
      <c r="C75" s="2388" t="s">
        <v>155</v>
      </c>
      <c r="D75" s="2389"/>
      <c r="E75" s="2390"/>
      <c r="F75" s="2391" t="str">
        <f>IF(Transfer!$C$280=1,"--",(((Transfer!D101+Transfer!D102+Transfer!D103))))</f>
        <v>--</v>
      </c>
      <c r="G75" s="2997">
        <f ca="1">IF(Transfer!$C$280=1,(((Transfer!D101+Transfer!D102+Transfer!D103) - (Transfer!C136+Transfer!C137+Transfer!C138))/Transfer!C147)*100,(((Transfer!D101+Transfer!D102+Transfer!D103) - (Transfer!C101+Transfer!C102+Transfer!C103))/Transfer!C112)*100)</f>
        <v>1.8081279001271489</v>
      </c>
      <c r="H75" s="2997">
        <f ca="1">IF(Transfer!$C$280=1,(((Transfer!E101+Transfer!E102+Transfer!E103) - (Transfer!D136+Transfer!D137+Transfer!D138))/Transfer!D147)*100,(((Transfer!E101+Transfer!E102+Transfer!E103) - (Transfer!D101+Transfer!D102+Transfer!D103))/Transfer!D112)*100)</f>
        <v>1.0579962984388394</v>
      </c>
      <c r="I75" s="2997">
        <f ca="1">IF(Transfer!$C$280=1,(((Transfer!F101+Transfer!F102+Transfer!F103) - (Transfer!E136+Transfer!E137+Transfer!E138))/Transfer!E147)*100,(((Transfer!F101+Transfer!F102+Transfer!F103) - (Transfer!E101+Transfer!E102+Transfer!E103))/Transfer!E112)*100)</f>
        <v>1.8079978179393326</v>
      </c>
      <c r="J75" s="2998">
        <f ca="1">IF(Transfer!$C$280=1,(((Transfer!G101+Transfer!G102+Transfer!G103) - (Transfer!F136+Transfer!F137+Transfer!F138))/Transfer!F147)*100,(((Transfer!G101+Transfer!G102+Transfer!G103) - (Transfer!F101+Transfer!F102+Transfer!F103))/Transfer!F112)*100)</f>
        <v>1.7706956587878027</v>
      </c>
      <c r="K75" s="2328"/>
      <c r="L75" s="149"/>
      <c r="M75" s="134"/>
      <c r="N75" s="134"/>
      <c r="O75" s="45"/>
      <c r="P75" s="54"/>
      <c r="Q75" s="54"/>
      <c r="R75" s="54"/>
      <c r="S75" s="60"/>
      <c r="T75" s="178" t="s">
        <v>155</v>
      </c>
      <c r="U75" s="65"/>
      <c r="V75" s="151"/>
      <c r="W75" s="91" t="e">
        <f t="shared" ref="W75:AA77" si="6">ROUND(F75,1)-ROUND(AN75,1)</f>
        <v>#VALUE!</v>
      </c>
      <c r="X75" s="91">
        <f t="shared" ca="1" si="6"/>
        <v>0</v>
      </c>
      <c r="Y75" s="91">
        <f t="shared" ca="1" si="6"/>
        <v>0</v>
      </c>
      <c r="Z75" s="91">
        <f t="shared" ca="1" si="6"/>
        <v>0</v>
      </c>
      <c r="AA75" s="81">
        <f t="shared" ca="1" si="6"/>
        <v>0</v>
      </c>
      <c r="AB75" s="82"/>
      <c r="AC75" s="54"/>
      <c r="AD75" s="54"/>
      <c r="AE75" s="54"/>
      <c r="AF75" s="54"/>
      <c r="AG75" s="54"/>
      <c r="AH75" s="54"/>
      <c r="AI75" s="45"/>
      <c r="AJ75" s="60"/>
      <c r="AK75" s="2046" t="s">
        <v>155</v>
      </c>
      <c r="AL75" s="2047"/>
      <c r="AM75" s="2048"/>
      <c r="AN75" s="2012" t="str">
        <f>IF(Transfer!$C$280=1,"--",(((Transfer!AD101+Transfer!AD102+Transfer!AD103))))</f>
        <v>--</v>
      </c>
      <c r="AO75" s="2014">
        <f>IF(Transfer!$C$280=1,(((Transfer!AD101+Transfer!AD102+Transfer!AD103) - (Transfer!AC136+Transfer!AC137+Transfer!AC138))/Transfer!AC147)*100,(((Transfer!AD101+Transfer!AD102+Transfer!AD103) - (Transfer!AC101+Transfer!AC102+Transfer!AC103))/Transfer!AC112)*100)</f>
        <v>1.8081279001271489</v>
      </c>
      <c r="AP75" s="2014">
        <f>IF(Transfer!$C$280=1,(((Transfer!AE101+Transfer!AE102+Transfer!AE103) - (Transfer!AD136+Transfer!AD137+Transfer!AD138))/Transfer!AD147)*100,(((Transfer!AE101+Transfer!AE102+Transfer!AE103) - (Transfer!AD101+Transfer!AD102+Transfer!AD103))/Transfer!AD112)*100)</f>
        <v>1.0579962984388394</v>
      </c>
      <c r="AQ75" s="2014">
        <f>IF(Transfer!$C$280=1,(((Transfer!AF101+Transfer!AF102+Transfer!AF103) - (Transfer!AE136+Transfer!AE137+Transfer!AE138))/Transfer!AE147)*100,(((Transfer!AF101+Transfer!AF102+Transfer!AF103) - (Transfer!AE101+Transfer!AE102+Transfer!AE103))/Transfer!AE112)*100)</f>
        <v>1.8079978179393326</v>
      </c>
      <c r="AR75" s="2010">
        <f>IF(Transfer!$C$280=1,(((Transfer!AG101+Transfer!AG102+Transfer!AG103) - (Transfer!AF136+Transfer!AF137+Transfer!AF138))/Transfer!AF147)*100,(((Transfer!AG101+Transfer!AG102+Transfer!AG103) - (Transfer!AF101+Transfer!AF102+Transfer!AF103))/Transfer!AF112)*100)</f>
        <v>1.7706956587878027</v>
      </c>
      <c r="AS75" s="82"/>
      <c r="AT75" s="149"/>
      <c r="AU75" s="134"/>
      <c r="AV75" s="134"/>
      <c r="AW75" s="45"/>
      <c r="AX75" s="54"/>
      <c r="AY75" s="54"/>
      <c r="AZ75" s="54"/>
      <c r="BA75" s="1898" t="s">
        <v>1788</v>
      </c>
      <c r="BB75" s="54"/>
      <c r="BC75" s="54"/>
    </row>
    <row r="76" spans="1:55">
      <c r="A76" s="45"/>
      <c r="B76" s="1575"/>
      <c r="C76" s="2388" t="s">
        <v>1578</v>
      </c>
      <c r="D76" s="2389"/>
      <c r="E76" s="2390" t="s">
        <v>1500</v>
      </c>
      <c r="F76" s="2391" t="str">
        <f>IF(Transfer!$C$280=1,"--",Transfer!D107-Transfer!C107)</f>
        <v>--</v>
      </c>
      <c r="G76" s="2999">
        <f ca="1">IF(Transfer!$C$280=1,((Transfer!D107 - Transfer!C142)/Transfer!C147)*100,((Transfer!D107 - Transfer!C107)/Transfer!C112)*100)</f>
        <v>0.22831866250537391</v>
      </c>
      <c r="H76" s="2999">
        <f ca="1">IF(Transfer!$C$280=1,((Transfer!E107 - Transfer!D142)/Transfer!D147)*100,((Transfer!E107 - Transfer!D107)/Transfer!D112)*100)</f>
        <v>0.22638952433806522</v>
      </c>
      <c r="I76" s="2999">
        <f ca="1">IF(Transfer!$C$280=1,((Transfer!F107 - Transfer!E142)/Transfer!E147)*100,((Transfer!F107 - Transfer!E107)/Transfer!E112)*100)</f>
        <v>0</v>
      </c>
      <c r="J76" s="1891">
        <f ca="1">IF(Transfer!$C$280=1,((Transfer!G107 - Transfer!F142)/Transfer!F147)*100,((Transfer!G107 - Transfer!F107)/Transfer!F112)*100)</f>
        <v>0</v>
      </c>
      <c r="K76" s="2328"/>
      <c r="L76" s="149"/>
      <c r="M76" s="134"/>
      <c r="N76" s="134"/>
      <c r="O76" s="45"/>
      <c r="P76" s="54"/>
      <c r="Q76" s="54"/>
      <c r="R76" s="54"/>
      <c r="S76" s="60"/>
      <c r="T76" s="179" t="s">
        <v>1578</v>
      </c>
      <c r="U76" s="49"/>
      <c r="V76" s="180" t="s">
        <v>1500</v>
      </c>
      <c r="W76" s="91" t="e">
        <f t="shared" si="6"/>
        <v>#VALUE!</v>
      </c>
      <c r="X76" s="91">
        <f t="shared" ca="1" si="6"/>
        <v>0</v>
      </c>
      <c r="Y76" s="91">
        <f t="shared" ca="1" si="6"/>
        <v>0</v>
      </c>
      <c r="Z76" s="91">
        <f t="shared" ca="1" si="6"/>
        <v>0</v>
      </c>
      <c r="AA76" s="93">
        <f t="shared" ca="1" si="6"/>
        <v>0</v>
      </c>
      <c r="AB76" s="82"/>
      <c r="AC76" s="54"/>
      <c r="AD76" s="54"/>
      <c r="AE76" s="54"/>
      <c r="AF76" s="54"/>
      <c r="AG76" s="54"/>
      <c r="AH76" s="54"/>
      <c r="AI76" s="45"/>
      <c r="AJ76" s="60"/>
      <c r="AK76" s="2046" t="s">
        <v>1578</v>
      </c>
      <c r="AL76" s="2047"/>
      <c r="AM76" s="2048" t="s">
        <v>1500</v>
      </c>
      <c r="AN76" s="2012" t="str">
        <f>IF(Transfer!$C$280=1,"--",Transfer!AD107-Transfer!AC107)</f>
        <v>--</v>
      </c>
      <c r="AO76" s="2012">
        <f>IF(Transfer!$C$280=1,((Transfer!AD107 - Transfer!AC142)/Transfer!AC147)*100,((Transfer!AD107 - Transfer!AC107)/Transfer!AC112)*100)</f>
        <v>0.22831866250537391</v>
      </c>
      <c r="AP76" s="2012">
        <f>IF(Transfer!$C$280=1,((Transfer!AE107 - Transfer!AD142)/Transfer!AD147)*100,((Transfer!AE107 - Transfer!AD107)/Transfer!AD112)*100)</f>
        <v>0.22638952433806522</v>
      </c>
      <c r="AQ76" s="2012">
        <f>IF(Transfer!$C$280=1,((Transfer!AF107 - Transfer!AE142)/Transfer!AE147)*100,((Transfer!AF107 - Transfer!AE107)/Transfer!AE112)*100)</f>
        <v>0</v>
      </c>
      <c r="AR76" s="2011">
        <f>IF(Transfer!$C$280=1,((Transfer!AG107 - Transfer!AF142)/Transfer!AF147)*100,((Transfer!AG107 - Transfer!AF107)/Transfer!AF112)*100)</f>
        <v>0</v>
      </c>
      <c r="AS76" s="82"/>
      <c r="AT76" s="149"/>
      <c r="AU76" s="134"/>
      <c r="AV76" s="134"/>
      <c r="AW76" s="45"/>
      <c r="AX76" s="54"/>
      <c r="AY76" s="54"/>
      <c r="AZ76" s="54"/>
      <c r="BA76" s="1899" t="s">
        <v>1789</v>
      </c>
      <c r="BB76" s="54"/>
      <c r="BC76" s="54"/>
    </row>
    <row r="77" spans="1:55" ht="13.8" thickBot="1">
      <c r="A77" s="45"/>
      <c r="B77" s="1575"/>
      <c r="C77" s="2392" t="s">
        <v>183</v>
      </c>
      <c r="D77" s="2393"/>
      <c r="E77" s="2394" t="s">
        <v>184</v>
      </c>
      <c r="F77" s="2395" t="str">
        <f>IF(Transfer!$C$280=1,"--",Transfer!D108+Transfer!D109-Transfer!D110-Transfer!D111)</f>
        <v>--</v>
      </c>
      <c r="G77" s="3000">
        <f ca="1">IF(Transfer!$C$280=1,(((Transfer!D108+Transfer!D109-Transfer!D110-Transfer!D111) - (Transfer!C143+Transfer!C144-Transfer!C145-Transfer!C146)) / Transfer!C147)*100,(((Transfer!D108+Transfer!D109-Transfer!D110-Transfer!D111) - (Transfer!C108+Transfer!C109-Transfer!C110-Transfer!C111)) / Transfer!C112)*100)</f>
        <v>-0.5704451953569678</v>
      </c>
      <c r="H77" s="3000">
        <f ca="1">IF(Transfer!$C$280=1,(((Transfer!E108+Transfer!E109-Transfer!E110-Transfer!E111) - (Transfer!D143+Transfer!D144-Transfer!D145-Transfer!D146)) / Transfer!D147)*100,(((Transfer!E108+Transfer!E109-Transfer!E110-Transfer!E111) - (Transfer!D108+Transfer!D109-Transfer!D110-Transfer!D111)) / Transfer!D112)*100)</f>
        <v>0.40213943862654583</v>
      </c>
      <c r="I77" s="3000">
        <f ca="1">IF(Transfer!$C$280=1,(((Transfer!F108+Transfer!F109-Transfer!F110-Transfer!F111) - (Transfer!E143+Transfer!E144-Transfer!E145-Transfer!E146)) / Transfer!E147)*100,(((Transfer!F108+Transfer!F109-Transfer!F110-Transfer!F111) - (Transfer!E108+Transfer!E109-Transfer!E110-Transfer!E111)) / Transfer!E112)*100)</f>
        <v>3.5484484518853168E-4</v>
      </c>
      <c r="J77" s="3001">
        <f ca="1">IF(Transfer!$C$280=1,(((Transfer!G108+Transfer!G109-Transfer!G110-Transfer!G111) - (Transfer!F143+Transfer!F144-Transfer!F145-Transfer!F146)) / Transfer!F147)*100,(((Transfer!G108+Transfer!G109-Transfer!G110-Transfer!G111) - (Transfer!F108+Transfer!F109-Transfer!F110-Transfer!F111)) / Transfer!F112)*100)</f>
        <v>-3.7769176717055188E-2</v>
      </c>
      <c r="K77" s="2328"/>
      <c r="L77" s="149"/>
      <c r="M77" s="134"/>
      <c r="N77" s="134"/>
      <c r="O77" s="45"/>
      <c r="P77" s="54"/>
      <c r="Q77" s="54"/>
      <c r="R77" s="54"/>
      <c r="S77" s="60"/>
      <c r="T77" s="181" t="s">
        <v>183</v>
      </c>
      <c r="U77" s="182"/>
      <c r="V77" s="183" t="s">
        <v>184</v>
      </c>
      <c r="W77" s="413" t="e">
        <f t="shared" si="6"/>
        <v>#VALUE!</v>
      </c>
      <c r="X77" s="413">
        <f t="shared" ca="1" si="6"/>
        <v>0</v>
      </c>
      <c r="Y77" s="413">
        <f t="shared" ca="1" si="6"/>
        <v>0</v>
      </c>
      <c r="Z77" s="413">
        <f t="shared" ca="1" si="6"/>
        <v>0</v>
      </c>
      <c r="AA77" s="112">
        <f t="shared" ca="1" si="6"/>
        <v>0</v>
      </c>
      <c r="AB77" s="82"/>
      <c r="AC77" s="54"/>
      <c r="AD77" s="54"/>
      <c r="AE77" s="54"/>
      <c r="AF77" s="54"/>
      <c r="AG77" s="54"/>
      <c r="AH77" s="54"/>
      <c r="AI77" s="45"/>
      <c r="AJ77" s="60"/>
      <c r="AK77" s="2049" t="s">
        <v>183</v>
      </c>
      <c r="AL77" s="2050"/>
      <c r="AM77" s="2051" t="s">
        <v>184</v>
      </c>
      <c r="AN77" s="2013" t="str">
        <f>IF(Transfer!$C$280=1,"--",Transfer!AD108+Transfer!AD109-Transfer!AD110-Transfer!AD111)</f>
        <v>--</v>
      </c>
      <c r="AO77" s="2013">
        <f>IF(Transfer!$C$280=1,(((Transfer!AD108+Transfer!AD109-Transfer!AD110-Transfer!AD111) - (Transfer!AC143+Transfer!AC144-Transfer!AC145-Transfer!AC146)) / Transfer!AC147)*100,(((Transfer!AD108+Transfer!AD109-Transfer!AD110-Transfer!AD111) - (Transfer!AC108+Transfer!AC109-Transfer!AC110-Transfer!AC111)) / Transfer!AC112)*100)</f>
        <v>-0.5704451953569678</v>
      </c>
      <c r="AP77" s="2013">
        <f>IF(Transfer!$C$280=1,(((Transfer!AE108+Transfer!AE109-Transfer!AE110-Transfer!AE111) - (Transfer!AD143+Transfer!AD144-Transfer!AD145-Transfer!AD146)) / Transfer!AD147)*100,(((Transfer!AE108+Transfer!AE109-Transfer!AE110-Transfer!AE111) - (Transfer!AD108+Transfer!AD109-Transfer!AD110-Transfer!AD111)) / Transfer!AD112)*100)</f>
        <v>0.40213943862654583</v>
      </c>
      <c r="AQ77" s="2013">
        <f>IF(Transfer!$C$280=1,(((Transfer!AF108+Transfer!AF109-Transfer!AF110-Transfer!AF111) - (Transfer!AE143+Transfer!AE144-Transfer!AE145-Transfer!AE146)) / Transfer!AE147)*100,(((Transfer!AF108+Transfer!AF109-Transfer!AF110-Transfer!AF111) - (Transfer!AE108+Transfer!AE109-Transfer!AE110-Transfer!AE111)) / Transfer!AE112)*100)</f>
        <v>3.5484484518853168E-4</v>
      </c>
      <c r="AR77" s="2015">
        <f>IF(Transfer!$C$280=1,(((Transfer!AG108+Transfer!AG109-Transfer!AG110-Transfer!AG111) - (Transfer!AF143+Transfer!AF144-Transfer!AF145-Transfer!AF146)) / Transfer!AF147)*100,(((Transfer!AG108+Transfer!AG109-Transfer!AG110-Transfer!AG111) - (Transfer!AF108+Transfer!AF109-Transfer!AF110-Transfer!AF111)) / Transfer!AF112)*100)</f>
        <v>-2.6217108936201886E-2</v>
      </c>
      <c r="AS77" s="82"/>
      <c r="AT77" s="149"/>
      <c r="AU77" s="134"/>
      <c r="AV77" s="134"/>
      <c r="AW77" s="45"/>
      <c r="AX77" s="54"/>
      <c r="AY77" s="54"/>
      <c r="AZ77" s="54"/>
      <c r="BA77" s="1900" t="s">
        <v>1549</v>
      </c>
      <c r="BB77" s="54"/>
      <c r="BC77" s="54"/>
    </row>
    <row r="78" spans="1:55">
      <c r="A78" s="45"/>
      <c r="B78" s="1614"/>
      <c r="C78" s="2359"/>
      <c r="D78" s="2359"/>
      <c r="E78" s="2359"/>
      <c r="F78" s="2359"/>
      <c r="G78" s="2359"/>
      <c r="H78" s="2359"/>
      <c r="I78" s="2359"/>
      <c r="J78" s="2360" t="str">
        <f>UPPER(Country)</f>
        <v>BELGIUM</v>
      </c>
      <c r="K78" s="1615"/>
      <c r="L78" s="54"/>
      <c r="M78" s="134"/>
      <c r="N78" s="134"/>
      <c r="O78" s="45"/>
      <c r="P78" s="54"/>
      <c r="Q78" s="54"/>
      <c r="R78" s="54"/>
      <c r="S78" s="114"/>
      <c r="T78" s="116"/>
      <c r="U78" s="116"/>
      <c r="V78" s="116"/>
      <c r="W78" s="116"/>
      <c r="X78" s="116"/>
      <c r="Y78" s="117"/>
      <c r="Z78" s="116"/>
      <c r="AA78" s="118" t="str">
        <f>UPPER(Country)</f>
        <v>BELGIUM</v>
      </c>
      <c r="AB78" s="119"/>
      <c r="AC78" s="54"/>
      <c r="AD78" s="54"/>
      <c r="AE78" s="54"/>
      <c r="AF78" s="54"/>
      <c r="AG78" s="54"/>
      <c r="AH78" s="54"/>
      <c r="AI78" s="45"/>
      <c r="AJ78" s="114"/>
      <c r="AK78" s="116"/>
      <c r="AL78" s="116"/>
      <c r="AM78" s="116"/>
      <c r="AN78" s="116"/>
      <c r="AO78" s="116"/>
      <c r="AP78" s="117"/>
      <c r="AQ78" s="116"/>
      <c r="AR78" s="118" t="str">
        <f>UPPER(Country)</f>
        <v>BELGIUM</v>
      </c>
      <c r="AS78" s="119"/>
      <c r="AT78" s="54"/>
      <c r="AU78" s="134"/>
      <c r="AV78" s="134"/>
      <c r="AW78" s="45"/>
      <c r="AX78" s="54"/>
      <c r="AY78" s="54"/>
      <c r="AZ78" s="54"/>
      <c r="BA78" s="54"/>
      <c r="BB78" s="54"/>
      <c r="BC78" s="54"/>
    </row>
    <row r="79" spans="1:55">
      <c r="A79" s="45"/>
      <c r="B79" s="45"/>
      <c r="C79" s="184"/>
      <c r="D79" s="184"/>
      <c r="E79" s="185"/>
      <c r="F79" s="185"/>
      <c r="G79" s="185"/>
      <c r="H79" s="185"/>
      <c r="I79" s="185"/>
      <c r="J79" s="185"/>
      <c r="K79" s="50"/>
      <c r="L79" s="54"/>
      <c r="M79" s="134"/>
      <c r="N79" s="134"/>
      <c r="O79" s="45"/>
      <c r="P79" s="54"/>
      <c r="Q79" s="54"/>
      <c r="R79" s="54"/>
      <c r="S79" s="54"/>
      <c r="T79" s="54"/>
      <c r="U79" s="54"/>
      <c r="V79" s="54"/>
      <c r="W79" s="54"/>
      <c r="X79" s="54"/>
      <c r="Y79" s="54"/>
      <c r="Z79" s="54"/>
      <c r="AA79" s="54"/>
      <c r="AB79" s="54"/>
      <c r="AC79" s="54"/>
      <c r="AD79" s="54"/>
      <c r="AE79" s="54"/>
      <c r="AF79" s="54"/>
      <c r="AG79" s="54"/>
      <c r="AH79" s="54"/>
      <c r="AI79" s="45"/>
      <c r="AJ79" s="45"/>
      <c r="AK79" s="184"/>
      <c r="AL79" s="184"/>
      <c r="AM79" s="185"/>
      <c r="AN79" s="185"/>
      <c r="AO79" s="185"/>
      <c r="AP79" s="185"/>
      <c r="AQ79" s="185"/>
      <c r="AR79" s="185"/>
      <c r="AS79" s="50"/>
      <c r="AT79" s="54"/>
      <c r="AU79" s="134"/>
      <c r="AV79" s="134"/>
      <c r="AW79" s="45"/>
      <c r="AX79" s="54"/>
      <c r="AY79" s="54"/>
      <c r="AZ79" s="54"/>
      <c r="BA79" s="54"/>
      <c r="BB79" s="54"/>
      <c r="BC79" s="54"/>
    </row>
    <row r="80" spans="1:55">
      <c r="A80" s="45"/>
      <c r="B80" s="45"/>
      <c r="C80" s="54"/>
      <c r="D80" s="54"/>
      <c r="E80" s="54"/>
      <c r="F80" s="54"/>
      <c r="G80" s="54"/>
      <c r="H80" s="54"/>
      <c r="I80" s="54"/>
      <c r="J80" s="54"/>
      <c r="K80" s="54"/>
      <c r="L80" s="54"/>
      <c r="M80" s="134"/>
      <c r="N80" s="134"/>
      <c r="O80" s="45"/>
      <c r="P80" s="54"/>
      <c r="Q80" s="54"/>
      <c r="R80" s="54"/>
      <c r="S80" s="54"/>
      <c r="T80" s="54"/>
      <c r="U80" s="54"/>
      <c r="V80" s="54"/>
      <c r="W80" s="54"/>
      <c r="X80" s="54"/>
      <c r="Y80" s="54"/>
      <c r="Z80" s="54"/>
      <c r="AA80" s="54"/>
      <c r="AB80" s="54"/>
      <c r="AC80" s="54"/>
      <c r="AD80" s="54"/>
      <c r="AE80" s="54"/>
      <c r="AF80" s="54"/>
      <c r="AG80" s="54"/>
      <c r="AH80" s="54"/>
      <c r="AI80" s="45"/>
      <c r="AJ80" s="45"/>
      <c r="AK80" s="54"/>
      <c r="AL80" s="54"/>
      <c r="AM80" s="54"/>
      <c r="AN80" s="54"/>
      <c r="AO80" s="54"/>
      <c r="AP80" s="54"/>
      <c r="AQ80" s="54"/>
      <c r="AR80" s="54"/>
      <c r="AS80" s="54"/>
      <c r="AT80" s="54"/>
      <c r="AU80" s="134"/>
      <c r="AV80" s="134"/>
      <c r="AW80" s="45"/>
      <c r="AX80" s="54"/>
      <c r="AY80" s="54"/>
      <c r="AZ80" s="54"/>
      <c r="BA80" s="54"/>
      <c r="BB80" s="54"/>
      <c r="BC80" s="54"/>
    </row>
    <row r="81" spans="1:55">
      <c r="A81" s="45"/>
      <c r="B81" s="45"/>
      <c r="C81" s="54"/>
      <c r="D81" s="54"/>
      <c r="E81" s="54"/>
      <c r="F81" s="54"/>
      <c r="G81" s="54"/>
      <c r="H81" s="54"/>
      <c r="I81" s="54"/>
      <c r="J81" s="54"/>
      <c r="K81" s="54"/>
      <c r="L81" s="54"/>
      <c r="M81" s="134"/>
      <c r="N81" s="134"/>
      <c r="O81" s="45"/>
      <c r="P81" s="54"/>
      <c r="Q81" s="54"/>
      <c r="R81" s="54"/>
      <c r="S81" s="54"/>
      <c r="T81" s="54"/>
      <c r="U81" s="54"/>
      <c r="V81" s="54"/>
      <c r="W81" s="54"/>
      <c r="X81" s="54"/>
      <c r="Y81" s="54"/>
      <c r="Z81" s="54"/>
      <c r="AA81" s="54"/>
      <c r="AB81" s="54"/>
      <c r="AC81" s="54"/>
      <c r="AD81" s="54"/>
      <c r="AE81" s="54"/>
      <c r="AF81" s="54"/>
      <c r="AG81" s="54"/>
      <c r="AH81" s="54"/>
      <c r="AI81" s="45"/>
      <c r="AJ81" s="45"/>
      <c r="AK81" s="54"/>
      <c r="AL81" s="54"/>
      <c r="AM81" s="54"/>
      <c r="AN81" s="54"/>
      <c r="AO81" s="54"/>
      <c r="AP81" s="54"/>
      <c r="AQ81" s="54"/>
      <c r="AR81" s="54"/>
      <c r="AS81" s="54"/>
      <c r="AT81" s="54"/>
      <c r="AU81" s="134"/>
      <c r="AV81" s="134"/>
      <c r="AW81" s="45"/>
      <c r="AX81" s="54"/>
      <c r="AY81" s="54"/>
      <c r="AZ81" s="54"/>
      <c r="BA81" s="54"/>
      <c r="BB81" s="54"/>
      <c r="BC81" s="54"/>
    </row>
    <row r="82" spans="1:55">
      <c r="A82" s="45"/>
      <c r="B82" s="45"/>
      <c r="C82" s="54"/>
      <c r="D82" s="54"/>
      <c r="E82" s="54"/>
      <c r="F82" s="54"/>
      <c r="G82" s="54"/>
      <c r="H82" s="54"/>
      <c r="I82" s="54"/>
      <c r="J82" s="54"/>
      <c r="K82" s="54"/>
      <c r="L82" s="54"/>
      <c r="M82" s="54"/>
      <c r="N82" s="54"/>
      <c r="O82" s="54"/>
      <c r="P82" s="54"/>
      <c r="Q82" s="54"/>
      <c r="R82" s="54"/>
      <c r="S82" s="54"/>
      <c r="T82" s="54"/>
      <c r="U82" s="54"/>
      <c r="V82" s="54"/>
      <c r="W82" s="54"/>
      <c r="X82" s="54"/>
      <c r="Y82" s="54"/>
      <c r="Z82" s="54"/>
      <c r="AA82" s="54"/>
      <c r="AB82" s="54"/>
      <c r="AC82" s="54"/>
      <c r="AD82" s="54"/>
      <c r="AE82" s="54"/>
      <c r="AF82" s="54"/>
      <c r="AG82" s="54"/>
      <c r="AH82" s="54"/>
      <c r="AI82" s="45"/>
      <c r="AJ82" s="45"/>
      <c r="AK82" s="54"/>
      <c r="AL82" s="54"/>
      <c r="AM82" s="54"/>
      <c r="AN82" s="54"/>
      <c r="AO82" s="54"/>
      <c r="AP82" s="54"/>
      <c r="AQ82" s="54"/>
      <c r="AR82" s="54"/>
      <c r="AS82" s="54"/>
      <c r="AT82" s="54"/>
      <c r="AU82" s="54"/>
      <c r="AV82" s="54"/>
      <c r="AW82" s="54"/>
      <c r="AX82" s="54"/>
      <c r="AY82" s="54"/>
      <c r="AZ82" s="54"/>
      <c r="BA82" s="54"/>
      <c r="BB82" s="54"/>
      <c r="BC82" s="54"/>
    </row>
    <row r="83" spans="1:55">
      <c r="A83" s="45"/>
      <c r="B83" s="45"/>
      <c r="C83" s="54"/>
      <c r="D83" s="54"/>
      <c r="E83" s="54"/>
      <c r="F83" s="54"/>
      <c r="G83" s="54"/>
      <c r="H83" s="54"/>
      <c r="I83" s="54"/>
      <c r="J83" s="54"/>
      <c r="K83" s="54"/>
      <c r="L83" s="54"/>
      <c r="M83" s="54"/>
      <c r="N83" s="54"/>
      <c r="O83" s="54"/>
      <c r="P83" s="54"/>
      <c r="Q83" s="54"/>
      <c r="R83" s="54"/>
      <c r="S83" s="54"/>
      <c r="T83" s="54"/>
      <c r="U83" s="54"/>
      <c r="V83" s="54"/>
      <c r="W83" s="54"/>
      <c r="X83" s="54"/>
      <c r="Y83" s="54"/>
      <c r="Z83" s="54"/>
      <c r="AA83" s="54"/>
      <c r="AB83" s="54"/>
      <c r="AC83" s="54"/>
      <c r="AD83" s="54"/>
      <c r="AE83" s="54"/>
      <c r="AF83" s="54"/>
      <c r="AG83" s="54"/>
      <c r="AH83" s="54"/>
      <c r="AI83" s="45"/>
      <c r="AJ83" s="45"/>
      <c r="AK83" s="54"/>
      <c r="AL83" s="54"/>
      <c r="AM83" s="54"/>
      <c r="AN83" s="54"/>
      <c r="AO83" s="54"/>
      <c r="AP83" s="54"/>
      <c r="AQ83" s="54"/>
      <c r="AR83" s="54"/>
      <c r="AS83" s="54"/>
      <c r="AT83" s="54"/>
      <c r="AU83" s="54"/>
      <c r="AV83" s="54"/>
      <c r="AW83" s="54"/>
      <c r="AX83" s="54"/>
      <c r="AY83" s="54"/>
      <c r="AZ83" s="54"/>
      <c r="BA83" s="54"/>
      <c r="BB83" s="54"/>
      <c r="BC83" s="54"/>
    </row>
    <row r="84" spans="1:55" ht="14.25" customHeight="1">
      <c r="A84" s="45"/>
      <c r="B84" s="45"/>
      <c r="C84" s="45"/>
      <c r="D84" s="54"/>
      <c r="E84" s="54"/>
      <c r="F84" s="54"/>
      <c r="G84" s="54"/>
      <c r="H84" s="54"/>
      <c r="I84" s="54"/>
      <c r="J84" s="54"/>
      <c r="K84" s="54"/>
      <c r="L84" s="54"/>
      <c r="M84" s="54"/>
      <c r="N84" s="45"/>
      <c r="O84" s="45"/>
      <c r="P84" s="54"/>
      <c r="Q84" s="54"/>
      <c r="R84" s="54"/>
      <c r="S84" s="54"/>
      <c r="T84" s="54"/>
      <c r="U84" s="54"/>
      <c r="V84" s="54"/>
      <c r="W84" s="54"/>
      <c r="X84" s="54"/>
      <c r="Y84" s="54"/>
      <c r="Z84" s="54"/>
      <c r="AA84" s="54"/>
      <c r="AB84" s="54"/>
      <c r="AC84" s="54"/>
      <c r="AD84" s="54"/>
      <c r="AE84" s="54"/>
      <c r="AF84" s="54"/>
      <c r="AG84" s="54"/>
      <c r="AH84" s="54"/>
      <c r="AI84" s="45"/>
      <c r="AJ84" s="45"/>
      <c r="AK84" s="45"/>
      <c r="AL84" s="54"/>
      <c r="AM84" s="54"/>
      <c r="AN84" s="54"/>
      <c r="AO84" s="54"/>
      <c r="AP84" s="54"/>
      <c r="AQ84" s="54"/>
      <c r="AR84" s="54"/>
      <c r="AS84" s="54"/>
      <c r="AT84" s="54"/>
      <c r="AU84" s="54"/>
      <c r="AV84" s="45"/>
      <c r="AW84" s="45"/>
      <c r="AX84" s="54"/>
      <c r="AY84" s="54"/>
      <c r="AZ84" s="54"/>
      <c r="BA84" s="54"/>
      <c r="BB84" s="54"/>
      <c r="BC84" s="54"/>
    </row>
    <row r="85" spans="1:55">
      <c r="A85" s="45"/>
      <c r="B85" s="45"/>
      <c r="C85" s="45"/>
      <c r="D85" s="54"/>
      <c r="E85" s="54"/>
      <c r="F85" s="54"/>
      <c r="G85" s="54"/>
      <c r="H85" s="54"/>
      <c r="I85" s="54"/>
      <c r="J85" s="54"/>
      <c r="K85" s="54"/>
      <c r="L85" s="54"/>
      <c r="M85" s="54"/>
      <c r="N85" s="45"/>
      <c r="O85" s="45"/>
      <c r="P85" s="54"/>
      <c r="Q85" s="54"/>
      <c r="R85" s="54"/>
      <c r="S85" s="54"/>
      <c r="T85" s="54"/>
      <c r="U85" s="54"/>
      <c r="V85" s="54"/>
      <c r="W85" s="54"/>
      <c r="X85" s="54"/>
      <c r="Y85" s="54"/>
      <c r="Z85" s="54"/>
      <c r="AA85" s="54"/>
      <c r="AB85" s="54"/>
      <c r="AC85" s="54"/>
      <c r="AD85" s="54"/>
      <c r="AE85" s="54"/>
      <c r="AF85" s="54"/>
      <c r="AG85" s="54"/>
      <c r="AH85" s="54"/>
      <c r="AI85" s="45"/>
      <c r="AJ85" s="45"/>
      <c r="AK85" s="45"/>
      <c r="AL85" s="54"/>
      <c r="AM85" s="54"/>
      <c r="AN85" s="54"/>
      <c r="AO85" s="54"/>
      <c r="AP85" s="54"/>
      <c r="AQ85" s="54"/>
      <c r="AR85" s="54"/>
      <c r="AS85" s="54"/>
      <c r="AT85" s="54"/>
      <c r="AU85" s="54"/>
      <c r="AV85" s="45"/>
      <c r="AW85" s="45"/>
      <c r="AX85" s="54"/>
      <c r="AY85" s="54"/>
      <c r="AZ85" s="54"/>
      <c r="BA85" s="54"/>
      <c r="BB85" s="54"/>
      <c r="BC85" s="54"/>
    </row>
    <row r="86" spans="1:55">
      <c r="A86" s="45"/>
      <c r="B86" s="45"/>
      <c r="C86" s="45"/>
      <c r="D86" s="54"/>
      <c r="E86" s="54"/>
      <c r="F86" s="54"/>
      <c r="G86" s="54"/>
      <c r="H86" s="54"/>
      <c r="I86" s="54"/>
      <c r="J86" s="54"/>
      <c r="K86" s="54"/>
      <c r="L86" s="54"/>
      <c r="M86" s="54"/>
      <c r="N86" s="45"/>
      <c r="O86" s="45"/>
      <c r="P86" s="54"/>
      <c r="Q86" s="54"/>
      <c r="R86" s="54"/>
      <c r="S86" s="54"/>
      <c r="T86" s="54"/>
      <c r="U86" s="54"/>
      <c r="V86" s="54"/>
      <c r="W86" s="54"/>
      <c r="X86" s="54"/>
      <c r="Y86" s="54"/>
      <c r="Z86" s="54"/>
      <c r="AA86" s="54"/>
      <c r="AB86" s="54"/>
      <c r="AC86" s="54"/>
      <c r="AD86" s="54"/>
      <c r="AE86" s="54"/>
      <c r="AF86" s="54"/>
      <c r="AG86" s="54"/>
      <c r="AH86" s="54"/>
      <c r="AI86" s="45"/>
      <c r="AJ86" s="45"/>
      <c r="AK86" s="45"/>
      <c r="AL86" s="54"/>
      <c r="AM86" s="54"/>
      <c r="AN86" s="54"/>
      <c r="AO86" s="54"/>
      <c r="AP86" s="54"/>
      <c r="AQ86" s="54"/>
      <c r="AR86" s="54"/>
      <c r="AS86" s="54"/>
      <c r="AT86" s="54"/>
      <c r="AU86" s="54"/>
      <c r="AV86" s="45"/>
      <c r="AW86" s="45"/>
      <c r="AX86" s="54"/>
      <c r="AY86" s="54"/>
      <c r="AZ86" s="54"/>
      <c r="BA86" s="54"/>
      <c r="BB86" s="54"/>
      <c r="BC86" s="54"/>
    </row>
    <row r="87" spans="1:55">
      <c r="A87" s="45"/>
      <c r="B87" s="45"/>
      <c r="C87" s="45"/>
      <c r="D87" s="45"/>
      <c r="E87" s="45"/>
      <c r="F87" s="45"/>
      <c r="G87" s="45"/>
      <c r="H87" s="45"/>
      <c r="I87" s="45"/>
      <c r="J87" s="45"/>
      <c r="K87" s="186"/>
      <c r="L87" s="45"/>
      <c r="M87" s="45"/>
      <c r="N87" s="45"/>
      <c r="O87" s="45"/>
      <c r="P87" s="54"/>
      <c r="Q87" s="54"/>
      <c r="R87" s="54"/>
      <c r="S87" s="54"/>
      <c r="T87" s="54"/>
      <c r="U87" s="54"/>
      <c r="V87" s="54"/>
      <c r="W87" s="54"/>
      <c r="X87" s="54"/>
      <c r="Y87" s="54"/>
      <c r="Z87" s="54"/>
      <c r="AA87" s="54"/>
      <c r="AB87" s="54"/>
      <c r="AC87" s="54"/>
      <c r="AD87" s="54"/>
      <c r="AE87" s="54"/>
      <c r="AF87" s="54"/>
      <c r="AG87" s="54"/>
      <c r="AH87" s="54"/>
      <c r="AI87" s="45"/>
      <c r="AJ87" s="45"/>
      <c r="AK87" s="45"/>
      <c r="AL87" s="45"/>
      <c r="AM87" s="45"/>
      <c r="AN87" s="45"/>
      <c r="AO87" s="45"/>
      <c r="AP87" s="45"/>
      <c r="AQ87" s="45"/>
      <c r="AR87" s="45"/>
      <c r="AS87" s="186"/>
      <c r="AT87" s="45"/>
      <c r="AU87" s="45"/>
      <c r="AV87" s="45"/>
      <c r="AW87" s="45"/>
      <c r="AX87" s="54"/>
      <c r="AY87" s="54"/>
      <c r="AZ87" s="54"/>
      <c r="BA87" s="54"/>
      <c r="BB87" s="54"/>
      <c r="BC87" s="54"/>
    </row>
    <row r="88" spans="1:55">
      <c r="A88" s="45"/>
      <c r="B88" s="45"/>
      <c r="C88" s="45"/>
      <c r="D88" s="45"/>
      <c r="E88" s="45"/>
      <c r="F88" s="45"/>
      <c r="G88" s="45"/>
      <c r="H88" s="45"/>
      <c r="I88" s="45"/>
      <c r="J88" s="45"/>
      <c r="K88" s="54"/>
      <c r="L88" s="45"/>
      <c r="M88" s="45"/>
      <c r="N88" s="45"/>
      <c r="O88" s="45"/>
      <c r="P88" s="54"/>
      <c r="Q88" s="54"/>
      <c r="R88" s="54"/>
      <c r="S88" s="54"/>
      <c r="T88" s="54"/>
      <c r="U88" s="54"/>
      <c r="V88" s="54"/>
      <c r="W88" s="54"/>
      <c r="X88" s="54"/>
      <c r="Y88" s="54"/>
      <c r="Z88" s="54"/>
      <c r="AA88" s="54"/>
      <c r="AB88" s="54"/>
      <c r="AC88" s="54"/>
      <c r="AD88" s="54"/>
      <c r="AE88" s="54"/>
      <c r="AF88" s="54"/>
      <c r="AG88" s="54"/>
      <c r="AH88" s="54"/>
      <c r="AI88" s="45"/>
      <c r="AJ88" s="45"/>
      <c r="AK88" s="45"/>
      <c r="AL88" s="45"/>
      <c r="AM88" s="45"/>
      <c r="AN88" s="45"/>
      <c r="AO88" s="45"/>
      <c r="AP88" s="45"/>
      <c r="AQ88" s="45"/>
      <c r="AR88" s="45"/>
      <c r="AS88" s="54"/>
      <c r="AT88" s="45"/>
      <c r="AU88" s="45"/>
      <c r="AV88" s="45"/>
      <c r="AW88" s="45"/>
      <c r="AX88" s="54"/>
      <c r="AY88" s="54"/>
      <c r="AZ88" s="54"/>
      <c r="BA88" s="54"/>
      <c r="BB88" s="54"/>
      <c r="BC88" s="54"/>
    </row>
    <row r="89" spans="1:55">
      <c r="A89" s="45"/>
      <c r="B89" s="45"/>
      <c r="C89" s="45"/>
      <c r="D89" s="45"/>
      <c r="E89" s="45"/>
      <c r="F89" s="45"/>
      <c r="G89" s="45"/>
      <c r="H89" s="45"/>
      <c r="I89" s="45"/>
      <c r="J89" s="45"/>
      <c r="K89" s="45"/>
      <c r="L89" s="45"/>
      <c r="M89" s="45"/>
      <c r="N89" s="45"/>
      <c r="O89" s="45"/>
      <c r="P89" s="54"/>
      <c r="Q89" s="54"/>
      <c r="R89" s="54"/>
      <c r="S89" s="54"/>
      <c r="T89" s="54"/>
      <c r="U89" s="54"/>
      <c r="V89" s="54"/>
      <c r="W89" s="54"/>
      <c r="X89" s="54"/>
      <c r="Y89" s="54"/>
      <c r="Z89" s="54"/>
      <c r="AA89" s="54"/>
      <c r="AB89" s="54"/>
      <c r="AC89" s="54"/>
      <c r="AD89" s="54"/>
      <c r="AE89" s="54"/>
      <c r="AF89" s="54"/>
      <c r="AG89" s="54"/>
      <c r="AH89" s="54"/>
      <c r="AI89" s="45"/>
      <c r="AJ89" s="45"/>
      <c r="AK89" s="45"/>
      <c r="AL89" s="45"/>
      <c r="AM89" s="45"/>
      <c r="AN89" s="45"/>
      <c r="AO89" s="45"/>
      <c r="AP89" s="45"/>
      <c r="AQ89" s="45"/>
      <c r="AR89" s="45"/>
      <c r="AS89" s="45"/>
      <c r="AT89" s="45"/>
      <c r="AU89" s="45"/>
      <c r="AV89" s="45"/>
      <c r="AW89" s="45"/>
      <c r="AX89" s="54"/>
      <c r="AY89" s="54"/>
      <c r="AZ89" s="54"/>
      <c r="BA89" s="54"/>
      <c r="BB89" s="54"/>
      <c r="BC89" s="54"/>
    </row>
    <row r="90" spans="1:55">
      <c r="A90" s="45"/>
      <c r="B90" s="45"/>
      <c r="C90" s="45"/>
      <c r="D90" s="45"/>
      <c r="E90" s="45"/>
      <c r="F90" s="45"/>
      <c r="G90" s="45"/>
      <c r="H90" s="45"/>
      <c r="I90" s="45"/>
      <c r="J90" s="45"/>
      <c r="K90" s="45"/>
      <c r="L90" s="45"/>
      <c r="M90" s="45"/>
      <c r="N90" s="45"/>
      <c r="O90" s="45"/>
      <c r="P90" s="54"/>
      <c r="Q90" s="54"/>
      <c r="R90" s="54"/>
      <c r="S90" s="54"/>
      <c r="T90" s="54"/>
      <c r="U90" s="54"/>
      <c r="V90" s="54"/>
      <c r="W90" s="54"/>
      <c r="X90" s="54"/>
      <c r="Y90" s="54"/>
      <c r="Z90" s="54"/>
      <c r="AA90" s="54"/>
      <c r="AB90" s="54"/>
      <c r="AC90" s="54"/>
      <c r="AD90" s="54"/>
      <c r="AE90" s="54"/>
      <c r="AF90" s="54"/>
      <c r="AG90" s="54"/>
      <c r="AH90" s="54"/>
      <c r="AI90" s="45"/>
      <c r="AJ90" s="45"/>
      <c r="AK90" s="45"/>
      <c r="AL90" s="45"/>
      <c r="AM90" s="45"/>
      <c r="AN90" s="45"/>
      <c r="AO90" s="45"/>
      <c r="AP90" s="45"/>
      <c r="AQ90" s="45"/>
      <c r="AR90" s="45"/>
      <c r="AS90" s="45"/>
      <c r="AT90" s="45"/>
      <c r="AU90" s="45"/>
      <c r="AV90" s="45"/>
      <c r="AW90" s="45"/>
      <c r="AX90" s="54"/>
      <c r="AY90" s="54"/>
      <c r="AZ90" s="54"/>
      <c r="BA90" s="54"/>
      <c r="BB90" s="54"/>
      <c r="BC90" s="54"/>
    </row>
    <row r="91" spans="1:5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54"/>
      <c r="AD91" s="54"/>
      <c r="AE91" s="54"/>
      <c r="AF91" s="54"/>
      <c r="AG91" s="54"/>
      <c r="AH91" s="54"/>
      <c r="AI91" s="45"/>
      <c r="AJ91" s="45"/>
      <c r="AK91" s="45"/>
      <c r="AL91" s="45"/>
      <c r="AM91" s="45"/>
      <c r="AN91" s="45"/>
      <c r="AO91" s="45"/>
      <c r="AP91" s="45"/>
      <c r="AQ91" s="45"/>
      <c r="AR91" s="45"/>
      <c r="AS91" s="45"/>
      <c r="AT91" s="45"/>
      <c r="AU91" s="45"/>
      <c r="AV91" s="45"/>
      <c r="AW91" s="45"/>
      <c r="AX91" s="45"/>
      <c r="AY91" s="45"/>
      <c r="AZ91" s="54"/>
      <c r="BA91" s="45"/>
      <c r="BB91" s="54"/>
      <c r="BC91" s="54"/>
    </row>
    <row r="92" spans="1:55">
      <c r="A92" s="45"/>
      <c r="B92" s="2301"/>
      <c r="C92" s="2302" t="s">
        <v>528</v>
      </c>
      <c r="D92" s="2396"/>
      <c r="E92" s="2396"/>
      <c r="F92" s="2396"/>
      <c r="G92" s="2396"/>
      <c r="H92" s="2396"/>
      <c r="I92" s="2396"/>
      <c r="J92" s="2396"/>
      <c r="K92" s="2396"/>
      <c r="L92" s="2396"/>
      <c r="M92" s="2396"/>
      <c r="N92" s="2396"/>
      <c r="O92" s="2396"/>
      <c r="P92" s="2396"/>
      <c r="Q92" s="2397"/>
      <c r="R92" s="45"/>
      <c r="S92" s="187"/>
      <c r="T92" s="56" t="s">
        <v>528</v>
      </c>
      <c r="U92" s="23"/>
      <c r="V92" s="23"/>
      <c r="W92" s="23"/>
      <c r="X92" s="23"/>
      <c r="Y92" s="23"/>
      <c r="Z92" s="23"/>
      <c r="AA92" s="23"/>
      <c r="AB92" s="23"/>
      <c r="AC92" s="23"/>
      <c r="AD92" s="23"/>
      <c r="AE92" s="23"/>
      <c r="AF92" s="23"/>
      <c r="AG92" s="23"/>
      <c r="AH92" s="188"/>
      <c r="AI92" s="45"/>
      <c r="AJ92" s="187"/>
      <c r="AK92" s="56" t="s">
        <v>528</v>
      </c>
      <c r="AL92" s="23"/>
      <c r="AM92" s="23"/>
      <c r="AN92" s="23"/>
      <c r="AO92" s="23"/>
      <c r="AP92" s="23"/>
      <c r="AQ92" s="23"/>
      <c r="AR92" s="23"/>
      <c r="AS92" s="23"/>
      <c r="AT92" s="23"/>
      <c r="AU92" s="23"/>
      <c r="AV92" s="23"/>
      <c r="AW92" s="23"/>
      <c r="AX92" s="23"/>
      <c r="AY92" s="188"/>
      <c r="AZ92" s="54"/>
      <c r="BA92" s="45"/>
      <c r="BB92" s="54"/>
      <c r="BC92" s="54"/>
    </row>
    <row r="93" spans="1:55">
      <c r="A93" s="45"/>
      <c r="B93" s="1575"/>
      <c r="C93" s="4182" t="s">
        <v>948</v>
      </c>
      <c r="D93" s="4182"/>
      <c r="E93" s="4182"/>
      <c r="F93" s="4182"/>
      <c r="G93" s="4182"/>
      <c r="H93" s="4182"/>
      <c r="I93" s="4182"/>
      <c r="J93" s="4182"/>
      <c r="K93" s="4182"/>
      <c r="L93" s="4182"/>
      <c r="M93" s="4182"/>
      <c r="N93" s="4182"/>
      <c r="O93" s="4182"/>
      <c r="P93" s="4182"/>
      <c r="Q93" s="1574"/>
      <c r="R93" s="45"/>
      <c r="S93" s="189"/>
      <c r="T93" s="4183" t="s">
        <v>948</v>
      </c>
      <c r="U93" s="4183"/>
      <c r="V93" s="4183"/>
      <c r="W93" s="4183"/>
      <c r="X93" s="4183"/>
      <c r="Y93" s="4183"/>
      <c r="Z93" s="4183"/>
      <c r="AA93" s="4183"/>
      <c r="AB93" s="4183"/>
      <c r="AC93" s="4183"/>
      <c r="AD93" s="4183"/>
      <c r="AE93" s="4183"/>
      <c r="AF93" s="4183"/>
      <c r="AG93" s="4183"/>
      <c r="AH93" s="90"/>
      <c r="AI93" s="45"/>
      <c r="AJ93" s="189"/>
      <c r="AK93" s="4183" t="s">
        <v>948</v>
      </c>
      <c r="AL93" s="4183"/>
      <c r="AM93" s="4183"/>
      <c r="AN93" s="4183"/>
      <c r="AO93" s="4183"/>
      <c r="AP93" s="4183"/>
      <c r="AQ93" s="4183"/>
      <c r="AR93" s="4183"/>
      <c r="AS93" s="4183"/>
      <c r="AT93" s="4183"/>
      <c r="AU93" s="4183"/>
      <c r="AV93" s="4183"/>
      <c r="AW93" s="4183"/>
      <c r="AX93" s="4183"/>
      <c r="AY93" s="90"/>
      <c r="AZ93" s="54"/>
      <c r="BA93" s="45"/>
      <c r="BB93" s="54"/>
      <c r="BC93" s="54"/>
    </row>
    <row r="94" spans="1:55">
      <c r="A94" s="45"/>
      <c r="B94" s="1575"/>
      <c r="C94" s="2398"/>
      <c r="D94" s="2398"/>
      <c r="E94" s="2398"/>
      <c r="F94" s="2398"/>
      <c r="G94" s="2398"/>
      <c r="H94" s="2398"/>
      <c r="I94" s="2398"/>
      <c r="J94" s="2398"/>
      <c r="K94" s="2398"/>
      <c r="L94" s="2398"/>
      <c r="M94" s="2398"/>
      <c r="N94" s="2398"/>
      <c r="O94" s="2398"/>
      <c r="P94" s="2398"/>
      <c r="Q94" s="1574"/>
      <c r="R94" s="45"/>
      <c r="S94" s="189"/>
      <c r="T94" s="1"/>
      <c r="U94" s="1"/>
      <c r="V94" s="1"/>
      <c r="W94" s="1"/>
      <c r="X94" s="1"/>
      <c r="Y94" s="1"/>
      <c r="Z94" s="1"/>
      <c r="AA94" s="1"/>
      <c r="AB94" s="1"/>
      <c r="AC94" s="1"/>
      <c r="AD94" s="1"/>
      <c r="AE94" s="1"/>
      <c r="AF94" s="1"/>
      <c r="AG94" s="1"/>
      <c r="AH94" s="90"/>
      <c r="AI94" s="45"/>
      <c r="AJ94" s="189"/>
      <c r="AK94" s="1"/>
      <c r="AL94" s="1"/>
      <c r="AM94" s="1"/>
      <c r="AN94" s="1"/>
      <c r="AO94" s="1"/>
      <c r="AP94" s="1"/>
      <c r="AQ94" s="1"/>
      <c r="AR94" s="1"/>
      <c r="AS94" s="1"/>
      <c r="AT94" s="1"/>
      <c r="AU94" s="1"/>
      <c r="AV94" s="1"/>
      <c r="AW94" s="1"/>
      <c r="AX94" s="1"/>
      <c r="AY94" s="90"/>
      <c r="AZ94" s="54"/>
      <c r="BA94" s="45"/>
      <c r="BB94" s="54"/>
      <c r="BC94" s="54"/>
    </row>
    <row r="95" spans="1:55" ht="15.6">
      <c r="A95" s="45"/>
      <c r="B95" s="1575"/>
      <c r="C95" s="2309" t="str">
        <f>"Country: " &amp;UPPER(Country)</f>
        <v>Country: BELGIUM</v>
      </c>
      <c r="D95" s="2310"/>
      <c r="E95" s="2398"/>
      <c r="F95" s="2398"/>
      <c r="G95" s="2398"/>
      <c r="H95" s="2398"/>
      <c r="I95" s="2398"/>
      <c r="J95" s="2398"/>
      <c r="K95" s="2398"/>
      <c r="L95" s="2398"/>
      <c r="M95" s="2398"/>
      <c r="N95" s="2398"/>
      <c r="O95" s="2398"/>
      <c r="P95" s="2398"/>
      <c r="Q95" s="1574"/>
      <c r="R95" s="45"/>
      <c r="S95" s="189"/>
      <c r="T95" s="63" t="str">
        <f>"Country: " &amp;UPPER(Country)</f>
        <v>Country: BELGIUM</v>
      </c>
      <c r="U95" s="64"/>
      <c r="V95" s="1"/>
      <c r="W95" s="1"/>
      <c r="X95" s="1915" t="s">
        <v>724</v>
      </c>
      <c r="Y95" s="1"/>
      <c r="Z95" s="1"/>
      <c r="AA95" s="1"/>
      <c r="AB95" s="1"/>
      <c r="AC95" s="1"/>
      <c r="AD95" s="1"/>
      <c r="AE95" s="1"/>
      <c r="AF95" s="1"/>
      <c r="AG95" s="1"/>
      <c r="AH95" s="90"/>
      <c r="AI95" s="45"/>
      <c r="AJ95" s="189"/>
      <c r="AK95" s="63" t="str">
        <f>"Country: " &amp;UPPER(Country)</f>
        <v>Country: BELGIUM</v>
      </c>
      <c r="AL95" s="64"/>
      <c r="AM95" s="1"/>
      <c r="AN95" s="1"/>
      <c r="AO95" s="1"/>
      <c r="AP95" s="1"/>
      <c r="AQ95" s="1"/>
      <c r="AR95" s="1"/>
      <c r="AS95" s="1"/>
      <c r="AT95" s="1"/>
      <c r="AU95" s="1"/>
      <c r="AV95" s="1"/>
      <c r="AW95" s="1"/>
      <c r="AX95" s="1"/>
      <c r="AY95" s="90"/>
      <c r="AZ95" s="54"/>
      <c r="BA95" s="45"/>
      <c r="BB95" s="54"/>
      <c r="BC95" s="54"/>
    </row>
    <row r="96" spans="1:55" ht="15.6">
      <c r="A96" s="45"/>
      <c r="B96" s="1575"/>
      <c r="C96" s="2309" t="str">
        <f>"Currency unit: " &amp; Currency</f>
        <v>Currency unit: bn EUR</v>
      </c>
      <c r="D96" s="2313"/>
      <c r="E96" s="2398"/>
      <c r="F96" s="2398"/>
      <c r="G96" s="2398"/>
      <c r="H96" s="2398"/>
      <c r="I96" s="2398"/>
      <c r="J96" s="2398"/>
      <c r="K96" s="2398"/>
      <c r="L96" s="2398"/>
      <c r="M96" s="2398"/>
      <c r="N96" s="2398"/>
      <c r="O96" s="2398"/>
      <c r="P96" s="2398"/>
      <c r="Q96" s="1574"/>
      <c r="R96" s="45"/>
      <c r="S96" s="189"/>
      <c r="T96" s="63" t="str">
        <f>"Currency unit: " &amp; Currency</f>
        <v>Currency unit: bn EUR</v>
      </c>
      <c r="U96" s="67"/>
      <c r="V96" s="1"/>
      <c r="W96" s="1"/>
      <c r="X96" s="1915" t="str">
        <f>$T$4</f>
        <v>SF2018 - final storage FRI</v>
      </c>
      <c r="Y96" s="1"/>
      <c r="Z96" s="1"/>
      <c r="AA96" s="1"/>
      <c r="AB96" s="1"/>
      <c r="AC96" s="1"/>
      <c r="AD96" s="1"/>
      <c r="AE96" s="1"/>
      <c r="AF96" s="1"/>
      <c r="AG96" s="1"/>
      <c r="AH96" s="90"/>
      <c r="AI96" s="45"/>
      <c r="AJ96" s="189"/>
      <c r="AK96" s="63" t="str">
        <f>"Currency unit: " &amp; Currency</f>
        <v>Currency unit: bn EUR</v>
      </c>
      <c r="AL96" s="67"/>
      <c r="AM96" s="1"/>
      <c r="AN96" s="1"/>
      <c r="AO96" s="1"/>
      <c r="AP96" s="1"/>
      <c r="AQ96" s="1"/>
      <c r="AR96" s="1"/>
      <c r="AS96" s="1"/>
      <c r="AT96" s="1"/>
      <c r="AU96" s="1"/>
      <c r="AV96" s="1"/>
      <c r="AW96" s="1"/>
      <c r="AX96" s="1"/>
      <c r="AY96" s="90"/>
      <c r="AZ96" s="54"/>
      <c r="BA96" s="45"/>
      <c r="BB96" s="54"/>
      <c r="BC96" s="54"/>
    </row>
    <row r="97" spans="1:256">
      <c r="A97" s="45"/>
      <c r="B97" s="1575"/>
      <c r="C97" s="2315" t="s">
        <v>1641</v>
      </c>
      <c r="D97" s="2398"/>
      <c r="E97" s="2398"/>
      <c r="F97" s="2398"/>
      <c r="G97" s="2398"/>
      <c r="H97" s="2398"/>
      <c r="I97" s="2398"/>
      <c r="J97" s="2398"/>
      <c r="K97" s="2398"/>
      <c r="L97" s="2398"/>
      <c r="M97" s="2398"/>
      <c r="N97" s="2398"/>
      <c r="O97" s="2398"/>
      <c r="P97" s="2398"/>
      <c r="Q97" s="1574"/>
      <c r="R97" s="45"/>
      <c r="S97" s="189"/>
      <c r="T97" s="69" t="s">
        <v>1641</v>
      </c>
      <c r="U97" s="1"/>
      <c r="V97" s="1"/>
      <c r="W97" s="1"/>
      <c r="X97" s="1"/>
      <c r="Y97" s="1"/>
      <c r="Z97" s="1"/>
      <c r="AA97" s="1"/>
      <c r="AB97" s="1"/>
      <c r="AC97" s="1"/>
      <c r="AD97" s="1"/>
      <c r="AE97" s="1"/>
      <c r="AF97" s="1"/>
      <c r="AG97" s="1"/>
      <c r="AH97" s="90"/>
      <c r="AI97" s="45"/>
      <c r="AJ97" s="189"/>
      <c r="AK97" s="69" t="s">
        <v>1641</v>
      </c>
      <c r="AL97" s="1"/>
      <c r="AM97" s="1"/>
      <c r="AN97" s="1"/>
      <c r="AO97" s="1"/>
      <c r="AP97" s="1"/>
      <c r="AQ97" s="1"/>
      <c r="AR97" s="1"/>
      <c r="AS97" s="1"/>
      <c r="AT97" s="1"/>
      <c r="AU97" s="1"/>
      <c r="AV97" s="1"/>
      <c r="AW97" s="1"/>
      <c r="AX97" s="1"/>
      <c r="AY97" s="90"/>
      <c r="AZ97" s="54"/>
      <c r="BA97" s="45"/>
      <c r="BB97" s="54"/>
      <c r="BC97" s="54"/>
    </row>
    <row r="98" spans="1:256" ht="13.8" thickBot="1">
      <c r="A98" s="45"/>
      <c r="B98" s="1575"/>
      <c r="C98" s="2398"/>
      <c r="D98" s="2398"/>
      <c r="E98" s="2398"/>
      <c r="F98" s="2398"/>
      <c r="G98" s="2398"/>
      <c r="H98" s="2398"/>
      <c r="I98" s="2398"/>
      <c r="J98" s="2398"/>
      <c r="K98" s="2398"/>
      <c r="L98" s="2398"/>
      <c r="M98" s="2398"/>
      <c r="N98" s="2398"/>
      <c r="O98" s="4159">
        <f ca="1">NOW()</f>
        <v>43213.646692361108</v>
      </c>
      <c r="P98" s="4159"/>
      <c r="Q98" s="1574"/>
      <c r="R98" s="45"/>
      <c r="S98" s="189"/>
      <c r="T98" s="1"/>
      <c r="U98" s="1"/>
      <c r="V98" s="1"/>
      <c r="W98" s="1"/>
      <c r="X98" s="1"/>
      <c r="Y98" s="1"/>
      <c r="Z98" s="1"/>
      <c r="AA98" s="1"/>
      <c r="AB98" s="1"/>
      <c r="AC98" s="1"/>
      <c r="AD98" s="1"/>
      <c r="AE98" s="1"/>
      <c r="AF98" s="4160">
        <f ca="1">NOW()</f>
        <v>43213.646692361108</v>
      </c>
      <c r="AG98" s="4160"/>
      <c r="AH98" s="90"/>
      <c r="AI98" s="45"/>
      <c r="AJ98" s="189"/>
      <c r="AK98" s="1"/>
      <c r="AL98" s="1"/>
      <c r="AM98" s="1"/>
      <c r="AN98" s="1"/>
      <c r="AO98" s="1"/>
      <c r="AP98" s="1"/>
      <c r="AQ98" s="1"/>
      <c r="AR98" s="1"/>
      <c r="AS98" s="1"/>
      <c r="AT98" s="1"/>
      <c r="AU98" s="1"/>
      <c r="AV98" s="1"/>
      <c r="AW98" s="4160">
        <f ca="1">NOW()</f>
        <v>43213.646692361108</v>
      </c>
      <c r="AX98" s="4160"/>
      <c r="AY98" s="90"/>
      <c r="AZ98" s="54"/>
      <c r="BA98" s="45"/>
      <c r="BB98" s="54"/>
      <c r="BC98" s="54"/>
    </row>
    <row r="99" spans="1:256">
      <c r="A99" s="45"/>
      <c r="B99" s="1575"/>
      <c r="C99" s="2317"/>
      <c r="D99" s="2318"/>
      <c r="E99" s="4173">
        <f>F16</f>
        <v>2017</v>
      </c>
      <c r="F99" s="4184"/>
      <c r="G99" s="4184"/>
      <c r="H99" s="4174"/>
      <c r="I99" s="4173">
        <f>E99+1</f>
        <v>2018</v>
      </c>
      <c r="J99" s="4184"/>
      <c r="K99" s="4184"/>
      <c r="L99" s="4174"/>
      <c r="M99" s="4173">
        <f>I99+1</f>
        <v>2019</v>
      </c>
      <c r="N99" s="4184"/>
      <c r="O99" s="4184"/>
      <c r="P99" s="4185"/>
      <c r="Q99" s="2400"/>
      <c r="R99" s="45"/>
      <c r="S99" s="189"/>
      <c r="T99" s="190"/>
      <c r="U99" s="73"/>
      <c r="V99" s="4175">
        <f>Last_forecast_year-2</f>
        <v>2017</v>
      </c>
      <c r="W99" s="4186"/>
      <c r="X99" s="4186"/>
      <c r="Y99" s="4176"/>
      <c r="Z99" s="4175">
        <f>V99+1</f>
        <v>2018</v>
      </c>
      <c r="AA99" s="4186"/>
      <c r="AB99" s="4186"/>
      <c r="AC99" s="4176"/>
      <c r="AD99" s="4175">
        <f>Z99+1</f>
        <v>2019</v>
      </c>
      <c r="AE99" s="4186"/>
      <c r="AF99" s="4186"/>
      <c r="AG99" s="4187"/>
      <c r="AH99" s="191"/>
      <c r="AI99" s="45"/>
      <c r="AJ99" s="189"/>
      <c r="AK99" s="190"/>
      <c r="AL99" s="73"/>
      <c r="AM99" s="4175">
        <f>Last_forecast_year - 2</f>
        <v>2017</v>
      </c>
      <c r="AN99" s="4186"/>
      <c r="AO99" s="4186"/>
      <c r="AP99" s="4176"/>
      <c r="AQ99" s="4175">
        <f>AM99+1</f>
        <v>2018</v>
      </c>
      <c r="AR99" s="4186"/>
      <c r="AS99" s="4186"/>
      <c r="AT99" s="4176"/>
      <c r="AU99" s="4175">
        <f>AQ99+1</f>
        <v>2019</v>
      </c>
      <c r="AV99" s="4186"/>
      <c r="AW99" s="4186"/>
      <c r="AX99" s="4187"/>
      <c r="AY99" s="191"/>
      <c r="AZ99" s="54"/>
      <c r="BA99" s="45"/>
      <c r="BB99" s="54"/>
      <c r="BC99" s="54"/>
    </row>
    <row r="100" spans="1:256">
      <c r="A100" s="45"/>
      <c r="B100" s="1575"/>
      <c r="C100" s="1576"/>
      <c r="D100" s="2311"/>
      <c r="E100" s="2401" t="s">
        <v>529</v>
      </c>
      <c r="F100" s="2401" t="s">
        <v>530</v>
      </c>
      <c r="G100" s="2401" t="s">
        <v>531</v>
      </c>
      <c r="H100" s="2401" t="s">
        <v>532</v>
      </c>
      <c r="I100" s="2401" t="s">
        <v>529</v>
      </c>
      <c r="J100" s="2401" t="s">
        <v>530</v>
      </c>
      <c r="K100" s="2401" t="s">
        <v>531</v>
      </c>
      <c r="L100" s="2401" t="s">
        <v>532</v>
      </c>
      <c r="M100" s="2401" t="s">
        <v>529</v>
      </c>
      <c r="N100" s="2401" t="s">
        <v>530</v>
      </c>
      <c r="O100" s="2401" t="s">
        <v>531</v>
      </c>
      <c r="P100" s="2402" t="s">
        <v>532</v>
      </c>
      <c r="Q100" s="2400"/>
      <c r="R100" s="45"/>
      <c r="S100" s="189"/>
      <c r="T100" s="40"/>
      <c r="U100" s="65"/>
      <c r="V100" s="192" t="s">
        <v>529</v>
      </c>
      <c r="W100" s="192" t="s">
        <v>530</v>
      </c>
      <c r="X100" s="192" t="s">
        <v>531</v>
      </c>
      <c r="Y100" s="192" t="s">
        <v>532</v>
      </c>
      <c r="Z100" s="192" t="s">
        <v>529</v>
      </c>
      <c r="AA100" s="192" t="s">
        <v>530</v>
      </c>
      <c r="AB100" s="192" t="s">
        <v>531</v>
      </c>
      <c r="AC100" s="192" t="s">
        <v>532</v>
      </c>
      <c r="AD100" s="192" t="s">
        <v>529</v>
      </c>
      <c r="AE100" s="192" t="s">
        <v>530</v>
      </c>
      <c r="AF100" s="192" t="s">
        <v>531</v>
      </c>
      <c r="AG100" s="193" t="s">
        <v>532</v>
      </c>
      <c r="AH100" s="191"/>
      <c r="AI100" s="45"/>
      <c r="AJ100" s="189"/>
      <c r="AK100" s="40"/>
      <c r="AL100" s="65"/>
      <c r="AM100" s="192" t="s">
        <v>529</v>
      </c>
      <c r="AN100" s="192" t="s">
        <v>530</v>
      </c>
      <c r="AO100" s="192" t="s">
        <v>531</v>
      </c>
      <c r="AP100" s="192" t="s">
        <v>532</v>
      </c>
      <c r="AQ100" s="192" t="s">
        <v>529</v>
      </c>
      <c r="AR100" s="192" t="s">
        <v>530</v>
      </c>
      <c r="AS100" s="192" t="s">
        <v>531</v>
      </c>
      <c r="AT100" s="192" t="s">
        <v>532</v>
      </c>
      <c r="AU100" s="192" t="s">
        <v>529</v>
      </c>
      <c r="AV100" s="192" t="s">
        <v>530</v>
      </c>
      <c r="AW100" s="192" t="s">
        <v>531</v>
      </c>
      <c r="AX100" s="193" t="s">
        <v>532</v>
      </c>
      <c r="AY100" s="191"/>
      <c r="AZ100" s="54"/>
      <c r="BA100" s="45"/>
      <c r="BB100" s="54"/>
      <c r="BC100" s="54"/>
    </row>
    <row r="101" spans="1:256" s="45" customFormat="1">
      <c r="B101" s="1575"/>
      <c r="C101" s="1576"/>
      <c r="D101" s="2311"/>
      <c r="E101" s="4188" t="s">
        <v>358</v>
      </c>
      <c r="F101" s="4189"/>
      <c r="G101" s="4189"/>
      <c r="H101" s="4189"/>
      <c r="I101" s="4189"/>
      <c r="J101" s="4189"/>
      <c r="K101" s="4189"/>
      <c r="L101" s="4189"/>
      <c r="M101" s="4189"/>
      <c r="N101" s="4189"/>
      <c r="O101" s="4189"/>
      <c r="P101" s="4190"/>
      <c r="Q101" s="2400"/>
      <c r="S101" s="189"/>
      <c r="T101" s="40"/>
      <c r="U101" s="65"/>
      <c r="V101" s="4191" t="s">
        <v>358</v>
      </c>
      <c r="W101" s="4192"/>
      <c r="X101" s="4192"/>
      <c r="Y101" s="4192"/>
      <c r="Z101" s="4192"/>
      <c r="AA101" s="4192"/>
      <c r="AB101" s="4192"/>
      <c r="AC101" s="4192"/>
      <c r="AD101" s="4192"/>
      <c r="AE101" s="4192"/>
      <c r="AF101" s="4192"/>
      <c r="AG101" s="4193"/>
      <c r="AH101" s="191"/>
      <c r="AJ101" s="189"/>
      <c r="AK101" s="40"/>
      <c r="AL101" s="65"/>
      <c r="AM101" s="4191" t="s">
        <v>358</v>
      </c>
      <c r="AN101" s="4192"/>
      <c r="AO101" s="4192"/>
      <c r="AP101" s="4192"/>
      <c r="AQ101" s="4192"/>
      <c r="AR101" s="4192"/>
      <c r="AS101" s="4192"/>
      <c r="AT101" s="4192"/>
      <c r="AU101" s="4192"/>
      <c r="AV101" s="4192"/>
      <c r="AW101" s="4192"/>
      <c r="AX101" s="4193"/>
      <c r="AY101" s="191"/>
      <c r="AZ101" s="54"/>
      <c r="BB101" s="54"/>
      <c r="BC101" s="54"/>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row>
    <row r="102" spans="1:256" s="45" customFormat="1">
      <c r="B102" s="1575"/>
      <c r="C102" s="1576"/>
      <c r="D102" s="2311"/>
      <c r="E102" s="4161" t="s">
        <v>359</v>
      </c>
      <c r="F102" s="4162"/>
      <c r="G102" s="4162"/>
      <c r="H102" s="4162"/>
      <c r="I102" s="4162"/>
      <c r="J102" s="4162"/>
      <c r="K102" s="4162"/>
      <c r="L102" s="4162"/>
      <c r="M102" s="4162"/>
      <c r="N102" s="4162"/>
      <c r="O102" s="4162"/>
      <c r="P102" s="4163"/>
      <c r="Q102" s="2308"/>
      <c r="S102" s="189"/>
      <c r="T102" s="40"/>
      <c r="U102" s="65"/>
      <c r="V102" s="4164" t="s">
        <v>359</v>
      </c>
      <c r="W102" s="4165"/>
      <c r="X102" s="4165"/>
      <c r="Y102" s="4165"/>
      <c r="Z102" s="4165"/>
      <c r="AA102" s="4165"/>
      <c r="AB102" s="4165"/>
      <c r="AC102" s="4165"/>
      <c r="AD102" s="4165"/>
      <c r="AE102" s="4165"/>
      <c r="AF102" s="4165"/>
      <c r="AG102" s="4166"/>
      <c r="AH102" s="62"/>
      <c r="AJ102" s="189"/>
      <c r="AK102" s="40"/>
      <c r="AL102" s="65"/>
      <c r="AM102" s="4164" t="s">
        <v>359</v>
      </c>
      <c r="AN102" s="4165"/>
      <c r="AO102" s="4165"/>
      <c r="AP102" s="4165"/>
      <c r="AQ102" s="4165"/>
      <c r="AR102" s="4165"/>
      <c r="AS102" s="4165"/>
      <c r="AT102" s="4165"/>
      <c r="AU102" s="4165"/>
      <c r="AV102" s="4165"/>
      <c r="AW102" s="4165"/>
      <c r="AX102" s="4166"/>
      <c r="AY102" s="62"/>
      <c r="AZ102" s="54"/>
      <c r="BB102" s="54"/>
      <c r="BC102" s="54"/>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row>
    <row r="103" spans="1:256" s="45" customFormat="1">
      <c r="B103" s="1575"/>
      <c r="C103" s="2344" t="s">
        <v>627</v>
      </c>
      <c r="D103" s="2303"/>
      <c r="E103" s="1930">
        <f ca="1">Transfer!D115</f>
        <v>0.35321821036107259</v>
      </c>
      <c r="F103" s="1930">
        <f ca="1">Transfer!E115</f>
        <v>0.42460472652101622</v>
      </c>
      <c r="G103" s="1930">
        <f ca="1">Transfer!F115</f>
        <v>0.20213259156236507</v>
      </c>
      <c r="H103" s="1930">
        <f ca="1">Transfer!G115</f>
        <v>0.14435355516897452</v>
      </c>
      <c r="I103" s="1930">
        <f ca="1">Transfer!H115</f>
        <v>0.53</v>
      </c>
      <c r="J103" s="1930">
        <f ca="1">Transfer!I115</f>
        <v>0.53</v>
      </c>
      <c r="K103" s="1930">
        <f ca="1">Transfer!J115</f>
        <v>0.53</v>
      </c>
      <c r="L103" s="1930">
        <f ca="1">Transfer!K115</f>
        <v>0.53</v>
      </c>
      <c r="M103" s="1930">
        <f ca="1">Transfer!L115</f>
        <v>0.38500000000000001</v>
      </c>
      <c r="N103" s="1930">
        <f ca="1">Transfer!M115</f>
        <v>0.38</v>
      </c>
      <c r="O103" s="1930">
        <f ca="1">Transfer!N115</f>
        <v>0.38</v>
      </c>
      <c r="P103" s="2272">
        <f ca="1">Transfer!O115</f>
        <v>0.38</v>
      </c>
      <c r="Q103" s="2405"/>
      <c r="S103" s="189"/>
      <c r="T103" s="147" t="s">
        <v>627</v>
      </c>
      <c r="U103" s="57"/>
      <c r="V103" s="194">
        <f t="shared" ref="V103:AG107" ca="1" si="7">ROUND(E103,1)-ROUND(AM103,1)</f>
        <v>0</v>
      </c>
      <c r="W103" s="194">
        <f t="shared" ca="1" si="7"/>
        <v>0</v>
      </c>
      <c r="X103" s="194">
        <f t="shared" ca="1" si="7"/>
        <v>0</v>
      </c>
      <c r="Y103" s="194">
        <f t="shared" ca="1" si="7"/>
        <v>0</v>
      </c>
      <c r="Z103" s="194">
        <f t="shared" ca="1" si="7"/>
        <v>0</v>
      </c>
      <c r="AA103" s="194">
        <f t="shared" ca="1" si="7"/>
        <v>0</v>
      </c>
      <c r="AB103" s="194">
        <f t="shared" ca="1" si="7"/>
        <v>0</v>
      </c>
      <c r="AC103" s="194">
        <f t="shared" ca="1" si="7"/>
        <v>0</v>
      </c>
      <c r="AD103" s="194">
        <f t="shared" ca="1" si="7"/>
        <v>0</v>
      </c>
      <c r="AE103" s="194">
        <f t="shared" ca="1" si="7"/>
        <v>0</v>
      </c>
      <c r="AF103" s="194">
        <f t="shared" ca="1" si="7"/>
        <v>0</v>
      </c>
      <c r="AG103" s="366">
        <f t="shared" ca="1" si="7"/>
        <v>0</v>
      </c>
      <c r="AH103" s="195"/>
      <c r="AJ103" s="189"/>
      <c r="AK103" s="147" t="s">
        <v>627</v>
      </c>
      <c r="AL103" s="57"/>
      <c r="AM103" s="194">
        <f>Transfer!AD115</f>
        <v>0.35321821036107259</v>
      </c>
      <c r="AN103" s="194">
        <f>Transfer!AE115</f>
        <v>0.42460472652101622</v>
      </c>
      <c r="AO103" s="194">
        <f>Transfer!AF115</f>
        <v>0.20213259156236507</v>
      </c>
      <c r="AP103" s="194">
        <f>Transfer!AG115</f>
        <v>0.14435355516897452</v>
      </c>
      <c r="AQ103" s="194">
        <f>Transfer!AH115</f>
        <v>0.53</v>
      </c>
      <c r="AR103" s="194">
        <f>Transfer!AI115</f>
        <v>0.53</v>
      </c>
      <c r="AS103" s="194">
        <f>Transfer!AJ115</f>
        <v>0.53</v>
      </c>
      <c r="AT103" s="194">
        <f>Transfer!AK115</f>
        <v>0.53</v>
      </c>
      <c r="AU103" s="194">
        <f>Transfer!AL115</f>
        <v>0.38500000000000001</v>
      </c>
      <c r="AV103" s="194">
        <f>Transfer!AM115</f>
        <v>0.38</v>
      </c>
      <c r="AW103" s="194">
        <f>Transfer!AN115</f>
        <v>0.38</v>
      </c>
      <c r="AX103" s="366">
        <f>Transfer!AO115</f>
        <v>0.38</v>
      </c>
      <c r="AY103" s="195"/>
      <c r="AZ103" s="54"/>
      <c r="BA103" s="531" t="s">
        <v>2119</v>
      </c>
      <c r="BB103" s="54"/>
      <c r="BC103" s="54"/>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row>
    <row r="104" spans="1:256" s="45" customFormat="1">
      <c r="B104" s="1575"/>
      <c r="C104" s="1576" t="s">
        <v>760</v>
      </c>
      <c r="D104" s="2311"/>
      <c r="E104" s="246">
        <f ca="1">Transfer!D116</f>
        <v>-0.24552223787482896</v>
      </c>
      <c r="F104" s="246">
        <f ca="1">Transfer!E116</f>
        <v>0.32682375726273971</v>
      </c>
      <c r="G104" s="246">
        <f ca="1">Transfer!F116</f>
        <v>0.41423687914741159</v>
      </c>
      <c r="H104" s="246">
        <f ca="1">Transfer!G116</f>
        <v>0.74495354053187857</v>
      </c>
      <c r="I104" s="246">
        <f ca="1">Transfer!H116</f>
        <v>-0.26</v>
      </c>
      <c r="J104" s="246">
        <f ca="1">Transfer!I116</f>
        <v>-0.26</v>
      </c>
      <c r="K104" s="246">
        <f ca="1">Transfer!J116</f>
        <v>-0.26</v>
      </c>
      <c r="L104" s="246">
        <f ca="1">Transfer!K116</f>
        <v>-0.26</v>
      </c>
      <c r="M104" s="246">
        <f ca="1">Transfer!L116</f>
        <v>0.6</v>
      </c>
      <c r="N104" s="246">
        <f ca="1">Transfer!M116</f>
        <v>0.6</v>
      </c>
      <c r="O104" s="246">
        <f ca="1">Transfer!N116</f>
        <v>0.6</v>
      </c>
      <c r="P104" s="321">
        <f ca="1">Transfer!O116</f>
        <v>0.6</v>
      </c>
      <c r="Q104" s="2405"/>
      <c r="S104" s="189"/>
      <c r="T104" s="40" t="s">
        <v>760</v>
      </c>
      <c r="U104" s="65"/>
      <c r="V104" s="196">
        <f t="shared" ca="1" si="7"/>
        <v>0</v>
      </c>
      <c r="W104" s="196">
        <f t="shared" ca="1" si="7"/>
        <v>0</v>
      </c>
      <c r="X104" s="196">
        <f t="shared" ca="1" si="7"/>
        <v>0</v>
      </c>
      <c r="Y104" s="196">
        <f t="shared" ca="1" si="7"/>
        <v>0</v>
      </c>
      <c r="Z104" s="196">
        <f t="shared" ca="1" si="7"/>
        <v>0</v>
      </c>
      <c r="AA104" s="196">
        <f t="shared" ca="1" si="7"/>
        <v>0</v>
      </c>
      <c r="AB104" s="196">
        <f t="shared" ca="1" si="7"/>
        <v>0</v>
      </c>
      <c r="AC104" s="196">
        <f t="shared" ca="1" si="7"/>
        <v>0</v>
      </c>
      <c r="AD104" s="196">
        <f t="shared" ca="1" si="7"/>
        <v>0</v>
      </c>
      <c r="AE104" s="196">
        <f t="shared" ca="1" si="7"/>
        <v>0</v>
      </c>
      <c r="AF104" s="196">
        <f t="shared" ca="1" si="7"/>
        <v>0</v>
      </c>
      <c r="AG104" s="342">
        <f t="shared" ca="1" si="7"/>
        <v>0</v>
      </c>
      <c r="AH104" s="195"/>
      <c r="AJ104" s="189"/>
      <c r="AK104" s="40" t="s">
        <v>760</v>
      </c>
      <c r="AL104" s="65"/>
      <c r="AM104" s="196">
        <f>Transfer!AD116</f>
        <v>-0.24552223787482896</v>
      </c>
      <c r="AN104" s="196">
        <f>Transfer!AE116</f>
        <v>0.32682375726273971</v>
      </c>
      <c r="AO104" s="196">
        <f>Transfer!AF116</f>
        <v>0.41423687914741159</v>
      </c>
      <c r="AP104" s="196">
        <f>Transfer!AG116</f>
        <v>0.74495354053187857</v>
      </c>
      <c r="AQ104" s="196">
        <f>Transfer!AH116</f>
        <v>-0.26</v>
      </c>
      <c r="AR104" s="196">
        <f>Transfer!AI116</f>
        <v>-0.26</v>
      </c>
      <c r="AS104" s="196">
        <f>Transfer!AJ116</f>
        <v>-0.26</v>
      </c>
      <c r="AT104" s="196">
        <f>Transfer!AK116</f>
        <v>-0.26</v>
      </c>
      <c r="AU104" s="196">
        <f>Transfer!AL116</f>
        <v>0.6</v>
      </c>
      <c r="AV104" s="196">
        <f>Transfer!AM116</f>
        <v>0.6</v>
      </c>
      <c r="AW104" s="196">
        <f>Transfer!AN116</f>
        <v>0.6</v>
      </c>
      <c r="AX104" s="342">
        <f>Transfer!AO116</f>
        <v>0.6</v>
      </c>
      <c r="AY104" s="195"/>
      <c r="AZ104" s="54"/>
      <c r="BA104" s="1587" t="s">
        <v>1225</v>
      </c>
      <c r="BB104" s="54"/>
      <c r="BC104" s="5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row>
    <row r="105" spans="1:256" s="45" customFormat="1">
      <c r="B105" s="1575"/>
      <c r="C105" s="2408" t="s">
        <v>1256</v>
      </c>
      <c r="D105" s="2389"/>
      <c r="E105" s="246">
        <f ca="1">Transfer!D117</f>
        <v>0.19964146023467855</v>
      </c>
      <c r="F105" s="246">
        <f ca="1">Transfer!E117</f>
        <v>0.87423250518439133</v>
      </c>
      <c r="G105" s="246">
        <f ca="1">Transfer!F117</f>
        <v>1.1528539180909458</v>
      </c>
      <c r="H105" s="246">
        <f ca="1">Transfer!G117</f>
        <v>7.9700326771403596E-3</v>
      </c>
      <c r="I105" s="246">
        <f ca="1">Transfer!H117</f>
        <v>1.2118664328976569</v>
      </c>
      <c r="J105" s="246">
        <f ca="1">Transfer!I117</f>
        <v>1.2674108360862801</v>
      </c>
      <c r="K105" s="246">
        <f ca="1">Transfer!J117</f>
        <v>1.2693063030658314</v>
      </c>
      <c r="L105" s="246">
        <f ca="1">Transfer!K117</f>
        <v>1.271196260444496</v>
      </c>
      <c r="M105" s="246">
        <f ca="1">Transfer!L117</f>
        <v>0.35075487953128981</v>
      </c>
      <c r="N105" s="246">
        <f ca="1">Transfer!M117</f>
        <v>0.35125009969576571</v>
      </c>
      <c r="O105" s="246">
        <f ca="1">Transfer!N117</f>
        <v>0.26876027108759803</v>
      </c>
      <c r="P105" s="321">
        <f ca="1">Transfer!O117</f>
        <v>0.24804898476988857</v>
      </c>
      <c r="Q105" s="2405"/>
      <c r="S105" s="189"/>
      <c r="T105" s="197" t="s">
        <v>1256</v>
      </c>
      <c r="U105" s="198"/>
      <c r="V105" s="196">
        <f t="shared" ca="1" si="7"/>
        <v>0</v>
      </c>
      <c r="W105" s="196">
        <f t="shared" ca="1" si="7"/>
        <v>0</v>
      </c>
      <c r="X105" s="196">
        <f t="shared" ca="1" si="7"/>
        <v>0</v>
      </c>
      <c r="Y105" s="196">
        <f t="shared" ca="1" si="7"/>
        <v>0</v>
      </c>
      <c r="Z105" s="196">
        <f t="shared" ca="1" si="7"/>
        <v>0</v>
      </c>
      <c r="AA105" s="196">
        <f t="shared" ca="1" si="7"/>
        <v>0</v>
      </c>
      <c r="AB105" s="196">
        <f t="shared" ca="1" si="7"/>
        <v>0</v>
      </c>
      <c r="AC105" s="196">
        <f t="shared" ca="1" si="7"/>
        <v>0</v>
      </c>
      <c r="AD105" s="196">
        <f t="shared" ca="1" si="7"/>
        <v>0</v>
      </c>
      <c r="AE105" s="196">
        <f t="shared" ca="1" si="7"/>
        <v>0</v>
      </c>
      <c r="AF105" s="196">
        <f t="shared" ca="1" si="7"/>
        <v>0</v>
      </c>
      <c r="AG105" s="342">
        <f t="shared" ca="1" si="7"/>
        <v>0</v>
      </c>
      <c r="AH105" s="199"/>
      <c r="AJ105" s="189"/>
      <c r="AK105" s="197" t="s">
        <v>1256</v>
      </c>
      <c r="AL105" s="198"/>
      <c r="AM105" s="196">
        <f>Transfer!AD117</f>
        <v>0.19964146023467855</v>
      </c>
      <c r="AN105" s="196">
        <f>Transfer!AE117</f>
        <v>0.87423250518439133</v>
      </c>
      <c r="AO105" s="196">
        <f>Transfer!AF117</f>
        <v>1.1528539180909458</v>
      </c>
      <c r="AP105" s="196">
        <f>Transfer!AG117</f>
        <v>7.9700326771403596E-3</v>
      </c>
      <c r="AQ105" s="196">
        <f>Transfer!AH117</f>
        <v>1.2118664328976569</v>
      </c>
      <c r="AR105" s="196">
        <f>Transfer!AI117</f>
        <v>1.2674108360862801</v>
      </c>
      <c r="AS105" s="196">
        <f>Transfer!AJ117</f>
        <v>1.2693063030658314</v>
      </c>
      <c r="AT105" s="196">
        <f>Transfer!AK117</f>
        <v>1.271196260444496</v>
      </c>
      <c r="AU105" s="196">
        <f>Transfer!AL117</f>
        <v>0.35075487953128981</v>
      </c>
      <c r="AV105" s="196">
        <f>Transfer!AM117</f>
        <v>0.35125009969576571</v>
      </c>
      <c r="AW105" s="196">
        <f>Transfer!AN117</f>
        <v>0.26876027108759803</v>
      </c>
      <c r="AX105" s="342">
        <f>Transfer!AO117</f>
        <v>0.24804898476988857</v>
      </c>
      <c r="AY105" s="199"/>
      <c r="AZ105" s="54"/>
      <c r="BA105" s="1587" t="s">
        <v>2120</v>
      </c>
      <c r="BB105" s="54"/>
      <c r="BC105" s="54"/>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row>
    <row r="106" spans="1:256" s="45" customFormat="1">
      <c r="B106" s="1575"/>
      <c r="C106" s="2409" t="s">
        <v>386</v>
      </c>
      <c r="D106" s="2410"/>
      <c r="E106" s="456">
        <f ca="1">Transfer!D118</f>
        <v>0.17201667687103406</v>
      </c>
      <c r="F106" s="456">
        <f ca="1">Transfer!E118</f>
        <v>0.50837262549234818</v>
      </c>
      <c r="G106" s="456">
        <f ca="1">Transfer!F118</f>
        <v>0.4807042607000378</v>
      </c>
      <c r="H106" s="456">
        <f ca="1">Transfer!G118</f>
        <v>0.25553335382724196</v>
      </c>
      <c r="I106" s="456">
        <f ca="1">Transfer!H118</f>
        <v>0.50355800003831774</v>
      </c>
      <c r="J106" s="456">
        <f ca="1">Transfer!I118</f>
        <v>0.51961113247069868</v>
      </c>
      <c r="K106" s="456">
        <f ca="1">Transfer!J118</f>
        <v>0.52286761830309114</v>
      </c>
      <c r="L106" s="456">
        <f ca="1">Transfer!K118</f>
        <v>0.52613168181772085</v>
      </c>
      <c r="M106" s="456">
        <f ca="1">Transfer!L118</f>
        <v>0.42675568179741941</v>
      </c>
      <c r="N106" s="456">
        <f ca="1">Transfer!M118</f>
        <v>0.42437861149153822</v>
      </c>
      <c r="O106" s="456">
        <f ca="1">Transfer!N118</f>
        <v>0.40407966192754774</v>
      </c>
      <c r="P106" s="457">
        <f ca="1">Transfer!O118</f>
        <v>0.39910377553002974</v>
      </c>
      <c r="Q106" s="2413"/>
      <c r="S106" s="189"/>
      <c r="T106" s="200" t="s">
        <v>386</v>
      </c>
      <c r="U106" s="201"/>
      <c r="V106" s="202">
        <f t="shared" ca="1" si="7"/>
        <v>0</v>
      </c>
      <c r="W106" s="202">
        <f t="shared" ca="1" si="7"/>
        <v>0</v>
      </c>
      <c r="X106" s="202">
        <f t="shared" ca="1" si="7"/>
        <v>0</v>
      </c>
      <c r="Y106" s="202">
        <f t="shared" ca="1" si="7"/>
        <v>0</v>
      </c>
      <c r="Z106" s="202">
        <f t="shared" ca="1" si="7"/>
        <v>0</v>
      </c>
      <c r="AA106" s="202">
        <f t="shared" ca="1" si="7"/>
        <v>0</v>
      </c>
      <c r="AB106" s="202">
        <f t="shared" ca="1" si="7"/>
        <v>0</v>
      </c>
      <c r="AC106" s="202">
        <f t="shared" ca="1" si="7"/>
        <v>0</v>
      </c>
      <c r="AD106" s="202">
        <f t="shared" ca="1" si="7"/>
        <v>0</v>
      </c>
      <c r="AE106" s="202">
        <f t="shared" ca="1" si="7"/>
        <v>0</v>
      </c>
      <c r="AF106" s="202">
        <f t="shared" ca="1" si="7"/>
        <v>0</v>
      </c>
      <c r="AG106" s="346">
        <f t="shared" ca="1" si="7"/>
        <v>0</v>
      </c>
      <c r="AH106" s="203"/>
      <c r="AJ106" s="189"/>
      <c r="AK106" s="200" t="s">
        <v>386</v>
      </c>
      <c r="AL106" s="201"/>
      <c r="AM106" s="202">
        <f>Transfer!AD118</f>
        <v>0.17201667687103406</v>
      </c>
      <c r="AN106" s="202">
        <f>Transfer!AE118</f>
        <v>0.50837262549234818</v>
      </c>
      <c r="AO106" s="202">
        <f>Transfer!AF118</f>
        <v>0.4807042607000378</v>
      </c>
      <c r="AP106" s="202">
        <f>Transfer!AG118</f>
        <v>0.25553335382724196</v>
      </c>
      <c r="AQ106" s="202">
        <f>Transfer!AH118</f>
        <v>0.50355800003831774</v>
      </c>
      <c r="AR106" s="202">
        <f>Transfer!AI118</f>
        <v>0.51961113247069868</v>
      </c>
      <c r="AS106" s="202">
        <f>Transfer!AJ118</f>
        <v>0.52286761830309114</v>
      </c>
      <c r="AT106" s="202">
        <f>Transfer!AK118</f>
        <v>0.52613168181772085</v>
      </c>
      <c r="AU106" s="202">
        <f>Transfer!AL118</f>
        <v>0.42675568179741941</v>
      </c>
      <c r="AV106" s="202">
        <f>Transfer!AM118</f>
        <v>0.42437861149153822</v>
      </c>
      <c r="AW106" s="202">
        <f>Transfer!AN118</f>
        <v>0.40407966192754774</v>
      </c>
      <c r="AX106" s="346">
        <f>Transfer!AO118</f>
        <v>0.39910377553002974</v>
      </c>
      <c r="AY106" s="203"/>
      <c r="AZ106" s="54"/>
      <c r="BA106" s="1587" t="s">
        <v>2121</v>
      </c>
      <c r="BB106" s="54"/>
      <c r="BC106" s="54"/>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row>
    <row r="107" spans="1:256" s="45" customFormat="1">
      <c r="B107" s="1575"/>
      <c r="C107" s="2414" t="s">
        <v>1519</v>
      </c>
      <c r="D107" s="2415"/>
      <c r="E107" s="246">
        <f ca="1">Transfer!D119</f>
        <v>0</v>
      </c>
      <c r="F107" s="246">
        <f ca="1">Transfer!E119</f>
        <v>0</v>
      </c>
      <c r="G107" s="246">
        <f ca="1">Transfer!F119</f>
        <v>0</v>
      </c>
      <c r="H107" s="246">
        <f ca="1">Transfer!G119</f>
        <v>0</v>
      </c>
      <c r="I107" s="246">
        <f ca="1">Transfer!H119</f>
        <v>0</v>
      </c>
      <c r="J107" s="246">
        <f ca="1">Transfer!I119</f>
        <v>0</v>
      </c>
      <c r="K107" s="246">
        <f ca="1">Transfer!J119</f>
        <v>0</v>
      </c>
      <c r="L107" s="246">
        <f ca="1">Transfer!K119</f>
        <v>0</v>
      </c>
      <c r="M107" s="246">
        <f ca="1">Transfer!L119</f>
        <v>0</v>
      </c>
      <c r="N107" s="246">
        <f ca="1">Transfer!M119</f>
        <v>0</v>
      </c>
      <c r="O107" s="246">
        <f ca="1">Transfer!N119</f>
        <v>0</v>
      </c>
      <c r="P107" s="321">
        <f ca="1">Transfer!O119</f>
        <v>0</v>
      </c>
      <c r="Q107" s="2405"/>
      <c r="S107" s="189"/>
      <c r="T107" s="204" t="s">
        <v>1519</v>
      </c>
      <c r="U107" s="205"/>
      <c r="V107" s="194">
        <f t="shared" ca="1" si="7"/>
        <v>0</v>
      </c>
      <c r="W107" s="194">
        <f t="shared" ca="1" si="7"/>
        <v>0</v>
      </c>
      <c r="X107" s="194">
        <f t="shared" ca="1" si="7"/>
        <v>0</v>
      </c>
      <c r="Y107" s="194">
        <f t="shared" ca="1" si="7"/>
        <v>0</v>
      </c>
      <c r="Z107" s="194">
        <f t="shared" ca="1" si="7"/>
        <v>0</v>
      </c>
      <c r="AA107" s="194">
        <f t="shared" ca="1" si="7"/>
        <v>0</v>
      </c>
      <c r="AB107" s="194">
        <f t="shared" ca="1" si="7"/>
        <v>0</v>
      </c>
      <c r="AC107" s="194">
        <f t="shared" ca="1" si="7"/>
        <v>0</v>
      </c>
      <c r="AD107" s="194">
        <f t="shared" ca="1" si="7"/>
        <v>0</v>
      </c>
      <c r="AE107" s="194">
        <f t="shared" ca="1" si="7"/>
        <v>0</v>
      </c>
      <c r="AF107" s="194">
        <f t="shared" ca="1" si="7"/>
        <v>0</v>
      </c>
      <c r="AG107" s="366">
        <f t="shared" ca="1" si="7"/>
        <v>0</v>
      </c>
      <c r="AH107" s="195"/>
      <c r="AJ107" s="189"/>
      <c r="AK107" s="204" t="s">
        <v>1519</v>
      </c>
      <c r="AL107" s="205"/>
      <c r="AM107" s="196">
        <f>Transfer!AD119</f>
        <v>0</v>
      </c>
      <c r="AN107" s="196">
        <f>Transfer!AE119</f>
        <v>0</v>
      </c>
      <c r="AO107" s="196">
        <f>Transfer!AF119</f>
        <v>0</v>
      </c>
      <c r="AP107" s="196">
        <f>Transfer!AG119</f>
        <v>0</v>
      </c>
      <c r="AQ107" s="196">
        <f>Transfer!AH119</f>
        <v>0</v>
      </c>
      <c r="AR107" s="196">
        <f>Transfer!AI119</f>
        <v>0</v>
      </c>
      <c r="AS107" s="196">
        <f>Transfer!AJ119</f>
        <v>0</v>
      </c>
      <c r="AT107" s="196">
        <f>Transfer!AK119</f>
        <v>0</v>
      </c>
      <c r="AU107" s="196">
        <f>Transfer!AL119</f>
        <v>0</v>
      </c>
      <c r="AV107" s="196">
        <f>Transfer!AM119</f>
        <v>0</v>
      </c>
      <c r="AW107" s="196">
        <f>Transfer!AN119</f>
        <v>0</v>
      </c>
      <c r="AX107" s="342">
        <f>Transfer!AO119</f>
        <v>0</v>
      </c>
      <c r="AY107" s="195"/>
      <c r="AZ107" s="54"/>
      <c r="BA107" s="1587" t="s">
        <v>419</v>
      </c>
      <c r="BB107" s="54"/>
      <c r="BC107" s="54"/>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row>
    <row r="108" spans="1:256" s="45" customFormat="1">
      <c r="B108" s="1575"/>
      <c r="C108" s="1576" t="s">
        <v>1501</v>
      </c>
      <c r="D108" s="2311"/>
      <c r="E108" s="246"/>
      <c r="F108" s="246"/>
      <c r="G108" s="246"/>
      <c r="H108" s="246"/>
      <c r="I108" s="246"/>
      <c r="J108" s="246"/>
      <c r="K108" s="246"/>
      <c r="L108" s="246"/>
      <c r="M108" s="246"/>
      <c r="N108" s="246"/>
      <c r="O108" s="246"/>
      <c r="P108" s="321"/>
      <c r="Q108" s="2405"/>
      <c r="S108" s="189"/>
      <c r="T108" s="40" t="s">
        <v>1501</v>
      </c>
      <c r="U108" s="65"/>
      <c r="V108" s="196"/>
      <c r="W108" s="196"/>
      <c r="X108" s="196"/>
      <c r="Y108" s="196"/>
      <c r="Z108" s="196"/>
      <c r="AA108" s="196"/>
      <c r="AB108" s="196"/>
      <c r="AC108" s="196"/>
      <c r="AD108" s="196"/>
      <c r="AE108" s="196"/>
      <c r="AF108" s="196"/>
      <c r="AG108" s="342"/>
      <c r="AH108" s="195"/>
      <c r="AJ108" s="189"/>
      <c r="AK108" s="40" t="s">
        <v>1501</v>
      </c>
      <c r="AL108" s="65"/>
      <c r="AM108" s="196"/>
      <c r="AN108" s="196"/>
      <c r="AO108" s="196"/>
      <c r="AP108" s="196"/>
      <c r="AQ108" s="196"/>
      <c r="AR108" s="196"/>
      <c r="AS108" s="196"/>
      <c r="AT108" s="196"/>
      <c r="AU108" s="196"/>
      <c r="AV108" s="196"/>
      <c r="AW108" s="196"/>
      <c r="AX108" s="342"/>
      <c r="AY108" s="195"/>
      <c r="AZ108" s="54"/>
      <c r="BA108" s="1587"/>
      <c r="BB108" s="54"/>
      <c r="BC108" s="54"/>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row>
    <row r="109" spans="1:256" s="45" customFormat="1">
      <c r="B109" s="1575"/>
      <c r="C109" s="2416" t="s">
        <v>420</v>
      </c>
      <c r="D109" s="2417"/>
      <c r="E109" s="456">
        <f ca="1">Transfer!D120</f>
        <v>0.17201667687103406</v>
      </c>
      <c r="F109" s="456">
        <f ca="1">Transfer!E120</f>
        <v>0.50837262549234818</v>
      </c>
      <c r="G109" s="456">
        <f ca="1">Transfer!F120</f>
        <v>0.4807042607000378</v>
      </c>
      <c r="H109" s="456">
        <f ca="1">Transfer!G120</f>
        <v>0.25553335382724196</v>
      </c>
      <c r="I109" s="456">
        <f ca="1">Transfer!H120</f>
        <v>0.50355800003831774</v>
      </c>
      <c r="J109" s="456">
        <f ca="1">Transfer!I120</f>
        <v>0.51961113247069868</v>
      </c>
      <c r="K109" s="456">
        <f ca="1">Transfer!J120</f>
        <v>0.52286761830309114</v>
      </c>
      <c r="L109" s="456">
        <f ca="1">Transfer!K120</f>
        <v>0.52613168181772085</v>
      </c>
      <c r="M109" s="456">
        <f ca="1">Transfer!L120</f>
        <v>0.42675568179741941</v>
      </c>
      <c r="N109" s="456">
        <f ca="1">Transfer!M120</f>
        <v>0.42437861149153822</v>
      </c>
      <c r="O109" s="456">
        <f ca="1">Transfer!N120</f>
        <v>0.40407966192754774</v>
      </c>
      <c r="P109" s="457">
        <f ca="1">Transfer!O120</f>
        <v>0.39910377553002974</v>
      </c>
      <c r="Q109" s="2418"/>
      <c r="S109" s="189"/>
      <c r="T109" s="206" t="s">
        <v>420</v>
      </c>
      <c r="U109" s="207"/>
      <c r="V109" s="202">
        <f t="shared" ref="V109:AG113" ca="1" si="8">ROUND(E109,1)-ROUND(AM109,1)</f>
        <v>0</v>
      </c>
      <c r="W109" s="202">
        <f t="shared" ca="1" si="8"/>
        <v>0</v>
      </c>
      <c r="X109" s="202">
        <f t="shared" ca="1" si="8"/>
        <v>0</v>
      </c>
      <c r="Y109" s="202">
        <f t="shared" ca="1" si="8"/>
        <v>0</v>
      </c>
      <c r="Z109" s="202">
        <f t="shared" ca="1" si="8"/>
        <v>0</v>
      </c>
      <c r="AA109" s="202">
        <f t="shared" ca="1" si="8"/>
        <v>0</v>
      </c>
      <c r="AB109" s="202">
        <f t="shared" ca="1" si="8"/>
        <v>0</v>
      </c>
      <c r="AC109" s="202">
        <f t="shared" ca="1" si="8"/>
        <v>0</v>
      </c>
      <c r="AD109" s="202">
        <f t="shared" ca="1" si="8"/>
        <v>0</v>
      </c>
      <c r="AE109" s="202">
        <f t="shared" ca="1" si="8"/>
        <v>0</v>
      </c>
      <c r="AF109" s="202">
        <f t="shared" ca="1" si="8"/>
        <v>0</v>
      </c>
      <c r="AG109" s="346">
        <f t="shared" ca="1" si="8"/>
        <v>0</v>
      </c>
      <c r="AH109" s="208"/>
      <c r="AJ109" s="189"/>
      <c r="AK109" s="206" t="s">
        <v>420</v>
      </c>
      <c r="AL109" s="207"/>
      <c r="AM109" s="202">
        <f>Transfer!AD120</f>
        <v>0.17201667687103406</v>
      </c>
      <c r="AN109" s="202">
        <f>Transfer!AE120</f>
        <v>0.50837262549234818</v>
      </c>
      <c r="AO109" s="202">
        <f>Transfer!AF120</f>
        <v>0.4807042607000378</v>
      </c>
      <c r="AP109" s="202">
        <f>Transfer!AG120</f>
        <v>0.25553335382724196</v>
      </c>
      <c r="AQ109" s="202">
        <f>Transfer!AH120</f>
        <v>0.50355800003831774</v>
      </c>
      <c r="AR109" s="202">
        <f>Transfer!AI120</f>
        <v>0.51961113247069868</v>
      </c>
      <c r="AS109" s="202">
        <f>Transfer!AJ120</f>
        <v>0.52286761830309114</v>
      </c>
      <c r="AT109" s="202">
        <f>Transfer!AK120</f>
        <v>0.52613168181772085</v>
      </c>
      <c r="AU109" s="202">
        <f>Transfer!AL120</f>
        <v>0.42675568179741941</v>
      </c>
      <c r="AV109" s="202">
        <f>Transfer!AM120</f>
        <v>0.42437861149153822</v>
      </c>
      <c r="AW109" s="202">
        <f>Transfer!AN120</f>
        <v>0.40407966192754774</v>
      </c>
      <c r="AX109" s="346">
        <f>Transfer!AO120</f>
        <v>0.39910377553002974</v>
      </c>
      <c r="AY109" s="208"/>
      <c r="AZ109" s="54"/>
      <c r="BA109" s="1587" t="s">
        <v>2122</v>
      </c>
      <c r="BB109" s="54"/>
      <c r="BC109" s="54"/>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row>
    <row r="110" spans="1:256" s="45" customFormat="1">
      <c r="B110" s="1575"/>
      <c r="C110" s="1576" t="s">
        <v>1449</v>
      </c>
      <c r="D110" s="2311"/>
      <c r="E110" s="246">
        <f ca="1">Transfer!D121</f>
        <v>-0.21693612795993245</v>
      </c>
      <c r="F110" s="246">
        <f ca="1">Transfer!E121</f>
        <v>0.69765177982326065</v>
      </c>
      <c r="G110" s="246">
        <f ca="1">Transfer!F121</f>
        <v>-0.57358912114117144</v>
      </c>
      <c r="H110" s="246">
        <f ca="1">Transfer!G121</f>
        <v>1.9510824942742477</v>
      </c>
      <c r="I110" s="246">
        <f ca="1">Transfer!H121</f>
        <v>1.48</v>
      </c>
      <c r="J110" s="246">
        <f ca="1">Transfer!I121</f>
        <v>1.55</v>
      </c>
      <c r="K110" s="246">
        <f ca="1">Transfer!J121</f>
        <v>1.35</v>
      </c>
      <c r="L110" s="246">
        <f ca="1">Transfer!K121</f>
        <v>1.25</v>
      </c>
      <c r="M110" s="246">
        <f ca="1">Transfer!L121</f>
        <v>1.1100000000000001</v>
      </c>
      <c r="N110" s="246">
        <f ca="1">Transfer!M121</f>
        <v>0.92</v>
      </c>
      <c r="O110" s="246">
        <f ca="1">Transfer!N121</f>
        <v>0.77</v>
      </c>
      <c r="P110" s="321">
        <f ca="1">Transfer!O121</f>
        <v>0.7</v>
      </c>
      <c r="Q110" s="2405"/>
      <c r="S110" s="189"/>
      <c r="T110" s="40" t="s">
        <v>1449</v>
      </c>
      <c r="U110" s="65"/>
      <c r="V110" s="194">
        <f t="shared" ca="1" si="8"/>
        <v>0</v>
      </c>
      <c r="W110" s="194">
        <f t="shared" ca="1" si="8"/>
        <v>0</v>
      </c>
      <c r="X110" s="194">
        <f t="shared" ca="1" si="8"/>
        <v>0</v>
      </c>
      <c r="Y110" s="194">
        <f t="shared" ca="1" si="8"/>
        <v>0</v>
      </c>
      <c r="Z110" s="194">
        <f t="shared" ca="1" si="8"/>
        <v>0</v>
      </c>
      <c r="AA110" s="194">
        <f t="shared" ca="1" si="8"/>
        <v>0</v>
      </c>
      <c r="AB110" s="194">
        <f t="shared" ca="1" si="8"/>
        <v>0</v>
      </c>
      <c r="AC110" s="194">
        <f t="shared" ca="1" si="8"/>
        <v>0</v>
      </c>
      <c r="AD110" s="194">
        <f t="shared" ca="1" si="8"/>
        <v>0</v>
      </c>
      <c r="AE110" s="194">
        <f t="shared" ca="1" si="8"/>
        <v>0</v>
      </c>
      <c r="AF110" s="194">
        <f t="shared" ca="1" si="8"/>
        <v>0</v>
      </c>
      <c r="AG110" s="366">
        <f t="shared" ca="1" si="8"/>
        <v>0</v>
      </c>
      <c r="AH110" s="195"/>
      <c r="AJ110" s="189"/>
      <c r="AK110" s="40" t="s">
        <v>1449</v>
      </c>
      <c r="AL110" s="65"/>
      <c r="AM110" s="196">
        <f>Transfer!AD121</f>
        <v>-0.21693612795993245</v>
      </c>
      <c r="AN110" s="196">
        <f>Transfer!AE121</f>
        <v>0.69765177982326065</v>
      </c>
      <c r="AO110" s="196">
        <f>Transfer!AF121</f>
        <v>-0.57358912114117144</v>
      </c>
      <c r="AP110" s="196">
        <f>Transfer!AG121</f>
        <v>1.9510824942742477</v>
      </c>
      <c r="AQ110" s="196">
        <f>Transfer!AH121</f>
        <v>1.48</v>
      </c>
      <c r="AR110" s="196">
        <f>Transfer!AI121</f>
        <v>1.55</v>
      </c>
      <c r="AS110" s="196">
        <f>Transfer!AJ121</f>
        <v>1.35</v>
      </c>
      <c r="AT110" s="196">
        <f>Transfer!AK121</f>
        <v>1.25</v>
      </c>
      <c r="AU110" s="196">
        <f>Transfer!AL121</f>
        <v>1.1100000000000001</v>
      </c>
      <c r="AV110" s="196">
        <f>Transfer!AM121</f>
        <v>0.92</v>
      </c>
      <c r="AW110" s="196">
        <f>Transfer!AN121</f>
        <v>0.77</v>
      </c>
      <c r="AX110" s="342">
        <f>Transfer!AO121</f>
        <v>0.7</v>
      </c>
      <c r="AY110" s="195"/>
      <c r="AZ110" s="54"/>
      <c r="BA110" s="1587" t="s">
        <v>421</v>
      </c>
      <c r="BB110" s="54"/>
      <c r="BC110" s="54"/>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row>
    <row r="111" spans="1:256" s="45" customFormat="1">
      <c r="B111" s="1575"/>
      <c r="C111" s="2419" t="s">
        <v>1324</v>
      </c>
      <c r="D111" s="2420"/>
      <c r="E111" s="456">
        <f ca="1">Transfer!D122</f>
        <v>-1.2273013178143444E-2</v>
      </c>
      <c r="F111" s="456">
        <f ca="1">Transfer!E122</f>
        <v>0.59787139372056153</v>
      </c>
      <c r="G111" s="456">
        <f ca="1">Transfer!F122</f>
        <v>-1.8302354902988149E-2</v>
      </c>
      <c r="H111" s="456">
        <f ca="1">Transfer!G122</f>
        <v>1.0535950371199254</v>
      </c>
      <c r="I111" s="456">
        <f ca="1">Transfer!H122</f>
        <v>0.96723184992852929</v>
      </c>
      <c r="J111" s="456">
        <f ca="1">Transfer!I122</f>
        <v>1.011387119338214</v>
      </c>
      <c r="K111" s="456">
        <f ca="1">Transfer!J122</f>
        <v>0.91973990815301665</v>
      </c>
      <c r="L111" s="456">
        <f ca="1">Transfer!K122</f>
        <v>0.87493688360302801</v>
      </c>
      <c r="M111" s="456">
        <f ca="1">Transfer!L122</f>
        <v>0.75720980006372951</v>
      </c>
      <c r="N111" s="456">
        <f ca="1">Transfer!M122</f>
        <v>0.66492739107049115</v>
      </c>
      <c r="O111" s="456">
        <f ca="1">Transfer!N122</f>
        <v>0.58212832767678968</v>
      </c>
      <c r="P111" s="457">
        <f ca="1">Transfer!O122</f>
        <v>0.54578662935826916</v>
      </c>
      <c r="Q111" s="2413"/>
      <c r="S111" s="189"/>
      <c r="T111" s="209" t="s">
        <v>1324</v>
      </c>
      <c r="U111" s="210"/>
      <c r="V111" s="202">
        <f t="shared" ca="1" si="8"/>
        <v>0</v>
      </c>
      <c r="W111" s="202">
        <f t="shared" ca="1" si="8"/>
        <v>0</v>
      </c>
      <c r="X111" s="202">
        <f t="shared" ca="1" si="8"/>
        <v>0</v>
      </c>
      <c r="Y111" s="202">
        <f t="shared" ca="1" si="8"/>
        <v>0</v>
      </c>
      <c r="Z111" s="202">
        <f t="shared" ca="1" si="8"/>
        <v>0</v>
      </c>
      <c r="AA111" s="202">
        <f t="shared" ca="1" si="8"/>
        <v>0</v>
      </c>
      <c r="AB111" s="202">
        <f t="shared" ca="1" si="8"/>
        <v>0</v>
      </c>
      <c r="AC111" s="202">
        <f t="shared" ca="1" si="8"/>
        <v>0</v>
      </c>
      <c r="AD111" s="202">
        <f t="shared" ca="1" si="8"/>
        <v>0</v>
      </c>
      <c r="AE111" s="202">
        <f t="shared" ca="1" si="8"/>
        <v>0</v>
      </c>
      <c r="AF111" s="202">
        <f t="shared" ca="1" si="8"/>
        <v>0</v>
      </c>
      <c r="AG111" s="346">
        <f t="shared" ca="1" si="8"/>
        <v>0</v>
      </c>
      <c r="AH111" s="203"/>
      <c r="AJ111" s="189"/>
      <c r="AK111" s="209" t="s">
        <v>1324</v>
      </c>
      <c r="AL111" s="210"/>
      <c r="AM111" s="202">
        <f>Transfer!AD122</f>
        <v>-1.2273013178143444E-2</v>
      </c>
      <c r="AN111" s="202">
        <f>Transfer!AE122</f>
        <v>0.59787139372056153</v>
      </c>
      <c r="AO111" s="202">
        <f>Transfer!AF122</f>
        <v>-1.8302354902988149E-2</v>
      </c>
      <c r="AP111" s="202">
        <f>Transfer!AG122</f>
        <v>1.0535950371199254</v>
      </c>
      <c r="AQ111" s="202">
        <f>Transfer!AH122</f>
        <v>0.96723184992852929</v>
      </c>
      <c r="AR111" s="202">
        <f>Transfer!AI122</f>
        <v>1.011387119338214</v>
      </c>
      <c r="AS111" s="202">
        <f>Transfer!AJ122</f>
        <v>0.91973990815301665</v>
      </c>
      <c r="AT111" s="202">
        <f>Transfer!AK122</f>
        <v>0.87493688360302801</v>
      </c>
      <c r="AU111" s="202">
        <f>Transfer!AL122</f>
        <v>0.75720980006372951</v>
      </c>
      <c r="AV111" s="202">
        <f>Transfer!AM122</f>
        <v>0.66492739107049115</v>
      </c>
      <c r="AW111" s="202">
        <f>Transfer!AN122</f>
        <v>0.58212832767678968</v>
      </c>
      <c r="AX111" s="346">
        <f>Transfer!AO122</f>
        <v>0.54578662935826916</v>
      </c>
      <c r="AY111" s="203"/>
      <c r="AZ111" s="54"/>
      <c r="BA111" s="1587" t="s">
        <v>2123</v>
      </c>
      <c r="BB111" s="54"/>
      <c r="BC111" s="54"/>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row>
    <row r="112" spans="1:256" s="45" customFormat="1">
      <c r="B112" s="1575"/>
      <c r="C112" s="2421" t="s">
        <v>1180</v>
      </c>
      <c r="D112" s="2309"/>
      <c r="E112" s="246">
        <f ca="1">Transfer!D123</f>
        <v>-0.51618242801759751</v>
      </c>
      <c r="F112" s="246">
        <f ca="1">Transfer!E123</f>
        <v>0.77719640081441721</v>
      </c>
      <c r="G112" s="246">
        <f ca="1">Transfer!F123</f>
        <v>-0.73861661452901961</v>
      </c>
      <c r="H112" s="246">
        <f ca="1">Transfer!G123</f>
        <v>1.5702967696752168</v>
      </c>
      <c r="I112" s="246">
        <f ca="1">Transfer!H123</f>
        <v>1.6</v>
      </c>
      <c r="J112" s="246">
        <f ca="1">Transfer!I123</f>
        <v>1.55</v>
      </c>
      <c r="K112" s="246">
        <f ca="1">Transfer!J123</f>
        <v>1.4</v>
      </c>
      <c r="L112" s="246">
        <f ca="1">Transfer!K123</f>
        <v>1.3</v>
      </c>
      <c r="M112" s="246">
        <f ca="1">Transfer!L123</f>
        <v>1.1000000000000001</v>
      </c>
      <c r="N112" s="246">
        <f ca="1">Transfer!M123</f>
        <v>0.93</v>
      </c>
      <c r="O112" s="246">
        <f ca="1">Transfer!N123</f>
        <v>0.87</v>
      </c>
      <c r="P112" s="321">
        <f ca="1">Transfer!O123</f>
        <v>0.84</v>
      </c>
      <c r="Q112" s="2405"/>
      <c r="S112" s="189"/>
      <c r="T112" s="178" t="s">
        <v>1180</v>
      </c>
      <c r="U112" s="63"/>
      <c r="V112" s="194">
        <f t="shared" ca="1" si="8"/>
        <v>0</v>
      </c>
      <c r="W112" s="194">
        <f t="shared" ca="1" si="8"/>
        <v>0</v>
      </c>
      <c r="X112" s="194">
        <f t="shared" ca="1" si="8"/>
        <v>0</v>
      </c>
      <c r="Y112" s="194">
        <f t="shared" ca="1" si="8"/>
        <v>0</v>
      </c>
      <c r="Z112" s="194">
        <f t="shared" ca="1" si="8"/>
        <v>0</v>
      </c>
      <c r="AA112" s="194">
        <f t="shared" ca="1" si="8"/>
        <v>0</v>
      </c>
      <c r="AB112" s="194">
        <f t="shared" ca="1" si="8"/>
        <v>0</v>
      </c>
      <c r="AC112" s="194">
        <f t="shared" ca="1" si="8"/>
        <v>0</v>
      </c>
      <c r="AD112" s="194">
        <f t="shared" ca="1" si="8"/>
        <v>0</v>
      </c>
      <c r="AE112" s="194">
        <f t="shared" ca="1" si="8"/>
        <v>0</v>
      </c>
      <c r="AF112" s="194">
        <f t="shared" ca="1" si="8"/>
        <v>9.9999999999999978E-2</v>
      </c>
      <c r="AG112" s="366">
        <f t="shared" ca="1" si="8"/>
        <v>0</v>
      </c>
      <c r="AH112" s="195"/>
      <c r="AJ112" s="189"/>
      <c r="AK112" s="178" t="s">
        <v>1180</v>
      </c>
      <c r="AL112" s="63"/>
      <c r="AM112" s="196">
        <f>Transfer!AD123</f>
        <v>-0.51618242801759751</v>
      </c>
      <c r="AN112" s="196">
        <f>Transfer!AE123</f>
        <v>0.77719640081441721</v>
      </c>
      <c r="AO112" s="196">
        <f>Transfer!AF123</f>
        <v>-0.73861661452901961</v>
      </c>
      <c r="AP112" s="196">
        <f>Transfer!AG123</f>
        <v>1.5702967696752168</v>
      </c>
      <c r="AQ112" s="196">
        <f>Transfer!AH123</f>
        <v>1.6</v>
      </c>
      <c r="AR112" s="196">
        <f>Transfer!AI123</f>
        <v>1.55</v>
      </c>
      <c r="AS112" s="196">
        <f>Transfer!AJ123</f>
        <v>1.4</v>
      </c>
      <c r="AT112" s="196">
        <f>Transfer!AK123</f>
        <v>1.3</v>
      </c>
      <c r="AU112" s="196">
        <f>Transfer!AL123</f>
        <v>1.1000000000000001</v>
      </c>
      <c r="AV112" s="196">
        <f>Transfer!AM123</f>
        <v>0.93</v>
      </c>
      <c r="AW112" s="196">
        <f>Transfer!AN123</f>
        <v>0.84</v>
      </c>
      <c r="AX112" s="342">
        <f>Transfer!AO123</f>
        <v>0.84</v>
      </c>
      <c r="AY112" s="195"/>
      <c r="AZ112" s="54"/>
      <c r="BA112" s="1587" t="s">
        <v>2124</v>
      </c>
      <c r="BB112" s="54"/>
      <c r="BC112" s="54"/>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row>
    <row r="113" spans="2:256" s="45" customFormat="1" ht="13.8" thickBot="1">
      <c r="B113" s="1575"/>
      <c r="C113" s="2422" t="s">
        <v>2128</v>
      </c>
      <c r="D113" s="2423"/>
      <c r="E113" s="1634">
        <f ca="1">Transfer!D124</f>
        <v>0.66943365912437436</v>
      </c>
      <c r="F113" s="1634">
        <f ca="1">Transfer!E124</f>
        <v>0.45978758573517187</v>
      </c>
      <c r="G113" s="1634">
        <f ca="1">Transfer!F124</f>
        <v>0.19196217494090728</v>
      </c>
      <c r="H113" s="1634">
        <f ca="1">Transfer!G124</f>
        <v>0.5228733495040272</v>
      </c>
      <c r="I113" s="1634">
        <f ca="1">Transfer!H124</f>
        <v>0.41039105410907162</v>
      </c>
      <c r="J113" s="1634">
        <f ca="1">Transfer!I124</f>
        <v>0.53081669638552764</v>
      </c>
      <c r="K113" s="1634">
        <f ca="1">Transfer!J124</f>
        <v>0.48686800151156451</v>
      </c>
      <c r="L113" s="1634">
        <f ca="1">Transfer!K124</f>
        <v>0.48806190490571222</v>
      </c>
      <c r="M113" s="1634">
        <f ca="1">Transfer!L124</f>
        <v>0.44246310151412338</v>
      </c>
      <c r="N113" s="1634">
        <f ca="1">Transfer!M124</f>
        <v>0.41954953692420194</v>
      </c>
      <c r="O113" s="1634">
        <f ca="1">Transfer!N124</f>
        <v>0.3150866133281971</v>
      </c>
      <c r="P113" s="3002">
        <f ca="1">Transfer!O124</f>
        <v>0.271646213633292</v>
      </c>
      <c r="Q113" s="2413"/>
      <c r="S113" s="189"/>
      <c r="T113" s="1699" t="s">
        <v>2128</v>
      </c>
      <c r="U113" s="1700"/>
      <c r="V113" s="379">
        <f t="shared" ca="1" si="8"/>
        <v>0</v>
      </c>
      <c r="W113" s="379">
        <f t="shared" ca="1" si="8"/>
        <v>0</v>
      </c>
      <c r="X113" s="379">
        <f t="shared" ca="1" si="8"/>
        <v>0</v>
      </c>
      <c r="Y113" s="379">
        <f t="shared" ca="1" si="8"/>
        <v>0</v>
      </c>
      <c r="Z113" s="379">
        <f t="shared" ca="1" si="8"/>
        <v>0</v>
      </c>
      <c r="AA113" s="379">
        <f t="shared" ca="1" si="8"/>
        <v>0</v>
      </c>
      <c r="AB113" s="379">
        <f t="shared" ca="1" si="8"/>
        <v>0</v>
      </c>
      <c r="AC113" s="379">
        <f t="shared" ca="1" si="8"/>
        <v>0</v>
      </c>
      <c r="AD113" s="379">
        <f t="shared" ca="1" si="8"/>
        <v>0</v>
      </c>
      <c r="AE113" s="379">
        <f t="shared" ca="1" si="8"/>
        <v>0</v>
      </c>
      <c r="AF113" s="379">
        <f t="shared" ca="1" si="8"/>
        <v>0</v>
      </c>
      <c r="AG113" s="380">
        <f t="shared" ca="1" si="8"/>
        <v>0</v>
      </c>
      <c r="AH113" s="203"/>
      <c r="AJ113" s="189"/>
      <c r="AK113" s="1699" t="s">
        <v>2128</v>
      </c>
      <c r="AL113" s="1700"/>
      <c r="AM113" s="379">
        <f>Transfer!AD124</f>
        <v>0.66943365912437436</v>
      </c>
      <c r="AN113" s="379">
        <f>Transfer!AE124</f>
        <v>0.45978758573517187</v>
      </c>
      <c r="AO113" s="379">
        <f>Transfer!AF124</f>
        <v>0.19196217494090728</v>
      </c>
      <c r="AP113" s="379">
        <f>Transfer!AG124</f>
        <v>0.5228733495040272</v>
      </c>
      <c r="AQ113" s="379">
        <f>Transfer!AH124</f>
        <v>0.41039105410907162</v>
      </c>
      <c r="AR113" s="379">
        <f>Transfer!AI124</f>
        <v>0.53081669638552764</v>
      </c>
      <c r="AS113" s="379">
        <f>Transfer!AJ124</f>
        <v>0.48686800151156451</v>
      </c>
      <c r="AT113" s="379">
        <f>Transfer!AK124</f>
        <v>0.48806190490571222</v>
      </c>
      <c r="AU113" s="379">
        <f>Transfer!AL124</f>
        <v>0.44246310151412338</v>
      </c>
      <c r="AV113" s="379">
        <f>Transfer!AM124</f>
        <v>0.41954953692420194</v>
      </c>
      <c r="AW113" s="379">
        <f>Transfer!AN124</f>
        <v>0.34258677076561828</v>
      </c>
      <c r="AX113" s="380">
        <f>Transfer!AO124</f>
        <v>0.27180197819058893</v>
      </c>
      <c r="AY113" s="203"/>
      <c r="AZ113" s="54"/>
      <c r="BA113" s="1587" t="s">
        <v>2129</v>
      </c>
      <c r="BB113" s="54"/>
      <c r="BC113" s="54"/>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row>
    <row r="114" spans="2:256" s="45" customFormat="1" ht="13.8" thickBot="1">
      <c r="B114" s="1575"/>
      <c r="C114" s="2421"/>
      <c r="D114" s="2309"/>
      <c r="E114" s="140"/>
      <c r="F114" s="140"/>
      <c r="G114" s="140"/>
      <c r="H114" s="140"/>
      <c r="I114" s="140"/>
      <c r="J114" s="140"/>
      <c r="K114" s="140"/>
      <c r="L114" s="140"/>
      <c r="M114" s="140"/>
      <c r="N114" s="49"/>
      <c r="O114" s="49"/>
      <c r="P114" s="3003"/>
      <c r="Q114" s="2405"/>
      <c r="S114" s="189"/>
      <c r="T114" s="178"/>
      <c r="U114" s="63"/>
      <c r="V114" s="65"/>
      <c r="W114" s="65"/>
      <c r="X114" s="65"/>
      <c r="Y114" s="65"/>
      <c r="Z114" s="65"/>
      <c r="AA114" s="49"/>
      <c r="AB114" s="65"/>
      <c r="AC114" s="65"/>
      <c r="AD114" s="65"/>
      <c r="AE114" s="65"/>
      <c r="AF114" s="65"/>
      <c r="AG114" s="1698"/>
      <c r="AH114" s="195"/>
      <c r="AJ114" s="189"/>
      <c r="AK114" s="178"/>
      <c r="AL114" s="63"/>
      <c r="AM114" s="65"/>
      <c r="AN114" s="65"/>
      <c r="AO114" s="65"/>
      <c r="AP114" s="65"/>
      <c r="AQ114" s="65"/>
      <c r="AR114" s="49"/>
      <c r="AS114" s="65"/>
      <c r="AT114" s="65"/>
      <c r="AU114" s="65"/>
      <c r="AV114" s="65"/>
      <c r="AW114" s="65"/>
      <c r="AX114" s="1698"/>
      <c r="AY114" s="195"/>
      <c r="AZ114" s="54"/>
      <c r="BA114" s="1587"/>
      <c r="BB114" s="54"/>
      <c r="BC114" s="5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row>
    <row r="115" spans="2:256" s="45" customFormat="1">
      <c r="B115" s="1575"/>
      <c r="C115" s="2424"/>
      <c r="D115" s="2425"/>
      <c r="E115" s="4194" t="s">
        <v>437</v>
      </c>
      <c r="F115" s="4194"/>
      <c r="G115" s="4194"/>
      <c r="H115" s="4194"/>
      <c r="I115" s="4194"/>
      <c r="J115" s="4194"/>
      <c r="K115" s="4194"/>
      <c r="L115" s="4194"/>
      <c r="M115" s="4194"/>
      <c r="N115" s="4194"/>
      <c r="O115" s="4194"/>
      <c r="P115" s="4195"/>
      <c r="Q115" s="2308"/>
      <c r="S115" s="189"/>
      <c r="T115" s="212"/>
      <c r="U115" s="213"/>
      <c r="V115" s="4196" t="s">
        <v>437</v>
      </c>
      <c r="W115" s="4196"/>
      <c r="X115" s="4196"/>
      <c r="Y115" s="4196"/>
      <c r="Z115" s="4196"/>
      <c r="AA115" s="4196"/>
      <c r="AB115" s="4196"/>
      <c r="AC115" s="4196"/>
      <c r="AD115" s="4196"/>
      <c r="AE115" s="4196"/>
      <c r="AF115" s="4196"/>
      <c r="AG115" s="4197"/>
      <c r="AH115" s="62"/>
      <c r="AJ115" s="189"/>
      <c r="AK115" s="212"/>
      <c r="AL115" s="213"/>
      <c r="AM115" s="4196" t="s">
        <v>437</v>
      </c>
      <c r="AN115" s="4196"/>
      <c r="AO115" s="4196"/>
      <c r="AP115" s="4196"/>
      <c r="AQ115" s="4196"/>
      <c r="AR115" s="4196"/>
      <c r="AS115" s="4196"/>
      <c r="AT115" s="4196"/>
      <c r="AU115" s="4196"/>
      <c r="AV115" s="4196"/>
      <c r="AW115" s="4196"/>
      <c r="AX115" s="4197"/>
      <c r="AY115" s="62"/>
      <c r="AZ115" s="54"/>
      <c r="BA115" s="1587"/>
      <c r="BB115" s="54"/>
      <c r="BC115" s="54"/>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row>
    <row r="116" spans="2:256" s="45" customFormat="1">
      <c r="B116" s="1575"/>
      <c r="C116" s="2421"/>
      <c r="D116" s="2309"/>
      <c r="E116" s="4198" t="s">
        <v>438</v>
      </c>
      <c r="F116" s="4199"/>
      <c r="G116" s="4199"/>
      <c r="H116" s="4199"/>
      <c r="I116" s="4199"/>
      <c r="J116" s="4199"/>
      <c r="K116" s="4199"/>
      <c r="L116" s="4199"/>
      <c r="M116" s="4199"/>
      <c r="N116" s="4199"/>
      <c r="O116" s="4199"/>
      <c r="P116" s="4200"/>
      <c r="Q116" s="2308"/>
      <c r="S116" s="189"/>
      <c r="T116" s="178"/>
      <c r="U116" s="63"/>
      <c r="V116" s="4164" t="s">
        <v>438</v>
      </c>
      <c r="W116" s="4165"/>
      <c r="X116" s="4165"/>
      <c r="Y116" s="4165"/>
      <c r="Z116" s="4165"/>
      <c r="AA116" s="4165"/>
      <c r="AB116" s="4165"/>
      <c r="AC116" s="4165"/>
      <c r="AD116" s="4165"/>
      <c r="AE116" s="4165"/>
      <c r="AF116" s="4165"/>
      <c r="AG116" s="4166"/>
      <c r="AH116" s="62"/>
      <c r="AJ116" s="189"/>
      <c r="AK116" s="178"/>
      <c r="AL116" s="63"/>
      <c r="AM116" s="4164" t="s">
        <v>438</v>
      </c>
      <c r="AN116" s="4165"/>
      <c r="AO116" s="4165"/>
      <c r="AP116" s="4165"/>
      <c r="AQ116" s="4165"/>
      <c r="AR116" s="4165"/>
      <c r="AS116" s="4165"/>
      <c r="AT116" s="4165"/>
      <c r="AU116" s="4165"/>
      <c r="AV116" s="4165"/>
      <c r="AW116" s="4165"/>
      <c r="AX116" s="4166"/>
      <c r="AY116" s="62"/>
      <c r="AZ116" s="54"/>
      <c r="BA116" s="1587"/>
      <c r="BB116" s="54"/>
      <c r="BC116" s="54"/>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row>
    <row r="117" spans="2:256" s="45" customFormat="1" ht="13.8" thickBot="1">
      <c r="B117" s="1575"/>
      <c r="C117" s="2426" t="s">
        <v>78</v>
      </c>
      <c r="D117" s="2427"/>
      <c r="E117" s="3004">
        <f ca="1">Transfer!D125</f>
        <v>2.932023429607284</v>
      </c>
      <c r="F117" s="3004">
        <f ca="1">Transfer!E125</f>
        <v>2.0144240531024877</v>
      </c>
      <c r="G117" s="3004">
        <f ca="1">Transfer!F125</f>
        <v>1.9046469536035318</v>
      </c>
      <c r="H117" s="3004">
        <f ca="1">Transfer!G125</f>
        <v>1.9864203951504891</v>
      </c>
      <c r="I117" s="3004">
        <f ca="1">Transfer!H125</f>
        <v>1.5762532370228826</v>
      </c>
      <c r="J117" s="3004">
        <f ca="1">Transfer!I125</f>
        <v>1.6424397323956015</v>
      </c>
      <c r="K117" s="3004">
        <f ca="1">Transfer!J125</f>
        <v>1.7263269501616634</v>
      </c>
      <c r="L117" s="3004">
        <f ca="1">Transfer!K125</f>
        <v>1.3383008381543817</v>
      </c>
      <c r="M117" s="3004">
        <f ca="1">Transfer!L125</f>
        <v>1.2380444364975602</v>
      </c>
      <c r="N117" s="3004">
        <f ca="1">Transfer!M125</f>
        <v>1.6398180435081429</v>
      </c>
      <c r="O117" s="3004">
        <f ca="1">Transfer!N125</f>
        <v>2.1160401587297031</v>
      </c>
      <c r="P117" s="3005">
        <f ca="1">Transfer!O125</f>
        <v>1.540455335015011</v>
      </c>
      <c r="Q117" s="2405"/>
      <c r="S117" s="189"/>
      <c r="T117" s="214" t="s">
        <v>78</v>
      </c>
      <c r="U117" s="215"/>
      <c r="V117" s="1624">
        <f t="shared" ref="V117:AG117" ca="1" si="9">ROUND(E117,1)-ROUND(AM117,1)</f>
        <v>0</v>
      </c>
      <c r="W117" s="1624">
        <f t="shared" ca="1" si="9"/>
        <v>0</v>
      </c>
      <c r="X117" s="1624">
        <f t="shared" ca="1" si="9"/>
        <v>0</v>
      </c>
      <c r="Y117" s="1624">
        <f t="shared" ca="1" si="9"/>
        <v>0</v>
      </c>
      <c r="Z117" s="1624">
        <f t="shared" ca="1" si="9"/>
        <v>0</v>
      </c>
      <c r="AA117" s="1624">
        <f t="shared" ca="1" si="9"/>
        <v>0</v>
      </c>
      <c r="AB117" s="1624">
        <f t="shared" ca="1" si="9"/>
        <v>0</v>
      </c>
      <c r="AC117" s="1624">
        <f t="shared" ca="1" si="9"/>
        <v>0</v>
      </c>
      <c r="AD117" s="1624">
        <f t="shared" ca="1" si="9"/>
        <v>0</v>
      </c>
      <c r="AE117" s="1624">
        <f t="shared" ca="1" si="9"/>
        <v>0</v>
      </c>
      <c r="AF117" s="1624">
        <f t="shared" ca="1" si="9"/>
        <v>0</v>
      </c>
      <c r="AG117" s="1625">
        <f t="shared" ca="1" si="9"/>
        <v>0</v>
      </c>
      <c r="AH117" s="195"/>
      <c r="AJ117" s="189"/>
      <c r="AK117" s="214" t="s">
        <v>78</v>
      </c>
      <c r="AL117" s="215"/>
      <c r="AM117" s="1624">
        <f>Transfer!AD125</f>
        <v>2.932023429607284</v>
      </c>
      <c r="AN117" s="1624">
        <f>Transfer!AE125</f>
        <v>2.0144240531024877</v>
      </c>
      <c r="AO117" s="1624">
        <f>Transfer!AF125</f>
        <v>1.9046469536035318</v>
      </c>
      <c r="AP117" s="1624">
        <f>Transfer!AG125</f>
        <v>1.9864203951504891</v>
      </c>
      <c r="AQ117" s="1624">
        <f>Transfer!AH125</f>
        <v>1.5762532370228826</v>
      </c>
      <c r="AR117" s="1624">
        <f>Transfer!AI125</f>
        <v>1.6424397323956015</v>
      </c>
      <c r="AS117" s="1624">
        <f>Transfer!AJ125</f>
        <v>1.7263269501616634</v>
      </c>
      <c r="AT117" s="1624">
        <f>Transfer!AK125</f>
        <v>1.3383008381543817</v>
      </c>
      <c r="AU117" s="1624">
        <f>Transfer!AL125</f>
        <v>1.2380444364975602</v>
      </c>
      <c r="AV117" s="1624">
        <f>Transfer!AM125</f>
        <v>1.6398180435081429</v>
      </c>
      <c r="AW117" s="1624">
        <f>Transfer!AN125</f>
        <v>2.1160401587297031</v>
      </c>
      <c r="AX117" s="1625">
        <f>Transfer!AO125</f>
        <v>1.540455335015011</v>
      </c>
      <c r="AY117" s="195"/>
      <c r="AZ117" s="54"/>
      <c r="BA117" s="1588" t="s">
        <v>439</v>
      </c>
      <c r="BB117" s="54"/>
      <c r="BC117" s="54"/>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row>
    <row r="118" spans="2:256" s="45" customFormat="1">
      <c r="B118" s="1575"/>
      <c r="C118" s="2333" t="s">
        <v>757</v>
      </c>
      <c r="D118" s="2311"/>
      <c r="E118" s="246">
        <f ca="1">+Transfer!D267</f>
        <v>0.75636412101825101</v>
      </c>
      <c r="F118" s="246">
        <f ca="1">+Transfer!E267</f>
        <v>0.82160392798691362</v>
      </c>
      <c r="G118" s="246">
        <f ca="1">+Transfer!F267</f>
        <v>0.90963614554178207</v>
      </c>
      <c r="H118" s="246">
        <f ca="1">+Transfer!G267</f>
        <v>0.75075075075072562</v>
      </c>
      <c r="I118" s="246">
        <f ca="1">+Transfer!H267</f>
        <v>0.96564039816131597</v>
      </c>
      <c r="J118" s="246">
        <f ca="1">+Transfer!I267</f>
        <v>0.76496104497356665</v>
      </c>
      <c r="K118" s="246">
        <f ca="1">+Transfer!J267</f>
        <v>1.1742846240934801</v>
      </c>
      <c r="L118" s="246">
        <f ca="1">+Transfer!K267</f>
        <v>1.1235852011840519</v>
      </c>
      <c r="M118" s="246">
        <f ca="1">+Transfer!L267</f>
        <v>0.5924219234650252</v>
      </c>
      <c r="N118" s="246">
        <f ca="1">+Transfer!M267</f>
        <v>1.8657217999009212</v>
      </c>
      <c r="O118" s="246">
        <f ca="1">+Transfer!N267</f>
        <v>1.4794241539144881</v>
      </c>
      <c r="P118" s="321">
        <f ca="1">+Transfer!O267</f>
        <v>0.29142197945466464</v>
      </c>
      <c r="Q118" s="2405"/>
      <c r="S118" s="189"/>
      <c r="T118" s="69"/>
      <c r="U118" s="63"/>
      <c r="V118" s="475"/>
      <c r="W118" s="475"/>
      <c r="X118" s="475"/>
      <c r="Y118" s="475"/>
      <c r="Z118" s="475"/>
      <c r="AA118" s="475"/>
      <c r="AB118" s="475"/>
      <c r="AC118" s="475"/>
      <c r="AD118" s="475"/>
      <c r="AE118" s="475"/>
      <c r="AF118" s="475"/>
      <c r="AG118" s="475"/>
      <c r="AH118" s="195"/>
      <c r="AJ118" s="189"/>
      <c r="AK118" s="69"/>
      <c r="AL118" s="63"/>
      <c r="AM118" s="475"/>
      <c r="AN118" s="475"/>
      <c r="AO118" s="475"/>
      <c r="AP118" s="475"/>
      <c r="AQ118" s="475"/>
      <c r="AR118" s="475"/>
      <c r="AS118" s="475"/>
      <c r="AT118" s="475"/>
      <c r="AU118" s="475"/>
      <c r="AV118" s="475"/>
      <c r="AW118" s="475"/>
      <c r="AX118" s="475"/>
      <c r="AY118" s="195"/>
      <c r="AZ118" s="54"/>
      <c r="BA118" s="65"/>
      <c r="BB118" s="54"/>
      <c r="BC118" s="54"/>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row>
    <row r="119" spans="2:256" s="45" customFormat="1">
      <c r="B119" s="1575"/>
      <c r="C119" s="2333" t="s">
        <v>779</v>
      </c>
      <c r="D119" s="2311"/>
      <c r="E119" s="246">
        <f ca="1">+Transfer!D268</f>
        <v>18.370629870594129</v>
      </c>
      <c r="F119" s="246">
        <f ca="1">+Transfer!E268</f>
        <v>9.2640751122969505</v>
      </c>
      <c r="G119" s="246">
        <f ca="1">+Transfer!F268</f>
        <v>5.7628906765132513</v>
      </c>
      <c r="H119" s="246">
        <f ca="1">+Transfer!G268</f>
        <v>6.7620990881846552</v>
      </c>
      <c r="I119" s="246">
        <f ca="1">+Transfer!H268</f>
        <v>1.7304381964787341</v>
      </c>
      <c r="J119" s="246">
        <f ca="1">+Transfer!I268</f>
        <v>0.13007861342182458</v>
      </c>
      <c r="K119" s="246">
        <f ca="1">+Transfer!J268</f>
        <v>-1.9249093038805176</v>
      </c>
      <c r="L119" s="246">
        <f ca="1">+Transfer!K268</f>
        <v>-5.4490584306764127</v>
      </c>
      <c r="M119" s="246">
        <f ca="1">+Transfer!L268</f>
        <v>-4.2077538445164482</v>
      </c>
      <c r="N119" s="246">
        <f ca="1">+Transfer!M268</f>
        <v>-0.89634502026068041</v>
      </c>
      <c r="O119" s="246">
        <f ca="1">+Transfer!N268</f>
        <v>1.1288431863228254</v>
      </c>
      <c r="P119" s="321">
        <f ca="1">+Transfer!O268</f>
        <v>-1.1999866651059565</v>
      </c>
      <c r="Q119" s="2405"/>
      <c r="S119" s="189"/>
      <c r="T119" s="69"/>
      <c r="U119" s="63"/>
      <c r="V119" s="475"/>
      <c r="W119" s="475"/>
      <c r="X119" s="475"/>
      <c r="Y119" s="475"/>
      <c r="Z119" s="475"/>
      <c r="AA119" s="475"/>
      <c r="AB119" s="475"/>
      <c r="AC119" s="475"/>
      <c r="AD119" s="475"/>
      <c r="AE119" s="475"/>
      <c r="AF119" s="475"/>
      <c r="AG119" s="475"/>
      <c r="AH119" s="195"/>
      <c r="AJ119" s="189"/>
      <c r="AK119" s="69"/>
      <c r="AL119" s="63"/>
      <c r="AM119" s="475"/>
      <c r="AN119" s="475"/>
      <c r="AO119" s="475"/>
      <c r="AP119" s="475"/>
      <c r="AQ119" s="475"/>
      <c r="AR119" s="475"/>
      <c r="AS119" s="475"/>
      <c r="AT119" s="475"/>
      <c r="AU119" s="475"/>
      <c r="AV119" s="475"/>
      <c r="AW119" s="475"/>
      <c r="AX119" s="475"/>
      <c r="AY119" s="195"/>
      <c r="AZ119" s="54"/>
      <c r="BA119" s="65"/>
      <c r="BB119" s="54"/>
      <c r="BC119" s="54"/>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row>
    <row r="120" spans="2:256" s="45" customFormat="1">
      <c r="B120" s="1575"/>
      <c r="C120" s="2333" t="s">
        <v>1869</v>
      </c>
      <c r="D120" s="2311"/>
      <c r="E120" s="246">
        <f ca="1">+Transfer!D269</f>
        <v>1.5577840521857809</v>
      </c>
      <c r="F120" s="246">
        <f ca="1">+Transfer!E269</f>
        <v>1.8752207558680851</v>
      </c>
      <c r="G120" s="246">
        <f ca="1">+Transfer!F269</f>
        <v>2.501768602482457</v>
      </c>
      <c r="H120" s="246">
        <f ca="1">+Transfer!G269</f>
        <v>2.6344570252187367</v>
      </c>
      <c r="I120" s="246">
        <f ca="1">+Transfer!H269</f>
        <v>3.611031221039851</v>
      </c>
      <c r="J120" s="246">
        <f ca="1">+Transfer!I269</f>
        <v>3.1336468333002854</v>
      </c>
      <c r="K120" s="246">
        <f ca="1">+Transfer!J269</f>
        <v>3.0001773619390937</v>
      </c>
      <c r="L120" s="246">
        <f ca="1">+Transfer!K269</f>
        <v>2.0427162558244172</v>
      </c>
      <c r="M120" s="246">
        <f ca="1">+Transfer!L269</f>
        <v>0.99651927112034411</v>
      </c>
      <c r="N120" s="246">
        <f ca="1">+Transfer!M269</f>
        <v>1.1451718109163789</v>
      </c>
      <c r="O120" s="246">
        <f ca="1">+Transfer!N269</f>
        <v>3.0747768766048234</v>
      </c>
      <c r="P120" s="321">
        <f ca="1">+Transfer!O269</f>
        <v>4.735378123645817</v>
      </c>
      <c r="Q120" s="2405"/>
      <c r="S120" s="189"/>
      <c r="T120" s="69"/>
      <c r="U120" s="63"/>
      <c r="V120" s="475"/>
      <c r="W120" s="475"/>
      <c r="X120" s="475"/>
      <c r="Y120" s="475"/>
      <c r="Z120" s="475"/>
      <c r="AA120" s="475"/>
      <c r="AB120" s="475"/>
      <c r="AC120" s="475"/>
      <c r="AD120" s="475"/>
      <c r="AE120" s="475"/>
      <c r="AF120" s="475"/>
      <c r="AG120" s="475"/>
      <c r="AH120" s="195"/>
      <c r="AJ120" s="189"/>
      <c r="AK120" s="69"/>
      <c r="AL120" s="63"/>
      <c r="AM120" s="475"/>
      <c r="AN120" s="475"/>
      <c r="AO120" s="475"/>
      <c r="AP120" s="475"/>
      <c r="AQ120" s="475"/>
      <c r="AR120" s="475"/>
      <c r="AS120" s="475"/>
      <c r="AT120" s="475"/>
      <c r="AU120" s="475"/>
      <c r="AV120" s="475"/>
      <c r="AW120" s="475"/>
      <c r="AX120" s="475"/>
      <c r="AY120" s="195"/>
      <c r="AZ120" s="54"/>
      <c r="BA120" s="65"/>
      <c r="BB120" s="54"/>
      <c r="BC120" s="54"/>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row>
    <row r="121" spans="2:256" s="45" customFormat="1">
      <c r="B121" s="1575"/>
      <c r="C121" s="2333" t="s">
        <v>348</v>
      </c>
      <c r="D121" s="2311"/>
      <c r="E121" s="246">
        <f ca="1">+Transfer!D270</f>
        <v>2.054501824397633</v>
      </c>
      <c r="F121" s="246">
        <f ca="1">+Transfer!E270</f>
        <v>-1.3791342101902728</v>
      </c>
      <c r="G121" s="246">
        <f ca="1">+Transfer!F270</f>
        <v>-0.49895643099398512</v>
      </c>
      <c r="H121" s="246">
        <f ca="1">+Transfer!G270</f>
        <v>0.14673753546159674</v>
      </c>
      <c r="I121" s="246">
        <f ca="1">+Transfer!H270</f>
        <v>0.25446112220575134</v>
      </c>
      <c r="J121" s="246">
        <f ca="1">+Transfer!I270</f>
        <v>2.3614868748692786</v>
      </c>
      <c r="K121" s="246">
        <f ca="1">+Transfer!J270</f>
        <v>3.1234856439323444</v>
      </c>
      <c r="L121" s="246">
        <f ca="1">+Transfer!K270</f>
        <v>3.5405963267577167</v>
      </c>
      <c r="M121" s="246">
        <f ca="1">+Transfer!L270</f>
        <v>4.1746929072765004</v>
      </c>
      <c r="N121" s="246">
        <f ca="1">+Transfer!M270</f>
        <v>2.364587672006957</v>
      </c>
      <c r="O121" s="246">
        <f ca="1">+Transfer!N270</f>
        <v>1.7122183679792791</v>
      </c>
      <c r="P121" s="321">
        <f ca="1">+Transfer!O270</f>
        <v>1.4775282669199807</v>
      </c>
      <c r="Q121" s="2405"/>
      <c r="S121" s="189"/>
      <c r="T121" s="69"/>
      <c r="U121" s="63"/>
      <c r="V121" s="475"/>
      <c r="W121" s="475"/>
      <c r="X121" s="475"/>
      <c r="Y121" s="475"/>
      <c r="Z121" s="475"/>
      <c r="AA121" s="475"/>
      <c r="AB121" s="475"/>
      <c r="AC121" s="475"/>
      <c r="AD121" s="475"/>
      <c r="AE121" s="475"/>
      <c r="AF121" s="475"/>
      <c r="AG121" s="475"/>
      <c r="AH121" s="195"/>
      <c r="AJ121" s="189"/>
      <c r="AK121" s="69"/>
      <c r="AL121" s="63"/>
      <c r="AM121" s="475"/>
      <c r="AN121" s="475"/>
      <c r="AO121" s="475"/>
      <c r="AP121" s="475"/>
      <c r="AQ121" s="475"/>
      <c r="AR121" s="475"/>
      <c r="AS121" s="475"/>
      <c r="AT121" s="475"/>
      <c r="AU121" s="475"/>
      <c r="AV121" s="475"/>
      <c r="AW121" s="475"/>
      <c r="AX121" s="475"/>
      <c r="AY121" s="195"/>
      <c r="AZ121" s="54"/>
      <c r="BA121" s="65"/>
      <c r="BB121" s="54"/>
      <c r="BC121" s="54"/>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row>
    <row r="122" spans="2:256" s="45" customFormat="1">
      <c r="B122" s="1575"/>
      <c r="C122" s="2705" t="s">
        <v>349</v>
      </c>
      <c r="D122" s="2340"/>
      <c r="E122" s="438">
        <f ca="1">+Transfer!D271</f>
        <v>1.8346210751274015</v>
      </c>
      <c r="F122" s="438">
        <f ca="1">+Transfer!E271</f>
        <v>1.9341980592674872</v>
      </c>
      <c r="G122" s="438">
        <f ca="1">+Transfer!F271</f>
        <v>1.9601500840988706</v>
      </c>
      <c r="H122" s="438">
        <f ca="1">+Transfer!G271</f>
        <v>1.8998048145738551</v>
      </c>
      <c r="I122" s="438">
        <f ca="1">+Transfer!H271</f>
        <v>1.5400510121718725</v>
      </c>
      <c r="J122" s="438">
        <f ca="1">+Transfer!I271</f>
        <v>1.8747309115925814</v>
      </c>
      <c r="K122" s="438">
        <f ca="1">+Transfer!J271</f>
        <v>2.1264844220681312</v>
      </c>
      <c r="L122" s="438">
        <f ca="1">+Transfer!K271</f>
        <v>2.2877748067220427</v>
      </c>
      <c r="M122" s="438">
        <f ca="1">+Transfer!L271</f>
        <v>2.3224132077018345</v>
      </c>
      <c r="N122" s="438">
        <f ca="1">+Transfer!M271</f>
        <v>2.0317586021648237</v>
      </c>
      <c r="O122" s="438">
        <f ca="1">+Transfer!N271</f>
        <v>2.5058534559383672</v>
      </c>
      <c r="P122" s="480">
        <f ca="1">+Transfer!O271</f>
        <v>1.9240915291590444</v>
      </c>
      <c r="Q122" s="2405"/>
      <c r="S122" s="189"/>
      <c r="T122" s="69"/>
      <c r="U122" s="63"/>
      <c r="V122" s="475"/>
      <c r="W122" s="475"/>
      <c r="X122" s="475"/>
      <c r="Y122" s="475"/>
      <c r="Z122" s="475"/>
      <c r="AA122" s="475"/>
      <c r="AB122" s="475"/>
      <c r="AC122" s="475"/>
      <c r="AD122" s="475"/>
      <c r="AE122" s="475"/>
      <c r="AF122" s="475"/>
      <c r="AG122" s="475"/>
      <c r="AH122" s="195"/>
      <c r="AJ122" s="189"/>
      <c r="AK122" s="69"/>
      <c r="AL122" s="63"/>
      <c r="AM122" s="475"/>
      <c r="AN122" s="475"/>
      <c r="AO122" s="475"/>
      <c r="AP122" s="475"/>
      <c r="AQ122" s="475"/>
      <c r="AR122" s="475"/>
      <c r="AS122" s="475"/>
      <c r="AT122" s="475"/>
      <c r="AU122" s="475"/>
      <c r="AV122" s="475"/>
      <c r="AW122" s="475"/>
      <c r="AX122" s="475"/>
      <c r="AY122" s="195"/>
      <c r="AZ122" s="54"/>
      <c r="BA122" s="65"/>
      <c r="BB122" s="54"/>
      <c r="BC122" s="54"/>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row>
    <row r="123" spans="2:256" s="45" customFormat="1" ht="13.8" thickBot="1">
      <c r="B123" s="1575"/>
      <c r="C123" s="2422" t="s">
        <v>1490</v>
      </c>
      <c r="D123" s="2423"/>
      <c r="E123" s="1634">
        <f ca="1">+Transfer!D266</f>
        <v>1.4395052352356998</v>
      </c>
      <c r="F123" s="1634">
        <f ca="1">+Transfer!E266</f>
        <v>1.5615705973159919</v>
      </c>
      <c r="G123" s="1634">
        <f ca="1">+Transfer!F266</f>
        <v>1.7084574371841939</v>
      </c>
      <c r="H123" s="1634">
        <f ca="1">+Transfer!G266</f>
        <v>1.6406021858922344</v>
      </c>
      <c r="I123" s="1634">
        <f ca="1">+Transfer!H266</f>
        <v>1.6848453001645538</v>
      </c>
      <c r="J123" s="1634">
        <f ca="1">+Transfer!I266</f>
        <v>1.7133598893297659</v>
      </c>
      <c r="K123" s="1634">
        <f ca="1">+Transfer!J266</f>
        <v>1.9609571574295899</v>
      </c>
      <c r="L123" s="1634">
        <f ca="1">+Transfer!K266</f>
        <v>1.8652948619909182</v>
      </c>
      <c r="M123" s="1634">
        <f ca="1">+Transfer!L266</f>
        <v>1.5370953444884918</v>
      </c>
      <c r="N123" s="1634">
        <f ca="1">+Transfer!M266</f>
        <v>1.8320859713326598</v>
      </c>
      <c r="O123" s="1634">
        <f ca="1">+Transfer!N266</f>
        <v>2.2613979957664156</v>
      </c>
      <c r="P123" s="3002">
        <f ca="1">+Transfer!O266</f>
        <v>1.843533274049733</v>
      </c>
      <c r="Q123" s="2405"/>
      <c r="S123" s="189"/>
      <c r="T123" s="69"/>
      <c r="U123" s="63"/>
      <c r="V123" s="475"/>
      <c r="W123" s="475"/>
      <c r="X123" s="475"/>
      <c r="Y123" s="475"/>
      <c r="Z123" s="475"/>
      <c r="AA123" s="475"/>
      <c r="AB123" s="475"/>
      <c r="AC123" s="475"/>
      <c r="AD123" s="475"/>
      <c r="AE123" s="475"/>
      <c r="AF123" s="475"/>
      <c r="AG123" s="475"/>
      <c r="AH123" s="195"/>
      <c r="AJ123" s="189"/>
      <c r="AK123" s="69"/>
      <c r="AL123" s="63"/>
      <c r="AM123" s="475"/>
      <c r="AN123" s="475"/>
      <c r="AO123" s="475"/>
      <c r="AP123" s="475"/>
      <c r="AQ123" s="475"/>
      <c r="AR123" s="475"/>
      <c r="AS123" s="475"/>
      <c r="AT123" s="475"/>
      <c r="AU123" s="475"/>
      <c r="AV123" s="475"/>
      <c r="AW123" s="475"/>
      <c r="AX123" s="475"/>
      <c r="AY123" s="195"/>
      <c r="AZ123" s="54"/>
      <c r="BA123" s="65"/>
      <c r="BB123" s="54"/>
      <c r="BC123" s="54"/>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row>
    <row r="124" spans="2:256" s="45" customFormat="1">
      <c r="B124" s="1614"/>
      <c r="C124" s="2428"/>
      <c r="D124" s="2428"/>
      <c r="E124" s="2428"/>
      <c r="F124" s="2428"/>
      <c r="G124" s="2428"/>
      <c r="H124" s="2428"/>
      <c r="I124" s="2428"/>
      <c r="J124" s="2428"/>
      <c r="K124" s="2428"/>
      <c r="L124" s="2428"/>
      <c r="M124" s="2428"/>
      <c r="N124" s="2428"/>
      <c r="O124" s="2428"/>
      <c r="P124" s="2360" t="str">
        <f>UPPER(Country)</f>
        <v>BELGIUM</v>
      </c>
      <c r="Q124" s="2429"/>
      <c r="S124" s="216"/>
      <c r="T124" s="113"/>
      <c r="U124" s="113"/>
      <c r="V124" s="113"/>
      <c r="W124" s="113"/>
      <c r="X124" s="113"/>
      <c r="Y124" s="113"/>
      <c r="Z124" s="113"/>
      <c r="AA124" s="113"/>
      <c r="AB124" s="113"/>
      <c r="AC124" s="113"/>
      <c r="AD124" s="113"/>
      <c r="AE124" s="113"/>
      <c r="AF124" s="113"/>
      <c r="AG124" s="118" t="str">
        <f>UPPER(Country)</f>
        <v>BELGIUM</v>
      </c>
      <c r="AH124" s="217"/>
      <c r="AJ124" s="216"/>
      <c r="AK124" s="113"/>
      <c r="AL124" s="113"/>
      <c r="AM124" s="113"/>
      <c r="AN124" s="113"/>
      <c r="AO124" s="113"/>
      <c r="AP124" s="113"/>
      <c r="AQ124" s="113"/>
      <c r="AR124" s="113"/>
      <c r="AS124" s="113"/>
      <c r="AT124" s="113"/>
      <c r="AU124" s="113"/>
      <c r="AV124" s="113"/>
      <c r="AW124" s="113"/>
      <c r="AX124" s="118" t="str">
        <f>UPPER(Country)</f>
        <v>BELGIUM</v>
      </c>
      <c r="AY124" s="217"/>
      <c r="AZ124" s="54"/>
      <c r="BB124" s="54"/>
      <c r="BC124" s="5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row>
    <row r="125" spans="2:256" s="45" customFormat="1">
      <c r="AZ125" s="54"/>
      <c r="BB125" s="54"/>
      <c r="BC125" s="54"/>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row>
    <row r="126" spans="2:256" s="45" customFormat="1">
      <c r="AZ126" s="54"/>
      <c r="BB126" s="54"/>
      <c r="BC126" s="54"/>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row>
    <row r="127" spans="2:256" s="45" customFormat="1">
      <c r="AZ127" s="54"/>
      <c r="BB127" s="54"/>
      <c r="BC127" s="54"/>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row>
    <row r="128" spans="2:256" s="45" customFormat="1">
      <c r="AZ128" s="54"/>
      <c r="BB128" s="54"/>
      <c r="BC128" s="54"/>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row>
    <row r="129" spans="1:256" s="45" customFormat="1">
      <c r="AZ129" s="54"/>
      <c r="BB129" s="54"/>
      <c r="BC129" s="54"/>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row>
    <row r="130" spans="1:256" s="45" customFormat="1">
      <c r="AZ130" s="54"/>
      <c r="BB130" s="54"/>
      <c r="BC130" s="54"/>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row>
    <row r="131" spans="1:256" s="45" customFormat="1">
      <c r="AZ131" s="54"/>
      <c r="BB131" s="54"/>
      <c r="BC131" s="54"/>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row>
    <row r="132" spans="1:256" s="45" customFormat="1">
      <c r="AZ132" s="54"/>
      <c r="BB132" s="54"/>
      <c r="BC132" s="54"/>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row>
    <row r="133" spans="1:256" s="45" customFormat="1">
      <c r="Q133" s="186"/>
      <c r="AY133" s="186"/>
      <c r="AZ133" s="54"/>
      <c r="BB133" s="54"/>
      <c r="BC133" s="54"/>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row>
    <row r="134" spans="1:256" s="45" customFormat="1">
      <c r="AZ134" s="54"/>
      <c r="BB134" s="54"/>
      <c r="BC134" s="5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row>
    <row r="135" spans="1:256" s="45" customFormat="1">
      <c r="AZ135" s="54"/>
      <c r="BB135" s="54"/>
      <c r="BC135" s="54"/>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row>
    <row r="136" spans="1:256">
      <c r="A136" s="45"/>
      <c r="B136" s="2301"/>
      <c r="C136" s="2302" t="s">
        <v>1282</v>
      </c>
      <c r="D136" s="2303"/>
      <c r="E136" s="2303"/>
      <c r="F136" s="2303"/>
      <c r="G136" s="2303"/>
      <c r="H136" s="2303"/>
      <c r="I136" s="2430"/>
      <c r="J136" s="2430"/>
      <c r="K136" s="1610"/>
      <c r="L136" s="54"/>
      <c r="M136" s="54"/>
      <c r="N136" s="54"/>
      <c r="O136" s="54"/>
      <c r="P136" s="45"/>
      <c r="Q136" s="45"/>
      <c r="R136" s="45"/>
      <c r="S136" s="187"/>
      <c r="T136" s="56" t="s">
        <v>1282</v>
      </c>
      <c r="U136" s="57"/>
      <c r="V136" s="100"/>
      <c r="W136" s="100"/>
      <c r="X136" s="100"/>
      <c r="Y136" s="100"/>
      <c r="Z136" s="219"/>
      <c r="AA136" s="219"/>
      <c r="AB136" s="220"/>
      <c r="AC136" s="45"/>
      <c r="AD136" s="45"/>
      <c r="AE136" s="45"/>
      <c r="AF136" s="45"/>
      <c r="AG136" s="45"/>
      <c r="AH136" s="45"/>
      <c r="AI136" s="45"/>
      <c r="AJ136" s="187"/>
      <c r="AK136" s="56" t="s">
        <v>1282</v>
      </c>
      <c r="AL136" s="57"/>
      <c r="AM136" s="100"/>
      <c r="AN136" s="100"/>
      <c r="AO136" s="100"/>
      <c r="AP136" s="100"/>
      <c r="AQ136" s="219"/>
      <c r="AR136" s="219"/>
      <c r="AS136" s="220"/>
      <c r="AT136" s="54"/>
      <c r="AU136" s="54"/>
      <c r="AV136" s="54"/>
      <c r="AW136" s="54"/>
      <c r="AX136" s="45"/>
      <c r="AY136" s="45"/>
      <c r="AZ136" s="54"/>
      <c r="BA136" s="45"/>
      <c r="BB136" s="54"/>
      <c r="BC136" s="54"/>
    </row>
    <row r="137" spans="1:256">
      <c r="A137" s="45"/>
      <c r="B137" s="1575"/>
      <c r="C137" s="4157" t="s">
        <v>949</v>
      </c>
      <c r="D137" s="4157"/>
      <c r="E137" s="4157"/>
      <c r="F137" s="4157"/>
      <c r="G137" s="4157"/>
      <c r="H137" s="4157"/>
      <c r="I137" s="4157"/>
      <c r="J137" s="4157"/>
      <c r="K137" s="1612"/>
      <c r="L137" s="54"/>
      <c r="M137" s="54"/>
      <c r="N137" s="54"/>
      <c r="O137" s="54"/>
      <c r="P137" s="45"/>
      <c r="Q137" s="45"/>
      <c r="R137" s="45"/>
      <c r="S137" s="189"/>
      <c r="T137" s="4158" t="s">
        <v>949</v>
      </c>
      <c r="U137" s="4158"/>
      <c r="V137" s="4158"/>
      <c r="W137" s="4158"/>
      <c r="X137" s="4158"/>
      <c r="Y137" s="4158"/>
      <c r="Z137" s="4158"/>
      <c r="AA137" s="4158"/>
      <c r="AB137" s="222"/>
      <c r="AC137" s="45"/>
      <c r="AD137" s="45"/>
      <c r="AE137" s="45"/>
      <c r="AF137" s="45"/>
      <c r="AG137" s="45"/>
      <c r="AH137" s="45"/>
      <c r="AI137" s="45"/>
      <c r="AJ137" s="189"/>
      <c r="AK137" s="4158" t="s">
        <v>949</v>
      </c>
      <c r="AL137" s="4158"/>
      <c r="AM137" s="4158"/>
      <c r="AN137" s="4158"/>
      <c r="AO137" s="4158"/>
      <c r="AP137" s="4158"/>
      <c r="AQ137" s="4158"/>
      <c r="AR137" s="4158"/>
      <c r="AS137" s="222"/>
      <c r="AT137" s="54"/>
      <c r="AU137" s="54"/>
      <c r="AV137" s="54"/>
      <c r="AW137" s="54"/>
      <c r="AX137" s="45"/>
      <c r="AY137" s="45"/>
      <c r="AZ137" s="54"/>
      <c r="BA137" s="45"/>
      <c r="BB137" s="54"/>
      <c r="BC137" s="54"/>
    </row>
    <row r="138" spans="1:256">
      <c r="A138" s="45"/>
      <c r="B138" s="1575"/>
      <c r="C138" s="4182" t="s">
        <v>509</v>
      </c>
      <c r="D138" s="4182"/>
      <c r="E138" s="4182"/>
      <c r="F138" s="4182"/>
      <c r="G138" s="4182"/>
      <c r="H138" s="4182"/>
      <c r="I138" s="4182"/>
      <c r="J138" s="4182"/>
      <c r="K138" s="1612"/>
      <c r="L138" s="54"/>
      <c r="M138" s="54"/>
      <c r="N138" s="54"/>
      <c r="O138" s="54"/>
      <c r="P138" s="45"/>
      <c r="Q138" s="45"/>
      <c r="R138" s="45"/>
      <c r="S138" s="189"/>
      <c r="T138" s="4183" t="s">
        <v>509</v>
      </c>
      <c r="U138" s="4183"/>
      <c r="V138" s="4183"/>
      <c r="W138" s="4183"/>
      <c r="X138" s="4183"/>
      <c r="Y138" s="4183"/>
      <c r="Z138" s="4183"/>
      <c r="AA138" s="4183"/>
      <c r="AB138" s="222"/>
      <c r="AC138" s="45"/>
      <c r="AD138" s="45"/>
      <c r="AE138" s="45"/>
      <c r="AF138" s="45"/>
      <c r="AG138" s="45"/>
      <c r="AH138" s="45"/>
      <c r="AI138" s="45"/>
      <c r="AJ138" s="189"/>
      <c r="AK138" s="4183" t="s">
        <v>509</v>
      </c>
      <c r="AL138" s="4183"/>
      <c r="AM138" s="4183"/>
      <c r="AN138" s="4183"/>
      <c r="AO138" s="4183"/>
      <c r="AP138" s="4183"/>
      <c r="AQ138" s="4183"/>
      <c r="AR138" s="4183"/>
      <c r="AS138" s="222"/>
      <c r="AT138" s="54"/>
      <c r="AU138" s="54"/>
      <c r="AV138" s="54"/>
      <c r="AW138" s="54"/>
      <c r="AX138" s="45"/>
      <c r="AY138" s="45"/>
      <c r="AZ138" s="54"/>
      <c r="BA138" s="45"/>
      <c r="BB138" s="54"/>
      <c r="BC138" s="54"/>
    </row>
    <row r="139" spans="1:256" ht="15.6">
      <c r="A139" s="45"/>
      <c r="B139" s="1575"/>
      <c r="C139" s="2309" t="str">
        <f>"Country: " &amp;UPPER(Country)</f>
        <v>Country: BELGIUM</v>
      </c>
      <c r="D139" s="2431"/>
      <c r="E139" s="2314"/>
      <c r="F139" s="2314"/>
      <c r="G139" s="2314"/>
      <c r="H139" s="2311"/>
      <c r="I139" s="2432"/>
      <c r="J139" s="2432"/>
      <c r="K139" s="1612"/>
      <c r="L139" s="54"/>
      <c r="M139" s="54"/>
      <c r="N139" s="54"/>
      <c r="O139" s="54"/>
      <c r="P139" s="45"/>
      <c r="Q139" s="45"/>
      <c r="R139" s="45"/>
      <c r="S139" s="189"/>
      <c r="T139" s="63" t="str">
        <f>"Country: " &amp;UPPER(Country)</f>
        <v>Country: BELGIUM</v>
      </c>
      <c r="U139" s="223"/>
      <c r="V139" s="68"/>
      <c r="W139" s="68"/>
      <c r="X139" s="1915" t="s">
        <v>724</v>
      </c>
      <c r="Y139" s="65"/>
      <c r="Z139" s="221"/>
      <c r="AA139" s="221"/>
      <c r="AB139" s="222"/>
      <c r="AC139" s="45"/>
      <c r="AD139" s="45"/>
      <c r="AE139" s="45"/>
      <c r="AF139" s="45"/>
      <c r="AG139" s="45"/>
      <c r="AH139" s="45"/>
      <c r="AI139" s="45"/>
      <c r="AJ139" s="189"/>
      <c r="AK139" s="63" t="str">
        <f>"Country: " &amp;UPPER(Country)</f>
        <v>Country: BELGIUM</v>
      </c>
      <c r="AL139" s="223"/>
      <c r="AM139" s="68"/>
      <c r="AN139" s="68"/>
      <c r="AO139" s="68"/>
      <c r="AP139" s="65"/>
      <c r="AQ139" s="221"/>
      <c r="AR139" s="221"/>
      <c r="AS139" s="222"/>
      <c r="AT139" s="54"/>
      <c r="AU139" s="54"/>
      <c r="AV139" s="54"/>
      <c r="AW139" s="54"/>
      <c r="AX139" s="45"/>
      <c r="AY139" s="45"/>
      <c r="AZ139" s="54"/>
      <c r="BA139" s="45"/>
      <c r="BB139" s="54"/>
      <c r="BC139" s="54"/>
    </row>
    <row r="140" spans="1:256" ht="15.6">
      <c r="A140" s="45"/>
      <c r="B140" s="1575"/>
      <c r="C140" s="2309" t="str">
        <f>"Currency unit: " &amp; Currency</f>
        <v>Currency unit: bn EUR</v>
      </c>
      <c r="D140" s="2431"/>
      <c r="E140" s="2314"/>
      <c r="F140" s="2314"/>
      <c r="G140" s="2314"/>
      <c r="H140" s="2311"/>
      <c r="I140" s="2432"/>
      <c r="J140" s="2432"/>
      <c r="K140" s="1612"/>
      <c r="L140" s="54"/>
      <c r="M140" s="54"/>
      <c r="N140" s="54"/>
      <c r="O140" s="54"/>
      <c r="P140" s="45"/>
      <c r="Q140" s="45"/>
      <c r="R140" s="45"/>
      <c r="S140" s="189"/>
      <c r="T140" s="63" t="str">
        <f>"Currency unit: " &amp; Currency</f>
        <v>Currency unit: bn EUR</v>
      </c>
      <c r="U140" s="223"/>
      <c r="V140" s="68"/>
      <c r="W140" s="68"/>
      <c r="X140" s="1915" t="str">
        <f>$T$4</f>
        <v>SF2018 - final storage FRI</v>
      </c>
      <c r="Y140" s="65"/>
      <c r="Z140" s="221"/>
      <c r="AA140" s="221"/>
      <c r="AB140" s="222"/>
      <c r="AC140" s="45"/>
      <c r="AD140" s="45"/>
      <c r="AE140" s="45"/>
      <c r="AF140" s="45"/>
      <c r="AG140" s="45"/>
      <c r="AH140" s="45"/>
      <c r="AI140" s="45"/>
      <c r="AJ140" s="189"/>
      <c r="AK140" s="63" t="str">
        <f>"Currency unit: " &amp; Currency</f>
        <v>Currency unit: bn EUR</v>
      </c>
      <c r="AL140" s="223"/>
      <c r="AM140" s="68"/>
      <c r="AN140" s="68"/>
      <c r="AO140" s="68"/>
      <c r="AP140" s="65"/>
      <c r="AQ140" s="221"/>
      <c r="AR140" s="221"/>
      <c r="AS140" s="222"/>
      <c r="AT140" s="54"/>
      <c r="AU140" s="54"/>
      <c r="AV140" s="54"/>
      <c r="AW140" s="54"/>
      <c r="AX140" s="45"/>
      <c r="AY140" s="45"/>
      <c r="AZ140" s="54"/>
      <c r="BA140" s="45"/>
      <c r="BB140" s="54"/>
      <c r="BC140" s="54"/>
    </row>
    <row r="141" spans="1:256">
      <c r="A141" s="45"/>
      <c r="B141" s="1575"/>
      <c r="C141" s="2315" t="s">
        <v>1641</v>
      </c>
      <c r="D141" s="2315"/>
      <c r="E141" s="2314"/>
      <c r="F141" s="2314"/>
      <c r="G141" s="2314"/>
      <c r="H141" s="2311"/>
      <c r="I141" s="2432"/>
      <c r="J141" s="2432"/>
      <c r="K141" s="1612"/>
      <c r="L141" s="54"/>
      <c r="M141" s="54"/>
      <c r="N141" s="54"/>
      <c r="O141" s="54"/>
      <c r="P141" s="54"/>
      <c r="Q141" s="54"/>
      <c r="R141" s="54"/>
      <c r="S141" s="189"/>
      <c r="T141" s="69" t="s">
        <v>1641</v>
      </c>
      <c r="U141" s="69"/>
      <c r="V141" s="68"/>
      <c r="W141" s="68"/>
      <c r="X141" s="68"/>
      <c r="Y141" s="65"/>
      <c r="Z141" s="221"/>
      <c r="AA141" s="221"/>
      <c r="AB141" s="222"/>
      <c r="AC141" s="45"/>
      <c r="AD141" s="45"/>
      <c r="AE141" s="45"/>
      <c r="AF141" s="45"/>
      <c r="AG141" s="45"/>
      <c r="AH141" s="45"/>
      <c r="AI141" s="45"/>
      <c r="AJ141" s="189"/>
      <c r="AK141" s="69" t="s">
        <v>1641</v>
      </c>
      <c r="AL141" s="69"/>
      <c r="AM141" s="68"/>
      <c r="AN141" s="68"/>
      <c r="AO141" s="68"/>
      <c r="AP141" s="65"/>
      <c r="AQ141" s="221"/>
      <c r="AR141" s="221"/>
      <c r="AS141" s="222"/>
      <c r="AT141" s="54"/>
      <c r="AU141" s="54"/>
      <c r="AV141" s="54"/>
      <c r="AW141" s="54"/>
      <c r="AX141" s="54"/>
      <c r="AY141" s="54"/>
      <c r="AZ141" s="54"/>
      <c r="BA141" s="45"/>
      <c r="BB141" s="54"/>
      <c r="BC141" s="54"/>
    </row>
    <row r="142" spans="1:256" ht="13.8" thickBot="1">
      <c r="A142" s="45"/>
      <c r="B142" s="1575"/>
      <c r="C142" s="2314"/>
      <c r="D142" s="2311"/>
      <c r="E142" s="2314"/>
      <c r="F142" s="2314"/>
      <c r="G142" s="2314"/>
      <c r="H142" s="2433"/>
      <c r="I142" s="4159">
        <f ca="1">NOW()</f>
        <v>43213.646692361108</v>
      </c>
      <c r="J142" s="4159"/>
      <c r="K142" s="1612"/>
      <c r="L142" s="54"/>
      <c r="M142" s="54"/>
      <c r="N142" s="54"/>
      <c r="O142" s="54"/>
      <c r="P142" s="54"/>
      <c r="Q142" s="54"/>
      <c r="R142" s="54"/>
      <c r="S142" s="189"/>
      <c r="T142" s="68"/>
      <c r="U142" s="65"/>
      <c r="V142" s="68"/>
      <c r="W142" s="68"/>
      <c r="X142" s="68"/>
      <c r="Y142" s="152"/>
      <c r="Z142" s="4160">
        <f ca="1">NOW()</f>
        <v>43213.646692361108</v>
      </c>
      <c r="AA142" s="4160"/>
      <c r="AB142" s="222"/>
      <c r="AC142" s="45"/>
      <c r="AD142" s="45"/>
      <c r="AE142" s="45"/>
      <c r="AF142" s="45"/>
      <c r="AG142" s="45"/>
      <c r="AH142" s="45"/>
      <c r="AI142" s="45"/>
      <c r="AJ142" s="189"/>
      <c r="AK142" s="68"/>
      <c r="AL142" s="65"/>
      <c r="AM142" s="68"/>
      <c r="AN142" s="68"/>
      <c r="AO142" s="68"/>
      <c r="AP142" s="152"/>
      <c r="AQ142" s="4160">
        <f ca="1">NOW()</f>
        <v>43213.646692361108</v>
      </c>
      <c r="AR142" s="4160"/>
      <c r="AS142" s="222"/>
      <c r="AT142" s="54"/>
      <c r="AU142" s="54"/>
      <c r="AV142" s="54"/>
      <c r="AW142" s="54"/>
      <c r="AX142" s="54"/>
      <c r="AY142" s="54"/>
      <c r="AZ142" s="54"/>
      <c r="BA142" s="45"/>
      <c r="BB142" s="54"/>
      <c r="BC142" s="54"/>
    </row>
    <row r="143" spans="1:256">
      <c r="A143" s="45"/>
      <c r="B143" s="1575"/>
      <c r="C143" s="2434"/>
      <c r="D143" s="2435"/>
      <c r="E143" s="2436" t="s">
        <v>1641</v>
      </c>
      <c r="F143" s="4173">
        <f>E16</f>
        <v>2016</v>
      </c>
      <c r="G143" s="4174"/>
      <c r="H143" s="2365">
        <f>F143+1</f>
        <v>2017</v>
      </c>
      <c r="I143" s="2365">
        <f>H143+1</f>
        <v>2018</v>
      </c>
      <c r="J143" s="2399">
        <f>I143+1</f>
        <v>2019</v>
      </c>
      <c r="K143" s="2400"/>
      <c r="L143" s="229"/>
      <c r="M143" s="54"/>
      <c r="N143" s="54"/>
      <c r="O143" s="54"/>
      <c r="P143" s="54"/>
      <c r="Q143" s="54"/>
      <c r="R143" s="54"/>
      <c r="S143" s="189"/>
      <c r="T143" s="224"/>
      <c r="U143" s="225"/>
      <c r="V143" s="226" t="s">
        <v>1641</v>
      </c>
      <c r="W143" s="4201">
        <f>Last_forecast_year-3</f>
        <v>2016</v>
      </c>
      <c r="X143" s="4202"/>
      <c r="Y143" s="227">
        <f>W143+1</f>
        <v>2017</v>
      </c>
      <c r="Z143" s="227">
        <f>Y143+1</f>
        <v>2018</v>
      </c>
      <c r="AA143" s="1920">
        <f>Z143+1</f>
        <v>2019</v>
      </c>
      <c r="AB143" s="228"/>
      <c r="AC143" s="45"/>
      <c r="AD143" s="45"/>
      <c r="AE143" s="45"/>
      <c r="AF143" s="45"/>
      <c r="AG143" s="45"/>
      <c r="AH143" s="45"/>
      <c r="AI143" s="45"/>
      <c r="AJ143" s="189"/>
      <c r="AK143" s="224"/>
      <c r="AL143" s="225"/>
      <c r="AM143" s="226" t="s">
        <v>1641</v>
      </c>
      <c r="AN143" s="4201">
        <f>Last_forecast_year - 3</f>
        <v>2016</v>
      </c>
      <c r="AO143" s="4202"/>
      <c r="AP143" s="227">
        <f>AN143+1</f>
        <v>2017</v>
      </c>
      <c r="AQ143" s="227">
        <f>AP143+1</f>
        <v>2018</v>
      </c>
      <c r="AR143" s="227">
        <f>AQ143+1</f>
        <v>2019</v>
      </c>
      <c r="AS143" s="228"/>
      <c r="AT143" s="229"/>
      <c r="AU143" s="54"/>
      <c r="AV143" s="54"/>
      <c r="AW143" s="54"/>
      <c r="AX143" s="54"/>
      <c r="AY143" s="54"/>
      <c r="AZ143" s="54"/>
      <c r="BA143" s="45"/>
      <c r="BB143" s="54"/>
      <c r="BC143" s="54"/>
    </row>
    <row r="144" spans="1:256">
      <c r="A144" s="45"/>
      <c r="B144" s="1575"/>
      <c r="C144" s="2437"/>
      <c r="D144" s="2312"/>
      <c r="E144" s="2438" t="s">
        <v>625</v>
      </c>
      <c r="F144" s="2439" t="s">
        <v>1642</v>
      </c>
      <c r="G144" s="4203" t="s">
        <v>626</v>
      </c>
      <c r="H144" s="4168"/>
      <c r="I144" s="4168"/>
      <c r="J144" s="4169"/>
      <c r="K144" s="2323"/>
      <c r="L144" s="146"/>
      <c r="M144" s="54"/>
      <c r="N144" s="54"/>
      <c r="O144" s="54"/>
      <c r="P144" s="54"/>
      <c r="Q144" s="54"/>
      <c r="R144" s="54"/>
      <c r="S144" s="189"/>
      <c r="T144" s="230"/>
      <c r="U144" s="231"/>
      <c r="V144" s="232" t="s">
        <v>625</v>
      </c>
      <c r="W144" s="1639" t="s">
        <v>1642</v>
      </c>
      <c r="X144" s="4204" t="s">
        <v>626</v>
      </c>
      <c r="Y144" s="4171"/>
      <c r="Z144" s="4171"/>
      <c r="AA144" s="4172"/>
      <c r="AB144" s="77"/>
      <c r="AC144" s="45"/>
      <c r="AD144" s="45"/>
      <c r="AE144" s="45"/>
      <c r="AF144" s="45"/>
      <c r="AG144" s="45"/>
      <c r="AH144" s="45"/>
      <c r="AI144" s="45"/>
      <c r="AJ144" s="189"/>
      <c r="AK144" s="230"/>
      <c r="AL144" s="231"/>
      <c r="AM144" s="232" t="s">
        <v>625</v>
      </c>
      <c r="AN144" s="1639" t="s">
        <v>1642</v>
      </c>
      <c r="AO144" s="4204" t="s">
        <v>626</v>
      </c>
      <c r="AP144" s="4171"/>
      <c r="AQ144" s="4171"/>
      <c r="AR144" s="4172"/>
      <c r="AS144" s="77"/>
      <c r="AT144" s="146"/>
      <c r="AU144" s="54"/>
      <c r="AV144" s="54"/>
      <c r="AW144" s="54"/>
      <c r="AX144" s="54"/>
      <c r="AY144" s="54"/>
      <c r="AZ144" s="54"/>
      <c r="BA144" s="45"/>
      <c r="BB144" s="54"/>
      <c r="BC144" s="54"/>
    </row>
    <row r="145" spans="1:55">
      <c r="A145" s="45"/>
      <c r="B145" s="1575"/>
      <c r="C145" s="2440" t="s">
        <v>1283</v>
      </c>
      <c r="D145" s="2441"/>
      <c r="E145" s="2442"/>
      <c r="F145" s="2443"/>
      <c r="G145" s="2444"/>
      <c r="H145" s="2445"/>
      <c r="I145" s="2446"/>
      <c r="J145" s="2447"/>
      <c r="K145" s="2405"/>
      <c r="L145" s="241"/>
      <c r="M145" s="54"/>
      <c r="N145" s="54"/>
      <c r="O145" s="54"/>
      <c r="P145" s="54"/>
      <c r="Q145" s="54"/>
      <c r="R145" s="54"/>
      <c r="S145" s="189"/>
      <c r="T145" s="233" t="s">
        <v>1283</v>
      </c>
      <c r="U145" s="234"/>
      <c r="V145" s="235"/>
      <c r="W145" s="236"/>
      <c r="X145" s="237"/>
      <c r="Y145" s="238"/>
      <c r="Z145" s="239"/>
      <c r="AA145" s="240"/>
      <c r="AB145" s="199"/>
      <c r="AC145" s="45"/>
      <c r="AD145" s="45"/>
      <c r="AE145" s="45"/>
      <c r="AF145" s="45"/>
      <c r="AG145" s="45"/>
      <c r="AH145" s="45"/>
      <c r="AI145" s="45"/>
      <c r="AJ145" s="189"/>
      <c r="AK145" s="233" t="s">
        <v>1283</v>
      </c>
      <c r="AL145" s="234"/>
      <c r="AM145" s="235"/>
      <c r="AN145" s="236"/>
      <c r="AO145" s="237"/>
      <c r="AP145" s="238"/>
      <c r="AQ145" s="239"/>
      <c r="AR145" s="240"/>
      <c r="AS145" s="199"/>
      <c r="AT145" s="241"/>
      <c r="AU145" s="54"/>
      <c r="AV145" s="54"/>
      <c r="AW145" s="54"/>
      <c r="AX145" s="54"/>
      <c r="AY145" s="54"/>
      <c r="AZ145" s="54"/>
      <c r="BA145" s="45"/>
      <c r="BB145" s="54"/>
      <c r="BC145" s="54"/>
    </row>
    <row r="146" spans="1:55">
      <c r="A146" s="45"/>
      <c r="B146" s="1575"/>
      <c r="C146" s="2448" t="s">
        <v>1284</v>
      </c>
      <c r="D146" s="2449"/>
      <c r="E146" s="2450" t="s">
        <v>737</v>
      </c>
      <c r="F146" s="2916" t="s">
        <v>708</v>
      </c>
      <c r="G146" s="2452">
        <f ca="1">((Transfer!D296/Transfer!C296)-1)*100</f>
        <v>-2.4659554798433514</v>
      </c>
      <c r="H146" s="2057">
        <f ca="1">((Transfer!E296/Transfer!D296)-1)*100</f>
        <v>2.750000000000008</v>
      </c>
      <c r="I146" s="2056">
        <f ca="1">((Transfer!F296/Transfer!E296)-1)*100</f>
        <v>10.260000000000002</v>
      </c>
      <c r="J146" s="2058">
        <f ca="1">((Transfer!G296/Transfer!F296)-1)*100</f>
        <v>5.4999999999999938</v>
      </c>
      <c r="K146" s="2328"/>
      <c r="L146" s="149"/>
      <c r="M146" s="54"/>
      <c r="N146" s="54"/>
      <c r="O146" s="54"/>
      <c r="P146" s="54"/>
      <c r="Q146" s="54"/>
      <c r="R146" s="54"/>
      <c r="S146" s="189"/>
      <c r="T146" s="230" t="s">
        <v>1284</v>
      </c>
      <c r="U146" s="231"/>
      <c r="V146" s="242" t="s">
        <v>737</v>
      </c>
      <c r="W146" s="243" t="e">
        <f t="shared" ref="W146:AA147" si="10">ROUND(F146,1)-ROUND(AN146,1)</f>
        <v>#VALUE!</v>
      </c>
      <c r="X146" s="243">
        <f t="shared" ca="1" si="10"/>
        <v>0</v>
      </c>
      <c r="Y146" s="243">
        <f t="shared" ca="1" si="10"/>
        <v>0</v>
      </c>
      <c r="Z146" s="243">
        <f t="shared" ca="1" si="10"/>
        <v>0</v>
      </c>
      <c r="AA146" s="93">
        <f t="shared" ca="1" si="10"/>
        <v>0</v>
      </c>
      <c r="AB146" s="82"/>
      <c r="AC146" s="45"/>
      <c r="AD146" s="45"/>
      <c r="AE146" s="45"/>
      <c r="AF146" s="45"/>
      <c r="AG146" s="45"/>
      <c r="AH146" s="45"/>
      <c r="AI146" s="45"/>
      <c r="AJ146" s="189"/>
      <c r="AK146" s="2079" t="s">
        <v>1284</v>
      </c>
      <c r="AL146" s="2080"/>
      <c r="AM146" s="2081" t="s">
        <v>737</v>
      </c>
      <c r="AN146" s="2056">
        <f>Transfer!AD296</f>
        <v>9.1993135450966541</v>
      </c>
      <c r="AO146" s="2082">
        <f>((Transfer!AD296/Transfer!AC296)-1)*100</f>
        <v>-2.4659554798433514</v>
      </c>
      <c r="AP146" s="2057">
        <f>((Transfer!AE296/Transfer!AD296)-1)*100</f>
        <v>2.750000000000008</v>
      </c>
      <c r="AQ146" s="2056">
        <f>((Transfer!AF296/Transfer!AE296)-1)*100</f>
        <v>10.260000000000002</v>
      </c>
      <c r="AR146" s="2058">
        <f>((Transfer!AG296/Transfer!AF296)-1)*100</f>
        <v>5.4999999999999938</v>
      </c>
      <c r="AS146" s="82"/>
      <c r="AT146" s="149"/>
      <c r="AU146" s="54"/>
      <c r="AV146" s="54"/>
      <c r="AW146" s="54"/>
      <c r="AX146" s="54"/>
      <c r="AY146" s="54"/>
      <c r="AZ146" s="54"/>
      <c r="BA146" s="531" t="s">
        <v>67</v>
      </c>
      <c r="BB146" s="54"/>
      <c r="BC146" s="54"/>
    </row>
    <row r="147" spans="1:55">
      <c r="A147" s="45"/>
      <c r="B147" s="1575"/>
      <c r="C147" s="2448" t="s">
        <v>942</v>
      </c>
      <c r="D147" s="2449"/>
      <c r="E147" s="2450" t="s">
        <v>943</v>
      </c>
      <c r="F147" s="2916" t="s">
        <v>708</v>
      </c>
      <c r="G147" s="2348">
        <f ca="1">+Transfer!D322/Transfer!C322*100-100</f>
        <v>4.2696264079542345</v>
      </c>
      <c r="H147" s="2057">
        <f ca="1">+Transfer!E322/Transfer!D322*100-100</f>
        <v>0.80575346797439806</v>
      </c>
      <c r="I147" s="2451">
        <f ca="1">+Transfer!F322/Transfer!E322*100-100</f>
        <v>3.3210695333893483</v>
      </c>
      <c r="J147" s="2454">
        <f ca="1">+Transfer!G322/Transfer!F322*100-100</f>
        <v>2.423015479169834</v>
      </c>
      <c r="K147" s="2328"/>
      <c r="L147" s="149"/>
      <c r="M147" s="54"/>
      <c r="N147" s="54"/>
      <c r="O147" s="54"/>
      <c r="P147" s="54"/>
      <c r="Q147" s="54"/>
      <c r="R147" s="54"/>
      <c r="S147" s="189"/>
      <c r="T147" s="230" t="s">
        <v>942</v>
      </c>
      <c r="U147" s="231"/>
      <c r="V147" s="242" t="s">
        <v>943</v>
      </c>
      <c r="W147" s="243" t="e">
        <f t="shared" si="10"/>
        <v>#VALUE!</v>
      </c>
      <c r="X147" s="243">
        <f t="shared" ca="1" si="10"/>
        <v>0</v>
      </c>
      <c r="Y147" s="243">
        <f t="shared" ca="1" si="10"/>
        <v>0</v>
      </c>
      <c r="Z147" s="243">
        <f t="shared" ca="1" si="10"/>
        <v>0</v>
      </c>
      <c r="AA147" s="93">
        <f t="shared" ca="1" si="10"/>
        <v>0</v>
      </c>
      <c r="AB147" s="82"/>
      <c r="AC147" s="45"/>
      <c r="AD147" s="45"/>
      <c r="AE147" s="45"/>
      <c r="AF147" s="45"/>
      <c r="AG147" s="45"/>
      <c r="AH147" s="45"/>
      <c r="AI147" s="45"/>
      <c r="AJ147" s="189"/>
      <c r="AK147" s="2079" t="s">
        <v>942</v>
      </c>
      <c r="AL147" s="2080"/>
      <c r="AM147" s="2081" t="s">
        <v>943</v>
      </c>
      <c r="AN147" s="2056">
        <f>+Transfer!AD322</f>
        <v>89.415583969129898</v>
      </c>
      <c r="AO147" s="2024">
        <f>+Transfer!AD322/Transfer!AC322*100-100</f>
        <v>4.2696264079542345</v>
      </c>
      <c r="AP147" s="2057">
        <f>+Transfer!AE322/Transfer!AD322*100-100</f>
        <v>0.80575346797439806</v>
      </c>
      <c r="AQ147" s="2056">
        <f>+Transfer!AF322/Transfer!AE322*100-100</f>
        <v>3.3210695333893483</v>
      </c>
      <c r="AR147" s="2058">
        <f>+Transfer!AG322/Transfer!AF322*100-100</f>
        <v>2.423015479169834</v>
      </c>
      <c r="AS147" s="82"/>
      <c r="AT147" s="149"/>
      <c r="AU147" s="54"/>
      <c r="AV147" s="54"/>
      <c r="AW147" s="54"/>
      <c r="AX147" s="54"/>
      <c r="AY147" s="54"/>
      <c r="AZ147" s="54"/>
      <c r="BA147" s="1587" t="s">
        <v>1181</v>
      </c>
      <c r="BB147" s="54"/>
      <c r="BC147" s="54"/>
    </row>
    <row r="148" spans="1:55">
      <c r="A148" s="45"/>
      <c r="B148" s="1575"/>
      <c r="C148" s="2458" t="s">
        <v>409</v>
      </c>
      <c r="D148" s="2459"/>
      <c r="E148" s="2460"/>
      <c r="F148" s="2461"/>
      <c r="G148" s="2462"/>
      <c r="H148" s="463"/>
      <c r="I148" s="2461"/>
      <c r="J148" s="2464"/>
      <c r="K148" s="2405"/>
      <c r="L148" s="54"/>
      <c r="M148" s="54"/>
      <c r="N148" s="54"/>
      <c r="O148" s="54"/>
      <c r="P148" s="54"/>
      <c r="Q148" s="54"/>
      <c r="R148" s="54"/>
      <c r="S148" s="189"/>
      <c r="T148" s="247" t="s">
        <v>409</v>
      </c>
      <c r="U148" s="248"/>
      <c r="V148" s="242" t="s">
        <v>2097</v>
      </c>
      <c r="W148" s="249"/>
      <c r="X148" s="140"/>
      <c r="Y148" s="246"/>
      <c r="Z148" s="249"/>
      <c r="AA148" s="321"/>
      <c r="AB148" s="199"/>
      <c r="AC148" s="45"/>
      <c r="AD148" s="45"/>
      <c r="AE148" s="45"/>
      <c r="AF148" s="45"/>
      <c r="AG148" s="45"/>
      <c r="AH148" s="45"/>
      <c r="AI148" s="45"/>
      <c r="AJ148" s="189"/>
      <c r="AK148" s="247" t="s">
        <v>409</v>
      </c>
      <c r="AL148" s="248"/>
      <c r="AM148" s="242"/>
      <c r="AN148" s="464"/>
      <c r="AO148" s="144"/>
      <c r="AP148" s="463"/>
      <c r="AQ148" s="464"/>
      <c r="AR148" s="465"/>
      <c r="AS148" s="199"/>
      <c r="AT148" s="54"/>
      <c r="AU148" s="54"/>
      <c r="AV148" s="54"/>
      <c r="AW148" s="54"/>
      <c r="AX148" s="54"/>
      <c r="AY148" s="54"/>
      <c r="AZ148" s="54"/>
      <c r="BA148" s="1896"/>
      <c r="BB148" s="54"/>
      <c r="BC148" s="54"/>
    </row>
    <row r="149" spans="1:55">
      <c r="A149" s="45"/>
      <c r="B149" s="1575"/>
      <c r="C149" s="2448" t="s">
        <v>436</v>
      </c>
      <c r="D149" s="2449"/>
      <c r="E149" s="2450" t="s">
        <v>1562</v>
      </c>
      <c r="F149" s="2916" t="s">
        <v>708</v>
      </c>
      <c r="G149" s="2348">
        <f ca="1">((Transfer!D287/Transfer!C287)-1)*100</f>
        <v>2.4410308919645018</v>
      </c>
      <c r="H149" s="2057">
        <f ca="1">((Transfer!E287/Transfer!D287)-1)*100</f>
        <v>2.3913976677873539</v>
      </c>
      <c r="I149" s="2451">
        <f ca="1">((Transfer!F287/Transfer!E287)-1)*100</f>
        <v>2.3587420020138472</v>
      </c>
      <c r="J149" s="2454">
        <f ca="1">((Transfer!G287/Transfer!F287)-1)*100</f>
        <v>2.0800652185389179</v>
      </c>
      <c r="K149" s="2328"/>
      <c r="L149" s="54"/>
      <c r="M149" s="54"/>
      <c r="N149" s="54"/>
      <c r="O149" s="54"/>
      <c r="P149" s="54"/>
      <c r="Q149" s="54"/>
      <c r="R149" s="54"/>
      <c r="S149" s="189"/>
      <c r="T149" s="230" t="s">
        <v>436</v>
      </c>
      <c r="U149" s="248"/>
      <c r="V149" s="242" t="s">
        <v>1562</v>
      </c>
      <c r="W149" s="243" t="e">
        <f t="shared" ref="W149:AA154" si="11">ROUND(F149,1)-ROUND(AN149,1)</f>
        <v>#VALUE!</v>
      </c>
      <c r="X149" s="243">
        <f t="shared" ca="1" si="11"/>
        <v>0</v>
      </c>
      <c r="Y149" s="243">
        <f t="shared" ca="1" si="11"/>
        <v>0</v>
      </c>
      <c r="Z149" s="243">
        <f t="shared" ca="1" si="11"/>
        <v>0</v>
      </c>
      <c r="AA149" s="93">
        <f t="shared" ca="1" si="11"/>
        <v>0</v>
      </c>
      <c r="AB149" s="82"/>
      <c r="AC149" s="45"/>
      <c r="AD149" s="45"/>
      <c r="AE149" s="45"/>
      <c r="AF149" s="45"/>
      <c r="AG149" s="45"/>
      <c r="AH149" s="45"/>
      <c r="AI149" s="45"/>
      <c r="AJ149" s="189"/>
      <c r="AK149" s="2079" t="s">
        <v>436</v>
      </c>
      <c r="AL149" s="2080"/>
      <c r="AM149" s="2081" t="s">
        <v>1562</v>
      </c>
      <c r="AN149" s="2056">
        <f>Transfer!AD287</f>
        <v>45.310897255886609</v>
      </c>
      <c r="AO149" s="2024">
        <f>((Transfer!AD287/Transfer!AC287)-1)*100</f>
        <v>2.4410308919645018</v>
      </c>
      <c r="AP149" s="2057">
        <f>((Transfer!AE287/Transfer!AD287)-1)*100</f>
        <v>2.3913976677873539</v>
      </c>
      <c r="AQ149" s="2056">
        <f>((Transfer!AF287/Transfer!AE287)-1)*100</f>
        <v>2.3587420020138472</v>
      </c>
      <c r="AR149" s="2058">
        <f>((Transfer!AG287/Transfer!AF287)-1)*100</f>
        <v>2.0800652185389179</v>
      </c>
      <c r="AS149" s="82"/>
      <c r="AT149" s="54"/>
      <c r="AU149" s="54"/>
      <c r="AV149" s="54"/>
      <c r="AW149" s="54"/>
      <c r="AX149" s="54"/>
      <c r="AY149" s="54"/>
      <c r="AZ149" s="54"/>
      <c r="BA149" s="1587" t="s">
        <v>1182</v>
      </c>
      <c r="BB149" s="54"/>
      <c r="BC149" s="54"/>
    </row>
    <row r="150" spans="1:55">
      <c r="A150" s="45"/>
      <c r="B150" s="1575"/>
      <c r="C150" s="2455" t="s">
        <v>2595</v>
      </c>
      <c r="D150" s="2456"/>
      <c r="E150" s="2457" t="s">
        <v>700</v>
      </c>
      <c r="F150" s="2916" t="s">
        <v>708</v>
      </c>
      <c r="G150" s="2348">
        <f ca="1">((Transfer!D299/Transfer!C299)-1)*100</f>
        <v>3.0850509292475348</v>
      </c>
      <c r="H150" s="2023">
        <f ca="1">((Transfer!E299/Transfer!D299)-1)*100</f>
        <v>0.45427667621043</v>
      </c>
      <c r="I150" s="2451">
        <f ca="1">((Transfer!F299/Transfer!E299)-1)*100</f>
        <v>0.69999999999998952</v>
      </c>
      <c r="J150" s="2454">
        <f ca="1">((Transfer!G299/Transfer!F299)-1)*100</f>
        <v>0.69999999999998952</v>
      </c>
      <c r="K150" s="2350"/>
      <c r="L150" s="54"/>
      <c r="M150" s="54"/>
      <c r="N150" s="54"/>
      <c r="O150" s="54"/>
      <c r="P150" s="54"/>
      <c r="Q150" s="54"/>
      <c r="R150" s="54"/>
      <c r="S150" s="189"/>
      <c r="T150" s="245" t="s">
        <v>699</v>
      </c>
      <c r="U150" s="231"/>
      <c r="V150" s="251" t="s">
        <v>700</v>
      </c>
      <c r="W150" s="243" t="e">
        <f t="shared" si="11"/>
        <v>#VALUE!</v>
      </c>
      <c r="X150" s="243">
        <f t="shared" ca="1" si="11"/>
        <v>0</v>
      </c>
      <c r="Y150" s="243">
        <f t="shared" ca="1" si="11"/>
        <v>0</v>
      </c>
      <c r="Z150" s="243">
        <f t="shared" ca="1" si="11"/>
        <v>0</v>
      </c>
      <c r="AA150" s="93">
        <f t="shared" ca="1" si="11"/>
        <v>0</v>
      </c>
      <c r="AB150" s="103"/>
      <c r="AC150" s="45"/>
      <c r="AD150" s="45"/>
      <c r="AE150" s="45"/>
      <c r="AF150" s="45"/>
      <c r="AG150" s="45"/>
      <c r="AH150" s="45"/>
      <c r="AI150" s="45"/>
      <c r="AJ150" s="189"/>
      <c r="AK150" s="2053" t="s">
        <v>699</v>
      </c>
      <c r="AL150" s="2054"/>
      <c r="AM150" s="2055" t="s">
        <v>700</v>
      </c>
      <c r="AN150" s="2056">
        <f>Transfer!AD299</f>
        <v>24.719898297884487</v>
      </c>
      <c r="AO150" s="2024">
        <f>((Transfer!AD299/Transfer!AC299)-1)*100</f>
        <v>3.0850509292475348</v>
      </c>
      <c r="AP150" s="2023">
        <f>((Transfer!AE299/Transfer!AD299)-1)*100</f>
        <v>0.45427667621043</v>
      </c>
      <c r="AQ150" s="2056">
        <f>((Transfer!AF299/Transfer!AE299)-1)*100</f>
        <v>0.69999999999998952</v>
      </c>
      <c r="AR150" s="2058">
        <f>((Transfer!AG299/Transfer!AF299)-1)*100</f>
        <v>0.69999999999998952</v>
      </c>
      <c r="AS150" s="103"/>
      <c r="AT150" s="54"/>
      <c r="AU150" s="54"/>
      <c r="AV150" s="54"/>
      <c r="AW150" s="54"/>
      <c r="AX150" s="54"/>
      <c r="AY150" s="54"/>
      <c r="AZ150" s="54"/>
      <c r="BA150" s="1587" t="s">
        <v>1183</v>
      </c>
      <c r="BB150" s="54"/>
      <c r="BC150" s="54"/>
    </row>
    <row r="151" spans="1:55">
      <c r="A151" s="45"/>
      <c r="B151" s="1575"/>
      <c r="C151" s="2455" t="s">
        <v>1108</v>
      </c>
      <c r="D151" s="2456"/>
      <c r="E151" s="2457" t="s">
        <v>7</v>
      </c>
      <c r="F151" s="2916" t="s">
        <v>708</v>
      </c>
      <c r="G151" s="2348">
        <f ca="1">(((Transfer!D104-Transfer!D131)/(Transfer!C104-Transfer!C131))-1)*100</f>
        <v>0.20682877893274387</v>
      </c>
      <c r="H151" s="2023">
        <f ca="1">(((Transfer!E104-Transfer!E131)/(Transfer!D104-Transfer!D131))-1)*100</f>
        <v>5.4004640808239524</v>
      </c>
      <c r="I151" s="2451">
        <f ca="1">(((Transfer!F104-Transfer!F131)/(Transfer!E104-Transfer!E131))-1)*100</f>
        <v>6.3217009378130129</v>
      </c>
      <c r="J151" s="2454">
        <f ca="1">(((Transfer!G104-Transfer!G131)/(Transfer!F104-Transfer!F131))-1)*100</f>
        <v>4.6359999999999957</v>
      </c>
      <c r="K151" s="2350"/>
      <c r="L151" s="54"/>
      <c r="M151" s="54"/>
      <c r="N151" s="54"/>
      <c r="O151" s="54"/>
      <c r="P151" s="54"/>
      <c r="Q151" s="54"/>
      <c r="R151" s="54"/>
      <c r="S151" s="189"/>
      <c r="T151" s="245" t="s">
        <v>1108</v>
      </c>
      <c r="U151" s="231"/>
      <c r="V151" s="251" t="s">
        <v>7</v>
      </c>
      <c r="W151" s="243" t="e">
        <f t="shared" si="11"/>
        <v>#VALUE!</v>
      </c>
      <c r="X151" s="243">
        <f t="shared" ca="1" si="11"/>
        <v>0</v>
      </c>
      <c r="Y151" s="243">
        <f t="shared" ca="1" si="11"/>
        <v>0</v>
      </c>
      <c r="Z151" s="243">
        <f t="shared" ca="1" si="11"/>
        <v>0</v>
      </c>
      <c r="AA151" s="93">
        <f t="shared" ca="1" si="11"/>
        <v>0</v>
      </c>
      <c r="AB151" s="103"/>
      <c r="AC151" s="45"/>
      <c r="AD151" s="45"/>
      <c r="AE151" s="45"/>
      <c r="AF151" s="45"/>
      <c r="AG151" s="45"/>
      <c r="AH151" s="45"/>
      <c r="AI151" s="45"/>
      <c r="AJ151" s="189"/>
      <c r="AK151" s="2053" t="s">
        <v>1108</v>
      </c>
      <c r="AL151" s="2054"/>
      <c r="AM151" s="2055" t="s">
        <v>7</v>
      </c>
      <c r="AN151" s="2056">
        <f>Transfer!AD104-Transfer!AD131</f>
        <v>20.590998958002121</v>
      </c>
      <c r="AO151" s="2024">
        <f>(((Transfer!AD104-Transfer!AD131)/(Transfer!AC104-Transfer!AC131))-1)*100</f>
        <v>0.20682877893274387</v>
      </c>
      <c r="AP151" s="2023">
        <f>(((Transfer!AE104-Transfer!AE131)/(Transfer!AD104-Transfer!AD131))-1)*100</f>
        <v>5.4004640808239524</v>
      </c>
      <c r="AQ151" s="2056">
        <f>(((Transfer!AF104-Transfer!AF131)/(Transfer!AE104-Transfer!AE131))-1)*100</f>
        <v>6.3217009378130129</v>
      </c>
      <c r="AR151" s="2058">
        <f>(((Transfer!AG104-Transfer!AG131)/(Transfer!AF104-Transfer!AF131))-1)*100</f>
        <v>4.6359999999999957</v>
      </c>
      <c r="AS151" s="103"/>
      <c r="AT151" s="54"/>
      <c r="AU151" s="54"/>
      <c r="AV151" s="54"/>
      <c r="AW151" s="54"/>
      <c r="AX151" s="54"/>
      <c r="AY151" s="54"/>
      <c r="AZ151" s="54"/>
      <c r="BA151" s="1587" t="s">
        <v>1184</v>
      </c>
      <c r="BB151" s="54"/>
      <c r="BC151" s="54"/>
    </row>
    <row r="152" spans="1:55">
      <c r="A152" s="45"/>
      <c r="B152" s="1575"/>
      <c r="C152" s="2448" t="s">
        <v>1820</v>
      </c>
      <c r="D152" s="2449"/>
      <c r="E152" s="2450" t="s">
        <v>1821</v>
      </c>
      <c r="F152" s="2916" t="s">
        <v>708</v>
      </c>
      <c r="G152" s="2348">
        <f ca="1">((Transfer!D288/Transfer!C288)-1)*100</f>
        <v>13.084760068556278</v>
      </c>
      <c r="H152" s="2057">
        <f ca="1">((Transfer!E288/Transfer!D288)-1)*100</f>
        <v>-1.1749435875488046</v>
      </c>
      <c r="I152" s="2451">
        <f ca="1">((Transfer!F288/Transfer!E288)-1)*100</f>
        <v>5.600000000000005</v>
      </c>
      <c r="J152" s="2454">
        <f ca="1">((Transfer!G288/Transfer!F288)-1)*100</f>
        <v>3.6000000000000254</v>
      </c>
      <c r="K152" s="2328"/>
      <c r="L152" s="54"/>
      <c r="M152" s="54"/>
      <c r="N152" s="54"/>
      <c r="O152" s="54"/>
      <c r="P152" s="54"/>
      <c r="Q152" s="54"/>
      <c r="R152" s="54"/>
      <c r="S152" s="189"/>
      <c r="T152" s="230" t="s">
        <v>1820</v>
      </c>
      <c r="U152" s="231"/>
      <c r="V152" s="242" t="s">
        <v>1821</v>
      </c>
      <c r="W152" s="243" t="e">
        <f t="shared" si="11"/>
        <v>#VALUE!</v>
      </c>
      <c r="X152" s="243">
        <f t="shared" ca="1" si="11"/>
        <v>0</v>
      </c>
      <c r="Y152" s="243">
        <f t="shared" ca="1" si="11"/>
        <v>0</v>
      </c>
      <c r="Z152" s="243">
        <f t="shared" ca="1" si="11"/>
        <v>0</v>
      </c>
      <c r="AA152" s="93">
        <f t="shared" ca="1" si="11"/>
        <v>0</v>
      </c>
      <c r="AB152" s="82"/>
      <c r="AC152" s="45"/>
      <c r="AD152" s="45"/>
      <c r="AE152" s="45"/>
      <c r="AF152" s="45"/>
      <c r="AG152" s="45"/>
      <c r="AH152" s="45"/>
      <c r="AI152" s="45"/>
      <c r="AJ152" s="189"/>
      <c r="AK152" s="2079" t="s">
        <v>1820</v>
      </c>
      <c r="AL152" s="2080"/>
      <c r="AM152" s="2081" t="s">
        <v>1821</v>
      </c>
      <c r="AN152" s="2056">
        <f>Transfer!AD288</f>
        <v>35.261298291256736</v>
      </c>
      <c r="AO152" s="2024">
        <f>((Transfer!AD288/Transfer!AC288)-1)*100</f>
        <v>13.084760068556278</v>
      </c>
      <c r="AP152" s="2057">
        <f>((Transfer!AE288/Transfer!AD288)-1)*100</f>
        <v>-1.1749435875488046</v>
      </c>
      <c r="AQ152" s="2056">
        <f>((Transfer!AF288/Transfer!AE288)-1)*100</f>
        <v>5.600000000000005</v>
      </c>
      <c r="AR152" s="2058">
        <f>((Transfer!AG288/Transfer!AF288)-1)*100</f>
        <v>3.6000000000000254</v>
      </c>
      <c r="AS152" s="82"/>
      <c r="AT152" s="54"/>
      <c r="AU152" s="54"/>
      <c r="AV152" s="54"/>
      <c r="AW152" s="54"/>
      <c r="AX152" s="54"/>
      <c r="AY152" s="54"/>
      <c r="AZ152" s="54"/>
      <c r="BA152" s="1587" t="s">
        <v>1542</v>
      </c>
      <c r="BB152" s="54"/>
      <c r="BC152" s="54"/>
    </row>
    <row r="153" spans="1:55">
      <c r="A153" s="45"/>
      <c r="B153" s="1575"/>
      <c r="C153" s="2465" t="s">
        <v>709</v>
      </c>
      <c r="D153" s="2466"/>
      <c r="E153" s="2467" t="s">
        <v>1546</v>
      </c>
      <c r="F153" s="2917" t="s">
        <v>708</v>
      </c>
      <c r="G153" s="2469">
        <f ca="1">((Transfer!D289/Transfer!C289)-1)*100</f>
        <v>-8.7536383472887174</v>
      </c>
      <c r="H153" s="2086">
        <f ca="1">((Transfer!E289/Transfer!D289)-1)*100</f>
        <v>1.6937337203826619</v>
      </c>
      <c r="I153" s="2468">
        <f ca="1">((Transfer!F289/Transfer!E289)-1)*100</f>
        <v>5.0000000000000044</v>
      </c>
      <c r="J153" s="2470">
        <f ca="1">((Transfer!G289/Transfer!F289)-1)*100</f>
        <v>2.6999999999999913</v>
      </c>
      <c r="K153" s="2405"/>
      <c r="L153" s="54"/>
      <c r="M153" s="54"/>
      <c r="N153" s="54"/>
      <c r="O153" s="54"/>
      <c r="P153" s="54"/>
      <c r="Q153" s="54"/>
      <c r="R153" s="54"/>
      <c r="S153" s="189"/>
      <c r="T153" s="230" t="s">
        <v>709</v>
      </c>
      <c r="U153" s="231"/>
      <c r="V153" s="242" t="s">
        <v>1546</v>
      </c>
      <c r="W153" s="96" t="e">
        <f t="shared" si="11"/>
        <v>#VALUE!</v>
      </c>
      <c r="X153" s="1921">
        <f t="shared" ca="1" si="11"/>
        <v>0</v>
      </c>
      <c r="Y153" s="1921">
        <f t="shared" ca="1" si="11"/>
        <v>0</v>
      </c>
      <c r="Z153" s="1921">
        <f t="shared" ca="1" si="11"/>
        <v>0</v>
      </c>
      <c r="AA153" s="98">
        <f t="shared" ca="1" si="11"/>
        <v>0</v>
      </c>
      <c r="AB153" s="199"/>
      <c r="AC153" s="45"/>
      <c r="AD153" s="45"/>
      <c r="AE153" s="45"/>
      <c r="AF153" s="45"/>
      <c r="AG153" s="45"/>
      <c r="AH153" s="45"/>
      <c r="AI153" s="45"/>
      <c r="AJ153" s="189"/>
      <c r="AK153" s="2083" t="s">
        <v>709</v>
      </c>
      <c r="AL153" s="2084"/>
      <c r="AM153" s="2085" t="s">
        <v>1546</v>
      </c>
      <c r="AN153" s="2059">
        <f>Transfer!AD289</f>
        <v>18.042690567760516</v>
      </c>
      <c r="AO153" s="2037">
        <f>((Transfer!AD289/Transfer!AC289)-1)*100</f>
        <v>-8.7536383472887174</v>
      </c>
      <c r="AP153" s="2086">
        <f>((Transfer!AE289/Transfer!AD289)-1)*100</f>
        <v>1.6937337203826619</v>
      </c>
      <c r="AQ153" s="2059">
        <f>((Transfer!AF289/Transfer!AE289)-1)*100</f>
        <v>5.0000000000000044</v>
      </c>
      <c r="AR153" s="2060">
        <f>((Transfer!AG289/Transfer!AF289)-1)*100</f>
        <v>2.6999999999999913</v>
      </c>
      <c r="AS153" s="199"/>
      <c r="AT153" s="54"/>
      <c r="AU153" s="54"/>
      <c r="AV153" s="54"/>
      <c r="AW153" s="54"/>
      <c r="AX153" s="54"/>
      <c r="AY153" s="54"/>
      <c r="AZ153" s="54"/>
      <c r="BA153" s="1587" t="s">
        <v>1543</v>
      </c>
      <c r="BB153" s="54"/>
      <c r="BC153" s="54"/>
    </row>
    <row r="154" spans="1:55">
      <c r="A154" s="45"/>
      <c r="B154" s="1575"/>
      <c r="C154" s="2448" t="s">
        <v>716</v>
      </c>
      <c r="D154" s="2449"/>
      <c r="E154" s="2450" t="s">
        <v>1499</v>
      </c>
      <c r="F154" s="2916" t="s">
        <v>708</v>
      </c>
      <c r="G154" s="2348">
        <f ca="1">((Transfer!D286/Transfer!C286)-1)*100</f>
        <v>3.6022040132188904</v>
      </c>
      <c r="H154" s="2057">
        <f ca="1">((Transfer!E286/Transfer!D286)-1)*100</f>
        <v>0.98909818111034831</v>
      </c>
      <c r="I154" s="2451">
        <f ca="1">((Transfer!F286/Transfer!E286)-1)*100</f>
        <v>3.9818305677147059</v>
      </c>
      <c r="J154" s="2454">
        <f ca="1">((Transfer!G286/Transfer!F286)-1)*100</f>
        <v>2.7355586859227454</v>
      </c>
      <c r="K154" s="2328"/>
      <c r="L154" s="54"/>
      <c r="M154" s="54"/>
      <c r="N154" s="54"/>
      <c r="O154" s="54"/>
      <c r="P154" s="54"/>
      <c r="Q154" s="54"/>
      <c r="R154" s="54"/>
      <c r="S154" s="189"/>
      <c r="T154" s="252" t="s">
        <v>716</v>
      </c>
      <c r="U154" s="253"/>
      <c r="V154" s="254" t="s">
        <v>1499</v>
      </c>
      <c r="W154" s="243" t="e">
        <f t="shared" si="11"/>
        <v>#VALUE!</v>
      </c>
      <c r="X154" s="243">
        <f t="shared" ca="1" si="11"/>
        <v>0</v>
      </c>
      <c r="Y154" s="243">
        <f t="shared" ca="1" si="11"/>
        <v>0</v>
      </c>
      <c r="Z154" s="243">
        <f t="shared" ca="1" si="11"/>
        <v>0</v>
      </c>
      <c r="AA154" s="93">
        <f t="shared" ca="1" si="11"/>
        <v>0</v>
      </c>
      <c r="AB154" s="82"/>
      <c r="AC154" s="45"/>
      <c r="AD154" s="45"/>
      <c r="AE154" s="45"/>
      <c r="AF154" s="45"/>
      <c r="AG154" s="45"/>
      <c r="AH154" s="45"/>
      <c r="AI154" s="45"/>
      <c r="AJ154" s="189"/>
      <c r="AK154" s="2079" t="s">
        <v>716</v>
      </c>
      <c r="AL154" s="2080"/>
      <c r="AM154" s="2081" t="s">
        <v>1499</v>
      </c>
      <c r="AN154" s="2056">
        <f>Transfer!AD286</f>
        <v>98.614897514226556</v>
      </c>
      <c r="AO154" s="2024">
        <f>((Transfer!AD286/Transfer!AC286)-1)*100</f>
        <v>3.6022040132188904</v>
      </c>
      <c r="AP154" s="2057">
        <f>((Transfer!AE286/Transfer!AD286)-1)*100</f>
        <v>0.98909818111034831</v>
      </c>
      <c r="AQ154" s="2056">
        <f>((Transfer!AF286/Transfer!AE286)-1)*100</f>
        <v>3.9818305677147059</v>
      </c>
      <c r="AR154" s="2058">
        <f>((Transfer!AG286/Transfer!AF286)-1)*100</f>
        <v>2.7355586859227454</v>
      </c>
      <c r="AS154" s="82"/>
      <c r="AT154" s="54"/>
      <c r="AU154" s="54"/>
      <c r="AV154" s="54"/>
      <c r="AW154" s="54"/>
      <c r="AX154" s="54"/>
      <c r="AY154" s="54"/>
      <c r="AZ154" s="54"/>
      <c r="BA154" s="1896" t="s">
        <v>1544</v>
      </c>
      <c r="BB154" s="54"/>
      <c r="BC154" s="54"/>
    </row>
    <row r="155" spans="1:55" ht="13.8" thickBot="1">
      <c r="A155" s="45"/>
      <c r="B155" s="1575"/>
      <c r="C155" s="2472" t="s">
        <v>717</v>
      </c>
      <c r="D155" s="2473"/>
      <c r="E155" s="2474"/>
      <c r="F155" s="2475"/>
      <c r="G155" s="2476"/>
      <c r="H155" s="2477"/>
      <c r="I155" s="2475"/>
      <c r="J155" s="2478"/>
      <c r="K155" s="2405"/>
      <c r="L155" s="54"/>
      <c r="M155" s="54"/>
      <c r="N155" s="54"/>
      <c r="O155" s="54"/>
      <c r="P155" s="54"/>
      <c r="Q155" s="54"/>
      <c r="R155" s="54"/>
      <c r="S155" s="189"/>
      <c r="T155" s="109" t="s">
        <v>717</v>
      </c>
      <c r="U155" s="2918"/>
      <c r="V155" s="393"/>
      <c r="W155" s="413"/>
      <c r="X155" s="2919"/>
      <c r="Y155" s="2919"/>
      <c r="Z155" s="2919"/>
      <c r="AA155" s="112"/>
      <c r="AB155" s="199"/>
      <c r="AC155" s="45"/>
      <c r="AD155" s="45"/>
      <c r="AE155" s="45"/>
      <c r="AF155" s="45"/>
      <c r="AG155" s="45"/>
      <c r="AH155" s="45"/>
      <c r="AI155" s="45"/>
      <c r="AJ155" s="189"/>
      <c r="AK155" s="2087" t="s">
        <v>717</v>
      </c>
      <c r="AL155" s="2088"/>
      <c r="AM155" s="2089"/>
      <c r="AN155" s="2090"/>
      <c r="AO155" s="2091"/>
      <c r="AP155" s="2092"/>
      <c r="AQ155" s="2090"/>
      <c r="AR155" s="2093"/>
      <c r="AS155" s="199"/>
      <c r="AT155" s="54"/>
      <c r="AU155" s="54"/>
      <c r="AV155" s="54"/>
      <c r="AW155" s="54"/>
      <c r="AX155" s="54"/>
      <c r="AY155" s="54"/>
      <c r="AZ155" s="54"/>
      <c r="BA155" s="1896"/>
      <c r="BB155" s="54"/>
      <c r="BC155" s="54"/>
    </row>
    <row r="156" spans="1:55">
      <c r="A156" s="45"/>
      <c r="B156" s="1614"/>
      <c r="C156" s="2359"/>
      <c r="D156" s="2359"/>
      <c r="E156" s="2359"/>
      <c r="F156" s="2359"/>
      <c r="G156" s="2359"/>
      <c r="H156" s="2359"/>
      <c r="I156" s="2428"/>
      <c r="J156" s="2360" t="str">
        <f>UPPER(Country)</f>
        <v>BELGIUM</v>
      </c>
      <c r="K156" s="2429"/>
      <c r="L156" s="257"/>
      <c r="M156" s="54"/>
      <c r="N156" s="54"/>
      <c r="O156" s="54"/>
      <c r="P156" s="54"/>
      <c r="Q156" s="54"/>
      <c r="R156" s="54"/>
      <c r="S156" s="216"/>
      <c r="T156" s="117"/>
      <c r="U156" s="117"/>
      <c r="V156" s="117"/>
      <c r="W156" s="117"/>
      <c r="X156" s="117"/>
      <c r="Y156" s="117"/>
      <c r="Z156" s="256"/>
      <c r="AA156" s="118" t="str">
        <f>UPPER(Country)</f>
        <v>BELGIUM</v>
      </c>
      <c r="AB156" s="217"/>
      <c r="AC156" s="45"/>
      <c r="AD156" s="45"/>
      <c r="AE156" s="45"/>
      <c r="AF156" s="45"/>
      <c r="AG156" s="45"/>
      <c r="AH156" s="45"/>
      <c r="AI156" s="45"/>
      <c r="AJ156" s="216"/>
      <c r="AK156" s="117"/>
      <c r="AL156" s="117"/>
      <c r="AM156" s="117"/>
      <c r="AN156" s="117"/>
      <c r="AO156" s="117"/>
      <c r="AP156" s="117"/>
      <c r="AQ156" s="256"/>
      <c r="AR156" s="118" t="str">
        <f>UPPER(Country)</f>
        <v>BELGIUM</v>
      </c>
      <c r="AS156" s="217"/>
      <c r="AT156" s="257"/>
      <c r="AU156" s="54"/>
      <c r="AV156" s="54"/>
      <c r="AW156" s="54"/>
      <c r="AX156" s="54"/>
      <c r="AY156" s="54"/>
      <c r="AZ156" s="54"/>
      <c r="BA156" s="45"/>
      <c r="BB156" s="54"/>
      <c r="BC156" s="54"/>
    </row>
    <row r="157" spans="1:55">
      <c r="A157" s="45"/>
      <c r="B157" s="45"/>
      <c r="C157" s="54"/>
      <c r="D157" s="54"/>
      <c r="E157" s="54"/>
      <c r="F157" s="54"/>
      <c r="G157" s="54"/>
      <c r="H157" s="54"/>
      <c r="I157" s="45"/>
      <c r="J157" s="45"/>
      <c r="K157" s="45"/>
      <c r="L157" s="54"/>
      <c r="M157" s="54"/>
      <c r="N157" s="54"/>
      <c r="O157" s="54"/>
      <c r="P157" s="54"/>
      <c r="Q157" s="54"/>
      <c r="R157" s="54"/>
      <c r="S157" s="45"/>
      <c r="T157" s="45"/>
      <c r="U157" s="45"/>
      <c r="V157" s="45"/>
      <c r="W157" s="45"/>
      <c r="X157" s="54"/>
      <c r="Y157" s="54"/>
      <c r="Z157" s="54"/>
      <c r="AA157" s="45"/>
      <c r="AB157" s="45"/>
      <c r="AC157" s="45"/>
      <c r="AD157" s="45"/>
      <c r="AE157" s="45"/>
      <c r="AF157" s="45"/>
      <c r="AG157" s="45"/>
      <c r="AH157" s="45"/>
      <c r="AI157" s="45"/>
      <c r="AJ157" s="45"/>
      <c r="AK157" s="54"/>
      <c r="AL157" s="54"/>
      <c r="AM157" s="54"/>
      <c r="AN157" s="54"/>
      <c r="AO157" s="54"/>
      <c r="AP157" s="54"/>
      <c r="AQ157" s="45"/>
      <c r="AR157" s="45"/>
      <c r="AS157" s="45"/>
      <c r="AT157" s="54"/>
      <c r="AU157" s="54"/>
      <c r="AV157" s="54"/>
      <c r="AW157" s="54"/>
      <c r="AX157" s="54"/>
      <c r="AY157" s="54"/>
      <c r="AZ157" s="54"/>
      <c r="BA157" s="54"/>
      <c r="BB157" s="54"/>
      <c r="BC157" s="54"/>
    </row>
    <row r="158" spans="1:55">
      <c r="A158" s="45"/>
      <c r="B158" s="45"/>
      <c r="C158" s="54"/>
      <c r="D158" s="54"/>
      <c r="E158" s="45"/>
      <c r="F158" s="45"/>
      <c r="G158" s="45"/>
      <c r="H158" s="45"/>
      <c r="I158" s="45"/>
      <c r="J158" s="45"/>
      <c r="K158" s="186"/>
      <c r="L158" s="54"/>
      <c r="M158" s="54"/>
      <c r="N158" s="54"/>
      <c r="O158" s="54"/>
      <c r="P158" s="54"/>
      <c r="Q158" s="54"/>
      <c r="R158" s="54"/>
      <c r="S158" s="45"/>
      <c r="T158" s="45"/>
      <c r="U158" s="45"/>
      <c r="V158" s="45"/>
      <c r="W158" s="45"/>
      <c r="X158" s="54"/>
      <c r="Y158" s="54"/>
      <c r="Z158" s="54"/>
      <c r="AA158" s="45"/>
      <c r="AB158" s="45"/>
      <c r="AC158" s="45"/>
      <c r="AD158" s="45"/>
      <c r="AE158" s="45"/>
      <c r="AF158" s="45"/>
      <c r="AG158" s="45"/>
      <c r="AH158" s="45"/>
      <c r="AI158" s="45"/>
      <c r="AJ158" s="45"/>
      <c r="AK158" s="54"/>
      <c r="AL158" s="54"/>
      <c r="AM158" s="45"/>
      <c r="AN158" s="45"/>
      <c r="AO158" s="45"/>
      <c r="AP158" s="45"/>
      <c r="AQ158" s="45"/>
      <c r="AR158" s="45"/>
      <c r="AS158" s="186"/>
      <c r="AT158" s="54"/>
      <c r="AU158" s="54"/>
      <c r="AV158" s="54"/>
      <c r="AW158" s="54"/>
      <c r="AX158" s="54"/>
      <c r="AY158" s="54"/>
      <c r="AZ158" s="54"/>
      <c r="BA158" s="54"/>
      <c r="BB158" s="54"/>
      <c r="BC158" s="54"/>
    </row>
    <row r="159" spans="1:55">
      <c r="A159" s="45"/>
      <c r="B159" s="45"/>
      <c r="C159" s="54"/>
      <c r="D159" s="54"/>
      <c r="E159" s="54"/>
      <c r="F159" s="54"/>
      <c r="G159" s="54"/>
      <c r="H159" s="54"/>
      <c r="I159" s="54"/>
      <c r="J159" s="54"/>
      <c r="K159" s="54"/>
      <c r="L159" s="54"/>
      <c r="M159" s="54"/>
      <c r="N159" s="54"/>
      <c r="O159" s="54"/>
      <c r="P159" s="54"/>
      <c r="Q159" s="54"/>
      <c r="R159" s="54"/>
      <c r="S159" s="45"/>
      <c r="T159" s="45"/>
      <c r="U159" s="45"/>
      <c r="V159" s="45"/>
      <c r="W159" s="45"/>
      <c r="X159" s="54"/>
      <c r="Y159" s="54"/>
      <c r="Z159" s="54"/>
      <c r="AA159" s="45"/>
      <c r="AB159" s="45"/>
      <c r="AC159" s="45"/>
      <c r="AD159" s="45"/>
      <c r="AE159" s="45"/>
      <c r="AF159" s="45"/>
      <c r="AG159" s="45"/>
      <c r="AH159" s="45"/>
      <c r="AI159" s="45"/>
      <c r="AJ159" s="45"/>
      <c r="AK159" s="54"/>
      <c r="AL159" s="54"/>
      <c r="AM159" s="54"/>
      <c r="AN159" s="54"/>
      <c r="AO159" s="54"/>
      <c r="AP159" s="54"/>
      <c r="AQ159" s="54"/>
      <c r="AR159" s="54"/>
      <c r="AS159" s="54"/>
      <c r="AT159" s="54"/>
      <c r="AU159" s="54"/>
      <c r="AV159" s="54"/>
      <c r="AW159" s="54"/>
      <c r="AX159" s="54"/>
      <c r="AY159" s="54"/>
      <c r="AZ159" s="54"/>
      <c r="BA159" s="54"/>
      <c r="BB159" s="54"/>
      <c r="BC159" s="54"/>
    </row>
    <row r="160" spans="1:55">
      <c r="A160" s="45"/>
      <c r="B160" s="45"/>
      <c r="C160" s="54"/>
      <c r="D160" s="54"/>
      <c r="E160" s="54"/>
      <c r="F160" s="54"/>
      <c r="G160" s="54"/>
      <c r="H160" s="54"/>
      <c r="I160" s="54"/>
      <c r="J160" s="54"/>
      <c r="K160" s="54"/>
      <c r="L160" s="54"/>
      <c r="M160" s="54"/>
      <c r="N160" s="54"/>
      <c r="O160" s="54"/>
      <c r="P160" s="54"/>
      <c r="Q160" s="54"/>
      <c r="R160" s="54"/>
      <c r="S160" s="45"/>
      <c r="T160" s="45"/>
      <c r="U160" s="45"/>
      <c r="V160" s="45"/>
      <c r="W160" s="45"/>
      <c r="X160" s="54"/>
      <c r="Y160" s="54"/>
      <c r="Z160" s="54"/>
      <c r="AA160" s="45"/>
      <c r="AB160" s="45"/>
      <c r="AC160" s="45"/>
      <c r="AD160" s="45"/>
      <c r="AE160" s="45"/>
      <c r="AF160" s="45"/>
      <c r="AG160" s="45"/>
      <c r="AH160" s="45"/>
      <c r="AI160" s="45"/>
      <c r="AJ160" s="45"/>
      <c r="AK160" s="54"/>
      <c r="AL160" s="54"/>
      <c r="AM160" s="54"/>
      <c r="AN160" s="54"/>
      <c r="AO160" s="54"/>
      <c r="AP160" s="54"/>
      <c r="AQ160" s="54"/>
      <c r="AR160" s="54"/>
      <c r="AS160" s="54"/>
      <c r="AT160" s="54"/>
      <c r="AU160" s="54"/>
      <c r="AV160" s="54"/>
      <c r="AW160" s="54"/>
      <c r="AX160" s="54"/>
      <c r="AY160" s="54"/>
      <c r="AZ160" s="54"/>
      <c r="BA160" s="54"/>
      <c r="BB160" s="54"/>
      <c r="BC160" s="54"/>
    </row>
    <row r="161" spans="1:55">
      <c r="A161" s="45"/>
      <c r="B161" s="45"/>
      <c r="C161" s="54"/>
      <c r="D161" s="54"/>
      <c r="E161" s="54"/>
      <c r="F161" s="54"/>
      <c r="G161" s="54"/>
      <c r="H161" s="54"/>
      <c r="I161" s="54"/>
      <c r="J161" s="54"/>
      <c r="K161" s="54"/>
      <c r="L161" s="54"/>
      <c r="M161" s="54"/>
      <c r="N161" s="54"/>
      <c r="O161" s="54"/>
      <c r="P161" s="54"/>
      <c r="Q161" s="54"/>
      <c r="R161" s="54"/>
      <c r="S161" s="45"/>
      <c r="T161" s="45"/>
      <c r="U161" s="45"/>
      <c r="V161" s="45"/>
      <c r="W161" s="45"/>
      <c r="X161" s="54"/>
      <c r="Y161" s="54"/>
      <c r="Z161" s="54"/>
      <c r="AA161" s="45"/>
      <c r="AB161" s="45"/>
      <c r="AC161" s="45"/>
      <c r="AD161" s="45"/>
      <c r="AE161" s="45"/>
      <c r="AF161" s="45"/>
      <c r="AG161" s="45"/>
      <c r="AH161" s="45"/>
      <c r="AI161" s="45"/>
      <c r="AJ161" s="45"/>
      <c r="AK161" s="54"/>
      <c r="AL161" s="54"/>
      <c r="AM161" s="54"/>
      <c r="AN161" s="54"/>
      <c r="AO161" s="54"/>
      <c r="AP161" s="54"/>
      <c r="AQ161" s="54"/>
      <c r="AR161" s="54"/>
      <c r="AS161" s="54"/>
      <c r="AT161" s="54"/>
      <c r="AU161" s="54"/>
      <c r="AV161" s="54"/>
      <c r="AW161" s="54"/>
      <c r="AX161" s="54"/>
      <c r="AY161" s="54"/>
      <c r="AZ161" s="54"/>
      <c r="BA161" s="54"/>
      <c r="BB161" s="54"/>
      <c r="BC161" s="54"/>
    </row>
    <row r="162" spans="1:55">
      <c r="A162" s="45"/>
      <c r="B162" s="45"/>
      <c r="C162" s="54"/>
      <c r="D162" s="54"/>
      <c r="E162" s="54"/>
      <c r="F162" s="54"/>
      <c r="G162" s="54"/>
      <c r="H162" s="54"/>
      <c r="I162" s="54"/>
      <c r="J162" s="54"/>
      <c r="K162" s="54"/>
      <c r="L162" s="54"/>
      <c r="M162" s="54"/>
      <c r="N162" s="54"/>
      <c r="O162" s="54"/>
      <c r="P162" s="54"/>
      <c r="Q162" s="54"/>
      <c r="R162" s="54"/>
      <c r="S162" s="45"/>
      <c r="T162" s="45"/>
      <c r="U162" s="45"/>
      <c r="V162" s="45"/>
      <c r="W162" s="45"/>
      <c r="X162" s="54"/>
      <c r="Y162" s="54"/>
      <c r="Z162" s="54"/>
      <c r="AA162" s="45"/>
      <c r="AB162" s="45"/>
      <c r="AC162" s="45"/>
      <c r="AD162" s="45"/>
      <c r="AE162" s="45"/>
      <c r="AF162" s="45"/>
      <c r="AG162" s="45"/>
      <c r="AH162" s="45"/>
      <c r="AI162" s="45"/>
      <c r="AJ162" s="45"/>
      <c r="AK162" s="54"/>
      <c r="AL162" s="54"/>
      <c r="AM162" s="54"/>
      <c r="AN162" s="54"/>
      <c r="AO162" s="54"/>
      <c r="AP162" s="54"/>
      <c r="AQ162" s="54"/>
      <c r="AR162" s="54"/>
      <c r="AS162" s="54"/>
      <c r="AT162" s="54"/>
      <c r="AU162" s="54"/>
      <c r="AV162" s="54"/>
      <c r="AW162" s="54"/>
      <c r="AX162" s="54"/>
      <c r="AY162" s="54"/>
      <c r="AZ162" s="54"/>
      <c r="BA162" s="54"/>
      <c r="BB162" s="54"/>
      <c r="BC162" s="54"/>
    </row>
    <row r="163" spans="1:55">
      <c r="A163" s="45"/>
      <c r="B163" s="45"/>
      <c r="C163" s="54"/>
      <c r="D163" s="54"/>
      <c r="E163" s="54"/>
      <c r="F163" s="54"/>
      <c r="G163" s="54"/>
      <c r="H163" s="54"/>
      <c r="I163" s="54"/>
      <c r="J163" s="54"/>
      <c r="K163" s="54"/>
      <c r="L163" s="54"/>
      <c r="M163" s="54"/>
      <c r="N163" s="54"/>
      <c r="O163" s="54"/>
      <c r="P163" s="54"/>
      <c r="Q163" s="54"/>
      <c r="R163" s="54"/>
      <c r="S163" s="45"/>
      <c r="T163" s="45"/>
      <c r="U163" s="45"/>
      <c r="V163" s="45"/>
      <c r="W163" s="45"/>
      <c r="X163" s="54"/>
      <c r="Y163" s="54"/>
      <c r="Z163" s="54"/>
      <c r="AA163" s="45"/>
      <c r="AB163" s="45"/>
      <c r="AC163" s="45"/>
      <c r="AD163" s="45"/>
      <c r="AE163" s="45"/>
      <c r="AF163" s="45"/>
      <c r="AG163" s="45"/>
      <c r="AH163" s="45"/>
      <c r="AI163" s="45"/>
      <c r="AJ163" s="45"/>
      <c r="AK163" s="54"/>
      <c r="AL163" s="54"/>
      <c r="AM163" s="54"/>
      <c r="AN163" s="54"/>
      <c r="AO163" s="54"/>
      <c r="AP163" s="54"/>
      <c r="AQ163" s="54"/>
      <c r="AR163" s="54"/>
      <c r="AS163" s="54"/>
      <c r="AT163" s="54"/>
      <c r="AU163" s="54"/>
      <c r="AV163" s="54"/>
      <c r="AW163" s="54"/>
      <c r="AX163" s="54"/>
      <c r="AY163" s="54"/>
      <c r="AZ163" s="54"/>
      <c r="BA163" s="54"/>
      <c r="BB163" s="54"/>
      <c r="BC163" s="54"/>
    </row>
    <row r="164" spans="1:55">
      <c r="A164" s="45"/>
      <c r="B164" s="45"/>
      <c r="C164" s="54"/>
      <c r="D164" s="54"/>
      <c r="E164" s="54"/>
      <c r="F164" s="54"/>
      <c r="G164" s="54"/>
      <c r="H164" s="54"/>
      <c r="I164" s="54"/>
      <c r="J164" s="54"/>
      <c r="K164" s="54"/>
      <c r="L164" s="54"/>
      <c r="M164" s="54"/>
      <c r="N164" s="54"/>
      <c r="O164" s="54"/>
      <c r="P164" s="54"/>
      <c r="Q164" s="54"/>
      <c r="R164" s="54"/>
      <c r="S164" s="45"/>
      <c r="T164" s="45"/>
      <c r="U164" s="45"/>
      <c r="V164" s="45"/>
      <c r="W164" s="45"/>
      <c r="X164" s="54"/>
      <c r="Y164" s="54"/>
      <c r="Z164" s="54"/>
      <c r="AA164" s="45"/>
      <c r="AB164" s="45"/>
      <c r="AC164" s="45"/>
      <c r="AD164" s="45"/>
      <c r="AE164" s="45"/>
      <c r="AF164" s="45"/>
      <c r="AG164" s="45"/>
      <c r="AH164" s="45"/>
      <c r="AI164" s="45"/>
      <c r="AJ164" s="45"/>
      <c r="AK164" s="54"/>
      <c r="AL164" s="54"/>
      <c r="AM164" s="54"/>
      <c r="AN164" s="54"/>
      <c r="AO164" s="54"/>
      <c r="AP164" s="54"/>
      <c r="AQ164" s="54"/>
      <c r="AR164" s="54"/>
      <c r="AS164" s="54"/>
      <c r="AT164" s="54"/>
      <c r="AU164" s="54"/>
      <c r="AV164" s="54"/>
      <c r="AW164" s="54"/>
      <c r="AX164" s="54"/>
      <c r="AY164" s="54"/>
      <c r="AZ164" s="54"/>
      <c r="BA164" s="54"/>
      <c r="BB164" s="54"/>
      <c r="BC164" s="54"/>
    </row>
    <row r="165" spans="1:55">
      <c r="A165" s="45"/>
      <c r="B165" s="45"/>
      <c r="C165" s="54"/>
      <c r="D165" s="54"/>
      <c r="E165" s="54"/>
      <c r="F165" s="54"/>
      <c r="G165" s="54"/>
      <c r="H165" s="54"/>
      <c r="I165" s="54"/>
      <c r="J165" s="54"/>
      <c r="K165" s="54"/>
      <c r="L165" s="54"/>
      <c r="M165" s="54"/>
      <c r="N165" s="54"/>
      <c r="O165" s="54"/>
      <c r="P165" s="54"/>
      <c r="Q165" s="54"/>
      <c r="R165" s="54"/>
      <c r="S165" s="45"/>
      <c r="T165" s="45"/>
      <c r="U165" s="45"/>
      <c r="V165" s="45"/>
      <c r="W165" s="45"/>
      <c r="X165" s="54"/>
      <c r="Y165" s="54"/>
      <c r="Z165" s="54"/>
      <c r="AA165" s="45"/>
      <c r="AB165" s="45"/>
      <c r="AC165" s="45"/>
      <c r="AD165" s="45"/>
      <c r="AE165" s="45"/>
      <c r="AF165" s="45"/>
      <c r="AG165" s="45"/>
      <c r="AH165" s="45"/>
      <c r="AI165" s="45"/>
      <c r="AJ165" s="45"/>
      <c r="AK165" s="54"/>
      <c r="AL165" s="54"/>
      <c r="AM165" s="54"/>
      <c r="AN165" s="54"/>
      <c r="AO165" s="54"/>
      <c r="AP165" s="54"/>
      <c r="AQ165" s="54"/>
      <c r="AR165" s="54"/>
      <c r="AS165" s="54"/>
      <c r="AT165" s="54"/>
      <c r="AU165" s="54"/>
      <c r="AV165" s="54"/>
      <c r="AW165" s="54"/>
      <c r="AX165" s="54"/>
      <c r="AY165" s="54"/>
      <c r="AZ165" s="54"/>
      <c r="BA165" s="54"/>
      <c r="BB165" s="54"/>
      <c r="BC165" s="54"/>
    </row>
    <row r="166" spans="1:55">
      <c r="A166" s="45"/>
      <c r="B166" s="2479"/>
      <c r="C166" s="2302" t="s">
        <v>718</v>
      </c>
      <c r="D166" s="2302"/>
      <c r="E166" s="2303"/>
      <c r="F166" s="2303"/>
      <c r="G166" s="2303"/>
      <c r="H166" s="2303"/>
      <c r="I166" s="2303"/>
      <c r="J166" s="2303"/>
      <c r="K166" s="2303"/>
      <c r="L166" s="2303"/>
      <c r="M166" s="2303"/>
      <c r="N166" s="2446"/>
      <c r="O166" s="259"/>
      <c r="P166" s="259"/>
      <c r="Q166" s="259"/>
      <c r="R166" s="54"/>
      <c r="S166" s="258"/>
      <c r="T166" s="56" t="s">
        <v>718</v>
      </c>
      <c r="U166" s="56"/>
      <c r="V166" s="100"/>
      <c r="W166" s="100"/>
      <c r="X166" s="100"/>
      <c r="Y166" s="100"/>
      <c r="Z166" s="100"/>
      <c r="AA166" s="100"/>
      <c r="AB166" s="100"/>
      <c r="AC166" s="100"/>
      <c r="AD166" s="100"/>
      <c r="AE166" s="239"/>
      <c r="AF166" s="45"/>
      <c r="AG166" s="45"/>
      <c r="AH166" s="45"/>
      <c r="AI166" s="45"/>
      <c r="AJ166" s="258"/>
      <c r="AK166" s="56" t="s">
        <v>718</v>
      </c>
      <c r="AL166" s="56"/>
      <c r="AM166" s="100"/>
      <c r="AN166" s="100"/>
      <c r="AO166" s="100"/>
      <c r="AP166" s="100"/>
      <c r="AQ166" s="100"/>
      <c r="AR166" s="100"/>
      <c r="AS166" s="100"/>
      <c r="AT166" s="100"/>
      <c r="AU166" s="100"/>
      <c r="AV166" s="239"/>
      <c r="AW166" s="259"/>
      <c r="AX166" s="259"/>
      <c r="AY166" s="259"/>
      <c r="AZ166" s="54"/>
      <c r="BA166" s="45"/>
      <c r="BB166" s="54"/>
      <c r="BC166" s="54"/>
    </row>
    <row r="167" spans="1:55">
      <c r="A167" s="45"/>
      <c r="B167" s="1902"/>
      <c r="C167" s="4157" t="s">
        <v>950</v>
      </c>
      <c r="D167" s="4157"/>
      <c r="E167" s="4157"/>
      <c r="F167" s="4157"/>
      <c r="G167" s="4157"/>
      <c r="H167" s="4157"/>
      <c r="I167" s="4157"/>
      <c r="J167" s="4157"/>
      <c r="K167" s="4157"/>
      <c r="L167" s="4157"/>
      <c r="M167" s="4157"/>
      <c r="N167" s="2480"/>
      <c r="O167" s="262"/>
      <c r="P167" s="262"/>
      <c r="Q167" s="262"/>
      <c r="R167" s="54"/>
      <c r="S167" s="260"/>
      <c r="T167" s="4158" t="s">
        <v>950</v>
      </c>
      <c r="U167" s="4158"/>
      <c r="V167" s="4158"/>
      <c r="W167" s="4158"/>
      <c r="X167" s="4158"/>
      <c r="Y167" s="4158"/>
      <c r="Z167" s="4158"/>
      <c r="AA167" s="4158"/>
      <c r="AB167" s="4158"/>
      <c r="AC167" s="4158"/>
      <c r="AD167" s="4158"/>
      <c r="AE167" s="261"/>
      <c r="AF167" s="45"/>
      <c r="AG167" s="45"/>
      <c r="AH167" s="45"/>
      <c r="AI167" s="45"/>
      <c r="AJ167" s="260"/>
      <c r="AK167" s="4158" t="s">
        <v>950</v>
      </c>
      <c r="AL167" s="4158"/>
      <c r="AM167" s="4158"/>
      <c r="AN167" s="4158"/>
      <c r="AO167" s="4158"/>
      <c r="AP167" s="4158"/>
      <c r="AQ167" s="4158"/>
      <c r="AR167" s="4158"/>
      <c r="AS167" s="4158"/>
      <c r="AT167" s="4158"/>
      <c r="AU167" s="4158"/>
      <c r="AV167" s="261"/>
      <c r="AW167" s="262"/>
      <c r="AX167" s="262"/>
      <c r="AY167" s="262"/>
      <c r="AZ167" s="54"/>
      <c r="BA167" s="45"/>
      <c r="BB167" s="54"/>
      <c r="BC167" s="54"/>
    </row>
    <row r="168" spans="1:55" ht="15.6">
      <c r="A168" s="45"/>
      <c r="B168" s="1902"/>
      <c r="C168" s="2309" t="str">
        <f>"Country: " &amp;UPPER(Country)</f>
        <v>Country: BELGIUM</v>
      </c>
      <c r="D168" s="2431"/>
      <c r="E168" s="2313"/>
      <c r="F168" s="2398"/>
      <c r="G168" s="2398"/>
      <c r="H168" s="2311"/>
      <c r="I168" s="2311"/>
      <c r="J168" s="2311"/>
      <c r="K168" s="2311"/>
      <c r="L168" s="2311"/>
      <c r="M168" s="2311"/>
      <c r="N168" s="2405"/>
      <c r="O168" s="259"/>
      <c r="P168" s="259"/>
      <c r="Q168" s="259"/>
      <c r="R168" s="54"/>
      <c r="S168" s="260"/>
      <c r="T168" s="63" t="str">
        <f>"Country: " &amp;UPPER(Country)</f>
        <v>Country: BELGIUM</v>
      </c>
      <c r="U168" s="223"/>
      <c r="V168" s="67"/>
      <c r="W168" s="1"/>
      <c r="X168" s="1915" t="s">
        <v>724</v>
      </c>
      <c r="Y168" s="65"/>
      <c r="Z168" s="65"/>
      <c r="AA168" s="65"/>
      <c r="AB168" s="65"/>
      <c r="AC168" s="65"/>
      <c r="AD168" s="65"/>
      <c r="AE168" s="195"/>
      <c r="AF168" s="45"/>
      <c r="AG168" s="45"/>
      <c r="AH168" s="45"/>
      <c r="AI168" s="45"/>
      <c r="AJ168" s="260"/>
      <c r="AK168" s="63" t="str">
        <f>"Country: " &amp;UPPER(Country)</f>
        <v>Country: BELGIUM</v>
      </c>
      <c r="AL168" s="223"/>
      <c r="AM168" s="67"/>
      <c r="AN168" s="1"/>
      <c r="AO168" s="1"/>
      <c r="AP168" s="65"/>
      <c r="AQ168" s="65"/>
      <c r="AR168" s="65"/>
      <c r="AS168" s="65"/>
      <c r="AT168" s="65"/>
      <c r="AU168" s="65"/>
      <c r="AV168" s="195"/>
      <c r="AW168" s="259"/>
      <c r="AX168" s="259"/>
      <c r="AY168" s="259"/>
      <c r="AZ168" s="54"/>
      <c r="BA168" s="45"/>
      <c r="BB168" s="54"/>
      <c r="BC168" s="54"/>
    </row>
    <row r="169" spans="1:55" ht="15.6">
      <c r="A169" s="45"/>
      <c r="B169" s="1902"/>
      <c r="C169" s="2309" t="str">
        <f>"Currency unit: " &amp; Currency</f>
        <v>Currency unit: bn EUR</v>
      </c>
      <c r="D169" s="2431"/>
      <c r="E169" s="2311"/>
      <c r="F169" s="2311"/>
      <c r="G169" s="2311"/>
      <c r="H169" s="2311"/>
      <c r="I169" s="2311"/>
      <c r="J169" s="2311"/>
      <c r="K169" s="2311"/>
      <c r="L169" s="2311"/>
      <c r="M169" s="2311"/>
      <c r="N169" s="2405"/>
      <c r="O169" s="259"/>
      <c r="P169" s="259"/>
      <c r="Q169" s="259"/>
      <c r="R169" s="54"/>
      <c r="S169" s="260"/>
      <c r="T169" s="63" t="str">
        <f>"Currency unit: " &amp; Currency</f>
        <v>Currency unit: bn EUR</v>
      </c>
      <c r="U169" s="223"/>
      <c r="V169" s="65"/>
      <c r="W169" s="65"/>
      <c r="X169" s="1915" t="str">
        <f>$T$4</f>
        <v>SF2018 - final storage FRI</v>
      </c>
      <c r="Y169" s="65"/>
      <c r="Z169" s="65"/>
      <c r="AA169" s="65"/>
      <c r="AB169" s="65"/>
      <c r="AC169" s="65"/>
      <c r="AD169" s="65"/>
      <c r="AE169" s="195"/>
      <c r="AF169" s="45"/>
      <c r="AG169" s="45"/>
      <c r="AH169" s="45"/>
      <c r="AI169" s="45"/>
      <c r="AJ169" s="260"/>
      <c r="AK169" s="63" t="str">
        <f>"Currency unit: " &amp; Currency</f>
        <v>Currency unit: bn EUR</v>
      </c>
      <c r="AL169" s="223"/>
      <c r="AM169" s="65"/>
      <c r="AN169" s="65"/>
      <c r="AO169" s="65"/>
      <c r="AP169" s="65"/>
      <c r="AQ169" s="65"/>
      <c r="AR169" s="65"/>
      <c r="AS169" s="65"/>
      <c r="AT169" s="65"/>
      <c r="AU169" s="65"/>
      <c r="AV169" s="195"/>
      <c r="AW169" s="259"/>
      <c r="AX169" s="259"/>
      <c r="AY169" s="259"/>
      <c r="AZ169" s="54"/>
      <c r="BA169" s="45"/>
      <c r="BB169" s="54"/>
      <c r="BC169" s="54"/>
    </row>
    <row r="170" spans="1:55" ht="13.8" thickBot="1">
      <c r="A170" s="45"/>
      <c r="B170" s="1902"/>
      <c r="C170" s="2315" t="s">
        <v>1641</v>
      </c>
      <c r="D170" s="2315"/>
      <c r="E170" s="2311"/>
      <c r="F170" s="2311"/>
      <c r="G170" s="2311"/>
      <c r="H170" s="2311"/>
      <c r="I170" s="2311"/>
      <c r="J170" s="2311"/>
      <c r="K170" s="2311"/>
      <c r="L170" s="4159">
        <f ca="1">NOW()</f>
        <v>43213.646692361108</v>
      </c>
      <c r="M170" s="4159"/>
      <c r="N170" s="2363"/>
      <c r="O170" s="138"/>
      <c r="P170" s="54"/>
      <c r="Q170" s="54"/>
      <c r="R170" s="54"/>
      <c r="S170" s="260"/>
      <c r="T170" s="69" t="s">
        <v>1641</v>
      </c>
      <c r="U170" s="69"/>
      <c r="V170" s="65"/>
      <c r="W170" s="65"/>
      <c r="X170" s="65"/>
      <c r="Y170" s="65"/>
      <c r="Z170" s="65"/>
      <c r="AA170" s="65"/>
      <c r="AB170" s="65"/>
      <c r="AC170" s="4160">
        <f ca="1">NOW()</f>
        <v>43213.646692361108</v>
      </c>
      <c r="AD170" s="4160"/>
      <c r="AE170" s="137"/>
      <c r="AF170" s="45"/>
      <c r="AG170" s="45"/>
      <c r="AH170" s="45"/>
      <c r="AI170" s="45"/>
      <c r="AJ170" s="260"/>
      <c r="AK170" s="69" t="s">
        <v>1641</v>
      </c>
      <c r="AL170" s="69"/>
      <c r="AM170" s="65"/>
      <c r="AN170" s="65"/>
      <c r="AO170" s="65"/>
      <c r="AP170" s="65"/>
      <c r="AQ170" s="65"/>
      <c r="AR170" s="65"/>
      <c r="AS170" s="65"/>
      <c r="AT170" s="4160">
        <f ca="1">NOW()</f>
        <v>43213.646692361108</v>
      </c>
      <c r="AU170" s="4160"/>
      <c r="AV170" s="137"/>
      <c r="AW170" s="138"/>
      <c r="AX170" s="54"/>
      <c r="AY170" s="54"/>
      <c r="AZ170" s="54"/>
      <c r="BA170" s="45"/>
      <c r="BB170" s="54"/>
      <c r="BC170" s="54"/>
    </row>
    <row r="171" spans="1:55">
      <c r="A171" s="45"/>
      <c r="B171" s="1902"/>
      <c r="C171" s="2317"/>
      <c r="D171" s="2318"/>
      <c r="E171" s="2481"/>
      <c r="F171" s="2318"/>
      <c r="G171" s="2482"/>
      <c r="H171" s="2483" t="s">
        <v>1478</v>
      </c>
      <c r="I171" s="2484"/>
      <c r="J171" s="2484"/>
      <c r="K171" s="2484"/>
      <c r="L171" s="2484"/>
      <c r="M171" s="2485"/>
      <c r="N171" s="2323"/>
      <c r="O171" s="146"/>
      <c r="P171" s="54"/>
      <c r="Q171" s="54"/>
      <c r="R171" s="54"/>
      <c r="S171" s="260"/>
      <c r="T171" s="190"/>
      <c r="U171" s="73"/>
      <c r="V171" s="263"/>
      <c r="W171" s="73"/>
      <c r="X171" s="264"/>
      <c r="Y171" s="265" t="s">
        <v>1478</v>
      </c>
      <c r="Z171" s="266"/>
      <c r="AA171" s="266"/>
      <c r="AB171" s="266"/>
      <c r="AC171" s="266"/>
      <c r="AD171" s="267"/>
      <c r="AE171" s="268"/>
      <c r="AF171" s="45"/>
      <c r="AG171" s="45"/>
      <c r="AH171" s="45"/>
      <c r="AI171" s="45"/>
      <c r="AJ171" s="260"/>
      <c r="AK171" s="190"/>
      <c r="AL171" s="73"/>
      <c r="AM171" s="263"/>
      <c r="AN171" s="73"/>
      <c r="AO171" s="264"/>
      <c r="AP171" s="265" t="s">
        <v>1478</v>
      </c>
      <c r="AQ171" s="266"/>
      <c r="AR171" s="266"/>
      <c r="AS171" s="266"/>
      <c r="AT171" s="266"/>
      <c r="AU171" s="267"/>
      <c r="AV171" s="268"/>
      <c r="AW171" s="146"/>
      <c r="AX171" s="54"/>
      <c r="AY171" s="54"/>
      <c r="AZ171" s="54"/>
      <c r="BA171" s="45"/>
      <c r="BB171" s="54"/>
      <c r="BC171" s="54"/>
    </row>
    <row r="172" spans="1:55">
      <c r="A172" s="45"/>
      <c r="B172" s="1902"/>
      <c r="C172" s="1576"/>
      <c r="D172" s="2311"/>
      <c r="E172" s="2366" t="s">
        <v>1641</v>
      </c>
      <c r="F172" s="4188">
        <f>E16</f>
        <v>2016</v>
      </c>
      <c r="G172" s="4205"/>
      <c r="H172" s="4188">
        <f>F172+1</f>
        <v>2017</v>
      </c>
      <c r="I172" s="4205"/>
      <c r="J172" s="4188">
        <f>H172+1</f>
        <v>2018</v>
      </c>
      <c r="K172" s="4205"/>
      <c r="L172" s="4189">
        <f>J172+1</f>
        <v>2019</v>
      </c>
      <c r="M172" s="4190"/>
      <c r="N172" s="2400"/>
      <c r="O172" s="229"/>
      <c r="P172" s="54"/>
      <c r="Q172" s="54"/>
      <c r="R172" s="54"/>
      <c r="S172" s="260"/>
      <c r="T172" s="40"/>
      <c r="U172" s="65"/>
      <c r="V172" s="145" t="s">
        <v>1641</v>
      </c>
      <c r="W172" s="4191">
        <f>Last_forecast_year - 3</f>
        <v>2016</v>
      </c>
      <c r="X172" s="4206"/>
      <c r="Y172" s="4191">
        <f>W172+1</f>
        <v>2017</v>
      </c>
      <c r="Z172" s="4206"/>
      <c r="AA172" s="4191">
        <f>Y172+1</f>
        <v>2018</v>
      </c>
      <c r="AB172" s="4206"/>
      <c r="AC172" s="4192">
        <f>AA172+1</f>
        <v>2019</v>
      </c>
      <c r="AD172" s="4193"/>
      <c r="AE172" s="191"/>
      <c r="AF172" s="45"/>
      <c r="AG172" s="45"/>
      <c r="AH172" s="45"/>
      <c r="AI172" s="45"/>
      <c r="AJ172" s="260"/>
      <c r="AK172" s="40"/>
      <c r="AL172" s="65"/>
      <c r="AM172" s="145" t="s">
        <v>1641</v>
      </c>
      <c r="AN172" s="4191">
        <f>Last_forecast_year - 3</f>
        <v>2016</v>
      </c>
      <c r="AO172" s="4206"/>
      <c r="AP172" s="4191">
        <f>AN172+1</f>
        <v>2017</v>
      </c>
      <c r="AQ172" s="4206"/>
      <c r="AR172" s="4191">
        <f>AP172+1</f>
        <v>2018</v>
      </c>
      <c r="AS172" s="4206"/>
      <c r="AT172" s="4192">
        <f>AR172+1</f>
        <v>2019</v>
      </c>
      <c r="AU172" s="4193"/>
      <c r="AV172" s="191"/>
      <c r="AW172" s="229"/>
      <c r="AX172" s="54"/>
      <c r="AY172" s="54"/>
      <c r="AZ172" s="54"/>
      <c r="BA172" s="45"/>
      <c r="BB172" s="54"/>
      <c r="BC172" s="54"/>
    </row>
    <row r="173" spans="1:55">
      <c r="A173" s="45"/>
      <c r="B173" s="2486"/>
      <c r="C173" s="1576"/>
      <c r="D173" s="2311"/>
      <c r="E173" s="2487" t="s">
        <v>625</v>
      </c>
      <c r="F173" s="2487" t="s">
        <v>758</v>
      </c>
      <c r="G173" s="2488" t="s">
        <v>759</v>
      </c>
      <c r="H173" s="2489" t="s">
        <v>758</v>
      </c>
      <c r="I173" s="2488" t="s">
        <v>759</v>
      </c>
      <c r="J173" s="2489" t="s">
        <v>758</v>
      </c>
      <c r="K173" s="2488" t="s">
        <v>759</v>
      </c>
      <c r="L173" s="2489" t="s">
        <v>758</v>
      </c>
      <c r="M173" s="2490" t="s">
        <v>759</v>
      </c>
      <c r="N173" s="2491"/>
      <c r="O173" s="177"/>
      <c r="P173" s="54"/>
      <c r="Q173" s="54"/>
      <c r="R173" s="54"/>
      <c r="S173" s="269"/>
      <c r="T173" s="40"/>
      <c r="U173" s="65"/>
      <c r="V173" s="270" t="s">
        <v>625</v>
      </c>
      <c r="W173" s="270" t="s">
        <v>758</v>
      </c>
      <c r="X173" s="271" t="s">
        <v>759</v>
      </c>
      <c r="Y173" s="272" t="s">
        <v>758</v>
      </c>
      <c r="Z173" s="271" t="s">
        <v>759</v>
      </c>
      <c r="AA173" s="272" t="s">
        <v>758</v>
      </c>
      <c r="AB173" s="271" t="s">
        <v>759</v>
      </c>
      <c r="AC173" s="272" t="s">
        <v>758</v>
      </c>
      <c r="AD173" s="273" t="s">
        <v>759</v>
      </c>
      <c r="AE173" s="274"/>
      <c r="AF173" s="45"/>
      <c r="AG173" s="45"/>
      <c r="AH173" s="45"/>
      <c r="AI173" s="45"/>
      <c r="AJ173" s="269"/>
      <c r="AK173" s="40"/>
      <c r="AL173" s="65"/>
      <c r="AM173" s="270" t="s">
        <v>625</v>
      </c>
      <c r="AN173" s="270" t="s">
        <v>758</v>
      </c>
      <c r="AO173" s="271" t="s">
        <v>759</v>
      </c>
      <c r="AP173" s="272" t="s">
        <v>758</v>
      </c>
      <c r="AQ173" s="271" t="s">
        <v>759</v>
      </c>
      <c r="AR173" s="272" t="s">
        <v>758</v>
      </c>
      <c r="AS173" s="271" t="s">
        <v>759</v>
      </c>
      <c r="AT173" s="272" t="s">
        <v>758</v>
      </c>
      <c r="AU173" s="273" t="s">
        <v>759</v>
      </c>
      <c r="AV173" s="274"/>
      <c r="AW173" s="177"/>
      <c r="AX173" s="54"/>
      <c r="AY173" s="54"/>
      <c r="AZ173" s="54"/>
      <c r="BA173" s="45"/>
      <c r="BB173" s="54"/>
      <c r="BC173" s="54"/>
    </row>
    <row r="174" spans="1:55">
      <c r="A174" s="45"/>
      <c r="B174" s="2492"/>
      <c r="C174" s="2344" t="s">
        <v>627</v>
      </c>
      <c r="D174" s="2303"/>
      <c r="E174" s="2380" t="s">
        <v>628</v>
      </c>
      <c r="F174" s="2336">
        <f ca="1">Transfer!D136</f>
        <v>216.57429999999999</v>
      </c>
      <c r="G174" s="2336">
        <f ca="1">100*((Transfer!D136/Transfer!C136)-1)</f>
        <v>3.1856022328088152</v>
      </c>
      <c r="H174" s="80">
        <f ca="1">Transfer!E136</f>
        <v>222.72300000000001</v>
      </c>
      <c r="I174" s="91">
        <f ca="1">100*((Transfer!E136/Transfer!D136)-1)</f>
        <v>2.8390718566330353</v>
      </c>
      <c r="J174" s="2326">
        <f ca="1">Transfer!F136</f>
        <v>230.24669430149996</v>
      </c>
      <c r="K174" s="2336">
        <f ca="1">100*((Transfer!F136/Transfer!E136)-1)</f>
        <v>3.3780499999999769</v>
      </c>
      <c r="L174" s="2326">
        <f ca="1">Transfer!G136</f>
        <v>237.344923590782</v>
      </c>
      <c r="M174" s="2338">
        <f ca="1">100*((Transfer!G136/Transfer!F136)-1)</f>
        <v>3.0828799999999879</v>
      </c>
      <c r="N174" s="2328"/>
      <c r="O174" s="149"/>
      <c r="P174" s="54"/>
      <c r="Q174" s="54"/>
      <c r="R174" s="54"/>
      <c r="S174" s="275"/>
      <c r="T174" s="147" t="s">
        <v>627</v>
      </c>
      <c r="U174" s="57"/>
      <c r="V174" s="151" t="s">
        <v>628</v>
      </c>
      <c r="W174" s="1991">
        <f t="shared" ref="W174:AD201" ca="1" si="12">ROUND(F174,1)-ROUND(AN174,1)</f>
        <v>0</v>
      </c>
      <c r="X174" s="1991">
        <f t="shared" ca="1" si="12"/>
        <v>0</v>
      </c>
      <c r="Y174" s="1991">
        <f t="shared" ca="1" si="12"/>
        <v>0</v>
      </c>
      <c r="Z174" s="1991">
        <f t="shared" ca="1" si="12"/>
        <v>0</v>
      </c>
      <c r="AA174" s="1991">
        <f t="shared" ca="1" si="12"/>
        <v>0</v>
      </c>
      <c r="AB174" s="1991">
        <f t="shared" ca="1" si="12"/>
        <v>0</v>
      </c>
      <c r="AC174" s="1991">
        <f t="shared" ca="1" si="12"/>
        <v>0</v>
      </c>
      <c r="AD174" s="1992">
        <f t="shared" ca="1" si="12"/>
        <v>0</v>
      </c>
      <c r="AE174" s="82"/>
      <c r="AF174" s="45"/>
      <c r="AG174" s="45"/>
      <c r="AH174" s="45"/>
      <c r="AI174" s="45"/>
      <c r="AJ174" s="275"/>
      <c r="AK174" s="147" t="s">
        <v>627</v>
      </c>
      <c r="AL174" s="57"/>
      <c r="AM174" s="151" t="s">
        <v>628</v>
      </c>
      <c r="AN174" s="91">
        <f>Transfer!AD136</f>
        <v>216.57429999999999</v>
      </c>
      <c r="AO174" s="91">
        <f>100*((Transfer!AD136/Transfer!AC136)-1)</f>
        <v>3.1856022328088152</v>
      </c>
      <c r="AP174" s="80">
        <f>Transfer!AE136</f>
        <v>222.72300000000001</v>
      </c>
      <c r="AQ174" s="91">
        <f>100*((Transfer!AE136/Transfer!AD136)-1)</f>
        <v>2.8390718566330353</v>
      </c>
      <c r="AR174" s="80">
        <f>Transfer!AF136</f>
        <v>230.24669430149996</v>
      </c>
      <c r="AS174" s="91">
        <f>100*((Transfer!AF136/Transfer!AE136)-1)</f>
        <v>3.3780499999999769</v>
      </c>
      <c r="AT174" s="80">
        <f>Transfer!AG136</f>
        <v>237.344923590782</v>
      </c>
      <c r="AU174" s="93">
        <f>100*((Transfer!AG136/Transfer!AF136)-1)</f>
        <v>3.0828799999999879</v>
      </c>
      <c r="AV174" s="82"/>
      <c r="AW174" s="149"/>
      <c r="AX174" s="54"/>
      <c r="AY174" s="54"/>
      <c r="AZ174" s="54"/>
      <c r="BA174" s="1621" t="s">
        <v>2125</v>
      </c>
      <c r="BB174" s="54"/>
      <c r="BC174" s="54"/>
    </row>
    <row r="175" spans="1:55">
      <c r="A175" s="45"/>
      <c r="B175" s="2492"/>
      <c r="C175" s="1576" t="s">
        <v>760</v>
      </c>
      <c r="D175" s="2311"/>
      <c r="E175" s="2380" t="s">
        <v>628</v>
      </c>
      <c r="F175" s="2336">
        <f ca="1">Transfer!D137</f>
        <v>99.713499999999996</v>
      </c>
      <c r="G175" s="2336">
        <f ca="1">100*((Transfer!D137/Transfer!C137)-1)</f>
        <v>1.531420076469181</v>
      </c>
      <c r="H175" s="92">
        <f ca="1">Transfer!E137</f>
        <v>102.5765</v>
      </c>
      <c r="I175" s="91">
        <f ca="1">100*((Transfer!E137/Transfer!D137)-1)</f>
        <v>2.8712260626695407</v>
      </c>
      <c r="J175" s="2337">
        <f ca="1">Transfer!F137</f>
        <v>104.76516041979002</v>
      </c>
      <c r="K175" s="2336">
        <f ca="1">100*((Transfer!F137/Transfer!E137)-1)</f>
        <v>2.1336860000000346</v>
      </c>
      <c r="L175" s="2337">
        <f ca="1">Transfer!G137</f>
        <v>107.74918648402686</v>
      </c>
      <c r="M175" s="2338">
        <f ca="1">100*((Transfer!G137/Transfer!F137)-1)</f>
        <v>2.8482999999999592</v>
      </c>
      <c r="N175" s="2328"/>
      <c r="O175" s="149"/>
      <c r="P175" s="54"/>
      <c r="Q175" s="54"/>
      <c r="R175" s="54"/>
      <c r="S175" s="275"/>
      <c r="T175" s="40" t="s">
        <v>760</v>
      </c>
      <c r="U175" s="65"/>
      <c r="V175" s="151" t="s">
        <v>628</v>
      </c>
      <c r="W175" s="1991">
        <f t="shared" ca="1" si="12"/>
        <v>0</v>
      </c>
      <c r="X175" s="1991">
        <f t="shared" ca="1" si="12"/>
        <v>0</v>
      </c>
      <c r="Y175" s="1991">
        <f t="shared" ca="1" si="12"/>
        <v>0</v>
      </c>
      <c r="Z175" s="1991">
        <f t="shared" ca="1" si="12"/>
        <v>0</v>
      </c>
      <c r="AA175" s="1991">
        <f t="shared" ca="1" si="12"/>
        <v>0</v>
      </c>
      <c r="AB175" s="1991">
        <f t="shared" ca="1" si="12"/>
        <v>0</v>
      </c>
      <c r="AC175" s="1991">
        <f t="shared" ca="1" si="12"/>
        <v>0</v>
      </c>
      <c r="AD175" s="1993">
        <f t="shared" ca="1" si="12"/>
        <v>0</v>
      </c>
      <c r="AE175" s="82"/>
      <c r="AF175" s="45"/>
      <c r="AG175" s="45"/>
      <c r="AH175" s="45"/>
      <c r="AI175" s="45"/>
      <c r="AJ175" s="275"/>
      <c r="AK175" s="40" t="s">
        <v>760</v>
      </c>
      <c r="AL175" s="65"/>
      <c r="AM175" s="151" t="s">
        <v>628</v>
      </c>
      <c r="AN175" s="91">
        <f>Transfer!AD137</f>
        <v>99.713499999999996</v>
      </c>
      <c r="AO175" s="91">
        <f>100*((Transfer!AD137/Transfer!AC137)-1)</f>
        <v>1.531420076469181</v>
      </c>
      <c r="AP175" s="92">
        <f>Transfer!AE137</f>
        <v>102.5765</v>
      </c>
      <c r="AQ175" s="91">
        <f>100*((Transfer!AE137/Transfer!AD137)-1)</f>
        <v>2.8712260626695407</v>
      </c>
      <c r="AR175" s="92">
        <f>Transfer!AF137</f>
        <v>104.76516041979002</v>
      </c>
      <c r="AS175" s="91">
        <f>100*((Transfer!AF137/Transfer!AE137)-1)</f>
        <v>2.1336860000000346</v>
      </c>
      <c r="AT175" s="92">
        <f>Transfer!AG137</f>
        <v>107.74918648402686</v>
      </c>
      <c r="AU175" s="93">
        <f>100*((Transfer!AG137/Transfer!AF137)-1)</f>
        <v>2.8482999999999592</v>
      </c>
      <c r="AV175" s="82"/>
      <c r="AW175" s="149"/>
      <c r="AX175" s="54"/>
      <c r="AY175" s="54"/>
      <c r="AZ175" s="54"/>
      <c r="BA175" s="1622" t="s">
        <v>2126</v>
      </c>
      <c r="BB175" s="54"/>
      <c r="BC175" s="54"/>
    </row>
    <row r="176" spans="1:55">
      <c r="A176" s="45"/>
      <c r="B176" s="1583"/>
      <c r="C176" s="1576" t="s">
        <v>1256</v>
      </c>
      <c r="D176" s="2311"/>
      <c r="E176" s="2380" t="s">
        <v>1499</v>
      </c>
      <c r="F176" s="2336">
        <f ca="1">Transfer!D138</f>
        <v>99.153600000000012</v>
      </c>
      <c r="G176" s="2336">
        <f ca="1">100*((Transfer!D138/Transfer!C138)-1)</f>
        <v>4.1681506018210746</v>
      </c>
      <c r="H176" s="92">
        <f ca="1">Transfer!E138</f>
        <v>101.91210000000001</v>
      </c>
      <c r="I176" s="91">
        <f ca="1">100*((Transfer!E138/Transfer!D138)-1)</f>
        <v>2.7820472479062719</v>
      </c>
      <c r="J176" s="2337">
        <f ca="1">Transfer!F138</f>
        <v>107.0297678215</v>
      </c>
      <c r="K176" s="2336">
        <f ca="1">100*((Transfer!F138/Transfer!E138)-1)</f>
        <v>5.0216488733918707</v>
      </c>
      <c r="L176" s="2337">
        <f ca="1">Transfer!G138</f>
        <v>111.27712149084397</v>
      </c>
      <c r="M176" s="2338">
        <f ca="1">100*((Transfer!G138/Transfer!F138)-1)</f>
        <v>3.968385390153828</v>
      </c>
      <c r="N176" s="2328"/>
      <c r="O176" s="149"/>
      <c r="P176" s="54"/>
      <c r="Q176" s="54"/>
      <c r="R176" s="54"/>
      <c r="S176" s="276"/>
      <c r="T176" s="40" t="s">
        <v>1256</v>
      </c>
      <c r="U176" s="65"/>
      <c r="V176" s="151" t="s">
        <v>1499</v>
      </c>
      <c r="W176" s="1991">
        <f t="shared" ca="1" si="12"/>
        <v>0</v>
      </c>
      <c r="X176" s="1991">
        <f t="shared" ca="1" si="12"/>
        <v>0</v>
      </c>
      <c r="Y176" s="1991">
        <f t="shared" ca="1" si="12"/>
        <v>0</v>
      </c>
      <c r="Z176" s="1991">
        <f t="shared" ca="1" si="12"/>
        <v>0</v>
      </c>
      <c r="AA176" s="1991">
        <f t="shared" ca="1" si="12"/>
        <v>0</v>
      </c>
      <c r="AB176" s="1991">
        <f t="shared" ca="1" si="12"/>
        <v>0</v>
      </c>
      <c r="AC176" s="1991">
        <f t="shared" ca="1" si="12"/>
        <v>0</v>
      </c>
      <c r="AD176" s="1993">
        <f t="shared" ca="1" si="12"/>
        <v>0</v>
      </c>
      <c r="AE176" s="82"/>
      <c r="AF176" s="45"/>
      <c r="AG176" s="45"/>
      <c r="AH176" s="45"/>
      <c r="AI176" s="45"/>
      <c r="AJ176" s="276"/>
      <c r="AK176" s="40" t="s">
        <v>1256</v>
      </c>
      <c r="AL176" s="65"/>
      <c r="AM176" s="151" t="s">
        <v>1499</v>
      </c>
      <c r="AN176" s="91">
        <f>Transfer!AD138</f>
        <v>99.153600000000012</v>
      </c>
      <c r="AO176" s="91">
        <f>100*((Transfer!AD138/Transfer!AC138)-1)</f>
        <v>4.1681506018210746</v>
      </c>
      <c r="AP176" s="92">
        <f>Transfer!AE138</f>
        <v>101.91210000000001</v>
      </c>
      <c r="AQ176" s="91">
        <f>100*((Transfer!AE138/Transfer!AD138)-1)</f>
        <v>2.7820472479062719</v>
      </c>
      <c r="AR176" s="92">
        <f>Transfer!AF138</f>
        <v>107.0297678215</v>
      </c>
      <c r="AS176" s="91">
        <f>100*((Transfer!AF138/Transfer!AE138)-1)</f>
        <v>5.0216488733918707</v>
      </c>
      <c r="AT176" s="92">
        <f>Transfer!AG138</f>
        <v>111.27712149084397</v>
      </c>
      <c r="AU176" s="93">
        <f>100*((Transfer!AG138/Transfer!AF138)-1)</f>
        <v>3.968385390153828</v>
      </c>
      <c r="AV176" s="82"/>
      <c r="AW176" s="149"/>
      <c r="AX176" s="54"/>
      <c r="AY176" s="54"/>
      <c r="AZ176" s="54"/>
      <c r="BA176" s="1622" t="s">
        <v>1752</v>
      </c>
      <c r="BB176" s="54"/>
      <c r="BC176" s="54"/>
    </row>
    <row r="177" spans="1:55">
      <c r="A177" s="45"/>
      <c r="B177" s="2493"/>
      <c r="C177" s="2494" t="s">
        <v>2112</v>
      </c>
      <c r="D177" s="2495"/>
      <c r="E177" s="2496"/>
      <c r="F177" s="2341">
        <f ca="1">SUM(Transfer!D136,Transfer!D137,Transfer!D138)</f>
        <v>415.44140000000004</v>
      </c>
      <c r="G177" s="2341">
        <f ca="1">100*((SUM(Transfer!D136,Transfer!D137,Transfer!D138)/SUM(Transfer!C136,Transfer!C137,Transfer!C138))-1)</f>
        <v>3.0146767647688311</v>
      </c>
      <c r="H177" s="97">
        <f ca="1">SUM(Transfer!E136,Transfer!E137,Transfer!E138)</f>
        <v>427.21160000000003</v>
      </c>
      <c r="I177" s="96">
        <f ca="1">100*((SUM(Transfer!E136,Transfer!E137,Transfer!E138)/SUM(Transfer!D136,Transfer!D137,Transfer!D138))-1)</f>
        <v>2.8331793605548272</v>
      </c>
      <c r="J177" s="2342">
        <f ca="1">SUM(Transfer!F136,Transfer!F137,Transfer!F138)</f>
        <v>442.04162254278998</v>
      </c>
      <c r="K177" s="2341">
        <f ca="1">100*((SUM(Transfer!F136,Transfer!F137,Transfer!F138)/SUM(Transfer!E136,Transfer!E137,Transfer!E138))-1)</f>
        <v>3.4713529648515928</v>
      </c>
      <c r="L177" s="2342">
        <f ca="1">SUM(Transfer!G136,Transfer!G137,Transfer!G138)</f>
        <v>456.37123156565286</v>
      </c>
      <c r="M177" s="2343">
        <f ca="1">100*((SUM(Transfer!G136,Transfer!G137,Transfer!G138)/SUM(Transfer!F136,Transfer!F137,Transfer!F138))-1)</f>
        <v>3.2416877262447796</v>
      </c>
      <c r="N177" s="2328"/>
      <c r="O177" s="149"/>
      <c r="P177" s="54"/>
      <c r="Q177" s="54"/>
      <c r="R177" s="54"/>
      <c r="S177" s="277"/>
      <c r="T177" s="153" t="s">
        <v>2112</v>
      </c>
      <c r="U177" s="278"/>
      <c r="V177" s="154"/>
      <c r="W177" s="1994">
        <f t="shared" ca="1" si="12"/>
        <v>0</v>
      </c>
      <c r="X177" s="1994">
        <f t="shared" ca="1" si="12"/>
        <v>0</v>
      </c>
      <c r="Y177" s="1994">
        <f t="shared" ca="1" si="12"/>
        <v>0</v>
      </c>
      <c r="Z177" s="1994">
        <f t="shared" ca="1" si="12"/>
        <v>0</v>
      </c>
      <c r="AA177" s="1994">
        <f t="shared" ca="1" si="12"/>
        <v>0</v>
      </c>
      <c r="AB177" s="1994">
        <f t="shared" ca="1" si="12"/>
        <v>0</v>
      </c>
      <c r="AC177" s="1994">
        <f t="shared" ca="1" si="12"/>
        <v>0</v>
      </c>
      <c r="AD177" s="1995">
        <f t="shared" ca="1" si="12"/>
        <v>0</v>
      </c>
      <c r="AE177" s="82"/>
      <c r="AF177" s="45"/>
      <c r="AG177" s="45"/>
      <c r="AH177" s="45"/>
      <c r="AI177" s="45"/>
      <c r="AJ177" s="277"/>
      <c r="AK177" s="153" t="s">
        <v>2112</v>
      </c>
      <c r="AL177" s="278"/>
      <c r="AM177" s="154"/>
      <c r="AN177" s="96">
        <f>SUM(Transfer!AD136,Transfer!AD137,Transfer!AD138)</f>
        <v>415.44140000000004</v>
      </c>
      <c r="AO177" s="96">
        <f>100*((SUM(Transfer!AD136,Transfer!AD137,Transfer!AD138)/SUM(Transfer!AC136,Transfer!AC137,Transfer!AC138))-1)</f>
        <v>3.0146767647688311</v>
      </c>
      <c r="AP177" s="97">
        <f>SUM(Transfer!AE136,Transfer!AE137,Transfer!AE138)</f>
        <v>427.21160000000003</v>
      </c>
      <c r="AQ177" s="96">
        <f>100*((SUM(Transfer!AE136,Transfer!AE137,Transfer!AE138)/SUM(Transfer!AD136,Transfer!AD137,Transfer!AD138))-1)</f>
        <v>2.8331793605548272</v>
      </c>
      <c r="AR177" s="97">
        <f>SUM(Transfer!AF136,Transfer!AF137,Transfer!AF138)</f>
        <v>442.04162254278998</v>
      </c>
      <c r="AS177" s="96">
        <f>100*((SUM(Transfer!AF136,Transfer!AF137,Transfer!AF138)/SUM(Transfer!AE136,Transfer!AE137,Transfer!AE138))-1)</f>
        <v>3.4713529648515928</v>
      </c>
      <c r="AT177" s="97">
        <f>SUM(Transfer!AG136,Transfer!AG137,Transfer!AG138)</f>
        <v>456.37123156565286</v>
      </c>
      <c r="AU177" s="98">
        <f>100*((SUM(Transfer!AG136,Transfer!AG137,Transfer!AG138)/SUM(Transfer!AF136,Transfer!AF137,Transfer!AF138))-1)</f>
        <v>3.2416877262447796</v>
      </c>
      <c r="AV177" s="82"/>
      <c r="AW177" s="149"/>
      <c r="AX177" s="54"/>
      <c r="AY177" s="54"/>
      <c r="AZ177" s="54"/>
      <c r="BA177" s="1622" t="s">
        <v>161</v>
      </c>
      <c r="BB177" s="54"/>
      <c r="BC177" s="54"/>
    </row>
    <row r="178" spans="1:55">
      <c r="A178" s="45"/>
      <c r="B178" s="2493"/>
      <c r="C178" s="2344" t="s">
        <v>1169</v>
      </c>
      <c r="D178" s="2303"/>
      <c r="E178" s="2497" t="s">
        <v>1500</v>
      </c>
      <c r="F178" s="2325">
        <f ca="1">100*Transfer!D142/Transfer!D147</f>
        <v>0.46845703706715353</v>
      </c>
      <c r="G178" s="2498"/>
      <c r="H178" s="79">
        <f ca="1">100*Transfer!E142/Transfer!E147</f>
        <v>1.2737277432320318</v>
      </c>
      <c r="I178" s="279"/>
      <c r="J178" s="2325">
        <f ca="1">100*Transfer!F142/Transfer!F147</f>
        <v>1.2318996376961493</v>
      </c>
      <c r="K178" s="2498"/>
      <c r="L178" s="2499">
        <f ca="1">100*Transfer!G142/Transfer!G147</f>
        <v>1.1907488524283227</v>
      </c>
      <c r="M178" s="2500"/>
      <c r="N178" s="2501"/>
      <c r="O178" s="149"/>
      <c r="P178" s="54"/>
      <c r="Q178" s="54"/>
      <c r="R178" s="54"/>
      <c r="S178" s="277"/>
      <c r="T178" s="147" t="s">
        <v>1169</v>
      </c>
      <c r="U178" s="57"/>
      <c r="V178" s="148" t="s">
        <v>1500</v>
      </c>
      <c r="W178" s="1991">
        <f t="shared" ca="1" si="12"/>
        <v>0</v>
      </c>
      <c r="X178" s="1996">
        <f t="shared" si="12"/>
        <v>0</v>
      </c>
      <c r="Y178" s="1991">
        <f t="shared" ca="1" si="12"/>
        <v>0</v>
      </c>
      <c r="Z178" s="1996">
        <f t="shared" si="12"/>
        <v>0</v>
      </c>
      <c r="AA178" s="1991">
        <f t="shared" ca="1" si="12"/>
        <v>0</v>
      </c>
      <c r="AB178" s="1996">
        <f t="shared" si="12"/>
        <v>0</v>
      </c>
      <c r="AC178" s="1991">
        <f t="shared" ca="1" si="12"/>
        <v>0</v>
      </c>
      <c r="AD178" s="1993">
        <f t="shared" si="12"/>
        <v>0</v>
      </c>
      <c r="AE178" s="282"/>
      <c r="AF178" s="45"/>
      <c r="AG178" s="45"/>
      <c r="AH178" s="45"/>
      <c r="AI178" s="45"/>
      <c r="AJ178" s="277"/>
      <c r="AK178" s="147" t="s">
        <v>1169</v>
      </c>
      <c r="AL178" s="57"/>
      <c r="AM178" s="148" t="s">
        <v>1500</v>
      </c>
      <c r="AN178" s="79">
        <f>100*Transfer!AD142/Transfer!AD147</f>
        <v>0.46845703706715353</v>
      </c>
      <c r="AO178" s="279"/>
      <c r="AP178" s="79">
        <f>100*Transfer!AE142/Transfer!AE147</f>
        <v>1.2737277432320318</v>
      </c>
      <c r="AQ178" s="279"/>
      <c r="AR178" s="79">
        <f>100*Transfer!AF142/Transfer!AF147</f>
        <v>1.2318996376961493</v>
      </c>
      <c r="AS178" s="279"/>
      <c r="AT178" s="280">
        <f>100*Transfer!AG142/Transfer!AG147</f>
        <v>1.1906133317302576</v>
      </c>
      <c r="AU178" s="281"/>
      <c r="AV178" s="282"/>
      <c r="AW178" s="149"/>
      <c r="AX178" s="54"/>
      <c r="AY178" s="54"/>
      <c r="AZ178" s="54"/>
      <c r="BA178" s="1622" t="s">
        <v>66</v>
      </c>
      <c r="BB178" s="54"/>
      <c r="BC178" s="54"/>
    </row>
    <row r="179" spans="1:55">
      <c r="A179" s="45"/>
      <c r="B179" s="1583"/>
      <c r="C179" s="2416" t="s">
        <v>1657</v>
      </c>
      <c r="D179" s="2311"/>
      <c r="E179" s="2496"/>
      <c r="F179" s="2502">
        <f ca="1">SUM(Transfer!D136,Transfer!D137,Transfer!D138,Transfer!D142)</f>
        <v>417.42320000000007</v>
      </c>
      <c r="G179" s="2502">
        <f ca="1">100*((SUM(Transfer!D136,Transfer!D137,Transfer!D138,Transfer!D142)/SUM(Transfer!C136,Transfer!C137,Transfer!C138,Transfer!C142))-1)</f>
        <v>3.1036830965546658</v>
      </c>
      <c r="H179" s="283">
        <f ca="1">SUM(Transfer!E136,Transfer!E137,Transfer!E138,Transfer!E142)</f>
        <v>432.79670000000004</v>
      </c>
      <c r="I179" s="155">
        <f ca="1">100*((SUM(Transfer!E136,Transfer!E137,Transfer!E138,Transfer!E142)/SUM(Transfer!D136,Transfer!D137,Transfer!D138,Transfer!D142))-1)</f>
        <v>3.6829529360131286</v>
      </c>
      <c r="J179" s="2502">
        <f ca="1">SUM(Transfer!F136,Transfer!F137,Transfer!F138,Transfer!F142)</f>
        <v>447.62672254278999</v>
      </c>
      <c r="K179" s="2502">
        <f ca="1">100*((SUM(Transfer!F136,Transfer!F137,Transfer!F138,Transfer!F142)/SUM(Transfer!E136,Transfer!E137,Transfer!E138,Transfer!E142))-1)</f>
        <v>3.4265562890821277</v>
      </c>
      <c r="L179" s="2502">
        <f ca="1">SUM(Transfer!G136,Transfer!G137,Transfer!G138,Transfer!G142)</f>
        <v>461.95633156565287</v>
      </c>
      <c r="M179" s="2504">
        <f ca="1">100*((SUM(Transfer!G136,Transfer!G137,Transfer!G138,Transfer!G142)/SUM(Transfer!F136,Transfer!F137,Transfer!F138,Transfer!F142))-1)</f>
        <v>3.2012407439533597</v>
      </c>
      <c r="N179" s="2332"/>
      <c r="O179" s="156"/>
      <c r="P179" s="54"/>
      <c r="Q179" s="54"/>
      <c r="R179" s="54"/>
      <c r="S179" s="276"/>
      <c r="T179" s="206" t="s">
        <v>1657</v>
      </c>
      <c r="U179" s="65"/>
      <c r="V179" s="154"/>
      <c r="W179" s="1994">
        <f t="shared" ca="1" si="12"/>
        <v>0</v>
      </c>
      <c r="X179" s="1994">
        <f t="shared" ca="1" si="12"/>
        <v>0</v>
      </c>
      <c r="Y179" s="1994">
        <f t="shared" ca="1" si="12"/>
        <v>0</v>
      </c>
      <c r="Z179" s="1994">
        <f t="shared" ca="1" si="12"/>
        <v>0</v>
      </c>
      <c r="AA179" s="1994">
        <f t="shared" ca="1" si="12"/>
        <v>0</v>
      </c>
      <c r="AB179" s="1994">
        <f t="shared" ca="1" si="12"/>
        <v>0</v>
      </c>
      <c r="AC179" s="1994">
        <f t="shared" ca="1" si="12"/>
        <v>0</v>
      </c>
      <c r="AD179" s="1995">
        <f t="shared" ca="1" si="12"/>
        <v>0</v>
      </c>
      <c r="AE179" s="85"/>
      <c r="AF179" s="45"/>
      <c r="AG179" s="45"/>
      <c r="AH179" s="45"/>
      <c r="AI179" s="45"/>
      <c r="AJ179" s="276"/>
      <c r="AK179" s="206" t="s">
        <v>1657</v>
      </c>
      <c r="AL179" s="65"/>
      <c r="AM179" s="154"/>
      <c r="AN179" s="155">
        <f>SUM(Transfer!AD136,Transfer!AD137,Transfer!AD138,Transfer!AD142)</f>
        <v>417.42320000000007</v>
      </c>
      <c r="AO179" s="155">
        <f>100*((SUM(Transfer!AD136,Transfer!AD137,Transfer!AD138,Transfer!AD142)/SUM(Transfer!AC136,Transfer!AC137,Transfer!AC138,Transfer!AC142))-1)</f>
        <v>3.1036830965546658</v>
      </c>
      <c r="AP179" s="283">
        <f>SUM(Transfer!AE136,Transfer!AE137,Transfer!AE138,Transfer!AE142)</f>
        <v>432.79670000000004</v>
      </c>
      <c r="AQ179" s="155">
        <f>100*((SUM(Transfer!AE136,Transfer!AE137,Transfer!AE138,Transfer!AE142)/SUM(Transfer!AD136,Transfer!AD137,Transfer!AD138,Transfer!AD142))-1)</f>
        <v>3.6829529360131286</v>
      </c>
      <c r="AR179" s="155">
        <f>SUM(Transfer!AF136,Transfer!AF137,Transfer!AF138,Transfer!AF142)</f>
        <v>447.62672254278999</v>
      </c>
      <c r="AS179" s="155">
        <f>100*((SUM(Transfer!AF136,Transfer!AF137,Transfer!AF138,Transfer!AF142)/SUM(Transfer!AE136,Transfer!AE137,Transfer!AE138,Transfer!AE142))-1)</f>
        <v>3.4265562890821277</v>
      </c>
      <c r="AT179" s="155">
        <f>SUM(Transfer!AG136,Transfer!AG137,Transfer!AG138,Transfer!AG142)</f>
        <v>461.95633156565287</v>
      </c>
      <c r="AU179" s="284">
        <f>100*((SUM(Transfer!AG136,Transfer!AG137,Transfer!AG138,Transfer!AG142)/SUM(Transfer!AF136,Transfer!AF137,Transfer!AF138,Transfer!AF142))-1)</f>
        <v>3.2012407439533597</v>
      </c>
      <c r="AV179" s="85"/>
      <c r="AW179" s="156"/>
      <c r="AX179" s="54"/>
      <c r="AY179" s="54"/>
      <c r="AZ179" s="54"/>
      <c r="BA179" s="1622" t="s">
        <v>162</v>
      </c>
      <c r="BB179" s="54"/>
      <c r="BC179" s="54"/>
    </row>
    <row r="180" spans="1:55">
      <c r="A180" s="45"/>
      <c r="B180" s="2493"/>
      <c r="C180" s="2344" t="s">
        <v>1449</v>
      </c>
      <c r="D180" s="2303"/>
      <c r="E180" s="2380" t="s">
        <v>1450</v>
      </c>
      <c r="F180" s="2336">
        <f ca="1">SUM(Transfer!D143,Transfer!D144)</f>
        <v>350.55939999999998</v>
      </c>
      <c r="G180" s="2336">
        <f ca="1">100*((SUM(Transfer!D143,Transfer!D144)/SUM(Transfer!C143,Transfer!C144))-1)</f>
        <v>5.7521216223880067</v>
      </c>
      <c r="H180" s="80">
        <f ca="1">SUM(Transfer!E143,Transfer!E144)</f>
        <v>371.38579999999996</v>
      </c>
      <c r="I180" s="91">
        <f ca="1">100*((SUM(Transfer!E143,Transfer!E144)/SUM(Transfer!D143,Transfer!D144))-1)</f>
        <v>5.9409047368291779</v>
      </c>
      <c r="J180" s="2326">
        <f ca="1">SUM(Transfer!F143,Transfer!F144)</f>
        <v>393.74565522390003</v>
      </c>
      <c r="K180" s="2336">
        <f ca="1">100*((SUM(Transfer!F143,Transfer!F144)/SUM(Transfer!E143,Transfer!E144))-1)</f>
        <v>6.0206543233209509</v>
      </c>
      <c r="L180" s="2326">
        <f ca="1">SUM(Transfer!G143,Transfer!G144)</f>
        <v>416.21183193735681</v>
      </c>
      <c r="M180" s="2338">
        <f ca="1">100*((SUM(Transfer!G143,Transfer!G144)/SUM(Transfer!F143,Transfer!F144))-1)</f>
        <v>5.7057586326080489</v>
      </c>
      <c r="N180" s="2328"/>
      <c r="O180" s="149"/>
      <c r="P180" s="54"/>
      <c r="Q180" s="54"/>
      <c r="R180" s="54"/>
      <c r="S180" s="277"/>
      <c r="T180" s="147" t="s">
        <v>1449</v>
      </c>
      <c r="U180" s="57"/>
      <c r="V180" s="151" t="s">
        <v>1450</v>
      </c>
      <c r="W180" s="1991">
        <f t="shared" ca="1" si="12"/>
        <v>0</v>
      </c>
      <c r="X180" s="1991">
        <f t="shared" ca="1" si="12"/>
        <v>0</v>
      </c>
      <c r="Y180" s="1991">
        <f t="shared" ca="1" si="12"/>
        <v>0</v>
      </c>
      <c r="Z180" s="1991">
        <f t="shared" ca="1" si="12"/>
        <v>0</v>
      </c>
      <c r="AA180" s="1991">
        <f t="shared" ca="1" si="12"/>
        <v>0</v>
      </c>
      <c r="AB180" s="1991">
        <f t="shared" ca="1" si="12"/>
        <v>0</v>
      </c>
      <c r="AC180" s="1991">
        <f t="shared" ca="1" si="12"/>
        <v>-0.10000000000002274</v>
      </c>
      <c r="AD180" s="1993">
        <f t="shared" ca="1" si="12"/>
        <v>0</v>
      </c>
      <c r="AE180" s="82"/>
      <c r="AF180" s="45"/>
      <c r="AG180" s="45"/>
      <c r="AH180" s="45"/>
      <c r="AI180" s="45"/>
      <c r="AJ180" s="277"/>
      <c r="AK180" s="147" t="s">
        <v>1449</v>
      </c>
      <c r="AL180" s="57"/>
      <c r="AM180" s="151" t="s">
        <v>1450</v>
      </c>
      <c r="AN180" s="91">
        <f>SUM(Transfer!AD143,Transfer!AD144)</f>
        <v>350.55939999999998</v>
      </c>
      <c r="AO180" s="91">
        <f>100*((SUM(Transfer!AD143,Transfer!AD144)/SUM(Transfer!AC143,Transfer!AC144))-1)</f>
        <v>5.7521216223880067</v>
      </c>
      <c r="AP180" s="80">
        <f>SUM(Transfer!AE143,Transfer!AE144)</f>
        <v>371.38579999999996</v>
      </c>
      <c r="AQ180" s="91">
        <f>100*((SUM(Transfer!AE143,Transfer!AE144)/SUM(Transfer!AD143,Transfer!AD144))-1)</f>
        <v>5.9409047368291779</v>
      </c>
      <c r="AR180" s="80">
        <f>SUM(Transfer!AF143,Transfer!AF144)</f>
        <v>393.74565522390003</v>
      </c>
      <c r="AS180" s="91">
        <f>100*((SUM(Transfer!AF143,Transfer!AF144)/SUM(Transfer!AE143,Transfer!AE144))-1)</f>
        <v>6.0206543233209509</v>
      </c>
      <c r="AT180" s="80">
        <f>SUM(Transfer!AG143,Transfer!AG144)</f>
        <v>416.32193805503294</v>
      </c>
      <c r="AU180" s="93">
        <f>100*((SUM(Transfer!AG143,Transfer!AG144)/SUM(Transfer!AF143,Transfer!AF144))-1)</f>
        <v>5.7337223996275277</v>
      </c>
      <c r="AV180" s="82"/>
      <c r="AW180" s="149"/>
      <c r="AX180" s="54"/>
      <c r="AY180" s="54"/>
      <c r="AZ180" s="54"/>
      <c r="BA180" s="1622" t="s">
        <v>163</v>
      </c>
      <c r="BB180" s="54"/>
      <c r="BC180" s="54"/>
    </row>
    <row r="181" spans="1:55">
      <c r="A181" s="45"/>
      <c r="B181" s="2493"/>
      <c r="C181" s="2333" t="s">
        <v>556</v>
      </c>
      <c r="D181" s="2311"/>
      <c r="E181" s="2380" t="s">
        <v>342</v>
      </c>
      <c r="F181" s="2336">
        <f ca="1">Transfer!D143</f>
        <v>248.1651</v>
      </c>
      <c r="G181" s="2336">
        <f ca="1">100*((Transfer!D143/Transfer!C143)-1)</f>
        <v>7.9346612062546562</v>
      </c>
      <c r="H181" s="92">
        <f ca="1">Transfer!E143</f>
        <v>268.40609999999998</v>
      </c>
      <c r="I181" s="91">
        <f ca="1">100*((Transfer!E143/Transfer!D143)-1)</f>
        <v>8.1562637131490145</v>
      </c>
      <c r="J181" s="2337">
        <f ca="1">Transfer!F143</f>
        <v>285.1597403559</v>
      </c>
      <c r="K181" s="2336">
        <f ca="1">100*((Transfer!F143/Transfer!E143)-1)</f>
        <v>6.2419000000000002</v>
      </c>
      <c r="L181" s="2337">
        <f ca="1">Transfer!G143</f>
        <v>301.4812573188064</v>
      </c>
      <c r="M181" s="2338">
        <f ca="1">100*((Transfer!G143/Transfer!F143)-1)</f>
        <v>5.7236399999999854</v>
      </c>
      <c r="N181" s="2328"/>
      <c r="O181" s="149"/>
      <c r="P181" s="54"/>
      <c r="Q181" s="54"/>
      <c r="R181" s="54"/>
      <c r="S181" s="277"/>
      <c r="T181" s="86" t="s">
        <v>556</v>
      </c>
      <c r="U181" s="65"/>
      <c r="V181" s="151" t="s">
        <v>342</v>
      </c>
      <c r="W181" s="1991">
        <f t="shared" ca="1" si="12"/>
        <v>0</v>
      </c>
      <c r="X181" s="1991">
        <f t="shared" ca="1" si="12"/>
        <v>0</v>
      </c>
      <c r="Y181" s="1991">
        <f t="shared" ca="1" si="12"/>
        <v>0</v>
      </c>
      <c r="Z181" s="1991">
        <f t="shared" ca="1" si="12"/>
        <v>0</v>
      </c>
      <c r="AA181" s="1991">
        <f t="shared" ca="1" si="12"/>
        <v>0</v>
      </c>
      <c r="AB181" s="1991">
        <f t="shared" ca="1" si="12"/>
        <v>0</v>
      </c>
      <c r="AC181" s="1991">
        <f t="shared" ca="1" si="12"/>
        <v>0</v>
      </c>
      <c r="AD181" s="1993">
        <f t="shared" ca="1" si="12"/>
        <v>0</v>
      </c>
      <c r="AE181" s="82"/>
      <c r="AF181" s="45"/>
      <c r="AG181" s="45"/>
      <c r="AH181" s="45"/>
      <c r="AI181" s="45"/>
      <c r="AJ181" s="277"/>
      <c r="AK181" s="86" t="s">
        <v>556</v>
      </c>
      <c r="AL181" s="65"/>
      <c r="AM181" s="151" t="s">
        <v>342</v>
      </c>
      <c r="AN181" s="91">
        <f>Transfer!AD143</f>
        <v>248.1651</v>
      </c>
      <c r="AO181" s="91">
        <f>100*((Transfer!AD143/Transfer!AC143)-1)</f>
        <v>7.9346612062546562</v>
      </c>
      <c r="AP181" s="92">
        <f>Transfer!AE143</f>
        <v>268.40609999999998</v>
      </c>
      <c r="AQ181" s="91">
        <f>100*((Transfer!AE143/Transfer!AD143)-1)</f>
        <v>8.1562637131490145</v>
      </c>
      <c r="AR181" s="92">
        <f>Transfer!AF143</f>
        <v>285.1597403559</v>
      </c>
      <c r="AS181" s="91">
        <f>100*((Transfer!AF143/Transfer!AE143)-1)</f>
        <v>6.2419000000000002</v>
      </c>
      <c r="AT181" s="92">
        <f>Transfer!AG143</f>
        <v>301.4812573188064</v>
      </c>
      <c r="AU181" s="93">
        <f>100*((Transfer!AG143/Transfer!AF143)-1)</f>
        <v>5.7236399999999854</v>
      </c>
      <c r="AV181" s="82"/>
      <c r="AW181" s="149"/>
      <c r="AX181" s="54"/>
      <c r="AY181" s="54"/>
      <c r="AZ181" s="54"/>
      <c r="BA181" s="1622" t="s">
        <v>320</v>
      </c>
      <c r="BB181" s="54"/>
      <c r="BC181" s="54"/>
    </row>
    <row r="182" spans="1:55">
      <c r="A182" s="45"/>
      <c r="B182" s="2493"/>
      <c r="C182" s="2333" t="s">
        <v>2089</v>
      </c>
      <c r="D182" s="2311"/>
      <c r="E182" s="2380" t="s">
        <v>1781</v>
      </c>
      <c r="F182" s="2336">
        <f ca="1">Transfer!D144</f>
        <v>102.3943</v>
      </c>
      <c r="G182" s="2336">
        <f ca="1">100*((Transfer!D144/Transfer!C144)-1)</f>
        <v>0.81155853106233966</v>
      </c>
      <c r="H182" s="92">
        <f ca="1">Transfer!E144</f>
        <v>102.97969999999999</v>
      </c>
      <c r="I182" s="91">
        <f ca="1">100*((Transfer!E144/Transfer!D144)-1)</f>
        <v>0.57171151128529996</v>
      </c>
      <c r="J182" s="2337">
        <f ca="1">Transfer!F144</f>
        <v>108.585914868</v>
      </c>
      <c r="K182" s="2336">
        <f ca="1">100*((Transfer!F144/Transfer!E144)-1)</f>
        <v>5.4440000000000044</v>
      </c>
      <c r="L182" s="2337">
        <f ca="1">Transfer!G144</f>
        <v>114.73057461855039</v>
      </c>
      <c r="M182" s="2338">
        <f ca="1">100*((Transfer!G144/Transfer!F144)-1)</f>
        <v>5.6588000000000083</v>
      </c>
      <c r="N182" s="2328"/>
      <c r="O182" s="149"/>
      <c r="P182" s="54"/>
      <c r="Q182" s="54"/>
      <c r="R182" s="54"/>
      <c r="S182" s="277"/>
      <c r="T182" s="86" t="s">
        <v>2089</v>
      </c>
      <c r="U182" s="65"/>
      <c r="V182" s="151" t="s">
        <v>1781</v>
      </c>
      <c r="W182" s="1991">
        <f t="shared" ca="1" si="12"/>
        <v>0</v>
      </c>
      <c r="X182" s="1991">
        <f t="shared" ca="1" si="12"/>
        <v>0</v>
      </c>
      <c r="Y182" s="1991">
        <f t="shared" ca="1" si="12"/>
        <v>0</v>
      </c>
      <c r="Z182" s="1991">
        <f t="shared" ca="1" si="12"/>
        <v>0</v>
      </c>
      <c r="AA182" s="1991">
        <f t="shared" ca="1" si="12"/>
        <v>0</v>
      </c>
      <c r="AB182" s="1991">
        <f t="shared" ca="1" si="12"/>
        <v>0</v>
      </c>
      <c r="AC182" s="1991">
        <f t="shared" ca="1" si="12"/>
        <v>-9.9999999999994316E-2</v>
      </c>
      <c r="AD182" s="1993">
        <f t="shared" ca="1" si="12"/>
        <v>-9.9999999999999645E-2</v>
      </c>
      <c r="AE182" s="82"/>
      <c r="AF182" s="45"/>
      <c r="AG182" s="45"/>
      <c r="AH182" s="45"/>
      <c r="AI182" s="45"/>
      <c r="AJ182" s="277"/>
      <c r="AK182" s="86" t="s">
        <v>2089</v>
      </c>
      <c r="AL182" s="65"/>
      <c r="AM182" s="151" t="s">
        <v>1781</v>
      </c>
      <c r="AN182" s="91">
        <f>Transfer!AD144</f>
        <v>102.3943</v>
      </c>
      <c r="AO182" s="91">
        <f>100*((Transfer!AD144/Transfer!AC144)-1)</f>
        <v>0.81155853106233966</v>
      </c>
      <c r="AP182" s="92">
        <f>Transfer!AE144</f>
        <v>102.97969999999999</v>
      </c>
      <c r="AQ182" s="91">
        <f>100*((Transfer!AE144/Transfer!AD144)-1)</f>
        <v>0.57171151128529996</v>
      </c>
      <c r="AR182" s="92">
        <f>Transfer!AF144</f>
        <v>108.585914868</v>
      </c>
      <c r="AS182" s="91">
        <f>100*((Transfer!AF144/Transfer!AE144)-1)</f>
        <v>5.4440000000000044</v>
      </c>
      <c r="AT182" s="92">
        <f>Transfer!AG144</f>
        <v>114.84068073622653</v>
      </c>
      <c r="AU182" s="93">
        <f>100*((Transfer!AG144/Transfer!AF144)-1)</f>
        <v>5.7601999999999931</v>
      </c>
      <c r="AV182" s="82"/>
      <c r="AW182" s="149"/>
      <c r="AX182" s="54"/>
      <c r="AY182" s="54"/>
      <c r="AZ182" s="54"/>
      <c r="BA182" s="1622" t="s">
        <v>1171</v>
      </c>
      <c r="BB182" s="54"/>
      <c r="BC182" s="54"/>
    </row>
    <row r="183" spans="1:55">
      <c r="A183" s="45"/>
      <c r="B183" s="1583"/>
      <c r="C183" s="2505" t="s">
        <v>488</v>
      </c>
      <c r="D183" s="2431"/>
      <c r="E183" s="2489"/>
      <c r="F183" s="2502">
        <f ca="1">SUM(Transfer!D136,Transfer!D137,Transfer!D138,Transfer!D142,Transfer!D143,Transfer!D144)</f>
        <v>767.98260000000016</v>
      </c>
      <c r="G183" s="2502">
        <f ca="1">100*((SUM(Transfer!D136,Transfer!D137,Transfer!D138,Transfer!D142,Transfer!D143,Transfer!D144)/SUM(Transfer!C136,Transfer!C137,Transfer!C138,Transfer!C142,Transfer!C143,Transfer!C144))-1)</f>
        <v>4.2959638856178817</v>
      </c>
      <c r="H183" s="155">
        <f ca="1">SUM(Transfer!E136,Transfer!E137,Transfer!E138,Transfer!E142,Transfer!E143,Transfer!E144)</f>
        <v>804.1825</v>
      </c>
      <c r="I183" s="155">
        <f ca="1">100*((SUM(Transfer!E136,Transfer!E137,Transfer!E138,Transfer!E142,Transfer!E143,Transfer!E144)/SUM(Transfer!D136,Transfer!D137,Transfer!D138,Transfer!D142,Transfer!D143,Transfer!D144))-1)</f>
        <v>4.7136354391362323</v>
      </c>
      <c r="J183" s="2502">
        <f ca="1">SUM(Transfer!F136,Transfer!F137,Transfer!F138,Transfer!F142,Transfer!F143,Transfer!F144)</f>
        <v>841.37237776668997</v>
      </c>
      <c r="K183" s="2502">
        <f ca="1">100*((SUM(Transfer!F136,Transfer!F137,Transfer!F138,Transfer!F142,Transfer!F143,Transfer!F144)/SUM(Transfer!E136,Transfer!E137,Transfer!E138,Transfer!E142,Transfer!E143,Transfer!E144))-1)</f>
        <v>4.6245569589850488</v>
      </c>
      <c r="L183" s="2502">
        <f ca="1">SUM(Transfer!G136,Transfer!G137,Transfer!G138,Transfer!G142,Transfer!G143,Transfer!G144)</f>
        <v>878.16816350300962</v>
      </c>
      <c r="M183" s="2504">
        <f ca="1">100*((SUM(Transfer!G136,Transfer!G137,Transfer!G138,Transfer!G142,Transfer!G143,Transfer!G144)/SUM(Transfer!F136,Transfer!F137,Transfer!F138,Transfer!F142,Transfer!F143,Transfer!F144))-1)</f>
        <v>4.3733056502269774</v>
      </c>
      <c r="N183" s="2332"/>
      <c r="O183" s="156"/>
      <c r="P183" s="54"/>
      <c r="Q183" s="54"/>
      <c r="R183" s="54"/>
      <c r="S183" s="276"/>
      <c r="T183" s="1589" t="s">
        <v>488</v>
      </c>
      <c r="U183" s="123"/>
      <c r="V183" s="285"/>
      <c r="W183" s="1994">
        <f t="shared" ca="1" si="12"/>
        <v>0</v>
      </c>
      <c r="X183" s="1994">
        <f t="shared" ca="1" si="12"/>
        <v>0</v>
      </c>
      <c r="Y183" s="1994">
        <f t="shared" ca="1" si="12"/>
        <v>0</v>
      </c>
      <c r="Z183" s="1994">
        <f t="shared" ca="1" si="12"/>
        <v>0</v>
      </c>
      <c r="AA183" s="1994">
        <f t="shared" ca="1" si="12"/>
        <v>0</v>
      </c>
      <c r="AB183" s="1994">
        <f t="shared" ca="1" si="12"/>
        <v>0</v>
      </c>
      <c r="AC183" s="1994">
        <f t="shared" ca="1" si="12"/>
        <v>-9.9999999999909051E-2</v>
      </c>
      <c r="AD183" s="1995">
        <f t="shared" ca="1" si="12"/>
        <v>0</v>
      </c>
      <c r="AE183" s="85"/>
      <c r="AF183" s="45"/>
      <c r="AG183" s="45"/>
      <c r="AH183" s="45"/>
      <c r="AI183" s="45"/>
      <c r="AJ183" s="276"/>
      <c r="AK183" s="1589" t="s">
        <v>488</v>
      </c>
      <c r="AL183" s="123"/>
      <c r="AM183" s="285"/>
      <c r="AN183" s="155">
        <f>SUM(Transfer!AD136,Transfer!AD137,Transfer!AD138,Transfer!AD142,Transfer!AD143,Transfer!AD144)</f>
        <v>767.98260000000016</v>
      </c>
      <c r="AO183" s="155">
        <f>100*((SUM(Transfer!AD136,Transfer!AD137,Transfer!AD138,Transfer!AD142,Transfer!AD143,Transfer!AD144)/SUM(Transfer!AC136,Transfer!AC137,Transfer!AC138,Transfer!AC142,Transfer!AC143,Transfer!AC144))-1)</f>
        <v>4.2959638856178817</v>
      </c>
      <c r="AP183" s="155">
        <f>SUM(Transfer!AE136,Transfer!AE137,Transfer!AE138,Transfer!AE142,Transfer!AE143,Transfer!AE144)</f>
        <v>804.1825</v>
      </c>
      <c r="AQ183" s="155">
        <f>100*((SUM(Transfer!AE136,Transfer!AE137,Transfer!AE138,Transfer!AE142,Transfer!AE143,Transfer!AE144)/SUM(Transfer!AD136,Transfer!AD137,Transfer!AD138,Transfer!AD142,Transfer!AD143,Transfer!AD144))-1)</f>
        <v>4.7136354391362323</v>
      </c>
      <c r="AR183" s="155">
        <f>SUM(Transfer!AF136,Transfer!AF137,Transfer!AF138,Transfer!AF142,Transfer!AF143,Transfer!AF144)</f>
        <v>841.37237776668997</v>
      </c>
      <c r="AS183" s="155">
        <f>100*((SUM(Transfer!AF136,Transfer!AF137,Transfer!AF138,Transfer!AF142,Transfer!AF143,Transfer!AF144)/SUM(Transfer!AE136,Transfer!AE137,Transfer!AE138,Transfer!AE142,Transfer!AE143,Transfer!AE144))-1)</f>
        <v>4.6245569589850488</v>
      </c>
      <c r="AT183" s="155">
        <f>SUM(Transfer!AG136,Transfer!AG137,Transfer!AG138,Transfer!AG142,Transfer!AG143,Transfer!AG144)</f>
        <v>878.27826962068582</v>
      </c>
      <c r="AU183" s="284">
        <f>100*((SUM(Transfer!AG136,Transfer!AG137,Transfer!AG138,Transfer!AG142,Transfer!AG143,Transfer!AG144)/SUM(Transfer!AF136,Transfer!AF137,Transfer!AF138,Transfer!AF142,Transfer!AF143,Transfer!AF144))-1)</f>
        <v>4.3863921408921813</v>
      </c>
      <c r="AV183" s="85"/>
      <c r="AW183" s="156"/>
      <c r="AX183" s="54"/>
      <c r="AY183" s="54"/>
      <c r="AZ183" s="54"/>
      <c r="BA183" s="1622" t="s">
        <v>2113</v>
      </c>
      <c r="BB183" s="54"/>
      <c r="BC183" s="54"/>
    </row>
    <row r="184" spans="1:55">
      <c r="A184" s="45"/>
      <c r="B184" s="2493"/>
      <c r="C184" s="2506" t="s">
        <v>1180</v>
      </c>
      <c r="D184" s="2507"/>
      <c r="E184" s="2380" t="s">
        <v>1790</v>
      </c>
      <c r="F184" s="2336">
        <f ca="1">SUM(Transfer!D145,Transfer!D146)</f>
        <v>344.93420000000003</v>
      </c>
      <c r="G184" s="2336">
        <f ca="1">100*((SUM(Transfer!D145,Transfer!D146)/SUM(Transfer!C145,Transfer!C146))-1)</f>
        <v>5.8359242512060705</v>
      </c>
      <c r="H184" s="80">
        <f ca="1">SUM(Transfer!E145,Transfer!E146)</f>
        <v>365.69800000000004</v>
      </c>
      <c r="I184" s="91">
        <f ca="1">100*((SUM(Transfer!E145,Transfer!E146)/SUM(Transfer!D145,Transfer!D146))-1)</f>
        <v>6.0196408474427976</v>
      </c>
      <c r="J184" s="2326">
        <f ca="1">SUM(Transfer!F145,Transfer!F146)</f>
        <v>387.99940572450004</v>
      </c>
      <c r="K184" s="2336">
        <f ca="1">100*((SUM(Transfer!F145,Transfer!F146)/SUM(Transfer!E145,Transfer!E146))-1)</f>
        <v>6.0983121932578266</v>
      </c>
      <c r="L184" s="2326">
        <f ca="1">SUM(Transfer!G145,Transfer!G146)</f>
        <v>409.12719078989943</v>
      </c>
      <c r="M184" s="2338">
        <f ca="1">100*((SUM(Transfer!G145,Transfer!G146)/SUM(Transfer!F145,Transfer!F146))-1)</f>
        <v>5.4453137694755238</v>
      </c>
      <c r="N184" s="2328"/>
      <c r="O184" s="149"/>
      <c r="P184" s="54"/>
      <c r="Q184" s="54"/>
      <c r="R184" s="54"/>
      <c r="S184" s="277"/>
      <c r="T184" s="286" t="s">
        <v>1180</v>
      </c>
      <c r="U184" s="287"/>
      <c r="V184" s="180" t="s">
        <v>1790</v>
      </c>
      <c r="W184" s="1991">
        <f t="shared" ca="1" si="12"/>
        <v>0</v>
      </c>
      <c r="X184" s="1991">
        <f t="shared" ca="1" si="12"/>
        <v>0</v>
      </c>
      <c r="Y184" s="1991">
        <f t="shared" ca="1" si="12"/>
        <v>0</v>
      </c>
      <c r="Z184" s="1991">
        <f t="shared" ca="1" si="12"/>
        <v>0</v>
      </c>
      <c r="AA184" s="1991">
        <f t="shared" ca="1" si="12"/>
        <v>0</v>
      </c>
      <c r="AB184" s="1991">
        <f t="shared" ca="1" si="12"/>
        <v>0</v>
      </c>
      <c r="AC184" s="1991">
        <f t="shared" ca="1" si="12"/>
        <v>-9.9999999999965894E-2</v>
      </c>
      <c r="AD184" s="1993">
        <f t="shared" ca="1" si="12"/>
        <v>-9.9999999999999645E-2</v>
      </c>
      <c r="AE184" s="82"/>
      <c r="AF184" s="45"/>
      <c r="AG184" s="45"/>
      <c r="AH184" s="45"/>
      <c r="AI184" s="45"/>
      <c r="AJ184" s="277"/>
      <c r="AK184" s="286" t="s">
        <v>1180</v>
      </c>
      <c r="AL184" s="287"/>
      <c r="AM184" s="180" t="s">
        <v>1790</v>
      </c>
      <c r="AN184" s="91">
        <f>SUM(Transfer!AD145,Transfer!AD146)</f>
        <v>344.93420000000003</v>
      </c>
      <c r="AO184" s="91">
        <f>100*((SUM(Transfer!AD145,Transfer!AD146)/SUM(Transfer!AC145,Transfer!AC146))-1)</f>
        <v>5.8359242512060705</v>
      </c>
      <c r="AP184" s="80">
        <f>SUM(Transfer!AE145,Transfer!AE146)</f>
        <v>365.69800000000004</v>
      </c>
      <c r="AQ184" s="91">
        <f>100*((SUM(Transfer!AE145,Transfer!AE146)/SUM(Transfer!AD145,Transfer!AD146))-1)</f>
        <v>6.0196408474427976</v>
      </c>
      <c r="AR184" s="80">
        <f>SUM(Transfer!AF145,Transfer!AF146)</f>
        <v>387.99940572450004</v>
      </c>
      <c r="AS184" s="91">
        <f>100*((SUM(Transfer!AF145,Transfer!AF146)/SUM(Transfer!AE145,Transfer!AE146))-1)</f>
        <v>6.0983121932578266</v>
      </c>
      <c r="AT184" s="80">
        <f>SUM(Transfer!AG145,Transfer!AG146)</f>
        <v>409.18390865939358</v>
      </c>
      <c r="AU184" s="93">
        <f>100*((SUM(Transfer!AG145,Transfer!AG146)/SUM(Transfer!AF145,Transfer!AF146))-1)</f>
        <v>5.4599317994666441</v>
      </c>
      <c r="AV184" s="82"/>
      <c r="AW184" s="149"/>
      <c r="AX184" s="54"/>
      <c r="AY184" s="54"/>
      <c r="AZ184" s="54"/>
      <c r="BA184" s="1622" t="s">
        <v>2114</v>
      </c>
      <c r="BB184" s="54"/>
      <c r="BC184" s="54"/>
    </row>
    <row r="185" spans="1:55">
      <c r="A185" s="45"/>
      <c r="B185" s="1583"/>
      <c r="C185" s="2508" t="s">
        <v>390</v>
      </c>
      <c r="D185" s="2309"/>
      <c r="E185" s="2380" t="s">
        <v>391</v>
      </c>
      <c r="F185" s="2336">
        <f ca="1">Transfer!D145</f>
        <v>247.03370000000001</v>
      </c>
      <c r="G185" s="2336">
        <f ca="1">100*((Transfer!D145/Transfer!C145)-1)</f>
        <v>7.5779877560725462</v>
      </c>
      <c r="H185" s="92">
        <f ca="1">Transfer!E145</f>
        <v>264.52190000000002</v>
      </c>
      <c r="I185" s="91">
        <f ca="1">100*((Transfer!E145/Transfer!D145)-1)</f>
        <v>7.0792770379102254</v>
      </c>
      <c r="J185" s="2337">
        <f ca="1">Transfer!F145</f>
        <v>281.05980918800003</v>
      </c>
      <c r="K185" s="2336">
        <f ca="1">100*((Transfer!F145/Transfer!E145)-1)</f>
        <v>6.2520000000000131</v>
      </c>
      <c r="L185" s="2337">
        <f ca="1">Transfer!G145</f>
        <v>297.28671295352643</v>
      </c>
      <c r="M185" s="2338">
        <f ca="1">100*((Transfer!G145/Transfer!F145)-1)</f>
        <v>5.7734699999999917</v>
      </c>
      <c r="N185" s="2328"/>
      <c r="O185" s="149"/>
      <c r="P185" s="54"/>
      <c r="Q185" s="54"/>
      <c r="R185" s="54"/>
      <c r="S185" s="276"/>
      <c r="T185" s="288" t="s">
        <v>390</v>
      </c>
      <c r="U185" s="129"/>
      <c r="V185" s="180" t="s">
        <v>391</v>
      </c>
      <c r="W185" s="1991">
        <f t="shared" ca="1" si="12"/>
        <v>0</v>
      </c>
      <c r="X185" s="1991">
        <f t="shared" ca="1" si="12"/>
        <v>0</v>
      </c>
      <c r="Y185" s="1991">
        <f t="shared" ca="1" si="12"/>
        <v>0</v>
      </c>
      <c r="Z185" s="1991">
        <f t="shared" ca="1" si="12"/>
        <v>0</v>
      </c>
      <c r="AA185" s="1991">
        <f t="shared" ca="1" si="12"/>
        <v>0</v>
      </c>
      <c r="AB185" s="1991">
        <f t="shared" ca="1" si="12"/>
        <v>0</v>
      </c>
      <c r="AC185" s="1991">
        <f t="shared" ca="1" si="12"/>
        <v>0</v>
      </c>
      <c r="AD185" s="1993">
        <f t="shared" ca="1" si="12"/>
        <v>0</v>
      </c>
      <c r="AE185" s="82"/>
      <c r="AF185" s="45"/>
      <c r="AG185" s="45"/>
      <c r="AH185" s="45"/>
      <c r="AI185" s="45"/>
      <c r="AJ185" s="276"/>
      <c r="AK185" s="288" t="s">
        <v>390</v>
      </c>
      <c r="AL185" s="129"/>
      <c r="AM185" s="180" t="s">
        <v>391</v>
      </c>
      <c r="AN185" s="91">
        <f>Transfer!AD145</f>
        <v>247.03370000000001</v>
      </c>
      <c r="AO185" s="91">
        <f>100*((Transfer!AD145/Transfer!AC145)-1)</f>
        <v>7.5779877560725462</v>
      </c>
      <c r="AP185" s="92">
        <f>Transfer!AE145</f>
        <v>264.52190000000002</v>
      </c>
      <c r="AQ185" s="91">
        <f>100*((Transfer!AE145/Transfer!AD145)-1)</f>
        <v>7.0792770379102254</v>
      </c>
      <c r="AR185" s="92">
        <f>Transfer!AF145</f>
        <v>281.05980918800003</v>
      </c>
      <c r="AS185" s="91">
        <f>100*((Transfer!AF145/Transfer!AE145)-1)</f>
        <v>6.2520000000000131</v>
      </c>
      <c r="AT185" s="92">
        <f>Transfer!AG145</f>
        <v>297.34343082302058</v>
      </c>
      <c r="AU185" s="93">
        <f>100*((Transfer!AG145/Transfer!AF145)-1)</f>
        <v>5.7936500000000057</v>
      </c>
      <c r="AV185" s="82"/>
      <c r="AW185" s="149"/>
      <c r="AX185" s="54"/>
      <c r="AY185" s="54"/>
      <c r="AZ185" s="54"/>
      <c r="BA185" s="1622" t="s">
        <v>291</v>
      </c>
      <c r="BB185" s="54"/>
      <c r="BC185" s="54"/>
    </row>
    <row r="186" spans="1:55">
      <c r="A186" s="45"/>
      <c r="B186" s="1583"/>
      <c r="C186" s="2508" t="s">
        <v>489</v>
      </c>
      <c r="D186" s="2309"/>
      <c r="E186" s="2380" t="s">
        <v>392</v>
      </c>
      <c r="F186" s="2336">
        <f ca="1">Transfer!D146</f>
        <v>97.900499999999994</v>
      </c>
      <c r="G186" s="2336">
        <f ca="1">100*((Transfer!D146/Transfer!C146)-1)</f>
        <v>1.681105171376962</v>
      </c>
      <c r="H186" s="92">
        <f ca="1">Transfer!E146</f>
        <v>101.17610000000001</v>
      </c>
      <c r="I186" s="91">
        <f ca="1">100*((Transfer!E146/Transfer!D146)-1)</f>
        <v>3.3458460375585641</v>
      </c>
      <c r="J186" s="2337">
        <f ca="1">Transfer!F146</f>
        <v>106.93959653650001</v>
      </c>
      <c r="K186" s="2336">
        <f ca="1">100*((Transfer!F146/Transfer!E146)-1)</f>
        <v>5.6964999999999932</v>
      </c>
      <c r="L186" s="2337">
        <f ca="1">Transfer!G146</f>
        <v>111.84047783637298</v>
      </c>
      <c r="M186" s="2338">
        <f ca="1">100*((Transfer!G146/Transfer!F146)-1)</f>
        <v>4.5828499999999828</v>
      </c>
      <c r="N186" s="2328"/>
      <c r="O186" s="149"/>
      <c r="P186" s="54"/>
      <c r="Q186" s="54"/>
      <c r="R186" s="54"/>
      <c r="S186" s="276"/>
      <c r="T186" s="288" t="s">
        <v>489</v>
      </c>
      <c r="U186" s="129"/>
      <c r="V186" s="180" t="s">
        <v>392</v>
      </c>
      <c r="W186" s="1991">
        <f t="shared" ca="1" si="12"/>
        <v>0</v>
      </c>
      <c r="X186" s="1991">
        <f t="shared" ca="1" si="12"/>
        <v>0</v>
      </c>
      <c r="Y186" s="1991">
        <f t="shared" ca="1" si="12"/>
        <v>0</v>
      </c>
      <c r="Z186" s="1991">
        <f t="shared" ca="1" si="12"/>
        <v>0</v>
      </c>
      <c r="AA186" s="1991">
        <f t="shared" ca="1" si="12"/>
        <v>0</v>
      </c>
      <c r="AB186" s="1991">
        <f t="shared" ca="1" si="12"/>
        <v>0</v>
      </c>
      <c r="AC186" s="1991">
        <f t="shared" ca="1" si="12"/>
        <v>0</v>
      </c>
      <c r="AD186" s="1993">
        <f t="shared" ca="1" si="12"/>
        <v>0</v>
      </c>
      <c r="AE186" s="82"/>
      <c r="AF186" s="45"/>
      <c r="AG186" s="45"/>
      <c r="AH186" s="45"/>
      <c r="AI186" s="45"/>
      <c r="AJ186" s="276"/>
      <c r="AK186" s="288" t="s">
        <v>489</v>
      </c>
      <c r="AL186" s="129"/>
      <c r="AM186" s="180" t="s">
        <v>392</v>
      </c>
      <c r="AN186" s="91">
        <f>Transfer!AD146</f>
        <v>97.900499999999994</v>
      </c>
      <c r="AO186" s="91">
        <f>100*((Transfer!AD146/Transfer!AC146)-1)</f>
        <v>1.681105171376962</v>
      </c>
      <c r="AP186" s="92">
        <f>Transfer!AE146</f>
        <v>101.17610000000001</v>
      </c>
      <c r="AQ186" s="91">
        <f>100*((Transfer!AE146/Transfer!AD146)-1)</f>
        <v>3.3458460375585641</v>
      </c>
      <c r="AR186" s="92">
        <f>Transfer!AF146</f>
        <v>106.93959653650001</v>
      </c>
      <c r="AS186" s="91">
        <f>100*((Transfer!AF146/Transfer!AE146)-1)</f>
        <v>5.6964999999999932</v>
      </c>
      <c r="AT186" s="92">
        <f>Transfer!AG146</f>
        <v>111.84047783637298</v>
      </c>
      <c r="AU186" s="93">
        <f>100*((Transfer!AG146/Transfer!AF146)-1)</f>
        <v>4.5828499999999828</v>
      </c>
      <c r="AV186" s="82"/>
      <c r="AW186" s="149"/>
      <c r="AX186" s="54"/>
      <c r="AY186" s="54"/>
      <c r="AZ186" s="54"/>
      <c r="BA186" s="1622" t="s">
        <v>1218</v>
      </c>
      <c r="BB186" s="54"/>
      <c r="BC186" s="54"/>
    </row>
    <row r="187" spans="1:55">
      <c r="A187" s="45"/>
      <c r="B187" s="2493"/>
      <c r="C187" s="2419" t="s">
        <v>1316</v>
      </c>
      <c r="D187" s="2420"/>
      <c r="E187" s="2509" t="s">
        <v>394</v>
      </c>
      <c r="F187" s="2510">
        <f ca="1">Transfer!D147</f>
        <v>423.04840000000002</v>
      </c>
      <c r="G187" s="2510">
        <f ca="1">100*((Transfer!D147/Transfer!C147)-1)</f>
        <v>3.0731282307170593</v>
      </c>
      <c r="H187" s="155">
        <f ca="1">Transfer!E147</f>
        <v>438.4846</v>
      </c>
      <c r="I187" s="155">
        <f ca="1">100*((Transfer!E147/Transfer!D147)-1)</f>
        <v>3.6488023592572416</v>
      </c>
      <c r="J187" s="2502">
        <f ca="1">Transfer!F147</f>
        <v>453.37297204218987</v>
      </c>
      <c r="K187" s="2502">
        <f ca="1">100*((Transfer!F147/Transfer!E147)-1)</f>
        <v>3.3954150367401459</v>
      </c>
      <c r="L187" s="2502">
        <f ca="1">Transfer!G147</f>
        <v>469.04097271311014</v>
      </c>
      <c r="M187" s="2504">
        <f ca="1">100*((Transfer!G147/Transfer!F147)-1)</f>
        <v>3.4558744427010568</v>
      </c>
      <c r="N187" s="2332"/>
      <c r="O187" s="156"/>
      <c r="P187" s="54"/>
      <c r="Q187" s="54"/>
      <c r="R187" s="54"/>
      <c r="S187" s="277"/>
      <c r="T187" s="209" t="s">
        <v>1316</v>
      </c>
      <c r="U187" s="210"/>
      <c r="V187" s="290" t="s">
        <v>394</v>
      </c>
      <c r="W187" s="1994">
        <f t="shared" ca="1" si="12"/>
        <v>0</v>
      </c>
      <c r="X187" s="1994">
        <f t="shared" ca="1" si="12"/>
        <v>0</v>
      </c>
      <c r="Y187" s="1994">
        <f t="shared" ca="1" si="12"/>
        <v>0</v>
      </c>
      <c r="Z187" s="1994">
        <f t="shared" ca="1" si="12"/>
        <v>0</v>
      </c>
      <c r="AA187" s="1994">
        <f t="shared" ca="1" si="12"/>
        <v>0</v>
      </c>
      <c r="AB187" s="1994">
        <f t="shared" ca="1" si="12"/>
        <v>0</v>
      </c>
      <c r="AC187" s="1994">
        <f t="shared" ca="1" si="12"/>
        <v>-0.10000000000002274</v>
      </c>
      <c r="AD187" s="1995">
        <f t="shared" ca="1" si="12"/>
        <v>0</v>
      </c>
      <c r="AE187" s="85"/>
      <c r="AF187" s="45"/>
      <c r="AG187" s="45"/>
      <c r="AH187" s="45"/>
      <c r="AI187" s="45"/>
      <c r="AJ187" s="277"/>
      <c r="AK187" s="209" t="s">
        <v>1316</v>
      </c>
      <c r="AL187" s="210"/>
      <c r="AM187" s="290" t="s">
        <v>394</v>
      </c>
      <c r="AN187" s="291">
        <f>Transfer!AD147</f>
        <v>423.04840000000002</v>
      </c>
      <c r="AO187" s="291">
        <f>100*((Transfer!AD147/Transfer!AC147)-1)</f>
        <v>3.0731282307170593</v>
      </c>
      <c r="AP187" s="155">
        <f>Transfer!AE147</f>
        <v>438.4846</v>
      </c>
      <c r="AQ187" s="155">
        <f>100*((Transfer!AE147/Transfer!AD147)-1)</f>
        <v>3.6488023592572416</v>
      </c>
      <c r="AR187" s="155">
        <f>Transfer!AF147</f>
        <v>453.37297204218987</v>
      </c>
      <c r="AS187" s="155">
        <f>100*((Transfer!AF147/Transfer!AE147)-1)</f>
        <v>3.3954150367401459</v>
      </c>
      <c r="AT187" s="155">
        <f>Transfer!AG147</f>
        <v>469.09436096129213</v>
      </c>
      <c r="AU187" s="284">
        <f>100*((Transfer!AG147/Transfer!AF147)-1)</f>
        <v>3.4676502324975989</v>
      </c>
      <c r="AV187" s="85"/>
      <c r="AW187" s="156"/>
      <c r="AX187" s="54"/>
      <c r="AY187" s="54"/>
      <c r="AZ187" s="54"/>
      <c r="BA187" s="1622" t="s">
        <v>140</v>
      </c>
      <c r="BB187" s="54"/>
      <c r="BC187" s="54"/>
    </row>
    <row r="188" spans="1:55">
      <c r="A188" s="45"/>
      <c r="B188" s="2511"/>
      <c r="C188" s="2508" t="s">
        <v>808</v>
      </c>
      <c r="D188" s="2309"/>
      <c r="E188" s="2497" t="s">
        <v>141</v>
      </c>
      <c r="F188" s="2325">
        <f ca="1">(SUM(Transfer!D143,Transfer!D144)-SUM(Transfer!D145,Transfer!D146))</f>
        <v>5.6251999999999498</v>
      </c>
      <c r="G188" s="2498"/>
      <c r="H188" s="79">
        <f ca="1">(SUM(Transfer!E143,Transfer!E144)-SUM(Transfer!E145,Transfer!E146))</f>
        <v>5.6877999999999247</v>
      </c>
      <c r="I188" s="279"/>
      <c r="J188" s="2325">
        <f ca="1">(SUM(Transfer!F143,Transfer!F144)-SUM(Transfer!F145,Transfer!F146))</f>
        <v>5.746249499399994</v>
      </c>
      <c r="K188" s="2498"/>
      <c r="L188" s="2325">
        <f ca="1">(SUM(Transfer!G143,Transfer!G144)-SUM(Transfer!G145,Transfer!G146))</f>
        <v>7.0846411474573756</v>
      </c>
      <c r="M188" s="2512"/>
      <c r="N188" s="2501"/>
      <c r="O188" s="149"/>
      <c r="P188" s="54"/>
      <c r="Q188" s="54"/>
      <c r="R188" s="54"/>
      <c r="S188" s="292"/>
      <c r="T188" s="288" t="s">
        <v>808</v>
      </c>
      <c r="U188" s="129"/>
      <c r="V188" s="160" t="s">
        <v>141</v>
      </c>
      <c r="W188" s="1991">
        <f t="shared" ca="1" si="12"/>
        <v>0</v>
      </c>
      <c r="X188" s="1996">
        <f t="shared" si="12"/>
        <v>0</v>
      </c>
      <c r="Y188" s="1991">
        <f t="shared" ca="1" si="12"/>
        <v>0</v>
      </c>
      <c r="Z188" s="1996">
        <f t="shared" si="12"/>
        <v>0</v>
      </c>
      <c r="AA188" s="1991">
        <f t="shared" ca="1" si="12"/>
        <v>0</v>
      </c>
      <c r="AB188" s="1996">
        <f t="shared" si="12"/>
        <v>0</v>
      </c>
      <c r="AC188" s="1991">
        <f t="shared" ca="1" si="12"/>
        <v>0</v>
      </c>
      <c r="AD188" s="1997">
        <f t="shared" si="12"/>
        <v>0</v>
      </c>
      <c r="AE188" s="282"/>
      <c r="AF188" s="45"/>
      <c r="AG188" s="45"/>
      <c r="AH188" s="45"/>
      <c r="AI188" s="45"/>
      <c r="AJ188" s="292"/>
      <c r="AK188" s="288" t="s">
        <v>808</v>
      </c>
      <c r="AL188" s="129"/>
      <c r="AM188" s="160" t="s">
        <v>141</v>
      </c>
      <c r="AN188" s="79">
        <f>(SUM(Transfer!AD143,Transfer!AD144)-SUM(Transfer!AD145,Transfer!AD146))</f>
        <v>5.6251999999999498</v>
      </c>
      <c r="AO188" s="279"/>
      <c r="AP188" s="79">
        <f>(SUM(Transfer!AE143,Transfer!AE144)-SUM(Transfer!AE145,Transfer!AE146))</f>
        <v>5.6877999999999247</v>
      </c>
      <c r="AQ188" s="279"/>
      <c r="AR188" s="79">
        <f>(SUM(Transfer!AF143,Transfer!AF144)-SUM(Transfer!AF145,Transfer!AF146))</f>
        <v>5.746249499399994</v>
      </c>
      <c r="AS188" s="279"/>
      <c r="AT188" s="79">
        <f>(SUM(Transfer!AG143,Transfer!AG144)-SUM(Transfer!AG145,Transfer!AG146))</f>
        <v>7.1380293956393643</v>
      </c>
      <c r="AU188" s="293"/>
      <c r="AV188" s="282"/>
      <c r="AW188" s="149"/>
      <c r="AX188" s="54"/>
      <c r="AY188" s="54"/>
      <c r="AZ188" s="54"/>
      <c r="BA188" s="1622" t="s">
        <v>601</v>
      </c>
      <c r="BB188" s="54"/>
      <c r="BC188" s="54"/>
    </row>
    <row r="189" spans="1:55">
      <c r="A189" s="45"/>
      <c r="B189" s="1575"/>
      <c r="C189" s="2508" t="s">
        <v>809</v>
      </c>
      <c r="D189" s="2398"/>
      <c r="E189" s="2329"/>
      <c r="F189" s="2513">
        <f ca="1">(Transfer!D143-Transfer!D145)</f>
        <v>1.1313999999999851</v>
      </c>
      <c r="G189" s="2514"/>
      <c r="H189" s="295">
        <f ca="1">(Transfer!E143-Transfer!E145)</f>
        <v>3.8841999999999643</v>
      </c>
      <c r="I189" s="296"/>
      <c r="J189" s="2513">
        <f ca="1">(Transfer!F143-Transfer!F145)</f>
        <v>4.0999311678999675</v>
      </c>
      <c r="K189" s="2514"/>
      <c r="L189" s="2513">
        <f ca="1">(Transfer!G143-Transfer!G145)</f>
        <v>4.1945443652799668</v>
      </c>
      <c r="M189" s="2515"/>
      <c r="N189" s="2516"/>
      <c r="O189" s="50"/>
      <c r="P189" s="54"/>
      <c r="Q189" s="54"/>
      <c r="R189" s="54"/>
      <c r="S189" s="189"/>
      <c r="T189" s="288" t="s">
        <v>809</v>
      </c>
      <c r="U189" s="29"/>
      <c r="V189" s="294"/>
      <c r="W189" s="1991">
        <f t="shared" ca="1" si="12"/>
        <v>0</v>
      </c>
      <c r="X189" s="1998">
        <f t="shared" si="12"/>
        <v>0</v>
      </c>
      <c r="Y189" s="1991">
        <f t="shared" ca="1" si="12"/>
        <v>0</v>
      </c>
      <c r="Z189" s="1998">
        <f t="shared" si="12"/>
        <v>0</v>
      </c>
      <c r="AA189" s="1991">
        <f t="shared" ca="1" si="12"/>
        <v>0</v>
      </c>
      <c r="AB189" s="1998">
        <f t="shared" si="12"/>
        <v>0</v>
      </c>
      <c r="AC189" s="1991">
        <f t="shared" ca="1" si="12"/>
        <v>0.10000000000000053</v>
      </c>
      <c r="AD189" s="1999">
        <f t="shared" si="12"/>
        <v>0</v>
      </c>
      <c r="AE189" s="298"/>
      <c r="AF189" s="45"/>
      <c r="AG189" s="45"/>
      <c r="AH189" s="45"/>
      <c r="AI189" s="45"/>
      <c r="AJ189" s="189"/>
      <c r="AK189" s="288" t="s">
        <v>809</v>
      </c>
      <c r="AL189" s="29"/>
      <c r="AM189" s="294"/>
      <c r="AN189" s="295">
        <f>(Transfer!AD143-Transfer!AD145)</f>
        <v>1.1313999999999851</v>
      </c>
      <c r="AO189" s="296"/>
      <c r="AP189" s="295">
        <f>(Transfer!AE143-Transfer!AE145)</f>
        <v>3.8841999999999643</v>
      </c>
      <c r="AQ189" s="296"/>
      <c r="AR189" s="295">
        <f>(Transfer!AF143-Transfer!AF145)</f>
        <v>4.0999311678999675</v>
      </c>
      <c r="AS189" s="296"/>
      <c r="AT189" s="295">
        <f>(Transfer!AG143-Transfer!AG145)</f>
        <v>4.1378264957858164</v>
      </c>
      <c r="AU189" s="297"/>
      <c r="AV189" s="298"/>
      <c r="AW189" s="50"/>
      <c r="AX189" s="54"/>
      <c r="AY189" s="54"/>
      <c r="AZ189" s="54"/>
      <c r="BA189" s="1622" t="s">
        <v>602</v>
      </c>
      <c r="BB189" s="54"/>
      <c r="BC189" s="54"/>
    </row>
    <row r="190" spans="1:55">
      <c r="A190" s="45"/>
      <c r="B190" s="1902"/>
      <c r="C190" s="2517" t="s">
        <v>810</v>
      </c>
      <c r="D190" s="2428"/>
      <c r="E190" s="2518"/>
      <c r="F190" s="2519">
        <f ca="1">(Transfer!D144-Transfer!D146)</f>
        <v>4.4938000000000073</v>
      </c>
      <c r="G190" s="2520"/>
      <c r="H190" s="301">
        <f ca="1">(Transfer!E144-Transfer!E146)</f>
        <v>1.8035999999999888</v>
      </c>
      <c r="I190" s="302"/>
      <c r="J190" s="2519">
        <f ca="1">(Transfer!F144-Transfer!F146)</f>
        <v>1.6463183314999981</v>
      </c>
      <c r="K190" s="2520"/>
      <c r="L190" s="2519">
        <f ca="1">(Transfer!G144-Transfer!G146)</f>
        <v>2.8900967821774088</v>
      </c>
      <c r="M190" s="2521"/>
      <c r="N190" s="2516"/>
      <c r="O190" s="50"/>
      <c r="P190" s="54"/>
      <c r="Q190" s="54"/>
      <c r="R190" s="54"/>
      <c r="S190" s="260"/>
      <c r="T190" s="299" t="s">
        <v>810</v>
      </c>
      <c r="U190" s="256"/>
      <c r="V190" s="300"/>
      <c r="W190" s="1994">
        <f t="shared" ca="1" si="12"/>
        <v>0</v>
      </c>
      <c r="X190" s="2000">
        <f t="shared" si="12"/>
        <v>0</v>
      </c>
      <c r="Y190" s="1994">
        <f t="shared" ca="1" si="12"/>
        <v>0</v>
      </c>
      <c r="Z190" s="2000">
        <f t="shared" si="12"/>
        <v>0</v>
      </c>
      <c r="AA190" s="1994">
        <f t="shared" ca="1" si="12"/>
        <v>0</v>
      </c>
      <c r="AB190" s="2000">
        <f t="shared" si="12"/>
        <v>0</v>
      </c>
      <c r="AC190" s="1994">
        <f t="shared" ca="1" si="12"/>
        <v>-0.10000000000000009</v>
      </c>
      <c r="AD190" s="2001">
        <f t="shared" si="12"/>
        <v>0</v>
      </c>
      <c r="AE190" s="298"/>
      <c r="AF190" s="45"/>
      <c r="AG190" s="45"/>
      <c r="AH190" s="45"/>
      <c r="AI190" s="45"/>
      <c r="AJ190" s="260"/>
      <c r="AK190" s="299" t="s">
        <v>810</v>
      </c>
      <c r="AL190" s="256"/>
      <c r="AM190" s="300"/>
      <c r="AN190" s="301">
        <f>(Transfer!AD144-Transfer!AD146)</f>
        <v>4.4938000000000073</v>
      </c>
      <c r="AO190" s="302"/>
      <c r="AP190" s="301">
        <f>(Transfer!AE144-Transfer!AE146)</f>
        <v>1.8035999999999888</v>
      </c>
      <c r="AQ190" s="302"/>
      <c r="AR190" s="301">
        <f>(Transfer!AF144-Transfer!AF146)</f>
        <v>1.6463183314999981</v>
      </c>
      <c r="AS190" s="302"/>
      <c r="AT190" s="301">
        <f>(Transfer!AG144-Transfer!AG146)</f>
        <v>3.0002028998535479</v>
      </c>
      <c r="AU190" s="303"/>
      <c r="AV190" s="298"/>
      <c r="AW190" s="50"/>
      <c r="AX190" s="54"/>
      <c r="AY190" s="54"/>
      <c r="AZ190" s="54"/>
      <c r="BA190" s="1622" t="s">
        <v>603</v>
      </c>
      <c r="BB190" s="54"/>
      <c r="BC190" s="54"/>
    </row>
    <row r="191" spans="1:55">
      <c r="A191" s="45"/>
      <c r="B191" s="1902"/>
      <c r="C191" s="2421" t="s">
        <v>604</v>
      </c>
      <c r="D191" s="2309"/>
      <c r="E191" s="2522" t="s">
        <v>1651</v>
      </c>
      <c r="F191" s="2341">
        <f ca="1">Transfer!D240</f>
        <v>2.692900000000003</v>
      </c>
      <c r="G191" s="2341"/>
      <c r="H191" s="96">
        <f ca="1">Transfer!E240</f>
        <v>3.6839955277492145</v>
      </c>
      <c r="I191" s="96"/>
      <c r="J191" s="2341">
        <f ca="1">Transfer!F240</f>
        <v>4.3135151179095921</v>
      </c>
      <c r="K191" s="2341"/>
      <c r="L191" s="2341">
        <f ca="1">Transfer!G240</f>
        <v>4.3841903318123805</v>
      </c>
      <c r="M191" s="2343"/>
      <c r="N191" s="2328"/>
      <c r="O191" s="149"/>
      <c r="P191" s="54"/>
      <c r="Q191" s="54"/>
      <c r="R191" s="54"/>
      <c r="S191" s="260"/>
      <c r="T191" s="178" t="s">
        <v>604</v>
      </c>
      <c r="U191" s="63"/>
      <c r="V191" s="304" t="s">
        <v>1651</v>
      </c>
      <c r="W191" s="2002">
        <f t="shared" ca="1" si="12"/>
        <v>0</v>
      </c>
      <c r="X191" s="2002">
        <f t="shared" si="12"/>
        <v>0</v>
      </c>
      <c r="Y191" s="2002">
        <f t="shared" ca="1" si="12"/>
        <v>0</v>
      </c>
      <c r="Z191" s="2002">
        <f t="shared" si="12"/>
        <v>0</v>
      </c>
      <c r="AA191" s="2002">
        <f t="shared" ca="1" si="12"/>
        <v>0</v>
      </c>
      <c r="AB191" s="2002">
        <f t="shared" si="12"/>
        <v>0</v>
      </c>
      <c r="AC191" s="2002">
        <f t="shared" ca="1" si="12"/>
        <v>-9.9999999999999645E-2</v>
      </c>
      <c r="AD191" s="1995">
        <f t="shared" si="12"/>
        <v>0</v>
      </c>
      <c r="AE191" s="82"/>
      <c r="AF191" s="45"/>
      <c r="AG191" s="45"/>
      <c r="AH191" s="45"/>
      <c r="AI191" s="45"/>
      <c r="AJ191" s="260"/>
      <c r="AK191" s="178" t="s">
        <v>604</v>
      </c>
      <c r="AL191" s="63"/>
      <c r="AM191" s="304" t="s">
        <v>1651</v>
      </c>
      <c r="AN191" s="96">
        <f>Transfer!AD240</f>
        <v>2.692900000000003</v>
      </c>
      <c r="AO191" s="96"/>
      <c r="AP191" s="96">
        <f>Transfer!AE240</f>
        <v>3.6839955277492145</v>
      </c>
      <c r="AQ191" s="96"/>
      <c r="AR191" s="96">
        <f>Transfer!AF240</f>
        <v>4.3490657267776198</v>
      </c>
      <c r="AS191" s="96"/>
      <c r="AT191" s="96">
        <f>Transfer!AG240</f>
        <v>4.4889842090092031</v>
      </c>
      <c r="AU191" s="98"/>
      <c r="AV191" s="82"/>
      <c r="AW191" s="149"/>
      <c r="AX191" s="54"/>
      <c r="AY191" s="54"/>
      <c r="AZ191" s="54"/>
      <c r="BA191" s="1622" t="s">
        <v>1652</v>
      </c>
      <c r="BB191" s="54"/>
      <c r="BC191" s="54"/>
    </row>
    <row r="192" spans="1:55" ht="13.8" thickBot="1">
      <c r="A192" s="45"/>
      <c r="B192" s="1902"/>
      <c r="C192" s="2523" t="s">
        <v>1618</v>
      </c>
      <c r="D192" s="2524"/>
      <c r="E192" s="2525" t="s">
        <v>1653</v>
      </c>
      <c r="F192" s="2526">
        <f ca="1">SUM(Transfer!D147,Transfer!D240)</f>
        <v>425.74130000000002</v>
      </c>
      <c r="G192" s="2526">
        <f ca="1">100*((SUM(Transfer!D147,Transfer!D240)/SUM(Transfer!C147,Transfer!C240))-1)</f>
        <v>3.9659263180926718</v>
      </c>
      <c r="H192" s="307">
        <f ca="1">SUM(Transfer!E147,Transfer!E240)</f>
        <v>442.16859552774923</v>
      </c>
      <c r="I192" s="307">
        <f ca="1">100*((SUM(Transfer!E147,Transfer!E240)/SUM(Transfer!D147,Transfer!D240))-1)</f>
        <v>3.8585158470059611</v>
      </c>
      <c r="J192" s="2526">
        <f ca="1">SUM(Transfer!F147,Transfer!F240)</f>
        <v>457.68648716009949</v>
      </c>
      <c r="K192" s="2526">
        <f ca="1">100*((SUM(Transfer!F147,Transfer!F240)/SUM(Transfer!E147,Transfer!E240))-1)</f>
        <v>3.5094965561335068</v>
      </c>
      <c r="L192" s="2526">
        <f ca="1">SUM(Transfer!G147,Transfer!G240)</f>
        <v>473.4251630449225</v>
      </c>
      <c r="M192" s="2527">
        <f ca="1">100*((SUM(Transfer!G147,Transfer!G240)/SUM(Transfer!F147,Transfer!F240))-1)</f>
        <v>3.4387460251404711</v>
      </c>
      <c r="N192" s="2332"/>
      <c r="O192" s="156"/>
      <c r="P192" s="54"/>
      <c r="Q192" s="54"/>
      <c r="R192" s="54"/>
      <c r="S192" s="260"/>
      <c r="T192" s="1590" t="s">
        <v>1618</v>
      </c>
      <c r="U192" s="305"/>
      <c r="V192" s="306" t="s">
        <v>1653</v>
      </c>
      <c r="W192" s="2003">
        <f t="shared" ca="1" si="12"/>
        <v>0</v>
      </c>
      <c r="X192" s="2003">
        <f t="shared" ca="1" si="12"/>
        <v>0</v>
      </c>
      <c r="Y192" s="2003">
        <f t="shared" ca="1" si="12"/>
        <v>0</v>
      </c>
      <c r="Z192" s="2003">
        <f t="shared" ca="1" si="12"/>
        <v>0</v>
      </c>
      <c r="AA192" s="2003">
        <f t="shared" ca="1" si="12"/>
        <v>0</v>
      </c>
      <c r="AB192" s="2003">
        <f t="shared" ca="1" si="12"/>
        <v>0</v>
      </c>
      <c r="AC192" s="2003">
        <f t="shared" ca="1" si="12"/>
        <v>-0.20000000000004547</v>
      </c>
      <c r="AD192" s="2004">
        <f t="shared" ca="1" si="12"/>
        <v>-0.10000000000000009</v>
      </c>
      <c r="AE192" s="85"/>
      <c r="AF192" s="45"/>
      <c r="AG192" s="45"/>
      <c r="AH192" s="45"/>
      <c r="AI192" s="45"/>
      <c r="AJ192" s="260"/>
      <c r="AK192" s="1590" t="s">
        <v>1618</v>
      </c>
      <c r="AL192" s="305"/>
      <c r="AM192" s="306" t="s">
        <v>1653</v>
      </c>
      <c r="AN192" s="307">
        <f>SUM(Transfer!AD147,Transfer!AD240)</f>
        <v>425.74130000000002</v>
      </c>
      <c r="AO192" s="307">
        <f>100*((SUM(Transfer!AD147,Transfer!AD240)/SUM(Transfer!AC147,Transfer!AC240))-1)</f>
        <v>3.9659263180926718</v>
      </c>
      <c r="AP192" s="307">
        <f>SUM(Transfer!AE147,Transfer!AE240)</f>
        <v>442.16859552774923</v>
      </c>
      <c r="AQ192" s="307">
        <f>100*((SUM(Transfer!AE147,Transfer!AE240)/SUM(Transfer!AD147,Transfer!AD240))-1)</f>
        <v>3.8585158470059611</v>
      </c>
      <c r="AR192" s="307">
        <f>SUM(Transfer!AF147,Transfer!AF240)</f>
        <v>457.72203776896748</v>
      </c>
      <c r="AS192" s="307">
        <f>100*((SUM(Transfer!AF147,Transfer!AF240)/SUM(Transfer!AE147,Transfer!AE240))-1)</f>
        <v>3.5175366135296038</v>
      </c>
      <c r="AT192" s="307">
        <f>SUM(Transfer!AG147,Transfer!AG240)</f>
        <v>473.5833451703013</v>
      </c>
      <c r="AU192" s="308">
        <f>100*((SUM(Transfer!AG147,Transfer!AG240)/SUM(Transfer!AF147,Transfer!AF240))-1)</f>
        <v>3.4652706429965985</v>
      </c>
      <c r="AV192" s="85"/>
      <c r="AW192" s="156"/>
      <c r="AX192" s="54"/>
      <c r="AY192" s="54"/>
      <c r="AZ192" s="54"/>
      <c r="BA192" s="1622" t="s">
        <v>1654</v>
      </c>
      <c r="BB192" s="54"/>
      <c r="BC192" s="54"/>
    </row>
    <row r="193" spans="1:55" ht="13.8" thickBot="1">
      <c r="A193" s="28"/>
      <c r="B193" s="260"/>
      <c r="C193" s="129"/>
      <c r="D193" s="129"/>
      <c r="E193" s="2528"/>
      <c r="F193" s="2337"/>
      <c r="G193" s="2337"/>
      <c r="H193" s="2994"/>
      <c r="I193" s="92"/>
      <c r="J193" s="2337"/>
      <c r="K193" s="2337"/>
      <c r="L193" s="2337"/>
      <c r="M193" s="2529"/>
      <c r="N193" s="2328"/>
      <c r="O193" s="149"/>
      <c r="P193" s="54"/>
      <c r="Q193" s="54"/>
      <c r="R193" s="54"/>
      <c r="S193" s="260"/>
      <c r="T193" s="63"/>
      <c r="U193" s="63"/>
      <c r="V193" s="309"/>
      <c r="W193" s="1922"/>
      <c r="X193" s="1922"/>
      <c r="Y193" s="1922"/>
      <c r="Z193" s="1922"/>
      <c r="AA193" s="1922"/>
      <c r="AB193" s="1922"/>
      <c r="AC193" s="1922"/>
      <c r="AD193" s="1923"/>
      <c r="AE193" s="82"/>
      <c r="AF193" s="45"/>
      <c r="AG193" s="45"/>
      <c r="AH193" s="45"/>
      <c r="AI193" s="45"/>
      <c r="AJ193" s="260"/>
      <c r="AK193" s="63"/>
      <c r="AL193" s="63"/>
      <c r="AM193" s="309"/>
      <c r="AN193" s="92"/>
      <c r="AO193" s="92"/>
      <c r="AP193" s="92"/>
      <c r="AQ193" s="92"/>
      <c r="AR193" s="92"/>
      <c r="AS193" s="92"/>
      <c r="AT193" s="92"/>
      <c r="AU193" s="135"/>
      <c r="AV193" s="82"/>
      <c r="AW193" s="149"/>
      <c r="AX193" s="54"/>
      <c r="AY193" s="54"/>
      <c r="AZ193" s="54"/>
      <c r="BA193" s="83"/>
      <c r="BB193" s="54"/>
      <c r="BC193" s="54"/>
    </row>
    <row r="194" spans="1:55">
      <c r="A194" s="45"/>
      <c r="B194" s="1902"/>
      <c r="C194" s="2530" t="s">
        <v>1411</v>
      </c>
      <c r="D194" s="2531"/>
      <c r="E194" s="2532" t="s">
        <v>1655</v>
      </c>
      <c r="F194" s="2533">
        <f ca="1">Transfer!D161</f>
        <v>209.14500000000001</v>
      </c>
      <c r="G194" s="2533">
        <f ca="1">100*((Transfer!D161/Transfer!C161)-1)</f>
        <v>1.260374413314902</v>
      </c>
      <c r="H194" s="313">
        <f ca="1">Transfer!E161</f>
        <v>215.74179999999998</v>
      </c>
      <c r="I194" s="313">
        <f ca="1">100*((Transfer!E161/Transfer!D161)-1)</f>
        <v>3.1541753329029865</v>
      </c>
      <c r="J194" s="2533">
        <f ca="1">Transfer!F161</f>
        <v>222.85392806550556</v>
      </c>
      <c r="K194" s="2533">
        <f ca="1">100*((Transfer!F161/Transfer!E161)-1)</f>
        <v>3.2965925312135047</v>
      </c>
      <c r="L194" s="2534">
        <f ca="1">Transfer!G161</f>
        <v>229.99237146146336</v>
      </c>
      <c r="M194" s="2535">
        <f ca="1">100*((Transfer!G161/Transfer!F161)-1)</f>
        <v>3.2031938848569697</v>
      </c>
      <c r="N194" s="2328"/>
      <c r="O194" s="149"/>
      <c r="P194" s="54"/>
      <c r="Q194" s="54"/>
      <c r="R194" s="54"/>
      <c r="S194" s="260"/>
      <c r="T194" s="310" t="s">
        <v>1411</v>
      </c>
      <c r="U194" s="311"/>
      <c r="V194" s="312" t="s">
        <v>1655</v>
      </c>
      <c r="W194" s="91">
        <f t="shared" ca="1" si="12"/>
        <v>0</v>
      </c>
      <c r="X194" s="91">
        <f t="shared" ca="1" si="12"/>
        <v>0</v>
      </c>
      <c r="Y194" s="91">
        <f t="shared" ca="1" si="12"/>
        <v>0</v>
      </c>
      <c r="Z194" s="91">
        <f t="shared" ca="1" si="12"/>
        <v>0</v>
      </c>
      <c r="AA194" s="91">
        <f t="shared" ca="1" si="12"/>
        <v>9.9999999999994316E-2</v>
      </c>
      <c r="AB194" s="91">
        <f t="shared" ca="1" si="12"/>
        <v>0</v>
      </c>
      <c r="AC194" s="91">
        <f t="shared" ca="1" si="12"/>
        <v>0</v>
      </c>
      <c r="AD194" s="93">
        <f t="shared" ca="1" si="12"/>
        <v>0</v>
      </c>
      <c r="AE194" s="82"/>
      <c r="AF194" s="45"/>
      <c r="AG194" s="45"/>
      <c r="AH194" s="45"/>
      <c r="AI194" s="45"/>
      <c r="AJ194" s="260"/>
      <c r="AK194" s="310" t="s">
        <v>1411</v>
      </c>
      <c r="AL194" s="311"/>
      <c r="AM194" s="312" t="s">
        <v>1655</v>
      </c>
      <c r="AN194" s="313">
        <f>Transfer!AD161</f>
        <v>209.14500000000001</v>
      </c>
      <c r="AO194" s="313">
        <f>100*((Transfer!AD161/Transfer!AC161)-1)</f>
        <v>1.260374413314902</v>
      </c>
      <c r="AP194" s="313">
        <f>Transfer!AE161</f>
        <v>215.74179999999998</v>
      </c>
      <c r="AQ194" s="313">
        <f>100*((Transfer!AE161/Transfer!AD161)-1)</f>
        <v>3.1541753329029865</v>
      </c>
      <c r="AR194" s="313">
        <f>Transfer!AF161</f>
        <v>222.84357554340693</v>
      </c>
      <c r="AS194" s="313">
        <f>100*((Transfer!AF161/Transfer!AE161)-1)</f>
        <v>3.2917939608397395</v>
      </c>
      <c r="AT194" s="314">
        <f>Transfer!AG161</f>
        <v>229.9818197910879</v>
      </c>
      <c r="AU194" s="315">
        <f>100*((Transfer!AG161/Transfer!AF161)-1)</f>
        <v>3.2032533270363706</v>
      </c>
      <c r="AV194" s="82"/>
      <c r="AW194" s="149"/>
      <c r="AX194" s="54"/>
      <c r="AY194" s="54"/>
      <c r="AZ194" s="54"/>
      <c r="BA194" s="1622" t="s">
        <v>2115</v>
      </c>
      <c r="BB194" s="54"/>
      <c r="BC194" s="54"/>
    </row>
    <row r="195" spans="1:55">
      <c r="A195" s="45"/>
      <c r="B195" s="1902"/>
      <c r="C195" s="2536" t="s">
        <v>558</v>
      </c>
      <c r="D195" s="2309"/>
      <c r="E195" s="2380" t="s">
        <v>1656</v>
      </c>
      <c r="F195" s="2336">
        <f ca="1">(SUM(Transfer!D147,Transfer!D223,Transfer!D233)-SUM(Transfer!D161,Transfer!D213,Transfer!D231))</f>
        <v>171.73669999999993</v>
      </c>
      <c r="G195" s="2336">
        <f ca="1">100*((((SUM(Transfer!D147,Transfer!D223,Transfer!D233)-SUM(Transfer!D161,Transfer!D213,Transfer!D231)))/((SUM(Transfer!C147,Transfer!C223,Transfer!C233)-SUM(Transfer!C161,Transfer!C213,Transfer!C231))))-1)</f>
        <v>4.4524836679618929</v>
      </c>
      <c r="H195" s="91">
        <f ca="1">(SUM(Transfer!E147,Transfer!E223,Transfer!E233)-SUM(Transfer!E161,Transfer!E213,Transfer!E231))</f>
        <v>178.98625420999997</v>
      </c>
      <c r="I195" s="91">
        <f ca="1">100*((((SUM(Transfer!E147,Transfer!E223,Transfer!E233)-SUM(Transfer!E161,Transfer!E213,Transfer!E231)))/((SUM(Transfer!D147,Transfer!D223,Transfer!D233)-SUM(Transfer!D161,Transfer!D213,Transfer!D231))))-1)</f>
        <v>4.2213191530989347</v>
      </c>
      <c r="J195" s="2336">
        <f ca="1">(SUM(Transfer!F147,Transfer!F223,Transfer!F233)-SUM(Transfer!F161,Transfer!F213,Transfer!F231))</f>
        <v>184.36695878619003</v>
      </c>
      <c r="K195" s="2336">
        <f ca="1">100*((((SUM(Transfer!F147,Transfer!F223,Transfer!F233)-SUM(Transfer!F161,Transfer!F213,Transfer!F231)))/((SUM(Transfer!E147,Transfer!E223,Transfer!E233)-SUM(Transfer!E161,Transfer!E213,Transfer!E231))))-1)</f>
        <v>3.006211063491504</v>
      </c>
      <c r="L195" s="2336">
        <f ca="1">(SUM(Transfer!G147,Transfer!G223,Transfer!G233)-SUM(Transfer!G161,Transfer!G213,Transfer!G231))</f>
        <v>191.18887763725525</v>
      </c>
      <c r="M195" s="2338">
        <f ca="1">100*((((SUM(Transfer!G147,Transfer!G223,Transfer!G233)-SUM(Transfer!G161,Transfer!G213,Transfer!G231)))/((SUM(Transfer!F147,Transfer!F223,Transfer!F233)-SUM(Transfer!F161,Transfer!F213,Transfer!F231))))-1)</f>
        <v>3.7001851611473402</v>
      </c>
      <c r="N195" s="2328"/>
      <c r="O195" s="149"/>
      <c r="P195" s="54"/>
      <c r="Q195" s="54"/>
      <c r="R195" s="54"/>
      <c r="S195" s="260"/>
      <c r="T195" s="316" t="s">
        <v>558</v>
      </c>
      <c r="U195" s="129"/>
      <c r="V195" s="180" t="s">
        <v>1656</v>
      </c>
      <c r="W195" s="91">
        <f t="shared" ca="1" si="12"/>
        <v>0</v>
      </c>
      <c r="X195" s="91">
        <f t="shared" ca="1" si="12"/>
        <v>0</v>
      </c>
      <c r="Y195" s="91">
        <f t="shared" ca="1" si="12"/>
        <v>0</v>
      </c>
      <c r="Z195" s="91">
        <f t="shared" ca="1" si="12"/>
        <v>0</v>
      </c>
      <c r="AA195" s="91">
        <f t="shared" ca="1" si="12"/>
        <v>0.30000000000001137</v>
      </c>
      <c r="AB195" s="91">
        <f t="shared" ca="1" si="12"/>
        <v>0.10000000000000009</v>
      </c>
      <c r="AC195" s="91">
        <f t="shared" ca="1" si="12"/>
        <v>0.39999999999997726</v>
      </c>
      <c r="AD195" s="93">
        <f t="shared" ca="1" si="12"/>
        <v>0.10000000000000009</v>
      </c>
      <c r="AE195" s="82"/>
      <c r="AF195" s="45"/>
      <c r="AG195" s="45"/>
      <c r="AH195" s="45"/>
      <c r="AI195" s="45"/>
      <c r="AJ195" s="260"/>
      <c r="AK195" s="316" t="s">
        <v>558</v>
      </c>
      <c r="AL195" s="129"/>
      <c r="AM195" s="180" t="s">
        <v>1656</v>
      </c>
      <c r="AN195" s="91">
        <f>(SUM(Transfer!AD147,Transfer!AD223,Transfer!AD233)-SUM(Transfer!AD161,Transfer!AD213,Transfer!AD231))</f>
        <v>171.73669999999993</v>
      </c>
      <c r="AO195" s="91">
        <f>100*((((SUM(Transfer!AD147,Transfer!AD223,Transfer!AD233)-SUM(Transfer!AD161,Transfer!AD213,Transfer!AD231)))/((SUM(Transfer!AC147,Transfer!AC223,Transfer!AC233)-SUM(Transfer!AC161,Transfer!AC213,Transfer!AC231))))-1)</f>
        <v>4.4524836679618929</v>
      </c>
      <c r="AP195" s="91">
        <f>(SUM(Transfer!AE147,Transfer!AE223,Transfer!AE233)-SUM(Transfer!AE161,Transfer!AE213,Transfer!AE231))</f>
        <v>178.98625420999997</v>
      </c>
      <c r="AQ195" s="91">
        <f>100*((((SUM(Transfer!AE147,Transfer!AE223,Transfer!AE233)-SUM(Transfer!AE161,Transfer!AE213,Transfer!AE231)))/((SUM(Transfer!AD147,Transfer!AD223,Transfer!AD233)-SUM(Transfer!AD161,Transfer!AD213,Transfer!AD231))))-1)</f>
        <v>4.2213191530989347</v>
      </c>
      <c r="AR195" s="91">
        <f>(SUM(Transfer!AF147,Transfer!AF223,Transfer!AF233)-SUM(Transfer!AF161,Transfer!AF213,Transfer!AF231))</f>
        <v>184.09224134255777</v>
      </c>
      <c r="AS195" s="91">
        <f>100*((((SUM(Transfer!AF147,Transfer!AF223,Transfer!AF233)-SUM(Transfer!AF161,Transfer!AF213,Transfer!AF231)))/((SUM(Transfer!AE147,Transfer!AE223,Transfer!AE233)-SUM(Transfer!AE161,Transfer!AE213,Transfer!AE231))))-1)</f>
        <v>2.8527258448389325</v>
      </c>
      <c r="AT195" s="91">
        <f>(SUM(Transfer!AG147,Transfer!AG223,Transfer!AG233)-SUM(Transfer!AG161,Transfer!AG213,Transfer!AG231))</f>
        <v>190.75745089696534</v>
      </c>
      <c r="AU195" s="93">
        <f>100*((((SUM(Transfer!AG147,Transfer!AG223,Transfer!AG233)-SUM(Transfer!AG161,Transfer!AG213,Transfer!AG231)))/((SUM(Transfer!AF147,Transfer!AF223,Transfer!AF233)-SUM(Transfer!AF161,Transfer!AF213,Transfer!AF231))))-1)</f>
        <v>3.6205814573168071</v>
      </c>
      <c r="AV195" s="82"/>
      <c r="AW195" s="149"/>
      <c r="AX195" s="54"/>
      <c r="AY195" s="54"/>
      <c r="AZ195" s="54"/>
      <c r="BA195" s="1622" t="s">
        <v>1807</v>
      </c>
      <c r="BB195" s="54"/>
      <c r="BC195" s="54"/>
    </row>
    <row r="196" spans="1:55">
      <c r="A196" s="45"/>
      <c r="B196" s="1902"/>
      <c r="C196" s="2505" t="s">
        <v>1410</v>
      </c>
      <c r="D196" s="2431"/>
      <c r="E196" s="2509" t="s">
        <v>1808</v>
      </c>
      <c r="F196" s="2510">
        <f ca="1">SUM(Transfer!D147,Transfer!D151)-Transfer!D150</f>
        <v>377.63560000000001</v>
      </c>
      <c r="G196" s="2510">
        <f ca="1">100*(((SUM(Transfer!D147,Transfer!D151)-Transfer!D150))/(SUM(Transfer!C147,Transfer!C151)-Transfer!C150)-1)</f>
        <v>2.7659280336222114</v>
      </c>
      <c r="H196" s="291">
        <f ca="1">SUM(Transfer!E147,Transfer!E151)-Transfer!E150</f>
        <v>390.74639999999999</v>
      </c>
      <c r="I196" s="291">
        <f ca="1">100*(((SUM(Transfer!E147,Transfer!E151)-Transfer!E150))/(SUM(Transfer!D147,Transfer!D151)-Transfer!D150)-1)</f>
        <v>3.471812509201988</v>
      </c>
      <c r="J196" s="2510">
        <f ca="1">SUM(Transfer!F147,Transfer!F151)-Transfer!F150</f>
        <v>404.21663894218989</v>
      </c>
      <c r="K196" s="2510">
        <f ca="1">100*(((SUM(Transfer!F147,Transfer!F151)-Transfer!F150))/(SUM(Transfer!E147,Transfer!E151)-Transfer!E150)-1)</f>
        <v>3.4473098004715874</v>
      </c>
      <c r="L196" s="2510">
        <f ca="1">SUM(Transfer!G147,Transfer!G151)-Transfer!G150</f>
        <v>418.11690562576013</v>
      </c>
      <c r="M196" s="2537">
        <f ca="1">100*(((SUM(Transfer!G147,Transfer!G151)-Transfer!G150))/(SUM(Transfer!F147,Transfer!F151)-Transfer!F150)-1)</f>
        <v>3.4388160566438675</v>
      </c>
      <c r="N196" s="2332"/>
      <c r="O196" s="156"/>
      <c r="P196" s="54"/>
      <c r="Q196" s="54"/>
      <c r="R196" s="54"/>
      <c r="S196" s="260"/>
      <c r="T196" s="317" t="s">
        <v>1410</v>
      </c>
      <c r="U196" s="223"/>
      <c r="V196" s="290" t="s">
        <v>1808</v>
      </c>
      <c r="W196" s="91">
        <f t="shared" ca="1" si="12"/>
        <v>0</v>
      </c>
      <c r="X196" s="91">
        <f t="shared" ca="1" si="12"/>
        <v>0</v>
      </c>
      <c r="Y196" s="91">
        <f t="shared" ca="1" si="12"/>
        <v>0</v>
      </c>
      <c r="Z196" s="91">
        <f t="shared" ca="1" si="12"/>
        <v>0</v>
      </c>
      <c r="AA196" s="91">
        <f t="shared" ca="1" si="12"/>
        <v>0.19999999999998863</v>
      </c>
      <c r="AB196" s="91">
        <f t="shared" ca="1" si="12"/>
        <v>0</v>
      </c>
      <c r="AC196" s="91">
        <f t="shared" ca="1" si="12"/>
        <v>0.40000000000003411</v>
      </c>
      <c r="AD196" s="93">
        <f t="shared" ca="1" si="12"/>
        <v>0</v>
      </c>
      <c r="AE196" s="85"/>
      <c r="AF196" s="45"/>
      <c r="AG196" s="45"/>
      <c r="AH196" s="45"/>
      <c r="AI196" s="45"/>
      <c r="AJ196" s="260"/>
      <c r="AK196" s="317" t="s">
        <v>1410</v>
      </c>
      <c r="AL196" s="223"/>
      <c r="AM196" s="290" t="s">
        <v>1808</v>
      </c>
      <c r="AN196" s="291">
        <f>SUM(Transfer!AD147,Transfer!AD151)-Transfer!AD150</f>
        <v>377.63560000000001</v>
      </c>
      <c r="AO196" s="291">
        <f>100*(((SUM(Transfer!AD147,Transfer!AD151)-Transfer!AD150))/(SUM(Transfer!AC147,Transfer!AC151)-Transfer!AC150)-1)</f>
        <v>2.7659280336222114</v>
      </c>
      <c r="AP196" s="291">
        <f>SUM(Transfer!AE147,Transfer!AE151)-Transfer!AE150</f>
        <v>390.74639999999999</v>
      </c>
      <c r="AQ196" s="291">
        <f>100*(((SUM(Transfer!AE147,Transfer!AE151)-Transfer!AE150))/(SUM(Transfer!AD147,Transfer!AD151)-Transfer!AD150)-1)</f>
        <v>3.471812509201988</v>
      </c>
      <c r="AR196" s="291">
        <f>SUM(Transfer!AF147,Transfer!AF151)-Transfer!AF150</f>
        <v>403.96243862218989</v>
      </c>
      <c r="AS196" s="291">
        <f>100*(((SUM(Transfer!AF147,Transfer!AF151)-Transfer!AF150))/(SUM(Transfer!AE147,Transfer!AE151)-Transfer!AE150)-1)</f>
        <v>3.3822547366245459</v>
      </c>
      <c r="AT196" s="291">
        <f>SUM(Transfer!AG147,Transfer!AG151)-Transfer!AG150</f>
        <v>417.70662800437412</v>
      </c>
      <c r="AU196" s="318">
        <f>100*(((SUM(Transfer!AG147,Transfer!AG151)-Transfer!AG150))/(SUM(Transfer!AF147,Transfer!AF151)-Transfer!AF150)-1)</f>
        <v>3.4023434032782962</v>
      </c>
      <c r="AV196" s="85"/>
      <c r="AW196" s="156"/>
      <c r="AX196" s="54"/>
      <c r="AY196" s="54"/>
      <c r="AZ196" s="54"/>
      <c r="BA196" s="1905" t="s">
        <v>1630</v>
      </c>
      <c r="BB196" s="54"/>
      <c r="BC196" s="54"/>
    </row>
    <row r="197" spans="1:55">
      <c r="A197" s="45"/>
      <c r="B197" s="1902"/>
      <c r="C197" s="2508" t="s">
        <v>559</v>
      </c>
      <c r="D197" s="2538"/>
      <c r="E197" s="2539"/>
      <c r="F197" s="2336">
        <f ca="1">(Transfer!D159*Transfer!D161)/Transfer!D163</f>
        <v>251.1001403422857</v>
      </c>
      <c r="G197" s="2336">
        <f ca="1">100*((((Transfer!D159*Transfer!D161)/Transfer!D163)/((Transfer!C159*Transfer!C161)/Transfer!C163))-1)</f>
        <v>1.3544318608283534</v>
      </c>
      <c r="H197" s="91">
        <f ca="1">(Transfer!E159*Transfer!E161)/Transfer!E163</f>
        <v>259.01627669589527</v>
      </c>
      <c r="I197" s="91">
        <f ca="1">100*((((Transfer!E159*Transfer!E161)/Transfer!E163)/((Transfer!D159*Transfer!D161)/Transfer!D163))-1)</f>
        <v>3.1525814134626629</v>
      </c>
      <c r="J197" s="2336">
        <f ca="1">(Transfer!F159*Transfer!F161)/Transfer!F163</f>
        <v>267.58566823556663</v>
      </c>
      <c r="K197" s="2336">
        <f ca="1">100*((((Transfer!F159*Transfer!F161)/Transfer!F163)/((Transfer!E159*Transfer!E161)/Transfer!E163))-1)</f>
        <v>3.3084374653923776</v>
      </c>
      <c r="L197" s="2336">
        <f ca="1">(Transfer!G159*Transfer!G161)/Transfer!G163</f>
        <v>276.29585724714514</v>
      </c>
      <c r="M197" s="2338">
        <f ca="1">100*((((Transfer!G159*Transfer!G161)/Transfer!G163)/((Transfer!F159*Transfer!F161)/Transfer!F163))-1)</f>
        <v>3.2551029616095128</v>
      </c>
      <c r="N197" s="2350"/>
      <c r="O197" s="149"/>
      <c r="P197" s="54"/>
      <c r="Q197" s="54"/>
      <c r="R197" s="54"/>
      <c r="S197" s="260"/>
      <c r="T197" s="319" t="s">
        <v>559</v>
      </c>
      <c r="U197" s="320"/>
      <c r="V197" s="168"/>
      <c r="W197" s="96">
        <f t="shared" ca="1" si="12"/>
        <v>0</v>
      </c>
      <c r="X197" s="96">
        <f t="shared" ca="1" si="12"/>
        <v>0</v>
      </c>
      <c r="Y197" s="96">
        <f t="shared" ca="1" si="12"/>
        <v>0</v>
      </c>
      <c r="Z197" s="96">
        <f t="shared" ca="1" si="12"/>
        <v>0</v>
      </c>
      <c r="AA197" s="96">
        <f t="shared" ca="1" si="12"/>
        <v>0</v>
      </c>
      <c r="AB197" s="96">
        <f t="shared" ca="1" si="12"/>
        <v>0</v>
      </c>
      <c r="AC197" s="96">
        <f t="shared" ca="1" si="12"/>
        <v>0</v>
      </c>
      <c r="AD197" s="98">
        <f t="shared" ca="1" si="12"/>
        <v>0</v>
      </c>
      <c r="AE197" s="103"/>
      <c r="AF197" s="45"/>
      <c r="AG197" s="45"/>
      <c r="AH197" s="45"/>
      <c r="AI197" s="45"/>
      <c r="AJ197" s="260"/>
      <c r="AK197" s="319" t="s">
        <v>559</v>
      </c>
      <c r="AL197" s="320"/>
      <c r="AM197" s="168"/>
      <c r="AN197" s="91">
        <f>(Transfer!AD159*Transfer!AD161)/Transfer!AD163</f>
        <v>251.1001403422857</v>
      </c>
      <c r="AO197" s="91">
        <f>100*((((Transfer!AD159*Transfer!AD161)/Transfer!AD163)/((Transfer!AC159*Transfer!AC161)/Transfer!AC163))-1)</f>
        <v>1.3544318608283534</v>
      </c>
      <c r="AP197" s="91">
        <f>(Transfer!AE159*Transfer!AE161)/Transfer!AE163</f>
        <v>259.01627669589527</v>
      </c>
      <c r="AQ197" s="91">
        <f>100*((((Transfer!AE159*Transfer!AE161)/Transfer!AE163)/((Transfer!AD159*Transfer!AD161)/Transfer!AD163))-1)</f>
        <v>3.1525814134626629</v>
      </c>
      <c r="AR197" s="91">
        <f>(Transfer!AF159*Transfer!AF161)/Transfer!AF163</f>
        <v>267.57516607203587</v>
      </c>
      <c r="AS197" s="91">
        <f>100*((((Transfer!AF159*Transfer!AF161)/Transfer!AF163)/((Transfer!AE159*Transfer!AE161)/Transfer!AE163))-1)</f>
        <v>3.3043828308092715</v>
      </c>
      <c r="AT197" s="91">
        <f>(Transfer!AG159*Transfer!AG161)/Transfer!AG163</f>
        <v>276.28515765854064</v>
      </c>
      <c r="AU197" s="93">
        <f>100*((((Transfer!AG159*Transfer!AG161)/Transfer!AG163)/((Transfer!AF159*Transfer!AF161)/Transfer!AF163))-1)</f>
        <v>3.255156939399928</v>
      </c>
      <c r="AV197" s="103"/>
      <c r="AW197" s="149"/>
      <c r="AX197" s="54"/>
      <c r="AY197" s="54"/>
      <c r="AZ197" s="54"/>
      <c r="BA197" s="1622" t="s">
        <v>1764</v>
      </c>
      <c r="BB197" s="54"/>
      <c r="BC197" s="54"/>
    </row>
    <row r="198" spans="1:55">
      <c r="A198" s="45"/>
      <c r="B198" s="1902"/>
      <c r="C198" s="2344" t="s">
        <v>1771</v>
      </c>
      <c r="D198" s="2303"/>
      <c r="E198" s="2497"/>
      <c r="F198" s="2325">
        <f ca="1">(Transfer!D150-Transfer!D151)</f>
        <v>45.41279999999999</v>
      </c>
      <c r="G198" s="2325">
        <f ca="1">100*(((Transfer!D150-Transfer!D151)/(Transfer!C150-Transfer!C151))-1)</f>
        <v>5.7006396112057489</v>
      </c>
      <c r="H198" s="80">
        <f ca="1">(Transfer!E150-Transfer!E151)</f>
        <v>47.738199999999999</v>
      </c>
      <c r="I198" s="79">
        <f ca="1">100*(((Transfer!E150-Transfer!E151)/(Transfer!D150-Transfer!D151))-1)</f>
        <v>5.1205827431913598</v>
      </c>
      <c r="J198" s="2325">
        <f ca="1">(Transfer!F150-Transfer!F151)</f>
        <v>49.156333099999998</v>
      </c>
      <c r="K198" s="2325">
        <f ca="1">100*(((Transfer!F150-Transfer!F151)/(Transfer!E150-Transfer!E151))-1)</f>
        <v>2.9706463586812948</v>
      </c>
      <c r="L198" s="2326">
        <f ca="1">(Transfer!G150-Transfer!G151)</f>
        <v>50.924067087349997</v>
      </c>
      <c r="M198" s="2327">
        <f ca="1">100*(((Transfer!G150-Transfer!G151)/(Transfer!F150-Transfer!F151))-1)</f>
        <v>3.5961469781601751</v>
      </c>
      <c r="N198" s="2328"/>
      <c r="O198" s="149"/>
      <c r="P198" s="54"/>
      <c r="Q198" s="54"/>
      <c r="R198" s="54"/>
      <c r="S198" s="260"/>
      <c r="T198" s="147" t="s">
        <v>1771</v>
      </c>
      <c r="U198" s="57"/>
      <c r="V198" s="148"/>
      <c r="W198" s="91">
        <f t="shared" ca="1" si="12"/>
        <v>0</v>
      </c>
      <c r="X198" s="91">
        <f t="shared" ca="1" si="12"/>
        <v>0</v>
      </c>
      <c r="Y198" s="91">
        <f t="shared" ca="1" si="12"/>
        <v>0</v>
      </c>
      <c r="Z198" s="91">
        <f t="shared" ca="1" si="12"/>
        <v>0</v>
      </c>
      <c r="AA198" s="91">
        <f t="shared" ca="1" si="12"/>
        <v>-0.19999999999999574</v>
      </c>
      <c r="AB198" s="91">
        <f t="shared" ca="1" si="12"/>
        <v>-0.5</v>
      </c>
      <c r="AC198" s="91">
        <f t="shared" ca="1" si="12"/>
        <v>-0.5</v>
      </c>
      <c r="AD198" s="93">
        <f t="shared" ca="1" si="12"/>
        <v>-0.39999999999999991</v>
      </c>
      <c r="AE198" s="82"/>
      <c r="AF198" s="45"/>
      <c r="AG198" s="45"/>
      <c r="AH198" s="45"/>
      <c r="AI198" s="45"/>
      <c r="AJ198" s="260"/>
      <c r="AK198" s="147" t="s">
        <v>1771</v>
      </c>
      <c r="AL198" s="57"/>
      <c r="AM198" s="148"/>
      <c r="AN198" s="79">
        <f>(Transfer!AD150-Transfer!AD151)</f>
        <v>45.41279999999999</v>
      </c>
      <c r="AO198" s="79">
        <f>100*(((Transfer!AD150-Transfer!AD151)/(Transfer!AC150-Transfer!AC151))-1)</f>
        <v>5.7006396112057489</v>
      </c>
      <c r="AP198" s="80">
        <f>(Transfer!AE150-Transfer!AE151)</f>
        <v>47.738199999999999</v>
      </c>
      <c r="AQ198" s="79">
        <f>100*(((Transfer!AE150-Transfer!AE151)/(Transfer!AD150-Transfer!AD151))-1)</f>
        <v>5.1205827431913598</v>
      </c>
      <c r="AR198" s="79">
        <f>(Transfer!AF150-Transfer!AF151)</f>
        <v>49.410533419999993</v>
      </c>
      <c r="AS198" s="79">
        <f>100*(((Transfer!AF150-Transfer!AF151)/(Transfer!AE150-Transfer!AE151))-1)</f>
        <v>3.5031346385075102</v>
      </c>
      <c r="AT198" s="80">
        <f>(Transfer!AG150-Transfer!AG151)</f>
        <v>51.387732956917993</v>
      </c>
      <c r="AU198" s="81">
        <f>100*(((Transfer!AG150-Transfer!AG151)/(Transfer!AF150-Transfer!AF151))-1)</f>
        <v>4.001574968056687</v>
      </c>
      <c r="AV198" s="82"/>
      <c r="AW198" s="149"/>
      <c r="AX198" s="54"/>
      <c r="AY198" s="54"/>
      <c r="AZ198" s="54"/>
      <c r="BA198" s="1622" t="s">
        <v>203</v>
      </c>
      <c r="BB198" s="54"/>
      <c r="BC198" s="54"/>
    </row>
    <row r="199" spans="1:55">
      <c r="A199" s="45"/>
      <c r="B199" s="1902"/>
      <c r="C199" s="2508" t="s">
        <v>614</v>
      </c>
      <c r="D199" s="2309"/>
      <c r="E199" s="2380" t="s">
        <v>204</v>
      </c>
      <c r="F199" s="2336">
        <f ca="1">Transfer!D150</f>
        <v>47.467699999999994</v>
      </c>
      <c r="G199" s="2336">
        <f ca="1">100*((Transfer!D150/Transfer!C150)-1)</f>
        <v>5.243588521308018</v>
      </c>
      <c r="H199" s="92">
        <f ca="1">Transfer!E150</f>
        <v>49.843199999999996</v>
      </c>
      <c r="I199" s="91">
        <f ca="1">100*((Transfer!E150/Transfer!D150)-1)</f>
        <v>5.0044556614287306</v>
      </c>
      <c r="J199" s="2337">
        <f ca="1">Transfer!F150</f>
        <v>51.238809599999996</v>
      </c>
      <c r="K199" s="2336">
        <f ca="1">100*((Transfer!F150/Transfer!E150)-1)</f>
        <v>2.8000000000000025</v>
      </c>
      <c r="L199" s="2337">
        <f ca="1">Transfer!G150</f>
        <v>52.9809291264</v>
      </c>
      <c r="M199" s="2338">
        <f ca="1">100*((Transfer!G150/Transfer!F150)-1)</f>
        <v>3.400000000000003</v>
      </c>
      <c r="N199" s="2328"/>
      <c r="O199" s="149"/>
      <c r="P199" s="54"/>
      <c r="Q199" s="54"/>
      <c r="R199" s="54"/>
      <c r="S199" s="260"/>
      <c r="T199" s="288" t="s">
        <v>614</v>
      </c>
      <c r="U199" s="129"/>
      <c r="V199" s="180" t="s">
        <v>204</v>
      </c>
      <c r="W199" s="91">
        <f t="shared" ca="1" si="12"/>
        <v>0</v>
      </c>
      <c r="X199" s="91">
        <f t="shared" ca="1" si="12"/>
        <v>0</v>
      </c>
      <c r="Y199" s="91">
        <f t="shared" ca="1" si="12"/>
        <v>0</v>
      </c>
      <c r="Z199" s="91">
        <f t="shared" ca="1" si="12"/>
        <v>0</v>
      </c>
      <c r="AA199" s="91">
        <f t="shared" ca="1" si="12"/>
        <v>-0.29999999999999716</v>
      </c>
      <c r="AB199" s="91">
        <f t="shared" ca="1" si="12"/>
        <v>-0.5</v>
      </c>
      <c r="AC199" s="91">
        <f t="shared" ca="1" si="12"/>
        <v>-0.39999999999999858</v>
      </c>
      <c r="AD199" s="93">
        <f t="shared" ca="1" si="12"/>
        <v>-0.39999999999999991</v>
      </c>
      <c r="AE199" s="82"/>
      <c r="AF199" s="45"/>
      <c r="AG199" s="45"/>
      <c r="AH199" s="45"/>
      <c r="AI199" s="45"/>
      <c r="AJ199" s="260"/>
      <c r="AK199" s="288" t="s">
        <v>614</v>
      </c>
      <c r="AL199" s="129"/>
      <c r="AM199" s="180" t="s">
        <v>204</v>
      </c>
      <c r="AN199" s="91">
        <f>Transfer!AD150</f>
        <v>47.467699999999994</v>
      </c>
      <c r="AO199" s="91">
        <f>100*((Transfer!AD150/Transfer!AC150)-1)</f>
        <v>5.243588521308018</v>
      </c>
      <c r="AP199" s="92">
        <f>Transfer!AE150</f>
        <v>49.843199999999996</v>
      </c>
      <c r="AQ199" s="91">
        <f>100*((Transfer!AE150/Transfer!AD150)-1)</f>
        <v>5.0044556614287306</v>
      </c>
      <c r="AR199" s="92">
        <f>Transfer!AF150</f>
        <v>51.493009919999992</v>
      </c>
      <c r="AS199" s="91">
        <f>100*((Transfer!AF150/Transfer!AE150)-1)</f>
        <v>3.3099999999999907</v>
      </c>
      <c r="AT199" s="92">
        <f>Transfer!AG150</f>
        <v>53.444594995967996</v>
      </c>
      <c r="AU199" s="93">
        <f>100*((Transfer!AG150/Transfer!AF150)-1)</f>
        <v>3.7900000000000045</v>
      </c>
      <c r="AV199" s="82"/>
      <c r="AW199" s="149"/>
      <c r="AX199" s="54"/>
      <c r="AY199" s="54"/>
      <c r="AZ199" s="54"/>
      <c r="BA199" s="1622" t="s">
        <v>205</v>
      </c>
      <c r="BB199" s="54"/>
      <c r="BC199" s="54"/>
    </row>
    <row r="200" spans="1:55">
      <c r="A200" s="45"/>
      <c r="B200" s="1902"/>
      <c r="C200" s="2508" t="s">
        <v>615</v>
      </c>
      <c r="D200" s="2309"/>
      <c r="E200" s="2380" t="s">
        <v>206</v>
      </c>
      <c r="F200" s="2406">
        <f ca="1">Transfer!D151</f>
        <v>2.0548999999999999</v>
      </c>
      <c r="G200" s="2406">
        <f ca="1">100*((Transfer!D151/Transfer!C151)-1)</f>
        <v>-3.9362348651301948</v>
      </c>
      <c r="H200" s="92">
        <f ca="1">Transfer!E151</f>
        <v>2.105</v>
      </c>
      <c r="I200" s="246">
        <f ca="1">100*((Transfer!E151/Transfer!D151)-1)</f>
        <v>2.438074845491256</v>
      </c>
      <c r="J200" s="2336">
        <f ca="1">Transfer!F151</f>
        <v>2.0824764999999998</v>
      </c>
      <c r="K200" s="2406">
        <f ca="1">100*((Transfer!F151/Transfer!E151)-1)</f>
        <v>-1.0700000000000043</v>
      </c>
      <c r="L200" s="2337">
        <f ca="1">Transfer!G151</f>
        <v>2.0568620390499999</v>
      </c>
      <c r="M200" s="2407">
        <f ca="1">100*((Transfer!G151/Transfer!F151)-1)</f>
        <v>-1.2299999999999978</v>
      </c>
      <c r="N200" s="2405"/>
      <c r="O200" s="241"/>
      <c r="P200" s="54"/>
      <c r="Q200" s="54"/>
      <c r="R200" s="54"/>
      <c r="S200" s="260"/>
      <c r="T200" s="319" t="s">
        <v>615</v>
      </c>
      <c r="U200" s="63"/>
      <c r="V200" s="151" t="s">
        <v>206</v>
      </c>
      <c r="W200" s="91">
        <f t="shared" ca="1" si="12"/>
        <v>0</v>
      </c>
      <c r="X200" s="91">
        <f t="shared" ca="1" si="12"/>
        <v>0</v>
      </c>
      <c r="Y200" s="91">
        <f t="shared" ca="1" si="12"/>
        <v>0</v>
      </c>
      <c r="Z200" s="91">
        <f t="shared" ca="1" si="12"/>
        <v>0</v>
      </c>
      <c r="AA200" s="91">
        <f t="shared" ca="1" si="12"/>
        <v>0</v>
      </c>
      <c r="AB200" s="91">
        <f t="shared" ca="1" si="12"/>
        <v>0</v>
      </c>
      <c r="AC200" s="91">
        <f t="shared" ca="1" si="12"/>
        <v>0</v>
      </c>
      <c r="AD200" s="93">
        <f t="shared" ca="1" si="12"/>
        <v>0</v>
      </c>
      <c r="AE200" s="199"/>
      <c r="AF200" s="45"/>
      <c r="AG200" s="45"/>
      <c r="AH200" s="45"/>
      <c r="AI200" s="45"/>
      <c r="AJ200" s="260"/>
      <c r="AK200" s="319" t="s">
        <v>615</v>
      </c>
      <c r="AL200" s="63"/>
      <c r="AM200" s="151" t="s">
        <v>206</v>
      </c>
      <c r="AN200" s="246">
        <f>Transfer!AD151</f>
        <v>2.0548999999999999</v>
      </c>
      <c r="AO200" s="246">
        <f>100*((Transfer!AD151/Transfer!AC151)-1)</f>
        <v>-3.9362348651301948</v>
      </c>
      <c r="AP200" s="92">
        <f>Transfer!AE151</f>
        <v>2.105</v>
      </c>
      <c r="AQ200" s="246">
        <f>100*((Transfer!AE151/Transfer!AD151)-1)</f>
        <v>2.438074845491256</v>
      </c>
      <c r="AR200" s="91">
        <f>Transfer!AF151</f>
        <v>2.0824764999999998</v>
      </c>
      <c r="AS200" s="246">
        <f>100*((Transfer!AF151/Transfer!AE151)-1)</f>
        <v>-1.0700000000000043</v>
      </c>
      <c r="AT200" s="92">
        <f>Transfer!AG151</f>
        <v>2.0568620390499999</v>
      </c>
      <c r="AU200" s="321">
        <f>100*((Transfer!AG151/Transfer!AF151)-1)</f>
        <v>-1.2299999999999978</v>
      </c>
      <c r="AV200" s="199"/>
      <c r="AW200" s="241"/>
      <c r="AX200" s="54"/>
      <c r="AY200" s="54"/>
      <c r="AZ200" s="54"/>
      <c r="BA200" s="1622" t="s">
        <v>207</v>
      </c>
      <c r="BB200" s="54"/>
      <c r="BC200" s="54"/>
    </row>
    <row r="201" spans="1:55" ht="13.8" thickBot="1">
      <c r="A201" s="45"/>
      <c r="B201" s="1902"/>
      <c r="C201" s="2422" t="s">
        <v>1629</v>
      </c>
      <c r="D201" s="2423"/>
      <c r="E201" s="2540" t="s">
        <v>394</v>
      </c>
      <c r="F201" s="2541">
        <f ca="1">Transfer!D147</f>
        <v>423.04840000000002</v>
      </c>
      <c r="G201" s="2541">
        <f ca="1">100*((Transfer!D147/Transfer!C147)-1)</f>
        <v>3.0731282307170593</v>
      </c>
      <c r="H201" s="326">
        <f ca="1">Transfer!E147</f>
        <v>438.4846</v>
      </c>
      <c r="I201" s="325">
        <f ca="1">100*((Transfer!E147/Transfer!D147)-1)</f>
        <v>3.6488023592572416</v>
      </c>
      <c r="J201" s="2542">
        <f ca="1">Transfer!F147</f>
        <v>453.37297204218987</v>
      </c>
      <c r="K201" s="3291">
        <f ca="1">100*((Transfer!F147/Transfer!E147)-1)</f>
        <v>3.3954150367401459</v>
      </c>
      <c r="L201" s="2542">
        <f ca="1">Transfer!G147</f>
        <v>469.04097271311014</v>
      </c>
      <c r="M201" s="2543">
        <f ca="1">100*((Transfer!G147/Transfer!F147)-1)</f>
        <v>3.4558744427010568</v>
      </c>
      <c r="N201" s="2332"/>
      <c r="O201" s="156"/>
      <c r="P201" s="54"/>
      <c r="Q201" s="54"/>
      <c r="R201" s="54"/>
      <c r="S201" s="260"/>
      <c r="T201" s="322" t="s">
        <v>1629</v>
      </c>
      <c r="U201" s="323"/>
      <c r="V201" s="324" t="s">
        <v>394</v>
      </c>
      <c r="W201" s="91">
        <f t="shared" ca="1" si="12"/>
        <v>0</v>
      </c>
      <c r="X201" s="91">
        <f t="shared" ca="1" si="12"/>
        <v>0</v>
      </c>
      <c r="Y201" s="91">
        <f t="shared" ca="1" si="12"/>
        <v>0</v>
      </c>
      <c r="Z201" s="91">
        <f t="shared" ca="1" si="12"/>
        <v>0</v>
      </c>
      <c r="AA201" s="91">
        <f t="shared" ca="1" si="12"/>
        <v>0</v>
      </c>
      <c r="AB201" s="91">
        <f t="shared" ca="1" si="12"/>
        <v>0</v>
      </c>
      <c r="AC201" s="91">
        <f t="shared" ca="1" si="12"/>
        <v>-0.10000000000002274</v>
      </c>
      <c r="AD201" s="112">
        <f t="shared" ca="1" si="12"/>
        <v>0</v>
      </c>
      <c r="AE201" s="85"/>
      <c r="AF201" s="45"/>
      <c r="AG201" s="45"/>
      <c r="AH201" s="45"/>
      <c r="AI201" s="45"/>
      <c r="AJ201" s="260"/>
      <c r="AK201" s="322" t="s">
        <v>1629</v>
      </c>
      <c r="AL201" s="323"/>
      <c r="AM201" s="324" t="s">
        <v>394</v>
      </c>
      <c r="AN201" s="325">
        <f>Transfer!AD147</f>
        <v>423.04840000000002</v>
      </c>
      <c r="AO201" s="325">
        <f>100*((Transfer!AD147/Transfer!AC147)-1)</f>
        <v>3.0731282307170593</v>
      </c>
      <c r="AP201" s="326">
        <f>Transfer!AE147</f>
        <v>438.4846</v>
      </c>
      <c r="AQ201" s="325">
        <f>100*((Transfer!AE147/Transfer!AD147)-1)</f>
        <v>3.6488023592572416</v>
      </c>
      <c r="AR201" s="326">
        <f>Transfer!AF147</f>
        <v>453.37297204218987</v>
      </c>
      <c r="AS201" s="325">
        <f>100*((Transfer!AF147/Transfer!AE147)-1)</f>
        <v>3.3954150367401459</v>
      </c>
      <c r="AT201" s="326">
        <f>Transfer!AG147</f>
        <v>469.09436096129213</v>
      </c>
      <c r="AU201" s="327">
        <f>100*((Transfer!AG147/Transfer!AF147)-1)</f>
        <v>3.4676502324975989</v>
      </c>
      <c r="AV201" s="85"/>
      <c r="AW201" s="156"/>
      <c r="AX201" s="54"/>
      <c r="AY201" s="54"/>
      <c r="AZ201" s="54"/>
      <c r="BA201" s="1623" t="s">
        <v>209</v>
      </c>
      <c r="BB201" s="54"/>
      <c r="BC201" s="54"/>
    </row>
    <row r="202" spans="1:55" ht="13.8" thickBot="1">
      <c r="A202" s="45"/>
      <c r="B202" s="1575"/>
      <c r="C202" s="2544" t="s">
        <v>920</v>
      </c>
      <c r="D202" s="2545"/>
      <c r="E202" s="2545"/>
      <c r="F202" s="2545"/>
      <c r="G202" s="2545"/>
      <c r="H202" s="2545"/>
      <c r="I202" s="2545"/>
      <c r="J202" s="2545"/>
      <c r="K202" s="2545"/>
      <c r="L202" s="2545"/>
      <c r="M202" s="2546"/>
      <c r="N202" s="1574"/>
      <c r="O202" s="332"/>
      <c r="P202" s="54"/>
      <c r="Q202" s="54"/>
      <c r="R202" s="54"/>
      <c r="S202" s="60"/>
      <c r="T202" s="1591" t="s">
        <v>920</v>
      </c>
      <c r="U202" s="1592"/>
      <c r="V202" s="1592"/>
      <c r="W202" s="1592"/>
      <c r="X202" s="1592"/>
      <c r="Y202" s="1593"/>
      <c r="Z202" s="1592"/>
      <c r="AA202" s="1592"/>
      <c r="AB202" s="1592"/>
      <c r="AC202" s="1592"/>
      <c r="AD202" s="1594"/>
      <c r="AE202" s="90"/>
      <c r="AF202" s="45"/>
      <c r="AG202" s="45"/>
      <c r="AH202" s="45"/>
      <c r="AI202" s="45"/>
      <c r="AJ202" s="60"/>
      <c r="AK202" s="1591" t="s">
        <v>920</v>
      </c>
      <c r="AL202" s="1592"/>
      <c r="AM202" s="1592"/>
      <c r="AN202" s="1592"/>
      <c r="AO202" s="1592"/>
      <c r="AP202" s="1593"/>
      <c r="AQ202" s="1592"/>
      <c r="AR202" s="1592"/>
      <c r="AS202" s="1592"/>
      <c r="AT202" s="1592"/>
      <c r="AU202" s="1594"/>
      <c r="AV202" s="90"/>
      <c r="AW202" s="332"/>
      <c r="AX202" s="54"/>
      <c r="AY202" s="54"/>
      <c r="AZ202" s="54"/>
      <c r="BA202" s="45"/>
      <c r="BB202" s="54"/>
      <c r="BC202" s="54"/>
    </row>
    <row r="203" spans="1:55">
      <c r="A203" s="45"/>
      <c r="B203" s="2547"/>
      <c r="C203" s="2548"/>
      <c r="D203" s="2428"/>
      <c r="E203" s="2428"/>
      <c r="F203" s="2428"/>
      <c r="G203" s="2428"/>
      <c r="H203" s="2428"/>
      <c r="I203" s="2428"/>
      <c r="J203" s="2428"/>
      <c r="K203" s="2428"/>
      <c r="L203" s="2428"/>
      <c r="M203" s="2549" t="str">
        <f>UPPER(Country)</f>
        <v>BELGIUM</v>
      </c>
      <c r="N203" s="2550"/>
      <c r="O203" s="45"/>
      <c r="P203" s="45"/>
      <c r="Q203" s="45"/>
      <c r="R203" s="45"/>
      <c r="S203" s="328"/>
      <c r="T203" s="329"/>
      <c r="U203" s="113"/>
      <c r="V203" s="113"/>
      <c r="W203" s="113"/>
      <c r="X203" s="113"/>
      <c r="Y203" s="113"/>
      <c r="Z203" s="113"/>
      <c r="AA203" s="113"/>
      <c r="AB203" s="113"/>
      <c r="AC203" s="113"/>
      <c r="AD203" s="330" t="str">
        <f>UPPER(Country)</f>
        <v>BELGIUM</v>
      </c>
      <c r="AE203" s="331"/>
      <c r="AF203" s="45"/>
      <c r="AG203" s="45"/>
      <c r="AH203" s="45"/>
      <c r="AI203" s="45"/>
      <c r="AJ203" s="328"/>
      <c r="AK203" s="329"/>
      <c r="AL203" s="113"/>
      <c r="AM203" s="113"/>
      <c r="AN203" s="113"/>
      <c r="AO203" s="113"/>
      <c r="AP203" s="113"/>
      <c r="AQ203" s="113"/>
      <c r="AR203" s="113"/>
      <c r="AS203" s="113"/>
      <c r="AT203" s="113"/>
      <c r="AU203" s="330" t="str">
        <f>UPPER(Country)</f>
        <v>BELGIUM</v>
      </c>
      <c r="AV203" s="331"/>
      <c r="AW203" s="45"/>
      <c r="AX203" s="45"/>
      <c r="AY203" s="45"/>
      <c r="AZ203" s="54"/>
      <c r="BA203" s="45"/>
      <c r="BB203" s="54"/>
      <c r="BC203" s="54"/>
    </row>
    <row r="204" spans="1:55">
      <c r="A204" s="45"/>
      <c r="B204" s="54"/>
      <c r="C204" s="45"/>
      <c r="D204" s="45"/>
      <c r="E204" s="45"/>
      <c r="F204" s="45"/>
      <c r="G204" s="45"/>
      <c r="H204" s="45"/>
      <c r="I204" s="45"/>
      <c r="J204" s="45"/>
      <c r="K204" s="45"/>
      <c r="L204" s="45"/>
      <c r="M204" s="45"/>
      <c r="N204" s="186"/>
      <c r="O204" s="45"/>
      <c r="P204" s="45"/>
      <c r="Q204" s="45"/>
      <c r="R204" s="45"/>
      <c r="S204" s="45"/>
      <c r="T204" s="45"/>
      <c r="U204" s="45"/>
      <c r="V204" s="45"/>
      <c r="W204" s="45"/>
      <c r="X204" s="45"/>
      <c r="Y204" s="45"/>
      <c r="Z204" s="45"/>
      <c r="AA204" s="45"/>
      <c r="AB204" s="45"/>
      <c r="AC204" s="45"/>
      <c r="AD204" s="45"/>
      <c r="AE204" s="45"/>
      <c r="AF204" s="45"/>
      <c r="AG204" s="45"/>
      <c r="AH204" s="45"/>
      <c r="AI204" s="45"/>
      <c r="AJ204" s="54"/>
      <c r="AK204" s="45"/>
      <c r="AL204" s="45"/>
      <c r="AM204" s="45"/>
      <c r="AN204" s="45"/>
      <c r="AO204" s="45"/>
      <c r="AP204" s="45"/>
      <c r="AQ204" s="45"/>
      <c r="AR204" s="45"/>
      <c r="AS204" s="45"/>
      <c r="AT204" s="45"/>
      <c r="AU204" s="45"/>
      <c r="AV204" s="186"/>
      <c r="AW204" s="45"/>
      <c r="AX204" s="45"/>
      <c r="AY204" s="45"/>
      <c r="AZ204" s="54"/>
      <c r="BA204" s="45"/>
      <c r="BB204" s="54"/>
      <c r="BC204" s="54"/>
    </row>
    <row r="205" spans="1:55">
      <c r="A205" s="45"/>
      <c r="B205" s="54"/>
      <c r="C205" s="333"/>
      <c r="D205" s="333"/>
      <c r="E205" s="45"/>
      <c r="F205" s="45"/>
      <c r="G205" s="45"/>
      <c r="H205" s="2943"/>
      <c r="I205" s="45"/>
      <c r="J205" s="45"/>
      <c r="K205" s="45"/>
      <c r="L205" s="45"/>
      <c r="M205" s="45"/>
      <c r="N205" s="186"/>
      <c r="O205" s="241"/>
      <c r="P205" s="45"/>
      <c r="Q205" s="45"/>
      <c r="R205" s="45"/>
      <c r="S205" s="45"/>
      <c r="T205" s="45"/>
      <c r="U205" s="45"/>
      <c r="V205" s="45"/>
      <c r="W205" s="45"/>
      <c r="X205" s="45"/>
      <c r="Y205" s="45"/>
      <c r="Z205" s="45"/>
      <c r="AA205" s="45"/>
      <c r="AB205" s="45"/>
      <c r="AC205" s="45"/>
      <c r="AD205" s="45"/>
      <c r="AE205" s="45"/>
      <c r="AF205" s="45"/>
      <c r="AG205" s="45"/>
      <c r="AH205" s="45"/>
      <c r="AI205" s="45"/>
      <c r="AJ205" s="54"/>
      <c r="AK205" s="333"/>
      <c r="AL205" s="333"/>
      <c r="AM205" s="45"/>
      <c r="AN205" s="45"/>
      <c r="AO205" s="45"/>
      <c r="AP205" s="45"/>
      <c r="AQ205" s="45"/>
      <c r="AR205" s="45"/>
      <c r="AS205" s="45"/>
      <c r="AT205" s="45"/>
      <c r="AU205" s="45"/>
      <c r="AV205" s="186"/>
      <c r="AW205" s="241"/>
      <c r="AX205" s="45"/>
      <c r="AY205" s="45"/>
      <c r="AZ205" s="54"/>
      <c r="BA205" s="45"/>
      <c r="BB205" s="54"/>
      <c r="BC205" s="54"/>
    </row>
    <row r="206" spans="1:55">
      <c r="A206" s="45"/>
      <c r="B206" s="54"/>
      <c r="C206" s="334"/>
      <c r="D206" s="334"/>
      <c r="E206" s="45"/>
      <c r="F206" s="45"/>
      <c r="G206" s="45"/>
      <c r="H206" s="45"/>
      <c r="I206" s="1636"/>
      <c r="J206" s="45"/>
      <c r="K206" s="45"/>
      <c r="L206" s="45"/>
      <c r="M206" s="45"/>
      <c r="N206" s="186"/>
      <c r="O206" s="241"/>
      <c r="P206" s="45"/>
      <c r="Q206" s="45"/>
      <c r="R206" s="45"/>
      <c r="S206" s="45"/>
      <c r="T206" s="45"/>
      <c r="U206" s="45"/>
      <c r="V206" s="45"/>
      <c r="W206" s="45"/>
      <c r="X206" s="45"/>
      <c r="Y206" s="45"/>
      <c r="Z206" s="45"/>
      <c r="AA206" s="45"/>
      <c r="AB206" s="45"/>
      <c r="AC206" s="45"/>
      <c r="AD206" s="45"/>
      <c r="AE206" s="45"/>
      <c r="AF206" s="45"/>
      <c r="AG206" s="45"/>
      <c r="AH206" s="45"/>
      <c r="AI206" s="45"/>
      <c r="AJ206" s="54"/>
      <c r="AK206" s="334"/>
      <c r="AL206" s="334"/>
      <c r="AM206" s="45"/>
      <c r="AN206" s="45"/>
      <c r="AO206" s="45"/>
      <c r="AP206" s="45"/>
      <c r="AQ206" s="45"/>
      <c r="AR206" s="45"/>
      <c r="AS206" s="45"/>
      <c r="AT206" s="45"/>
      <c r="AU206" s="45"/>
      <c r="AV206" s="186"/>
      <c r="AW206" s="241"/>
      <c r="AX206" s="45"/>
      <c r="AY206" s="45"/>
      <c r="AZ206" s="54"/>
      <c r="BA206" s="45"/>
      <c r="BB206" s="54"/>
      <c r="BC206" s="54"/>
    </row>
    <row r="207" spans="1:55">
      <c r="A207" s="45"/>
      <c r="B207" s="54"/>
      <c r="C207" s="54"/>
      <c r="D207" s="54"/>
      <c r="E207" s="45"/>
      <c r="F207" s="45"/>
      <c r="G207" s="45"/>
      <c r="H207" s="45"/>
      <c r="I207" s="45"/>
      <c r="J207" s="45"/>
      <c r="K207" s="45"/>
      <c r="L207" s="45"/>
      <c r="M207" s="45"/>
      <c r="N207" s="335"/>
      <c r="O207" s="335"/>
      <c r="P207" s="45"/>
      <c r="Q207" s="45"/>
      <c r="R207" s="45"/>
      <c r="S207" s="45"/>
      <c r="T207" s="45"/>
      <c r="U207" s="45"/>
      <c r="V207" s="45"/>
      <c r="W207" s="45"/>
      <c r="X207" s="45"/>
      <c r="Y207" s="45"/>
      <c r="Z207" s="45"/>
      <c r="AA207" s="45"/>
      <c r="AB207" s="45"/>
      <c r="AC207" s="45"/>
      <c r="AD207" s="45"/>
      <c r="AE207" s="45"/>
      <c r="AF207" s="45"/>
      <c r="AG207" s="45"/>
      <c r="AH207" s="45"/>
      <c r="AI207" s="45"/>
      <c r="AJ207" s="54"/>
      <c r="AK207" s="54"/>
      <c r="AL207" s="54"/>
      <c r="AM207" s="45"/>
      <c r="AN207" s="45"/>
      <c r="AO207" s="45"/>
      <c r="AP207" s="45"/>
      <c r="AQ207" s="45"/>
      <c r="AR207" s="45"/>
      <c r="AS207" s="45"/>
      <c r="AT207" s="45"/>
      <c r="AU207" s="45"/>
      <c r="AV207" s="335"/>
      <c r="AW207" s="335"/>
      <c r="AX207" s="45"/>
      <c r="AY207" s="45"/>
      <c r="AZ207" s="54"/>
      <c r="BA207" s="45"/>
      <c r="BB207" s="54"/>
      <c r="BC207" s="54"/>
    </row>
    <row r="208" spans="1:55">
      <c r="A208" s="45"/>
      <c r="B208" s="54"/>
      <c r="C208" s="54"/>
      <c r="D208" s="54"/>
      <c r="E208" s="54"/>
      <c r="F208" s="54"/>
      <c r="G208" s="54"/>
      <c r="H208" s="54"/>
      <c r="I208" s="54"/>
      <c r="J208" s="54"/>
      <c r="K208" s="54"/>
      <c r="L208" s="54"/>
      <c r="M208" s="54"/>
      <c r="N208" s="54"/>
      <c r="O208" s="54"/>
      <c r="P208" s="45"/>
      <c r="Q208" s="45"/>
      <c r="R208" s="45"/>
      <c r="S208" s="54"/>
      <c r="T208" s="54"/>
      <c r="U208" s="54"/>
      <c r="V208" s="54"/>
      <c r="W208" s="54"/>
      <c r="X208" s="54"/>
      <c r="Y208" s="54"/>
      <c r="Z208" s="54"/>
      <c r="AA208" s="45"/>
      <c r="AB208" s="45"/>
      <c r="AC208" s="45"/>
      <c r="AD208" s="45"/>
      <c r="AE208" s="45"/>
      <c r="AF208" s="45"/>
      <c r="AG208" s="45"/>
      <c r="AH208" s="45"/>
      <c r="AI208" s="45"/>
      <c r="AJ208" s="54"/>
      <c r="AK208" s="54"/>
      <c r="AL208" s="54"/>
      <c r="AM208" s="54"/>
      <c r="AN208" s="54"/>
      <c r="AO208" s="54"/>
      <c r="AP208" s="54"/>
      <c r="AQ208" s="54"/>
      <c r="AR208" s="54"/>
      <c r="AS208" s="54"/>
      <c r="AT208" s="54"/>
      <c r="AU208" s="54"/>
      <c r="AV208" s="54"/>
      <c r="AW208" s="54"/>
      <c r="AX208" s="45"/>
      <c r="AY208" s="45"/>
      <c r="AZ208" s="54"/>
      <c r="BA208" s="45"/>
      <c r="BB208" s="54"/>
      <c r="BC208" s="54"/>
    </row>
    <row r="209" spans="1:55">
      <c r="A209" s="45"/>
      <c r="B209" s="54"/>
      <c r="C209" s="54"/>
      <c r="D209" s="54"/>
      <c r="E209" s="54"/>
      <c r="F209" s="54"/>
      <c r="G209" s="54"/>
      <c r="H209" s="54"/>
      <c r="I209" s="54"/>
      <c r="J209" s="54"/>
      <c r="K209" s="54"/>
      <c r="L209" s="54"/>
      <c r="M209" s="54"/>
      <c r="N209" s="54"/>
      <c r="O209" s="54"/>
      <c r="P209" s="54"/>
      <c r="Q209" s="54"/>
      <c r="R209" s="54"/>
      <c r="S209" s="54"/>
      <c r="T209" s="54"/>
      <c r="U209" s="54"/>
      <c r="V209" s="54"/>
      <c r="W209" s="54"/>
      <c r="X209" s="54"/>
      <c r="Y209" s="54"/>
      <c r="Z209" s="54"/>
      <c r="AA209" s="54"/>
      <c r="AB209" s="45"/>
      <c r="AC209" s="45"/>
      <c r="AD209" s="45"/>
      <c r="AE209" s="45"/>
      <c r="AF209" s="45"/>
      <c r="AG209" s="45"/>
      <c r="AH209" s="45"/>
      <c r="AI209" s="45"/>
      <c r="AJ209" s="54"/>
      <c r="AK209" s="54"/>
      <c r="AL209" s="54"/>
      <c r="AM209" s="54"/>
      <c r="AN209" s="54"/>
      <c r="AO209" s="54"/>
      <c r="AP209" s="54"/>
      <c r="AQ209" s="54"/>
      <c r="AR209" s="54"/>
      <c r="AS209" s="54"/>
      <c r="AT209" s="54"/>
      <c r="AU209" s="54"/>
      <c r="AV209" s="54"/>
      <c r="AW209" s="54"/>
      <c r="AX209" s="54"/>
      <c r="AY209" s="54"/>
      <c r="AZ209" s="54"/>
      <c r="BA209" s="54"/>
      <c r="BB209" s="54"/>
      <c r="BC209" s="54"/>
    </row>
    <row r="210" spans="1:55">
      <c r="A210" s="45"/>
      <c r="B210" s="54"/>
      <c r="C210" s="54"/>
      <c r="D210" s="54"/>
      <c r="E210" s="54"/>
      <c r="F210" s="54"/>
      <c r="G210" s="54"/>
      <c r="H210" s="54"/>
      <c r="I210" s="54"/>
      <c r="J210" s="54"/>
      <c r="K210" s="54"/>
      <c r="L210" s="54"/>
      <c r="M210" s="54"/>
      <c r="N210" s="54"/>
      <c r="O210" s="54"/>
      <c r="P210" s="54"/>
      <c r="Q210" s="54"/>
      <c r="R210" s="54"/>
      <c r="S210" s="54"/>
      <c r="T210" s="54"/>
      <c r="U210" s="54"/>
      <c r="V210" s="54"/>
      <c r="W210" s="54"/>
      <c r="X210" s="54"/>
      <c r="Y210" s="54"/>
      <c r="Z210" s="54"/>
      <c r="AA210" s="54"/>
      <c r="AB210" s="45"/>
      <c r="AC210" s="45"/>
      <c r="AD210" s="45"/>
      <c r="AE210" s="45"/>
      <c r="AF210" s="45"/>
      <c r="AG210" s="45"/>
      <c r="AH210" s="45"/>
      <c r="AI210" s="45"/>
      <c r="AJ210" s="54"/>
      <c r="AK210" s="54"/>
      <c r="AL210" s="54"/>
      <c r="AM210" s="54"/>
      <c r="AN210" s="54"/>
      <c r="AO210" s="54"/>
      <c r="AP210" s="54"/>
      <c r="AQ210" s="54"/>
      <c r="AR210" s="54"/>
      <c r="AS210" s="54"/>
      <c r="AT210" s="54"/>
      <c r="AU210" s="54"/>
      <c r="AV210" s="54"/>
      <c r="AW210" s="54"/>
      <c r="AX210" s="54"/>
      <c r="AY210" s="54"/>
      <c r="AZ210" s="54"/>
      <c r="BA210" s="54"/>
      <c r="BB210" s="54"/>
      <c r="BC210" s="54"/>
    </row>
    <row r="211" spans="1:55">
      <c r="A211" s="45"/>
      <c r="B211" s="45"/>
      <c r="C211" s="45"/>
      <c r="D211" s="54"/>
      <c r="E211" s="54"/>
      <c r="F211" s="54"/>
      <c r="G211" s="54"/>
      <c r="H211" s="54"/>
      <c r="I211" s="54"/>
      <c r="J211" s="54"/>
      <c r="K211" s="54"/>
      <c r="L211" s="54"/>
      <c r="M211" s="54"/>
      <c r="N211" s="54"/>
      <c r="O211" s="54"/>
      <c r="P211" s="54"/>
      <c r="Q211" s="54"/>
      <c r="R211" s="54"/>
      <c r="S211" s="54"/>
      <c r="T211" s="54"/>
      <c r="U211" s="54"/>
      <c r="V211" s="54"/>
      <c r="W211" s="54"/>
      <c r="X211" s="54"/>
      <c r="Y211" s="54"/>
      <c r="Z211" s="54"/>
      <c r="AA211" s="54"/>
      <c r="AB211" s="45"/>
      <c r="AC211" s="45"/>
      <c r="AD211" s="45"/>
      <c r="AE211" s="45"/>
      <c r="AF211" s="45"/>
      <c r="AG211" s="45"/>
      <c r="AH211" s="45"/>
      <c r="AI211" s="45"/>
      <c r="AJ211" s="45"/>
      <c r="AK211" s="45"/>
      <c r="AL211" s="54"/>
      <c r="AM211" s="54"/>
      <c r="AN211" s="54"/>
      <c r="AO211" s="54"/>
      <c r="AP211" s="54"/>
      <c r="AQ211" s="54"/>
      <c r="AR211" s="54"/>
      <c r="AS211" s="54"/>
      <c r="AT211" s="54"/>
      <c r="AU211" s="54"/>
      <c r="AV211" s="54"/>
      <c r="AW211" s="54"/>
      <c r="AX211" s="54"/>
      <c r="AY211" s="54"/>
      <c r="AZ211" s="54"/>
      <c r="BA211" s="54"/>
      <c r="BB211" s="54"/>
      <c r="BC211" s="54"/>
    </row>
    <row r="212" spans="1:55">
      <c r="A212" s="45"/>
      <c r="B212" s="45"/>
      <c r="C212" s="45"/>
      <c r="D212" s="54"/>
      <c r="E212" s="54"/>
      <c r="F212" s="54"/>
      <c r="G212" s="54"/>
      <c r="H212" s="54"/>
      <c r="I212" s="54"/>
      <c r="J212" s="54"/>
      <c r="K212" s="54"/>
      <c r="L212" s="54"/>
      <c r="M212" s="54"/>
      <c r="N212" s="54"/>
      <c r="O212" s="54"/>
      <c r="P212" s="54"/>
      <c r="Q212" s="54"/>
      <c r="R212" s="54"/>
      <c r="S212" s="54"/>
      <c r="T212" s="54"/>
      <c r="U212" s="54"/>
      <c r="V212" s="54"/>
      <c r="W212" s="54"/>
      <c r="X212" s="54"/>
      <c r="Y212" s="54"/>
      <c r="Z212" s="54"/>
      <c r="AA212" s="54"/>
      <c r="AB212" s="45"/>
      <c r="AC212" s="45"/>
      <c r="AD212" s="45"/>
      <c r="AE212" s="45"/>
      <c r="AF212" s="45"/>
      <c r="AG212" s="45"/>
      <c r="AH212" s="45"/>
      <c r="AI212" s="45"/>
      <c r="AJ212" s="45"/>
      <c r="AK212" s="45"/>
      <c r="AL212" s="54"/>
      <c r="AM212" s="54"/>
      <c r="AN212" s="54"/>
      <c r="AO212" s="54"/>
      <c r="AP212" s="54"/>
      <c r="AQ212" s="54"/>
      <c r="AR212" s="54"/>
      <c r="AS212" s="54"/>
      <c r="AT212" s="54"/>
      <c r="AU212" s="54"/>
      <c r="AV212" s="54"/>
      <c r="AW212" s="54"/>
      <c r="AX212" s="54"/>
      <c r="AY212" s="54"/>
      <c r="AZ212" s="54"/>
      <c r="BA212" s="54"/>
      <c r="BB212" s="54"/>
      <c r="BC212" s="54"/>
    </row>
    <row r="213" spans="1:55">
      <c r="A213" s="45"/>
      <c r="B213" s="45"/>
      <c r="C213" s="45"/>
      <c r="D213" s="54"/>
      <c r="E213" s="54"/>
      <c r="F213" s="54"/>
      <c r="G213" s="54"/>
      <c r="H213" s="54"/>
      <c r="I213" s="54"/>
      <c r="J213" s="54"/>
      <c r="K213" s="54"/>
      <c r="L213" s="54"/>
      <c r="M213" s="54"/>
      <c r="N213" s="54"/>
      <c r="O213" s="54"/>
      <c r="P213" s="54"/>
      <c r="Q213" s="54"/>
      <c r="R213" s="54"/>
      <c r="S213" s="54"/>
      <c r="T213" s="54"/>
      <c r="U213" s="54"/>
      <c r="V213" s="54"/>
      <c r="W213" s="54"/>
      <c r="X213" s="54"/>
      <c r="Y213" s="54"/>
      <c r="Z213" s="54"/>
      <c r="AA213" s="54"/>
      <c r="AB213" s="45"/>
      <c r="AC213" s="45"/>
      <c r="AD213" s="45"/>
      <c r="AE213" s="45"/>
      <c r="AF213" s="45"/>
      <c r="AG213" s="45"/>
      <c r="AH213" s="45"/>
      <c r="AI213" s="45"/>
      <c r="AJ213" s="45"/>
      <c r="AK213" s="45"/>
      <c r="AL213" s="54"/>
      <c r="AM213" s="54"/>
      <c r="AN213" s="54"/>
      <c r="AO213" s="54"/>
      <c r="AP213" s="54"/>
      <c r="AQ213" s="54"/>
      <c r="AR213" s="54"/>
      <c r="AS213" s="54"/>
      <c r="AT213" s="54"/>
      <c r="AU213" s="54"/>
      <c r="AV213" s="54"/>
      <c r="AW213" s="54"/>
      <c r="AX213" s="54"/>
      <c r="AY213" s="54"/>
      <c r="AZ213" s="54"/>
      <c r="BA213" s="54"/>
      <c r="BB213" s="54"/>
      <c r="BC213" s="54"/>
    </row>
    <row r="214" spans="1:55">
      <c r="A214" s="45"/>
      <c r="B214" s="1901"/>
      <c r="C214" s="2551" t="s">
        <v>210</v>
      </c>
      <c r="D214" s="2551"/>
      <c r="E214" s="2303"/>
      <c r="F214" s="2303"/>
      <c r="G214" s="2303"/>
      <c r="H214" s="2303"/>
      <c r="I214" s="2446"/>
      <c r="J214" s="259"/>
      <c r="K214" s="259"/>
      <c r="L214" s="259"/>
      <c r="M214" s="259"/>
      <c r="N214" s="54"/>
      <c r="O214" s="54"/>
      <c r="P214" s="54"/>
      <c r="Q214" s="54"/>
      <c r="R214" s="54"/>
      <c r="S214" s="336"/>
      <c r="T214" s="337" t="s">
        <v>210</v>
      </c>
      <c r="U214" s="337"/>
      <c r="V214" s="100"/>
      <c r="W214" s="100"/>
      <c r="X214" s="100"/>
      <c r="Y214" s="100"/>
      <c r="Z214" s="239"/>
      <c r="AA214" s="54"/>
      <c r="AB214" s="45"/>
      <c r="AC214" s="45"/>
      <c r="AD214" s="45"/>
      <c r="AE214" s="45"/>
      <c r="AF214" s="45"/>
      <c r="AG214" s="45"/>
      <c r="AH214" s="45"/>
      <c r="AI214" s="45"/>
      <c r="AJ214" s="336"/>
      <c r="AK214" s="337" t="s">
        <v>210</v>
      </c>
      <c r="AL214" s="337"/>
      <c r="AM214" s="100"/>
      <c r="AN214" s="100"/>
      <c r="AO214" s="100"/>
      <c r="AP214" s="100"/>
      <c r="AQ214" s="239"/>
      <c r="AR214" s="259"/>
      <c r="AS214" s="259"/>
      <c r="AT214" s="259"/>
      <c r="AU214" s="259"/>
      <c r="AV214" s="54"/>
      <c r="AW214" s="54"/>
      <c r="AX214" s="54"/>
      <c r="AY214" s="54"/>
      <c r="AZ214" s="54"/>
      <c r="BA214" s="54"/>
      <c r="BB214" s="54"/>
      <c r="BC214" s="54"/>
    </row>
    <row r="215" spans="1:55">
      <c r="A215" s="45"/>
      <c r="B215" s="1583"/>
      <c r="C215" s="4207" t="s">
        <v>684</v>
      </c>
      <c r="D215" s="4207"/>
      <c r="E215" s="4207"/>
      <c r="F215" s="4207"/>
      <c r="G215" s="4207"/>
      <c r="H215" s="4207"/>
      <c r="I215" s="2480"/>
      <c r="J215" s="259"/>
      <c r="K215" s="259"/>
      <c r="L215" s="259"/>
      <c r="M215" s="259"/>
      <c r="N215" s="54"/>
      <c r="O215" s="54"/>
      <c r="P215" s="54"/>
      <c r="Q215" s="54"/>
      <c r="R215" s="54"/>
      <c r="S215" s="276"/>
      <c r="T215" s="4208" t="s">
        <v>684</v>
      </c>
      <c r="U215" s="4208"/>
      <c r="V215" s="4208"/>
      <c r="W215" s="4208"/>
      <c r="X215" s="4208"/>
      <c r="Y215" s="4208"/>
      <c r="Z215" s="261"/>
      <c r="AA215" s="54"/>
      <c r="AB215" s="45"/>
      <c r="AC215" s="45"/>
      <c r="AD215" s="45"/>
      <c r="AE215" s="45"/>
      <c r="AF215" s="45"/>
      <c r="AG215" s="45"/>
      <c r="AH215" s="45"/>
      <c r="AI215" s="45"/>
      <c r="AJ215" s="276"/>
      <c r="AK215" s="4208" t="s">
        <v>684</v>
      </c>
      <c r="AL215" s="4208"/>
      <c r="AM215" s="4208"/>
      <c r="AN215" s="4208"/>
      <c r="AO215" s="4208"/>
      <c r="AP215" s="4208"/>
      <c r="AQ215" s="261"/>
      <c r="AR215" s="259"/>
      <c r="AS215" s="259"/>
      <c r="AT215" s="259"/>
      <c r="AU215" s="259"/>
      <c r="AV215" s="54"/>
      <c r="AW215" s="54"/>
      <c r="AX215" s="54"/>
      <c r="AY215" s="54"/>
      <c r="AZ215" s="54"/>
      <c r="BA215" s="54"/>
      <c r="BB215" s="54"/>
      <c r="BC215" s="54"/>
    </row>
    <row r="216" spans="1:55" ht="15.6">
      <c r="A216" s="45"/>
      <c r="B216" s="1583"/>
      <c r="C216" s="2309" t="str">
        <f>"Country: " &amp;UPPER(Country)</f>
        <v>Country: BELGIUM</v>
      </c>
      <c r="D216" s="2431"/>
      <c r="E216" s="2311"/>
      <c r="F216" s="2311"/>
      <c r="G216" s="2311"/>
      <c r="H216" s="2311"/>
      <c r="I216" s="2405"/>
      <c r="J216" s="259"/>
      <c r="K216" s="259"/>
      <c r="L216" s="259"/>
      <c r="M216" s="259"/>
      <c r="N216" s="54"/>
      <c r="O216" s="54"/>
      <c r="P216" s="54"/>
      <c r="Q216" s="54"/>
      <c r="R216" s="54"/>
      <c r="S216" s="276"/>
      <c r="T216" s="63" t="str">
        <f>"Country: " &amp;UPPER(Country)</f>
        <v>Country: BELGIUM</v>
      </c>
      <c r="U216" s="223"/>
      <c r="V216" s="1915" t="s">
        <v>724</v>
      </c>
      <c r="W216" s="65"/>
      <c r="X216" s="65"/>
      <c r="Y216" s="65"/>
      <c r="Z216" s="195"/>
      <c r="AA216" s="54"/>
      <c r="AB216" s="45"/>
      <c r="AC216" s="45"/>
      <c r="AD216" s="45"/>
      <c r="AE216" s="45"/>
      <c r="AF216" s="45"/>
      <c r="AG216" s="45"/>
      <c r="AH216" s="45"/>
      <c r="AI216" s="45"/>
      <c r="AJ216" s="276"/>
      <c r="AK216" s="63" t="str">
        <f>"Country: " &amp;UPPER(Country)</f>
        <v>Country: BELGIUM</v>
      </c>
      <c r="AL216" s="223"/>
      <c r="AM216" s="65"/>
      <c r="AN216" s="65"/>
      <c r="AO216" s="65"/>
      <c r="AP216" s="65"/>
      <c r="AQ216" s="195"/>
      <c r="AR216" s="259"/>
      <c r="AS216" s="259"/>
      <c r="AT216" s="259"/>
      <c r="AU216" s="259"/>
      <c r="AV216" s="54"/>
      <c r="AW216" s="54"/>
      <c r="AX216" s="54"/>
      <c r="AY216" s="54"/>
      <c r="AZ216" s="54"/>
      <c r="BA216" s="54"/>
      <c r="BB216" s="54"/>
      <c r="BC216" s="54"/>
    </row>
    <row r="217" spans="1:55" ht="15.6">
      <c r="A217" s="45"/>
      <c r="B217" s="1583"/>
      <c r="C217" s="2309" t="str">
        <f>"Currency unit: " &amp; Currency</f>
        <v>Currency unit: bn EUR</v>
      </c>
      <c r="D217" s="2431"/>
      <c r="E217" s="2311"/>
      <c r="F217" s="2398"/>
      <c r="G217" s="2398"/>
      <c r="H217" s="2398"/>
      <c r="I217" s="1574"/>
      <c r="J217" s="54"/>
      <c r="K217" s="54"/>
      <c r="L217" s="54"/>
      <c r="M217" s="54"/>
      <c r="N217" s="54"/>
      <c r="O217" s="54"/>
      <c r="P217" s="54"/>
      <c r="Q217" s="54"/>
      <c r="R217" s="54"/>
      <c r="S217" s="276"/>
      <c r="T217" s="63" t="str">
        <f>"Currency unit: " &amp; Currency</f>
        <v>Currency unit: bn EUR</v>
      </c>
      <c r="U217" s="223"/>
      <c r="V217" s="1915" t="str">
        <f>$T$4</f>
        <v>SF2018 - final storage FRI</v>
      </c>
      <c r="W217" s="1"/>
      <c r="X217" s="1"/>
      <c r="Y217" s="1"/>
      <c r="Z217" s="90"/>
      <c r="AA217" s="54"/>
      <c r="AB217" s="45"/>
      <c r="AC217" s="45"/>
      <c r="AD217" s="45"/>
      <c r="AE217" s="45"/>
      <c r="AF217" s="45"/>
      <c r="AG217" s="45"/>
      <c r="AH217" s="45"/>
      <c r="AI217" s="45"/>
      <c r="AJ217" s="276"/>
      <c r="AK217" s="63" t="str">
        <f>"Currency unit: " &amp; Currency</f>
        <v>Currency unit: bn EUR</v>
      </c>
      <c r="AL217" s="223"/>
      <c r="AM217" s="65"/>
      <c r="AN217" s="1"/>
      <c r="AO217" s="1"/>
      <c r="AP217" s="1"/>
      <c r="AQ217" s="90"/>
      <c r="AR217" s="54"/>
      <c r="AS217" s="54"/>
      <c r="AT217" s="54"/>
      <c r="AU217" s="54"/>
      <c r="AV217" s="54"/>
      <c r="AW217" s="54"/>
      <c r="AX217" s="54"/>
      <c r="AY217" s="54"/>
      <c r="AZ217" s="54"/>
      <c r="BA217" s="54"/>
      <c r="BB217" s="54"/>
      <c r="BC217" s="54"/>
    </row>
    <row r="218" spans="1:55" ht="13.8" thickBot="1">
      <c r="A218" s="45"/>
      <c r="B218" s="1575"/>
      <c r="C218" s="2315" t="s">
        <v>1641</v>
      </c>
      <c r="D218" s="2315"/>
      <c r="E218" s="2311"/>
      <c r="F218" s="2398"/>
      <c r="G218" s="4159">
        <f ca="1">NOW()</f>
        <v>43213.646692361108</v>
      </c>
      <c r="H218" s="4159"/>
      <c r="I218" s="2552"/>
      <c r="J218" s="54"/>
      <c r="K218" s="54"/>
      <c r="L218" s="54"/>
      <c r="M218" s="54"/>
      <c r="N218" s="54"/>
      <c r="O218" s="54"/>
      <c r="P218" s="54"/>
      <c r="Q218" s="54"/>
      <c r="R218" s="54"/>
      <c r="S218" s="189"/>
      <c r="T218" s="69" t="s">
        <v>1641</v>
      </c>
      <c r="U218" s="69"/>
      <c r="V218" s="65"/>
      <c r="W218" s="1"/>
      <c r="X218" s="4160">
        <f ca="1">NOW()</f>
        <v>43213.646692361108</v>
      </c>
      <c r="Y218" s="4160"/>
      <c r="Z218" s="338"/>
      <c r="AA218" s="54"/>
      <c r="AB218" s="45"/>
      <c r="AC218" s="45"/>
      <c r="AD218" s="45"/>
      <c r="AE218" s="45"/>
      <c r="AF218" s="45"/>
      <c r="AG218" s="45"/>
      <c r="AH218" s="45"/>
      <c r="AI218" s="45"/>
      <c r="AJ218" s="189"/>
      <c r="AK218" s="69" t="s">
        <v>1641</v>
      </c>
      <c r="AL218" s="69"/>
      <c r="AM218" s="65"/>
      <c r="AN218" s="1"/>
      <c r="AO218" s="4160">
        <f ca="1">NOW()</f>
        <v>43213.646692361108</v>
      </c>
      <c r="AP218" s="4160"/>
      <c r="AQ218" s="338"/>
      <c r="AR218" s="54"/>
      <c r="AS218" s="54"/>
      <c r="AT218" s="54"/>
      <c r="AU218" s="54"/>
      <c r="AV218" s="54"/>
      <c r="AW218" s="54"/>
      <c r="AX218" s="54"/>
      <c r="AY218" s="54"/>
      <c r="AZ218" s="54"/>
      <c r="BA218" s="54"/>
      <c r="BB218" s="54"/>
      <c r="BC218" s="54"/>
    </row>
    <row r="219" spans="1:55">
      <c r="A219" s="45"/>
      <c r="B219" s="1583"/>
      <c r="C219" s="2317"/>
      <c r="D219" s="2318"/>
      <c r="E219" s="2553">
        <f>E16</f>
        <v>2016</v>
      </c>
      <c r="F219" s="2553">
        <f>E219+1</f>
        <v>2017</v>
      </c>
      <c r="G219" s="2553">
        <f>F219+1</f>
        <v>2018</v>
      </c>
      <c r="H219" s="2554">
        <f>G219+1</f>
        <v>2019</v>
      </c>
      <c r="I219" s="2555"/>
      <c r="J219" s="54"/>
      <c r="K219" s="54"/>
      <c r="L219" s="54"/>
      <c r="M219" s="54"/>
      <c r="N219" s="54"/>
      <c r="O219" s="54"/>
      <c r="P219" s="54"/>
      <c r="Q219" s="54"/>
      <c r="R219" s="54"/>
      <c r="S219" s="276"/>
      <c r="T219" s="190"/>
      <c r="U219" s="73"/>
      <c r="V219" s="339">
        <f>Last_forecast_year - 3</f>
        <v>2016</v>
      </c>
      <c r="W219" s="339">
        <f>V219+1</f>
        <v>2017</v>
      </c>
      <c r="X219" s="339">
        <f>W219+1</f>
        <v>2018</v>
      </c>
      <c r="Y219" s="339">
        <f>X219+1</f>
        <v>2019</v>
      </c>
      <c r="Z219" s="340"/>
      <c r="AA219" s="54"/>
      <c r="AB219" s="45"/>
      <c r="AC219" s="45"/>
      <c r="AD219" s="45"/>
      <c r="AE219" s="45"/>
      <c r="AF219" s="45"/>
      <c r="AG219" s="45"/>
      <c r="AH219" s="45"/>
      <c r="AI219" s="45"/>
      <c r="AJ219" s="276"/>
      <c r="AK219" s="190"/>
      <c r="AL219" s="73"/>
      <c r="AM219" s="339">
        <f>AM16</f>
        <v>2016</v>
      </c>
      <c r="AN219" s="339">
        <f>AM219+1</f>
        <v>2017</v>
      </c>
      <c r="AO219" s="339">
        <f>AN219+1</f>
        <v>2018</v>
      </c>
      <c r="AP219" s="2061">
        <f>AO219+1</f>
        <v>2019</v>
      </c>
      <c r="AQ219" s="340"/>
      <c r="AR219" s="54"/>
      <c r="AS219" s="54"/>
      <c r="AT219" s="54"/>
      <c r="AU219" s="54"/>
      <c r="AV219" s="54"/>
      <c r="AW219" s="54"/>
      <c r="AX219" s="54"/>
      <c r="AY219" s="54"/>
      <c r="AZ219" s="54"/>
      <c r="BA219" s="54"/>
      <c r="BB219" s="54"/>
      <c r="BC219" s="54"/>
    </row>
    <row r="220" spans="1:55">
      <c r="A220" s="45"/>
      <c r="B220" s="1583"/>
      <c r="C220" s="2339"/>
      <c r="D220" s="2340"/>
      <c r="E220" s="4218" t="s">
        <v>211</v>
      </c>
      <c r="F220" s="4218"/>
      <c r="G220" s="4218"/>
      <c r="H220" s="4219"/>
      <c r="I220" s="2491"/>
      <c r="J220" s="54"/>
      <c r="K220" s="54"/>
      <c r="L220" s="54"/>
      <c r="M220" s="54"/>
      <c r="N220" s="54"/>
      <c r="O220" s="54"/>
      <c r="P220" s="54"/>
      <c r="Q220" s="54"/>
      <c r="R220" s="54"/>
      <c r="S220" s="276"/>
      <c r="T220" s="94"/>
      <c r="U220" s="115"/>
      <c r="V220" s="4220" t="s">
        <v>211</v>
      </c>
      <c r="W220" s="4220"/>
      <c r="X220" s="4220"/>
      <c r="Y220" s="4221"/>
      <c r="Z220" s="274"/>
      <c r="AA220" s="54"/>
      <c r="AB220" s="45"/>
      <c r="AC220" s="45"/>
      <c r="AD220" s="45"/>
      <c r="AE220" s="45"/>
      <c r="AF220" s="45"/>
      <c r="AG220" s="45"/>
      <c r="AH220" s="45"/>
      <c r="AI220" s="45"/>
      <c r="AJ220" s="276"/>
      <c r="AK220" s="94"/>
      <c r="AL220" s="115"/>
      <c r="AM220" s="4220" t="s">
        <v>211</v>
      </c>
      <c r="AN220" s="4220"/>
      <c r="AO220" s="4220"/>
      <c r="AP220" s="4221"/>
      <c r="AQ220" s="274"/>
      <c r="AR220" s="54"/>
      <c r="AS220" s="54"/>
      <c r="AT220" s="54"/>
      <c r="AU220" s="54"/>
      <c r="AV220" s="54"/>
      <c r="AW220" s="54"/>
      <c r="AX220" s="54"/>
      <c r="AY220" s="54"/>
      <c r="AZ220" s="54"/>
      <c r="BA220" s="54"/>
      <c r="BB220" s="54"/>
      <c r="BC220" s="54"/>
    </row>
    <row r="221" spans="1:55">
      <c r="A221" s="45"/>
      <c r="B221" s="1583"/>
      <c r="C221" s="2345" t="s">
        <v>1841</v>
      </c>
      <c r="D221" s="2373"/>
      <c r="E221" s="2371">
        <f ca="1">100*(((1000*(Transfer!D136)/Transfer!D284)/((1000*(Transfer!C136)/Transfer!C284)))-1)</f>
        <v>1.5039471177808128</v>
      </c>
      <c r="F221" s="2108">
        <f ca="1">100*(((1000*(Transfer!E136)/Transfer!E284)/((1000*(Transfer!D136)/Transfer!D284)))-1)</f>
        <v>1.6938080502648001</v>
      </c>
      <c r="G221" s="2453">
        <f ca="1">100*(((1000*(Transfer!F136)/Transfer!F284)/((1000*(Transfer!E136)/Transfer!E284)))-1)</f>
        <v>1.6999999999999682</v>
      </c>
      <c r="H221" s="2556">
        <f ca="1">100*(((1000*(Transfer!G136)/Transfer!G284)/((1000*(Transfer!F136)/Transfer!F284)))-1)</f>
        <v>1.2999999999999678</v>
      </c>
      <c r="I221" s="2405"/>
      <c r="J221" s="54"/>
      <c r="K221" s="54"/>
      <c r="L221" s="54"/>
      <c r="M221" s="54"/>
      <c r="N221" s="54"/>
      <c r="O221" s="54"/>
      <c r="P221" s="54"/>
      <c r="Q221" s="54"/>
      <c r="R221" s="54"/>
      <c r="S221" s="276"/>
      <c r="T221" s="40" t="s">
        <v>1841</v>
      </c>
      <c r="U221" s="65"/>
      <c r="V221" s="79">
        <f t="shared" ref="V221:Y226" ca="1" si="13">ROUND(E221,1)-ROUND(AM221,1)</f>
        <v>0</v>
      </c>
      <c r="W221" s="79">
        <f t="shared" ca="1" si="13"/>
        <v>0</v>
      </c>
      <c r="X221" s="79">
        <f t="shared" ca="1" si="13"/>
        <v>0</v>
      </c>
      <c r="Y221" s="81">
        <f t="shared" ca="1" si="13"/>
        <v>0</v>
      </c>
      <c r="Z221" s="195"/>
      <c r="AA221" s="54"/>
      <c r="AB221" s="45"/>
      <c r="AC221" s="45"/>
      <c r="AD221" s="45"/>
      <c r="AE221" s="45"/>
      <c r="AF221" s="45"/>
      <c r="AG221" s="45"/>
      <c r="AH221" s="45"/>
      <c r="AI221" s="45"/>
      <c r="AJ221" s="276"/>
      <c r="AK221" s="2032" t="s">
        <v>1841</v>
      </c>
      <c r="AL221" s="2033"/>
      <c r="AM221" s="2030">
        <f>100*(((1000*(Transfer!AD136)/Transfer!AD284)/((1000*(Transfer!AC136)/Transfer!AC284)))-1)</f>
        <v>1.5039471177808128</v>
      </c>
      <c r="AN221" s="2108">
        <f>100*(((1000*(Transfer!AE136)/Transfer!AE284)/((1000*(Transfer!AD136)/Transfer!AD284)))-1)</f>
        <v>1.6938080502648001</v>
      </c>
      <c r="AO221" s="2057">
        <f>100*(((1000*(Transfer!AF136)/Transfer!AF284)/((1000*(Transfer!AE136)/Transfer!AE284)))-1)</f>
        <v>1.6999999999999682</v>
      </c>
      <c r="AP221" s="2109">
        <f>100*(((1000*(Transfer!AG136)/Transfer!AG284)/((1000*(Transfer!AF136)/Transfer!AF284)))-1)</f>
        <v>1.2999999999999678</v>
      </c>
      <c r="AQ221" s="195"/>
      <c r="AR221" s="54"/>
      <c r="AS221" s="54"/>
      <c r="AT221" s="54"/>
      <c r="AU221" s="54"/>
      <c r="AV221" s="54"/>
      <c r="AW221" s="54"/>
      <c r="AX221" s="54"/>
      <c r="AY221" s="54"/>
      <c r="AZ221" s="54"/>
      <c r="BA221" s="1901" t="s">
        <v>2116</v>
      </c>
      <c r="BB221" s="1610"/>
      <c r="BC221" s="54"/>
    </row>
    <row r="222" spans="1:55">
      <c r="A222" s="45"/>
      <c r="B222" s="1583"/>
      <c r="C222" s="2345" t="s">
        <v>97</v>
      </c>
      <c r="D222" s="2373"/>
      <c r="E222" s="2347">
        <f ca="1">100*(((1000*(Transfer!D137)/Transfer!D285)/((1000*(Transfer!C137)/Transfer!C285)))-1)</f>
        <v>1.0016768088166872</v>
      </c>
      <c r="F222" s="2108">
        <f ca="1">100*(((1000*(Transfer!E137)/Transfer!E285)/((1000*(Transfer!D137)/Transfer!D285)))-1)</f>
        <v>1.7931250998862946</v>
      </c>
      <c r="G222" s="2453">
        <f ca="1">100*(((1000*(Transfer!F137)/Transfer!F285)/((1000*(Transfer!E137)/Transfer!E285)))-1)</f>
        <v>1.9400000000000084</v>
      </c>
      <c r="H222" s="2556">
        <f ca="1">100*(((1000*(Transfer!G137)/Transfer!G285)/((1000*(Transfer!F137)/Transfer!F285)))-1)</f>
        <v>1.8299999999999761</v>
      </c>
      <c r="I222" s="2405"/>
      <c r="J222" s="54"/>
      <c r="K222" s="54"/>
      <c r="L222" s="54"/>
      <c r="M222" s="54"/>
      <c r="N222" s="54"/>
      <c r="O222" s="54"/>
      <c r="P222" s="54"/>
      <c r="Q222" s="54"/>
      <c r="R222" s="54"/>
      <c r="S222" s="276"/>
      <c r="T222" s="40" t="s">
        <v>97</v>
      </c>
      <c r="U222" s="65"/>
      <c r="V222" s="91">
        <f t="shared" ca="1" si="13"/>
        <v>0</v>
      </c>
      <c r="W222" s="91">
        <f t="shared" ca="1" si="13"/>
        <v>0</v>
      </c>
      <c r="X222" s="91">
        <f t="shared" ca="1" si="13"/>
        <v>0</v>
      </c>
      <c r="Y222" s="93">
        <f t="shared" ca="1" si="13"/>
        <v>0</v>
      </c>
      <c r="Z222" s="195"/>
      <c r="AA222" s="54"/>
      <c r="AB222" s="45"/>
      <c r="AC222" s="45"/>
      <c r="AD222" s="45"/>
      <c r="AE222" s="45"/>
      <c r="AF222" s="45"/>
      <c r="AG222" s="45"/>
      <c r="AH222" s="45"/>
      <c r="AI222" s="45"/>
      <c r="AJ222" s="276"/>
      <c r="AK222" s="2032" t="s">
        <v>97</v>
      </c>
      <c r="AL222" s="2033"/>
      <c r="AM222" s="2023">
        <f>100*(((1000*(Transfer!AD137)/Transfer!AD285)/((1000*(Transfer!AC137)/Transfer!AC285)))-1)</f>
        <v>1.0016768088166872</v>
      </c>
      <c r="AN222" s="2108">
        <f>100*(((1000*(Transfer!AE137)/Transfer!AE285)/((1000*(Transfer!AD137)/Transfer!AD285)))-1)</f>
        <v>1.7931250998862946</v>
      </c>
      <c r="AO222" s="2057">
        <f>100*(((1000*(Transfer!AF137)/Transfer!AF285)/((1000*(Transfer!AE137)/Transfer!AE285)))-1)</f>
        <v>1.9400000000000084</v>
      </c>
      <c r="AP222" s="2109">
        <f>100*(((1000*(Transfer!AG137)/Transfer!AG285)/((1000*(Transfer!AF137)/Transfer!AF285)))-1)</f>
        <v>1.8299999999999761</v>
      </c>
      <c r="AQ222" s="195"/>
      <c r="AR222" s="54"/>
      <c r="AS222" s="54"/>
      <c r="AT222" s="54"/>
      <c r="AU222" s="54"/>
      <c r="AV222" s="54"/>
      <c r="AW222" s="54"/>
      <c r="AX222" s="54"/>
      <c r="AY222" s="54"/>
      <c r="AZ222" s="54"/>
      <c r="BA222" s="1583" t="s">
        <v>2117</v>
      </c>
      <c r="BB222" s="1612"/>
      <c r="BC222" s="54"/>
    </row>
    <row r="223" spans="1:55">
      <c r="A223" s="45"/>
      <c r="B223" s="1583"/>
      <c r="C223" s="2345" t="s">
        <v>98</v>
      </c>
      <c r="D223" s="2373"/>
      <c r="E223" s="2347">
        <f ca="1">100*(((1000*(Transfer!D138)/Transfer!D286)/((1000*(Transfer!C138)/Transfer!C286)))-1)</f>
        <v>0.54626886946338438</v>
      </c>
      <c r="F223" s="2108">
        <f ca="1">100*(((1000*(Transfer!E138)/Transfer!E286)/((1000*(Transfer!D138)/Transfer!D286)))-1)</f>
        <v>1.7753887291680925</v>
      </c>
      <c r="G223" s="2453">
        <f ca="1">100*(((1000*(Transfer!F138)/Transfer!F286)/((1000*(Transfer!E138)/Transfer!E286)))-1)</f>
        <v>1.0000000000000231</v>
      </c>
      <c r="H223" s="2556">
        <f ca="1">100*(((1000*(Transfer!G138)/Transfer!G286)/((1000*(Transfer!F138)/Transfer!F286)))-1)</f>
        <v>1.2000000000000011</v>
      </c>
      <c r="I223" s="2405"/>
      <c r="J223" s="54"/>
      <c r="K223" s="54"/>
      <c r="L223" s="54"/>
      <c r="M223" s="54"/>
      <c r="N223" s="54"/>
      <c r="O223" s="54"/>
      <c r="P223" s="54"/>
      <c r="Q223" s="54"/>
      <c r="R223" s="54"/>
      <c r="S223" s="276"/>
      <c r="T223" s="40" t="s">
        <v>98</v>
      </c>
      <c r="U223" s="65"/>
      <c r="V223" s="91">
        <f t="shared" ca="1" si="13"/>
        <v>0</v>
      </c>
      <c r="W223" s="91">
        <f t="shared" ca="1" si="13"/>
        <v>0</v>
      </c>
      <c r="X223" s="91">
        <f t="shared" ca="1" si="13"/>
        <v>0</v>
      </c>
      <c r="Y223" s="93">
        <f t="shared" ca="1" si="13"/>
        <v>0</v>
      </c>
      <c r="Z223" s="195"/>
      <c r="AA223" s="54"/>
      <c r="AB223" s="45"/>
      <c r="AC223" s="45"/>
      <c r="AD223" s="45"/>
      <c r="AE223" s="45"/>
      <c r="AF223" s="45"/>
      <c r="AG223" s="45"/>
      <c r="AH223" s="45"/>
      <c r="AI223" s="45"/>
      <c r="AJ223" s="276"/>
      <c r="AK223" s="2032" t="s">
        <v>98</v>
      </c>
      <c r="AL223" s="2033"/>
      <c r="AM223" s="2023">
        <f>100*(((1000*(Transfer!AD138)/Transfer!AD286)/((1000*(Transfer!AC138)/Transfer!AC286)))-1)</f>
        <v>0.54626886946338438</v>
      </c>
      <c r="AN223" s="2108">
        <f>100*(((1000*(Transfer!AE138)/Transfer!AE286)/((1000*(Transfer!AD138)/Transfer!AD286)))-1)</f>
        <v>1.7753887291680925</v>
      </c>
      <c r="AO223" s="2057">
        <f>100*(((1000*(Transfer!AF138)/Transfer!AF286)/((1000*(Transfer!AE138)/Transfer!AE286)))-1)</f>
        <v>1.0000000000000231</v>
      </c>
      <c r="AP223" s="2109">
        <f>100*(((1000*(Transfer!AG138)/Transfer!AG286)/((1000*(Transfer!AF138)/Transfer!AF286)))-1)</f>
        <v>1.2000000000000011</v>
      </c>
      <c r="AQ223" s="195"/>
      <c r="AR223" s="54"/>
      <c r="AS223" s="54"/>
      <c r="AT223" s="54"/>
      <c r="AU223" s="54"/>
      <c r="AV223" s="54"/>
      <c r="AW223" s="54"/>
      <c r="AX223" s="54"/>
      <c r="AY223" s="54"/>
      <c r="AZ223" s="54"/>
      <c r="BA223" s="1583" t="s">
        <v>991</v>
      </c>
      <c r="BB223" s="1612"/>
      <c r="BC223" s="54"/>
    </row>
    <row r="224" spans="1:55">
      <c r="A224" s="45"/>
      <c r="B224" s="1583"/>
      <c r="C224" s="2557" t="s">
        <v>99</v>
      </c>
      <c r="D224" s="2558"/>
      <c r="E224" s="2453">
        <f ca="1">100*(((1000*(Transfer!D139)/Transfer!D287)/((1000*(Transfer!C139)/Transfer!C287)))-1)</f>
        <v>0.44691841560715595</v>
      </c>
      <c r="F224" s="2057">
        <f ca="1">100*(((1000*(Transfer!E139)/Transfer!E287)/((1000*(Transfer!D139)/Transfer!D287)))-1)</f>
        <v>1.6512098425830013</v>
      </c>
      <c r="G224" s="2453">
        <f ca="1">100*(((1000*(Transfer!F139)/Transfer!F287)/((1000*(Transfer!E139)/Transfer!E287)))-1)</f>
        <v>1.0000000000000231</v>
      </c>
      <c r="H224" s="2556">
        <f ca="1">100*(((1000*(Transfer!G139)/Transfer!G287)/((1000*(Transfer!F139)/Transfer!F287)))-1)</f>
        <v>1.2000000000000011</v>
      </c>
      <c r="I224" s="2559"/>
      <c r="J224" s="54"/>
      <c r="K224" s="54"/>
      <c r="L224" s="54"/>
      <c r="M224" s="54"/>
      <c r="N224" s="54"/>
      <c r="O224" s="54"/>
      <c r="P224" s="54"/>
      <c r="Q224" s="54"/>
      <c r="R224" s="54"/>
      <c r="S224" s="276"/>
      <c r="T224" s="319" t="s">
        <v>99</v>
      </c>
      <c r="U224" s="343"/>
      <c r="V224" s="91">
        <f t="shared" ca="1" si="13"/>
        <v>0</v>
      </c>
      <c r="W224" s="91">
        <f t="shared" ca="1" si="13"/>
        <v>0</v>
      </c>
      <c r="X224" s="91">
        <f t="shared" ca="1" si="13"/>
        <v>0</v>
      </c>
      <c r="Y224" s="93">
        <f t="shared" ca="1" si="13"/>
        <v>0</v>
      </c>
      <c r="Z224" s="344"/>
      <c r="AA224" s="54"/>
      <c r="AB224" s="45"/>
      <c r="AC224" s="45"/>
      <c r="AD224" s="45"/>
      <c r="AE224" s="45"/>
      <c r="AF224" s="45"/>
      <c r="AG224" s="45"/>
      <c r="AH224" s="45"/>
      <c r="AI224" s="45"/>
      <c r="AJ224" s="276"/>
      <c r="AK224" s="2062" t="s">
        <v>99</v>
      </c>
      <c r="AL224" s="2063"/>
      <c r="AM224" s="2057">
        <f>100*(((1000*(Transfer!AD139)/Transfer!AD287)/((1000*(Transfer!AC139)/Transfer!AC287)))-1)</f>
        <v>0.44691841560715595</v>
      </c>
      <c r="AN224" s="2057">
        <f>100*(((1000*(Transfer!AE139)/Transfer!AE287)/((1000*(Transfer!AD139)/Transfer!AD287)))-1)</f>
        <v>1.6512098425830013</v>
      </c>
      <c r="AO224" s="2057">
        <f>100*(((1000*(Transfer!AF139)/Transfer!AF287)/((1000*(Transfer!AE139)/Transfer!AE287)))-1)</f>
        <v>1.0000000000000231</v>
      </c>
      <c r="AP224" s="2109">
        <f>100*(((1000*(Transfer!AG139)/Transfer!AG287)/((1000*(Transfer!AF139)/Transfer!AF287)))-1)</f>
        <v>1.2000000000000011</v>
      </c>
      <c r="AQ224" s="344"/>
      <c r="AR224" s="54"/>
      <c r="AS224" s="54"/>
      <c r="AT224" s="54"/>
      <c r="AU224" s="54"/>
      <c r="AV224" s="54"/>
      <c r="AW224" s="54"/>
      <c r="AX224" s="54"/>
      <c r="AY224" s="54"/>
      <c r="AZ224" s="54"/>
      <c r="BA224" s="1583" t="s">
        <v>992</v>
      </c>
      <c r="BB224" s="1612"/>
      <c r="BC224" s="54"/>
    </row>
    <row r="225" spans="1:55">
      <c r="A225" s="45"/>
      <c r="B225" s="1583"/>
      <c r="C225" s="2557" t="s">
        <v>100</v>
      </c>
      <c r="D225" s="2558"/>
      <c r="E225" s="2453">
        <f ca="1">100*(((1000*(Transfer!D140)/Transfer!D288)/((1000*(Transfer!C140)/Transfer!C288)))-1)</f>
        <v>0.45716328256475425</v>
      </c>
      <c r="F225" s="2057">
        <f ca="1">100*(((1000*(Transfer!E140)/Transfer!E288)/((1000*(Transfer!D140)/Transfer!D288)))-1)</f>
        <v>1.6771104008482585</v>
      </c>
      <c r="G225" s="2453">
        <f ca="1">100*(((1000*(Transfer!F140)/Transfer!F288)/((1000*(Transfer!E140)/Transfer!E288)))-1)</f>
        <v>1.0000000000000231</v>
      </c>
      <c r="H225" s="2556">
        <f ca="1">100*(((1000*(Transfer!G140)/Transfer!G288)/((1000*(Transfer!F140)/Transfer!F288)))-1)</f>
        <v>1.1999999999999789</v>
      </c>
      <c r="I225" s="2559"/>
      <c r="J225" s="54"/>
      <c r="K225" s="54"/>
      <c r="L225" s="54"/>
      <c r="M225" s="54"/>
      <c r="N225" s="54"/>
      <c r="O225" s="54"/>
      <c r="P225" s="54"/>
      <c r="Q225" s="54"/>
      <c r="R225" s="54"/>
      <c r="S225" s="276"/>
      <c r="T225" s="167" t="s">
        <v>100</v>
      </c>
      <c r="U225" s="320"/>
      <c r="V225" s="91">
        <f t="shared" ca="1" si="13"/>
        <v>0</v>
      </c>
      <c r="W225" s="91">
        <f t="shared" ca="1" si="13"/>
        <v>0</v>
      </c>
      <c r="X225" s="91">
        <f t="shared" ca="1" si="13"/>
        <v>0</v>
      </c>
      <c r="Y225" s="93">
        <f t="shared" ca="1" si="13"/>
        <v>0</v>
      </c>
      <c r="Z225" s="344"/>
      <c r="AA225" s="54"/>
      <c r="AB225" s="45"/>
      <c r="AC225" s="45"/>
      <c r="AD225" s="45"/>
      <c r="AE225" s="45"/>
      <c r="AF225" s="45"/>
      <c r="AG225" s="45"/>
      <c r="AH225" s="45"/>
      <c r="AI225" s="45"/>
      <c r="AJ225" s="276"/>
      <c r="AK225" s="2062" t="s">
        <v>100</v>
      </c>
      <c r="AL225" s="2063"/>
      <c r="AM225" s="2057">
        <f>100*(((1000*(Transfer!AD140)/Transfer!AD288)/((1000*(Transfer!AC140)/Transfer!AC288)))-1)</f>
        <v>0.45716328256475425</v>
      </c>
      <c r="AN225" s="2057">
        <f>100*(((1000*(Transfer!AE140)/Transfer!AE288)/((1000*(Transfer!AD140)/Transfer!AD288)))-1)</f>
        <v>1.6771104008482585</v>
      </c>
      <c r="AO225" s="2057">
        <f>100*(((1000*(Transfer!AF140)/Transfer!AF288)/((1000*(Transfer!AE140)/Transfer!AE288)))-1)</f>
        <v>1.0000000000000231</v>
      </c>
      <c r="AP225" s="2109">
        <f>100*(((1000*(Transfer!AG140)/Transfer!AG288)/((1000*(Transfer!AF140)/Transfer!AF288)))-1)</f>
        <v>1.1999999999999789</v>
      </c>
      <c r="AQ225" s="344"/>
      <c r="AR225" s="54"/>
      <c r="AS225" s="54"/>
      <c r="AT225" s="54"/>
      <c r="AU225" s="54"/>
      <c r="AV225" s="54"/>
      <c r="AW225" s="54"/>
      <c r="AX225" s="54"/>
      <c r="AY225" s="54"/>
      <c r="AZ225" s="54"/>
      <c r="BA225" s="1583" t="s">
        <v>993</v>
      </c>
      <c r="BB225" s="1612"/>
      <c r="BC225" s="54"/>
    </row>
    <row r="226" spans="1:55">
      <c r="A226" s="45"/>
      <c r="B226" s="2560"/>
      <c r="C226" s="2561" t="s">
        <v>1492</v>
      </c>
      <c r="D226" s="2562"/>
      <c r="E226" s="2563">
        <f ca="1">(Transfer!D305/Transfer!D307)/(Transfer!C305/Transfer!C307)*100-100</f>
        <v>1.1532627717365074</v>
      </c>
      <c r="F226" s="2097">
        <f ca="1">(Transfer!E305/Transfer!E307)/(Transfer!D305/Transfer!D307)*100-100</f>
        <v>1.737095540471671</v>
      </c>
      <c r="G226" s="2564">
        <f ca="1">(Transfer!F305/Transfer!F307)/(Transfer!E305/Transfer!E307)*100-100</f>
        <v>1.5862113772475936</v>
      </c>
      <c r="H226" s="2565">
        <f ca="1">(Transfer!G305/Transfer!G307)/(Transfer!F305/Transfer!F307)*100-100</f>
        <v>1.4001734833745729</v>
      </c>
      <c r="I226" s="2413"/>
      <c r="J226" s="54"/>
      <c r="K226" s="54"/>
      <c r="L226" s="54"/>
      <c r="M226" s="54"/>
      <c r="N226" s="54"/>
      <c r="O226" s="54"/>
      <c r="P226" s="54"/>
      <c r="Q226" s="54"/>
      <c r="R226" s="54"/>
      <c r="S226" s="345"/>
      <c r="T226" s="200" t="s">
        <v>2131</v>
      </c>
      <c r="U226" s="201"/>
      <c r="V226" s="155">
        <f t="shared" ca="1" si="13"/>
        <v>0</v>
      </c>
      <c r="W226" s="155">
        <f t="shared" ca="1" si="13"/>
        <v>0</v>
      </c>
      <c r="X226" s="155">
        <f t="shared" ca="1" si="13"/>
        <v>0</v>
      </c>
      <c r="Y226" s="284">
        <f t="shared" ca="1" si="13"/>
        <v>0</v>
      </c>
      <c r="Z226" s="203"/>
      <c r="AA226" s="54"/>
      <c r="AB226" s="45"/>
      <c r="AC226" s="45"/>
      <c r="AD226" s="45"/>
      <c r="AE226" s="45"/>
      <c r="AF226" s="45"/>
      <c r="AG226" s="45"/>
      <c r="AH226" s="45"/>
      <c r="AI226" s="45"/>
      <c r="AJ226" s="345"/>
      <c r="AK226" s="2094" t="s">
        <v>2131</v>
      </c>
      <c r="AL226" s="2095"/>
      <c r="AM226" s="2096">
        <f>(Transfer!AD305/Transfer!AD307)/(Transfer!AC305/Transfer!AC307)*100-100</f>
        <v>1.1532627717365074</v>
      </c>
      <c r="AN226" s="2097">
        <f>(Transfer!AE305/Transfer!AE307)/(Transfer!AD305/Transfer!AD307)*100-100</f>
        <v>1.737095540471671</v>
      </c>
      <c r="AO226" s="2097">
        <f>(Transfer!AF305/Transfer!AF307)/(Transfer!AE305/Transfer!AE307)*100-100</f>
        <v>1.5862113772475936</v>
      </c>
      <c r="AP226" s="2098">
        <f>(Transfer!AG305/Transfer!AG307)/(Transfer!AF305/Transfer!AF307)*100-100</f>
        <v>1.4001734833745729</v>
      </c>
      <c r="AQ226" s="203"/>
      <c r="AR226" s="54"/>
      <c r="AS226" s="54"/>
      <c r="AT226" s="54"/>
      <c r="AU226" s="54"/>
      <c r="AV226" s="54"/>
      <c r="AW226" s="54"/>
      <c r="AX226" s="54"/>
      <c r="AY226" s="54"/>
      <c r="AZ226" s="54"/>
      <c r="BA226" s="1583" t="s">
        <v>778</v>
      </c>
      <c r="BB226" s="1612"/>
      <c r="BC226" s="54"/>
    </row>
    <row r="227" spans="1:55">
      <c r="A227" s="45"/>
      <c r="B227" s="1583"/>
      <c r="C227" s="1576" t="s">
        <v>2132</v>
      </c>
      <c r="D227" s="2311"/>
      <c r="E227" s="2566" t="s">
        <v>708</v>
      </c>
      <c r="F227" s="1616" t="s">
        <v>708</v>
      </c>
      <c r="G227" s="2566" t="s">
        <v>708</v>
      </c>
      <c r="H227" s="2567" t="s">
        <v>708</v>
      </c>
      <c r="I227" s="2568"/>
      <c r="J227" s="54"/>
      <c r="K227" s="54"/>
      <c r="L227" s="54"/>
      <c r="M227" s="54"/>
      <c r="N227" s="54"/>
      <c r="O227" s="54"/>
      <c r="P227" s="54"/>
      <c r="Q227" s="54"/>
      <c r="R227" s="54"/>
      <c r="S227" s="276"/>
      <c r="T227" s="40" t="s">
        <v>2132</v>
      </c>
      <c r="U227" s="65"/>
      <c r="V227" s="347" t="s">
        <v>2133</v>
      </c>
      <c r="W227" s="347" t="s">
        <v>2133</v>
      </c>
      <c r="X227" s="347" t="s">
        <v>2133</v>
      </c>
      <c r="Y227" s="348" t="s">
        <v>2133</v>
      </c>
      <c r="Z227" s="349"/>
      <c r="AA227" s="54"/>
      <c r="AB227" s="45"/>
      <c r="AC227" s="45"/>
      <c r="AD227" s="45"/>
      <c r="AE227" s="45"/>
      <c r="AF227" s="45"/>
      <c r="AG227" s="45"/>
      <c r="AH227" s="45"/>
      <c r="AI227" s="45"/>
      <c r="AJ227" s="276"/>
      <c r="AK227" s="40" t="s">
        <v>2132</v>
      </c>
      <c r="AL227" s="65"/>
      <c r="AM227" s="1616" t="s">
        <v>708</v>
      </c>
      <c r="AN227" s="1616" t="s">
        <v>708</v>
      </c>
      <c r="AO227" s="1616" t="s">
        <v>708</v>
      </c>
      <c r="AP227" s="1617" t="s">
        <v>708</v>
      </c>
      <c r="AQ227" s="349"/>
      <c r="AR227" s="54"/>
      <c r="AS227" s="54"/>
      <c r="AT227" s="54"/>
      <c r="AU227" s="54"/>
      <c r="AV227" s="54"/>
      <c r="AW227" s="54"/>
      <c r="AX227" s="54"/>
      <c r="AY227" s="54"/>
      <c r="AZ227" s="54"/>
      <c r="BA227" s="1583" t="s">
        <v>771</v>
      </c>
      <c r="BB227" s="1612"/>
      <c r="BC227" s="54"/>
    </row>
    <row r="228" spans="1:55">
      <c r="A228" s="45"/>
      <c r="B228" s="1583"/>
      <c r="C228" s="2561" t="s">
        <v>1493</v>
      </c>
      <c r="D228" s="2562"/>
      <c r="E228" s="2563">
        <f ca="1">(Transfer!D308/Transfer!D310)/(Transfer!C308/Transfer!C310)*100-100</f>
        <v>1.0181615774123713</v>
      </c>
      <c r="F228" s="2097">
        <f ca="1">(Transfer!E308/Transfer!E310)/(Transfer!D308/Transfer!D310)*100-100</f>
        <v>2.3506603052786801</v>
      </c>
      <c r="G228" s="2564">
        <f ca="1">(Transfer!F308/Transfer!F310)/(Transfer!E308/Transfer!E310)*100-100</f>
        <v>1.5661100456359378</v>
      </c>
      <c r="H228" s="2565">
        <f ca="1">(Transfer!G308/Transfer!G310)/(Transfer!F308/Transfer!F310)*100-100</f>
        <v>1.3830111211417915</v>
      </c>
      <c r="I228" s="2413"/>
      <c r="J228" s="54"/>
      <c r="K228" s="54"/>
      <c r="L228" s="54"/>
      <c r="M228" s="54"/>
      <c r="N228" s="54"/>
      <c r="O228" s="54"/>
      <c r="P228" s="54"/>
      <c r="Q228" s="54"/>
      <c r="R228" s="54"/>
      <c r="S228" s="276"/>
      <c r="T228" s="206" t="s">
        <v>1683</v>
      </c>
      <c r="U228" s="207"/>
      <c r="V228" s="155">
        <f t="shared" ref="V228:Y239" ca="1" si="14">ROUND(E228,1)-ROUND(AM228,1)</f>
        <v>0</v>
      </c>
      <c r="W228" s="155">
        <f t="shared" ca="1" si="14"/>
        <v>0</v>
      </c>
      <c r="X228" s="155">
        <f t="shared" ca="1" si="14"/>
        <v>0</v>
      </c>
      <c r="Y228" s="284">
        <f t="shared" ca="1" si="14"/>
        <v>0</v>
      </c>
      <c r="Z228" s="203"/>
      <c r="AA228" s="54"/>
      <c r="AB228" s="45"/>
      <c r="AC228" s="45"/>
      <c r="AD228" s="45"/>
      <c r="AE228" s="45"/>
      <c r="AF228" s="45"/>
      <c r="AG228" s="45"/>
      <c r="AH228" s="45"/>
      <c r="AI228" s="45"/>
      <c r="AJ228" s="276"/>
      <c r="AK228" s="2094" t="s">
        <v>1683</v>
      </c>
      <c r="AL228" s="2095"/>
      <c r="AM228" s="2096">
        <f>(Transfer!AD308/Transfer!AD310)/(Transfer!AC308/Transfer!AC310)*100-100</f>
        <v>1.0181615774123713</v>
      </c>
      <c r="AN228" s="2097">
        <f>(Transfer!AE308/Transfer!AE310)/(Transfer!AD308/Transfer!AD310)*100-100</f>
        <v>2.3506603052786801</v>
      </c>
      <c r="AO228" s="2097">
        <f>(Transfer!AF308/Transfer!AF310)/(Transfer!AE308/Transfer!AE310)*100-100</f>
        <v>1.5661100456359378</v>
      </c>
      <c r="AP228" s="2098">
        <f>(Transfer!AG308/Transfer!AG310)/(Transfer!AF308/Transfer!AF310)*100-100</f>
        <v>1.3830111211417915</v>
      </c>
      <c r="AQ228" s="203"/>
      <c r="AR228" s="54"/>
      <c r="AS228" s="54"/>
      <c r="AT228" s="54"/>
      <c r="AU228" s="54"/>
      <c r="AV228" s="54"/>
      <c r="AW228" s="54"/>
      <c r="AX228" s="54"/>
      <c r="AY228" s="54"/>
      <c r="AZ228" s="54"/>
      <c r="BA228" s="1583" t="s">
        <v>1299</v>
      </c>
      <c r="BB228" s="1612"/>
      <c r="BC228" s="54"/>
    </row>
    <row r="229" spans="1:55">
      <c r="A229" s="45"/>
      <c r="B229" s="1583"/>
      <c r="C229" s="2345" t="s">
        <v>785</v>
      </c>
      <c r="D229" s="2373"/>
      <c r="E229" s="2347">
        <f ca="1">(Transfer!D311/Transfer!D313)/(Transfer!C311/Transfer!C313)*100-100</f>
        <v>-1.6416737509917283</v>
      </c>
      <c r="F229" s="2108">
        <f ca="1">(Transfer!E311/Transfer!E313)/(Transfer!D311/Transfer!D313)*100-100</f>
        <v>1.3691517323080546</v>
      </c>
      <c r="G229" s="2453">
        <f ca="1">(Transfer!F311/Transfer!F313)/(Transfer!E311/Transfer!E313)*100-100</f>
        <v>1</v>
      </c>
      <c r="H229" s="2556">
        <f ca="1">(Transfer!G311/Transfer!G313)/(Transfer!F311/Transfer!F313)*100-100</f>
        <v>1.2550520491059842</v>
      </c>
      <c r="I229" s="2405"/>
      <c r="J229" s="54"/>
      <c r="K229" s="54"/>
      <c r="L229" s="54"/>
      <c r="M229" s="54"/>
      <c r="N229" s="54"/>
      <c r="O229" s="54"/>
      <c r="P229" s="54"/>
      <c r="Q229" s="54"/>
      <c r="R229" s="54"/>
      <c r="S229" s="276"/>
      <c r="T229" s="40" t="s">
        <v>785</v>
      </c>
      <c r="U229" s="65"/>
      <c r="V229" s="91">
        <f t="shared" ca="1" si="14"/>
        <v>0</v>
      </c>
      <c r="W229" s="91">
        <f t="shared" ca="1" si="14"/>
        <v>0</v>
      </c>
      <c r="X229" s="91">
        <f t="shared" ca="1" si="14"/>
        <v>0</v>
      </c>
      <c r="Y229" s="93">
        <f t="shared" ca="1" si="14"/>
        <v>0</v>
      </c>
      <c r="Z229" s="195"/>
      <c r="AA229" s="54"/>
      <c r="AB229" s="45"/>
      <c r="AC229" s="45"/>
      <c r="AD229" s="45"/>
      <c r="AE229" s="45"/>
      <c r="AF229" s="45"/>
      <c r="AG229" s="45"/>
      <c r="AH229" s="45"/>
      <c r="AI229" s="45"/>
      <c r="AJ229" s="276"/>
      <c r="AK229" s="2032" t="s">
        <v>785</v>
      </c>
      <c r="AL229" s="2033"/>
      <c r="AM229" s="2023">
        <f>(Transfer!AD311/Transfer!AD313)/(Transfer!AC311/Transfer!AC313)*100-100</f>
        <v>-1.6416737509917283</v>
      </c>
      <c r="AN229" s="2108">
        <f>(Transfer!AE311/Transfer!AE313)/(Transfer!AD311/Transfer!AD313)*100-100</f>
        <v>1.3691517323080546</v>
      </c>
      <c r="AO229" s="2057">
        <f>(Transfer!AF311/Transfer!AF313)/(Transfer!AE311/Transfer!AE313)*100-100</f>
        <v>1</v>
      </c>
      <c r="AP229" s="2109">
        <f>(Transfer!AG311/Transfer!AG313)/(Transfer!AF311/Transfer!AF313)*100-100</f>
        <v>1.2550903292130329</v>
      </c>
      <c r="AQ229" s="195"/>
      <c r="AR229" s="54"/>
      <c r="AS229" s="54"/>
      <c r="AT229" s="54"/>
      <c r="AU229" s="54"/>
      <c r="AV229" s="54"/>
      <c r="AW229" s="54"/>
      <c r="AX229" s="54"/>
      <c r="AY229" s="54"/>
      <c r="AZ229" s="54"/>
      <c r="BA229" s="1583" t="s">
        <v>1033</v>
      </c>
      <c r="BB229" s="1612"/>
      <c r="BC229" s="54"/>
    </row>
    <row r="230" spans="1:55">
      <c r="A230" s="45"/>
      <c r="B230" s="1583"/>
      <c r="C230" s="2557" t="s">
        <v>1170</v>
      </c>
      <c r="D230" s="2558"/>
      <c r="E230" s="2453">
        <f ca="1">100*(((1000*(Transfer!D143)/Transfer!D291)/((1000*(Transfer!C143)/Transfer!C291)))-1)</f>
        <v>-2.5379813643040094</v>
      </c>
      <c r="F230" s="2057">
        <f ca="1">100*(((1000*(Transfer!E143)/Transfer!E291)/((1000*(Transfer!D143)/Transfer!D291)))-1)</f>
        <v>1.3302283190550934</v>
      </c>
      <c r="G230" s="2453">
        <f ca="1">100*(((1000*(Transfer!F143)/Transfer!F291)/((1000*(Transfer!E143)/Transfer!E291)))-1)</f>
        <v>1.0000000000000009</v>
      </c>
      <c r="H230" s="2556">
        <f ca="1">100*(((1000*(Transfer!G143)/Transfer!G291)/((1000*(Transfer!F143)/Transfer!F291)))-1)</f>
        <v>1.2000000000000011</v>
      </c>
      <c r="I230" s="2559"/>
      <c r="J230" s="54"/>
      <c r="K230" s="54"/>
      <c r="L230" s="54"/>
      <c r="M230" s="54"/>
      <c r="N230" s="54"/>
      <c r="O230" s="54"/>
      <c r="P230" s="54"/>
      <c r="Q230" s="54"/>
      <c r="R230" s="54"/>
      <c r="S230" s="276"/>
      <c r="T230" s="86" t="s">
        <v>1170</v>
      </c>
      <c r="U230" s="105"/>
      <c r="V230" s="91">
        <f t="shared" ca="1" si="14"/>
        <v>0</v>
      </c>
      <c r="W230" s="91">
        <f t="shared" ca="1" si="14"/>
        <v>0</v>
      </c>
      <c r="X230" s="91">
        <f t="shared" ca="1" si="14"/>
        <v>0</v>
      </c>
      <c r="Y230" s="93">
        <f t="shared" ca="1" si="14"/>
        <v>0</v>
      </c>
      <c r="Z230" s="344"/>
      <c r="AA230" s="54"/>
      <c r="AB230" s="45"/>
      <c r="AC230" s="45"/>
      <c r="AD230" s="45"/>
      <c r="AE230" s="45"/>
      <c r="AF230" s="45"/>
      <c r="AG230" s="45"/>
      <c r="AH230" s="45"/>
      <c r="AI230" s="45"/>
      <c r="AJ230" s="276"/>
      <c r="AK230" s="2062" t="s">
        <v>1170</v>
      </c>
      <c r="AL230" s="2063"/>
      <c r="AM230" s="2057">
        <f>100*(((1000*(Transfer!AD143)/Transfer!AD291)/((1000*(Transfer!AC143)/Transfer!AC291)))-1)</f>
        <v>-2.5379813643040094</v>
      </c>
      <c r="AN230" s="2057">
        <f>100*(((1000*(Transfer!AE143)/Transfer!AE291)/((1000*(Transfer!AD143)/Transfer!AD291)))-1)</f>
        <v>1.3302283190550934</v>
      </c>
      <c r="AO230" s="2057">
        <f>100*(((1000*(Transfer!AF143)/Transfer!AF291)/((1000*(Transfer!AE143)/Transfer!AE291)))-1)</f>
        <v>1.0000000000000009</v>
      </c>
      <c r="AP230" s="2109">
        <f>100*(((1000*(Transfer!AG143)/Transfer!AG291)/((1000*(Transfer!AF143)/Transfer!AF291)))-1)</f>
        <v>1.2000000000000011</v>
      </c>
      <c r="AQ230" s="344"/>
      <c r="AR230" s="54"/>
      <c r="AS230" s="54"/>
      <c r="AT230" s="54"/>
      <c r="AU230" s="54"/>
      <c r="AV230" s="54"/>
      <c r="AW230" s="54"/>
      <c r="AX230" s="54"/>
      <c r="AY230" s="54"/>
      <c r="AZ230" s="54"/>
      <c r="BA230" s="1583" t="s">
        <v>1034</v>
      </c>
      <c r="BB230" s="1612"/>
      <c r="BC230" s="54"/>
    </row>
    <row r="231" spans="1:55">
      <c r="A231" s="45"/>
      <c r="B231" s="2560"/>
      <c r="C231" s="2557" t="s">
        <v>725</v>
      </c>
      <c r="D231" s="2558"/>
      <c r="E231" s="2453">
        <f ca="1">100*(((1000*(Transfer!D144)/Transfer!D292)/((1000*(Transfer!C144)/Transfer!C292)))-1)</f>
        <v>0.60059231887212849</v>
      </c>
      <c r="F231" s="2057">
        <f ca="1">100*(((1000*(Transfer!E144)/Transfer!E292)/((1000*(Transfer!D144)/Transfer!D292)))-1)</f>
        <v>1.4707423247366291</v>
      </c>
      <c r="G231" s="2453">
        <f ca="1">100*(((1000*(Transfer!F144)/Transfer!F292)/((1000*(Transfer!E144)/Transfer!E292)))-1)</f>
        <v>1.0000000000000009</v>
      </c>
      <c r="H231" s="2556">
        <f ca="1">100*(((1000*(Transfer!G144)/Transfer!G292)/((1000*(Transfer!F144)/Transfer!F292)))-1)</f>
        <v>1.4000000000000012</v>
      </c>
      <c r="I231" s="2559"/>
      <c r="J231" s="54"/>
      <c r="K231" s="54"/>
      <c r="L231" s="54"/>
      <c r="M231" s="54"/>
      <c r="N231" s="54"/>
      <c r="O231" s="54"/>
      <c r="P231" s="54"/>
      <c r="Q231" s="54"/>
      <c r="R231" s="54"/>
      <c r="S231" s="345"/>
      <c r="T231" s="86" t="s">
        <v>725</v>
      </c>
      <c r="U231" s="105"/>
      <c r="V231" s="91">
        <f t="shared" ca="1" si="14"/>
        <v>0</v>
      </c>
      <c r="W231" s="91">
        <f t="shared" ca="1" si="14"/>
        <v>0</v>
      </c>
      <c r="X231" s="91">
        <f t="shared" ca="1" si="14"/>
        <v>0</v>
      </c>
      <c r="Y231" s="93">
        <f t="shared" ca="1" si="14"/>
        <v>0</v>
      </c>
      <c r="Z231" s="344"/>
      <c r="AA231" s="54"/>
      <c r="AB231" s="45"/>
      <c r="AC231" s="45"/>
      <c r="AD231" s="45"/>
      <c r="AE231" s="45"/>
      <c r="AF231" s="45"/>
      <c r="AG231" s="45"/>
      <c r="AH231" s="45"/>
      <c r="AI231" s="45"/>
      <c r="AJ231" s="345"/>
      <c r="AK231" s="2062" t="s">
        <v>725</v>
      </c>
      <c r="AL231" s="2063"/>
      <c r="AM231" s="2057">
        <f>100*(((1000*(Transfer!AD144)/Transfer!AD292)/((1000*(Transfer!AC144)/Transfer!AC292)))-1)</f>
        <v>0.60059231887212849</v>
      </c>
      <c r="AN231" s="2057">
        <f>100*(((1000*(Transfer!AE144)/Transfer!AE292)/((1000*(Transfer!AD144)/Transfer!AD292)))-1)</f>
        <v>1.4707423247366291</v>
      </c>
      <c r="AO231" s="2057">
        <f>100*(((1000*(Transfer!AF144)/Transfer!AF292)/((1000*(Transfer!AE144)/Transfer!AE292)))-1)</f>
        <v>1.0000000000000009</v>
      </c>
      <c r="AP231" s="2109">
        <f>100*(((1000*(Transfer!AG144)/Transfer!AG292)/((1000*(Transfer!AF144)/Transfer!AF292)))-1)</f>
        <v>1.399999999999979</v>
      </c>
      <c r="AQ231" s="344"/>
      <c r="AR231" s="54"/>
      <c r="AS231" s="54"/>
      <c r="AT231" s="54"/>
      <c r="AU231" s="54"/>
      <c r="AV231" s="54"/>
      <c r="AW231" s="54"/>
      <c r="AX231" s="54"/>
      <c r="AY231" s="54"/>
      <c r="AZ231" s="54"/>
      <c r="BA231" s="1583" t="s">
        <v>1380</v>
      </c>
      <c r="BB231" s="1612"/>
      <c r="BC231" s="54"/>
    </row>
    <row r="232" spans="1:55">
      <c r="A232" s="45"/>
      <c r="B232" s="2569"/>
      <c r="C232" s="2561" t="s">
        <v>726</v>
      </c>
      <c r="D232" s="2562"/>
      <c r="E232" s="2563">
        <f ca="1">(Transfer!D314/Transfer!D316)/(Transfer!C314/Transfer!C316)*100-100</f>
        <v>-0.21359596191852859</v>
      </c>
      <c r="F232" s="2097">
        <f ca="1">(Transfer!E314/Transfer!E316)/(Transfer!D314/Transfer!D316)*100-100</f>
        <v>1.8950306681556555</v>
      </c>
      <c r="G232" s="2564">
        <f ca="1">(Transfer!F314/Transfer!F316)/(Transfer!E314/Transfer!E316)*100-100</f>
        <v>1.3003937765657838</v>
      </c>
      <c r="H232" s="2565">
        <f ca="1">(Transfer!G314/Transfer!G316)/(Transfer!F314/Transfer!F316)*100-100</f>
        <v>1.3223240390016144</v>
      </c>
      <c r="I232" s="2413"/>
      <c r="J232" s="54"/>
      <c r="K232" s="54"/>
      <c r="L232" s="54"/>
      <c r="M232" s="54"/>
      <c r="N232" s="54"/>
      <c r="O232" s="54"/>
      <c r="P232" s="54"/>
      <c r="Q232" s="54"/>
      <c r="R232" s="54"/>
      <c r="S232" s="350"/>
      <c r="T232" s="289" t="s">
        <v>726</v>
      </c>
      <c r="U232" s="210"/>
      <c r="V232" s="155">
        <f t="shared" ca="1" si="14"/>
        <v>0</v>
      </c>
      <c r="W232" s="155">
        <f t="shared" ca="1" si="14"/>
        <v>0</v>
      </c>
      <c r="X232" s="155">
        <f t="shared" ca="1" si="14"/>
        <v>0</v>
      </c>
      <c r="Y232" s="284">
        <f t="shared" ca="1" si="14"/>
        <v>0</v>
      </c>
      <c r="Z232" s="203"/>
      <c r="AA232" s="54"/>
      <c r="AB232" s="45"/>
      <c r="AC232" s="45"/>
      <c r="AD232" s="45"/>
      <c r="AE232" s="45"/>
      <c r="AF232" s="45"/>
      <c r="AG232" s="45"/>
      <c r="AH232" s="45"/>
      <c r="AI232" s="45"/>
      <c r="AJ232" s="350"/>
      <c r="AK232" s="2094" t="s">
        <v>726</v>
      </c>
      <c r="AL232" s="2095"/>
      <c r="AM232" s="2096">
        <f>(Transfer!AD314/Transfer!AD316)/(Transfer!AC314/Transfer!AC316)*100-100</f>
        <v>-0.21359596191852859</v>
      </c>
      <c r="AN232" s="2097">
        <f>(Transfer!AE314/Transfer!AE316)/(Transfer!AD314/Transfer!AD316)*100-100</f>
        <v>1.8950306681556555</v>
      </c>
      <c r="AO232" s="2097">
        <f>(Transfer!AF314/Transfer!AF316)/(Transfer!AE314/Transfer!AE316)*100-100</f>
        <v>1.3003937765657838</v>
      </c>
      <c r="AP232" s="2098">
        <f>(Transfer!AG314/Transfer!AG316)/(Transfer!AF314/Transfer!AF316)*100-100</f>
        <v>1.3223337694572308</v>
      </c>
      <c r="AQ232" s="203"/>
      <c r="AR232" s="54"/>
      <c r="AS232" s="54"/>
      <c r="AT232" s="54"/>
      <c r="AU232" s="54"/>
      <c r="AV232" s="54"/>
      <c r="AW232" s="54"/>
      <c r="AX232" s="54"/>
      <c r="AY232" s="54"/>
      <c r="AZ232" s="54"/>
      <c r="BA232" s="1583" t="s">
        <v>1020</v>
      </c>
      <c r="BB232" s="1612"/>
      <c r="BC232" s="54"/>
    </row>
    <row r="233" spans="1:55">
      <c r="A233" s="45"/>
      <c r="B233" s="2570"/>
      <c r="C233" s="2345" t="s">
        <v>1540</v>
      </c>
      <c r="D233" s="2373"/>
      <c r="E233" s="2347">
        <f ca="1">(Transfer!D317/Transfer!D319)/(Transfer!C317/Transfer!C319)*100-100</f>
        <v>-2.3331554237149561</v>
      </c>
      <c r="F233" s="2108">
        <f ca="1">(Transfer!E317/Transfer!E319)/(Transfer!D317/Transfer!D319)*100-100</f>
        <v>1.8534819204102604</v>
      </c>
      <c r="G233" s="2453">
        <f ca="1">(Transfer!F317/Transfer!F319)/(Transfer!E317/Transfer!E319)*100-100</f>
        <v>1</v>
      </c>
      <c r="H233" s="2556">
        <f ca="1">(Transfer!G317/Transfer!G319)/(Transfer!F317/Transfer!F319)*100-100</f>
        <v>0.90000000000000568</v>
      </c>
      <c r="I233" s="2405"/>
      <c r="J233" s="54"/>
      <c r="K233" s="54"/>
      <c r="L233" s="54"/>
      <c r="M233" s="54"/>
      <c r="N233" s="54"/>
      <c r="O233" s="54"/>
      <c r="P233" s="54"/>
      <c r="Q233" s="54"/>
      <c r="R233" s="54"/>
      <c r="S233" s="351"/>
      <c r="T233" s="178" t="s">
        <v>1540</v>
      </c>
      <c r="U233" s="63"/>
      <c r="V233" s="91">
        <f t="shared" ca="1" si="14"/>
        <v>0</v>
      </c>
      <c r="W233" s="91">
        <f t="shared" ca="1" si="14"/>
        <v>0</v>
      </c>
      <c r="X233" s="91">
        <f t="shared" ca="1" si="14"/>
        <v>0</v>
      </c>
      <c r="Y233" s="93">
        <f t="shared" ca="1" si="14"/>
        <v>0</v>
      </c>
      <c r="Z233" s="195"/>
      <c r="AA233" s="54"/>
      <c r="AB233" s="45"/>
      <c r="AC233" s="45"/>
      <c r="AD233" s="45"/>
      <c r="AE233" s="45"/>
      <c r="AF233" s="45"/>
      <c r="AG233" s="45"/>
      <c r="AH233" s="45"/>
      <c r="AI233" s="45"/>
      <c r="AJ233" s="351"/>
      <c r="AK233" s="2032" t="s">
        <v>1540</v>
      </c>
      <c r="AL233" s="2033"/>
      <c r="AM233" s="2023">
        <f>(Transfer!AD317/Transfer!AD319)/(Transfer!AC317/Transfer!AC319)*100-100</f>
        <v>-2.3331554237149561</v>
      </c>
      <c r="AN233" s="2108">
        <f>(Transfer!AE317/Transfer!AE319)/(Transfer!AD317/Transfer!AD319)*100-100</f>
        <v>1.8534819204102604</v>
      </c>
      <c r="AO233" s="2057">
        <f>(Transfer!AF317/Transfer!AF319)/(Transfer!AE317/Transfer!AE319)*100-100</f>
        <v>1</v>
      </c>
      <c r="AP233" s="2109">
        <f>(Transfer!AG317/Transfer!AG319)/(Transfer!AF317/Transfer!AF319)*100-100</f>
        <v>0.90000000000000568</v>
      </c>
      <c r="AQ233" s="195"/>
      <c r="AR233" s="54"/>
      <c r="AS233" s="54"/>
      <c r="AT233" s="54"/>
      <c r="AU233" s="54"/>
      <c r="AV233" s="54"/>
      <c r="AW233" s="54"/>
      <c r="AX233" s="54"/>
      <c r="AY233" s="54"/>
      <c r="AZ233" s="54"/>
      <c r="BA233" s="1583" t="s">
        <v>1021</v>
      </c>
      <c r="BB233" s="1612"/>
      <c r="BC233" s="54"/>
    </row>
    <row r="234" spans="1:55">
      <c r="A234" s="45"/>
      <c r="B234" s="2571"/>
      <c r="C234" s="2557" t="s">
        <v>695</v>
      </c>
      <c r="D234" s="2558"/>
      <c r="E234" s="2453">
        <f ca="1">100*(((1000*(Transfer!D145)/Transfer!D293)/((1000*(Transfer!C145)/Transfer!C293)))-1)</f>
        <v>-3.1999992730389559</v>
      </c>
      <c r="F234" s="2057">
        <f ca="1">100*(((1000*(Transfer!E145)/Transfer!E293)/((1000*(Transfer!D145)/Transfer!D293)))-1)</f>
        <v>1.8823224924251925</v>
      </c>
      <c r="G234" s="2453">
        <f ca="1">100*(((1000*(Transfer!F145)/Transfer!F293)/((1000*(Transfer!E145)/Transfer!E293)))-1)</f>
        <v>1.0000000000000009</v>
      </c>
      <c r="H234" s="2556">
        <f ca="1">100*(((1000*(Transfer!G145)/Transfer!G293)/((1000*(Transfer!F145)/Transfer!F293)))-1)</f>
        <v>0.89999999999996749</v>
      </c>
      <c r="I234" s="2559"/>
      <c r="J234" s="54"/>
      <c r="K234" s="54"/>
      <c r="L234" s="54"/>
      <c r="M234" s="54"/>
      <c r="N234" s="54"/>
      <c r="O234" s="54"/>
      <c r="P234" s="54"/>
      <c r="Q234" s="54"/>
      <c r="R234" s="54"/>
      <c r="S234" s="352"/>
      <c r="T234" s="167" t="s">
        <v>695</v>
      </c>
      <c r="U234" s="320"/>
      <c r="V234" s="91">
        <f t="shared" ca="1" si="14"/>
        <v>0</v>
      </c>
      <c r="W234" s="91">
        <f t="shared" ca="1" si="14"/>
        <v>0</v>
      </c>
      <c r="X234" s="91">
        <f t="shared" ca="1" si="14"/>
        <v>0</v>
      </c>
      <c r="Y234" s="93">
        <f t="shared" ca="1" si="14"/>
        <v>0</v>
      </c>
      <c r="Z234" s="344"/>
      <c r="AA234" s="54"/>
      <c r="AB234" s="45"/>
      <c r="AC234" s="45"/>
      <c r="AD234" s="45"/>
      <c r="AE234" s="45"/>
      <c r="AF234" s="45"/>
      <c r="AG234" s="45"/>
      <c r="AH234" s="45"/>
      <c r="AI234" s="45"/>
      <c r="AJ234" s="352"/>
      <c r="AK234" s="2062" t="s">
        <v>695</v>
      </c>
      <c r="AL234" s="2063"/>
      <c r="AM234" s="2057">
        <f>100*(((1000*(Transfer!AD145)/Transfer!AD293)/((1000*(Transfer!AC145)/Transfer!AC293)))-1)</f>
        <v>-3.1999992730389559</v>
      </c>
      <c r="AN234" s="2057">
        <f>100*(((1000*(Transfer!AE145)/Transfer!AE293)/((1000*(Transfer!AD145)/Transfer!AD293)))-1)</f>
        <v>1.8823224924251925</v>
      </c>
      <c r="AO234" s="2057">
        <f>100*(((1000*(Transfer!AF145)/Transfer!AF293)/((1000*(Transfer!AE145)/Transfer!AE293)))-1)</f>
        <v>1.0000000000000009</v>
      </c>
      <c r="AP234" s="2109">
        <f>100*(((1000*(Transfer!AG145)/Transfer!AG293)/((1000*(Transfer!AF145)/Transfer!AF293)))-1)</f>
        <v>0.8999999999999897</v>
      </c>
      <c r="AQ234" s="344"/>
      <c r="AR234" s="54"/>
      <c r="AS234" s="54"/>
      <c r="AT234" s="54"/>
      <c r="AU234" s="54"/>
      <c r="AV234" s="54"/>
      <c r="AW234" s="54"/>
      <c r="AX234" s="54"/>
      <c r="AY234" s="54"/>
      <c r="AZ234" s="54"/>
      <c r="BA234" s="1583" t="s">
        <v>165</v>
      </c>
      <c r="BB234" s="1612"/>
      <c r="BC234" s="54"/>
    </row>
    <row r="235" spans="1:55">
      <c r="A235" s="45"/>
      <c r="B235" s="2571"/>
      <c r="C235" s="2557" t="s">
        <v>1217</v>
      </c>
      <c r="D235" s="2558"/>
      <c r="E235" s="2453">
        <f ca="1">100*(((1000*(Transfer!D146)/Transfer!D294)/((1000*(Transfer!C146)/Transfer!C294)))-1)</f>
        <v>-7.522804040672737E-2</v>
      </c>
      <c r="F235" s="2057">
        <f ca="1">100*(((1000*(Transfer!E146)/Transfer!E294)/((1000*(Transfer!D146)/Transfer!D294)))-1)</f>
        <v>1.7781561970491078</v>
      </c>
      <c r="G235" s="2453">
        <f ca="1">100*(((1000*(Transfer!F146)/Transfer!F294)/((1000*(Transfer!E146)/Transfer!E294)))-1)</f>
        <v>1.0000000000000009</v>
      </c>
      <c r="H235" s="2556">
        <f ca="1">100*(((1000*(Transfer!G146)/Transfer!G294)/((1000*(Transfer!F146)/Transfer!F294)))-1)</f>
        <v>0.8999999999999897</v>
      </c>
      <c r="I235" s="2559"/>
      <c r="J235" s="54"/>
      <c r="K235" s="54"/>
      <c r="L235" s="54"/>
      <c r="M235" s="54"/>
      <c r="N235" s="54"/>
      <c r="O235" s="54"/>
      <c r="P235" s="54"/>
      <c r="Q235" s="54"/>
      <c r="R235" s="54"/>
      <c r="S235" s="352"/>
      <c r="T235" s="167" t="s">
        <v>1217</v>
      </c>
      <c r="U235" s="320"/>
      <c r="V235" s="91">
        <f t="shared" ca="1" si="14"/>
        <v>0</v>
      </c>
      <c r="W235" s="91">
        <f t="shared" ca="1" si="14"/>
        <v>0</v>
      </c>
      <c r="X235" s="91">
        <f t="shared" ca="1" si="14"/>
        <v>0</v>
      </c>
      <c r="Y235" s="93">
        <f t="shared" ca="1" si="14"/>
        <v>0</v>
      </c>
      <c r="Z235" s="344"/>
      <c r="AA235" s="54"/>
      <c r="AB235" s="45"/>
      <c r="AC235" s="45"/>
      <c r="AD235" s="45"/>
      <c r="AE235" s="45"/>
      <c r="AF235" s="45"/>
      <c r="AG235" s="45"/>
      <c r="AH235" s="45"/>
      <c r="AI235" s="45"/>
      <c r="AJ235" s="352"/>
      <c r="AK235" s="2062" t="s">
        <v>1217</v>
      </c>
      <c r="AL235" s="2063"/>
      <c r="AM235" s="2057">
        <f>100*(((1000*(Transfer!AD146)/Transfer!AD294)/((1000*(Transfer!AC146)/Transfer!AC294)))-1)</f>
        <v>-7.522804040672737E-2</v>
      </c>
      <c r="AN235" s="2057">
        <f>100*(((1000*(Transfer!AE146)/Transfer!AE294)/((1000*(Transfer!AD146)/Transfer!AD294)))-1)</f>
        <v>1.7781561970491078</v>
      </c>
      <c r="AO235" s="2057">
        <f>100*(((1000*(Transfer!AF146)/Transfer!AF294)/((1000*(Transfer!AE146)/Transfer!AE294)))-1)</f>
        <v>1.0000000000000009</v>
      </c>
      <c r="AP235" s="2109">
        <f>100*(((1000*(Transfer!AG146)/Transfer!AG294)/((1000*(Transfer!AF146)/Transfer!AF294)))-1)</f>
        <v>0.8999999999999897</v>
      </c>
      <c r="AQ235" s="344"/>
      <c r="AR235" s="54"/>
      <c r="AS235" s="54"/>
      <c r="AT235" s="54"/>
      <c r="AU235" s="54"/>
      <c r="AV235" s="54"/>
      <c r="AW235" s="54"/>
      <c r="AX235" s="54"/>
      <c r="AY235" s="54"/>
      <c r="AZ235" s="54"/>
      <c r="BA235" s="1583" t="s">
        <v>1022</v>
      </c>
      <c r="BB235" s="1612"/>
      <c r="BC235" s="54"/>
    </row>
    <row r="236" spans="1:55">
      <c r="A236" s="45"/>
      <c r="B236" s="2570"/>
      <c r="C236" s="2561" t="s">
        <v>1842</v>
      </c>
      <c r="D236" s="2562"/>
      <c r="E236" s="2563">
        <f ca="1">100*(((1000*(Transfer!D147)/Transfer!D295)/((1000*(Transfer!C147)/Transfer!C295)))-1)</f>
        <v>1.5839029901799417</v>
      </c>
      <c r="F236" s="2097">
        <f ca="1">100*(((1000*(Transfer!E147)/Transfer!E295)/((1000*(Transfer!D147)/Transfer!D295)))-1)</f>
        <v>1.9297491948944812</v>
      </c>
      <c r="G236" s="2564">
        <f ca="1">100*(((1000*(Transfer!F147)/Transfer!F295)/((1000*(Transfer!E147)/Transfer!E295)))-1)</f>
        <v>1.5588952122123967</v>
      </c>
      <c r="H236" s="2565">
        <f ca="1">100*(((1000*(Transfer!G147)/Transfer!G295)/((1000*(Transfer!F147)/Transfer!F295)))-1)</f>
        <v>1.6935991327586164</v>
      </c>
      <c r="I236" s="2413"/>
      <c r="J236" s="54"/>
      <c r="K236" s="54"/>
      <c r="L236" s="54"/>
      <c r="M236" s="54"/>
      <c r="N236" s="54"/>
      <c r="O236" s="54"/>
      <c r="P236" s="54"/>
      <c r="Q236" s="54"/>
      <c r="R236" s="54"/>
      <c r="S236" s="351"/>
      <c r="T236" s="289" t="s">
        <v>1842</v>
      </c>
      <c r="U236" s="210"/>
      <c r="V236" s="155">
        <f t="shared" ca="1" si="14"/>
        <v>0</v>
      </c>
      <c r="W236" s="155">
        <f t="shared" ca="1" si="14"/>
        <v>0</v>
      </c>
      <c r="X236" s="155">
        <f t="shared" ca="1" si="14"/>
        <v>0</v>
      </c>
      <c r="Y236" s="284">
        <f t="shared" ca="1" si="14"/>
        <v>0</v>
      </c>
      <c r="Z236" s="203"/>
      <c r="AA236" s="54"/>
      <c r="AB236" s="45"/>
      <c r="AC236" s="45"/>
      <c r="AD236" s="45"/>
      <c r="AE236" s="45"/>
      <c r="AF236" s="45"/>
      <c r="AG236" s="45"/>
      <c r="AH236" s="45"/>
      <c r="AI236" s="45"/>
      <c r="AJ236" s="351"/>
      <c r="AK236" s="2068" t="s">
        <v>1842</v>
      </c>
      <c r="AL236" s="2069"/>
      <c r="AM236" s="2096">
        <f>100*(((1000*(Transfer!AD147)/Transfer!AD295)/((1000*(Transfer!AC147)/Transfer!AC295)))-1)</f>
        <v>1.5839029901799417</v>
      </c>
      <c r="AN236" s="2097">
        <f>100*(((1000*(Transfer!AE147)/Transfer!AE295)/((1000*(Transfer!AD147)/Transfer!AD295)))-1)</f>
        <v>1.9297491948944812</v>
      </c>
      <c r="AO236" s="2097">
        <f>100*(((1000*(Transfer!AF147)/Transfer!AF295)/((1000*(Transfer!AE147)/Transfer!AE295)))-1)</f>
        <v>1.5588952122123967</v>
      </c>
      <c r="AP236" s="2098">
        <f>100*(((1000*(Transfer!AG147)/Transfer!AG295)/((1000*(Transfer!AF147)/Transfer!AF295)))-1)</f>
        <v>1.6936267276672634</v>
      </c>
      <c r="AQ236" s="203"/>
      <c r="AR236" s="54"/>
      <c r="AS236" s="54"/>
      <c r="AT236" s="54"/>
      <c r="AU236" s="54"/>
      <c r="AV236" s="54"/>
      <c r="AW236" s="54"/>
      <c r="AX236" s="54"/>
      <c r="AY236" s="54"/>
      <c r="AZ236" s="54"/>
      <c r="BA236" s="1583" t="s">
        <v>1023</v>
      </c>
      <c r="BB236" s="1612"/>
      <c r="BC236" s="54"/>
    </row>
    <row r="237" spans="1:55">
      <c r="A237" s="45"/>
      <c r="B237" s="2571"/>
      <c r="C237" s="2345" t="s">
        <v>1000</v>
      </c>
      <c r="D237" s="2373"/>
      <c r="E237" s="2347">
        <f ca="1">100*((((Transfer!D311/Transfer!D313)/(SUM(Transfer!D145,Transfer!D146)/Transfer!D319))/((SUM(Transfer!C143,Transfer!C144)/Transfer!C313)/(SUM(Transfer!C145,Transfer!C146)/Transfer!C319)))-1)</f>
        <v>0.70800042299219434</v>
      </c>
      <c r="F237" s="2108">
        <f ca="1">100*((((Transfer!E311/Transfer!E313)/(SUM(Transfer!E145,Transfer!E146)/Transfer!E319))/((SUM(Transfer!D143,Transfer!D144)/Transfer!D313)/(SUM(Transfer!D145,Transfer!D146)/Transfer!D319)))-1)</f>
        <v>-0.47551657436775141</v>
      </c>
      <c r="G237" s="2057">
        <f ca="1">100*((((Transfer!F311/Transfer!F313)/(SUM(Transfer!F145,Transfer!F146)/Transfer!F319))/((SUM(Transfer!E143,Transfer!E144)/Transfer!E313)/(SUM(Transfer!E145,Transfer!E146)/Transfer!E319)))-1)</f>
        <v>0</v>
      </c>
      <c r="H237" s="2556">
        <f ca="1">100*((((Transfer!G311/Transfer!G313)/(SUM(Transfer!G145,Transfer!G146)/Transfer!G319))/((SUM(Transfer!F143,Transfer!F144)/Transfer!F313)/(SUM(Transfer!F145,Transfer!F146)/Transfer!F319)))-1)</f>
        <v>0.35188508335579627</v>
      </c>
      <c r="I237" s="2405"/>
      <c r="J237" s="54"/>
      <c r="K237" s="54"/>
      <c r="L237" s="54"/>
      <c r="M237" s="54"/>
      <c r="N237" s="54"/>
      <c r="O237" s="54"/>
      <c r="P237" s="54"/>
      <c r="Q237" s="54"/>
      <c r="R237" s="54"/>
      <c r="S237" s="352"/>
      <c r="T237" s="353" t="s">
        <v>1000</v>
      </c>
      <c r="U237" s="69"/>
      <c r="V237" s="91">
        <f t="shared" ca="1" si="14"/>
        <v>0</v>
      </c>
      <c r="W237" s="91">
        <f t="shared" ca="1" si="14"/>
        <v>0</v>
      </c>
      <c r="X237" s="91">
        <f t="shared" ca="1" si="14"/>
        <v>0</v>
      </c>
      <c r="Y237" s="93">
        <f t="shared" ca="1" si="14"/>
        <v>0</v>
      </c>
      <c r="Z237" s="195"/>
      <c r="AA237" s="54"/>
      <c r="AB237" s="45"/>
      <c r="AC237" s="45"/>
      <c r="AD237" s="45"/>
      <c r="AE237" s="45"/>
      <c r="AF237" s="45"/>
      <c r="AG237" s="45"/>
      <c r="AH237" s="45"/>
      <c r="AI237" s="45"/>
      <c r="AJ237" s="352"/>
      <c r="AK237" s="2032" t="s">
        <v>1000</v>
      </c>
      <c r="AL237" s="2033"/>
      <c r="AM237" s="2023">
        <f>100*((((Transfer!AD311/Transfer!AD313)/(SUM(Transfer!AD145,Transfer!AD146)/Transfer!AD319))/((SUM(Transfer!AC143,Transfer!AC144)/Transfer!AC313)/(SUM(Transfer!AC145,Transfer!AC146)/Transfer!AC319)))-1)</f>
        <v>0.70800042299219434</v>
      </c>
      <c r="AN237" s="2108">
        <f>100*((((Transfer!AE311/Transfer!AE313)/(SUM(Transfer!AE145,Transfer!AE146)/Transfer!AE319))/((SUM(Transfer!AD143,Transfer!AD144)/Transfer!AD313)/(SUM(Transfer!AD145,Transfer!AD146)/Transfer!AD319)))-1)</f>
        <v>-0.47551657436775141</v>
      </c>
      <c r="AO237" s="2057">
        <f>100*((((Transfer!AF311/Transfer!AF313)/(SUM(Transfer!AF145,Transfer!AF146)/Transfer!AF319))/((SUM(Transfer!AE143,Transfer!AE144)/Transfer!AE313)/(SUM(Transfer!AE145,Transfer!AE146)/Transfer!AE319)))-1)</f>
        <v>0</v>
      </c>
      <c r="AP237" s="2109">
        <f>100*((((Transfer!AG311/Transfer!AG313)/(SUM(Transfer!AG145,Transfer!AG146)/Transfer!AG319))/((SUM(Transfer!AF143,Transfer!AF144)/Transfer!AF313)/(SUM(Transfer!AF145,Transfer!AF146)/Transfer!AF319)))-1)</f>
        <v>0.35192302201489944</v>
      </c>
      <c r="AQ237" s="195"/>
      <c r="AR237" s="54"/>
      <c r="AS237" s="54"/>
      <c r="AT237" s="54"/>
      <c r="AU237" s="54"/>
      <c r="AV237" s="54"/>
      <c r="AW237" s="54"/>
      <c r="AX237" s="54"/>
      <c r="AY237" s="54"/>
      <c r="AZ237" s="54"/>
      <c r="BA237" s="1583" t="s">
        <v>886</v>
      </c>
      <c r="BB237" s="1612"/>
      <c r="BC237" s="54"/>
    </row>
    <row r="238" spans="1:55">
      <c r="A238" s="45"/>
      <c r="B238" s="1583"/>
      <c r="C238" s="2557" t="s">
        <v>774</v>
      </c>
      <c r="D238" s="2558"/>
      <c r="E238" s="2453">
        <f ca="1">100*(((((Transfer!D143)/Transfer!D291)/(((Transfer!D145)/Transfer!D293)))/(((Transfer!C143)/Transfer!C291)/(((Transfer!C145)/Transfer!C293))))-1)</f>
        <v>0.68390279314385349</v>
      </c>
      <c r="F238" s="2057">
        <f ca="1">100*(((((Transfer!E143)/Transfer!E291)/(((Transfer!E145)/Transfer!E293)))/(((Transfer!D143)/Transfer!D291)/(((Transfer!D145)/Transfer!D293))))-1)</f>
        <v>-0.54189398107916675</v>
      </c>
      <c r="G238" s="2057">
        <f ca="1">100*(((((Transfer!F143)/Transfer!F291)/(((Transfer!F145)/Transfer!F293)))/(((Transfer!E143)/Transfer!E291)/(((Transfer!E145)/Transfer!E293))))-1)</f>
        <v>0</v>
      </c>
      <c r="H238" s="2556">
        <f ca="1">100*(((((Transfer!G143)/Transfer!G291)/(((Transfer!G145)/Transfer!G293)))/(((Transfer!F143)/Transfer!F291)/(((Transfer!F145)/Transfer!F293))))-1)</f>
        <v>0.29732408325076065</v>
      </c>
      <c r="I238" s="2559"/>
      <c r="J238" s="54"/>
      <c r="K238" s="54"/>
      <c r="L238" s="54"/>
      <c r="M238" s="54"/>
      <c r="N238" s="54"/>
      <c r="O238" s="54"/>
      <c r="P238" s="54"/>
      <c r="Q238" s="54"/>
      <c r="R238" s="54"/>
      <c r="S238" s="276"/>
      <c r="T238" s="319" t="s">
        <v>774</v>
      </c>
      <c r="U238" s="343"/>
      <c r="V238" s="91">
        <f t="shared" ca="1" si="14"/>
        <v>0</v>
      </c>
      <c r="W238" s="91">
        <f t="shared" ca="1" si="14"/>
        <v>0</v>
      </c>
      <c r="X238" s="91">
        <f t="shared" ca="1" si="14"/>
        <v>0</v>
      </c>
      <c r="Y238" s="93">
        <f t="shared" ca="1" si="14"/>
        <v>0</v>
      </c>
      <c r="Z238" s="344"/>
      <c r="AA238" s="54"/>
      <c r="AB238" s="45"/>
      <c r="AC238" s="45"/>
      <c r="AD238" s="45"/>
      <c r="AE238" s="45"/>
      <c r="AF238" s="45"/>
      <c r="AG238" s="45"/>
      <c r="AH238" s="45"/>
      <c r="AI238" s="45"/>
      <c r="AJ238" s="276"/>
      <c r="AK238" s="2062" t="s">
        <v>774</v>
      </c>
      <c r="AL238" s="2063"/>
      <c r="AM238" s="2057">
        <f>100*(((((Transfer!AD143)/Transfer!AD291)/(((Transfer!AD145)/Transfer!AD293)))/(((Transfer!AC143)/Transfer!AC291)/(((Transfer!AC145)/Transfer!AC293))))-1)</f>
        <v>0.68390279314385349</v>
      </c>
      <c r="AN238" s="2057">
        <f>100*(((((Transfer!AE143)/Transfer!AE291)/(((Transfer!AE145)/Transfer!AE293)))/(((Transfer!AD143)/Transfer!AD291)/(((Transfer!AD145)/Transfer!AD293))))-1)</f>
        <v>-0.54189398107916675</v>
      </c>
      <c r="AO238" s="2057">
        <f>100*(((((Transfer!AF143)/Transfer!AF291)/(((Transfer!AF145)/Transfer!AF293)))/(((Transfer!AE143)/Transfer!AE291)/(((Transfer!AE145)/Transfer!AE293))))-1)</f>
        <v>0</v>
      </c>
      <c r="AP238" s="2109">
        <f>100*(((((Transfer!AG143)/Transfer!AG291)/(((Transfer!AG145)/Transfer!AG293)))/(((Transfer!AF143)/Transfer!AF291)/(((Transfer!AF145)/Transfer!AF293))))-1)</f>
        <v>0.29732408325073845</v>
      </c>
      <c r="AQ238" s="344"/>
      <c r="AR238" s="54"/>
      <c r="AS238" s="54"/>
      <c r="AT238" s="54"/>
      <c r="AU238" s="54"/>
      <c r="AV238" s="54"/>
      <c r="AW238" s="54"/>
      <c r="AX238" s="54"/>
      <c r="AY238" s="54"/>
      <c r="AZ238" s="54"/>
      <c r="BA238" s="1583" t="s">
        <v>887</v>
      </c>
      <c r="BB238" s="1612"/>
      <c r="BC238" s="54"/>
    </row>
    <row r="239" spans="1:55" ht="13.8" thickBot="1">
      <c r="A239" s="45"/>
      <c r="B239" s="1583"/>
      <c r="C239" s="2572" t="s">
        <v>1361</v>
      </c>
      <c r="D239" s="2573"/>
      <c r="E239" s="2477">
        <f ca="1">100*(((((Transfer!D144)/Transfer!D292)/(((Transfer!D146)/Transfer!D294)))/(((Transfer!C144)/Transfer!C292)/(((Transfer!C146)/Transfer!C294))))-1)</f>
        <v>0.67632914844395486</v>
      </c>
      <c r="F239" s="2092">
        <f ca="1">100*(((((Transfer!E144)/Transfer!E292)/(((Transfer!E146)/Transfer!E294)))/(((Transfer!D144)/Transfer!D292)/(((Transfer!D146)/Transfer!D294))))-1)</f>
        <v>-0.30204307466260572</v>
      </c>
      <c r="G239" s="2092">
        <f ca="1">100*(((((Transfer!F144)/Transfer!F292)/(((Transfer!F146)/Transfer!F294)))/(((Transfer!E144)/Transfer!E292)/(((Transfer!E146)/Transfer!E294))))-1)</f>
        <v>0</v>
      </c>
      <c r="H239" s="2574">
        <f ca="1">100*(((((Transfer!G144)/Transfer!G292)/(((Transfer!G146)/Transfer!G294)))/(((Transfer!F144)/Transfer!F292)/(((Transfer!F146)/Transfer!F294))))-1)</f>
        <v>0.49554013875121594</v>
      </c>
      <c r="I239" s="2559"/>
      <c r="J239" s="54"/>
      <c r="K239" s="54"/>
      <c r="L239" s="54"/>
      <c r="M239" s="54"/>
      <c r="N239" s="54"/>
      <c r="O239" s="54"/>
      <c r="P239" s="54"/>
      <c r="Q239" s="54"/>
      <c r="R239" s="54"/>
      <c r="S239" s="276"/>
      <c r="T239" s="354" t="s">
        <v>1361</v>
      </c>
      <c r="U239" s="355"/>
      <c r="V239" s="413">
        <f t="shared" ca="1" si="14"/>
        <v>0</v>
      </c>
      <c r="W239" s="413">
        <f t="shared" ca="1" si="14"/>
        <v>0</v>
      </c>
      <c r="X239" s="413">
        <f t="shared" ca="1" si="14"/>
        <v>0</v>
      </c>
      <c r="Y239" s="112">
        <f t="shared" ca="1" si="14"/>
        <v>0</v>
      </c>
      <c r="Z239" s="344"/>
      <c r="AA239" s="54"/>
      <c r="AB239" s="45"/>
      <c r="AC239" s="45"/>
      <c r="AD239" s="45"/>
      <c r="AE239" s="45"/>
      <c r="AF239" s="45"/>
      <c r="AG239" s="45"/>
      <c r="AH239" s="45"/>
      <c r="AI239" s="45"/>
      <c r="AJ239" s="276"/>
      <c r="AK239" s="2064" t="s">
        <v>1361</v>
      </c>
      <c r="AL239" s="2065"/>
      <c r="AM239" s="2092">
        <f>100*(((((Transfer!AD144)/Transfer!AD292)/(((Transfer!AD146)/Transfer!AD294)))/(((Transfer!AC144)/Transfer!AC292)/(((Transfer!AC146)/Transfer!AC294))))-1)</f>
        <v>0.67632914844395486</v>
      </c>
      <c r="AN239" s="2092">
        <f>100*(((((Transfer!AE144)/Transfer!AE292)/(((Transfer!AE146)/Transfer!AE294)))/(((Transfer!AD144)/Transfer!AD292)/(((Transfer!AD146)/Transfer!AD294))))-1)</f>
        <v>-0.30204307466260572</v>
      </c>
      <c r="AO239" s="2092">
        <f>100*(((((Transfer!AF144)/Transfer!AF292)/(((Transfer!AF146)/Transfer!AF294)))/(((Transfer!AE144)/Transfer!AE292)/(((Transfer!AE146)/Transfer!AE294))))-1)</f>
        <v>0</v>
      </c>
      <c r="AP239" s="2110">
        <f>100*(((((Transfer!AG144)/Transfer!AG292)/(((Transfer!AG146)/Transfer!AG294)))/(((Transfer!AF144)/Transfer!AF292)/(((Transfer!AF146)/Transfer!AF294))))-1)</f>
        <v>0.49554013875121594</v>
      </c>
      <c r="AQ239" s="344"/>
      <c r="AR239" s="54"/>
      <c r="AS239" s="54"/>
      <c r="AT239" s="54"/>
      <c r="AU239" s="54"/>
      <c r="AV239" s="54"/>
      <c r="AW239" s="54"/>
      <c r="AX239" s="54"/>
      <c r="AY239" s="54"/>
      <c r="AZ239" s="54"/>
      <c r="BA239" s="1583" t="s">
        <v>1191</v>
      </c>
      <c r="BB239" s="1612"/>
      <c r="BC239" s="54"/>
    </row>
    <row r="240" spans="1:55" ht="13.8" thickBot="1">
      <c r="A240" s="45"/>
      <c r="B240" s="2569"/>
      <c r="C240" s="2508"/>
      <c r="D240" s="2575"/>
      <c r="E240" s="2352"/>
      <c r="F240" s="2352"/>
      <c r="G240" s="102"/>
      <c r="H240" s="2576"/>
      <c r="I240" s="2559"/>
      <c r="J240" s="54"/>
      <c r="K240" s="54"/>
      <c r="L240" s="54"/>
      <c r="M240" s="54"/>
      <c r="N240" s="54"/>
      <c r="O240" s="54"/>
      <c r="P240" s="54"/>
      <c r="Q240" s="54"/>
      <c r="R240" s="54"/>
      <c r="S240" s="350"/>
      <c r="T240" s="343"/>
      <c r="U240" s="343"/>
      <c r="V240" s="105"/>
      <c r="W240" s="105"/>
      <c r="X240" s="105"/>
      <c r="Y240" s="105"/>
      <c r="Z240" s="344"/>
      <c r="AA240" s="54"/>
      <c r="AB240" s="45"/>
      <c r="AC240" s="45"/>
      <c r="AD240" s="45"/>
      <c r="AE240" s="45"/>
      <c r="AF240" s="45"/>
      <c r="AG240" s="45"/>
      <c r="AH240" s="45"/>
      <c r="AI240" s="45"/>
      <c r="AJ240" s="350"/>
      <c r="AK240" s="319"/>
      <c r="AL240" s="343"/>
      <c r="AM240" s="102"/>
      <c r="AN240" s="102"/>
      <c r="AO240" s="102"/>
      <c r="AP240" s="2111"/>
      <c r="AQ240" s="344"/>
      <c r="AR240" s="54"/>
      <c r="AS240" s="54"/>
      <c r="AT240" s="54"/>
      <c r="AU240" s="54"/>
      <c r="AV240" s="54"/>
      <c r="AW240" s="54"/>
      <c r="AX240" s="54"/>
      <c r="AY240" s="54"/>
      <c r="AZ240" s="54"/>
      <c r="BA240" s="1583"/>
      <c r="BB240" s="1612"/>
      <c r="BC240" s="54"/>
    </row>
    <row r="241" spans="1:55">
      <c r="A241" s="45"/>
      <c r="B241" s="1583"/>
      <c r="C241" s="2577"/>
      <c r="D241" s="2578"/>
      <c r="E241" s="4222" t="s">
        <v>759</v>
      </c>
      <c r="F241" s="4223"/>
      <c r="G241" s="4223"/>
      <c r="H241" s="4224"/>
      <c r="I241" s="2491"/>
      <c r="J241" s="54"/>
      <c r="K241" s="54"/>
      <c r="L241" s="54"/>
      <c r="M241" s="54"/>
      <c r="N241" s="54"/>
      <c r="O241" s="54"/>
      <c r="P241" s="54"/>
      <c r="Q241" s="54"/>
      <c r="R241" s="54"/>
      <c r="S241" s="276"/>
      <c r="T241" s="356"/>
      <c r="U241" s="357"/>
      <c r="V241" s="4225" t="s">
        <v>759</v>
      </c>
      <c r="W241" s="4226"/>
      <c r="X241" s="4226"/>
      <c r="Y241" s="4227"/>
      <c r="Z241" s="274"/>
      <c r="AA241" s="54"/>
      <c r="AB241" s="45"/>
      <c r="AC241" s="45"/>
      <c r="AD241" s="45"/>
      <c r="AE241" s="45"/>
      <c r="AF241" s="45"/>
      <c r="AG241" s="45"/>
      <c r="AH241" s="45"/>
      <c r="AI241" s="45"/>
      <c r="AJ241" s="276"/>
      <c r="AK241" s="356"/>
      <c r="AL241" s="357"/>
      <c r="AM241" s="4228" t="s">
        <v>759</v>
      </c>
      <c r="AN241" s="4229"/>
      <c r="AO241" s="4229"/>
      <c r="AP241" s="4230"/>
      <c r="AQ241" s="274"/>
      <c r="AR241" s="54"/>
      <c r="AS241" s="54"/>
      <c r="AT241" s="54"/>
      <c r="AU241" s="54"/>
      <c r="AV241" s="54"/>
      <c r="AW241" s="54"/>
      <c r="AX241" s="54"/>
      <c r="AY241" s="54"/>
      <c r="AZ241" s="54"/>
      <c r="BA241" s="1583"/>
      <c r="BB241" s="1612"/>
      <c r="BC241" s="54"/>
    </row>
    <row r="242" spans="1:55">
      <c r="A242" s="45"/>
      <c r="B242" s="1583"/>
      <c r="C242" s="2579" t="s">
        <v>303</v>
      </c>
      <c r="D242" s="2580"/>
      <c r="E242" s="2581">
        <f ca="1">((Transfer!D154/Transfer!C154)-1)*100</f>
        <v>1.7700147501232166</v>
      </c>
      <c r="F242" s="436">
        <f ca="1">((Transfer!E154/Transfer!D154)-1)*100</f>
        <v>2.2239872915008618</v>
      </c>
      <c r="G242" s="2582">
        <f ca="1">((Transfer!F154/Transfer!E154)-1)*100</f>
        <v>1.5704560715091631</v>
      </c>
      <c r="H242" s="2583">
        <f ca="1">((Transfer!G154/Transfer!F154)-1)*100</f>
        <v>1.6342607393390551</v>
      </c>
      <c r="I242" s="2413"/>
      <c r="J242" s="54"/>
      <c r="K242" s="54"/>
      <c r="L242" s="54"/>
      <c r="M242" s="54"/>
      <c r="N242" s="54"/>
      <c r="O242" s="54"/>
      <c r="P242" s="54"/>
      <c r="Q242" s="54"/>
      <c r="R242" s="54"/>
      <c r="S242" s="276"/>
      <c r="T242" s="358" t="s">
        <v>303</v>
      </c>
      <c r="U242" s="359"/>
      <c r="V242" s="291">
        <f ca="1">ROUND(E242,1)-ROUND(AM242,1)</f>
        <v>0</v>
      </c>
      <c r="W242" s="291">
        <f ca="1">ROUND(F242,1)-ROUND(AN242,1)</f>
        <v>0</v>
      </c>
      <c r="X242" s="291">
        <f ca="1">ROUND(G242,1)-ROUND(AO242,1)</f>
        <v>0</v>
      </c>
      <c r="Y242" s="1924">
        <f ca="1">ROUND(H242,1)-ROUND(AP242,1)</f>
        <v>0</v>
      </c>
      <c r="Z242" s="203"/>
      <c r="AA242" s="54"/>
      <c r="AB242" s="45"/>
      <c r="AC242" s="45"/>
      <c r="AD242" s="45"/>
      <c r="AE242" s="45"/>
      <c r="AF242" s="45"/>
      <c r="AG242" s="45"/>
      <c r="AH242" s="45"/>
      <c r="AI242" s="45"/>
      <c r="AJ242" s="276"/>
      <c r="AK242" s="358" t="s">
        <v>303</v>
      </c>
      <c r="AL242" s="359"/>
      <c r="AM242" s="2112">
        <f>((Transfer!AD154/Transfer!AC154)-1)*100</f>
        <v>1.7700147501232166</v>
      </c>
      <c r="AN242" s="436">
        <f>((Transfer!AE154/Transfer!AD154)-1)*100</f>
        <v>2.2239872915008618</v>
      </c>
      <c r="AO242" s="436">
        <f>((Transfer!AF154/Transfer!AE154)-1)*100</f>
        <v>1.5704560715091631</v>
      </c>
      <c r="AP242" s="1631">
        <f>((Transfer!AG154/Transfer!AF154)-1)*100</f>
        <v>1.6342607393390551</v>
      </c>
      <c r="AQ242" s="203"/>
      <c r="AR242" s="54"/>
      <c r="AS242" s="54"/>
      <c r="AT242" s="54"/>
      <c r="AU242" s="54"/>
      <c r="AV242" s="54"/>
      <c r="AW242" s="54"/>
      <c r="AX242" s="54"/>
      <c r="AY242" s="54"/>
      <c r="AZ242" s="54"/>
      <c r="BA242" s="1583" t="s">
        <v>1607</v>
      </c>
      <c r="BB242" s="1612"/>
      <c r="BC242" s="54"/>
    </row>
    <row r="243" spans="1:55">
      <c r="A243" s="45"/>
      <c r="B243" s="1583"/>
      <c r="C243" s="2921" t="s">
        <v>1494</v>
      </c>
      <c r="D243" s="2580"/>
      <c r="E243" s="2686">
        <f ca="1">+Transfer!D272/Transfer!C272*100-100</f>
        <v>1.0091750764589733</v>
      </c>
      <c r="F243" s="246">
        <f ca="1">+Transfer!E272/Transfer!D272*100-100</f>
        <v>0.80933916343535373</v>
      </c>
      <c r="G243" s="2406">
        <f ca="1">+Transfer!F272/Transfer!E272*100-100</f>
        <v>1.0066646136511253</v>
      </c>
      <c r="H243" s="2647">
        <f ca="1">+Transfer!G272/Transfer!F272*100-100</f>
        <v>1.0567039356099883</v>
      </c>
      <c r="I243" s="2413"/>
      <c r="J243" s="54"/>
      <c r="K243" s="54"/>
      <c r="L243" s="54"/>
      <c r="M243" s="54"/>
      <c r="N243" s="54"/>
      <c r="O243" s="54"/>
      <c r="P243" s="54"/>
      <c r="Q243" s="54"/>
      <c r="R243" s="54"/>
      <c r="S243" s="276"/>
      <c r="T243" s="358"/>
      <c r="U243" s="359"/>
      <c r="V243" s="291"/>
      <c r="W243" s="291"/>
      <c r="X243" s="291"/>
      <c r="Y243" s="318"/>
      <c r="Z243" s="203"/>
      <c r="AA243" s="54"/>
      <c r="AB243" s="45"/>
      <c r="AC243" s="45"/>
      <c r="AD243" s="45"/>
      <c r="AE243" s="45"/>
      <c r="AF243" s="45"/>
      <c r="AG243" s="45"/>
      <c r="AH243" s="45"/>
      <c r="AI243" s="45"/>
      <c r="AJ243" s="276"/>
      <c r="AK243" s="358"/>
      <c r="AL243" s="359"/>
      <c r="AM243" s="2920"/>
      <c r="AN243" s="485"/>
      <c r="AO243" s="485"/>
      <c r="AP243" s="1631"/>
      <c r="AQ243" s="203"/>
      <c r="AR243" s="54"/>
      <c r="AS243" s="54"/>
      <c r="AT243" s="54"/>
      <c r="AU243" s="54"/>
      <c r="AV243" s="54"/>
      <c r="AW243" s="54"/>
      <c r="AX243" s="54"/>
      <c r="AY243" s="54"/>
      <c r="AZ243" s="54"/>
      <c r="BA243" s="1583"/>
      <c r="BB243" s="1612"/>
      <c r="BC243" s="54"/>
    </row>
    <row r="244" spans="1:55">
      <c r="A244" s="45"/>
      <c r="B244" s="1583"/>
      <c r="C244" s="2921" t="s">
        <v>1495</v>
      </c>
      <c r="D244" s="2580"/>
      <c r="E244" s="2686">
        <f ca="1">+Transfer!D273/Transfer!C273*100-100</f>
        <v>-0.5983383194859897</v>
      </c>
      <c r="F244" s="246">
        <f ca="1">+Transfer!E273/Transfer!D273*100-100</f>
        <v>9.8515270663391448</v>
      </c>
      <c r="G244" s="2406">
        <f ca="1">+Transfer!F273/Transfer!E273*100-100</f>
        <v>-1.3944334730075525</v>
      </c>
      <c r="H244" s="2647">
        <f ca="1">+Transfer!G273/Transfer!F273*100-100</f>
        <v>-1.3409463064682967</v>
      </c>
      <c r="I244" s="2413"/>
      <c r="J244" s="54"/>
      <c r="K244" s="54"/>
      <c r="L244" s="54"/>
      <c r="M244" s="54"/>
      <c r="N244" s="54"/>
      <c r="O244" s="54"/>
      <c r="P244" s="54"/>
      <c r="Q244" s="54"/>
      <c r="R244" s="54"/>
      <c r="S244" s="276"/>
      <c r="T244" s="358"/>
      <c r="U244" s="359"/>
      <c r="V244" s="291"/>
      <c r="W244" s="291"/>
      <c r="X244" s="291"/>
      <c r="Y244" s="318"/>
      <c r="Z244" s="203"/>
      <c r="AA244" s="54"/>
      <c r="AB244" s="45"/>
      <c r="AC244" s="45"/>
      <c r="AD244" s="45"/>
      <c r="AE244" s="45"/>
      <c r="AF244" s="45"/>
      <c r="AG244" s="45"/>
      <c r="AH244" s="45"/>
      <c r="AI244" s="45"/>
      <c r="AJ244" s="276"/>
      <c r="AK244" s="358"/>
      <c r="AL244" s="359"/>
      <c r="AM244" s="2920"/>
      <c r="AN244" s="485"/>
      <c r="AO244" s="485"/>
      <c r="AP244" s="1631"/>
      <c r="AQ244" s="203"/>
      <c r="AR244" s="54"/>
      <c r="AS244" s="54"/>
      <c r="AT244" s="54"/>
      <c r="AU244" s="54"/>
      <c r="AV244" s="54"/>
      <c r="AW244" s="54"/>
      <c r="AX244" s="54"/>
      <c r="AY244" s="54"/>
      <c r="AZ244" s="54"/>
      <c r="BA244" s="1583"/>
      <c r="BB244" s="1612"/>
      <c r="BC244" s="54"/>
    </row>
    <row r="245" spans="1:55">
      <c r="A245" s="45"/>
      <c r="B245" s="1583"/>
      <c r="C245" s="2921" t="s">
        <v>1496</v>
      </c>
      <c r="D245" s="2580"/>
      <c r="E245" s="2686">
        <f ca="1">+Transfer!D274/Transfer!C274*100-100</f>
        <v>3.4525287710730908</v>
      </c>
      <c r="F245" s="246">
        <f ca="1">+Transfer!E274/Transfer!D274*100-100</f>
        <v>2.1435130737381485</v>
      </c>
      <c r="G245" s="2406">
        <f ca="1">+Transfer!F274/Transfer!E274*100-100</f>
        <v>2.9433989278162045</v>
      </c>
      <c r="H245" s="2647">
        <f ca="1">+Transfer!G274/Transfer!F274*100-100</f>
        <v>2.4890715600657956</v>
      </c>
      <c r="I245" s="2413"/>
      <c r="J245" s="54"/>
      <c r="K245" s="54"/>
      <c r="L245" s="54"/>
      <c r="M245" s="54"/>
      <c r="N245" s="54"/>
      <c r="O245" s="54"/>
      <c r="P245" s="54"/>
      <c r="Q245" s="54"/>
      <c r="R245" s="54"/>
      <c r="S245" s="276"/>
      <c r="T245" s="358"/>
      <c r="U245" s="359"/>
      <c r="V245" s="291"/>
      <c r="W245" s="291"/>
      <c r="X245" s="291"/>
      <c r="Y245" s="318"/>
      <c r="Z245" s="203"/>
      <c r="AA245" s="54"/>
      <c r="AB245" s="45"/>
      <c r="AC245" s="45"/>
      <c r="AD245" s="45"/>
      <c r="AE245" s="45"/>
      <c r="AF245" s="45"/>
      <c r="AG245" s="45"/>
      <c r="AH245" s="45"/>
      <c r="AI245" s="45"/>
      <c r="AJ245" s="276"/>
      <c r="AK245" s="358"/>
      <c r="AL245" s="359"/>
      <c r="AM245" s="2920"/>
      <c r="AN245" s="485"/>
      <c r="AO245" s="485"/>
      <c r="AP245" s="1631"/>
      <c r="AQ245" s="203"/>
      <c r="AR245" s="54"/>
      <c r="AS245" s="54"/>
      <c r="AT245" s="54"/>
      <c r="AU245" s="54"/>
      <c r="AV245" s="54"/>
      <c r="AW245" s="54"/>
      <c r="AX245" s="54"/>
      <c r="AY245" s="54"/>
      <c r="AZ245" s="54"/>
      <c r="BA245" s="1583"/>
      <c r="BB245" s="1612"/>
      <c r="BC245" s="54"/>
    </row>
    <row r="246" spans="1:55">
      <c r="A246" s="45"/>
      <c r="B246" s="1583"/>
      <c r="C246" s="2921" t="s">
        <v>1497</v>
      </c>
      <c r="D246" s="2580"/>
      <c r="E246" s="2686">
        <f ca="1">+Transfer!D275/Transfer!C275*100-100</f>
        <v>2.5624786460112716</v>
      </c>
      <c r="F246" s="246">
        <f ca="1">+Transfer!E275/Transfer!D275*100-100</f>
        <v>6.9063017972652574E-2</v>
      </c>
      <c r="G246" s="2406">
        <f ca="1">+Transfer!F275/Transfer!E275*100-100</f>
        <v>2.3131552797384103</v>
      </c>
      <c r="H246" s="2647">
        <f ca="1">+Transfer!G275/Transfer!F275*100-100</f>
        <v>2.4249434601467215</v>
      </c>
      <c r="I246" s="2413"/>
      <c r="J246" s="54"/>
      <c r="K246" s="54"/>
      <c r="L246" s="54"/>
      <c r="M246" s="54"/>
      <c r="N246" s="54"/>
      <c r="O246" s="54"/>
      <c r="P246" s="54"/>
      <c r="Q246" s="54"/>
      <c r="R246" s="54"/>
      <c r="S246" s="276"/>
      <c r="T246" s="358"/>
      <c r="U246" s="359"/>
      <c r="V246" s="291"/>
      <c r="W246" s="291"/>
      <c r="X246" s="291"/>
      <c r="Y246" s="318"/>
      <c r="Z246" s="203"/>
      <c r="AA246" s="54"/>
      <c r="AB246" s="45"/>
      <c r="AC246" s="45"/>
      <c r="AD246" s="45"/>
      <c r="AE246" s="45"/>
      <c r="AF246" s="45"/>
      <c r="AG246" s="45"/>
      <c r="AH246" s="45"/>
      <c r="AI246" s="45"/>
      <c r="AJ246" s="276"/>
      <c r="AK246" s="358"/>
      <c r="AL246" s="359"/>
      <c r="AM246" s="2920"/>
      <c r="AN246" s="485"/>
      <c r="AO246" s="485"/>
      <c r="AP246" s="1631"/>
      <c r="AQ246" s="203"/>
      <c r="AR246" s="54"/>
      <c r="AS246" s="54"/>
      <c r="AT246" s="54"/>
      <c r="AU246" s="54"/>
      <c r="AV246" s="54"/>
      <c r="AW246" s="54"/>
      <c r="AX246" s="54"/>
      <c r="AY246" s="54"/>
      <c r="AZ246" s="54"/>
      <c r="BA246" s="1583"/>
      <c r="BB246" s="1612"/>
      <c r="BC246" s="54"/>
    </row>
    <row r="247" spans="1:55">
      <c r="A247" s="45"/>
      <c r="B247" s="1583"/>
      <c r="C247" s="2921" t="s">
        <v>629</v>
      </c>
      <c r="D247" s="2580"/>
      <c r="E247" s="2686">
        <f ca="1">+Transfer!D276/Transfer!C276*100-100</f>
        <v>2.2316666666666549</v>
      </c>
      <c r="F247" s="246">
        <f ca="1">+Transfer!E276/Transfer!D276*100-100</f>
        <v>1.9074324654787489</v>
      </c>
      <c r="G247" s="2406">
        <f ca="1">+Transfer!F276/Transfer!E276*100-100</f>
        <v>1.9587821730388413</v>
      </c>
      <c r="H247" s="2647">
        <f ca="1">+Transfer!G276/Transfer!F276*100-100</f>
        <v>2.1961431400540761</v>
      </c>
      <c r="I247" s="2413"/>
      <c r="J247" s="54"/>
      <c r="K247" s="54"/>
      <c r="L247" s="54"/>
      <c r="M247" s="54"/>
      <c r="N247" s="54"/>
      <c r="O247" s="54"/>
      <c r="P247" s="54"/>
      <c r="Q247" s="54"/>
      <c r="R247" s="54"/>
      <c r="S247" s="276"/>
      <c r="T247" s="358"/>
      <c r="U247" s="359"/>
      <c r="V247" s="291"/>
      <c r="W247" s="291"/>
      <c r="X247" s="291"/>
      <c r="Y247" s="318"/>
      <c r="Z247" s="203"/>
      <c r="AA247" s="54"/>
      <c r="AB247" s="45"/>
      <c r="AC247" s="45"/>
      <c r="AD247" s="45"/>
      <c r="AE247" s="45"/>
      <c r="AF247" s="45"/>
      <c r="AG247" s="45"/>
      <c r="AH247" s="45"/>
      <c r="AI247" s="45"/>
      <c r="AJ247" s="276"/>
      <c r="AK247" s="358"/>
      <c r="AL247" s="359"/>
      <c r="AM247" s="2920"/>
      <c r="AN247" s="485"/>
      <c r="AO247" s="485"/>
      <c r="AP247" s="1631"/>
      <c r="AQ247" s="203"/>
      <c r="AR247" s="54"/>
      <c r="AS247" s="54"/>
      <c r="AT247" s="54"/>
      <c r="AU247" s="54"/>
      <c r="AV247" s="54"/>
      <c r="AW247" s="54"/>
      <c r="AX247" s="54"/>
      <c r="AY247" s="54"/>
      <c r="AZ247" s="54"/>
      <c r="BA247" s="1583"/>
      <c r="BB247" s="1612"/>
      <c r="BC247" s="54"/>
    </row>
    <row r="248" spans="1:55">
      <c r="A248" s="45"/>
      <c r="B248" s="1583"/>
      <c r="C248" s="2922" t="s">
        <v>669</v>
      </c>
      <c r="D248" s="2923"/>
      <c r="E248" s="2924">
        <f ca="1">+Transfer!D277/Transfer!C277*100-100</f>
        <v>2.0217758127895991</v>
      </c>
      <c r="F248" s="2993">
        <f ca="1">+Transfer!E277/Transfer!D277*100-100</f>
        <v>1.5879527714072452</v>
      </c>
      <c r="G248" s="2962">
        <f ca="1">+Transfer!F277/Transfer!E277*100-100</f>
        <v>1.8065687280100633</v>
      </c>
      <c r="H248" s="2925">
        <f ca="1">+Transfer!G277/Transfer!F277*100-100</f>
        <v>1.8698291462412726</v>
      </c>
      <c r="I248" s="2413"/>
      <c r="J248" s="54"/>
      <c r="K248" s="54"/>
      <c r="L248" s="54"/>
      <c r="M248" s="54"/>
      <c r="N248" s="54"/>
      <c r="O248" s="54"/>
      <c r="P248" s="54"/>
      <c r="Q248" s="54"/>
      <c r="R248" s="54"/>
      <c r="S248" s="276"/>
      <c r="T248" s="358"/>
      <c r="U248" s="359"/>
      <c r="V248" s="291"/>
      <c r="W248" s="291"/>
      <c r="X248" s="291"/>
      <c r="Y248" s="318"/>
      <c r="Z248" s="203"/>
      <c r="AA248" s="54"/>
      <c r="AB248" s="45"/>
      <c r="AC248" s="45"/>
      <c r="AD248" s="45"/>
      <c r="AE248" s="45"/>
      <c r="AF248" s="45"/>
      <c r="AG248" s="45"/>
      <c r="AH248" s="45"/>
      <c r="AI248" s="45"/>
      <c r="AJ248" s="276"/>
      <c r="AK248" s="358"/>
      <c r="AL248" s="359"/>
      <c r="AM248" s="2920"/>
      <c r="AN248" s="485"/>
      <c r="AO248" s="485"/>
      <c r="AP248" s="1631"/>
      <c r="AQ248" s="203"/>
      <c r="AR248" s="54"/>
      <c r="AS248" s="54"/>
      <c r="AT248" s="54"/>
      <c r="AU248" s="54"/>
      <c r="AV248" s="54"/>
      <c r="AW248" s="54"/>
      <c r="AX248" s="54"/>
      <c r="AY248" s="54"/>
      <c r="AZ248" s="54"/>
      <c r="BA248" s="1583"/>
      <c r="BB248" s="1612"/>
      <c r="BC248" s="54"/>
    </row>
    <row r="249" spans="1:55" ht="13.8" thickBot="1">
      <c r="A249" s="45"/>
      <c r="B249" s="1583"/>
      <c r="C249" s="2426" t="s">
        <v>1435</v>
      </c>
      <c r="D249" s="2584"/>
      <c r="E249" s="2926" t="s">
        <v>708</v>
      </c>
      <c r="F249" s="2541" t="s">
        <v>708</v>
      </c>
      <c r="G249" s="2541" t="s">
        <v>708</v>
      </c>
      <c r="H249" s="2927" t="s">
        <v>708</v>
      </c>
      <c r="I249" s="2405"/>
      <c r="J249" s="54"/>
      <c r="K249" s="54"/>
      <c r="L249" s="54"/>
      <c r="M249" s="54"/>
      <c r="N249" s="54"/>
      <c r="O249" s="54"/>
      <c r="P249" s="54"/>
      <c r="Q249" s="54"/>
      <c r="R249" s="54"/>
      <c r="S249" s="276"/>
      <c r="T249" s="214" t="s">
        <v>1435</v>
      </c>
      <c r="U249" s="362"/>
      <c r="V249" s="413" t="e">
        <f>ROUND(E249,1)-ROUND(AM249,1)</f>
        <v>#VALUE!</v>
      </c>
      <c r="W249" s="413" t="e">
        <f>ROUND(F249,1)-ROUND(AN249,1)</f>
        <v>#VALUE!</v>
      </c>
      <c r="X249" s="413" t="e">
        <f>ROUND(G249,1)-ROUND(AO249,1)</f>
        <v>#VALUE!</v>
      </c>
      <c r="Y249" s="112" t="e">
        <f>ROUND(H249,1)-ROUND(AP249,1)</f>
        <v>#VALUE!</v>
      </c>
      <c r="Z249" s="195"/>
      <c r="AA249" s="54"/>
      <c r="AB249" s="45"/>
      <c r="AC249" s="45"/>
      <c r="AD249" s="45"/>
      <c r="AE249" s="45"/>
      <c r="AF249" s="45"/>
      <c r="AG249" s="45"/>
      <c r="AH249" s="45"/>
      <c r="AI249" s="45"/>
      <c r="AJ249" s="276"/>
      <c r="AK249" s="214" t="s">
        <v>1435</v>
      </c>
      <c r="AL249" s="362"/>
      <c r="AM249" s="2113">
        <f>((Transfer!AD155/Transfer!AC155)-1)*100</f>
        <v>1.9738526465317152</v>
      </c>
      <c r="AN249" s="483">
        <f>((Transfer!AE155/Transfer!AD155)-1)*100</f>
        <v>2.1259708600260829</v>
      </c>
      <c r="AO249" s="483">
        <f>((Transfer!AF155/Transfer!AE155)-1)*100</f>
        <v>1.5704560715091631</v>
      </c>
      <c r="AP249" s="1934">
        <f>((Transfer!AG155/Transfer!AF155)-1)*100</f>
        <v>1.6342607393390551</v>
      </c>
      <c r="AQ249" s="195"/>
      <c r="AR249" s="54"/>
      <c r="AS249" s="54"/>
      <c r="AT249" s="54"/>
      <c r="AU249" s="54"/>
      <c r="AV249" s="54"/>
      <c r="AW249" s="54"/>
      <c r="AX249" s="54"/>
      <c r="AY249" s="54"/>
      <c r="AZ249" s="54"/>
      <c r="BA249" s="1583" t="s">
        <v>2118</v>
      </c>
      <c r="BB249" s="1612"/>
      <c r="BC249" s="54"/>
    </row>
    <row r="250" spans="1:55" ht="13.8" thickBot="1">
      <c r="A250" s="45"/>
      <c r="B250" s="1583"/>
      <c r="C250" s="2530"/>
      <c r="D250" s="2586"/>
      <c r="E250" s="2318"/>
      <c r="F250" s="2318"/>
      <c r="G250" s="2318"/>
      <c r="H250" s="2587"/>
      <c r="I250" s="2405"/>
      <c r="J250" s="54"/>
      <c r="K250" s="54"/>
      <c r="L250" s="54"/>
      <c r="M250" s="54"/>
      <c r="N250" s="54"/>
      <c r="O250" s="54"/>
      <c r="P250" s="54"/>
      <c r="Q250" s="54"/>
      <c r="R250" s="54"/>
      <c r="S250" s="276"/>
      <c r="T250" s="69"/>
      <c r="U250" s="69"/>
      <c r="V250" s="65"/>
      <c r="W250" s="65"/>
      <c r="X250" s="65"/>
      <c r="Y250" s="65"/>
      <c r="Z250" s="195"/>
      <c r="AA250" s="54"/>
      <c r="AB250" s="45"/>
      <c r="AC250" s="45"/>
      <c r="AD250" s="45"/>
      <c r="AE250" s="45"/>
      <c r="AF250" s="45"/>
      <c r="AG250" s="45"/>
      <c r="AH250" s="45"/>
      <c r="AI250" s="45"/>
      <c r="AJ250" s="276"/>
      <c r="AK250" s="2066"/>
      <c r="AL250" s="2067"/>
      <c r="AM250" s="211"/>
      <c r="AN250" s="211"/>
      <c r="AO250" s="211"/>
      <c r="AP250" s="2114"/>
      <c r="AQ250" s="195"/>
      <c r="AR250" s="54"/>
      <c r="AS250" s="54"/>
      <c r="AT250" s="54"/>
      <c r="AU250" s="54"/>
      <c r="AV250" s="54"/>
      <c r="AW250" s="54"/>
      <c r="AX250" s="54"/>
      <c r="AY250" s="54"/>
      <c r="AZ250" s="54"/>
      <c r="BA250" s="1583"/>
      <c r="BB250" s="1612"/>
      <c r="BC250" s="54"/>
    </row>
    <row r="251" spans="1:55">
      <c r="A251" s="45"/>
      <c r="B251" s="1583"/>
      <c r="C251" s="2317"/>
      <c r="D251" s="2588"/>
      <c r="E251" s="4231" t="s">
        <v>799</v>
      </c>
      <c r="F251" s="4232"/>
      <c r="G251" s="4232"/>
      <c r="H251" s="4233"/>
      <c r="I251" s="2491"/>
      <c r="J251" s="54"/>
      <c r="K251" s="54"/>
      <c r="L251" s="54"/>
      <c r="M251" s="54"/>
      <c r="N251" s="54"/>
      <c r="O251" s="54"/>
      <c r="P251" s="54"/>
      <c r="Q251" s="54"/>
      <c r="R251" s="54"/>
      <c r="S251" s="276"/>
      <c r="T251" s="190"/>
      <c r="U251" s="363"/>
      <c r="V251" s="4234" t="s">
        <v>799</v>
      </c>
      <c r="W251" s="4234"/>
      <c r="X251" s="4234"/>
      <c r="Y251" s="4235"/>
      <c r="Z251" s="274"/>
      <c r="AA251" s="54"/>
      <c r="AB251" s="45"/>
      <c r="AC251" s="45"/>
      <c r="AD251" s="45"/>
      <c r="AE251" s="45"/>
      <c r="AF251" s="45"/>
      <c r="AG251" s="45"/>
      <c r="AH251" s="45"/>
      <c r="AI251" s="45"/>
      <c r="AJ251" s="276"/>
      <c r="AK251" s="190"/>
      <c r="AL251" s="363"/>
      <c r="AM251" s="4236" t="s">
        <v>799</v>
      </c>
      <c r="AN251" s="4237"/>
      <c r="AO251" s="4237"/>
      <c r="AP251" s="4238"/>
      <c r="AQ251" s="274"/>
      <c r="AR251" s="54"/>
      <c r="AS251" s="54"/>
      <c r="AT251" s="54"/>
      <c r="AU251" s="54"/>
      <c r="AV251" s="54"/>
      <c r="AW251" s="54"/>
      <c r="AX251" s="54"/>
      <c r="AY251" s="54"/>
      <c r="AZ251" s="54"/>
      <c r="BA251" s="1583"/>
      <c r="BB251" s="1612"/>
      <c r="BC251" s="54"/>
    </row>
    <row r="252" spans="1:55">
      <c r="A252" s="45"/>
      <c r="B252" s="2589"/>
      <c r="C252" s="2590"/>
      <c r="D252" s="1574"/>
      <c r="E252" s="4209" t="s">
        <v>983</v>
      </c>
      <c r="F252" s="4210"/>
      <c r="G252" s="4210"/>
      <c r="H252" s="4211"/>
      <c r="I252" s="2491"/>
      <c r="J252" s="54"/>
      <c r="K252" s="54"/>
      <c r="L252" s="54"/>
      <c r="M252" s="54"/>
      <c r="N252" s="54"/>
      <c r="O252" s="54"/>
      <c r="P252" s="54"/>
      <c r="Q252" s="54"/>
      <c r="R252" s="54"/>
      <c r="S252" s="364"/>
      <c r="T252" s="39"/>
      <c r="U252" s="90"/>
      <c r="V252" s="4212" t="s">
        <v>983</v>
      </c>
      <c r="W252" s="4213"/>
      <c r="X252" s="4213"/>
      <c r="Y252" s="4214"/>
      <c r="Z252" s="274"/>
      <c r="AA252" s="54"/>
      <c r="AB252" s="45"/>
      <c r="AC252" s="45"/>
      <c r="AD252" s="45"/>
      <c r="AE252" s="45"/>
      <c r="AF252" s="45"/>
      <c r="AG252" s="45"/>
      <c r="AH252" s="45"/>
      <c r="AI252" s="45"/>
      <c r="AJ252" s="364"/>
      <c r="AK252" s="39"/>
      <c r="AL252" s="90"/>
      <c r="AM252" s="4215" t="s">
        <v>983</v>
      </c>
      <c r="AN252" s="4216"/>
      <c r="AO252" s="4216"/>
      <c r="AP252" s="4217"/>
      <c r="AQ252" s="274"/>
      <c r="AR252" s="54"/>
      <c r="AS252" s="54"/>
      <c r="AT252" s="54"/>
      <c r="AU252" s="54"/>
      <c r="AV252" s="54"/>
      <c r="AW252" s="54"/>
      <c r="AX252" s="54"/>
      <c r="AY252" s="54"/>
      <c r="AZ252" s="54"/>
      <c r="BA252" s="1583"/>
      <c r="BB252" s="1612"/>
      <c r="BC252" s="54"/>
    </row>
    <row r="253" spans="1:55">
      <c r="A253" s="45"/>
      <c r="B253" s="2560"/>
      <c r="C253" s="2345" t="s">
        <v>251</v>
      </c>
      <c r="D253" s="2373"/>
      <c r="E253" s="2347">
        <f ca="1">IF(Transfer!$C$280=1,(Transfer!D161/Transfer!D147)*100*(((Transfer!D161/Transfer!D295)/(Transfer!C161/Transfer!C295))-1),(Transfer!D161/Transfer!D147)*100*(((Transfer!D161/Transfer!D112)/(Transfer!C161/Transfer!C112))-1))</f>
        <v>-0.10019011627080035</v>
      </c>
      <c r="F253" s="2108">
        <f ca="1">IF(Transfer!$C$280=1,(Transfer!E161/Transfer!E147)*100*(((Transfer!E161/Transfer!E295)/(Transfer!D161/Transfer!D295))-1),(Transfer!E161/Transfer!E147)*100*(((Transfer!E161/Transfer!E112)/(Transfer!D161/Transfer!D112))-1))</f>
        <v>0.7101405447611896</v>
      </c>
      <c r="G253" s="2453">
        <f ca="1">IF(Transfer!$C$280=1,(Transfer!F161/Transfer!F147)*100*(((Transfer!F161/Transfer!F295)/(Transfer!E161/Transfer!E295))-1),(Transfer!F161/Transfer!F147)*100*(((Transfer!F161/Transfer!F112)/(Transfer!E161/Transfer!E112))-1))</f>
        <v>0.71855653622412907</v>
      </c>
      <c r="H253" s="2556">
        <f ca="1">IF(Transfer!$C$280=1,(Transfer!G161/Transfer!G147)*100*(((Transfer!G161/Transfer!G295)/(Transfer!F161/Transfer!F295))-1),(Transfer!G161/Transfer!G147)*100*(((Transfer!G161/Transfer!G112)/(Transfer!F161/Transfer!F112))-1))</f>
        <v>0.7086592175013231</v>
      </c>
      <c r="I253" s="2405"/>
      <c r="J253" s="54"/>
      <c r="K253" s="54"/>
      <c r="L253" s="54"/>
      <c r="M253" s="54"/>
      <c r="N253" s="54"/>
      <c r="O253" s="54"/>
      <c r="P253" s="54"/>
      <c r="Q253" s="54"/>
      <c r="R253" s="54"/>
      <c r="S253" s="345"/>
      <c r="T253" s="286" t="s">
        <v>251</v>
      </c>
      <c r="U253" s="365"/>
      <c r="V253" s="91">
        <f t="shared" ref="V253:Y254" ca="1" si="15">ROUND(E253,1)-ROUND(AM253,1)</f>
        <v>0</v>
      </c>
      <c r="W253" s="91">
        <f t="shared" ca="1" si="15"/>
        <v>0</v>
      </c>
      <c r="X253" s="91">
        <f t="shared" ca="1" si="15"/>
        <v>0</v>
      </c>
      <c r="Y253" s="81">
        <f t="shared" ca="1" si="15"/>
        <v>0</v>
      </c>
      <c r="Z253" s="195"/>
      <c r="AA253" s="54"/>
      <c r="AB253" s="45"/>
      <c r="AC253" s="45"/>
      <c r="AD253" s="45"/>
      <c r="AE253" s="45"/>
      <c r="AF253" s="45"/>
      <c r="AG253" s="45"/>
      <c r="AH253" s="45"/>
      <c r="AI253" s="45"/>
      <c r="AJ253" s="345"/>
      <c r="AK253" s="2032" t="s">
        <v>251</v>
      </c>
      <c r="AL253" s="2033"/>
      <c r="AM253" s="2023">
        <f>IF(Transfer!$C$280=1,(Transfer!AD161/Transfer!AD147)*100*(((Transfer!AD161/Transfer!AD295)/(Transfer!AC161/Transfer!AC295))-1),(Transfer!AD161/Transfer!AD147)*100*(((Transfer!AD161/Transfer!AD112)/(Transfer!AC161/Transfer!AC112))-1))</f>
        <v>-0.10019011627080035</v>
      </c>
      <c r="AN253" s="2108">
        <f>IF(Transfer!$C$280=1,(Transfer!AE161/Transfer!AE147)*100*(((Transfer!AE161/Transfer!AE295)/(Transfer!AD161/Transfer!AD295))-1),(Transfer!AE161/Transfer!AE147)*100*(((Transfer!AE161/Transfer!AE112)/(Transfer!AD161/Transfer!AD112))-1))</f>
        <v>0.7101405447611896</v>
      </c>
      <c r="AO253" s="2057">
        <f>IF(Transfer!$C$280=1,(Transfer!AF161/Transfer!AF147)*100*(((Transfer!AF161/Transfer!AF295)/(Transfer!AE161/Transfer!AE295))-1),(Transfer!AF161/Transfer!AF147)*100*(((Transfer!AF161/Transfer!AF112)/(Transfer!AE161/Transfer!AE112))-1))</f>
        <v>0.71620643885612334</v>
      </c>
      <c r="AP253" s="2109">
        <f>IF(Transfer!$C$280=1,(Transfer!AG161/Transfer!AG147)*100*(((Transfer!AG161/Transfer!AG295)/(Transfer!AF161/Transfer!AF295))-1),(Transfer!AG161/Transfer!AG147)*100*(((Transfer!AG161/Transfer!AG112)/(Transfer!AF161/Transfer!AF112))-1))</f>
        <v>0.70292775077216307</v>
      </c>
      <c r="AQ253" s="195"/>
      <c r="AR253" s="54"/>
      <c r="AS253" s="54"/>
      <c r="AT253" s="54"/>
      <c r="AU253" s="54"/>
      <c r="AV253" s="54"/>
      <c r="AW253" s="54"/>
      <c r="AX253" s="54"/>
      <c r="AY253" s="54"/>
      <c r="AZ253" s="54"/>
      <c r="BA253" s="1583" t="s">
        <v>878</v>
      </c>
      <c r="BB253" s="1612"/>
      <c r="BC253" s="54"/>
    </row>
    <row r="254" spans="1:55">
      <c r="A254" s="45"/>
      <c r="B254" s="1583"/>
      <c r="C254" s="2557" t="s">
        <v>434</v>
      </c>
      <c r="D254" s="2558"/>
      <c r="E254" s="2453">
        <f ca="1">(Transfer!D162/Transfer!D147)*100*(((Transfer!D162/Transfer!D295)/(Transfer!C162/Transfer!C295))-1)</f>
        <v>0.36636157703882383</v>
      </c>
      <c r="F254" s="2057">
        <f ca="1">(Transfer!E162/Transfer!E147)*100*(((Transfer!E162/Transfer!E295)/(Transfer!D162/Transfer!D295))-1)</f>
        <v>0.57776550195103693</v>
      </c>
      <c r="G254" s="2453">
        <f ca="1">(Transfer!F162/Transfer!F147)*100*(((Transfer!F162/Transfer!F295)/(Transfer!E162/Transfer!E295))-1)</f>
        <v>0.60525526069312219</v>
      </c>
      <c r="H254" s="2556">
        <f ca="1">(Transfer!G162/Transfer!G147)*100*(((Transfer!G162/Transfer!G295)/(Transfer!F162/Transfer!F295))-1)</f>
        <v>0.51173812553143705</v>
      </c>
      <c r="I254" s="2350"/>
      <c r="J254" s="54"/>
      <c r="K254" s="54"/>
      <c r="L254" s="54"/>
      <c r="M254" s="54"/>
      <c r="N254" s="54"/>
      <c r="O254" s="54"/>
      <c r="P254" s="54"/>
      <c r="Q254" s="54"/>
      <c r="R254" s="54"/>
      <c r="S254" s="276"/>
      <c r="T254" s="86" t="s">
        <v>434</v>
      </c>
      <c r="U254" s="344"/>
      <c r="V254" s="91">
        <f t="shared" ca="1" si="15"/>
        <v>0</v>
      </c>
      <c r="W254" s="91">
        <f t="shared" ca="1" si="15"/>
        <v>0</v>
      </c>
      <c r="X254" s="91">
        <f t="shared" ca="1" si="15"/>
        <v>0</v>
      </c>
      <c r="Y254" s="93">
        <f t="shared" ca="1" si="15"/>
        <v>0</v>
      </c>
      <c r="Z254" s="369"/>
      <c r="AA254" s="54"/>
      <c r="AB254" s="45"/>
      <c r="AC254" s="45"/>
      <c r="AD254" s="45"/>
      <c r="AE254" s="45"/>
      <c r="AF254" s="45"/>
      <c r="AG254" s="45"/>
      <c r="AH254" s="45"/>
      <c r="AI254" s="45"/>
      <c r="AJ254" s="276"/>
      <c r="AK254" s="2062" t="s">
        <v>434</v>
      </c>
      <c r="AL254" s="2063"/>
      <c r="AM254" s="2057">
        <f>(Transfer!AD162/Transfer!AD147)*100*(((Transfer!AD162/Transfer!AD295)/(Transfer!AC162/Transfer!AC295))-1)</f>
        <v>0.36636157703882383</v>
      </c>
      <c r="AN254" s="2057">
        <f>(Transfer!AE162/Transfer!AE147)*100*(((Transfer!AE162/Transfer!AE295)/(Transfer!AD162/Transfer!AD295))-1)</f>
        <v>0.57776550195103693</v>
      </c>
      <c r="AO254" s="2057">
        <f>(Transfer!AF162/Transfer!AF147)*100*(((Transfer!AF162/Transfer!AF295)/(Transfer!AE162/Transfer!AE295))-1)</f>
        <v>0.60274392490239925</v>
      </c>
      <c r="AP254" s="2109">
        <f>(Transfer!AG162/Transfer!AG147)*100*(((Transfer!AG162/Transfer!AG295)/(Transfer!AF162/Transfer!AF295))-1)</f>
        <v>0.50753411955881167</v>
      </c>
      <c r="AQ254" s="369"/>
      <c r="AR254" s="54"/>
      <c r="AS254" s="54"/>
      <c r="AT254" s="54"/>
      <c r="AU254" s="54"/>
      <c r="AV254" s="54"/>
      <c r="AW254" s="54"/>
      <c r="AX254" s="54"/>
      <c r="AY254" s="54"/>
      <c r="AZ254" s="54"/>
      <c r="BA254" s="1583" t="s">
        <v>879</v>
      </c>
      <c r="BB254" s="1612"/>
      <c r="BC254" s="54"/>
    </row>
    <row r="255" spans="1:55">
      <c r="A255" s="45"/>
      <c r="B255" s="1583"/>
      <c r="C255" s="2557" t="s">
        <v>435</v>
      </c>
      <c r="D255" s="2558"/>
      <c r="E255" s="2453">
        <f ca="1">+E253-E254</f>
        <v>-0.4665516933096242</v>
      </c>
      <c r="F255" s="2057">
        <f ca="1">+F253-F254</f>
        <v>0.13237504281015267</v>
      </c>
      <c r="G255" s="2453">
        <f ca="1">+G253-G254</f>
        <v>0.11330127553100688</v>
      </c>
      <c r="H255" s="2556">
        <f ca="1">+H253-H254</f>
        <v>0.19692109196988605</v>
      </c>
      <c r="I255" s="2350"/>
      <c r="J255" s="54"/>
      <c r="K255" s="54"/>
      <c r="L255" s="54"/>
      <c r="M255" s="54"/>
      <c r="N255" s="54"/>
      <c r="O255" s="54"/>
      <c r="P255" s="54"/>
      <c r="Q255" s="54"/>
      <c r="R255" s="54"/>
      <c r="S255" s="276"/>
      <c r="T255" s="86" t="s">
        <v>435</v>
      </c>
      <c r="U255" s="344"/>
      <c r="V255" s="370" t="s">
        <v>708</v>
      </c>
      <c r="W255" s="370" t="s">
        <v>708</v>
      </c>
      <c r="X255" s="370" t="s">
        <v>708</v>
      </c>
      <c r="Y255" s="1605" t="s">
        <v>708</v>
      </c>
      <c r="Z255" s="369"/>
      <c r="AA255" s="54"/>
      <c r="AB255" s="45"/>
      <c r="AC255" s="45"/>
      <c r="AD255" s="45"/>
      <c r="AE255" s="45"/>
      <c r="AF255" s="45"/>
      <c r="AG255" s="45"/>
      <c r="AH255" s="45"/>
      <c r="AI255" s="45"/>
      <c r="AJ255" s="276"/>
      <c r="AK255" s="2062" t="s">
        <v>435</v>
      </c>
      <c r="AL255" s="2063"/>
      <c r="AM255" s="2057">
        <f>+AM253-AM254</f>
        <v>-0.4665516933096242</v>
      </c>
      <c r="AN255" s="2057">
        <f>+AN253-AN254</f>
        <v>0.13237504281015267</v>
      </c>
      <c r="AO255" s="2057">
        <f>+AO253-AO254</f>
        <v>0.11346251395372409</v>
      </c>
      <c r="AP255" s="2109">
        <f>+AP253-AP254</f>
        <v>0.1953936312133514</v>
      </c>
      <c r="AQ255" s="369"/>
      <c r="AR255" s="54"/>
      <c r="AS255" s="54"/>
      <c r="AT255" s="54"/>
      <c r="AU255" s="54"/>
      <c r="AV255" s="54"/>
      <c r="AW255" s="54"/>
      <c r="AX255" s="54"/>
      <c r="AY255" s="54"/>
      <c r="AZ255" s="54"/>
      <c r="BA255" s="1906" t="s">
        <v>2090</v>
      </c>
      <c r="BB255" s="1612"/>
      <c r="BC255" s="54"/>
    </row>
    <row r="256" spans="1:55">
      <c r="A256" s="45"/>
      <c r="B256" s="2570"/>
      <c r="C256" s="2345" t="s">
        <v>1260</v>
      </c>
      <c r="D256" s="2373"/>
      <c r="E256" s="2347">
        <f ca="1">1*((SUM(Transfer!D147,Transfer!D223,Transfer!D233)-SUM(Transfer!D161,Transfer!D213,Transfer!D231))/Transfer!D147)*100*((((SUM(Transfer!D147,Transfer!D223,Transfer!D233)-SUM(Transfer!D161,Transfer!D213,Transfer!D231))/Transfer!D295)/((SUM(Transfer!C147,Transfer!C223,Transfer!C233)-SUM(Transfer!C161,Transfer!C213,Transfer!C231))/Transfer!C295))-1)</f>
        <v>1.1948458819960142</v>
      </c>
      <c r="F256" s="2108">
        <f ca="1">1*((SUM(Transfer!E147,Transfer!E223,Transfer!E233)-SUM(Transfer!E161,Transfer!E213,Transfer!E231))/Transfer!E147)*100*((((SUM(Transfer!E147,Transfer!E223,Transfer!E233)-SUM(Transfer!E161,Transfer!E213,Transfer!E231))/Transfer!E295)/((SUM(Transfer!D147,Transfer!D223,Transfer!D233)-SUM(Transfer!D161,Transfer!D213,Transfer!D231))/Transfer!D295))-1)</f>
        <v>1.0175309927365523</v>
      </c>
      <c r="G256" s="2453">
        <f ca="1">1*((SUM(Transfer!F147,Transfer!F223,Transfer!F233)-SUM(Transfer!F161,Transfer!F213,Transfer!F231))/Transfer!F147)*100*((((SUM(Transfer!F147,Transfer!F223,Transfer!F233)-SUM(Transfer!F161,Transfer!F213,Transfer!F231))/Transfer!F295)/((SUM(Transfer!E147,Transfer!E223,Transfer!E233)-SUM(Transfer!E161,Transfer!E213,Transfer!E231))/Transfer!E295))-1)</f>
        <v>0.4784735161221913</v>
      </c>
      <c r="H256" s="2556">
        <f ca="1">1*((SUM(Transfer!G147,Transfer!G223,Transfer!G233)-SUM(Transfer!G161,Transfer!G213,Transfer!G231))/Transfer!G147)*100*((((SUM(Transfer!G147,Transfer!G223,Transfer!G233)-SUM(Transfer!G161,Transfer!G213,Transfer!G231))/Transfer!G295)/((SUM(Transfer!F147,Transfer!F223,Transfer!F233)-SUM(Transfer!F161,Transfer!F213,Transfer!F231))/Transfer!F295))-1)</f>
        <v>0.7882278475606852</v>
      </c>
      <c r="I256" s="2328"/>
      <c r="J256" s="54"/>
      <c r="K256" s="54"/>
      <c r="L256" s="54"/>
      <c r="M256" s="54"/>
      <c r="N256" s="54"/>
      <c r="O256" s="54"/>
      <c r="P256" s="54"/>
      <c r="Q256" s="54"/>
      <c r="R256" s="54"/>
      <c r="S256" s="351"/>
      <c r="T256" s="179" t="s">
        <v>1260</v>
      </c>
      <c r="U256" s="371"/>
      <c r="V256" s="91">
        <f t="shared" ref="V256:Y259" ca="1" si="16">ROUND(E256,1)-ROUND(AM256,1)</f>
        <v>0</v>
      </c>
      <c r="W256" s="91">
        <f t="shared" ca="1" si="16"/>
        <v>0</v>
      </c>
      <c r="X256" s="91">
        <f t="shared" ca="1" si="16"/>
        <v>9.9999999999999978E-2</v>
      </c>
      <c r="Y256" s="93">
        <f t="shared" ca="1" si="16"/>
        <v>0.10000000000000009</v>
      </c>
      <c r="Z256" s="372"/>
      <c r="AA256" s="54"/>
      <c r="AB256" s="45"/>
      <c r="AC256" s="45"/>
      <c r="AD256" s="45"/>
      <c r="AE256" s="45"/>
      <c r="AF256" s="45"/>
      <c r="AG256" s="45"/>
      <c r="AH256" s="45"/>
      <c r="AI256" s="45"/>
      <c r="AJ256" s="351"/>
      <c r="AK256" s="2032" t="s">
        <v>1260</v>
      </c>
      <c r="AL256" s="2033"/>
      <c r="AM256" s="2023">
        <f>1*((SUM(Transfer!AD147,Transfer!AD223,Transfer!AD233)-SUM(Transfer!AD161,Transfer!AD213,Transfer!AD231))/Transfer!AD147)*100*((((SUM(Transfer!AD147,Transfer!AD223,Transfer!AD233)-SUM(Transfer!AD161,Transfer!AD213,Transfer!AD231))/Transfer!AD295)/((SUM(Transfer!AC147,Transfer!AC223,Transfer!AC233)-SUM(Transfer!AC161,Transfer!AC213,Transfer!AC231))/Transfer!AC295))-1)</f>
        <v>1.1948458819960142</v>
      </c>
      <c r="AN256" s="2108">
        <f>1*((SUM(Transfer!AE147,Transfer!AE223,Transfer!AE233)-SUM(Transfer!AE161,Transfer!AE213,Transfer!AE231))/Transfer!AE147)*100*((((SUM(Transfer!AE147,Transfer!AE223,Transfer!AE233)-SUM(Transfer!AE161,Transfer!AE213,Transfer!AE231))/Transfer!AE295)/((SUM(Transfer!AD147,Transfer!AD223,Transfer!AD233)-SUM(Transfer!AD161,Transfer!AD213,Transfer!AD231))/Transfer!AD295))-1)</f>
        <v>1.0175309927365523</v>
      </c>
      <c r="AO256" s="2057">
        <f>1*((SUM(Transfer!AF147,Transfer!AF223,Transfer!AF233)-SUM(Transfer!AF161,Transfer!AF213,Transfer!AF231))/Transfer!AF147)*100*((((SUM(Transfer!AF147,Transfer!AF223,Transfer!AF233)-SUM(Transfer!AF161,Transfer!AF213,Transfer!AF231))/Transfer!AF295)/((SUM(Transfer!AE147,Transfer!AE223,Transfer!AE233)-SUM(Transfer!AE161,Transfer!AE213,Transfer!AE231))/Transfer!AE295))-1)</f>
        <v>0.41654482290614836</v>
      </c>
      <c r="AP256" s="2109">
        <f>1*((SUM(Transfer!AG147,Transfer!AG223,Transfer!AG233)-SUM(Transfer!AG161,Transfer!AG213,Transfer!AG231))/Transfer!AG147)*100*((((SUM(Transfer!AG147,Transfer!AG223,Transfer!AG233)-SUM(Transfer!AG161,Transfer!AG213,Transfer!AG231))/Transfer!AG295)/((SUM(Transfer!AF147,Transfer!AF223,Transfer!AF233)-SUM(Transfer!AF161,Transfer!AF213,Transfer!AF231))/Transfer!AF295))-1)</f>
        <v>0.74983741045084418</v>
      </c>
      <c r="AQ256" s="372"/>
      <c r="AR256" s="54"/>
      <c r="AS256" s="54"/>
      <c r="AT256" s="54"/>
      <c r="AU256" s="54"/>
      <c r="AV256" s="54"/>
      <c r="AW256" s="54"/>
      <c r="AX256" s="54"/>
      <c r="AY256" s="54"/>
      <c r="AZ256" s="54"/>
      <c r="BA256" s="1583" t="s">
        <v>1150</v>
      </c>
      <c r="BB256" s="1612"/>
      <c r="BC256" s="54"/>
    </row>
    <row r="257" spans="1:55">
      <c r="A257" s="45"/>
      <c r="B257" s="1575"/>
      <c r="C257" s="2561" t="s">
        <v>387</v>
      </c>
      <c r="D257" s="2562"/>
      <c r="E257" s="2563">
        <f ca="1">((SUM(Transfer!D147,Transfer!D223,Transfer!D233)-SUM(Transfer!D213,Transfer!D231))/Transfer!D147)*100*((((SUM(Transfer!D147,Transfer!D223,Transfer!D233)-SUM(Transfer!D213,Transfer!D231))/Transfer!D295)/((SUM(Transfer!C147,Transfer!C223,Transfer!C233)-SUM(Transfer!C213,Transfer!C231))/Transfer!C295))-1)</f>
        <v>1.0729251240095998</v>
      </c>
      <c r="F257" s="2097">
        <f ca="1">((SUM(Transfer!E147,Transfer!E223,Transfer!E233)-SUM(Transfer!E213,Transfer!E231))/Transfer!E147)*100*((((SUM(Transfer!E147,Transfer!E223,Transfer!E233)-SUM(Transfer!E213,Transfer!E231))/Transfer!E295)/((SUM(Transfer!D147,Transfer!D223,Transfer!D233)-SUM(Transfer!D213,Transfer!D231))/Transfer!D295))-1)</f>
        <v>1.7252630260066373</v>
      </c>
      <c r="G257" s="2564">
        <f ca="1">((SUM(Transfer!F147,Transfer!F223,Transfer!F233)-SUM(Transfer!F213,Transfer!F231))/Transfer!F147)*100*((((SUM(Transfer!F147,Transfer!F223,Transfer!F233)-SUM(Transfer!F213,Transfer!F231))/Transfer!F295)/((SUM(Transfer!E147,Transfer!E223,Transfer!E233)-SUM(Transfer!E213,Transfer!E231))/Transfer!E295))-1)</f>
        <v>1.1968513398848457</v>
      </c>
      <c r="H257" s="2565">
        <f ca="1">((SUM(Transfer!G147,Transfer!G223,Transfer!G233)-SUM(Transfer!G213,Transfer!G231))/Transfer!G147)*100*((((SUM(Transfer!G147,Transfer!G223,Transfer!G233)-SUM(Transfer!G213,Transfer!G231))/Transfer!G295)/((SUM(Transfer!F147,Transfer!F223,Transfer!F233)-SUM(Transfer!F213,Transfer!F231))/Transfer!F295))-1)</f>
        <v>1.4963647908871991</v>
      </c>
      <c r="I257" s="2332"/>
      <c r="J257" s="54"/>
      <c r="K257" s="54"/>
      <c r="L257" s="54"/>
      <c r="M257" s="54"/>
      <c r="N257" s="54"/>
      <c r="O257" s="54"/>
      <c r="P257" s="54"/>
      <c r="Q257" s="54"/>
      <c r="R257" s="54"/>
      <c r="S257" s="189"/>
      <c r="T257" s="289" t="s">
        <v>387</v>
      </c>
      <c r="U257" s="373"/>
      <c r="V257" s="155">
        <f t="shared" ca="1" si="16"/>
        <v>0</v>
      </c>
      <c r="W257" s="155">
        <f t="shared" ca="1" si="16"/>
        <v>0</v>
      </c>
      <c r="X257" s="155">
        <f t="shared" ca="1" si="16"/>
        <v>9.9999999999999867E-2</v>
      </c>
      <c r="Y257" s="284">
        <f t="shared" ca="1" si="16"/>
        <v>0</v>
      </c>
      <c r="Z257" s="374"/>
      <c r="AA257" s="54"/>
      <c r="AB257" s="45"/>
      <c r="AC257" s="45"/>
      <c r="AD257" s="45"/>
      <c r="AE257" s="45"/>
      <c r="AF257" s="45"/>
      <c r="AG257" s="45"/>
      <c r="AH257" s="45"/>
      <c r="AI257" s="45"/>
      <c r="AJ257" s="189"/>
      <c r="AK257" s="2068" t="s">
        <v>387</v>
      </c>
      <c r="AL257" s="2069"/>
      <c r="AM257" s="2096">
        <f>((SUM(Transfer!AD147,Transfer!AD223,Transfer!AD233)-SUM(Transfer!AD213,Transfer!AD231))/Transfer!AD147)*100*((((SUM(Transfer!AD147,Transfer!AD223,Transfer!AD233)-SUM(Transfer!AD213,Transfer!AD231))/Transfer!AD295)/((SUM(Transfer!AC147,Transfer!AC223,Transfer!AC233)-SUM(Transfer!AC213,Transfer!AC231))/Transfer!AC295))-1)</f>
        <v>1.0729251240095998</v>
      </c>
      <c r="AN257" s="2097">
        <f>((SUM(Transfer!AE147,Transfer!AE223,Transfer!AE233)-SUM(Transfer!AE213,Transfer!AE231))/Transfer!AE147)*100*((((SUM(Transfer!AE147,Transfer!AE223,Transfer!AE233)-SUM(Transfer!AE213,Transfer!AE231))/Transfer!AE295)/((SUM(Transfer!AD147,Transfer!AD223,Transfer!AD233)-SUM(Transfer!AD213,Transfer!AD231))/Transfer!AD295))-1)</f>
        <v>1.7252630260066373</v>
      </c>
      <c r="AO257" s="2097">
        <f>((SUM(Transfer!AF147,Transfer!AF223,Transfer!AF233)-SUM(Transfer!AF213,Transfer!AF231))/Transfer!AF147)*100*((((SUM(Transfer!AF147,Transfer!AF223,Transfer!AF233)-SUM(Transfer!AF213,Transfer!AF231))/Transfer!AF295)/((SUM(Transfer!AE147,Transfer!AE223,Transfer!AE233)-SUM(Transfer!AE213,Transfer!AE231))/Transfer!AE295))-1)</f>
        <v>1.1323426782416846</v>
      </c>
      <c r="AP257" s="2098">
        <f>((SUM(Transfer!AG147,Transfer!AG223,Transfer!AG233)-SUM(Transfer!AG213,Transfer!AG231))/Transfer!AG147)*100*((((SUM(Transfer!AG147,Transfer!AG223,Transfer!AG233)-SUM(Transfer!AG213,Transfer!AG231))/Transfer!AG295)/((SUM(Transfer!AF147,Transfer!AF223,Transfer!AF233)-SUM(Transfer!AF213,Transfer!AF231))/Transfer!AF295))-1)</f>
        <v>1.4523972915861059</v>
      </c>
      <c r="AQ257" s="374"/>
      <c r="AR257" s="54"/>
      <c r="AS257" s="54"/>
      <c r="AT257" s="54"/>
      <c r="AU257" s="54"/>
      <c r="AV257" s="54"/>
      <c r="AW257" s="54"/>
      <c r="AX257" s="54"/>
      <c r="AY257" s="54"/>
      <c r="AZ257" s="54"/>
      <c r="BA257" s="1583" t="s">
        <v>605</v>
      </c>
      <c r="BB257" s="1612"/>
      <c r="BC257" s="54"/>
    </row>
    <row r="258" spans="1:55">
      <c r="A258" s="45"/>
      <c r="B258" s="1583"/>
      <c r="C258" s="2345" t="s">
        <v>388</v>
      </c>
      <c r="D258" s="2373"/>
      <c r="E258" s="2347">
        <f ca="1">((Transfer!D150-Transfer!D151)/Transfer!D147)*100*((((Transfer!D150-Transfer!D151)/Transfer!D295)/((Transfer!C150-Transfer!C151)/Transfer!C295))-1)</f>
        <v>0.4480057514148984</v>
      </c>
      <c r="F258" s="2108">
        <f ca="1">((Transfer!E150-Transfer!E151)/Transfer!E147)*100*((((Transfer!E150-Transfer!E151)/Transfer!E295)/((Transfer!D150-Transfer!D151)/Transfer!D295))-1)</f>
        <v>0.36766994600332853</v>
      </c>
      <c r="G258" s="2453">
        <f ca="1">((Transfer!F150-Transfer!F151)/Transfer!F147)*100*((((Transfer!F150-Transfer!F151)/Transfer!F295)/((Transfer!E150-Transfer!E151)/Transfer!E295))-1)</f>
        <v>0.12378412273892621</v>
      </c>
      <c r="H258" s="2556">
        <f ca="1">((Transfer!G150-Transfer!G151)/Transfer!G147)*100*((((Transfer!G150-Transfer!G151)/Transfer!G295)/((Transfer!F150-Transfer!F151)/Transfer!F295))-1)</f>
        <v>0.19884515565310104</v>
      </c>
      <c r="I258" s="2328"/>
      <c r="J258" s="54"/>
      <c r="K258" s="54"/>
      <c r="L258" s="54"/>
      <c r="M258" s="54"/>
      <c r="N258" s="54"/>
      <c r="O258" s="54"/>
      <c r="P258" s="54"/>
      <c r="Q258" s="54"/>
      <c r="R258" s="54"/>
      <c r="S258" s="276"/>
      <c r="T258" s="40" t="s">
        <v>388</v>
      </c>
      <c r="U258" s="195"/>
      <c r="V258" s="91">
        <f t="shared" ca="1" si="16"/>
        <v>0</v>
      </c>
      <c r="W258" s="91">
        <f t="shared" ca="1" si="16"/>
        <v>0</v>
      </c>
      <c r="X258" s="91">
        <f t="shared" ca="1" si="16"/>
        <v>-0.1</v>
      </c>
      <c r="Y258" s="93">
        <f t="shared" ca="1" si="16"/>
        <v>0</v>
      </c>
      <c r="Z258" s="372"/>
      <c r="AA258" s="54"/>
      <c r="AB258" s="45"/>
      <c r="AC258" s="45"/>
      <c r="AD258" s="45"/>
      <c r="AE258" s="45"/>
      <c r="AF258" s="45"/>
      <c r="AG258" s="45"/>
      <c r="AH258" s="45"/>
      <c r="AI258" s="45"/>
      <c r="AJ258" s="276"/>
      <c r="AK258" s="2032" t="s">
        <v>388</v>
      </c>
      <c r="AL258" s="2033"/>
      <c r="AM258" s="2023">
        <f>((Transfer!AD150-Transfer!AD151)/Transfer!AD147)*100*((((Transfer!AD150-Transfer!AD151)/Transfer!AD295)/((Transfer!AC150-Transfer!AC151)/Transfer!AC295))-1)</f>
        <v>0.4480057514148984</v>
      </c>
      <c r="AN258" s="2108">
        <f>((Transfer!AE150-Transfer!AE151)/Transfer!AE147)*100*((((Transfer!AE150-Transfer!AE151)/Transfer!AE295)/((Transfer!AD150-Transfer!AD151)/Transfer!AD295))-1)</f>
        <v>0.36766994600332853</v>
      </c>
      <c r="AO258" s="2057">
        <f>((Transfer!AF150-Transfer!AF151)/Transfer!AF147)*100*((((Transfer!AF150-Transfer!AF151)/Transfer!AF295)/((Transfer!AE150-Transfer!AE151)/Transfer!AE295))-1)</f>
        <v>0.18142631686352206</v>
      </c>
      <c r="AP258" s="2109">
        <f>((Transfer!AG150-Transfer!AG151)/Transfer!AG147)*100*((((Transfer!AG150-Transfer!AG151)/Transfer!AG295)/((Transfer!AF150-Transfer!AF151)/Transfer!AF295))-1)</f>
        <v>0.24301803648462142</v>
      </c>
      <c r="AQ258" s="372"/>
      <c r="AR258" s="54"/>
      <c r="AS258" s="54"/>
      <c r="AT258" s="54"/>
      <c r="AU258" s="54"/>
      <c r="AV258" s="54"/>
      <c r="AW258" s="54"/>
      <c r="AX258" s="54"/>
      <c r="AY258" s="54"/>
      <c r="AZ258" s="54"/>
      <c r="BA258" s="1583" t="s">
        <v>242</v>
      </c>
      <c r="BB258" s="1612"/>
      <c r="BC258" s="54"/>
    </row>
    <row r="259" spans="1:55" ht="13.8" thickBot="1">
      <c r="A259" s="45"/>
      <c r="B259" s="1583"/>
      <c r="C259" s="2561" t="s">
        <v>389</v>
      </c>
      <c r="D259" s="2562"/>
      <c r="E259" s="2563">
        <f ca="1">100*(((1000*(Transfer!D147)/Transfer!D295)/((1000*(Transfer!C147)/Transfer!C295)))-1)</f>
        <v>1.5839029901799417</v>
      </c>
      <c r="F259" s="2097">
        <f ca="1">100*(((1000*(Transfer!E147)/Transfer!E295)/((1000*(Transfer!D147)/Transfer!D295)))-1)</f>
        <v>1.9297491948944812</v>
      </c>
      <c r="G259" s="2564">
        <f ca="1">100*(((1000*(Transfer!F147)/Transfer!F295)/((1000*(Transfer!E147)/Transfer!E295)))-1)</f>
        <v>1.5588952122123967</v>
      </c>
      <c r="H259" s="2565">
        <f ca="1">100*(((1000*(Transfer!G147)/Transfer!G295)/((1000*(Transfer!F147)/Transfer!F295)))-1)</f>
        <v>1.6935991327586164</v>
      </c>
      <c r="I259" s="2413"/>
      <c r="J259" s="54"/>
      <c r="K259" s="54"/>
      <c r="L259" s="54"/>
      <c r="M259" s="54"/>
      <c r="N259" s="54"/>
      <c r="O259" s="54"/>
      <c r="P259" s="54"/>
      <c r="Q259" s="54"/>
      <c r="R259" s="54"/>
      <c r="S259" s="276"/>
      <c r="T259" s="377" t="s">
        <v>389</v>
      </c>
      <c r="U259" s="378"/>
      <c r="V259" s="291">
        <f t="shared" ca="1" si="16"/>
        <v>0</v>
      </c>
      <c r="W259" s="291">
        <f t="shared" ca="1" si="16"/>
        <v>0</v>
      </c>
      <c r="X259" s="291">
        <f t="shared" ca="1" si="16"/>
        <v>0</v>
      </c>
      <c r="Y259" s="318">
        <f t="shared" ca="1" si="16"/>
        <v>0</v>
      </c>
      <c r="Z259" s="203"/>
      <c r="AA259" s="54"/>
      <c r="AB259" s="45"/>
      <c r="AC259" s="45"/>
      <c r="AD259" s="45"/>
      <c r="AE259" s="45"/>
      <c r="AF259" s="45"/>
      <c r="AG259" s="45"/>
      <c r="AH259" s="45"/>
      <c r="AI259" s="45"/>
      <c r="AJ259" s="276"/>
      <c r="AK259" s="2068" t="s">
        <v>389</v>
      </c>
      <c r="AL259" s="2069"/>
      <c r="AM259" s="2096">
        <f>100*(((1000*(Transfer!AD147)/Transfer!AD295)/((1000*(Transfer!AC147)/Transfer!AC295)))-1)</f>
        <v>1.5839029901799417</v>
      </c>
      <c r="AN259" s="2097">
        <f>100*(((1000*(Transfer!AE147)/Transfer!AE295)/((1000*(Transfer!AD147)/Transfer!AD295)))-1)</f>
        <v>1.9297491948944812</v>
      </c>
      <c r="AO259" s="2097">
        <f>100*(((1000*(Transfer!AF147)/Transfer!AF295)/((1000*(Transfer!AE147)/Transfer!AE295)))-1)</f>
        <v>1.5588952122123967</v>
      </c>
      <c r="AP259" s="2098">
        <f>100*(((1000*(Transfer!AG147)/Transfer!AG295)/((1000*(Transfer!AF147)/Transfer!AF295)))-1)</f>
        <v>1.6936267276672634</v>
      </c>
      <c r="AQ259" s="203"/>
      <c r="AR259" s="54"/>
      <c r="AS259" s="54"/>
      <c r="AT259" s="54"/>
      <c r="AU259" s="54"/>
      <c r="AV259" s="54"/>
      <c r="AW259" s="54"/>
      <c r="AX259" s="54"/>
      <c r="AY259" s="54"/>
      <c r="AZ259" s="54"/>
      <c r="BA259" s="1904" t="s">
        <v>243</v>
      </c>
      <c r="BB259" s="1615"/>
      <c r="BC259" s="54"/>
    </row>
    <row r="260" spans="1:55" ht="13.8" thickBot="1">
      <c r="A260" s="45"/>
      <c r="B260" s="1575"/>
      <c r="C260" s="2591" t="s">
        <v>2137</v>
      </c>
      <c r="D260" s="2545"/>
      <c r="E260" s="2545"/>
      <c r="F260" s="2545"/>
      <c r="G260" s="2545"/>
      <c r="H260" s="2546"/>
      <c r="I260" s="1574"/>
      <c r="J260" s="54"/>
      <c r="K260" s="54"/>
      <c r="L260" s="54"/>
      <c r="M260" s="54"/>
      <c r="N260" s="54"/>
      <c r="O260" s="54"/>
      <c r="P260" s="54"/>
      <c r="Q260" s="54"/>
      <c r="R260" s="54"/>
      <c r="S260" s="60"/>
      <c r="T260" s="1606" t="s">
        <v>2137</v>
      </c>
      <c r="U260" s="1592"/>
      <c r="V260" s="1592"/>
      <c r="W260" s="1592"/>
      <c r="X260" s="1592"/>
      <c r="Y260" s="1607"/>
      <c r="Z260" s="90"/>
      <c r="AA260" s="54"/>
      <c r="AB260" s="45"/>
      <c r="AC260" s="45"/>
      <c r="AD260" s="45"/>
      <c r="AE260" s="45"/>
      <c r="AF260" s="45"/>
      <c r="AG260" s="45"/>
      <c r="AH260" s="45"/>
      <c r="AI260" s="45"/>
      <c r="AJ260" s="60"/>
      <c r="AK260" s="1606" t="s">
        <v>2137</v>
      </c>
      <c r="AL260" s="1592"/>
      <c r="AM260" s="1592"/>
      <c r="AN260" s="1592"/>
      <c r="AO260" s="1592"/>
      <c r="AP260" s="1607"/>
      <c r="AQ260" s="90"/>
      <c r="AR260" s="54"/>
      <c r="AS260" s="54"/>
      <c r="AT260" s="54"/>
      <c r="AU260" s="54"/>
      <c r="AV260" s="54"/>
      <c r="AW260" s="54"/>
      <c r="AX260" s="54"/>
      <c r="AY260" s="54"/>
      <c r="AZ260" s="54"/>
      <c r="BA260" s="54"/>
      <c r="BB260" s="54"/>
      <c r="BC260" s="54"/>
    </row>
    <row r="261" spans="1:55">
      <c r="A261" s="45"/>
      <c r="B261" s="2547"/>
      <c r="C261" s="2359"/>
      <c r="D261" s="2359"/>
      <c r="E261" s="2592"/>
      <c r="F261" s="2592"/>
      <c r="G261" s="2359"/>
      <c r="H261" s="2360" t="str">
        <f>UPPER(Country)</f>
        <v>BELGIUM</v>
      </c>
      <c r="I261" s="2429"/>
      <c r="J261" s="54"/>
      <c r="K261" s="54"/>
      <c r="L261" s="54"/>
      <c r="M261" s="54"/>
      <c r="N261" s="54"/>
      <c r="O261" s="54"/>
      <c r="P261" s="54"/>
      <c r="Q261" s="54"/>
      <c r="R261" s="54"/>
      <c r="S261" s="328"/>
      <c r="T261" s="116"/>
      <c r="U261" s="116"/>
      <c r="V261" s="1595"/>
      <c r="W261" s="1595"/>
      <c r="X261" s="116"/>
      <c r="Y261" s="118" t="str">
        <f>UPPER(Country)</f>
        <v>BELGIUM</v>
      </c>
      <c r="Z261" s="217"/>
      <c r="AA261" s="54"/>
      <c r="AB261" s="45"/>
      <c r="AC261" s="45"/>
      <c r="AD261" s="45"/>
      <c r="AE261" s="45"/>
      <c r="AF261" s="45"/>
      <c r="AG261" s="45"/>
      <c r="AH261" s="45"/>
      <c r="AI261" s="45"/>
      <c r="AJ261" s="328"/>
      <c r="AK261" s="116"/>
      <c r="AL261" s="116"/>
      <c r="AM261" s="1595"/>
      <c r="AN261" s="1595"/>
      <c r="AO261" s="116"/>
      <c r="AP261" s="118" t="str">
        <f>UPPER(Country)</f>
        <v>BELGIUM</v>
      </c>
      <c r="AQ261" s="217"/>
      <c r="AR261" s="54"/>
      <c r="AS261" s="54"/>
      <c r="AT261" s="54"/>
      <c r="AU261" s="54"/>
      <c r="AV261" s="54"/>
      <c r="AW261" s="54"/>
      <c r="AX261" s="54"/>
      <c r="AY261" s="54"/>
      <c r="AZ261" s="54"/>
      <c r="BA261" s="54"/>
      <c r="BB261" s="54"/>
      <c r="BC261" s="54"/>
    </row>
    <row r="262" spans="1:55">
      <c r="A262" s="45"/>
      <c r="B262" s="54"/>
      <c r="C262" s="54"/>
      <c r="D262" s="381"/>
      <c r="E262" s="381"/>
      <c r="F262" s="381"/>
      <c r="G262" s="381"/>
      <c r="H262" s="381"/>
      <c r="I262" s="186"/>
      <c r="J262" s="54"/>
      <c r="K262" s="54"/>
      <c r="L262" s="54"/>
      <c r="M262" s="54"/>
      <c r="N262" s="54"/>
      <c r="O262" s="54"/>
      <c r="P262" s="54"/>
      <c r="Q262" s="54"/>
      <c r="R262" s="54"/>
      <c r="S262" s="54"/>
      <c r="T262" s="54"/>
      <c r="U262" s="54"/>
      <c r="V262" s="54"/>
      <c r="W262" s="54"/>
      <c r="X262" s="54"/>
      <c r="Y262" s="54"/>
      <c r="Z262" s="54"/>
      <c r="AA262" s="54"/>
      <c r="AB262" s="45"/>
      <c r="AC262" s="45"/>
      <c r="AD262" s="45"/>
      <c r="AE262" s="45"/>
      <c r="AF262" s="45"/>
      <c r="AG262" s="45"/>
      <c r="AH262" s="45"/>
      <c r="AI262" s="45"/>
      <c r="AJ262" s="54"/>
      <c r="AK262" s="54"/>
      <c r="AL262" s="381"/>
      <c r="AM262" s="381"/>
      <c r="AN262" s="381"/>
      <c r="AO262" s="381"/>
      <c r="AP262" s="381"/>
      <c r="AQ262" s="186"/>
      <c r="AR262" s="54"/>
      <c r="AS262" s="54"/>
      <c r="AT262" s="54"/>
      <c r="AU262" s="54"/>
      <c r="AV262" s="54"/>
      <c r="AW262" s="54"/>
      <c r="AX262" s="54"/>
      <c r="AY262" s="54"/>
      <c r="AZ262" s="54"/>
      <c r="BA262" s="54"/>
      <c r="BB262" s="54"/>
      <c r="BC262" s="54"/>
    </row>
    <row r="263" spans="1:55">
      <c r="A263" s="45"/>
      <c r="B263" s="54"/>
      <c r="C263" s="54"/>
      <c r="D263" s="381"/>
      <c r="E263" s="381"/>
      <c r="F263" s="381"/>
      <c r="G263" s="381"/>
      <c r="H263" s="381"/>
      <c r="I263" s="186"/>
      <c r="J263" s="54"/>
      <c r="K263" s="54"/>
      <c r="L263" s="54"/>
      <c r="M263" s="54"/>
      <c r="N263" s="54"/>
      <c r="O263" s="54"/>
      <c r="P263" s="54"/>
      <c r="Q263" s="54"/>
      <c r="R263" s="54"/>
      <c r="S263" s="54"/>
      <c r="T263" s="54"/>
      <c r="U263" s="54"/>
      <c r="V263" s="54"/>
      <c r="W263" s="54"/>
      <c r="X263" s="54"/>
      <c r="Y263" s="54"/>
      <c r="Z263" s="54"/>
      <c r="AA263" s="54"/>
      <c r="AB263" s="45"/>
      <c r="AC263" s="45"/>
      <c r="AD263" s="45"/>
      <c r="AE263" s="45"/>
      <c r="AF263" s="45"/>
      <c r="AG263" s="45"/>
      <c r="AH263" s="45"/>
      <c r="AI263" s="45"/>
      <c r="AJ263" s="54"/>
      <c r="AK263" s="54"/>
      <c r="AL263" s="381"/>
      <c r="AM263" s="381"/>
      <c r="AN263" s="381"/>
      <c r="AO263" s="381"/>
      <c r="AP263" s="381"/>
      <c r="AQ263" s="186"/>
      <c r="AR263" s="54"/>
      <c r="AS263" s="54"/>
      <c r="AT263" s="54"/>
      <c r="AU263" s="54"/>
      <c r="AV263" s="54"/>
      <c r="AW263" s="54"/>
      <c r="AX263" s="54"/>
      <c r="AY263" s="54"/>
      <c r="AZ263" s="54"/>
      <c r="BA263" s="54"/>
      <c r="BB263" s="54"/>
      <c r="BC263" s="54"/>
    </row>
    <row r="264" spans="1:55">
      <c r="A264" s="45"/>
      <c r="B264" s="54"/>
      <c r="C264" s="54"/>
      <c r="D264" s="54"/>
      <c r="E264" s="54"/>
      <c r="F264" s="54"/>
      <c r="G264" s="54"/>
      <c r="H264" s="54"/>
      <c r="I264" s="54"/>
      <c r="J264" s="54"/>
      <c r="K264" s="54"/>
      <c r="L264" s="54"/>
      <c r="M264" s="54"/>
      <c r="N264" s="54"/>
      <c r="O264" s="54"/>
      <c r="P264" s="54"/>
      <c r="Q264" s="54"/>
      <c r="R264" s="54"/>
      <c r="S264" s="54"/>
      <c r="T264" s="54"/>
      <c r="U264" s="54"/>
      <c r="V264" s="54"/>
      <c r="W264" s="54"/>
      <c r="X264" s="54"/>
      <c r="Y264" s="54"/>
      <c r="Z264" s="54"/>
      <c r="AA264" s="54"/>
      <c r="AB264" s="45"/>
      <c r="AC264" s="45"/>
      <c r="AD264" s="45"/>
      <c r="AE264" s="45"/>
      <c r="AF264" s="45"/>
      <c r="AG264" s="45"/>
      <c r="AH264" s="45"/>
      <c r="AI264" s="45"/>
      <c r="AJ264" s="54"/>
      <c r="AK264" s="54"/>
      <c r="AL264" s="54"/>
      <c r="AM264" s="54"/>
      <c r="AN264" s="54"/>
      <c r="AO264" s="54"/>
      <c r="AP264" s="54"/>
      <c r="AQ264" s="54"/>
      <c r="AR264" s="54"/>
      <c r="AS264" s="54"/>
      <c r="AT264" s="54"/>
      <c r="AU264" s="54"/>
      <c r="AV264" s="54"/>
      <c r="AW264" s="54"/>
      <c r="AX264" s="54"/>
      <c r="AY264" s="54"/>
      <c r="AZ264" s="54"/>
      <c r="BA264" s="54"/>
      <c r="BB264" s="54"/>
      <c r="BC264" s="54"/>
    </row>
    <row r="265" spans="1:55">
      <c r="A265" s="45"/>
      <c r="B265" s="54"/>
      <c r="C265" s="54"/>
      <c r="D265" s="54"/>
      <c r="E265" s="54"/>
      <c r="F265" s="54"/>
      <c r="G265" s="54"/>
      <c r="H265" s="54"/>
      <c r="I265" s="54"/>
      <c r="J265" s="54"/>
      <c r="K265" s="54"/>
      <c r="L265" s="54"/>
      <c r="M265" s="54"/>
      <c r="N265" s="54"/>
      <c r="O265" s="54"/>
      <c r="P265" s="54"/>
      <c r="Q265" s="54"/>
      <c r="R265" s="54"/>
      <c r="S265" s="54"/>
      <c r="T265" s="54"/>
      <c r="U265" s="54"/>
      <c r="V265" s="54"/>
      <c r="W265" s="54"/>
      <c r="X265" s="54"/>
      <c r="Y265" s="54"/>
      <c r="Z265" s="54"/>
      <c r="AA265" s="54"/>
      <c r="AB265" s="45"/>
      <c r="AC265" s="45"/>
      <c r="AD265" s="45"/>
      <c r="AE265" s="45"/>
      <c r="AF265" s="45"/>
      <c r="AG265" s="45"/>
      <c r="AH265" s="45"/>
      <c r="AI265" s="45"/>
      <c r="AJ265" s="54"/>
      <c r="AK265" s="54"/>
      <c r="AL265" s="54"/>
      <c r="AM265" s="54"/>
      <c r="AN265" s="54"/>
      <c r="AO265" s="54"/>
      <c r="AP265" s="54"/>
      <c r="AQ265" s="54"/>
      <c r="AR265" s="54"/>
      <c r="AS265" s="54"/>
      <c r="AT265" s="54"/>
      <c r="AU265" s="54"/>
      <c r="AV265" s="54"/>
      <c r="AW265" s="54"/>
      <c r="AX265" s="54"/>
      <c r="AY265" s="54"/>
      <c r="AZ265" s="54"/>
      <c r="BA265" s="54"/>
      <c r="BB265" s="54"/>
      <c r="BC265" s="54"/>
    </row>
    <row r="266" spans="1:55">
      <c r="A266" s="45"/>
      <c r="B266" s="54"/>
      <c r="C266" s="54"/>
      <c r="D266" s="54"/>
      <c r="E266" s="54"/>
      <c r="F266" s="54"/>
      <c r="G266" s="54"/>
      <c r="H266" s="54"/>
      <c r="I266" s="54"/>
      <c r="J266" s="54"/>
      <c r="K266" s="54"/>
      <c r="L266" s="54"/>
      <c r="M266" s="54"/>
      <c r="N266" s="54"/>
      <c r="O266" s="54"/>
      <c r="P266" s="54"/>
      <c r="Q266" s="54"/>
      <c r="R266" s="54"/>
      <c r="S266" s="54"/>
      <c r="T266" s="54"/>
      <c r="U266" s="54"/>
      <c r="V266" s="54"/>
      <c r="W266" s="54"/>
      <c r="X266" s="54"/>
      <c r="Y266" s="54"/>
      <c r="Z266" s="54"/>
      <c r="AA266" s="54"/>
      <c r="AB266" s="45"/>
      <c r="AC266" s="45"/>
      <c r="AD266" s="45"/>
      <c r="AE266" s="45"/>
      <c r="AF266" s="45"/>
      <c r="AG266" s="45"/>
      <c r="AH266" s="45"/>
      <c r="AI266" s="45"/>
      <c r="AJ266" s="54"/>
      <c r="AK266" s="54"/>
      <c r="AL266" s="54"/>
      <c r="AM266" s="54"/>
      <c r="AN266" s="54"/>
      <c r="AO266" s="54"/>
      <c r="AP266" s="54"/>
      <c r="AQ266" s="54"/>
      <c r="AR266" s="54"/>
      <c r="AS266" s="54"/>
      <c r="AT266" s="54"/>
      <c r="AU266" s="54"/>
      <c r="AV266" s="54"/>
      <c r="AW266" s="54"/>
      <c r="AX266" s="54"/>
      <c r="AY266" s="54"/>
      <c r="AZ266" s="54"/>
      <c r="BA266" s="54"/>
      <c r="BB266" s="54"/>
      <c r="BC266" s="54"/>
    </row>
    <row r="267" spans="1:55">
      <c r="A267" s="45"/>
      <c r="B267" s="54"/>
      <c r="C267" s="54"/>
      <c r="D267" s="54"/>
      <c r="E267" s="54"/>
      <c r="F267" s="54"/>
      <c r="G267" s="54"/>
      <c r="H267" s="54"/>
      <c r="I267" s="54"/>
      <c r="J267" s="54"/>
      <c r="K267" s="54"/>
      <c r="L267" s="54"/>
      <c r="M267" s="54"/>
      <c r="N267" s="54"/>
      <c r="O267" s="54"/>
      <c r="P267" s="54"/>
      <c r="Q267" s="54"/>
      <c r="R267" s="54"/>
      <c r="S267" s="54"/>
      <c r="T267" s="54"/>
      <c r="U267" s="54"/>
      <c r="V267" s="54"/>
      <c r="W267" s="54"/>
      <c r="X267" s="54"/>
      <c r="Y267" s="54"/>
      <c r="Z267" s="54"/>
      <c r="AA267" s="54"/>
      <c r="AB267" s="45"/>
      <c r="AC267" s="45"/>
      <c r="AD267" s="45"/>
      <c r="AE267" s="45"/>
      <c r="AF267" s="45"/>
      <c r="AG267" s="45"/>
      <c r="AH267" s="45"/>
      <c r="AI267" s="45"/>
      <c r="AJ267" s="54"/>
      <c r="AK267" s="54"/>
      <c r="AL267" s="54"/>
      <c r="AM267" s="54"/>
      <c r="AN267" s="54"/>
      <c r="AO267" s="54"/>
      <c r="AP267" s="54"/>
      <c r="AQ267" s="54"/>
      <c r="AR267" s="54"/>
      <c r="AS267" s="54"/>
      <c r="AT267" s="54"/>
      <c r="AU267" s="54"/>
      <c r="AV267" s="54"/>
      <c r="AW267" s="54"/>
      <c r="AX267" s="54"/>
      <c r="AY267" s="54"/>
      <c r="AZ267" s="54"/>
      <c r="BA267" s="54"/>
      <c r="BB267" s="54"/>
      <c r="BC267" s="54"/>
    </row>
    <row r="268" spans="1:55">
      <c r="A268" s="45"/>
      <c r="B268" s="54"/>
      <c r="C268" s="54"/>
      <c r="D268" s="54"/>
      <c r="E268" s="54"/>
      <c r="F268" s="54"/>
      <c r="G268" s="54"/>
      <c r="H268" s="54"/>
      <c r="I268" s="54"/>
      <c r="J268" s="54"/>
      <c r="K268" s="54"/>
      <c r="L268" s="54"/>
      <c r="M268" s="54"/>
      <c r="N268" s="54"/>
      <c r="O268" s="54"/>
      <c r="P268" s="54"/>
      <c r="Q268" s="54"/>
      <c r="R268" s="54"/>
      <c r="S268" s="54"/>
      <c r="T268" s="54"/>
      <c r="U268" s="54"/>
      <c r="V268" s="54"/>
      <c r="W268" s="54"/>
      <c r="X268" s="54"/>
      <c r="Y268" s="54"/>
      <c r="Z268" s="54"/>
      <c r="AA268" s="54"/>
      <c r="AB268" s="45"/>
      <c r="AC268" s="45"/>
      <c r="AD268" s="45"/>
      <c r="AE268" s="45"/>
      <c r="AF268" s="45"/>
      <c r="AG268" s="45"/>
      <c r="AH268" s="45"/>
      <c r="AI268" s="45"/>
      <c r="AJ268" s="54"/>
      <c r="AK268" s="54"/>
      <c r="AL268" s="54"/>
      <c r="AM268" s="54"/>
      <c r="AN268" s="54"/>
      <c r="AO268" s="54"/>
      <c r="AP268" s="54"/>
      <c r="AQ268" s="54"/>
      <c r="AR268" s="54"/>
      <c r="AS268" s="54"/>
      <c r="AT268" s="54"/>
      <c r="AU268" s="54"/>
      <c r="AV268" s="54"/>
      <c r="AW268" s="54"/>
      <c r="AX268" s="54"/>
      <c r="AY268" s="54"/>
      <c r="AZ268" s="54"/>
      <c r="BA268" s="54"/>
      <c r="BB268" s="54"/>
      <c r="BC268" s="54"/>
    </row>
    <row r="269" spans="1:55">
      <c r="A269" s="45"/>
      <c r="B269" s="1901"/>
      <c r="C269" s="2302" t="s">
        <v>944</v>
      </c>
      <c r="D269" s="2302"/>
      <c r="E269" s="2303"/>
      <c r="F269" s="2303"/>
      <c r="G269" s="2303"/>
      <c r="H269" s="2303"/>
      <c r="I269" s="2303"/>
      <c r="J269" s="2303"/>
      <c r="K269" s="2303"/>
      <c r="L269" s="2303"/>
      <c r="M269" s="2303"/>
      <c r="N269" s="2446"/>
      <c r="O269" s="259"/>
      <c r="P269" s="259"/>
      <c r="Q269" s="122"/>
      <c r="R269" s="54"/>
      <c r="S269" s="336"/>
      <c r="T269" s="56" t="s">
        <v>944</v>
      </c>
      <c r="U269" s="56"/>
      <c r="V269" s="100"/>
      <c r="W269" s="100"/>
      <c r="X269" s="100"/>
      <c r="Y269" s="100"/>
      <c r="Z269" s="100"/>
      <c r="AA269" s="100"/>
      <c r="AB269" s="100"/>
      <c r="AC269" s="100"/>
      <c r="AD269" s="100"/>
      <c r="AE269" s="239"/>
      <c r="AF269" s="45"/>
      <c r="AG269" s="45"/>
      <c r="AH269" s="45"/>
      <c r="AI269" s="45"/>
      <c r="AJ269" s="336"/>
      <c r="AK269" s="56" t="s">
        <v>944</v>
      </c>
      <c r="AL269" s="56"/>
      <c r="AM269" s="100"/>
      <c r="AN269" s="100"/>
      <c r="AO269" s="100"/>
      <c r="AP269" s="100"/>
      <c r="AQ269" s="100"/>
      <c r="AR269" s="100"/>
      <c r="AS269" s="100"/>
      <c r="AT269" s="100"/>
      <c r="AU269" s="100"/>
      <c r="AV269" s="239"/>
      <c r="AW269" s="259"/>
      <c r="AX269" s="259"/>
      <c r="AY269" s="122"/>
      <c r="AZ269" s="54"/>
      <c r="BA269" s="54"/>
      <c r="BB269" s="54"/>
      <c r="BC269" s="54"/>
    </row>
    <row r="270" spans="1:55">
      <c r="A270" s="45"/>
      <c r="B270" s="1583"/>
      <c r="C270" s="4157" t="s">
        <v>780</v>
      </c>
      <c r="D270" s="4157"/>
      <c r="E270" s="4157"/>
      <c r="F270" s="4157"/>
      <c r="G270" s="4157"/>
      <c r="H270" s="4157"/>
      <c r="I270" s="4157"/>
      <c r="J270" s="4157"/>
      <c r="K270" s="4157"/>
      <c r="L270" s="4157"/>
      <c r="M270" s="4157"/>
      <c r="N270" s="2480"/>
      <c r="O270" s="262"/>
      <c r="P270" s="259"/>
      <c r="Q270" s="45"/>
      <c r="R270" s="54"/>
      <c r="S270" s="276"/>
      <c r="T270" s="4158" t="s">
        <v>780</v>
      </c>
      <c r="U270" s="4158"/>
      <c r="V270" s="4158"/>
      <c r="W270" s="4158"/>
      <c r="X270" s="4158"/>
      <c r="Y270" s="4158"/>
      <c r="Z270" s="4158"/>
      <c r="AA270" s="4158"/>
      <c r="AB270" s="4158"/>
      <c r="AC270" s="4158"/>
      <c r="AD270" s="4158"/>
      <c r="AE270" s="261"/>
      <c r="AF270" s="45"/>
      <c r="AG270" s="45"/>
      <c r="AH270" s="45"/>
      <c r="AI270" s="45"/>
      <c r="AJ270" s="276"/>
      <c r="AK270" s="4158" t="s">
        <v>780</v>
      </c>
      <c r="AL270" s="4158"/>
      <c r="AM270" s="4158"/>
      <c r="AN270" s="4158"/>
      <c r="AO270" s="4158"/>
      <c r="AP270" s="4158"/>
      <c r="AQ270" s="4158"/>
      <c r="AR270" s="4158"/>
      <c r="AS270" s="4158"/>
      <c r="AT270" s="4158"/>
      <c r="AU270" s="4158"/>
      <c r="AV270" s="261"/>
      <c r="AW270" s="262"/>
      <c r="AX270" s="259"/>
      <c r="AY270" s="45"/>
      <c r="AZ270" s="54"/>
      <c r="BA270" s="54"/>
      <c r="BB270" s="54"/>
      <c r="BC270" s="54"/>
    </row>
    <row r="271" spans="1:55">
      <c r="A271" s="45"/>
      <c r="B271" s="1583"/>
      <c r="C271" s="2311"/>
      <c r="D271" s="2311"/>
      <c r="E271" s="2311"/>
      <c r="F271" s="2311"/>
      <c r="G271" s="2311"/>
      <c r="H271" s="2311"/>
      <c r="I271" s="2311"/>
      <c r="J271" s="2311"/>
      <c r="K271" s="2311"/>
      <c r="L271" s="2311"/>
      <c r="M271" s="2311"/>
      <c r="N271" s="2405"/>
      <c r="O271" s="259"/>
      <c r="P271" s="259"/>
      <c r="Q271" s="45"/>
      <c r="R271" s="54"/>
      <c r="S271" s="276"/>
      <c r="T271" s="65"/>
      <c r="U271" s="65"/>
      <c r="V271" s="65"/>
      <c r="W271" s="65"/>
      <c r="X271" s="65"/>
      <c r="Y271" s="65"/>
      <c r="Z271" s="65"/>
      <c r="AA271" s="65"/>
      <c r="AB271" s="65"/>
      <c r="AC271" s="65"/>
      <c r="AD271" s="65"/>
      <c r="AE271" s="195"/>
      <c r="AF271" s="45"/>
      <c r="AG271" s="45"/>
      <c r="AH271" s="45"/>
      <c r="AI271" s="45"/>
      <c r="AJ271" s="276"/>
      <c r="AK271" s="65"/>
      <c r="AL271" s="65"/>
      <c r="AM271" s="65"/>
      <c r="AN271" s="65"/>
      <c r="AO271" s="65"/>
      <c r="AP271" s="65"/>
      <c r="AQ271" s="65"/>
      <c r="AR271" s="65"/>
      <c r="AS271" s="65"/>
      <c r="AT271" s="65"/>
      <c r="AU271" s="65"/>
      <c r="AV271" s="195"/>
      <c r="AW271" s="259"/>
      <c r="AX271" s="259"/>
      <c r="AY271" s="45"/>
      <c r="AZ271" s="54"/>
      <c r="BA271" s="54"/>
      <c r="BB271" s="54"/>
      <c r="BC271" s="54"/>
    </row>
    <row r="272" spans="1:55" ht="15.6">
      <c r="A272" s="45"/>
      <c r="B272" s="1575"/>
      <c r="C272" s="2309" t="str">
        <f>"Country: " &amp;UPPER(Country)</f>
        <v>Country: BELGIUM</v>
      </c>
      <c r="D272" s="2431"/>
      <c r="E272" s="2311"/>
      <c r="F272" s="2311"/>
      <c r="G272" s="2311"/>
      <c r="H272" s="2311"/>
      <c r="I272" s="2311"/>
      <c r="J272" s="2311"/>
      <c r="K272" s="2311"/>
      <c r="L272" s="2311"/>
      <c r="M272" s="2311"/>
      <c r="N272" s="2405"/>
      <c r="O272" s="259"/>
      <c r="P272" s="259"/>
      <c r="Q272" s="45"/>
      <c r="R272" s="54"/>
      <c r="S272" s="189"/>
      <c r="T272" s="63" t="str">
        <f>"Country: " &amp;UPPER(Country)</f>
        <v>Country: BELGIUM</v>
      </c>
      <c r="U272" s="223"/>
      <c r="V272" s="65"/>
      <c r="W272" s="1915" t="s">
        <v>724</v>
      </c>
      <c r="X272" s="65"/>
      <c r="Y272" s="65"/>
      <c r="Z272" s="65"/>
      <c r="AA272" s="65"/>
      <c r="AB272" s="65"/>
      <c r="AC272" s="65"/>
      <c r="AD272" s="65"/>
      <c r="AE272" s="195"/>
      <c r="AF272" s="45"/>
      <c r="AG272" s="45"/>
      <c r="AH272" s="45"/>
      <c r="AI272" s="45"/>
      <c r="AJ272" s="189"/>
      <c r="AK272" s="63" t="str">
        <f>"Country: " &amp;UPPER(Country)</f>
        <v>Country: BELGIUM</v>
      </c>
      <c r="AL272" s="223"/>
      <c r="AM272" s="65"/>
      <c r="AN272" s="65"/>
      <c r="AO272" s="65"/>
      <c r="AP272" s="65"/>
      <c r="AQ272" s="65"/>
      <c r="AR272" s="65"/>
      <c r="AS272" s="65"/>
      <c r="AT272" s="65"/>
      <c r="AU272" s="65"/>
      <c r="AV272" s="195"/>
      <c r="AW272" s="259"/>
      <c r="AX272" s="259"/>
      <c r="AY272" s="45"/>
      <c r="AZ272" s="54"/>
      <c r="BA272" s="54"/>
      <c r="BB272" s="54"/>
      <c r="BC272" s="54"/>
    </row>
    <row r="273" spans="1:55" ht="15.6">
      <c r="A273" s="45"/>
      <c r="B273" s="1583"/>
      <c r="C273" s="2309" t="str">
        <f>"Currency unit: " &amp; Currency</f>
        <v>Currency unit: bn EUR</v>
      </c>
      <c r="D273" s="2315"/>
      <c r="E273" s="2311"/>
      <c r="F273" s="2311"/>
      <c r="G273" s="2311"/>
      <c r="H273" s="2311"/>
      <c r="I273" s="2311"/>
      <c r="J273" s="2311"/>
      <c r="K273" s="2646"/>
      <c r="L273" s="2529"/>
      <c r="M273" s="2593"/>
      <c r="N273" s="2594"/>
      <c r="O273" s="384"/>
      <c r="P273" s="259"/>
      <c r="Q273" s="45"/>
      <c r="R273" s="54"/>
      <c r="S273" s="276"/>
      <c r="T273" s="63" t="str">
        <f>"Currency unit: " &amp; Currency</f>
        <v>Currency unit: bn EUR</v>
      </c>
      <c r="U273" s="69"/>
      <c r="V273" s="65"/>
      <c r="W273" s="1915" t="str">
        <f>$T$4</f>
        <v>SF2018 - final storage FRI</v>
      </c>
      <c r="X273" s="65"/>
      <c r="Y273" s="65"/>
      <c r="Z273" s="65"/>
      <c r="AA273" s="65"/>
      <c r="AB273" s="65"/>
      <c r="AC273" s="70"/>
      <c r="AD273" s="382"/>
      <c r="AE273" s="383"/>
      <c r="AF273" s="45"/>
      <c r="AG273" s="45"/>
      <c r="AH273" s="45"/>
      <c r="AI273" s="45"/>
      <c r="AJ273" s="276"/>
      <c r="AK273" s="63" t="str">
        <f>"Currency unit: " &amp; Currency</f>
        <v>Currency unit: bn EUR</v>
      </c>
      <c r="AL273" s="69"/>
      <c r="AM273" s="65"/>
      <c r="AN273" s="65"/>
      <c r="AO273" s="65"/>
      <c r="AP273" s="65"/>
      <c r="AQ273" s="65"/>
      <c r="AR273" s="65"/>
      <c r="AS273" s="65"/>
      <c r="AT273" s="70"/>
      <c r="AU273" s="382"/>
      <c r="AV273" s="383"/>
      <c r="AW273" s="384"/>
      <c r="AX273" s="259"/>
      <c r="AY273" s="45"/>
      <c r="AZ273" s="54"/>
      <c r="BA273" s="54"/>
      <c r="BB273" s="54"/>
      <c r="BC273" s="54"/>
    </row>
    <row r="274" spans="1:55" ht="13.8" thickBot="1">
      <c r="A274" s="45"/>
      <c r="B274" s="1583"/>
      <c r="C274" s="2315" t="s">
        <v>1641</v>
      </c>
      <c r="D274" s="2311"/>
      <c r="E274" s="2311"/>
      <c r="F274" s="2311"/>
      <c r="G274" s="2311"/>
      <c r="H274" s="2311"/>
      <c r="I274" s="2311"/>
      <c r="J274" s="2311"/>
      <c r="K274" s="2311"/>
      <c r="L274" s="4159">
        <f ca="1">NOW()</f>
        <v>43213.646692361108</v>
      </c>
      <c r="M274" s="4159"/>
      <c r="N274" s="2363"/>
      <c r="O274" s="54"/>
      <c r="P274" s="54"/>
      <c r="Q274" s="54"/>
      <c r="R274" s="54"/>
      <c r="S274" s="276"/>
      <c r="T274" s="69" t="s">
        <v>1641</v>
      </c>
      <c r="U274" s="65"/>
      <c r="V274" s="65"/>
      <c r="W274" s="65"/>
      <c r="X274" s="65"/>
      <c r="Y274" s="65"/>
      <c r="Z274" s="65"/>
      <c r="AA274" s="65"/>
      <c r="AB274" s="65"/>
      <c r="AC274" s="4160">
        <f ca="1">NOW()</f>
        <v>43213.646692361108</v>
      </c>
      <c r="AD274" s="4160"/>
      <c r="AE274" s="137"/>
      <c r="AF274" s="45"/>
      <c r="AG274" s="45"/>
      <c r="AH274" s="45"/>
      <c r="AI274" s="45"/>
      <c r="AJ274" s="276"/>
      <c r="AK274" s="69" t="s">
        <v>1641</v>
      </c>
      <c r="AL274" s="65"/>
      <c r="AM274" s="65"/>
      <c r="AN274" s="65"/>
      <c r="AO274" s="65"/>
      <c r="AP274" s="65"/>
      <c r="AQ274" s="65"/>
      <c r="AR274" s="65"/>
      <c r="AS274" s="65"/>
      <c r="AT274" s="4160">
        <f ca="1">NOW()</f>
        <v>43213.646692361108</v>
      </c>
      <c r="AU274" s="4160"/>
      <c r="AV274" s="137"/>
      <c r="AW274" s="54"/>
      <c r="AX274" s="54"/>
      <c r="AY274" s="54"/>
      <c r="AZ274" s="54"/>
      <c r="BA274" s="54"/>
      <c r="BB274" s="54"/>
      <c r="BC274" s="54"/>
    </row>
    <row r="275" spans="1:55">
      <c r="A275" s="45"/>
      <c r="B275" s="1583"/>
      <c r="C275" s="2317"/>
      <c r="D275" s="2318"/>
      <c r="E275" s="2364" t="s">
        <v>945</v>
      </c>
      <c r="F275" s="4173">
        <f>E16</f>
        <v>2016</v>
      </c>
      <c r="G275" s="4174"/>
      <c r="H275" s="4173">
        <f>F275+1</f>
        <v>2017</v>
      </c>
      <c r="I275" s="4174"/>
      <c r="J275" s="4173">
        <f>H275+1</f>
        <v>2018</v>
      </c>
      <c r="K275" s="4174"/>
      <c r="L275" s="4173">
        <f>J275+1</f>
        <v>2019</v>
      </c>
      <c r="M275" s="4185"/>
      <c r="N275" s="2400"/>
      <c r="O275" s="54"/>
      <c r="P275" s="54"/>
      <c r="Q275" s="54"/>
      <c r="R275" s="54"/>
      <c r="S275" s="276"/>
      <c r="T275" s="190"/>
      <c r="U275" s="73"/>
      <c r="V275" s="141" t="s">
        <v>945</v>
      </c>
      <c r="W275" s="4175">
        <f>Last_forecast_year - 3</f>
        <v>2016</v>
      </c>
      <c r="X275" s="4176"/>
      <c r="Y275" s="4175">
        <f>W275+1</f>
        <v>2017</v>
      </c>
      <c r="Z275" s="4176"/>
      <c r="AA275" s="4175">
        <f>Y275+1</f>
        <v>2018</v>
      </c>
      <c r="AB275" s="4176"/>
      <c r="AC275" s="4175">
        <f>AA275+1</f>
        <v>2019</v>
      </c>
      <c r="AD275" s="4187"/>
      <c r="AE275" s="191"/>
      <c r="AF275" s="45"/>
      <c r="AG275" s="45"/>
      <c r="AH275" s="45"/>
      <c r="AI275" s="45"/>
      <c r="AJ275" s="276"/>
      <c r="AK275" s="190"/>
      <c r="AL275" s="73"/>
      <c r="AM275" s="141" t="s">
        <v>945</v>
      </c>
      <c r="AN275" s="4175">
        <f>Last_forecast_year - 3</f>
        <v>2016</v>
      </c>
      <c r="AO275" s="4176"/>
      <c r="AP275" s="4175">
        <f>AN275+1</f>
        <v>2017</v>
      </c>
      <c r="AQ275" s="4176"/>
      <c r="AR275" s="4175">
        <f>AP275+1</f>
        <v>2018</v>
      </c>
      <c r="AS275" s="4176"/>
      <c r="AT275" s="4175">
        <f>AR275+1</f>
        <v>2019</v>
      </c>
      <c r="AU275" s="4187"/>
      <c r="AV275" s="191"/>
      <c r="AW275" s="54"/>
      <c r="AX275" s="54"/>
      <c r="AY275" s="54"/>
      <c r="AZ275" s="54"/>
      <c r="BA275" s="54"/>
      <c r="BB275" s="54"/>
      <c r="BC275" s="54"/>
    </row>
    <row r="276" spans="1:55">
      <c r="A276" s="45"/>
      <c r="B276" s="1583"/>
      <c r="C276" s="1576"/>
      <c r="D276" s="2311"/>
      <c r="E276" s="2595"/>
      <c r="F276" s="2596" t="s">
        <v>758</v>
      </c>
      <c r="G276" s="2597" t="s">
        <v>759</v>
      </c>
      <c r="H276" s="2596" t="s">
        <v>758</v>
      </c>
      <c r="I276" s="2597" t="s">
        <v>759</v>
      </c>
      <c r="J276" s="2596" t="s">
        <v>758</v>
      </c>
      <c r="K276" s="2597" t="s">
        <v>759</v>
      </c>
      <c r="L276" s="2596" t="s">
        <v>758</v>
      </c>
      <c r="M276" s="2598" t="s">
        <v>759</v>
      </c>
      <c r="N276" s="2599"/>
      <c r="O276" s="54"/>
      <c r="P276" s="54"/>
      <c r="Q276" s="54"/>
      <c r="R276" s="54"/>
      <c r="S276" s="276"/>
      <c r="T276" s="40"/>
      <c r="U276" s="65"/>
      <c r="V276" s="385"/>
      <c r="W276" s="501" t="s">
        <v>758</v>
      </c>
      <c r="X276" s="1663" t="s">
        <v>759</v>
      </c>
      <c r="Y276" s="501" t="s">
        <v>758</v>
      </c>
      <c r="Z276" s="1663" t="s">
        <v>759</v>
      </c>
      <c r="AA276" s="501" t="s">
        <v>758</v>
      </c>
      <c r="AB276" s="1663" t="s">
        <v>759</v>
      </c>
      <c r="AC276" s="501" t="s">
        <v>758</v>
      </c>
      <c r="AD276" s="1664" t="s">
        <v>759</v>
      </c>
      <c r="AE276" s="386"/>
      <c r="AF276" s="45"/>
      <c r="AG276" s="45"/>
      <c r="AH276" s="45"/>
      <c r="AI276" s="45"/>
      <c r="AJ276" s="276"/>
      <c r="AK276" s="40"/>
      <c r="AL276" s="65"/>
      <c r="AM276" s="385"/>
      <c r="AN276" s="501" t="s">
        <v>758</v>
      </c>
      <c r="AO276" s="1663" t="s">
        <v>759</v>
      </c>
      <c r="AP276" s="501" t="s">
        <v>758</v>
      </c>
      <c r="AQ276" s="1663" t="s">
        <v>759</v>
      </c>
      <c r="AR276" s="501" t="s">
        <v>758</v>
      </c>
      <c r="AS276" s="1663" t="s">
        <v>759</v>
      </c>
      <c r="AT276" s="501" t="s">
        <v>758</v>
      </c>
      <c r="AU276" s="1664" t="s">
        <v>759</v>
      </c>
      <c r="AV276" s="386"/>
      <c r="AW276" s="54"/>
      <c r="AX276" s="54"/>
      <c r="AY276" s="54"/>
      <c r="AZ276" s="54"/>
      <c r="BA276" s="54"/>
      <c r="BB276" s="54"/>
      <c r="BC276" s="54"/>
    </row>
    <row r="277" spans="1:55">
      <c r="A277" s="45"/>
      <c r="B277" s="1583"/>
      <c r="C277" s="2344"/>
      <c r="D277" s="2303"/>
      <c r="E277" s="2600"/>
      <c r="F277" s="2601"/>
      <c r="G277" s="4162" t="s">
        <v>946</v>
      </c>
      <c r="H277" s="4162"/>
      <c r="I277" s="4162"/>
      <c r="J277" s="4162"/>
      <c r="K277" s="4162"/>
      <c r="L277" s="4162"/>
      <c r="M277" s="2602"/>
      <c r="N277" s="2323"/>
      <c r="O277" s="335"/>
      <c r="P277" s="54"/>
      <c r="Q277" s="54"/>
      <c r="R277" s="54"/>
      <c r="S277" s="276"/>
      <c r="T277" s="147"/>
      <c r="U277" s="57"/>
      <c r="V277" s="387"/>
      <c r="W277" s="388"/>
      <c r="X277" s="4165" t="s">
        <v>946</v>
      </c>
      <c r="Y277" s="4165"/>
      <c r="Z277" s="4165"/>
      <c r="AA277" s="4165"/>
      <c r="AB277" s="4165"/>
      <c r="AC277" s="4165"/>
      <c r="AD277" s="389"/>
      <c r="AE277" s="268"/>
      <c r="AF277" s="45"/>
      <c r="AG277" s="45"/>
      <c r="AH277" s="45"/>
      <c r="AI277" s="45"/>
      <c r="AJ277" s="276"/>
      <c r="AK277" s="147"/>
      <c r="AL277" s="57"/>
      <c r="AM277" s="387"/>
      <c r="AN277" s="388"/>
      <c r="AO277" s="4165" t="s">
        <v>946</v>
      </c>
      <c r="AP277" s="4165"/>
      <c r="AQ277" s="4165"/>
      <c r="AR277" s="4165"/>
      <c r="AS277" s="4165"/>
      <c r="AT277" s="4165"/>
      <c r="AU277" s="389"/>
      <c r="AV277" s="268"/>
      <c r="AW277" s="335"/>
      <c r="AX277" s="54"/>
      <c r="AY277" s="54"/>
      <c r="AZ277" s="54"/>
      <c r="BA277" s="335"/>
      <c r="BB277" s="335"/>
      <c r="BC277" s="54"/>
    </row>
    <row r="278" spans="1:55">
      <c r="A278" s="45"/>
      <c r="B278" s="1583"/>
      <c r="C278" s="2603" t="s">
        <v>1837</v>
      </c>
      <c r="D278" s="2604"/>
      <c r="E278" s="2605" t="s">
        <v>1808</v>
      </c>
      <c r="F278" s="2375">
        <f ca="1">Transfer!D301</f>
        <v>371.92980227062822</v>
      </c>
      <c r="G278" s="2371">
        <f ca="1">100*((Transfer!D301/Transfer!C301)-1)</f>
        <v>1.2132100196663442</v>
      </c>
      <c r="H278" s="2030">
        <f ca="1">Transfer!E301</f>
        <v>378.07249437689779</v>
      </c>
      <c r="I278" s="2024">
        <f ca="1">100*((Transfer!E301/Transfer!D301)-1)</f>
        <v>1.651572976612381</v>
      </c>
      <c r="J278" s="2371">
        <f ca="1">Transfer!F301</f>
        <v>385.10257895501348</v>
      </c>
      <c r="K278" s="2348">
        <f ca="1">100*((Transfer!F301/Transfer!E301)-1)</f>
        <v>1.859454121279569</v>
      </c>
      <c r="L278" s="2371">
        <f ca="1">Transfer!G301</f>
        <v>391.71152527961698</v>
      </c>
      <c r="M278" s="2372">
        <f ca="1">100*((Transfer!G301/Transfer!F301)-1)</f>
        <v>1.7161521853572337</v>
      </c>
      <c r="N278" s="2328"/>
      <c r="O278" s="335"/>
      <c r="P278" s="54"/>
      <c r="Q278" s="54"/>
      <c r="R278" s="54"/>
      <c r="S278" s="276"/>
      <c r="T278" s="178" t="s">
        <v>1837</v>
      </c>
      <c r="U278" s="63"/>
      <c r="V278" s="390" t="s">
        <v>1808</v>
      </c>
      <c r="W278" s="107">
        <f t="shared" ref="W278:AD284" ca="1" si="17">ROUND(F278,1)-ROUND(AN278,1)</f>
        <v>0</v>
      </c>
      <c r="X278" s="107">
        <f t="shared" ca="1" si="17"/>
        <v>0</v>
      </c>
      <c r="Y278" s="107">
        <f t="shared" ca="1" si="17"/>
        <v>0</v>
      </c>
      <c r="Z278" s="107">
        <f t="shared" ca="1" si="17"/>
        <v>0</v>
      </c>
      <c r="AA278" s="107">
        <f t="shared" ca="1" si="17"/>
        <v>0.20000000000004547</v>
      </c>
      <c r="AB278" s="107">
        <f t="shared" ca="1" si="17"/>
        <v>9.9999999999999867E-2</v>
      </c>
      <c r="AC278" s="107">
        <f t="shared" ca="1" si="17"/>
        <v>0.39999999999997726</v>
      </c>
      <c r="AD278" s="81">
        <f t="shared" ca="1" si="17"/>
        <v>0</v>
      </c>
      <c r="AE278" s="82"/>
      <c r="AF278" s="45"/>
      <c r="AG278" s="45"/>
      <c r="AH278" s="45"/>
      <c r="AI278" s="45"/>
      <c r="AJ278" s="276"/>
      <c r="AK278" s="2099" t="s">
        <v>1837</v>
      </c>
      <c r="AL278" s="2100"/>
      <c r="AM278" s="2101" t="s">
        <v>1808</v>
      </c>
      <c r="AN278" s="2052">
        <f>Transfer!AD301</f>
        <v>371.92980227062822</v>
      </c>
      <c r="AO278" s="2030">
        <f>100*((Transfer!AD301/Transfer!AC301)-1)</f>
        <v>1.2132100196663442</v>
      </c>
      <c r="AP278" s="2030">
        <f>Transfer!AE301</f>
        <v>378.07249437689779</v>
      </c>
      <c r="AQ278" s="2024">
        <f>100*((Transfer!AE301/Transfer!AD301)-1)</f>
        <v>1.651572976612381</v>
      </c>
      <c r="AR278" s="2030">
        <f>Transfer!AF301</f>
        <v>384.86039892239688</v>
      </c>
      <c r="AS278" s="2024">
        <f>100*((Transfer!AF301/Transfer!AE301)-1)</f>
        <v>1.7953976145993478</v>
      </c>
      <c r="AT278" s="2030">
        <f>Transfer!AG301</f>
        <v>391.32705177550139</v>
      </c>
      <c r="AU278" s="2031">
        <f>100*((Transfer!AG301/Transfer!AF301)-1)</f>
        <v>1.6802593540959254</v>
      </c>
      <c r="AV278" s="82"/>
      <c r="AW278" s="335"/>
      <c r="AX278" s="54"/>
      <c r="AY278" s="54"/>
      <c r="AZ278" s="54"/>
      <c r="BA278" s="1609" t="s">
        <v>1856</v>
      </c>
      <c r="BB278" s="1907" t="s">
        <v>1856</v>
      </c>
      <c r="BC278" s="54"/>
    </row>
    <row r="279" spans="1:55">
      <c r="A279" s="45"/>
      <c r="B279" s="1583"/>
      <c r="C279" s="1576" t="str">
        <f>IF(Transfer!C160=-9999,"  2. Employment ('000)","  2. Full-time equivalent employment ('000)")</f>
        <v xml:space="preserve">  2. Employment ('000)</v>
      </c>
      <c r="D279" s="2311"/>
      <c r="E279" s="2471"/>
      <c r="F279" s="1578">
        <f ca="1">IF(Transfer!D160=-9999,Transfer!D159,Transfer!D160)</f>
        <v>4658.1000000000004</v>
      </c>
      <c r="G279" s="1578">
        <f ca="1">IF(Transfer!D160=-9999,100*(Transfer!D159/Transfer!C159-1),100*(Transfer!D160/Transfer!C160-1))</f>
        <v>1.2542387618468043</v>
      </c>
      <c r="H279" s="1890">
        <f ca="1">IF(Transfer!E160=-9999,Transfer!E159,Transfer!E160)</f>
        <v>4723.7</v>
      </c>
      <c r="I279" s="1890">
        <f ca="1">IF(Transfer!E160=-9999,100*(Transfer!E159/Transfer!D159-1),100*(Transfer!E160/Transfer!D160-1))</f>
        <v>1.4082995212640226</v>
      </c>
      <c r="J279" s="1578">
        <f ca="1">IF(Transfer!F160=-9999,Transfer!F159,Transfer!F160)</f>
        <v>4782.3744499999993</v>
      </c>
      <c r="K279" s="1578">
        <f ca="1">IF(Transfer!F160=-9999,100*(Transfer!F159/Transfer!E159-1),100*(Transfer!F160/Transfer!E160-1))</f>
        <v>1.2421290513792149</v>
      </c>
      <c r="L279" s="1578">
        <f ca="1">IF(Transfer!G160=-9999,Transfer!G159,Transfer!G160)</f>
        <v>4832.4420419199987</v>
      </c>
      <c r="M279" s="1579">
        <f ca="1">IF(Transfer!G160=-9999,100*(Transfer!G159/Transfer!F159-1),100*(Transfer!G160/Transfer!F160-1))</f>
        <v>1.0469191077248086</v>
      </c>
      <c r="N279" s="2328"/>
      <c r="O279" s="335"/>
      <c r="P279" s="54"/>
      <c r="Q279" s="54"/>
      <c r="R279" s="54"/>
      <c r="S279" s="276"/>
      <c r="T279" s="40" t="str">
        <f>IF(Transfer!T160=-9999,"  2. Employment ('000)","  2. Full-time equivalent employment ('000)")</f>
        <v xml:space="preserve">  2. Full-time equivalent employment ('000)</v>
      </c>
      <c r="U279" s="65"/>
      <c r="V279" s="390"/>
      <c r="W279" s="107">
        <f t="shared" ca="1" si="17"/>
        <v>0</v>
      </c>
      <c r="X279" s="107">
        <f t="shared" ca="1" si="17"/>
        <v>0</v>
      </c>
      <c r="Y279" s="107">
        <f t="shared" ca="1" si="17"/>
        <v>0</v>
      </c>
      <c r="Z279" s="107">
        <f t="shared" ca="1" si="17"/>
        <v>0</v>
      </c>
      <c r="AA279" s="107">
        <f t="shared" ca="1" si="17"/>
        <v>0.1999999999998181</v>
      </c>
      <c r="AB279" s="107">
        <f t="shared" ca="1" si="17"/>
        <v>0</v>
      </c>
      <c r="AC279" s="107">
        <f t="shared" ca="1" si="17"/>
        <v>9.9999999999454303E-2</v>
      </c>
      <c r="AD279" s="93">
        <f t="shared" ca="1" si="17"/>
        <v>0</v>
      </c>
      <c r="AE279" s="82"/>
      <c r="AF279" s="45"/>
      <c r="AG279" s="45"/>
      <c r="AH279" s="45"/>
      <c r="AI279" s="45"/>
      <c r="AJ279" s="276"/>
      <c r="AK279" s="40" t="str">
        <f>IF(Transfer!AK160=-9999,"  2. Employment ('000)","  2. Full-time equivalent employment ('000)")</f>
        <v xml:space="preserve">  2. Employment ('000)</v>
      </c>
      <c r="AL279" s="65"/>
      <c r="AM279" s="390"/>
      <c r="AN279" s="1890">
        <f>IF(Transfer!AD160=-9999,Transfer!AD159,Transfer!AD160)</f>
        <v>4658.1000000000004</v>
      </c>
      <c r="AO279" s="1890">
        <f>IF(Transfer!AD160=-9999,100*(Transfer!AD159/Transfer!AC159-1),100*(Transfer!AD160/Transfer!AC160-1))</f>
        <v>1.2542387618468043</v>
      </c>
      <c r="AP279" s="1890">
        <f>IF(Transfer!AE160=-9999,Transfer!AE159,Transfer!AE160)</f>
        <v>4723.7</v>
      </c>
      <c r="AQ279" s="1890">
        <f>IF(Transfer!AE160=-9999,100*(Transfer!AE159/Transfer!AD159-1),100*(Transfer!AE160/Transfer!AD160-1))</f>
        <v>1.4082995212640226</v>
      </c>
      <c r="AR279" s="1890">
        <f>IF(Transfer!AF160=-9999,Transfer!AF159,Transfer!AF160)</f>
        <v>4782.2027499999995</v>
      </c>
      <c r="AS279" s="1890">
        <f>IF(Transfer!AF160=-9999,100*(Transfer!AF159/Transfer!AE159-1),100*(Transfer!AF160/Transfer!AE160-1))</f>
        <v>1.2384941888773593</v>
      </c>
      <c r="AT279" s="1890">
        <f>IF(Transfer!AG160=-9999,Transfer!AG159,Transfer!AG160)</f>
        <v>4832.2703419199988</v>
      </c>
      <c r="AU279" s="1891">
        <f>IF(Transfer!AG160=-9999,100*(Transfer!AG159/Transfer!AF159-1),100*(Transfer!AG160/Transfer!AF160-1))</f>
        <v>1.0469566962630239</v>
      </c>
      <c r="AV279" s="82"/>
      <c r="AW279" s="335"/>
      <c r="AX279" s="54"/>
      <c r="AY279" s="54"/>
      <c r="AZ279" s="54"/>
      <c r="BA279" s="1611" t="s">
        <v>1884</v>
      </c>
      <c r="BB279" s="1650" t="s">
        <v>1857</v>
      </c>
      <c r="BC279" s="54"/>
    </row>
    <row r="280" spans="1:55">
      <c r="A280" s="45"/>
      <c r="B280" s="1583"/>
      <c r="C280" s="2603" t="str">
        <f>IF(Transfer!C160=-9999,"  3. GVA per occupied person (1:2)","  3. GVA per occupied f.t.e (1:2)")</f>
        <v xml:space="preserve">  3. GVA per occupied person (1:2)</v>
      </c>
      <c r="D280" s="2604"/>
      <c r="E280" s="2605"/>
      <c r="F280" s="2375">
        <f ca="1">IF(Transfer!D160=-9999,1000*(Transfer!D301)/Transfer!D159,1000*(Transfer!D301)/Transfer!D160)</f>
        <v>79.845817451456213</v>
      </c>
      <c r="G280" s="2347">
        <f ca="1">IF(Transfer!D160=-9999,100*(((1000*(Transfer!D301)/Transfer!D159)/((1000*(Transfer!C301)/Transfer!C159)))-1),100*(((1000*(Transfer!D301)/Transfer!D160)/((1000*(Transfer!C301)/Transfer!C160)))-1))</f>
        <v>-4.0520518135511718E-2</v>
      </c>
      <c r="H280" s="2023">
        <f ca="1">IF(Transfer!E160=-9999,1000*(Transfer!E301)/Transfer!E159,1000*(Transfer!E301)/Transfer!E160)</f>
        <v>80.037363587208716</v>
      </c>
      <c r="I280" s="2024">
        <f ca="1">IF(Transfer!E160=-9999,100*(((1000*(Transfer!E301)/Transfer!E159)/((1000*(Transfer!D301)/Transfer!D159)))-1),100*(((1000*(Transfer!E301)/Transfer!E160)/((1000*(Transfer!D301)/Transfer!D160)))-1))</f>
        <v>0.23989501500056853</v>
      </c>
      <c r="J280" s="2347">
        <f ca="1">IF(Transfer!F160=-9999,1000*(Transfer!F301)/Transfer!F159,1000*(Transfer!F301)/Transfer!F160)</f>
        <v>80.525392350867364</v>
      </c>
      <c r="K280" s="2348">
        <f ca="1">IF(Transfer!F160=-9999,100*(((1000*(Transfer!F301)/Transfer!F159)/((1000*(Transfer!E301)/Transfer!E159)))-1),100*(((1000*(Transfer!F301)/Transfer!F160)/((1000*(Transfer!E301)/Transfer!E160)))-1))</f>
        <v>0.60975117343400331</v>
      </c>
      <c r="L280" s="2347">
        <f ca="1">IF(Transfer!G160=-9999,1000*(Transfer!G301)/Transfer!G159,1000*(Transfer!G301)/Transfer!G160)</f>
        <v>81.058711492375053</v>
      </c>
      <c r="M280" s="2349">
        <f ca="1">IF(Transfer!G160=-9999,100*(((1000*(Transfer!G301)/Transfer!G159)/((1000*(Transfer!F301)/Transfer!F159)))-1),100*(((1000*(Transfer!G301)/Transfer!G160)/((1000*(Transfer!F301)/Transfer!F160)))-1))</f>
        <v>0.66229933929895513</v>
      </c>
      <c r="N280" s="2328"/>
      <c r="O280" s="335"/>
      <c r="P280" s="54"/>
      <c r="Q280" s="54"/>
      <c r="R280" s="54"/>
      <c r="S280" s="276"/>
      <c r="T280" s="40" t="str">
        <f>IF(Transfer!T160=-9999,"  3. GVA per occupied person (1:2)","  3. GVA per occupied f.t.e (1:2)")</f>
        <v xml:space="preserve">  3. GVA per occupied f.t.e (1:2)</v>
      </c>
      <c r="U280" s="65"/>
      <c r="V280" s="390"/>
      <c r="W280" s="107">
        <f t="shared" ca="1" si="17"/>
        <v>0</v>
      </c>
      <c r="X280" s="107">
        <f t="shared" ca="1" si="17"/>
        <v>0</v>
      </c>
      <c r="Y280" s="107">
        <f t="shared" ca="1" si="17"/>
        <v>0</v>
      </c>
      <c r="Z280" s="107">
        <f t="shared" ca="1" si="17"/>
        <v>0</v>
      </c>
      <c r="AA280" s="107">
        <f t="shared" ca="1" si="17"/>
        <v>0</v>
      </c>
      <c r="AB280" s="107">
        <f t="shared" ca="1" si="17"/>
        <v>0</v>
      </c>
      <c r="AC280" s="107">
        <f t="shared" ca="1" si="17"/>
        <v>9.9999999999994316E-2</v>
      </c>
      <c r="AD280" s="93">
        <f t="shared" ca="1" si="17"/>
        <v>9.9999999999999978E-2</v>
      </c>
      <c r="AE280" s="82"/>
      <c r="AF280" s="45"/>
      <c r="AG280" s="45"/>
      <c r="AH280" s="45"/>
      <c r="AI280" s="45"/>
      <c r="AJ280" s="276"/>
      <c r="AK280" s="2099" t="str">
        <f>IF(Transfer!AK160=-9999,"  3. GVA per occupied person (1:2)","  3. GVA per occupied f.t.e (1:2)")</f>
        <v xml:space="preserve">  3. GVA per occupied person (1:2)</v>
      </c>
      <c r="AL280" s="2100"/>
      <c r="AM280" s="2101"/>
      <c r="AN280" s="2052">
        <f>IF(Transfer!AD160=-9999,1000*(Transfer!AD301)/Transfer!AD159,1000*(Transfer!AD301)/Transfer!AD160)</f>
        <v>79.845817451456213</v>
      </c>
      <c r="AO280" s="2023">
        <f>IF(Transfer!AD160=-9999,100*(((1000*(Transfer!AD301)/Transfer!AD159)/((1000*(Transfer!AC301)/Transfer!AC159)))-1),100*(((1000*(Transfer!AD301)/Transfer!AD160)/((1000*(Transfer!AC301)/Transfer!AC160)))-1))</f>
        <v>-4.0520518135511718E-2</v>
      </c>
      <c r="AP280" s="2023">
        <f>IF(Transfer!AE160=-9999,1000*(Transfer!AE301)/Transfer!AE159,1000*(Transfer!AE301)/Transfer!AE160)</f>
        <v>80.037363587208716</v>
      </c>
      <c r="AQ280" s="2024">
        <f>IF(Transfer!AE160=-9999,100*(((1000*(Transfer!AE301)/Transfer!AE159)/((1000*(Transfer!AD301)/Transfer!AD159)))-1),100*(((1000*(Transfer!AE301)/Transfer!AE160)/((1000*(Transfer!AD301)/Transfer!AD160)))-1))</f>
        <v>0.23989501500056853</v>
      </c>
      <c r="AR280" s="2023">
        <f>IF(Transfer!AF160=-9999,1000*(Transfer!AF301)/Transfer!AF159,1000*(Transfer!AF301)/Transfer!AF160)</f>
        <v>80.477641589411263</v>
      </c>
      <c r="AS280" s="2024">
        <f>IF(Transfer!AF160=-9999,100*(((1000*(Transfer!AF301)/Transfer!AF159)/((1000*(Transfer!AE301)/Transfer!AE159)))-1),100*(((1000*(Transfer!AF301)/Transfer!AF160)/((1000*(Transfer!AE301)/Transfer!AE160)))-1))</f>
        <v>0.55009058578350256</v>
      </c>
      <c r="AT280" s="2023">
        <f>IF(Transfer!AG160=-9999,1000*(Transfer!AG301)/Transfer!AG159,1000*(Transfer!AG301)/Transfer!AG160)</f>
        <v>80.982027926031975</v>
      </c>
      <c r="AU280" s="2025">
        <f>IF(Transfer!AG160=-9999,100*(((1000*(Transfer!AG301)/Transfer!AG159)/((1000*(Transfer!AF301)/Transfer!AF159)))-1),100*(((1000*(Transfer!AG301)/Transfer!AG160)/((1000*(Transfer!AF301)/Transfer!AF160)))-1))</f>
        <v>0.62674095147325914</v>
      </c>
      <c r="AV280" s="82"/>
      <c r="AW280" s="335"/>
      <c r="AX280" s="54"/>
      <c r="AY280" s="54"/>
      <c r="AZ280" s="54"/>
      <c r="BA280" s="1611" t="s">
        <v>68</v>
      </c>
      <c r="BB280" s="1650" t="s">
        <v>1858</v>
      </c>
      <c r="BC280" s="54"/>
    </row>
    <row r="281" spans="1:55">
      <c r="A281" s="45"/>
      <c r="B281" s="1583"/>
      <c r="C281" s="1576" t="str">
        <f>IF(Transfer!D164=-9999,"  4. Compensation of employees per head","  4. Compensation of employees / f.t.e")</f>
        <v xml:space="preserve">  4. Compensation of employees per head</v>
      </c>
      <c r="D281" s="2311"/>
      <c r="E281" s="2471"/>
      <c r="F281" s="1578">
        <f ca="1">IF(Transfer!D164=-9999,1000*(Transfer!D161)/Transfer!D163,1000*(Transfer!D161)/Transfer!D164)</f>
        <v>53.90612918191659</v>
      </c>
      <c r="G281" s="1578">
        <f ca="1">IF(Transfer!D164=-9999,100*(((1000*(Transfer!D161)/Transfer!D163)/((1000*(Transfer!C161)/Transfer!C163)))-1),100*(((1000*(Transfer!D161)/Transfer!D164)/((1000*(Transfer!C161)/Transfer!C164)))-1))</f>
        <v>9.8952004584407227E-2</v>
      </c>
      <c r="H281" s="1890">
        <f ca="1">IF(Transfer!E164=-9999,1000*(Transfer!E161)/Transfer!E163,1000*(Transfer!E161)/Transfer!E164)</f>
        <v>54.833346041428385</v>
      </c>
      <c r="I281" s="1890">
        <f ca="1">IF(Transfer!E164=-9999,100*(((1000*(Transfer!E161)/Transfer!E163)/((1000*(Transfer!D161)/Transfer!D163)))-1),100*(((1000*(Transfer!E161)/Transfer!E164)/((1000*(Transfer!D161)/Transfer!D164)))-1))</f>
        <v>1.7200583191249397</v>
      </c>
      <c r="J281" s="1578">
        <f ca="1">IF(Transfer!F164=-9999,1000*(Transfer!F161)/Transfer!F163,1000*(Transfer!F161)/Transfer!F164)</f>
        <v>55.952471106809007</v>
      </c>
      <c r="K281" s="1578">
        <f ca="1">IF(Transfer!F164=-9999,100*(((1000*(Transfer!F161)/Transfer!F163)/((1000*(Transfer!E161)/Transfer!E163)))-1),100*(((1000*(Transfer!F161)/Transfer!F164)/((1000*(Transfer!E161)/Transfer!E164)))-1))</f>
        <v>2.040957093034379</v>
      </c>
      <c r="L281" s="1578">
        <f ca="1">IF(Transfer!G164=-9999,1000*(Transfer!G161)/Transfer!G163,1000*(Transfer!G161)/Transfer!G164)</f>
        <v>57.175203520365201</v>
      </c>
      <c r="M281" s="1579">
        <f ca="1">IF(Transfer!G164=-9999,100*(((1000*(Transfer!G161)/Transfer!G163)/((1000*(Transfer!F161)/Transfer!F163)))-1),100*(((1000*(Transfer!G161)/Transfer!G164)/((1000*(Transfer!F161)/Transfer!F164)))-1))</f>
        <v>2.1853054733223409</v>
      </c>
      <c r="N281" s="2354"/>
      <c r="O281" s="335"/>
      <c r="P281" s="54"/>
      <c r="Q281" s="54"/>
      <c r="R281" s="54"/>
      <c r="S281" s="276"/>
      <c r="T281" s="40" t="str">
        <f>IF(Transfer!U164=-9999,"  4. Compensation of employees per head","  4. Compensation of employees / f.t.e")</f>
        <v xml:space="preserve">  4. Compensation of employees / f.t.e</v>
      </c>
      <c r="U281" s="65"/>
      <c r="V281" s="390"/>
      <c r="W281" s="107">
        <f t="shared" ca="1" si="17"/>
        <v>0</v>
      </c>
      <c r="X281" s="107">
        <f t="shared" ca="1" si="17"/>
        <v>0</v>
      </c>
      <c r="Y281" s="107">
        <f t="shared" ca="1" si="17"/>
        <v>0</v>
      </c>
      <c r="Z281" s="107">
        <f t="shared" ca="1" si="17"/>
        <v>0</v>
      </c>
      <c r="AA281" s="107">
        <f t="shared" ca="1" si="17"/>
        <v>0</v>
      </c>
      <c r="AB281" s="107">
        <f t="shared" ca="1" si="17"/>
        <v>0</v>
      </c>
      <c r="AC281" s="107">
        <f t="shared" ca="1" si="17"/>
        <v>0</v>
      </c>
      <c r="AD281" s="93">
        <f t="shared" ca="1" si="17"/>
        <v>0</v>
      </c>
      <c r="AE281" s="82"/>
      <c r="AF281" s="45"/>
      <c r="AG281" s="45"/>
      <c r="AH281" s="45"/>
      <c r="AI281" s="45"/>
      <c r="AJ281" s="276"/>
      <c r="AK281" s="40" t="str">
        <f>IF(Transfer!AL164=-9999,"  4. Compensation of employees per head","  4. Compensation of employees / f.t.e")</f>
        <v xml:space="preserve">  4. Compensation of employees per head</v>
      </c>
      <c r="AL281" s="65"/>
      <c r="AM281" s="390"/>
      <c r="AN281" s="1890">
        <f>IF(Transfer!AD164=-9999,1000*(Transfer!AD161)/Transfer!AD163,1000*(Transfer!AD161)/Transfer!AD164)</f>
        <v>53.90612918191659</v>
      </c>
      <c r="AO281" s="1890">
        <f>IF(Transfer!AD164=-9999,100*(((1000*(Transfer!AD161)/Transfer!AD163)/((1000*(Transfer!AC161)/Transfer!AC163)))-1),100*(((1000*(Transfer!AD161)/Transfer!AD164)/((1000*(Transfer!AC161)/Transfer!AC164)))-1))</f>
        <v>9.8952004584407227E-2</v>
      </c>
      <c r="AP281" s="1890">
        <f>IF(Transfer!AE164=-9999,1000*(Transfer!AE161)/Transfer!AE163,1000*(Transfer!AE161)/Transfer!AE164)</f>
        <v>54.833346041428385</v>
      </c>
      <c r="AQ281" s="1890">
        <f>IF(Transfer!AE164=-9999,100*(((1000*(Transfer!AE161)/Transfer!AE163)/((1000*(Transfer!AD161)/Transfer!AD163)))-1),100*(((1000*(Transfer!AE161)/Transfer!AE164)/((1000*(Transfer!AD161)/Transfer!AD164)))-1))</f>
        <v>1.7200583191249397</v>
      </c>
      <c r="AR281" s="1890">
        <f>IF(Transfer!AF164=-9999,1000*(Transfer!AF161)/Transfer!AF163,1000*(Transfer!AF161)/Transfer!AF164)</f>
        <v>55.952283928579959</v>
      </c>
      <c r="AS281" s="1890">
        <f>IF(Transfer!AF164=-9999,100*(((1000*(Transfer!AF161)/Transfer!AF163)/((1000*(Transfer!AE161)/Transfer!AE163)))-1),100*(((1000*(Transfer!AF161)/Transfer!AF164)/((1000*(Transfer!AE161)/Transfer!AE164)))-1))</f>
        <v>2.0406157346410714</v>
      </c>
      <c r="AT281" s="1890">
        <f>IF(Transfer!AG164=-9999,1000*(Transfer!AG161)/Transfer!AG163,1000*(Transfer!AG161)/Transfer!AG164)</f>
        <v>57.17502087202444</v>
      </c>
      <c r="AU281" s="1891">
        <f>IF(Transfer!AG164=-9999,100*(((1000*(Transfer!AG161)/Transfer!AG163)/((1000*(Transfer!AF161)/Transfer!AF163)))-1),100*(((1000*(Transfer!AG161)/Transfer!AG164)/((1000*(Transfer!AF161)/Transfer!AF164)))-1))</f>
        <v>2.1853208798504831</v>
      </c>
      <c r="AV281" s="82"/>
      <c r="AW281" s="335"/>
      <c r="AX281" s="54"/>
      <c r="AY281" s="54"/>
      <c r="AZ281" s="54"/>
      <c r="BA281" s="1611" t="s">
        <v>307</v>
      </c>
      <c r="BB281" s="1650" t="s">
        <v>1859</v>
      </c>
      <c r="BC281" s="54"/>
    </row>
    <row r="282" spans="1:55">
      <c r="A282" s="45"/>
      <c r="B282" s="1583"/>
      <c r="C282" s="2333" t="str">
        <f>IF(Transfer!D164=-9999,"  4a. - of which, wages and salaries per head","  4a. - of which, wages and salaries / f.t.e")</f>
        <v xml:space="preserve">  4a. - of which, wages and salaries per head</v>
      </c>
      <c r="D282" s="2311"/>
      <c r="E282" s="2471"/>
      <c r="F282" s="1578">
        <f ca="1">IF(Transfer!D164=-9999,1000*(Transfer!D162)/Transfer!D163,1000*(Transfer!D162)/Transfer!D164)</f>
        <v>39.389736584360016</v>
      </c>
      <c r="G282" s="1578">
        <f ca="1">IF(Transfer!D164=-9999,100*(((1000*(Transfer!D162)/Transfer!D163)/((1000*(Transfer!C162)/Transfer!C163)))-1),100*(((1000*(Transfer!D162)/Transfer!D164)/((1000*(Transfer!C162)/Transfer!C164)))-1))</f>
        <v>1.3194517937440864</v>
      </c>
      <c r="H282" s="1890">
        <f ca="1">IF(Transfer!E164=-9999,1000*(Transfer!E162)/Transfer!E163,1000*(Transfer!E162)/Transfer!E164)</f>
        <v>40.130918795272592</v>
      </c>
      <c r="I282" s="1890">
        <f ca="1">IF(Transfer!E164=-9999,100*(((1000*(Transfer!E162)/Transfer!E163)/((1000*(Transfer!D162)/Transfer!D163)))-1),100*(((1000*(Transfer!E162)/Transfer!E164)/((1000*(Transfer!D162)/Transfer!D164)))-1))</f>
        <v>1.8816632838485781</v>
      </c>
      <c r="J282" s="1578">
        <f ca="1">IF(Transfer!F164=-9999,1000*(Transfer!F162)/Transfer!F163,1000*(Transfer!F162)/Transfer!F164)</f>
        <v>41.037563223003829</v>
      </c>
      <c r="K282" s="1578">
        <f ca="1">IF(Transfer!F164=-9999,100*(((1000*(Transfer!F162)/Transfer!F163)/((1000*(Transfer!E162)/Transfer!E163)))-1),100*(((1000*(Transfer!F162)/Transfer!F164)/((1000*(Transfer!E162)/Transfer!E164)))-1))</f>
        <v>2.2592167210436331</v>
      </c>
      <c r="L282" s="1578">
        <f ca="1">IF(Transfer!G164=-9999,1000*(Transfer!G162)/Transfer!G163,1000*(Transfer!G162)/Transfer!G164)</f>
        <v>41.925270748851524</v>
      </c>
      <c r="M282" s="1579">
        <f ca="1">IF(Transfer!G164=-9999,100*(((1000*(Transfer!G162)/Transfer!G163)/((1000*(Transfer!F162)/Transfer!F163)))-1),100*(((1000*(Transfer!G162)/Transfer!G164)/((1000*(Transfer!F162)/Transfer!F164)))-1))</f>
        <v>2.1631584726991893</v>
      </c>
      <c r="N282" s="2328"/>
      <c r="O282" s="335"/>
      <c r="P282" s="54"/>
      <c r="Q282" s="54"/>
      <c r="R282" s="54"/>
      <c r="S282" s="276"/>
      <c r="T282" s="86" t="str">
        <f>IF(Transfer!U164=-9999,"  4a. - of which, wages and salaries per head","  4a. - of which, wages and salaries / f.t.e")</f>
        <v xml:space="preserve">  4a. - of which, wages and salaries / f.t.e</v>
      </c>
      <c r="U282" s="65"/>
      <c r="V282" s="390"/>
      <c r="W282" s="107">
        <f t="shared" ca="1" si="17"/>
        <v>0</v>
      </c>
      <c r="X282" s="107">
        <f t="shared" ca="1" si="17"/>
        <v>0</v>
      </c>
      <c r="Y282" s="107">
        <f t="shared" ca="1" si="17"/>
        <v>0</v>
      </c>
      <c r="Z282" s="107">
        <f t="shared" ca="1" si="17"/>
        <v>0</v>
      </c>
      <c r="AA282" s="107">
        <f t="shared" ca="1" si="17"/>
        <v>0</v>
      </c>
      <c r="AB282" s="107">
        <f t="shared" ca="1" si="17"/>
        <v>0</v>
      </c>
      <c r="AC282" s="107">
        <f t="shared" ca="1" si="17"/>
        <v>0</v>
      </c>
      <c r="AD282" s="93">
        <f t="shared" ca="1" si="17"/>
        <v>0</v>
      </c>
      <c r="AE282" s="82"/>
      <c r="AF282" s="45"/>
      <c r="AG282" s="45"/>
      <c r="AH282" s="45"/>
      <c r="AI282" s="45"/>
      <c r="AJ282" s="276"/>
      <c r="AK282" s="86" t="str">
        <f>IF(Transfer!AL164=-9999,"  4a. - of which, wages and salaries per head","  4a. - of which, wages and salaries / f.t.e")</f>
        <v xml:space="preserve">  4a. - of which, wages and salaries per head</v>
      </c>
      <c r="AL282" s="65"/>
      <c r="AM282" s="390"/>
      <c r="AN282" s="1890">
        <f>IF(Transfer!AD164=-9999,1000*(Transfer!AD162)/Transfer!AD163,1000*(Transfer!AD162)/Transfer!AD164)</f>
        <v>39.389736584360016</v>
      </c>
      <c r="AO282" s="1890">
        <f>IF(Transfer!AD164=-9999,100*(((1000*(Transfer!AD162)/Transfer!AD163)/((1000*(Transfer!AC162)/Transfer!AC163)))-1),100*(((1000*(Transfer!AD162)/Transfer!AD164)/((1000*(Transfer!AC162)/Transfer!AC164)))-1))</f>
        <v>1.3194517937440864</v>
      </c>
      <c r="AP282" s="1890">
        <f>IF(Transfer!AE164=-9999,1000*(Transfer!AE162)/Transfer!AE163,1000*(Transfer!AE162)/Transfer!AE164)</f>
        <v>40.130918795272592</v>
      </c>
      <c r="AQ282" s="1890">
        <f>IF(Transfer!AE164=-9999,100*(((1000*(Transfer!AE162)/Transfer!AE163)/((1000*(Transfer!AD162)/Transfer!AD163)))-1),100*(((1000*(Transfer!AE162)/Transfer!AE164)/((1000*(Transfer!AD162)/Transfer!AD164)))-1))</f>
        <v>1.8816632838485781</v>
      </c>
      <c r="AR282" s="1890">
        <f>IF(Transfer!AF164=-9999,1000*(Transfer!AF162)/Transfer!AF163,1000*(Transfer!AF162)/Transfer!AF164)</f>
        <v>41.036566317145081</v>
      </c>
      <c r="AS282" s="1890">
        <f>IF(Transfer!AF164=-9999,100*(((1000*(Transfer!AF162)/Transfer!AF163)/((1000*(Transfer!AE162)/Transfer!AE163)))-1),100*(((1000*(Transfer!AF162)/Transfer!AF164)/((1000*(Transfer!AE162)/Transfer!AE164)))-1))</f>
        <v>2.2567325868930066</v>
      </c>
      <c r="AT282" s="1890">
        <f>IF(Transfer!AG164=-9999,1000*(Transfer!AG162)/Transfer!AG163,1000*(Transfer!AG162)/Transfer!AG164)</f>
        <v>41.924266792469211</v>
      </c>
      <c r="AU282" s="1891">
        <f>IF(Transfer!AG164=-9999,100*(((1000*(Transfer!AG162)/Transfer!AG163)/((1000*(Transfer!AF162)/Transfer!AF163)))-1),100*(((1000*(Transfer!AG162)/Transfer!AG164)/((1000*(Transfer!AF162)/Transfer!AF164)))-1))</f>
        <v>2.1631938414721885</v>
      </c>
      <c r="AV282" s="82"/>
      <c r="AW282" s="335"/>
      <c r="AX282" s="54"/>
      <c r="AY282" s="54"/>
      <c r="AZ282" s="54"/>
      <c r="BA282" s="1611" t="s">
        <v>69</v>
      </c>
      <c r="BB282" s="1650" t="s">
        <v>1860</v>
      </c>
      <c r="BC282" s="54"/>
    </row>
    <row r="283" spans="1:55">
      <c r="A283" s="45"/>
      <c r="B283" s="1583"/>
      <c r="C283" s="2333" t="str">
        <f>IF(Transfer!D164=-9999,"  4b. - of which, employers' contribution per head","  4b. - of which, employers' contribution / f.t.e")</f>
        <v xml:space="preserve">  4b. - of which, employers' contribution per head</v>
      </c>
      <c r="D283" s="2352"/>
      <c r="E283" s="2606"/>
      <c r="F283" s="1578">
        <f ca="1">IF(Transfer!D164=-9999,1000*(Transfer!D161-Transfer!D162)/Transfer!D163,1000*(Transfer!D161-Transfer!D162)/Transfer!D164)</f>
        <v>14.51639259755658</v>
      </c>
      <c r="G283" s="1578">
        <f ca="1">IF(Transfer!D164=-9999,100*(((1000*(Transfer!D161-Transfer!D162)/Transfer!D163)/((1000*(Transfer!C161-Transfer!C162)/Transfer!C163)))-1),100*(((1000*(Transfer!D161-Transfer!D162)/Transfer!D164)/((1000*(Transfer!C161-Transfer!C162)/Transfer!C164)))-1))</f>
        <v>-3.0693768563003432</v>
      </c>
      <c r="H283" s="1890">
        <f ca="1">IF(Transfer!E164=-9999,1000*(Transfer!E161-Transfer!E162)/Transfer!E163,1000*(Transfer!E161-Transfer!E162)/Transfer!E164)</f>
        <v>14.702427246155793</v>
      </c>
      <c r="I283" s="1890">
        <f ca="1">IF(Transfer!E164=-9999,100*(((1000*(Transfer!E161-Transfer!E162)/Transfer!E163)/((1000*(Transfer!D161-Transfer!D162)/Transfer!D163)))-1),100*(((1000*(Transfer!E161-Transfer!E162)/Transfer!E164)/((1000*(Transfer!D161-Transfer!D162)/Transfer!D164)))-1))</f>
        <v>1.2815487549608262</v>
      </c>
      <c r="J283" s="1578">
        <f ca="1">IF(Transfer!F164=-9999,1000*(Transfer!F161-Transfer!F162)/Transfer!F163,1000*(Transfer!F161-Transfer!F162)/Transfer!F164)</f>
        <v>14.914907883805181</v>
      </c>
      <c r="K283" s="1578">
        <f ca="1">IF(Transfer!F164=-9999,100*(((1000*(Transfer!F161-Transfer!F162)/Transfer!F163)/((1000*(Transfer!E161-Transfer!E162)/Transfer!E163)))-1),100*(((1000*(Transfer!F161-Transfer!F162)/Transfer!F164)/((1000*(Transfer!E161-Transfer!E162)/Transfer!E164)))-1))</f>
        <v>1.4452078836502791</v>
      </c>
      <c r="L283" s="1578">
        <f ca="1">IF(Transfer!G164=-9999,1000*(Transfer!G161-Transfer!G162)/Transfer!G163,1000*(Transfer!G161-Transfer!G162)/Transfer!G164)</f>
        <v>15.249932771513674</v>
      </c>
      <c r="M283" s="1579">
        <f ca="1">IF(Transfer!G164=-9999,100*(((1000*(Transfer!G161-Transfer!G162)/Transfer!G163)/((1000*(Transfer!F161-Transfer!F162)/Transfer!F163)))-1),100*(((1000*(Transfer!G161-Transfer!G162)/Transfer!G164)/((1000*(Transfer!F161-Transfer!F162)/Transfer!F164)))-1))</f>
        <v>2.2462417489836906</v>
      </c>
      <c r="N283" s="2350"/>
      <c r="O283" s="335"/>
      <c r="P283" s="54"/>
      <c r="Q283" s="54"/>
      <c r="R283" s="54"/>
      <c r="S283" s="276"/>
      <c r="T283" s="86" t="str">
        <f>IF(Transfer!U164=-9999,"  4b. - of which, employers' contribution per head","  4b. - of which, employers' contribution / f.t.e")</f>
        <v xml:space="preserve">  4b. - of which, employers' contribution / f.t.e</v>
      </c>
      <c r="U283" s="102"/>
      <c r="V283" s="391"/>
      <c r="W283" s="107">
        <f t="shared" ca="1" si="17"/>
        <v>0</v>
      </c>
      <c r="X283" s="107">
        <f t="shared" ca="1" si="17"/>
        <v>0</v>
      </c>
      <c r="Y283" s="107">
        <f t="shared" ca="1" si="17"/>
        <v>0</v>
      </c>
      <c r="Z283" s="107">
        <f t="shared" ca="1" si="17"/>
        <v>0</v>
      </c>
      <c r="AA283" s="107">
        <f t="shared" ca="1" si="17"/>
        <v>0</v>
      </c>
      <c r="AB283" s="107">
        <f t="shared" ca="1" si="17"/>
        <v>-0.10000000000000009</v>
      </c>
      <c r="AC283" s="107">
        <f t="shared" ca="1" si="17"/>
        <v>-0.10000000000000142</v>
      </c>
      <c r="AD283" s="93">
        <f t="shared" ca="1" si="17"/>
        <v>0</v>
      </c>
      <c r="AE283" s="103"/>
      <c r="AF283" s="45"/>
      <c r="AG283" s="45"/>
      <c r="AH283" s="45"/>
      <c r="AI283" s="45"/>
      <c r="AJ283" s="276"/>
      <c r="AK283" s="86" t="str">
        <f>IF(Transfer!AL164=-9999,"  4b. - of which, employers' contribution per head","  4b. - of which, employers' contribution / f.t.e")</f>
        <v xml:space="preserve">  4b. - of which, employers' contribution per head</v>
      </c>
      <c r="AL283" s="102"/>
      <c r="AM283" s="391"/>
      <c r="AN283" s="1890">
        <f>IF(Transfer!AD164=-9999,1000*(Transfer!AD161-Transfer!AD162)/Transfer!AD163,1000*(Transfer!AD161-Transfer!AD162)/Transfer!AD164)</f>
        <v>14.51639259755658</v>
      </c>
      <c r="AO283" s="1890">
        <f>IF(Transfer!AD164=-9999,100*(((1000*(Transfer!AD161-Transfer!AD162)/Transfer!AD163)/((1000*(Transfer!AC161-Transfer!AC162)/Transfer!AC163)))-1),100*(((1000*(Transfer!AD161-Transfer!AD162)/Transfer!AD164)/((1000*(Transfer!AC161-Transfer!AC162)/Transfer!AC164)))-1))</f>
        <v>-3.0693768563003432</v>
      </c>
      <c r="AP283" s="1890">
        <f>IF(Transfer!AE164=-9999,1000*(Transfer!AE161-Transfer!AE162)/Transfer!AE163,1000*(Transfer!AE161-Transfer!AE162)/Transfer!AE164)</f>
        <v>14.702427246155793</v>
      </c>
      <c r="AQ283" s="1890">
        <f>IF(Transfer!AE164=-9999,100*(((1000*(Transfer!AE161-Transfer!AE162)/Transfer!AE163)/((1000*(Transfer!AD161-Transfer!AD162)/Transfer!AD163)))-1),100*(((1000*(Transfer!AE161-Transfer!AE162)/Transfer!AE164)/((1000*(Transfer!AD161-Transfer!AD162)/Transfer!AD164)))-1))</f>
        <v>1.2815487549608262</v>
      </c>
      <c r="AR283" s="1890">
        <f>IF(Transfer!AF164=-9999,1000*(Transfer!AF161-Transfer!AF162)/Transfer!AF163,1000*(Transfer!AF161-Transfer!AF162)/Transfer!AF164)</f>
        <v>14.915717611434884</v>
      </c>
      <c r="AS283" s="1890">
        <f>IF(Transfer!AF164=-9999,100*(((1000*(Transfer!AF161-Transfer!AF162)/Transfer!AF163)/((1000*(Transfer!AE161-Transfer!AE162)/Transfer!AE163)))-1),100*(((1000*(Transfer!AF161-Transfer!AF162)/Transfer!AF164)/((1000*(Transfer!AE161-Transfer!AE162)/Transfer!AE164)))-1))</f>
        <v>1.4507153254906147</v>
      </c>
      <c r="AT283" s="1890">
        <f>IF(Transfer!AG164=-9999,1000*(Transfer!AG161-Transfer!AG162)/Transfer!AG163,1000*(Transfer!AG161-Transfer!AG162)/Transfer!AG164)</f>
        <v>15.250754079555229</v>
      </c>
      <c r="AU283" s="1891">
        <f>IF(Transfer!AG164=-9999,100*(((1000*(Transfer!AG161-Transfer!AG162)/Transfer!AG163)/((1000*(Transfer!AF161-Transfer!AF162)/Transfer!AF163)))-1),100*(((1000*(Transfer!AG161-Transfer!AG162)/Transfer!AG164)/((1000*(Transfer!AF161-Transfer!AF162)/Transfer!AF164)))-1))</f>
        <v>2.2461974465344925</v>
      </c>
      <c r="AV283" s="103"/>
      <c r="AW283" s="335"/>
      <c r="AX283" s="54"/>
      <c r="AY283" s="54"/>
      <c r="AZ283" s="54"/>
      <c r="BA283" s="1611" t="s">
        <v>1949</v>
      </c>
      <c r="BB283" s="1650" t="s">
        <v>1861</v>
      </c>
      <c r="BC283" s="54"/>
    </row>
    <row r="284" spans="1:55">
      <c r="A284" s="45"/>
      <c r="B284" s="1583"/>
      <c r="C284" s="2607" t="s">
        <v>1583</v>
      </c>
      <c r="D284" s="2608"/>
      <c r="E284" s="2609"/>
      <c r="F284" s="2610">
        <f ca="1">IF(Transfer!D160=-9999,100*(Transfer!D161/Transfer!D163)/(Transfer!D301/Transfer!D159),100*(Transfer!D161/Transfer!D164)/(Transfer!D301/Transfer!D160))</f>
        <v>67.512777628821766</v>
      </c>
      <c r="G284" s="2611">
        <f ca="1">IF(Transfer!D160=-9999,100*((((Transfer!D161/Transfer!D163)/(Transfer!D301/Transfer!D159))/((Transfer!C161/Transfer!C163)/(Transfer!C301/Transfer!C159)))-1),100*((((Transfer!D161/Transfer!D164)/(Transfer!D301/Transfer!D160))/((Transfer!C161/Transfer!C164)/(Transfer!C301/Transfer!C160)))-1))</f>
        <v>0.13952906061822645</v>
      </c>
      <c r="H284" s="2038">
        <f ca="1">IF(Transfer!E160=-9999,100*(Transfer!E161/Transfer!E163)/(Transfer!E301/Transfer!E159),100*(Transfer!E161/Transfer!E164)/(Transfer!E301/Transfer!E160))</f>
        <v>68.509685456695451</v>
      </c>
      <c r="I284" s="2037">
        <f ca="1">IF(Transfer!E160=-9999,100*((((Transfer!E161/Transfer!E163)/(Transfer!E301/Transfer!E159))/((Transfer!D161/Transfer!D163)/(Transfer!D301/Transfer!D159)))-1),100*((((Transfer!E161/Transfer!E164)/(Transfer!E301/Transfer!E160))/((Transfer!D161/Transfer!D164)/(Transfer!D301/Transfer!D160)))-1))</f>
        <v>1.4766209640411754</v>
      </c>
      <c r="J284" s="2611">
        <f ca="1">IF(Transfer!F160=-9999,100*(Transfer!F161/Transfer!F163)/(Transfer!F301/Transfer!F159),100*(Transfer!F161/Transfer!F164)/(Transfer!F301/Transfer!F160))</f>
        <v>69.484257664975331</v>
      </c>
      <c r="K284" s="2469">
        <f ca="1">IF(Transfer!F160=-9999,100*((((Transfer!F161/Transfer!F163)/(Transfer!F301/Transfer!F159))/((Transfer!E161/Transfer!E163)/(Transfer!E301/Transfer!E159)))-1),100*((((Transfer!F161/Transfer!F164)/(Transfer!F301/Transfer!F160))/((Transfer!E161/Transfer!E164)/(Transfer!E301/Transfer!E160)))-1))</f>
        <v>1.4225320139528375</v>
      </c>
      <c r="L284" s="2611">
        <f ca="1">IF(Transfer!G160=-9999,100*(Transfer!G161/Transfer!G163)/(Transfer!G301/Transfer!G159),100*(Transfer!G161/Transfer!G164)/(Transfer!G301/Transfer!G160))</f>
        <v>70.535544505593947</v>
      </c>
      <c r="M284" s="2612">
        <f ca="1">IF(Transfer!G160=-9999,100*((((Transfer!G161/Transfer!G163)/(Transfer!G301/Transfer!G159))/((Transfer!F161/Transfer!F163)/(Transfer!F301/Transfer!F159)))-1),100*((((Transfer!G161/Transfer!G164)/(Transfer!G301/Transfer!G160))/((Transfer!F161/Transfer!F164)/(Transfer!F301/Transfer!F160)))-1))</f>
        <v>1.5129856401251418</v>
      </c>
      <c r="N284" s="2350"/>
      <c r="O284" s="335"/>
      <c r="P284" s="54"/>
      <c r="Q284" s="54"/>
      <c r="R284" s="54"/>
      <c r="S284" s="276"/>
      <c r="T284" s="1608" t="s">
        <v>1583</v>
      </c>
      <c r="U284" s="478"/>
      <c r="V284" s="479"/>
      <c r="W284" s="1925">
        <f t="shared" ca="1" si="17"/>
        <v>0</v>
      </c>
      <c r="X284" s="1925">
        <f t="shared" ca="1" si="17"/>
        <v>0</v>
      </c>
      <c r="Y284" s="1925">
        <f t="shared" ca="1" si="17"/>
        <v>0</v>
      </c>
      <c r="Z284" s="1925">
        <f t="shared" ca="1" si="17"/>
        <v>0</v>
      </c>
      <c r="AA284" s="1925">
        <f t="shared" ca="1" si="17"/>
        <v>0</v>
      </c>
      <c r="AB284" s="1925">
        <f t="shared" ca="1" si="17"/>
        <v>-0.10000000000000009</v>
      </c>
      <c r="AC284" s="1925">
        <f t="shared" ca="1" si="17"/>
        <v>-9.9999999999994316E-2</v>
      </c>
      <c r="AD284" s="98">
        <f t="shared" ca="1" si="17"/>
        <v>0</v>
      </c>
      <c r="AE284" s="103"/>
      <c r="AF284" s="45"/>
      <c r="AG284" s="45"/>
      <c r="AH284" s="45"/>
      <c r="AI284" s="45"/>
      <c r="AJ284" s="276"/>
      <c r="AK284" s="2103" t="s">
        <v>1583</v>
      </c>
      <c r="AL284" s="2104"/>
      <c r="AM284" s="2105"/>
      <c r="AN284" s="2102">
        <f>IF(Transfer!AD160=-9999,100*(Transfer!AD161/Transfer!AD163)/(Transfer!AD301/Transfer!AD159),100*(Transfer!AD161/Transfer!AD164)/(Transfer!AD301/Transfer!AD160))</f>
        <v>67.512777628821766</v>
      </c>
      <c r="AO284" s="2038">
        <f>IF(Transfer!AD160=-9999,100*((((Transfer!AD161/Transfer!AD163)/(Transfer!AD301/Transfer!AD159))/((Transfer!AC161/Transfer!AC163)/(Transfer!AC301/Transfer!AC159)))-1),100*((((Transfer!AD161/Transfer!AD164)/(Transfer!AD301/Transfer!AD160))/((Transfer!AC161/Transfer!AC164)/(Transfer!AC301/Transfer!AC160)))-1))</f>
        <v>0.13952906061822645</v>
      </c>
      <c r="AP284" s="2038">
        <f>IF(Transfer!AE160=-9999,100*(Transfer!AE161/Transfer!AE163)/(Transfer!AE301/Transfer!AE159),100*(Transfer!AE161/Transfer!AE164)/(Transfer!AE301/Transfer!AE160))</f>
        <v>68.509685456695451</v>
      </c>
      <c r="AQ284" s="2037">
        <f>IF(Transfer!AE160=-9999,100*((((Transfer!AE161/Transfer!AE163)/(Transfer!AE301/Transfer!AE159))/((Transfer!AD161/Transfer!AD163)/(Transfer!AD301/Transfer!AD159)))-1),100*((((Transfer!AE161/Transfer!AE164)/(Transfer!AE301/Transfer!AE160))/((Transfer!AD161/Transfer!AD164)/(Transfer!AD301/Transfer!AD160)))-1))</f>
        <v>1.4766209640411754</v>
      </c>
      <c r="AR284" s="2038">
        <f>IF(Transfer!AF160=-9999,100*(Transfer!AF161/Transfer!AF163)/(Transfer!AF301/Transfer!AF159),100*(Transfer!AF161/Transfer!AF164)/(Transfer!AF301/Transfer!AF160))</f>
        <v>69.525253006347796</v>
      </c>
      <c r="AS284" s="2037">
        <f>IF(Transfer!AF160=-9999,100*((((Transfer!AF161/Transfer!AF163)/(Transfer!AF301/Transfer!AF159))/((Transfer!AE161/Transfer!AE163)/(Transfer!AE301/Transfer!AE159)))-1),100*((((Transfer!AF161/Transfer!AF164)/(Transfer!AF301/Transfer!AF160))/((Transfer!AE161/Transfer!AE164)/(Transfer!AE301/Transfer!AE160)))-1))</f>
        <v>1.4823707668228492</v>
      </c>
      <c r="AT284" s="2038">
        <f>IF(Transfer!AG160=-9999,100*(Transfer!AG161/Transfer!AG163)/(Transfer!AG301/Transfer!AG159),100*(Transfer!AG161/Transfer!AG164)/(Transfer!AG301/Transfer!AG160))</f>
        <v>70.60211053772008</v>
      </c>
      <c r="AU284" s="2039">
        <f>IF(Transfer!AG160=-9999,100*((((Transfer!AG161/Transfer!AG163)/(Transfer!AG301/Transfer!AG159))/((Transfer!AF161/Transfer!AF163)/(Transfer!AF301/Transfer!AF159)))-1),100*((((Transfer!AG161/Transfer!AG164)/(Transfer!AG301/Transfer!AG160))/((Transfer!AF161/Transfer!AF164)/(Transfer!AF301/Transfer!AF160)))-1))</f>
        <v>1.5488725100705203</v>
      </c>
      <c r="AV284" s="103"/>
      <c r="AW284" s="335"/>
      <c r="AX284" s="54"/>
      <c r="AY284" s="54"/>
      <c r="AZ284" s="54"/>
      <c r="BA284" s="1611" t="s">
        <v>953</v>
      </c>
      <c r="BB284" s="1650" t="s">
        <v>1862</v>
      </c>
      <c r="BC284" s="54"/>
    </row>
    <row r="285" spans="1:55">
      <c r="A285" s="45"/>
      <c r="B285" s="2613"/>
      <c r="C285" s="2359"/>
      <c r="D285" s="2359"/>
      <c r="E285" s="2359"/>
      <c r="F285" s="2359"/>
      <c r="G285" s="2359"/>
      <c r="H285" s="2359"/>
      <c r="I285" s="2359"/>
      <c r="J285" s="2359"/>
      <c r="K285" s="2359"/>
      <c r="L285" s="2359"/>
      <c r="M285" s="2360" t="str">
        <f>UPPER(Country)</f>
        <v>BELGIUM</v>
      </c>
      <c r="N285" s="2429"/>
      <c r="O285" s="335"/>
      <c r="P285" s="54"/>
      <c r="Q285" s="54"/>
      <c r="R285" s="54"/>
      <c r="S285" s="394"/>
      <c r="T285" s="116"/>
      <c r="U285" s="116"/>
      <c r="V285" s="116"/>
      <c r="W285" s="116"/>
      <c r="X285" s="116"/>
      <c r="Y285" s="116"/>
      <c r="Z285" s="116"/>
      <c r="AA285" s="116"/>
      <c r="AB285" s="116"/>
      <c r="AC285" s="116"/>
      <c r="AD285" s="118" t="str">
        <f>UPPER(Country)</f>
        <v>BELGIUM</v>
      </c>
      <c r="AE285" s="217"/>
      <c r="AF285" s="45"/>
      <c r="AG285" s="45"/>
      <c r="AH285" s="45"/>
      <c r="AI285" s="45"/>
      <c r="AJ285" s="394"/>
      <c r="AK285" s="116"/>
      <c r="AL285" s="116"/>
      <c r="AM285" s="116"/>
      <c r="AN285" s="116"/>
      <c r="AO285" s="116"/>
      <c r="AP285" s="116"/>
      <c r="AQ285" s="116"/>
      <c r="AR285" s="116"/>
      <c r="AS285" s="116"/>
      <c r="AT285" s="116"/>
      <c r="AU285" s="118" t="str">
        <f>UPPER(Country)</f>
        <v>BELGIUM</v>
      </c>
      <c r="AV285" s="217"/>
      <c r="AW285" s="335"/>
      <c r="AX285" s="54"/>
      <c r="AY285" s="54"/>
      <c r="AZ285" s="54"/>
      <c r="BA285" s="335"/>
      <c r="BB285" s="335"/>
      <c r="BC285" s="54"/>
    </row>
    <row r="286" spans="1:55">
      <c r="A286" s="45"/>
      <c r="B286" s="333"/>
      <c r="C286" s="54"/>
      <c r="D286" s="54"/>
      <c r="E286" s="45"/>
      <c r="F286" s="45"/>
      <c r="G286" s="45"/>
      <c r="H286" s="45"/>
      <c r="I286" s="45"/>
      <c r="J286" s="45"/>
      <c r="K286" s="1636"/>
      <c r="L286" s="45"/>
      <c r="M286" s="45"/>
      <c r="N286" s="45"/>
      <c r="O286" s="54"/>
      <c r="P286" s="54" t="s">
        <v>1999</v>
      </c>
      <c r="Q286" s="54"/>
      <c r="R286" s="54"/>
      <c r="S286" s="54"/>
      <c r="T286" s="54"/>
      <c r="U286" s="54"/>
      <c r="V286" s="54"/>
      <c r="W286" s="54"/>
      <c r="X286" s="54"/>
      <c r="Y286" s="54"/>
      <c r="Z286" s="54"/>
      <c r="AA286" s="54"/>
      <c r="AB286" s="45"/>
      <c r="AC286" s="45"/>
      <c r="AD286" s="45"/>
      <c r="AE286" s="45"/>
      <c r="AF286" s="45"/>
      <c r="AG286" s="45"/>
      <c r="AH286" s="45"/>
      <c r="AI286" s="45"/>
      <c r="AJ286" s="333"/>
      <c r="AK286" s="54"/>
      <c r="AL286" s="54"/>
      <c r="AM286" s="45"/>
      <c r="AN286" s="45"/>
      <c r="AO286" s="45"/>
      <c r="AP286" s="45"/>
      <c r="AQ286" s="45"/>
      <c r="AR286" s="45"/>
      <c r="AS286" s="45"/>
      <c r="AT286" s="45"/>
      <c r="AU286" s="45"/>
      <c r="AV286" s="45"/>
      <c r="AW286" s="54"/>
      <c r="AX286" s="54"/>
      <c r="AY286" s="54"/>
      <c r="AZ286" s="54"/>
      <c r="BA286" s="54"/>
      <c r="BB286" s="54"/>
      <c r="BC286" s="54"/>
    </row>
    <row r="287" spans="1:55">
      <c r="A287" s="45"/>
      <c r="B287" s="50"/>
      <c r="C287" s="54"/>
      <c r="D287" s="54"/>
      <c r="E287" s="45"/>
      <c r="F287" s="45"/>
      <c r="G287" s="45"/>
      <c r="H287" s="45"/>
      <c r="I287" s="45"/>
      <c r="J287" s="45"/>
      <c r="K287" s="45"/>
      <c r="L287" s="45"/>
      <c r="M287" s="45"/>
      <c r="N287" s="186"/>
      <c r="O287" s="54"/>
      <c r="P287" s="54" t="s">
        <v>1999</v>
      </c>
      <c r="Q287" s="54"/>
      <c r="R287" s="54"/>
      <c r="S287" s="54"/>
      <c r="T287" s="54"/>
      <c r="U287" s="54"/>
      <c r="V287" s="54"/>
      <c r="W287" s="54"/>
      <c r="X287" s="54"/>
      <c r="Y287" s="54"/>
      <c r="Z287" s="54"/>
      <c r="AA287" s="54"/>
      <c r="AB287" s="45"/>
      <c r="AC287" s="45"/>
      <c r="AD287" s="45"/>
      <c r="AE287" s="45"/>
      <c r="AF287" s="45"/>
      <c r="AG287" s="45"/>
      <c r="AH287" s="45"/>
      <c r="AI287" s="45"/>
      <c r="AJ287" s="50"/>
      <c r="AK287" s="54"/>
      <c r="AL287" s="54"/>
      <c r="AM287" s="45"/>
      <c r="AN287" s="45"/>
      <c r="AO287" s="45"/>
      <c r="AP287" s="45"/>
      <c r="AQ287" s="45"/>
      <c r="AR287" s="45"/>
      <c r="AS287" s="45"/>
      <c r="AT287" s="45"/>
      <c r="AU287" s="45"/>
      <c r="AV287" s="186"/>
      <c r="AW287" s="54"/>
      <c r="AX287" s="54"/>
      <c r="AY287" s="54"/>
      <c r="AZ287" s="54"/>
      <c r="BA287" s="54"/>
      <c r="BB287" s="54"/>
      <c r="BC287" s="54"/>
    </row>
    <row r="288" spans="1:55">
      <c r="A288" s="45"/>
      <c r="B288" s="241"/>
      <c r="C288" s="45"/>
      <c r="D288" s="54"/>
      <c r="E288" s="45"/>
      <c r="F288" s="45"/>
      <c r="G288" s="45"/>
      <c r="H288" s="45"/>
      <c r="I288" s="45"/>
      <c r="J288" s="45"/>
      <c r="K288" s="45"/>
      <c r="L288" s="45"/>
      <c r="M288" s="45"/>
      <c r="N288" s="186"/>
      <c r="O288" s="54"/>
      <c r="P288" s="54" t="s">
        <v>1999</v>
      </c>
      <c r="Q288" s="54"/>
      <c r="R288" s="54"/>
      <c r="S288" s="54"/>
      <c r="T288" s="54"/>
      <c r="U288" s="54"/>
      <c r="V288" s="54"/>
      <c r="W288" s="54"/>
      <c r="X288" s="54"/>
      <c r="Y288" s="54"/>
      <c r="Z288" s="54"/>
      <c r="AA288" s="54"/>
      <c r="AB288" s="45"/>
      <c r="AC288" s="45"/>
      <c r="AD288" s="45"/>
      <c r="AE288" s="45"/>
      <c r="AF288" s="45"/>
      <c r="AG288" s="45"/>
      <c r="AH288" s="45"/>
      <c r="AI288" s="45"/>
      <c r="AJ288" s="241"/>
      <c r="AK288" s="45"/>
      <c r="AL288" s="54"/>
      <c r="AM288" s="45"/>
      <c r="AN288" s="45"/>
      <c r="AO288" s="45"/>
      <c r="AP288" s="45"/>
      <c r="AQ288" s="45"/>
      <c r="AR288" s="45"/>
      <c r="AS288" s="45"/>
      <c r="AT288" s="45"/>
      <c r="AU288" s="45"/>
      <c r="AV288" s="186"/>
      <c r="AW288" s="54"/>
      <c r="AX288" s="54"/>
      <c r="AY288" s="54"/>
      <c r="AZ288" s="54"/>
      <c r="BA288" s="54"/>
      <c r="BB288" s="54"/>
      <c r="BC288" s="54"/>
    </row>
    <row r="289" spans="1:55">
      <c r="A289" s="45"/>
      <c r="B289" s="54"/>
      <c r="C289" s="54"/>
      <c r="D289" s="54"/>
      <c r="E289" s="54"/>
      <c r="F289" s="54"/>
      <c r="G289" s="54"/>
      <c r="H289" s="54"/>
      <c r="I289" s="54"/>
      <c r="J289" s="54"/>
      <c r="K289" s="54"/>
      <c r="L289" s="54"/>
      <c r="M289" s="54"/>
      <c r="N289" s="54"/>
      <c r="O289" s="54"/>
      <c r="P289" s="54"/>
      <c r="Q289" s="54"/>
      <c r="R289" s="54"/>
      <c r="S289" s="54"/>
      <c r="T289" s="54"/>
      <c r="U289" s="54"/>
      <c r="V289" s="54"/>
      <c r="W289" s="54"/>
      <c r="X289" s="54"/>
      <c r="Y289" s="54"/>
      <c r="Z289" s="54"/>
      <c r="AA289" s="54"/>
      <c r="AB289" s="45"/>
      <c r="AC289" s="45"/>
      <c r="AD289" s="45"/>
      <c r="AE289" s="45"/>
      <c r="AF289" s="45"/>
      <c r="AG289" s="45"/>
      <c r="AH289" s="45"/>
      <c r="AI289" s="45"/>
      <c r="AJ289" s="54"/>
      <c r="AK289" s="54"/>
      <c r="AL289" s="54"/>
      <c r="AM289" s="54"/>
      <c r="AN289" s="54"/>
      <c r="AO289" s="54"/>
      <c r="AP289" s="54"/>
      <c r="AQ289" s="54"/>
      <c r="AR289" s="54"/>
      <c r="AS289" s="54"/>
      <c r="AT289" s="54"/>
      <c r="AU289" s="54"/>
      <c r="AV289" s="54"/>
      <c r="AW289" s="54"/>
      <c r="AX289" s="54"/>
      <c r="AY289" s="54"/>
      <c r="AZ289" s="54"/>
      <c r="BA289" s="54"/>
      <c r="BB289" s="54"/>
      <c r="BC289" s="54"/>
    </row>
    <row r="290" spans="1:55">
      <c r="A290" s="45"/>
      <c r="B290" s="54"/>
      <c r="C290" s="54"/>
      <c r="D290" s="54"/>
      <c r="E290" s="54"/>
      <c r="F290" s="54"/>
      <c r="G290" s="54"/>
      <c r="H290" s="54"/>
      <c r="I290" s="54"/>
      <c r="J290" s="54"/>
      <c r="K290" s="54"/>
      <c r="L290" s="54"/>
      <c r="M290" s="54"/>
      <c r="N290" s="54"/>
      <c r="O290" s="54"/>
      <c r="P290" s="54"/>
      <c r="Q290" s="54"/>
      <c r="R290" s="54"/>
      <c r="S290" s="54"/>
      <c r="T290" s="54"/>
      <c r="U290" s="54"/>
      <c r="V290" s="54"/>
      <c r="W290" s="54"/>
      <c r="X290" s="54"/>
      <c r="Y290" s="54"/>
      <c r="Z290" s="54"/>
      <c r="AA290" s="54"/>
      <c r="AB290" s="45"/>
      <c r="AC290" s="45"/>
      <c r="AD290" s="45"/>
      <c r="AE290" s="45"/>
      <c r="AF290" s="45"/>
      <c r="AG290" s="45"/>
      <c r="AH290" s="45"/>
      <c r="AI290" s="45"/>
      <c r="AJ290" s="54"/>
      <c r="AK290" s="54"/>
      <c r="AL290" s="54"/>
      <c r="AM290" s="54"/>
      <c r="AN290" s="54"/>
      <c r="AO290" s="54"/>
      <c r="AP290" s="54"/>
      <c r="AQ290" s="54"/>
      <c r="AR290" s="54"/>
      <c r="AS290" s="54"/>
      <c r="AT290" s="54"/>
      <c r="AU290" s="54"/>
      <c r="AV290" s="54"/>
      <c r="AW290" s="54"/>
      <c r="AX290" s="54"/>
      <c r="AY290" s="54"/>
      <c r="AZ290" s="54"/>
      <c r="BA290" s="54"/>
      <c r="BB290" s="54"/>
      <c r="BC290" s="54"/>
    </row>
    <row r="291" spans="1:55">
      <c r="A291" s="45"/>
      <c r="B291" s="54"/>
      <c r="C291" s="54"/>
      <c r="D291" s="54"/>
      <c r="E291" s="54"/>
      <c r="F291" s="54"/>
      <c r="G291" s="54"/>
      <c r="H291" s="54"/>
      <c r="I291" s="54"/>
      <c r="J291" s="54"/>
      <c r="K291" s="54"/>
      <c r="L291" s="54"/>
      <c r="M291" s="54"/>
      <c r="N291" s="54"/>
      <c r="O291" s="54"/>
      <c r="P291" s="54"/>
      <c r="Q291" s="54"/>
      <c r="R291" s="54"/>
      <c r="S291" s="54"/>
      <c r="T291" s="54"/>
      <c r="U291" s="54"/>
      <c r="V291" s="54"/>
      <c r="W291" s="54"/>
      <c r="X291" s="54"/>
      <c r="Y291" s="54"/>
      <c r="Z291" s="54"/>
      <c r="AA291" s="54"/>
      <c r="AB291" s="45"/>
      <c r="AC291" s="45"/>
      <c r="AD291" s="45"/>
      <c r="AE291" s="45"/>
      <c r="AF291" s="45"/>
      <c r="AG291" s="45"/>
      <c r="AH291" s="45"/>
      <c r="AI291" s="45"/>
      <c r="AJ291" s="54"/>
      <c r="AK291" s="54"/>
      <c r="AL291" s="54"/>
      <c r="AM291" s="54"/>
      <c r="AN291" s="54"/>
      <c r="AO291" s="54"/>
      <c r="AP291" s="54"/>
      <c r="AQ291" s="54"/>
      <c r="AR291" s="54"/>
      <c r="AS291" s="54"/>
      <c r="AT291" s="54"/>
      <c r="AU291" s="54"/>
      <c r="AV291" s="54"/>
      <c r="AW291" s="54"/>
      <c r="AX291" s="54"/>
      <c r="AY291" s="54"/>
      <c r="AZ291" s="54"/>
      <c r="BA291" s="54"/>
      <c r="BB291" s="54"/>
      <c r="BC291" s="54"/>
    </row>
    <row r="292" spans="1:55">
      <c r="A292" s="45"/>
      <c r="B292" s="54"/>
      <c r="C292" s="54"/>
      <c r="D292" s="54"/>
      <c r="E292" s="54"/>
      <c r="F292" s="54"/>
      <c r="G292" s="54"/>
      <c r="H292" s="54"/>
      <c r="I292" s="54"/>
      <c r="J292" s="54"/>
      <c r="K292" s="54"/>
      <c r="L292" s="54"/>
      <c r="M292" s="54"/>
      <c r="N292" s="54"/>
      <c r="O292" s="54"/>
      <c r="P292" s="54"/>
      <c r="Q292" s="54"/>
      <c r="R292" s="54"/>
      <c r="S292" s="54"/>
      <c r="T292" s="54"/>
      <c r="U292" s="54"/>
      <c r="V292" s="54"/>
      <c r="W292" s="54"/>
      <c r="X292" s="54"/>
      <c r="Y292" s="54"/>
      <c r="Z292" s="54"/>
      <c r="AA292" s="54"/>
      <c r="AB292" s="45"/>
      <c r="AC292" s="45"/>
      <c r="AD292" s="45"/>
      <c r="AE292" s="45"/>
      <c r="AF292" s="45"/>
      <c r="AG292" s="45"/>
      <c r="AH292" s="45"/>
      <c r="AI292" s="45"/>
      <c r="AJ292" s="54"/>
      <c r="AK292" s="54"/>
      <c r="AL292" s="54"/>
      <c r="AM292" s="54"/>
      <c r="AN292" s="54"/>
      <c r="AO292" s="54"/>
      <c r="AP292" s="54"/>
      <c r="AQ292" s="54"/>
      <c r="AR292" s="54"/>
      <c r="AS292" s="54"/>
      <c r="AT292" s="54"/>
      <c r="AU292" s="54"/>
      <c r="AV292" s="54"/>
      <c r="AW292" s="54"/>
      <c r="AX292" s="54"/>
      <c r="AY292" s="54"/>
      <c r="AZ292" s="54"/>
      <c r="BA292" s="54"/>
      <c r="BB292" s="54"/>
      <c r="BC292" s="54"/>
    </row>
    <row r="293" spans="1:55">
      <c r="A293" s="45"/>
      <c r="B293" s="54"/>
      <c r="C293" s="54"/>
      <c r="D293" s="54"/>
      <c r="E293" s="54"/>
      <c r="F293" s="54"/>
      <c r="G293" s="54"/>
      <c r="H293" s="54"/>
      <c r="I293" s="54"/>
      <c r="J293" s="54"/>
      <c r="K293" s="54"/>
      <c r="L293" s="54"/>
      <c r="M293" s="54"/>
      <c r="N293" s="54"/>
      <c r="O293" s="54"/>
      <c r="P293" s="54"/>
      <c r="Q293" s="54"/>
      <c r="R293" s="54"/>
      <c r="S293" s="54"/>
      <c r="T293" s="54"/>
      <c r="U293" s="54"/>
      <c r="V293" s="54"/>
      <c r="W293" s="54"/>
      <c r="X293" s="54"/>
      <c r="Y293" s="54"/>
      <c r="Z293" s="54"/>
      <c r="AA293" s="54"/>
      <c r="AB293" s="45"/>
      <c r="AC293" s="45"/>
      <c r="AD293" s="45"/>
      <c r="AE293" s="45"/>
      <c r="AF293" s="45"/>
      <c r="AG293" s="45"/>
      <c r="AH293" s="45"/>
      <c r="AI293" s="45"/>
      <c r="AJ293" s="54"/>
      <c r="AK293" s="54"/>
      <c r="AL293" s="54"/>
      <c r="AM293" s="54"/>
      <c r="AN293" s="54"/>
      <c r="AO293" s="54"/>
      <c r="AP293" s="54"/>
      <c r="AQ293" s="54"/>
      <c r="AR293" s="54"/>
      <c r="AS293" s="54"/>
      <c r="AT293" s="54"/>
      <c r="AU293" s="54"/>
      <c r="AV293" s="54"/>
      <c r="AW293" s="54"/>
      <c r="AX293" s="54"/>
      <c r="AY293" s="54"/>
      <c r="AZ293" s="54"/>
      <c r="BA293" s="54"/>
      <c r="BB293" s="54"/>
      <c r="BC293" s="54"/>
    </row>
    <row r="294" spans="1:55">
      <c r="A294" s="45"/>
      <c r="B294" s="54"/>
      <c r="C294" s="54"/>
      <c r="D294" s="54"/>
      <c r="E294" s="54"/>
      <c r="F294" s="54"/>
      <c r="G294" s="54"/>
      <c r="H294" s="54"/>
      <c r="I294" s="54"/>
      <c r="J294" s="54"/>
      <c r="K294" s="54"/>
      <c r="L294" s="54"/>
      <c r="M294" s="54"/>
      <c r="N294" s="54"/>
      <c r="O294" s="54"/>
      <c r="P294" s="54"/>
      <c r="Q294" s="54"/>
      <c r="R294" s="54"/>
      <c r="S294" s="54"/>
      <c r="T294" s="54"/>
      <c r="U294" s="54"/>
      <c r="V294" s="54"/>
      <c r="W294" s="54"/>
      <c r="X294" s="54"/>
      <c r="Y294" s="54"/>
      <c r="Z294" s="54"/>
      <c r="AA294" s="54"/>
      <c r="AB294" s="45"/>
      <c r="AC294" s="45"/>
      <c r="AD294" s="45"/>
      <c r="AE294" s="45"/>
      <c r="AF294" s="45"/>
      <c r="AG294" s="45"/>
      <c r="AH294" s="45"/>
      <c r="AI294" s="45"/>
      <c r="AJ294" s="54"/>
      <c r="AK294" s="54"/>
      <c r="AL294" s="54"/>
      <c r="AM294" s="54"/>
      <c r="AN294" s="54"/>
      <c r="AO294" s="54"/>
      <c r="AP294" s="54"/>
      <c r="AQ294" s="54"/>
      <c r="AR294" s="54"/>
      <c r="AS294" s="54"/>
      <c r="AT294" s="54"/>
      <c r="AU294" s="54"/>
      <c r="AV294" s="54"/>
      <c r="AW294" s="54"/>
      <c r="AX294" s="54"/>
      <c r="AY294" s="54"/>
      <c r="AZ294" s="54"/>
      <c r="BA294" s="54"/>
      <c r="BB294" s="54"/>
      <c r="BC294" s="54"/>
    </row>
    <row r="295" spans="1:55">
      <c r="A295" s="45"/>
      <c r="B295" s="54"/>
      <c r="C295" s="54"/>
      <c r="D295" s="54"/>
      <c r="E295" s="54"/>
      <c r="F295" s="54"/>
      <c r="G295" s="54"/>
      <c r="H295" s="54"/>
      <c r="I295" s="54"/>
      <c r="J295" s="54"/>
      <c r="K295" s="54"/>
      <c r="L295" s="54"/>
      <c r="M295" s="54"/>
      <c r="N295" s="54"/>
      <c r="O295" s="54"/>
      <c r="P295" s="54"/>
      <c r="Q295" s="54"/>
      <c r="R295" s="54"/>
      <c r="S295" s="54"/>
      <c r="T295" s="54"/>
      <c r="U295" s="54"/>
      <c r="V295" s="54"/>
      <c r="W295" s="54"/>
      <c r="X295" s="54"/>
      <c r="Y295" s="54"/>
      <c r="Z295" s="54"/>
      <c r="AA295" s="54"/>
      <c r="AB295" s="45"/>
      <c r="AC295" s="45"/>
      <c r="AD295" s="45"/>
      <c r="AE295" s="45"/>
      <c r="AF295" s="45"/>
      <c r="AG295" s="45"/>
      <c r="AH295" s="45"/>
      <c r="AI295" s="45"/>
      <c r="AJ295" s="54"/>
      <c r="AK295" s="54"/>
      <c r="AL295" s="54"/>
      <c r="AM295" s="54"/>
      <c r="AN295" s="54"/>
      <c r="AO295" s="54"/>
      <c r="AP295" s="54"/>
      <c r="AQ295" s="54"/>
      <c r="AR295" s="54"/>
      <c r="AS295" s="54"/>
      <c r="AT295" s="54"/>
      <c r="AU295" s="54"/>
      <c r="AV295" s="54"/>
      <c r="AW295" s="54"/>
      <c r="AX295" s="54"/>
      <c r="AY295" s="54"/>
      <c r="AZ295" s="54"/>
      <c r="BA295" s="54"/>
      <c r="BB295" s="54"/>
      <c r="BC295" s="54"/>
    </row>
    <row r="296" spans="1:55">
      <c r="A296" s="45"/>
      <c r="B296" s="2301"/>
      <c r="C296" s="2551" t="s">
        <v>947</v>
      </c>
      <c r="D296" s="2551"/>
      <c r="E296" s="2303"/>
      <c r="F296" s="2303"/>
      <c r="G296" s="2303"/>
      <c r="H296" s="2303"/>
      <c r="I296" s="2303"/>
      <c r="J296" s="2303"/>
      <c r="K296" s="2303"/>
      <c r="L296" s="2303"/>
      <c r="M296" s="2446"/>
      <c r="N296" s="259"/>
      <c r="O296" s="45"/>
      <c r="P296" s="54"/>
      <c r="Q296" s="54"/>
      <c r="R296" s="54"/>
      <c r="S296" s="187"/>
      <c r="T296" s="337" t="s">
        <v>947</v>
      </c>
      <c r="U296" s="337"/>
      <c r="V296" s="100"/>
      <c r="W296" s="100"/>
      <c r="X296" s="100"/>
      <c r="Y296" s="100"/>
      <c r="Z296" s="100"/>
      <c r="AA296" s="100"/>
      <c r="AB296" s="100"/>
      <c r="AC296" s="100"/>
      <c r="AD296" s="239"/>
      <c r="AE296" s="45"/>
      <c r="AF296" s="45"/>
      <c r="AG296" s="45"/>
      <c r="AH296" s="45"/>
      <c r="AI296" s="45"/>
      <c r="AJ296" s="187"/>
      <c r="AK296" s="337" t="s">
        <v>947</v>
      </c>
      <c r="AL296" s="337"/>
      <c r="AM296" s="100"/>
      <c r="AN296" s="100"/>
      <c r="AO296" s="100"/>
      <c r="AP296" s="100"/>
      <c r="AQ296" s="100"/>
      <c r="AR296" s="100"/>
      <c r="AS296" s="100"/>
      <c r="AT296" s="100"/>
      <c r="AU296" s="239"/>
      <c r="AV296" s="259"/>
      <c r="AW296" s="45"/>
      <c r="AX296" s="54"/>
      <c r="AY296" s="54"/>
      <c r="AZ296" s="54"/>
      <c r="BA296" s="54"/>
      <c r="BB296" s="54"/>
      <c r="BC296" s="54"/>
    </row>
    <row r="297" spans="1:55">
      <c r="A297" s="45"/>
      <c r="B297" s="1575"/>
      <c r="C297" s="4207" t="s">
        <v>1718</v>
      </c>
      <c r="D297" s="4207"/>
      <c r="E297" s="4207"/>
      <c r="F297" s="4207"/>
      <c r="G297" s="4207"/>
      <c r="H297" s="4207"/>
      <c r="I297" s="4207"/>
      <c r="J297" s="4207"/>
      <c r="K297" s="4207"/>
      <c r="L297" s="4207"/>
      <c r="M297" s="2480"/>
      <c r="N297" s="259"/>
      <c r="O297" s="45"/>
      <c r="P297" s="54"/>
      <c r="Q297" s="54"/>
      <c r="R297" s="54"/>
      <c r="S297" s="189"/>
      <c r="T297" s="4208" t="s">
        <v>1718</v>
      </c>
      <c r="U297" s="4208"/>
      <c r="V297" s="4208"/>
      <c r="W297" s="4208"/>
      <c r="X297" s="4208"/>
      <c r="Y297" s="4208"/>
      <c r="Z297" s="4208"/>
      <c r="AA297" s="4208"/>
      <c r="AB297" s="4208"/>
      <c r="AC297" s="4208"/>
      <c r="AD297" s="261"/>
      <c r="AE297" s="45"/>
      <c r="AF297" s="45"/>
      <c r="AG297" s="45"/>
      <c r="AH297" s="45"/>
      <c r="AI297" s="45"/>
      <c r="AJ297" s="189"/>
      <c r="AK297" s="4208" t="s">
        <v>1718</v>
      </c>
      <c r="AL297" s="4208"/>
      <c r="AM297" s="4208"/>
      <c r="AN297" s="4208"/>
      <c r="AO297" s="4208"/>
      <c r="AP297" s="4208"/>
      <c r="AQ297" s="4208"/>
      <c r="AR297" s="4208"/>
      <c r="AS297" s="4208"/>
      <c r="AT297" s="4208"/>
      <c r="AU297" s="261"/>
      <c r="AV297" s="259"/>
      <c r="AW297" s="45"/>
      <c r="AX297" s="54"/>
      <c r="AY297" s="54"/>
      <c r="AZ297" s="54"/>
      <c r="BA297" s="54"/>
      <c r="BB297" s="54"/>
      <c r="BC297" s="54"/>
    </row>
    <row r="298" spans="1:55" ht="15.6">
      <c r="A298" s="45"/>
      <c r="B298" s="1575"/>
      <c r="C298" s="2398"/>
      <c r="D298" s="2398"/>
      <c r="E298" s="2311"/>
      <c r="F298" s="2311"/>
      <c r="G298" s="2311"/>
      <c r="H298" s="2311"/>
      <c r="I298" s="2646"/>
      <c r="J298" s="2646"/>
      <c r="K298" s="2646"/>
      <c r="L298" s="2311"/>
      <c r="M298" s="2405"/>
      <c r="N298" s="259"/>
      <c r="O298" s="45"/>
      <c r="P298" s="54"/>
      <c r="Q298" s="54"/>
      <c r="R298" s="54"/>
      <c r="S298" s="189"/>
      <c r="T298" s="1"/>
      <c r="U298" s="1"/>
      <c r="V298" s="65"/>
      <c r="W298" s="1915" t="s">
        <v>724</v>
      </c>
      <c r="X298" s="65"/>
      <c r="Y298" s="65"/>
      <c r="Z298" s="65"/>
      <c r="AA298" s="65"/>
      <c r="AB298" s="65"/>
      <c r="AC298" s="65"/>
      <c r="AD298" s="195"/>
      <c r="AE298" s="45"/>
      <c r="AF298" s="45"/>
      <c r="AG298" s="45"/>
      <c r="AH298" s="45"/>
      <c r="AI298" s="45"/>
      <c r="AJ298" s="189"/>
      <c r="AK298" s="1"/>
      <c r="AL298" s="1"/>
      <c r="AM298" s="65"/>
      <c r="AN298" s="65"/>
      <c r="AO298" s="65"/>
      <c r="AP298" s="65"/>
      <c r="AQ298" s="65"/>
      <c r="AR298" s="65"/>
      <c r="AS298" s="65"/>
      <c r="AT298" s="65"/>
      <c r="AU298" s="195"/>
      <c r="AV298" s="259"/>
      <c r="AW298" s="45"/>
      <c r="AX298" s="54"/>
      <c r="AY298" s="54"/>
      <c r="AZ298" s="54"/>
      <c r="BA298" s="54"/>
      <c r="BB298" s="54"/>
      <c r="BC298" s="54"/>
    </row>
    <row r="299" spans="1:55" ht="15.6">
      <c r="A299" s="45"/>
      <c r="B299" s="1575"/>
      <c r="C299" s="2309" t="str">
        <f>"Country: " &amp;UPPER(Country)</f>
        <v>Country: BELGIUM</v>
      </c>
      <c r="D299" s="2431"/>
      <c r="E299" s="2311"/>
      <c r="F299" s="2311"/>
      <c r="G299" s="2959"/>
      <c r="H299" s="2646"/>
      <c r="I299" s="2646"/>
      <c r="J299" s="2398"/>
      <c r="K299" s="2646"/>
      <c r="L299" s="2398"/>
      <c r="M299" s="1574"/>
      <c r="N299" s="259"/>
      <c r="O299" s="45"/>
      <c r="P299" s="54"/>
      <c r="Q299" s="54"/>
      <c r="R299" s="54"/>
      <c r="S299" s="189"/>
      <c r="T299" s="63" t="str">
        <f>"Country: " &amp;UPPER(Country)</f>
        <v>Country: BELGIUM</v>
      </c>
      <c r="U299" s="223"/>
      <c r="V299" s="65"/>
      <c r="W299" s="1915" t="str">
        <f>$T$4</f>
        <v>SF2018 - final storage FRI</v>
      </c>
      <c r="X299" s="65"/>
      <c r="Y299" s="65"/>
      <c r="Z299" s="65"/>
      <c r="AA299" s="1"/>
      <c r="AB299" s="1"/>
      <c r="AC299" s="1"/>
      <c r="AD299" s="90"/>
      <c r="AE299" s="45"/>
      <c r="AF299" s="45"/>
      <c r="AG299" s="45"/>
      <c r="AH299" s="45"/>
      <c r="AI299" s="45"/>
      <c r="AJ299" s="189"/>
      <c r="AK299" s="63" t="str">
        <f>"Country: " &amp;UPPER(Country)</f>
        <v>Country: BELGIUM</v>
      </c>
      <c r="AL299" s="223"/>
      <c r="AM299" s="65"/>
      <c r="AN299" s="65"/>
      <c r="AO299" s="65"/>
      <c r="AP299" s="65"/>
      <c r="AQ299" s="65"/>
      <c r="AR299" s="1"/>
      <c r="AS299" s="1"/>
      <c r="AT299" s="1"/>
      <c r="AU299" s="90"/>
      <c r="AV299" s="259"/>
      <c r="AW299" s="45"/>
      <c r="AX299" s="54"/>
      <c r="AY299" s="54"/>
      <c r="AZ299" s="54"/>
      <c r="BA299" s="54"/>
      <c r="BB299" s="54"/>
      <c r="BC299" s="54"/>
    </row>
    <row r="300" spans="1:55" ht="13.8" thickBot="1">
      <c r="A300" s="45"/>
      <c r="B300" s="1583"/>
      <c r="C300" s="2311" t="s">
        <v>1279</v>
      </c>
      <c r="D300" s="2614"/>
      <c r="E300" s="2311"/>
      <c r="F300" s="2311"/>
      <c r="G300" s="2646"/>
      <c r="H300" s="2311"/>
      <c r="I300" s="2311"/>
      <c r="J300" s="2398"/>
      <c r="K300" s="4243">
        <f ca="1">NOW()</f>
        <v>43213.646692361108</v>
      </c>
      <c r="L300" s="4243"/>
      <c r="M300" s="2552"/>
      <c r="N300" s="54"/>
      <c r="O300" s="54"/>
      <c r="P300" s="54"/>
      <c r="Q300" s="54"/>
      <c r="R300" s="54"/>
      <c r="S300" s="276"/>
      <c r="T300" s="65" t="s">
        <v>1279</v>
      </c>
      <c r="U300" s="395"/>
      <c r="V300" s="65"/>
      <c r="W300" s="65"/>
      <c r="X300" s="65"/>
      <c r="Y300" s="65"/>
      <c r="Z300" s="65"/>
      <c r="AA300" s="1"/>
      <c r="AB300" s="4246">
        <f ca="1">NOW()</f>
        <v>43213.646692361108</v>
      </c>
      <c r="AC300" s="4246"/>
      <c r="AD300" s="338"/>
      <c r="AE300" s="45"/>
      <c r="AF300" s="45"/>
      <c r="AG300" s="45"/>
      <c r="AH300" s="45"/>
      <c r="AI300" s="45"/>
      <c r="AJ300" s="276"/>
      <c r="AK300" s="65" t="s">
        <v>1279</v>
      </c>
      <c r="AL300" s="395"/>
      <c r="AM300" s="65"/>
      <c r="AN300" s="65"/>
      <c r="AO300" s="65"/>
      <c r="AP300" s="65"/>
      <c r="AQ300" s="65"/>
      <c r="AR300" s="1"/>
      <c r="AS300" s="4246">
        <f ca="1">NOW()</f>
        <v>43213.646692361108</v>
      </c>
      <c r="AT300" s="4246"/>
      <c r="AU300" s="338"/>
      <c r="AV300" s="54"/>
      <c r="AW300" s="54"/>
      <c r="AX300" s="54"/>
      <c r="AY300" s="54"/>
      <c r="AZ300" s="54"/>
      <c r="BA300" s="54"/>
      <c r="BB300" s="54"/>
      <c r="BC300" s="54"/>
    </row>
    <row r="301" spans="1:55">
      <c r="A301" s="45"/>
      <c r="B301" s="2615"/>
      <c r="C301" s="2317"/>
      <c r="D301" s="2318"/>
      <c r="E301" s="4241">
        <f>E16</f>
        <v>2016</v>
      </c>
      <c r="F301" s="4242"/>
      <c r="G301" s="4244">
        <f>E301+1</f>
        <v>2017</v>
      </c>
      <c r="H301" s="4245"/>
      <c r="I301" s="4244">
        <f>G301+1</f>
        <v>2018</v>
      </c>
      <c r="J301" s="4245"/>
      <c r="K301" s="4244">
        <f>I301+1</f>
        <v>2019</v>
      </c>
      <c r="L301" s="4251"/>
      <c r="M301" s="2555"/>
      <c r="N301" s="54"/>
      <c r="O301" s="54"/>
      <c r="P301" s="54"/>
      <c r="Q301" s="54"/>
      <c r="R301" s="54"/>
      <c r="S301" s="396"/>
      <c r="T301" s="190"/>
      <c r="U301" s="73"/>
      <c r="V301" s="4248">
        <f>Last_forecast_year - 3</f>
        <v>2016</v>
      </c>
      <c r="W301" s="4249"/>
      <c r="X301" s="4239">
        <f>V301+1</f>
        <v>2017</v>
      </c>
      <c r="Y301" s="4240"/>
      <c r="Z301" s="4239">
        <f>X301+1</f>
        <v>2018</v>
      </c>
      <c r="AA301" s="4240"/>
      <c r="AB301" s="4239">
        <f>Z301+1</f>
        <v>2019</v>
      </c>
      <c r="AC301" s="4247"/>
      <c r="AD301" s="340"/>
      <c r="AE301" s="45"/>
      <c r="AF301" s="45"/>
      <c r="AG301" s="45"/>
      <c r="AH301" s="45"/>
      <c r="AI301" s="45"/>
      <c r="AJ301" s="396"/>
      <c r="AK301" s="190"/>
      <c r="AL301" s="73"/>
      <c r="AM301" s="4248">
        <f>Last_forecast_year - 3</f>
        <v>2016</v>
      </c>
      <c r="AN301" s="4249"/>
      <c r="AO301" s="4239">
        <f>AM301+1</f>
        <v>2017</v>
      </c>
      <c r="AP301" s="4240"/>
      <c r="AQ301" s="4239">
        <f>AO301+1</f>
        <v>2018</v>
      </c>
      <c r="AR301" s="4240"/>
      <c r="AS301" s="4239">
        <f>AQ301+1</f>
        <v>2019</v>
      </c>
      <c r="AT301" s="4247"/>
      <c r="AU301" s="340"/>
      <c r="AV301" s="54"/>
      <c r="AW301" s="54"/>
      <c r="AX301" s="54"/>
      <c r="AY301" s="54"/>
      <c r="AZ301" s="54"/>
      <c r="BA301" s="54"/>
      <c r="BB301" s="54"/>
      <c r="BC301" s="54"/>
    </row>
    <row r="302" spans="1:55">
      <c r="A302" s="45"/>
      <c r="B302" s="1583"/>
      <c r="C302" s="1576"/>
      <c r="D302" s="2311"/>
      <c r="E302" s="2596" t="s">
        <v>1642</v>
      </c>
      <c r="F302" s="2597" t="s">
        <v>759</v>
      </c>
      <c r="G302" s="2596" t="s">
        <v>1642</v>
      </c>
      <c r="H302" s="2597" t="s">
        <v>759</v>
      </c>
      <c r="I302" s="2596" t="s">
        <v>1642</v>
      </c>
      <c r="J302" s="2597" t="s">
        <v>759</v>
      </c>
      <c r="K302" s="2596" t="s">
        <v>1642</v>
      </c>
      <c r="L302" s="2598" t="s">
        <v>759</v>
      </c>
      <c r="M302" s="2616"/>
      <c r="N302" s="54"/>
      <c r="O302" s="54"/>
      <c r="P302" s="54"/>
      <c r="Q302" s="54"/>
      <c r="R302" s="54"/>
      <c r="S302" s="276"/>
      <c r="T302" s="40"/>
      <c r="U302" s="65"/>
      <c r="V302" s="397" t="s">
        <v>1642</v>
      </c>
      <c r="W302" s="398" t="s">
        <v>759</v>
      </c>
      <c r="X302" s="397" t="s">
        <v>1642</v>
      </c>
      <c r="Y302" s="398" t="s">
        <v>759</v>
      </c>
      <c r="Z302" s="397" t="s">
        <v>1642</v>
      </c>
      <c r="AA302" s="398" t="s">
        <v>759</v>
      </c>
      <c r="AB302" s="397" t="s">
        <v>1642</v>
      </c>
      <c r="AC302" s="399" t="s">
        <v>759</v>
      </c>
      <c r="AD302" s="400"/>
      <c r="AE302" s="45"/>
      <c r="AF302" s="45"/>
      <c r="AG302" s="45"/>
      <c r="AH302" s="45"/>
      <c r="AI302" s="45"/>
      <c r="AJ302" s="276"/>
      <c r="AK302" s="40"/>
      <c r="AL302" s="65"/>
      <c r="AM302" s="397" t="s">
        <v>1642</v>
      </c>
      <c r="AN302" s="398" t="s">
        <v>759</v>
      </c>
      <c r="AO302" s="397" t="s">
        <v>1642</v>
      </c>
      <c r="AP302" s="398" t="s">
        <v>759</v>
      </c>
      <c r="AQ302" s="397" t="s">
        <v>1642</v>
      </c>
      <c r="AR302" s="398" t="s">
        <v>759</v>
      </c>
      <c r="AS302" s="397" t="s">
        <v>1642</v>
      </c>
      <c r="AT302" s="399" t="s">
        <v>759</v>
      </c>
      <c r="AU302" s="400"/>
      <c r="AV302" s="54"/>
      <c r="AW302" s="54"/>
      <c r="AX302" s="54"/>
      <c r="AY302" s="54"/>
      <c r="AZ302" s="54"/>
      <c r="BA302" s="54"/>
      <c r="BB302" s="54"/>
      <c r="BC302" s="54"/>
    </row>
    <row r="303" spans="1:55">
      <c r="A303" s="45"/>
      <c r="B303" s="1583"/>
      <c r="C303" s="2344" t="s">
        <v>1953</v>
      </c>
      <c r="D303" s="2303"/>
      <c r="E303" s="2617">
        <f ca="1">Transfer!D175</f>
        <v>11295</v>
      </c>
      <c r="F303" s="2325">
        <f ca="1">100*((Transfer!D175/Transfer!C175)-1)</f>
        <v>0.50720768820073925</v>
      </c>
      <c r="G303" s="80">
        <f ca="1">Transfer!E175</f>
        <v>11348</v>
      </c>
      <c r="H303" s="79">
        <f ca="1">100*((Transfer!E175/Transfer!D175)-1)</f>
        <v>0.4692341744134465</v>
      </c>
      <c r="I303" s="2617">
        <f ca="1">Transfer!F175</f>
        <v>11406.019729489513</v>
      </c>
      <c r="J303" s="2325">
        <f ca="1">100*((Transfer!F175/Transfer!E175)-1)</f>
        <v>0.51127713684802067</v>
      </c>
      <c r="K303" s="2326">
        <f ca="1">Transfer!G175</f>
        <v>11464.336100590768</v>
      </c>
      <c r="L303" s="2327">
        <f ca="1">100*((Transfer!G175/Transfer!F175)-1)</f>
        <v>0.51127713684802067</v>
      </c>
      <c r="M303" s="2328"/>
      <c r="N303" s="54"/>
      <c r="O303" s="54"/>
      <c r="P303" s="54"/>
      <c r="Q303" s="54"/>
      <c r="R303" s="54"/>
      <c r="S303" s="276"/>
      <c r="T303" s="147" t="s">
        <v>1953</v>
      </c>
      <c r="U303" s="1586"/>
      <c r="V303" s="375">
        <f t="shared" ref="V303:AC312" ca="1" si="18">ROUND(E303,1)-ROUND(AM303,1)</f>
        <v>0</v>
      </c>
      <c r="W303" s="401">
        <f t="shared" ca="1" si="18"/>
        <v>0</v>
      </c>
      <c r="X303" s="401">
        <f t="shared" ca="1" si="18"/>
        <v>0</v>
      </c>
      <c r="Y303" s="401">
        <f t="shared" ca="1" si="18"/>
        <v>0</v>
      </c>
      <c r="Z303" s="401">
        <f t="shared" ca="1" si="18"/>
        <v>0</v>
      </c>
      <c r="AA303" s="401">
        <f t="shared" ca="1" si="18"/>
        <v>0</v>
      </c>
      <c r="AB303" s="401">
        <f t="shared" ca="1" si="18"/>
        <v>0</v>
      </c>
      <c r="AC303" s="376">
        <f t="shared" ca="1" si="18"/>
        <v>0</v>
      </c>
      <c r="AD303" s="372"/>
      <c r="AE303" s="45"/>
      <c r="AF303" s="45"/>
      <c r="AG303" s="45"/>
      <c r="AH303" s="45"/>
      <c r="AI303" s="45"/>
      <c r="AJ303" s="276"/>
      <c r="AK303" s="147" t="s">
        <v>1953</v>
      </c>
      <c r="AL303" s="57"/>
      <c r="AM303" s="401">
        <f>Transfer!AD175</f>
        <v>11295</v>
      </c>
      <c r="AN303" s="375">
        <f>100*((Transfer!AD175/Transfer!AC175)-1)</f>
        <v>0.50720768820073925</v>
      </c>
      <c r="AO303" s="402">
        <f>Transfer!AE175</f>
        <v>11348</v>
      </c>
      <c r="AP303" s="375">
        <f>100*((Transfer!AE175/Transfer!AD175)-1)</f>
        <v>0.4692341744134465</v>
      </c>
      <c r="AQ303" s="401">
        <f>Transfer!AF175</f>
        <v>11406.019729489513</v>
      </c>
      <c r="AR303" s="375">
        <f>100*((Transfer!AF175/Transfer!AE175)-1)</f>
        <v>0.51127713684802067</v>
      </c>
      <c r="AS303" s="402">
        <f>Transfer!AG175</f>
        <v>11464.336100590768</v>
      </c>
      <c r="AT303" s="376">
        <f>100*((Transfer!AG175/Transfer!AF175)-1)</f>
        <v>0.51127713684802067</v>
      </c>
      <c r="AU303" s="372"/>
      <c r="AV303" s="54"/>
      <c r="AW303" s="54"/>
      <c r="AX303" s="54"/>
      <c r="AY303" s="54"/>
      <c r="AZ303" s="54"/>
      <c r="BA303" s="1580" t="s">
        <v>244</v>
      </c>
      <c r="BB303" s="1586"/>
      <c r="BC303" s="54"/>
    </row>
    <row r="304" spans="1:55">
      <c r="A304" s="45"/>
      <c r="B304" s="1575"/>
      <c r="C304" s="1576" t="s">
        <v>573</v>
      </c>
      <c r="D304" s="2311"/>
      <c r="E304" s="2353">
        <f ca="1">Transfer!D176</f>
        <v>7327.7685000000001</v>
      </c>
      <c r="F304" s="2336">
        <f ca="1">100*((Transfer!D176/Transfer!C176)-1)</f>
        <v>0.22622737068058729</v>
      </c>
      <c r="G304" s="92">
        <f ca="1">Transfer!E176</f>
        <v>7344.9227372409168</v>
      </c>
      <c r="H304" s="91">
        <f ca="1">100*((Transfer!E176/Transfer!D176)-1)</f>
        <v>0.2340990608657556</v>
      </c>
      <c r="I304" s="2353">
        <f ca="1">Transfer!F176</f>
        <v>7353.0484285655621</v>
      </c>
      <c r="J304" s="2336">
        <f ca="1">100*((Transfer!F176/Transfer!E176)-1)</f>
        <v>0.1106300449349229</v>
      </c>
      <c r="K304" s="2337">
        <f ca="1">Transfer!G176</f>
        <v>7356.6598469320697</v>
      </c>
      <c r="L304" s="2338">
        <f ca="1">100*((Transfer!G176/Transfer!F176)-1)</f>
        <v>4.9114573385344862E-2</v>
      </c>
      <c r="M304" s="2328"/>
      <c r="N304" s="54"/>
      <c r="O304" s="54"/>
      <c r="P304" s="54"/>
      <c r="Q304" s="54"/>
      <c r="R304" s="54"/>
      <c r="S304" s="189"/>
      <c r="T304" s="40" t="s">
        <v>573</v>
      </c>
      <c r="U304" s="195"/>
      <c r="V304" s="367">
        <f t="shared" ca="1" si="18"/>
        <v>0</v>
      </c>
      <c r="W304" s="403">
        <f t="shared" ca="1" si="18"/>
        <v>0</v>
      </c>
      <c r="X304" s="403">
        <f t="shared" ca="1" si="18"/>
        <v>0</v>
      </c>
      <c r="Y304" s="403">
        <f t="shared" ca="1" si="18"/>
        <v>0</v>
      </c>
      <c r="Z304" s="403">
        <f t="shared" ca="1" si="18"/>
        <v>0</v>
      </c>
      <c r="AA304" s="403">
        <f t="shared" ca="1" si="18"/>
        <v>0</v>
      </c>
      <c r="AB304" s="403">
        <f t="shared" ca="1" si="18"/>
        <v>0</v>
      </c>
      <c r="AC304" s="368">
        <f t="shared" ca="1" si="18"/>
        <v>0</v>
      </c>
      <c r="AD304" s="372"/>
      <c r="AE304" s="45"/>
      <c r="AF304" s="45"/>
      <c r="AG304" s="45"/>
      <c r="AH304" s="45"/>
      <c r="AI304" s="45"/>
      <c r="AJ304" s="189"/>
      <c r="AK304" s="40" t="s">
        <v>573</v>
      </c>
      <c r="AL304" s="65"/>
      <c r="AM304" s="403">
        <f>Transfer!AD176</f>
        <v>7327.7685000000001</v>
      </c>
      <c r="AN304" s="367">
        <f>100*((Transfer!AD176/Transfer!AC176)-1)</f>
        <v>0.22622737068058729</v>
      </c>
      <c r="AO304" s="404">
        <f>Transfer!AE176</f>
        <v>7344.9227372409168</v>
      </c>
      <c r="AP304" s="367">
        <f>100*((Transfer!AE176/Transfer!AD176)-1)</f>
        <v>0.2340990608657556</v>
      </c>
      <c r="AQ304" s="403">
        <f>Transfer!AF176</f>
        <v>7353.0484285655621</v>
      </c>
      <c r="AR304" s="367">
        <f>100*((Transfer!AF176/Transfer!AE176)-1)</f>
        <v>0.1106300449349229</v>
      </c>
      <c r="AS304" s="404">
        <f>Transfer!AG176</f>
        <v>7356.6598469320697</v>
      </c>
      <c r="AT304" s="368">
        <f>100*((Transfer!AG176/Transfer!AF176)-1)</f>
        <v>4.9114573385344862E-2</v>
      </c>
      <c r="AU304" s="372"/>
      <c r="AV304" s="54"/>
      <c r="AW304" s="54"/>
      <c r="AX304" s="54"/>
      <c r="AY304" s="54"/>
      <c r="AZ304" s="54"/>
      <c r="BA304" s="1581" t="s">
        <v>856</v>
      </c>
      <c r="BB304" s="195"/>
      <c r="BC304" s="54"/>
    </row>
    <row r="305" spans="1:55">
      <c r="A305" s="45"/>
      <c r="B305" s="1575"/>
      <c r="C305" s="1576" t="s">
        <v>826</v>
      </c>
      <c r="D305" s="2311"/>
      <c r="E305" s="2353">
        <f ca="1">SUM(Transfer!D178,Transfer!D179)</f>
        <v>5125.3999999999996</v>
      </c>
      <c r="F305" s="2336">
        <f ca="1">100*((SUM(Transfer!D178,Transfer!D179)/SUM(Transfer!C178,Transfer!C179))-1)</f>
        <v>0.50395121281643362</v>
      </c>
      <c r="G305" s="92">
        <f ca="1">SUM(Transfer!E178,Transfer!E179)</f>
        <v>5155</v>
      </c>
      <c r="H305" s="91">
        <f ca="1">100*((SUM(Transfer!E178,Transfer!E179)/SUM(Transfer!D178,Transfer!D179))-1)</f>
        <v>0.57751590119796692</v>
      </c>
      <c r="I305" s="2353">
        <f ca="1">SUM(Transfer!F178,Transfer!F179)</f>
        <v>5182.8370000000004</v>
      </c>
      <c r="J305" s="2336">
        <f ca="1">100*((SUM(Transfer!F178,Transfer!F179)/SUM(Transfer!E178,Transfer!E179))-1)</f>
        <v>0.54000000000000714</v>
      </c>
      <c r="K305" s="2337">
        <f ca="1">SUM(Transfer!G178,Transfer!G179)</f>
        <v>5210.8243198000009</v>
      </c>
      <c r="L305" s="2338">
        <f ca="1">100*((SUM(Transfer!G178,Transfer!G179)/SUM(Transfer!F178,Transfer!F179))-1)</f>
        <v>0.54000000000000714</v>
      </c>
      <c r="M305" s="2328"/>
      <c r="N305" s="54"/>
      <c r="O305" s="54"/>
      <c r="P305" s="54"/>
      <c r="Q305" s="54"/>
      <c r="R305" s="54"/>
      <c r="S305" s="189"/>
      <c r="T305" s="40" t="s">
        <v>826</v>
      </c>
      <c r="U305" s="195"/>
      <c r="V305" s="367">
        <f t="shared" ca="1" si="18"/>
        <v>0</v>
      </c>
      <c r="W305" s="403">
        <f t="shared" ca="1" si="18"/>
        <v>0</v>
      </c>
      <c r="X305" s="403">
        <f t="shared" ca="1" si="18"/>
        <v>0</v>
      </c>
      <c r="Y305" s="403">
        <f t="shared" ca="1" si="18"/>
        <v>0</v>
      </c>
      <c r="Z305" s="403">
        <f t="shared" ca="1" si="18"/>
        <v>0</v>
      </c>
      <c r="AA305" s="403">
        <f t="shared" ca="1" si="18"/>
        <v>0</v>
      </c>
      <c r="AB305" s="367">
        <f t="shared" ca="1" si="18"/>
        <v>0</v>
      </c>
      <c r="AC305" s="368">
        <f t="shared" ca="1" si="18"/>
        <v>0</v>
      </c>
      <c r="AD305" s="372"/>
      <c r="AE305" s="45"/>
      <c r="AF305" s="45"/>
      <c r="AG305" s="45"/>
      <c r="AH305" s="45"/>
      <c r="AI305" s="45"/>
      <c r="AJ305" s="189"/>
      <c r="AK305" s="40" t="s">
        <v>826</v>
      </c>
      <c r="AL305" s="65"/>
      <c r="AM305" s="403">
        <f>SUM(Transfer!AD178,Transfer!AD179)</f>
        <v>5125.3999999999996</v>
      </c>
      <c r="AN305" s="367">
        <f>100*((SUM(Transfer!AD178,Transfer!AD179)/SUM(Transfer!AC178,Transfer!AC179))-1)</f>
        <v>0.50395121281643362</v>
      </c>
      <c r="AO305" s="404">
        <f>SUM(Transfer!AE178,Transfer!AE179)</f>
        <v>5155</v>
      </c>
      <c r="AP305" s="367">
        <f>100*((SUM(Transfer!AE178,Transfer!AE179)/SUM(Transfer!AD178,Transfer!AD179))-1)</f>
        <v>0.57751590119796692</v>
      </c>
      <c r="AQ305" s="403">
        <f>SUM(Transfer!AF178,Transfer!AF179)</f>
        <v>5182.8370000000004</v>
      </c>
      <c r="AR305" s="367">
        <f>100*((SUM(Transfer!AF178,Transfer!AF179)/SUM(Transfer!AE178,Transfer!AE179))-1)</f>
        <v>0.54000000000000714</v>
      </c>
      <c r="AS305" s="404">
        <f>SUM(Transfer!AG178,Transfer!AG179)</f>
        <v>5210.8243198000009</v>
      </c>
      <c r="AT305" s="368">
        <f>100*((SUM(Transfer!AG178,Transfer!AG179)/SUM(Transfer!AF178,Transfer!AF179))-1)</f>
        <v>0.54000000000000714</v>
      </c>
      <c r="AU305" s="372"/>
      <c r="AV305" s="54"/>
      <c r="AW305" s="54"/>
      <c r="AX305" s="54"/>
      <c r="AY305" s="54"/>
      <c r="AZ305" s="54"/>
      <c r="BA305" s="1581" t="s">
        <v>857</v>
      </c>
      <c r="BB305" s="195"/>
      <c r="BC305" s="54"/>
    </row>
    <row r="306" spans="1:55">
      <c r="A306" s="45"/>
      <c r="B306" s="1575"/>
      <c r="C306" s="2333" t="s">
        <v>697</v>
      </c>
      <c r="D306" s="2352"/>
      <c r="E306" s="2353">
        <f ca="1">100*(SUM(Transfer!D178,Transfer!D179))/Transfer!D176</f>
        <v>69.944895229700549</v>
      </c>
      <c r="F306" s="2336"/>
      <c r="G306" s="92">
        <f ca="1">100*(SUM(Transfer!E178,Transfer!E179))/Transfer!E176</f>
        <v>70.18453678025277</v>
      </c>
      <c r="H306" s="91"/>
      <c r="I306" s="2353">
        <f ca="1">100*(SUM(Transfer!F178,Transfer!F179))/Transfer!F176</f>
        <v>70.485555077611153</v>
      </c>
      <c r="J306" s="2336"/>
      <c r="K306" s="2337">
        <f ca="1">100*(SUM(Transfer!G178,Transfer!G179))/Transfer!G176</f>
        <v>70.83138854072557</v>
      </c>
      <c r="L306" s="2338"/>
      <c r="M306" s="2350"/>
      <c r="N306" s="54"/>
      <c r="O306" s="54"/>
      <c r="P306" s="54"/>
      <c r="Q306" s="54"/>
      <c r="R306" s="54"/>
      <c r="S306" s="189"/>
      <c r="T306" s="86" t="s">
        <v>697</v>
      </c>
      <c r="U306" s="344"/>
      <c r="V306" s="367">
        <f t="shared" ca="1" si="18"/>
        <v>0</v>
      </c>
      <c r="W306" s="91"/>
      <c r="X306" s="403">
        <f t="shared" ca="1" si="18"/>
        <v>0</v>
      </c>
      <c r="Y306" s="91"/>
      <c r="Z306" s="403">
        <f t="shared" ca="1" si="18"/>
        <v>0</v>
      </c>
      <c r="AA306" s="91"/>
      <c r="AB306" s="403">
        <f t="shared" ca="1" si="18"/>
        <v>0</v>
      </c>
      <c r="AC306" s="93"/>
      <c r="AD306" s="103"/>
      <c r="AE306" s="45"/>
      <c r="AF306" s="45"/>
      <c r="AG306" s="45"/>
      <c r="AH306" s="45"/>
      <c r="AI306" s="45"/>
      <c r="AJ306" s="189"/>
      <c r="AK306" s="86" t="s">
        <v>697</v>
      </c>
      <c r="AL306" s="105"/>
      <c r="AM306" s="403">
        <f>100*(SUM(Transfer!AD178,Transfer!AD179))/Transfer!AD176</f>
        <v>69.944895229700549</v>
      </c>
      <c r="AN306" s="91"/>
      <c r="AO306" s="404">
        <f>100*(SUM(Transfer!AE178,Transfer!AE179))/Transfer!AE176</f>
        <v>70.18453678025277</v>
      </c>
      <c r="AP306" s="91"/>
      <c r="AQ306" s="403">
        <f>100*(SUM(Transfer!AF178,Transfer!AF179))/Transfer!AF176</f>
        <v>70.485555077611153</v>
      </c>
      <c r="AR306" s="91"/>
      <c r="AS306" s="404">
        <f>100*(SUM(Transfer!AG178,Transfer!AG179))/Transfer!AG176</f>
        <v>70.83138854072557</v>
      </c>
      <c r="AT306" s="93"/>
      <c r="AU306" s="103"/>
      <c r="AV306" s="54"/>
      <c r="AW306" s="54"/>
      <c r="AX306" s="54"/>
      <c r="AY306" s="54"/>
      <c r="AZ306" s="54"/>
      <c r="BA306" s="1581" t="s">
        <v>1950</v>
      </c>
      <c r="BB306" s="195"/>
      <c r="BC306" s="54"/>
    </row>
    <row r="307" spans="1:55">
      <c r="A307" s="45"/>
      <c r="B307" s="1575"/>
      <c r="C307" s="2618" t="s">
        <v>442</v>
      </c>
      <c r="D307" s="2313"/>
      <c r="E307" s="2619">
        <f ca="1">Transfer!D179</f>
        <v>4735.3999999999996</v>
      </c>
      <c r="F307" s="2510">
        <f ca="1">100*((Transfer!D179/Transfer!C179)-1)</f>
        <v>1.2335121961647877</v>
      </c>
      <c r="G307" s="2992">
        <f ca="1">Transfer!E179</f>
        <v>4801</v>
      </c>
      <c r="H307" s="291">
        <f ca="1">100*((Transfer!E179/Transfer!D179)-1)</f>
        <v>1.385310639016768</v>
      </c>
      <c r="I307" s="2619">
        <f ca="1">Transfer!F179</f>
        <v>4859.2879499999999</v>
      </c>
      <c r="J307" s="291">
        <f ca="1">100*((Transfer!F179/Transfer!E179)-1)</f>
        <v>1.2140793584669796</v>
      </c>
      <c r="K307" s="2619">
        <f ca="1">Transfer!G179</f>
        <v>4908.5864069199988</v>
      </c>
      <c r="L307" s="2537">
        <f ca="1">100*((Transfer!G179/Transfer!F179)-1)</f>
        <v>1.0145201812952642</v>
      </c>
      <c r="M307" s="2332"/>
      <c r="N307" s="54"/>
      <c r="O307" s="54"/>
      <c r="P307" s="54"/>
      <c r="Q307" s="54"/>
      <c r="R307" s="54"/>
      <c r="S307" s="189"/>
      <c r="T307" s="405" t="s">
        <v>442</v>
      </c>
      <c r="U307" s="203"/>
      <c r="V307" s="407">
        <f t="shared" ca="1" si="18"/>
        <v>0</v>
      </c>
      <c r="W307" s="406">
        <f ca="1">ROUND(F307,1)-ROUND(AN307,1)</f>
        <v>0</v>
      </c>
      <c r="X307" s="406">
        <f t="shared" ca="1" si="18"/>
        <v>0</v>
      </c>
      <c r="Y307" s="406">
        <f ca="1">ROUND(H307,1)-ROUND(AP307,1)</f>
        <v>0</v>
      </c>
      <c r="Z307" s="406">
        <f t="shared" ca="1" si="18"/>
        <v>-0.1999999999998181</v>
      </c>
      <c r="AA307" s="406">
        <f ca="1">ROUND(J307,1)-ROUND(AR307,1)</f>
        <v>0</v>
      </c>
      <c r="AB307" s="406">
        <f t="shared" ca="1" si="18"/>
        <v>-1</v>
      </c>
      <c r="AC307" s="409">
        <f t="shared" ca="1" si="18"/>
        <v>0</v>
      </c>
      <c r="AD307" s="374"/>
      <c r="AE307" s="45"/>
      <c r="AF307" s="45"/>
      <c r="AG307" s="45"/>
      <c r="AH307" s="45"/>
      <c r="AI307" s="45"/>
      <c r="AJ307" s="189"/>
      <c r="AK307" s="405" t="s">
        <v>442</v>
      </c>
      <c r="AL307" s="67"/>
      <c r="AM307" s="406">
        <f>Transfer!AD179</f>
        <v>4735.3999999999996</v>
      </c>
      <c r="AN307" s="407">
        <f>100*((Transfer!AD179/Transfer!AC179)-1)</f>
        <v>1.2335121961647877</v>
      </c>
      <c r="AO307" s="408">
        <f>Transfer!AE179</f>
        <v>4801</v>
      </c>
      <c r="AP307" s="407">
        <f>100*((Transfer!AE179/Transfer!AD179)-1)</f>
        <v>1.385310639016768</v>
      </c>
      <c r="AQ307" s="406">
        <f>Transfer!AF179</f>
        <v>4859.5027499999997</v>
      </c>
      <c r="AR307" s="407">
        <f>100*((Transfer!AF179/Transfer!AE179)-1)</f>
        <v>1.2185534263694953</v>
      </c>
      <c r="AS307" s="408">
        <f>Transfer!AG179</f>
        <v>4909.570341919999</v>
      </c>
      <c r="AT307" s="409">
        <f>100*((Transfer!AG179/Transfer!AF179)-1)</f>
        <v>1.0303027798471698</v>
      </c>
      <c r="AU307" s="374"/>
      <c r="AV307" s="54"/>
      <c r="AW307" s="54"/>
      <c r="AX307" s="54"/>
      <c r="AY307" s="54"/>
      <c r="AZ307" s="54"/>
      <c r="BA307" s="1581" t="s">
        <v>1128</v>
      </c>
      <c r="BB307" s="195"/>
      <c r="BC307" s="54"/>
    </row>
    <row r="308" spans="1:55">
      <c r="A308" s="45"/>
      <c r="B308" s="1575"/>
      <c r="C308" s="2333" t="s">
        <v>443</v>
      </c>
      <c r="D308" s="2352"/>
      <c r="E308" s="2353">
        <f ca="1">+IF(Transfer!C183=-9999,Transfer!D163,Transfer!D183)</f>
        <v>3957.0999999999995</v>
      </c>
      <c r="F308" s="2336">
        <f ca="1">IF(Transfer!C183=-9999,100*((Transfer!D163/Transfer!C163)-1),100*((Transfer!D183/Transfer!C183)-1))</f>
        <v>1.1373511220160282</v>
      </c>
      <c r="G308" s="92">
        <f ca="1">IF(Transfer!D183=-9999,Transfer!E163,Transfer!E183)</f>
        <v>4011.8</v>
      </c>
      <c r="H308" s="91">
        <f ca="1">IF(Transfer!D183=-9999,100*((Transfer!E163/Transfer!D163)-1),100*((Transfer!E183/Transfer!D183)-1))</f>
        <v>1.3823254403477536</v>
      </c>
      <c r="I308" s="2353">
        <f ca="1">IF(Transfer!E183=-9999,Transfer!F163,Transfer!F183)</f>
        <v>4059.8283500000002</v>
      </c>
      <c r="J308" s="2336">
        <f ca="1">IF(Transfer!E183=-9999,100*((Transfer!F163/Transfer!E163)-1),100*((Transfer!F183/Transfer!E183)-1))</f>
        <v>1.1971770776210144</v>
      </c>
      <c r="K308" s="2337">
        <f ca="1">IF(Transfer!F183=-9999,Transfer!G163,Transfer!G183)</f>
        <v>4098.7338321199995</v>
      </c>
      <c r="L308" s="2338">
        <f ca="1">IF(Transfer!F183=-9999,100*((Transfer!G163/Transfer!F163)-1),100*((Transfer!G183/Transfer!F183)-1))</f>
        <v>0.95830362187601104</v>
      </c>
      <c r="M308" s="2977"/>
      <c r="N308" s="54"/>
      <c r="O308" s="54"/>
      <c r="P308" s="54"/>
      <c r="Q308" s="54"/>
      <c r="R308" s="54"/>
      <c r="S308" s="189"/>
      <c r="T308" s="86" t="s">
        <v>443</v>
      </c>
      <c r="U308" s="344"/>
      <c r="V308" s="367">
        <f t="shared" ca="1" si="18"/>
        <v>0</v>
      </c>
      <c r="W308" s="403">
        <f ca="1">ROUND(F308,1)-ROUND(AN308,1)</f>
        <v>0</v>
      </c>
      <c r="X308" s="403">
        <f t="shared" ca="1" si="18"/>
        <v>0</v>
      </c>
      <c r="Y308" s="403">
        <f ca="1">ROUND(H308,1)-ROUND(AP308,1)</f>
        <v>0</v>
      </c>
      <c r="Z308" s="403">
        <f t="shared" ca="1" si="18"/>
        <v>-0.1999999999998181</v>
      </c>
      <c r="AA308" s="403">
        <f ca="1">ROUND(J308,1)-ROUND(AR308,1)</f>
        <v>0</v>
      </c>
      <c r="AB308" s="403">
        <f t="shared" ca="1" si="18"/>
        <v>-1</v>
      </c>
      <c r="AC308" s="368">
        <f t="shared" ca="1" si="18"/>
        <v>0</v>
      </c>
      <c r="AD308" s="369"/>
      <c r="AE308" s="45"/>
      <c r="AF308" s="45"/>
      <c r="AG308" s="45"/>
      <c r="AH308" s="45"/>
      <c r="AI308" s="45"/>
      <c r="AJ308" s="189"/>
      <c r="AK308" s="86" t="s">
        <v>443</v>
      </c>
      <c r="AL308" s="105"/>
      <c r="AM308" s="403">
        <f>+IF(Transfer!AC183=-9999,Transfer!AD163,Transfer!AD183)</f>
        <v>3957.0999999999995</v>
      </c>
      <c r="AN308" s="367">
        <f>IF(Transfer!AC183=-9999,100*((Transfer!AD163/Transfer!AC163)-1),100*((Transfer!AD183/Transfer!AC183)-1))</f>
        <v>1.1373511220160282</v>
      </c>
      <c r="AO308" s="404">
        <f>IF(Transfer!AD183=-9999,Transfer!AE163,Transfer!AE183)</f>
        <v>4011.8</v>
      </c>
      <c r="AP308" s="367">
        <f>IF(Transfer!AD183=-9999,100*((Transfer!AE163/Transfer!AD163)-1),100*((Transfer!AE183/Transfer!AD183)-1))</f>
        <v>1.3823254403477536</v>
      </c>
      <c r="AQ308" s="403">
        <f>IF(Transfer!AE183=-9999,Transfer!AF163,Transfer!AF183)</f>
        <v>4060.04315</v>
      </c>
      <c r="AR308" s="367">
        <f>IF(Transfer!AE183=-9999,100*((Transfer!AF163/Transfer!AE163)-1),100*((Transfer!AF183/Transfer!AE183)-1))</f>
        <v>1.2025312827159906</v>
      </c>
      <c r="AS308" s="404">
        <f>IF(Transfer!AF183=-9999,Transfer!AG163,Transfer!AG183)</f>
        <v>4099.7177671199997</v>
      </c>
      <c r="AT308" s="368">
        <f>IF(Transfer!AF183=-9999,100*((Transfer!AG163/Transfer!AF163)-1),100*((Transfer!AG183/Transfer!AF183)-1))</f>
        <v>0.97719693250057915</v>
      </c>
      <c r="AU308" s="369"/>
      <c r="AV308" s="54"/>
      <c r="AW308" s="54"/>
      <c r="AX308" s="54"/>
      <c r="AY308" s="54"/>
      <c r="AZ308" s="54"/>
      <c r="BA308" s="1581" t="s">
        <v>1129</v>
      </c>
      <c r="BB308" s="195"/>
      <c r="BC308" s="54"/>
    </row>
    <row r="309" spans="1:55">
      <c r="A309" s="45"/>
      <c r="B309" s="1575"/>
      <c r="C309" s="2333" t="s">
        <v>444</v>
      </c>
      <c r="D309" s="2352"/>
      <c r="E309" s="2353">
        <f ca="1">IF(Transfer!C183=-9999,Transfer!D179-Transfer!D163,Transfer!D179-Transfer!D183)</f>
        <v>778.30000000000018</v>
      </c>
      <c r="F309" s="2336">
        <f ca="1">IF(Transfer!C183=-9999,100*(((Transfer!D179-Transfer!D163)/(Transfer!C179-Transfer!C163))-1),100*(((Transfer!D179-Transfer!D183)/(Transfer!C179-Transfer!C183))-1))</f>
        <v>1.7252646712848874</v>
      </c>
      <c r="G309" s="92">
        <f ca="1">IF(Transfer!D183=-9999,Transfer!E179-Transfer!E163,Transfer!E179-Transfer!E183)</f>
        <v>789.19999999999982</v>
      </c>
      <c r="H309" s="91">
        <f ca="1">IF(Transfer!D183=-9999,100*(((Transfer!E179-Transfer!E163)/(Transfer!D179-Transfer!D163))-1),100*(((Transfer!E179-Transfer!E183)/(Transfer!D179-Transfer!D183))-1))</f>
        <v>1.4004882436078114</v>
      </c>
      <c r="I309" s="2353">
        <f ca="1">IF(Transfer!E183=-9999,Transfer!F179-Transfer!F163,Transfer!F179-Transfer!F183)</f>
        <v>799.45959999999968</v>
      </c>
      <c r="J309" s="2336">
        <f ca="1">IF(Transfer!E183=-9999,100*(((Transfer!F179-Transfer!F163)/(Transfer!E179-Transfer!E163))-1),100*(((Transfer!F179-Transfer!F183)/(Transfer!E179-Transfer!E183))-1))</f>
        <v>1.2999999999999901</v>
      </c>
      <c r="K309" s="2337">
        <f ca="1">IF(Transfer!F183=-9999,Transfer!G179-Transfer!G163,Transfer!G179-Transfer!G183)</f>
        <v>809.85257479999927</v>
      </c>
      <c r="L309" s="2338">
        <f ca="1">IF(Transfer!F183=-9999,100*(((Transfer!G179-Transfer!G163)/(Transfer!F179-Transfer!F163))-1),100*(((Transfer!G179-Transfer!G183)/(Transfer!F179-Transfer!F183))-1))</f>
        <v>1.2999999999999456</v>
      </c>
      <c r="M309" s="2350"/>
      <c r="N309" s="54"/>
      <c r="O309" s="54"/>
      <c r="P309" s="54"/>
      <c r="Q309" s="54"/>
      <c r="R309" s="54"/>
      <c r="S309" s="189"/>
      <c r="T309" s="86" t="s">
        <v>444</v>
      </c>
      <c r="U309" s="344"/>
      <c r="V309" s="367">
        <f t="shared" ca="1" si="18"/>
        <v>0</v>
      </c>
      <c r="W309" s="403">
        <f ca="1">ROUND(F309,1)-ROUND(AN309,1)</f>
        <v>0</v>
      </c>
      <c r="X309" s="403">
        <f t="shared" ca="1" si="18"/>
        <v>0</v>
      </c>
      <c r="Y309" s="403">
        <f ca="1">ROUND(H309,1)-ROUND(AP309,1)</f>
        <v>0</v>
      </c>
      <c r="Z309" s="403">
        <f t="shared" ca="1" si="18"/>
        <v>0</v>
      </c>
      <c r="AA309" s="403">
        <f ca="1">ROUND(J309,1)-ROUND(AR309,1)</f>
        <v>0</v>
      </c>
      <c r="AB309" s="403">
        <f t="shared" ca="1" si="18"/>
        <v>0</v>
      </c>
      <c r="AC309" s="368">
        <f t="shared" ca="1" si="18"/>
        <v>0</v>
      </c>
      <c r="AD309" s="369"/>
      <c r="AE309" s="45"/>
      <c r="AF309" s="45"/>
      <c r="AG309" s="45"/>
      <c r="AH309" s="45"/>
      <c r="AI309" s="45"/>
      <c r="AJ309" s="189"/>
      <c r="AK309" s="86" t="s">
        <v>444</v>
      </c>
      <c r="AL309" s="105"/>
      <c r="AM309" s="403">
        <f>IF(Transfer!AC183=-9999,Transfer!AD179-Transfer!AD163,Transfer!AD179-Transfer!AD183)</f>
        <v>778.30000000000018</v>
      </c>
      <c r="AN309" s="367">
        <f>IF(Transfer!AC183=-9999,100*(((Transfer!AD179-Transfer!AD163)/(Transfer!AC179-Transfer!AC163))-1),100*(((Transfer!AD179-Transfer!AD183)/(Transfer!AC179-Transfer!AC183))-1))</f>
        <v>1.7252646712848874</v>
      </c>
      <c r="AO309" s="404">
        <f>IF(Transfer!AD183=-9999,Transfer!AE179-Transfer!AE163,Transfer!AE179-Transfer!AE183)</f>
        <v>789.19999999999982</v>
      </c>
      <c r="AP309" s="367">
        <f>IF(Transfer!AD183=-9999,100*(((Transfer!AE179-Transfer!AE163)/(Transfer!AD179-Transfer!AD163))-1),100*(((Transfer!AE179-Transfer!AE183)/(Transfer!AD179-Transfer!AD183))-1))</f>
        <v>1.4004882436078114</v>
      </c>
      <c r="AQ309" s="403">
        <f>IF(Transfer!AE183=-9999,Transfer!AF179-Transfer!AF163,Transfer!AF179-Transfer!AF183)</f>
        <v>799.45959999999968</v>
      </c>
      <c r="AR309" s="367">
        <f>IF(Transfer!AE183=-9999,100*(((Transfer!AF179-Transfer!AF163)/(Transfer!AE179-Transfer!AE163))-1),100*(((Transfer!AF179-Transfer!AF183)/(Transfer!AE179-Transfer!AE183))-1))</f>
        <v>1.2999999999999901</v>
      </c>
      <c r="AS309" s="404">
        <f>IF(Transfer!AF183=-9999,Transfer!AG179-Transfer!AG163,Transfer!AG179-Transfer!AG183)</f>
        <v>809.85257479999927</v>
      </c>
      <c r="AT309" s="368">
        <f>IF(Transfer!AF183=-9999,100*(((Transfer!AG179-Transfer!AG163)/(Transfer!AF179-Transfer!AF163))-1),100*(((Transfer!AG179-Transfer!AG183)/(Transfer!AF179-Transfer!AF183))-1))</f>
        <v>1.2999999999999456</v>
      </c>
      <c r="AU309" s="369"/>
      <c r="AV309" s="54"/>
      <c r="AW309" s="54"/>
      <c r="AX309" s="54"/>
      <c r="AY309" s="54"/>
      <c r="AZ309" s="54"/>
      <c r="BA309" s="1581" t="s">
        <v>1332</v>
      </c>
      <c r="BB309" s="195"/>
      <c r="BC309" s="54"/>
    </row>
    <row r="310" spans="1:55">
      <c r="A310" s="45"/>
      <c r="B310" s="1575"/>
      <c r="C310" s="2333" t="s">
        <v>1254</v>
      </c>
      <c r="D310" s="2352"/>
      <c r="E310" s="2353">
        <f ca="1">100*Transfer!D179/Transfer!D176</f>
        <v>64.622674692848165</v>
      </c>
      <c r="F310" s="2336"/>
      <c r="G310" s="107">
        <f ca="1">100*Transfer!E179/Transfer!E176</f>
        <v>65.36488090824318</v>
      </c>
      <c r="H310" s="91"/>
      <c r="I310" s="2353">
        <f ca="1">100*Transfer!F179/Transfer!F176</f>
        <v>66.085352180224291</v>
      </c>
      <c r="J310" s="2336"/>
      <c r="K310" s="2353">
        <f ca="1">100*Transfer!G179/Transfer!G176</f>
        <v>66.723030683102934</v>
      </c>
      <c r="L310" s="2338"/>
      <c r="M310" s="2350"/>
      <c r="N310" s="54"/>
      <c r="O310" s="54"/>
      <c r="P310" s="54"/>
      <c r="Q310" s="54"/>
      <c r="R310" s="54"/>
      <c r="S310" s="189"/>
      <c r="T310" s="86" t="s">
        <v>1254</v>
      </c>
      <c r="U310" s="344"/>
      <c r="V310" s="367">
        <f t="shared" ca="1" si="18"/>
        <v>0</v>
      </c>
      <c r="W310" s="403"/>
      <c r="X310" s="403">
        <f t="shared" ca="1" si="18"/>
        <v>0</v>
      </c>
      <c r="Y310" s="403"/>
      <c r="Z310" s="403">
        <f t="shared" ca="1" si="18"/>
        <v>0</v>
      </c>
      <c r="AA310" s="403"/>
      <c r="AB310" s="403">
        <f t="shared" ca="1" si="18"/>
        <v>0</v>
      </c>
      <c r="AC310" s="368"/>
      <c r="AD310" s="103"/>
      <c r="AE310" s="45"/>
      <c r="AF310" s="45"/>
      <c r="AG310" s="45"/>
      <c r="AH310" s="45"/>
      <c r="AI310" s="45"/>
      <c r="AJ310" s="189"/>
      <c r="AK310" s="86" t="s">
        <v>1254</v>
      </c>
      <c r="AL310" s="105"/>
      <c r="AM310" s="403">
        <f>100*Transfer!AD179/Transfer!AD176</f>
        <v>64.622674692848165</v>
      </c>
      <c r="AN310" s="91"/>
      <c r="AO310" s="403">
        <f>100*Transfer!AE179/Transfer!AE176</f>
        <v>65.36488090824318</v>
      </c>
      <c r="AP310" s="91"/>
      <c r="AQ310" s="403">
        <f>100*Transfer!AF179/Transfer!AF176</f>
        <v>66.088273417614289</v>
      </c>
      <c r="AR310" s="91"/>
      <c r="AS310" s="403">
        <f>100*Transfer!AG179/Transfer!AG176</f>
        <v>66.736405434966869</v>
      </c>
      <c r="AT310" s="93"/>
      <c r="AU310" s="103"/>
      <c r="AV310" s="54"/>
      <c r="AW310" s="54"/>
      <c r="AX310" s="54"/>
      <c r="AY310" s="54"/>
      <c r="AZ310" s="54"/>
      <c r="BA310" s="1581" t="s">
        <v>1333</v>
      </c>
      <c r="BB310" s="195"/>
      <c r="BC310" s="54"/>
    </row>
    <row r="311" spans="1:55">
      <c r="A311" s="45"/>
      <c r="B311" s="1575"/>
      <c r="C311" s="1576" t="s">
        <v>1255</v>
      </c>
      <c r="D311" s="2311"/>
      <c r="E311" s="2353">
        <f ca="1">Transfer!D178</f>
        <v>390</v>
      </c>
      <c r="F311" s="2336">
        <f ca="1">100*((Transfer!D178/Transfer!C178)-1)</f>
        <v>-7.5829383886255926</v>
      </c>
      <c r="G311" s="92">
        <f ca="1">Transfer!E178</f>
        <v>354</v>
      </c>
      <c r="H311" s="91">
        <f ca="1">100*((Transfer!E178/Transfer!D178)-1)</f>
        <v>-9.2307692307692317</v>
      </c>
      <c r="I311" s="2353">
        <f ca="1">Transfer!F178</f>
        <v>323.54905000000053</v>
      </c>
      <c r="J311" s="2336">
        <f ca="1">100*((Transfer!F178/Transfer!E178)-1)</f>
        <v>-8.6019632768360115</v>
      </c>
      <c r="K311" s="2337">
        <f ca="1">Transfer!G178</f>
        <v>302.23791288000211</v>
      </c>
      <c r="L311" s="2338">
        <f ca="1">100*((Transfer!G178/Transfer!F178)-1)</f>
        <v>-6.5866789347699743</v>
      </c>
      <c r="M311" s="2354"/>
      <c r="N311" s="54"/>
      <c r="O311" s="54"/>
      <c r="P311" s="54"/>
      <c r="Q311" s="54"/>
      <c r="R311" s="54"/>
      <c r="S311" s="189"/>
      <c r="T311" s="40" t="s">
        <v>1255</v>
      </c>
      <c r="U311" s="195"/>
      <c r="V311" s="367">
        <f t="shared" ca="1" si="18"/>
        <v>0</v>
      </c>
      <c r="W311" s="403">
        <f ca="1">ROUND(F311,1)-ROUND(AN311,1)</f>
        <v>0</v>
      </c>
      <c r="X311" s="403">
        <f t="shared" ca="1" si="18"/>
        <v>0</v>
      </c>
      <c r="Y311" s="403">
        <f ca="1">ROUND(H311,1)-ROUND(AP311,1)</f>
        <v>0</v>
      </c>
      <c r="Z311" s="403">
        <f t="shared" ca="1" si="18"/>
        <v>0.19999999999998863</v>
      </c>
      <c r="AA311" s="403">
        <f ca="1">ROUND(J311,1)-ROUND(AR311,1)</f>
        <v>9.9999999999999645E-2</v>
      </c>
      <c r="AB311" s="403">
        <f t="shared" ca="1" si="18"/>
        <v>0.89999999999997726</v>
      </c>
      <c r="AC311" s="368">
        <f t="shared" ca="1" si="18"/>
        <v>0.20000000000000018</v>
      </c>
      <c r="AD311" s="372"/>
      <c r="AE311" s="45"/>
      <c r="AF311" s="45"/>
      <c r="AG311" s="45"/>
      <c r="AH311" s="45"/>
      <c r="AI311" s="45"/>
      <c r="AJ311" s="189"/>
      <c r="AK311" s="40" t="s">
        <v>1255</v>
      </c>
      <c r="AL311" s="65"/>
      <c r="AM311" s="403">
        <f>Transfer!AD178</f>
        <v>390</v>
      </c>
      <c r="AN311" s="367">
        <f>100*((Transfer!AD178/Transfer!AC178)-1)</f>
        <v>-7.5829383886255926</v>
      </c>
      <c r="AO311" s="404">
        <f>Transfer!AE178</f>
        <v>354</v>
      </c>
      <c r="AP311" s="367">
        <f>100*((Transfer!AE178/Transfer!AD178)-1)</f>
        <v>-9.2307692307692317</v>
      </c>
      <c r="AQ311" s="403">
        <f>Transfer!AF178</f>
        <v>323.33425000000079</v>
      </c>
      <c r="AR311" s="367">
        <f>100*((Transfer!AF178/Transfer!AE178)-1)</f>
        <v>-8.6626412429376298</v>
      </c>
      <c r="AS311" s="404">
        <f>Transfer!AG178</f>
        <v>301.25397788000191</v>
      </c>
      <c r="AT311" s="368">
        <f>100*((Transfer!AG178/Transfer!AF178)-1)</f>
        <v>-6.8289307798350514</v>
      </c>
      <c r="AU311" s="372"/>
      <c r="AV311" s="54"/>
      <c r="AW311" s="54"/>
      <c r="AX311" s="54"/>
      <c r="AY311" s="54"/>
      <c r="AZ311" s="54"/>
      <c r="BA311" s="1581" t="s">
        <v>1334</v>
      </c>
      <c r="BB311" s="195"/>
      <c r="BC311" s="54"/>
    </row>
    <row r="312" spans="1:55" ht="13.8" thickBot="1">
      <c r="A312" s="45"/>
      <c r="B312" s="1575"/>
      <c r="C312" s="2621" t="s">
        <v>1446</v>
      </c>
      <c r="D312" s="2622"/>
      <c r="E312" s="2357">
        <f ca="1">100*Transfer!D178/Transfer!D179</f>
        <v>8.2358406892765146</v>
      </c>
      <c r="F312" s="2623"/>
      <c r="G312" s="1922">
        <f ca="1">100*Transfer!E178/Transfer!E179</f>
        <v>7.3734638616954804</v>
      </c>
      <c r="H312" s="413"/>
      <c r="I312" s="2357">
        <f ca="1">100*Transfer!F178/Transfer!F179</f>
        <v>6.6583633925213368</v>
      </c>
      <c r="J312" s="2623"/>
      <c r="K312" s="2624">
        <f ca="1">100*Transfer!G178/Transfer!G179</f>
        <v>6.1573310078419903</v>
      </c>
      <c r="L312" s="2358"/>
      <c r="M312" s="2350"/>
      <c r="N312" s="54"/>
      <c r="O312" s="54"/>
      <c r="P312" s="54"/>
      <c r="Q312" s="54"/>
      <c r="R312" s="54"/>
      <c r="S312" s="189"/>
      <c r="T312" s="410" t="s">
        <v>1446</v>
      </c>
      <c r="U312" s="2005"/>
      <c r="V312" s="1975">
        <f t="shared" ca="1" si="18"/>
        <v>3.5999999999999996</v>
      </c>
      <c r="W312" s="412"/>
      <c r="X312" s="412">
        <f t="shared" ca="1" si="18"/>
        <v>3.2</v>
      </c>
      <c r="Y312" s="412"/>
      <c r="Z312" s="412">
        <f t="shared" ca="1" si="18"/>
        <v>2.9000000000000004</v>
      </c>
      <c r="AA312" s="412"/>
      <c r="AB312" s="412">
        <f t="shared" ca="1" si="18"/>
        <v>2.7</v>
      </c>
      <c r="AC312" s="1926"/>
      <c r="AD312" s="103"/>
      <c r="AE312" s="45"/>
      <c r="AF312" s="45"/>
      <c r="AG312" s="45"/>
      <c r="AH312" s="45"/>
      <c r="AI312" s="45"/>
      <c r="AJ312" s="189"/>
      <c r="AK312" s="410" t="s">
        <v>1446</v>
      </c>
      <c r="AL312" s="411"/>
      <c r="AM312" s="412">
        <f>100*Transfer!AD178/Transfer!AD177</f>
        <v>4.6441810108845907</v>
      </c>
      <c r="AN312" s="413"/>
      <c r="AO312" s="414">
        <f>100*Transfer!AE178/Transfer!AE177</f>
        <v>4.1887026639392273</v>
      </c>
      <c r="AP312" s="413"/>
      <c r="AQ312" s="412">
        <f>100*Transfer!AF178/Transfer!AF177</f>
        <v>3.8083466092988858</v>
      </c>
      <c r="AR312" s="413"/>
      <c r="AS312" s="414">
        <f>100*Transfer!AG178/Transfer!AG177</f>
        <v>3.5362817529441366</v>
      </c>
      <c r="AT312" s="112"/>
      <c r="AU312" s="103"/>
      <c r="AV312" s="54"/>
      <c r="AW312" s="54"/>
      <c r="AX312" s="54"/>
      <c r="AY312" s="54"/>
      <c r="AZ312" s="54"/>
      <c r="BA312" s="1581" t="s">
        <v>144</v>
      </c>
      <c r="BB312" s="195"/>
      <c r="BC312" s="54"/>
    </row>
    <row r="313" spans="1:55" ht="13.8" thickBot="1">
      <c r="A313" s="45"/>
      <c r="B313" s="1575"/>
      <c r="C313" s="2590"/>
      <c r="D313" s="2398"/>
      <c r="E313" s="2398"/>
      <c r="F313" s="2398"/>
      <c r="G313" s="2398"/>
      <c r="H313" s="2398"/>
      <c r="I313" s="2398"/>
      <c r="J313" s="2398"/>
      <c r="K313" s="2398"/>
      <c r="L313" s="2625"/>
      <c r="M313" s="1574"/>
      <c r="N313" s="54"/>
      <c r="O313" s="54"/>
      <c r="P313" s="54"/>
      <c r="Q313" s="54"/>
      <c r="R313" s="54"/>
      <c r="S313" s="189"/>
      <c r="T313" s="39"/>
      <c r="U313" s="1"/>
      <c r="V313" s="1"/>
      <c r="W313" s="1"/>
      <c r="X313" s="1"/>
      <c r="Y313" s="1"/>
      <c r="Z313" s="1"/>
      <c r="AA313" s="1"/>
      <c r="AB313" s="1"/>
      <c r="AC313" s="1927"/>
      <c r="AD313" s="90"/>
      <c r="AE313" s="45"/>
      <c r="AF313" s="45"/>
      <c r="AG313" s="45"/>
      <c r="AH313" s="45"/>
      <c r="AI313" s="45"/>
      <c r="AJ313" s="189"/>
      <c r="AK313" s="39"/>
      <c r="AL313" s="1"/>
      <c r="AM313" s="1"/>
      <c r="AN313" s="1"/>
      <c r="AO313" s="1"/>
      <c r="AP313" s="1"/>
      <c r="AQ313" s="1"/>
      <c r="AR313" s="1"/>
      <c r="AS313" s="1"/>
      <c r="AT313" s="415"/>
      <c r="AU313" s="90"/>
      <c r="AV313" s="54"/>
      <c r="AW313" s="54"/>
      <c r="AX313" s="54"/>
      <c r="AY313" s="54"/>
      <c r="AZ313" s="54"/>
      <c r="BA313" s="1581"/>
      <c r="BB313" s="195"/>
      <c r="BC313" s="54"/>
    </row>
    <row r="314" spans="1:55">
      <c r="A314" s="45"/>
      <c r="B314" s="1575"/>
      <c r="C314" s="2626" t="s">
        <v>1018</v>
      </c>
      <c r="D314" s="2482"/>
      <c r="E314" s="2627"/>
      <c r="F314" s="2627"/>
      <c r="G314" s="2627"/>
      <c r="H314" s="2627"/>
      <c r="I314" s="2952"/>
      <c r="J314" s="2627"/>
      <c r="K314" s="2627"/>
      <c r="L314" s="2628"/>
      <c r="M314" s="1574"/>
      <c r="N314" s="54"/>
      <c r="O314" s="54"/>
      <c r="P314" s="54"/>
      <c r="Q314" s="54"/>
      <c r="R314" s="54"/>
      <c r="S314" s="189"/>
      <c r="T314" s="416" t="s">
        <v>1018</v>
      </c>
      <c r="U314" s="264"/>
      <c r="V314" s="417"/>
      <c r="W314" s="417"/>
      <c r="X314" s="417"/>
      <c r="Y314" s="417"/>
      <c r="Z314" s="417"/>
      <c r="AA314" s="417"/>
      <c r="AB314" s="417"/>
      <c r="AC314" s="418"/>
      <c r="AD314" s="90"/>
      <c r="AE314" s="45"/>
      <c r="AF314" s="45"/>
      <c r="AG314" s="45"/>
      <c r="AH314" s="45"/>
      <c r="AI314" s="45"/>
      <c r="AJ314" s="189"/>
      <c r="AK314" s="416" t="s">
        <v>1018</v>
      </c>
      <c r="AL314" s="264"/>
      <c r="AM314" s="417"/>
      <c r="AN314" s="417"/>
      <c r="AO314" s="417"/>
      <c r="AP314" s="417"/>
      <c r="AQ314" s="417"/>
      <c r="AR314" s="417"/>
      <c r="AS314" s="417"/>
      <c r="AT314" s="418"/>
      <c r="AU314" s="90"/>
      <c r="AV314" s="54"/>
      <c r="AW314" s="54"/>
      <c r="AX314" s="54"/>
      <c r="AY314" s="54"/>
      <c r="AZ314" s="54"/>
      <c r="BA314" s="60"/>
      <c r="BB314" s="222"/>
      <c r="BC314" s="54"/>
    </row>
    <row r="315" spans="1:55">
      <c r="A315" s="45"/>
      <c r="B315" s="1575"/>
      <c r="C315" s="2618" t="s">
        <v>1919</v>
      </c>
      <c r="D315" s="2313"/>
      <c r="E315" s="2629"/>
      <c r="F315" s="2630"/>
      <c r="G315" s="2631"/>
      <c r="H315" s="2630"/>
      <c r="I315" s="2629"/>
      <c r="J315" s="2630"/>
      <c r="K315" s="2631"/>
      <c r="L315" s="2632"/>
      <c r="M315" s="2332"/>
      <c r="N315" s="54"/>
      <c r="O315" s="54"/>
      <c r="P315" s="54"/>
      <c r="Q315" s="54"/>
      <c r="R315" s="54"/>
      <c r="S315" s="189"/>
      <c r="T315" s="405" t="s">
        <v>1919</v>
      </c>
      <c r="U315" s="67"/>
      <c r="V315" s="419"/>
      <c r="W315" s="420"/>
      <c r="X315" s="421"/>
      <c r="Y315" s="420"/>
      <c r="Z315" s="419"/>
      <c r="AA315" s="420"/>
      <c r="AB315" s="421"/>
      <c r="AC315" s="422"/>
      <c r="AD315" s="374"/>
      <c r="AE315" s="45"/>
      <c r="AF315" s="45"/>
      <c r="AG315" s="45"/>
      <c r="AH315" s="45"/>
      <c r="AI315" s="45"/>
      <c r="AJ315" s="189"/>
      <c r="AK315" s="405" t="s">
        <v>1919</v>
      </c>
      <c r="AL315" s="67"/>
      <c r="AM315" s="419"/>
      <c r="AN315" s="420"/>
      <c r="AO315" s="421"/>
      <c r="AP315" s="420"/>
      <c r="AQ315" s="419"/>
      <c r="AR315" s="420"/>
      <c r="AS315" s="421"/>
      <c r="AT315" s="422"/>
      <c r="AU315" s="374"/>
      <c r="AV315" s="54"/>
      <c r="AW315" s="54"/>
      <c r="AX315" s="54"/>
      <c r="AY315" s="54"/>
      <c r="AZ315" s="54"/>
      <c r="BA315" s="1582" t="s">
        <v>120</v>
      </c>
      <c r="BB315" s="195"/>
      <c r="BC315" s="54"/>
    </row>
    <row r="316" spans="1:55">
      <c r="A316" s="45"/>
      <c r="B316" s="1575"/>
      <c r="C316" s="2618" t="s">
        <v>1056</v>
      </c>
      <c r="D316" s="2313"/>
      <c r="E316" s="2493"/>
      <c r="F316" s="2630"/>
      <c r="G316" s="2529"/>
      <c r="H316" s="2630"/>
      <c r="I316" s="2493"/>
      <c r="J316" s="2630"/>
      <c r="K316" s="2529"/>
      <c r="L316" s="2632"/>
      <c r="M316" s="2332"/>
      <c r="N316" s="54"/>
      <c r="O316" s="54"/>
      <c r="P316" s="54"/>
      <c r="Q316" s="54"/>
      <c r="R316" s="54"/>
      <c r="S316" s="189"/>
      <c r="T316" s="405" t="s">
        <v>1056</v>
      </c>
      <c r="U316" s="67"/>
      <c r="V316" s="423"/>
      <c r="W316" s="420"/>
      <c r="X316" s="70"/>
      <c r="Y316" s="420"/>
      <c r="Z316" s="423"/>
      <c r="AA316" s="420"/>
      <c r="AB316" s="70"/>
      <c r="AC316" s="422"/>
      <c r="AD316" s="374"/>
      <c r="AE316" s="45"/>
      <c r="AF316" s="45"/>
      <c r="AG316" s="45"/>
      <c r="AH316" s="45"/>
      <c r="AI316" s="45"/>
      <c r="AJ316" s="189"/>
      <c r="AK316" s="405" t="s">
        <v>1056</v>
      </c>
      <c r="AL316" s="67"/>
      <c r="AM316" s="423"/>
      <c r="AN316" s="420"/>
      <c r="AO316" s="70"/>
      <c r="AP316" s="420"/>
      <c r="AQ316" s="423"/>
      <c r="AR316" s="420"/>
      <c r="AS316" s="70"/>
      <c r="AT316" s="422"/>
      <c r="AU316" s="374"/>
      <c r="AV316" s="54"/>
      <c r="AW316" s="54"/>
      <c r="AX316" s="54"/>
      <c r="AY316" s="54"/>
      <c r="AZ316" s="54"/>
      <c r="BA316" s="1581" t="s">
        <v>1285</v>
      </c>
      <c r="BB316" s="195"/>
      <c r="BC316" s="54"/>
    </row>
    <row r="317" spans="1:55" ht="13.8" thickBot="1">
      <c r="A317" s="45"/>
      <c r="B317" s="1575"/>
      <c r="C317" s="2633" t="s">
        <v>1057</v>
      </c>
      <c r="D317" s="2634"/>
      <c r="E317" s="2635"/>
      <c r="F317" s="2636"/>
      <c r="G317" s="2635"/>
      <c r="H317" s="2636"/>
      <c r="I317" s="2635"/>
      <c r="J317" s="2636"/>
      <c r="K317" s="2635"/>
      <c r="L317" s="2637"/>
      <c r="M317" s="2332"/>
      <c r="N317" s="54"/>
      <c r="O317" s="54"/>
      <c r="P317" s="54"/>
      <c r="Q317" s="54"/>
      <c r="R317" s="54"/>
      <c r="S317" s="189"/>
      <c r="T317" s="424" t="s">
        <v>1057</v>
      </c>
      <c r="U317" s="425"/>
      <c r="V317" s="426"/>
      <c r="W317" s="427"/>
      <c r="X317" s="426"/>
      <c r="Y317" s="427"/>
      <c r="Z317" s="426"/>
      <c r="AA317" s="427"/>
      <c r="AB317" s="426"/>
      <c r="AC317" s="428"/>
      <c r="AD317" s="374"/>
      <c r="AE317" s="45"/>
      <c r="AF317" s="45"/>
      <c r="AG317" s="45"/>
      <c r="AH317" s="45"/>
      <c r="AI317" s="45"/>
      <c r="AJ317" s="189"/>
      <c r="AK317" s="424" t="s">
        <v>1057</v>
      </c>
      <c r="AL317" s="425"/>
      <c r="AM317" s="426"/>
      <c r="AN317" s="427"/>
      <c r="AO317" s="426"/>
      <c r="AP317" s="427"/>
      <c r="AQ317" s="426"/>
      <c r="AR317" s="427"/>
      <c r="AS317" s="426"/>
      <c r="AT317" s="428"/>
      <c r="AU317" s="374"/>
      <c r="AV317" s="54"/>
      <c r="AW317" s="54"/>
      <c r="AX317" s="54"/>
      <c r="AY317" s="54"/>
      <c r="AZ317" s="54"/>
      <c r="BA317" s="1584" t="s">
        <v>470</v>
      </c>
      <c r="BB317" s="500"/>
      <c r="BC317" s="54"/>
    </row>
    <row r="318" spans="1:55">
      <c r="A318" s="45"/>
      <c r="B318" s="1614"/>
      <c r="C318" s="2495"/>
      <c r="D318" s="2495"/>
      <c r="E318" s="2428"/>
      <c r="F318" s="2428"/>
      <c r="G318" s="2723"/>
      <c r="H318" s="2428"/>
      <c r="I318" s="2723"/>
      <c r="J318" s="2428"/>
      <c r="K318" s="2723"/>
      <c r="L318" s="2360" t="str">
        <f>UPPER(Country)</f>
        <v>BELGIUM</v>
      </c>
      <c r="M318" s="2429"/>
      <c r="N318" s="54"/>
      <c r="O318" s="54"/>
      <c r="P318" s="54"/>
      <c r="Q318" s="54"/>
      <c r="R318" s="54"/>
      <c r="S318" s="216"/>
      <c r="T318" s="278"/>
      <c r="U318" s="278"/>
      <c r="V318" s="113"/>
      <c r="W318" s="113"/>
      <c r="X318" s="113"/>
      <c r="Y318" s="113"/>
      <c r="Z318" s="113"/>
      <c r="AA318" s="113"/>
      <c r="AB318" s="113"/>
      <c r="AC318" s="118" t="str">
        <f>UPPER(Country)</f>
        <v>BELGIUM</v>
      </c>
      <c r="AD318" s="217"/>
      <c r="AE318" s="45"/>
      <c r="AF318" s="45"/>
      <c r="AG318" s="45"/>
      <c r="AH318" s="45"/>
      <c r="AI318" s="45"/>
      <c r="AJ318" s="216"/>
      <c r="AK318" s="278"/>
      <c r="AL318" s="278"/>
      <c r="AM318" s="113"/>
      <c r="AN318" s="113"/>
      <c r="AO318" s="113"/>
      <c r="AP318" s="113"/>
      <c r="AQ318" s="113"/>
      <c r="AR318" s="113"/>
      <c r="AS318" s="113"/>
      <c r="AT318" s="118" t="str">
        <f>UPPER(Country)</f>
        <v>BELGIUM</v>
      </c>
      <c r="AU318" s="217"/>
      <c r="AV318" s="54"/>
      <c r="AW318" s="54"/>
      <c r="AX318" s="54"/>
      <c r="AY318" s="54"/>
      <c r="AZ318" s="54"/>
      <c r="BA318" s="54"/>
      <c r="BB318" s="54"/>
      <c r="BC318" s="54"/>
    </row>
    <row r="319" spans="1:55">
      <c r="A319" s="45"/>
      <c r="B319" s="45"/>
      <c r="C319" s="45"/>
      <c r="D319" s="45"/>
      <c r="E319" s="45"/>
      <c r="F319" s="45"/>
      <c r="G319" s="45"/>
      <c r="H319" s="45"/>
      <c r="I319" s="45"/>
      <c r="J319" s="45"/>
      <c r="K319" s="45"/>
      <c r="L319" s="45"/>
      <c r="M319" s="45"/>
      <c r="N319" s="54"/>
      <c r="O319" s="54"/>
      <c r="P319" s="54"/>
      <c r="Q319" s="54"/>
      <c r="R319" s="54"/>
      <c r="S319" s="54"/>
      <c r="T319" s="54"/>
      <c r="U319" s="54"/>
      <c r="V319" s="54"/>
      <c r="W319" s="54"/>
      <c r="X319" s="54"/>
      <c r="Y319" s="54"/>
      <c r="Z319" s="54"/>
      <c r="AA319" s="54"/>
      <c r="AB319" s="45"/>
      <c r="AC319" s="45"/>
      <c r="AD319" s="45"/>
      <c r="AE319" s="45"/>
      <c r="AF319" s="45"/>
      <c r="AG319" s="45"/>
      <c r="AH319" s="45"/>
      <c r="AI319" s="45"/>
      <c r="AJ319" s="45"/>
      <c r="AK319" s="45"/>
      <c r="AL319" s="45"/>
      <c r="AM319" s="45"/>
      <c r="AN319" s="45"/>
      <c r="AO319" s="45"/>
      <c r="AP319" s="45"/>
      <c r="AQ319" s="45"/>
      <c r="AR319" s="45"/>
      <c r="AS319" s="45"/>
      <c r="AT319" s="45"/>
      <c r="AU319" s="45"/>
      <c r="AV319" s="54"/>
      <c r="AW319" s="54"/>
      <c r="AX319" s="54"/>
      <c r="AY319" s="54"/>
      <c r="AZ319" s="54"/>
      <c r="BA319" s="54"/>
      <c r="BB319" s="54"/>
      <c r="BC319" s="54"/>
    </row>
    <row r="320" spans="1:55">
      <c r="A320" s="45"/>
      <c r="B320" s="45"/>
      <c r="C320" s="45"/>
      <c r="D320" s="45"/>
      <c r="E320" s="45"/>
      <c r="F320" s="45"/>
      <c r="G320" s="45"/>
      <c r="H320" s="45"/>
      <c r="I320" s="45"/>
      <c r="J320" s="45"/>
      <c r="K320" s="45"/>
      <c r="L320" s="45"/>
      <c r="M320" s="186"/>
      <c r="N320" s="54"/>
      <c r="O320" s="54"/>
      <c r="P320" s="54"/>
      <c r="Q320" s="54"/>
      <c r="R320" s="54"/>
      <c r="S320" s="54"/>
      <c r="T320" s="54"/>
      <c r="U320" s="54"/>
      <c r="V320" s="54"/>
      <c r="W320" s="54"/>
      <c r="X320" s="54"/>
      <c r="Y320" s="54"/>
      <c r="Z320" s="54"/>
      <c r="AA320" s="54"/>
      <c r="AB320" s="45"/>
      <c r="AC320" s="45"/>
      <c r="AD320" s="45"/>
      <c r="AE320" s="45"/>
      <c r="AF320" s="45"/>
      <c r="AG320" s="45"/>
      <c r="AH320" s="45"/>
      <c r="AI320" s="45"/>
      <c r="AJ320" s="45"/>
      <c r="AK320" s="45"/>
      <c r="AL320" s="45"/>
      <c r="AM320" s="45"/>
      <c r="AN320" s="45"/>
      <c r="AO320" s="45"/>
      <c r="AP320" s="45"/>
      <c r="AQ320" s="45"/>
      <c r="AR320" s="45"/>
      <c r="AS320" s="45"/>
      <c r="AT320" s="45"/>
      <c r="AU320" s="186"/>
      <c r="AV320" s="54"/>
      <c r="AW320" s="54"/>
      <c r="AX320" s="54"/>
      <c r="AY320" s="54"/>
      <c r="AZ320" s="54"/>
      <c r="BA320" s="54"/>
      <c r="BB320" s="54"/>
      <c r="BC320" s="54"/>
    </row>
    <row r="321" spans="1:55">
      <c r="A321" s="45"/>
      <c r="B321" s="45"/>
      <c r="C321" s="45"/>
      <c r="D321" s="45"/>
      <c r="E321" s="45"/>
      <c r="F321" s="45"/>
      <c r="G321" s="45"/>
      <c r="H321" s="45"/>
      <c r="I321" s="45"/>
      <c r="J321" s="45"/>
      <c r="K321" s="45"/>
      <c r="L321" s="45"/>
      <c r="M321" s="186"/>
      <c r="N321" s="54"/>
      <c r="O321" s="54"/>
      <c r="P321" s="54"/>
      <c r="Q321" s="54"/>
      <c r="R321" s="54"/>
      <c r="S321" s="54"/>
      <c r="T321" s="54"/>
      <c r="U321" s="54"/>
      <c r="V321" s="54"/>
      <c r="W321" s="54"/>
      <c r="X321" s="54"/>
      <c r="Y321" s="54"/>
      <c r="Z321" s="54"/>
      <c r="AA321" s="54"/>
      <c r="AB321" s="45"/>
      <c r="AC321" s="45"/>
      <c r="AD321" s="45"/>
      <c r="AE321" s="45"/>
      <c r="AF321" s="45"/>
      <c r="AG321" s="45"/>
      <c r="AH321" s="45"/>
      <c r="AI321" s="45"/>
      <c r="AJ321" s="45"/>
      <c r="AK321" s="45"/>
      <c r="AL321" s="45"/>
      <c r="AM321" s="45"/>
      <c r="AN321" s="45"/>
      <c r="AO321" s="45"/>
      <c r="AP321" s="45"/>
      <c r="AQ321" s="45"/>
      <c r="AR321" s="45"/>
      <c r="AS321" s="45"/>
      <c r="AT321" s="45"/>
      <c r="AU321" s="186"/>
      <c r="AV321" s="54"/>
      <c r="AW321" s="54"/>
      <c r="AX321" s="54"/>
      <c r="AY321" s="54"/>
      <c r="AZ321" s="54"/>
      <c r="BA321" s="54"/>
      <c r="BB321" s="54"/>
      <c r="BC321" s="54"/>
    </row>
    <row r="322" spans="1:55">
      <c r="A322" s="45"/>
      <c r="B322" s="45"/>
      <c r="C322" s="45"/>
      <c r="D322" s="45"/>
      <c r="E322" s="45"/>
      <c r="F322" s="45"/>
      <c r="G322" s="45"/>
      <c r="H322" s="45"/>
      <c r="I322" s="45"/>
      <c r="J322" s="45"/>
      <c r="K322" s="45"/>
      <c r="L322" s="45"/>
      <c r="M322" s="186"/>
      <c r="N322" s="54"/>
      <c r="O322" s="54"/>
      <c r="P322" s="54"/>
      <c r="Q322" s="54"/>
      <c r="R322" s="54"/>
      <c r="S322" s="54"/>
      <c r="T322" s="54"/>
      <c r="U322" s="54"/>
      <c r="V322" s="54"/>
      <c r="W322" s="54"/>
      <c r="X322" s="54"/>
      <c r="Y322" s="54"/>
      <c r="Z322" s="54"/>
      <c r="AA322" s="54"/>
      <c r="AB322" s="45"/>
      <c r="AC322" s="45"/>
      <c r="AD322" s="45"/>
      <c r="AE322" s="45"/>
      <c r="AF322" s="45"/>
      <c r="AG322" s="45"/>
      <c r="AH322" s="45"/>
      <c r="AI322" s="45"/>
      <c r="AJ322" s="45"/>
      <c r="AK322" s="45"/>
      <c r="AL322" s="45"/>
      <c r="AM322" s="45"/>
      <c r="AN322" s="45"/>
      <c r="AO322" s="45"/>
      <c r="AP322" s="45"/>
      <c r="AQ322" s="45"/>
      <c r="AR322" s="45"/>
      <c r="AS322" s="45"/>
      <c r="AT322" s="45"/>
      <c r="AU322" s="186"/>
      <c r="AV322" s="54"/>
      <c r="AW322" s="54"/>
      <c r="AX322" s="54"/>
      <c r="AY322" s="54"/>
      <c r="AZ322" s="54"/>
      <c r="BA322" s="54"/>
      <c r="BB322" s="54"/>
      <c r="BC322" s="54"/>
    </row>
    <row r="323" spans="1:55">
      <c r="A323" s="45"/>
      <c r="B323" s="45"/>
      <c r="C323" s="54"/>
      <c r="D323" s="54"/>
      <c r="E323" s="54"/>
      <c r="F323" s="54"/>
      <c r="G323" s="54"/>
      <c r="H323" s="54"/>
      <c r="I323" s="54"/>
      <c r="J323" s="54"/>
      <c r="K323" s="54"/>
      <c r="L323" s="54"/>
      <c r="M323" s="54"/>
      <c r="N323" s="54"/>
      <c r="O323" s="54"/>
      <c r="P323" s="54"/>
      <c r="Q323" s="54"/>
      <c r="R323" s="54"/>
      <c r="S323" s="54"/>
      <c r="T323" s="54"/>
      <c r="U323" s="54"/>
      <c r="V323" s="54"/>
      <c r="W323" s="54"/>
      <c r="X323" s="54"/>
      <c r="Y323" s="54"/>
      <c r="Z323" s="54"/>
      <c r="AA323" s="54"/>
      <c r="AB323" s="45"/>
      <c r="AC323" s="45"/>
      <c r="AD323" s="45"/>
      <c r="AE323" s="45"/>
      <c r="AF323" s="45"/>
      <c r="AG323" s="45"/>
      <c r="AH323" s="45"/>
      <c r="AI323" s="45"/>
      <c r="AJ323" s="45"/>
      <c r="AK323" s="54"/>
      <c r="AL323" s="54"/>
      <c r="AM323" s="54"/>
      <c r="AN323" s="54"/>
      <c r="AO323" s="54"/>
      <c r="AP323" s="54"/>
      <c r="AQ323" s="54"/>
      <c r="AR323" s="54"/>
      <c r="AS323" s="54"/>
      <c r="AT323" s="54"/>
      <c r="AU323" s="54"/>
      <c r="AV323" s="54"/>
      <c r="AW323" s="54"/>
      <c r="AX323" s="54"/>
      <c r="AY323" s="54"/>
      <c r="AZ323" s="54"/>
      <c r="BA323" s="54"/>
      <c r="BB323" s="54"/>
      <c r="BC323" s="54"/>
    </row>
    <row r="324" spans="1:55">
      <c r="A324" s="45"/>
      <c r="B324" s="54"/>
      <c r="C324" s="54"/>
      <c r="D324" s="54"/>
      <c r="E324" s="54"/>
      <c r="F324" s="54"/>
      <c r="G324" s="54"/>
      <c r="H324" s="54"/>
      <c r="I324" s="54"/>
      <c r="J324" s="54"/>
      <c r="K324" s="54"/>
      <c r="L324" s="54"/>
      <c r="M324" s="54"/>
      <c r="N324" s="54"/>
      <c r="O324" s="54"/>
      <c r="P324" s="54"/>
      <c r="Q324" s="54"/>
      <c r="R324" s="54"/>
      <c r="S324" s="54"/>
      <c r="T324" s="54"/>
      <c r="U324" s="54"/>
      <c r="V324" s="54"/>
      <c r="W324" s="54"/>
      <c r="X324" s="54"/>
      <c r="Y324" s="54"/>
      <c r="Z324" s="54"/>
      <c r="AA324" s="54"/>
      <c r="AB324" s="45"/>
      <c r="AC324" s="45"/>
      <c r="AD324" s="45"/>
      <c r="AE324" s="45"/>
      <c r="AF324" s="45"/>
      <c r="AG324" s="45"/>
      <c r="AH324" s="45"/>
      <c r="AI324" s="45"/>
      <c r="AJ324" s="54"/>
      <c r="AK324" s="54"/>
      <c r="AL324" s="54"/>
      <c r="AM324" s="54"/>
      <c r="AN324" s="54"/>
      <c r="AO324" s="54"/>
      <c r="AP324" s="54"/>
      <c r="AQ324" s="54"/>
      <c r="AR324" s="54"/>
      <c r="AS324" s="54"/>
      <c r="AT324" s="54"/>
      <c r="AU324" s="54"/>
      <c r="AV324" s="54"/>
      <c r="AW324" s="54"/>
      <c r="AX324" s="54"/>
      <c r="AY324" s="54"/>
      <c r="AZ324" s="54"/>
      <c r="BA324" s="54"/>
      <c r="BB324" s="54"/>
      <c r="BC324" s="54"/>
    </row>
    <row r="325" spans="1:55">
      <c r="A325" s="45"/>
      <c r="B325" s="54"/>
      <c r="C325" s="54"/>
      <c r="D325" s="54"/>
      <c r="E325" s="54"/>
      <c r="F325" s="54"/>
      <c r="G325" s="54"/>
      <c r="H325" s="54"/>
      <c r="I325" s="54"/>
      <c r="J325" s="54"/>
      <c r="K325" s="54"/>
      <c r="L325" s="54"/>
      <c r="M325" s="54"/>
      <c r="N325" s="54"/>
      <c r="O325" s="54"/>
      <c r="P325" s="54"/>
      <c r="Q325" s="54"/>
      <c r="R325" s="54"/>
      <c r="S325" s="54"/>
      <c r="T325" s="54"/>
      <c r="U325" s="54"/>
      <c r="V325" s="54"/>
      <c r="W325" s="54"/>
      <c r="X325" s="54"/>
      <c r="Y325" s="54"/>
      <c r="Z325" s="54"/>
      <c r="AA325" s="54"/>
      <c r="AB325" s="45"/>
      <c r="AC325" s="45"/>
      <c r="AD325" s="45"/>
      <c r="AE325" s="45"/>
      <c r="AF325" s="45"/>
      <c r="AG325" s="45"/>
      <c r="AH325" s="45"/>
      <c r="AI325" s="45"/>
      <c r="AJ325" s="54"/>
      <c r="AK325" s="54"/>
      <c r="AL325" s="54"/>
      <c r="AM325" s="54"/>
      <c r="AN325" s="54"/>
      <c r="AO325" s="54"/>
      <c r="AP325" s="54"/>
      <c r="AQ325" s="54"/>
      <c r="AR325" s="54"/>
      <c r="AS325" s="54"/>
      <c r="AT325" s="54"/>
      <c r="AU325" s="54"/>
      <c r="AV325" s="54"/>
      <c r="AW325" s="54"/>
      <c r="AX325" s="54"/>
      <c r="AY325" s="54"/>
      <c r="AZ325" s="54"/>
      <c r="BA325" s="54"/>
      <c r="BB325" s="54"/>
      <c r="BC325" s="54"/>
    </row>
    <row r="326" spans="1:55">
      <c r="A326" s="45"/>
      <c r="B326" s="54"/>
      <c r="C326" s="54"/>
      <c r="D326" s="54"/>
      <c r="E326" s="54"/>
      <c r="F326" s="54"/>
      <c r="G326" s="54"/>
      <c r="H326" s="54"/>
      <c r="I326" s="54"/>
      <c r="J326" s="54"/>
      <c r="K326" s="54"/>
      <c r="L326" s="54"/>
      <c r="M326" s="54"/>
      <c r="N326" s="54"/>
      <c r="O326" s="54"/>
      <c r="P326" s="54"/>
      <c r="Q326" s="54"/>
      <c r="R326" s="54"/>
      <c r="S326" s="54"/>
      <c r="T326" s="54"/>
      <c r="U326" s="54"/>
      <c r="V326" s="54"/>
      <c r="W326" s="54"/>
      <c r="X326" s="54"/>
      <c r="Y326" s="54"/>
      <c r="Z326" s="54"/>
      <c r="AA326" s="54"/>
      <c r="AB326" s="45"/>
      <c r="AC326" s="45"/>
      <c r="AD326" s="45"/>
      <c r="AE326" s="45"/>
      <c r="AF326" s="45"/>
      <c r="AG326" s="45"/>
      <c r="AH326" s="45"/>
      <c r="AI326" s="45"/>
      <c r="AJ326" s="54"/>
      <c r="AK326" s="54"/>
      <c r="AL326" s="54"/>
      <c r="AM326" s="54"/>
      <c r="AN326" s="54"/>
      <c r="AO326" s="54"/>
      <c r="AP326" s="54"/>
      <c r="AQ326" s="54"/>
      <c r="AR326" s="54"/>
      <c r="AS326" s="54"/>
      <c r="AT326" s="54"/>
      <c r="AU326" s="54"/>
      <c r="AV326" s="54"/>
      <c r="AW326" s="54"/>
      <c r="AX326" s="54"/>
      <c r="AY326" s="54"/>
      <c r="AZ326" s="54"/>
      <c r="BA326" s="54"/>
      <c r="BB326" s="54"/>
      <c r="BC326" s="54"/>
    </row>
    <row r="327" spans="1:55">
      <c r="A327" s="45"/>
      <c r="B327" s="54"/>
      <c r="C327" s="54"/>
      <c r="D327" s="54"/>
      <c r="E327" s="54"/>
      <c r="F327" s="54"/>
      <c r="G327" s="54"/>
      <c r="H327" s="54"/>
      <c r="I327" s="54"/>
      <c r="J327" s="54"/>
      <c r="K327" s="54"/>
      <c r="L327" s="54"/>
      <c r="M327" s="54"/>
      <c r="N327" s="54"/>
      <c r="O327" s="54"/>
      <c r="P327" s="54"/>
      <c r="Q327" s="54"/>
      <c r="R327" s="54"/>
      <c r="S327" s="54"/>
      <c r="T327" s="54"/>
      <c r="U327" s="54"/>
      <c r="V327" s="54"/>
      <c r="W327" s="54"/>
      <c r="X327" s="54"/>
      <c r="Y327" s="54"/>
      <c r="Z327" s="54"/>
      <c r="AA327" s="54"/>
      <c r="AB327" s="45"/>
      <c r="AC327" s="45"/>
      <c r="AD327" s="45"/>
      <c r="AE327" s="45"/>
      <c r="AF327" s="45"/>
      <c r="AG327" s="45"/>
      <c r="AH327" s="45"/>
      <c r="AI327" s="45"/>
      <c r="AJ327" s="54"/>
      <c r="AK327" s="54"/>
      <c r="AL327" s="54"/>
      <c r="AM327" s="54"/>
      <c r="AN327" s="54"/>
      <c r="AO327" s="54"/>
      <c r="AP327" s="54"/>
      <c r="AQ327" s="54"/>
      <c r="AR327" s="54"/>
      <c r="AS327" s="54"/>
      <c r="AT327" s="54"/>
      <c r="AU327" s="54"/>
      <c r="AV327" s="54"/>
      <c r="AW327" s="54"/>
      <c r="AX327" s="54"/>
      <c r="AY327" s="54"/>
      <c r="AZ327" s="54"/>
      <c r="BA327" s="54"/>
      <c r="BB327" s="54"/>
      <c r="BC327" s="54"/>
    </row>
    <row r="328" spans="1:55">
      <c r="A328" s="45"/>
      <c r="B328" s="54"/>
      <c r="C328" s="54"/>
      <c r="D328" s="54"/>
      <c r="E328" s="54"/>
      <c r="F328" s="54"/>
      <c r="G328" s="54"/>
      <c r="H328" s="54"/>
      <c r="I328" s="54"/>
      <c r="J328" s="54"/>
      <c r="K328" s="54"/>
      <c r="L328" s="54"/>
      <c r="M328" s="54"/>
      <c r="N328" s="54"/>
      <c r="O328" s="54"/>
      <c r="P328" s="54"/>
      <c r="Q328" s="54"/>
      <c r="R328" s="54"/>
      <c r="S328" s="54"/>
      <c r="T328" s="54"/>
      <c r="U328" s="54"/>
      <c r="V328" s="54"/>
      <c r="W328" s="54"/>
      <c r="X328" s="54"/>
      <c r="Y328" s="54"/>
      <c r="Z328" s="54"/>
      <c r="AA328" s="54"/>
      <c r="AB328" s="45"/>
      <c r="AC328" s="45"/>
      <c r="AD328" s="45"/>
      <c r="AE328" s="45"/>
      <c r="AF328" s="45"/>
      <c r="AG328" s="45"/>
      <c r="AH328" s="45"/>
      <c r="AI328" s="45"/>
      <c r="AJ328" s="54"/>
      <c r="AK328" s="54"/>
      <c r="AL328" s="54"/>
      <c r="AM328" s="54"/>
      <c r="AN328" s="54"/>
      <c r="AO328" s="54"/>
      <c r="AP328" s="54"/>
      <c r="AQ328" s="54"/>
      <c r="AR328" s="54"/>
      <c r="AS328" s="54"/>
      <c r="AT328" s="54"/>
      <c r="AU328" s="54"/>
      <c r="AV328" s="54"/>
      <c r="AW328" s="54"/>
      <c r="AX328" s="54"/>
      <c r="AY328" s="54"/>
      <c r="AZ328" s="54"/>
      <c r="BA328" s="54"/>
      <c r="BB328" s="54"/>
      <c r="BC328" s="54"/>
    </row>
    <row r="329" spans="1:55">
      <c r="A329" s="45"/>
      <c r="B329" s="2301"/>
      <c r="C329" s="2396"/>
      <c r="D329" s="2396"/>
      <c r="E329" s="2396"/>
      <c r="F329" s="2396"/>
      <c r="G329" s="2396"/>
      <c r="H329" s="2396"/>
      <c r="I329" s="2396"/>
      <c r="J329" s="2396"/>
      <c r="K329" s="2396"/>
      <c r="L329" s="2396"/>
      <c r="M329" s="2396"/>
      <c r="N329" s="2446"/>
      <c r="O329" s="54"/>
      <c r="P329" s="54"/>
      <c r="Q329" s="54"/>
      <c r="R329" s="54"/>
      <c r="S329" s="187"/>
      <c r="T329" s="23"/>
      <c r="U329" s="23"/>
      <c r="V329" s="23"/>
      <c r="W329" s="23"/>
      <c r="X329" s="23"/>
      <c r="Y329" s="23"/>
      <c r="Z329" s="23"/>
      <c r="AA329" s="23"/>
      <c r="AB329" s="23"/>
      <c r="AC329" s="23"/>
      <c r="AD329" s="23"/>
      <c r="AE329" s="239"/>
      <c r="AF329" s="45"/>
      <c r="AG329" s="45"/>
      <c r="AH329" s="45"/>
      <c r="AI329" s="45"/>
      <c r="AJ329" s="187"/>
      <c r="AK329" s="23"/>
      <c r="AL329" s="23"/>
      <c r="AM329" s="23"/>
      <c r="AN329" s="23"/>
      <c r="AO329" s="23"/>
      <c r="AP329" s="23"/>
      <c r="AQ329" s="23"/>
      <c r="AR329" s="23"/>
      <c r="AS329" s="23"/>
      <c r="AT329" s="23"/>
      <c r="AU329" s="23"/>
      <c r="AV329" s="239"/>
      <c r="AW329" s="54"/>
      <c r="AX329" s="54"/>
      <c r="AY329" s="54"/>
      <c r="AZ329" s="54"/>
      <c r="BA329" s="54"/>
      <c r="BB329" s="54"/>
      <c r="BC329" s="54"/>
    </row>
    <row r="330" spans="1:55">
      <c r="A330" s="45"/>
      <c r="B330" s="1575"/>
      <c r="C330" s="2431" t="s">
        <v>1058</v>
      </c>
      <c r="D330" s="2431"/>
      <c r="E330" s="2638"/>
      <c r="F330" s="2311"/>
      <c r="G330" s="2311"/>
      <c r="H330" s="2311"/>
      <c r="I330" s="2311"/>
      <c r="J330" s="2311"/>
      <c r="K330" s="2311"/>
      <c r="L330" s="2311"/>
      <c r="M330" s="2311"/>
      <c r="N330" s="2480"/>
      <c r="O330" s="54"/>
      <c r="P330" s="54"/>
      <c r="Q330" s="54"/>
      <c r="R330" s="54"/>
      <c r="S330" s="189"/>
      <c r="T330" s="123" t="s">
        <v>1058</v>
      </c>
      <c r="U330" s="123"/>
      <c r="V330" s="124"/>
      <c r="W330" s="49"/>
      <c r="X330" s="49"/>
      <c r="Y330" s="49"/>
      <c r="Z330" s="49"/>
      <c r="AA330" s="49"/>
      <c r="AB330" s="49"/>
      <c r="AC330" s="49"/>
      <c r="AD330" s="49"/>
      <c r="AE330" s="261"/>
      <c r="AF330" s="45"/>
      <c r="AG330" s="45"/>
      <c r="AH330" s="45"/>
      <c r="AI330" s="45"/>
      <c r="AJ330" s="189"/>
      <c r="AK330" s="123" t="s">
        <v>1058</v>
      </c>
      <c r="AL330" s="123"/>
      <c r="AM330" s="124"/>
      <c r="AN330" s="49"/>
      <c r="AO330" s="49"/>
      <c r="AP330" s="49"/>
      <c r="AQ330" s="49"/>
      <c r="AR330" s="49"/>
      <c r="AS330" s="49"/>
      <c r="AT330" s="49"/>
      <c r="AU330" s="49"/>
      <c r="AV330" s="261"/>
      <c r="AW330" s="54"/>
      <c r="AX330" s="54"/>
      <c r="AY330" s="54"/>
      <c r="AZ330" s="54"/>
      <c r="BA330" s="54"/>
      <c r="BB330" s="54"/>
      <c r="BC330" s="54"/>
    </row>
    <row r="331" spans="1:55">
      <c r="A331" s="45"/>
      <c r="B331" s="1575"/>
      <c r="C331" s="4207" t="s">
        <v>71</v>
      </c>
      <c r="D331" s="4207"/>
      <c r="E331" s="4207"/>
      <c r="F331" s="4207"/>
      <c r="G331" s="4207"/>
      <c r="H331" s="4207"/>
      <c r="I331" s="4207"/>
      <c r="J331" s="4207"/>
      <c r="K331" s="4207"/>
      <c r="L331" s="4207"/>
      <c r="M331" s="4207"/>
      <c r="N331" s="2405"/>
      <c r="O331" s="54"/>
      <c r="P331" s="54"/>
      <c r="Q331" s="54"/>
      <c r="R331" s="54"/>
      <c r="S331" s="189"/>
      <c r="T331" s="4250" t="s">
        <v>71</v>
      </c>
      <c r="U331" s="4250"/>
      <c r="V331" s="4250"/>
      <c r="W331" s="4250"/>
      <c r="X331" s="4250"/>
      <c r="Y331" s="4250"/>
      <c r="Z331" s="4250"/>
      <c r="AA331" s="4250"/>
      <c r="AB331" s="4250"/>
      <c r="AC331" s="4250"/>
      <c r="AD331" s="4250"/>
      <c r="AE331" s="195"/>
      <c r="AF331" s="45"/>
      <c r="AG331" s="45"/>
      <c r="AH331" s="45"/>
      <c r="AI331" s="45"/>
      <c r="AJ331" s="189"/>
      <c r="AK331" s="4250" t="s">
        <v>71</v>
      </c>
      <c r="AL331" s="4250"/>
      <c r="AM331" s="4250"/>
      <c r="AN331" s="4250"/>
      <c r="AO331" s="4250"/>
      <c r="AP331" s="4250"/>
      <c r="AQ331" s="4250"/>
      <c r="AR331" s="4250"/>
      <c r="AS331" s="4250"/>
      <c r="AT331" s="4250"/>
      <c r="AU331" s="4250"/>
      <c r="AV331" s="195"/>
      <c r="AW331" s="54"/>
      <c r="AX331" s="54"/>
      <c r="AY331" s="54"/>
      <c r="AZ331" s="54"/>
      <c r="BA331" s="54"/>
      <c r="BB331" s="54"/>
      <c r="BC331" s="54"/>
    </row>
    <row r="332" spans="1:55">
      <c r="A332" s="45"/>
      <c r="B332" s="1575"/>
      <c r="C332" s="2398"/>
      <c r="D332" s="2309"/>
      <c r="E332" s="2639"/>
      <c r="F332" s="2311"/>
      <c r="G332" s="2311"/>
      <c r="H332" s="2311"/>
      <c r="I332" s="2311"/>
      <c r="J332" s="2980"/>
      <c r="K332" s="2311"/>
      <c r="L332" s="2311"/>
      <c r="M332" s="2311"/>
      <c r="N332" s="1574"/>
      <c r="O332" s="54"/>
      <c r="P332" s="54"/>
      <c r="Q332" s="54"/>
      <c r="R332" s="54"/>
      <c r="S332" s="189"/>
      <c r="T332" s="1"/>
      <c r="U332" s="129"/>
      <c r="V332" s="48"/>
      <c r="W332" s="49"/>
      <c r="X332" s="49"/>
      <c r="Y332" s="49"/>
      <c r="Z332" s="49"/>
      <c r="AA332" s="49"/>
      <c r="AB332" s="49"/>
      <c r="AC332" s="49"/>
      <c r="AD332" s="49"/>
      <c r="AE332" s="90"/>
      <c r="AF332" s="45"/>
      <c r="AG332" s="45"/>
      <c r="AH332" s="45"/>
      <c r="AI332" s="45"/>
      <c r="AJ332" s="189"/>
      <c r="AK332" s="1"/>
      <c r="AL332" s="129"/>
      <c r="AM332" s="48"/>
      <c r="AN332" s="49"/>
      <c r="AO332" s="49"/>
      <c r="AP332" s="49"/>
      <c r="AQ332" s="49"/>
      <c r="AR332" s="49"/>
      <c r="AS332" s="49"/>
      <c r="AT332" s="49"/>
      <c r="AU332" s="49"/>
      <c r="AV332" s="90"/>
      <c r="AW332" s="54"/>
      <c r="AX332" s="54"/>
      <c r="AY332" s="54"/>
      <c r="AZ332" s="54"/>
      <c r="BA332" s="54"/>
      <c r="BB332" s="54"/>
      <c r="BC332" s="54"/>
    </row>
    <row r="333" spans="1:55" ht="15.6">
      <c r="A333" s="45"/>
      <c r="B333" s="1575"/>
      <c r="C333" s="2309" t="str">
        <f>"Country: " &amp;UPPER(Country)</f>
        <v>Country: BELGIUM</v>
      </c>
      <c r="D333" s="2309"/>
      <c r="E333" s="2639"/>
      <c r="F333" s="2311"/>
      <c r="G333" s="2311"/>
      <c r="H333" s="2979"/>
      <c r="I333" s="2311"/>
      <c r="J333" s="2646"/>
      <c r="K333" s="2311"/>
      <c r="L333" s="2646"/>
      <c r="M333" s="2311"/>
      <c r="N333" s="2552"/>
      <c r="O333" s="54"/>
      <c r="P333" s="54"/>
      <c r="Q333" s="54"/>
      <c r="R333" s="54"/>
      <c r="S333" s="189"/>
      <c r="T333" s="63" t="str">
        <f>"Country: " &amp;UPPER(Country)</f>
        <v>Country: BELGIUM</v>
      </c>
      <c r="U333" s="129"/>
      <c r="V333" s="48"/>
      <c r="W333" s="1915" t="s">
        <v>724</v>
      </c>
      <c r="X333" s="49"/>
      <c r="Y333" s="49"/>
      <c r="Z333" s="49"/>
      <c r="AA333" s="49"/>
      <c r="AB333" s="49"/>
      <c r="AC333" s="49"/>
      <c r="AD333" s="49"/>
      <c r="AE333" s="338"/>
      <c r="AF333" s="45"/>
      <c r="AG333" s="45"/>
      <c r="AH333" s="45"/>
      <c r="AI333" s="45"/>
      <c r="AJ333" s="189"/>
      <c r="AK333" s="63" t="str">
        <f>"Country: " &amp;UPPER(Country)</f>
        <v>Country: BELGIUM</v>
      </c>
      <c r="AL333" s="129"/>
      <c r="AM333" s="48"/>
      <c r="AN333" s="49"/>
      <c r="AO333" s="49"/>
      <c r="AP333" s="49"/>
      <c r="AQ333" s="49"/>
      <c r="AR333" s="49"/>
      <c r="AS333" s="49"/>
      <c r="AT333" s="49"/>
      <c r="AU333" s="49"/>
      <c r="AV333" s="338"/>
      <c r="AW333" s="54"/>
      <c r="AX333" s="54"/>
      <c r="AY333" s="54"/>
      <c r="AZ333" s="54"/>
      <c r="BA333" s="54"/>
      <c r="BB333" s="54"/>
      <c r="BC333" s="54"/>
    </row>
    <row r="334" spans="1:55" ht="15.6">
      <c r="A334" s="45"/>
      <c r="B334" s="1575"/>
      <c r="C334" s="2309" t="str">
        <f>"Currency unit: " &amp; Currency</f>
        <v>Currency unit: bn EUR</v>
      </c>
      <c r="D334" s="2315"/>
      <c r="E334" s="2309"/>
      <c r="F334" s="2311"/>
      <c r="G334" s="2311"/>
      <c r="H334" s="2646"/>
      <c r="I334" s="2311"/>
      <c r="J334" s="2975"/>
      <c r="K334" s="2398"/>
      <c r="L334" s="2975"/>
      <c r="M334" s="2398"/>
      <c r="N334" s="2555"/>
      <c r="O334" s="54"/>
      <c r="P334" s="54"/>
      <c r="Q334" s="54"/>
      <c r="R334" s="54"/>
      <c r="S334" s="189"/>
      <c r="T334" s="63" t="str">
        <f>"Currency unit: " &amp; Currency</f>
        <v>Currency unit: bn EUR</v>
      </c>
      <c r="U334" s="133"/>
      <c r="V334" s="129"/>
      <c r="W334" s="1915" t="str">
        <f>$T$4</f>
        <v>SF2018 - final storage FRI</v>
      </c>
      <c r="X334" s="49"/>
      <c r="Y334" s="49"/>
      <c r="Z334" s="49"/>
      <c r="AA334" s="1"/>
      <c r="AB334" s="1"/>
      <c r="AC334" s="1"/>
      <c r="AD334" s="1"/>
      <c r="AE334" s="340"/>
      <c r="AF334" s="45"/>
      <c r="AG334" s="45"/>
      <c r="AH334" s="45"/>
      <c r="AI334" s="45"/>
      <c r="AJ334" s="189"/>
      <c r="AK334" s="63" t="str">
        <f>"Currency unit: " &amp; Currency</f>
        <v>Currency unit: bn EUR</v>
      </c>
      <c r="AL334" s="133"/>
      <c r="AM334" s="129"/>
      <c r="AN334" s="49"/>
      <c r="AO334" s="49"/>
      <c r="AP334" s="49"/>
      <c r="AQ334" s="49"/>
      <c r="AR334" s="1"/>
      <c r="AS334" s="1"/>
      <c r="AT334" s="1"/>
      <c r="AU334" s="1"/>
      <c r="AV334" s="340"/>
      <c r="AW334" s="54"/>
      <c r="AX334" s="54"/>
      <c r="AY334" s="54"/>
      <c r="AZ334" s="54"/>
      <c r="BA334" s="54"/>
      <c r="BB334" s="54"/>
      <c r="BC334" s="54"/>
    </row>
    <row r="335" spans="1:55" ht="13.8" thickBot="1">
      <c r="A335" s="45"/>
      <c r="B335" s="1575"/>
      <c r="C335" s="2315" t="s">
        <v>1641</v>
      </c>
      <c r="D335" s="2311"/>
      <c r="E335" s="2311"/>
      <c r="F335" s="2311"/>
      <c r="G335" s="2311"/>
      <c r="H335" s="2311"/>
      <c r="I335" s="2311"/>
      <c r="J335" s="2398"/>
      <c r="K335" s="2398"/>
      <c r="L335" s="4243">
        <f ca="1">NOW()</f>
        <v>43213.646692361108</v>
      </c>
      <c r="M335" s="4243"/>
      <c r="N335" s="2616"/>
      <c r="O335" s="54"/>
      <c r="P335" s="54"/>
      <c r="Q335" s="54"/>
      <c r="R335" s="54"/>
      <c r="S335" s="189"/>
      <c r="T335" s="69" t="s">
        <v>1641</v>
      </c>
      <c r="U335" s="49"/>
      <c r="V335" s="49"/>
      <c r="W335" s="49"/>
      <c r="X335" s="49"/>
      <c r="Y335" s="49"/>
      <c r="Z335" s="49"/>
      <c r="AA335" s="1"/>
      <c r="AB335" s="1"/>
      <c r="AC335" s="4246">
        <f ca="1">NOW()</f>
        <v>43213.646692361108</v>
      </c>
      <c r="AD335" s="4246"/>
      <c r="AE335" s="400"/>
      <c r="AF335" s="45"/>
      <c r="AG335" s="45"/>
      <c r="AH335" s="45"/>
      <c r="AI335" s="45"/>
      <c r="AJ335" s="189"/>
      <c r="AK335" s="69" t="s">
        <v>1641</v>
      </c>
      <c r="AL335" s="49"/>
      <c r="AM335" s="49"/>
      <c r="AN335" s="49"/>
      <c r="AO335" s="49"/>
      <c r="AP335" s="49"/>
      <c r="AQ335" s="49"/>
      <c r="AR335" s="1"/>
      <c r="AS335" s="1"/>
      <c r="AT335" s="4246">
        <f ca="1">NOW()</f>
        <v>43213.646692361108</v>
      </c>
      <c r="AU335" s="4246"/>
      <c r="AV335" s="400"/>
      <c r="AW335" s="54"/>
      <c r="AX335" s="54"/>
      <c r="AY335" s="54"/>
      <c r="AZ335" s="54"/>
      <c r="BA335" s="54"/>
      <c r="BB335" s="54"/>
      <c r="BC335" s="54"/>
    </row>
    <row r="336" spans="1:55">
      <c r="A336" s="45"/>
      <c r="B336" s="1575"/>
      <c r="C336" s="2317"/>
      <c r="D336" s="2588"/>
      <c r="E336" s="2364" t="s">
        <v>926</v>
      </c>
      <c r="F336" s="4173">
        <f>E16</f>
        <v>2016</v>
      </c>
      <c r="G336" s="4174"/>
      <c r="H336" s="4244">
        <f>F336+1</f>
        <v>2017</v>
      </c>
      <c r="I336" s="4245"/>
      <c r="J336" s="4255">
        <f>H336+1</f>
        <v>2018</v>
      </c>
      <c r="K336" s="4245"/>
      <c r="L336" s="4244">
        <f>J336+1</f>
        <v>2019</v>
      </c>
      <c r="M336" s="4251"/>
      <c r="N336" s="2328"/>
      <c r="O336" s="54"/>
      <c r="P336" s="54"/>
      <c r="Q336" s="54"/>
      <c r="R336" s="54"/>
      <c r="S336" s="189"/>
      <c r="T336" s="72"/>
      <c r="U336" s="429"/>
      <c r="V336" s="430" t="s">
        <v>926</v>
      </c>
      <c r="W336" s="4175">
        <f>Last_forecast_year - 3</f>
        <v>2016</v>
      </c>
      <c r="X336" s="4176"/>
      <c r="Y336" s="4252">
        <f>W336+1</f>
        <v>2017</v>
      </c>
      <c r="Z336" s="4253"/>
      <c r="AA336" s="4254">
        <f>Y336+1</f>
        <v>2018</v>
      </c>
      <c r="AB336" s="4253"/>
      <c r="AC336" s="4252">
        <f>AA336+1</f>
        <v>2019</v>
      </c>
      <c r="AD336" s="4256"/>
      <c r="AE336" s="372"/>
      <c r="AF336" s="45"/>
      <c r="AG336" s="45"/>
      <c r="AH336" s="45"/>
      <c r="AI336" s="45"/>
      <c r="AJ336" s="189"/>
      <c r="AK336" s="72"/>
      <c r="AL336" s="429"/>
      <c r="AM336" s="430" t="s">
        <v>926</v>
      </c>
      <c r="AN336" s="4175">
        <f>Last_forecast_year - 3</f>
        <v>2016</v>
      </c>
      <c r="AO336" s="4176"/>
      <c r="AP336" s="4252">
        <f>AN336+1</f>
        <v>2017</v>
      </c>
      <c r="AQ336" s="4253"/>
      <c r="AR336" s="4254">
        <f>AP336+1</f>
        <v>2018</v>
      </c>
      <c r="AS336" s="4253"/>
      <c r="AT336" s="4252">
        <f>AR336+1</f>
        <v>2019</v>
      </c>
      <c r="AU336" s="4256"/>
      <c r="AV336" s="372"/>
      <c r="AW336" s="54"/>
      <c r="AX336" s="54"/>
      <c r="AY336" s="54"/>
      <c r="AZ336" s="54"/>
      <c r="BA336" s="54"/>
      <c r="BB336" s="54"/>
      <c r="BC336" s="54"/>
    </row>
    <row r="337" spans="1:55">
      <c r="A337" s="45"/>
      <c r="B337" s="1575"/>
      <c r="C337" s="1576"/>
      <c r="D337" s="2640"/>
      <c r="E337" s="2366" t="s">
        <v>927</v>
      </c>
      <c r="F337" s="2596" t="s">
        <v>1642</v>
      </c>
      <c r="G337" s="2597" t="s">
        <v>759</v>
      </c>
      <c r="H337" s="2596" t="s">
        <v>1642</v>
      </c>
      <c r="I337" s="2597" t="s">
        <v>759</v>
      </c>
      <c r="J337" s="2596" t="s">
        <v>1642</v>
      </c>
      <c r="K337" s="2597" t="s">
        <v>759</v>
      </c>
      <c r="L337" s="2596" t="s">
        <v>1642</v>
      </c>
      <c r="M337" s="2598" t="s">
        <v>759</v>
      </c>
      <c r="N337" s="2328"/>
      <c r="O337" s="54"/>
      <c r="P337" s="54"/>
      <c r="Q337" s="54"/>
      <c r="R337" s="54"/>
      <c r="S337" s="189"/>
      <c r="T337" s="101"/>
      <c r="U337" s="432"/>
      <c r="V337" s="433" t="s">
        <v>927</v>
      </c>
      <c r="W337" s="397" t="s">
        <v>1642</v>
      </c>
      <c r="X337" s="398" t="s">
        <v>759</v>
      </c>
      <c r="Y337" s="397" t="s">
        <v>1642</v>
      </c>
      <c r="Z337" s="398" t="s">
        <v>759</v>
      </c>
      <c r="AA337" s="397" t="s">
        <v>1642</v>
      </c>
      <c r="AB337" s="398" t="s">
        <v>759</v>
      </c>
      <c r="AC337" s="397" t="s">
        <v>1642</v>
      </c>
      <c r="AD337" s="399" t="s">
        <v>759</v>
      </c>
      <c r="AE337" s="372"/>
      <c r="AF337" s="45"/>
      <c r="AG337" s="45"/>
      <c r="AH337" s="45"/>
      <c r="AI337" s="45"/>
      <c r="AJ337" s="189"/>
      <c r="AK337" s="101"/>
      <c r="AL337" s="432"/>
      <c r="AM337" s="433" t="s">
        <v>927</v>
      </c>
      <c r="AN337" s="397" t="s">
        <v>1642</v>
      </c>
      <c r="AO337" s="398" t="s">
        <v>759</v>
      </c>
      <c r="AP337" s="397" t="s">
        <v>1642</v>
      </c>
      <c r="AQ337" s="398" t="s">
        <v>759</v>
      </c>
      <c r="AR337" s="397" t="s">
        <v>1642</v>
      </c>
      <c r="AS337" s="398" t="s">
        <v>759</v>
      </c>
      <c r="AT337" s="397" t="s">
        <v>1642</v>
      </c>
      <c r="AU337" s="399" t="s">
        <v>759</v>
      </c>
      <c r="AV337" s="372"/>
      <c r="AW337" s="54"/>
      <c r="AX337" s="54"/>
      <c r="AY337" s="54"/>
      <c r="AZ337" s="54"/>
      <c r="BA337" s="54"/>
      <c r="BB337" s="54"/>
      <c r="BC337" s="54"/>
    </row>
    <row r="338" spans="1:55">
      <c r="A338" s="45"/>
      <c r="B338" s="1575"/>
      <c r="C338" s="2641" t="s">
        <v>928</v>
      </c>
      <c r="D338" s="2302"/>
      <c r="E338" s="2642" t="s">
        <v>1655</v>
      </c>
      <c r="F338" s="2582">
        <f ca="1">Transfer!D187</f>
        <v>215.2261</v>
      </c>
      <c r="G338" s="2643">
        <f ca="1">100*((Transfer!D187/Transfer!C187)-1)</f>
        <v>1.2903541579307287</v>
      </c>
      <c r="H338" s="2987">
        <f ca="1">Transfer!E187</f>
        <v>221.9462129577492</v>
      </c>
      <c r="I338" s="2988">
        <f ca="1">100*((Transfer!E187/Transfer!D187)-1)</f>
        <v>3.1223503830386745</v>
      </c>
      <c r="J338" s="2582">
        <f ca="1">Transfer!F187</f>
        <v>229.16863166024314</v>
      </c>
      <c r="K338" s="2643">
        <f ca="1">100*((Transfer!F187/Transfer!E187)-1)</f>
        <v>3.2541301814727586</v>
      </c>
      <c r="L338" s="2643">
        <f ca="1">Transfer!G187</f>
        <v>236.38772170747959</v>
      </c>
      <c r="M338" s="2644">
        <f ca="1">100*((Transfer!G187/Transfer!F187)-1)</f>
        <v>3.150121373478032</v>
      </c>
      <c r="N338" s="3841"/>
      <c r="O338" s="54"/>
      <c r="P338" s="54"/>
      <c r="Q338" s="54"/>
      <c r="R338" s="54"/>
      <c r="S338" s="189"/>
      <c r="T338" s="434" t="s">
        <v>928</v>
      </c>
      <c r="U338" s="56"/>
      <c r="V338" s="435" t="s">
        <v>1655</v>
      </c>
      <c r="W338" s="436">
        <f t="shared" ref="W338:AD353" ca="1" si="19">ROUND(F338,1)-ROUND(AN338,1)</f>
        <v>0</v>
      </c>
      <c r="X338" s="436">
        <f t="shared" ca="1" si="19"/>
        <v>0</v>
      </c>
      <c r="Y338" s="436">
        <f t="shared" ca="1" si="19"/>
        <v>0</v>
      </c>
      <c r="Z338" s="436">
        <f t="shared" ca="1" si="19"/>
        <v>0</v>
      </c>
      <c r="AA338" s="436">
        <f t="shared" ca="1" si="19"/>
        <v>0</v>
      </c>
      <c r="AB338" s="436">
        <f t="shared" ca="1" si="19"/>
        <v>0</v>
      </c>
      <c r="AC338" s="436">
        <f t="shared" ca="1" si="19"/>
        <v>-9.9999999999994316E-2</v>
      </c>
      <c r="AD338" s="454">
        <f t="shared" ca="1" si="19"/>
        <v>0</v>
      </c>
      <c r="AE338" s="372"/>
      <c r="AF338" s="45"/>
      <c r="AG338" s="45"/>
      <c r="AH338" s="45"/>
      <c r="AI338" s="45"/>
      <c r="AJ338" s="189"/>
      <c r="AK338" s="434" t="s">
        <v>928</v>
      </c>
      <c r="AL338" s="56"/>
      <c r="AM338" s="435" t="s">
        <v>1655</v>
      </c>
      <c r="AN338" s="1967">
        <f>Transfer!AD187</f>
        <v>215.2261</v>
      </c>
      <c r="AO338" s="1968">
        <f>100*((Transfer!AD187/Transfer!AC187)-1)</f>
        <v>1.2903541579307287</v>
      </c>
      <c r="AP338" s="1968">
        <f>Transfer!AE187</f>
        <v>221.9462129577492</v>
      </c>
      <c r="AQ338" s="1973">
        <f>100*((Transfer!AE187/Transfer!AD187)-1)</f>
        <v>3.1223503830386745</v>
      </c>
      <c r="AR338" s="1967">
        <f>Transfer!AF187</f>
        <v>229.19382974701256</v>
      </c>
      <c r="AS338" s="1968">
        <f>100*((Transfer!AF187/Transfer!AE187)-1)</f>
        <v>3.2654834217167084</v>
      </c>
      <c r="AT338" s="1968">
        <f>Transfer!AG187</f>
        <v>236.48196391430093</v>
      </c>
      <c r="AU338" s="1974">
        <f>100*((Transfer!AG187/Transfer!AF187)-1)</f>
        <v>3.1798998146385982</v>
      </c>
      <c r="AV338" s="372"/>
      <c r="AW338" s="54"/>
      <c r="AX338" s="54"/>
      <c r="AY338" s="54"/>
      <c r="AZ338" s="54"/>
      <c r="BA338" s="1609" t="s">
        <v>1174</v>
      </c>
      <c r="BB338" s="1610"/>
      <c r="BC338" s="54"/>
    </row>
    <row r="339" spans="1:55">
      <c r="A339" s="45"/>
      <c r="B339" s="1575"/>
      <c r="C339" s="1576" t="s">
        <v>1922</v>
      </c>
      <c r="D339" s="2311"/>
      <c r="E339" s="2471" t="s">
        <v>1923</v>
      </c>
      <c r="F339" s="2406">
        <f ca="1">Transfer!D188</f>
        <v>158.15299999999999</v>
      </c>
      <c r="G339" s="2645">
        <f ca="1">100*((Transfer!D188/Transfer!C188)-1)</f>
        <v>2.475100934277874</v>
      </c>
      <c r="H339" s="249">
        <f ca="1">Transfer!E188</f>
        <v>163.33582695774922</v>
      </c>
      <c r="I339" s="140">
        <f ca="1">100*((Transfer!E188/Transfer!D188)-1)</f>
        <v>3.2770968351844232</v>
      </c>
      <c r="J339" s="2406">
        <f ca="1">Transfer!F188</f>
        <v>168.99635731775342</v>
      </c>
      <c r="K339" s="2645">
        <f ca="1">100*((Transfer!F188/Transfer!E188)-1)</f>
        <v>3.46557792337161</v>
      </c>
      <c r="L339" s="2645">
        <f ca="1">Transfer!G188</f>
        <v>174.27611326742513</v>
      </c>
      <c r="M339" s="2647">
        <f ca="1">100*((Transfer!G188/Transfer!F188)-1)</f>
        <v>3.1241832862376473</v>
      </c>
      <c r="N339" s="3841"/>
      <c r="O339" s="54"/>
      <c r="P339" s="54"/>
      <c r="Q339" s="54"/>
      <c r="R339" s="54"/>
      <c r="S339" s="189"/>
      <c r="T339" s="101" t="s">
        <v>1922</v>
      </c>
      <c r="U339" s="49"/>
      <c r="V339" s="255" t="s">
        <v>1923</v>
      </c>
      <c r="W339" s="246">
        <f t="shared" ca="1" si="19"/>
        <v>0</v>
      </c>
      <c r="X339" s="246">
        <f t="shared" ca="1" si="19"/>
        <v>0</v>
      </c>
      <c r="Y339" s="246">
        <f t="shared" ca="1" si="19"/>
        <v>0</v>
      </c>
      <c r="Z339" s="246">
        <f t="shared" ca="1" si="19"/>
        <v>0</v>
      </c>
      <c r="AA339" s="246">
        <f t="shared" ca="1" si="19"/>
        <v>0</v>
      </c>
      <c r="AB339" s="246">
        <f t="shared" ca="1" si="19"/>
        <v>0</v>
      </c>
      <c r="AC339" s="246">
        <f t="shared" ca="1" si="19"/>
        <v>-9.9999999999994316E-2</v>
      </c>
      <c r="AD339" s="321">
        <f t="shared" ca="1" si="19"/>
        <v>-0.10000000000000009</v>
      </c>
      <c r="AE339" s="103"/>
      <c r="AF339" s="45"/>
      <c r="AG339" s="45"/>
      <c r="AH339" s="45"/>
      <c r="AI339" s="45"/>
      <c r="AJ339" s="189"/>
      <c r="AK339" s="101" t="s">
        <v>1922</v>
      </c>
      <c r="AL339" s="49"/>
      <c r="AM339" s="255" t="s">
        <v>1923</v>
      </c>
      <c r="AN339" s="91">
        <f>Transfer!AD188</f>
        <v>158.15299999999999</v>
      </c>
      <c r="AO339" s="243">
        <f>100*((Transfer!AD188/Transfer!AC188)-1)</f>
        <v>2.475100934277874</v>
      </c>
      <c r="AP339" s="243">
        <f>Transfer!AE188</f>
        <v>163.33582695774922</v>
      </c>
      <c r="AQ339" s="92">
        <f>100*((Transfer!AE188/Transfer!AD188)-1)</f>
        <v>3.2770968351844232</v>
      </c>
      <c r="AR339" s="91">
        <f>Transfer!AF188</f>
        <v>169.01321631273589</v>
      </c>
      <c r="AS339" s="243">
        <f>100*((Transfer!AF188/Transfer!AE188)-1)</f>
        <v>3.4758995994524033</v>
      </c>
      <c r="AT339" s="243">
        <f>Transfer!AG188</f>
        <v>174.35029133337017</v>
      </c>
      <c r="AU339" s="244">
        <f>100*((Transfer!AG188/Transfer!AF188)-1)</f>
        <v>3.1577856081732358</v>
      </c>
      <c r="AV339" s="103"/>
      <c r="AW339" s="54"/>
      <c r="AX339" s="54"/>
      <c r="AY339" s="54"/>
      <c r="AZ339" s="54"/>
      <c r="BA339" s="1611" t="s">
        <v>1297</v>
      </c>
      <c r="BB339" s="1612"/>
      <c r="BC339" s="54"/>
    </row>
    <row r="340" spans="1:55">
      <c r="A340" s="45"/>
      <c r="B340" s="1575"/>
      <c r="C340" s="1576" t="s">
        <v>1177</v>
      </c>
      <c r="D340" s="2311"/>
      <c r="E340" s="2380" t="s">
        <v>1178</v>
      </c>
      <c r="F340" s="2406">
        <f ca="1">SUM(Transfer!D189,Transfer!D190)</f>
        <v>76.371800000000007</v>
      </c>
      <c r="G340" s="2645">
        <f ca="1">100*((SUM(Transfer!D189,Transfer!D190)/SUM(Transfer!C189,Transfer!C190))-1)</f>
        <v>-0.44178973728566939</v>
      </c>
      <c r="H340" s="249">
        <f ca="1">SUM(Transfer!E189,Transfer!E190)</f>
        <v>77.37407536000002</v>
      </c>
      <c r="I340" s="140">
        <f ca="1">100*((SUM(Transfer!E189,Transfer!E190)/SUM(Transfer!D189,Transfer!D190))-1)</f>
        <v>1.3123631497490074</v>
      </c>
      <c r="J340" s="2406">
        <f ca="1">SUM(Transfer!F189,Transfer!F190)</f>
        <v>78.977031526612009</v>
      </c>
      <c r="K340" s="2645">
        <f ca="1">100*((SUM(Transfer!F189,Transfer!F190)/SUM(Transfer!E189,Transfer!E190))-1)</f>
        <v>2.0716967009348775</v>
      </c>
      <c r="L340" s="2645">
        <f ca="1">SUM(Transfer!G189,Transfer!G190)</f>
        <v>80.551288172494978</v>
      </c>
      <c r="M340" s="2647">
        <f ca="1">100*((SUM(Transfer!G189,Transfer!G190)/SUM(Transfer!F189,Transfer!F190))-1)</f>
        <v>1.993309466629567</v>
      </c>
      <c r="N340" s="3841"/>
      <c r="O340" s="54"/>
      <c r="P340" s="54"/>
      <c r="Q340" s="54"/>
      <c r="R340" s="54"/>
      <c r="S340" s="189"/>
      <c r="T340" s="101" t="s">
        <v>1177</v>
      </c>
      <c r="U340" s="49"/>
      <c r="V340" s="180" t="s">
        <v>1178</v>
      </c>
      <c r="W340" s="246">
        <f t="shared" ca="1" si="19"/>
        <v>0</v>
      </c>
      <c r="X340" s="246">
        <f t="shared" ca="1" si="19"/>
        <v>0</v>
      </c>
      <c r="Y340" s="246">
        <f t="shared" ca="1" si="19"/>
        <v>0</v>
      </c>
      <c r="Z340" s="246">
        <f t="shared" ca="1" si="19"/>
        <v>0</v>
      </c>
      <c r="AA340" s="246">
        <f t="shared" ca="1" si="19"/>
        <v>0</v>
      </c>
      <c r="AB340" s="246">
        <f t="shared" ca="1" si="19"/>
        <v>0</v>
      </c>
      <c r="AC340" s="246">
        <f t="shared" ca="1" si="19"/>
        <v>0</v>
      </c>
      <c r="AD340" s="321">
        <f t="shared" ca="1" si="19"/>
        <v>0</v>
      </c>
      <c r="AE340" s="372"/>
      <c r="AF340" s="45"/>
      <c r="AG340" s="45"/>
      <c r="AH340" s="45"/>
      <c r="AI340" s="45"/>
      <c r="AJ340" s="189"/>
      <c r="AK340" s="101" t="s">
        <v>1177</v>
      </c>
      <c r="AL340" s="49"/>
      <c r="AM340" s="180" t="s">
        <v>1178</v>
      </c>
      <c r="AN340" s="91">
        <f>SUM(Transfer!AD189,Transfer!AD190)</f>
        <v>76.371800000000007</v>
      </c>
      <c r="AO340" s="243">
        <f>100*((SUM(Transfer!AD189,Transfer!AD190)/SUM(Transfer!AC189,Transfer!AC190))-1)</f>
        <v>-0.44178973728566939</v>
      </c>
      <c r="AP340" s="243">
        <f>SUM(Transfer!AE189,Transfer!AE190)</f>
        <v>77.37407536000002</v>
      </c>
      <c r="AQ340" s="92">
        <f>100*((SUM(Transfer!AE189,Transfer!AE190)/SUM(Transfer!AD189,Transfer!AD190))-1)</f>
        <v>1.3123631497490074</v>
      </c>
      <c r="AR340" s="91">
        <f>SUM(Transfer!AF189,Transfer!AF190)</f>
        <v>78.977031526612009</v>
      </c>
      <c r="AS340" s="243">
        <f>100*((SUM(Transfer!AF189,Transfer!AF190)/SUM(Transfer!AE189,Transfer!AE190))-1)</f>
        <v>2.0716967009348775</v>
      </c>
      <c r="AT340" s="243">
        <f>SUM(Transfer!AG189,Transfer!AG190)</f>
        <v>80.551288172494978</v>
      </c>
      <c r="AU340" s="244">
        <f>100*((SUM(Transfer!AG189,Transfer!AG190)/SUM(Transfer!AF189,Transfer!AF190))-1)</f>
        <v>1.993309466629567</v>
      </c>
      <c r="AV340" s="372"/>
      <c r="AW340" s="54"/>
      <c r="AX340" s="54"/>
      <c r="AY340" s="54"/>
      <c r="AZ340" s="54"/>
      <c r="BA340" s="1611" t="s">
        <v>1298</v>
      </c>
      <c r="BB340" s="1612"/>
      <c r="BC340" s="54"/>
    </row>
    <row r="341" spans="1:55">
      <c r="A341" s="45"/>
      <c r="B341" s="1575"/>
      <c r="C341" s="1576" t="s">
        <v>1401</v>
      </c>
      <c r="D341" s="2311"/>
      <c r="E341" s="2471" t="s">
        <v>411</v>
      </c>
      <c r="F341" s="2406">
        <f ca="1">Transfer!D191</f>
        <v>95.86160000000001</v>
      </c>
      <c r="G341" s="2645">
        <f ca="1">100*((Transfer!D191/Transfer!C191)-1)</f>
        <v>2.3524877133153099</v>
      </c>
      <c r="H341" s="249">
        <f ca="1">Transfer!E191</f>
        <v>99.077317849999986</v>
      </c>
      <c r="I341" s="140">
        <f ca="1">100*((Transfer!E191/Transfer!D191)-1)</f>
        <v>3.3545422254583457</v>
      </c>
      <c r="J341" s="2406">
        <f ca="1">Transfer!F191</f>
        <v>102.03267093340899</v>
      </c>
      <c r="K341" s="2645">
        <f ca="1">100*((Transfer!F191/Transfer!E191)-1)</f>
        <v>2.982875543606589</v>
      </c>
      <c r="L341" s="2645">
        <f ca="1">Transfer!G191</f>
        <v>106.25695643505354</v>
      </c>
      <c r="M341" s="2647">
        <f ca="1">100*((Transfer!G191/Transfer!F191)-1)</f>
        <v>4.140130276900722</v>
      </c>
      <c r="N341" s="3841"/>
      <c r="O341" s="54"/>
      <c r="P341" s="54"/>
      <c r="Q341" s="54"/>
      <c r="R341" s="54"/>
      <c r="S341" s="189"/>
      <c r="T341" s="101" t="s">
        <v>1401</v>
      </c>
      <c r="U341" s="49"/>
      <c r="V341" s="255" t="s">
        <v>411</v>
      </c>
      <c r="W341" s="246">
        <f t="shared" ca="1" si="19"/>
        <v>0</v>
      </c>
      <c r="X341" s="246">
        <f t="shared" ca="1" si="19"/>
        <v>0</v>
      </c>
      <c r="Y341" s="246">
        <f t="shared" ca="1" si="19"/>
        <v>0</v>
      </c>
      <c r="Z341" s="246">
        <f t="shared" ca="1" si="19"/>
        <v>0</v>
      </c>
      <c r="AA341" s="246">
        <f t="shared" ca="1" si="19"/>
        <v>0.29999999999999716</v>
      </c>
      <c r="AB341" s="246">
        <f t="shared" ca="1" si="19"/>
        <v>0.39999999999999991</v>
      </c>
      <c r="AC341" s="246">
        <f t="shared" ca="1" si="19"/>
        <v>0.39999999999999147</v>
      </c>
      <c r="AD341" s="321">
        <f t="shared" ca="1" si="19"/>
        <v>-0.10000000000000053</v>
      </c>
      <c r="AE341" s="374"/>
      <c r="AF341" s="45"/>
      <c r="AG341" s="45"/>
      <c r="AH341" s="45"/>
      <c r="AI341" s="45"/>
      <c r="AJ341" s="189"/>
      <c r="AK341" s="101" t="s">
        <v>1401</v>
      </c>
      <c r="AL341" s="49"/>
      <c r="AM341" s="255" t="s">
        <v>411</v>
      </c>
      <c r="AN341" s="91">
        <f>Transfer!AD191</f>
        <v>95.86160000000001</v>
      </c>
      <c r="AO341" s="243">
        <f>100*((Transfer!AD191/Transfer!AC191)-1)</f>
        <v>2.3524877133153099</v>
      </c>
      <c r="AP341" s="243">
        <f>Transfer!AE191</f>
        <v>99.077317849999986</v>
      </c>
      <c r="AQ341" s="92">
        <f>100*((Transfer!AE191/Transfer!AD191)-1)</f>
        <v>3.3545422254583457</v>
      </c>
      <c r="AR341" s="91">
        <f>Transfer!AF191</f>
        <v>101.685382553569</v>
      </c>
      <c r="AS341" s="243">
        <f>100*((Transfer!AF191/Transfer!AE191)-1)</f>
        <v>2.6323529544042934</v>
      </c>
      <c r="AT341" s="243">
        <f>Transfer!AG191</f>
        <v>105.91280687209824</v>
      </c>
      <c r="AU341" s="244">
        <f>100*((Transfer!AG191/Transfer!AF191)-1)</f>
        <v>4.1573569498075891</v>
      </c>
      <c r="AV341" s="374"/>
      <c r="AW341" s="54"/>
      <c r="AX341" s="54"/>
      <c r="AY341" s="54"/>
      <c r="AZ341" s="54"/>
      <c r="BA341" s="1611" t="s">
        <v>112</v>
      </c>
      <c r="BB341" s="1612"/>
      <c r="BC341" s="54"/>
    </row>
    <row r="342" spans="1:55">
      <c r="A342" s="45"/>
      <c r="B342" s="1575"/>
      <c r="C342" s="1576" t="s">
        <v>132</v>
      </c>
      <c r="D342" s="2311"/>
      <c r="E342" s="2471" t="s">
        <v>133</v>
      </c>
      <c r="F342" s="2406">
        <f ca="1">Transfer!D192</f>
        <v>53.116099999999996</v>
      </c>
      <c r="G342" s="2645">
        <f ca="1">100*((Transfer!D192/Transfer!C192)-1)</f>
        <v>-0.84693241341203818</v>
      </c>
      <c r="H342" s="249">
        <f ca="1">Transfer!E192</f>
        <v>54.922047399999997</v>
      </c>
      <c r="I342" s="140">
        <f ca="1">100*((Transfer!E192/Transfer!D192)-1)</f>
        <v>3.400000000000003</v>
      </c>
      <c r="J342" s="2406">
        <f ca="1">Transfer!F192</f>
        <v>56.498310160379994</v>
      </c>
      <c r="K342" s="2645">
        <f ca="1">100*((Transfer!F192/Transfer!E192)-1)</f>
        <v>2.8699999999999948</v>
      </c>
      <c r="L342" s="2645">
        <f ca="1">Transfer!G192</f>
        <v>57.340134981769651</v>
      </c>
      <c r="M342" s="2647">
        <f ca="1">100*((Transfer!G192/Transfer!F192)-1)</f>
        <v>1.4899999999999913</v>
      </c>
      <c r="N342" s="3841"/>
      <c r="O342" s="54"/>
      <c r="P342" s="54"/>
      <c r="Q342" s="54"/>
      <c r="R342" s="54"/>
      <c r="S342" s="189"/>
      <c r="T342" s="101" t="s">
        <v>132</v>
      </c>
      <c r="U342" s="49"/>
      <c r="V342" s="255" t="s">
        <v>133</v>
      </c>
      <c r="W342" s="246">
        <f t="shared" ca="1" si="19"/>
        <v>0</v>
      </c>
      <c r="X342" s="246">
        <f t="shared" ca="1" si="19"/>
        <v>0</v>
      </c>
      <c r="Y342" s="246">
        <f t="shared" ca="1" si="19"/>
        <v>0</v>
      </c>
      <c r="Z342" s="246">
        <f t="shared" ca="1" si="19"/>
        <v>0</v>
      </c>
      <c r="AA342" s="246">
        <f t="shared" ca="1" si="19"/>
        <v>0</v>
      </c>
      <c r="AB342" s="246">
        <f t="shared" ca="1" si="19"/>
        <v>0</v>
      </c>
      <c r="AC342" s="246">
        <f t="shared" ca="1" si="19"/>
        <v>0</v>
      </c>
      <c r="AD342" s="321">
        <f t="shared" ca="1" si="19"/>
        <v>0</v>
      </c>
      <c r="AE342" s="369"/>
      <c r="AF342" s="45"/>
      <c r="AG342" s="45"/>
      <c r="AH342" s="45"/>
      <c r="AI342" s="45"/>
      <c r="AJ342" s="189"/>
      <c r="AK342" s="101" t="s">
        <v>132</v>
      </c>
      <c r="AL342" s="49"/>
      <c r="AM342" s="255" t="s">
        <v>133</v>
      </c>
      <c r="AN342" s="91">
        <f>Transfer!AD192</f>
        <v>53.116099999999996</v>
      </c>
      <c r="AO342" s="243">
        <f>100*((Transfer!AD192/Transfer!AC192)-1)</f>
        <v>-0.84693241341203818</v>
      </c>
      <c r="AP342" s="243">
        <f>Transfer!AE192</f>
        <v>54.922047399999997</v>
      </c>
      <c r="AQ342" s="92">
        <f>100*((Transfer!AE192/Transfer!AD192)-1)</f>
        <v>3.400000000000003</v>
      </c>
      <c r="AR342" s="91">
        <f>Transfer!AF192</f>
        <v>56.498310160379994</v>
      </c>
      <c r="AS342" s="243">
        <f>100*((Transfer!AF192/Transfer!AE192)-1)</f>
        <v>2.8699999999999948</v>
      </c>
      <c r="AT342" s="243">
        <f>Transfer!AG192</f>
        <v>57.340134981769651</v>
      </c>
      <c r="AU342" s="244">
        <f>100*((Transfer!AG192/Transfer!AF192)-1)</f>
        <v>1.4899999999999913</v>
      </c>
      <c r="AV342" s="369"/>
      <c r="AW342" s="54"/>
      <c r="AX342" s="54"/>
      <c r="AY342" s="54"/>
      <c r="AZ342" s="54"/>
      <c r="BA342" s="1611" t="s">
        <v>1594</v>
      </c>
      <c r="BB342" s="1612"/>
      <c r="BC342" s="54"/>
    </row>
    <row r="343" spans="1:55">
      <c r="A343" s="45"/>
      <c r="B343" s="1575"/>
      <c r="C343" s="1576" t="s">
        <v>135</v>
      </c>
      <c r="D343" s="2311"/>
      <c r="E343" s="2471" t="s">
        <v>136</v>
      </c>
      <c r="F343" s="2406">
        <f ca="1">Transfer!D193</f>
        <v>93.319600000000008</v>
      </c>
      <c r="G343" s="2645">
        <f ca="1">100*((Transfer!D193/Transfer!C193)-1)</f>
        <v>-0.62149106739705084</v>
      </c>
      <c r="H343" s="249">
        <f ca="1">Transfer!E193</f>
        <v>95.897094139999993</v>
      </c>
      <c r="I343" s="140">
        <f ca="1">100*((Transfer!E193/Transfer!D193)-1)</f>
        <v>2.7620072739274359</v>
      </c>
      <c r="J343" s="2406">
        <f ca="1">Transfer!F193</f>
        <v>98.80443494776398</v>
      </c>
      <c r="K343" s="2645">
        <f ca="1">100*((Transfer!F193/Transfer!E193)-1)</f>
        <v>3.0317298285593042</v>
      </c>
      <c r="L343" s="2645">
        <f ca="1">Transfer!G193</f>
        <v>101.87186151694843</v>
      </c>
      <c r="M343" s="2647">
        <f ca="1">100*((Transfer!G193/Transfer!F193)-1)</f>
        <v>3.1045434051681475</v>
      </c>
      <c r="N343" s="3841"/>
      <c r="O343" s="54"/>
      <c r="P343" s="54"/>
      <c r="Q343" s="54"/>
      <c r="R343" s="54"/>
      <c r="S343" s="189"/>
      <c r="T343" s="101" t="s">
        <v>135</v>
      </c>
      <c r="U343" s="49"/>
      <c r="V343" s="255" t="s">
        <v>136</v>
      </c>
      <c r="W343" s="246">
        <f t="shared" ca="1" si="19"/>
        <v>0</v>
      </c>
      <c r="X343" s="246">
        <f t="shared" ca="1" si="19"/>
        <v>0</v>
      </c>
      <c r="Y343" s="246">
        <f t="shared" ca="1" si="19"/>
        <v>0</v>
      </c>
      <c r="Z343" s="246">
        <f t="shared" ca="1" si="19"/>
        <v>0</v>
      </c>
      <c r="AA343" s="246">
        <f t="shared" ca="1" si="19"/>
        <v>-0.10000000000000853</v>
      </c>
      <c r="AB343" s="246">
        <f t="shared" ca="1" si="19"/>
        <v>-0.10000000000000009</v>
      </c>
      <c r="AC343" s="246">
        <f t="shared" ca="1" si="19"/>
        <v>0</v>
      </c>
      <c r="AD343" s="321">
        <f t="shared" ca="1" si="19"/>
        <v>0</v>
      </c>
      <c r="AE343" s="369"/>
      <c r="AF343" s="45"/>
      <c r="AG343" s="45"/>
      <c r="AH343" s="45"/>
      <c r="AI343" s="45"/>
      <c r="AJ343" s="189"/>
      <c r="AK343" s="101" t="s">
        <v>135</v>
      </c>
      <c r="AL343" s="49"/>
      <c r="AM343" s="255" t="s">
        <v>136</v>
      </c>
      <c r="AN343" s="91">
        <f>Transfer!AD193</f>
        <v>93.319600000000008</v>
      </c>
      <c r="AO343" s="243">
        <f>100*((Transfer!AD193/Transfer!AC193)-1)</f>
        <v>-0.62149106739705084</v>
      </c>
      <c r="AP343" s="243">
        <f>Transfer!AE193</f>
        <v>95.897094139999993</v>
      </c>
      <c r="AQ343" s="92">
        <f>100*((Transfer!AE193/Transfer!AD193)-1)</f>
        <v>2.7620072739274359</v>
      </c>
      <c r="AR343" s="91">
        <f>Transfer!AF193</f>
        <v>98.857999090603982</v>
      </c>
      <c r="AS343" s="243">
        <f>100*((Transfer!AF193/Transfer!AE193)-1)</f>
        <v>3.0875856845895333</v>
      </c>
      <c r="AT343" s="243">
        <f>Transfer!AG193</f>
        <v>101.92715037694347</v>
      </c>
      <c r="AU343" s="244">
        <f>100*((Transfer!AG193/Transfer!AF193)-1)</f>
        <v>3.1046059141118132</v>
      </c>
      <c r="AV343" s="369"/>
      <c r="AW343" s="54"/>
      <c r="AX343" s="54"/>
      <c r="AY343" s="54"/>
      <c r="AZ343" s="54"/>
      <c r="BA343" s="1611" t="s">
        <v>113</v>
      </c>
      <c r="BB343" s="1612"/>
      <c r="BC343" s="54"/>
    </row>
    <row r="344" spans="1:55">
      <c r="A344" s="45"/>
      <c r="B344" s="1575"/>
      <c r="C344" s="2339" t="s">
        <v>137</v>
      </c>
      <c r="D344" s="2340"/>
      <c r="E344" s="2648" t="s">
        <v>138</v>
      </c>
      <c r="F344" s="2649">
        <f ca="1">SUM(Transfer!D187,Transfer!D189,Transfer!D190,Transfer!D191)-(SUM(Transfer!D192,Transfer!D193))</f>
        <v>241.02379999999999</v>
      </c>
      <c r="G344" s="2650">
        <f ca="1">100*(((SUM(Transfer!D187,Transfer!D189,Transfer!D190,Transfer!D191)-(SUM(Transfer!D192,Transfer!D193)))/(SUM(Transfer!C187,Transfer!C189,Transfer!C190,Transfer!C191)-(SUM(Transfer!C192,Transfer!C193))))-1)</f>
        <v>2.3976093156479195</v>
      </c>
      <c r="H344" s="439">
        <f ca="1">SUM(Transfer!E187,Transfer!E189,Transfer!E190,Transfer!E191)-(SUM(Transfer!E192,Transfer!E193))</f>
        <v>247.57846462774921</v>
      </c>
      <c r="I344" s="440">
        <f ca="1">100*(((SUM(Transfer!E187,Transfer!E189,Transfer!E190,Transfer!E191)-(SUM(Transfer!E192,Transfer!E193)))/(SUM(Transfer!D187,Transfer!D189,Transfer!D190,Transfer!D191)-(SUM(Transfer!D192,Transfer!D193))))-1)</f>
        <v>2.7195092881903138</v>
      </c>
      <c r="J344" s="2649">
        <f ca="1">SUM(Transfer!F187,Transfer!F189,Transfer!F190,Transfer!F191)-(SUM(Transfer!F192,Transfer!F193))</f>
        <v>254.87558901212017</v>
      </c>
      <c r="K344" s="2650">
        <f ca="1">100*(((SUM(Transfer!F187,Transfer!F189,Transfer!F190,Transfer!F191)-(SUM(Transfer!F192,Transfer!F193)))/(SUM(Transfer!E187,Transfer!E189,Transfer!E190,Transfer!E191)-(SUM(Transfer!E192,Transfer!E193))))-1)</f>
        <v>2.9473986743324687</v>
      </c>
      <c r="L344" s="2650">
        <f ca="1">SUM(Transfer!G187,Transfer!G189,Transfer!G190,Transfer!G191)-(SUM(Transfer!G192,Transfer!G193))</f>
        <v>263.98396981631004</v>
      </c>
      <c r="M344" s="2652">
        <f ca="1">100*(((SUM(Transfer!G187,Transfer!G189,Transfer!G190,Transfer!G191)-(SUM(Transfer!G192,Transfer!G193)))/(SUM(Transfer!F187,Transfer!F189,Transfer!F190,Transfer!F191)-(SUM(Transfer!F192,Transfer!F193))))-1)</f>
        <v>3.5736575791715852</v>
      </c>
      <c r="N344" s="3841"/>
      <c r="O344" s="54"/>
      <c r="P344" s="54"/>
      <c r="Q344" s="54"/>
      <c r="R344" s="54"/>
      <c r="S344" s="189"/>
      <c r="T344" s="437" t="s">
        <v>137</v>
      </c>
      <c r="U344" s="95"/>
      <c r="V344" s="392" t="s">
        <v>138</v>
      </c>
      <c r="W344" s="438">
        <f t="shared" ca="1" si="19"/>
        <v>0</v>
      </c>
      <c r="X344" s="438">
        <f t="shared" ca="1" si="19"/>
        <v>0</v>
      </c>
      <c r="Y344" s="438">
        <f ca="1">ROUND(H344,1)-ROUND(AP344,1)</f>
        <v>0</v>
      </c>
      <c r="Z344" s="438">
        <f t="shared" ca="1" si="19"/>
        <v>0</v>
      </c>
      <c r="AA344" s="438">
        <f t="shared" ca="1" si="19"/>
        <v>0.40000000000000568</v>
      </c>
      <c r="AB344" s="438">
        <f t="shared" ca="1" si="19"/>
        <v>0.10000000000000009</v>
      </c>
      <c r="AC344" s="438">
        <f t="shared" ca="1" si="19"/>
        <v>0.30000000000001137</v>
      </c>
      <c r="AD344" s="480">
        <f t="shared" ca="1" si="19"/>
        <v>0</v>
      </c>
      <c r="AE344" s="103"/>
      <c r="AF344" s="45"/>
      <c r="AG344" s="45"/>
      <c r="AH344" s="45"/>
      <c r="AI344" s="45"/>
      <c r="AJ344" s="189"/>
      <c r="AK344" s="437" t="s">
        <v>137</v>
      </c>
      <c r="AL344" s="95"/>
      <c r="AM344" s="392" t="s">
        <v>138</v>
      </c>
      <c r="AN344" s="96">
        <f>SUM(Transfer!AD187,Transfer!AD189,Transfer!AD190,Transfer!AD191)-(SUM(Transfer!AD192,Transfer!AD193))</f>
        <v>241.02379999999999</v>
      </c>
      <c r="AO344" s="1921">
        <f>100*(((SUM(Transfer!AD187,Transfer!AD189,Transfer!AD190,Transfer!AD191)-(SUM(Transfer!AD192,Transfer!AD193)))/(SUM(Transfer!AC187,Transfer!AC189,Transfer!AC190,Transfer!AC191)-(SUM(Transfer!AC192,Transfer!AC193))))-1)</f>
        <v>2.3976093156479195</v>
      </c>
      <c r="AP344" s="1921">
        <f>SUM(Transfer!AE187,Transfer!AE189,Transfer!AE190,Transfer!AE191)-(SUM(Transfer!AE192,Transfer!AE193))</f>
        <v>247.57846462774921</v>
      </c>
      <c r="AQ344" s="97">
        <f>100*(((SUM(Transfer!AE187,Transfer!AE189,Transfer!AE190,Transfer!AE191)-(SUM(Transfer!AE192,Transfer!AE193)))/(SUM(Transfer!AD187,Transfer!AD189,Transfer!AD190,Transfer!AD191)-(SUM(Transfer!AD192,Transfer!AD193))))-1)</f>
        <v>2.7195092881903138</v>
      </c>
      <c r="AR344" s="96">
        <f>SUM(Transfer!AF187,Transfer!AF189,Transfer!AF190,Transfer!AF191)-(SUM(Transfer!AF192,Transfer!AF193))</f>
        <v>254.4999345762096</v>
      </c>
      <c r="AS344" s="1921">
        <f>100*(((SUM(Transfer!AF187,Transfer!AF189,Transfer!AF190,Transfer!AF191)-(SUM(Transfer!AF192,Transfer!AF193)))/(SUM(Transfer!AE187,Transfer!AE189,Transfer!AE190,Transfer!AE191)-(SUM(Transfer!AE192,Transfer!AE193))))-1)</f>
        <v>2.7956672075122757</v>
      </c>
      <c r="AT344" s="1921">
        <f>SUM(Transfer!AG187,Transfer!AG189,Transfer!AG190,Transfer!AG191)-(SUM(Transfer!AG192,Transfer!AG193))</f>
        <v>263.67877360018099</v>
      </c>
      <c r="AU344" s="1966">
        <f>100*(((SUM(Transfer!AG187,Transfer!AG189,Transfer!AG190,Transfer!AG191)-(SUM(Transfer!AG192,Transfer!AG193)))/(SUM(Transfer!AF187,Transfer!AF189,Transfer!AF190,Transfer!AF191)-(SUM(Transfer!AF192,Transfer!AF193))))-1)</f>
        <v>3.6066174395116724</v>
      </c>
      <c r="AV344" s="103"/>
      <c r="AW344" s="54"/>
      <c r="AX344" s="54"/>
      <c r="AY344" s="54"/>
      <c r="AZ344" s="54"/>
      <c r="BA344" s="1611" t="s">
        <v>1816</v>
      </c>
      <c r="BB344" s="1612"/>
      <c r="BC344" s="54"/>
    </row>
    <row r="345" spans="1:55">
      <c r="A345" s="45"/>
      <c r="B345" s="1575"/>
      <c r="C345" s="1576" t="s">
        <v>1965</v>
      </c>
      <c r="D345" s="2311"/>
      <c r="E345" s="2471" t="s">
        <v>1966</v>
      </c>
      <c r="F345" s="2406">
        <f ca="1">Transfer!D194</f>
        <v>2.8010000000000002</v>
      </c>
      <c r="G345" s="2645">
        <f ca="1">100*((Transfer!D194/Transfer!C194)-1)</f>
        <v>1.6364889872637178</v>
      </c>
      <c r="H345" s="249">
        <f ca="1">Transfer!E194</f>
        <v>2.9410500000000002</v>
      </c>
      <c r="I345" s="140">
        <f ca="1">100*((Transfer!E194/Transfer!D194)-1)</f>
        <v>5.0000000000000044</v>
      </c>
      <c r="J345" s="2406">
        <f ca="1">Transfer!F194</f>
        <v>3.0881025000000002</v>
      </c>
      <c r="K345" s="2645">
        <f ca="1">100*((Transfer!F194/Transfer!E194)-1)</f>
        <v>5.0000000000000044</v>
      </c>
      <c r="L345" s="2645">
        <f ca="1">Transfer!G194</f>
        <v>3.2425076250000004</v>
      </c>
      <c r="M345" s="2647">
        <f ca="1">100*((Transfer!G194/Transfer!F194)-1)</f>
        <v>5.0000000000000044</v>
      </c>
      <c r="N345" s="3840"/>
      <c r="O345" s="54"/>
      <c r="P345" s="54"/>
      <c r="Q345" s="54"/>
      <c r="R345" s="54"/>
      <c r="S345" s="189"/>
      <c r="T345" s="101" t="s">
        <v>1965</v>
      </c>
      <c r="U345" s="49"/>
      <c r="V345" s="255" t="s">
        <v>1966</v>
      </c>
      <c r="W345" s="246">
        <f t="shared" ca="1" si="19"/>
        <v>0</v>
      </c>
      <c r="X345" s="246">
        <f t="shared" ca="1" si="19"/>
        <v>0</v>
      </c>
      <c r="Y345" s="246">
        <f t="shared" ca="1" si="19"/>
        <v>0</v>
      </c>
      <c r="Z345" s="246">
        <f t="shared" ca="1" si="19"/>
        <v>0</v>
      </c>
      <c r="AA345" s="246">
        <f t="shared" ca="1" si="19"/>
        <v>0</v>
      </c>
      <c r="AB345" s="246">
        <f t="shared" ca="1" si="19"/>
        <v>0</v>
      </c>
      <c r="AC345" s="246">
        <f t="shared" ca="1" si="19"/>
        <v>0</v>
      </c>
      <c r="AD345" s="321">
        <f t="shared" ca="1" si="19"/>
        <v>0</v>
      </c>
      <c r="AE345" s="372"/>
      <c r="AF345" s="45"/>
      <c r="AG345" s="45"/>
      <c r="AH345" s="45"/>
      <c r="AI345" s="45"/>
      <c r="AJ345" s="189"/>
      <c r="AK345" s="101" t="s">
        <v>1965</v>
      </c>
      <c r="AL345" s="49"/>
      <c r="AM345" s="255" t="s">
        <v>1966</v>
      </c>
      <c r="AN345" s="91">
        <f>Transfer!AD194</f>
        <v>2.8010000000000002</v>
      </c>
      <c r="AO345" s="243">
        <f>100*((Transfer!AD194/Transfer!AC194)-1)</f>
        <v>1.6364889872637178</v>
      </c>
      <c r="AP345" s="243">
        <f>Transfer!AE194</f>
        <v>2.9410500000000002</v>
      </c>
      <c r="AQ345" s="92">
        <f>100*((Transfer!AE194/Transfer!AD194)-1)</f>
        <v>5.0000000000000044</v>
      </c>
      <c r="AR345" s="91">
        <f>Transfer!AF194</f>
        <v>3.0881025000000002</v>
      </c>
      <c r="AS345" s="243">
        <f>100*((Transfer!AF194/Transfer!AE194)-1)</f>
        <v>5.0000000000000044</v>
      </c>
      <c r="AT345" s="243">
        <f>Transfer!AG194</f>
        <v>3.2425076250000004</v>
      </c>
      <c r="AU345" s="244">
        <f>100*((Transfer!AG194/Transfer!AF194)-1)</f>
        <v>5.0000000000000044</v>
      </c>
      <c r="AV345" s="372"/>
      <c r="AW345" s="54"/>
      <c r="AX345" s="54"/>
      <c r="AY345" s="54"/>
      <c r="AZ345" s="54"/>
      <c r="BA345" s="1611" t="s">
        <v>1817</v>
      </c>
      <c r="BB345" s="1612"/>
      <c r="BC345" s="54"/>
    </row>
    <row r="346" spans="1:55">
      <c r="A346" s="45"/>
      <c r="B346" s="1575"/>
      <c r="C346" s="1576" t="s">
        <v>1967</v>
      </c>
      <c r="D346" s="2311"/>
      <c r="E346" s="2471" t="s">
        <v>1968</v>
      </c>
      <c r="F346" s="2406">
        <f ca="1">SUM(Transfer!D187,Transfer!D189,Transfer!D190,Transfer!D191,Transfer!D194)-(SUM(Transfer!D192,Transfer!D193))</f>
        <v>243.82479999999998</v>
      </c>
      <c r="G346" s="2645">
        <f ca="1">100*(((SUM(Transfer!D187,Transfer!D189,Transfer!D190,Transfer!D191,Transfer!D194)-(SUM(Transfer!D192,Transfer!D193)))/(SUM(Transfer!C187,Transfer!C189,Transfer!C190,Transfer!C191,Transfer!C194)-(SUM(Transfer!C192,Transfer!C193))))-1)</f>
        <v>2.3888010306706953</v>
      </c>
      <c r="H346" s="249">
        <f ca="1">SUM(Transfer!E187,Transfer!E189,Transfer!E190,Transfer!E191,Transfer!E194)-(SUM(Transfer!E192,Transfer!E193))</f>
        <v>250.51951462774923</v>
      </c>
      <c r="I346" s="140">
        <f ca="1">100*(((SUM(Transfer!E187,Transfer!E189,Transfer!E190,Transfer!E191,Transfer!E194)-(SUM(Transfer!E192,Transfer!E193)))/(SUM(Transfer!D187,Transfer!D189,Transfer!D190,Transfer!D191,Transfer!D194)-(SUM(Transfer!D192,Transfer!D193))))-1)</f>
        <v>2.7457070108328763</v>
      </c>
      <c r="J346" s="2406">
        <f ca="1">SUM(Transfer!F187,Transfer!F189,Transfer!F190,Transfer!F191,Transfer!F194)-(SUM(Transfer!F192,Transfer!F193))</f>
        <v>257.96369151212014</v>
      </c>
      <c r="K346" s="2645">
        <f ca="1">100*(((SUM(Transfer!F187,Transfer!F189,Transfer!F190,Transfer!F191,Transfer!F194)-(SUM(Transfer!F192,Transfer!F193)))/(SUM(Transfer!E187,Transfer!E189,Transfer!E190,Transfer!E191,Transfer!E194)-(SUM(Transfer!E192,Transfer!E193))))-1)</f>
        <v>2.9714958115867107</v>
      </c>
      <c r="L346" s="2645">
        <f ca="1">SUM(Transfer!G187,Transfer!G189,Transfer!G190,Transfer!G191,Transfer!G194)-(SUM(Transfer!G192,Transfer!G193))</f>
        <v>267.22647744131001</v>
      </c>
      <c r="M346" s="2647">
        <f ca="1">100*(((SUM(Transfer!G187,Transfer!G189,Transfer!G190,Transfer!G191,Transfer!G194)-(SUM(Transfer!G192,Transfer!G193)))/(SUM(Transfer!F187,Transfer!F189,Transfer!F190,Transfer!F191,Transfer!F194)-(SUM(Transfer!F192,Transfer!F193))))-1)</f>
        <v>3.5907324301701848</v>
      </c>
      <c r="N346" s="3842"/>
      <c r="O346" s="54"/>
      <c r="P346" s="54"/>
      <c r="Q346" s="54"/>
      <c r="R346" s="54"/>
      <c r="S346" s="189"/>
      <c r="T346" s="101" t="s">
        <v>1967</v>
      </c>
      <c r="U346" s="49"/>
      <c r="V346" s="255" t="s">
        <v>1968</v>
      </c>
      <c r="W346" s="246">
        <f t="shared" ca="1" si="19"/>
        <v>0</v>
      </c>
      <c r="X346" s="246">
        <f t="shared" ca="1" si="19"/>
        <v>0</v>
      </c>
      <c r="Y346" s="246">
        <f t="shared" ca="1" si="19"/>
        <v>0</v>
      </c>
      <c r="Z346" s="246">
        <f t="shared" ca="1" si="19"/>
        <v>0</v>
      </c>
      <c r="AA346" s="246">
        <f t="shared" ca="1" si="19"/>
        <v>0.39999999999997726</v>
      </c>
      <c r="AB346" s="246">
        <f t="shared" ca="1" si="19"/>
        <v>0.20000000000000018</v>
      </c>
      <c r="AC346" s="246">
        <f t="shared" ca="1" si="19"/>
        <v>0.30000000000001137</v>
      </c>
      <c r="AD346" s="321">
        <f t="shared" ca="1" si="19"/>
        <v>0</v>
      </c>
      <c r="AE346" s="103"/>
      <c r="AF346" s="45"/>
      <c r="AG346" s="45"/>
      <c r="AH346" s="45"/>
      <c r="AI346" s="45"/>
      <c r="AJ346" s="189"/>
      <c r="AK346" s="101" t="s">
        <v>1967</v>
      </c>
      <c r="AL346" s="49"/>
      <c r="AM346" s="255" t="s">
        <v>1968</v>
      </c>
      <c r="AN346" s="91">
        <f>SUM(Transfer!AD187,Transfer!AD189,Transfer!AD190,Transfer!AD191,Transfer!AD194)-(SUM(Transfer!AD192,Transfer!AD193))</f>
        <v>243.82479999999998</v>
      </c>
      <c r="AO346" s="243">
        <f>100*(((SUM(Transfer!AD187,Transfer!AD189,Transfer!AD190,Transfer!AD191,Transfer!AD194)-(SUM(Transfer!AD192,Transfer!AD193)))/(SUM(Transfer!AC187,Transfer!AC189,Transfer!AC190,Transfer!AC191,Transfer!AC194)-(SUM(Transfer!AC192,Transfer!AC193))))-1)</f>
        <v>2.3888010306706953</v>
      </c>
      <c r="AP346" s="243">
        <f>SUM(Transfer!AE187,Transfer!AE189,Transfer!AE190,Transfer!AE191,Transfer!AE194)-(SUM(Transfer!AE192,Transfer!AE193))</f>
        <v>250.51951462774923</v>
      </c>
      <c r="AQ346" s="92">
        <f>100*(((SUM(Transfer!AE187,Transfer!AE189,Transfer!AE190,Transfer!AE191,Transfer!AE194)-(SUM(Transfer!AE192,Transfer!AE193)))/(SUM(Transfer!AD187,Transfer!AD189,Transfer!AD190,Transfer!AD191,Transfer!AD194)-(SUM(Transfer!AD192,Transfer!AD193))))-1)</f>
        <v>2.7457070108328763</v>
      </c>
      <c r="AR346" s="91">
        <f>SUM(Transfer!AF187,Transfer!AF189,Transfer!AF190,Transfer!AF191,Transfer!AF194)-(SUM(Transfer!AF192,Transfer!AF193))</f>
        <v>257.58803707620962</v>
      </c>
      <c r="AS346" s="243">
        <f>100*(((SUM(Transfer!AF187,Transfer!AF189,Transfer!AF190,Transfer!AF191,Transfer!AF194)-(SUM(Transfer!AF192,Transfer!AF193)))/(SUM(Transfer!AE187,Transfer!AE189,Transfer!AE190,Transfer!AE191,Transfer!AE194)-(SUM(Transfer!AE192,Transfer!AE193))))-1)</f>
        <v>2.8215456424476981</v>
      </c>
      <c r="AT346" s="243">
        <f>SUM(Transfer!AG187,Transfer!AG189,Transfer!AG190,Transfer!AG191,Transfer!AG194)-(SUM(Transfer!AG192,Transfer!AG193))</f>
        <v>266.92128122518096</v>
      </c>
      <c r="AU346" s="244">
        <f>100*(((SUM(Transfer!AG187,Transfer!AG189,Transfer!AG190,Transfer!AG191,Transfer!AG194)-(SUM(Transfer!AG192,Transfer!AG193)))/(SUM(Transfer!AF187,Transfer!AF189,Transfer!AF190,Transfer!AF191,Transfer!AF194)-(SUM(Transfer!AF192,Transfer!AF193))))-1)</f>
        <v>3.6233220513303577</v>
      </c>
      <c r="AV346" s="103"/>
      <c r="AW346" s="54"/>
      <c r="AX346" s="54"/>
      <c r="AY346" s="54"/>
      <c r="AZ346" s="54"/>
      <c r="BA346" s="1611" t="s">
        <v>1818</v>
      </c>
      <c r="BB346" s="1612"/>
      <c r="BC346" s="54"/>
    </row>
    <row r="347" spans="1:55">
      <c r="A347" s="45"/>
      <c r="B347" s="1575"/>
      <c r="C347" s="2653" t="s">
        <v>1969</v>
      </c>
      <c r="D347" s="2654"/>
      <c r="E347" s="2487"/>
      <c r="F347" s="2655">
        <f ca="1">(SUM(Transfer!D187,Transfer!D189,Transfer!D190,Transfer!D191,Transfer!D194)-(SUM(Transfer!D192,Transfer!D193)))/(Transfer!D136/Transfer!D101)</f>
        <v>240.21213649659967</v>
      </c>
      <c r="G347" s="2656">
        <f ca="1">100*((((SUM(Transfer!D187,Transfer!D189,Transfer!D190,Transfer!D191,Transfer!D194)-(SUM(Transfer!D192,Transfer!D193)))/(Transfer!D136/Transfer!D284))/((SUM(Transfer!C187,Transfer!C189,Transfer!C190,Transfer!C191,Transfer!C194)-(SUM(Transfer!C192,Transfer!C193)))/(Transfer!C136/Transfer!C284)))-1)</f>
        <v>0.8717433538452779</v>
      </c>
      <c r="H347" s="444">
        <f ca="1">(SUM(Transfer!E187,Transfer!E189,Transfer!E190,Transfer!E191,Transfer!E194)-(SUM(Transfer!E192,Transfer!E193)))/(Transfer!E136/Transfer!E101)</f>
        <v>246.34687148692817</v>
      </c>
      <c r="I347" s="2989">
        <f ca="1">100*((((SUM(Transfer!E187,Transfer!E189,Transfer!E190,Transfer!E191,Transfer!E194)-(SUM(Transfer!E192,Transfer!E193)))/(Transfer!E136/Transfer!E284))/((SUM(Transfer!D187,Transfer!D189,Transfer!D190,Transfer!D191,Transfer!D194)-(SUM(Transfer!D192,Transfer!D193)))/(Transfer!D136/Transfer!D284)))-1)</f>
        <v>1.0343785730279276</v>
      </c>
      <c r="J347" s="2655">
        <f ca="1">(SUM(Transfer!F187,Transfer!F189,Transfer!F190,Transfer!F191,Transfer!F194)-(SUM(Transfer!F192,Transfer!F193)))/(Transfer!F136/Transfer!F101)</f>
        <v>253.65161407288119</v>
      </c>
      <c r="K347" s="2656">
        <f ca="1">100*((((SUM(Transfer!F187,Transfer!F189,Transfer!F190,Transfer!F191,Transfer!F194)-(SUM(Transfer!F192,Transfer!F193)))/(Transfer!F136/Transfer!F284))/((SUM(Transfer!E187,Transfer!E189,Transfer!E190,Transfer!E191,Transfer!E194)-(SUM(Transfer!E192,Transfer!E193)))/(Transfer!E136/Transfer!E284)))-1)</f>
        <v>1.2502417026418078</v>
      </c>
      <c r="L347" s="2503">
        <f ca="1">(SUM(Transfer!G187,Transfer!G189,Transfer!G190,Transfer!G191,Transfer!G194)-(SUM(Transfer!G192,Transfer!G193)))/(Transfer!G136/Transfer!G101)</f>
        <v>263.7971149469991</v>
      </c>
      <c r="M347" s="2657">
        <f ca="1">100*((((SUM(Transfer!G187,Transfer!G189,Transfer!G190,Transfer!G191,Transfer!G194)-(SUM(Transfer!G192,Transfer!G193)))/(Transfer!G136/Transfer!G284))/((SUM(Transfer!F187,Transfer!F189,Transfer!F190,Transfer!F191,Transfer!F194)-(SUM(Transfer!F192,Transfer!F193)))/(Transfer!F136/Transfer!F284)))-1)</f>
        <v>2.2613350742055616</v>
      </c>
      <c r="N347" s="3842"/>
      <c r="O347" s="54"/>
      <c r="P347" s="54"/>
      <c r="Q347" s="54"/>
      <c r="R347" s="54"/>
      <c r="S347" s="189"/>
      <c r="T347" s="442" t="s">
        <v>1969</v>
      </c>
      <c r="U347" s="1618"/>
      <c r="V347" s="443"/>
      <c r="W347" s="456">
        <f t="shared" ca="1" si="19"/>
        <v>0</v>
      </c>
      <c r="X347" s="456">
        <f t="shared" ca="1" si="19"/>
        <v>-0.49999999999999989</v>
      </c>
      <c r="Y347" s="456">
        <f t="shared" ca="1" si="19"/>
        <v>0</v>
      </c>
      <c r="Z347" s="456">
        <f t="shared" ca="1" si="19"/>
        <v>-1.6</v>
      </c>
      <c r="AA347" s="456">
        <f t="shared" ca="1" si="19"/>
        <v>0.39999999999997726</v>
      </c>
      <c r="AB347" s="456">
        <f t="shared" ca="1" si="19"/>
        <v>-1.4999999999999998</v>
      </c>
      <c r="AC347" s="456">
        <f t="shared" ca="1" si="19"/>
        <v>0.30000000000001137</v>
      </c>
      <c r="AD347" s="457">
        <f t="shared" ca="1" si="19"/>
        <v>-1.7000000000000002</v>
      </c>
      <c r="AE347" s="103"/>
      <c r="AF347" s="45"/>
      <c r="AG347" s="45"/>
      <c r="AH347" s="45"/>
      <c r="AI347" s="45"/>
      <c r="AJ347" s="189"/>
      <c r="AK347" s="442" t="s">
        <v>1969</v>
      </c>
      <c r="AL347" s="1618"/>
      <c r="AM347" s="443"/>
      <c r="AN347" s="444">
        <f>(SUM(Transfer!AD187,Transfer!AD189,Transfer!AD190,Transfer!AD191,Transfer!AD194)-(SUM(Transfer!AD192,Transfer!AD193)))/(Transfer!AD136/Transfer!AD101)</f>
        <v>240.21213649659967</v>
      </c>
      <c r="AO347" s="445">
        <f>100*((((SUM(Transfer!AD187,Transfer!AD189,Transfer!AD190,Transfer!AD191,Transfer!AD194)-(SUM(Transfer!AD192,Transfer!AD193)))/(Transfer!AD136/Transfer!AD101))/((SUM(Transfer!AC187,Transfer!AC189,Transfer!AC190,Transfer!AC191,Transfer!AC194)-(SUM(Transfer!AC192,Transfer!AC193)))/(Transfer!AC136/Transfer!AC101)))-1)</f>
        <v>1.426637679985121</v>
      </c>
      <c r="AP347" s="444">
        <f>(SUM(Transfer!AE187,Transfer!AE189,Transfer!AE190,Transfer!AE191,Transfer!AE194)-(SUM(Transfer!AE192,Transfer!AE193)))/(Transfer!AE136/Transfer!AE101)</f>
        <v>246.34687148692817</v>
      </c>
      <c r="AQ347" s="445">
        <f>100*((((SUM(Transfer!AE187,Transfer!AE189,Transfer!AE190,Transfer!AE191,Transfer!AE194)-(SUM(Transfer!AE192,Transfer!AE193)))/(Transfer!AE136/Transfer!AE101))/((SUM(Transfer!AD187,Transfer!AD189,Transfer!AD190,Transfer!AD191,Transfer!AD194)-(SUM(Transfer!AD192,Transfer!AD193)))/(Transfer!AD136/Transfer!AD101)))-1)</f>
        <v>2.5538821975447323</v>
      </c>
      <c r="AR347" s="444">
        <f>(SUM(Transfer!AF187,Transfer!AF189,Transfer!AF190,Transfer!AF191,Transfer!AF194)-(SUM(Transfer!AF192,Transfer!AF193)))/(Transfer!AF136/Transfer!AF101)</f>
        <v>253.28223901298884</v>
      </c>
      <c r="AS347" s="445">
        <f>100*((((SUM(Transfer!AF187,Transfer!AF189,Transfer!AF190,Transfer!AF191,Transfer!AF194)-(SUM(Transfer!AF192,Transfer!AF193)))/(Transfer!AF136/Transfer!AF101))/((SUM(Transfer!AE187,Transfer!AE189,Transfer!AE190,Transfer!AE191,Transfer!AE194)-(SUM(Transfer!AE192,Transfer!AE193)))/(Transfer!AE136/Transfer!AE101)))-1)</f>
        <v>2.8152854080100154</v>
      </c>
      <c r="AT347" s="283">
        <f>(SUM(Transfer!AG187,Transfer!AG189,Transfer!AG190,Transfer!AG191,Transfer!AG194)-(SUM(Transfer!AG192,Transfer!AG193)))/(Transfer!AG136/Transfer!AG101)</f>
        <v>263.49583536543042</v>
      </c>
      <c r="AU347" s="446">
        <f>100*((((SUM(Transfer!AG187,Transfer!AG189,Transfer!AG190,Transfer!AG191,Transfer!AG194)-(SUM(Transfer!AG192,Transfer!AG193)))/(Transfer!AG136/Transfer!AG101))/((SUM(Transfer!AF187,Transfer!AF189,Transfer!AF190,Transfer!AF191,Transfer!AF194)-(SUM(Transfer!AF192,Transfer!AF193)))/(Transfer!AF136/Transfer!AF101)))-1)</f>
        <v>4.032496077199399</v>
      </c>
      <c r="AV347" s="103"/>
      <c r="AW347" s="54"/>
      <c r="AX347" s="54"/>
      <c r="AY347" s="54"/>
      <c r="AZ347" s="54"/>
      <c r="BA347" s="1611" t="s">
        <v>182</v>
      </c>
      <c r="BB347" s="1612"/>
      <c r="BC347" s="54"/>
    </row>
    <row r="348" spans="1:55">
      <c r="A348" s="45"/>
      <c r="B348" s="1575"/>
      <c r="C348" s="1576" t="s">
        <v>1970</v>
      </c>
      <c r="D348" s="2311"/>
      <c r="E348" s="2471" t="s">
        <v>628</v>
      </c>
      <c r="F348" s="2406">
        <f ca="1">Transfer!D195</f>
        <v>216.57429999999999</v>
      </c>
      <c r="G348" s="2645">
        <f ca="1">100*((Transfer!D195/Transfer!C195)-1)</f>
        <v>3.1856022328088152</v>
      </c>
      <c r="H348" s="249">
        <f ca="1">Transfer!E195</f>
        <v>222.72300000000001</v>
      </c>
      <c r="I348" s="140">
        <f ca="1">100*((Transfer!E195/Transfer!D195)-1)</f>
        <v>2.8390718566330353</v>
      </c>
      <c r="J348" s="2406">
        <f ca="1">Transfer!F195</f>
        <v>230.24669430149996</v>
      </c>
      <c r="K348" s="2645">
        <f ca="1">100*((Transfer!F195/Transfer!E195)-1)</f>
        <v>3.3780499999999769</v>
      </c>
      <c r="L348" s="2645">
        <f ca="1">Transfer!G195</f>
        <v>237.344923590782</v>
      </c>
      <c r="M348" s="2647">
        <f ca="1">100*((Transfer!G195/Transfer!F195)-1)</f>
        <v>3.0828799999999879</v>
      </c>
      <c r="N348" s="2350"/>
      <c r="O348" s="54"/>
      <c r="P348" s="54"/>
      <c r="Q348" s="54"/>
      <c r="R348" s="54"/>
      <c r="S348" s="189"/>
      <c r="T348" s="101" t="s">
        <v>1970</v>
      </c>
      <c r="U348" s="49"/>
      <c r="V348" s="255" t="s">
        <v>628</v>
      </c>
      <c r="W348" s="246">
        <f t="shared" ca="1" si="19"/>
        <v>0</v>
      </c>
      <c r="X348" s="246">
        <f t="shared" ca="1" si="19"/>
        <v>0</v>
      </c>
      <c r="Y348" s="246">
        <f t="shared" ca="1" si="19"/>
        <v>0</v>
      </c>
      <c r="Z348" s="246">
        <f t="shared" ca="1" si="19"/>
        <v>0</v>
      </c>
      <c r="AA348" s="246">
        <f t="shared" ca="1" si="19"/>
        <v>0</v>
      </c>
      <c r="AB348" s="246">
        <f t="shared" ca="1" si="19"/>
        <v>0</v>
      </c>
      <c r="AC348" s="246">
        <f t="shared" ca="1" si="19"/>
        <v>0</v>
      </c>
      <c r="AD348" s="321">
        <f t="shared" ca="1" si="19"/>
        <v>0</v>
      </c>
      <c r="AE348" s="103"/>
      <c r="AF348" s="45"/>
      <c r="AG348" s="45"/>
      <c r="AH348" s="45"/>
      <c r="AI348" s="45"/>
      <c r="AJ348" s="189"/>
      <c r="AK348" s="101" t="s">
        <v>1970</v>
      </c>
      <c r="AL348" s="49"/>
      <c r="AM348" s="255" t="s">
        <v>628</v>
      </c>
      <c r="AN348" s="91">
        <f>Transfer!AD195</f>
        <v>216.57429999999999</v>
      </c>
      <c r="AO348" s="243">
        <f>100*((Transfer!AD195/Transfer!AC195)-1)</f>
        <v>3.1856022328088152</v>
      </c>
      <c r="AP348" s="243">
        <f>Transfer!AE195</f>
        <v>222.72300000000001</v>
      </c>
      <c r="AQ348" s="92">
        <f>100*((Transfer!AE195/Transfer!AD195)-1)</f>
        <v>2.8390718566330353</v>
      </c>
      <c r="AR348" s="91">
        <f>Transfer!AF195</f>
        <v>230.24669430149996</v>
      </c>
      <c r="AS348" s="243">
        <f>100*((Transfer!AF195/Transfer!AE195)-1)</f>
        <v>3.3780499999999769</v>
      </c>
      <c r="AT348" s="243">
        <f>Transfer!AG195</f>
        <v>237.344923590782</v>
      </c>
      <c r="AU348" s="244">
        <f>100*((Transfer!AG195/Transfer!AF195)-1)</f>
        <v>3.0828799999999879</v>
      </c>
      <c r="AV348" s="103"/>
      <c r="AW348" s="54"/>
      <c r="AX348" s="54"/>
      <c r="AY348" s="54"/>
      <c r="AZ348" s="54"/>
      <c r="BA348" s="1611" t="s">
        <v>139</v>
      </c>
      <c r="BB348" s="1612"/>
      <c r="BC348" s="54"/>
    </row>
    <row r="349" spans="1:55">
      <c r="A349" s="45"/>
      <c r="B349" s="1575"/>
      <c r="C349" s="1576" t="s">
        <v>2057</v>
      </c>
      <c r="D349" s="2311"/>
      <c r="E349" s="2471" t="s">
        <v>2058</v>
      </c>
      <c r="F349" s="2645">
        <f ca="1">SUM(Transfer!D187,Transfer!D189,Transfer!D190,Transfer!D191,Transfer!D194)-(SUM(Transfer!D192,Transfer!D193,Transfer!D195))</f>
        <v>27.250499999999988</v>
      </c>
      <c r="G349" s="2354">
        <f ca="1">100*(((SUM(Transfer!D187,Transfer!D189,Transfer!D190,Transfer!D191,Transfer!D194)-(SUM(Transfer!D192,Transfer!D193,Transfer!D195)))/(SUM(Transfer!C187,Transfer!C189,Transfer!C190,Transfer!C191,Transfer!C194)-(SUM(Transfer!C192,Transfer!C193,Transfer!C195))))-1)</f>
        <v>-3.5315649548110395</v>
      </c>
      <c r="H349" s="3300">
        <f ca="1">SUM(Transfer!E187,Transfer!E189,Transfer!E190,Transfer!E191,Transfer!E194)-(SUM(Transfer!E192,Transfer!E193,Transfer!E195))</f>
        <v>27.796514627749218</v>
      </c>
      <c r="I349" s="243">
        <f ca="1">100*(((SUM(Transfer!E187,Transfer!E189,Transfer!E190,Transfer!E191,Transfer!E194)-(SUM(Transfer!E192,Transfer!E193,Transfer!E195)))/(SUM(Transfer!D187,Transfer!D189,Transfer!D190,Transfer!D191,Transfer!D194)-(SUM(Transfer!D192,Transfer!D193,Transfer!D195))))-1)</f>
        <v>2.0036866396918596</v>
      </c>
      <c r="J349" s="2645">
        <f ca="1">SUM(Transfer!F187,Transfer!F189,Transfer!F190,Transfer!F191,Transfer!F194)-(SUM(Transfer!F192,Transfer!F193,Transfer!F195))</f>
        <v>27.716997210620207</v>
      </c>
      <c r="K349" s="2354">
        <f ca="1">100*(((SUM(Transfer!F187,Transfer!F189,Transfer!F190,Transfer!F191,Transfer!F194)-(SUM(Transfer!F192,Transfer!F193,Transfer!F195)))/(SUM(Transfer!E187,Transfer!E189,Transfer!E190,Transfer!E191,Transfer!E194)-(SUM(Transfer!E192,Transfer!E193,Transfer!E195))))-1)</f>
        <v>-0.28606974001563756</v>
      </c>
      <c r="L349" s="2645">
        <f ca="1">SUM(Transfer!G187,Transfer!G189,Transfer!G190,Transfer!G191,Transfer!G194)-(SUM(Transfer!G192,Transfer!G193,Transfer!G195))</f>
        <v>29.881553850528007</v>
      </c>
      <c r="M349" s="2338">
        <f ca="1">100*(((SUM(Transfer!G187,Transfer!G189,Transfer!G190,Transfer!G191,Transfer!G194)-(SUM(Transfer!G192,Transfer!G193,Transfer!G195)))/(SUM(Transfer!F187,Transfer!F189,Transfer!F190,Transfer!F191,Transfer!F194)-(SUM(Transfer!F192,Transfer!F193,Transfer!F195))))-1)</f>
        <v>7.8094918560601467</v>
      </c>
      <c r="N349" s="2350"/>
      <c r="O349" s="54"/>
      <c r="P349" s="54"/>
      <c r="Q349" s="54"/>
      <c r="R349" s="54"/>
      <c r="S349" s="189"/>
      <c r="T349" s="101" t="s">
        <v>2057</v>
      </c>
      <c r="U349" s="49"/>
      <c r="V349" s="255" t="s">
        <v>2058</v>
      </c>
      <c r="W349" s="246">
        <f t="shared" ca="1" si="19"/>
        <v>0</v>
      </c>
      <c r="X349" s="246">
        <f t="shared" ca="1" si="19"/>
        <v>0</v>
      </c>
      <c r="Y349" s="246">
        <f t="shared" ca="1" si="19"/>
        <v>0</v>
      </c>
      <c r="Z349" s="246">
        <f t="shared" ca="1" si="19"/>
        <v>0</v>
      </c>
      <c r="AA349" s="246">
        <f t="shared" ca="1" si="19"/>
        <v>0.39999999999999858</v>
      </c>
      <c r="AB349" s="246">
        <f t="shared" ca="1" si="19"/>
        <v>1.3</v>
      </c>
      <c r="AC349" s="246">
        <f t="shared" ca="1" si="19"/>
        <v>0.29999999999999716</v>
      </c>
      <c r="AD349" s="321">
        <f t="shared" ca="1" si="19"/>
        <v>-0.39999999999999947</v>
      </c>
      <c r="AE349" s="103"/>
      <c r="AF349" s="45"/>
      <c r="AG349" s="45"/>
      <c r="AH349" s="45"/>
      <c r="AI349" s="45"/>
      <c r="AJ349" s="189"/>
      <c r="AK349" s="101" t="s">
        <v>2057</v>
      </c>
      <c r="AL349" s="49"/>
      <c r="AM349" s="255" t="s">
        <v>2058</v>
      </c>
      <c r="AN349" s="243">
        <f>SUM(Transfer!AD187,Transfer!AD189,Transfer!AD190,Transfer!AD191,Transfer!AD194)-(SUM(Transfer!AD192,Transfer!AD193,Transfer!AD195))</f>
        <v>27.250499999999988</v>
      </c>
      <c r="AO349" s="243">
        <f>100*(((SUM(Transfer!AD187,Transfer!AD189,Transfer!AD190,Transfer!AD191,Transfer!AD194)-(SUM(Transfer!AD192,Transfer!AD193,Transfer!AD195)))/(SUM(Transfer!AC187,Transfer!AC189,Transfer!AC190,Transfer!AC191,Transfer!AC194)-(SUM(Transfer!AC192,Transfer!AC193,Transfer!AC195))))-1)</f>
        <v>-3.5315649548110395</v>
      </c>
      <c r="AP349" s="243">
        <f>SUM(Transfer!AE187,Transfer!AE189,Transfer!AE190,Transfer!AE191,Transfer!AE194)-(SUM(Transfer!AE192,Transfer!AE193,Transfer!AE195))</f>
        <v>27.796514627749218</v>
      </c>
      <c r="AQ349" s="243">
        <f>100*(((SUM(Transfer!AE187,Transfer!AE189,Transfer!AE190,Transfer!AE191,Transfer!AE194)-(SUM(Transfer!AE192,Transfer!AE193,Transfer!AE195)))/(SUM(Transfer!AD187,Transfer!AD189,Transfer!AD190,Transfer!AD191,Transfer!AD194)-(SUM(Transfer!AD192,Transfer!AD193,Transfer!AD195))))-1)</f>
        <v>2.0036866396918596</v>
      </c>
      <c r="AR349" s="243">
        <f>SUM(Transfer!AF187,Transfer!AF189,Transfer!AF190,Transfer!AF191,Transfer!AF194)-(SUM(Transfer!AF192,Transfer!AF193,Transfer!AF195))</f>
        <v>27.341342774709631</v>
      </c>
      <c r="AS349" s="243">
        <f>100*(((SUM(Transfer!AF187,Transfer!AF189,Transfer!AF190,Transfer!AF191,Transfer!AF194)-(SUM(Transfer!AF192,Transfer!AF193,Transfer!AF195)))/(SUM(Transfer!AE187,Transfer!AE189,Transfer!AE190,Transfer!AE191,Transfer!AE194)-(SUM(Transfer!AE192,Transfer!AE193,Transfer!AE195))))-1)</f>
        <v>-1.6375141241096069</v>
      </c>
      <c r="AT349" s="243">
        <f>SUM(Transfer!AG187,Transfer!AG189,Transfer!AG190,Transfer!AG191,Transfer!AG194)-(SUM(Transfer!AG192,Transfer!AG193,Transfer!AG195))</f>
        <v>29.57635763439896</v>
      </c>
      <c r="AU349" s="93">
        <f>100*(((SUM(Transfer!AG187,Transfer!AG189,Transfer!AG190,Transfer!AG191,Transfer!AG194)-(SUM(Transfer!AG192,Transfer!AG193,Transfer!AG195)))/(SUM(Transfer!AF187,Transfer!AF189,Transfer!AF190,Transfer!AF191,Transfer!AF194)-(SUM(Transfer!AF192,Transfer!AF193,Transfer!AF195))))-1)</f>
        <v>8.1744882762549977</v>
      </c>
      <c r="AV349" s="103"/>
      <c r="AW349" s="54"/>
      <c r="AX349" s="54"/>
      <c r="AY349" s="54"/>
      <c r="AZ349" s="54"/>
      <c r="BA349" s="1611" t="s">
        <v>1406</v>
      </c>
      <c r="BB349" s="1612"/>
      <c r="BC349" s="54"/>
    </row>
    <row r="350" spans="1:55">
      <c r="A350" s="45"/>
      <c r="B350" s="1575"/>
      <c r="C350" s="2416" t="s">
        <v>578</v>
      </c>
      <c r="D350" s="2417"/>
      <c r="E350" s="2487"/>
      <c r="F350" s="2658">
        <f ca="1">100*(SUM(Transfer!D187,Transfer!D189,Transfer!D190,Transfer!D191,Transfer!D194)-(SUM(Transfer!D192,Transfer!D193,Transfer!D195)))/(SUM(Transfer!D187,Transfer!D189,Transfer!D190,Transfer!D191,Transfer!D194)-(SUM(Transfer!D192,Transfer!D193)))</f>
        <v>11.176262627919716</v>
      </c>
      <c r="G350" s="2503"/>
      <c r="H350" s="3298">
        <f ca="1">100*(SUM(Transfer!E187,Transfer!E189,Transfer!E190,Transfer!E191,Transfer!E194)-(SUM(Transfer!E192,Transfer!E193,Transfer!E195)))/(SUM(Transfer!E187,Transfer!E189,Transfer!E190,Transfer!E191,Transfer!E194)-(SUM(Transfer!E192,Transfer!E193)))</f>
        <v>11.095548651789656</v>
      </c>
      <c r="I350" s="283"/>
      <c r="J350" s="3298">
        <f ca="1">100*(SUM(Transfer!F187,Transfer!F189,Transfer!F190,Transfer!F191,Transfer!F194)-(SUM(Transfer!F192,Transfer!F193,Transfer!F195)))/(SUM(Transfer!F187,Transfer!F189,Transfer!F190,Transfer!F191,Transfer!F194)-(SUM(Transfer!F192,Transfer!F193)))</f>
        <v>10.74453425912381</v>
      </c>
      <c r="K350" s="2503"/>
      <c r="L350" s="3298">
        <f ca="1">100*(SUM(Transfer!G187,Transfer!G189,Transfer!G190,Transfer!G191,Transfer!G194)-(SUM(Transfer!G192,Transfer!G193,Transfer!G195)))/(SUM(Transfer!G187,Transfer!G189,Transfer!G190,Transfer!G191,Transfer!G194)-(SUM(Transfer!G192,Transfer!G193)))</f>
        <v>11.182108201493913</v>
      </c>
      <c r="M350" s="2991"/>
      <c r="N350" s="2350"/>
      <c r="O350" s="54"/>
      <c r="P350" s="54"/>
      <c r="Q350" s="54"/>
      <c r="R350" s="54"/>
      <c r="S350" s="189"/>
      <c r="T350" s="158" t="s">
        <v>578</v>
      </c>
      <c r="U350" s="1619"/>
      <c r="V350" s="443"/>
      <c r="W350" s="456">
        <f ca="1">ROUND(F350,1)-ROUND(AN350,1)</f>
        <v>0</v>
      </c>
      <c r="X350" s="283"/>
      <c r="Y350" s="456">
        <f ca="1">ROUND(H350,1)-ROUND(AP350,1)</f>
        <v>0</v>
      </c>
      <c r="Z350" s="283"/>
      <c r="AA350" s="456">
        <f ca="1">ROUND(J350,1)-ROUND(AR350,1)</f>
        <v>9.9999999999999645E-2</v>
      </c>
      <c r="AB350" s="283"/>
      <c r="AC350" s="456">
        <f t="shared" ca="1" si="19"/>
        <v>9.9999999999999645E-2</v>
      </c>
      <c r="AD350" s="284"/>
      <c r="AE350" s="103"/>
      <c r="AF350" s="45"/>
      <c r="AG350" s="45"/>
      <c r="AH350" s="45"/>
      <c r="AI350" s="45"/>
      <c r="AJ350" s="189"/>
      <c r="AK350" s="158" t="s">
        <v>578</v>
      </c>
      <c r="AL350" s="1619"/>
      <c r="AM350" s="443"/>
      <c r="AN350" s="283">
        <f>100*(SUM(Transfer!AD187,Transfer!AD189,Transfer!AD190,Transfer!AD191,Transfer!AD194)-(SUM(Transfer!AD192,Transfer!AD193,Transfer!AD195)))/(SUM(Transfer!AD187,Transfer!AD189,Transfer!AD190,Transfer!AD191,Transfer!AD194)-(SUM(Transfer!AD192,Transfer!AD193)))</f>
        <v>11.176262627919716</v>
      </c>
      <c r="AO350" s="283"/>
      <c r="AP350" s="283">
        <f>100*(SUM(Transfer!AE187,Transfer!AE189,Transfer!AE190,Transfer!AE191,Transfer!AE194)-(SUM(Transfer!AE192,Transfer!AE193,Transfer!AE195)))/(SUM(Transfer!AE187,Transfer!AE189,Transfer!AE190,Transfer!AE191,Transfer!AE194)-(SUM(Transfer!AE192,Transfer!AE193)))</f>
        <v>11.095548651789656</v>
      </c>
      <c r="AQ350" s="283"/>
      <c r="AR350" s="283">
        <f>100*(SUM(Transfer!AF187,Transfer!AF189,Transfer!AF190,Transfer!AF191,Transfer!AF194)-(SUM(Transfer!AF192,Transfer!AF193,Transfer!AF195)))/(SUM(Transfer!AF187,Transfer!AF189,Transfer!AF190,Transfer!AF191,Transfer!AF194)-(SUM(Transfer!AF192,Transfer!AF193)))</f>
        <v>10.614368231169237</v>
      </c>
      <c r="AS350" s="283"/>
      <c r="AT350" s="283">
        <f>100*(SUM(Transfer!AG187,Transfer!AG189,Transfer!AG190,Transfer!AG191,Transfer!AG194)-(SUM(Transfer!AG192,Transfer!AG193,Transfer!AG195)))/(SUM(Transfer!AG187,Transfer!AG189,Transfer!AG190,Transfer!AG191,Transfer!AG194)-(SUM(Transfer!AG192,Transfer!AG193)))</f>
        <v>11.080554348698657</v>
      </c>
      <c r="AU350" s="284"/>
      <c r="AV350" s="103"/>
      <c r="AW350" s="54"/>
      <c r="AX350" s="54"/>
      <c r="AY350" s="54"/>
      <c r="AZ350" s="54"/>
      <c r="BA350" s="1611" t="s">
        <v>2023</v>
      </c>
      <c r="BB350" s="1612"/>
      <c r="BC350" s="54"/>
    </row>
    <row r="351" spans="1:55">
      <c r="A351" s="45"/>
      <c r="B351" s="1575"/>
      <c r="C351" s="1576" t="s">
        <v>579</v>
      </c>
      <c r="D351" s="2311"/>
      <c r="E351" s="2471" t="s">
        <v>580</v>
      </c>
      <c r="F351" s="2336">
        <f ca="1">Transfer!D196</f>
        <v>24.465100000000003</v>
      </c>
      <c r="G351" s="2645">
        <f ca="1">100*((Transfer!D196/Transfer!C196)-1)</f>
        <v>3.1316656971107193</v>
      </c>
      <c r="H351" s="243">
        <f ca="1">Transfer!E196</f>
        <v>24.910316425268899</v>
      </c>
      <c r="I351" s="140">
        <f ca="1">100*((Transfer!E196/Transfer!D196)-1)</f>
        <v>1.8198021887051219</v>
      </c>
      <c r="J351" s="2336">
        <f ca="1">Transfer!F196</f>
        <v>25.335776213648238</v>
      </c>
      <c r="K351" s="2645">
        <f ca="1">100*((Transfer!F196/Transfer!E196)-1)</f>
        <v>1.7079662141415319</v>
      </c>
      <c r="L351" s="2354">
        <f ca="1">Transfer!G196</f>
        <v>25.819553251309497</v>
      </c>
      <c r="M351" s="2647">
        <f ca="1">100*((Transfer!G196/Transfer!F196)-1)</f>
        <v>1.9094620728480116</v>
      </c>
      <c r="N351" s="2350"/>
      <c r="O351" s="54"/>
      <c r="P351" s="54"/>
      <c r="Q351" s="54"/>
      <c r="R351" s="54"/>
      <c r="S351" s="189"/>
      <c r="T351" s="101" t="s">
        <v>579</v>
      </c>
      <c r="U351" s="49"/>
      <c r="V351" s="255" t="s">
        <v>580</v>
      </c>
      <c r="W351" s="246">
        <f ca="1">ROUND(F351,1)-ROUND(AN351,1)</f>
        <v>0</v>
      </c>
      <c r="X351" s="246">
        <f ca="1">ROUND(G351,1)-ROUND(AO351,1)</f>
        <v>0</v>
      </c>
      <c r="Y351" s="246">
        <f ca="1">ROUND(H351,1)-ROUND(AP351,1)</f>
        <v>0</v>
      </c>
      <c r="Z351" s="246">
        <f ca="1">ROUND(I351,1)-ROUND(AQ351,1)</f>
        <v>0</v>
      </c>
      <c r="AA351" s="246">
        <f ca="1">ROUND(J351,1)-ROUND(AR351,1)</f>
        <v>0</v>
      </c>
      <c r="AB351" s="246">
        <f ca="1">ROUND(K351,1)-ROUND(AS351,1)</f>
        <v>0</v>
      </c>
      <c r="AC351" s="246">
        <f t="shared" ca="1" si="19"/>
        <v>0</v>
      </c>
      <c r="AD351" s="321">
        <f t="shared" ca="1" si="19"/>
        <v>0</v>
      </c>
      <c r="AE351" s="103"/>
      <c r="AF351" s="45"/>
      <c r="AG351" s="45"/>
      <c r="AH351" s="45"/>
      <c r="AI351" s="45"/>
      <c r="AJ351" s="189"/>
      <c r="AK351" s="101" t="s">
        <v>579</v>
      </c>
      <c r="AL351" s="49"/>
      <c r="AM351" s="255" t="s">
        <v>580</v>
      </c>
      <c r="AN351" s="91">
        <f>Transfer!AD196</f>
        <v>24.465100000000003</v>
      </c>
      <c r="AO351" s="243">
        <f>100*((Transfer!AD196/Transfer!AC196)-1)</f>
        <v>3.1316656971107193</v>
      </c>
      <c r="AP351" s="243">
        <f>Transfer!AE196</f>
        <v>24.910316425268899</v>
      </c>
      <c r="AQ351" s="92">
        <f>100*((Transfer!AE196/Transfer!AD196)-1)</f>
        <v>1.8198021887051219</v>
      </c>
      <c r="AR351" s="91">
        <f>Transfer!AF196</f>
        <v>25.335776213648238</v>
      </c>
      <c r="AS351" s="243">
        <f>100*((Transfer!AF196/Transfer!AE196)-1)</f>
        <v>1.7079662141415319</v>
      </c>
      <c r="AT351" s="243">
        <f>Transfer!AG196</f>
        <v>25.819553251309497</v>
      </c>
      <c r="AU351" s="244">
        <f>100*((Transfer!AG196/Transfer!AF196)-1)</f>
        <v>1.9094620728480116</v>
      </c>
      <c r="AV351" s="103"/>
      <c r="AW351" s="54"/>
      <c r="AX351" s="54"/>
      <c r="AY351" s="54"/>
      <c r="AZ351" s="54"/>
      <c r="BA351" s="1611" t="s">
        <v>2024</v>
      </c>
      <c r="BB351" s="1612"/>
      <c r="BC351" s="54"/>
    </row>
    <row r="352" spans="1:55">
      <c r="A352" s="45"/>
      <c r="B352" s="1575"/>
      <c r="C352" s="1576" t="s">
        <v>1888</v>
      </c>
      <c r="D352" s="2311"/>
      <c r="E352" s="2471" t="s">
        <v>1889</v>
      </c>
      <c r="F352" s="2406">
        <f ca="1">Transfer!D197</f>
        <v>2.145</v>
      </c>
      <c r="G352" s="2645">
        <f ca="1">100*((Transfer!D197/Transfer!C197)-1)</f>
        <v>-15.019214769620849</v>
      </c>
      <c r="H352" s="249">
        <f ca="1">Transfer!E197</f>
        <v>2.285625</v>
      </c>
      <c r="I352" s="140">
        <f ca="1">100*((Transfer!E197/Transfer!D197)-1)</f>
        <v>6.5559440559440629</v>
      </c>
      <c r="J352" s="2406">
        <f ca="1">Transfer!F197</f>
        <v>2.4332812500000003</v>
      </c>
      <c r="K352" s="2645">
        <f ca="1">100*((Transfer!F197/Transfer!E197)-1)</f>
        <v>6.46021328958164</v>
      </c>
      <c r="L352" s="2645">
        <f ca="1">Transfer!G197</f>
        <v>2.5883203125000005</v>
      </c>
      <c r="M352" s="2647">
        <f ca="1">100*((Transfer!G197/Transfer!F197)-1)</f>
        <v>6.3716047004430898</v>
      </c>
      <c r="N352" s="2332"/>
      <c r="O352" s="54"/>
      <c r="P352" s="54"/>
      <c r="Q352" s="54"/>
      <c r="R352" s="54"/>
      <c r="S352" s="189"/>
      <c r="T352" s="101" t="s">
        <v>1888</v>
      </c>
      <c r="U352" s="49"/>
      <c r="V352" s="255" t="s">
        <v>1889</v>
      </c>
      <c r="W352" s="246">
        <f ca="1">ROUND(F352,1)-ROUND(AN352,1)</f>
        <v>0</v>
      </c>
      <c r="X352" s="246">
        <f ca="1">ROUND(G352,1)-ROUND(AO352,1)</f>
        <v>0</v>
      </c>
      <c r="Y352" s="246">
        <f ca="1">ROUND(H352,1)-ROUND(AP352,1)</f>
        <v>0</v>
      </c>
      <c r="Z352" s="246">
        <f ca="1">ROUND(I352,1)-ROUND(AQ352,1)</f>
        <v>0</v>
      </c>
      <c r="AA352" s="246">
        <f ca="1">ROUND(J352,1)-ROUND(AR352,1)</f>
        <v>0</v>
      </c>
      <c r="AB352" s="246">
        <f ca="1">ROUND(K352,1)-ROUND(AS352,1)</f>
        <v>0</v>
      </c>
      <c r="AC352" s="246">
        <f t="shared" ca="1" si="19"/>
        <v>0</v>
      </c>
      <c r="AD352" s="321">
        <f t="shared" ca="1" si="19"/>
        <v>0</v>
      </c>
      <c r="AE352" s="374"/>
      <c r="AF352" s="45"/>
      <c r="AG352" s="45"/>
      <c r="AH352" s="45"/>
      <c r="AI352" s="45"/>
      <c r="AJ352" s="189"/>
      <c r="AK352" s="101" t="s">
        <v>1888</v>
      </c>
      <c r="AL352" s="49"/>
      <c r="AM352" s="255" t="s">
        <v>1889</v>
      </c>
      <c r="AN352" s="91">
        <f>Transfer!AD197</f>
        <v>2.145</v>
      </c>
      <c r="AO352" s="243">
        <f>100*((Transfer!AD197/Transfer!AC197)-1)</f>
        <v>-15.019214769620849</v>
      </c>
      <c r="AP352" s="243">
        <f>Transfer!AE197</f>
        <v>2.285625</v>
      </c>
      <c r="AQ352" s="92">
        <f>100*((Transfer!AE197/Transfer!AD197)-1)</f>
        <v>6.5559440559440629</v>
      </c>
      <c r="AR352" s="91">
        <f>Transfer!AF197</f>
        <v>2.4332812500000003</v>
      </c>
      <c r="AS352" s="243">
        <f>100*((Transfer!AF197/Transfer!AE197)-1)</f>
        <v>6.46021328958164</v>
      </c>
      <c r="AT352" s="243">
        <f>Transfer!AG197</f>
        <v>2.5883203125000005</v>
      </c>
      <c r="AU352" s="244">
        <f>100*((Transfer!AG197/Transfer!AF197)-1)</f>
        <v>6.3716047004430898</v>
      </c>
      <c r="AV352" s="374"/>
      <c r="AW352" s="54"/>
      <c r="AX352" s="54"/>
      <c r="AY352" s="54"/>
      <c r="AZ352" s="54"/>
      <c r="BA352" s="1611" t="s">
        <v>2025</v>
      </c>
      <c r="BB352" s="1612"/>
      <c r="BC352" s="54"/>
    </row>
    <row r="353" spans="1:55">
      <c r="A353" s="45"/>
      <c r="B353" s="1575"/>
      <c r="C353" s="2408" t="s">
        <v>1646</v>
      </c>
      <c r="D353" s="2389"/>
      <c r="E353" s="2471" t="s">
        <v>1647</v>
      </c>
      <c r="F353" s="2659">
        <f ca="1">SUM(Transfer!D187,Transfer!D189,Transfer!D190,Transfer!D191,Transfer!D194)-(SUM(Transfer!D192,Transfer!D193,Transfer!D195,Transfer!D196,Transfer!D197))</f>
        <v>0.64039999999999964</v>
      </c>
      <c r="G353" s="2354">
        <f ca="1">100*(((SUM(Transfer!D187,Transfer!D189,Transfer!D190,Transfer!D191,Transfer!D194)-(SUM(Transfer!D192,Transfer!D193,Transfer!D195,Transfer!D196,Transfer!D197)))/(SUM(Transfer!C187,Transfer!C189,Transfer!C190,Transfer!C191,Transfer!C194)-(SUM(Transfer!C192,Transfer!C193,Transfer!C195,Transfer!C196,Transfer!C197))))-1)</f>
        <v>-68.008792087121648</v>
      </c>
      <c r="H353" s="448">
        <f ca="1">SUM(Transfer!E187,Transfer!E189,Transfer!E190,Transfer!E191,Transfer!E194)-(SUM(Transfer!E192,Transfer!E193,Transfer!E195,Transfer!E196,Transfer!E197))</f>
        <v>0.60057320248034785</v>
      </c>
      <c r="I353" s="243">
        <f ca="1">100*(((SUM(Transfer!E187,Transfer!E189,Transfer!E190,Transfer!E191,Transfer!E194)-(SUM(Transfer!E192,Transfer!E193,Transfer!E195,Transfer!E196,Transfer!E197)))/(SUM(Transfer!D187,Transfer!D189,Transfer!D190,Transfer!D191,Transfer!D194)-(SUM(Transfer!D192,Transfer!D193,Transfer!D195,Transfer!D196,Transfer!D197))))-1)</f>
        <v>-6.2190502060668003</v>
      </c>
      <c r="J353" s="2659">
        <f ca="1">SUM(Transfer!F187,Transfer!F189,Transfer!F190,Transfer!F191,Transfer!F194)-(SUM(Transfer!F192,Transfer!F193,Transfer!F195,Transfer!F196,Transfer!F197))</f>
        <v>-5.206025302800299E-2</v>
      </c>
      <c r="K353" s="2354">
        <f ca="1">100*(((SUM(Transfer!F187,Transfer!F189,Transfer!F190,Transfer!F191,Transfer!F194)-(SUM(Transfer!F192,Transfer!F193,Transfer!F195,Transfer!F196,Transfer!F197)))/(SUM(Transfer!E187,Transfer!E189,Transfer!E190,Transfer!E191,Transfer!E194)-(SUM(Transfer!E192,Transfer!E193,Transfer!E195,Transfer!E196,Transfer!E197))))-1)</f>
        <v>-108.66842756436614</v>
      </c>
      <c r="L353" s="2659">
        <f ca="1">SUM(Transfer!G187,Transfer!G189,Transfer!G190,Transfer!G191,Transfer!G194)-(SUM(Transfer!G192,Transfer!G193,Transfer!G195,Transfer!G196,Transfer!G197))</f>
        <v>1.4736802867184906</v>
      </c>
      <c r="M353" s="2338">
        <f ca="1">100*(((SUM(Transfer!G187,Transfer!G189,Transfer!G190,Transfer!G191,Transfer!G194)-(SUM(Transfer!G192,Transfer!G193,Transfer!G195,Transfer!G196,Transfer!G197)))/(SUM(Transfer!F187,Transfer!F189,Transfer!F190,Transfer!F191,Transfer!F194)-(SUM(Transfer!F192,Transfer!F193,Transfer!F195,Transfer!F196,Transfer!F197))))-1)</f>
        <v>-2930.7205612807993</v>
      </c>
      <c r="N353" s="2332"/>
      <c r="O353" s="54"/>
      <c r="P353" s="54"/>
      <c r="Q353" s="54"/>
      <c r="R353" s="54"/>
      <c r="S353" s="189"/>
      <c r="T353" s="447" t="s">
        <v>1646</v>
      </c>
      <c r="U353" s="143"/>
      <c r="V353" s="255" t="s">
        <v>1647</v>
      </c>
      <c r="W353" s="246">
        <f ca="1">ROUND(F353,1)-ROUND(AN353,1)</f>
        <v>0</v>
      </c>
      <c r="X353" s="246">
        <f ca="1">ROUND(G353,1)-ROUND(AO353,1)</f>
        <v>0</v>
      </c>
      <c r="Y353" s="246">
        <f ca="1">ROUND(H353,1)-ROUND(AP353,1)</f>
        <v>0</v>
      </c>
      <c r="Z353" s="246">
        <f ca="1">ROUND(I353,1)-ROUND(AQ353,1)</f>
        <v>0</v>
      </c>
      <c r="AA353" s="246">
        <f ca="1">ROUND(J353,1)-ROUND(AR353,1)</f>
        <v>0.30000000000000004</v>
      </c>
      <c r="AB353" s="246">
        <f ca="1">ROUND(K353,1)-ROUND(AS353,1)</f>
        <v>62.499999999999986</v>
      </c>
      <c r="AC353" s="246">
        <f t="shared" ca="1" si="19"/>
        <v>0.30000000000000004</v>
      </c>
      <c r="AD353" s="321">
        <f t="shared" ca="1" si="19"/>
        <v>-2557.5</v>
      </c>
      <c r="AE353" s="374"/>
      <c r="AF353" s="45"/>
      <c r="AG353" s="45"/>
      <c r="AH353" s="45"/>
      <c r="AI353" s="45"/>
      <c r="AJ353" s="189"/>
      <c r="AK353" s="447" t="s">
        <v>1646</v>
      </c>
      <c r="AL353" s="143"/>
      <c r="AM353" s="255" t="s">
        <v>1647</v>
      </c>
      <c r="AN353" s="448">
        <f>SUM(Transfer!AD187,Transfer!AD189,Transfer!AD190,Transfer!AD191,Transfer!AD194)-(SUM(Transfer!AD192,Transfer!AD193,Transfer!AD195,Transfer!AD196,Transfer!AD197))</f>
        <v>0.64039999999999964</v>
      </c>
      <c r="AO353" s="243">
        <f>100*(((SUM(Transfer!AD187,Transfer!AD189,Transfer!AD190,Transfer!AD191,Transfer!AD194)-(SUM(Transfer!AD192,Transfer!AD193,Transfer!AD195,Transfer!AD196,Transfer!AD197)))/(SUM(Transfer!AC187,Transfer!AC189,Transfer!AC190,Transfer!AC191,Transfer!AC194)-(SUM(Transfer!AC192,Transfer!AC193,Transfer!AC195,Transfer!AC196,Transfer!AC197))))-1)</f>
        <v>-68.008792087121648</v>
      </c>
      <c r="AP353" s="448">
        <f>SUM(Transfer!AE187,Transfer!AE189,Transfer!AE190,Transfer!AE191,Transfer!AE194)-(SUM(Transfer!AE192,Transfer!AE193,Transfer!AE195,Transfer!AE196,Transfer!AE197))</f>
        <v>0.60057320248034785</v>
      </c>
      <c r="AQ353" s="243">
        <f>100*(((SUM(Transfer!AE187,Transfer!AE189,Transfer!AE190,Transfer!AE191,Transfer!AE194)-(SUM(Transfer!AE192,Transfer!AE193,Transfer!AE195,Transfer!AE196,Transfer!AE197)))/(SUM(Transfer!AD187,Transfer!AD189,Transfer!AD190,Transfer!AD191,Transfer!AD194)-(SUM(Transfer!AD192,Transfer!AD193,Transfer!AD195,Transfer!AD196,Transfer!AD197))))-1)</f>
        <v>-6.2190502060668003</v>
      </c>
      <c r="AR353" s="448">
        <f>SUM(Transfer!AF187,Transfer!AF189,Transfer!AF190,Transfer!AF191,Transfer!AF194)-(SUM(Transfer!AF192,Transfer!AF193,Transfer!AF195,Transfer!AF196,Transfer!AF197))</f>
        <v>-0.427714688938579</v>
      </c>
      <c r="AS353" s="243">
        <f>100*(((SUM(Transfer!AF187,Transfer!AF189,Transfer!AF190,Transfer!AF191,Transfer!AF194)-(SUM(Transfer!AF192,Transfer!AF193,Transfer!AF195,Transfer!AF196,Transfer!AF197)))/(SUM(Transfer!AE187,Transfer!AE189,Transfer!AE190,Transfer!AE191,Transfer!AE194)-(SUM(Transfer!AE192,Transfer!AE193,Transfer!AE195,Transfer!AE196,Transfer!AE197))))-1)</f>
        <v>-171.21774451009989</v>
      </c>
      <c r="AT353" s="448">
        <f>SUM(Transfer!AG187,Transfer!AG189,Transfer!AG190,Transfer!AG191,Transfer!AG194)-(SUM(Transfer!AG192,Transfer!AG193,Transfer!AG195,Transfer!AG196,Transfer!AG197))</f>
        <v>1.168484070589443</v>
      </c>
      <c r="AU353" s="93">
        <f>100*(((SUM(Transfer!AG187,Transfer!AG189,Transfer!AG190,Transfer!AG191,Transfer!AG194)-(SUM(Transfer!AG192,Transfer!AG193,Transfer!AG195,Transfer!AG196,Transfer!AG197)))/(SUM(Transfer!AF187,Transfer!AF189,Transfer!AF190,Transfer!AF191,Transfer!AF194)-(SUM(Transfer!AF192,Transfer!AF193,Transfer!AF195,Transfer!AF196,Transfer!AF197))))-1)</f>
        <v>-373.19241092447976</v>
      </c>
      <c r="AV353" s="374"/>
      <c r="AW353" s="54"/>
      <c r="AX353" s="54"/>
      <c r="AY353" s="54"/>
      <c r="AZ353" s="54"/>
      <c r="BA353" s="1611" t="s">
        <v>854</v>
      </c>
      <c r="BB353" s="1612"/>
      <c r="BC353" s="54"/>
    </row>
    <row r="354" spans="1:55" ht="13.8" thickBot="1">
      <c r="A354" s="45"/>
      <c r="B354" s="1575"/>
      <c r="C354" s="2633" t="s">
        <v>538</v>
      </c>
      <c r="D354" s="2634"/>
      <c r="E354" s="2660"/>
      <c r="F354" s="2661">
        <f ca="1">100*(SUM(Transfer!D187,Transfer!D189,Transfer!D190,Transfer!D191,Transfer!D194)-(SUM(Transfer!D192,Transfer!D193,Transfer!D195,Transfer!D196,Transfer!D197)))/Transfer!D147</f>
        <v>0.15137747832162929</v>
      </c>
      <c r="G354" s="2661"/>
      <c r="H354" s="451">
        <f ca="1">100*(SUM(Transfer!E187,Transfer!E189,Transfer!E190,Transfer!E191,Transfer!E194)-(SUM(Transfer!E192,Transfer!E193,Transfer!E195,Transfer!E196,Transfer!E197)))/Transfer!E147</f>
        <v>0.13696563174176421</v>
      </c>
      <c r="I354" s="451"/>
      <c r="J354" s="2661">
        <f ca="1">100*(SUM(Transfer!F187,Transfer!F189,Transfer!F190,Transfer!F191,Transfer!F194)-(SUM(Transfer!F192,Transfer!F193,Transfer!F195,Transfer!F196,Transfer!F197)))/Transfer!F147</f>
        <v>-1.148287530099134E-2</v>
      </c>
      <c r="K354" s="2661"/>
      <c r="L354" s="2661">
        <f ca="1">100*(SUM(Transfer!G187,Transfer!G189,Transfer!G190,Transfer!G191,Transfer!G194)-(SUM(Transfer!G192,Transfer!G193,Transfer!G195,Transfer!G196,Transfer!G197)))/Transfer!G147</f>
        <v>0.31419009691075966</v>
      </c>
      <c r="M354" s="2543"/>
      <c r="N354" s="2332"/>
      <c r="O354" s="54"/>
      <c r="P354" s="54"/>
      <c r="Q354" s="54"/>
      <c r="R354" s="54"/>
      <c r="S354" s="189"/>
      <c r="T354" s="449" t="s">
        <v>538</v>
      </c>
      <c r="U354" s="1620"/>
      <c r="V354" s="450"/>
      <c r="W354" s="1634">
        <f ca="1">ROUND(F354,1)-ROUND(AN354,1)</f>
        <v>0</v>
      </c>
      <c r="X354" s="451"/>
      <c r="Y354" s="1634">
        <f ca="1">ROUND(H354,1)-ROUND(AP354,1)</f>
        <v>0</v>
      </c>
      <c r="Z354" s="451"/>
      <c r="AA354" s="1634">
        <f ca="1">ROUND(J354,1)-ROUND(AR354,1)</f>
        <v>0.1</v>
      </c>
      <c r="AB354" s="451"/>
      <c r="AC354" s="1634">
        <f ca="1">ROUND(L354,1)-ROUND(AT354,1)</f>
        <v>9.9999999999999978E-2</v>
      </c>
      <c r="AD354" s="327"/>
      <c r="AE354" s="374"/>
      <c r="AF354" s="45"/>
      <c r="AG354" s="45"/>
      <c r="AH354" s="45"/>
      <c r="AI354" s="45"/>
      <c r="AJ354" s="189"/>
      <c r="AK354" s="449" t="s">
        <v>538</v>
      </c>
      <c r="AL354" s="1620"/>
      <c r="AM354" s="450"/>
      <c r="AN354" s="451">
        <f>100*(SUM(Transfer!AD187,Transfer!AD189,Transfer!AD190,Transfer!AD191,Transfer!AD194)-(SUM(Transfer!AD192,Transfer!AD193,Transfer!AD195,Transfer!AD196,Transfer!AD197)))/Transfer!AD147</f>
        <v>0.15137747832162929</v>
      </c>
      <c r="AO354" s="451"/>
      <c r="AP354" s="451">
        <f>100*(SUM(Transfer!AE187,Transfer!AE189,Transfer!AE190,Transfer!AE191,Transfer!AE194)-(SUM(Transfer!AE192,Transfer!AE193,Transfer!AE195,Transfer!AE196,Transfer!AE197)))/Transfer!AE147</f>
        <v>0.13696563174176421</v>
      </c>
      <c r="AQ354" s="451"/>
      <c r="AR354" s="451">
        <f>100*(SUM(Transfer!AF187,Transfer!AF189,Transfer!AF190,Transfer!AF191,Transfer!AF194)-(SUM(Transfer!AF192,Transfer!AF193,Transfer!AF195,Transfer!AF196,Transfer!AF197)))/Transfer!AF147</f>
        <v>-9.4340579459769119E-2</v>
      </c>
      <c r="AS354" s="451"/>
      <c r="AT354" s="451">
        <f>100*(SUM(Transfer!AG187,Transfer!AG189,Transfer!AG190,Transfer!AG191,Transfer!AG194)-(SUM(Transfer!AG192,Transfer!AG193,Transfer!AG195,Transfer!AG196,Transfer!AG197)))/Transfer!AG147</f>
        <v>0.24909360841493081</v>
      </c>
      <c r="AU354" s="327"/>
      <c r="AV354" s="374"/>
      <c r="AW354" s="54"/>
      <c r="AX354" s="54"/>
      <c r="AY354" s="54"/>
      <c r="AZ354" s="54"/>
      <c r="BA354" s="1651" t="s">
        <v>855</v>
      </c>
      <c r="BB354" s="1615"/>
      <c r="BC354" s="54"/>
    </row>
    <row r="355" spans="1:55">
      <c r="A355" s="45"/>
      <c r="B355" s="1614"/>
      <c r="C355" s="2428"/>
      <c r="D355" s="2428"/>
      <c r="E355" s="2428"/>
      <c r="F355" s="3921"/>
      <c r="G355" s="2428"/>
      <c r="H355" s="3921"/>
      <c r="I355" s="2428"/>
      <c r="J355" s="3921"/>
      <c r="K355" s="2428"/>
      <c r="L355" s="3921"/>
      <c r="M355" s="2360" t="str">
        <f>UPPER(Country)</f>
        <v>BELGIUM</v>
      </c>
      <c r="N355" s="2429"/>
      <c r="O355" s="54"/>
      <c r="P355" s="54"/>
      <c r="Q355" s="54"/>
      <c r="R355" s="54"/>
      <c r="S355" s="216"/>
      <c r="T355" s="113"/>
      <c r="U355" s="113"/>
      <c r="V355" s="113"/>
      <c r="W355" s="113"/>
      <c r="X355" s="113"/>
      <c r="Y355" s="113"/>
      <c r="Z355" s="113"/>
      <c r="AA355" s="113"/>
      <c r="AB355" s="113"/>
      <c r="AC355" s="113"/>
      <c r="AD355" s="118" t="str">
        <f>UPPER(Country)</f>
        <v>BELGIUM</v>
      </c>
      <c r="AE355" s="217"/>
      <c r="AF355" s="45"/>
      <c r="AG355" s="45"/>
      <c r="AH355" s="45"/>
      <c r="AI355" s="45"/>
      <c r="AJ355" s="216"/>
      <c r="AK355" s="113"/>
      <c r="AL355" s="113"/>
      <c r="AM355" s="113"/>
      <c r="AN355" s="113"/>
      <c r="AO355" s="113"/>
      <c r="AP355" s="113"/>
      <c r="AQ355" s="113"/>
      <c r="AR355" s="113"/>
      <c r="AS355" s="113"/>
      <c r="AT355" s="113"/>
      <c r="AU355" s="118" t="str">
        <f>UPPER(Country)</f>
        <v>BELGIUM</v>
      </c>
      <c r="AV355" s="217"/>
      <c r="AW355" s="54"/>
      <c r="AX355" s="54"/>
      <c r="AY355" s="54"/>
      <c r="AZ355" s="54"/>
      <c r="BA355" s="54"/>
      <c r="BB355" s="54"/>
      <c r="BC355" s="54"/>
    </row>
    <row r="356" spans="1:55">
      <c r="A356" s="45"/>
      <c r="B356" s="45"/>
      <c r="C356" s="45"/>
      <c r="D356" s="45"/>
      <c r="E356" s="45"/>
      <c r="F356" s="4043">
        <f ca="1">F351/F346*100</f>
        <v>10.033884986268832</v>
      </c>
      <c r="G356" s="1423"/>
      <c r="H356" s="4043">
        <f ca="1">H351/H346*100</f>
        <v>9.9434634712124197</v>
      </c>
      <c r="I356" s="1423"/>
      <c r="J356" s="4043">
        <f ca="1">J351/J346*100</f>
        <v>9.8214504782188943</v>
      </c>
      <c r="K356" s="1423"/>
      <c r="L356" s="4043">
        <f ca="1">L351/L346*100</f>
        <v>9.6620490224364648</v>
      </c>
      <c r="M356" s="45"/>
      <c r="N356" s="54"/>
      <c r="O356" s="54"/>
      <c r="P356" s="54"/>
      <c r="Q356" s="54"/>
      <c r="R356" s="54"/>
      <c r="S356" s="54"/>
      <c r="T356" s="54"/>
      <c r="U356" s="54"/>
      <c r="V356" s="54"/>
      <c r="W356" s="54"/>
      <c r="X356" s="54"/>
      <c r="Y356" s="54"/>
      <c r="Z356" s="54"/>
      <c r="AA356" s="54"/>
      <c r="AB356" s="45"/>
      <c r="AC356" s="45"/>
      <c r="AD356" s="45"/>
      <c r="AE356" s="45"/>
      <c r="AF356" s="45"/>
      <c r="AG356" s="45"/>
      <c r="AH356" s="45"/>
      <c r="AI356" s="45"/>
      <c r="AJ356" s="45"/>
      <c r="AK356" s="45"/>
      <c r="AL356" s="45"/>
      <c r="AM356" s="45"/>
      <c r="AN356" s="45"/>
      <c r="AO356" s="45"/>
      <c r="AP356" s="45"/>
      <c r="AQ356" s="45"/>
      <c r="AR356" s="45"/>
      <c r="AS356" s="45"/>
      <c r="AT356" s="45"/>
      <c r="AU356" s="45"/>
      <c r="AV356" s="54"/>
      <c r="AW356" s="54"/>
      <c r="AX356" s="54"/>
      <c r="AY356" s="54"/>
      <c r="AZ356" s="54"/>
      <c r="BA356" s="54"/>
      <c r="BB356" s="54"/>
      <c r="BC356" s="54"/>
    </row>
    <row r="357" spans="1:55">
      <c r="A357" s="45"/>
      <c r="B357" s="45"/>
      <c r="C357" s="45"/>
      <c r="D357" s="45"/>
      <c r="E357" s="45"/>
      <c r="F357" s="45"/>
      <c r="G357" s="45"/>
      <c r="H357" s="45"/>
      <c r="I357" s="45"/>
      <c r="J357" s="45"/>
      <c r="K357" s="45"/>
      <c r="L357" s="45"/>
      <c r="M357" s="45"/>
      <c r="N357" s="54"/>
      <c r="O357" s="54"/>
      <c r="P357" s="54"/>
      <c r="Q357" s="54"/>
      <c r="R357" s="54"/>
      <c r="S357" s="54"/>
      <c r="T357" s="54"/>
      <c r="U357" s="54"/>
      <c r="V357" s="54"/>
      <c r="W357" s="54"/>
      <c r="X357" s="54"/>
      <c r="Y357" s="54"/>
      <c r="Z357" s="54"/>
      <c r="AA357" s="54"/>
      <c r="AB357" s="45"/>
      <c r="AC357" s="45"/>
      <c r="AD357" s="45"/>
      <c r="AE357" s="45"/>
      <c r="AF357" s="45"/>
      <c r="AG357" s="45"/>
      <c r="AH357" s="45"/>
      <c r="AI357" s="45"/>
      <c r="AJ357" s="45"/>
      <c r="AK357" s="45"/>
      <c r="AL357" s="45"/>
      <c r="AM357" s="45"/>
      <c r="AN357" s="45"/>
      <c r="AO357" s="45"/>
      <c r="AP357" s="45"/>
      <c r="AQ357" s="45"/>
      <c r="AR357" s="45"/>
      <c r="AS357" s="45"/>
      <c r="AT357" s="45"/>
      <c r="AU357" s="45"/>
      <c r="AV357" s="54"/>
      <c r="AW357" s="54"/>
      <c r="AX357" s="54"/>
      <c r="AY357" s="54"/>
      <c r="AZ357" s="54"/>
      <c r="BA357" s="54"/>
      <c r="BB357" s="54"/>
      <c r="BC357" s="54"/>
    </row>
    <row r="358" spans="1:55">
      <c r="A358" s="45"/>
      <c r="B358" s="45"/>
      <c r="C358" s="45"/>
      <c r="D358" s="45"/>
      <c r="E358" s="45"/>
      <c r="F358" s="45"/>
      <c r="G358" s="45"/>
      <c r="H358" s="45"/>
      <c r="I358" s="45"/>
      <c r="J358" s="45"/>
      <c r="K358" s="45"/>
      <c r="L358" s="45"/>
      <c r="M358" s="45"/>
      <c r="N358" s="54"/>
      <c r="O358" s="54"/>
      <c r="P358" s="54"/>
      <c r="Q358" s="54"/>
      <c r="R358" s="54"/>
      <c r="S358" s="54"/>
      <c r="T358" s="54"/>
      <c r="U358" s="54"/>
      <c r="V358" s="54"/>
      <c r="W358" s="54"/>
      <c r="X358" s="54"/>
      <c r="Y358" s="54"/>
      <c r="Z358" s="54"/>
      <c r="AA358" s="54"/>
      <c r="AB358" s="45"/>
      <c r="AC358" s="45"/>
      <c r="AD358" s="45"/>
      <c r="AE358" s="45"/>
      <c r="AF358" s="45"/>
      <c r="AG358" s="45"/>
      <c r="AH358" s="45"/>
      <c r="AI358" s="45"/>
      <c r="AJ358" s="45"/>
      <c r="AK358" s="45"/>
      <c r="AL358" s="45"/>
      <c r="AM358" s="45"/>
      <c r="AN358" s="45"/>
      <c r="AO358" s="45"/>
      <c r="AP358" s="45"/>
      <c r="AQ358" s="45"/>
      <c r="AR358" s="45"/>
      <c r="AS358" s="45"/>
      <c r="AT358" s="45"/>
      <c r="AU358" s="45"/>
      <c r="AV358" s="54"/>
      <c r="AW358" s="54"/>
      <c r="AX358" s="54"/>
      <c r="AY358" s="54"/>
      <c r="AZ358" s="54"/>
      <c r="BA358" s="54"/>
      <c r="BB358" s="54"/>
      <c r="BC358" s="54"/>
    </row>
    <row r="359" spans="1:55">
      <c r="A359" s="45"/>
      <c r="B359" s="45"/>
      <c r="C359" s="45"/>
      <c r="D359" s="45"/>
      <c r="E359" s="45"/>
      <c r="F359" s="45"/>
      <c r="G359" s="45"/>
      <c r="H359" s="45"/>
      <c r="I359" s="45"/>
      <c r="J359" s="45"/>
      <c r="K359" s="45"/>
      <c r="L359" s="45"/>
      <c r="M359" s="45"/>
      <c r="N359" s="54"/>
      <c r="O359" s="54"/>
      <c r="P359" s="54"/>
      <c r="Q359" s="54"/>
      <c r="R359" s="54"/>
      <c r="S359" s="54"/>
      <c r="T359" s="54"/>
      <c r="U359" s="54"/>
      <c r="V359" s="54"/>
      <c r="W359" s="54"/>
      <c r="X359" s="54"/>
      <c r="Y359" s="54"/>
      <c r="Z359" s="54"/>
      <c r="AA359" s="54"/>
      <c r="AB359" s="45"/>
      <c r="AC359" s="45"/>
      <c r="AD359" s="45"/>
      <c r="AE359" s="45"/>
      <c r="AF359" s="45"/>
      <c r="AG359" s="45"/>
      <c r="AH359" s="45"/>
      <c r="AI359" s="45"/>
      <c r="AJ359" s="45"/>
      <c r="AK359" s="45"/>
      <c r="AL359" s="45"/>
      <c r="AM359" s="45"/>
      <c r="AN359" s="45"/>
      <c r="AO359" s="45"/>
      <c r="AP359" s="45"/>
      <c r="AQ359" s="45"/>
      <c r="AR359" s="45"/>
      <c r="AS359" s="45"/>
      <c r="AT359" s="45"/>
      <c r="AU359" s="45"/>
      <c r="AV359" s="54"/>
      <c r="AW359" s="54"/>
      <c r="AX359" s="54"/>
      <c r="AY359" s="54"/>
      <c r="AZ359" s="54"/>
      <c r="BA359" s="54"/>
      <c r="BB359" s="54"/>
      <c r="BC359" s="54"/>
    </row>
    <row r="360" spans="1:55">
      <c r="A360" s="45"/>
      <c r="B360" s="45"/>
      <c r="C360" s="45"/>
      <c r="D360" s="45"/>
      <c r="E360" s="45"/>
      <c r="F360" s="45"/>
      <c r="G360" s="45"/>
      <c r="H360" s="45"/>
      <c r="I360" s="45"/>
      <c r="J360" s="45"/>
      <c r="K360" s="45"/>
      <c r="L360" s="45"/>
      <c r="M360" s="45"/>
      <c r="N360" s="54"/>
      <c r="O360" s="54"/>
      <c r="P360" s="54"/>
      <c r="Q360" s="54"/>
      <c r="R360" s="54"/>
      <c r="S360" s="54"/>
      <c r="T360" s="54"/>
      <c r="U360" s="54"/>
      <c r="V360" s="54"/>
      <c r="W360" s="54"/>
      <c r="X360" s="54"/>
      <c r="Y360" s="54"/>
      <c r="Z360" s="54"/>
      <c r="AA360" s="54"/>
      <c r="AB360" s="45"/>
      <c r="AC360" s="45"/>
      <c r="AD360" s="45"/>
      <c r="AE360" s="45"/>
      <c r="AF360" s="45"/>
      <c r="AG360" s="45"/>
      <c r="AH360" s="45"/>
      <c r="AI360" s="45"/>
      <c r="AJ360" s="45"/>
      <c r="AK360" s="45"/>
      <c r="AL360" s="45"/>
      <c r="AM360" s="45"/>
      <c r="AN360" s="45"/>
      <c r="AO360" s="45"/>
      <c r="AP360" s="45"/>
      <c r="AQ360" s="45"/>
      <c r="AR360" s="45"/>
      <c r="AS360" s="45"/>
      <c r="AT360" s="45"/>
      <c r="AU360" s="45"/>
      <c r="AV360" s="54"/>
      <c r="AW360" s="54"/>
      <c r="AX360" s="54"/>
      <c r="AY360" s="54"/>
      <c r="AZ360" s="54"/>
      <c r="BA360" s="54"/>
      <c r="BB360" s="54"/>
      <c r="BC360" s="54"/>
    </row>
    <row r="361" spans="1:55">
      <c r="A361" s="45"/>
      <c r="B361" s="45"/>
      <c r="C361" s="45"/>
      <c r="D361" s="45"/>
      <c r="E361" s="45"/>
      <c r="F361" s="45"/>
      <c r="G361" s="45"/>
      <c r="H361" s="45"/>
      <c r="I361" s="45"/>
      <c r="J361" s="45"/>
      <c r="K361" s="45"/>
      <c r="L361" s="45"/>
      <c r="M361" s="45"/>
      <c r="N361" s="54"/>
      <c r="O361" s="54"/>
      <c r="P361" s="54"/>
      <c r="Q361" s="54"/>
      <c r="R361" s="54"/>
      <c r="S361" s="54"/>
      <c r="T361" s="54"/>
      <c r="U361" s="54"/>
      <c r="V361" s="54"/>
      <c r="W361" s="54"/>
      <c r="X361" s="54"/>
      <c r="Y361" s="54"/>
      <c r="Z361" s="54"/>
      <c r="AA361" s="54"/>
      <c r="AB361" s="45"/>
      <c r="AC361" s="45"/>
      <c r="AD361" s="45"/>
      <c r="AE361" s="45"/>
      <c r="AF361" s="45"/>
      <c r="AG361" s="45"/>
      <c r="AH361" s="45"/>
      <c r="AI361" s="45"/>
      <c r="AJ361" s="45"/>
      <c r="AK361" s="45"/>
      <c r="AL361" s="45"/>
      <c r="AM361" s="45"/>
      <c r="AN361" s="45"/>
      <c r="AO361" s="45"/>
      <c r="AP361" s="45"/>
      <c r="AQ361" s="45"/>
      <c r="AR361" s="45"/>
      <c r="AS361" s="45"/>
      <c r="AT361" s="45"/>
      <c r="AU361" s="45"/>
      <c r="AV361" s="54"/>
      <c r="AW361" s="54"/>
      <c r="AX361" s="54"/>
      <c r="AY361" s="54"/>
      <c r="AZ361" s="54"/>
      <c r="BA361" s="54"/>
      <c r="BB361" s="54"/>
      <c r="BC361" s="54"/>
    </row>
    <row r="362" spans="1:55">
      <c r="A362" s="45"/>
      <c r="B362" s="45"/>
      <c r="C362" s="45"/>
      <c r="D362" s="45"/>
      <c r="E362" s="45"/>
      <c r="F362" s="45"/>
      <c r="G362" s="45"/>
      <c r="H362" s="45"/>
      <c r="I362" s="45"/>
      <c r="J362" s="45"/>
      <c r="K362" s="45"/>
      <c r="L362" s="45"/>
      <c r="M362" s="45"/>
      <c r="N362" s="54"/>
      <c r="O362" s="54"/>
      <c r="P362" s="54"/>
      <c r="Q362" s="54"/>
      <c r="R362" s="54"/>
      <c r="S362" s="54"/>
      <c r="T362" s="54"/>
      <c r="U362" s="54"/>
      <c r="V362" s="54"/>
      <c r="W362" s="54"/>
      <c r="X362" s="54"/>
      <c r="Y362" s="54"/>
      <c r="Z362" s="54"/>
      <c r="AA362" s="54"/>
      <c r="AB362" s="45"/>
      <c r="AC362" s="45"/>
      <c r="AD362" s="45"/>
      <c r="AE362" s="45"/>
      <c r="AF362" s="45"/>
      <c r="AG362" s="45"/>
      <c r="AH362" s="45"/>
      <c r="AI362" s="45"/>
      <c r="AJ362" s="45"/>
      <c r="AK362" s="45"/>
      <c r="AL362" s="45"/>
      <c r="AM362" s="45"/>
      <c r="AN362" s="45"/>
      <c r="AO362" s="45"/>
      <c r="AP362" s="45"/>
      <c r="AQ362" s="45"/>
      <c r="AR362" s="45"/>
      <c r="AS362" s="45"/>
      <c r="AT362" s="45"/>
      <c r="AU362" s="45"/>
      <c r="AV362" s="54"/>
      <c r="AW362" s="54"/>
      <c r="AX362" s="54"/>
      <c r="AY362" s="54"/>
      <c r="AZ362" s="54"/>
      <c r="BA362" s="54"/>
      <c r="BB362" s="54"/>
      <c r="BC362" s="54"/>
    </row>
    <row r="363" spans="1:55">
      <c r="A363" s="45"/>
      <c r="B363" s="45"/>
      <c r="C363" s="45"/>
      <c r="D363" s="45"/>
      <c r="E363" s="45"/>
      <c r="F363" s="45"/>
      <c r="G363" s="45"/>
      <c r="H363" s="45"/>
      <c r="I363" s="45"/>
      <c r="J363" s="45"/>
      <c r="K363" s="45"/>
      <c r="L363" s="45"/>
      <c r="M363" s="45"/>
      <c r="N363" s="54"/>
      <c r="O363" s="54"/>
      <c r="P363" s="54"/>
      <c r="Q363" s="54"/>
      <c r="R363" s="54"/>
      <c r="S363" s="54"/>
      <c r="T363" s="54"/>
      <c r="U363" s="54"/>
      <c r="V363" s="54"/>
      <c r="W363" s="54"/>
      <c r="X363" s="54"/>
      <c r="Y363" s="54"/>
      <c r="Z363" s="54"/>
      <c r="AA363" s="54"/>
      <c r="AB363" s="45"/>
      <c r="AC363" s="45"/>
      <c r="AD363" s="45"/>
      <c r="AE363" s="45"/>
      <c r="AF363" s="45"/>
      <c r="AG363" s="45"/>
      <c r="AH363" s="45"/>
      <c r="AI363" s="45"/>
      <c r="AJ363" s="45"/>
      <c r="AK363" s="45"/>
      <c r="AL363" s="45"/>
      <c r="AM363" s="45"/>
      <c r="AN363" s="45"/>
      <c r="AO363" s="45"/>
      <c r="AP363" s="45"/>
      <c r="AQ363" s="45"/>
      <c r="AR363" s="45"/>
      <c r="AS363" s="45"/>
      <c r="AT363" s="45"/>
      <c r="AU363" s="45"/>
      <c r="AV363" s="54"/>
      <c r="AW363" s="54"/>
      <c r="AX363" s="54"/>
      <c r="AY363" s="54"/>
      <c r="AZ363" s="54"/>
      <c r="BA363" s="54"/>
      <c r="BB363" s="54"/>
      <c r="BC363" s="54"/>
    </row>
    <row r="364" spans="1:55">
      <c r="A364" s="45"/>
      <c r="B364" s="45"/>
      <c r="C364" s="45"/>
      <c r="D364" s="45"/>
      <c r="E364" s="45"/>
      <c r="F364" s="45"/>
      <c r="G364" s="45"/>
      <c r="H364" s="45"/>
      <c r="I364" s="45"/>
      <c r="J364" s="45"/>
      <c r="K364" s="45"/>
      <c r="L364" s="45"/>
      <c r="M364" s="45"/>
      <c r="N364" s="45"/>
      <c r="O364" s="54"/>
      <c r="P364" s="54"/>
      <c r="Q364" s="54"/>
      <c r="R364" s="54"/>
      <c r="S364" s="54"/>
      <c r="T364" s="54"/>
      <c r="U364" s="54"/>
      <c r="V364" s="54"/>
      <c r="W364" s="54"/>
      <c r="X364" s="54"/>
      <c r="Y364" s="54"/>
      <c r="Z364" s="54"/>
      <c r="AA364" s="54"/>
      <c r="AB364" s="45"/>
      <c r="AC364" s="45"/>
      <c r="AD364" s="45"/>
      <c r="AE364" s="45"/>
      <c r="AF364" s="45"/>
      <c r="AG364" s="45"/>
      <c r="AH364" s="45"/>
      <c r="AI364" s="45"/>
      <c r="AJ364" s="45"/>
      <c r="AK364" s="45"/>
      <c r="AL364" s="45"/>
      <c r="AM364" s="45"/>
      <c r="AN364" s="45"/>
      <c r="AO364" s="45"/>
      <c r="AP364" s="45"/>
      <c r="AQ364" s="45"/>
      <c r="AR364" s="45"/>
      <c r="AS364" s="45"/>
      <c r="AT364" s="45"/>
      <c r="AU364" s="45"/>
      <c r="AV364" s="45"/>
      <c r="AW364" s="54"/>
      <c r="AX364" s="54"/>
      <c r="AY364" s="54"/>
      <c r="AZ364" s="54"/>
      <c r="BA364" s="54"/>
      <c r="BB364" s="54"/>
      <c r="BC364" s="54"/>
    </row>
    <row r="365" spans="1:55">
      <c r="A365" s="45"/>
      <c r="B365" s="45"/>
      <c r="C365" s="45"/>
      <c r="D365" s="45"/>
      <c r="E365" s="45"/>
      <c r="F365" s="45"/>
      <c r="G365" s="45"/>
      <c r="H365" s="45"/>
      <c r="I365" s="45"/>
      <c r="J365" s="45"/>
      <c r="K365" s="45"/>
      <c r="L365" s="45"/>
      <c r="M365" s="45"/>
      <c r="N365" s="45"/>
      <c r="O365" s="54"/>
      <c r="P365" s="54"/>
      <c r="Q365" s="54"/>
      <c r="R365" s="54"/>
      <c r="S365" s="54"/>
      <c r="T365" s="54"/>
      <c r="U365" s="54"/>
      <c r="V365" s="54"/>
      <c r="W365" s="54"/>
      <c r="X365" s="54"/>
      <c r="Y365" s="54"/>
      <c r="Z365" s="54"/>
      <c r="AA365" s="54"/>
      <c r="AB365" s="45"/>
      <c r="AC365" s="45"/>
      <c r="AD365" s="45"/>
      <c r="AE365" s="45"/>
      <c r="AF365" s="45"/>
      <c r="AG365" s="45"/>
      <c r="AH365" s="45"/>
      <c r="AI365" s="45"/>
      <c r="AJ365" s="45"/>
      <c r="AK365" s="45"/>
      <c r="AL365" s="45"/>
      <c r="AM365" s="45"/>
      <c r="AN365" s="45"/>
      <c r="AO365" s="45"/>
      <c r="AP365" s="45"/>
      <c r="AQ365" s="45"/>
      <c r="AR365" s="45"/>
      <c r="AS365" s="45"/>
      <c r="AT365" s="45"/>
      <c r="AU365" s="45"/>
      <c r="AV365" s="45"/>
      <c r="AW365" s="54"/>
      <c r="AX365" s="54"/>
      <c r="AY365" s="54"/>
      <c r="AZ365" s="54"/>
      <c r="BA365" s="54"/>
      <c r="BB365" s="54"/>
      <c r="BC365" s="54"/>
    </row>
    <row r="366" spans="1:55">
      <c r="A366" s="45"/>
      <c r="B366" s="2301"/>
      <c r="C366" s="2396"/>
      <c r="D366" s="2396"/>
      <c r="E366" s="2396"/>
      <c r="F366" s="2396"/>
      <c r="G366" s="2396"/>
      <c r="H366" s="2396"/>
      <c r="I366" s="2396"/>
      <c r="J366" s="2396"/>
      <c r="K366" s="2396"/>
      <c r="L366" s="2396"/>
      <c r="M366" s="2396"/>
      <c r="N366" s="2397"/>
      <c r="O366" s="54"/>
      <c r="P366" s="54"/>
      <c r="Q366" s="54"/>
      <c r="R366" s="54"/>
      <c r="S366" s="187"/>
      <c r="T366" s="23"/>
      <c r="U366" s="23"/>
      <c r="V366" s="23"/>
      <c r="W366" s="23"/>
      <c r="X366" s="23"/>
      <c r="Y366" s="23"/>
      <c r="Z366" s="23"/>
      <c r="AA366" s="23"/>
      <c r="AB366" s="23"/>
      <c r="AC366" s="23"/>
      <c r="AD366" s="23"/>
      <c r="AE366" s="188"/>
      <c r="AF366" s="45"/>
      <c r="AG366" s="45"/>
      <c r="AH366" s="45"/>
      <c r="AI366" s="45"/>
      <c r="AJ366" s="187"/>
      <c r="AK366" s="23"/>
      <c r="AL366" s="23"/>
      <c r="AM366" s="23"/>
      <c r="AN366" s="23"/>
      <c r="AO366" s="23"/>
      <c r="AP366" s="23"/>
      <c r="AQ366" s="23"/>
      <c r="AR366" s="23"/>
      <c r="AS366" s="23"/>
      <c r="AT366" s="23"/>
      <c r="AU366" s="23"/>
      <c r="AV366" s="188"/>
      <c r="AW366" s="54"/>
      <c r="AX366" s="54"/>
      <c r="AY366" s="54"/>
      <c r="AZ366" s="54"/>
      <c r="BA366" s="54"/>
      <c r="BB366" s="54"/>
      <c r="BC366" s="54"/>
    </row>
    <row r="367" spans="1:55">
      <c r="A367" s="45"/>
      <c r="B367" s="1575"/>
      <c r="C367" s="2431" t="s">
        <v>901</v>
      </c>
      <c r="D367" s="2638"/>
      <c r="E367" s="2638"/>
      <c r="F367" s="2311"/>
      <c r="G367" s="2311"/>
      <c r="H367" s="2311"/>
      <c r="I367" s="2311"/>
      <c r="J367" s="2311"/>
      <c r="K367" s="2311"/>
      <c r="L367" s="2311"/>
      <c r="M367" s="2311"/>
      <c r="N367" s="2405"/>
      <c r="O367" s="54"/>
      <c r="P367" s="54"/>
      <c r="Q367" s="54"/>
      <c r="R367" s="54"/>
      <c r="S367" s="189"/>
      <c r="T367" s="123" t="s">
        <v>901</v>
      </c>
      <c r="U367" s="124"/>
      <c r="V367" s="124"/>
      <c r="W367" s="49"/>
      <c r="X367" s="49"/>
      <c r="Y367" s="49"/>
      <c r="Z367" s="49"/>
      <c r="AA367" s="49"/>
      <c r="AB367" s="49"/>
      <c r="AC367" s="49"/>
      <c r="AD367" s="49"/>
      <c r="AE367" s="199"/>
      <c r="AF367" s="45"/>
      <c r="AG367" s="45"/>
      <c r="AH367" s="45"/>
      <c r="AI367" s="45"/>
      <c r="AJ367" s="189"/>
      <c r="AK367" s="123" t="s">
        <v>901</v>
      </c>
      <c r="AL367" s="124"/>
      <c r="AM367" s="124"/>
      <c r="AN367" s="49"/>
      <c r="AO367" s="49"/>
      <c r="AP367" s="49"/>
      <c r="AQ367" s="49"/>
      <c r="AR367" s="49"/>
      <c r="AS367" s="49"/>
      <c r="AT367" s="49"/>
      <c r="AU367" s="49"/>
      <c r="AV367" s="199"/>
      <c r="AW367" s="54"/>
      <c r="AX367" s="54"/>
      <c r="AY367" s="54"/>
      <c r="AZ367" s="54"/>
      <c r="BA367" s="54"/>
      <c r="BB367" s="54"/>
      <c r="BC367" s="54"/>
    </row>
    <row r="368" spans="1:55">
      <c r="A368" s="45"/>
      <c r="B368" s="1575"/>
      <c r="C368" s="4207" t="s">
        <v>1059</v>
      </c>
      <c r="D368" s="4207"/>
      <c r="E368" s="4207"/>
      <c r="F368" s="4207"/>
      <c r="G368" s="4207"/>
      <c r="H368" s="4207"/>
      <c r="I368" s="4207"/>
      <c r="J368" s="4207"/>
      <c r="K368" s="4207"/>
      <c r="L368" s="4207"/>
      <c r="M368" s="4207"/>
      <c r="N368" s="2480"/>
      <c r="O368" s="54"/>
      <c r="P368" s="54"/>
      <c r="Q368" s="54"/>
      <c r="R368" s="54"/>
      <c r="S368" s="189"/>
      <c r="T368" s="4250" t="s">
        <v>1059</v>
      </c>
      <c r="U368" s="4250"/>
      <c r="V368" s="4250"/>
      <c r="W368" s="4250"/>
      <c r="X368" s="4250"/>
      <c r="Y368" s="4250"/>
      <c r="Z368" s="4250"/>
      <c r="AA368" s="4250"/>
      <c r="AB368" s="4250"/>
      <c r="AC368" s="4250"/>
      <c r="AD368" s="4250"/>
      <c r="AE368" s="452"/>
      <c r="AF368" s="45"/>
      <c r="AG368" s="45"/>
      <c r="AH368" s="45"/>
      <c r="AI368" s="45"/>
      <c r="AJ368" s="189"/>
      <c r="AK368" s="4250" t="s">
        <v>1059</v>
      </c>
      <c r="AL368" s="4250"/>
      <c r="AM368" s="4250"/>
      <c r="AN368" s="4250"/>
      <c r="AO368" s="4250"/>
      <c r="AP368" s="4250"/>
      <c r="AQ368" s="4250"/>
      <c r="AR368" s="4250"/>
      <c r="AS368" s="4250"/>
      <c r="AT368" s="4250"/>
      <c r="AU368" s="4250"/>
      <c r="AV368" s="452"/>
      <c r="AW368" s="54"/>
      <c r="AX368" s="54"/>
      <c r="AY368" s="54"/>
      <c r="AZ368" s="54"/>
      <c r="BA368" s="54"/>
      <c r="BB368" s="54"/>
      <c r="BC368" s="54"/>
    </row>
    <row r="369" spans="1:55">
      <c r="A369" s="45"/>
      <c r="B369" s="1575"/>
      <c r="C369" s="2398"/>
      <c r="D369" s="2398"/>
      <c r="E369" s="2639"/>
      <c r="F369" s="2311"/>
      <c r="G369" s="2311"/>
      <c r="H369" s="2311"/>
      <c r="I369" s="2311"/>
      <c r="J369" s="2311"/>
      <c r="K369" s="2311"/>
      <c r="L369" s="2311"/>
      <c r="M369" s="2311"/>
      <c r="N369" s="2405"/>
      <c r="O369" s="54"/>
      <c r="P369" s="54"/>
      <c r="Q369" s="54"/>
      <c r="R369" s="54"/>
      <c r="S369" s="189"/>
      <c r="T369" s="1"/>
      <c r="U369" s="1"/>
      <c r="V369" s="48"/>
      <c r="W369" s="49"/>
      <c r="X369" s="49"/>
      <c r="Y369" s="49"/>
      <c r="Z369" s="49"/>
      <c r="AA369" s="49"/>
      <c r="AB369" s="49"/>
      <c r="AC369" s="49"/>
      <c r="AD369" s="49"/>
      <c r="AE369" s="199"/>
      <c r="AF369" s="45"/>
      <c r="AG369" s="45"/>
      <c r="AH369" s="45"/>
      <c r="AI369" s="45"/>
      <c r="AJ369" s="189"/>
      <c r="AK369" s="1"/>
      <c r="AL369" s="1"/>
      <c r="AM369" s="48"/>
      <c r="AN369" s="49"/>
      <c r="AO369" s="49"/>
      <c r="AP369" s="49"/>
      <c r="AQ369" s="49"/>
      <c r="AR369" s="49"/>
      <c r="AS369" s="49"/>
      <c r="AT369" s="49"/>
      <c r="AU369" s="49"/>
      <c r="AV369" s="199"/>
      <c r="AW369" s="54"/>
      <c r="AX369" s="54"/>
      <c r="AY369" s="54"/>
      <c r="AZ369" s="54"/>
      <c r="BA369" s="54"/>
      <c r="BB369" s="54"/>
      <c r="BC369" s="54"/>
    </row>
    <row r="370" spans="1:55" ht="15.6">
      <c r="A370" s="45"/>
      <c r="B370" s="1575"/>
      <c r="C370" s="2309" t="str">
        <f>"Country: " &amp;UPPER(Country)</f>
        <v>Country: BELGIUM</v>
      </c>
      <c r="D370" s="2639"/>
      <c r="E370" s="2639"/>
      <c r="F370" s="2311"/>
      <c r="G370" s="2311"/>
      <c r="H370" s="2311"/>
      <c r="I370" s="2311"/>
      <c r="J370" s="2311"/>
      <c r="K370" s="2311"/>
      <c r="L370" s="2311"/>
      <c r="M370" s="2311"/>
      <c r="N370" s="2405"/>
      <c r="O370" s="54"/>
      <c r="P370" s="54"/>
      <c r="Q370" s="54"/>
      <c r="R370" s="54"/>
      <c r="S370" s="189"/>
      <c r="T370" s="63" t="str">
        <f>"Country: " &amp;UPPER(Country)</f>
        <v>Country: BELGIUM</v>
      </c>
      <c r="U370" s="48"/>
      <c r="V370" s="48"/>
      <c r="W370" s="1915" t="s">
        <v>724</v>
      </c>
      <c r="X370" s="49"/>
      <c r="Y370" s="49"/>
      <c r="Z370" s="49"/>
      <c r="AA370" s="49"/>
      <c r="AB370" s="49"/>
      <c r="AC370" s="49"/>
      <c r="AD370" s="49"/>
      <c r="AE370" s="199"/>
      <c r="AF370" s="45"/>
      <c r="AG370" s="45"/>
      <c r="AH370" s="45"/>
      <c r="AI370" s="45"/>
      <c r="AJ370" s="189"/>
      <c r="AK370" s="63" t="str">
        <f>"Country: " &amp;UPPER(Country)</f>
        <v>Country: BELGIUM</v>
      </c>
      <c r="AL370" s="48"/>
      <c r="AM370" s="48"/>
      <c r="AN370" s="49"/>
      <c r="AO370" s="49"/>
      <c r="AP370" s="49"/>
      <c r="AQ370" s="49"/>
      <c r="AR370" s="49"/>
      <c r="AS370" s="49"/>
      <c r="AT370" s="49"/>
      <c r="AU370" s="49"/>
      <c r="AV370" s="199"/>
      <c r="AW370" s="54"/>
      <c r="AX370" s="54"/>
      <c r="AY370" s="54"/>
      <c r="AZ370" s="54"/>
      <c r="BA370" s="54"/>
      <c r="BB370" s="54"/>
      <c r="BC370" s="54"/>
    </row>
    <row r="371" spans="1:55" ht="15.6">
      <c r="A371" s="45"/>
      <c r="B371" s="1575"/>
      <c r="C371" s="2309" t="str">
        <f>"Currency unit: " &amp; Currency</f>
        <v>Currency unit: bn EUR</v>
      </c>
      <c r="D371" s="2309"/>
      <c r="E371" s="2309"/>
      <c r="F371" s="2311"/>
      <c r="G371" s="2311"/>
      <c r="H371" s="2311"/>
      <c r="I371" s="2311"/>
      <c r="J371" s="2398"/>
      <c r="K371" s="2398"/>
      <c r="L371" s="2398"/>
      <c r="M371" s="2398"/>
      <c r="N371" s="1574"/>
      <c r="O371" s="54"/>
      <c r="P371" s="54"/>
      <c r="Q371" s="54"/>
      <c r="R371" s="54"/>
      <c r="S371" s="189"/>
      <c r="T371" s="63" t="str">
        <f>"Currency unit: " &amp; Currency</f>
        <v>Currency unit: bn EUR</v>
      </c>
      <c r="U371" s="129"/>
      <c r="V371" s="129"/>
      <c r="W371" s="1915" t="str">
        <f>$T$4</f>
        <v>SF2018 - final storage FRI</v>
      </c>
      <c r="X371" s="49"/>
      <c r="Y371" s="49"/>
      <c r="Z371" s="49"/>
      <c r="AA371" s="1"/>
      <c r="AB371" s="1"/>
      <c r="AC371" s="1"/>
      <c r="AD371" s="1"/>
      <c r="AE371" s="90"/>
      <c r="AF371" s="45"/>
      <c r="AG371" s="45"/>
      <c r="AH371" s="45"/>
      <c r="AI371" s="45"/>
      <c r="AJ371" s="189"/>
      <c r="AK371" s="63" t="str">
        <f>"Currency unit: " &amp; Currency</f>
        <v>Currency unit: bn EUR</v>
      </c>
      <c r="AL371" s="129"/>
      <c r="AM371" s="129"/>
      <c r="AN371" s="49"/>
      <c r="AO371" s="49"/>
      <c r="AP371" s="49"/>
      <c r="AQ371" s="49"/>
      <c r="AR371" s="1"/>
      <c r="AS371" s="1"/>
      <c r="AT371" s="1"/>
      <c r="AU371" s="1"/>
      <c r="AV371" s="90"/>
      <c r="AW371" s="54"/>
      <c r="AX371" s="54"/>
      <c r="AY371" s="54"/>
      <c r="AZ371" s="54"/>
      <c r="BA371" s="54"/>
      <c r="BB371" s="54"/>
      <c r="BC371" s="54"/>
    </row>
    <row r="372" spans="1:55" ht="13.8" thickBot="1">
      <c r="A372" s="45"/>
      <c r="B372" s="1575"/>
      <c r="C372" s="2315" t="s">
        <v>1641</v>
      </c>
      <c r="D372" s="2311"/>
      <c r="E372" s="2311"/>
      <c r="F372" s="2311"/>
      <c r="G372" s="2311"/>
      <c r="H372" s="2311"/>
      <c r="I372" s="2311"/>
      <c r="J372" s="2398"/>
      <c r="K372" s="2662"/>
      <c r="L372" s="4159">
        <f ca="1">NOW()</f>
        <v>43213.646692361108</v>
      </c>
      <c r="M372" s="4159"/>
      <c r="N372" s="2552"/>
      <c r="O372" s="54"/>
      <c r="P372" s="54"/>
      <c r="Q372" s="54"/>
      <c r="R372" s="54"/>
      <c r="S372" s="189"/>
      <c r="T372" s="69" t="s">
        <v>1641</v>
      </c>
      <c r="U372" s="49"/>
      <c r="V372" s="49"/>
      <c r="W372" s="49"/>
      <c r="X372" s="49"/>
      <c r="Y372" s="49"/>
      <c r="Z372" s="49"/>
      <c r="AA372" s="1"/>
      <c r="AC372" s="4160">
        <f ca="1">NOW()</f>
        <v>43213.646692361108</v>
      </c>
      <c r="AD372" s="4160"/>
      <c r="AE372" s="338"/>
      <c r="AF372" s="45"/>
      <c r="AG372" s="45"/>
      <c r="AH372" s="45"/>
      <c r="AI372" s="45"/>
      <c r="AJ372" s="189"/>
      <c r="AK372" s="69" t="s">
        <v>1641</v>
      </c>
      <c r="AL372" s="49"/>
      <c r="AM372" s="49"/>
      <c r="AN372" s="49"/>
      <c r="AO372" s="49"/>
      <c r="AP372" s="49"/>
      <c r="AQ372" s="49"/>
      <c r="AR372" s="1"/>
      <c r="AT372" s="4160">
        <f ca="1">NOW()</f>
        <v>43213.646692361108</v>
      </c>
      <c r="AU372" s="4160"/>
      <c r="AV372" s="338"/>
      <c r="AW372" s="54"/>
      <c r="AX372" s="54"/>
      <c r="AY372" s="54"/>
      <c r="AZ372" s="54"/>
      <c r="BA372" s="54"/>
      <c r="BB372" s="54"/>
      <c r="BC372" s="54"/>
    </row>
    <row r="373" spans="1:55">
      <c r="A373" s="45"/>
      <c r="B373" s="1575"/>
      <c r="C373" s="2317"/>
      <c r="D373" s="2588"/>
      <c r="E373" s="2364" t="s">
        <v>1641</v>
      </c>
      <c r="F373" s="4173">
        <f>E16</f>
        <v>2016</v>
      </c>
      <c r="G373" s="4174"/>
      <c r="H373" s="4244">
        <f>F373+1</f>
        <v>2017</v>
      </c>
      <c r="I373" s="4245"/>
      <c r="J373" s="4255">
        <f>H373+1</f>
        <v>2018</v>
      </c>
      <c r="K373" s="4245"/>
      <c r="L373" s="4244">
        <f>J373+1</f>
        <v>2019</v>
      </c>
      <c r="M373" s="4251"/>
      <c r="N373" s="2555"/>
      <c r="O373" s="54"/>
      <c r="P373" s="54"/>
      <c r="Q373" s="54"/>
      <c r="R373" s="54"/>
      <c r="S373" s="189"/>
      <c r="T373" s="72"/>
      <c r="U373" s="429"/>
      <c r="V373" s="430" t="s">
        <v>1641</v>
      </c>
      <c r="W373" s="431">
        <f>Last_forecast_year - 3</f>
        <v>2016</v>
      </c>
      <c r="X373" s="75"/>
      <c r="Y373" s="4252">
        <f>W373+1</f>
        <v>2017</v>
      </c>
      <c r="Z373" s="4253"/>
      <c r="AA373" s="4254">
        <f>Y373+1</f>
        <v>2018</v>
      </c>
      <c r="AB373" s="4253"/>
      <c r="AC373" s="4252">
        <f>AA373+1</f>
        <v>2019</v>
      </c>
      <c r="AD373" s="4256"/>
      <c r="AE373" s="453"/>
      <c r="AF373" s="45"/>
      <c r="AG373" s="45"/>
      <c r="AH373" s="45"/>
      <c r="AI373" s="45"/>
      <c r="AJ373" s="189"/>
      <c r="AK373" s="72"/>
      <c r="AL373" s="429"/>
      <c r="AM373" s="430" t="s">
        <v>1641</v>
      </c>
      <c r="AN373" s="431">
        <f>Last_forecast_year - 3</f>
        <v>2016</v>
      </c>
      <c r="AO373" s="75"/>
      <c r="AP373" s="4252">
        <f>AN373+1</f>
        <v>2017</v>
      </c>
      <c r="AQ373" s="4253"/>
      <c r="AR373" s="4254">
        <f>AP373+1</f>
        <v>2018</v>
      </c>
      <c r="AS373" s="4253"/>
      <c r="AT373" s="4252">
        <f>AR373+1</f>
        <v>2019</v>
      </c>
      <c r="AU373" s="4256"/>
      <c r="AV373" s="453"/>
      <c r="AW373" s="54"/>
      <c r="AX373" s="54"/>
      <c r="AY373" s="54"/>
      <c r="AZ373" s="54"/>
      <c r="BA373" s="54"/>
      <c r="BB373" s="54"/>
      <c r="BC373" s="54"/>
    </row>
    <row r="374" spans="1:55">
      <c r="A374" s="45"/>
      <c r="B374" s="1575"/>
      <c r="C374" s="1576"/>
      <c r="D374" s="2640"/>
      <c r="E374" s="2487" t="s">
        <v>1060</v>
      </c>
      <c r="F374" s="2596" t="s">
        <v>1642</v>
      </c>
      <c r="G374" s="2597" t="s">
        <v>759</v>
      </c>
      <c r="H374" s="2596" t="s">
        <v>1642</v>
      </c>
      <c r="I374" s="2597" t="s">
        <v>759</v>
      </c>
      <c r="J374" s="2596" t="s">
        <v>1642</v>
      </c>
      <c r="K374" s="2597" t="s">
        <v>759</v>
      </c>
      <c r="L374" s="2596" t="s">
        <v>1642</v>
      </c>
      <c r="M374" s="2598" t="s">
        <v>759</v>
      </c>
      <c r="N374" s="2616"/>
      <c r="O374" s="54"/>
      <c r="P374" s="54"/>
      <c r="Q374" s="54"/>
      <c r="R374" s="54"/>
      <c r="S374" s="189"/>
      <c r="T374" s="101"/>
      <c r="U374" s="432"/>
      <c r="V374" s="443" t="s">
        <v>1060</v>
      </c>
      <c r="W374" s="397" t="s">
        <v>1642</v>
      </c>
      <c r="X374" s="398" t="s">
        <v>759</v>
      </c>
      <c r="Y374" s="397" t="s">
        <v>1642</v>
      </c>
      <c r="Z374" s="398" t="s">
        <v>759</v>
      </c>
      <c r="AA374" s="397" t="s">
        <v>1642</v>
      </c>
      <c r="AB374" s="398" t="s">
        <v>759</v>
      </c>
      <c r="AC374" s="397" t="s">
        <v>1642</v>
      </c>
      <c r="AD374" s="399" t="s">
        <v>759</v>
      </c>
      <c r="AE374" s="400"/>
      <c r="AF374" s="45"/>
      <c r="AG374" s="45"/>
      <c r="AH374" s="45"/>
      <c r="AI374" s="45"/>
      <c r="AJ374" s="189"/>
      <c r="AK374" s="101"/>
      <c r="AL374" s="432"/>
      <c r="AM374" s="443" t="s">
        <v>1060</v>
      </c>
      <c r="AN374" s="397" t="s">
        <v>1642</v>
      </c>
      <c r="AO374" s="398" t="s">
        <v>759</v>
      </c>
      <c r="AP374" s="397" t="s">
        <v>1642</v>
      </c>
      <c r="AQ374" s="398" t="s">
        <v>759</v>
      </c>
      <c r="AR374" s="397" t="s">
        <v>1642</v>
      </c>
      <c r="AS374" s="398" t="s">
        <v>759</v>
      </c>
      <c r="AT374" s="397" t="s">
        <v>1642</v>
      </c>
      <c r="AU374" s="399" t="s">
        <v>759</v>
      </c>
      <c r="AV374" s="400"/>
      <c r="AW374" s="54"/>
      <c r="AX374" s="54"/>
      <c r="AY374" s="54"/>
      <c r="AZ374" s="54"/>
      <c r="BA374" s="54"/>
      <c r="BB374" s="54"/>
      <c r="BC374" s="54"/>
    </row>
    <row r="375" spans="1:55">
      <c r="A375" s="45"/>
      <c r="B375" s="1575"/>
      <c r="C375" s="2641" t="s">
        <v>1871</v>
      </c>
      <c r="D375" s="2305"/>
      <c r="E375" s="2642" t="s">
        <v>1808</v>
      </c>
      <c r="F375" s="2582">
        <f ca="1">Transfer!D200</f>
        <v>257.62099999999998</v>
      </c>
      <c r="G375" s="2643">
        <f ca="1">100*((Transfer!D200/Transfer!C200)-1)</f>
        <v>3.113361417693139</v>
      </c>
      <c r="H375" s="2582">
        <f ca="1">Transfer!E200</f>
        <v>268.26206499999995</v>
      </c>
      <c r="I375" s="2582">
        <f ca="1">100*((Transfer!E200/Transfer!D200)-1)</f>
        <v>4.1305114878057214</v>
      </c>
      <c r="J375" s="2582">
        <f ca="1">Transfer!F200</f>
        <v>279.56150323352051</v>
      </c>
      <c r="K375" s="2582">
        <f ca="1">100*((Transfer!F200/Transfer!E200)-1)</f>
        <v>4.2120894855262492</v>
      </c>
      <c r="L375" s="2582">
        <f ca="1">Transfer!G200</f>
        <v>291.01575720878168</v>
      </c>
      <c r="M375" s="2663">
        <f ca="1">100*((Transfer!G200/Transfer!F200)-1)</f>
        <v>4.0972214853535416</v>
      </c>
      <c r="N375" s="2413"/>
      <c r="O375" s="54"/>
      <c r="P375" s="54"/>
      <c r="Q375" s="54"/>
      <c r="R375" s="54"/>
      <c r="S375" s="189"/>
      <c r="T375" s="434" t="s">
        <v>1871</v>
      </c>
      <c r="U375" s="59"/>
      <c r="V375" s="435" t="s">
        <v>1808</v>
      </c>
      <c r="W375" s="436">
        <f t="shared" ref="W375:AD389" ca="1" si="20">ROUND(F375,1)-ROUND(AN375,1)</f>
        <v>0</v>
      </c>
      <c r="X375" s="436">
        <f t="shared" ca="1" si="20"/>
        <v>0</v>
      </c>
      <c r="Y375" s="436">
        <f t="shared" ca="1" si="20"/>
        <v>0</v>
      </c>
      <c r="Z375" s="436">
        <f t="shared" ca="1" si="20"/>
        <v>0</v>
      </c>
      <c r="AA375" s="436">
        <f t="shared" ca="1" si="20"/>
        <v>0.30000000000001137</v>
      </c>
      <c r="AB375" s="436">
        <f t="shared" ca="1" si="20"/>
        <v>0.10000000000000053</v>
      </c>
      <c r="AC375" s="436">
        <f t="shared" ca="1" si="20"/>
        <v>0.39999999999997726</v>
      </c>
      <c r="AD375" s="454">
        <f t="shared" ca="1" si="20"/>
        <v>9.9999999999999645E-2</v>
      </c>
      <c r="AE375" s="455"/>
      <c r="AF375" s="45"/>
      <c r="AG375" s="45"/>
      <c r="AH375" s="45"/>
      <c r="AI375" s="45"/>
      <c r="AJ375" s="189"/>
      <c r="AK375" s="434" t="s">
        <v>1871</v>
      </c>
      <c r="AL375" s="59"/>
      <c r="AM375" s="435" t="s">
        <v>1808</v>
      </c>
      <c r="AN375" s="1967">
        <f>Transfer!AD200</f>
        <v>257.62099999999998</v>
      </c>
      <c r="AO375" s="1968">
        <f>100*((Transfer!AD200/Transfer!AC200)-1)</f>
        <v>3.113361417693139</v>
      </c>
      <c r="AP375" s="1967">
        <f>Transfer!AE200</f>
        <v>268.26206499999995</v>
      </c>
      <c r="AQ375" s="1967">
        <f>100*((Transfer!AE200/Transfer!AD200)-1)</f>
        <v>4.1305114878057214</v>
      </c>
      <c r="AR375" s="1967">
        <f>Transfer!AF200</f>
        <v>279.31001287361909</v>
      </c>
      <c r="AS375" s="1967">
        <f>100*((Transfer!AF200/Transfer!AE200)-1)</f>
        <v>4.1183414709117239</v>
      </c>
      <c r="AT375" s="1967">
        <f>Transfer!AG200</f>
        <v>290.60812197035733</v>
      </c>
      <c r="AU375" s="1924">
        <f>100*((Transfer!AG200/Transfer!AF200)-1)</f>
        <v>4.0450068296872477</v>
      </c>
      <c r="AV375" s="455"/>
      <c r="AW375" s="54"/>
      <c r="AX375" s="54"/>
      <c r="AY375" s="54"/>
      <c r="AZ375" s="54"/>
      <c r="BA375" s="1609" t="s">
        <v>310</v>
      </c>
      <c r="BB375" s="1610"/>
      <c r="BC375" s="54"/>
    </row>
    <row r="376" spans="1:55">
      <c r="A376" s="45"/>
      <c r="B376" s="1575"/>
      <c r="C376" s="1576" t="s">
        <v>1872</v>
      </c>
      <c r="D376" s="2405"/>
      <c r="E376" s="2471" t="s">
        <v>1873</v>
      </c>
      <c r="F376" s="2406">
        <f ca="1">Transfer!D201</f>
        <v>11.2653</v>
      </c>
      <c r="G376" s="2645">
        <f ca="1">100*((Transfer!D201/Transfer!C201)-1)</f>
        <v>-0.45859399851554405</v>
      </c>
      <c r="H376" s="2406">
        <f ca="1">Transfer!E201</f>
        <v>11.62353654</v>
      </c>
      <c r="I376" s="2406">
        <f ca="1">100*((Transfer!E201/Transfer!D201)-1)</f>
        <v>3.180000000000005</v>
      </c>
      <c r="J376" s="2406">
        <f ca="1">Transfer!F201</f>
        <v>11.616562418075999</v>
      </c>
      <c r="K376" s="2406">
        <f ca="1">100*((Transfer!F201/Transfer!E201)-1)</f>
        <v>-6.0000000000004494E-2</v>
      </c>
      <c r="L376" s="2406">
        <f ca="1">Transfer!G201</f>
        <v>11.91626972846236</v>
      </c>
      <c r="M376" s="2407">
        <f ca="1">100*((Transfer!G201/Transfer!F201)-1)</f>
        <v>2.5800000000000045</v>
      </c>
      <c r="N376" s="2405"/>
      <c r="O376" s="54"/>
      <c r="P376" s="54"/>
      <c r="Q376" s="54"/>
      <c r="R376" s="54"/>
      <c r="S376" s="189"/>
      <c r="T376" s="101" t="s">
        <v>1872</v>
      </c>
      <c r="U376" s="199"/>
      <c r="V376" s="255" t="s">
        <v>1873</v>
      </c>
      <c r="W376" s="246">
        <f t="shared" ca="1" si="20"/>
        <v>0</v>
      </c>
      <c r="X376" s="246">
        <f t="shared" ca="1" si="20"/>
        <v>0</v>
      </c>
      <c r="Y376" s="246">
        <f t="shared" ca="1" si="20"/>
        <v>0</v>
      </c>
      <c r="Z376" s="246">
        <f t="shared" ca="1" si="20"/>
        <v>0</v>
      </c>
      <c r="AA376" s="246">
        <f t="shared" ca="1" si="20"/>
        <v>0</v>
      </c>
      <c r="AB376" s="246">
        <f t="shared" ca="1" si="20"/>
        <v>0</v>
      </c>
      <c r="AC376" s="246">
        <f t="shared" ca="1" si="20"/>
        <v>0</v>
      </c>
      <c r="AD376" s="321">
        <f t="shared" ca="1" si="20"/>
        <v>0</v>
      </c>
      <c r="AE376" s="199"/>
      <c r="AF376" s="45"/>
      <c r="AG376" s="45"/>
      <c r="AH376" s="45"/>
      <c r="AI376" s="45"/>
      <c r="AJ376" s="189"/>
      <c r="AK376" s="101" t="s">
        <v>1872</v>
      </c>
      <c r="AL376" s="199"/>
      <c r="AM376" s="255" t="s">
        <v>1873</v>
      </c>
      <c r="AN376" s="91">
        <f>Transfer!AD201</f>
        <v>11.2653</v>
      </c>
      <c r="AO376" s="243">
        <f>100*((Transfer!AD201/Transfer!AC201)-1)</f>
        <v>-0.45859399851554405</v>
      </c>
      <c r="AP376" s="91">
        <f>Transfer!AE201</f>
        <v>11.62353654</v>
      </c>
      <c r="AQ376" s="91">
        <f>100*((Transfer!AE201/Transfer!AD201)-1)</f>
        <v>3.180000000000005</v>
      </c>
      <c r="AR376" s="91">
        <f>Transfer!AF201</f>
        <v>11.616562418075999</v>
      </c>
      <c r="AS376" s="91">
        <f>100*((Transfer!AF201/Transfer!AE201)-1)</f>
        <v>-6.0000000000004494E-2</v>
      </c>
      <c r="AT376" s="91">
        <f>Transfer!AG201</f>
        <v>11.91626972846236</v>
      </c>
      <c r="AU376" s="93">
        <f>100*((Transfer!AG201/Transfer!AF201)-1)</f>
        <v>2.5800000000000045</v>
      </c>
      <c r="AV376" s="199"/>
      <c r="AW376" s="54"/>
      <c r="AX376" s="54"/>
      <c r="AY376" s="54"/>
      <c r="AZ376" s="54"/>
      <c r="BA376" s="1611" t="s">
        <v>311</v>
      </c>
      <c r="BB376" s="1612"/>
      <c r="BC376" s="54"/>
    </row>
    <row r="377" spans="1:55">
      <c r="A377" s="45"/>
      <c r="B377" s="1575"/>
      <c r="C377" s="1576" t="s">
        <v>1874</v>
      </c>
      <c r="D377" s="2405"/>
      <c r="E377" s="2471" t="s">
        <v>1310</v>
      </c>
      <c r="F377" s="2406">
        <f ca="1">Transfer!D202</f>
        <v>5.8630000000000004</v>
      </c>
      <c r="G377" s="2645">
        <f ca="1">100*((Transfer!D202/Transfer!C202)-1)</f>
        <v>3.8839080052446961</v>
      </c>
      <c r="H377" s="2406">
        <f ca="1">Transfer!E202</f>
        <v>5.8067709327159749</v>
      </c>
      <c r="I377" s="2406">
        <f ca="1">100*((Transfer!E202/Transfer!D202)-1)</f>
        <v>-0.95904941640841956</v>
      </c>
      <c r="J377" s="2406">
        <f ca="1">Transfer!F202</f>
        <v>5.9229063513702949</v>
      </c>
      <c r="K377" s="2406">
        <f ca="1">100*((Transfer!F202/Transfer!E202)-1)</f>
        <v>2.0000000000000018</v>
      </c>
      <c r="L377" s="2406">
        <f ca="1">Transfer!G202</f>
        <v>6.0668329757085928</v>
      </c>
      <c r="M377" s="2407">
        <f ca="1">100*((Transfer!G202/Transfer!F202)-1)</f>
        <v>2.4299999999999988</v>
      </c>
      <c r="N377" s="2405"/>
      <c r="O377" s="54"/>
      <c r="P377" s="54"/>
      <c r="Q377" s="54"/>
      <c r="R377" s="54"/>
      <c r="S377" s="189"/>
      <c r="T377" s="101" t="s">
        <v>1874</v>
      </c>
      <c r="U377" s="199"/>
      <c r="V377" s="255" t="s">
        <v>1310</v>
      </c>
      <c r="W377" s="246">
        <f t="shared" ca="1" si="20"/>
        <v>0</v>
      </c>
      <c r="X377" s="246">
        <f t="shared" ca="1" si="20"/>
        <v>0</v>
      </c>
      <c r="Y377" s="246">
        <f t="shared" ca="1" si="20"/>
        <v>0</v>
      </c>
      <c r="Z377" s="246">
        <f t="shared" ca="1" si="20"/>
        <v>0</v>
      </c>
      <c r="AA377" s="246">
        <f t="shared" ca="1" si="20"/>
        <v>0</v>
      </c>
      <c r="AB377" s="246">
        <f t="shared" ca="1" si="20"/>
        <v>-0.39999999999999991</v>
      </c>
      <c r="AC377" s="246">
        <f t="shared" ca="1" si="20"/>
        <v>0</v>
      </c>
      <c r="AD377" s="321">
        <f t="shared" ca="1" si="20"/>
        <v>0</v>
      </c>
      <c r="AE377" s="199"/>
      <c r="AF377" s="45"/>
      <c r="AG377" s="45"/>
      <c r="AH377" s="45"/>
      <c r="AI377" s="45"/>
      <c r="AJ377" s="189"/>
      <c r="AK377" s="101" t="s">
        <v>1874</v>
      </c>
      <c r="AL377" s="199"/>
      <c r="AM377" s="255" t="s">
        <v>1310</v>
      </c>
      <c r="AN377" s="91">
        <f>Transfer!AD202</f>
        <v>5.8630000000000004</v>
      </c>
      <c r="AO377" s="243">
        <f>100*((Transfer!AD202/Transfer!AC202)-1)</f>
        <v>3.8839080052446961</v>
      </c>
      <c r="AP377" s="91">
        <f>Transfer!AE202</f>
        <v>5.8067709327159749</v>
      </c>
      <c r="AQ377" s="91">
        <f>100*((Transfer!AE202/Transfer!AD202)-1)</f>
        <v>-0.95904941640841956</v>
      </c>
      <c r="AR377" s="91">
        <f>Transfer!AF202</f>
        <v>5.9461334351011583</v>
      </c>
      <c r="AS377" s="91">
        <f>100*((Transfer!AF202/Transfer!AE202)-1)</f>
        <v>2.4000000000000021</v>
      </c>
      <c r="AT377" s="91">
        <f>Transfer!AG202</f>
        <v>6.0906244775741163</v>
      </c>
      <c r="AU377" s="93">
        <f>100*((Transfer!AG202/Transfer!AF202)-1)</f>
        <v>2.4299999999999988</v>
      </c>
      <c r="AV377" s="199"/>
      <c r="AW377" s="54"/>
      <c r="AX377" s="54"/>
      <c r="AY377" s="54"/>
      <c r="AZ377" s="54"/>
      <c r="BA377" s="1611" t="s">
        <v>312</v>
      </c>
      <c r="BB377" s="1612"/>
      <c r="BC377" s="54"/>
    </row>
    <row r="378" spans="1:55">
      <c r="A378" s="45"/>
      <c r="B378" s="1575"/>
      <c r="C378" s="1576" t="s">
        <v>1311</v>
      </c>
      <c r="D378" s="2405"/>
      <c r="E378" s="2471" t="s">
        <v>1655</v>
      </c>
      <c r="F378" s="2406">
        <f ca="1">Transfer!D203</f>
        <v>151.2167</v>
      </c>
      <c r="G378" s="2645">
        <f ca="1">100*((Transfer!D203/Transfer!C203)-1)</f>
        <v>0.71028876418413045</v>
      </c>
      <c r="H378" s="2406">
        <f ca="1">Transfer!E203</f>
        <v>156.53889599999997</v>
      </c>
      <c r="I378" s="2406">
        <f ca="1">100*((Transfer!E203/Transfer!D203)-1)</f>
        <v>3.5195821625521262</v>
      </c>
      <c r="J378" s="2406">
        <f ca="1">Transfer!F203</f>
        <v>162.57168400583615</v>
      </c>
      <c r="K378" s="2406">
        <f ca="1">100*((Transfer!F203/Transfer!E203)-1)</f>
        <v>3.8538587916425504</v>
      </c>
      <c r="L378" s="2406">
        <f ca="1">Transfer!G203</f>
        <v>168.52508755156842</v>
      </c>
      <c r="M378" s="2407">
        <f ca="1">100*((Transfer!G203/Transfer!F203)-1)</f>
        <v>3.6620175168503133</v>
      </c>
      <c r="N378" s="2405"/>
      <c r="O378" s="54"/>
      <c r="P378" s="54"/>
      <c r="Q378" s="54"/>
      <c r="R378" s="54"/>
      <c r="S378" s="189"/>
      <c r="T378" s="101" t="s">
        <v>1311</v>
      </c>
      <c r="U378" s="199"/>
      <c r="V378" s="255" t="s">
        <v>1655</v>
      </c>
      <c r="W378" s="246">
        <f t="shared" ca="1" si="20"/>
        <v>0</v>
      </c>
      <c r="X378" s="246">
        <f t="shared" ca="1" si="20"/>
        <v>0</v>
      </c>
      <c r="Y378" s="246">
        <f t="shared" ca="1" si="20"/>
        <v>0</v>
      </c>
      <c r="Z378" s="246">
        <f t="shared" ca="1" si="20"/>
        <v>0</v>
      </c>
      <c r="AA378" s="246">
        <f t="shared" ca="1" si="20"/>
        <v>0</v>
      </c>
      <c r="AB378" s="246">
        <f t="shared" ca="1" si="20"/>
        <v>0</v>
      </c>
      <c r="AC378" s="246">
        <f t="shared" ca="1" si="20"/>
        <v>0</v>
      </c>
      <c r="AD378" s="321">
        <f t="shared" ca="1" si="20"/>
        <v>0</v>
      </c>
      <c r="AE378" s="199"/>
      <c r="AF378" s="45"/>
      <c r="AG378" s="45"/>
      <c r="AH378" s="45"/>
      <c r="AI378" s="45"/>
      <c r="AJ378" s="189"/>
      <c r="AK378" s="101" t="s">
        <v>1311</v>
      </c>
      <c r="AL378" s="199"/>
      <c r="AM378" s="255" t="s">
        <v>1655</v>
      </c>
      <c r="AN378" s="91">
        <f>Transfer!AD203</f>
        <v>151.2167</v>
      </c>
      <c r="AO378" s="243">
        <f>100*((Transfer!AD203/Transfer!AC203)-1)</f>
        <v>0.71028876418413045</v>
      </c>
      <c r="AP378" s="91">
        <f>Transfer!AE203</f>
        <v>156.53889599999997</v>
      </c>
      <c r="AQ378" s="91">
        <f>100*((Transfer!AE203/Transfer!AD203)-1)</f>
        <v>3.5195821625521262</v>
      </c>
      <c r="AR378" s="91">
        <f>Transfer!AF203</f>
        <v>162.57168400583612</v>
      </c>
      <c r="AS378" s="91">
        <f>100*((Transfer!AF203/Transfer!AE203)-1)</f>
        <v>3.8538587916425282</v>
      </c>
      <c r="AT378" s="91">
        <f>Transfer!AG203</f>
        <v>168.52508755156845</v>
      </c>
      <c r="AU378" s="93">
        <f>100*((Transfer!AG203/Transfer!AF203)-1)</f>
        <v>3.6620175168503577</v>
      </c>
      <c r="AV378" s="199"/>
      <c r="AW378" s="54"/>
      <c r="AX378" s="54"/>
      <c r="AY378" s="54"/>
      <c r="AZ378" s="54"/>
      <c r="BA378" s="1611" t="s">
        <v>1325</v>
      </c>
      <c r="BB378" s="1612"/>
      <c r="BC378" s="54"/>
    </row>
    <row r="379" spans="1:55">
      <c r="A379" s="45"/>
      <c r="B379" s="1575"/>
      <c r="C379" s="2416" t="s">
        <v>1069</v>
      </c>
      <c r="D379" s="2664"/>
      <c r="E379" s="2487" t="s">
        <v>1070</v>
      </c>
      <c r="F379" s="2411">
        <f ca="1">IF(OR(Transfer!D200=-9999,Transfer!D201=-9999,Transfer!D202=-9999,Transfer!D203=-9999),Transfer!D204,SUM(Transfer!D200,Transfer!D201)-(SUM(Transfer!D202,Transfer!D203)))</f>
        <v>111.8066</v>
      </c>
      <c r="G379" s="2658">
        <f ca="1">IF(OR(Transfer!D200=-9999,Transfer!D201=-9999,Transfer!D202=-9999,Transfer!D203=-9999),100*(Transfer!D204/Transfer!C204-1),100*(((SUM(Transfer!D200,Transfer!D201)-(SUM(Transfer!D202,Transfer!D203)))/(SUM(Transfer!C200,Transfer!C201)-(SUM(Transfer!C202,Transfer!C203))))-1))</f>
        <v>6.1129001183497289</v>
      </c>
      <c r="H379" s="2665">
        <f ca="1">IF(OR(Transfer!E200=-9999,Transfer!E201=-9999,Transfer!E202=-9999,Transfer!E203=-9999),Transfer!E204,SUM(Transfer!E200,Transfer!E201)-(SUM(Transfer!E202,Transfer!E203)))</f>
        <v>117.53993460728398</v>
      </c>
      <c r="I379" s="2411">
        <f ca="1">IF(OR(Transfer!E200=-9999,Transfer!E201=-9999,Transfer!E202=-9999,Transfer!E203=-9999),100*(Transfer!E204/Transfer!D204-1),100*(((SUM(Transfer!E200,Transfer!E201)-(SUM(Transfer!E202,Transfer!E203)))/(SUM(Transfer!D200,Transfer!D201)-(SUM(Transfer!D202,Transfer!D203))))-1))</f>
        <v>5.1279035470929157</v>
      </c>
      <c r="J379" s="2411">
        <f ca="1">IF(OR(Transfer!F200=-9999,Transfer!F201=-9999,Transfer!F202=-9999,Transfer!F203=-9999),Transfer!F204,SUM(Transfer!F200,Transfer!F201)-(SUM(Transfer!F202,Transfer!F203)))</f>
        <v>122.68347529439006</v>
      </c>
      <c r="K379" s="2411">
        <f ca="1">IF(OR(Transfer!F200=-9999,Transfer!F201=-9999,Transfer!F202=-9999,Transfer!F203=-9999),100*(Transfer!F204/Transfer!E204-1),100*(((SUM(Transfer!F200,Transfer!F201)-(SUM(Transfer!F202,Transfer!F203)))/(SUM(Transfer!E200,Transfer!E201)-(SUM(Transfer!E202,Transfer!E203))))-1))</f>
        <v>4.3759941710800776</v>
      </c>
      <c r="L379" s="2411">
        <f ca="1">IF(OR(Transfer!G200=-9999,Transfer!G201=-9999,Transfer!G202=-9999,Transfer!G203=-9999),Transfer!G204,SUM(Transfer!G200,Transfer!G201)-(SUM(Transfer!G202,Transfer!G203)))</f>
        <v>128.34010640996701</v>
      </c>
      <c r="M379" s="2412">
        <f ca="1">IF(OR(Transfer!G200=-9999,Transfer!G201=-9999,Transfer!G202=-9999,Transfer!G203=-9999),100*(Transfer!G204/Transfer!F204-1),100*(((SUM(Transfer!G200,Transfer!G201)-(SUM(Transfer!G202,Transfer!G203)))/(SUM(Transfer!F200,Transfer!F201)-(SUM(Transfer!F202,Transfer!F203))))-1))</f>
        <v>4.6107522647229837</v>
      </c>
      <c r="N379" s="2413"/>
      <c r="O379" s="54"/>
      <c r="P379" s="54"/>
      <c r="Q379" s="54"/>
      <c r="R379" s="54"/>
      <c r="S379" s="189"/>
      <c r="T379" s="158" t="s">
        <v>1069</v>
      </c>
      <c r="U379" s="1626"/>
      <c r="V379" s="443" t="s">
        <v>1070</v>
      </c>
      <c r="W379" s="456">
        <f t="shared" ca="1" si="20"/>
        <v>0</v>
      </c>
      <c r="X379" s="456">
        <f t="shared" ca="1" si="20"/>
        <v>0</v>
      </c>
      <c r="Y379" s="456">
        <f t="shared" ca="1" si="20"/>
        <v>0</v>
      </c>
      <c r="Z379" s="456">
        <f t="shared" ca="1" si="20"/>
        <v>0</v>
      </c>
      <c r="AA379" s="456">
        <f t="shared" ca="1" si="20"/>
        <v>0.29999999999999716</v>
      </c>
      <c r="AB379" s="456">
        <f t="shared" ca="1" si="20"/>
        <v>0.30000000000000071</v>
      </c>
      <c r="AC379" s="456">
        <f t="shared" ca="1" si="20"/>
        <v>0.40000000000000568</v>
      </c>
      <c r="AD379" s="457">
        <f t="shared" ca="1" si="20"/>
        <v>9.9999999999999645E-2</v>
      </c>
      <c r="AE379" s="455"/>
      <c r="AF379" s="45"/>
      <c r="AG379" s="45"/>
      <c r="AH379" s="45"/>
      <c r="AI379" s="45"/>
      <c r="AJ379" s="189"/>
      <c r="AK379" s="158" t="s">
        <v>1069</v>
      </c>
      <c r="AL379" s="1626"/>
      <c r="AM379" s="443" t="s">
        <v>1070</v>
      </c>
      <c r="AN379" s="155">
        <f>IF(OR(Transfer!AD200=-9999,Transfer!AD201=-9999,Transfer!AD202=-9999,Transfer!AD203=-9999),Transfer!AD204,SUM(Transfer!AD200,Transfer!AD201)-(SUM(Transfer!AD202,Transfer!AD203)))</f>
        <v>111.8066</v>
      </c>
      <c r="AO379" s="283">
        <f>IF(OR(Transfer!AD200=-9999,Transfer!AD201=-9999,Transfer!AD202=-9999,Transfer!AD203=-9999),100*(Transfer!AD204/Transfer!AC204-1),100*(((SUM(Transfer!AD200,Transfer!AD201)-(SUM(Transfer!AD202,Transfer!AD203)))/(SUM(Transfer!AC200,Transfer!AC201)-(SUM(Transfer!AC202,Transfer!AC203))))-1))</f>
        <v>6.1129001183497289</v>
      </c>
      <c r="AP379" s="1918">
        <f>IF(OR(Transfer!AE200=-9999,Transfer!AE201=-9999,Transfer!AE202=-9999,Transfer!AE203=-9999),Transfer!AE204,SUM(Transfer!AE200,Transfer!AE201)-(SUM(Transfer!AE202,Transfer!AE203)))</f>
        <v>117.53993460728398</v>
      </c>
      <c r="AQ379" s="155">
        <f>IF(OR(Transfer!AE200=-9999,Transfer!AE201=-9999,Transfer!AE202=-9999,Transfer!AE203=-9999),100*(Transfer!AE204/Transfer!AD204-1),100*(((SUM(Transfer!AE200,Transfer!AE201)-(SUM(Transfer!AE202,Transfer!AE203)))/(SUM(Transfer!AD200,Transfer!AD201)-(SUM(Transfer!AD202,Transfer!AD203))))-1))</f>
        <v>5.1279035470929157</v>
      </c>
      <c r="AR379" s="155">
        <f>IF(OR(Transfer!AF200=-9999,Transfer!AF201=-9999,Transfer!AF202=-9999,Transfer!AF203=-9999),Transfer!AF204,SUM(Transfer!AF200,Transfer!AF201)-(SUM(Transfer!AF202,Transfer!AF203)))</f>
        <v>122.40875785075781</v>
      </c>
      <c r="AS379" s="155">
        <f>IF(OR(Transfer!AF200=-9999,Transfer!AF201=-9999,Transfer!AF202=-9999,Transfer!AF203=-9999),100*(Transfer!AF204/Transfer!AE204-1),100*(((SUM(Transfer!AF200,Transfer!AF201)-(SUM(Transfer!AF202,Transfer!AF203)))/(SUM(Transfer!AE200,Transfer!AE201)-(SUM(Transfer!AE202,Transfer!AE203))))-1))</f>
        <v>4.1422715264741283</v>
      </c>
      <c r="AT379" s="155">
        <f>IF(OR(Transfer!AG200=-9999,Transfer!AG201=-9999,Transfer!AG202=-9999,Transfer!AG203=-9999),Transfer!AG204,SUM(Transfer!AG200,Transfer!AG201)-(SUM(Transfer!AG202,Transfer!AG203)))</f>
        <v>127.9086796696771</v>
      </c>
      <c r="AU379" s="284">
        <f>IF(OR(Transfer!AG200=-9999,Transfer!AG201=-9999,Transfer!AG202=-9999,Transfer!AG203=-9999),100*(Transfer!AG204/Transfer!AF204-1),100*(((SUM(Transfer!AG200,Transfer!AG201)-(SUM(Transfer!AG202,Transfer!AG203)))/(SUM(Transfer!AF200,Transfer!AF201)-(SUM(Transfer!AF202,Transfer!AF203))))-1))</f>
        <v>4.4930786942751766</v>
      </c>
      <c r="AV379" s="455"/>
      <c r="AW379" s="54"/>
      <c r="AX379" s="54"/>
      <c r="AY379" s="54"/>
      <c r="AZ379" s="54"/>
      <c r="BA379" s="1611" t="s">
        <v>1091</v>
      </c>
      <c r="BB379" s="1612"/>
      <c r="BC379" s="54"/>
    </row>
    <row r="380" spans="1:55">
      <c r="A380" s="45"/>
      <c r="B380" s="1575"/>
      <c r="C380" s="1576" t="s">
        <v>984</v>
      </c>
      <c r="D380" s="2405"/>
      <c r="E380" s="2471" t="s">
        <v>985</v>
      </c>
      <c r="F380" s="2406">
        <f ca="1">Transfer!D205</f>
        <v>-20.186600000000006</v>
      </c>
      <c r="G380" s="2645">
        <f ca="1">100*((Transfer!D205/Transfer!C205)-1)</f>
        <v>-17.502676812672156</v>
      </c>
      <c r="H380" s="2646">
        <f ca="1">Transfer!E205</f>
        <v>-20.691265000000005</v>
      </c>
      <c r="I380" s="2406">
        <f ca="1">100*((Transfer!E205/Transfer!D205)-1)</f>
        <v>2.4999999999999911</v>
      </c>
      <c r="J380" s="2406">
        <f ca="1">Transfer!F205</f>
        <v>-21.208546625000004</v>
      </c>
      <c r="K380" s="2406">
        <f ca="1">100*((Transfer!F205/Transfer!E205)-1)</f>
        <v>2.4999999999999911</v>
      </c>
      <c r="L380" s="2406">
        <f ca="1">Transfer!G205</f>
        <v>-21.738760290625002</v>
      </c>
      <c r="M380" s="2407">
        <f ca="1">100*((Transfer!G205/Transfer!F205)-1)</f>
        <v>2.4999999999999911</v>
      </c>
      <c r="N380" s="2405"/>
      <c r="O380" s="54"/>
      <c r="P380" s="54"/>
      <c r="Q380" s="54"/>
      <c r="R380" s="54"/>
      <c r="S380" s="189"/>
      <c r="T380" s="101" t="s">
        <v>984</v>
      </c>
      <c r="U380" s="199"/>
      <c r="V380" s="255" t="s">
        <v>985</v>
      </c>
      <c r="W380" s="246">
        <f t="shared" ca="1" si="20"/>
        <v>0</v>
      </c>
      <c r="X380" s="246">
        <f t="shared" ca="1" si="20"/>
        <v>0</v>
      </c>
      <c r="Y380" s="246">
        <f t="shared" ca="1" si="20"/>
        <v>0</v>
      </c>
      <c r="Z380" s="246">
        <f t="shared" ca="1" si="20"/>
        <v>0</v>
      </c>
      <c r="AA380" s="246">
        <f t="shared" ca="1" si="20"/>
        <v>0</v>
      </c>
      <c r="AB380" s="246">
        <f t="shared" ca="1" si="20"/>
        <v>0</v>
      </c>
      <c r="AC380" s="246">
        <f t="shared" ca="1" si="20"/>
        <v>0</v>
      </c>
      <c r="AD380" s="321">
        <f t="shared" ca="1" si="20"/>
        <v>0</v>
      </c>
      <c r="AE380" s="199"/>
      <c r="AF380" s="45"/>
      <c r="AG380" s="45"/>
      <c r="AH380" s="45"/>
      <c r="AI380" s="45"/>
      <c r="AJ380" s="189"/>
      <c r="AK380" s="101" t="s">
        <v>984</v>
      </c>
      <c r="AL380" s="199"/>
      <c r="AM380" s="255" t="s">
        <v>985</v>
      </c>
      <c r="AN380" s="91">
        <f>Transfer!AD205</f>
        <v>-20.186600000000006</v>
      </c>
      <c r="AO380" s="243">
        <f>100*((Transfer!AD205/Transfer!AC205)-1)</f>
        <v>-17.502676812672156</v>
      </c>
      <c r="AP380" s="92">
        <f>Transfer!AE205</f>
        <v>-20.691265000000005</v>
      </c>
      <c r="AQ380" s="91">
        <f>100*((Transfer!AE205/Transfer!AD205)-1)</f>
        <v>2.4999999999999911</v>
      </c>
      <c r="AR380" s="91">
        <f>Transfer!AF205</f>
        <v>-21.208546625000004</v>
      </c>
      <c r="AS380" s="91">
        <f>100*((Transfer!AF205/Transfer!AE205)-1)</f>
        <v>2.4999999999999911</v>
      </c>
      <c r="AT380" s="91">
        <f>Transfer!AG205</f>
        <v>-21.738760290625002</v>
      </c>
      <c r="AU380" s="93">
        <f>100*((Transfer!AG205/Transfer!AF205)-1)</f>
        <v>2.4999999999999911</v>
      </c>
      <c r="AV380" s="199"/>
      <c r="AW380" s="54"/>
      <c r="AX380" s="54"/>
      <c r="AY380" s="54"/>
      <c r="AZ380" s="54"/>
      <c r="BA380" s="1611" t="s">
        <v>1326</v>
      </c>
      <c r="BB380" s="1612"/>
      <c r="BC380" s="54"/>
    </row>
    <row r="381" spans="1:55">
      <c r="A381" s="45"/>
      <c r="B381" s="1575"/>
      <c r="C381" s="1576" t="s">
        <v>986</v>
      </c>
      <c r="D381" s="2405"/>
      <c r="E381" s="2471" t="s">
        <v>987</v>
      </c>
      <c r="F381" s="2406">
        <f ca="1">Transfer!D206</f>
        <v>0.97049999999999947</v>
      </c>
      <c r="G381" s="2645">
        <f ca="1">100*((Transfer!D206/Transfer!C206)-1)</f>
        <v>-42.444549875459629</v>
      </c>
      <c r="H381" s="2646">
        <f ca="1">Transfer!E206</f>
        <v>0.68490266999999605</v>
      </c>
      <c r="I381" s="2406">
        <f ca="1">100*((Transfer!E206/Transfer!D206)-1)</f>
        <v>-29.427854714065283</v>
      </c>
      <c r="J381" s="2646">
        <f ca="1">Transfer!F206</f>
        <v>0.43253438047199566</v>
      </c>
      <c r="K381" s="2406">
        <f ca="1">100*((Transfer!F206/Transfer!E206)-1)</f>
        <v>-36.847321609653214</v>
      </c>
      <c r="L381" s="2646">
        <f ca="1">Transfer!G206</f>
        <v>7.8867071806651978E-3</v>
      </c>
      <c r="M381" s="2407">
        <f ca="1">100*((Transfer!G206/Transfer!F206)-1)</f>
        <v>-98.176628833051609</v>
      </c>
      <c r="N381" s="2405"/>
      <c r="O381" s="54"/>
      <c r="P381" s="54"/>
      <c r="Q381" s="54"/>
      <c r="R381" s="54"/>
      <c r="S381" s="189"/>
      <c r="T381" s="101" t="s">
        <v>986</v>
      </c>
      <c r="U381" s="199"/>
      <c r="V381" s="255" t="s">
        <v>987</v>
      </c>
      <c r="W381" s="246">
        <f t="shared" ca="1" si="20"/>
        <v>0</v>
      </c>
      <c r="X381" s="246">
        <f t="shared" ca="1" si="20"/>
        <v>0</v>
      </c>
      <c r="Y381" s="246">
        <f t="shared" ca="1" si="20"/>
        <v>0</v>
      </c>
      <c r="Z381" s="246">
        <f t="shared" ca="1" si="20"/>
        <v>0</v>
      </c>
      <c r="AA381" s="246">
        <f t="shared" ca="1" si="20"/>
        <v>-0.29999999999999993</v>
      </c>
      <c r="AB381" s="246">
        <f t="shared" ca="1" si="20"/>
        <v>-38.9</v>
      </c>
      <c r="AC381" s="246">
        <f t="shared" ca="1" si="20"/>
        <v>-0.5</v>
      </c>
      <c r="AD381" s="321">
        <f t="shared" ca="1" si="20"/>
        <v>-76.800000000000011</v>
      </c>
      <c r="AE381" s="199"/>
      <c r="AF381" s="45"/>
      <c r="AG381" s="45"/>
      <c r="AH381" s="45"/>
      <c r="AI381" s="45"/>
      <c r="AJ381" s="189"/>
      <c r="AK381" s="101" t="s">
        <v>986</v>
      </c>
      <c r="AL381" s="199"/>
      <c r="AM381" s="255" t="s">
        <v>987</v>
      </c>
      <c r="AN381" s="91">
        <f>Transfer!AD206</f>
        <v>0.97049999999999947</v>
      </c>
      <c r="AO381" s="243">
        <f>100*((Transfer!AD206/Transfer!AC206)-1)</f>
        <v>-42.444549875459629</v>
      </c>
      <c r="AP381" s="92">
        <f>Transfer!AE206</f>
        <v>0.68490266999999605</v>
      </c>
      <c r="AQ381" s="91">
        <f>100*((Transfer!AE206/Transfer!AD206)-1)</f>
        <v>-29.427854714065283</v>
      </c>
      <c r="AR381" s="92">
        <f>Transfer!AF206</f>
        <v>0.69939464713199229</v>
      </c>
      <c r="AS381" s="91">
        <f>100*((Transfer!AF206/Transfer!AE206)-1)</f>
        <v>2.1159177452171773</v>
      </c>
      <c r="AT381" s="92">
        <f>Transfer!AG206</f>
        <v>0.54981253470111469</v>
      </c>
      <c r="AU381" s="93">
        <f>100*((Transfer!AG206/Transfer!AF206)-1)</f>
        <v>-21.387368783028148</v>
      </c>
      <c r="AV381" s="199"/>
      <c r="AW381" s="54"/>
      <c r="AX381" s="54"/>
      <c r="AY381" s="54"/>
      <c r="AZ381" s="54"/>
      <c r="BA381" s="1611" t="s">
        <v>1327</v>
      </c>
      <c r="BB381" s="1612"/>
      <c r="BC381" s="54"/>
    </row>
    <row r="382" spans="1:55">
      <c r="A382" s="45"/>
      <c r="B382" s="1575"/>
      <c r="C382" s="1576" t="s">
        <v>537</v>
      </c>
      <c r="D382" s="2405"/>
      <c r="E382" s="2471" t="s">
        <v>134</v>
      </c>
      <c r="F382" s="2406">
        <f ca="1">Transfer!D207</f>
        <v>14.945499999999999</v>
      </c>
      <c r="G382" s="2645">
        <f ca="1">100*((Transfer!D207/Transfer!C207)-1)</f>
        <v>7.6912545665472898</v>
      </c>
      <c r="H382" s="2646">
        <f ca="1">Transfer!E207</f>
        <v>17.882290749999996</v>
      </c>
      <c r="I382" s="2406">
        <f ca="1">100*((Transfer!E207/Transfer!D207)-1)</f>
        <v>19.649999999999967</v>
      </c>
      <c r="J382" s="2646">
        <f ca="1">Transfer!F207</f>
        <v>17.077587666249997</v>
      </c>
      <c r="K382" s="2406">
        <f ca="1">100*((Transfer!F207/Transfer!E207)-1)</f>
        <v>-4.4999999999999929</v>
      </c>
      <c r="L382" s="2646">
        <f ca="1">Transfer!G207</f>
        <v>18.016854987893744</v>
      </c>
      <c r="M382" s="2407">
        <f ca="1">100*((Transfer!G207/Transfer!F207)-1)</f>
        <v>5.4999999999999938</v>
      </c>
      <c r="N382" s="2405"/>
      <c r="O382" s="54"/>
      <c r="P382" s="54"/>
      <c r="Q382" s="54"/>
      <c r="R382" s="54"/>
      <c r="S382" s="189"/>
      <c r="T382" s="101" t="s">
        <v>537</v>
      </c>
      <c r="U382" s="199"/>
      <c r="V382" s="255" t="s">
        <v>134</v>
      </c>
      <c r="W382" s="246">
        <f t="shared" ca="1" si="20"/>
        <v>0</v>
      </c>
      <c r="X382" s="246">
        <f t="shared" ca="1" si="20"/>
        <v>0</v>
      </c>
      <c r="Y382" s="246">
        <f t="shared" ca="1" si="20"/>
        <v>0</v>
      </c>
      <c r="Z382" s="246">
        <f t="shared" ca="1" si="20"/>
        <v>0</v>
      </c>
      <c r="AA382" s="246">
        <f t="shared" ca="1" si="20"/>
        <v>0.70000000000000284</v>
      </c>
      <c r="AB382" s="246">
        <f t="shared" ca="1" si="20"/>
        <v>3.6999999999999993</v>
      </c>
      <c r="AC382" s="246">
        <f t="shared" ca="1" si="20"/>
        <v>1.1000000000000014</v>
      </c>
      <c r="AD382" s="321">
        <f t="shared" ca="1" si="20"/>
        <v>2.7</v>
      </c>
      <c r="AE382" s="199"/>
      <c r="AF382" s="45"/>
      <c r="AG382" s="45"/>
      <c r="AH382" s="45"/>
      <c r="AI382" s="45"/>
      <c r="AJ382" s="189"/>
      <c r="AK382" s="101" t="s">
        <v>537</v>
      </c>
      <c r="AL382" s="199"/>
      <c r="AM382" s="255" t="s">
        <v>134</v>
      </c>
      <c r="AN382" s="91">
        <f>Transfer!AD207</f>
        <v>14.945499999999999</v>
      </c>
      <c r="AO382" s="243">
        <f>100*((Transfer!AD207/Transfer!AC207)-1)</f>
        <v>7.6912545665472898</v>
      </c>
      <c r="AP382" s="92">
        <f>Transfer!AE207</f>
        <v>17.882290749999996</v>
      </c>
      <c r="AQ382" s="91">
        <f>100*((Transfer!AE207/Transfer!AD207)-1)</f>
        <v>19.649999999999967</v>
      </c>
      <c r="AR382" s="92">
        <f>Transfer!AF207</f>
        <v>16.421307595724997</v>
      </c>
      <c r="AS382" s="91">
        <f>100*((Transfer!AF207/Transfer!AE207)-1)</f>
        <v>-8.17</v>
      </c>
      <c r="AT382" s="92">
        <f>Transfer!AG207</f>
        <v>16.884388469924442</v>
      </c>
      <c r="AU382" s="93">
        <f>100*((Transfer!AG207/Transfer!AF207)-1)</f>
        <v>2.8200000000000003</v>
      </c>
      <c r="AV382" s="199"/>
      <c r="AW382" s="54"/>
      <c r="AX382" s="54"/>
      <c r="AY382" s="54"/>
      <c r="AZ382" s="54"/>
      <c r="BA382" s="1611" t="s">
        <v>188</v>
      </c>
      <c r="BB382" s="1612"/>
      <c r="BC382" s="54"/>
    </row>
    <row r="383" spans="1:55">
      <c r="A383" s="45"/>
      <c r="B383" s="1575"/>
      <c r="C383" s="1576" t="s">
        <v>521</v>
      </c>
      <c r="D383" s="2405"/>
      <c r="E383" s="2471" t="s">
        <v>1966</v>
      </c>
      <c r="F383" s="2406">
        <f ca="1">Transfer!D208</f>
        <v>2.8010000000000002</v>
      </c>
      <c r="G383" s="2645"/>
      <c r="H383" s="2646">
        <f ca="1">Transfer!E208</f>
        <v>2.9410500000000002</v>
      </c>
      <c r="I383" s="2406"/>
      <c r="J383" s="2646">
        <f ca="1">Transfer!F208</f>
        <v>3.0881025000000002</v>
      </c>
      <c r="K383" s="2406"/>
      <c r="L383" s="2646">
        <f ca="1">Transfer!G208</f>
        <v>3.2425076250000004</v>
      </c>
      <c r="M383" s="2407"/>
      <c r="N383" s="2405"/>
      <c r="O383" s="54"/>
      <c r="P383" s="54"/>
      <c r="Q383" s="54"/>
      <c r="R383" s="54"/>
      <c r="S383" s="189"/>
      <c r="T383" s="101" t="s">
        <v>521</v>
      </c>
      <c r="U383" s="199"/>
      <c r="V383" s="255" t="s">
        <v>1966</v>
      </c>
      <c r="W383" s="246">
        <f t="shared" ca="1" si="20"/>
        <v>0</v>
      </c>
      <c r="X383" s="249"/>
      <c r="Y383" s="246">
        <f t="shared" ca="1" si="20"/>
        <v>0</v>
      </c>
      <c r="Z383" s="246"/>
      <c r="AA383" s="246">
        <f t="shared" ca="1" si="20"/>
        <v>0</v>
      </c>
      <c r="AB383" s="246"/>
      <c r="AC383" s="246">
        <f t="shared" ca="1" si="20"/>
        <v>0</v>
      </c>
      <c r="AD383" s="321"/>
      <c r="AE383" s="199"/>
      <c r="AF383" s="45"/>
      <c r="AG383" s="45"/>
      <c r="AH383" s="45"/>
      <c r="AI383" s="45"/>
      <c r="AJ383" s="189"/>
      <c r="AK383" s="101" t="s">
        <v>521</v>
      </c>
      <c r="AL383" s="199"/>
      <c r="AM383" s="255" t="s">
        <v>1966</v>
      </c>
      <c r="AN383" s="91">
        <f>Transfer!AD208</f>
        <v>2.8010000000000002</v>
      </c>
      <c r="AO383" s="243"/>
      <c r="AP383" s="92">
        <f>Transfer!AE208</f>
        <v>2.9410500000000002</v>
      </c>
      <c r="AQ383" s="91"/>
      <c r="AR383" s="92">
        <f>Transfer!AF208</f>
        <v>3.0881025000000002</v>
      </c>
      <c r="AS383" s="91"/>
      <c r="AT383" s="92">
        <f>Transfer!AG208</f>
        <v>3.2425076250000004</v>
      </c>
      <c r="AU383" s="93"/>
      <c r="AV383" s="199"/>
      <c r="AW383" s="54"/>
      <c r="AX383" s="54"/>
      <c r="AY383" s="54"/>
      <c r="AZ383" s="54"/>
      <c r="BA383" s="1611" t="s">
        <v>1328</v>
      </c>
      <c r="BB383" s="1612"/>
      <c r="BC383" s="54"/>
    </row>
    <row r="384" spans="1:55">
      <c r="A384" s="45"/>
      <c r="B384" s="1575"/>
      <c r="C384" s="1576" t="s">
        <v>524</v>
      </c>
      <c r="D384" s="2405"/>
      <c r="E384" s="2471" t="s">
        <v>2058</v>
      </c>
      <c r="F384" s="2406">
        <f ca="1">SUM(Transfer!D200,Transfer!D201,Transfer!D205,Transfer!D206)-(SUM(Transfer!D202,Transfer!D203,Transfer!D207,Transfer!D208))</f>
        <v>74.843999999999994</v>
      </c>
      <c r="G384" s="2645">
        <f ca="1">100*(((SUM(Transfer!D200,Transfer!D201,Transfer!D205,Transfer!D206)-(SUM(Transfer!D202,Transfer!D203,Transfer!D207,Transfer!D208)))/(SUM(Transfer!C200,Transfer!C201,Transfer!C205,Transfer!C206)-(SUM(Transfer!C202,Transfer!C203,Transfer!C207,Transfer!C208))))-1)</f>
        <v>13.569838531258171</v>
      </c>
      <c r="H384" s="2406">
        <f ca="1">SUM(Transfer!E200,Transfer!E201,Transfer!E205,Transfer!E206)-(SUM(Transfer!E202,Transfer!E203,Transfer!E207,Transfer!E208))</f>
        <v>76.71023152728398</v>
      </c>
      <c r="I384" s="2645">
        <f ca="1">100*(((SUM(Transfer!E200,Transfer!E201,Transfer!E205,Transfer!E206)-(SUM(Transfer!E202,Transfer!E203,Transfer!E207,Transfer!E208)))/(SUM(Transfer!D200,Transfer!D201,Transfer!D205,Transfer!D206)-(SUM(Transfer!D202,Transfer!D203,Transfer!D207,Transfer!D208))))-1)</f>
        <v>2.4934951730051669</v>
      </c>
      <c r="J384" s="2406">
        <f ca="1">SUM(Transfer!F200,Transfer!F201,Transfer!F205,Transfer!F206)-(SUM(Transfer!F202,Transfer!F203,Transfer!F207,Transfer!F208))</f>
        <v>81.7417728836121</v>
      </c>
      <c r="K384" s="2645">
        <f ca="1">100*(((SUM(Transfer!F200,Transfer!F201,Transfer!F205,Transfer!F206)-(SUM(Transfer!F202,Transfer!F203,Transfer!F207,Transfer!F208)))/(SUM(Transfer!E200,Transfer!E201,Transfer!E205,Transfer!E206)-(SUM(Transfer!E202,Transfer!E203,Transfer!E207,Transfer!E208))))-1)</f>
        <v>6.5591528745921224</v>
      </c>
      <c r="L384" s="2406">
        <f ca="1">SUM(Transfer!G200,Transfer!G201,Transfer!G205,Transfer!G206)-(SUM(Transfer!G202,Transfer!G203,Transfer!G207,Transfer!G208))</f>
        <v>85.349870213628918</v>
      </c>
      <c r="M384" s="2647">
        <f ca="1">100*(((SUM(Transfer!G200,Transfer!G201,Transfer!G205,Transfer!G206)-(SUM(Transfer!G202,Transfer!G203,Transfer!G207,Transfer!G208)))/(SUM(Transfer!F200,Transfer!F201,Transfer!F205,Transfer!F206)-(SUM(Transfer!F202,Transfer!F203,Transfer!F207,Transfer!F208))))-1)</f>
        <v>4.4140189314883171</v>
      </c>
      <c r="N384" s="2405"/>
      <c r="O384" s="54"/>
      <c r="P384" s="54"/>
      <c r="Q384" s="54"/>
      <c r="R384" s="54"/>
      <c r="S384" s="189"/>
      <c r="T384" s="101" t="s">
        <v>524</v>
      </c>
      <c r="U384" s="199"/>
      <c r="V384" s="255" t="s">
        <v>2058</v>
      </c>
      <c r="W384" s="246">
        <f t="shared" ca="1" si="20"/>
        <v>0</v>
      </c>
      <c r="X384" s="246">
        <f ca="1">ROUND(G384,1)-ROUND(AO384,1)</f>
        <v>0</v>
      </c>
      <c r="Y384" s="246">
        <f t="shared" ca="1" si="20"/>
        <v>0</v>
      </c>
      <c r="Z384" s="246">
        <f ca="1">ROUND(I384,1)-ROUND(AQ384,1)</f>
        <v>0</v>
      </c>
      <c r="AA384" s="246">
        <f t="shared" ca="1" si="20"/>
        <v>-0.70000000000000284</v>
      </c>
      <c r="AB384" s="246">
        <f ca="1">ROUND(K384,1)-ROUND(AS384,1)</f>
        <v>-0.80000000000000071</v>
      </c>
      <c r="AC384" s="246">
        <f t="shared" ca="1" si="20"/>
        <v>-1.2999999999999972</v>
      </c>
      <c r="AD384" s="321">
        <f t="shared" ca="1" si="20"/>
        <v>-0.69999999999999929</v>
      </c>
      <c r="AE384" s="199"/>
      <c r="AF384" s="45"/>
      <c r="AG384" s="45"/>
      <c r="AH384" s="45"/>
      <c r="AI384" s="45"/>
      <c r="AJ384" s="189"/>
      <c r="AK384" s="101" t="s">
        <v>524</v>
      </c>
      <c r="AL384" s="199"/>
      <c r="AM384" s="255" t="s">
        <v>2058</v>
      </c>
      <c r="AN384" s="91">
        <f>SUM(Transfer!AD200,Transfer!AD201,Transfer!AD205,Transfer!AD206)-(SUM(Transfer!AD202,Transfer!AD203,Transfer!AD207,Transfer!AD208))</f>
        <v>74.843999999999994</v>
      </c>
      <c r="AO384" s="243">
        <f>100*(((SUM(Transfer!AD200,Transfer!AD201,Transfer!AD205,Transfer!AD206)-(SUM(Transfer!AD202,Transfer!AD203,Transfer!AD207,Transfer!AD208)))/(SUM(Transfer!AC200,Transfer!AC201,Transfer!AC205,Transfer!AC206)-(SUM(Transfer!AC202,Transfer!AC203,Transfer!AC207,Transfer!AC208))))-1)</f>
        <v>13.569838531258171</v>
      </c>
      <c r="AP384" s="91">
        <f>SUM(Transfer!AE200,Transfer!AE201,Transfer!AE205,Transfer!AE206)-(SUM(Transfer!AE202,Transfer!AE203,Transfer!AE207,Transfer!AE208))</f>
        <v>76.71023152728398</v>
      </c>
      <c r="AQ384" s="243">
        <f>100*(((SUM(Transfer!AE200,Transfer!AE201,Transfer!AE205,Transfer!AE206)-(SUM(Transfer!AE202,Transfer!AE203,Transfer!AE207,Transfer!AE208)))/(SUM(Transfer!AD200,Transfer!AD201,Transfer!AD205,Transfer!AD206)-(SUM(Transfer!AD202,Transfer!AD203,Transfer!AD207,Transfer!AD208))))-1)</f>
        <v>2.4934951730051669</v>
      </c>
      <c r="AR384" s="91">
        <f>SUM(Transfer!AF200,Transfer!AF201,Transfer!AF205,Transfer!AF206)-(SUM(Transfer!AF202,Transfer!AF203,Transfer!AF207,Transfer!AF208))</f>
        <v>82.39019577716482</v>
      </c>
      <c r="AS384" s="243">
        <f>100*(((SUM(Transfer!AF200,Transfer!AF201,Transfer!AF205,Transfer!AF206)-(SUM(Transfer!AF202,Transfer!AF203,Transfer!AF207,Transfer!AF208)))/(SUM(Transfer!AE200,Transfer!AE201,Transfer!AE205,Transfer!AE206)-(SUM(Transfer!AE202,Transfer!AE203,Transfer!AE207,Transfer!AE208))))-1)</f>
        <v>7.4044415416222753</v>
      </c>
      <c r="AT384" s="91">
        <f>SUM(Transfer!AG200,Transfer!AG201,Transfer!AG205,Transfer!AG206)-(SUM(Transfer!AG202,Transfer!AG203,Transfer!AG207,Transfer!AG208))</f>
        <v>86.592835818828775</v>
      </c>
      <c r="AU384" s="244">
        <f>100*(((SUM(Transfer!AG200,Transfer!AG201,Transfer!AG205,Transfer!AG206)-(SUM(Transfer!AG202,Transfer!AG203,Transfer!AG207,Transfer!AG208)))/(SUM(Transfer!AF200,Transfer!AF201,Transfer!AF205,Transfer!AF206)-(SUM(Transfer!AF202,Transfer!AF203,Transfer!AF207,Transfer!AF208))))-1)</f>
        <v>5.1008982343367038</v>
      </c>
      <c r="AV384" s="199"/>
      <c r="AW384" s="54"/>
      <c r="AX384" s="54"/>
      <c r="AY384" s="54"/>
      <c r="AZ384" s="54"/>
      <c r="BA384" s="1611" t="s">
        <v>1329</v>
      </c>
      <c r="BB384" s="1612"/>
      <c r="BC384" s="54"/>
    </row>
    <row r="385" spans="1:55">
      <c r="A385" s="45"/>
      <c r="B385" s="1575"/>
      <c r="C385" s="2666" t="s">
        <v>1951</v>
      </c>
      <c r="D385" s="2667"/>
      <c r="E385" s="2668"/>
      <c r="F385" s="2502">
        <f ca="1">100*(SUM(Transfer!D200,Transfer!D201,Transfer!D205,Transfer!D206)-(SUM(Transfer!D202,Transfer!D203,Transfer!D207,Transfer!D208)))/Transfer!D147</f>
        <v>17.691592735015661</v>
      </c>
      <c r="G385" s="2669"/>
      <c r="H385" s="2502">
        <f ca="1">100*(SUM(Transfer!E200,Transfer!E201,Transfer!E205,Transfer!E206)-(SUM(Transfer!E202,Transfer!E203,Transfer!E207,Transfer!E208)))/Transfer!E147</f>
        <v>17.494395818526804</v>
      </c>
      <c r="I385" s="2669"/>
      <c r="J385" s="2502">
        <f ca="1">100*(SUM(Transfer!F200,Transfer!F201,Transfer!F205,Transfer!F206)-(SUM(Transfer!F202,Transfer!F203,Transfer!F207,Transfer!F208)))/Transfer!F147</f>
        <v>18.029696943646961</v>
      </c>
      <c r="K385" s="2669"/>
      <c r="L385" s="2502">
        <f ca="1">100*(SUM(Transfer!G200,Transfer!G201,Transfer!G205,Transfer!G206)-(SUM(Transfer!G202,Transfer!G203,Transfer!G207,Transfer!G208)))/Transfer!G147</f>
        <v>18.196676874502675</v>
      </c>
      <c r="M385" s="2670"/>
      <c r="N385" s="2671"/>
      <c r="O385" s="54"/>
      <c r="P385" s="54"/>
      <c r="Q385" s="54"/>
      <c r="R385" s="54"/>
      <c r="S385" s="189"/>
      <c r="T385" s="458" t="s">
        <v>1951</v>
      </c>
      <c r="U385" s="1627"/>
      <c r="V385" s="459"/>
      <c r="W385" s="456">
        <f t="shared" ca="1" si="20"/>
        <v>0</v>
      </c>
      <c r="X385" s="460"/>
      <c r="Y385" s="456">
        <f t="shared" ca="1" si="20"/>
        <v>0</v>
      </c>
      <c r="Z385" s="460"/>
      <c r="AA385" s="456">
        <f t="shared" ca="1" si="20"/>
        <v>-0.19999999999999929</v>
      </c>
      <c r="AB385" s="460"/>
      <c r="AC385" s="456">
        <f t="shared" ca="1" si="20"/>
        <v>-0.30000000000000071</v>
      </c>
      <c r="AD385" s="1928"/>
      <c r="AE385" s="461"/>
      <c r="AF385" s="45"/>
      <c r="AG385" s="45"/>
      <c r="AH385" s="45"/>
      <c r="AI385" s="45"/>
      <c r="AJ385" s="189"/>
      <c r="AK385" s="458" t="s">
        <v>1951</v>
      </c>
      <c r="AL385" s="1627"/>
      <c r="AM385" s="459"/>
      <c r="AN385" s="155">
        <f>100*(SUM(Transfer!AD200,Transfer!AD201,Transfer!AD205,Transfer!AD206)-(SUM(Transfer!AD202,Transfer!AD203,Transfer!AD207,Transfer!AD208)))/Transfer!AD147</f>
        <v>17.691592735015661</v>
      </c>
      <c r="AO385" s="1969"/>
      <c r="AP385" s="155">
        <f>100*(SUM(Transfer!AE200,Transfer!AE201,Transfer!AE205,Transfer!AE206)-(SUM(Transfer!AE202,Transfer!AE203,Transfer!AE207,Transfer!AE208)))/Transfer!AE147</f>
        <v>17.494395818526804</v>
      </c>
      <c r="AQ385" s="1969"/>
      <c r="AR385" s="155">
        <f>100*(SUM(Transfer!AF200,Transfer!AF201,Transfer!AF205,Transfer!AF206)-(SUM(Transfer!AF202,Transfer!AF203,Transfer!AF207,Transfer!AF208)))/Transfer!AF147</f>
        <v>18.172718899859294</v>
      </c>
      <c r="AS385" s="1969"/>
      <c r="AT385" s="155">
        <f>100*(SUM(Transfer!AG200,Transfer!AG201,Transfer!AG205,Transfer!AG206)-(SUM(Transfer!AG202,Transfer!AG203,Transfer!AG207,Transfer!AG208)))/Transfer!AG147</f>
        <v>18.459577224799357</v>
      </c>
      <c r="AU385" s="1970"/>
      <c r="AV385" s="461"/>
      <c r="AW385" s="54"/>
      <c r="AX385" s="54"/>
      <c r="AY385" s="54"/>
      <c r="AZ385" s="54"/>
      <c r="BA385" s="1611" t="s">
        <v>315</v>
      </c>
      <c r="BB385" s="1612"/>
      <c r="BC385" s="54"/>
    </row>
    <row r="386" spans="1:55">
      <c r="A386" s="45"/>
      <c r="B386" s="1575"/>
      <c r="C386" s="1576" t="s">
        <v>1413</v>
      </c>
      <c r="D386" s="2405"/>
      <c r="E386" s="2471" t="s">
        <v>580</v>
      </c>
      <c r="F386" s="2406">
        <f ca="1">Transfer!D209</f>
        <v>67.327600000000004</v>
      </c>
      <c r="G386" s="2406">
        <f ca="1">100*((Transfer!D209/Transfer!C209)-1)</f>
        <v>6.0404079858376925</v>
      </c>
      <c r="H386" s="2406">
        <f ca="1">Transfer!E209</f>
        <v>72.966083574731115</v>
      </c>
      <c r="I386" s="2406">
        <f ca="1">100*((Transfer!E209/Transfer!D209)-1)</f>
        <v>8.3746986001745469</v>
      </c>
      <c r="J386" s="2406">
        <f ca="1">Transfer!F209</f>
        <v>76.491594976491768</v>
      </c>
      <c r="K386" s="2406">
        <f ca="1">100*((Transfer!F209/Transfer!E209)-1)</f>
        <v>4.8317125286707396</v>
      </c>
      <c r="L386" s="2406">
        <f ca="1">Transfer!G209</f>
        <v>79.427850714527978</v>
      </c>
      <c r="M386" s="2407">
        <f ca="1">100*((Transfer!G209/Transfer!F209)-1)</f>
        <v>3.838664547312165</v>
      </c>
      <c r="N386" s="2405"/>
      <c r="O386" s="54"/>
      <c r="P386" s="54"/>
      <c r="Q386" s="54"/>
      <c r="R386" s="54"/>
      <c r="S386" s="189"/>
      <c r="T386" s="101" t="s">
        <v>1413</v>
      </c>
      <c r="U386" s="199"/>
      <c r="V386" s="255" t="s">
        <v>580</v>
      </c>
      <c r="W386" s="246">
        <f t="shared" ca="1" si="20"/>
        <v>0</v>
      </c>
      <c r="X386" s="246">
        <f ca="1">ROUND(G386,1)-ROUND(AO386,1)</f>
        <v>0</v>
      </c>
      <c r="Y386" s="246">
        <f t="shared" ca="1" si="20"/>
        <v>0</v>
      </c>
      <c r="Z386" s="246">
        <f ca="1">ROUND(I386,1)-ROUND(AQ386,1)</f>
        <v>0</v>
      </c>
      <c r="AA386" s="246">
        <f t="shared" ca="1" si="20"/>
        <v>0</v>
      </c>
      <c r="AB386" s="246">
        <f ca="1">ROUND(K386,1)-ROUND(AS386,1)</f>
        <v>0</v>
      </c>
      <c r="AC386" s="246">
        <f t="shared" ca="1" si="20"/>
        <v>0</v>
      </c>
      <c r="AD386" s="321">
        <f t="shared" ca="1" si="20"/>
        <v>0</v>
      </c>
      <c r="AE386" s="199"/>
      <c r="AF386" s="45"/>
      <c r="AG386" s="45"/>
      <c r="AH386" s="45"/>
      <c r="AI386" s="45"/>
      <c r="AJ386" s="189"/>
      <c r="AK386" s="101" t="s">
        <v>1413</v>
      </c>
      <c r="AL386" s="199"/>
      <c r="AM386" s="255" t="s">
        <v>580</v>
      </c>
      <c r="AN386" s="91">
        <f>Transfer!AD209</f>
        <v>67.327600000000004</v>
      </c>
      <c r="AO386" s="91">
        <f>100*((Transfer!AD209/Transfer!AC209)-1)</f>
        <v>6.0404079858376925</v>
      </c>
      <c r="AP386" s="91">
        <f>Transfer!AE209</f>
        <v>72.966083574731115</v>
      </c>
      <c r="AQ386" s="91">
        <f>100*((Transfer!AE209/Transfer!AD209)-1)</f>
        <v>8.3746986001745469</v>
      </c>
      <c r="AR386" s="91">
        <f>Transfer!AF209</f>
        <v>76.491594976491768</v>
      </c>
      <c r="AS386" s="91">
        <f>100*((Transfer!AF209/Transfer!AE209)-1)</f>
        <v>4.8317125286707396</v>
      </c>
      <c r="AT386" s="91">
        <f>Transfer!AG209</f>
        <v>79.427850714527978</v>
      </c>
      <c r="AU386" s="93">
        <f>100*((Transfer!AG209/Transfer!AF209)-1)</f>
        <v>3.838664547312165</v>
      </c>
      <c r="AV386" s="199"/>
      <c r="AW386" s="54"/>
      <c r="AX386" s="54"/>
      <c r="AY386" s="54"/>
      <c r="AZ386" s="54"/>
      <c r="BA386" s="1611" t="s">
        <v>316</v>
      </c>
      <c r="BB386" s="1612"/>
      <c r="BC386" s="54"/>
    </row>
    <row r="387" spans="1:55">
      <c r="A387" s="45"/>
      <c r="B387" s="1575"/>
      <c r="C387" s="2408" t="s">
        <v>1751</v>
      </c>
      <c r="D387" s="2672"/>
      <c r="E387" s="2673" t="s">
        <v>1889</v>
      </c>
      <c r="F387" s="2463">
        <f ca="1">Transfer!D210</f>
        <v>-3.2523</v>
      </c>
      <c r="G387" s="2461">
        <f ca="1">100*((Transfer!D210/Transfer!C210)-1)</f>
        <v>-19.876327264664585</v>
      </c>
      <c r="H387" s="2463">
        <f ca="1">Transfer!E210</f>
        <v>-3.191138</v>
      </c>
      <c r="I387" s="2463">
        <f ca="1">100*((Transfer!E210/Transfer!D210)-1)</f>
        <v>-1.8805768225563457</v>
      </c>
      <c r="J387" s="2463">
        <f ca="1">Transfer!F210</f>
        <v>-3.1311992399999999</v>
      </c>
      <c r="K387" s="2461">
        <f ca="1">100*((Transfer!F210/Transfer!E210)-1)</f>
        <v>-1.8782879336462499</v>
      </c>
      <c r="L387" s="2463">
        <f ca="1">Transfer!G210</f>
        <v>-3.0724592552000001</v>
      </c>
      <c r="M387" s="2464">
        <f ca="1">100*((Transfer!G210/Transfer!F210)-1)</f>
        <v>-1.8759580690240529</v>
      </c>
      <c r="N387" s="2672"/>
      <c r="O387" s="54"/>
      <c r="P387" s="54"/>
      <c r="Q387" s="54"/>
      <c r="R387" s="54"/>
      <c r="S387" s="189"/>
      <c r="T387" s="447" t="s">
        <v>1751</v>
      </c>
      <c r="U387" s="466"/>
      <c r="V387" s="462" t="s">
        <v>1889</v>
      </c>
      <c r="W387" s="246">
        <f t="shared" ca="1" si="20"/>
        <v>0</v>
      </c>
      <c r="X387" s="246">
        <f ca="1">ROUND(G387,1)-ROUND(AO387,1)</f>
        <v>0</v>
      </c>
      <c r="Y387" s="246">
        <f t="shared" ca="1" si="20"/>
        <v>0</v>
      </c>
      <c r="Z387" s="246">
        <f ca="1">ROUND(I387,1)-ROUND(AQ387,1)</f>
        <v>0</v>
      </c>
      <c r="AA387" s="246">
        <f t="shared" ca="1" si="20"/>
        <v>0</v>
      </c>
      <c r="AB387" s="246">
        <f ca="1">ROUND(K387,1)-ROUND(AS387,1)</f>
        <v>0</v>
      </c>
      <c r="AC387" s="246">
        <f t="shared" ca="1" si="20"/>
        <v>0</v>
      </c>
      <c r="AD387" s="321">
        <f t="shared" ca="1" si="20"/>
        <v>0</v>
      </c>
      <c r="AE387" s="466"/>
      <c r="AF387" s="45"/>
      <c r="AG387" s="45"/>
      <c r="AH387" s="45"/>
      <c r="AI387" s="45"/>
      <c r="AJ387" s="189"/>
      <c r="AK387" s="447" t="s">
        <v>1751</v>
      </c>
      <c r="AL387" s="466"/>
      <c r="AM387" s="462" t="s">
        <v>1889</v>
      </c>
      <c r="AN387" s="1890">
        <f>Transfer!AD210</f>
        <v>-3.2523</v>
      </c>
      <c r="AO387" s="448">
        <f>100*((Transfer!AD210/Transfer!AC210)-1)</f>
        <v>-19.876327264664585</v>
      </c>
      <c r="AP387" s="1890">
        <f>Transfer!AE210</f>
        <v>-3.191138</v>
      </c>
      <c r="AQ387" s="1890">
        <f>100*((Transfer!AE210/Transfer!AD210)-1)</f>
        <v>-1.8805768225563457</v>
      </c>
      <c r="AR387" s="1890">
        <f>Transfer!AF210</f>
        <v>-3.1311992399999999</v>
      </c>
      <c r="AS387" s="448">
        <f>100*((Transfer!AF210/Transfer!AE210)-1)</f>
        <v>-1.8782879336462499</v>
      </c>
      <c r="AT387" s="1890">
        <f>Transfer!AG210</f>
        <v>-3.0724592552000001</v>
      </c>
      <c r="AU387" s="1895">
        <f>100*((Transfer!AG210/Transfer!AF210)-1)</f>
        <v>-1.8759580690240529</v>
      </c>
      <c r="AV387" s="466"/>
      <c r="AW387" s="54"/>
      <c r="AX387" s="54"/>
      <c r="AY387" s="54"/>
      <c r="AZ387" s="54"/>
      <c r="BA387" s="1611" t="s">
        <v>317</v>
      </c>
      <c r="BB387" s="1612"/>
      <c r="BC387" s="54"/>
    </row>
    <row r="388" spans="1:55">
      <c r="A388" s="45"/>
      <c r="B388" s="1575"/>
      <c r="C388" s="1576" t="s">
        <v>1780</v>
      </c>
      <c r="D388" s="2405"/>
      <c r="E388" s="2471" t="s">
        <v>1647</v>
      </c>
      <c r="F388" s="2645">
        <f ca="1">SUM(Transfer!D200,Transfer!D201,Transfer!D205,Transfer!D206)-(SUM(Transfer!D202,Transfer!D203,Transfer!D207,Transfer!D208,Transfer!D209,Transfer!D210))</f>
        <v>10.768699999999995</v>
      </c>
      <c r="G388" s="2406"/>
      <c r="H388" s="2645">
        <f ca="1">SUM(Transfer!E200,Transfer!E201,Transfer!E205,Transfer!E206)-(SUM(Transfer!E202,Transfer!E203,Transfer!E207,Transfer!E208,Transfer!E209,Transfer!E210))</f>
        <v>6.9352859525528459</v>
      </c>
      <c r="I388" s="2406"/>
      <c r="J388" s="2645">
        <f ca="1">SUM(Transfer!F200,Transfer!F201,Transfer!F205,Transfer!F206)-(SUM(Transfer!F202,Transfer!F203,Transfer!F207,Transfer!F208,Transfer!F209,Transfer!F210))</f>
        <v>8.381377147120304</v>
      </c>
      <c r="K388" s="2406"/>
      <c r="L388" s="2645">
        <f ca="1">SUM(Transfer!G200,Transfer!G201,Transfer!G205,Transfer!G206)-(SUM(Transfer!G202,Transfer!G203,Transfer!G207,Transfer!G208,Transfer!G209,Transfer!G210))</f>
        <v>8.9944787543009284</v>
      </c>
      <c r="M388" s="2407"/>
      <c r="N388" s="2405"/>
      <c r="O388" s="54"/>
      <c r="P388" s="54"/>
      <c r="Q388" s="54"/>
      <c r="R388" s="54"/>
      <c r="S388" s="189"/>
      <c r="T388" s="101" t="s">
        <v>1780</v>
      </c>
      <c r="U388" s="199"/>
      <c r="V388" s="255" t="s">
        <v>1647</v>
      </c>
      <c r="W388" s="246">
        <f t="shared" ca="1" si="20"/>
        <v>0</v>
      </c>
      <c r="X388" s="246"/>
      <c r="Y388" s="246">
        <f t="shared" ca="1" si="20"/>
        <v>0</v>
      </c>
      <c r="Z388" s="246"/>
      <c r="AA388" s="246">
        <f t="shared" ca="1" si="20"/>
        <v>-0.59999999999999964</v>
      </c>
      <c r="AB388" s="246"/>
      <c r="AC388" s="246">
        <f t="shared" ca="1" si="20"/>
        <v>-1.1999999999999993</v>
      </c>
      <c r="AD388" s="321"/>
      <c r="AE388" s="199"/>
      <c r="AF388" s="45"/>
      <c r="AG388" s="45"/>
      <c r="AH388" s="45"/>
      <c r="AI388" s="45"/>
      <c r="AJ388" s="189"/>
      <c r="AK388" s="101" t="s">
        <v>1780</v>
      </c>
      <c r="AL388" s="199"/>
      <c r="AM388" s="255" t="s">
        <v>1647</v>
      </c>
      <c r="AN388" s="243">
        <f>SUM(Transfer!AD200,Transfer!AD201,Transfer!AD205,Transfer!AD206)-(SUM(Transfer!AD202,Transfer!AD203,Transfer!AD207,Transfer!AD208,Transfer!AD209,Transfer!AD210))</f>
        <v>10.768699999999995</v>
      </c>
      <c r="AO388" s="91"/>
      <c r="AP388" s="243">
        <f>SUM(Transfer!AE200,Transfer!AE201,Transfer!AE205,Transfer!AE206)-(SUM(Transfer!AE202,Transfer!AE203,Transfer!AE207,Transfer!AE208,Transfer!AE209,Transfer!AE210))</f>
        <v>6.9352859525528459</v>
      </c>
      <c r="AQ388" s="91"/>
      <c r="AR388" s="243">
        <f>SUM(Transfer!AF200,Transfer!AF201,Transfer!AF205,Transfer!AF206)-(SUM(Transfer!AF202,Transfer!AF203,Transfer!AF207,Transfer!AF208,Transfer!AF209,Transfer!AF210))</f>
        <v>9.0298000406730239</v>
      </c>
      <c r="AS388" s="91"/>
      <c r="AT388" s="243">
        <f>SUM(Transfer!AG200,Transfer!AG201,Transfer!AG205,Transfer!AG206)-(SUM(Transfer!AG202,Transfer!AG203,Transfer!AG207,Transfer!AG208,Transfer!AG209,Transfer!AG210))</f>
        <v>10.237444359500785</v>
      </c>
      <c r="AU388" s="93"/>
      <c r="AV388" s="199"/>
      <c r="AW388" s="54"/>
      <c r="AX388" s="54"/>
      <c r="AY388" s="54"/>
      <c r="AZ388" s="54"/>
      <c r="BA388" s="1611" t="s">
        <v>1172</v>
      </c>
      <c r="BB388" s="1612"/>
      <c r="BC388" s="54"/>
    </row>
    <row r="389" spans="1:55" ht="13.8" thickBot="1">
      <c r="A389" s="45"/>
      <c r="B389" s="1575"/>
      <c r="C389" s="2674" t="s">
        <v>1422</v>
      </c>
      <c r="D389" s="2675"/>
      <c r="E389" s="2660"/>
      <c r="F389" s="2676">
        <f ca="1">100*(SUM(Transfer!D200,Transfer!D201,Transfer!D205,Transfer!D206)-(SUM(Transfer!D202,Transfer!D203,Transfer!D207,Transfer!D208,Transfer!D209,Transfer!D210)))/Transfer!D147</f>
        <v>2.5455007039383659</v>
      </c>
      <c r="G389" s="2677"/>
      <c r="H389" s="2676">
        <f ca="1">100*(SUM(Transfer!E200,Transfer!E201,Transfer!E205,Transfer!E206)-(SUM(Transfer!E202,Transfer!E203,Transfer!E207,Transfer!E208,Transfer!E209,Transfer!E210)))/Transfer!E147</f>
        <v>1.5816486947438624</v>
      </c>
      <c r="I389" s="2677"/>
      <c r="J389" s="2676">
        <f ca="1">100*(SUM(Transfer!F200,Transfer!F201,Transfer!F205,Transfer!F206)-(SUM(Transfer!F202,Transfer!F203,Transfer!F207,Transfer!F208,Transfer!F209,Transfer!F210)))/Transfer!F147</f>
        <v>1.8486715494677419</v>
      </c>
      <c r="K389" s="2677"/>
      <c r="L389" s="2676">
        <f ca="1">100*(SUM(Transfer!G200,Transfer!G201,Transfer!G205,Transfer!G206)-(SUM(Transfer!G202,Transfer!G203,Transfer!G207,Transfer!G208,Transfer!G209,Transfer!G210)))/Transfer!G147</f>
        <v>1.9176317800710385</v>
      </c>
      <c r="M389" s="2678"/>
      <c r="N389" s="2671"/>
      <c r="O389" s="54"/>
      <c r="P389" s="54"/>
      <c r="Q389" s="54"/>
      <c r="R389" s="54"/>
      <c r="S389" s="189"/>
      <c r="T389" s="467" t="s">
        <v>1422</v>
      </c>
      <c r="U389" s="1628"/>
      <c r="V389" s="450"/>
      <c r="W389" s="1634">
        <f t="shared" ca="1" si="20"/>
        <v>0</v>
      </c>
      <c r="X389" s="468"/>
      <c r="Y389" s="1634">
        <f t="shared" ca="1" si="20"/>
        <v>0</v>
      </c>
      <c r="Z389" s="468"/>
      <c r="AA389" s="1634">
        <f t="shared" ca="1" si="20"/>
        <v>-0.19999999999999996</v>
      </c>
      <c r="AB389" s="468"/>
      <c r="AC389" s="1634">
        <f t="shared" ca="1" si="20"/>
        <v>-0.30000000000000027</v>
      </c>
      <c r="AD389" s="469"/>
      <c r="AE389" s="461"/>
      <c r="AF389" s="45"/>
      <c r="AG389" s="45"/>
      <c r="AH389" s="45"/>
      <c r="AI389" s="45"/>
      <c r="AJ389" s="189"/>
      <c r="AK389" s="467" t="s">
        <v>1422</v>
      </c>
      <c r="AL389" s="1628"/>
      <c r="AM389" s="450"/>
      <c r="AN389" s="451">
        <f>100*(SUM(Transfer!AD200,Transfer!AD201,Transfer!AD205,Transfer!AD206)-(SUM(Transfer!AD202,Transfer!AD203,Transfer!AD207,Transfer!AD208,Transfer!AD209,Transfer!AD210)))/Transfer!AD147</f>
        <v>2.5455007039383659</v>
      </c>
      <c r="AO389" s="1971"/>
      <c r="AP389" s="451">
        <f>100*(SUM(Transfer!AE200,Transfer!AE201,Transfer!AE205,Transfer!AE206)-(SUM(Transfer!AE202,Transfer!AE203,Transfer!AE207,Transfer!AE208,Transfer!AE209,Transfer!AE210)))/Transfer!AE147</f>
        <v>1.5816486947438624</v>
      </c>
      <c r="AQ389" s="1971"/>
      <c r="AR389" s="451">
        <f>100*(SUM(Transfer!AF200,Transfer!AF201,Transfer!AF205,Transfer!AF206)-(SUM(Transfer!AF202,Transfer!AF203,Transfer!AF207,Transfer!AF208,Transfer!AF209,Transfer!AF210)))/Transfer!AF147</f>
        <v>1.991693505680072</v>
      </c>
      <c r="AS389" s="1971"/>
      <c r="AT389" s="451">
        <f>100*(SUM(Transfer!AG200,Transfer!AG201,Transfer!AG205,Transfer!AG206)-(SUM(Transfer!AG202,Transfer!AG203,Transfer!AG207,Transfer!AG208,Transfer!AG209,Transfer!AG210)))/Transfer!AG147</f>
        <v>2.1823848699698054</v>
      </c>
      <c r="AU389" s="1972"/>
      <c r="AV389" s="461"/>
      <c r="AW389" s="54"/>
      <c r="AX389" s="54"/>
      <c r="AY389" s="54"/>
      <c r="AZ389" s="54"/>
      <c r="BA389" s="1651" t="s">
        <v>1173</v>
      </c>
      <c r="BB389" s="1615"/>
      <c r="BC389" s="54"/>
    </row>
    <row r="390" spans="1:55">
      <c r="A390" s="45"/>
      <c r="B390" s="1614"/>
      <c r="C390" s="2428"/>
      <c r="D390" s="2428"/>
      <c r="E390" s="2428"/>
      <c r="F390" s="2428"/>
      <c r="G390" s="2428"/>
      <c r="H390" s="2428"/>
      <c r="I390" s="2428"/>
      <c r="J390" s="2428"/>
      <c r="K390" s="2428"/>
      <c r="L390" s="2428"/>
      <c r="M390" s="2360" t="str">
        <f>UPPER(Country)</f>
        <v>BELGIUM</v>
      </c>
      <c r="N390" s="2429"/>
      <c r="O390" s="54"/>
      <c r="P390" s="54"/>
      <c r="Q390" s="54"/>
      <c r="R390" s="54"/>
      <c r="S390" s="216"/>
      <c r="T390" s="113"/>
      <c r="U390" s="113"/>
      <c r="V390" s="113"/>
      <c r="W390" s="113"/>
      <c r="X390" s="113"/>
      <c r="Y390" s="113"/>
      <c r="Z390" s="113"/>
      <c r="AA390" s="113"/>
      <c r="AB390" s="113"/>
      <c r="AC390" s="113"/>
      <c r="AD390" s="118" t="str">
        <f>UPPER(Country)</f>
        <v>BELGIUM</v>
      </c>
      <c r="AE390" s="217"/>
      <c r="AF390" s="45"/>
      <c r="AG390" s="45"/>
      <c r="AH390" s="45"/>
      <c r="AI390" s="45"/>
      <c r="AJ390" s="216"/>
      <c r="AK390" s="113"/>
      <c r="AL390" s="113"/>
      <c r="AM390" s="113"/>
      <c r="AN390" s="113"/>
      <c r="AO390" s="113"/>
      <c r="AP390" s="113"/>
      <c r="AQ390" s="113"/>
      <c r="AR390" s="113"/>
      <c r="AS390" s="113"/>
      <c r="AT390" s="113"/>
      <c r="AU390" s="118" t="str">
        <f>UPPER(Country)</f>
        <v>BELGIUM</v>
      </c>
      <c r="AV390" s="217"/>
      <c r="AW390" s="54"/>
      <c r="AX390" s="54"/>
      <c r="AY390" s="54"/>
      <c r="AZ390" s="54"/>
      <c r="BA390" s="54"/>
      <c r="BB390" s="54"/>
      <c r="BC390" s="54"/>
    </row>
    <row r="391" spans="1:55">
      <c r="A391" s="45"/>
      <c r="B391" s="45"/>
      <c r="C391" s="45"/>
      <c r="D391" s="45"/>
      <c r="E391" s="45"/>
      <c r="F391" s="45"/>
      <c r="G391" s="45"/>
      <c r="H391" s="45"/>
      <c r="I391" s="45"/>
      <c r="J391" s="45"/>
      <c r="K391" s="45"/>
      <c r="L391" s="45"/>
      <c r="M391" s="45"/>
      <c r="N391" s="54"/>
      <c r="O391" s="54"/>
      <c r="P391" s="54"/>
      <c r="Q391" s="54"/>
      <c r="R391" s="54"/>
      <c r="S391" s="54"/>
      <c r="T391" s="54"/>
      <c r="U391" s="54"/>
      <c r="V391" s="54"/>
      <c r="W391" s="54"/>
      <c r="X391" s="54"/>
      <c r="Y391" s="54"/>
      <c r="Z391" s="54"/>
      <c r="AA391" s="54"/>
      <c r="AB391" s="45"/>
      <c r="AC391" s="45"/>
      <c r="AD391" s="45"/>
      <c r="AE391" s="45"/>
      <c r="AF391" s="45"/>
      <c r="AG391" s="45"/>
      <c r="AH391" s="45"/>
      <c r="AI391" s="45"/>
      <c r="AJ391" s="45"/>
      <c r="AK391" s="45"/>
      <c r="AL391" s="45"/>
      <c r="AM391" s="45"/>
      <c r="AN391" s="45"/>
      <c r="AO391" s="45"/>
      <c r="AP391" s="45"/>
      <c r="AQ391" s="45"/>
      <c r="AR391" s="45"/>
      <c r="AS391" s="45"/>
      <c r="AT391" s="45"/>
      <c r="AU391" s="45"/>
      <c r="AV391" s="54"/>
      <c r="AW391" s="54"/>
      <c r="AX391" s="54"/>
      <c r="AY391" s="54"/>
      <c r="AZ391" s="54"/>
      <c r="BA391" s="54"/>
      <c r="BB391" s="54"/>
      <c r="BC391" s="54"/>
    </row>
    <row r="392" spans="1:55">
      <c r="A392" s="45"/>
      <c r="B392" s="45"/>
      <c r="C392" s="45"/>
      <c r="D392" s="45"/>
      <c r="E392" s="45"/>
      <c r="F392" s="45">
        <v>33.36</v>
      </c>
      <c r="G392" s="45"/>
      <c r="H392" s="45">
        <v>37.409999999999997</v>
      </c>
      <c r="I392" s="45"/>
      <c r="J392" s="45">
        <v>38.46</v>
      </c>
      <c r="K392" s="45"/>
      <c r="L392" s="45"/>
      <c r="M392" s="45"/>
      <c r="N392" s="54"/>
      <c r="O392" s="54"/>
      <c r="P392" s="54"/>
      <c r="Q392" s="54"/>
      <c r="R392" s="54"/>
      <c r="S392" s="54"/>
      <c r="T392" s="54"/>
      <c r="U392" s="54"/>
      <c r="V392" s="54"/>
      <c r="W392" s="54"/>
      <c r="X392" s="54"/>
      <c r="Y392" s="54"/>
      <c r="Z392" s="54"/>
      <c r="AA392" s="54"/>
      <c r="AB392" s="45"/>
      <c r="AC392" s="45"/>
      <c r="AD392" s="45"/>
      <c r="AE392" s="45"/>
      <c r="AF392" s="45"/>
      <c r="AG392" s="45"/>
      <c r="AH392" s="45"/>
      <c r="AI392" s="45"/>
      <c r="AJ392" s="45"/>
      <c r="AK392" s="45"/>
      <c r="AL392" s="45"/>
      <c r="AM392" s="45"/>
      <c r="AN392" s="45"/>
      <c r="AO392" s="45"/>
      <c r="AP392" s="45"/>
      <c r="AQ392" s="45"/>
      <c r="AR392" s="45"/>
      <c r="AS392" s="45"/>
      <c r="AT392" s="45"/>
      <c r="AU392" s="45"/>
      <c r="AV392" s="54"/>
      <c r="AW392" s="54"/>
      <c r="AX392" s="54"/>
      <c r="AY392" s="54"/>
      <c r="AZ392" s="54"/>
      <c r="BA392" s="54"/>
      <c r="BB392" s="54"/>
      <c r="BC392" s="54"/>
    </row>
    <row r="393" spans="1:55">
      <c r="A393" s="45"/>
      <c r="B393" s="45"/>
      <c r="C393" s="45"/>
      <c r="D393" s="45"/>
      <c r="E393" s="45"/>
      <c r="F393" s="45">
        <v>40.520000000000003</v>
      </c>
      <c r="G393" s="45"/>
      <c r="H393" s="45">
        <v>42.38</v>
      </c>
      <c r="I393" s="45"/>
      <c r="J393" s="45">
        <v>44.79</v>
      </c>
      <c r="K393" s="45"/>
      <c r="L393" s="45"/>
      <c r="M393" s="45"/>
      <c r="N393" s="54"/>
      <c r="O393" s="54"/>
      <c r="P393" s="54"/>
      <c r="Q393" s="54"/>
      <c r="R393" s="54"/>
      <c r="S393" s="54"/>
      <c r="T393" s="54"/>
      <c r="U393" s="54"/>
      <c r="V393" s="54"/>
      <c r="W393" s="54"/>
      <c r="X393" s="54"/>
      <c r="Y393" s="54"/>
      <c r="Z393" s="54"/>
      <c r="AA393" s="54"/>
      <c r="AB393" s="45"/>
      <c r="AC393" s="45"/>
      <c r="AD393" s="45"/>
      <c r="AE393" s="45"/>
      <c r="AF393" s="45"/>
      <c r="AG393" s="45"/>
      <c r="AH393" s="45"/>
      <c r="AI393" s="45"/>
      <c r="AJ393" s="45"/>
      <c r="AK393" s="45"/>
      <c r="AL393" s="45"/>
      <c r="AM393" s="45"/>
      <c r="AN393" s="45"/>
      <c r="AO393" s="45"/>
      <c r="AP393" s="45"/>
      <c r="AQ393" s="45"/>
      <c r="AR393" s="45"/>
      <c r="AS393" s="45"/>
      <c r="AT393" s="45"/>
      <c r="AU393" s="45"/>
      <c r="AV393" s="54"/>
      <c r="AW393" s="54"/>
      <c r="AX393" s="54"/>
      <c r="AY393" s="54"/>
      <c r="AZ393" s="54"/>
      <c r="BA393" s="54"/>
      <c r="BB393" s="54"/>
      <c r="BC393" s="54"/>
    </row>
    <row r="394" spans="1:55">
      <c r="A394" s="45"/>
      <c r="B394" s="45"/>
      <c r="C394" s="45"/>
      <c r="D394" s="45"/>
      <c r="E394" s="45"/>
      <c r="F394" s="45">
        <f>SUM(F392:F393)</f>
        <v>73.88</v>
      </c>
      <c r="G394" s="45"/>
      <c r="H394" s="45">
        <f>SUM(H392:H393)</f>
        <v>79.789999999999992</v>
      </c>
      <c r="I394" s="45"/>
      <c r="J394" s="45">
        <f>SUM(J392:J393)</f>
        <v>83.25</v>
      </c>
      <c r="K394" s="45"/>
      <c r="L394" s="45"/>
      <c r="M394" s="45"/>
      <c r="N394" s="45"/>
      <c r="O394" s="45"/>
      <c r="P394" s="54"/>
      <c r="Q394" s="54"/>
      <c r="R394" s="54"/>
      <c r="S394" s="54"/>
      <c r="T394" s="54"/>
      <c r="U394" s="54"/>
      <c r="V394" s="54"/>
      <c r="W394" s="54"/>
      <c r="X394" s="54"/>
      <c r="Y394" s="54"/>
      <c r="Z394" s="54"/>
      <c r="AA394" s="54"/>
      <c r="AB394" s="45"/>
      <c r="AC394" s="45"/>
      <c r="AD394" s="45"/>
      <c r="AE394" s="45"/>
      <c r="AF394" s="45"/>
      <c r="AG394" s="45"/>
      <c r="AH394" s="45"/>
      <c r="AI394" s="45"/>
      <c r="AJ394" s="45"/>
      <c r="AK394" s="45"/>
      <c r="AL394" s="45"/>
      <c r="AM394" s="45"/>
      <c r="AN394" s="45"/>
      <c r="AO394" s="45"/>
      <c r="AP394" s="45"/>
      <c r="AQ394" s="45"/>
      <c r="AR394" s="45"/>
      <c r="AS394" s="45"/>
      <c r="AT394" s="45"/>
      <c r="AU394" s="45"/>
      <c r="AV394" s="45"/>
      <c r="AW394" s="45"/>
      <c r="AX394" s="54"/>
      <c r="AY394" s="54"/>
      <c r="AZ394" s="54"/>
      <c r="BA394" s="54"/>
      <c r="BB394" s="54"/>
      <c r="BC394" s="54"/>
    </row>
    <row r="395" spans="1:55">
      <c r="A395" s="45"/>
      <c r="B395" s="45"/>
      <c r="C395" s="45"/>
      <c r="D395" s="45"/>
      <c r="E395" s="45"/>
      <c r="F395" s="45"/>
      <c r="G395" s="45"/>
      <c r="H395" s="45"/>
      <c r="I395" s="45"/>
      <c r="J395" s="2932"/>
      <c r="K395" s="45"/>
      <c r="L395" s="45"/>
      <c r="M395" s="45"/>
      <c r="N395" s="45"/>
      <c r="O395" s="45"/>
      <c r="P395" s="54"/>
      <c r="Q395" s="54"/>
      <c r="R395" s="54"/>
      <c r="S395" s="54"/>
      <c r="T395" s="54"/>
      <c r="U395" s="54"/>
      <c r="V395" s="54"/>
      <c r="W395" s="54"/>
      <c r="X395" s="54"/>
      <c r="Y395" s="54"/>
      <c r="Z395" s="54"/>
      <c r="AA395" s="54"/>
      <c r="AB395" s="45"/>
      <c r="AC395" s="45"/>
      <c r="AD395" s="45"/>
      <c r="AE395" s="45"/>
      <c r="AF395" s="45"/>
      <c r="AG395" s="45"/>
      <c r="AH395" s="45"/>
      <c r="AI395" s="45"/>
      <c r="AJ395" s="45"/>
      <c r="AK395" s="45"/>
      <c r="AL395" s="45"/>
      <c r="AM395" s="45"/>
      <c r="AN395" s="45"/>
      <c r="AO395" s="45"/>
      <c r="AP395" s="45"/>
      <c r="AQ395" s="45"/>
      <c r="AR395" s="45"/>
      <c r="AS395" s="45"/>
      <c r="AT395" s="45"/>
      <c r="AU395" s="45"/>
      <c r="AV395" s="45"/>
      <c r="AW395" s="45"/>
      <c r="AX395" s="54"/>
      <c r="AY395" s="54"/>
      <c r="AZ395" s="54"/>
      <c r="BA395" s="54"/>
      <c r="BB395" s="54"/>
      <c r="BC395" s="54"/>
    </row>
    <row r="396" spans="1:55">
      <c r="A396" s="45"/>
      <c r="B396" s="45"/>
      <c r="C396" s="45"/>
      <c r="D396" s="45"/>
      <c r="E396" s="45"/>
      <c r="F396" s="45"/>
      <c r="G396" s="45"/>
      <c r="H396" s="45"/>
      <c r="I396" s="45"/>
      <c r="J396" s="45"/>
      <c r="K396" s="45"/>
      <c r="L396" s="45"/>
      <c r="M396" s="45"/>
      <c r="N396" s="45"/>
      <c r="O396" s="45"/>
      <c r="P396" s="54"/>
      <c r="Q396" s="54"/>
      <c r="R396" s="54"/>
      <c r="S396" s="54"/>
      <c r="T396" s="54"/>
      <c r="U396" s="54"/>
      <c r="V396" s="54"/>
      <c r="W396" s="54"/>
      <c r="X396" s="54"/>
      <c r="Y396" s="54"/>
      <c r="Z396" s="54"/>
      <c r="AA396" s="54"/>
      <c r="AB396" s="45"/>
      <c r="AC396" s="45"/>
      <c r="AD396" s="45"/>
      <c r="AE396" s="45"/>
      <c r="AF396" s="45"/>
      <c r="AG396" s="45"/>
      <c r="AH396" s="45"/>
      <c r="AI396" s="45"/>
      <c r="AJ396" s="45"/>
      <c r="AK396" s="45"/>
      <c r="AL396" s="45"/>
      <c r="AM396" s="45"/>
      <c r="AN396" s="45"/>
      <c r="AO396" s="45"/>
      <c r="AP396" s="45"/>
      <c r="AQ396" s="45"/>
      <c r="AR396" s="45"/>
      <c r="AS396" s="45"/>
      <c r="AT396" s="45"/>
      <c r="AU396" s="45"/>
      <c r="AV396" s="45"/>
      <c r="AW396" s="45"/>
      <c r="AX396" s="54"/>
      <c r="AY396" s="54"/>
      <c r="AZ396" s="54"/>
      <c r="BA396" s="54"/>
      <c r="BB396" s="54"/>
      <c r="BC396" s="54"/>
    </row>
    <row r="397" spans="1:55">
      <c r="A397" s="45"/>
      <c r="B397" s="45"/>
      <c r="C397" s="45"/>
      <c r="D397" s="45"/>
      <c r="E397" s="45"/>
      <c r="F397" s="45"/>
      <c r="G397" s="45"/>
      <c r="H397" s="45"/>
      <c r="I397" s="45"/>
      <c r="J397" s="1636"/>
      <c r="K397" s="45"/>
      <c r="L397" s="1636"/>
      <c r="M397" s="45"/>
      <c r="N397" s="45"/>
      <c r="O397" s="45"/>
      <c r="P397" s="54"/>
      <c r="Q397" s="54"/>
      <c r="R397" s="54"/>
      <c r="S397" s="54"/>
      <c r="T397" s="54"/>
      <c r="U397" s="54"/>
      <c r="V397" s="54"/>
      <c r="W397" s="54"/>
      <c r="X397" s="54"/>
      <c r="Y397" s="54"/>
      <c r="Z397" s="54"/>
      <c r="AA397" s="54"/>
      <c r="AB397" s="45"/>
      <c r="AC397" s="45"/>
      <c r="AD397" s="45"/>
      <c r="AE397" s="45"/>
      <c r="AF397" s="45"/>
      <c r="AG397" s="45"/>
      <c r="AH397" s="45"/>
      <c r="AI397" s="45"/>
      <c r="AJ397" s="45"/>
      <c r="AK397" s="45"/>
      <c r="AL397" s="45"/>
      <c r="AM397" s="45"/>
      <c r="AN397" s="45"/>
      <c r="AO397" s="45"/>
      <c r="AP397" s="45"/>
      <c r="AQ397" s="45"/>
      <c r="AR397" s="45"/>
      <c r="AS397" s="45"/>
      <c r="AT397" s="45"/>
      <c r="AU397" s="45"/>
      <c r="AV397" s="45"/>
      <c r="AW397" s="45"/>
      <c r="AX397" s="54"/>
      <c r="AY397" s="54"/>
      <c r="AZ397" s="54"/>
      <c r="BA397" s="54"/>
      <c r="BB397" s="54"/>
      <c r="BC397" s="54"/>
    </row>
    <row r="398" spans="1:55">
      <c r="A398" s="45"/>
      <c r="B398" s="45"/>
      <c r="C398" s="45"/>
      <c r="D398" s="45"/>
      <c r="E398" s="45"/>
      <c r="F398" s="45"/>
      <c r="G398" s="45"/>
      <c r="H398" s="2943"/>
      <c r="I398" s="45"/>
      <c r="J398" s="2943"/>
      <c r="K398" s="45"/>
      <c r="L398" s="2943"/>
      <c r="M398" s="45"/>
      <c r="N398" s="45"/>
      <c r="O398" s="45"/>
      <c r="P398" s="54"/>
      <c r="Q398" s="54"/>
      <c r="R398" s="54"/>
      <c r="S398" s="54"/>
      <c r="T398" s="54"/>
      <c r="U398" s="54"/>
      <c r="V398" s="54"/>
      <c r="W398" s="54"/>
      <c r="X398" s="54"/>
      <c r="Y398" s="54"/>
      <c r="Z398" s="54"/>
      <c r="AA398" s="54"/>
      <c r="AB398" s="45"/>
      <c r="AC398" s="45"/>
      <c r="AD398" s="45"/>
      <c r="AE398" s="45"/>
      <c r="AF398" s="45"/>
      <c r="AG398" s="45"/>
      <c r="AH398" s="45"/>
      <c r="AI398" s="45"/>
      <c r="AJ398" s="45"/>
      <c r="AK398" s="45"/>
      <c r="AL398" s="45"/>
      <c r="AM398" s="45"/>
      <c r="AN398" s="45"/>
      <c r="AO398" s="45"/>
      <c r="AP398" s="45"/>
      <c r="AQ398" s="45"/>
      <c r="AR398" s="45"/>
      <c r="AS398" s="45"/>
      <c r="AT398" s="45"/>
      <c r="AU398" s="45"/>
      <c r="AV398" s="45"/>
      <c r="AW398" s="45"/>
      <c r="AX398" s="54"/>
      <c r="AY398" s="54"/>
      <c r="AZ398" s="54"/>
      <c r="BA398" s="54"/>
      <c r="BB398" s="54"/>
      <c r="BC398" s="54"/>
    </row>
    <row r="399" spans="1:55">
      <c r="A399" s="45"/>
      <c r="B399" s="45"/>
      <c r="C399" s="45"/>
      <c r="D399" s="45"/>
      <c r="E399" s="45"/>
      <c r="F399" s="45"/>
      <c r="G399" s="45"/>
      <c r="H399" s="45"/>
      <c r="I399" s="45"/>
      <c r="J399" s="45"/>
      <c r="K399" s="45"/>
      <c r="L399" s="45"/>
      <c r="M399" s="45"/>
      <c r="N399" s="45"/>
      <c r="O399" s="45"/>
      <c r="P399" s="54"/>
      <c r="Q399" s="54"/>
      <c r="R399" s="54"/>
      <c r="S399" s="54"/>
      <c r="T399" s="54"/>
      <c r="U399" s="54"/>
      <c r="V399" s="54"/>
      <c r="W399" s="54"/>
      <c r="X399" s="54"/>
      <c r="Y399" s="54"/>
      <c r="Z399" s="54"/>
      <c r="AA399" s="54"/>
      <c r="AB399" s="45"/>
      <c r="AC399" s="45"/>
      <c r="AD399" s="45"/>
      <c r="AE399" s="45"/>
      <c r="AF399" s="45"/>
      <c r="AG399" s="45"/>
      <c r="AH399" s="45"/>
      <c r="AI399" s="45"/>
      <c r="AJ399" s="45"/>
      <c r="AK399" s="45"/>
      <c r="AL399" s="45"/>
      <c r="AM399" s="45"/>
      <c r="AN399" s="45"/>
      <c r="AO399" s="45"/>
      <c r="AP399" s="45"/>
      <c r="AQ399" s="45"/>
      <c r="AR399" s="45"/>
      <c r="AS399" s="45"/>
      <c r="AT399" s="45"/>
      <c r="AU399" s="45"/>
      <c r="AV399" s="45"/>
      <c r="AW399" s="45"/>
      <c r="AX399" s="54"/>
      <c r="AY399" s="54"/>
      <c r="AZ399" s="54"/>
      <c r="BA399" s="54"/>
      <c r="BB399" s="54"/>
      <c r="BC399" s="54"/>
    </row>
    <row r="400" spans="1:55">
      <c r="A400" s="45"/>
      <c r="B400" s="2301"/>
      <c r="C400" s="2551" t="s">
        <v>1423</v>
      </c>
      <c r="D400" s="2679"/>
      <c r="E400" s="2679"/>
      <c r="F400" s="2679"/>
      <c r="G400" s="2679"/>
      <c r="H400" s="2679"/>
      <c r="I400" s="2679"/>
      <c r="J400" s="2679"/>
      <c r="K400" s="2679"/>
      <c r="L400" s="2679"/>
      <c r="M400" s="2679"/>
      <c r="N400" s="2680"/>
      <c r="O400" s="54"/>
      <c r="P400" s="54"/>
      <c r="Q400" s="54"/>
      <c r="R400" s="54"/>
      <c r="S400" s="187"/>
      <c r="T400" s="470" t="s">
        <v>1423</v>
      </c>
      <c r="U400" s="471"/>
      <c r="V400" s="471"/>
      <c r="W400" s="471"/>
      <c r="X400" s="471"/>
      <c r="Y400" s="471"/>
      <c r="Z400" s="471"/>
      <c r="AA400" s="471"/>
      <c r="AB400" s="471"/>
      <c r="AC400" s="471"/>
      <c r="AD400" s="471"/>
      <c r="AE400" s="472"/>
      <c r="AF400" s="45"/>
      <c r="AG400" s="45"/>
      <c r="AH400" s="45"/>
      <c r="AI400" s="45"/>
      <c r="AJ400" s="187"/>
      <c r="AK400" s="470" t="s">
        <v>1423</v>
      </c>
      <c r="AL400" s="471"/>
      <c r="AM400" s="471"/>
      <c r="AN400" s="471"/>
      <c r="AO400" s="471"/>
      <c r="AP400" s="471"/>
      <c r="AQ400" s="471"/>
      <c r="AR400" s="471"/>
      <c r="AS400" s="471"/>
      <c r="AT400" s="471"/>
      <c r="AU400" s="471"/>
      <c r="AV400" s="472"/>
      <c r="AW400" s="54"/>
      <c r="AX400" s="54"/>
      <c r="AY400" s="54"/>
      <c r="AZ400" s="54"/>
      <c r="BA400" s="54"/>
      <c r="BB400" s="54"/>
      <c r="BC400" s="54"/>
    </row>
    <row r="401" spans="1:55">
      <c r="A401" s="45"/>
      <c r="B401" s="1575"/>
      <c r="C401" s="4207" t="s">
        <v>1141</v>
      </c>
      <c r="D401" s="4207"/>
      <c r="E401" s="4207"/>
      <c r="F401" s="4207"/>
      <c r="G401" s="4207"/>
      <c r="H401" s="4207"/>
      <c r="I401" s="4207"/>
      <c r="J401" s="4207"/>
      <c r="K401" s="4207"/>
      <c r="L401" s="4207"/>
      <c r="M401" s="4207"/>
      <c r="N401" s="2405"/>
      <c r="O401" s="54"/>
      <c r="P401" s="54"/>
      <c r="Q401" s="54"/>
      <c r="R401" s="54"/>
      <c r="S401" s="189"/>
      <c r="T401" s="4250" t="s">
        <v>1424</v>
      </c>
      <c r="U401" s="4250"/>
      <c r="V401" s="4250"/>
      <c r="W401" s="4250"/>
      <c r="X401" s="4250"/>
      <c r="Y401" s="4250"/>
      <c r="Z401" s="4250"/>
      <c r="AA401" s="4250"/>
      <c r="AB401" s="4250"/>
      <c r="AC401" s="4250"/>
      <c r="AD401" s="4250"/>
      <c r="AE401" s="199"/>
      <c r="AF401" s="45"/>
      <c r="AG401" s="45"/>
      <c r="AH401" s="45"/>
      <c r="AI401" s="45"/>
      <c r="AJ401" s="189"/>
      <c r="AK401" s="4250" t="s">
        <v>1141</v>
      </c>
      <c r="AL401" s="4250"/>
      <c r="AM401" s="4250"/>
      <c r="AN401" s="4250"/>
      <c r="AO401" s="4250"/>
      <c r="AP401" s="4250"/>
      <c r="AQ401" s="4250"/>
      <c r="AR401" s="4250"/>
      <c r="AS401" s="4250"/>
      <c r="AT401" s="4250"/>
      <c r="AU401" s="4250"/>
      <c r="AV401" s="199"/>
      <c r="AW401" s="54"/>
      <c r="AX401" s="54"/>
      <c r="AY401" s="54"/>
      <c r="AZ401" s="54"/>
      <c r="BA401" s="54"/>
      <c r="BB401" s="54"/>
      <c r="BC401" s="54"/>
    </row>
    <row r="402" spans="1:55" ht="15.6">
      <c r="A402" s="45"/>
      <c r="B402" s="1575"/>
      <c r="C402" s="2309" t="str">
        <f>"Country: " &amp;UPPER(Country)</f>
        <v>Country: BELGIUM</v>
      </c>
      <c r="D402" s="2311"/>
      <c r="E402" s="2311"/>
      <c r="F402" s="2681"/>
      <c r="G402" s="2311"/>
      <c r="H402" s="2681"/>
      <c r="I402" s="2646"/>
      <c r="J402" s="2681"/>
      <c r="K402" s="2979"/>
      <c r="L402" s="2681"/>
      <c r="M402" s="2979"/>
      <c r="N402" s="2405"/>
      <c r="O402" s="54"/>
      <c r="P402" s="54"/>
      <c r="Q402" s="54"/>
      <c r="R402" s="54"/>
      <c r="S402" s="189"/>
      <c r="T402" s="63" t="str">
        <f>"Country: " &amp;UPPER(Country)</f>
        <v>Country: BELGIUM</v>
      </c>
      <c r="U402" s="65"/>
      <c r="V402" s="65"/>
      <c r="W402" s="1915" t="s">
        <v>724</v>
      </c>
      <c r="X402" s="65"/>
      <c r="Y402" s="65"/>
      <c r="Z402" s="65"/>
      <c r="AA402" s="65"/>
      <c r="AB402" s="65"/>
      <c r="AC402" s="65"/>
      <c r="AD402" s="65"/>
      <c r="AE402" s="195"/>
      <c r="AF402" s="45"/>
      <c r="AG402" s="45"/>
      <c r="AH402" s="45"/>
      <c r="AI402" s="45"/>
      <c r="AJ402" s="189"/>
      <c r="AK402" s="63" t="str">
        <f>"Country: " &amp;UPPER(Country)</f>
        <v>Country: BELGIUM</v>
      </c>
      <c r="AL402" s="65"/>
      <c r="AM402" s="65"/>
      <c r="AN402" s="65"/>
      <c r="AO402" s="65"/>
      <c r="AP402" s="65"/>
      <c r="AQ402" s="65"/>
      <c r="AR402" s="65"/>
      <c r="AS402" s="65"/>
      <c r="AT402" s="65"/>
      <c r="AU402" s="65"/>
      <c r="AV402" s="195"/>
      <c r="AW402" s="54"/>
      <c r="AX402" s="54"/>
      <c r="AY402" s="54"/>
      <c r="AZ402" s="54"/>
      <c r="BA402" s="54"/>
      <c r="BB402" s="54"/>
      <c r="BC402" s="54"/>
    </row>
    <row r="403" spans="1:55" ht="15.6">
      <c r="A403" s="45"/>
      <c r="B403" s="1575"/>
      <c r="C403" s="2309" t="str">
        <f>"Currency unit: " &amp; Currency</f>
        <v>Currency unit: bn EUR</v>
      </c>
      <c r="D403" s="2311"/>
      <c r="E403" s="2311"/>
      <c r="F403" s="2960"/>
      <c r="G403" s="2961"/>
      <c r="H403" s="2960"/>
      <c r="I403" s="2961"/>
      <c r="J403" s="2960"/>
      <c r="K403" s="2398"/>
      <c r="L403" s="2960"/>
      <c r="M403" s="2398"/>
      <c r="N403" s="1574"/>
      <c r="O403" s="54"/>
      <c r="P403" s="54"/>
      <c r="Q403" s="54"/>
      <c r="R403" s="54"/>
      <c r="S403" s="189"/>
      <c r="T403" s="63" t="str">
        <f>"Currency unit: " &amp; Currency</f>
        <v>Currency unit: bn EUR</v>
      </c>
      <c r="U403" s="65"/>
      <c r="V403" s="65"/>
      <c r="W403" s="1915" t="str">
        <f>$T$4</f>
        <v>SF2018 - final storage FRI</v>
      </c>
      <c r="X403" s="65"/>
      <c r="Y403" s="1"/>
      <c r="Z403" s="65"/>
      <c r="AA403" s="1"/>
      <c r="AB403" s="1"/>
      <c r="AC403" s="1"/>
      <c r="AD403" s="1"/>
      <c r="AE403" s="90"/>
      <c r="AF403" s="45"/>
      <c r="AG403" s="45"/>
      <c r="AH403" s="45"/>
      <c r="AI403" s="45"/>
      <c r="AJ403" s="189"/>
      <c r="AK403" s="63" t="str">
        <f>"Currency unit: " &amp; Currency</f>
        <v>Currency unit: bn EUR</v>
      </c>
      <c r="AL403" s="65"/>
      <c r="AM403" s="65"/>
      <c r="AN403" s="1822"/>
      <c r="AO403" s="65"/>
      <c r="AP403" s="1"/>
      <c r="AQ403" s="65"/>
      <c r="AR403" s="1"/>
      <c r="AS403" s="1"/>
      <c r="AT403" s="1"/>
      <c r="AU403" s="1"/>
      <c r="AV403" s="90"/>
      <c r="AW403" s="54"/>
      <c r="AX403" s="54"/>
      <c r="AY403" s="54"/>
      <c r="AZ403" s="54"/>
      <c r="BA403" s="54"/>
      <c r="BB403" s="54"/>
      <c r="BC403" s="54"/>
    </row>
    <row r="404" spans="1:55" ht="13.8" thickBot="1">
      <c r="A404" s="45"/>
      <c r="B404" s="1575"/>
      <c r="C404" s="2315" t="s">
        <v>1641</v>
      </c>
      <c r="D404" s="2662"/>
      <c r="E404" s="2311"/>
      <c r="F404" s="2960"/>
      <c r="G404" s="2960"/>
      <c r="H404" s="2960"/>
      <c r="I404" s="2960"/>
      <c r="J404" s="2961"/>
      <c r="K404" s="2975"/>
      <c r="L404" s="4159">
        <f ca="1">NOW()</f>
        <v>43213.646692361108</v>
      </c>
      <c r="M404" s="4159"/>
      <c r="N404" s="2552"/>
      <c r="O404" s="54"/>
      <c r="P404" s="54"/>
      <c r="Q404" s="54"/>
      <c r="R404" s="54"/>
      <c r="S404" s="189"/>
      <c r="T404" s="69" t="s">
        <v>1641</v>
      </c>
      <c r="V404" s="65"/>
      <c r="W404" s="65"/>
      <c r="X404" s="65"/>
      <c r="Y404" s="65"/>
      <c r="Z404" s="65"/>
      <c r="AA404" s="65"/>
      <c r="AB404" s="1"/>
      <c r="AC404" s="4160">
        <f ca="1">NOW()</f>
        <v>43213.646692361108</v>
      </c>
      <c r="AD404" s="4160"/>
      <c r="AE404" s="338"/>
      <c r="AF404" s="45"/>
      <c r="AG404" s="45"/>
      <c r="AH404" s="45"/>
      <c r="AI404" s="45"/>
      <c r="AJ404" s="189"/>
      <c r="AK404" s="69" t="s">
        <v>1641</v>
      </c>
      <c r="AM404" s="65"/>
      <c r="AN404" s="65"/>
      <c r="AO404" s="65"/>
      <c r="AP404" s="65"/>
      <c r="AQ404" s="65"/>
      <c r="AR404" s="65"/>
      <c r="AS404" s="1"/>
      <c r="AT404" s="4160">
        <f ca="1">NOW()</f>
        <v>43213.646692361108</v>
      </c>
      <c r="AU404" s="4160"/>
      <c r="AV404" s="338"/>
      <c r="AW404" s="54"/>
      <c r="AX404" s="54"/>
      <c r="AY404" s="54"/>
      <c r="AZ404" s="54"/>
      <c r="BA404" s="54"/>
      <c r="BB404" s="54"/>
      <c r="BC404" s="54"/>
    </row>
    <row r="405" spans="1:55">
      <c r="A405" s="45"/>
      <c r="B405" s="1575"/>
      <c r="C405" s="2317"/>
      <c r="D405" s="2318"/>
      <c r="E405" s="2682" t="s">
        <v>945</v>
      </c>
      <c r="F405" s="4173">
        <f>E16</f>
        <v>2016</v>
      </c>
      <c r="G405" s="4174"/>
      <c r="H405" s="4244">
        <f>F405+1</f>
        <v>2017</v>
      </c>
      <c r="I405" s="4245"/>
      <c r="J405" s="4255">
        <f>H405+1</f>
        <v>2018</v>
      </c>
      <c r="K405" s="4245"/>
      <c r="L405" s="4244">
        <f>J405+1</f>
        <v>2019</v>
      </c>
      <c r="M405" s="4251"/>
      <c r="N405" s="2555"/>
      <c r="O405" s="54"/>
      <c r="P405" s="54"/>
      <c r="Q405" s="54"/>
      <c r="R405" s="54"/>
      <c r="S405" s="189"/>
      <c r="T405" s="190"/>
      <c r="U405" s="73"/>
      <c r="V405" s="473" t="s">
        <v>945</v>
      </c>
      <c r="W405" s="4175">
        <f>Last_forecast_year - 3</f>
        <v>2016</v>
      </c>
      <c r="X405" s="4176"/>
      <c r="Y405" s="4252">
        <f>W405+1</f>
        <v>2017</v>
      </c>
      <c r="Z405" s="4253"/>
      <c r="AA405" s="4254">
        <f>Y405+1</f>
        <v>2018</v>
      </c>
      <c r="AB405" s="4253"/>
      <c r="AC405" s="4252">
        <f>AA405+1</f>
        <v>2019</v>
      </c>
      <c r="AD405" s="4256"/>
      <c r="AE405" s="340"/>
      <c r="AF405" s="45"/>
      <c r="AG405" s="45"/>
      <c r="AH405" s="45"/>
      <c r="AI405" s="45"/>
      <c r="AJ405" s="189"/>
      <c r="AK405" s="190"/>
      <c r="AL405" s="73"/>
      <c r="AM405" s="473" t="s">
        <v>945</v>
      </c>
      <c r="AN405" s="4175">
        <f>AM16</f>
        <v>2016</v>
      </c>
      <c r="AO405" s="4176"/>
      <c r="AP405" s="4252">
        <f>AN405+1</f>
        <v>2017</v>
      </c>
      <c r="AQ405" s="4253"/>
      <c r="AR405" s="4254">
        <f>AP405+1</f>
        <v>2018</v>
      </c>
      <c r="AS405" s="4253"/>
      <c r="AT405" s="4252">
        <f>AR405+1</f>
        <v>2019</v>
      </c>
      <c r="AU405" s="4256"/>
      <c r="AV405" s="340"/>
      <c r="AW405" s="54"/>
      <c r="AX405" s="54"/>
      <c r="AY405" s="54"/>
      <c r="AZ405" s="54"/>
      <c r="BA405" s="54"/>
      <c r="BB405" s="54"/>
      <c r="BC405" s="54"/>
    </row>
    <row r="406" spans="1:55">
      <c r="A406" s="45"/>
      <c r="B406" s="1575"/>
      <c r="C406" s="2339"/>
      <c r="D406" s="2340"/>
      <c r="E406" s="2683" t="s">
        <v>927</v>
      </c>
      <c r="F406" s="2596" t="s">
        <v>1642</v>
      </c>
      <c r="G406" s="2597" t="s">
        <v>759</v>
      </c>
      <c r="H406" s="2596" t="s">
        <v>1642</v>
      </c>
      <c r="I406" s="2597" t="s">
        <v>759</v>
      </c>
      <c r="J406" s="2596" t="s">
        <v>1642</v>
      </c>
      <c r="K406" s="2597" t="s">
        <v>759</v>
      </c>
      <c r="L406" s="2596" t="s">
        <v>1642</v>
      </c>
      <c r="M406" s="2598" t="s">
        <v>759</v>
      </c>
      <c r="N406" s="2616"/>
      <c r="O406" s="54"/>
      <c r="P406" s="54"/>
      <c r="Q406" s="54"/>
      <c r="R406" s="54"/>
      <c r="S406" s="189"/>
      <c r="T406" s="2339"/>
      <c r="U406" s="115"/>
      <c r="V406" s="474" t="s">
        <v>927</v>
      </c>
      <c r="W406" s="397" t="s">
        <v>1642</v>
      </c>
      <c r="X406" s="398" t="s">
        <v>759</v>
      </c>
      <c r="Y406" s="397" t="s">
        <v>1642</v>
      </c>
      <c r="Z406" s="398" t="s">
        <v>759</v>
      </c>
      <c r="AA406" s="397" t="s">
        <v>1642</v>
      </c>
      <c r="AB406" s="398" t="s">
        <v>759</v>
      </c>
      <c r="AC406" s="397" t="s">
        <v>1642</v>
      </c>
      <c r="AD406" s="399" t="s">
        <v>759</v>
      </c>
      <c r="AE406" s="400"/>
      <c r="AF406" s="45"/>
      <c r="AG406" s="45"/>
      <c r="AH406" s="45"/>
      <c r="AI406" s="45"/>
      <c r="AJ406" s="189"/>
      <c r="AK406" s="2339"/>
      <c r="AL406" s="115"/>
      <c r="AM406" s="474" t="s">
        <v>927</v>
      </c>
      <c r="AN406" s="397" t="s">
        <v>1642</v>
      </c>
      <c r="AO406" s="398" t="s">
        <v>759</v>
      </c>
      <c r="AP406" s="397" t="s">
        <v>1642</v>
      </c>
      <c r="AQ406" s="398" t="s">
        <v>759</v>
      </c>
      <c r="AR406" s="397" t="s">
        <v>1642</v>
      </c>
      <c r="AS406" s="398" t="s">
        <v>759</v>
      </c>
      <c r="AT406" s="397" t="s">
        <v>1642</v>
      </c>
      <c r="AU406" s="399" t="s">
        <v>759</v>
      </c>
      <c r="AV406" s="400"/>
      <c r="AW406" s="54"/>
      <c r="AX406" s="54"/>
      <c r="AY406" s="54"/>
      <c r="AZ406" s="54"/>
      <c r="BA406" s="54"/>
      <c r="BB406" s="54"/>
      <c r="BC406" s="54"/>
    </row>
    <row r="407" spans="1:55">
      <c r="A407" s="45"/>
      <c r="B407" s="1575"/>
      <c r="C407" s="1576" t="s">
        <v>917</v>
      </c>
      <c r="D407" s="2311"/>
      <c r="E407" s="2600" t="s">
        <v>918</v>
      </c>
      <c r="F407" s="2646">
        <f ca="1">Transfer!D213</f>
        <v>55.320900000000002</v>
      </c>
      <c r="G407" s="2403">
        <f ca="1">100*((Transfer!D213/Transfer!C213)-1)</f>
        <v>4.6568910295823107</v>
      </c>
      <c r="H407" s="140">
        <f ca="1">Transfer!E213</f>
        <v>57.298099999999998</v>
      </c>
      <c r="I407" s="1930">
        <f ca="1">100*((Transfer!E213/Transfer!D213)-1)</f>
        <v>3.5740560981473379</v>
      </c>
      <c r="J407" s="2646">
        <f ca="1">Transfer!F213</f>
        <v>59.120098280130293</v>
      </c>
      <c r="K407" s="2403">
        <f ca="1">100*((Transfer!F213/Transfer!E213)-1)</f>
        <v>3.1798581107057577</v>
      </c>
      <c r="L407" s="2403">
        <f ca="1">Transfer!G213</f>
        <v>61.054472535494071</v>
      </c>
      <c r="M407" s="2404">
        <f ca="1">100*((Transfer!G213/Transfer!F213)-1)</f>
        <v>3.2719401889321764</v>
      </c>
      <c r="N407" s="2405"/>
      <c r="O407" s="54"/>
      <c r="P407" s="54"/>
      <c r="Q407" s="54"/>
      <c r="R407" s="54"/>
      <c r="S407" s="189"/>
      <c r="T407" s="1576" t="s">
        <v>917</v>
      </c>
      <c r="U407" s="65"/>
      <c r="V407" s="387" t="s">
        <v>918</v>
      </c>
      <c r="W407" s="1929">
        <f t="shared" ref="W407:AD426" ca="1" si="21">ROUND(F407,1)-ROUND(AN407,1)</f>
        <v>0</v>
      </c>
      <c r="X407" s="1930">
        <f t="shared" ca="1" si="21"/>
        <v>0</v>
      </c>
      <c r="Y407" s="1930">
        <f t="shared" ca="1" si="21"/>
        <v>0</v>
      </c>
      <c r="Z407" s="1930">
        <f t="shared" ca="1" si="21"/>
        <v>0</v>
      </c>
      <c r="AA407" s="1930">
        <f t="shared" ca="1" si="21"/>
        <v>-0.29999999999999716</v>
      </c>
      <c r="AB407" s="1930">
        <f t="shared" ca="1" si="21"/>
        <v>-0.5</v>
      </c>
      <c r="AC407" s="1930">
        <f t="shared" ca="1" si="21"/>
        <v>-0.39999999999999858</v>
      </c>
      <c r="AD407" s="250">
        <f t="shared" ca="1" si="21"/>
        <v>-0.30000000000000027</v>
      </c>
      <c r="AE407" s="195"/>
      <c r="AF407" s="45"/>
      <c r="AG407" s="45"/>
      <c r="AH407" s="45"/>
      <c r="AI407" s="45"/>
      <c r="AJ407" s="189"/>
      <c r="AK407" s="1576" t="s">
        <v>917</v>
      </c>
      <c r="AL407" s="65"/>
      <c r="AM407" s="387" t="s">
        <v>918</v>
      </c>
      <c r="AN407" s="140">
        <f>Transfer!AD213</f>
        <v>55.320900000000002</v>
      </c>
      <c r="AO407" s="194">
        <f>100*((Transfer!AD213/Transfer!AC213)-1)</f>
        <v>4.6568910295823107</v>
      </c>
      <c r="AP407" s="475">
        <f>Transfer!AE213</f>
        <v>57.298099999999998</v>
      </c>
      <c r="AQ407" s="194">
        <f>100*((Transfer!AE213/Transfer!AD213)-1)</f>
        <v>3.5740560981473379</v>
      </c>
      <c r="AR407" s="475">
        <f>Transfer!AF213</f>
        <v>59.405168245861148</v>
      </c>
      <c r="AS407" s="194">
        <f>100*((Transfer!AF213/Transfer!AE213)-1)</f>
        <v>3.6773789111002708</v>
      </c>
      <c r="AT407" s="194">
        <f>Transfer!AG213</f>
        <v>61.549839194341395</v>
      </c>
      <c r="AU407" s="366">
        <f>100*((Transfer!AG213/Transfer!AF213)-1)</f>
        <v>3.6102430340809066</v>
      </c>
      <c r="AV407" s="195"/>
      <c r="AW407" s="54"/>
      <c r="AX407" s="54"/>
      <c r="AY407" s="54"/>
      <c r="AZ407" s="54"/>
      <c r="BA407" s="1609" t="s">
        <v>1592</v>
      </c>
      <c r="BB407" s="1610"/>
      <c r="BC407" s="54"/>
    </row>
    <row r="408" spans="1:55">
      <c r="A408" s="45"/>
      <c r="B408" s="1575"/>
      <c r="C408" s="1576" t="s">
        <v>2095</v>
      </c>
      <c r="D408" s="2311"/>
      <c r="E408" s="2471" t="s">
        <v>134</v>
      </c>
      <c r="F408" s="2462">
        <f ca="1">Transfer!D214</f>
        <v>68.753399999999999</v>
      </c>
      <c r="G408" s="2406">
        <f ca="1">100*((Transfer!D214/Transfer!C214)-1)</f>
        <v>1.0504315926083363</v>
      </c>
      <c r="H408" s="140">
        <f ca="1">Transfer!E214</f>
        <v>73.776699999999991</v>
      </c>
      <c r="I408" s="246">
        <f ca="1">100*((Transfer!E214/Transfer!D214)-1)</f>
        <v>7.3062568542064721</v>
      </c>
      <c r="J408" s="2646">
        <f ca="1">Transfer!F214</f>
        <v>74.224751359659976</v>
      </c>
      <c r="K408" s="2406">
        <f ca="1">100*((Transfer!F214/Transfer!E214)-1)</f>
        <v>0.60730740146954787</v>
      </c>
      <c r="L408" s="2406">
        <f ca="1">Transfer!G214</f>
        <v>76.022804492324838</v>
      </c>
      <c r="M408" s="2647">
        <f ca="1">100*((Transfer!G214/Transfer!F214)-1)</f>
        <v>2.4224441304657285</v>
      </c>
      <c r="N408" s="2405"/>
      <c r="O408" s="54" t="s">
        <v>1999</v>
      </c>
      <c r="P408" s="54"/>
      <c r="Q408" s="54"/>
      <c r="R408" s="54"/>
      <c r="S408" s="189"/>
      <c r="T408" s="1576" t="s">
        <v>2095</v>
      </c>
      <c r="U408" s="65"/>
      <c r="V408" s="390" t="s">
        <v>134</v>
      </c>
      <c r="W408" s="249">
        <f t="shared" ca="1" si="21"/>
        <v>0</v>
      </c>
      <c r="X408" s="246">
        <f t="shared" ca="1" si="21"/>
        <v>0</v>
      </c>
      <c r="Y408" s="246">
        <f t="shared" ca="1" si="21"/>
        <v>0</v>
      </c>
      <c r="Z408" s="246">
        <f t="shared" ca="1" si="21"/>
        <v>0</v>
      </c>
      <c r="AA408" s="246">
        <f t="shared" ca="1" si="21"/>
        <v>0.60000000000000853</v>
      </c>
      <c r="AB408" s="246">
        <f t="shared" ca="1" si="21"/>
        <v>0.89999999999999991</v>
      </c>
      <c r="AC408" s="246">
        <f t="shared" ca="1" si="21"/>
        <v>1.0999999999999943</v>
      </c>
      <c r="AD408" s="250">
        <f t="shared" ca="1" si="21"/>
        <v>0.59999999999999987</v>
      </c>
      <c r="AE408" s="195"/>
      <c r="AF408" s="45"/>
      <c r="AG408" s="45"/>
      <c r="AH408" s="45"/>
      <c r="AI408" s="45"/>
      <c r="AJ408" s="189"/>
      <c r="AK408" s="1576" t="s">
        <v>2095</v>
      </c>
      <c r="AL408" s="65"/>
      <c r="AM408" s="390" t="s">
        <v>134</v>
      </c>
      <c r="AN408" s="144">
        <f>Transfer!AD214</f>
        <v>68.753399999999999</v>
      </c>
      <c r="AO408" s="196">
        <f>100*((Transfer!AD214/Transfer!AC214)-1)</f>
        <v>1.0504315926083363</v>
      </c>
      <c r="AP408" s="475">
        <f>Transfer!AE214</f>
        <v>73.776699999999991</v>
      </c>
      <c r="AQ408" s="196">
        <f>100*((Transfer!AE214/Transfer!AD214)-1)</f>
        <v>7.3062568542064721</v>
      </c>
      <c r="AR408" s="475">
        <f>Transfer!AF214</f>
        <v>73.56847128913499</v>
      </c>
      <c r="AS408" s="196">
        <f>100*((Transfer!AF214/Transfer!AE214)-1)</f>
        <v>-0.28224183362091093</v>
      </c>
      <c r="AT408" s="196">
        <f>Transfer!AG214</f>
        <v>74.890337974355532</v>
      </c>
      <c r="AU408" s="476">
        <f>100*((Transfer!AG214/Transfer!AF214)-1)</f>
        <v>1.7967842229933195</v>
      </c>
      <c r="AV408" s="195"/>
      <c r="AW408" s="54"/>
      <c r="AX408" s="54"/>
      <c r="AY408" s="54"/>
      <c r="AZ408" s="54"/>
      <c r="BA408" s="1611" t="s">
        <v>1593</v>
      </c>
      <c r="BB408" s="1612"/>
      <c r="BC408" s="54"/>
    </row>
    <row r="409" spans="1:55">
      <c r="A409" s="45"/>
      <c r="B409" s="1575"/>
      <c r="C409" s="2333" t="s">
        <v>28</v>
      </c>
      <c r="D409" s="2352"/>
      <c r="E409" s="2606"/>
      <c r="F409" s="2646">
        <f ca="1">Transfer!D192</f>
        <v>53.116099999999996</v>
      </c>
      <c r="G409" s="2406">
        <f ca="1">100*((Transfer!D192/Transfer!C192)-1)</f>
        <v>-0.84693241341203818</v>
      </c>
      <c r="H409" s="140">
        <f ca="1">Transfer!E192</f>
        <v>54.922047399999997</v>
      </c>
      <c r="I409" s="246">
        <f ca="1">100*((Transfer!E192/Transfer!D192)-1)</f>
        <v>3.400000000000003</v>
      </c>
      <c r="J409" s="2646">
        <f ca="1">Transfer!F192</f>
        <v>56.498310160379994</v>
      </c>
      <c r="K409" s="2406">
        <f ca="1">100*((Transfer!F192/Transfer!E192)-1)</f>
        <v>2.8699999999999948</v>
      </c>
      <c r="L409" s="2406">
        <f ca="1">Transfer!G192</f>
        <v>57.340134981769651</v>
      </c>
      <c r="M409" s="2647">
        <f ca="1">100*((Transfer!G192/Transfer!F192)-1)</f>
        <v>1.4899999999999913</v>
      </c>
      <c r="N409" s="2559"/>
      <c r="O409" s="54"/>
      <c r="P409" s="54"/>
      <c r="Q409" s="54"/>
      <c r="R409" s="54"/>
      <c r="S409" s="189"/>
      <c r="T409" s="2333" t="s">
        <v>28</v>
      </c>
      <c r="U409" s="102"/>
      <c r="V409" s="391"/>
      <c r="W409" s="249">
        <f t="shared" ca="1" si="21"/>
        <v>0</v>
      </c>
      <c r="X409" s="246">
        <f t="shared" ca="1" si="21"/>
        <v>0</v>
      </c>
      <c r="Y409" s="246">
        <f t="shared" ca="1" si="21"/>
        <v>0</v>
      </c>
      <c r="Z409" s="246">
        <f t="shared" ca="1" si="21"/>
        <v>0</v>
      </c>
      <c r="AA409" s="246">
        <f t="shared" ca="1" si="21"/>
        <v>0</v>
      </c>
      <c r="AB409" s="246">
        <f t="shared" ca="1" si="21"/>
        <v>0</v>
      </c>
      <c r="AC409" s="246">
        <f t="shared" ca="1" si="21"/>
        <v>0</v>
      </c>
      <c r="AD409" s="250">
        <f t="shared" ca="1" si="21"/>
        <v>0</v>
      </c>
      <c r="AE409" s="477"/>
      <c r="AF409" s="45"/>
      <c r="AG409" s="45"/>
      <c r="AH409" s="45"/>
      <c r="AI409" s="45"/>
      <c r="AJ409" s="189"/>
      <c r="AK409" s="2333" t="s">
        <v>28</v>
      </c>
      <c r="AL409" s="102"/>
      <c r="AM409" s="391"/>
      <c r="AN409" s="140">
        <f>Transfer!AD192</f>
        <v>53.116099999999996</v>
      </c>
      <c r="AO409" s="246">
        <f>100*((Transfer!AD192/Transfer!AC192)-1)</f>
        <v>-0.84693241341203818</v>
      </c>
      <c r="AP409" s="140">
        <f>Transfer!AE192</f>
        <v>54.922047399999997</v>
      </c>
      <c r="AQ409" s="246">
        <f>100*((Transfer!AE192/Transfer!AD192)-1)</f>
        <v>3.400000000000003</v>
      </c>
      <c r="AR409" s="140">
        <f>Transfer!AF192</f>
        <v>56.498310160379994</v>
      </c>
      <c r="AS409" s="246">
        <f>100*((Transfer!AF192/Transfer!AE192)-1)</f>
        <v>2.8699999999999948</v>
      </c>
      <c r="AT409" s="196">
        <f>Transfer!AG192</f>
        <v>57.340134981769651</v>
      </c>
      <c r="AU409" s="250">
        <f>100*((Transfer!AG192/Transfer!AF192)-1)</f>
        <v>1.4899999999999913</v>
      </c>
      <c r="AV409" s="477"/>
      <c r="AW409" s="54"/>
      <c r="AX409" s="54"/>
      <c r="AY409" s="54"/>
      <c r="AZ409" s="54"/>
      <c r="BA409" s="1611" t="s">
        <v>1594</v>
      </c>
      <c r="BB409" s="1612"/>
      <c r="BC409" s="54"/>
    </row>
    <row r="410" spans="1:55">
      <c r="A410" s="45"/>
      <c r="B410" s="1575"/>
      <c r="C410" s="2333" t="s">
        <v>29</v>
      </c>
      <c r="D410" s="2352"/>
      <c r="E410" s="2606"/>
      <c r="F410" s="2646">
        <f ca="1">Transfer!D207</f>
        <v>14.945499999999999</v>
      </c>
      <c r="G410" s="2406">
        <f ca="1">100*((Transfer!D207/Transfer!C207)-1)</f>
        <v>7.6912545665472898</v>
      </c>
      <c r="H410" s="140">
        <f ca="1">Transfer!E207</f>
        <v>17.882290749999996</v>
      </c>
      <c r="I410" s="246">
        <f ca="1">100*((Transfer!E207/Transfer!D207)-1)</f>
        <v>19.649999999999967</v>
      </c>
      <c r="J410" s="2646">
        <f ca="1">Transfer!F207</f>
        <v>17.077587666249997</v>
      </c>
      <c r="K410" s="246">
        <f ca="1">100*((Transfer!F207/Transfer!E207)-1)</f>
        <v>-4.4999999999999929</v>
      </c>
      <c r="L410" s="2406">
        <f ca="1">Transfer!G207</f>
        <v>18.016854987893744</v>
      </c>
      <c r="M410" s="2647">
        <f ca="1">100*((Transfer!G207/Transfer!F207)-1)</f>
        <v>5.4999999999999938</v>
      </c>
      <c r="N410" s="2559"/>
      <c r="O410" s="54"/>
      <c r="P410" s="54"/>
      <c r="Q410" s="54"/>
      <c r="R410" s="54"/>
      <c r="S410" s="189"/>
      <c r="T410" s="2333" t="s">
        <v>29</v>
      </c>
      <c r="U410" s="102"/>
      <c r="V410" s="391"/>
      <c r="W410" s="249">
        <f t="shared" ca="1" si="21"/>
        <v>0</v>
      </c>
      <c r="X410" s="246">
        <f t="shared" ca="1" si="21"/>
        <v>0</v>
      </c>
      <c r="Y410" s="246">
        <f t="shared" ca="1" si="21"/>
        <v>0</v>
      </c>
      <c r="Z410" s="246">
        <f t="shared" ca="1" si="21"/>
        <v>0</v>
      </c>
      <c r="AA410" s="246">
        <f t="shared" ca="1" si="21"/>
        <v>0.70000000000000284</v>
      </c>
      <c r="AB410" s="246">
        <f t="shared" ca="1" si="21"/>
        <v>3.6999999999999993</v>
      </c>
      <c r="AC410" s="246">
        <f t="shared" ca="1" si="21"/>
        <v>1.1000000000000014</v>
      </c>
      <c r="AD410" s="250">
        <f t="shared" ca="1" si="21"/>
        <v>2.7</v>
      </c>
      <c r="AE410" s="477"/>
      <c r="AF410" s="45"/>
      <c r="AG410" s="45"/>
      <c r="AH410" s="45"/>
      <c r="AI410" s="45"/>
      <c r="AJ410" s="189"/>
      <c r="AK410" s="2333" t="s">
        <v>29</v>
      </c>
      <c r="AL410" s="102"/>
      <c r="AM410" s="391"/>
      <c r="AN410" s="140">
        <f>Transfer!AD207</f>
        <v>14.945499999999999</v>
      </c>
      <c r="AO410" s="246">
        <f>100*((Transfer!AD207/Transfer!AC207)-1)</f>
        <v>7.6912545665472898</v>
      </c>
      <c r="AP410" s="140">
        <f>Transfer!AE207</f>
        <v>17.882290749999996</v>
      </c>
      <c r="AQ410" s="246">
        <f>100*((Transfer!AE207/Transfer!AD207)-1)</f>
        <v>19.649999999999967</v>
      </c>
      <c r="AR410" s="140">
        <f>Transfer!AF207</f>
        <v>16.421307595724997</v>
      </c>
      <c r="AS410" s="246">
        <f>100*((Transfer!AF207/Transfer!AE207)-1)</f>
        <v>-8.17</v>
      </c>
      <c r="AT410" s="196">
        <f>Transfer!AG207</f>
        <v>16.884388469924442</v>
      </c>
      <c r="AU410" s="250">
        <f>100*((Transfer!AG207/Transfer!AF207)-1)</f>
        <v>2.8200000000000003</v>
      </c>
      <c r="AV410" s="477"/>
      <c r="AW410" s="54"/>
      <c r="AX410" s="54"/>
      <c r="AY410" s="54"/>
      <c r="AZ410" s="54"/>
      <c r="BA410" s="1611" t="s">
        <v>188</v>
      </c>
      <c r="BB410" s="1612"/>
      <c r="BC410" s="54"/>
    </row>
    <row r="411" spans="1:55">
      <c r="A411" s="45"/>
      <c r="B411" s="1575"/>
      <c r="C411" s="2333" t="s">
        <v>2147</v>
      </c>
      <c r="D411" s="2352"/>
      <c r="E411" s="2606"/>
      <c r="F411" s="2646">
        <f ca="1">F408-(F409+F410)</f>
        <v>0.69180000000000064</v>
      </c>
      <c r="G411" s="2406"/>
      <c r="H411" s="2646">
        <f ca="1">H408-(H409+H410)</f>
        <v>0.97236184999999864</v>
      </c>
      <c r="I411" s="246">
        <f ca="1">((H411-F411)/F411)*100</f>
        <v>40.555341139057205</v>
      </c>
      <c r="J411" s="2646">
        <f ca="1">J408-(J409+J410)</f>
        <v>0.64885353302999249</v>
      </c>
      <c r="K411" s="246">
        <f ca="1">((J411-H411)/H411)*100</f>
        <v>-33.270362979584874</v>
      </c>
      <c r="L411" s="2646">
        <f ca="1">L408-(L409+L410)</f>
        <v>0.66581452266143515</v>
      </c>
      <c r="M411" s="321">
        <f ca="1">((L411-J411)/J411)*100</f>
        <v>2.6139935698953272</v>
      </c>
      <c r="N411" s="2559"/>
      <c r="O411" s="54"/>
      <c r="P411" s="54"/>
      <c r="Q411" s="54"/>
      <c r="R411" s="54"/>
      <c r="S411" s="189"/>
      <c r="T411" s="2333"/>
      <c r="U411" s="102"/>
      <c r="V411" s="391"/>
      <c r="W411" s="249"/>
      <c r="X411" s="246"/>
      <c r="Y411" s="246"/>
      <c r="Z411" s="246"/>
      <c r="AA411" s="246"/>
      <c r="AB411" s="246"/>
      <c r="AC411" s="246"/>
      <c r="AD411" s="250"/>
      <c r="AE411" s="477"/>
      <c r="AF411" s="45"/>
      <c r="AG411" s="45"/>
      <c r="AH411" s="45"/>
      <c r="AI411" s="45"/>
      <c r="AJ411" s="189"/>
      <c r="AK411" s="2333"/>
      <c r="AL411" s="102"/>
      <c r="AM411" s="391"/>
      <c r="AN411" s="140"/>
      <c r="AO411" s="246"/>
      <c r="AP411" s="140"/>
      <c r="AQ411" s="246"/>
      <c r="AR411" s="140"/>
      <c r="AS411" s="246"/>
      <c r="AT411" s="196"/>
      <c r="AU411" s="250"/>
      <c r="AV411" s="477"/>
      <c r="AW411" s="54"/>
      <c r="AX411" s="54"/>
      <c r="AY411" s="54"/>
      <c r="AZ411" s="54"/>
      <c r="BA411" s="1611"/>
      <c r="BB411" s="1612"/>
      <c r="BC411" s="54"/>
    </row>
    <row r="412" spans="1:55" s="218" customFormat="1">
      <c r="A412" s="54"/>
      <c r="B412" s="1902"/>
      <c r="C412" s="3304" t="s">
        <v>1357</v>
      </c>
      <c r="D412" s="2311"/>
      <c r="E412" s="2471"/>
      <c r="F412" s="2646">
        <f ca="1">F407+F408</f>
        <v>124.07429999999999</v>
      </c>
      <c r="G412" s="2406"/>
      <c r="H412" s="2646">
        <f ca="1">H407+H408</f>
        <v>131.07479999999998</v>
      </c>
      <c r="I412" s="246">
        <f ca="1">((H412-F412)/F412)*100</f>
        <v>5.6421837560235995</v>
      </c>
      <c r="J412" s="2646">
        <f ca="1">J407+J408</f>
        <v>133.34484963979025</v>
      </c>
      <c r="K412" s="246">
        <f ca="1">((J412-H412)/H412)*100</f>
        <v>1.731873433940218</v>
      </c>
      <c r="L412" s="2646">
        <f ca="1">L407+L408</f>
        <v>137.07727702781892</v>
      </c>
      <c r="M412" s="321">
        <f ca="1">((L412-J412)/J412)*100</f>
        <v>2.7990787781539539</v>
      </c>
      <c r="N412" s="2405"/>
      <c r="O412" s="54"/>
      <c r="P412" s="54"/>
      <c r="Q412" s="54"/>
      <c r="R412" s="54"/>
      <c r="S412" s="260"/>
      <c r="T412" s="1576"/>
      <c r="U412" s="49"/>
      <c r="V412" s="255"/>
      <c r="W412" s="249"/>
      <c r="X412" s="246"/>
      <c r="Y412" s="246"/>
      <c r="Z412" s="246"/>
      <c r="AA412" s="246"/>
      <c r="AB412" s="246"/>
      <c r="AC412" s="246"/>
      <c r="AD412" s="250"/>
      <c r="AE412" s="199"/>
      <c r="AF412" s="54"/>
      <c r="AG412" s="54"/>
      <c r="AH412" s="54"/>
      <c r="AI412" s="54"/>
      <c r="AJ412" s="260"/>
      <c r="AK412" s="1576"/>
      <c r="AL412" s="49"/>
      <c r="AM412" s="255"/>
      <c r="AN412" s="140"/>
      <c r="AO412" s="246"/>
      <c r="AP412" s="140"/>
      <c r="AQ412" s="246"/>
      <c r="AR412" s="140"/>
      <c r="AS412" s="246"/>
      <c r="AT412" s="196"/>
      <c r="AU412" s="250"/>
      <c r="AV412" s="199"/>
      <c r="AW412" s="54"/>
      <c r="AX412" s="54"/>
      <c r="AY412" s="54"/>
      <c r="AZ412" s="54"/>
      <c r="BA412" s="1902"/>
      <c r="BB412" s="1612"/>
      <c r="BC412" s="54"/>
    </row>
    <row r="413" spans="1:55">
      <c r="A413" s="45"/>
      <c r="B413" s="1575"/>
      <c r="C413" s="1576" t="s">
        <v>851</v>
      </c>
      <c r="D413" s="2311"/>
      <c r="E413" s="2471" t="s">
        <v>84</v>
      </c>
      <c r="F413" s="2646">
        <f ca="1">Transfer!D215</f>
        <v>67.528700000000001</v>
      </c>
      <c r="G413" s="2406">
        <f ca="1">100*((Transfer!D215/Transfer!C215)-1)</f>
        <v>-0.61182378533035653</v>
      </c>
      <c r="H413" s="140">
        <f ca="1">Transfer!E215</f>
        <v>69.342799999999997</v>
      </c>
      <c r="I413" s="246">
        <f ca="1">100*((Transfer!E215/Transfer!D215)-1)</f>
        <v>2.6864133324053352</v>
      </c>
      <c r="J413" s="2646">
        <f ca="1">Transfer!F215</f>
        <v>71.271879679999998</v>
      </c>
      <c r="K413" s="2406">
        <f ca="1">100*((Transfer!F215/Transfer!E215)-1)</f>
        <v>2.781946618827047</v>
      </c>
      <c r="L413" s="2406">
        <f ca="1">Transfer!G215</f>
        <v>73.410592586023995</v>
      </c>
      <c r="M413" s="2647">
        <f ca="1">100*((Transfer!G215/Transfer!F215)-1)</f>
        <v>3.0007808347787268</v>
      </c>
      <c r="N413" s="2405"/>
      <c r="O413" s="54"/>
      <c r="P413" s="54"/>
      <c r="Q413" s="54"/>
      <c r="R413" s="54"/>
      <c r="S413" s="189"/>
      <c r="T413" s="1576" t="s">
        <v>851</v>
      </c>
      <c r="U413" s="49"/>
      <c r="V413" s="255" t="s">
        <v>84</v>
      </c>
      <c r="W413" s="249">
        <f t="shared" ca="1" si="21"/>
        <v>0</v>
      </c>
      <c r="X413" s="246">
        <f t="shared" ca="1" si="21"/>
        <v>0</v>
      </c>
      <c r="Y413" s="246">
        <f t="shared" ca="1" si="21"/>
        <v>0</v>
      </c>
      <c r="Z413" s="246">
        <f t="shared" ca="1" si="21"/>
        <v>0</v>
      </c>
      <c r="AA413" s="246">
        <f t="shared" ca="1" si="21"/>
        <v>0</v>
      </c>
      <c r="AB413" s="246">
        <f t="shared" ca="1" si="21"/>
        <v>0</v>
      </c>
      <c r="AC413" s="246">
        <f t="shared" ca="1" si="21"/>
        <v>0</v>
      </c>
      <c r="AD413" s="250">
        <f t="shared" ca="1" si="21"/>
        <v>0</v>
      </c>
      <c r="AE413" s="195"/>
      <c r="AF413" s="45"/>
      <c r="AG413" s="45"/>
      <c r="AH413" s="45"/>
      <c r="AI413" s="45"/>
      <c r="AJ413" s="189"/>
      <c r="AK413" s="1576" t="s">
        <v>851</v>
      </c>
      <c r="AL413" s="49"/>
      <c r="AM413" s="255" t="s">
        <v>84</v>
      </c>
      <c r="AN413" s="140">
        <f>Transfer!AD215</f>
        <v>67.528700000000001</v>
      </c>
      <c r="AO413" s="246">
        <f>100*((Transfer!AD215/Transfer!AC215)-1)</f>
        <v>-0.61182378533035653</v>
      </c>
      <c r="AP413" s="140">
        <f>Transfer!AE215</f>
        <v>69.342799999999997</v>
      </c>
      <c r="AQ413" s="246">
        <f>100*((Transfer!AE215/Transfer!AD215)-1)</f>
        <v>2.6864133324053352</v>
      </c>
      <c r="AR413" s="140">
        <f>Transfer!AF215</f>
        <v>71.271879679999998</v>
      </c>
      <c r="AS413" s="196">
        <f>100*((Transfer!AF215/Transfer!AE215)-1)</f>
        <v>2.781946618827047</v>
      </c>
      <c r="AT413" s="196">
        <f>Transfer!AG215</f>
        <v>73.410592586023995</v>
      </c>
      <c r="AU413" s="476">
        <f>100*((Transfer!AG215/Transfer!AF215)-1)</f>
        <v>3.0007808347787268</v>
      </c>
      <c r="AV413" s="195"/>
      <c r="AW413" s="54"/>
      <c r="AX413" s="54"/>
      <c r="AY413" s="54"/>
      <c r="AZ413" s="54"/>
      <c r="BA413" s="1611" t="s">
        <v>1595</v>
      </c>
      <c r="BB413" s="1612"/>
      <c r="BC413" s="54"/>
    </row>
    <row r="414" spans="1:55">
      <c r="A414" s="45"/>
      <c r="B414" s="1575"/>
      <c r="C414" s="2333" t="s">
        <v>899</v>
      </c>
      <c r="D414" s="2352"/>
      <c r="E414" s="2606" t="s">
        <v>900</v>
      </c>
      <c r="F414" s="2646">
        <f ca="1">Transfer!D216</f>
        <v>58.002699999999997</v>
      </c>
      <c r="G414" s="2406">
        <f ca="1">100*((Transfer!D216/Transfer!C216)-1)</f>
        <v>-1.1867262471613849</v>
      </c>
      <c r="H414" s="140">
        <f ca="1">Transfer!E216</f>
        <v>59.502000000000002</v>
      </c>
      <c r="I414" s="246">
        <f ca="1">100*((Transfer!E216/Transfer!D216)-1)</f>
        <v>2.5848796693947129</v>
      </c>
      <c r="J414" s="2646">
        <f ca="1">Transfer!F216</f>
        <v>61.203757199999998</v>
      </c>
      <c r="K414" s="2406">
        <f ca="1">100*((Transfer!F216/Transfer!E216)-1)</f>
        <v>2.8599999999999959</v>
      </c>
      <c r="L414" s="2406">
        <f ca="1">Transfer!G216</f>
        <v>63.082712546039993</v>
      </c>
      <c r="M414" s="2647">
        <f ca="1">100*((Transfer!G216/Transfer!F216)-1)</f>
        <v>3.069999999999995</v>
      </c>
      <c r="N414" s="2559"/>
      <c r="O414" s="54"/>
      <c r="P414" s="54"/>
      <c r="Q414" s="54"/>
      <c r="R414" s="54"/>
      <c r="S414" s="189"/>
      <c r="T414" s="2333" t="s">
        <v>899</v>
      </c>
      <c r="U414" s="102"/>
      <c r="V414" s="391" t="s">
        <v>900</v>
      </c>
      <c r="W414" s="249">
        <f t="shared" ca="1" si="21"/>
        <v>0</v>
      </c>
      <c r="X414" s="246">
        <f t="shared" ca="1" si="21"/>
        <v>0</v>
      </c>
      <c r="Y414" s="246">
        <f t="shared" ca="1" si="21"/>
        <v>0</v>
      </c>
      <c r="Z414" s="246">
        <f t="shared" ca="1" si="21"/>
        <v>0</v>
      </c>
      <c r="AA414" s="246">
        <f t="shared" ca="1" si="21"/>
        <v>0</v>
      </c>
      <c r="AB414" s="246">
        <f t="shared" ca="1" si="21"/>
        <v>0</v>
      </c>
      <c r="AC414" s="246">
        <f t="shared" ca="1" si="21"/>
        <v>0</v>
      </c>
      <c r="AD414" s="250">
        <f t="shared" ca="1" si="21"/>
        <v>0</v>
      </c>
      <c r="AE414" s="477"/>
      <c r="AF414" s="45"/>
      <c r="AG414" s="45"/>
      <c r="AH414" s="45"/>
      <c r="AI414" s="45"/>
      <c r="AJ414" s="189"/>
      <c r="AK414" s="2333" t="s">
        <v>899</v>
      </c>
      <c r="AL414" s="102"/>
      <c r="AM414" s="391" t="s">
        <v>900</v>
      </c>
      <c r="AN414" s="140">
        <f>Transfer!AD216</f>
        <v>58.002699999999997</v>
      </c>
      <c r="AO414" s="246">
        <f>100*((Transfer!AD216/Transfer!AC216)-1)</f>
        <v>-1.1867262471613849</v>
      </c>
      <c r="AP414" s="140">
        <f>Transfer!AE216</f>
        <v>59.502000000000002</v>
      </c>
      <c r="AQ414" s="246">
        <f>100*((Transfer!AE216/Transfer!AD216)-1)</f>
        <v>2.5848796693947129</v>
      </c>
      <c r="AR414" s="140">
        <f>Transfer!AF216</f>
        <v>61.203757199999998</v>
      </c>
      <c r="AS414" s="246">
        <f>100*((Transfer!AF216/Transfer!AE216)-1)</f>
        <v>2.8599999999999959</v>
      </c>
      <c r="AT414" s="196">
        <f>Transfer!AG216</f>
        <v>63.082712546039993</v>
      </c>
      <c r="AU414" s="250">
        <f>100*((Transfer!AG216/Transfer!AF216)-1)</f>
        <v>3.069999999999995</v>
      </c>
      <c r="AV414" s="477"/>
      <c r="AW414" s="54"/>
      <c r="AX414" s="54"/>
      <c r="AY414" s="54"/>
      <c r="AZ414" s="54"/>
      <c r="BA414" s="1611" t="s">
        <v>1596</v>
      </c>
      <c r="BB414" s="1612"/>
      <c r="BC414" s="54"/>
    </row>
    <row r="415" spans="1:55" s="218" customFormat="1">
      <c r="A415" s="54"/>
      <c r="B415" s="1902"/>
      <c r="C415" s="3304" t="s">
        <v>1356</v>
      </c>
      <c r="D415" s="2311"/>
      <c r="E415" s="2471"/>
      <c r="F415" s="2646">
        <f ca="1">F412+F413</f>
        <v>191.60300000000001</v>
      </c>
      <c r="G415" s="2406"/>
      <c r="H415" s="2646">
        <f ca="1">H412+H413</f>
        <v>200.41759999999999</v>
      </c>
      <c r="I415" s="246">
        <f ca="1">((H415-F415)/F415)*100</f>
        <v>4.6004498885716743</v>
      </c>
      <c r="J415" s="2646">
        <f ca="1">J412+J413</f>
        <v>204.61672931979024</v>
      </c>
      <c r="K415" s="246">
        <f ca="1">((J415-H415)/H415)*100</f>
        <v>2.0951899033768715</v>
      </c>
      <c r="L415" s="2646">
        <f ca="1">L412+L413</f>
        <v>210.48786961384292</v>
      </c>
      <c r="M415" s="321">
        <f ca="1">((L415-J415)/J415)*100</f>
        <v>2.8693354221671803</v>
      </c>
      <c r="N415" s="2405"/>
      <c r="O415" s="54"/>
      <c r="P415" s="54"/>
      <c r="Q415" s="54"/>
      <c r="R415" s="54"/>
      <c r="S415" s="260"/>
      <c r="T415" s="1576"/>
      <c r="U415" s="49"/>
      <c r="V415" s="255"/>
      <c r="W415" s="249"/>
      <c r="X415" s="246"/>
      <c r="Y415" s="246"/>
      <c r="Z415" s="246"/>
      <c r="AA415" s="246"/>
      <c r="AB415" s="246"/>
      <c r="AC415" s="246"/>
      <c r="AD415" s="250"/>
      <c r="AE415" s="199"/>
      <c r="AF415" s="54"/>
      <c r="AG415" s="54"/>
      <c r="AH415" s="54"/>
      <c r="AI415" s="54"/>
      <c r="AJ415" s="260"/>
      <c r="AK415" s="1576"/>
      <c r="AL415" s="49"/>
      <c r="AM415" s="255"/>
      <c r="AN415" s="140"/>
      <c r="AO415" s="246"/>
      <c r="AP415" s="140"/>
      <c r="AQ415" s="246"/>
      <c r="AR415" s="140"/>
      <c r="AS415" s="246"/>
      <c r="AT415" s="196"/>
      <c r="AU415" s="250"/>
      <c r="AV415" s="199"/>
      <c r="AW415" s="54"/>
      <c r="AX415" s="54"/>
      <c r="AY415" s="54"/>
      <c r="AZ415" s="54"/>
      <c r="BA415" s="1902"/>
      <c r="BB415" s="1612"/>
      <c r="BC415" s="54"/>
    </row>
    <row r="416" spans="1:55">
      <c r="A416" s="45"/>
      <c r="B416" s="1575"/>
      <c r="C416" s="1576" t="s">
        <v>27</v>
      </c>
      <c r="D416" s="2311"/>
      <c r="E416" s="2606"/>
      <c r="F416" s="2646">
        <f ca="1">+Transfer!D243+Transfer!D217</f>
        <v>19.1815</v>
      </c>
      <c r="G416" s="2406">
        <f ca="1">100*(((Transfer!D243+Transfer!D217)/(Transfer!C243+Transfer!D217))-1)</f>
        <v>6.1822227880894864</v>
      </c>
      <c r="H416" s="140">
        <f ca="1">+Transfer!E243+Transfer!E217</f>
        <v>19.9832</v>
      </c>
      <c r="I416" s="246">
        <f ca="1">100*(((Transfer!E243+Transfer!E217)/(Transfer!D243+Transfer!D217))-1)</f>
        <v>4.1795480019810816</v>
      </c>
      <c r="J416" s="2646">
        <f ca="1">+Transfer!F243+Transfer!F217</f>
        <v>20.913649570058674</v>
      </c>
      <c r="K416" s="2406">
        <f ca="1">100*(((Transfer!F243+Transfer!F217)/(Transfer!E243+Transfer!E217))-1)</f>
        <v>4.6561590238734185</v>
      </c>
      <c r="L416" s="2406">
        <f ca="1">+Transfer!G243+Transfer!G217</f>
        <v>21.554929751289297</v>
      </c>
      <c r="M416" s="2647">
        <f ca="1">100*(((Transfer!G243+Transfer!G217)/(Transfer!F243+Transfer!F217))-1)</f>
        <v>3.0663236422815432</v>
      </c>
      <c r="N416" s="2983"/>
      <c r="O416" s="54"/>
      <c r="P416" s="54"/>
      <c r="Q416" s="54"/>
      <c r="R416" s="54"/>
      <c r="S416" s="189"/>
      <c r="T416" s="1576" t="s">
        <v>27</v>
      </c>
      <c r="U416" s="49"/>
      <c r="V416" s="391"/>
      <c r="W416" s="249">
        <f t="shared" ca="1" si="21"/>
        <v>0</v>
      </c>
      <c r="X416" s="246">
        <f t="shared" ca="1" si="21"/>
        <v>0</v>
      </c>
      <c r="Y416" s="246">
        <f t="shared" ca="1" si="21"/>
        <v>0</v>
      </c>
      <c r="Z416" s="246">
        <f t="shared" ca="1" si="21"/>
        <v>0</v>
      </c>
      <c r="AA416" s="246">
        <f t="shared" ca="1" si="21"/>
        <v>0</v>
      </c>
      <c r="AB416" s="246">
        <f t="shared" ca="1" si="21"/>
        <v>0</v>
      </c>
      <c r="AC416" s="246">
        <f t="shared" ca="1" si="21"/>
        <v>0</v>
      </c>
      <c r="AD416" s="250">
        <f t="shared" ca="1" si="21"/>
        <v>0</v>
      </c>
      <c r="AE416" s="477"/>
      <c r="AF416" s="45"/>
      <c r="AG416" s="45"/>
      <c r="AH416" s="45"/>
      <c r="AI416" s="45"/>
      <c r="AJ416" s="189"/>
      <c r="AK416" s="1576" t="s">
        <v>27</v>
      </c>
      <c r="AL416" s="49"/>
      <c r="AM416" s="391"/>
      <c r="AN416" s="140">
        <f>+Transfer!AD243+Transfer!AD217</f>
        <v>19.1815</v>
      </c>
      <c r="AO416" s="246">
        <f>100*(((Transfer!AD243+Transfer!AD217)/(Transfer!AC243+Transfer!AD217))-1)</f>
        <v>6.1822227880894864</v>
      </c>
      <c r="AP416" s="140">
        <f>+Transfer!AE243+Transfer!AE217</f>
        <v>19.9832</v>
      </c>
      <c r="AQ416" s="246">
        <f>100*(((Transfer!AE243+Transfer!AE217)/(Transfer!AD243+Transfer!AD217))-1)</f>
        <v>4.1795480019810816</v>
      </c>
      <c r="AR416" s="140">
        <f>+Transfer!AF243+Transfer!AF217</f>
        <v>20.913649570058674</v>
      </c>
      <c r="AS416" s="246">
        <f>100*(((Transfer!AF243+Transfer!AF217)/(Transfer!AE243+Transfer!AE217))-1)</f>
        <v>4.6561590238734185</v>
      </c>
      <c r="AT416" s="246">
        <f>+Transfer!AG243+Transfer!AG217</f>
        <v>21.554929751289297</v>
      </c>
      <c r="AU416" s="250">
        <f>100*(((Transfer!AG243+Transfer!AG217)/(Transfer!AF243+Transfer!AF217))-1)</f>
        <v>3.0663236422815432</v>
      </c>
      <c r="AV416" s="477"/>
      <c r="AW416" s="54"/>
      <c r="AX416" s="54"/>
      <c r="AY416" s="54"/>
      <c r="AZ416" s="54"/>
      <c r="BA416" s="1611" t="s">
        <v>189</v>
      </c>
      <c r="BB416" s="1612"/>
      <c r="BC416" s="54"/>
    </row>
    <row r="417" spans="1:55">
      <c r="A417" s="45"/>
      <c r="B417" s="1575"/>
      <c r="C417" s="3304" t="s">
        <v>247</v>
      </c>
      <c r="D417" s="2311"/>
      <c r="E417" s="2471"/>
      <c r="F417" s="2646">
        <f ca="1">F416-F488</f>
        <v>6.8485999999999994</v>
      </c>
      <c r="G417" s="2406"/>
      <c r="H417" s="2646">
        <f ca="1">H416-H488</f>
        <v>7.1141000000000005</v>
      </c>
      <c r="I417" s="246">
        <f ca="1">((H417-F417)/F417)*100</f>
        <v>3.8767047279736175</v>
      </c>
      <c r="J417" s="2646">
        <f ca="1">J416-J488</f>
        <v>7.2800986899999991</v>
      </c>
      <c r="K417" s="246">
        <f ca="1">((J417-H417)/H417)*100</f>
        <v>2.3333758310959718</v>
      </c>
      <c r="L417" s="2646">
        <f ca="1">L416-L488</f>
        <v>7.3119591468920007</v>
      </c>
      <c r="M417" s="321">
        <f ca="1">((L417-J417)/J417)*100</f>
        <v>0.43763770587018747</v>
      </c>
      <c r="N417" s="2983"/>
      <c r="O417" s="54"/>
      <c r="P417" s="54"/>
      <c r="Q417" s="54"/>
      <c r="R417" s="54"/>
      <c r="S417" s="189"/>
      <c r="T417" s="1576"/>
      <c r="U417" s="49"/>
      <c r="V417" s="391"/>
      <c r="W417" s="249"/>
      <c r="X417" s="246"/>
      <c r="Y417" s="246"/>
      <c r="Z417" s="246"/>
      <c r="AA417" s="246"/>
      <c r="AB417" s="246"/>
      <c r="AC417" s="246"/>
      <c r="AD417" s="250"/>
      <c r="AE417" s="477"/>
      <c r="AF417" s="45"/>
      <c r="AG417" s="45"/>
      <c r="AH417" s="45"/>
      <c r="AI417" s="45"/>
      <c r="AJ417" s="189"/>
      <c r="AK417" s="1576"/>
      <c r="AL417" s="49"/>
      <c r="AM417" s="391"/>
      <c r="AN417" s="140"/>
      <c r="AO417" s="246"/>
      <c r="AP417" s="140"/>
      <c r="AQ417" s="246"/>
      <c r="AR417" s="140"/>
      <c r="AS417" s="246"/>
      <c r="AT417" s="246"/>
      <c r="AU417" s="250"/>
      <c r="AV417" s="477"/>
      <c r="AW417" s="54"/>
      <c r="AX417" s="54"/>
      <c r="AY417" s="54"/>
      <c r="AZ417" s="54"/>
      <c r="BA417" s="1611"/>
      <c r="BB417" s="1612"/>
      <c r="BC417" s="54"/>
    </row>
    <row r="418" spans="1:55">
      <c r="A418" s="45"/>
      <c r="B418" s="1575"/>
      <c r="C418" s="2339" t="s">
        <v>30</v>
      </c>
      <c r="D418" s="2340"/>
      <c r="E418" s="2648"/>
      <c r="F418" s="2651">
        <f ca="1">SUM(Transfer!D213,Transfer!D214,Transfer!D215,Transfer!D217,Transfer!D243)</f>
        <v>210.78450000000001</v>
      </c>
      <c r="G418" s="2649">
        <f ca="1">100*((SUM(Transfer!D213,Transfer!D214,Transfer!D215,Transfer!D217,Transfer!D243)/SUM(Transfer!C213,Transfer!C214,Transfer!C215,Transfer!C217,Transfer!C243))-1)</f>
        <v>1.8750643411538315</v>
      </c>
      <c r="H418" s="440">
        <f ca="1">SUM(Transfer!E213,Transfer!E214,Transfer!E215,Transfer!E217,Transfer!E243)</f>
        <v>220.4008</v>
      </c>
      <c r="I418" s="438">
        <f ca="1">100*((SUM(Transfer!E213,Transfer!E214,Transfer!E215,Transfer!E217,Transfer!E243)/SUM(Transfer!D213,Transfer!D214,Transfer!D215,Transfer!D217,Transfer!D243))-1)</f>
        <v>4.5621475962416502</v>
      </c>
      <c r="J418" s="2651">
        <f ca="1">SUM(Transfer!F213,Transfer!F214,Transfer!F215,Transfer!F217,Transfer!F243)</f>
        <v>225.53037888984889</v>
      </c>
      <c r="K418" s="2649">
        <f ca="1">100*((SUM(Transfer!F213,Transfer!F214,Transfer!F215,Transfer!F217,Transfer!F243)/SUM(Transfer!E213,Transfer!E214,Transfer!E215,Transfer!E217,Transfer!E243))-1)</f>
        <v>2.3273866927202125</v>
      </c>
      <c r="L418" s="2649">
        <f ca="1">SUM(Transfer!G213,Transfer!G214,Transfer!G215,Transfer!G217,Transfer!G243)</f>
        <v>232.04279936513223</v>
      </c>
      <c r="M418" s="2652">
        <f ca="1">100*((SUM(Transfer!G213,Transfer!G214,Transfer!G215,Transfer!G217,Transfer!G243)/SUM(Transfer!F213,Transfer!F214,Transfer!F215,Transfer!F217,Transfer!F243))-1)</f>
        <v>2.8876023298236353</v>
      </c>
      <c r="N418" s="2983"/>
      <c r="O418" s="54"/>
      <c r="P418" s="54"/>
      <c r="Q418" s="54"/>
      <c r="R418" s="54"/>
      <c r="S418" s="189"/>
      <c r="T418" s="2339" t="s">
        <v>30</v>
      </c>
      <c r="U418" s="95"/>
      <c r="V418" s="392"/>
      <c r="W418" s="439">
        <f t="shared" ca="1" si="21"/>
        <v>0</v>
      </c>
      <c r="X418" s="438">
        <f t="shared" ca="1" si="21"/>
        <v>0</v>
      </c>
      <c r="Y418" s="438">
        <f t="shared" ca="1" si="21"/>
        <v>0</v>
      </c>
      <c r="Z418" s="438">
        <f t="shared" ca="1" si="21"/>
        <v>0</v>
      </c>
      <c r="AA418" s="438">
        <f t="shared" ca="1" si="21"/>
        <v>0.30000000000001137</v>
      </c>
      <c r="AB418" s="438">
        <f t="shared" ca="1" si="21"/>
        <v>9.9999999999999645E-2</v>
      </c>
      <c r="AC418" s="438">
        <f t="shared" ca="1" si="21"/>
        <v>0.59999999999999432</v>
      </c>
      <c r="AD418" s="441">
        <f t="shared" ca="1" si="21"/>
        <v>0.10000000000000009</v>
      </c>
      <c r="AE418" s="199"/>
      <c r="AF418" s="45"/>
      <c r="AG418" s="45"/>
      <c r="AH418" s="45"/>
      <c r="AI418" s="45"/>
      <c r="AJ418" s="189"/>
      <c r="AK418" s="2339" t="s">
        <v>30</v>
      </c>
      <c r="AL418" s="95"/>
      <c r="AM418" s="392"/>
      <c r="AN418" s="440">
        <f>SUM(Transfer!AD213,Transfer!AD214,Transfer!AD215,Transfer!AD217,Transfer!AD243)</f>
        <v>210.78450000000001</v>
      </c>
      <c r="AO418" s="438">
        <f>100*((SUM(Transfer!AD213,Transfer!AD214,Transfer!AD215,Transfer!AD217,Transfer!AD243)/SUM(Transfer!AC213,Transfer!AC214,Transfer!AC215,Transfer!AC217,Transfer!AC243))-1)</f>
        <v>1.8750643411538315</v>
      </c>
      <c r="AP418" s="440">
        <f>SUM(Transfer!AE213,Transfer!AE214,Transfer!AE215,Transfer!AE217,Transfer!AE243)</f>
        <v>220.4008</v>
      </c>
      <c r="AQ418" s="438">
        <f>100*((SUM(Transfer!AE213,Transfer!AE214,Transfer!AE215,Transfer!AE217,Transfer!AE243)/SUM(Transfer!AD213,Transfer!AD214,Transfer!AD215,Transfer!AD217,Transfer!AD243))-1)</f>
        <v>4.5621475962416502</v>
      </c>
      <c r="AR418" s="440">
        <f>SUM(Transfer!AF213,Transfer!AF214,Transfer!AF215,Transfer!AF217,Transfer!AF243)</f>
        <v>225.15916878505479</v>
      </c>
      <c r="AS418" s="438">
        <f>100*((SUM(Transfer!AF213,Transfer!AF214,Transfer!AF215,Transfer!AF217,Transfer!AF243)/SUM(Transfer!AE213,Transfer!AE214,Transfer!AE215,Transfer!AE217,Transfer!AE243))-1)</f>
        <v>2.1589616666794154</v>
      </c>
      <c r="AT418" s="438">
        <f>SUM(Transfer!AG213,Transfer!AG214,Transfer!AG215,Transfer!AG217,Transfer!AG243)</f>
        <v>231.40569950601022</v>
      </c>
      <c r="AU418" s="441">
        <f>100*((SUM(Transfer!AG213,Transfer!AG214,Transfer!AG215,Transfer!AG217,Transfer!AG243)/SUM(Transfer!AF213,Transfer!AF214,Transfer!AF215,Transfer!AF217,Transfer!AF243))-1)</f>
        <v>2.7742733083717441</v>
      </c>
      <c r="AV418" s="199"/>
      <c r="AW418" s="54"/>
      <c r="AX418" s="54"/>
      <c r="AY418" s="54"/>
      <c r="AZ418" s="54"/>
      <c r="BA418" s="1611" t="s">
        <v>190</v>
      </c>
      <c r="BB418" s="1612"/>
      <c r="BC418" s="54"/>
    </row>
    <row r="419" spans="1:55" s="28" customFormat="1">
      <c r="A419" s="45"/>
      <c r="B419" s="189"/>
      <c r="C419" s="101" t="s">
        <v>197</v>
      </c>
      <c r="D419" s="49"/>
      <c r="E419" s="255" t="s">
        <v>1655</v>
      </c>
      <c r="F419" s="2270">
        <f ca="1">Transfer!D220</f>
        <v>52.288199999999996</v>
      </c>
      <c r="G419" s="1930">
        <f ca="1">100*((Transfer!D220/Transfer!C220)-1)</f>
        <v>2.3392636956138579</v>
      </c>
      <c r="H419" s="2271">
        <f ca="1">Transfer!E220</f>
        <v>53.776300000000006</v>
      </c>
      <c r="I419" s="1930">
        <f ca="1">100*((Transfer!E220/Transfer!D220)-1)</f>
        <v>2.8459575965514405</v>
      </c>
      <c r="J419" s="2271">
        <f ca="1">Transfer!F220</f>
        <v>54.768814395669409</v>
      </c>
      <c r="K419" s="1930">
        <f ca="1">100*((Transfer!F220/Transfer!E220)-1)</f>
        <v>1.8456353368852207</v>
      </c>
      <c r="L419" s="2270">
        <f ca="1">Transfer!G220</f>
        <v>55.860125941606945</v>
      </c>
      <c r="M419" s="2272">
        <f ca="1">100*((Transfer!G220/Transfer!F220)-1)</f>
        <v>1.9925783641280059</v>
      </c>
      <c r="N419" s="2983"/>
      <c r="O419" s="54"/>
      <c r="P419" s="54"/>
      <c r="Q419" s="54"/>
      <c r="R419" s="54"/>
      <c r="S419" s="189"/>
      <c r="T419" s="101" t="s">
        <v>197</v>
      </c>
      <c r="U419" s="49"/>
      <c r="V419" s="2283" t="s">
        <v>1655</v>
      </c>
      <c r="W419" s="1929">
        <f t="shared" ca="1" si="21"/>
        <v>0</v>
      </c>
      <c r="X419" s="1930">
        <f t="shared" ca="1" si="21"/>
        <v>0</v>
      </c>
      <c r="Y419" s="1930">
        <f t="shared" ca="1" si="21"/>
        <v>0</v>
      </c>
      <c r="Z419" s="1930">
        <f t="shared" ca="1" si="21"/>
        <v>0</v>
      </c>
      <c r="AA419" s="1930">
        <f t="shared" ca="1" si="21"/>
        <v>0</v>
      </c>
      <c r="AB419" s="1930">
        <f t="shared" ca="1" si="21"/>
        <v>0</v>
      </c>
      <c r="AC419" s="1930">
        <f t="shared" ca="1" si="21"/>
        <v>0.10000000000000142</v>
      </c>
      <c r="AD419" s="2298">
        <f t="shared" ca="1" si="21"/>
        <v>0</v>
      </c>
      <c r="AE419" s="199"/>
      <c r="AJ419" s="189"/>
      <c r="AK419" s="101" t="s">
        <v>197</v>
      </c>
      <c r="AL419" s="49"/>
      <c r="AM419" s="255" t="s">
        <v>1655</v>
      </c>
      <c r="AN419" s="2270">
        <f>Transfer!AD220</f>
        <v>52.288199999999996</v>
      </c>
      <c r="AO419" s="1930">
        <f>100*((Transfer!AD220/Transfer!AC220)-1)</f>
        <v>2.3392636956138579</v>
      </c>
      <c r="AP419" s="2271">
        <f>Transfer!AE220</f>
        <v>53.776300000000006</v>
      </c>
      <c r="AQ419" s="1930">
        <f>100*((Transfer!AE220/Transfer!AD220)-1)</f>
        <v>2.8459575965514405</v>
      </c>
      <c r="AR419" s="2271">
        <f>Transfer!AF220</f>
        <v>54.758461873570809</v>
      </c>
      <c r="AS419" s="1930">
        <f>100*((Transfer!AF220/Transfer!AE220)-1)</f>
        <v>1.8263842502567185</v>
      </c>
      <c r="AT419" s="2270">
        <f>Transfer!AG220</f>
        <v>55.849574271231461</v>
      </c>
      <c r="AU419" s="2272">
        <f>100*((Transfer!AG220/Transfer!AF220)-1)</f>
        <v>1.9925913919566884</v>
      </c>
      <c r="AV419" s="199"/>
      <c r="AW419" s="2804"/>
      <c r="AX419" s="2804"/>
      <c r="AY419" s="2804"/>
      <c r="AZ419" s="2804"/>
      <c r="BA419" s="2963" t="s">
        <v>191</v>
      </c>
      <c r="BB419" s="2280"/>
      <c r="BC419" s="2804"/>
    </row>
    <row r="420" spans="1:55" s="28" customFormat="1">
      <c r="A420" s="45"/>
      <c r="B420" s="189"/>
      <c r="C420" s="101" t="s">
        <v>198</v>
      </c>
      <c r="D420" s="49"/>
      <c r="E420" s="255" t="s">
        <v>2094</v>
      </c>
      <c r="F420" s="2273">
        <f ca="1">Transfer!D245</f>
        <v>16.758700000000001</v>
      </c>
      <c r="G420" s="246">
        <f ca="1">100*((Transfer!D245/Transfer!C245)-1)</f>
        <v>0.3929767388921368</v>
      </c>
      <c r="H420" s="140">
        <f ca="1">Transfer!E245</f>
        <v>17.622599999999998</v>
      </c>
      <c r="I420" s="246">
        <f ca="1">100*((Transfer!E245/Transfer!D245)-1)</f>
        <v>5.1549344519562723</v>
      </c>
      <c r="J420" s="140">
        <f ca="1">Transfer!F245</f>
        <v>18.253139009967271</v>
      </c>
      <c r="K420" s="246">
        <f ca="1">100*((Transfer!F245/Transfer!E245)-1)</f>
        <v>3.5780135165484728</v>
      </c>
      <c r="L420" s="246">
        <f ca="1">Transfer!G245</f>
        <v>19.283382982206994</v>
      </c>
      <c r="M420" s="250">
        <f ca="1">100*((Transfer!G245/Transfer!F245)-1)</f>
        <v>5.6442016448631227</v>
      </c>
      <c r="N420" s="2983"/>
      <c r="O420" s="54"/>
      <c r="P420" s="54"/>
      <c r="Q420" s="54"/>
      <c r="R420" s="54"/>
      <c r="S420" s="189"/>
      <c r="T420" s="101" t="s">
        <v>198</v>
      </c>
      <c r="U420" s="49"/>
      <c r="V420" s="255" t="s">
        <v>2094</v>
      </c>
      <c r="W420" s="249">
        <f t="shared" ca="1" si="21"/>
        <v>0</v>
      </c>
      <c r="X420" s="246">
        <f t="shared" ca="1" si="21"/>
        <v>0</v>
      </c>
      <c r="Y420" s="246">
        <f t="shared" ca="1" si="21"/>
        <v>0</v>
      </c>
      <c r="Z420" s="246">
        <f t="shared" ca="1" si="21"/>
        <v>0</v>
      </c>
      <c r="AA420" s="246">
        <f t="shared" ca="1" si="21"/>
        <v>0</v>
      </c>
      <c r="AB420" s="246">
        <f t="shared" ca="1" si="21"/>
        <v>0</v>
      </c>
      <c r="AC420" s="246">
        <f t="shared" ca="1" si="21"/>
        <v>0</v>
      </c>
      <c r="AD420" s="250">
        <f t="shared" ca="1" si="21"/>
        <v>0</v>
      </c>
      <c r="AE420" s="199"/>
      <c r="AJ420" s="189"/>
      <c r="AK420" s="101" t="s">
        <v>198</v>
      </c>
      <c r="AL420" s="49"/>
      <c r="AM420" s="255" t="s">
        <v>2094</v>
      </c>
      <c r="AN420" s="2273">
        <f>Transfer!AD245</f>
        <v>16.758700000000001</v>
      </c>
      <c r="AO420" s="246">
        <f>100*((Transfer!AD245/Transfer!AC245)-1)</f>
        <v>0.3929767388921368</v>
      </c>
      <c r="AP420" s="140">
        <f>Transfer!AE245</f>
        <v>17.622599999999998</v>
      </c>
      <c r="AQ420" s="246">
        <f>100*((Transfer!AE245/Transfer!AD245)-1)</f>
        <v>5.1549344519562723</v>
      </c>
      <c r="AR420" s="140">
        <f>Transfer!AF245</f>
        <v>18.263491532065871</v>
      </c>
      <c r="AS420" s="246">
        <f>100*((Transfer!AF245/Transfer!AE245)-1)</f>
        <v>3.6367592299993978</v>
      </c>
      <c r="AT420" s="246">
        <f>Transfer!AG245</f>
        <v>19.293934652582479</v>
      </c>
      <c r="AU420" s="250">
        <f>100*((Transfer!AG245/Transfer!AF245)-1)</f>
        <v>5.6420926891630918</v>
      </c>
      <c r="AV420" s="199"/>
      <c r="AW420" s="2804"/>
      <c r="AX420" s="2804"/>
      <c r="AY420" s="2804"/>
      <c r="AZ420" s="2804"/>
      <c r="BA420" s="2963" t="s">
        <v>1597</v>
      </c>
      <c r="BB420" s="2280"/>
      <c r="BC420" s="2804"/>
    </row>
    <row r="421" spans="1:55" s="28" customFormat="1">
      <c r="A421" s="45"/>
      <c r="B421" s="189"/>
      <c r="C421" s="101" t="s">
        <v>199</v>
      </c>
      <c r="D421" s="49"/>
      <c r="E421" s="255"/>
      <c r="F421" s="2273">
        <f ca="1">Transfer!D246</f>
        <v>33.738</v>
      </c>
      <c r="G421" s="246">
        <f ca="1">100*((Transfer!D246/Transfer!C246)-1)</f>
        <v>2.6016878278719568</v>
      </c>
      <c r="H421" s="140">
        <f ca="1">Transfer!E246</f>
        <v>34.874199999999995</v>
      </c>
      <c r="I421" s="246">
        <f ca="1">100*((Transfer!E246/Transfer!D246)-1)</f>
        <v>3.367715928626458</v>
      </c>
      <c r="J421" s="140">
        <f ca="1">Transfer!F246</f>
        <v>36.23080637999999</v>
      </c>
      <c r="K421" s="246">
        <f ca="1">100*((Transfer!F246/Transfer!E246)-1)</f>
        <v>3.8899999999999935</v>
      </c>
      <c r="L421" s="246">
        <f ca="1">Transfer!G246</f>
        <v>37.596707780525989</v>
      </c>
      <c r="M421" s="250">
        <f ca="1">100*((Transfer!G246/Transfer!F246)-1)</f>
        <v>3.7700000000000067</v>
      </c>
      <c r="N421" s="249"/>
      <c r="O421" s="54"/>
      <c r="P421" s="54"/>
      <c r="Q421" s="54"/>
      <c r="R421" s="54"/>
      <c r="S421" s="189"/>
      <c r="T421" s="101" t="s">
        <v>199</v>
      </c>
      <c r="U421" s="49"/>
      <c r="V421" s="255"/>
      <c r="W421" s="249">
        <f t="shared" ca="1" si="21"/>
        <v>0</v>
      </c>
      <c r="X421" s="246">
        <f t="shared" ca="1" si="21"/>
        <v>0</v>
      </c>
      <c r="Y421" s="246">
        <f t="shared" ca="1" si="21"/>
        <v>0</v>
      </c>
      <c r="Z421" s="246">
        <f t="shared" ca="1" si="21"/>
        <v>0</v>
      </c>
      <c r="AA421" s="246">
        <f t="shared" ca="1" si="21"/>
        <v>0</v>
      </c>
      <c r="AB421" s="246">
        <f t="shared" ca="1" si="21"/>
        <v>0</v>
      </c>
      <c r="AC421" s="246">
        <f t="shared" ca="1" si="21"/>
        <v>0</v>
      </c>
      <c r="AD421" s="250">
        <f t="shared" ca="1" si="21"/>
        <v>0</v>
      </c>
      <c r="AE421" s="199"/>
      <c r="AJ421" s="189"/>
      <c r="AK421" s="101" t="s">
        <v>199</v>
      </c>
      <c r="AL421" s="49"/>
      <c r="AM421" s="255"/>
      <c r="AN421" s="2273">
        <f>Transfer!AD246</f>
        <v>33.738</v>
      </c>
      <c r="AO421" s="246">
        <f>100*((Transfer!AD246/Transfer!AC246)-1)</f>
        <v>2.6016878278719568</v>
      </c>
      <c r="AP421" s="140">
        <f>Transfer!AE246</f>
        <v>34.874199999999995</v>
      </c>
      <c r="AQ421" s="246">
        <f>100*((Transfer!AE246/Transfer!AD246)-1)</f>
        <v>3.367715928626458</v>
      </c>
      <c r="AR421" s="140">
        <f>Transfer!AF246</f>
        <v>36.23080637999999</v>
      </c>
      <c r="AS421" s="246">
        <f>100*((Transfer!AF246/Transfer!AE246)-1)</f>
        <v>3.8899999999999935</v>
      </c>
      <c r="AT421" s="246">
        <f>Transfer!AG246</f>
        <v>37.596707780525989</v>
      </c>
      <c r="AU421" s="250">
        <f>100*((Transfer!AG246/Transfer!AF246)-1)</f>
        <v>3.7700000000000067</v>
      </c>
      <c r="AV421" s="199"/>
      <c r="AW421" s="2804"/>
      <c r="AX421" s="2804"/>
      <c r="AY421" s="2804"/>
      <c r="AZ421" s="2804"/>
      <c r="BA421" s="2963" t="s">
        <v>192</v>
      </c>
      <c r="BB421" s="2280"/>
      <c r="BC421" s="2804"/>
    </row>
    <row r="422" spans="1:55" s="28" customFormat="1">
      <c r="A422" s="45"/>
      <c r="B422" s="189"/>
      <c r="C422" s="101" t="s">
        <v>1416</v>
      </c>
      <c r="D422" s="49"/>
      <c r="E422" s="255" t="s">
        <v>2039</v>
      </c>
      <c r="F422" s="92">
        <f ca="1">Transfer!D221</f>
        <v>72.838100000000011</v>
      </c>
      <c r="G422" s="91">
        <f ca="1">100*((Transfer!D221/Transfer!C221)-1)</f>
        <v>3.0887812306721329</v>
      </c>
      <c r="H422" s="92">
        <f ca="1">Transfer!E221</f>
        <v>75.218399999999988</v>
      </c>
      <c r="I422" s="91">
        <f ca="1">100*((Transfer!E221/Transfer!D221)-1)</f>
        <v>3.2679325792407843</v>
      </c>
      <c r="J422" s="92">
        <f ca="1">Transfer!F221</f>
        <v>77.422299119999991</v>
      </c>
      <c r="K422" s="91">
        <f ca="1">100*((Transfer!F221/Transfer!E221)-1)</f>
        <v>2.9300000000000104</v>
      </c>
      <c r="L422" s="91">
        <f ca="1">Transfer!G221</f>
        <v>80.666293453127992</v>
      </c>
      <c r="M422" s="244">
        <f ca="1">100*((Transfer!G221/Transfer!F221)-1)</f>
        <v>4.1900000000000048</v>
      </c>
      <c r="N422" s="243"/>
      <c r="O422" s="54"/>
      <c r="P422" s="54"/>
      <c r="Q422" s="54"/>
      <c r="R422" s="54"/>
      <c r="S422" s="189"/>
      <c r="T422" s="101" t="s">
        <v>1416</v>
      </c>
      <c r="U422" s="49"/>
      <c r="V422" s="255" t="s">
        <v>2039</v>
      </c>
      <c r="W422" s="249">
        <f t="shared" ca="1" si="21"/>
        <v>0</v>
      </c>
      <c r="X422" s="246">
        <f t="shared" ca="1" si="21"/>
        <v>0</v>
      </c>
      <c r="Y422" s="246">
        <f t="shared" ca="1" si="21"/>
        <v>0</v>
      </c>
      <c r="Z422" s="246">
        <f t="shared" ca="1" si="21"/>
        <v>0</v>
      </c>
      <c r="AA422" s="246">
        <f t="shared" ca="1" si="21"/>
        <v>0.30000000000001137</v>
      </c>
      <c r="AB422" s="246">
        <f t="shared" ca="1" si="21"/>
        <v>0.39999999999999991</v>
      </c>
      <c r="AC422" s="246">
        <f t="shared" ca="1" si="21"/>
        <v>0.29999999999999716</v>
      </c>
      <c r="AD422" s="250">
        <f t="shared" ca="1" si="21"/>
        <v>0</v>
      </c>
      <c r="AE422" s="82"/>
      <c r="AJ422" s="189"/>
      <c r="AK422" s="101" t="s">
        <v>1416</v>
      </c>
      <c r="AL422" s="49"/>
      <c r="AM422" s="255" t="s">
        <v>2039</v>
      </c>
      <c r="AN422" s="92">
        <f>Transfer!AD221</f>
        <v>72.838100000000011</v>
      </c>
      <c r="AO422" s="91">
        <f>100*((Transfer!AD221/Transfer!AC221)-1)</f>
        <v>3.0887812306721329</v>
      </c>
      <c r="AP422" s="92">
        <f>Transfer!AE221</f>
        <v>75.218399999999988</v>
      </c>
      <c r="AQ422" s="91">
        <f>100*((Transfer!AE221/Transfer!AD221)-1)</f>
        <v>3.2679325792407843</v>
      </c>
      <c r="AR422" s="92">
        <f>Transfer!AF221</f>
        <v>77.121425520000003</v>
      </c>
      <c r="AS422" s="91">
        <f>100*((Transfer!AF221/Transfer!AE221)-1)</f>
        <v>2.53000000000001</v>
      </c>
      <c r="AT422" s="91">
        <f>Transfer!AG221</f>
        <v>80.352813249288005</v>
      </c>
      <c r="AU422" s="244">
        <f>100*((Transfer!AG221/Transfer!AF221)-1)</f>
        <v>4.1900000000000048</v>
      </c>
      <c r="AV422" s="82"/>
      <c r="AW422" s="2804"/>
      <c r="AX422" s="2804"/>
      <c r="AY422" s="2804"/>
      <c r="AZ422" s="2804"/>
      <c r="BA422" s="2963" t="s">
        <v>1598</v>
      </c>
      <c r="BB422" s="2280"/>
      <c r="BC422" s="2804"/>
    </row>
    <row r="423" spans="1:55" s="28" customFormat="1">
      <c r="A423" s="45"/>
      <c r="B423" s="189"/>
      <c r="C423" s="101" t="s">
        <v>200</v>
      </c>
      <c r="D423" s="49"/>
      <c r="E423" s="255" t="s">
        <v>827</v>
      </c>
      <c r="F423" s="140">
        <f ca="1">Transfer!D222</f>
        <v>12.116200000000001</v>
      </c>
      <c r="G423" s="246">
        <f ca="1">100*((Transfer!D222/Transfer!C222)-1)</f>
        <v>-2.4256285534813848</v>
      </c>
      <c r="H423" s="140">
        <f ca="1">Transfer!E222</f>
        <v>10.7761</v>
      </c>
      <c r="I423" s="246">
        <f ca="1">100*((Transfer!E222/Transfer!D222)-1)</f>
        <v>-11.060398474769329</v>
      </c>
      <c r="J423" s="140">
        <f ca="1">Transfer!F222</f>
        <v>10.213587579999999</v>
      </c>
      <c r="K423" s="246">
        <f ca="1">100*((Transfer!F222/Transfer!E222)-1)</f>
        <v>-5.2200000000000131</v>
      </c>
      <c r="L423" s="246">
        <f ca="1">Transfer!G222</f>
        <v>10.148220619487999</v>
      </c>
      <c r="M423" s="250">
        <f ca="1">100*((Transfer!G222/Transfer!F222)-1)</f>
        <v>-0.63999999999999613</v>
      </c>
      <c r="N423" s="3029"/>
      <c r="O423" s="54"/>
      <c r="P423" s="54"/>
      <c r="Q423" s="54"/>
      <c r="R423" s="54"/>
      <c r="S423" s="189"/>
      <c r="T423" s="101" t="s">
        <v>200</v>
      </c>
      <c r="U423" s="49"/>
      <c r="V423" s="255" t="s">
        <v>827</v>
      </c>
      <c r="W423" s="249">
        <f t="shared" ca="1" si="21"/>
        <v>0</v>
      </c>
      <c r="X423" s="246">
        <f t="shared" ca="1" si="21"/>
        <v>0</v>
      </c>
      <c r="Y423" s="246">
        <f t="shared" ca="1" si="21"/>
        <v>0</v>
      </c>
      <c r="Z423" s="246">
        <f t="shared" ca="1" si="21"/>
        <v>0</v>
      </c>
      <c r="AA423" s="246">
        <f t="shared" ca="1" si="21"/>
        <v>0</v>
      </c>
      <c r="AB423" s="246">
        <f t="shared" ca="1" si="21"/>
        <v>0</v>
      </c>
      <c r="AC423" s="246">
        <f t="shared" ca="1" si="21"/>
        <v>0</v>
      </c>
      <c r="AD423" s="250">
        <f t="shared" ca="1" si="21"/>
        <v>0</v>
      </c>
      <c r="AE423" s="199"/>
      <c r="AJ423" s="189"/>
      <c r="AK423" s="101" t="s">
        <v>200</v>
      </c>
      <c r="AL423" s="49"/>
      <c r="AM423" s="255" t="s">
        <v>827</v>
      </c>
      <c r="AN423" s="140">
        <f>Transfer!AD222</f>
        <v>12.116200000000001</v>
      </c>
      <c r="AO423" s="246">
        <f>100*((Transfer!AD222/Transfer!AC222)-1)</f>
        <v>-2.4256285534813848</v>
      </c>
      <c r="AP423" s="140">
        <f>Transfer!AE222</f>
        <v>10.7761</v>
      </c>
      <c r="AQ423" s="246">
        <f>100*((Transfer!AE222/Transfer!AD222)-1)</f>
        <v>-11.060398474769329</v>
      </c>
      <c r="AR423" s="140">
        <f>Transfer!AF222</f>
        <v>10.213587579999999</v>
      </c>
      <c r="AS423" s="246">
        <f>100*((Transfer!AF222/Transfer!AE222)-1)</f>
        <v>-5.2200000000000131</v>
      </c>
      <c r="AT423" s="246">
        <f>Transfer!AG222</f>
        <v>10.148220619487999</v>
      </c>
      <c r="AU423" s="250">
        <f>100*((Transfer!AG222/Transfer!AF222)-1)</f>
        <v>-0.63999999999999613</v>
      </c>
      <c r="AV423" s="199"/>
      <c r="AW423" s="2804"/>
      <c r="AX423" s="2804"/>
      <c r="AY423" s="2804"/>
      <c r="AZ423" s="2804"/>
      <c r="BA423" s="2963" t="s">
        <v>1111</v>
      </c>
      <c r="BB423" s="2280"/>
      <c r="BC423" s="2804"/>
    </row>
    <row r="424" spans="1:55" s="28" customFormat="1">
      <c r="A424" s="45"/>
      <c r="B424" s="189"/>
      <c r="C424" s="101" t="s">
        <v>201</v>
      </c>
      <c r="D424" s="49"/>
      <c r="E424" s="255" t="s">
        <v>1678</v>
      </c>
      <c r="F424" s="140">
        <f ca="1">Transfer!D223</f>
        <v>14.2582</v>
      </c>
      <c r="G424" s="246">
        <f ca="1">100*((Transfer!D223/Transfer!C223)-1)</f>
        <v>1.4226572391913495</v>
      </c>
      <c r="H424" s="140">
        <f ca="1">Transfer!E223</f>
        <v>14.704700000000001</v>
      </c>
      <c r="I424" s="246">
        <f ca="1">100*((Transfer!E223/Transfer!D223)-1)</f>
        <v>3.1315313293403202</v>
      </c>
      <c r="J424" s="140">
        <f ca="1">Transfer!F223</f>
        <v>14.200035728075999</v>
      </c>
      <c r="K424" s="246">
        <f ca="1">100*((Transfer!F223/Transfer!E223)-1)</f>
        <v>-3.4319929813189098</v>
      </c>
      <c r="L424" s="246">
        <f ca="1">Transfer!G223</f>
        <v>14.515967078272361</v>
      </c>
      <c r="M424" s="250">
        <f ca="1">100*((Transfer!G223/Transfer!F223)-1)</f>
        <v>2.2248630654619239</v>
      </c>
      <c r="N424" s="2973"/>
      <c r="O424" s="54"/>
      <c r="P424" s="54"/>
      <c r="Q424" s="54"/>
      <c r="R424" s="54"/>
      <c r="S424" s="189"/>
      <c r="T424" s="101" t="s">
        <v>201</v>
      </c>
      <c r="U424" s="49"/>
      <c r="V424" s="255" t="s">
        <v>1678</v>
      </c>
      <c r="W424" s="249">
        <f t="shared" ca="1" si="21"/>
        <v>0</v>
      </c>
      <c r="X424" s="246">
        <f t="shared" ca="1" si="21"/>
        <v>0</v>
      </c>
      <c r="Y424" s="246">
        <f t="shared" ca="1" si="21"/>
        <v>0</v>
      </c>
      <c r="Z424" s="246">
        <f t="shared" ca="1" si="21"/>
        <v>0</v>
      </c>
      <c r="AA424" s="246">
        <f t="shared" ca="1" si="21"/>
        <v>0</v>
      </c>
      <c r="AB424" s="246">
        <f t="shared" ca="1" si="21"/>
        <v>0</v>
      </c>
      <c r="AC424" s="246">
        <f t="shared" ca="1" si="21"/>
        <v>0</v>
      </c>
      <c r="AD424" s="250">
        <f t="shared" ca="1" si="21"/>
        <v>0</v>
      </c>
      <c r="AE424" s="199"/>
      <c r="AJ424" s="189"/>
      <c r="AK424" s="101" t="s">
        <v>201</v>
      </c>
      <c r="AL424" s="49"/>
      <c r="AM424" s="255" t="s">
        <v>1678</v>
      </c>
      <c r="AN424" s="140">
        <f>Transfer!AD223</f>
        <v>14.2582</v>
      </c>
      <c r="AO424" s="246">
        <f>100*((Transfer!AD223/Transfer!AC223)-1)</f>
        <v>1.4226572391913495</v>
      </c>
      <c r="AP424" s="140">
        <f>Transfer!AE223</f>
        <v>14.704700000000001</v>
      </c>
      <c r="AQ424" s="246">
        <f>100*((Transfer!AE223/Transfer!AD223)-1)</f>
        <v>3.1315313293403202</v>
      </c>
      <c r="AR424" s="140">
        <f>Transfer!AF223</f>
        <v>14.200035728075999</v>
      </c>
      <c r="AS424" s="246">
        <f>100*((Transfer!AF223/Transfer!AE223)-1)</f>
        <v>-3.4319929813189098</v>
      </c>
      <c r="AT424" s="246">
        <f>Transfer!AG223</f>
        <v>14.515967078272361</v>
      </c>
      <c r="AU424" s="250">
        <f>100*((Transfer!AG223/Transfer!AF223)-1)</f>
        <v>2.2248630654619239</v>
      </c>
      <c r="AV424" s="199"/>
      <c r="AW424" s="2804"/>
      <c r="AX424" s="2804"/>
      <c r="AY424" s="2804"/>
      <c r="AZ424" s="2804"/>
      <c r="BA424" s="2963" t="s">
        <v>1112</v>
      </c>
      <c r="BB424" s="2280"/>
      <c r="BC424" s="2804"/>
    </row>
    <row r="425" spans="1:55">
      <c r="A425" s="45"/>
      <c r="B425" s="1575"/>
      <c r="C425" s="1576" t="s">
        <v>814</v>
      </c>
      <c r="D425" s="2311"/>
      <c r="E425" s="2471"/>
      <c r="F425" s="2337">
        <f ca="1">Transfer!D224</f>
        <v>9.2129999999999992</v>
      </c>
      <c r="G425" s="2336">
        <f ca="1">100*((Transfer!D224/Transfer!C224)-1)</f>
        <v>9.0980141390457625</v>
      </c>
      <c r="H425" s="92">
        <f ca="1">Transfer!E224</f>
        <v>7.992</v>
      </c>
      <c r="I425" s="91">
        <f ca="1">100*((Transfer!E224/Transfer!D224)-1)</f>
        <v>-13.253012048192758</v>
      </c>
      <c r="J425" s="2337">
        <f ca="1">Transfer!F224</f>
        <v>8.7951990599999998</v>
      </c>
      <c r="K425" s="2336">
        <f ca="1">100*((Transfer!F224/Transfer!E224)-1)</f>
        <v>10.050038288288277</v>
      </c>
      <c r="L425" s="2336">
        <f ca="1">Transfer!G224</f>
        <v>9.1389875630579986</v>
      </c>
      <c r="M425" s="2687">
        <f ca="1">100*((Transfer!G224/Transfer!F224)-1)</f>
        <v>3.908820035938998</v>
      </c>
      <c r="N425" s="2328"/>
      <c r="O425" s="54"/>
      <c r="P425" s="54"/>
      <c r="Q425" s="54"/>
      <c r="R425" s="54"/>
      <c r="S425" s="189"/>
      <c r="T425" s="1576" t="s">
        <v>814</v>
      </c>
      <c r="U425" s="49"/>
      <c r="V425" s="255"/>
      <c r="W425" s="249">
        <f t="shared" ca="1" si="21"/>
        <v>0</v>
      </c>
      <c r="X425" s="246">
        <f t="shared" ca="1" si="21"/>
        <v>0</v>
      </c>
      <c r="Y425" s="246">
        <f t="shared" ca="1" si="21"/>
        <v>0</v>
      </c>
      <c r="Z425" s="246">
        <f t="shared" ca="1" si="21"/>
        <v>0</v>
      </c>
      <c r="AA425" s="246">
        <f t="shared" ca="1" si="21"/>
        <v>0</v>
      </c>
      <c r="AB425" s="246">
        <f t="shared" ca="1" si="21"/>
        <v>0</v>
      </c>
      <c r="AC425" s="246">
        <f t="shared" ca="1" si="21"/>
        <v>0</v>
      </c>
      <c r="AD425" s="250">
        <f t="shared" ca="1" si="21"/>
        <v>0</v>
      </c>
      <c r="AE425" s="82"/>
      <c r="AF425" s="45"/>
      <c r="AG425" s="45"/>
      <c r="AH425" s="45"/>
      <c r="AI425" s="45"/>
      <c r="AJ425" s="189"/>
      <c r="AK425" s="1576" t="s">
        <v>814</v>
      </c>
      <c r="AL425" s="49"/>
      <c r="AM425" s="255"/>
      <c r="AN425" s="92">
        <f>Transfer!AD224</f>
        <v>9.2129999999999992</v>
      </c>
      <c r="AO425" s="91">
        <f>100*((Transfer!AD224/Transfer!AC224)-1)</f>
        <v>9.0980141390457625</v>
      </c>
      <c r="AP425" s="92">
        <f>Transfer!AE224</f>
        <v>7.992</v>
      </c>
      <c r="AQ425" s="91">
        <f>100*((Transfer!AE224/Transfer!AD224)-1)</f>
        <v>-13.253012048192758</v>
      </c>
      <c r="AR425" s="92">
        <f>Transfer!AF224</f>
        <v>8.7951990599999998</v>
      </c>
      <c r="AS425" s="91">
        <f>100*((Transfer!AF224/Transfer!AE224)-1)</f>
        <v>10.050038288288277</v>
      </c>
      <c r="AT425" s="91">
        <f>Transfer!AG224</f>
        <v>9.1389875630579986</v>
      </c>
      <c r="AU425" s="244">
        <f>100*((Transfer!AG224/Transfer!AF224)-1)</f>
        <v>3.908820035938998</v>
      </c>
      <c r="AV425" s="82"/>
      <c r="AW425" s="54"/>
      <c r="AX425" s="54"/>
      <c r="AY425" s="54"/>
      <c r="AZ425" s="54"/>
      <c r="BA425" s="1611" t="s">
        <v>1113</v>
      </c>
      <c r="BB425" s="1612"/>
      <c r="BC425" s="54"/>
    </row>
    <row r="426" spans="1:55">
      <c r="A426" s="45"/>
      <c r="B426" s="1575"/>
      <c r="C426" s="1576" t="s">
        <v>815</v>
      </c>
      <c r="D426" s="2311"/>
      <c r="E426" s="2471"/>
      <c r="F426" s="2646">
        <f ca="1">SUM(Transfer!D220,Transfer!D221,Transfer!D222,Transfer!D223,Transfer!D224,Transfer!D245,Transfer!D246)</f>
        <v>211.21039999999999</v>
      </c>
      <c r="G426" s="2406">
        <f ca="1">100*(((SUM(Transfer!D220,Transfer!D221,Transfer!D222,Transfer!D223,Transfer!D224,Transfer!D245,Transfer!D246))/(SUM(Transfer!C220,Transfer!C221,Transfer!C222,Transfer!C223,Transfer!C224,Transfer!C245,Transfer!C246)))-1)</f>
        <v>2.4077236446433004</v>
      </c>
      <c r="H426" s="140">
        <f ca="1">SUM(Transfer!E220,Transfer!E221,Transfer!E222,Transfer!E223,Transfer!E224,Transfer!E245,Transfer!E246)</f>
        <v>214.96430000000001</v>
      </c>
      <c r="I426" s="246">
        <f ca="1">100*(((SUM(Transfer!E220,Transfer!E221,Transfer!E222,Transfer!E223,Transfer!E224,Transfer!E245,Transfer!E246))/(SUM(Transfer!D220,Transfer!D221,Transfer!D222,Transfer!D223,Transfer!D224,Transfer!D245,Transfer!D246)))-1)</f>
        <v>1.7773272528246897</v>
      </c>
      <c r="J426" s="2646">
        <f ca="1">SUM(Transfer!F220,Transfer!F221,Transfer!F222,Transfer!F223,Transfer!F224,Transfer!F245,Transfer!F246)</f>
        <v>219.88388127371263</v>
      </c>
      <c r="K426" s="2406">
        <f ca="1">100*(((SUM(Transfer!F220,Transfer!F221,Transfer!F222,Transfer!F223,Transfer!F224,Transfer!F245,Transfer!F246))/(SUM(Transfer!E220,Transfer!E221,Transfer!E222,Transfer!E223,Transfer!E224,Transfer!E245,Transfer!E246)))-1)</f>
        <v>2.2885573435740936</v>
      </c>
      <c r="L426" s="2406">
        <f ca="1">SUM(Transfer!G220,Transfer!G221,Transfer!G222,Transfer!G223,Transfer!G224,Transfer!G245,Transfer!G246)</f>
        <v>227.20968541828631</v>
      </c>
      <c r="M426" s="2647">
        <f ca="1">100*(((SUM(Transfer!G220,Transfer!G221,Transfer!G222,Transfer!G223,Transfer!G224,Transfer!G245,Transfer!G246))/(SUM(Transfer!F220,Transfer!F221,Transfer!F222,Transfer!F223,Transfer!F224,Transfer!F245,Transfer!F246)))-1)</f>
        <v>3.3316694712399064</v>
      </c>
      <c r="N426" s="2405"/>
      <c r="O426" s="54"/>
      <c r="P426" s="54"/>
      <c r="Q426" s="54"/>
      <c r="R426" s="54"/>
      <c r="S426" s="189"/>
      <c r="T426" s="1576" t="s">
        <v>815</v>
      </c>
      <c r="U426" s="49"/>
      <c r="V426" s="392"/>
      <c r="W426" s="439">
        <f t="shared" ca="1" si="21"/>
        <v>0</v>
      </c>
      <c r="X426" s="438">
        <f t="shared" ca="1" si="21"/>
        <v>0</v>
      </c>
      <c r="Y426" s="438">
        <f t="shared" ca="1" si="21"/>
        <v>0</v>
      </c>
      <c r="Z426" s="438">
        <f t="shared" ca="1" si="21"/>
        <v>0</v>
      </c>
      <c r="AA426" s="438">
        <f t="shared" ca="1" si="21"/>
        <v>0.30000000000001137</v>
      </c>
      <c r="AB426" s="438">
        <f t="shared" ca="1" si="21"/>
        <v>0.19999999999999973</v>
      </c>
      <c r="AC426" s="438">
        <f t="shared" ca="1" si="21"/>
        <v>0.29999999999998295</v>
      </c>
      <c r="AD426" s="441">
        <f t="shared" ca="1" si="21"/>
        <v>0</v>
      </c>
      <c r="AE426" s="199"/>
      <c r="AF426" s="45"/>
      <c r="AG426" s="45"/>
      <c r="AH426" s="45"/>
      <c r="AI426" s="45"/>
      <c r="AJ426" s="189"/>
      <c r="AK426" s="1576" t="s">
        <v>815</v>
      </c>
      <c r="AL426" s="49"/>
      <c r="AM426" s="255"/>
      <c r="AN426" s="140">
        <f>SUM(Transfer!AD220,Transfer!AD221,Transfer!AD222,Transfer!AD223,Transfer!AD224,Transfer!AD245,Transfer!AD246)</f>
        <v>211.21039999999999</v>
      </c>
      <c r="AO426" s="246">
        <f>100*(((SUM(Transfer!AD220,Transfer!AD221,Transfer!AD222,Transfer!AD223,Transfer!AD224,Transfer!AD245,Transfer!AD246))/(SUM(Transfer!AC220,Transfer!AC221,Transfer!AC222,Transfer!AC223,Transfer!AC224,Transfer!AC245,Transfer!AC246)))-1)</f>
        <v>2.4077236446433004</v>
      </c>
      <c r="AP426" s="140">
        <f>SUM(Transfer!AE220,Transfer!AE221,Transfer!AE222,Transfer!AE223,Transfer!AE224,Transfer!AE245,Transfer!AE246)</f>
        <v>214.96430000000001</v>
      </c>
      <c r="AQ426" s="246">
        <f>100*(((SUM(Transfer!AE220,Transfer!AE221,Transfer!AE222,Transfer!AE223,Transfer!AE224,Transfer!AE245,Transfer!AE246))/(SUM(Transfer!AD220,Transfer!AD221,Transfer!AD222,Transfer!AD223,Transfer!AD224,Transfer!AD245,Transfer!AD246)))-1)</f>
        <v>1.7773272528246897</v>
      </c>
      <c r="AR426" s="140">
        <f>SUM(Transfer!AF220,Transfer!AF221,Transfer!AF222,Transfer!AF223,Transfer!AF224,Transfer!AF245,Transfer!AF246)</f>
        <v>219.58300767371264</v>
      </c>
      <c r="AS426" s="246">
        <f>100*(((SUM(Transfer!AF220,Transfer!AF221,Transfer!AF222,Transfer!AF223,Transfer!AF224,Transfer!AF245,Transfer!AF246))/(SUM(Transfer!AE220,Transfer!AE221,Transfer!AE222,Transfer!AE223,Transfer!AE224,Transfer!AE245,Transfer!AE246)))-1)</f>
        <v>2.1485928936630927</v>
      </c>
      <c r="AT426" s="246">
        <f>SUM(Transfer!AG220,Transfer!AG221,Transfer!AG222,Transfer!AG223,Transfer!AG224,Transfer!AG245,Transfer!AG246)</f>
        <v>226.8962052144463</v>
      </c>
      <c r="AU426" s="250">
        <f>100*(((SUM(Transfer!AG220,Transfer!AG221,Transfer!AG222,Transfer!AG223,Transfer!AG224,Transfer!AG245,Transfer!AG246))/(SUM(Transfer!AF220,Transfer!AF221,Transfer!AF222,Transfer!AF223,Transfer!AF224,Transfer!AF245,Transfer!AF246)))-1)</f>
        <v>3.3304933829855443</v>
      </c>
      <c r="AV426" s="199"/>
      <c r="AW426" s="54"/>
      <c r="AX426" s="54"/>
      <c r="AY426" s="54"/>
      <c r="AZ426" s="54"/>
      <c r="BA426" s="1611" t="s">
        <v>1086</v>
      </c>
      <c r="BB426" s="1612"/>
      <c r="BC426" s="54"/>
    </row>
    <row r="427" spans="1:55">
      <c r="A427" s="45"/>
      <c r="B427" s="1575"/>
      <c r="C427" s="2344" t="s">
        <v>19</v>
      </c>
      <c r="D427" s="2303"/>
      <c r="E427" s="2600" t="s">
        <v>2058</v>
      </c>
      <c r="F427" s="2403">
        <f ca="1">SUM(Transfer!D213,Transfer!D214,Transfer!D215,Transfer!D217,Transfer!D243)-SUM(Transfer!D220,Transfer!D221,Transfer!D222,Transfer!D223,Transfer!D224,Transfer!D245,Transfer!D246)</f>
        <v>-0.4258999999999844</v>
      </c>
      <c r="G427" s="2688">
        <f ca="1">100*((SUM(Transfer!D213,Transfer!D214,Transfer!D215,Transfer!D217,Transfer!D243)-SUM(Transfer!D220,Transfer!D221,Transfer!D222,Transfer!D223,Transfer!D224,Transfer!D245,Transfer!D246))/(SUM(Transfer!C213,Transfer!C214,Transfer!C215,Transfer!C217,Transfer!C243)-SUM(Transfer!C220,Transfer!C221,Transfer!C222,Transfer!C223,Transfer!C224,Transfer!C245,Transfer!C246))-1)</f>
        <v>-164.50098440102684</v>
      </c>
      <c r="H427" s="1930">
        <f ca="1">SUM(Transfer!E213,Transfer!E214,Transfer!E215,Transfer!E217,Transfer!E243)-SUM(Transfer!E220,Transfer!E221,Transfer!E222,Transfer!E223,Transfer!E224,Transfer!E245,Transfer!E246)</f>
        <v>5.4364999999999952</v>
      </c>
      <c r="I427" s="2688">
        <f ca="1">100*((SUM(Transfer!E213,Transfer!E214,Transfer!E215,Transfer!E217,Transfer!E243)-SUM(Transfer!E220,Transfer!E221,Transfer!E222,Transfer!E223,Transfer!E224,Transfer!E245,Transfer!E246))/(SUM(Transfer!D213,Transfer!D214,Transfer!D215,Transfer!D217,Transfer!D243)-SUM(Transfer!D220,Transfer!D221,Transfer!D222,Transfer!D223,Transfer!D224,Transfer!D245,Transfer!D246))-1)</f>
        <v>-1376.4733505518184</v>
      </c>
      <c r="J427" s="2403">
        <f ca="1">SUM(Transfer!F213,Transfer!F214,Transfer!F215,Transfer!F217,Transfer!F243)-SUM(Transfer!F220,Transfer!F221,Transfer!F222,Transfer!F223,Transfer!F224,Transfer!F245,Transfer!F246)</f>
        <v>5.6464976161362586</v>
      </c>
      <c r="K427" s="2688">
        <f ca="1">100*((SUM(Transfer!F213,Transfer!F214,Transfer!F215,Transfer!F217,Transfer!F243)-SUM(Transfer!F220,Transfer!F221,Transfer!F222,Transfer!F223,Transfer!F224,Transfer!F245,Transfer!F246))/(SUM(Transfer!E213,Transfer!E214,Transfer!E215,Transfer!E217,Transfer!E243)-SUM(Transfer!E220,Transfer!E221,Transfer!E222,Transfer!E223,Transfer!E224,Transfer!E245,Transfer!E246))-1)</f>
        <v>3.8627355124853047</v>
      </c>
      <c r="L427" s="2403">
        <f ca="1">SUM(Transfer!G213,Transfer!G214,Transfer!G215,Transfer!G217,Transfer!G243)-SUM(Transfer!G220,Transfer!G221,Transfer!G222,Transfer!G223,Transfer!G224,Transfer!G245,Transfer!G246)</f>
        <v>4.8331139468459128</v>
      </c>
      <c r="M427" s="2689">
        <f ca="1">100*((SUM(Transfer!G213,Transfer!G214,Transfer!G215,Transfer!G217,Transfer!G243)-SUM(Transfer!G220,Transfer!G221,Transfer!G222,Transfer!G223,Transfer!G224,Transfer!G245,Transfer!G246))/(SUM(Transfer!F213,Transfer!F214,Transfer!F215,Transfer!F217,Transfer!F243)-SUM(Transfer!F220,Transfer!F221,Transfer!F222,Transfer!F223,Transfer!F224,Transfer!F245,Transfer!F246))-1)</f>
        <v>-14.405100729448673</v>
      </c>
      <c r="N427" s="2690"/>
      <c r="O427" s="54"/>
      <c r="P427" s="54"/>
      <c r="Q427" s="54"/>
      <c r="R427" s="54"/>
      <c r="S427" s="189"/>
      <c r="T427" s="2344" t="s">
        <v>19</v>
      </c>
      <c r="U427" s="100"/>
      <c r="V427" s="2283" t="s">
        <v>2058</v>
      </c>
      <c r="W427" s="1929">
        <f t="shared" ref="W427:AD431" ca="1" si="22">ROUND(F427,1)-ROUND(AN427,1)</f>
        <v>0</v>
      </c>
      <c r="X427" s="1930">
        <f t="shared" ca="1" si="22"/>
        <v>0</v>
      </c>
      <c r="Y427" s="1930">
        <f t="shared" ca="1" si="22"/>
        <v>0</v>
      </c>
      <c r="Z427" s="1930">
        <f t="shared" ca="1" si="22"/>
        <v>0</v>
      </c>
      <c r="AA427" s="1930">
        <f t="shared" ca="1" si="22"/>
        <v>0</v>
      </c>
      <c r="AB427" s="1930">
        <f t="shared" ca="1" si="22"/>
        <v>1.2999999999999998</v>
      </c>
      <c r="AC427" s="1930">
        <f t="shared" ca="1" si="22"/>
        <v>0.29999999999999982</v>
      </c>
      <c r="AD427" s="2298">
        <f t="shared" ca="1" si="22"/>
        <v>4.7000000000000011</v>
      </c>
      <c r="AE427" s="481"/>
      <c r="AF427" s="45"/>
      <c r="AG427" s="45"/>
      <c r="AH427" s="45"/>
      <c r="AI427" s="45"/>
      <c r="AJ427" s="189"/>
      <c r="AK427" s="2344" t="s">
        <v>19</v>
      </c>
      <c r="AL427" s="100"/>
      <c r="AM427" s="2283" t="s">
        <v>2058</v>
      </c>
      <c r="AN427" s="1930">
        <f>SUM(Transfer!AD213,Transfer!AD214,Transfer!AD215,Transfer!AD217,Transfer!AD243)-SUM(Transfer!AD220,Transfer!AD221,Transfer!AD222,Transfer!AD223,Transfer!AD224,Transfer!AD245,Transfer!AD246)</f>
        <v>-0.4258999999999844</v>
      </c>
      <c r="AO427" s="2294">
        <f>100*((SUM(Transfer!AD213,Transfer!AD214,Transfer!AD215,Transfer!AD217,Transfer!AD243)-SUM(Transfer!AD220,Transfer!AD221,Transfer!AD222,Transfer!AD223,Transfer!AD224,Transfer!AD245,Transfer!AD246))/(SUM(Transfer!AC213,Transfer!AC214,Transfer!AC215,Transfer!AC217,Transfer!AC243)-SUM(Transfer!AC220,Transfer!AC221,Transfer!AC222,Transfer!AC223,Transfer!AC224,Transfer!AC245,Transfer!AC246))-1)</f>
        <v>-164.50098440102684</v>
      </c>
      <c r="AP427" s="1930">
        <f>SUM(Transfer!AE213,Transfer!AE214,Transfer!AE215,Transfer!AE217,Transfer!AE243)-SUM(Transfer!AE220,Transfer!AE221,Transfer!AE222,Transfer!AE223,Transfer!AE224,Transfer!AE245,Transfer!AE246)</f>
        <v>5.4364999999999952</v>
      </c>
      <c r="AQ427" s="2294">
        <f>100*((SUM(Transfer!AE213,Transfer!AE214,Transfer!AE215,Transfer!AE217,Transfer!AE243)-SUM(Transfer!AE220,Transfer!AE221,Transfer!AE222,Transfer!AE223,Transfer!AE224,Transfer!AE245,Transfer!AE246))/(SUM(Transfer!AD213,Transfer!AD214,Transfer!AD215,Transfer!AD217,Transfer!AD243)-SUM(Transfer!AD220,Transfer!AD221,Transfer!AD222,Transfer!AD223,Transfer!AD224,Transfer!AD245,Transfer!AD246))-1)</f>
        <v>-1376.4733505518184</v>
      </c>
      <c r="AR427" s="1930">
        <f>SUM(Transfer!AF213,Transfer!AF214,Transfer!AF215,Transfer!AF217,Transfer!AF243)-SUM(Transfer!AF220,Transfer!AF221,Transfer!AF222,Transfer!AF223,Transfer!AF224,Transfer!AF245,Transfer!AF246)</f>
        <v>5.5761611113421452</v>
      </c>
      <c r="AS427" s="2294">
        <f>100*((SUM(Transfer!AF213,Transfer!AF214,Transfer!AF215,Transfer!AF217,Transfer!AF243)-SUM(Transfer!AF220,Transfer!AF221,Transfer!AF222,Transfer!AF223,Transfer!AF224,Transfer!AF245,Transfer!AF246))/(SUM(Transfer!AE213,Transfer!AE214,Transfer!AE215,Transfer!AE217,Transfer!AE243)-SUM(Transfer!AE220,Transfer!AE221,Transfer!AE222,Transfer!AE223,Transfer!AE224,Transfer!AE245,Transfer!AE246))-1)</f>
        <v>2.5689526596551104</v>
      </c>
      <c r="AT427" s="1930">
        <f>SUM(Transfer!AG213,Transfer!AG214,Transfer!AG215,Transfer!AG217,Transfer!AG243)-SUM(Transfer!AG220,Transfer!AG221,Transfer!AG222,Transfer!AG223,Transfer!AG224,Transfer!AG245,Transfer!AG246)</f>
        <v>4.5094942915639251</v>
      </c>
      <c r="AU427" s="2295">
        <f>100*((SUM(Transfer!AG213,Transfer!AG214,Transfer!AG215,Transfer!AG217,Transfer!AG243)-SUM(Transfer!AG220,Transfer!AG221,Transfer!AG222,Transfer!AG223,Transfer!AG224,Transfer!AG245,Transfer!AG246))/(SUM(Transfer!AF213,Transfer!AF214,Transfer!AF215,Transfer!AF217,Transfer!AF243)-SUM(Transfer!AF220,Transfer!AF221,Transfer!AF222,Transfer!AF223,Transfer!AF224,Transfer!AF245,Transfer!AF246))-1)</f>
        <v>-19.129053097274664</v>
      </c>
      <c r="AV427" s="481"/>
      <c r="AW427" s="54"/>
      <c r="AX427" s="54"/>
      <c r="AY427" s="54"/>
      <c r="AZ427" s="54"/>
      <c r="BA427" s="1613" t="s">
        <v>308</v>
      </c>
      <c r="BB427" s="1612"/>
      <c r="BC427" s="54"/>
    </row>
    <row r="428" spans="1:55">
      <c r="A428" s="45"/>
      <c r="B428" s="1575"/>
      <c r="C428" s="2416" t="s">
        <v>150</v>
      </c>
      <c r="D428" s="2417"/>
      <c r="E428" s="2487"/>
      <c r="F428" s="2411">
        <f ca="1">100*(SUM(Transfer!D213,Transfer!D214,Transfer!D215,Transfer!D217,Transfer!D243)-SUM(Transfer!D220,Transfer!D221,Transfer!D222,Transfer!D223,Transfer!D224,Transfer!D245,Transfer!D246))/Transfer!D147</f>
        <v>-0.10067405998934978</v>
      </c>
      <c r="G428" s="2411"/>
      <c r="H428" s="2691">
        <f ca="1">100*(SUM(Transfer!E213,Transfer!E214,Transfer!E215,Transfer!E217,Transfer!E243)-SUM(Transfer!E220,Transfer!E221,Transfer!E222,Transfer!E223,Transfer!E224,Transfer!E245,Transfer!E246))/Transfer!E147</f>
        <v>1.2398382976277833</v>
      </c>
      <c r="I428" s="2691"/>
      <c r="J428" s="2691">
        <f ca="1">100*(SUM(Transfer!F213,Transfer!F214,Transfer!F215,Transfer!F217,Transfer!F243)-SUM(Transfer!F220,Transfer!F221,Transfer!F222,Transfer!F223,Transfer!F224,Transfer!F245,Transfer!F246))/Transfer!F147</f>
        <v>1.2454420453654234</v>
      </c>
      <c r="K428" s="2691"/>
      <c r="L428" s="2691">
        <f ca="1">100*(SUM(Transfer!G213,Transfer!G214,Transfer!G215,Transfer!G217,Transfer!G243)-SUM(Transfer!G220,Transfer!G221,Transfer!G222,Transfer!G223,Transfer!G224,Transfer!G245,Transfer!G246))/Transfer!G147</f>
        <v>1.0304246810016098</v>
      </c>
      <c r="M428" s="2692"/>
      <c r="N428" s="2690"/>
      <c r="O428" s="54"/>
      <c r="P428" s="54"/>
      <c r="Q428" s="54"/>
      <c r="R428" s="54"/>
      <c r="S428" s="189"/>
      <c r="T428" s="2416" t="s">
        <v>150</v>
      </c>
      <c r="U428" s="1619"/>
      <c r="V428" s="392"/>
      <c r="W428" s="439">
        <f t="shared" ca="1" si="22"/>
        <v>0</v>
      </c>
      <c r="X428" s="438">
        <f t="shared" si="22"/>
        <v>0</v>
      </c>
      <c r="Y428" s="438">
        <f t="shared" ca="1" si="22"/>
        <v>0</v>
      </c>
      <c r="Z428" s="438">
        <f t="shared" si="22"/>
        <v>0</v>
      </c>
      <c r="AA428" s="438">
        <f t="shared" ca="1" si="22"/>
        <v>0</v>
      </c>
      <c r="AB428" s="438">
        <f t="shared" si="22"/>
        <v>0</v>
      </c>
      <c r="AC428" s="438">
        <f t="shared" ca="1" si="22"/>
        <v>0</v>
      </c>
      <c r="AD428" s="441">
        <f t="shared" si="22"/>
        <v>0</v>
      </c>
      <c r="AE428" s="481"/>
      <c r="AF428" s="45"/>
      <c r="AG428" s="45"/>
      <c r="AH428" s="45"/>
      <c r="AI428" s="45"/>
      <c r="AJ428" s="189"/>
      <c r="AK428" s="2416" t="s">
        <v>150</v>
      </c>
      <c r="AL428" s="1619"/>
      <c r="AM428" s="443"/>
      <c r="AN428" s="456">
        <f>100*(SUM(Transfer!AD213,Transfer!AD214,Transfer!AD215,Transfer!AD217,Transfer!AD243)-SUM(Transfer!AD220,Transfer!AD221,Transfer!AD222,Transfer!AD223,Transfer!AD224,Transfer!AD245,Transfer!AD246))/Transfer!AD147</f>
        <v>-0.10067405998934978</v>
      </c>
      <c r="AO428" s="456"/>
      <c r="AP428" s="2296">
        <f>100*(SUM(Transfer!AE213,Transfer!AE214,Transfer!AE215,Transfer!AE217,Transfer!AE243)-SUM(Transfer!AE220,Transfer!AE221,Transfer!AE222,Transfer!AE223,Transfer!AE224,Transfer!AE245,Transfer!AE246))/Transfer!AE147</f>
        <v>1.2398382976277833</v>
      </c>
      <c r="AQ428" s="2296"/>
      <c r="AR428" s="2296">
        <f>100*(SUM(Transfer!AF213,Transfer!AF214,Transfer!AF215,Transfer!AF217,Transfer!AF243)-SUM(Transfer!AF220,Transfer!AF221,Transfer!AF222,Transfer!AF223,Transfer!AF224,Transfer!AF245,Transfer!AF246))/Transfer!AF147</f>
        <v>1.2299279964186396</v>
      </c>
      <c r="AS428" s="2296"/>
      <c r="AT428" s="2296">
        <f>100*(SUM(Transfer!AG213,Transfer!AG214,Transfer!AG215,Transfer!AG217,Transfer!AG243)-SUM(Transfer!AG220,Transfer!AG221,Transfer!AG222,Transfer!AG223,Transfer!AG224,Transfer!AG245,Transfer!AG246))/Transfer!AG147</f>
        <v>0.96131922846457563</v>
      </c>
      <c r="AU428" s="2297"/>
      <c r="AV428" s="481"/>
      <c r="AW428" s="54"/>
      <c r="AX428" s="54"/>
      <c r="AY428" s="54"/>
      <c r="AZ428" s="54"/>
      <c r="BA428" s="1613" t="s">
        <v>1961</v>
      </c>
      <c r="BB428" s="1612"/>
      <c r="BC428" s="54"/>
    </row>
    <row r="429" spans="1:55">
      <c r="A429" s="45"/>
      <c r="B429" s="1575"/>
      <c r="C429" s="2344" t="s">
        <v>914</v>
      </c>
      <c r="D429" s="2303"/>
      <c r="E429" s="2600" t="s">
        <v>1679</v>
      </c>
      <c r="F429" s="2685">
        <f ca="1">Transfer!D225</f>
        <v>3.9711999999999996</v>
      </c>
      <c r="G429" s="2403">
        <f ca="1">100*((Transfer!D225/Transfer!C225)-1)</f>
        <v>3.4624703644842603</v>
      </c>
      <c r="H429" s="2685">
        <f ca="1">Transfer!E225</f>
        <v>4.0526999999999997</v>
      </c>
      <c r="I429" s="2693">
        <f ca="1">100*((Transfer!E225/Transfer!D225)-1)</f>
        <v>2.0522763900080676</v>
      </c>
      <c r="J429" s="2685">
        <f ca="1">Transfer!F225</f>
        <v>4.1563048756164438</v>
      </c>
      <c r="K429" s="2693">
        <f ca="1">100*((Transfer!F225/Transfer!E225)-1)</f>
        <v>2.5564407830938496</v>
      </c>
      <c r="L429" s="2403">
        <f ca="1">Transfer!G225</f>
        <v>4.4328693364110183</v>
      </c>
      <c r="M429" s="2694">
        <f ca="1">100*((Transfer!G225/Transfer!F225)-1)</f>
        <v>6.6540946603094397</v>
      </c>
      <c r="N429" s="2690"/>
      <c r="O429" s="54"/>
      <c r="P429" s="54" t="s">
        <v>465</v>
      </c>
      <c r="Q429" s="54"/>
      <c r="R429" s="54"/>
      <c r="S429" s="189"/>
      <c r="T429" s="2344" t="s">
        <v>914</v>
      </c>
      <c r="U429" s="100"/>
      <c r="V429" s="2283" t="s">
        <v>1679</v>
      </c>
      <c r="W429" s="1929">
        <f t="shared" ca="1" si="22"/>
        <v>0</v>
      </c>
      <c r="X429" s="1930">
        <f t="shared" ca="1" si="22"/>
        <v>0</v>
      </c>
      <c r="Y429" s="1930">
        <f t="shared" ca="1" si="22"/>
        <v>0</v>
      </c>
      <c r="Z429" s="1930">
        <f t="shared" ca="1" si="22"/>
        <v>0</v>
      </c>
      <c r="AA429" s="1930">
        <f t="shared" ca="1" si="22"/>
        <v>0</v>
      </c>
      <c r="AB429" s="1930">
        <f t="shared" ca="1" si="22"/>
        <v>0</v>
      </c>
      <c r="AC429" s="1930">
        <f t="shared" ca="1" si="22"/>
        <v>0</v>
      </c>
      <c r="AD429" s="2298">
        <f t="shared" ca="1" si="22"/>
        <v>0</v>
      </c>
      <c r="AE429" s="481"/>
      <c r="AF429" s="45"/>
      <c r="AG429" s="45"/>
      <c r="AH429" s="45"/>
      <c r="AI429" s="45"/>
      <c r="AJ429" s="189"/>
      <c r="AK429" s="2344" t="s">
        <v>914</v>
      </c>
      <c r="AL429" s="100"/>
      <c r="AM429" s="2283" t="s">
        <v>1679</v>
      </c>
      <c r="AN429" s="2271">
        <f>Transfer!AD225</f>
        <v>3.9711999999999996</v>
      </c>
      <c r="AO429" s="1930">
        <f>100*((Transfer!AD225/Transfer!AC225)-1)</f>
        <v>3.4624703644842603</v>
      </c>
      <c r="AP429" s="2271">
        <f>Transfer!AE225</f>
        <v>4.0526999999999997</v>
      </c>
      <c r="AQ429" s="2286">
        <f>100*((Transfer!AE225/Transfer!AD225)-1)</f>
        <v>2.0522763900080676</v>
      </c>
      <c r="AR429" s="2271">
        <f>Transfer!AF225</f>
        <v>4.1563048756164438</v>
      </c>
      <c r="AS429" s="2286">
        <f>100*((Transfer!AF225/Transfer!AE225)-1)</f>
        <v>2.5564407830938496</v>
      </c>
      <c r="AT429" s="1930">
        <f>Transfer!AG225</f>
        <v>4.4328693364110183</v>
      </c>
      <c r="AU429" s="2287">
        <f>100*((Transfer!AG225/Transfer!AF225)-1)</f>
        <v>6.6540946603094397</v>
      </c>
      <c r="AV429" s="481"/>
      <c r="AW429" s="54"/>
      <c r="AX429" s="54"/>
      <c r="AY429" s="54"/>
      <c r="AZ429" s="54"/>
      <c r="BA429" s="1611" t="s">
        <v>1680</v>
      </c>
      <c r="BB429" s="1612"/>
      <c r="BC429" s="54"/>
    </row>
    <row r="430" spans="1:55">
      <c r="A430" s="45"/>
      <c r="B430" s="1575"/>
      <c r="C430" s="1576" t="s">
        <v>915</v>
      </c>
      <c r="D430" s="2311"/>
      <c r="E430" s="2471" t="s">
        <v>1499</v>
      </c>
      <c r="F430" s="2646">
        <f ca="1">Transfer!D226</f>
        <v>9.3502999999999989</v>
      </c>
      <c r="G430" s="2406">
        <f ca="1">100*((Transfer!D226/Transfer!C226)-1)</f>
        <v>-0.86514912159798563</v>
      </c>
      <c r="H430" s="2646">
        <f ca="1">Transfer!E226</f>
        <v>9.704600000000001</v>
      </c>
      <c r="I430" s="2406">
        <f ca="1">100*((Transfer!E226/Transfer!D226)-1)</f>
        <v>3.7891832347625387</v>
      </c>
      <c r="J430" s="2646">
        <f ca="1">Transfer!F226</f>
        <v>10.871496631360001</v>
      </c>
      <c r="K430" s="2406">
        <f ca="1">100*((Transfer!F226/Transfer!E226)-1)</f>
        <v>12.024159999999995</v>
      </c>
      <c r="L430" s="2406">
        <f ca="1">Transfer!G226</f>
        <v>11.698817525006499</v>
      </c>
      <c r="M430" s="2407">
        <f ca="1">100*((Transfer!G226/Transfer!F226)-1)</f>
        <v>7.6100000000000056</v>
      </c>
      <c r="N430" s="2405"/>
      <c r="O430" s="54"/>
      <c r="P430" s="54"/>
      <c r="Q430" s="54"/>
      <c r="R430" s="54"/>
      <c r="S430" s="189"/>
      <c r="T430" s="1576" t="s">
        <v>915</v>
      </c>
      <c r="U430" s="49"/>
      <c r="V430" s="255" t="s">
        <v>1499</v>
      </c>
      <c r="W430" s="249">
        <f t="shared" ca="1" si="22"/>
        <v>0</v>
      </c>
      <c r="X430" s="246">
        <f t="shared" ca="1" si="22"/>
        <v>0</v>
      </c>
      <c r="Y430" s="246">
        <f t="shared" ca="1" si="22"/>
        <v>0</v>
      </c>
      <c r="Z430" s="246">
        <f t="shared" ca="1" si="22"/>
        <v>0</v>
      </c>
      <c r="AA430" s="246">
        <f t="shared" ca="1" si="22"/>
        <v>0</v>
      </c>
      <c r="AB430" s="246">
        <f t="shared" ca="1" si="22"/>
        <v>0</v>
      </c>
      <c r="AC430" s="246">
        <f t="shared" ca="1" si="22"/>
        <v>0</v>
      </c>
      <c r="AD430" s="250">
        <f t="shared" ca="1" si="22"/>
        <v>0</v>
      </c>
      <c r="AE430" s="199"/>
      <c r="AF430" s="45"/>
      <c r="AG430" s="45"/>
      <c r="AH430" s="45"/>
      <c r="AI430" s="45"/>
      <c r="AJ430" s="189"/>
      <c r="AK430" s="1576" t="s">
        <v>915</v>
      </c>
      <c r="AL430" s="49"/>
      <c r="AM430" s="255" t="s">
        <v>1499</v>
      </c>
      <c r="AN430" s="140">
        <f>Transfer!AD226</f>
        <v>9.3502999999999989</v>
      </c>
      <c r="AO430" s="246">
        <f>100*((Transfer!AD226/Transfer!AC226)-1)</f>
        <v>-0.86514912159798563</v>
      </c>
      <c r="AP430" s="140">
        <f>Transfer!AE226</f>
        <v>9.704600000000001</v>
      </c>
      <c r="AQ430" s="246">
        <f>100*((Transfer!AE226/Transfer!AD226)-1)</f>
        <v>3.7891832347625387</v>
      </c>
      <c r="AR430" s="140">
        <f>Transfer!AF226</f>
        <v>10.871496631360001</v>
      </c>
      <c r="AS430" s="246">
        <f>100*((Transfer!AF226/Transfer!AE226)-1)</f>
        <v>12.024159999999995</v>
      </c>
      <c r="AT430" s="246">
        <f>Transfer!AG226</f>
        <v>11.698817525006499</v>
      </c>
      <c r="AU430" s="321">
        <f>100*((Transfer!AG226/Transfer!AF226)-1)</f>
        <v>7.6100000000000056</v>
      </c>
      <c r="AV430" s="199"/>
      <c r="AW430" s="54"/>
      <c r="AX430" s="54"/>
      <c r="AY430" s="54"/>
      <c r="AZ430" s="54"/>
      <c r="BA430" s="1611" t="s">
        <v>309</v>
      </c>
      <c r="BB430" s="1612"/>
      <c r="BC430" s="54"/>
    </row>
    <row r="431" spans="1:55" ht="13.8" thickBot="1">
      <c r="A431" s="45"/>
      <c r="B431" s="1575"/>
      <c r="C431" s="1576" t="s">
        <v>149</v>
      </c>
      <c r="D431" s="2311"/>
      <c r="E431" s="2471"/>
      <c r="F431" s="2646">
        <f ca="1">Transfer!D227</f>
        <v>4.6873000000000005</v>
      </c>
      <c r="G431" s="2406">
        <f ca="1">100*((Transfer!D227/Transfer!C227)-1)</f>
        <v>-10.651722231753102</v>
      </c>
      <c r="H431" s="2646">
        <f ca="1">Transfer!E227</f>
        <v>4.3071999999999999</v>
      </c>
      <c r="I431" s="2406">
        <f ca="1">100*((Transfer!E227/Transfer!D227)-1)</f>
        <v>-8.109145990228928</v>
      </c>
      <c r="J431" s="2646">
        <f ca="1">Transfer!F227</f>
        <v>3.8738627361122964</v>
      </c>
      <c r="K431" s="2406">
        <f ca="1">100*((Transfer!F227/Transfer!E227)-1)</f>
        <v>-10.060764856233828</v>
      </c>
      <c r="L431" s="2406">
        <f ca="1">Transfer!G227</f>
        <v>3.8482905818873321</v>
      </c>
      <c r="M431" s="2407">
        <f ca="1">100*((Transfer!G227/Transfer!F227)-1)</f>
        <v>-0.6601202976703302</v>
      </c>
      <c r="N431" s="2405"/>
      <c r="O431" s="54"/>
      <c r="P431" s="54"/>
      <c r="Q431" s="54"/>
      <c r="R431" s="54"/>
      <c r="S431" s="189"/>
      <c r="T431" s="2355" t="s">
        <v>149</v>
      </c>
      <c r="U431" s="49"/>
      <c r="V431" s="255"/>
      <c r="W431" s="249">
        <f t="shared" ca="1" si="22"/>
        <v>0</v>
      </c>
      <c r="X431" s="246">
        <f t="shared" ca="1" si="22"/>
        <v>0</v>
      </c>
      <c r="Y431" s="246">
        <f t="shared" ca="1" si="22"/>
        <v>0</v>
      </c>
      <c r="Z431" s="246">
        <f t="shared" ca="1" si="22"/>
        <v>0</v>
      </c>
      <c r="AA431" s="246">
        <f t="shared" ca="1" si="22"/>
        <v>0</v>
      </c>
      <c r="AB431" s="246">
        <f t="shared" ca="1" si="22"/>
        <v>0</v>
      </c>
      <c r="AC431" s="246">
        <f t="shared" ca="1" si="22"/>
        <v>0</v>
      </c>
      <c r="AD431" s="250">
        <f t="shared" ca="1" si="22"/>
        <v>0</v>
      </c>
      <c r="AE431" s="199"/>
      <c r="AF431" s="45"/>
      <c r="AG431" s="45"/>
      <c r="AH431" s="45"/>
      <c r="AI431" s="45"/>
      <c r="AJ431" s="189"/>
      <c r="AK431" s="2355" t="s">
        <v>149</v>
      </c>
      <c r="AL431" s="182"/>
      <c r="AM431" s="393"/>
      <c r="AN431" s="482">
        <f>Transfer!AD227</f>
        <v>4.6873000000000005</v>
      </c>
      <c r="AO431" s="483">
        <f>100*((Transfer!AD227/Transfer!AC227)-1)</f>
        <v>-10.651722231753102</v>
      </c>
      <c r="AP431" s="482">
        <f>Transfer!AE227</f>
        <v>4.3071999999999999</v>
      </c>
      <c r="AQ431" s="483">
        <f>100*((Transfer!AE227/Transfer!AD227)-1)</f>
        <v>-8.109145990228928</v>
      </c>
      <c r="AR431" s="482">
        <f>Transfer!AF227</f>
        <v>3.8738627361122964</v>
      </c>
      <c r="AS431" s="483">
        <f>100*((Transfer!AF227/Transfer!AE227)-1)</f>
        <v>-10.060764856233828</v>
      </c>
      <c r="AT431" s="483">
        <f>Transfer!AG227</f>
        <v>3.8482905818873321</v>
      </c>
      <c r="AU431" s="484">
        <f>100*((Transfer!AG227/Transfer!AF227)-1)</f>
        <v>-0.6601202976703302</v>
      </c>
      <c r="AV431" s="199"/>
      <c r="AW431" s="54"/>
      <c r="AX431" s="54"/>
      <c r="AY431" s="54"/>
      <c r="AZ431" s="54"/>
      <c r="BA431" s="1611" t="s">
        <v>1681</v>
      </c>
      <c r="BB431" s="1612"/>
      <c r="BC431" s="54"/>
    </row>
    <row r="432" spans="1:55" ht="13.8" thickBot="1">
      <c r="A432" s="45"/>
      <c r="B432" s="1575"/>
      <c r="C432" s="3304" t="s">
        <v>1412</v>
      </c>
      <c r="D432" s="2311"/>
      <c r="E432" s="2471"/>
      <c r="F432" s="2646">
        <f ca="1">F430+F431</f>
        <v>14.037599999999999</v>
      </c>
      <c r="G432" s="2406"/>
      <c r="H432" s="2646">
        <f ca="1">H430+H431</f>
        <v>14.011800000000001</v>
      </c>
      <c r="I432" s="2406">
        <f ca="1">((H432-F432)/F432)*100</f>
        <v>-0.18379210121387196</v>
      </c>
      <c r="J432" s="2646">
        <f ca="1">J430+J431</f>
        <v>14.745359367472297</v>
      </c>
      <c r="K432" s="2406">
        <f ca="1">((J432-H432)/H432)*100</f>
        <v>5.2352971600529248</v>
      </c>
      <c r="L432" s="2646">
        <f ca="1">L430+L431</f>
        <v>15.54710810689383</v>
      </c>
      <c r="M432" s="2407">
        <f ca="1">((L432-J432)/J432)*100</f>
        <v>5.4372953513100608</v>
      </c>
      <c r="N432" s="2405"/>
      <c r="O432" s="54"/>
      <c r="P432" s="54"/>
      <c r="Q432" s="54"/>
      <c r="R432" s="54"/>
      <c r="S432" s="189"/>
      <c r="T432" s="1576"/>
      <c r="U432" s="49"/>
      <c r="V432" s="255"/>
      <c r="W432" s="140"/>
      <c r="X432" s="246"/>
      <c r="Y432" s="140"/>
      <c r="Z432" s="246"/>
      <c r="AA432" s="140"/>
      <c r="AB432" s="246"/>
      <c r="AC432" s="140"/>
      <c r="AD432" s="250"/>
      <c r="AE432" s="199"/>
      <c r="AF432" s="45"/>
      <c r="AG432" s="45"/>
      <c r="AH432" s="45"/>
      <c r="AI432" s="45"/>
      <c r="AJ432" s="189"/>
      <c r="AK432" s="1576"/>
      <c r="AL432" s="49"/>
      <c r="AM432" s="255"/>
      <c r="AN432" s="140"/>
      <c r="AO432" s="246"/>
      <c r="AP432" s="140"/>
      <c r="AQ432" s="246"/>
      <c r="AR432" s="140"/>
      <c r="AS432" s="246"/>
      <c r="AT432" s="140"/>
      <c r="AU432" s="484"/>
      <c r="AV432" s="199"/>
      <c r="AW432" s="54"/>
      <c r="AX432" s="54"/>
      <c r="AY432" s="54"/>
      <c r="AZ432" s="54"/>
      <c r="BA432" s="1611"/>
      <c r="BB432" s="1612"/>
      <c r="BC432" s="54"/>
    </row>
    <row r="433" spans="1:55" ht="13.8" thickBot="1">
      <c r="A433" s="45"/>
      <c r="B433" s="1575"/>
      <c r="C433" s="2618" t="s">
        <v>101</v>
      </c>
      <c r="D433" s="2311"/>
      <c r="E433" s="2471"/>
      <c r="F433" s="2646">
        <f ca="1">F437</f>
        <v>225.24799999999999</v>
      </c>
      <c r="G433" s="2406">
        <v>6.1857485776121681</v>
      </c>
      <c r="H433" s="2959">
        <f ca="1">H437</f>
        <v>228.9761</v>
      </c>
      <c r="I433" s="2406">
        <f ca="1">((H433-F433)/F433)*100</f>
        <v>1.6551090353743483</v>
      </c>
      <c r="J433" s="2646">
        <f ca="1">J437</f>
        <v>234.62924064118494</v>
      </c>
      <c r="K433" s="2406">
        <f ca="1">((J433-H433)/H433)*100</f>
        <v>2.4688780362600871</v>
      </c>
      <c r="L433" s="2646">
        <f ca="1">L437</f>
        <v>242.75679352518014</v>
      </c>
      <c r="M433" s="2407">
        <f ca="1">((L433-J433)/J433)*100</f>
        <v>3.46399829014686</v>
      </c>
      <c r="N433" s="2405"/>
      <c r="O433" s="54"/>
      <c r="P433" s="54"/>
      <c r="Q433" s="54"/>
      <c r="R433" s="54"/>
      <c r="S433" s="189"/>
      <c r="T433" s="1576"/>
      <c r="U433" s="49"/>
      <c r="V433" s="255"/>
      <c r="W433" s="140"/>
      <c r="X433" s="246"/>
      <c r="Y433" s="140"/>
      <c r="Z433" s="246"/>
      <c r="AA433" s="140"/>
      <c r="AB433" s="246"/>
      <c r="AC433" s="140"/>
      <c r="AD433" s="250"/>
      <c r="AE433" s="199"/>
      <c r="AF433" s="45"/>
      <c r="AG433" s="45"/>
      <c r="AH433" s="45"/>
      <c r="AI433" s="45"/>
      <c r="AJ433" s="189"/>
      <c r="AK433" s="1576"/>
      <c r="AL433" s="49"/>
      <c r="AM433" s="255"/>
      <c r="AN433" s="140"/>
      <c r="AO433" s="246"/>
      <c r="AP433" s="140"/>
      <c r="AQ433" s="246"/>
      <c r="AR433" s="140"/>
      <c r="AS433" s="246"/>
      <c r="AT433" s="140"/>
      <c r="AU433" s="484"/>
      <c r="AV433" s="199"/>
      <c r="AW433" s="54"/>
      <c r="AX433" s="54"/>
      <c r="AY433" s="54"/>
      <c r="AZ433" s="54"/>
      <c r="BA433" s="1611"/>
      <c r="BB433" s="1612"/>
      <c r="BC433" s="54"/>
    </row>
    <row r="434" spans="1:55" ht="13.8" thickBot="1">
      <c r="A434" s="45"/>
      <c r="B434" s="1575"/>
      <c r="C434" s="3304" t="s">
        <v>1355</v>
      </c>
      <c r="D434" s="2311"/>
      <c r="E434" s="2471"/>
      <c r="F434" s="2646">
        <f ca="1">F433-F423</f>
        <v>213.1318</v>
      </c>
      <c r="G434" s="2406"/>
      <c r="H434" s="2646">
        <f ca="1">H433-H423</f>
        <v>218.2</v>
      </c>
      <c r="I434" s="2585">
        <f ca="1">((H434-F434)/F434)*100</f>
        <v>2.3779651839847409</v>
      </c>
      <c r="J434" s="2697">
        <f ca="1">J433-J423</f>
        <v>224.41565306118494</v>
      </c>
      <c r="K434" s="2585">
        <f ca="1">((J434-H434)/H434)*100</f>
        <v>2.8486036027428745</v>
      </c>
      <c r="L434" s="2697">
        <f ca="1">L433-L423</f>
        <v>232.60857290569214</v>
      </c>
      <c r="M434" s="2698">
        <f ca="1">((L434-J434)/J434)*100</f>
        <v>3.6507791380637227</v>
      </c>
      <c r="N434" s="2405"/>
      <c r="O434" s="54"/>
      <c r="P434" s="54"/>
      <c r="Q434" s="54"/>
      <c r="R434" s="54"/>
      <c r="S434" s="189"/>
      <c r="T434" s="1576"/>
      <c r="U434" s="49"/>
      <c r="V434" s="255"/>
      <c r="W434" s="249"/>
      <c r="X434" s="246"/>
      <c r="Y434" s="246"/>
      <c r="Z434" s="246"/>
      <c r="AA434" s="246"/>
      <c r="AB434" s="246"/>
      <c r="AC434" s="246"/>
      <c r="AD434" s="250"/>
      <c r="AE434" s="199"/>
      <c r="AF434" s="45"/>
      <c r="AG434" s="45"/>
      <c r="AH434" s="45"/>
      <c r="AI434" s="45"/>
      <c r="AJ434" s="189"/>
      <c r="AK434" s="1576"/>
      <c r="AL434" s="49"/>
      <c r="AM434" s="255"/>
      <c r="AN434" s="140"/>
      <c r="AO434" s="246"/>
      <c r="AP434" s="140"/>
      <c r="AQ434" s="246"/>
      <c r="AR434" s="140"/>
      <c r="AS434" s="246"/>
      <c r="AT434" s="246"/>
      <c r="AU434" s="250"/>
      <c r="AV434" s="199"/>
      <c r="AW434" s="54"/>
      <c r="AX434" s="54"/>
      <c r="AY434" s="54"/>
      <c r="AZ434" s="54"/>
      <c r="BA434" s="1611"/>
      <c r="BB434" s="1612"/>
      <c r="BC434" s="54"/>
    </row>
    <row r="435" spans="1:55" ht="13.8" thickBot="1">
      <c r="A435" s="45"/>
      <c r="B435" s="1575"/>
      <c r="C435" s="3301"/>
      <c r="D435" s="2725"/>
      <c r="E435" s="2719"/>
      <c r="F435" s="3309" t="s">
        <v>1642</v>
      </c>
      <c r="G435" s="2712" t="s">
        <v>1682</v>
      </c>
      <c r="H435" s="3309" t="s">
        <v>1642</v>
      </c>
      <c r="I435" s="2712" t="s">
        <v>1682</v>
      </c>
      <c r="J435" s="3309" t="s">
        <v>1642</v>
      </c>
      <c r="K435" s="2712" t="s">
        <v>1682</v>
      </c>
      <c r="L435" s="3309" t="s">
        <v>1642</v>
      </c>
      <c r="M435" s="2700" t="s">
        <v>1682</v>
      </c>
      <c r="N435" s="2413"/>
      <c r="O435" s="54"/>
      <c r="P435" s="54"/>
      <c r="Q435" s="54"/>
      <c r="R435" s="54"/>
      <c r="S435" s="189"/>
      <c r="T435" s="1576"/>
      <c r="U435" s="492"/>
      <c r="V435" s="495"/>
      <c r="W435" s="493"/>
      <c r="X435" s="2290" t="s">
        <v>1682</v>
      </c>
      <c r="Y435" s="493"/>
      <c r="Z435" s="2290" t="s">
        <v>1682</v>
      </c>
      <c r="AA435" s="493"/>
      <c r="AB435" s="2290" t="s">
        <v>1682</v>
      </c>
      <c r="AC435" s="493"/>
      <c r="AD435" s="486" t="s">
        <v>1682</v>
      </c>
      <c r="AE435" s="455"/>
      <c r="AF435" s="45"/>
      <c r="AG435" s="45"/>
      <c r="AH435" s="45"/>
      <c r="AI435" s="45"/>
      <c r="AJ435" s="189"/>
      <c r="AK435" s="1576"/>
      <c r="AL435" s="49"/>
      <c r="AM435" s="255"/>
      <c r="AN435" s="140"/>
      <c r="AO435" s="485" t="s">
        <v>1682</v>
      </c>
      <c r="AP435" s="140"/>
      <c r="AQ435" s="485" t="s">
        <v>1682</v>
      </c>
      <c r="AR435" s="140"/>
      <c r="AS435" s="485" t="s">
        <v>1682</v>
      </c>
      <c r="AT435" s="140"/>
      <c r="AU435" s="486" t="s">
        <v>1682</v>
      </c>
      <c r="AV435" s="455"/>
      <c r="AW435" s="54"/>
      <c r="AX435" s="54"/>
      <c r="AY435" s="54"/>
      <c r="AZ435" s="54"/>
      <c r="BA435" s="1613" t="s">
        <v>109</v>
      </c>
      <c r="BB435" s="1612"/>
      <c r="BC435" s="54"/>
    </row>
    <row r="436" spans="1:55">
      <c r="A436" s="45"/>
      <c r="B436" s="1575"/>
      <c r="C436" s="2701" t="s">
        <v>102</v>
      </c>
      <c r="D436" s="2702"/>
      <c r="E436" s="2364" t="s">
        <v>1142</v>
      </c>
      <c r="F436" s="2703">
        <f ca="1">SUM(Transfer!D213,Transfer!D214,Transfer!D215,Transfer!D217,Transfer!D243,Transfer!D225)</f>
        <v>214.75570000000002</v>
      </c>
      <c r="G436" s="2704">
        <f ca="1">100*(SUM(Transfer!D213,Transfer!D214,Transfer!D215,Transfer!D217,Transfer!D243,Transfer!D225))/Transfer!D147</f>
        <v>50.763860589001169</v>
      </c>
      <c r="H436" s="2703">
        <f ca="1">SUM(Transfer!E213,Transfer!E214,Transfer!E215,Transfer!E217,Transfer!E243,Transfer!E225)</f>
        <v>224.45349999999999</v>
      </c>
      <c r="I436" s="2704">
        <f ca="1">100*(SUM(Transfer!E213,Transfer!E214,Transfer!E215,Transfer!E217,Transfer!E243,Transfer!E225))/Transfer!E147</f>
        <v>51.1884567895885</v>
      </c>
      <c r="J436" s="2703">
        <f ca="1">SUM(Transfer!F213,Transfer!F214,Transfer!F215,Transfer!F217,Transfer!F243,Transfer!F225)</f>
        <v>229.68668376546535</v>
      </c>
      <c r="K436" s="2704">
        <f ca="1">100*(SUM(Transfer!F213,Transfer!F214,Transfer!F215,Transfer!F217,Transfer!F243,Transfer!F225))/Transfer!F147</f>
        <v>50.661750463609735</v>
      </c>
      <c r="L436" s="2703">
        <f ca="1">SUM(Transfer!G213,Transfer!G214,Transfer!G215,Transfer!G217,Transfer!G243,Transfer!G225)</f>
        <v>236.47566870154324</v>
      </c>
      <c r="M436" s="3030">
        <f ca="1">100*(SUM(Transfer!G213,Transfer!G214,Transfer!G215,Transfer!G217,Transfer!G243,Transfer!G225))/Transfer!G147</f>
        <v>50.416846812694992</v>
      </c>
      <c r="N436" s="2413"/>
      <c r="O436" s="54"/>
      <c r="P436" s="3325">
        <f ca="1">H426+H430+H431</f>
        <v>228.9761</v>
      </c>
      <c r="Q436" s="54"/>
      <c r="R436" s="54"/>
      <c r="S436" s="189"/>
      <c r="T436" s="2701" t="s">
        <v>102</v>
      </c>
      <c r="U436" s="104"/>
      <c r="V436" s="433" t="s">
        <v>1142</v>
      </c>
      <c r="W436" s="249">
        <f t="shared" ref="W436:AD440" ca="1" si="23">ROUND(F436,1)-ROUND(AN436,1)</f>
        <v>0</v>
      </c>
      <c r="X436" s="246">
        <f t="shared" ca="1" si="23"/>
        <v>0</v>
      </c>
      <c r="Y436" s="246">
        <f t="shared" ca="1" si="23"/>
        <v>0</v>
      </c>
      <c r="Z436" s="246">
        <f t="shared" ca="1" si="23"/>
        <v>0</v>
      </c>
      <c r="AA436" s="246">
        <f t="shared" ca="1" si="23"/>
        <v>0.39999999999997726</v>
      </c>
      <c r="AB436" s="246">
        <f t="shared" ca="1" si="23"/>
        <v>0.10000000000000142</v>
      </c>
      <c r="AC436" s="246">
        <f t="shared" ca="1" si="23"/>
        <v>0.69999999999998863</v>
      </c>
      <c r="AD436" s="250">
        <f t="shared" ca="1" si="23"/>
        <v>0.10000000000000142</v>
      </c>
      <c r="AE436" s="455"/>
      <c r="AF436" s="45"/>
      <c r="AG436" s="45"/>
      <c r="AH436" s="45"/>
      <c r="AI436" s="45"/>
      <c r="AJ436" s="189"/>
      <c r="AK436" s="2701" t="s">
        <v>102</v>
      </c>
      <c r="AL436" s="1629"/>
      <c r="AM436" s="430" t="s">
        <v>1142</v>
      </c>
      <c r="AN436" s="487">
        <f>SUM(Transfer!AD213,Transfer!AD214,Transfer!AD215,Transfer!AD217,Transfer!AD243,Transfer!AD225)</f>
        <v>214.75570000000002</v>
      </c>
      <c r="AO436" s="1632">
        <f>100*(SUM(Transfer!AD213,Transfer!AD214,Transfer!AD215,Transfer!AD217,Transfer!AD243,Transfer!AD225))/Transfer!AD147</f>
        <v>50.763860589001169</v>
      </c>
      <c r="AP436" s="487">
        <f>SUM(Transfer!AE213,Transfer!AE214,Transfer!AE215,Transfer!AE217,Transfer!AE243,Transfer!AE225)</f>
        <v>224.45349999999999</v>
      </c>
      <c r="AQ436" s="1632">
        <f>100*(SUM(Transfer!AE213,Transfer!AE214,Transfer!AE215,Transfer!AE217,Transfer!AE243,Transfer!AE225))/Transfer!AE147</f>
        <v>51.1884567895885</v>
      </c>
      <c r="AR436" s="487">
        <f>SUM(Transfer!AF213,Transfer!AF214,Transfer!AF215,Transfer!AF217,Transfer!AF243,Transfer!AF225)</f>
        <v>229.31547366067124</v>
      </c>
      <c r="AS436" s="1632">
        <f>100*(SUM(Transfer!AF213,Transfer!AF214,Transfer!AF215,Transfer!AF217,Transfer!AF243,Transfer!AF225))/Transfer!AF147</f>
        <v>50.579873040894824</v>
      </c>
      <c r="AT436" s="487">
        <f>SUM(Transfer!AG213,Transfer!AG214,Transfer!AG215,Transfer!AG217,Transfer!AG243,Transfer!AG225)</f>
        <v>235.83856884242124</v>
      </c>
      <c r="AU436" s="1630">
        <f>100*(SUM(Transfer!AG213,Transfer!AG214,Transfer!AG215,Transfer!AG217,Transfer!AG243,Transfer!AG225))/Transfer!AG147</f>
        <v>50.275293942806897</v>
      </c>
      <c r="AV436" s="455"/>
      <c r="AW436" s="54"/>
      <c r="AX436" s="54"/>
      <c r="AY436" s="54"/>
      <c r="AZ436" s="54"/>
      <c r="BA436" s="1613" t="s">
        <v>110</v>
      </c>
      <c r="BB436" s="1612"/>
      <c r="BC436" s="54"/>
    </row>
    <row r="437" spans="1:55">
      <c r="A437" s="45"/>
      <c r="B437" s="1575"/>
      <c r="C437" s="2618" t="s">
        <v>101</v>
      </c>
      <c r="D437" s="2313"/>
      <c r="E437" s="2366" t="s">
        <v>1143</v>
      </c>
      <c r="F437" s="2406">
        <f ca="1">SUM(Transfer!D220,Transfer!D221,Transfer!D222,Transfer!D223,Transfer!D224,Transfer!D245,Transfer!D246,Transfer!D226,Transfer!D227)</f>
        <v>225.24799999999999</v>
      </c>
      <c r="G437" s="2699">
        <f ca="1">100*((SUM(Transfer!D220,Transfer!D221,Transfer!D222,Transfer!D223,Transfer!D224,Transfer!D245,Transfer!D246,Transfer!D226,Transfer!D227)/Transfer!D147))</f>
        <v>53.244025979060552</v>
      </c>
      <c r="H437" s="2406">
        <f ca="1">SUM(Transfer!E220,Transfer!E221,Transfer!E222,Transfer!E223,Transfer!E224,Transfer!E245,Transfer!E246,Transfer!E226,Transfer!E227)</f>
        <v>228.9761</v>
      </c>
      <c r="I437" s="2699">
        <f ca="1">100*((SUM(Transfer!E220,Transfer!E221,Transfer!E222,Transfer!E223,Transfer!E224,Transfer!E245,Transfer!E246,Transfer!E226,Transfer!E227)/Transfer!E147))</f>
        <v>52.219872716168368</v>
      </c>
      <c r="J437" s="2406">
        <f ca="1">SUM(Transfer!F220,Transfer!F221,Transfer!F222,Transfer!F223,Transfer!F224,Transfer!F245,Transfer!F246,Transfer!F226,Transfer!F227)</f>
        <v>234.62924064118494</v>
      </c>
      <c r="K437" s="2699">
        <f ca="1">100*((SUM(Transfer!F220,Transfer!F221,Transfer!F222,Transfer!F223,Transfer!F224,Transfer!F245,Transfer!F246,Transfer!F226,Transfer!F227)/Transfer!F147))</f>
        <v>51.751925039622982</v>
      </c>
      <c r="L437" s="2406">
        <f ca="1">SUM(Transfer!G220,Transfer!G221,Transfer!G222,Transfer!G223,Transfer!G224,Transfer!G245,Transfer!G246,Transfer!G226,Transfer!G227)</f>
        <v>242.75679352518014</v>
      </c>
      <c r="M437" s="2583">
        <f ca="1">100*((SUM(Transfer!G220,Transfer!G221,Transfer!G222,Transfer!G223,Transfer!G224,Transfer!G245,Transfer!G246,Transfer!G226,Transfer!G227)/Transfer!G147))</f>
        <v>51.755988846983492</v>
      </c>
      <c r="N437" s="2413"/>
      <c r="O437" s="54"/>
      <c r="P437" s="54"/>
      <c r="Q437" s="54"/>
      <c r="R437" s="54"/>
      <c r="S437" s="189"/>
      <c r="T437" s="2618" t="s">
        <v>101</v>
      </c>
      <c r="U437" s="104"/>
      <c r="V437" s="433" t="s">
        <v>1143</v>
      </c>
      <c r="W437" s="249">
        <f t="shared" ca="1" si="23"/>
        <v>0</v>
      </c>
      <c r="X437" s="246">
        <f t="shared" ca="1" si="23"/>
        <v>0</v>
      </c>
      <c r="Y437" s="246">
        <f t="shared" ca="1" si="23"/>
        <v>0</v>
      </c>
      <c r="Z437" s="246">
        <f t="shared" ca="1" si="23"/>
        <v>0</v>
      </c>
      <c r="AA437" s="246">
        <f t="shared" ca="1" si="23"/>
        <v>0.29999999999998295</v>
      </c>
      <c r="AB437" s="246">
        <f t="shared" ca="1" si="23"/>
        <v>9.9999999999994316E-2</v>
      </c>
      <c r="AC437" s="246">
        <f t="shared" ca="1" si="23"/>
        <v>0.40000000000000568</v>
      </c>
      <c r="AD437" s="250">
        <f t="shared" ca="1" si="23"/>
        <v>9.9999999999994316E-2</v>
      </c>
      <c r="AE437" s="455"/>
      <c r="AF437" s="45"/>
      <c r="AG437" s="45"/>
      <c r="AH437" s="45"/>
      <c r="AI437" s="45"/>
      <c r="AJ437" s="189"/>
      <c r="AK437" s="2618" t="s">
        <v>101</v>
      </c>
      <c r="AL437" s="104"/>
      <c r="AM437" s="433" t="s">
        <v>1143</v>
      </c>
      <c r="AN437" s="246">
        <f>SUM(Transfer!AD220,Transfer!AD221,Transfer!AD222,Transfer!AD223,Transfer!AD224,Transfer!AD245,Transfer!AD246,Transfer!AD226,Transfer!AD227)</f>
        <v>225.24799999999999</v>
      </c>
      <c r="AO437" s="485">
        <f>100*((SUM(Transfer!AD220,Transfer!AD221,Transfer!AD222,Transfer!AD223,Transfer!AD224,Transfer!AD245,Transfer!AD246,Transfer!AD226,Transfer!AD227)/Transfer!AD147))</f>
        <v>53.244025979060552</v>
      </c>
      <c r="AP437" s="246">
        <f>SUM(Transfer!AE220,Transfer!AE221,Transfer!AE222,Transfer!AE223,Transfer!AE224,Transfer!AE245,Transfer!AE246,Transfer!AE226,Transfer!AE227)</f>
        <v>228.9761</v>
      </c>
      <c r="AQ437" s="485">
        <f>100*((SUM(Transfer!AE220,Transfer!AE221,Transfer!AE222,Transfer!AE223,Transfer!AE224,Transfer!AE245,Transfer!AE246,Transfer!AE226,Transfer!AE227)/Transfer!AE147))</f>
        <v>52.219872716168368</v>
      </c>
      <c r="AR437" s="246">
        <f>SUM(Transfer!AF220,Transfer!AF221,Transfer!AF222,Transfer!AF223,Transfer!AF224,Transfer!AF245,Transfer!AF246,Transfer!AF226,Transfer!AF227)</f>
        <v>234.32836704118495</v>
      </c>
      <c r="AS437" s="485">
        <f>100*((SUM(Transfer!AF220,Transfer!AF221,Transfer!AF222,Transfer!AF223,Transfer!AF224,Transfer!AF245,Transfer!AF246,Transfer!AF226,Transfer!AF227)/Transfer!AF147))</f>
        <v>51.685561665854863</v>
      </c>
      <c r="AT437" s="246">
        <f>SUM(Transfer!AG220,Transfer!AG221,Transfer!AG222,Transfer!AG223,Transfer!AG224,Transfer!AG245,Transfer!AG246,Transfer!AG226,Transfer!AG227)</f>
        <v>242.44331332134013</v>
      </c>
      <c r="AU437" s="1631">
        <f>100*((SUM(Transfer!AG220,Transfer!AG221,Transfer!AG222,Transfer!AG223,Transfer!AG224,Transfer!AG245,Transfer!AG246,Transfer!AG226,Transfer!AG227)/Transfer!AG147))</f>
        <v>51.683271746117967</v>
      </c>
      <c r="AV437" s="455"/>
      <c r="AW437" s="54"/>
      <c r="AX437" s="54"/>
      <c r="AY437" s="54"/>
      <c r="AZ437" s="54"/>
      <c r="BA437" s="1613" t="s">
        <v>466</v>
      </c>
      <c r="BB437" s="1612"/>
      <c r="BC437" s="54"/>
    </row>
    <row r="438" spans="1:55">
      <c r="A438" s="45"/>
      <c r="B438" s="1575"/>
      <c r="C438" s="2618" t="s">
        <v>151</v>
      </c>
      <c r="D438" s="2313"/>
      <c r="E438" s="2366" t="s">
        <v>1647</v>
      </c>
      <c r="F438" s="2959">
        <f ca="1">SUM(Transfer!D213,Transfer!D214,Transfer!D215,Transfer!D217,Transfer!D243,Transfer!D225)-SUM(Transfer!D220,Transfer!D221,Transfer!D222,Transfer!D223,Transfer!D224,Transfer!D245,Transfer!D246,Transfer!D226,Transfer!D227)</f>
        <v>-10.492299999999972</v>
      </c>
      <c r="G438" s="2699">
        <f ca="1">100*(SUM(Transfer!D213,Transfer!D214,Transfer!D215,Transfer!D217,Transfer!D243,Transfer!D225)-SUM(Transfer!D220,Transfer!D221,Transfer!D222,Transfer!D223,Transfer!D224,Transfer!D245,Transfer!D246,Transfer!D226,Transfer!D227))/Transfer!D147</f>
        <v>-2.4801653900593816</v>
      </c>
      <c r="H438" s="2646">
        <f ca="1">SUM(Transfer!E213,Transfer!E214,Transfer!E215,Transfer!E217,Transfer!E243,Transfer!E225)-SUM(Transfer!E220,Transfer!E221,Transfer!E222,Transfer!E223,Transfer!E224,Transfer!E245,Transfer!E246,Transfer!E226,Transfer!E227)</f>
        <v>-4.5226000000000113</v>
      </c>
      <c r="I438" s="3334">
        <f ca="1">100*(SUM(Transfer!E213,Transfer!E214,Transfer!E215,Transfer!E217,Transfer!E243,Transfer!E225)-SUM(Transfer!E220,Transfer!E221,Transfer!E222,Transfer!E223,Transfer!E224,Transfer!E245,Transfer!E246,Transfer!E226,Transfer!E227))/Transfer!E147</f>
        <v>-1.0314159265798641</v>
      </c>
      <c r="J438" s="2646">
        <f ca="1">SUM(Transfer!F213,Transfer!F214,Transfer!F215,Transfer!F217,Transfer!F243,Transfer!F225)-SUM(Transfer!F220,Transfer!F221,Transfer!F222,Transfer!F223,Transfer!F224,Transfer!F245,Transfer!F246,Transfer!F226,Transfer!F227)</f>
        <v>-4.942556875719589</v>
      </c>
      <c r="K438" s="2699">
        <f ca="1">100*(SUM(Transfer!F213,Transfer!F214,Transfer!F215,Transfer!F217,Transfer!F243,Transfer!F225)-SUM(Transfer!F220,Transfer!F221,Transfer!F222,Transfer!F223,Transfer!F224,Transfer!F245,Transfer!F246,Transfer!F226,Transfer!F227))/Transfer!F147</f>
        <v>-1.0901745760132444</v>
      </c>
      <c r="L438" s="2646">
        <f ca="1">SUM(Transfer!G213,Transfer!G214,Transfer!G215,Transfer!G217,Transfer!G243,Transfer!G225)-SUM(Transfer!G220,Transfer!G221,Transfer!G222,Transfer!G223,Transfer!G224,Transfer!G245,Transfer!G246,Transfer!G226,Transfer!G227)</f>
        <v>-6.2811248236369011</v>
      </c>
      <c r="M438" s="3335">
        <f ca="1">100*(SUM(Transfer!G213,Transfer!G214,Transfer!G215,Transfer!G217,Transfer!G243,Transfer!G225)-SUM(Transfer!G220,Transfer!G221,Transfer!G222,Transfer!G223,Transfer!G224,Transfer!G245,Transfer!G246,Transfer!G226,Transfer!G227))/Transfer!G147</f>
        <v>-1.3391420342884979</v>
      </c>
      <c r="N438" s="2413"/>
      <c r="O438" s="54"/>
      <c r="P438" s="54"/>
      <c r="Q438" s="54"/>
      <c r="R438" s="54"/>
      <c r="S438" s="189"/>
      <c r="T438" s="2618" t="s">
        <v>151</v>
      </c>
      <c r="U438" s="104"/>
      <c r="V438" s="433" t="s">
        <v>1647</v>
      </c>
      <c r="W438" s="249">
        <f t="shared" ca="1" si="23"/>
        <v>0</v>
      </c>
      <c r="X438" s="246">
        <f t="shared" ca="1" si="23"/>
        <v>0</v>
      </c>
      <c r="Y438" s="246">
        <f t="shared" ca="1" si="23"/>
        <v>0</v>
      </c>
      <c r="Z438" s="246">
        <f t="shared" ca="1" si="23"/>
        <v>0</v>
      </c>
      <c r="AA438" s="246">
        <f t="shared" ca="1" si="23"/>
        <v>9.9999999999999645E-2</v>
      </c>
      <c r="AB438" s="246">
        <f t="shared" ca="1" si="23"/>
        <v>0</v>
      </c>
      <c r="AC438" s="246">
        <f t="shared" ca="1" si="23"/>
        <v>0.29999999999999982</v>
      </c>
      <c r="AD438" s="250">
        <f t="shared" ca="1" si="23"/>
        <v>9.9999999999999867E-2</v>
      </c>
      <c r="AE438" s="455"/>
      <c r="AF438" s="45"/>
      <c r="AG438" s="45"/>
      <c r="AH438" s="45"/>
      <c r="AI438" s="45"/>
      <c r="AJ438" s="189"/>
      <c r="AK438" s="2618" t="s">
        <v>151</v>
      </c>
      <c r="AL438" s="104"/>
      <c r="AM438" s="433" t="s">
        <v>1647</v>
      </c>
      <c r="AN438" s="140">
        <f>SUM(Transfer!AD213,Transfer!AD214,Transfer!AD215,Transfer!AD217,Transfer!AD243,Transfer!AD225)-SUM(Transfer!AD220,Transfer!AD221,Transfer!AD222,Transfer!AD223,Transfer!AD224,Transfer!AD245,Transfer!AD246,Transfer!AD226,Transfer!AD227)</f>
        <v>-10.492299999999972</v>
      </c>
      <c r="AO438" s="485">
        <f>100*(SUM(Transfer!AD213,Transfer!AD214,Transfer!AD215,Transfer!AD217,Transfer!AD243,Transfer!AD225)-SUM(Transfer!AD220,Transfer!AD221,Transfer!AD222,Transfer!AD223,Transfer!AD224,Transfer!AD245,Transfer!AD246,Transfer!AD226,Transfer!AD227))/Transfer!AD147</f>
        <v>-2.4801653900593816</v>
      </c>
      <c r="AP438" s="140">
        <f>SUM(Transfer!AE213,Transfer!AE214,Transfer!AE215,Transfer!AE217,Transfer!AE243,Transfer!AE225)-SUM(Transfer!AE220,Transfer!AE221,Transfer!AE222,Transfer!AE223,Transfer!AE224,Transfer!AE245,Transfer!AE246,Transfer!AE226,Transfer!AE227)</f>
        <v>-4.5226000000000113</v>
      </c>
      <c r="AQ438" s="1814">
        <f>100*(SUM(Transfer!AE213,Transfer!AE214,Transfer!AE215,Transfer!AE217,Transfer!AE243,Transfer!AE225)-SUM(Transfer!AE220,Transfer!AE221,Transfer!AE222,Transfer!AE223,Transfer!AE224,Transfer!AE245,Transfer!AE246,Transfer!AE226,Transfer!AE227))/Transfer!AE147</f>
        <v>-1.0314159265798641</v>
      </c>
      <c r="AR438" s="140">
        <f>SUM(Transfer!AF213,Transfer!AF214,Transfer!AF215,Transfer!AF217,Transfer!AF243,Transfer!AF225)-SUM(Transfer!AF220,Transfer!AF221,Transfer!AF222,Transfer!AF223,Transfer!AF224,Transfer!AF245,Transfer!AF246,Transfer!AF226,Transfer!AF227)</f>
        <v>-5.0128933805137024</v>
      </c>
      <c r="AS438" s="485">
        <f>100*(SUM(Transfer!AF213,Transfer!AF214,Transfer!AF215,Transfer!AF217,Transfer!AF243,Transfer!AF225)-SUM(Transfer!AF220,Transfer!AF221,Transfer!AF222,Transfer!AF223,Transfer!AF224,Transfer!AF245,Transfer!AF246,Transfer!AF226,Transfer!AF227))/Transfer!AF147</f>
        <v>-1.1056886249600282</v>
      </c>
      <c r="AT438" s="140">
        <f>SUM(Transfer!AG213,Transfer!AG214,Transfer!AG215,Transfer!AG217,Transfer!AG243,Transfer!AG225)-SUM(Transfer!AG220,Transfer!AG221,Transfer!AG222,Transfer!AG223,Transfer!AG224,Transfer!AG245,Transfer!AG246,Transfer!AG226,Transfer!AG227)</f>
        <v>-6.6047444789188887</v>
      </c>
      <c r="AU438" s="488">
        <f>100*(SUM(Transfer!AG213,Transfer!AG214,Transfer!AG215,Transfer!AG217,Transfer!AG243,Transfer!AG225)-SUM(Transfer!AG220,Transfer!AG221,Transfer!AG222,Transfer!AG223,Transfer!AG224,Transfer!AG245,Transfer!AG246,Transfer!AG226,Transfer!AG227))/Transfer!AG147</f>
        <v>-1.407977803311067</v>
      </c>
      <c r="AV438" s="455"/>
      <c r="AW438" s="54"/>
      <c r="AX438" s="54"/>
      <c r="AY438" s="54"/>
      <c r="AZ438" s="54"/>
      <c r="BA438" s="1613" t="s">
        <v>1668</v>
      </c>
      <c r="BB438" s="1612"/>
      <c r="BC438" s="54"/>
    </row>
    <row r="439" spans="1:55">
      <c r="A439" s="45"/>
      <c r="B439" s="1575"/>
      <c r="C439" s="2333" t="s">
        <v>187</v>
      </c>
      <c r="D439" s="2352"/>
      <c r="E439" s="2706"/>
      <c r="F439" s="2651">
        <f ca="1">SUM(Transfer!D213,Transfer!D214,Transfer!D215,Transfer!D217,Transfer!D243,Transfer!D225)-SUM(Transfer!D220,Transfer!D221,Transfer!D223,Transfer!D224,Transfer!D245,Transfer!D246,Transfer!D226,Transfer!D227)</f>
        <v>1.6239000000000203</v>
      </c>
      <c r="G439" s="2649">
        <f ca="1">100*(SUM(Transfer!D213,Transfer!D214,Transfer!D215,Transfer!D217,Transfer!D243,Transfer!D225)-SUM(Transfer!D220,Transfer!D221,,Transfer!D223,Transfer!D224,Transfer!D245,Transfer!D246,Transfer!D226,Transfer!D227))/Transfer!D147</f>
        <v>0.38385678801764062</v>
      </c>
      <c r="H439" s="2651">
        <f ca="1">SUM(Transfer!E213,Transfer!E214,Transfer!E215,Transfer!E217,Transfer!E243,Transfer!E225,)-SUM(Transfer!E220,Transfer!E221,Transfer!E223,Transfer!E224,Transfer!E245,Transfer!E246,Transfer!E226,Transfer!E227)</f>
        <v>6.2535000000000025</v>
      </c>
      <c r="I439" s="2649">
        <f ca="1">100*(SUM(Transfer!E213,Transfer!E214,Transfer!E215,Transfer!E217,Transfer!E243,Transfer!E225)-SUM(Transfer!E220,Transfer!E221,Transfer!E223,Transfer!E224,Transfer!E245,Transfer!E246,Transfer!E226,Transfer!E227))/Transfer!E147</f>
        <v>1.4261618309970299</v>
      </c>
      <c r="J439" s="2651">
        <f ca="1">SUM(Transfer!F213,Transfer!F214,Transfer!F215,Transfer!F217,Transfer!F243,Transfer!F225)-SUM(Transfer!F220,Transfer!F221,Transfer!F223,Transfer!F224,Transfer!F245,Transfer!F246,Transfer!F226,Transfer!F227)</f>
        <v>5.2710307042804061</v>
      </c>
      <c r="K439" s="2649">
        <f ca="1">100*(SUM(Transfer!F213,Transfer!F214,Transfer!F215,Transfer!F217,Transfer!F243,Transfer!F225)-SUM(Transfer!F220,Transfer!F221,Transfer!F223,Transfer!F224,Transfer!F245,Transfer!F246,Transfer!F226,Transfer!F227))/Transfer!F147</f>
        <v>1.1626257031903295</v>
      </c>
      <c r="L439" s="2649">
        <f ca="1">SUM(Transfer!G213,Transfer!G214,Transfer!G215,Transfer!G217,Transfer!G243,Transfer!G225)-SUM(Transfer!G220,Transfer!G221,Transfer!G223,Transfer!G224,Transfer!G245,Transfer!G246,Transfer!G226,Transfer!G227)</f>
        <v>3.8670957958511281</v>
      </c>
      <c r="M439" s="3308">
        <f ca="1">100*(SUM(Transfer!G213,Transfer!G214,Transfer!G215,Transfer!G217,Transfer!G243,Transfer!G225)-SUM(Transfer!G220,Transfer!G221,Transfer!G223,Transfer!G224,Transfer!G245,Transfer!G246,Transfer!G226,Transfer!G227))/Transfer!G147</f>
        <v>0.82446865430164562</v>
      </c>
      <c r="N439" s="2559"/>
      <c r="O439" s="54"/>
      <c r="P439" s="54"/>
      <c r="Q439" s="54"/>
      <c r="R439" s="54"/>
      <c r="S439" s="189"/>
      <c r="T439" s="2705" t="s">
        <v>187</v>
      </c>
      <c r="U439" s="478"/>
      <c r="V439" s="479"/>
      <c r="W439" s="439">
        <f t="shared" ca="1" si="23"/>
        <v>0</v>
      </c>
      <c r="X439" s="438">
        <f t="shared" ca="1" si="23"/>
        <v>0</v>
      </c>
      <c r="Y439" s="438">
        <f t="shared" ca="1" si="23"/>
        <v>0</v>
      </c>
      <c r="Z439" s="438">
        <f t="shared" ca="1" si="23"/>
        <v>0</v>
      </c>
      <c r="AA439" s="438">
        <f t="shared" ca="1" si="23"/>
        <v>9.9999999999999645E-2</v>
      </c>
      <c r="AB439" s="438">
        <f t="shared" ca="1" si="23"/>
        <v>9.9999999999999867E-2</v>
      </c>
      <c r="AC439" s="438">
        <f t="shared" ca="1" si="23"/>
        <v>0.39999999999999991</v>
      </c>
      <c r="AD439" s="441">
        <f t="shared" ca="1" si="23"/>
        <v>0</v>
      </c>
      <c r="AE439" s="477"/>
      <c r="AF439" s="45"/>
      <c r="AG439" s="45"/>
      <c r="AH439" s="45"/>
      <c r="AI439" s="45"/>
      <c r="AJ439" s="189"/>
      <c r="AK439" s="2705" t="s">
        <v>187</v>
      </c>
      <c r="AL439" s="478"/>
      <c r="AM439" s="479"/>
      <c r="AN439" s="440">
        <f>SUM(Transfer!AD213,Transfer!AD214,Transfer!AD215,Transfer!AD217,Transfer!AD243,Transfer!AD225)-SUM(Transfer!AD220,Transfer!AD221,Transfer!AD223,Transfer!AD224,Transfer!AD245,Transfer!AD246,Transfer!AD226,Transfer!AD227)</f>
        <v>1.6239000000000203</v>
      </c>
      <c r="AO439" s="438">
        <f>100*(SUM(Transfer!AD213,Transfer!AD214,Transfer!AD215,Transfer!AD217,Transfer!AD243,Transfer!AD225)-SUM(Transfer!AD220,Transfer!AD221,Transfer!AD223,Transfer!AD224,Transfer!AD245,Transfer!AD246,Transfer!AD226,Transfer!AD227))/Transfer!AD147</f>
        <v>0.38385678801764062</v>
      </c>
      <c r="AP439" s="440">
        <f>SUM(Transfer!AE213,Transfer!AE214,Transfer!AE215,Transfer!AE217,Transfer!AE243,Transfer!AE225)-SUM(Transfer!AE220,Transfer!AE221,Transfer!AE223,Transfer!AE224,Transfer!AE245,Transfer!AE246,Transfer!AE226,Transfer!AE227)</f>
        <v>6.2535000000000025</v>
      </c>
      <c r="AQ439" s="438">
        <f>100*(SUM(Transfer!AE213,Transfer!AE214,Transfer!AE215,Transfer!AE217,Transfer!AE243,Transfer!AE225)-SUM(Transfer!AE220,Transfer!AE221,Transfer!AE223,Transfer!AE224,Transfer!AE245,Transfer!AE246,Transfer!AE226,Transfer!AE227))/Transfer!AE147</f>
        <v>1.4261618309970299</v>
      </c>
      <c r="AR439" s="440">
        <f>SUM(Transfer!AF213,Transfer!AF214,Transfer!AF215,Transfer!AF217,Transfer!AF243,Transfer!AF225)-SUM(Transfer!AF220,Transfer!AF221,Transfer!AF223,Transfer!AF224,Transfer!AF245,Transfer!AF246,Transfer!AF226,Transfer!AF227)</f>
        <v>5.2006941994862927</v>
      </c>
      <c r="AS439" s="438">
        <f>100*(SUM(Transfer!AF213,Transfer!AF214,Transfer!AF215,Transfer!AF217,Transfer!AF243,Transfer!AF225)-SUM(Transfer!AF220,Transfer!AF221,Transfer!AF223,Transfer!AF224,Transfer!AF245,Transfer!AF246,Transfer!AF226,Transfer!AF227))/Transfer!AF147</f>
        <v>1.1471116542435458</v>
      </c>
      <c r="AT439" s="440">
        <f>SUM(Transfer!AG213,Transfer!AG214,Transfer!AG215,Transfer!AG217,Transfer!AG243,Transfer!AG225)-SUM(Transfer!AG220,Transfer!AG221,Transfer!AG223,Transfer!AG224,Transfer!AG245,Transfer!AG246,Transfer!AG226,Transfer!AG227)</f>
        <v>3.5434761405690836</v>
      </c>
      <c r="AU439" s="480">
        <f>100*(SUM(Transfer!AG213,Transfer!AG214,Transfer!AG215,Transfer!AG217,Transfer!AG243,Transfer!AG225)-SUM(Transfer!AG220,Transfer!AG221,Transfer!AG223,Transfer!AG224,Transfer!AG245,Transfer!AG246,Transfer!AG226,Transfer!AG227))/Transfer!AG147</f>
        <v>0.75538664189175309</v>
      </c>
      <c r="AV439" s="477"/>
      <c r="AW439" s="54"/>
      <c r="AX439" s="54"/>
      <c r="AY439" s="54"/>
      <c r="AZ439" s="54"/>
      <c r="BA439" s="1613" t="s">
        <v>283</v>
      </c>
      <c r="BB439" s="1612"/>
      <c r="BC439" s="54"/>
    </row>
    <row r="440" spans="1:55" ht="13.8" thickBot="1">
      <c r="A440" s="45"/>
      <c r="B440" s="1575"/>
      <c r="C440" s="3305" t="s">
        <v>152</v>
      </c>
      <c r="D440" s="3306"/>
      <c r="E440" s="2699" t="s">
        <v>1486</v>
      </c>
      <c r="F440" s="2406">
        <f ca="1">+Transfer!D237</f>
        <v>-10.492300000000027</v>
      </c>
      <c r="G440" s="2699">
        <f ca="1">100*Transfer!D237/Transfer!D147</f>
        <v>-2.4801653900593945</v>
      </c>
      <c r="H440" s="2646">
        <f ca="1">+Transfer!E237</f>
        <v>-4.5226000000000059</v>
      </c>
      <c r="I440" s="3900">
        <f ca="1">100*Transfer!E237/Transfer!E147</f>
        <v>-1.031415926579863</v>
      </c>
      <c r="J440" s="2646">
        <f ca="1">+Transfer!F237</f>
        <v>-4.9425568757195668</v>
      </c>
      <c r="K440" s="3899">
        <f ca="1">100*Transfer!F237/Transfer!F147</f>
        <v>-1.0901745760132395</v>
      </c>
      <c r="L440" s="2646">
        <f ca="1">+Transfer!G237</f>
        <v>-6.281124823636886</v>
      </c>
      <c r="M440" s="3898">
        <f ca="1">100*Transfer!G237/Transfer!G147</f>
        <v>-1.3391420342884948</v>
      </c>
      <c r="N440" s="2413"/>
      <c r="O440" s="54"/>
      <c r="P440" s="54"/>
      <c r="Q440" s="54"/>
      <c r="R440" s="54"/>
      <c r="S440" s="189"/>
      <c r="T440" s="2633" t="s">
        <v>152</v>
      </c>
      <c r="U440" s="1620"/>
      <c r="V440" s="489" t="s">
        <v>1486</v>
      </c>
      <c r="W440" s="2299">
        <f t="shared" ca="1" si="23"/>
        <v>0</v>
      </c>
      <c r="X440" s="490">
        <f t="shared" ca="1" si="23"/>
        <v>0</v>
      </c>
      <c r="Y440" s="490">
        <f t="shared" ca="1" si="23"/>
        <v>0</v>
      </c>
      <c r="Z440" s="3423">
        <f t="shared" ca="1" si="23"/>
        <v>0</v>
      </c>
      <c r="AA440" s="490">
        <f t="shared" ca="1" si="23"/>
        <v>9.9999999999999645E-2</v>
      </c>
      <c r="AB440" s="490">
        <f t="shared" ca="1" si="23"/>
        <v>0</v>
      </c>
      <c r="AC440" s="490">
        <f t="shared" ca="1" si="23"/>
        <v>0.29999999999999982</v>
      </c>
      <c r="AD440" s="2300">
        <f t="shared" ca="1" si="23"/>
        <v>9.9999999999999867E-2</v>
      </c>
      <c r="AE440" s="455"/>
      <c r="AF440" s="45"/>
      <c r="AG440" s="45"/>
      <c r="AH440" s="45"/>
      <c r="AI440" s="45"/>
      <c r="AJ440" s="189"/>
      <c r="AK440" s="2633" t="s">
        <v>152</v>
      </c>
      <c r="AL440" s="1620"/>
      <c r="AM440" s="1633" t="s">
        <v>1486</v>
      </c>
      <c r="AN440" s="483">
        <f>SUM(Transfer!AD213,Transfer!AD214,Transfer!AD215,Transfer!AD217,Transfer!AD243,Transfer!AD225)-SUM(Transfer!AD220,Transfer!AD221,Transfer!AD232,Transfer!AD223,Transfer!AD224,Transfer!AD245,Transfer!AD246,Transfer!AD226,Transfer!AD227)</f>
        <v>-10.492299999999972</v>
      </c>
      <c r="AO440" s="1634">
        <f>100*(SUM(Transfer!AD213,Transfer!AD214,Transfer!AD215,Transfer!AD217,Transfer!AD243,Transfer!AD225)-SUM(Transfer!AD220,Transfer!AD221,Transfer!AD232,Transfer!AD223,Transfer!AD224,Transfer!AD245,Transfer!AD246,Transfer!AD226,Transfer!AD227))/Transfer!AD147</f>
        <v>-2.4801653900593816</v>
      </c>
      <c r="AP440" s="483">
        <f>SUM(Transfer!AE213,Transfer!AE214,Transfer!AE215,Transfer!AE217,Transfer!AE243,Transfer!AE225)-SUM(Transfer!AE220,Transfer!AE221,Transfer!AE232,Transfer!AE223,Transfer!AE224,Transfer!AE245,Transfer!AE246,Transfer!AE226,Transfer!AE227)</f>
        <v>-4.5226000000000113</v>
      </c>
      <c r="AQ440" s="1634">
        <f>100*(SUM(Transfer!AE213,Transfer!AE214,Transfer!AE215,Transfer!AE217,Transfer!AE243,Transfer!AE225)-SUM(Transfer!AE220,Transfer!AE221,Transfer!AE232,Transfer!AE223,Transfer!AE224,Transfer!AE245,Transfer!AE246,Transfer!AE226,Transfer!AE227))/Transfer!AE147</f>
        <v>-1.0314159265798641</v>
      </c>
      <c r="AR440" s="483">
        <f>SUM(Transfer!AF213,Transfer!AF214,Transfer!AF215,Transfer!AF217,Transfer!AF243,Transfer!AF225)-SUM(Transfer!AF220,Transfer!AF221,Transfer!AF232,Transfer!AF223,Transfer!AF224,Transfer!AF245,Transfer!AF246,Transfer!AF226,Transfer!AF227)</f>
        <v>-5.0128933805137024</v>
      </c>
      <c r="AS440" s="1634">
        <f>100*(SUM(Transfer!AF213,Transfer!AF214,Transfer!AF215,Transfer!AF217,Transfer!AF243,Transfer!AF225)-SUM(Transfer!AF220,Transfer!AF221,Transfer!AF232,Transfer!AF223,Transfer!AF224,Transfer!AF245,Transfer!AF246,Transfer!AF226,Transfer!AF227))/Transfer!AF147</f>
        <v>-1.1056886249600282</v>
      </c>
      <c r="AT440" s="483">
        <f>SUM(Transfer!AG213,Transfer!AG214,Transfer!AG215,Transfer!AG217,Transfer!AG243,Transfer!AG225)-SUM(Transfer!AG220,Transfer!AG221,Transfer!AG232,Transfer!AG223,Transfer!AG224,Transfer!AG245,Transfer!AG246,Transfer!AG226,Transfer!AG227)</f>
        <v>-6.6047444789188887</v>
      </c>
      <c r="AU440" s="1815">
        <f>100*(SUM(Transfer!AG213,Transfer!AG214,Transfer!AG215,Transfer!AG217,Transfer!AG243,Transfer!AG225)-SUM(Transfer!AG220,Transfer!AG221,Transfer!AG232,Transfer!AG223,Transfer!AG224,Transfer!AG245,Transfer!AG246,Transfer!AG226,Transfer!AG227))/Transfer!AG147</f>
        <v>-1.407977803311067</v>
      </c>
      <c r="AV440" s="455"/>
      <c r="AW440" s="54"/>
      <c r="AX440" s="54"/>
      <c r="AY440" s="54"/>
      <c r="AZ440" s="54"/>
      <c r="BA440" s="1613" t="s">
        <v>1379</v>
      </c>
      <c r="BB440" s="1612"/>
      <c r="BC440" s="54"/>
    </row>
    <row r="441" spans="1:55" ht="13.8" thickBot="1">
      <c r="A441" s="45"/>
      <c r="B441" s="1575"/>
      <c r="C441" s="2708" t="s">
        <v>1374</v>
      </c>
      <c r="D441" s="2709"/>
      <c r="E441" s="2710"/>
      <c r="F441" s="2711">
        <f ca="1">Transfer!D228</f>
        <v>448.16092609999998</v>
      </c>
      <c r="G441" s="2712">
        <f ca="1">100*((Transfer!D228/Transfer!D147))</f>
        <v>105.93608818754544</v>
      </c>
      <c r="H441" s="2713">
        <f ca="1">Transfer!E228</f>
        <v>452.17036289999999</v>
      </c>
      <c r="I441" s="2714">
        <f ca="1">100*((Transfer!E228/Transfer!E147))</f>
        <v>103.12115018406575</v>
      </c>
      <c r="J441" s="2711">
        <f ca="1">Transfer!F228</f>
        <v>460.39291977571952</v>
      </c>
      <c r="K441" s="2714">
        <f ca="1">100*((Transfer!F228/Transfer!F147))</f>
        <v>101.54838249441926</v>
      </c>
      <c r="L441" s="2715">
        <f ca="1">Transfer!G228</f>
        <v>469.91404459935643</v>
      </c>
      <c r="M441" s="2716">
        <f ca="1">100*((Transfer!G228/Transfer!G147))</f>
        <v>100.18613979098588</v>
      </c>
      <c r="N441" s="2707"/>
      <c r="O441" s="54"/>
      <c r="P441" s="54"/>
      <c r="Q441" s="54"/>
      <c r="R441" s="54"/>
      <c r="S441" s="189"/>
      <c r="T441" s="2708" t="s">
        <v>1374</v>
      </c>
      <c r="U441" s="2288"/>
      <c r="V441" s="2289"/>
      <c r="W441" s="1931">
        <f t="shared" ref="W441:AD441" ca="1" si="24">ROUND(F441,1)-ROUND(AN441,1)</f>
        <v>0</v>
      </c>
      <c r="X441" s="1932">
        <f t="shared" ca="1" si="24"/>
        <v>0</v>
      </c>
      <c r="Y441" s="1932">
        <f t="shared" ca="1" si="24"/>
        <v>0</v>
      </c>
      <c r="Z441" s="1932">
        <f t="shared" ca="1" si="24"/>
        <v>0</v>
      </c>
      <c r="AA441" s="1932">
        <f t="shared" ca="1" si="24"/>
        <v>-0.10000000000002274</v>
      </c>
      <c r="AB441" s="1932">
        <f t="shared" ca="1" si="24"/>
        <v>-9.9999999999994316E-2</v>
      </c>
      <c r="AC441" s="1932">
        <f t="shared" ca="1" si="24"/>
        <v>-0.40000000000003411</v>
      </c>
      <c r="AD441" s="1935">
        <f t="shared" ca="1" si="24"/>
        <v>-9.9999999999994316E-2</v>
      </c>
      <c r="AE441" s="491"/>
      <c r="AF441" s="45"/>
      <c r="AG441" s="45"/>
      <c r="AH441" s="45"/>
      <c r="AI441" s="45"/>
      <c r="AJ441" s="189"/>
      <c r="AK441" s="2708" t="s">
        <v>1374</v>
      </c>
      <c r="AL441" s="2288"/>
      <c r="AM441" s="2289"/>
      <c r="AN441" s="493">
        <f>Transfer!AD228</f>
        <v>448.16092609999998</v>
      </c>
      <c r="AO441" s="2290">
        <f>100*((Transfer!AD228/Transfer!AD147))</f>
        <v>105.93608818754544</v>
      </c>
      <c r="AP441" s="2291">
        <f>Transfer!AE228</f>
        <v>452.17036289999999</v>
      </c>
      <c r="AQ441" s="2292">
        <f>100*((Transfer!AE228/Transfer!AE147))</f>
        <v>103.12115018406575</v>
      </c>
      <c r="AR441" s="493">
        <f>Transfer!AF228</f>
        <v>460.46325628051369</v>
      </c>
      <c r="AS441" s="2292">
        <f>100*((Transfer!AF228/Transfer!AF147))</f>
        <v>101.56389654336606</v>
      </c>
      <c r="AT441" s="1932">
        <f>Transfer!AG228</f>
        <v>470.30800075943262</v>
      </c>
      <c r="AU441" s="2293">
        <f>100*((Transfer!AG228/Transfer!AG147))</f>
        <v>100.25871975856914</v>
      </c>
      <c r="AV441" s="491"/>
      <c r="AW441" s="54"/>
      <c r="AX441" s="54"/>
      <c r="AY441" s="54"/>
      <c r="AZ441" s="54"/>
      <c r="BA441" s="1613" t="s">
        <v>236</v>
      </c>
      <c r="BB441" s="1612"/>
      <c r="BC441" s="54"/>
    </row>
    <row r="442" spans="1:55" ht="13.8" thickBot="1">
      <c r="A442" s="45"/>
      <c r="B442" s="3320"/>
      <c r="C442" s="3368" t="s">
        <v>2156</v>
      </c>
      <c r="D442" s="3368"/>
      <c r="E442" s="3368"/>
      <c r="F442" s="3368"/>
      <c r="G442" s="3369">
        <f ca="1">F434/Transfer!D147</f>
        <v>0.5038000380098353</v>
      </c>
      <c r="H442" s="3370"/>
      <c r="I442" s="3369">
        <f ca="1">H434/Transfer!E147</f>
        <v>0.49762294958591474</v>
      </c>
      <c r="J442" s="3368"/>
      <c r="K442" s="3369">
        <f ca="1">J434/Transfer!F147</f>
        <v>0.494991247604194</v>
      </c>
      <c r="L442" s="3368"/>
      <c r="M442" s="3369">
        <f ca="1">L434/Transfer!G147</f>
        <v>0.49592378158393352</v>
      </c>
      <c r="N442" s="2707"/>
      <c r="O442" s="54"/>
      <c r="P442" s="54"/>
      <c r="Q442" s="54"/>
      <c r="R442" s="54"/>
    </row>
    <row r="443" spans="1:55" ht="13.8" thickBot="1">
      <c r="A443" s="45"/>
      <c r="B443" s="1575"/>
      <c r="C443" s="2717" t="s">
        <v>812</v>
      </c>
      <c r="D443" s="2718"/>
      <c r="E443" s="2719"/>
      <c r="F443" s="2720"/>
      <c r="G443" s="2721">
        <f ca="1">100*((SUM(Transfer!D213,Transfer!D214,Transfer!D216,Transfer!D230,Transfer!D231)/Transfer!D147))</f>
        <v>44.268599053914393</v>
      </c>
      <c r="H443" s="2722"/>
      <c r="I443" s="2721">
        <f ca="1">100*((SUM(Transfer!E213,Transfer!E214,Transfer!E216,Transfer!E230,Transfer!E231)/Transfer!E147))</f>
        <v>44.724158109543637</v>
      </c>
      <c r="J443" s="2722"/>
      <c r="K443" s="2721">
        <f ca="1">100*((SUM(Transfer!F213,Transfer!F214,Transfer!F216,Transfer!F230,Transfer!F231)/Transfer!F147))</f>
        <v>44.196899902739311</v>
      </c>
      <c r="L443" s="2722"/>
      <c r="M443" s="2939">
        <f ca="1">100*((SUM(Transfer!G213,Transfer!G214,Transfer!G216,Transfer!G230,Transfer!G231)/Transfer!G147))</f>
        <v>43.994864704361518</v>
      </c>
      <c r="N443" s="2328"/>
      <c r="O443" s="54"/>
      <c r="P443" s="54"/>
      <c r="Q443" s="54"/>
      <c r="R443" s="54"/>
      <c r="S443" s="189"/>
      <c r="T443" s="2717" t="s">
        <v>811</v>
      </c>
      <c r="U443" s="494"/>
      <c r="V443" s="495"/>
      <c r="W443" s="1931">
        <f t="shared" ref="W443:AD443" si="25">ROUND(F443,1)-ROUND(AN443,1)</f>
        <v>0</v>
      </c>
      <c r="X443" s="1932">
        <f t="shared" ca="1" si="25"/>
        <v>0</v>
      </c>
      <c r="Y443" s="1932">
        <f t="shared" si="25"/>
        <v>0</v>
      </c>
      <c r="Z443" s="1932">
        <f t="shared" ca="1" si="25"/>
        <v>0</v>
      </c>
      <c r="AA443" s="1932">
        <f t="shared" si="25"/>
        <v>0</v>
      </c>
      <c r="AB443" s="1932">
        <f t="shared" ca="1" si="25"/>
        <v>0.10000000000000142</v>
      </c>
      <c r="AC443" s="1932">
        <f t="shared" si="25"/>
        <v>0</v>
      </c>
      <c r="AD443" s="1935">
        <f t="shared" ca="1" si="25"/>
        <v>0.10000000000000142</v>
      </c>
      <c r="AE443" s="82"/>
      <c r="AF443" s="45"/>
      <c r="AG443" s="45"/>
      <c r="AH443" s="45"/>
      <c r="AI443" s="45"/>
      <c r="AJ443" s="189"/>
      <c r="AK443" s="2717" t="s">
        <v>811</v>
      </c>
      <c r="AL443" s="494"/>
      <c r="AM443" s="495"/>
      <c r="AN443" s="496"/>
      <c r="AO443" s="497">
        <f>100*((SUM(Transfer!AD213,Transfer!AD214,Transfer!AD216,Transfer!AD230,Transfer!AD231)/Transfer!AD147))</f>
        <v>44.268599053914393</v>
      </c>
      <c r="AP443" s="498"/>
      <c r="AQ443" s="497">
        <f>100*((SUM(Transfer!AE213,Transfer!AE214,Transfer!AE216,Transfer!AE230,Transfer!AE231)/Transfer!AE147))</f>
        <v>44.724158109543637</v>
      </c>
      <c r="AR443" s="498"/>
      <c r="AS443" s="497">
        <f>100*((SUM(Transfer!AF213,Transfer!AF214,Transfer!AF216,Transfer!AF230,Transfer!AF231)/Transfer!AF147))</f>
        <v>44.115022480024408</v>
      </c>
      <c r="AT443" s="498"/>
      <c r="AU443" s="499">
        <f>100*((SUM(Transfer!AG213,Transfer!AG214,Transfer!AG216,Transfer!AG230,Transfer!AG231)/Transfer!AG147))</f>
        <v>43.85404272873086</v>
      </c>
      <c r="AV443" s="82"/>
      <c r="AW443" s="54"/>
      <c r="AX443" s="54"/>
      <c r="AY443" s="54"/>
      <c r="AZ443" s="54"/>
      <c r="BA443" s="1911" t="s">
        <v>237</v>
      </c>
      <c r="BB443" s="1615"/>
      <c r="BC443" s="54"/>
    </row>
    <row r="444" spans="1:55">
      <c r="A444" s="45"/>
      <c r="B444" s="1614"/>
      <c r="C444" s="2428"/>
      <c r="D444" s="2428"/>
      <c r="E444" s="2428"/>
      <c r="F444" s="2817"/>
      <c r="G444" s="2817"/>
      <c r="H444" s="2428"/>
      <c r="I444" s="2723"/>
      <c r="J444" s="2428"/>
      <c r="K444" s="2428"/>
      <c r="L444" s="2428"/>
      <c r="M444" s="2360" t="str">
        <f>UPPER(Country)</f>
        <v>BELGIUM</v>
      </c>
      <c r="N444" s="2429"/>
      <c r="O444" s="54"/>
      <c r="P444" s="54"/>
      <c r="Q444" s="54"/>
      <c r="R444" s="54"/>
      <c r="S444" s="216"/>
      <c r="T444" s="113"/>
      <c r="U444" s="113"/>
      <c r="V444" s="113"/>
      <c r="W444" s="113"/>
      <c r="X444" s="113"/>
      <c r="Y444" s="113"/>
      <c r="Z444" s="113"/>
      <c r="AA444" s="113"/>
      <c r="AB444" s="113"/>
      <c r="AC444" s="113"/>
      <c r="AD444" s="118" t="str">
        <f>UPPER(Country)</f>
        <v>BELGIUM</v>
      </c>
      <c r="AE444" s="217"/>
      <c r="AF444" s="45"/>
      <c r="AG444" s="45"/>
      <c r="AH444" s="45"/>
      <c r="AI444" s="45"/>
      <c r="AJ444" s="216"/>
      <c r="AK444" s="113"/>
      <c r="AL444" s="113"/>
      <c r="AM444" s="113"/>
      <c r="AN444" s="113"/>
      <c r="AO444" s="1420"/>
      <c r="AP444" s="113"/>
      <c r="AQ444" s="1420"/>
      <c r="AR444" s="113"/>
      <c r="AS444" s="113"/>
      <c r="AT444" s="113"/>
      <c r="AU444" s="118" t="str">
        <f>UPPER(Country)</f>
        <v>BELGIUM</v>
      </c>
      <c r="AV444" s="217"/>
      <c r="AW444" s="54"/>
      <c r="AX444" s="54"/>
      <c r="AY444" s="54"/>
      <c r="AZ444" s="54"/>
      <c r="BA444" s="54"/>
      <c r="BB444" s="54"/>
      <c r="BC444" s="54"/>
    </row>
    <row r="445" spans="1:55">
      <c r="A445" s="45"/>
      <c r="B445" s="45"/>
      <c r="C445" s="45"/>
      <c r="D445" s="45"/>
      <c r="E445" s="45"/>
      <c r="F445" s="45"/>
      <c r="G445" s="45"/>
      <c r="H445" s="45"/>
      <c r="I445" s="45"/>
      <c r="J445" s="45"/>
      <c r="K445" s="45"/>
      <c r="L445" s="45"/>
      <c r="M445" s="45"/>
      <c r="N445" s="45"/>
      <c r="O445" s="54"/>
      <c r="P445" s="54"/>
      <c r="Q445" s="54"/>
      <c r="R445" s="54"/>
      <c r="S445" s="54"/>
      <c r="T445" s="54"/>
      <c r="U445" s="54"/>
      <c r="V445" s="54"/>
      <c r="W445" s="54"/>
      <c r="X445" s="54"/>
      <c r="Y445" s="54"/>
      <c r="Z445" s="54"/>
      <c r="AA445" s="54"/>
      <c r="AB445" s="45"/>
      <c r="AC445" s="45"/>
      <c r="AD445" s="45"/>
      <c r="AE445" s="45"/>
      <c r="AF445" s="45"/>
      <c r="AG445" s="45"/>
      <c r="AH445" s="45"/>
      <c r="AI445" s="45"/>
      <c r="AJ445" s="45"/>
      <c r="AK445" s="45"/>
      <c r="AL445" s="45"/>
      <c r="AM445" s="45"/>
      <c r="AN445" s="45"/>
      <c r="AO445" s="45"/>
      <c r="AP445" s="45"/>
      <c r="AQ445" s="45"/>
      <c r="AR445" s="45"/>
      <c r="AS445" s="45"/>
      <c r="AT445" s="45"/>
      <c r="AU445" s="45"/>
      <c r="AV445" s="54"/>
      <c r="AW445" s="54"/>
      <c r="AX445" s="54"/>
      <c r="AY445" s="54"/>
      <c r="AZ445" s="54"/>
      <c r="BA445" s="54"/>
      <c r="BB445" s="54"/>
      <c r="BC445" s="54"/>
    </row>
    <row r="446" spans="1:55">
      <c r="A446" s="45"/>
      <c r="B446" s="45"/>
      <c r="C446" s="45"/>
      <c r="D446" s="45"/>
      <c r="E446" s="45"/>
      <c r="F446" s="45"/>
      <c r="G446" s="45"/>
      <c r="H446" s="45"/>
      <c r="I446" s="45"/>
      <c r="J446" s="45"/>
      <c r="K446" s="45"/>
      <c r="L446" s="45"/>
      <c r="M446" s="45"/>
      <c r="N446" s="45"/>
      <c r="O446" s="45"/>
      <c r="P446" s="54"/>
      <c r="Q446" s="54"/>
      <c r="R446" s="54"/>
      <c r="S446" s="54"/>
      <c r="T446" s="54"/>
      <c r="U446" s="54"/>
      <c r="V446" s="54"/>
      <c r="W446" s="54"/>
      <c r="X446" s="54"/>
      <c r="Y446" s="54"/>
      <c r="Z446" s="54"/>
      <c r="AA446" s="54"/>
      <c r="AB446" s="45"/>
      <c r="AC446" s="45"/>
      <c r="AD446" s="45"/>
      <c r="AE446" s="45"/>
      <c r="AF446" s="45"/>
      <c r="AG446" s="45"/>
      <c r="AH446" s="45"/>
      <c r="AI446" s="45"/>
      <c r="AJ446" s="45"/>
      <c r="AK446" s="45"/>
      <c r="AL446" s="45"/>
      <c r="AM446" s="45"/>
      <c r="AN446" s="45"/>
      <c r="AO446" s="45"/>
      <c r="AP446" s="1636"/>
      <c r="AQ446" s="1636"/>
      <c r="AR446" s="1636"/>
      <c r="AS446" s="1636"/>
      <c r="AT446" s="1636"/>
      <c r="AU446" s="186"/>
      <c r="AV446" s="54"/>
      <c r="AW446" s="54"/>
      <c r="AX446" s="54"/>
      <c r="AY446" s="54"/>
      <c r="AZ446" s="54"/>
      <c r="BA446" s="54"/>
      <c r="BB446" s="54"/>
      <c r="BC446" s="54"/>
    </row>
    <row r="447" spans="1:55">
      <c r="A447" s="45"/>
      <c r="B447" s="45"/>
      <c r="C447" s="45"/>
      <c r="D447" s="45"/>
      <c r="E447" s="45"/>
      <c r="F447" s="1636"/>
      <c r="G447" s="1636"/>
      <c r="H447" s="2943"/>
      <c r="I447" s="1636"/>
      <c r="J447" s="2943"/>
      <c r="K447" s="1636"/>
      <c r="L447" s="2943"/>
      <c r="M447" s="1636"/>
      <c r="N447" s="45"/>
      <c r="O447" s="54"/>
      <c r="P447" s="54"/>
      <c r="Q447" s="54"/>
      <c r="R447" s="54"/>
      <c r="S447" s="54"/>
      <c r="T447" s="54"/>
      <c r="U447" s="54"/>
      <c r="V447" s="54"/>
      <c r="W447" s="54"/>
      <c r="X447" s="54"/>
      <c r="Y447" s="54"/>
      <c r="Z447" s="54"/>
      <c r="AA447" s="54"/>
      <c r="AB447" s="45"/>
      <c r="AC447" s="45"/>
      <c r="AD447" s="45"/>
      <c r="AE447" s="45"/>
      <c r="AF447" s="45"/>
      <c r="AG447" s="45"/>
      <c r="AH447" s="45"/>
      <c r="AI447" s="45"/>
      <c r="AJ447" s="45"/>
      <c r="AK447" s="45"/>
      <c r="AL447" s="45"/>
      <c r="AM447" s="45"/>
      <c r="AN447" s="45"/>
      <c r="AO447" s="45"/>
      <c r="AP447" s="45"/>
      <c r="AQ447" s="1636"/>
      <c r="AR447" s="1636"/>
      <c r="AS447" s="1636"/>
      <c r="AT447" s="1636"/>
      <c r="AU447" s="1636"/>
      <c r="AV447" s="45"/>
      <c r="AW447" s="54"/>
      <c r="AX447" s="54"/>
      <c r="AY447" s="54"/>
      <c r="AZ447" s="54"/>
      <c r="BA447" s="54"/>
      <c r="BB447" s="54"/>
      <c r="BC447" s="54"/>
    </row>
    <row r="448" spans="1:55">
      <c r="A448" s="45"/>
      <c r="B448" s="45"/>
      <c r="C448" s="45"/>
      <c r="D448" s="45"/>
      <c r="E448" s="45"/>
      <c r="F448" s="1636"/>
      <c r="G448" s="1636"/>
      <c r="H448" s="1636"/>
      <c r="I448" s="1636"/>
      <c r="J448" s="1636"/>
      <c r="K448" s="1636"/>
      <c r="L448" s="1636"/>
      <c r="M448" s="45"/>
      <c r="N448" s="45"/>
      <c r="O448" s="54"/>
      <c r="P448" s="54"/>
      <c r="Q448" s="54"/>
      <c r="R448" s="54"/>
      <c r="S448" s="54"/>
      <c r="T448" s="54"/>
      <c r="U448" s="54"/>
      <c r="V448" s="54"/>
      <c r="W448" s="54"/>
      <c r="X448" s="54"/>
      <c r="Y448" s="54"/>
      <c r="Z448" s="54"/>
      <c r="AA448" s="54"/>
      <c r="AB448" s="45"/>
      <c r="AC448" s="45"/>
      <c r="AD448" s="45"/>
      <c r="AE448" s="45"/>
      <c r="AF448" s="45"/>
      <c r="AG448" s="45"/>
      <c r="AH448" s="45"/>
      <c r="AI448" s="45"/>
      <c r="AJ448" s="45"/>
      <c r="AK448" s="45"/>
      <c r="AL448" s="45"/>
      <c r="AM448" s="45"/>
      <c r="AN448" s="45"/>
      <c r="AO448" s="45"/>
      <c r="AP448" s="45"/>
      <c r="AQ448" s="45"/>
      <c r="AR448" s="45"/>
      <c r="AS448" s="45"/>
      <c r="AT448" s="45"/>
      <c r="AU448" s="45"/>
      <c r="AV448" s="45"/>
      <c r="AW448" s="54"/>
      <c r="AX448" s="54"/>
      <c r="AY448" s="54"/>
      <c r="AZ448" s="54"/>
      <c r="BA448" s="54"/>
      <c r="BB448" s="54"/>
      <c r="BC448" s="54"/>
    </row>
    <row r="449" spans="1:55">
      <c r="A449" s="45"/>
      <c r="B449" s="2301"/>
      <c r="C449" s="2551" t="s">
        <v>1487</v>
      </c>
      <c r="D449" s="2679"/>
      <c r="E449" s="2679"/>
      <c r="F449" s="2679"/>
      <c r="G449" s="2679"/>
      <c r="H449" s="2679"/>
      <c r="I449" s="2679"/>
      <c r="J449" s="2679"/>
      <c r="K449" s="2679"/>
      <c r="L449" s="2679"/>
      <c r="M449" s="2680"/>
      <c r="N449" s="54"/>
      <c r="O449" s="54"/>
      <c r="P449" s="54"/>
      <c r="Q449" s="54"/>
      <c r="R449" s="54"/>
      <c r="S449" s="187"/>
      <c r="T449" s="470" t="s">
        <v>1487</v>
      </c>
      <c r="U449" s="471"/>
      <c r="V449" s="471"/>
      <c r="W449" s="471"/>
      <c r="X449" s="471"/>
      <c r="Y449" s="471"/>
      <c r="Z449" s="471"/>
      <c r="AA449" s="471"/>
      <c r="AB449" s="471"/>
      <c r="AC449" s="471"/>
      <c r="AD449" s="472"/>
      <c r="AE449" s="45"/>
      <c r="AF449" s="45"/>
      <c r="AG449" s="45"/>
      <c r="AH449" s="45"/>
      <c r="AI449" s="45"/>
      <c r="AJ449" s="187"/>
      <c r="AK449" s="470" t="s">
        <v>1487</v>
      </c>
      <c r="AL449" s="471"/>
      <c r="AM449" s="471"/>
      <c r="AN449" s="471"/>
      <c r="AO449" s="471"/>
      <c r="AP449" s="471"/>
      <c r="AQ449" s="471"/>
      <c r="AR449" s="471"/>
      <c r="AS449" s="471"/>
      <c r="AT449" s="471"/>
      <c r="AU449" s="472"/>
      <c r="AV449" s="54"/>
      <c r="AW449" s="54"/>
      <c r="AX449" s="54"/>
      <c r="AY449" s="54"/>
      <c r="AZ449" s="54"/>
      <c r="BA449" s="54"/>
      <c r="BB449" s="54"/>
      <c r="BC449" s="54"/>
    </row>
    <row r="450" spans="1:55">
      <c r="A450" s="45"/>
      <c r="B450" s="1575"/>
      <c r="C450" s="4207" t="s">
        <v>2085</v>
      </c>
      <c r="D450" s="4207"/>
      <c r="E450" s="4207"/>
      <c r="F450" s="4207"/>
      <c r="G450" s="4207"/>
      <c r="H450" s="4207"/>
      <c r="I450" s="4207"/>
      <c r="J450" s="4207"/>
      <c r="K450" s="4207"/>
      <c r="L450" s="4207"/>
      <c r="M450" s="2405"/>
      <c r="N450" s="54"/>
      <c r="O450" s="54"/>
      <c r="P450" s="54"/>
      <c r="Q450" s="54"/>
      <c r="R450" s="54"/>
      <c r="S450" s="189"/>
      <c r="T450" s="4250" t="s">
        <v>2085</v>
      </c>
      <c r="U450" s="4250"/>
      <c r="V450" s="4250"/>
      <c r="W450" s="4250"/>
      <c r="X450" s="4250"/>
      <c r="Y450" s="4250"/>
      <c r="Z450" s="4250"/>
      <c r="AA450" s="4250"/>
      <c r="AB450" s="4250"/>
      <c r="AC450" s="4250"/>
      <c r="AD450" s="199"/>
      <c r="AE450" s="45"/>
      <c r="AF450" s="45"/>
      <c r="AG450" s="45"/>
      <c r="AH450" s="45"/>
      <c r="AI450" s="45"/>
      <c r="AJ450" s="189"/>
      <c r="AK450" s="4250" t="s">
        <v>2085</v>
      </c>
      <c r="AL450" s="4250"/>
      <c r="AM450" s="4250"/>
      <c r="AN450" s="4250"/>
      <c r="AO450" s="4250"/>
      <c r="AP450" s="4250"/>
      <c r="AQ450" s="4250"/>
      <c r="AR450" s="4250"/>
      <c r="AS450" s="4250"/>
      <c r="AT450" s="4250"/>
      <c r="AU450" s="199"/>
      <c r="AV450" s="54"/>
      <c r="AW450" s="54"/>
      <c r="AX450" s="54"/>
      <c r="AY450" s="54"/>
      <c r="AZ450" s="54"/>
      <c r="BA450" s="54"/>
      <c r="BB450" s="54"/>
      <c r="BC450" s="54"/>
    </row>
    <row r="451" spans="1:55" ht="15.6">
      <c r="A451" s="45"/>
      <c r="B451" s="1575"/>
      <c r="C451" s="2309" t="str">
        <f>"Country: " &amp;UPPER(Country)</f>
        <v>Country: BELGIUM</v>
      </c>
      <c r="D451" s="2311"/>
      <c r="E451" s="2311"/>
      <c r="F451" s="2311"/>
      <c r="G451" s="2311"/>
      <c r="H451" s="2311"/>
      <c r="I451" s="2311"/>
      <c r="J451" s="2311"/>
      <c r="K451" s="2311"/>
      <c r="L451" s="2311"/>
      <c r="M451" s="2405"/>
      <c r="N451" s="54"/>
      <c r="O451" s="54"/>
      <c r="P451" s="54"/>
      <c r="Q451" s="54"/>
      <c r="R451" s="54"/>
      <c r="S451" s="189"/>
      <c r="T451" s="63" t="str">
        <f>"Country: " &amp;UPPER(Country)</f>
        <v>Country: BELGIUM</v>
      </c>
      <c r="U451" s="65"/>
      <c r="V451" s="65"/>
      <c r="W451" s="1915" t="s">
        <v>724</v>
      </c>
      <c r="X451" s="65"/>
      <c r="Y451" s="65"/>
      <c r="Z451" s="65"/>
      <c r="AA451" s="65"/>
      <c r="AB451" s="65"/>
      <c r="AC451" s="65"/>
      <c r="AD451" s="195"/>
      <c r="AE451" s="45"/>
      <c r="AF451" s="45"/>
      <c r="AG451" s="45"/>
      <c r="AH451" s="45"/>
      <c r="AI451" s="45"/>
      <c r="AJ451" s="189"/>
      <c r="AK451" s="63" t="str">
        <f>"Country: " &amp;UPPER(Country)</f>
        <v>Country: BELGIUM</v>
      </c>
      <c r="AL451" s="65"/>
      <c r="AM451" s="65"/>
      <c r="AN451" s="65"/>
      <c r="AO451" s="65"/>
      <c r="AP451" s="65"/>
      <c r="AQ451" s="65"/>
      <c r="AR451" s="65"/>
      <c r="AS451" s="65"/>
      <c r="AT451" s="65"/>
      <c r="AU451" s="195"/>
      <c r="AV451" s="54"/>
      <c r="AW451" s="54"/>
      <c r="AX451" s="54"/>
      <c r="AY451" s="54"/>
      <c r="AZ451" s="54"/>
      <c r="BA451" s="54"/>
      <c r="BB451" s="54"/>
      <c r="BC451" s="54"/>
    </row>
    <row r="452" spans="1:55" ht="16.2" thickBot="1">
      <c r="A452" s="45"/>
      <c r="B452" s="1575"/>
      <c r="C452" s="2315" t="s">
        <v>1641</v>
      </c>
      <c r="D452" s="2662"/>
      <c r="E452" s="2311"/>
      <c r="F452" s="2311"/>
      <c r="G452" s="2311"/>
      <c r="H452" s="2311"/>
      <c r="I452" s="2311"/>
      <c r="J452" s="2398"/>
      <c r="K452" s="4243">
        <f ca="1">NOW()</f>
        <v>43213.646692361108</v>
      </c>
      <c r="L452" s="4243"/>
      <c r="M452" s="2552"/>
      <c r="N452" s="54"/>
      <c r="O452" s="54"/>
      <c r="P452" s="54"/>
      <c r="Q452" s="54"/>
      <c r="R452" s="54"/>
      <c r="S452" s="189"/>
      <c r="T452" s="69" t="s">
        <v>1641</v>
      </c>
      <c r="V452" s="65"/>
      <c r="W452" s="1915" t="str">
        <f>$T$4</f>
        <v>SF2018 - final storage FRI</v>
      </c>
      <c r="X452" s="65"/>
      <c r="Y452" s="65"/>
      <c r="Z452" s="65"/>
      <c r="AA452" s="1"/>
      <c r="AB452" s="4246">
        <f ca="1">NOW()</f>
        <v>43213.646692361108</v>
      </c>
      <c r="AC452" s="4246"/>
      <c r="AD452" s="338"/>
      <c r="AE452" s="45"/>
      <c r="AF452" s="45"/>
      <c r="AG452" s="45"/>
      <c r="AH452" s="45"/>
      <c r="AI452" s="45"/>
      <c r="AJ452" s="189"/>
      <c r="AK452" s="69" t="s">
        <v>1641</v>
      </c>
      <c r="AM452" s="65"/>
      <c r="AN452" s="65"/>
      <c r="AO452" s="65"/>
      <c r="AP452" s="65"/>
      <c r="AQ452" s="65"/>
      <c r="AR452" s="1"/>
      <c r="AS452" s="4246">
        <f ca="1">NOW()</f>
        <v>43213.646692361108</v>
      </c>
      <c r="AT452" s="4246"/>
      <c r="AU452" s="338"/>
      <c r="AV452" s="54"/>
      <c r="AW452" s="54"/>
      <c r="AX452" s="54"/>
      <c r="AY452" s="54"/>
      <c r="AZ452" s="54"/>
      <c r="BA452" s="54"/>
      <c r="BB452" s="54"/>
      <c r="BC452" s="54"/>
    </row>
    <row r="453" spans="1:55" ht="13.8" thickBot="1">
      <c r="A453" s="45"/>
      <c r="B453" s="1575"/>
      <c r="C453" s="2724" t="s">
        <v>607</v>
      </c>
      <c r="D453" s="2725"/>
      <c r="E453" s="2726"/>
      <c r="F453" s="2727"/>
      <c r="G453" s="4277">
        <f>+F16</f>
        <v>2017</v>
      </c>
      <c r="H453" s="4277"/>
      <c r="I453" s="4277">
        <f>G453+1</f>
        <v>2018</v>
      </c>
      <c r="J453" s="4277"/>
      <c r="K453" s="4277">
        <f>I453+1</f>
        <v>2019</v>
      </c>
      <c r="L453" s="4278"/>
      <c r="M453" s="2555"/>
      <c r="N453" s="54"/>
      <c r="O453" s="54"/>
      <c r="P453" s="54"/>
      <c r="Q453" s="54"/>
      <c r="R453" s="54"/>
      <c r="S453" s="189"/>
      <c r="T453" s="1644" t="s">
        <v>607</v>
      </c>
      <c r="U453" s="1645"/>
      <c r="V453" s="1646"/>
      <c r="W453" s="1647"/>
      <c r="X453" s="4266">
        <f>Last_forecast_year - 3+1</f>
        <v>2017</v>
      </c>
      <c r="Y453" s="4266"/>
      <c r="Z453" s="4266">
        <f>X453+1</f>
        <v>2018</v>
      </c>
      <c r="AA453" s="4266"/>
      <c r="AB453" s="4266">
        <f>Z453+1</f>
        <v>2019</v>
      </c>
      <c r="AC453" s="4267"/>
      <c r="AD453" s="340"/>
      <c r="AE453" s="45"/>
      <c r="AF453" s="45"/>
      <c r="AG453" s="45"/>
      <c r="AH453" s="45"/>
      <c r="AI453" s="45"/>
      <c r="AJ453" s="189"/>
      <c r="AK453" s="1644" t="s">
        <v>607</v>
      </c>
      <c r="AL453" s="1645"/>
      <c r="AM453" s="1646"/>
      <c r="AN453" s="1647"/>
      <c r="AO453" s="4266">
        <f>Last_forecast_year - 2</f>
        <v>2017</v>
      </c>
      <c r="AP453" s="4266"/>
      <c r="AQ453" s="4266">
        <f>G453+1</f>
        <v>2018</v>
      </c>
      <c r="AR453" s="4266"/>
      <c r="AS453" s="4266">
        <f>AQ453+1</f>
        <v>2019</v>
      </c>
      <c r="AT453" s="4267"/>
      <c r="AU453" s="340"/>
      <c r="AV453" s="54"/>
      <c r="AW453" s="54"/>
      <c r="AX453" s="54"/>
      <c r="AY453" s="54"/>
      <c r="AZ453" s="54"/>
      <c r="BA453" s="1609"/>
      <c r="BB453" s="1610"/>
      <c r="BC453" s="54"/>
    </row>
    <row r="454" spans="1:55">
      <c r="A454" s="45"/>
      <c r="B454" s="1575"/>
      <c r="C454" s="1576" t="s">
        <v>1584</v>
      </c>
      <c r="D454" s="2311"/>
      <c r="E454" s="2728"/>
      <c r="F454" s="2729"/>
      <c r="G454" s="4268">
        <f>+Sector1!$F$55</f>
        <v>1</v>
      </c>
      <c r="H454" s="4269"/>
      <c r="I454" s="4269"/>
      <c r="J454" s="4269"/>
      <c r="K454" s="4269"/>
      <c r="L454" s="4270"/>
      <c r="M454" s="2616"/>
      <c r="N454" s="54"/>
      <c r="O454" s="54"/>
      <c r="P454" s="54"/>
      <c r="Q454" s="54"/>
      <c r="R454" s="54"/>
      <c r="S454" s="189"/>
      <c r="T454" s="40" t="s">
        <v>1584</v>
      </c>
      <c r="U454" s="65"/>
      <c r="V454" s="1637"/>
      <c r="W454" s="136"/>
      <c r="X454" s="4271">
        <f t="shared" ref="X454:AC458" si="26">ROUND(G454,1)-ROUND(AO454,1)</f>
        <v>-109.2</v>
      </c>
      <c r="Y454" s="4272">
        <f t="shared" si="26"/>
        <v>0</v>
      </c>
      <c r="Z454" s="4272">
        <f t="shared" si="26"/>
        <v>0</v>
      </c>
      <c r="AA454" s="4272">
        <f t="shared" si="26"/>
        <v>0</v>
      </c>
      <c r="AB454" s="4272">
        <f t="shared" si="26"/>
        <v>0</v>
      </c>
      <c r="AC454" s="4273">
        <f t="shared" si="26"/>
        <v>0</v>
      </c>
      <c r="AD454" s="400"/>
      <c r="AE454" s="45"/>
      <c r="AF454" s="45"/>
      <c r="AG454" s="45"/>
      <c r="AH454" s="45"/>
      <c r="AI454" s="45"/>
      <c r="AJ454" s="189"/>
      <c r="AK454" s="40" t="s">
        <v>1584</v>
      </c>
      <c r="AL454" s="65"/>
      <c r="AM454" s="1637"/>
      <c r="AN454" s="136"/>
      <c r="AO454" s="4274">
        <f>+Transfer!AC262</f>
        <v>110.21</v>
      </c>
      <c r="AP454" s="4275"/>
      <c r="AQ454" s="4275"/>
      <c r="AR454" s="4275"/>
      <c r="AS454" s="4275"/>
      <c r="AT454" s="4276"/>
      <c r="AU454" s="400"/>
      <c r="AV454" s="54"/>
      <c r="AW454" s="54"/>
      <c r="AX454" s="54"/>
      <c r="AY454" s="54"/>
      <c r="AZ454" s="54"/>
      <c r="BA454" s="1649" t="s">
        <v>777</v>
      </c>
      <c r="BB454" s="1612"/>
      <c r="BC454" s="54"/>
    </row>
    <row r="455" spans="1:55">
      <c r="A455" s="45"/>
      <c r="B455" s="1575"/>
      <c r="C455" s="1576" t="s">
        <v>970</v>
      </c>
      <c r="D455" s="2311"/>
      <c r="E455" s="2730"/>
      <c r="F455" s="2646"/>
      <c r="G455" s="4279">
        <f ca="1">((Transfer!E213+Transfer!E231-Transfer!D213-Transfer!D231)/(Transfer!D213+Transfer!D231))/((Transfer!E136-Transfer!D136)/Transfer!D136)</f>
        <v>1.2544950995885802</v>
      </c>
      <c r="H455" s="4280"/>
      <c r="I455" s="4279">
        <f ca="1">((Transfer!F213+Transfer!F231-Transfer!E213-Transfer!E231)/(Transfer!E213+Transfer!E231))/((Transfer!F136-Transfer!E136)/Transfer!E136)</f>
        <v>0.94534829199289605</v>
      </c>
      <c r="J455" s="4280"/>
      <c r="K455" s="4279">
        <f ca="1">((Transfer!G213+Transfer!G231-Transfer!F213-Transfer!F231)/(Transfer!F213+Transfer!F231))/((Transfer!G136-Transfer!F136)/Transfer!F136)</f>
        <v>1.0742480335761</v>
      </c>
      <c r="L455" s="4281"/>
      <c r="M455" s="2405"/>
      <c r="N455" s="54"/>
      <c r="O455" s="54"/>
      <c r="P455" s="54"/>
      <c r="Q455" s="54"/>
      <c r="R455" s="54"/>
      <c r="S455" s="189"/>
      <c r="T455" s="40" t="s">
        <v>970</v>
      </c>
      <c r="U455" s="65"/>
      <c r="V455" s="1638"/>
      <c r="W455" s="140"/>
      <c r="X455" s="4260">
        <f t="shared" ca="1" si="26"/>
        <v>0</v>
      </c>
      <c r="Y455" s="4261">
        <f t="shared" si="26"/>
        <v>0</v>
      </c>
      <c r="Z455" s="4260">
        <f t="shared" ca="1" si="26"/>
        <v>-0.20000000000000007</v>
      </c>
      <c r="AA455" s="4261">
        <f t="shared" si="26"/>
        <v>0</v>
      </c>
      <c r="AB455" s="4260">
        <f t="shared" ca="1" si="26"/>
        <v>-9.9999999999999867E-2</v>
      </c>
      <c r="AC455" s="4262">
        <f t="shared" si="26"/>
        <v>0</v>
      </c>
      <c r="AD455" s="195"/>
      <c r="AE455" s="45"/>
      <c r="AF455" s="45"/>
      <c r="AG455" s="45"/>
      <c r="AH455" s="45"/>
      <c r="AI455" s="45"/>
      <c r="AJ455" s="189"/>
      <c r="AK455" s="40" t="s">
        <v>970</v>
      </c>
      <c r="AL455" s="65"/>
      <c r="AM455" s="1638"/>
      <c r="AN455" s="140"/>
      <c r="AO455" s="4263">
        <f>((Transfer!AE213+Transfer!AE231-Transfer!AD213-Transfer!AD231)/(Transfer!AD213+Transfer!AD231))/((Transfer!AE136-Transfer!AD136)/Transfer!AD136)</f>
        <v>1.2544950995885802</v>
      </c>
      <c r="AP455" s="4264"/>
      <c r="AQ455" s="4263">
        <f>((Transfer!AF213+Transfer!AF231-Transfer!AE213-Transfer!AE231)/(Transfer!AE213+Transfer!AE231))/((Transfer!AF136-Transfer!AE136)/Transfer!AE136)</f>
        <v>1.0878698160905242</v>
      </c>
      <c r="AR455" s="4264"/>
      <c r="AS455" s="4263">
        <f>((Transfer!AG213+Transfer!AG231-Transfer!AF213-Transfer!AF231)/(Transfer!AF213+Transfer!AF231))/((Transfer!AG136-Transfer!AF136)/Transfer!AF136)</f>
        <v>1.1803807571705274</v>
      </c>
      <c r="AT455" s="4265"/>
      <c r="AU455" s="195"/>
      <c r="AV455" s="54"/>
      <c r="AW455" s="54"/>
      <c r="AX455" s="54"/>
      <c r="AY455" s="54"/>
      <c r="AZ455" s="54"/>
      <c r="BA455" s="1611" t="s">
        <v>106</v>
      </c>
      <c r="BB455" s="1612"/>
      <c r="BC455" s="54"/>
    </row>
    <row r="456" spans="1:55">
      <c r="A456" s="45"/>
      <c r="B456" s="1575"/>
      <c r="C456" s="1576" t="s">
        <v>971</v>
      </c>
      <c r="D456" s="2311"/>
      <c r="E456" s="2730"/>
      <c r="F456" s="2462"/>
      <c r="G456" s="4285">
        <f ca="1">+Transfer!C258</f>
        <v>25.947140308338142</v>
      </c>
      <c r="H456" s="4286"/>
      <c r="I456" s="4286"/>
      <c r="J456" s="4286"/>
      <c r="K456" s="4286"/>
      <c r="L456" s="4287"/>
      <c r="M456" s="2405"/>
      <c r="N456" s="54"/>
      <c r="O456" s="54"/>
      <c r="P456" s="54"/>
      <c r="Q456" s="54"/>
      <c r="R456" s="54"/>
      <c r="S456" s="189"/>
      <c r="T456" s="101" t="s">
        <v>971</v>
      </c>
      <c r="U456" s="65"/>
      <c r="V456" s="1638"/>
      <c r="W456" s="144"/>
      <c r="X456" s="4288">
        <f t="shared" ca="1" si="26"/>
        <v>0</v>
      </c>
      <c r="Y456" s="4289">
        <f t="shared" si="26"/>
        <v>0</v>
      </c>
      <c r="Z456" s="4289">
        <f t="shared" si="26"/>
        <v>0</v>
      </c>
      <c r="AA456" s="4289">
        <f t="shared" si="26"/>
        <v>0</v>
      </c>
      <c r="AB456" s="4289">
        <f t="shared" si="26"/>
        <v>0</v>
      </c>
      <c r="AC456" s="4290">
        <f t="shared" si="26"/>
        <v>0</v>
      </c>
      <c r="AD456" s="195"/>
      <c r="AE456" s="45"/>
      <c r="AF456" s="45"/>
      <c r="AG456" s="45"/>
      <c r="AH456" s="45"/>
      <c r="AI456" s="45"/>
      <c r="AJ456" s="189"/>
      <c r="AK456" s="101" t="s">
        <v>971</v>
      </c>
      <c r="AL456" s="65"/>
      <c r="AM456" s="1638"/>
      <c r="AN456" s="144"/>
      <c r="AO456" s="4257">
        <f>+Transfer!AC258</f>
        <v>25.947140308338142</v>
      </c>
      <c r="AP456" s="4258"/>
      <c r="AQ456" s="4258"/>
      <c r="AR456" s="4258"/>
      <c r="AS456" s="4258"/>
      <c r="AT456" s="4259"/>
      <c r="AU456" s="195"/>
      <c r="AV456" s="54"/>
      <c r="AW456" s="54"/>
      <c r="AX456" s="54"/>
      <c r="AY456" s="54"/>
      <c r="AZ456" s="54"/>
      <c r="BA456" s="1611" t="s">
        <v>107</v>
      </c>
      <c r="BB456" s="1612"/>
      <c r="BC456" s="54"/>
    </row>
    <row r="457" spans="1:55">
      <c r="A457" s="45"/>
      <c r="B457" s="1575"/>
      <c r="C457" s="1576" t="s">
        <v>972</v>
      </c>
      <c r="D457" s="2311"/>
      <c r="E457" s="2730"/>
      <c r="F457" s="2646"/>
      <c r="G457" s="4279">
        <f ca="1">100*(Transfer!E213+Transfer!E231)/Transfer!E136</f>
        <v>26.58519586661458</v>
      </c>
      <c r="H457" s="4280"/>
      <c r="I457" s="4279">
        <f ca="1">100*(Transfer!F213+Transfer!F231)/Transfer!F136</f>
        <v>26.537719077329761</v>
      </c>
      <c r="J457" s="4280"/>
      <c r="K457" s="4279">
        <f ca="1">100*(Transfer!G213+Transfer!G231)/Transfer!G136</f>
        <v>26.596646659905872</v>
      </c>
      <c r="L457" s="4281"/>
      <c r="M457" s="2405"/>
      <c r="N457" s="54"/>
      <c r="O457" s="54"/>
      <c r="P457" s="54"/>
      <c r="Q457" s="54"/>
      <c r="R457" s="54"/>
      <c r="S457" s="189"/>
      <c r="T457" s="101" t="s">
        <v>972</v>
      </c>
      <c r="U457" s="49"/>
      <c r="V457" s="139"/>
      <c r="W457" s="140"/>
      <c r="X457" s="4282">
        <f t="shared" ca="1" si="26"/>
        <v>0</v>
      </c>
      <c r="Y457" s="4283">
        <f t="shared" si="26"/>
        <v>0</v>
      </c>
      <c r="Z457" s="4282">
        <f t="shared" ca="1" si="26"/>
        <v>-0.19999999999999929</v>
      </c>
      <c r="AA457" s="4283">
        <f t="shared" si="26"/>
        <v>0</v>
      </c>
      <c r="AB457" s="4282">
        <f t="shared" ca="1" si="26"/>
        <v>-0.19999999999999929</v>
      </c>
      <c r="AC457" s="4284">
        <f t="shared" si="26"/>
        <v>0</v>
      </c>
      <c r="AD457" s="195"/>
      <c r="AE457" s="45"/>
      <c r="AF457" s="45"/>
      <c r="AG457" s="45"/>
      <c r="AH457" s="45"/>
      <c r="AI457" s="45"/>
      <c r="AJ457" s="189"/>
      <c r="AK457" s="101" t="s">
        <v>972</v>
      </c>
      <c r="AL457" s="49"/>
      <c r="AM457" s="139"/>
      <c r="AN457" s="140"/>
      <c r="AO457" s="4263">
        <f>100*(Transfer!AE213+Transfer!AE231)/Transfer!AE136</f>
        <v>26.58519586661458</v>
      </c>
      <c r="AP457" s="4264"/>
      <c r="AQ457" s="4263">
        <f>100*(Transfer!AF213+Transfer!AF231)/Transfer!AF136</f>
        <v>26.661529743361552</v>
      </c>
      <c r="AR457" s="4264"/>
      <c r="AS457" s="4263">
        <f>100*(Transfer!AG213+Transfer!AG231)/Transfer!AG136</f>
        <v>26.805358374213025</v>
      </c>
      <c r="AT457" s="4265"/>
      <c r="AU457" s="195"/>
      <c r="AV457" s="54"/>
      <c r="AW457" s="54"/>
      <c r="AX457" s="54"/>
      <c r="AY457" s="54"/>
      <c r="AZ457" s="54"/>
      <c r="BA457" s="1611" t="s">
        <v>108</v>
      </c>
      <c r="BB457" s="1612"/>
      <c r="BC457" s="54"/>
    </row>
    <row r="458" spans="1:55" ht="13.8" thickBot="1">
      <c r="A458" s="45"/>
      <c r="B458" s="1575"/>
      <c r="C458" s="1576" t="s">
        <v>606</v>
      </c>
      <c r="D458" s="2352"/>
      <c r="E458" s="2731"/>
      <c r="F458" s="2646"/>
      <c r="G458" s="4279">
        <f ca="1">100*(((Transfer!E213+Transfer!E231)/(Transfer!D213+Transfer!D231)-1)-(Sector1!$F$55*((Transfer!E136/Transfer!D136)-1)))*((Transfer!D213+Transfer!D231)/Transfer!E147)</f>
        <v>9.4212306651146174E-2</v>
      </c>
      <c r="H458" s="4280"/>
      <c r="I458" s="4279">
        <f ca="1">100*(((Transfer!G213+Transfer!G231)/(Transfer!F213+Transfer!F231)-1)-(Sector1!$F$55*((Transfer!G136/Transfer!F136)-1)))*((Transfer!F213+Transfer!F231)/Transfer!G147)</f>
        <v>2.9818637171535507E-2</v>
      </c>
      <c r="J458" s="4280"/>
      <c r="K458" s="4279">
        <f>100*(((Transfer!I213+Transfer!I231)/(Transfer!H213+Transfer!H231)-1)-(Sector1!$F$55*((Transfer!I136/Transfer!H136)-1)))*((Transfer!H213+Transfer!H231)/Transfer!I147)</f>
        <v>0</v>
      </c>
      <c r="L458" s="4281"/>
      <c r="M458" s="2559"/>
      <c r="N458" s="54"/>
      <c r="O458" s="54"/>
      <c r="P458" s="54"/>
      <c r="Q458" s="54"/>
      <c r="R458" s="54"/>
      <c r="S458" s="189"/>
      <c r="T458" s="101" t="s">
        <v>606</v>
      </c>
      <c r="U458" s="102"/>
      <c r="V458" s="150"/>
      <c r="W458" s="140"/>
      <c r="X458" s="4282">
        <f t="shared" ca="1" si="26"/>
        <v>40.4</v>
      </c>
      <c r="Y458" s="4283">
        <f t="shared" si="26"/>
        <v>0</v>
      </c>
      <c r="Z458" s="4282">
        <f t="shared" ca="1" si="26"/>
        <v>48.1</v>
      </c>
      <c r="AA458" s="4283">
        <f t="shared" si="26"/>
        <v>0</v>
      </c>
      <c r="AB458" s="4282">
        <f t="shared" si="26"/>
        <v>44</v>
      </c>
      <c r="AC458" s="4284">
        <f t="shared" si="26"/>
        <v>0</v>
      </c>
      <c r="AD458" s="477"/>
      <c r="AE458" s="45"/>
      <c r="AF458" s="45"/>
      <c r="AG458" s="45"/>
      <c r="AH458" s="45"/>
      <c r="AI458" s="45"/>
      <c r="AJ458" s="189"/>
      <c r="AK458" s="101" t="s">
        <v>606</v>
      </c>
      <c r="AL458" s="102"/>
      <c r="AM458" s="150"/>
      <c r="AN458" s="140"/>
      <c r="AO458" s="4263">
        <f>100*(((Transfer!AE213+Transfer!AE231)/(Transfer!AD213+Transfer!AD231)-1)-(Transfer!AC262*((Transfer!AE136/Transfer!AD136)-1)))*((Transfer!AD213+Transfer!AD231)/Transfer!AE147)</f>
        <v>-40.334566188513683</v>
      </c>
      <c r="AP458" s="4264"/>
      <c r="AQ458" s="4263">
        <f>100*(((Transfer!AF213+Transfer!AF231)/(Transfer!AE213+Transfer!AE231)-1)-(Transfer!AC262*((Transfer!AF136/Transfer!AE136)-1)))*((Transfer!AE213+Transfer!AE231)/Transfer!AF147)</f>
        <v>-48.142452977510736</v>
      </c>
      <c r="AR458" s="4264"/>
      <c r="AS458" s="4263">
        <f>100*(((Transfer!AG213+Transfer!AG231)/(Transfer!AF213+Transfer!AF231)-1)-(Transfer!AC262*((Transfer!AG136/Transfer!AF136)-1)))*((Transfer!AF213+Transfer!AF231)/Transfer!AG147)</f>
        <v>-43.986496412205661</v>
      </c>
      <c r="AT458" s="4265"/>
      <c r="AU458" s="477"/>
      <c r="AV458" s="54"/>
      <c r="AW458" s="54"/>
      <c r="AX458" s="54"/>
      <c r="AY458" s="54"/>
      <c r="AZ458" s="54"/>
      <c r="BA458" s="1611" t="s">
        <v>1253</v>
      </c>
      <c r="BB458" s="1612"/>
      <c r="BC458" s="54"/>
    </row>
    <row r="459" spans="1:55" ht="13.8" thickBot="1">
      <c r="A459" s="45"/>
      <c r="B459" s="1575"/>
      <c r="C459" s="2724" t="s">
        <v>1535</v>
      </c>
      <c r="D459" s="2725"/>
      <c r="E459" s="2732"/>
      <c r="F459" s="2711"/>
      <c r="G459" s="4291">
        <f>+G453</f>
        <v>2017</v>
      </c>
      <c r="H459" s="4292"/>
      <c r="I459" s="4291">
        <f>+I453</f>
        <v>2018</v>
      </c>
      <c r="J459" s="4292"/>
      <c r="K459" s="4291">
        <f>+K453</f>
        <v>2019</v>
      </c>
      <c r="L459" s="4293"/>
      <c r="M459" s="2405"/>
      <c r="N459" s="54"/>
      <c r="O459" s="54"/>
      <c r="P459" s="54"/>
      <c r="Q459" s="54"/>
      <c r="R459" s="54"/>
      <c r="S459" s="189"/>
      <c r="T459" s="1641" t="s">
        <v>1535</v>
      </c>
      <c r="U459" s="492"/>
      <c r="V459" s="1642"/>
      <c r="W459" s="493"/>
      <c r="X459" s="4294">
        <f>+X453</f>
        <v>2017</v>
      </c>
      <c r="Y459" s="4295"/>
      <c r="Z459" s="4294">
        <f>+Z453</f>
        <v>2018</v>
      </c>
      <c r="AA459" s="4295"/>
      <c r="AB459" s="4294">
        <f>+AB453</f>
        <v>2019</v>
      </c>
      <c r="AC459" s="4298"/>
      <c r="AD459" s="199"/>
      <c r="AE459" s="45"/>
      <c r="AF459" s="45"/>
      <c r="AG459" s="45"/>
      <c r="AH459" s="45"/>
      <c r="AI459" s="45"/>
      <c r="AJ459" s="189"/>
      <c r="AK459" s="1641" t="s">
        <v>1535</v>
      </c>
      <c r="AL459" s="492"/>
      <c r="AM459" s="1642"/>
      <c r="AN459" s="493"/>
      <c r="AO459" s="4296">
        <f>+G453</f>
        <v>2017</v>
      </c>
      <c r="AP459" s="4299"/>
      <c r="AQ459" s="4296">
        <f>+AQ453</f>
        <v>2018</v>
      </c>
      <c r="AR459" s="4299"/>
      <c r="AS459" s="4296">
        <f>+AS453</f>
        <v>2019</v>
      </c>
      <c r="AT459" s="4297"/>
      <c r="AU459" s="199"/>
      <c r="AV459" s="54"/>
      <c r="AW459" s="54"/>
      <c r="AX459" s="54"/>
      <c r="AY459" s="54"/>
      <c r="AZ459" s="54"/>
      <c r="BA459" s="1611"/>
      <c r="BB459" s="1612"/>
      <c r="BC459" s="54"/>
    </row>
    <row r="460" spans="1:55">
      <c r="A460" s="45"/>
      <c r="B460" s="1575"/>
      <c r="C460" s="1576" t="s">
        <v>218</v>
      </c>
      <c r="D460" s="2311"/>
      <c r="E460" s="2730"/>
      <c r="F460" s="2646"/>
      <c r="G460" s="4268">
        <f>Sector1!$F$358</f>
        <v>1.1809724676532847</v>
      </c>
      <c r="H460" s="4269"/>
      <c r="I460" s="4269"/>
      <c r="J460" s="4269"/>
      <c r="K460" s="4269"/>
      <c r="L460" s="4270"/>
      <c r="M460" s="2405"/>
      <c r="N460" s="54"/>
      <c r="O460" s="54"/>
      <c r="P460" s="54"/>
      <c r="Q460" s="54"/>
      <c r="R460" s="54"/>
      <c r="S460" s="189"/>
      <c r="T460" s="40" t="s">
        <v>218</v>
      </c>
      <c r="U460" s="49"/>
      <c r="V460" s="139"/>
      <c r="W460" s="140"/>
      <c r="X460" s="4288">
        <f t="shared" ref="X460:AC464" si="27">ROUND(G460,1)-ROUND(AO460,1)</f>
        <v>-129.80000000000001</v>
      </c>
      <c r="Y460" s="4289">
        <f t="shared" si="27"/>
        <v>0</v>
      </c>
      <c r="Z460" s="4289">
        <f t="shared" si="27"/>
        <v>0</v>
      </c>
      <c r="AA460" s="4289">
        <f t="shared" si="27"/>
        <v>0</v>
      </c>
      <c r="AB460" s="4289">
        <f t="shared" si="27"/>
        <v>0</v>
      </c>
      <c r="AC460" s="4290">
        <f t="shared" si="27"/>
        <v>0</v>
      </c>
      <c r="AD460" s="199"/>
      <c r="AE460" s="45"/>
      <c r="AF460" s="45"/>
      <c r="AG460" s="45"/>
      <c r="AH460" s="45"/>
      <c r="AI460" s="45"/>
      <c r="AJ460" s="189"/>
      <c r="AK460" s="40" t="s">
        <v>218</v>
      </c>
      <c r="AL460" s="49"/>
      <c r="AM460" s="139"/>
      <c r="AN460" s="140"/>
      <c r="AO460" s="4274">
        <f>+Transfer!AC263</f>
        <v>131.02000000000001</v>
      </c>
      <c r="AP460" s="4275"/>
      <c r="AQ460" s="4275"/>
      <c r="AR460" s="4275"/>
      <c r="AS460" s="4275"/>
      <c r="AT460" s="4276"/>
      <c r="AU460" s="199"/>
      <c r="AV460" s="54"/>
      <c r="AW460" s="54"/>
      <c r="AX460" s="54"/>
      <c r="AY460" s="54"/>
      <c r="AZ460" s="54"/>
      <c r="BA460" s="1611" t="s">
        <v>885</v>
      </c>
      <c r="BB460" s="1612"/>
      <c r="BC460" s="54"/>
    </row>
    <row r="461" spans="1:55">
      <c r="A461" s="45"/>
      <c r="B461" s="1575"/>
      <c r="C461" s="1576" t="s">
        <v>970</v>
      </c>
      <c r="D461" s="2311"/>
      <c r="E461" s="2730"/>
      <c r="F461" s="2646"/>
      <c r="G461" s="4279">
        <f ca="1">((Transfer!E214-Transfer!D214)/Transfer!D214)/((Transfer!E147-Transfer!D147)/Transfer!D147)</f>
        <v>2.0023712261833118</v>
      </c>
      <c r="H461" s="4280"/>
      <c r="I461" s="4279">
        <f ca="1">((Transfer!F214-Transfer!E214)/Transfer!E214)/((Transfer!F147-Transfer!E147)/Transfer!E147)</f>
        <v>0.17886102137681834</v>
      </c>
      <c r="J461" s="4280"/>
      <c r="K461" s="4279">
        <f ca="1">((Transfer!G214-Transfer!F214)/Transfer!F214)/((Transfer!G147-Transfer!F147)/Transfer!F147)</f>
        <v>0.70096416135199024</v>
      </c>
      <c r="L461" s="4281"/>
      <c r="M461" s="2405"/>
      <c r="N461" s="54"/>
      <c r="O461" s="54"/>
      <c r="P461" s="54"/>
      <c r="Q461" s="54"/>
      <c r="R461" s="54"/>
      <c r="S461" s="189"/>
      <c r="T461" s="40" t="s">
        <v>970</v>
      </c>
      <c r="U461" s="49"/>
      <c r="V461" s="139"/>
      <c r="W461" s="140"/>
      <c r="X461" s="4260">
        <f t="shared" ca="1" si="27"/>
        <v>0</v>
      </c>
      <c r="Y461" s="4261">
        <f t="shared" si="27"/>
        <v>0</v>
      </c>
      <c r="Z461" s="4260">
        <f t="shared" ca="1" si="27"/>
        <v>0.30000000000000004</v>
      </c>
      <c r="AA461" s="4261">
        <f t="shared" si="27"/>
        <v>0</v>
      </c>
      <c r="AB461" s="4260">
        <f t="shared" ca="1" si="27"/>
        <v>0.19999999999999996</v>
      </c>
      <c r="AC461" s="4262">
        <f t="shared" si="27"/>
        <v>0</v>
      </c>
      <c r="AD461" s="199"/>
      <c r="AE461" s="45"/>
      <c r="AF461" s="45"/>
      <c r="AG461" s="45"/>
      <c r="AH461" s="45"/>
      <c r="AI461" s="45"/>
      <c r="AJ461" s="189"/>
      <c r="AK461" s="40" t="s">
        <v>970</v>
      </c>
      <c r="AL461" s="49"/>
      <c r="AM461" s="139"/>
      <c r="AN461" s="140"/>
      <c r="AO461" s="4263">
        <f>((Transfer!AE214-Transfer!AD214)/Transfer!AD214)/((Transfer!AE147-Transfer!AD147)/Transfer!AD147)</f>
        <v>2.0023712261833118</v>
      </c>
      <c r="AP461" s="4264"/>
      <c r="AQ461" s="4263">
        <f>((Transfer!AF214-Transfer!AE214)/Transfer!AE214)/((Transfer!AF147-Transfer!AE147)/Transfer!AE147)</f>
        <v>-8.3124398804538313E-2</v>
      </c>
      <c r="AR461" s="4264"/>
      <c r="AS461" s="4263">
        <f>((Transfer!AG214-Transfer!AF214)/Transfer!AF214)/((Transfer!AG147-Transfer!AF147)/Transfer!AF147)</f>
        <v>0.51815612951804757</v>
      </c>
      <c r="AT461" s="4265"/>
      <c r="AU461" s="199"/>
      <c r="AV461" s="54"/>
      <c r="AW461" s="54"/>
      <c r="AX461" s="54"/>
      <c r="AY461" s="54"/>
      <c r="AZ461" s="54"/>
      <c r="BA461" s="1611" t="s">
        <v>852</v>
      </c>
      <c r="BB461" s="1612"/>
      <c r="BC461" s="54"/>
    </row>
    <row r="462" spans="1:55">
      <c r="A462" s="45"/>
      <c r="B462" s="1575"/>
      <c r="C462" s="1576" t="s">
        <v>971</v>
      </c>
      <c r="D462" s="2311"/>
      <c r="E462" s="2730"/>
      <c r="F462" s="2646"/>
      <c r="G462" s="4285">
        <f ca="1">+Transfer!C259</f>
        <v>16.583807586516453</v>
      </c>
      <c r="H462" s="4286"/>
      <c r="I462" s="4286"/>
      <c r="J462" s="4286"/>
      <c r="K462" s="4286"/>
      <c r="L462" s="4287"/>
      <c r="M462" s="2405"/>
      <c r="N462" s="54"/>
      <c r="O462" s="54"/>
      <c r="P462" s="54"/>
      <c r="Q462" s="54"/>
      <c r="R462" s="54"/>
      <c r="S462" s="189"/>
      <c r="T462" s="101" t="s">
        <v>971</v>
      </c>
      <c r="U462" s="49"/>
      <c r="V462" s="139"/>
      <c r="W462" s="140"/>
      <c r="X462" s="4288">
        <f t="shared" ca="1" si="27"/>
        <v>0</v>
      </c>
      <c r="Y462" s="4289">
        <f t="shared" si="27"/>
        <v>0</v>
      </c>
      <c r="Z462" s="4289">
        <f t="shared" si="27"/>
        <v>0</v>
      </c>
      <c r="AA462" s="4289">
        <f t="shared" si="27"/>
        <v>0</v>
      </c>
      <c r="AB462" s="4289">
        <f t="shared" si="27"/>
        <v>0</v>
      </c>
      <c r="AC462" s="4290">
        <f t="shared" si="27"/>
        <v>0</v>
      </c>
      <c r="AD462" s="199"/>
      <c r="AE462" s="45"/>
      <c r="AF462" s="45"/>
      <c r="AG462" s="45"/>
      <c r="AH462" s="45"/>
      <c r="AI462" s="45"/>
      <c r="AJ462" s="189"/>
      <c r="AK462" s="101" t="s">
        <v>971</v>
      </c>
      <c r="AL462" s="49"/>
      <c r="AM462" s="139"/>
      <c r="AN462" s="140"/>
      <c r="AO462" s="4257">
        <f>+Transfer!AC259</f>
        <v>16.583807586516453</v>
      </c>
      <c r="AP462" s="4258"/>
      <c r="AQ462" s="4258"/>
      <c r="AR462" s="4258"/>
      <c r="AS462" s="4258"/>
      <c r="AT462" s="4259"/>
      <c r="AU462" s="199"/>
      <c r="AV462" s="54"/>
      <c r="AW462" s="54"/>
      <c r="AX462" s="54"/>
      <c r="AY462" s="54"/>
      <c r="AZ462" s="54"/>
      <c r="BA462" s="1611" t="s">
        <v>853</v>
      </c>
      <c r="BB462" s="1612"/>
      <c r="BC462" s="54"/>
    </row>
    <row r="463" spans="1:55">
      <c r="A463" s="45"/>
      <c r="B463" s="1575"/>
      <c r="C463" s="1576" t="s">
        <v>972</v>
      </c>
      <c r="D463" s="2311"/>
      <c r="E463" s="2730"/>
      <c r="F463" s="2646"/>
      <c r="G463" s="4279">
        <f ca="1">100*Transfer!E214/Transfer!E147</f>
        <v>16.825379956331417</v>
      </c>
      <c r="H463" s="4280"/>
      <c r="I463" s="4279">
        <f ca="1">100*Transfer!F214/Transfer!F147</f>
        <v>16.371675405642133</v>
      </c>
      <c r="J463" s="4280"/>
      <c r="K463" s="4279">
        <f ca="1">100*Transfer!G214/Transfer!G147</f>
        <v>16.208137223616141</v>
      </c>
      <c r="L463" s="4281"/>
      <c r="M463" s="2405"/>
      <c r="N463" s="54"/>
      <c r="O463" s="54"/>
      <c r="P463" s="54"/>
      <c r="Q463" s="54"/>
      <c r="R463" s="54"/>
      <c r="S463" s="189"/>
      <c r="T463" s="101" t="s">
        <v>972</v>
      </c>
      <c r="U463" s="49"/>
      <c r="V463" s="139"/>
      <c r="W463" s="140"/>
      <c r="X463" s="4282">
        <f t="shared" ca="1" si="27"/>
        <v>0</v>
      </c>
      <c r="Y463" s="4283">
        <f t="shared" si="27"/>
        <v>0</v>
      </c>
      <c r="Z463" s="4282">
        <f t="shared" ca="1" si="27"/>
        <v>0.19999999999999929</v>
      </c>
      <c r="AA463" s="4283">
        <f t="shared" si="27"/>
        <v>0</v>
      </c>
      <c r="AB463" s="4282">
        <f t="shared" ca="1" si="27"/>
        <v>0.19999999999999929</v>
      </c>
      <c r="AC463" s="4284">
        <f t="shared" si="27"/>
        <v>0</v>
      </c>
      <c r="AD463" s="199"/>
      <c r="AE463" s="45"/>
      <c r="AF463" s="45"/>
      <c r="AG463" s="45"/>
      <c r="AH463" s="45"/>
      <c r="AI463" s="45"/>
      <c r="AJ463" s="189"/>
      <c r="AK463" s="101" t="s">
        <v>972</v>
      </c>
      <c r="AL463" s="49"/>
      <c r="AM463" s="139"/>
      <c r="AN463" s="140"/>
      <c r="AO463" s="4263">
        <f>100*Transfer!AE214/Transfer!AE147</f>
        <v>16.825379956331417</v>
      </c>
      <c r="AP463" s="4264"/>
      <c r="AQ463" s="4263">
        <f>100*Transfer!AF214/Transfer!AF147</f>
        <v>16.226920400162026</v>
      </c>
      <c r="AR463" s="4264"/>
      <c r="AS463" s="4263">
        <f>100*Transfer!AG214/Transfer!AG147</f>
        <v>15.964877049659354</v>
      </c>
      <c r="AT463" s="4265"/>
      <c r="AU463" s="199"/>
      <c r="AV463" s="54"/>
      <c r="AW463" s="54"/>
      <c r="AX463" s="54"/>
      <c r="AY463" s="54"/>
      <c r="AZ463" s="54"/>
      <c r="BA463" s="1611" t="s">
        <v>397</v>
      </c>
      <c r="BB463" s="1612"/>
      <c r="BC463" s="54"/>
    </row>
    <row r="464" spans="1:55" ht="13.8" thickBot="1">
      <c r="A464" s="45"/>
      <c r="B464" s="1575"/>
      <c r="C464" s="1576" t="s">
        <v>606</v>
      </c>
      <c r="D464" s="2352"/>
      <c r="E464" s="2731"/>
      <c r="F464" s="2646"/>
      <c r="G464" s="4300">
        <f ca="1">100*(((Transfer!E214/Transfer!D214)-1)-(Sector1!$F$358*((Transfer!E147/Transfer!D147)-1)))*(Transfer!D214/Transfer!E147)</f>
        <v>0.4699419523853941</v>
      </c>
      <c r="H464" s="4301"/>
      <c r="I464" s="4279">
        <f ca="1">100*(((Transfer!G214/Transfer!F214)-1)-(Sector1!$F$358*((Transfer!G147/Transfer!F147)-1)))*(Transfer!F214/Transfer!G147)</f>
        <v>-0.26250929027369224</v>
      </c>
      <c r="J464" s="4280"/>
      <c r="K464" s="4279">
        <f>100*(((Transfer!I214/Transfer!H214)-1)-(Sector1!$F$358*((Transfer!I147/Transfer!H147)-1)))*(Transfer!H214/Transfer!I147)</f>
        <v>0</v>
      </c>
      <c r="L464" s="4281"/>
      <c r="M464" s="2559"/>
      <c r="N464" s="54"/>
      <c r="O464" s="54" t="s">
        <v>1999</v>
      </c>
      <c r="P464" s="54"/>
      <c r="Q464" s="54"/>
      <c r="R464" s="54"/>
      <c r="S464" s="189"/>
      <c r="T464" s="101" t="s">
        <v>606</v>
      </c>
      <c r="U464" s="102"/>
      <c r="V464" s="150"/>
      <c r="W464" s="140"/>
      <c r="X464" s="4282">
        <f t="shared" ca="1" si="27"/>
        <v>74.3</v>
      </c>
      <c r="Y464" s="4283">
        <f t="shared" si="27"/>
        <v>0</v>
      </c>
      <c r="Z464" s="4282">
        <f t="shared" ca="1" si="27"/>
        <v>72.100000000000009</v>
      </c>
      <c r="AA464" s="4283">
        <f t="shared" si="27"/>
        <v>0</v>
      </c>
      <c r="AB464" s="4282">
        <f t="shared" si="27"/>
        <v>71</v>
      </c>
      <c r="AC464" s="4284">
        <f t="shared" si="27"/>
        <v>0</v>
      </c>
      <c r="AD464" s="477"/>
      <c r="AE464" s="45"/>
      <c r="AF464" s="45"/>
      <c r="AG464" s="45"/>
      <c r="AH464" s="45"/>
      <c r="AI464" s="45"/>
      <c r="AJ464" s="189"/>
      <c r="AK464" s="101" t="s">
        <v>606</v>
      </c>
      <c r="AL464" s="102"/>
      <c r="AM464" s="150"/>
      <c r="AN464" s="140"/>
      <c r="AO464" s="4302">
        <f>100*(((Transfer!AE214/Transfer!AD214)-1)-(Transfer!AC263*((Transfer!AE147/Transfer!AD147)-1)))*(Transfer!AD214/Transfer!AE147)</f>
        <v>-73.814083267676651</v>
      </c>
      <c r="AP464" s="4303"/>
      <c r="AQ464" s="4263">
        <f>100*(((Transfer!AF214/Transfer!AE214)-1)-(Transfer!AC263*((Transfer!AF147/Transfer!AE147)-1)))*(Transfer!AE214/Transfer!AF147)</f>
        <v>-72.438510042545914</v>
      </c>
      <c r="AR464" s="4264"/>
      <c r="AS464" s="4263">
        <f>100*(((Transfer!AG214/Transfer!AF214)-1)-(Transfer!AC263*((Transfer!AG147/Transfer!AF147)-1)))*(Transfer!AF214/Transfer!AG147)</f>
        <v>-70.971413168321604</v>
      </c>
      <c r="AT464" s="4265"/>
      <c r="AU464" s="477"/>
      <c r="AV464" s="54"/>
      <c r="AW464" s="54"/>
      <c r="AX464" s="54"/>
      <c r="AY464" s="54"/>
      <c r="AZ464" s="54"/>
      <c r="BA464" s="1611" t="s">
        <v>447</v>
      </c>
      <c r="BB464" s="1612"/>
      <c r="BC464" s="54"/>
    </row>
    <row r="465" spans="1:256" ht="13.8" thickBot="1">
      <c r="A465" s="45"/>
      <c r="B465" s="1575"/>
      <c r="C465" s="2724" t="s">
        <v>922</v>
      </c>
      <c r="D465" s="2725"/>
      <c r="E465" s="2732"/>
      <c r="F465" s="2733"/>
      <c r="G465" s="4291">
        <f>+G459</f>
        <v>2017</v>
      </c>
      <c r="H465" s="4292"/>
      <c r="I465" s="4291">
        <f>+I459</f>
        <v>2018</v>
      </c>
      <c r="J465" s="4292"/>
      <c r="K465" s="4291">
        <f>+K459</f>
        <v>2019</v>
      </c>
      <c r="L465" s="4293"/>
      <c r="M465" s="2328"/>
      <c r="N465" s="54"/>
      <c r="O465" s="54"/>
      <c r="P465" s="54"/>
      <c r="Q465" s="54"/>
      <c r="R465" s="54"/>
      <c r="S465" s="189"/>
      <c r="T465" s="1641" t="s">
        <v>922</v>
      </c>
      <c r="U465" s="492"/>
      <c r="V465" s="1642"/>
      <c r="W465" s="1643"/>
      <c r="X465" s="4296">
        <f>+X459</f>
        <v>2017</v>
      </c>
      <c r="Y465" s="4299"/>
      <c r="Z465" s="4296">
        <f>+Z459</f>
        <v>2018</v>
      </c>
      <c r="AA465" s="4299"/>
      <c r="AB465" s="4296">
        <f>+AB459</f>
        <v>2019</v>
      </c>
      <c r="AC465" s="4297"/>
      <c r="AD465" s="82"/>
      <c r="AE465" s="45"/>
      <c r="AF465" s="45"/>
      <c r="AG465" s="45"/>
      <c r="AH465" s="45"/>
      <c r="AI465" s="45"/>
      <c r="AJ465" s="189"/>
      <c r="AK465" s="1641" t="s">
        <v>922</v>
      </c>
      <c r="AL465" s="492"/>
      <c r="AM465" s="1642"/>
      <c r="AN465" s="1643"/>
      <c r="AO465" s="4296">
        <f>+G453</f>
        <v>2017</v>
      </c>
      <c r="AP465" s="4299"/>
      <c r="AQ465" s="4296">
        <f>+AQ459</f>
        <v>2018</v>
      </c>
      <c r="AR465" s="4299"/>
      <c r="AS465" s="4296">
        <f>+AS459</f>
        <v>2019</v>
      </c>
      <c r="AT465" s="4297"/>
      <c r="AU465" s="82"/>
      <c r="AV465" s="54"/>
      <c r="AW465" s="54"/>
      <c r="AX465" s="54"/>
      <c r="AY465" s="54"/>
      <c r="AZ465" s="54"/>
      <c r="BA465" s="1611"/>
      <c r="BB465" s="1612"/>
      <c r="BC465" s="54"/>
    </row>
    <row r="466" spans="1:256">
      <c r="A466" s="45"/>
      <c r="B466" s="1575"/>
      <c r="C466" s="1576" t="s">
        <v>298</v>
      </c>
      <c r="D466" s="2311"/>
      <c r="E466" s="2730"/>
      <c r="F466" s="2646"/>
      <c r="G466" s="4268">
        <f>Sector1!$F$509</f>
        <v>1.1000000000000001</v>
      </c>
      <c r="H466" s="4269"/>
      <c r="I466" s="4269"/>
      <c r="J466" s="4269"/>
      <c r="K466" s="4269"/>
      <c r="L466" s="4270"/>
      <c r="M466" s="2405"/>
      <c r="N466" s="54"/>
      <c r="O466" s="54"/>
      <c r="P466" s="54"/>
      <c r="Q466" s="54"/>
      <c r="R466" s="54"/>
      <c r="S466" s="189"/>
      <c r="T466" s="40" t="s">
        <v>298</v>
      </c>
      <c r="U466" s="49"/>
      <c r="V466" s="139"/>
      <c r="W466" s="140"/>
      <c r="X466" s="4274">
        <f t="shared" ref="X466:AC470" si="28">ROUND(G466,1)-ROUND(AO466,1)</f>
        <v>-75.300000000000011</v>
      </c>
      <c r="Y466" s="4275">
        <f t="shared" si="28"/>
        <v>0</v>
      </c>
      <c r="Z466" s="4275">
        <f t="shared" si="28"/>
        <v>0</v>
      </c>
      <c r="AA466" s="4275">
        <f t="shared" si="28"/>
        <v>0</v>
      </c>
      <c r="AB466" s="4275">
        <f t="shared" si="28"/>
        <v>0</v>
      </c>
      <c r="AC466" s="4276">
        <f t="shared" si="28"/>
        <v>0</v>
      </c>
      <c r="AD466" s="199"/>
      <c r="AE466" s="45"/>
      <c r="AF466" s="45"/>
      <c r="AG466" s="45"/>
      <c r="AH466" s="45"/>
      <c r="AI466" s="45"/>
      <c r="AJ466" s="189"/>
      <c r="AK466" s="40" t="s">
        <v>298</v>
      </c>
      <c r="AL466" s="49"/>
      <c r="AM466" s="139"/>
      <c r="AN466" s="140"/>
      <c r="AO466" s="4274">
        <f>+Transfer!AC264</f>
        <v>76.42</v>
      </c>
      <c r="AP466" s="4275"/>
      <c r="AQ466" s="4275"/>
      <c r="AR466" s="4275"/>
      <c r="AS466" s="4275"/>
      <c r="AT466" s="4276"/>
      <c r="AU466" s="199"/>
      <c r="AV466" s="54"/>
      <c r="AW466" s="54"/>
      <c r="AX466" s="54"/>
      <c r="AY466" s="54"/>
      <c r="AZ466" s="54"/>
      <c r="BA466" s="1611" t="s">
        <v>448</v>
      </c>
      <c r="BB466" s="1612"/>
      <c r="BC466" s="54"/>
    </row>
    <row r="467" spans="1:256">
      <c r="A467" s="45"/>
      <c r="B467" s="1575"/>
      <c r="C467" s="1576" t="s">
        <v>970</v>
      </c>
      <c r="D467" s="2311"/>
      <c r="E467" s="2730"/>
      <c r="F467" s="2646"/>
      <c r="G467" s="4279">
        <f ca="1">((Transfer!E215-Transfer!D215)/Transfer!D215)/((Transfer!E161-Transfer!D161)/Transfer!D161)</f>
        <v>0.85170069792310588</v>
      </c>
      <c r="H467" s="4280"/>
      <c r="I467" s="4279">
        <f ca="1">((Transfer!F215-Transfer!E215)/Transfer!E215)/((Transfer!F161-Transfer!E161)/Transfer!E161)</f>
        <v>0.84388549463921414</v>
      </c>
      <c r="J467" s="4280"/>
      <c r="K467" s="4279">
        <f ca="1">((Transfer!G215-Transfer!F215)/Transfer!F215)/((Transfer!G161-Transfer!F161)/Transfer!F161)</f>
        <v>0.93680899210156021</v>
      </c>
      <c r="L467" s="4281"/>
      <c r="M467" s="2405"/>
      <c r="N467" s="54"/>
      <c r="O467" s="54"/>
      <c r="P467" s="54"/>
      <c r="Q467" s="54"/>
      <c r="R467" s="54"/>
      <c r="S467" s="189"/>
      <c r="T467" s="40" t="s">
        <v>970</v>
      </c>
      <c r="U467" s="49"/>
      <c r="V467" s="139"/>
      <c r="W467" s="140"/>
      <c r="X467" s="4304">
        <f t="shared" ca="1" si="28"/>
        <v>0</v>
      </c>
      <c r="Y467" s="4305">
        <f t="shared" si="28"/>
        <v>0</v>
      </c>
      <c r="Z467" s="4304">
        <f t="shared" ca="1" si="28"/>
        <v>0</v>
      </c>
      <c r="AA467" s="4305">
        <f t="shared" si="28"/>
        <v>0</v>
      </c>
      <c r="AB467" s="4304">
        <f t="shared" ca="1" si="28"/>
        <v>0</v>
      </c>
      <c r="AC467" s="4306">
        <f t="shared" si="28"/>
        <v>0</v>
      </c>
      <c r="AD467" s="199"/>
      <c r="AE467" s="45"/>
      <c r="AF467" s="45"/>
      <c r="AG467" s="45"/>
      <c r="AH467" s="45"/>
      <c r="AI467" s="45"/>
      <c r="AJ467" s="189"/>
      <c r="AK467" s="40" t="s">
        <v>970</v>
      </c>
      <c r="AL467" s="49"/>
      <c r="AM467" s="139"/>
      <c r="AN467" s="140"/>
      <c r="AO467" s="4263">
        <f>((Transfer!AE215-Transfer!AD215)/Transfer!AD215)/((Transfer!AE161-Transfer!AD161)/Transfer!AD161)</f>
        <v>0.85170069792310588</v>
      </c>
      <c r="AP467" s="4264"/>
      <c r="AQ467" s="4263">
        <f>((Transfer!AF215-Transfer!AE215)/Transfer!AE215)/((Transfer!AF161-Transfer!AE161)/Transfer!AE161)</f>
        <v>0.84511565788199305</v>
      </c>
      <c r="AR467" s="4264"/>
      <c r="AS467" s="4263">
        <f>((Transfer!AG215-Transfer!AF215)/Transfer!AF215)/((Transfer!AG161-Transfer!AF161)/Transfer!AF161)</f>
        <v>0.93679160791039962</v>
      </c>
      <c r="AT467" s="4265"/>
      <c r="AU467" s="199"/>
      <c r="AV467" s="54"/>
      <c r="AW467" s="54"/>
      <c r="AX467" s="54"/>
      <c r="AY467" s="54"/>
      <c r="AZ467" s="54"/>
      <c r="BA467" s="1611" t="s">
        <v>836</v>
      </c>
      <c r="BB467" s="1612"/>
      <c r="BC467" s="54"/>
    </row>
    <row r="468" spans="1:256">
      <c r="A468" s="45"/>
      <c r="B468" s="1575"/>
      <c r="C468" s="1576" t="s">
        <v>971</v>
      </c>
      <c r="D468" s="2311"/>
      <c r="E468" s="2730"/>
      <c r="F468" s="2337"/>
      <c r="G468" s="4285">
        <f ca="1">+Transfer!C260</f>
        <v>32.601066279216212</v>
      </c>
      <c r="H468" s="4286"/>
      <c r="I468" s="4286"/>
      <c r="J468" s="4286"/>
      <c r="K468" s="4286"/>
      <c r="L468" s="4287"/>
      <c r="M468" s="2328"/>
      <c r="N468" s="54"/>
      <c r="O468" s="54"/>
      <c r="P468" s="54"/>
      <c r="Q468" s="54"/>
      <c r="R468" s="54"/>
      <c r="S468" s="189"/>
      <c r="T468" s="101" t="s">
        <v>971</v>
      </c>
      <c r="U468" s="49"/>
      <c r="V468" s="139"/>
      <c r="W468" s="92"/>
      <c r="X468" s="4274">
        <f t="shared" ca="1" si="28"/>
        <v>0</v>
      </c>
      <c r="Y468" s="4275">
        <f t="shared" si="28"/>
        <v>0</v>
      </c>
      <c r="Z468" s="4275">
        <f t="shared" si="28"/>
        <v>0</v>
      </c>
      <c r="AA468" s="4275">
        <f t="shared" si="28"/>
        <v>0</v>
      </c>
      <c r="AB468" s="4275">
        <f t="shared" si="28"/>
        <v>0</v>
      </c>
      <c r="AC468" s="4276">
        <f t="shared" si="28"/>
        <v>0</v>
      </c>
      <c r="AD468" s="82"/>
      <c r="AE468" s="45"/>
      <c r="AF468" s="45"/>
      <c r="AG468" s="45"/>
      <c r="AH468" s="45"/>
      <c r="AI468" s="45"/>
      <c r="AJ468" s="189"/>
      <c r="AK468" s="101" t="s">
        <v>971</v>
      </c>
      <c r="AL468" s="49"/>
      <c r="AM468" s="139"/>
      <c r="AN468" s="92"/>
      <c r="AO468" s="4257">
        <f>+Transfer!AC260</f>
        <v>32.601066279216212</v>
      </c>
      <c r="AP468" s="4258"/>
      <c r="AQ468" s="4258"/>
      <c r="AR468" s="4258"/>
      <c r="AS468" s="4258"/>
      <c r="AT468" s="4259"/>
      <c r="AU468" s="82"/>
      <c r="AV468" s="54"/>
      <c r="AW468" s="54"/>
      <c r="AX468" s="54"/>
      <c r="AY468" s="54"/>
      <c r="AZ468" s="54"/>
      <c r="BA468" s="1611" t="s">
        <v>837</v>
      </c>
      <c r="BB468" s="1612"/>
      <c r="BC468" s="54"/>
    </row>
    <row r="469" spans="1:256">
      <c r="A469" s="45"/>
      <c r="B469" s="1575"/>
      <c r="C469" s="1576" t="s">
        <v>972</v>
      </c>
      <c r="D469" s="2311"/>
      <c r="E469" s="2730"/>
      <c r="F469" s="2646"/>
      <c r="G469" s="4279">
        <f ca="1">100*Transfer!E215/Transfer!E161</f>
        <v>32.141569227660099</v>
      </c>
      <c r="H469" s="4280"/>
      <c r="I469" s="4279">
        <f ca="1">100*Transfer!F215/Transfer!F161</f>
        <v>31.981432994553447</v>
      </c>
      <c r="J469" s="4280"/>
      <c r="K469" s="4279">
        <f ca="1">100*Transfer!G215/Transfer!G161</f>
        <v>31.918707616058644</v>
      </c>
      <c r="L469" s="4281"/>
      <c r="M469" s="2405"/>
      <c r="N469" s="54"/>
      <c r="O469" s="54"/>
      <c r="P469" s="54"/>
      <c r="Q469" s="54"/>
      <c r="R469" s="54"/>
      <c r="S469" s="189"/>
      <c r="T469" s="101" t="s">
        <v>972</v>
      </c>
      <c r="U469" s="49"/>
      <c r="V469" s="139"/>
      <c r="W469" s="140"/>
      <c r="X469" s="4307">
        <f t="shared" ca="1" si="28"/>
        <v>0</v>
      </c>
      <c r="Y469" s="4308">
        <f t="shared" si="28"/>
        <v>0</v>
      </c>
      <c r="Z469" s="4307">
        <f t="shared" ca="1" si="28"/>
        <v>0</v>
      </c>
      <c r="AA469" s="4308">
        <f t="shared" si="28"/>
        <v>0</v>
      </c>
      <c r="AB469" s="4307">
        <f t="shared" ca="1" si="28"/>
        <v>0</v>
      </c>
      <c r="AC469" s="4324">
        <f t="shared" si="28"/>
        <v>0</v>
      </c>
      <c r="AD469" s="199"/>
      <c r="AE469" s="45"/>
      <c r="AF469" s="45"/>
      <c r="AG469" s="45"/>
      <c r="AH469" s="45"/>
      <c r="AI469" s="45"/>
      <c r="AJ469" s="189"/>
      <c r="AK469" s="101" t="s">
        <v>972</v>
      </c>
      <c r="AL469" s="49"/>
      <c r="AM469" s="139"/>
      <c r="AN469" s="140"/>
      <c r="AO469" s="4263">
        <f>100*Transfer!AE215/Transfer!AE161</f>
        <v>32.141569227660099</v>
      </c>
      <c r="AP469" s="4264"/>
      <c r="AQ469" s="4263">
        <f>100*Transfer!AF215/Transfer!AF161</f>
        <v>31.982918738492955</v>
      </c>
      <c r="AR469" s="4264"/>
      <c r="AS469" s="4263">
        <f>100*Transfer!AG215/Transfer!AG161</f>
        <v>31.920172060865113</v>
      </c>
      <c r="AT469" s="4265"/>
      <c r="AU469" s="199"/>
      <c r="AV469" s="54"/>
      <c r="AW469" s="54"/>
      <c r="AX469" s="54"/>
      <c r="AY469" s="54"/>
      <c r="AZ469" s="54"/>
      <c r="BA469" s="1611" t="s">
        <v>1507</v>
      </c>
      <c r="BB469" s="1612"/>
      <c r="BC469" s="54"/>
    </row>
    <row r="470" spans="1:256" ht="13.8" thickBot="1">
      <c r="A470" s="45"/>
      <c r="B470" s="1575"/>
      <c r="C470" s="2355" t="s">
        <v>606</v>
      </c>
      <c r="D470" s="2695"/>
      <c r="E470" s="2734"/>
      <c r="F470" s="2697"/>
      <c r="G470" s="4319">
        <f ca="1">100*(((Transfer!E215/Transfer!D215)-1)-(Sector1!$F$509*((Transfer!E161/Transfer!D161)-1)))*(Transfer!D215/Transfer!E147)</f>
        <v>-0.12061334829844964</v>
      </c>
      <c r="H470" s="4320"/>
      <c r="I470" s="4311">
        <f ca="1">100*(((Transfer!G215/Transfer!F215)-1)-(Sector1!$F$509*((Transfer!G161/Transfer!F161)-1)))*(Transfer!F215/Transfer!G147)</f>
        <v>-7.9430424277560724E-2</v>
      </c>
      <c r="J470" s="4321"/>
      <c r="K470" s="4311">
        <f>100*(((Transfer!I215/Transfer!H215)-1)-(Sector1!$F$509*((Transfer!I161/Transfer!H161)-1)))*(Transfer!H215/Transfer!I147)</f>
        <v>0</v>
      </c>
      <c r="L470" s="4312"/>
      <c r="M470" s="2690"/>
      <c r="N470" s="54"/>
      <c r="O470" s="54"/>
      <c r="P470" s="54"/>
      <c r="Q470" s="54"/>
      <c r="R470" s="54"/>
      <c r="S470" s="189"/>
      <c r="T470" s="109" t="s">
        <v>606</v>
      </c>
      <c r="U470" s="182"/>
      <c r="V470" s="1640"/>
      <c r="W470" s="482"/>
      <c r="X470" s="4313">
        <f t="shared" ca="1" si="28"/>
        <v>36.6</v>
      </c>
      <c r="Y470" s="4314">
        <f t="shared" si="28"/>
        <v>0</v>
      </c>
      <c r="Z470" s="4313">
        <f t="shared" ca="1" si="28"/>
        <v>38</v>
      </c>
      <c r="AA470" s="4314">
        <f t="shared" si="28"/>
        <v>0</v>
      </c>
      <c r="AB470" s="4313">
        <f t="shared" si="28"/>
        <v>36.700000000000003</v>
      </c>
      <c r="AC470" s="4315">
        <f t="shared" si="28"/>
        <v>0</v>
      </c>
      <c r="AD470" s="481"/>
      <c r="AE470" s="45"/>
      <c r="AF470" s="45"/>
      <c r="AG470" s="45"/>
      <c r="AH470" s="45"/>
      <c r="AI470" s="45"/>
      <c r="AJ470" s="189"/>
      <c r="AK470" s="109" t="s">
        <v>606</v>
      </c>
      <c r="AL470" s="182"/>
      <c r="AM470" s="1640"/>
      <c r="AN470" s="482"/>
      <c r="AO470" s="4322">
        <f>100*(((Transfer!AE215/Transfer!AD215)-1)-(Transfer!AC264*((Transfer!AE161/Transfer!AD161)-1)))*(Transfer!AD215/Transfer!AE147)</f>
        <v>-36.707898603840846</v>
      </c>
      <c r="AP470" s="4323"/>
      <c r="AQ470" s="4316">
        <f>100*(((Transfer!AF215/Transfer!AE215)-1)-(Transfer!AC264*((Transfer!AF161/Transfer!AE161)-1)))*(Transfer!AE215/Transfer!AF147)</f>
        <v>-38.050107096048222</v>
      </c>
      <c r="AR470" s="4326"/>
      <c r="AS470" s="4316">
        <f>100*(((Transfer!AG215/Transfer!AF215)-1)-(Transfer!AC264*((Transfer!AG161/Transfer!AF161)-1)))*(Transfer!AF215/Transfer!AG147)</f>
        <v>-36.736657375228404</v>
      </c>
      <c r="AT470" s="4317"/>
      <c r="AU470" s="481"/>
      <c r="AV470" s="54"/>
      <c r="AW470" s="54"/>
      <c r="AX470" s="54"/>
      <c r="AY470" s="54"/>
      <c r="AZ470" s="54"/>
      <c r="BA470" s="1651" t="s">
        <v>1591</v>
      </c>
      <c r="BB470" s="1615"/>
      <c r="BC470" s="54"/>
    </row>
    <row r="471" spans="1:256">
      <c r="A471" s="45"/>
      <c r="B471" s="1614"/>
      <c r="C471" s="2428"/>
      <c r="D471" s="2428"/>
      <c r="E471" s="2428"/>
      <c r="F471" s="2428"/>
      <c r="G471" s="2428"/>
      <c r="H471" s="2428"/>
      <c r="I471" s="2428"/>
      <c r="J471" s="2428"/>
      <c r="K471" s="2428"/>
      <c r="L471" s="2360" t="str">
        <f>UPPER(Country)</f>
        <v>BELGIUM</v>
      </c>
      <c r="M471" s="2429"/>
      <c r="N471" s="54"/>
      <c r="O471" s="54"/>
      <c r="P471" s="54"/>
      <c r="Q471" s="54"/>
      <c r="R471" s="54"/>
      <c r="S471" s="216"/>
      <c r="T471" s="113"/>
      <c r="U471" s="113"/>
      <c r="V471" s="113"/>
      <c r="W471" s="113"/>
      <c r="X471" s="113"/>
      <c r="Y471" s="113"/>
      <c r="Z471" s="113"/>
      <c r="AA471" s="113"/>
      <c r="AB471" s="113"/>
      <c r="AC471" s="118" t="str">
        <f>UPPER(Country)</f>
        <v>BELGIUM</v>
      </c>
      <c r="AD471" s="217"/>
      <c r="AE471" s="45"/>
      <c r="AF471" s="45"/>
      <c r="AG471" s="45"/>
      <c r="AH471" s="45"/>
      <c r="AI471" s="45"/>
      <c r="AJ471" s="216"/>
      <c r="AK471" s="113"/>
      <c r="AL471" s="113"/>
      <c r="AM471" s="113"/>
      <c r="AN471" s="113"/>
      <c r="AO471" s="113"/>
      <c r="AP471" s="113"/>
      <c r="AQ471" s="113"/>
      <c r="AR471" s="113"/>
      <c r="AS471" s="113"/>
      <c r="AT471" s="118" t="str">
        <f>UPPER(Country)</f>
        <v>BELGIUM</v>
      </c>
      <c r="AU471" s="217"/>
      <c r="AV471" s="54"/>
      <c r="AW471" s="54"/>
      <c r="AX471" s="54"/>
      <c r="AY471" s="54"/>
      <c r="AZ471" s="54"/>
      <c r="BA471" s="54"/>
      <c r="BB471" s="54"/>
      <c r="BC471" s="54"/>
    </row>
    <row r="472" spans="1:256">
      <c r="A472" s="45"/>
      <c r="B472" s="45"/>
      <c r="C472" s="45"/>
      <c r="D472" s="45"/>
      <c r="E472" s="45"/>
      <c r="F472" s="45"/>
      <c r="G472" s="45"/>
      <c r="H472" s="45"/>
      <c r="I472" s="45"/>
      <c r="J472" s="45"/>
      <c r="K472" s="45"/>
      <c r="L472" s="45"/>
      <c r="M472" s="45"/>
      <c r="N472" s="45"/>
      <c r="O472" s="54"/>
      <c r="P472" s="54"/>
      <c r="Q472" s="54"/>
      <c r="R472" s="54"/>
      <c r="S472" s="54"/>
      <c r="T472" s="54"/>
      <c r="U472" s="54"/>
      <c r="V472" s="54"/>
      <c r="W472" s="54"/>
      <c r="X472" s="54"/>
      <c r="Y472" s="54"/>
      <c r="Z472" s="54"/>
      <c r="AA472" s="54"/>
      <c r="AB472" s="45"/>
      <c r="AC472" s="45"/>
      <c r="AD472" s="45"/>
      <c r="AE472" s="45"/>
      <c r="AF472" s="45"/>
      <c r="AG472" s="45"/>
      <c r="AH472" s="45"/>
      <c r="AI472" s="45"/>
      <c r="AJ472" s="45"/>
      <c r="AK472" s="45"/>
      <c r="AL472" s="45"/>
      <c r="AM472" s="45"/>
      <c r="AN472" s="45"/>
      <c r="AO472" s="45"/>
      <c r="AP472" s="45"/>
      <c r="AQ472" s="45"/>
      <c r="AR472" s="45"/>
      <c r="AS472" s="45"/>
      <c r="AT472" s="45"/>
      <c r="AU472" s="45"/>
      <c r="AV472" s="45"/>
      <c r="AW472" s="54"/>
      <c r="AX472" s="54"/>
      <c r="AY472" s="54"/>
      <c r="AZ472" s="54"/>
      <c r="BA472" s="54"/>
      <c r="BB472" s="54"/>
      <c r="BC472" s="54"/>
    </row>
    <row r="473" spans="1:256">
      <c r="A473" s="45"/>
      <c r="B473" s="45"/>
      <c r="C473" s="45"/>
      <c r="D473" s="45"/>
      <c r="E473" s="45"/>
      <c r="F473" s="45"/>
      <c r="G473" s="45"/>
      <c r="H473" s="45"/>
      <c r="I473" s="45"/>
      <c r="J473" s="45"/>
      <c r="K473" s="45"/>
      <c r="L473" s="45"/>
      <c r="M473" s="45"/>
      <c r="N473" s="45"/>
      <c r="O473" s="54"/>
      <c r="P473" s="54"/>
      <c r="Q473" s="54"/>
      <c r="R473" s="54"/>
      <c r="S473" s="54"/>
      <c r="T473" s="54"/>
      <c r="U473" s="54"/>
      <c r="V473" s="54"/>
      <c r="W473" s="54"/>
      <c r="X473" s="54"/>
      <c r="Y473" s="54"/>
      <c r="Z473" s="54"/>
      <c r="AA473" s="54"/>
      <c r="AB473" s="45"/>
      <c r="AC473" s="45"/>
      <c r="AD473" s="45"/>
      <c r="AE473" s="45"/>
      <c r="AF473" s="45"/>
      <c r="AG473" s="45"/>
      <c r="AH473" s="45"/>
      <c r="AI473" s="45"/>
      <c r="AJ473" s="45"/>
      <c r="AK473" s="45"/>
      <c r="AL473" s="45"/>
      <c r="AM473" s="45"/>
      <c r="AN473" s="45"/>
      <c r="AO473" s="45"/>
      <c r="AP473" s="45"/>
      <c r="AQ473" s="45"/>
      <c r="AR473" s="45"/>
      <c r="AS473" s="45"/>
      <c r="AT473" s="45"/>
      <c r="AU473" s="45"/>
      <c r="AV473" s="45"/>
      <c r="AW473" s="54"/>
      <c r="AX473" s="54"/>
      <c r="AY473" s="54"/>
      <c r="AZ473" s="54"/>
      <c r="BA473" s="54"/>
      <c r="BB473" s="54"/>
      <c r="BC473" s="54"/>
    </row>
    <row r="474" spans="1:256">
      <c r="A474" s="45"/>
      <c r="B474" s="45"/>
      <c r="C474" s="45"/>
      <c r="D474" s="45"/>
      <c r="E474" s="45"/>
      <c r="F474" s="45"/>
      <c r="G474" s="45"/>
      <c r="H474" s="45"/>
      <c r="I474" s="45"/>
      <c r="J474" s="45"/>
      <c r="K474" s="45"/>
      <c r="L474" s="45"/>
      <c r="M474" s="45"/>
      <c r="N474" s="45"/>
      <c r="O474" s="54"/>
      <c r="P474" s="54"/>
      <c r="Q474" s="54"/>
      <c r="R474" s="54"/>
      <c r="S474" s="54"/>
      <c r="T474" s="54"/>
      <c r="U474" s="54"/>
      <c r="V474" s="54"/>
      <c r="W474" s="54"/>
      <c r="X474" s="54"/>
      <c r="Y474" s="54"/>
      <c r="Z474" s="54"/>
      <c r="AA474" s="54"/>
      <c r="AB474" s="45"/>
      <c r="AC474" s="45"/>
      <c r="AD474" s="45"/>
      <c r="AE474" s="45"/>
      <c r="AF474" s="45"/>
      <c r="AG474" s="45"/>
      <c r="AH474" s="45"/>
      <c r="AI474" s="45"/>
      <c r="AJ474" s="45"/>
      <c r="AK474" s="45"/>
      <c r="AL474" s="45"/>
      <c r="AM474" s="45"/>
      <c r="AN474" s="45"/>
      <c r="AO474" s="45"/>
      <c r="AP474" s="45"/>
      <c r="AQ474" s="45"/>
      <c r="AR474" s="45"/>
      <c r="AS474" s="45"/>
      <c r="AT474" s="45"/>
      <c r="AU474" s="45"/>
      <c r="AV474" s="45"/>
      <c r="AW474" s="54"/>
      <c r="AX474" s="54"/>
      <c r="AY474" s="54"/>
      <c r="AZ474" s="54"/>
      <c r="BA474" s="54"/>
      <c r="BB474" s="54"/>
      <c r="BC474" s="54"/>
    </row>
    <row r="475" spans="1:256">
      <c r="A475" s="45"/>
      <c r="B475" s="45"/>
      <c r="C475" s="45"/>
      <c r="D475" s="45"/>
      <c r="E475" s="45"/>
      <c r="F475" s="45"/>
      <c r="G475" s="1635"/>
      <c r="H475" s="1635"/>
      <c r="I475" s="1635"/>
      <c r="J475" s="1635"/>
      <c r="K475" s="1635"/>
      <c r="L475" s="1635"/>
      <c r="M475" s="45"/>
      <c r="N475" s="45"/>
      <c r="O475" s="45"/>
      <c r="P475" s="54"/>
      <c r="Q475" s="54"/>
      <c r="R475" s="54"/>
      <c r="S475" s="54"/>
      <c r="T475" s="54"/>
      <c r="U475" s="54"/>
      <c r="V475" s="54"/>
      <c r="W475" s="54"/>
      <c r="X475" s="54"/>
      <c r="Y475" s="54"/>
      <c r="Z475" s="54"/>
      <c r="AA475" s="54"/>
      <c r="AB475" s="45"/>
      <c r="AC475" s="45"/>
      <c r="AD475" s="45"/>
      <c r="AE475" s="45"/>
      <c r="AF475" s="45"/>
      <c r="AG475" s="45"/>
      <c r="AH475" s="45"/>
      <c r="AI475" s="45"/>
      <c r="AJ475" s="45"/>
      <c r="AK475" s="45"/>
      <c r="AL475" s="45"/>
      <c r="AM475" s="45"/>
      <c r="AN475" s="45"/>
      <c r="AO475" s="45"/>
      <c r="AP475" s="45"/>
      <c r="AQ475" s="45"/>
      <c r="AR475" s="45"/>
      <c r="AS475" s="45"/>
      <c r="AT475" s="45"/>
      <c r="AU475" s="45"/>
      <c r="AV475" s="45"/>
      <c r="AW475" s="54"/>
      <c r="AX475" s="54"/>
      <c r="AY475" s="54"/>
      <c r="AZ475" s="54"/>
      <c r="BA475" s="54"/>
      <c r="BB475" s="54"/>
      <c r="BC475" s="54"/>
    </row>
    <row r="476" spans="1:256" s="218" customFormat="1">
      <c r="A476" s="54"/>
      <c r="B476" s="2479"/>
      <c r="C476" s="2302" t="s">
        <v>2096</v>
      </c>
      <c r="D476" s="2735"/>
      <c r="E476" s="2735"/>
      <c r="F476" s="2735"/>
      <c r="G476" s="2735"/>
      <c r="H476" s="2735"/>
      <c r="I476" s="2735"/>
      <c r="J476" s="2735"/>
      <c r="K476" s="2735"/>
      <c r="L476" s="2735"/>
      <c r="M476" s="2735"/>
      <c r="N476" s="2736"/>
      <c r="O476" s="54"/>
      <c r="P476" s="54"/>
      <c r="Q476" s="54"/>
      <c r="R476" s="54"/>
      <c r="S476" s="258"/>
      <c r="T476" s="56" t="s">
        <v>2096</v>
      </c>
      <c r="U476" s="2277"/>
      <c r="V476" s="2277"/>
      <c r="W476" s="2277"/>
      <c r="X476" s="2277"/>
      <c r="Y476" s="2277"/>
      <c r="Z476" s="2277"/>
      <c r="AA476" s="2277"/>
      <c r="AB476" s="2277"/>
      <c r="AC476" s="2277"/>
      <c r="AD476" s="2277"/>
      <c r="AE476" s="2278"/>
      <c r="AF476" s="45"/>
      <c r="AG476" s="45"/>
      <c r="AH476" s="45"/>
      <c r="AI476" s="45"/>
      <c r="AJ476" s="258"/>
      <c r="AK476" s="56" t="s">
        <v>2096</v>
      </c>
      <c r="AL476" s="2277"/>
      <c r="AM476" s="2277"/>
      <c r="AN476" s="2277"/>
      <c r="AO476" s="2277"/>
      <c r="AP476" s="2277"/>
      <c r="AQ476" s="2277"/>
      <c r="AR476" s="2277"/>
      <c r="AS476" s="2277"/>
      <c r="AT476" s="2277"/>
      <c r="AU476" s="2277"/>
      <c r="AV476" s="2278"/>
      <c r="AW476" s="54"/>
      <c r="AX476" s="54"/>
      <c r="AY476" s="54"/>
      <c r="AZ476" s="54"/>
      <c r="BA476" s="54"/>
      <c r="BB476" s="54"/>
      <c r="BC476" s="54"/>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row>
    <row r="477" spans="1:256" s="218" customFormat="1">
      <c r="A477" s="54"/>
      <c r="B477" s="1902"/>
      <c r="C477" s="4157" t="s">
        <v>248</v>
      </c>
      <c r="D477" s="4157"/>
      <c r="E477" s="4157"/>
      <c r="F477" s="4157"/>
      <c r="G477" s="4157"/>
      <c r="H477" s="4157"/>
      <c r="I477" s="4157"/>
      <c r="J477" s="4157"/>
      <c r="K477" s="4157"/>
      <c r="L477" s="4157"/>
      <c r="M477" s="4157"/>
      <c r="N477" s="2405"/>
      <c r="O477" s="54"/>
      <c r="P477" s="54"/>
      <c r="Q477" s="54"/>
      <c r="R477" s="54"/>
      <c r="S477" s="260"/>
      <c r="T477" s="4318" t="s">
        <v>1358</v>
      </c>
      <c r="U477" s="4318"/>
      <c r="V477" s="4318"/>
      <c r="W477" s="4318"/>
      <c r="X477" s="4318"/>
      <c r="Y477" s="4318"/>
      <c r="Z477" s="4318"/>
      <c r="AA477" s="4318"/>
      <c r="AB477" s="4318"/>
      <c r="AC477" s="4318"/>
      <c r="AD477" s="4318"/>
      <c r="AE477" s="199"/>
      <c r="AF477" s="45"/>
      <c r="AG477" s="45"/>
      <c r="AH477" s="45"/>
      <c r="AI477" s="45"/>
      <c r="AJ477" s="260"/>
      <c r="AK477" s="4318" t="s">
        <v>1358</v>
      </c>
      <c r="AL477" s="4318"/>
      <c r="AM477" s="4318"/>
      <c r="AN477" s="4318"/>
      <c r="AO477" s="4318"/>
      <c r="AP477" s="4318"/>
      <c r="AQ477" s="4318"/>
      <c r="AR477" s="4318"/>
      <c r="AS477" s="4318"/>
      <c r="AT477" s="4318"/>
      <c r="AU477" s="4318"/>
      <c r="AV477" s="199"/>
      <c r="AW477" s="54"/>
      <c r="AX477" s="54"/>
      <c r="AY477" s="54"/>
      <c r="AZ477" s="54"/>
      <c r="BA477" s="54"/>
      <c r="BB477" s="54"/>
      <c r="BC477" s="54"/>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row>
    <row r="478" spans="1:256" s="218" customFormat="1" ht="15.6">
      <c r="A478" s="54"/>
      <c r="B478" s="1902"/>
      <c r="C478" s="2309" t="str">
        <f>"Country: " &amp;UPPER(Country)</f>
        <v>Country: BELGIUM</v>
      </c>
      <c r="D478" s="2311"/>
      <c r="E478" s="2311"/>
      <c r="F478" s="2311"/>
      <c r="G478" s="2311"/>
      <c r="H478" s="2311"/>
      <c r="I478" s="2311"/>
      <c r="J478" s="2311"/>
      <c r="K478" s="2311"/>
      <c r="L478" s="2311"/>
      <c r="M478" s="2311"/>
      <c r="N478" s="2405"/>
      <c r="O478" s="54"/>
      <c r="P478" s="54"/>
      <c r="Q478" s="54"/>
      <c r="R478" s="54"/>
      <c r="S478" s="260"/>
      <c r="T478" s="129" t="str">
        <f>"Country: " &amp;UPPER(Country)</f>
        <v>Country: BELGIUM</v>
      </c>
      <c r="U478" s="49"/>
      <c r="V478" s="49"/>
      <c r="W478" s="1915" t="s">
        <v>724</v>
      </c>
      <c r="X478" s="49"/>
      <c r="Y478" s="49"/>
      <c r="Z478" s="49"/>
      <c r="AA478" s="49"/>
      <c r="AB478" s="49"/>
      <c r="AC478" s="49"/>
      <c r="AD478" s="49"/>
      <c r="AE478" s="199"/>
      <c r="AF478" s="45"/>
      <c r="AG478" s="45"/>
      <c r="AH478" s="45"/>
      <c r="AI478" s="45"/>
      <c r="AJ478" s="260"/>
      <c r="AK478" s="129" t="str">
        <f>"Country: " &amp;UPPER(Country)</f>
        <v>Country: BELGIUM</v>
      </c>
      <c r="AL478" s="49"/>
      <c r="AM478" s="49"/>
      <c r="AN478" s="49"/>
      <c r="AO478" s="49"/>
      <c r="AP478" s="49"/>
      <c r="AQ478" s="49"/>
      <c r="AR478" s="49"/>
      <c r="AS478" s="49"/>
      <c r="AT478" s="49"/>
      <c r="AU478" s="49"/>
      <c r="AV478" s="199"/>
      <c r="AW478" s="54"/>
      <c r="AX478" s="54"/>
      <c r="AY478" s="54"/>
      <c r="AZ478" s="54"/>
      <c r="BA478" s="54"/>
      <c r="BB478" s="54"/>
      <c r="BC478" s="54"/>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row>
    <row r="479" spans="1:256" s="218" customFormat="1" ht="15.6">
      <c r="A479" s="54"/>
      <c r="B479" s="1902"/>
      <c r="C479" s="2309" t="str">
        <f>"Currency unit: " &amp; Currency</f>
        <v>Currency unit: bn EUR</v>
      </c>
      <c r="D479" s="2311"/>
      <c r="E479" s="2311"/>
      <c r="F479" s="2681"/>
      <c r="G479" s="2311"/>
      <c r="H479" s="2432"/>
      <c r="I479" s="2646"/>
      <c r="J479" s="2646"/>
      <c r="K479" s="2646"/>
      <c r="L479" s="2432"/>
      <c r="M479" s="2432"/>
      <c r="N479" s="1612"/>
      <c r="O479" s="54"/>
      <c r="P479" s="54"/>
      <c r="Q479" s="54"/>
      <c r="R479" s="54"/>
      <c r="S479" s="260"/>
      <c r="T479" s="129" t="str">
        <f>"Currency unit: " &amp; Currency</f>
        <v>Currency unit: bn EUR</v>
      </c>
      <c r="U479" s="49"/>
      <c r="V479" s="49"/>
      <c r="W479" s="1915" t="str">
        <f>$T$4</f>
        <v>SF2018 - final storage FRI</v>
      </c>
      <c r="X479" s="49"/>
      <c r="Y479" s="166"/>
      <c r="Z479" s="49"/>
      <c r="AA479" s="166"/>
      <c r="AB479" s="166"/>
      <c r="AC479" s="166"/>
      <c r="AD479" s="166"/>
      <c r="AE479" s="2280"/>
      <c r="AF479" s="45"/>
      <c r="AG479" s="45"/>
      <c r="AH479" s="45"/>
      <c r="AI479" s="45"/>
      <c r="AJ479" s="260"/>
      <c r="AK479" s="129" t="str">
        <f>"Currency unit: " &amp; Currency</f>
        <v>Currency unit: bn EUR</v>
      </c>
      <c r="AL479" s="49"/>
      <c r="AM479" s="49"/>
      <c r="AN479" s="2279"/>
      <c r="AO479" s="49"/>
      <c r="AP479" s="166"/>
      <c r="AQ479" s="49"/>
      <c r="AR479" s="166"/>
      <c r="AS479" s="166"/>
      <c r="AT479" s="166"/>
      <c r="AU479" s="166"/>
      <c r="AV479" s="2280"/>
      <c r="AW479" s="54"/>
      <c r="AX479" s="54"/>
      <c r="AY479" s="54"/>
      <c r="AZ479" s="54"/>
      <c r="BA479" s="54"/>
      <c r="BB479" s="54"/>
      <c r="BC479" s="54"/>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row>
    <row r="480" spans="1:256" s="218" customFormat="1" ht="13.8" thickBot="1">
      <c r="A480" s="54"/>
      <c r="B480" s="1902"/>
      <c r="C480" s="2315" t="s">
        <v>1641</v>
      </c>
      <c r="D480" s="2432"/>
      <c r="E480" s="2311"/>
      <c r="F480" s="2311"/>
      <c r="G480" s="2311"/>
      <c r="H480" s="2311"/>
      <c r="I480" s="2311"/>
      <c r="J480" s="2311"/>
      <c r="K480" s="2432"/>
      <c r="L480" s="4159">
        <f ca="1">NOW()</f>
        <v>43213.646692361108</v>
      </c>
      <c r="M480" s="4159"/>
      <c r="N480" s="2552"/>
      <c r="O480" s="54"/>
      <c r="P480" s="54"/>
      <c r="Q480" s="54"/>
      <c r="R480" s="54"/>
      <c r="S480" s="260"/>
      <c r="T480" s="133" t="s">
        <v>1641</v>
      </c>
      <c r="U480" s="166"/>
      <c r="V480" s="49"/>
      <c r="W480" s="49"/>
      <c r="X480" s="49"/>
      <c r="Y480" s="49"/>
      <c r="Z480" s="49"/>
      <c r="AA480" s="49"/>
      <c r="AB480" s="166"/>
      <c r="AC480" s="4310">
        <f ca="1">NOW()</f>
        <v>43213.646692361108</v>
      </c>
      <c r="AD480" s="4310"/>
      <c r="AE480" s="2281"/>
      <c r="AF480" s="45"/>
      <c r="AG480" s="45"/>
      <c r="AH480" s="45"/>
      <c r="AI480" s="45"/>
      <c r="AJ480" s="260"/>
      <c r="AK480" s="133" t="s">
        <v>1641</v>
      </c>
      <c r="AL480" s="166"/>
      <c r="AM480" s="49"/>
      <c r="AN480" s="49"/>
      <c r="AO480" s="49"/>
      <c r="AP480" s="49"/>
      <c r="AQ480" s="49"/>
      <c r="AR480" s="49"/>
      <c r="AS480" s="166"/>
      <c r="AT480" s="4310">
        <f ca="1">NOW()</f>
        <v>43213.646692361108</v>
      </c>
      <c r="AU480" s="4310"/>
      <c r="AV480" s="2281"/>
      <c r="AW480" s="54"/>
      <c r="AX480" s="54"/>
      <c r="AY480" s="54"/>
      <c r="AZ480" s="54"/>
      <c r="BA480" s="54"/>
      <c r="BB480" s="54"/>
      <c r="BC480" s="54"/>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row>
    <row r="481" spans="1:256" s="218" customFormat="1" ht="13.8" thickBot="1">
      <c r="A481" s="54"/>
      <c r="B481" s="1902"/>
      <c r="C481" s="2317"/>
      <c r="D481" s="2318"/>
      <c r="E481" s="2364" t="s">
        <v>945</v>
      </c>
      <c r="F481" s="4173">
        <f>+E16</f>
        <v>2016</v>
      </c>
      <c r="G481" s="4174"/>
      <c r="H481" s="4173">
        <f>F481+1</f>
        <v>2017</v>
      </c>
      <c r="I481" s="4174"/>
      <c r="J481" s="4184">
        <f>H481+1</f>
        <v>2018</v>
      </c>
      <c r="K481" s="4174"/>
      <c r="L481" s="4173">
        <f>J481+1</f>
        <v>2019</v>
      </c>
      <c r="M481" s="4185"/>
      <c r="N481" s="2400"/>
      <c r="O481" s="54"/>
      <c r="P481" s="54"/>
      <c r="Q481" s="54"/>
      <c r="R481" s="54"/>
      <c r="S481" s="260"/>
      <c r="T481" s="72"/>
      <c r="U481" s="211"/>
      <c r="V481" s="430" t="s">
        <v>945</v>
      </c>
      <c r="W481" s="4266">
        <f>Last_forecast_year - 3</f>
        <v>2016</v>
      </c>
      <c r="X481" s="4266"/>
      <c r="Y481" s="4201">
        <f>W481+1</f>
        <v>2017</v>
      </c>
      <c r="Z481" s="4202"/>
      <c r="AA481" s="4325">
        <f>Y481+1</f>
        <v>2018</v>
      </c>
      <c r="AB481" s="4202"/>
      <c r="AC481" s="4201">
        <f>AA481+1</f>
        <v>2019</v>
      </c>
      <c r="AD481" s="4309"/>
      <c r="AE481" s="228"/>
      <c r="AF481" s="45"/>
      <c r="AG481" s="45"/>
      <c r="AH481" s="45"/>
      <c r="AI481" s="45"/>
      <c r="AJ481" s="260"/>
      <c r="AK481" s="72"/>
      <c r="AL481" s="211"/>
      <c r="AM481" s="430" t="s">
        <v>945</v>
      </c>
      <c r="AN481" s="4248">
        <f>Last_forecast_year - 3</f>
        <v>2016</v>
      </c>
      <c r="AO481" s="4249"/>
      <c r="AP481" s="4201">
        <f>AN481+1</f>
        <v>2017</v>
      </c>
      <c r="AQ481" s="4202"/>
      <c r="AR481" s="4325">
        <f>AP481+1</f>
        <v>2018</v>
      </c>
      <c r="AS481" s="4202"/>
      <c r="AT481" s="4201">
        <f>AR481+1</f>
        <v>2019</v>
      </c>
      <c r="AU481" s="4309"/>
      <c r="AV481" s="228"/>
      <c r="AW481" s="54"/>
      <c r="AX481" s="54"/>
      <c r="AY481" s="54"/>
      <c r="AZ481" s="54"/>
      <c r="BA481" s="54"/>
      <c r="BB481" s="54"/>
      <c r="BC481" s="54"/>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row>
    <row r="482" spans="1:256" s="218" customFormat="1">
      <c r="A482" s="54"/>
      <c r="B482" s="1902"/>
      <c r="C482" s="2339"/>
      <c r="D482" s="2340"/>
      <c r="E482" s="2737" t="s">
        <v>927</v>
      </c>
      <c r="F482" s="2596" t="s">
        <v>1642</v>
      </c>
      <c r="G482" s="2597" t="s">
        <v>759</v>
      </c>
      <c r="H482" s="2596" t="s">
        <v>1642</v>
      </c>
      <c r="I482" s="2597" t="s">
        <v>759</v>
      </c>
      <c r="J482" s="2596" t="s">
        <v>1642</v>
      </c>
      <c r="K482" s="2597" t="s">
        <v>759</v>
      </c>
      <c r="L482" s="2596" t="s">
        <v>1642</v>
      </c>
      <c r="M482" s="2598" t="s">
        <v>759</v>
      </c>
      <c r="N482" s="2616"/>
      <c r="O482" s="54"/>
      <c r="P482" s="54"/>
      <c r="Q482" s="54"/>
      <c r="R482" s="54"/>
      <c r="S482" s="260"/>
      <c r="T482" s="437"/>
      <c r="U482" s="95"/>
      <c r="V482" s="2282" t="s">
        <v>927</v>
      </c>
      <c r="W482" s="397" t="s">
        <v>1642</v>
      </c>
      <c r="X482" s="398" t="s">
        <v>759</v>
      </c>
      <c r="Y482" s="397" t="s">
        <v>1642</v>
      </c>
      <c r="Z482" s="398" t="s">
        <v>759</v>
      </c>
      <c r="AA482" s="397" t="s">
        <v>1642</v>
      </c>
      <c r="AB482" s="398" t="s">
        <v>759</v>
      </c>
      <c r="AC482" s="397" t="s">
        <v>1642</v>
      </c>
      <c r="AD482" s="399" t="s">
        <v>759</v>
      </c>
      <c r="AE482" s="400"/>
      <c r="AF482" s="45"/>
      <c r="AG482" s="45"/>
      <c r="AH482" s="45"/>
      <c r="AI482" s="45"/>
      <c r="AJ482" s="260"/>
      <c r="AK482" s="437"/>
      <c r="AL482" s="95"/>
      <c r="AM482" s="2282" t="s">
        <v>927</v>
      </c>
      <c r="AN482" s="397" t="s">
        <v>1642</v>
      </c>
      <c r="AO482" s="398" t="s">
        <v>759</v>
      </c>
      <c r="AP482" s="397" t="s">
        <v>1642</v>
      </c>
      <c r="AQ482" s="398" t="s">
        <v>759</v>
      </c>
      <c r="AR482" s="397" t="s">
        <v>1642</v>
      </c>
      <c r="AS482" s="398" t="s">
        <v>759</v>
      </c>
      <c r="AT482" s="397" t="s">
        <v>1642</v>
      </c>
      <c r="AU482" s="399" t="s">
        <v>759</v>
      </c>
      <c r="AV482" s="400"/>
      <c r="AW482" s="54"/>
      <c r="AX482" s="54"/>
      <c r="AY482" s="54"/>
      <c r="AZ482" s="54"/>
      <c r="BA482" s="54"/>
      <c r="BB482" s="54"/>
      <c r="BC482" s="54"/>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row>
    <row r="483" spans="1:256" s="218" customFormat="1">
      <c r="A483" s="54"/>
      <c r="B483" s="1902"/>
      <c r="C483" s="1576" t="s">
        <v>928</v>
      </c>
      <c r="D483" s="2311"/>
      <c r="E483" s="2600" t="s">
        <v>1655</v>
      </c>
      <c r="F483" s="2646">
        <f ca="1">Transfer!D220</f>
        <v>52.288199999999996</v>
      </c>
      <c r="G483" s="2403">
        <f ca="1">100*((Transfer!D220/Transfer!C220)-1)</f>
        <v>2.3392636956138579</v>
      </c>
      <c r="H483" s="2646">
        <f ca="1">Transfer!E220</f>
        <v>53.776300000000006</v>
      </c>
      <c r="I483" s="2403">
        <f ca="1">100*((Transfer!E220/Transfer!D220)-1)</f>
        <v>2.8459575965514405</v>
      </c>
      <c r="J483" s="2959">
        <f ca="1">Transfer!F220</f>
        <v>54.768814395669409</v>
      </c>
      <c r="K483" s="2403">
        <f ca="1">100*((Transfer!F220/Transfer!E220)-1)</f>
        <v>1.8456353368852207</v>
      </c>
      <c r="L483" s="2403">
        <f ca="1">Transfer!G220</f>
        <v>55.860125941606945</v>
      </c>
      <c r="M483" s="2404">
        <f ca="1">100*((Transfer!G220/Transfer!F220)-1)</f>
        <v>1.9925783641280059</v>
      </c>
      <c r="N483" s="2405"/>
      <c r="O483" s="54"/>
      <c r="P483" s="54"/>
      <c r="Q483" s="54"/>
      <c r="R483" s="54"/>
      <c r="S483" s="260"/>
      <c r="T483" s="101" t="s">
        <v>928</v>
      </c>
      <c r="U483" s="49"/>
      <c r="V483" s="2283" t="s">
        <v>1655</v>
      </c>
      <c r="W483" s="1929">
        <f t="shared" ref="W483:AD491" ca="1" si="29">ROUND(F483,1)-ROUND(AN483,1)</f>
        <v>0</v>
      </c>
      <c r="X483" s="1930">
        <f t="shared" ca="1" si="29"/>
        <v>0</v>
      </c>
      <c r="Y483" s="1930">
        <f t="shared" ca="1" si="29"/>
        <v>0</v>
      </c>
      <c r="Z483" s="1930">
        <f t="shared" ca="1" si="29"/>
        <v>0</v>
      </c>
      <c r="AA483" s="1930">
        <f t="shared" ca="1" si="29"/>
        <v>0</v>
      </c>
      <c r="AB483" s="1930">
        <f t="shared" ca="1" si="29"/>
        <v>0</v>
      </c>
      <c r="AC483" s="1930">
        <f t="shared" ca="1" si="29"/>
        <v>0.10000000000000142</v>
      </c>
      <c r="AD483" s="250">
        <f t="shared" ca="1" si="29"/>
        <v>0</v>
      </c>
      <c r="AE483" s="199"/>
      <c r="AF483" s="45"/>
      <c r="AG483" s="45"/>
      <c r="AH483" s="45"/>
      <c r="AI483" s="45"/>
      <c r="AJ483" s="260"/>
      <c r="AK483" s="101" t="s">
        <v>928</v>
      </c>
      <c r="AL483" s="49"/>
      <c r="AM483" s="2283" t="s">
        <v>1655</v>
      </c>
      <c r="AN483" s="140">
        <f>Transfer!AD220</f>
        <v>52.288199999999996</v>
      </c>
      <c r="AO483" s="1930">
        <f>100*((Transfer!AD220/Transfer!AC220)-1)</f>
        <v>2.3392636956138579</v>
      </c>
      <c r="AP483" s="140">
        <f>Transfer!AE220</f>
        <v>53.776300000000006</v>
      </c>
      <c r="AQ483" s="1930">
        <f>100*((Transfer!AE220/Transfer!AD220)-1)</f>
        <v>2.8459575965514405</v>
      </c>
      <c r="AR483" s="140">
        <f>Transfer!AF220</f>
        <v>54.758461873570809</v>
      </c>
      <c r="AS483" s="1930">
        <f>100*((Transfer!AF220/Transfer!AE220)-1)</f>
        <v>1.8263842502567185</v>
      </c>
      <c r="AT483" s="1930">
        <f>Transfer!AG220</f>
        <v>55.849574271231461</v>
      </c>
      <c r="AU483" s="2272">
        <f>100*((Transfer!AG220/Transfer!AF220)-1)</f>
        <v>1.9925913919566884</v>
      </c>
      <c r="AV483" s="199"/>
      <c r="AW483" s="54"/>
      <c r="AX483" s="54"/>
      <c r="AY483" s="54"/>
      <c r="AZ483" s="54"/>
      <c r="BA483" s="1908" t="s">
        <v>366</v>
      </c>
      <c r="BB483" s="54"/>
      <c r="BC483" s="54"/>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row>
    <row r="484" spans="1:256" s="218" customFormat="1">
      <c r="A484" s="54"/>
      <c r="B484" s="1902"/>
      <c r="C484" s="1576" t="s">
        <v>1359</v>
      </c>
      <c r="D484" s="2311"/>
      <c r="E484" s="2471" t="s">
        <v>2094</v>
      </c>
      <c r="F484" s="2462">
        <f ca="1">Transfer!D245</f>
        <v>16.758700000000001</v>
      </c>
      <c r="G484" s="2406">
        <f ca="1">100*((Transfer!D245/Transfer!C245)-1)</f>
        <v>0.3929767388921368</v>
      </c>
      <c r="H484" s="2646">
        <f ca="1">Transfer!E245</f>
        <v>17.622599999999998</v>
      </c>
      <c r="I484" s="2406">
        <f ca="1">100*((Transfer!E245/Transfer!D245)-1)</f>
        <v>5.1549344519562723</v>
      </c>
      <c r="J484" s="2959">
        <f ca="1">Transfer!F245</f>
        <v>18.253139009967271</v>
      </c>
      <c r="K484" s="2406">
        <f ca="1">100*((Transfer!F245/Transfer!E245)-1)</f>
        <v>3.5780135165484728</v>
      </c>
      <c r="L484" s="2406">
        <f ca="1">Transfer!G245</f>
        <v>19.283382982206994</v>
      </c>
      <c r="M484" s="2647">
        <f ca="1">100*((Transfer!G245/Transfer!F245)-1)</f>
        <v>5.6442016448631227</v>
      </c>
      <c r="N484" s="2405"/>
      <c r="O484" s="54"/>
      <c r="P484" s="54"/>
      <c r="Q484" s="54"/>
      <c r="R484" s="54"/>
      <c r="S484" s="260"/>
      <c r="T484" s="101" t="s">
        <v>1359</v>
      </c>
      <c r="U484" s="49"/>
      <c r="V484" s="255" t="s">
        <v>2094</v>
      </c>
      <c r="W484" s="249">
        <f t="shared" ca="1" si="29"/>
        <v>0</v>
      </c>
      <c r="X484" s="246">
        <f t="shared" ca="1" si="29"/>
        <v>0</v>
      </c>
      <c r="Y484" s="246">
        <f t="shared" ca="1" si="29"/>
        <v>0</v>
      </c>
      <c r="Z484" s="246">
        <f t="shared" ca="1" si="29"/>
        <v>0</v>
      </c>
      <c r="AA484" s="246">
        <f t="shared" ca="1" si="29"/>
        <v>0</v>
      </c>
      <c r="AB484" s="246">
        <f t="shared" ca="1" si="29"/>
        <v>0</v>
      </c>
      <c r="AC484" s="246">
        <f t="shared" ca="1" si="29"/>
        <v>0</v>
      </c>
      <c r="AD484" s="250">
        <f t="shared" ca="1" si="29"/>
        <v>0</v>
      </c>
      <c r="AE484" s="199"/>
      <c r="AF484" s="45"/>
      <c r="AG484" s="45"/>
      <c r="AH484" s="45"/>
      <c r="AI484" s="45"/>
      <c r="AJ484" s="260"/>
      <c r="AK484" s="101" t="s">
        <v>1359</v>
      </c>
      <c r="AL484" s="49"/>
      <c r="AM484" s="255" t="s">
        <v>2094</v>
      </c>
      <c r="AN484" s="144">
        <f>Transfer!AD245</f>
        <v>16.758700000000001</v>
      </c>
      <c r="AO484" s="246">
        <f>100*((Transfer!AD245/Transfer!AC245)-1)</f>
        <v>0.3929767388921368</v>
      </c>
      <c r="AP484" s="140">
        <f>Transfer!AE245</f>
        <v>17.622599999999998</v>
      </c>
      <c r="AQ484" s="246">
        <f>100*((Transfer!AE245/Transfer!AD245)-1)</f>
        <v>5.1549344519562723</v>
      </c>
      <c r="AR484" s="140">
        <f>Transfer!AF245</f>
        <v>18.263491532065871</v>
      </c>
      <c r="AS484" s="246">
        <f>100*((Transfer!AF245/Transfer!AE245)-1)</f>
        <v>3.6367592299993978</v>
      </c>
      <c r="AT484" s="246">
        <f>Transfer!AG245</f>
        <v>19.293934652582479</v>
      </c>
      <c r="AU484" s="250">
        <f>100*((Transfer!AG245/Transfer!AF245)-1)</f>
        <v>5.6420926891630918</v>
      </c>
      <c r="AV484" s="199"/>
      <c r="AW484" s="54"/>
      <c r="AX484" s="54"/>
      <c r="AY484" s="54"/>
      <c r="AZ484" s="54"/>
      <c r="BA484" s="1909" t="s">
        <v>367</v>
      </c>
      <c r="BB484" s="54"/>
      <c r="BC484" s="5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row>
    <row r="485" spans="1:256" s="218" customFormat="1">
      <c r="A485" s="54"/>
      <c r="B485" s="1902"/>
      <c r="C485" s="1576" t="s">
        <v>1176</v>
      </c>
      <c r="D485" s="2311"/>
      <c r="E485" s="2471"/>
      <c r="F485" s="2462">
        <f ca="1">Transfer!D246</f>
        <v>33.738</v>
      </c>
      <c r="G485" s="2406">
        <f ca="1">100*((Transfer!D246/Transfer!C246)-1)</f>
        <v>2.6016878278719568</v>
      </c>
      <c r="H485" s="2646">
        <f ca="1">Transfer!E246</f>
        <v>34.874199999999995</v>
      </c>
      <c r="I485" s="2406">
        <f ca="1">100*((Transfer!E246/Transfer!D246)-1)</f>
        <v>3.367715928626458</v>
      </c>
      <c r="J485" s="2959">
        <f ca="1">Transfer!F246</f>
        <v>36.23080637999999</v>
      </c>
      <c r="K485" s="2406">
        <f ca="1">100*((Transfer!F246/Transfer!E246)-1)</f>
        <v>3.8899999999999935</v>
      </c>
      <c r="L485" s="2406">
        <f ca="1">Transfer!G246</f>
        <v>37.596707780525989</v>
      </c>
      <c r="M485" s="2647">
        <f ca="1">100*((Transfer!G246/Transfer!F246)-1)</f>
        <v>3.7700000000000067</v>
      </c>
      <c r="N485" s="2405"/>
      <c r="O485" s="54"/>
      <c r="P485" s="54"/>
      <c r="Q485" s="54"/>
      <c r="R485" s="54"/>
      <c r="S485" s="260"/>
      <c r="T485" s="101" t="s">
        <v>1176</v>
      </c>
      <c r="U485" s="49"/>
      <c r="V485" s="255"/>
      <c r="W485" s="249">
        <f t="shared" ca="1" si="29"/>
        <v>0</v>
      </c>
      <c r="X485" s="246">
        <f t="shared" ca="1" si="29"/>
        <v>0</v>
      </c>
      <c r="Y485" s="246">
        <f t="shared" ca="1" si="29"/>
        <v>0</v>
      </c>
      <c r="Z485" s="246">
        <f t="shared" ca="1" si="29"/>
        <v>0</v>
      </c>
      <c r="AA485" s="246">
        <f t="shared" ca="1" si="29"/>
        <v>0</v>
      </c>
      <c r="AB485" s="246">
        <f t="shared" ca="1" si="29"/>
        <v>0</v>
      </c>
      <c r="AC485" s="246">
        <f t="shared" ca="1" si="29"/>
        <v>0</v>
      </c>
      <c r="AD485" s="250">
        <f t="shared" ca="1" si="29"/>
        <v>0</v>
      </c>
      <c r="AE485" s="199"/>
      <c r="AF485" s="45"/>
      <c r="AG485" s="45"/>
      <c r="AH485" s="45"/>
      <c r="AI485" s="45"/>
      <c r="AJ485" s="260"/>
      <c r="AK485" s="101" t="s">
        <v>1176</v>
      </c>
      <c r="AL485" s="49"/>
      <c r="AM485" s="255"/>
      <c r="AN485" s="144">
        <f>Transfer!AD246</f>
        <v>33.738</v>
      </c>
      <c r="AO485" s="246">
        <f>100*((Transfer!AD246/Transfer!AC246)-1)</f>
        <v>2.6016878278719568</v>
      </c>
      <c r="AP485" s="140">
        <f>Transfer!AE246</f>
        <v>34.874199999999995</v>
      </c>
      <c r="AQ485" s="246">
        <f>100*((Transfer!AE246/Transfer!AD246)-1)</f>
        <v>3.367715928626458</v>
      </c>
      <c r="AR485" s="140">
        <f>Transfer!AF246</f>
        <v>36.23080637999999</v>
      </c>
      <c r="AS485" s="246">
        <f>100*((Transfer!AF246/Transfer!AE246)-1)</f>
        <v>3.8899999999999935</v>
      </c>
      <c r="AT485" s="246">
        <f>Transfer!AG246</f>
        <v>37.596707780525989</v>
      </c>
      <c r="AU485" s="250">
        <f>100*((Transfer!AG246/Transfer!AF246)-1)</f>
        <v>3.7700000000000067</v>
      </c>
      <c r="AV485" s="199"/>
      <c r="AW485" s="54"/>
      <c r="AX485" s="54"/>
      <c r="AY485" s="54"/>
      <c r="AZ485" s="54"/>
      <c r="BA485" s="1909" t="s">
        <v>368</v>
      </c>
      <c r="BB485" s="54"/>
      <c r="BC485" s="54"/>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row>
    <row r="486" spans="1:256" s="218" customFormat="1">
      <c r="A486" s="54"/>
      <c r="B486" s="1902"/>
      <c r="C486" s="1576" t="s">
        <v>9</v>
      </c>
      <c r="D486" s="2311"/>
      <c r="E486" s="2471" t="s">
        <v>10</v>
      </c>
      <c r="F486" s="2462">
        <f ca="1">Transfer!D244</f>
        <v>9.2668999999999997</v>
      </c>
      <c r="G486" s="2406">
        <f ca="1">100*((Transfer!D244/Transfer!C244)-1)</f>
        <v>1.4694449615119121</v>
      </c>
      <c r="H486" s="2646">
        <f ca="1">Transfer!E244</f>
        <v>9.5069999999999997</v>
      </c>
      <c r="I486" s="2406">
        <f ca="1">100*((Transfer!E244/Transfer!D244)-1)</f>
        <v>2.5909419546989776</v>
      </c>
      <c r="J486" s="2959">
        <f ca="1">Transfer!F244</f>
        <v>9.4971738518000048</v>
      </c>
      <c r="K486" s="2406">
        <f ca="1">100*((Transfer!F244/Transfer!E244)-1)</f>
        <v>-0.10335698117170944</v>
      </c>
      <c r="L486" s="2406">
        <f ca="1">Transfer!G244</f>
        <v>9.6196873944882242</v>
      </c>
      <c r="M486" s="2647">
        <f ca="1">100*((Transfer!G244/Transfer!F244)-1)</f>
        <v>1.2899999999999912</v>
      </c>
      <c r="N486" s="2405"/>
      <c r="O486" s="54"/>
      <c r="P486" s="54"/>
      <c r="Q486" s="54"/>
      <c r="R486" s="54"/>
      <c r="S486" s="260"/>
      <c r="T486" s="101" t="s">
        <v>9</v>
      </c>
      <c r="U486" s="49"/>
      <c r="V486" s="255" t="s">
        <v>10</v>
      </c>
      <c r="W486" s="249">
        <f t="shared" ca="1" si="29"/>
        <v>0</v>
      </c>
      <c r="X486" s="246">
        <f t="shared" ca="1" si="29"/>
        <v>0</v>
      </c>
      <c r="Y486" s="246">
        <f t="shared" ca="1" si="29"/>
        <v>0</v>
      </c>
      <c r="Z486" s="246">
        <f t="shared" ca="1" si="29"/>
        <v>0</v>
      </c>
      <c r="AA486" s="246">
        <f t="shared" ca="1" si="29"/>
        <v>0</v>
      </c>
      <c r="AB486" s="246">
        <f t="shared" ca="1" si="29"/>
        <v>0</v>
      </c>
      <c r="AC486" s="246">
        <f t="shared" ca="1" si="29"/>
        <v>0</v>
      </c>
      <c r="AD486" s="250">
        <f t="shared" ca="1" si="29"/>
        <v>0</v>
      </c>
      <c r="AE486" s="199"/>
      <c r="AF486" s="45"/>
      <c r="AG486" s="45"/>
      <c r="AH486" s="45"/>
      <c r="AI486" s="45"/>
      <c r="AJ486" s="260"/>
      <c r="AK486" s="101" t="s">
        <v>9</v>
      </c>
      <c r="AL486" s="49"/>
      <c r="AM486" s="255" t="s">
        <v>10</v>
      </c>
      <c r="AN486" s="144">
        <f>Transfer!AD244</f>
        <v>9.2668999999999997</v>
      </c>
      <c r="AO486" s="246">
        <f>100*((Transfer!AD244/Transfer!AC244)-1)</f>
        <v>1.4694449615119121</v>
      </c>
      <c r="AP486" s="140">
        <f>Transfer!AE244</f>
        <v>9.5069999999999997</v>
      </c>
      <c r="AQ486" s="246">
        <f>100*((Transfer!AE244/Transfer!AD244)-1)</f>
        <v>2.5909419546989776</v>
      </c>
      <c r="AR486" s="140">
        <f>Transfer!AF244</f>
        <v>9.4971738518000048</v>
      </c>
      <c r="AS486" s="246">
        <f>100*((Transfer!AF244/Transfer!AE244)-1)</f>
        <v>-0.10335698117170944</v>
      </c>
      <c r="AT486" s="246">
        <f>Transfer!AG244</f>
        <v>9.6196873944882242</v>
      </c>
      <c r="AU486" s="250">
        <f>100*((Transfer!AG244/Transfer!AF244)-1)</f>
        <v>1.2899999999999912</v>
      </c>
      <c r="AV486" s="199"/>
      <c r="AW486" s="54"/>
      <c r="AX486" s="54"/>
      <c r="AY486" s="54"/>
      <c r="AZ486" s="54"/>
      <c r="BA486" s="1909" t="s">
        <v>369</v>
      </c>
      <c r="BB486" s="54"/>
      <c r="BC486" s="54"/>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row>
    <row r="487" spans="1:256" s="218" customFormat="1">
      <c r="A487" s="54"/>
      <c r="B487" s="1902"/>
      <c r="C487" s="1576" t="s">
        <v>11</v>
      </c>
      <c r="D487" s="2311"/>
      <c r="E487" s="2471"/>
      <c r="F487" s="2646">
        <f ca="1">Transfer!D137-Transfer!D220-Transfer!D244-Transfer!D245-Transfer!D246+Transfer!D243</f>
        <v>-5.3999999999998494E-3</v>
      </c>
      <c r="G487" s="2406">
        <f ca="1">100*((Transfer!D137-Transfer!D220-Transfer!D244-Transfer!D245-Transfer!D246+Transfer!D243)/(Transfer!C137-Transfer!C220-Transfer!C244-Transfer!C245-Transfer!C246+Transfer!C243)-1)</f>
        <v>-98.562682991748758</v>
      </c>
      <c r="H487" s="2646">
        <f ca="1">Transfer!E137-Transfer!E220-Transfer!E244-Transfer!E245-Transfer!E246+Transfer!E243</f>
        <v>-0.33450000000000202</v>
      </c>
      <c r="I487" s="2406">
        <f ca="1">100*((Transfer!E137-Transfer!E220-Transfer!E244-Transfer!E245-Transfer!E246+Transfer!E243)/(Transfer!D137-Transfer!D220-Transfer!D244-Transfer!D245-Transfer!D246+Transfer!D243)-1)</f>
        <v>6094.4444444446544</v>
      </c>
      <c r="J487" s="2646">
        <f ca="1">Transfer!F137-Transfer!F220-Transfer!F244-Transfer!F245-Transfer!F246+Transfer!F243</f>
        <v>-0.3512223375879806</v>
      </c>
      <c r="K487" s="2406">
        <f ca="1">100*((Transfer!F137-Transfer!F220-Transfer!F244-Transfer!F245-Transfer!F246+Transfer!F243)/(Transfer!E137-Transfer!E220-Transfer!E244-Transfer!E245-Transfer!E246+Transfer!E243)-1)</f>
        <v>4.9992040621759326</v>
      </c>
      <c r="L487" s="2406">
        <f ca="1">Transfer!G137-Transfer!G220-Transfer!G244-Transfer!G245-Transfer!G246+Transfer!G243</f>
        <v>-0.36774701040399194</v>
      </c>
      <c r="M487" s="2647">
        <f ca="1">100*((Transfer!G137-Transfer!G220-Transfer!G244-Transfer!G245-Transfer!G246+Transfer!G243)/(Transfer!F137-Transfer!F220-Transfer!F244-Transfer!F245-Transfer!F246+Transfer!F243)-1)</f>
        <v>4.7049037169715646</v>
      </c>
      <c r="N487" s="2405"/>
      <c r="O487" s="54"/>
      <c r="P487" s="54"/>
      <c r="Q487" s="54"/>
      <c r="R487" s="54"/>
      <c r="S487" s="260"/>
      <c r="T487" s="101" t="s">
        <v>11</v>
      </c>
      <c r="U487" s="49"/>
      <c r="V487" s="255"/>
      <c r="W487" s="249">
        <f t="shared" ca="1" si="29"/>
        <v>0</v>
      </c>
      <c r="X487" s="246">
        <f t="shared" ca="1" si="29"/>
        <v>0</v>
      </c>
      <c r="Y487" s="246">
        <f t="shared" ca="1" si="29"/>
        <v>0</v>
      </c>
      <c r="Z487" s="246">
        <f t="shared" ca="1" si="29"/>
        <v>0</v>
      </c>
      <c r="AA487" s="246">
        <f t="shared" ca="1" si="29"/>
        <v>0</v>
      </c>
      <c r="AB487" s="246">
        <f t="shared" ca="1" si="29"/>
        <v>0</v>
      </c>
      <c r="AC487" s="246">
        <f t="shared" ca="1" si="29"/>
        <v>0</v>
      </c>
      <c r="AD487" s="250">
        <f t="shared" ca="1" si="29"/>
        <v>0</v>
      </c>
      <c r="AE487" s="199"/>
      <c r="AF487" s="45"/>
      <c r="AG487" s="45"/>
      <c r="AH487" s="45"/>
      <c r="AI487" s="45"/>
      <c r="AJ487" s="260"/>
      <c r="AK487" s="101" t="s">
        <v>11</v>
      </c>
      <c r="AL487" s="49"/>
      <c r="AM487" s="255"/>
      <c r="AN487" s="140">
        <f>Transfer!AD137-Transfer!AD220-Transfer!AD244-Transfer!AD245-Transfer!AD246+Transfer!AD243</f>
        <v>-5.3999999999998494E-3</v>
      </c>
      <c r="AO487" s="246">
        <f>100*((Transfer!AD137-Transfer!AD220-Transfer!AD244-Transfer!AD245-Transfer!AD246+Transfer!AD243)/(Transfer!AC137-Transfer!AC220-Transfer!AC244-Transfer!AC245-Transfer!AC246+Transfer!AC243)-1)</f>
        <v>-98.562682991748758</v>
      </c>
      <c r="AP487" s="140">
        <f>Transfer!AE137-Transfer!AE220-Transfer!AE244-Transfer!AE245-Transfer!AE246+Transfer!AE243</f>
        <v>-0.33450000000000202</v>
      </c>
      <c r="AQ487" s="246">
        <f>100*((Transfer!AE137-Transfer!AE220-Transfer!AE244-Transfer!AE245-Transfer!AE246+Transfer!AE243)/(Transfer!AD137-Transfer!AD220-Transfer!AD244-Transfer!AD245-Transfer!AD246+Transfer!AD243)-1)</f>
        <v>6094.4444444446544</v>
      </c>
      <c r="AR487" s="140">
        <f>Transfer!AF137-Transfer!AF220-Transfer!AF244-Transfer!AF245-Transfer!AF246+Transfer!AF243</f>
        <v>-0.3512223375879806</v>
      </c>
      <c r="AS487" s="246">
        <f>100*((Transfer!AF137-Transfer!AF220-Transfer!AF244-Transfer!AF245-Transfer!AF246+Transfer!AF243)/(Transfer!AE137-Transfer!AE220-Transfer!AE244-Transfer!AE245-Transfer!AE246+Transfer!AE243)-1)</f>
        <v>4.9992040621759326</v>
      </c>
      <c r="AT487" s="246">
        <f>Transfer!AG137-Transfer!AG220-Transfer!AG244-Transfer!AG245-Transfer!AG246+Transfer!AG243</f>
        <v>-0.36774701040399194</v>
      </c>
      <c r="AU487" s="250">
        <f>100*((Transfer!AG137-Transfer!AG220-Transfer!AG244-Transfer!AG245-Transfer!AG246+Transfer!AG243)/(Transfer!AF137-Transfer!AF220-Transfer!AF244-Transfer!AF245-Transfer!AF246+Transfer!AF243)-1)</f>
        <v>4.7049037169715646</v>
      </c>
      <c r="AV487" s="199"/>
      <c r="AW487" s="54"/>
      <c r="AX487" s="54"/>
      <c r="AY487" s="54"/>
      <c r="AZ487" s="54"/>
      <c r="BA487" s="1909" t="s">
        <v>1615</v>
      </c>
      <c r="BB487" s="54"/>
      <c r="BC487" s="54"/>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row>
    <row r="488" spans="1:256" s="218" customFormat="1">
      <c r="A488" s="54"/>
      <c r="B488" s="1902"/>
      <c r="C488" s="2339" t="s">
        <v>12</v>
      </c>
      <c r="D488" s="2340"/>
      <c r="E488" s="2648"/>
      <c r="F488" s="2651">
        <f ca="1">+Transfer!D243</f>
        <v>12.3329</v>
      </c>
      <c r="G488" s="2649">
        <f ca="1">100*((Transfer!D243/Transfer!C243)-1)</f>
        <v>9.9571152183022704</v>
      </c>
      <c r="H488" s="2651">
        <f ca="1">+Transfer!E243</f>
        <v>12.8691</v>
      </c>
      <c r="I488" s="2649">
        <f ca="1">100*((Transfer!E243/Transfer!D243)-1)</f>
        <v>4.3477203253087238</v>
      </c>
      <c r="J488" s="3321">
        <f ca="1">+Transfer!F243</f>
        <v>13.633550880058674</v>
      </c>
      <c r="K488" s="2649">
        <f ca="1">100*((Transfer!F243/Transfer!E243)-1)</f>
        <v>5.9402046767736305</v>
      </c>
      <c r="L488" s="2649">
        <f ca="1">+Transfer!G243</f>
        <v>14.242970604397296</v>
      </c>
      <c r="M488" s="2652">
        <f ca="1">100*((Transfer!G243/Transfer!F243)-1)</f>
        <v>4.4699999999999962</v>
      </c>
      <c r="N488" s="2405"/>
      <c r="O488" s="54"/>
      <c r="P488" s="54"/>
      <c r="Q488" s="54"/>
      <c r="R488" s="54"/>
      <c r="S488" s="260"/>
      <c r="T488" s="437" t="s">
        <v>12</v>
      </c>
      <c r="U488" s="95"/>
      <c r="V488" s="392"/>
      <c r="W488" s="439">
        <f t="shared" ca="1" si="29"/>
        <v>0</v>
      </c>
      <c r="X488" s="438">
        <f t="shared" ca="1" si="29"/>
        <v>0</v>
      </c>
      <c r="Y488" s="438">
        <f t="shared" ca="1" si="29"/>
        <v>0</v>
      </c>
      <c r="Z488" s="438">
        <f t="shared" ca="1" si="29"/>
        <v>0</v>
      </c>
      <c r="AA488" s="438">
        <f t="shared" ca="1" si="29"/>
        <v>0</v>
      </c>
      <c r="AB488" s="438">
        <f t="shared" ca="1" si="29"/>
        <v>0</v>
      </c>
      <c r="AC488" s="438">
        <f t="shared" ca="1" si="29"/>
        <v>0</v>
      </c>
      <c r="AD488" s="441">
        <f t="shared" ca="1" si="29"/>
        <v>0</v>
      </c>
      <c r="AE488" s="199"/>
      <c r="AF488" s="45"/>
      <c r="AG488" s="45"/>
      <c r="AH488" s="45"/>
      <c r="AI488" s="45"/>
      <c r="AJ488" s="260"/>
      <c r="AK488" s="437" t="s">
        <v>12</v>
      </c>
      <c r="AL488" s="95"/>
      <c r="AM488" s="392"/>
      <c r="AN488" s="440">
        <f>+Transfer!AD243</f>
        <v>12.3329</v>
      </c>
      <c r="AO488" s="438">
        <f>100*((Transfer!AD243/Transfer!AC243)-1)</f>
        <v>9.9571152183022704</v>
      </c>
      <c r="AP488" s="440">
        <f>+Transfer!AE243</f>
        <v>12.8691</v>
      </c>
      <c r="AQ488" s="438">
        <f>100*((Transfer!AE243/Transfer!AD243)-1)</f>
        <v>4.3477203253087238</v>
      </c>
      <c r="AR488" s="440">
        <f>+Transfer!AF243</f>
        <v>13.633550880058674</v>
      </c>
      <c r="AS488" s="438">
        <f>100*((Transfer!AF243/Transfer!AE243)-1)</f>
        <v>5.9402046767736305</v>
      </c>
      <c r="AT488" s="438">
        <f>+Transfer!AG243</f>
        <v>14.242970604397296</v>
      </c>
      <c r="AU488" s="441">
        <f>100*((Transfer!AG243/Transfer!AF243)-1)</f>
        <v>4.4699999999999962</v>
      </c>
      <c r="AV488" s="199"/>
      <c r="AW488" s="54"/>
      <c r="AX488" s="54"/>
      <c r="AY488" s="54"/>
      <c r="AZ488" s="54"/>
      <c r="BA488" s="1909" t="s">
        <v>370</v>
      </c>
      <c r="BB488" s="54"/>
      <c r="BC488" s="54"/>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row>
    <row r="489" spans="1:256" s="218" customFormat="1">
      <c r="A489" s="54"/>
      <c r="B489" s="1902"/>
      <c r="C489" s="1576" t="s">
        <v>13</v>
      </c>
      <c r="D489" s="2311"/>
      <c r="E489" s="2471" t="s">
        <v>628</v>
      </c>
      <c r="F489" s="2684">
        <f ca="1">+Transfer!D137</f>
        <v>99.713499999999996</v>
      </c>
      <c r="G489" s="2403">
        <f ca="1">100*((Transfer!D137/Transfer!C137)-1)</f>
        <v>1.531420076469181</v>
      </c>
      <c r="H489" s="2685">
        <f ca="1">+Transfer!E137</f>
        <v>102.5765</v>
      </c>
      <c r="I489" s="2403">
        <f ca="1">100*((Transfer!E137/Transfer!D137)-1)</f>
        <v>2.8712260626695407</v>
      </c>
      <c r="J489" s="2685">
        <f ca="1">+Transfer!F137</f>
        <v>104.76516041979002</v>
      </c>
      <c r="K489" s="2403">
        <f ca="1">100*((Transfer!F137/Transfer!E137)-1)</f>
        <v>2.1336860000000346</v>
      </c>
      <c r="L489" s="2684">
        <f ca="1">+Transfer!G137</f>
        <v>107.74918648402686</v>
      </c>
      <c r="M489" s="2404">
        <f ca="1">100*((Transfer!G137/Transfer!F137)-1)</f>
        <v>2.8482999999999592</v>
      </c>
      <c r="N489" s="2405"/>
      <c r="O489" s="54"/>
      <c r="P489" s="54"/>
      <c r="Q489" s="54"/>
      <c r="R489" s="54"/>
      <c r="S489" s="260"/>
      <c r="T489" s="99" t="s">
        <v>13</v>
      </c>
      <c r="U489" s="100"/>
      <c r="V489" s="2283" t="s">
        <v>628</v>
      </c>
      <c r="W489" s="1929">
        <f t="shared" ca="1" si="29"/>
        <v>0</v>
      </c>
      <c r="X489" s="1930">
        <f t="shared" ca="1" si="29"/>
        <v>0</v>
      </c>
      <c r="Y489" s="1930">
        <f t="shared" ca="1" si="29"/>
        <v>0</v>
      </c>
      <c r="Z489" s="1930">
        <f t="shared" ca="1" si="29"/>
        <v>0</v>
      </c>
      <c r="AA489" s="1930">
        <f t="shared" ca="1" si="29"/>
        <v>0</v>
      </c>
      <c r="AB489" s="1930">
        <f t="shared" ca="1" si="29"/>
        <v>0</v>
      </c>
      <c r="AC489" s="1930">
        <f t="shared" ca="1" si="29"/>
        <v>0</v>
      </c>
      <c r="AD489" s="2298">
        <f t="shared" ca="1" si="29"/>
        <v>0</v>
      </c>
      <c r="AE489" s="199"/>
      <c r="AF489" s="45"/>
      <c r="AG489" s="45"/>
      <c r="AH489" s="45"/>
      <c r="AI489" s="45"/>
      <c r="AJ489" s="260"/>
      <c r="AK489" s="101" t="s">
        <v>13</v>
      </c>
      <c r="AL489" s="49"/>
      <c r="AM489" s="255" t="s">
        <v>628</v>
      </c>
      <c r="AN489" s="2270">
        <f>+Transfer!AD137</f>
        <v>99.713499999999996</v>
      </c>
      <c r="AO489" s="1930">
        <f>100*((Transfer!AD137/Transfer!AC137)-1)</f>
        <v>1.531420076469181</v>
      </c>
      <c r="AP489" s="2271">
        <f>+Transfer!AE137</f>
        <v>102.5765</v>
      </c>
      <c r="AQ489" s="1930">
        <f>100*((Transfer!AE137/Transfer!AD137)-1)</f>
        <v>2.8712260626695407</v>
      </c>
      <c r="AR489" s="2271">
        <f>+Transfer!AF137</f>
        <v>104.76516041979002</v>
      </c>
      <c r="AS489" s="1930">
        <f>100*((Transfer!AF137/Transfer!AE137)-1)</f>
        <v>2.1336860000000346</v>
      </c>
      <c r="AT489" s="2270">
        <f>+Transfer!AG137</f>
        <v>107.74918648402686</v>
      </c>
      <c r="AU489" s="2272">
        <f>100*((Transfer!AG137/Transfer!AF137)-1)</f>
        <v>2.8482999999999592</v>
      </c>
      <c r="AV489" s="199"/>
      <c r="AW489" s="54"/>
      <c r="AX489" s="54"/>
      <c r="AY489" s="54"/>
      <c r="AZ489" s="54"/>
      <c r="BA489" s="1909" t="s">
        <v>371</v>
      </c>
      <c r="BB489" s="54"/>
      <c r="BC489" s="54"/>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row>
    <row r="490" spans="1:256" s="218" customFormat="1">
      <c r="A490" s="54"/>
      <c r="B490" s="1902"/>
      <c r="C490" s="2333" t="s">
        <v>185</v>
      </c>
      <c r="D490" s="2352"/>
      <c r="E490" s="2471" t="s">
        <v>26</v>
      </c>
      <c r="F490" s="2462">
        <f ca="1">+Transfer!D219</f>
        <v>65.977190000000007</v>
      </c>
      <c r="G490" s="2406">
        <f ca="1">100*((Transfer!D219/Transfer!C219)-1)</f>
        <v>2.9532680238310238</v>
      </c>
      <c r="H490" s="2646">
        <f ca="1">+Transfer!E219</f>
        <v>68.266030000000001</v>
      </c>
      <c r="I490" s="2406">
        <f ca="1">100*((Transfer!E219/Transfer!D219)-1)</f>
        <v>3.4691383491779471</v>
      </c>
      <c r="J490" s="2646">
        <f ca="1">+Transfer!F219</f>
        <v>69.792550685790019</v>
      </c>
      <c r="K490" s="2406">
        <f ca="1">100*((Transfer!F219/Transfer!E219)-1)</f>
        <v>2.2361351404058816</v>
      </c>
      <c r="L490" s="2406">
        <f ca="1">+Transfer!G219</f>
        <v>71.62248062880488</v>
      </c>
      <c r="M490" s="2647">
        <f ca="1">100*((Transfer!G219/Transfer!F219)-1)</f>
        <v>2.6219559609639509</v>
      </c>
      <c r="N490" s="2405"/>
      <c r="O490" s="54"/>
      <c r="P490" s="54"/>
      <c r="Q490" s="54"/>
      <c r="R490" s="54"/>
      <c r="S490" s="260"/>
      <c r="T490" s="161" t="s">
        <v>185</v>
      </c>
      <c r="U490" s="102"/>
      <c r="V490" s="255" t="s">
        <v>26</v>
      </c>
      <c r="W490" s="249">
        <f t="shared" ca="1" si="29"/>
        <v>0</v>
      </c>
      <c r="X490" s="246">
        <f t="shared" ca="1" si="29"/>
        <v>0</v>
      </c>
      <c r="Y490" s="246">
        <f t="shared" ca="1" si="29"/>
        <v>0</v>
      </c>
      <c r="Z490" s="246">
        <f t="shared" ca="1" si="29"/>
        <v>0</v>
      </c>
      <c r="AA490" s="246">
        <f t="shared" ca="1" si="29"/>
        <v>0</v>
      </c>
      <c r="AB490" s="246">
        <f t="shared" ca="1" si="29"/>
        <v>0</v>
      </c>
      <c r="AC490" s="246">
        <f t="shared" ca="1" si="29"/>
        <v>0</v>
      </c>
      <c r="AD490" s="250">
        <f t="shared" ca="1" si="29"/>
        <v>0</v>
      </c>
      <c r="AE490" s="199"/>
      <c r="AF490" s="45"/>
      <c r="AG490" s="45"/>
      <c r="AH490" s="45"/>
      <c r="AI490" s="45"/>
      <c r="AJ490" s="260"/>
      <c r="AK490" s="161" t="s">
        <v>185</v>
      </c>
      <c r="AL490" s="102"/>
      <c r="AM490" s="255" t="s">
        <v>26</v>
      </c>
      <c r="AN490" s="144">
        <f>+Transfer!AD219</f>
        <v>65.977190000000007</v>
      </c>
      <c r="AO490" s="246">
        <f>100*((Transfer!AD219/Transfer!AC219)-1)</f>
        <v>2.9532680238310238</v>
      </c>
      <c r="AP490" s="140">
        <f>+Transfer!AE219</f>
        <v>68.266030000000001</v>
      </c>
      <c r="AQ490" s="246">
        <f>100*((Transfer!AE219/Transfer!AD219)-1)</f>
        <v>3.4691383491779471</v>
      </c>
      <c r="AR490" s="140">
        <f>+Transfer!AF219</f>
        <v>69.792550685790019</v>
      </c>
      <c r="AS490" s="246">
        <f>100*((Transfer!AF219/Transfer!AE219)-1)</f>
        <v>2.2361351404058816</v>
      </c>
      <c r="AT490" s="246">
        <f>+Transfer!AG219</f>
        <v>71.62248062880488</v>
      </c>
      <c r="AU490" s="250">
        <f>100*((Transfer!AG219/Transfer!AF219)-1)</f>
        <v>2.6219559609639509</v>
      </c>
      <c r="AV490" s="199"/>
      <c r="AW490" s="54"/>
      <c r="AX490" s="54"/>
      <c r="AY490" s="54"/>
      <c r="AZ490" s="54"/>
      <c r="BA490" s="1909" t="s">
        <v>1377</v>
      </c>
      <c r="BB490" s="54"/>
      <c r="BC490" s="54"/>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row>
    <row r="491" spans="1:256" ht="13.8" thickBot="1">
      <c r="A491" s="45"/>
      <c r="B491" s="1575"/>
      <c r="C491" s="2621" t="s">
        <v>186</v>
      </c>
      <c r="D491" s="2622"/>
      <c r="E491" s="2696" t="s">
        <v>2031</v>
      </c>
      <c r="F491" s="2697">
        <f ca="1">+Transfer!D218</f>
        <v>33.262910000000005</v>
      </c>
      <c r="G491" s="2585">
        <f ca="1">100*((Transfer!D218/Transfer!C218)-1)</f>
        <v>-2.1765432461841483</v>
      </c>
      <c r="H491" s="2697">
        <f ca="1">+Transfer!E218</f>
        <v>34.146269999999994</v>
      </c>
      <c r="I491" s="2585">
        <f ca="1">100*((Transfer!E218/Transfer!D218)-1)</f>
        <v>2.6556906776947331</v>
      </c>
      <c r="J491" s="2697">
        <f ca="1">+Transfer!F218</f>
        <v>34.972609733999995</v>
      </c>
      <c r="K491" s="2585">
        <f ca="1">100*((Transfer!F218/Transfer!E218)-1)</f>
        <v>2.42</v>
      </c>
      <c r="L491" s="2585">
        <f ca="1">+Transfer!G218</f>
        <v>36.126705855221992</v>
      </c>
      <c r="M491" s="2698">
        <f ca="1">100*((Transfer!G218/Transfer!F218)-1)</f>
        <v>3.2999999999999918</v>
      </c>
      <c r="N491" s="2405"/>
      <c r="O491" s="54"/>
      <c r="P491" s="54"/>
      <c r="Q491" s="54"/>
      <c r="R491" s="54"/>
      <c r="S491" s="189"/>
      <c r="T491" s="2274" t="s">
        <v>186</v>
      </c>
      <c r="U491" s="2275"/>
      <c r="V491" s="393" t="s">
        <v>2031</v>
      </c>
      <c r="W491" s="1933">
        <f t="shared" ca="1" si="29"/>
        <v>0</v>
      </c>
      <c r="X491" s="483">
        <f t="shared" ca="1" si="29"/>
        <v>0</v>
      </c>
      <c r="Y491" s="483">
        <f t="shared" ca="1" si="29"/>
        <v>0</v>
      </c>
      <c r="Z491" s="483">
        <f t="shared" ca="1" si="29"/>
        <v>0</v>
      </c>
      <c r="AA491" s="483">
        <f t="shared" ca="1" si="29"/>
        <v>0</v>
      </c>
      <c r="AB491" s="483">
        <f t="shared" ca="1" si="29"/>
        <v>0</v>
      </c>
      <c r="AC491" s="483">
        <f t="shared" ca="1" si="29"/>
        <v>0</v>
      </c>
      <c r="AD491" s="1934">
        <f t="shared" ca="1" si="29"/>
        <v>0</v>
      </c>
      <c r="AE491" s="199"/>
      <c r="AF491" s="45"/>
      <c r="AG491" s="45"/>
      <c r="AH491" s="45"/>
      <c r="AI491" s="45"/>
      <c r="AJ491" s="189"/>
      <c r="AK491" s="2274" t="s">
        <v>186</v>
      </c>
      <c r="AL491" s="2275"/>
      <c r="AM491" s="393" t="s">
        <v>2031</v>
      </c>
      <c r="AN491" s="482">
        <f>+Transfer!AD218</f>
        <v>33.262910000000005</v>
      </c>
      <c r="AO491" s="483">
        <f>100*((Transfer!AD218/Transfer!AC218)-1)</f>
        <v>-2.1765432461841483</v>
      </c>
      <c r="AP491" s="482">
        <f>+Transfer!AE218</f>
        <v>34.146269999999994</v>
      </c>
      <c r="AQ491" s="483">
        <f>100*((Transfer!AE218/Transfer!AD218)-1)</f>
        <v>2.6556906776947331</v>
      </c>
      <c r="AR491" s="482">
        <f>+Transfer!AF218</f>
        <v>34.972609733999995</v>
      </c>
      <c r="AS491" s="483">
        <f>100*((Transfer!AF218/Transfer!AE218)-1)</f>
        <v>2.42</v>
      </c>
      <c r="AT491" s="483">
        <f>+Transfer!AG218</f>
        <v>36.126705855221992</v>
      </c>
      <c r="AU491" s="484">
        <f>100*((Transfer!AG218/Transfer!AF218)-1)</f>
        <v>3.2999999999999918</v>
      </c>
      <c r="AV491" s="199"/>
      <c r="AW491" s="54"/>
      <c r="AX491" s="54"/>
      <c r="AY491" s="54"/>
      <c r="AZ491" s="54"/>
      <c r="BA491" s="1910" t="s">
        <v>1378</v>
      </c>
      <c r="BB491" s="54"/>
      <c r="BC491" s="54"/>
    </row>
    <row r="492" spans="1:256" s="218" customFormat="1">
      <c r="A492" s="54"/>
      <c r="B492" s="2547"/>
      <c r="C492" s="2359"/>
      <c r="D492" s="2359"/>
      <c r="E492" s="2359"/>
      <c r="F492" s="2738"/>
      <c r="G492" s="2738"/>
      <c r="H492" s="2738"/>
      <c r="I492" s="2738"/>
      <c r="J492" s="2738"/>
      <c r="K492" s="2738"/>
      <c r="L492" s="2738"/>
      <c r="M492" s="2360" t="str">
        <f>UPPER(Country)</f>
        <v>BELGIUM</v>
      </c>
      <c r="N492" s="2739"/>
      <c r="O492" s="54"/>
      <c r="P492" s="54"/>
      <c r="Q492" s="54"/>
      <c r="R492" s="54"/>
      <c r="S492" s="328"/>
      <c r="T492" s="117"/>
      <c r="U492" s="117"/>
      <c r="V492" s="117"/>
      <c r="W492" s="117"/>
      <c r="X492" s="2284"/>
      <c r="Y492" s="117"/>
      <c r="Z492" s="2284"/>
      <c r="AA492" s="117"/>
      <c r="AB492" s="117"/>
      <c r="AC492" s="117"/>
      <c r="AD492" s="2285" t="str">
        <f>UPPER(Country)</f>
        <v>BELGIUM</v>
      </c>
      <c r="AE492" s="2276"/>
      <c r="AF492" s="45"/>
      <c r="AG492" s="45"/>
      <c r="AH492" s="45"/>
      <c r="AI492" s="45"/>
      <c r="AJ492" s="328"/>
      <c r="AK492" s="117"/>
      <c r="AL492" s="117"/>
      <c r="AM492" s="117"/>
      <c r="AN492" s="117"/>
      <c r="AO492" s="2284"/>
      <c r="AP492" s="117"/>
      <c r="AQ492" s="2284"/>
      <c r="AR492" s="117"/>
      <c r="AS492" s="117"/>
      <c r="AT492" s="117"/>
      <c r="AU492" s="2285" t="str">
        <f>UPPER(Country)</f>
        <v>BELGIUM</v>
      </c>
      <c r="AV492" s="2276"/>
      <c r="AW492" s="54"/>
      <c r="AX492" s="54"/>
      <c r="AY492" s="54"/>
      <c r="AZ492" s="54"/>
      <c r="BA492" s="54"/>
      <c r="BB492" s="54"/>
      <c r="BC492" s="54"/>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row>
    <row r="493" spans="1:256">
      <c r="A493" s="45"/>
      <c r="B493" s="45"/>
      <c r="C493" s="45"/>
      <c r="D493" s="45"/>
      <c r="E493" s="45"/>
      <c r="F493" s="1636"/>
      <c r="G493" s="1635"/>
      <c r="H493" s="1635"/>
      <c r="I493" s="1635"/>
      <c r="J493" s="1635"/>
      <c r="K493" s="1635"/>
      <c r="L493" s="1635"/>
      <c r="M493" s="45"/>
      <c r="N493" s="45"/>
      <c r="O493" s="45"/>
      <c r="P493" s="54"/>
      <c r="Q493" s="54"/>
      <c r="R493" s="54"/>
      <c r="S493" s="54"/>
      <c r="T493" s="54"/>
      <c r="U493" s="54"/>
      <c r="V493" s="54"/>
      <c r="W493" s="54"/>
      <c r="X493" s="54"/>
      <c r="Y493" s="54"/>
      <c r="Z493" s="54"/>
      <c r="AA493" s="54"/>
      <c r="AB493" s="45"/>
      <c r="AC493" s="45"/>
      <c r="AD493" s="45"/>
      <c r="AE493" s="45"/>
      <c r="AF493" s="45"/>
      <c r="AG493" s="45"/>
      <c r="AH493" s="45"/>
      <c r="AI493" s="45"/>
      <c r="AJ493" s="45"/>
      <c r="AK493" s="45"/>
      <c r="AL493" s="45"/>
      <c r="AM493" s="45"/>
      <c r="AN493" s="45"/>
      <c r="AO493" s="45"/>
      <c r="AP493" s="45"/>
      <c r="AQ493" s="45"/>
      <c r="AR493" s="45"/>
      <c r="AS493" s="45"/>
      <c r="AT493" s="45"/>
      <c r="AU493" s="45"/>
      <c r="AV493" s="45"/>
      <c r="AW493" s="54"/>
      <c r="AX493" s="54"/>
      <c r="AY493" s="54"/>
      <c r="AZ493" s="54"/>
      <c r="BA493" s="54"/>
      <c r="BB493" s="54"/>
      <c r="BC493" s="54"/>
    </row>
    <row r="494" spans="1:256">
      <c r="A494" s="45"/>
      <c r="B494" s="45"/>
      <c r="C494" s="45"/>
      <c r="D494" s="45"/>
      <c r="E494" s="45"/>
      <c r="F494" s="45"/>
      <c r="G494" s="1635"/>
      <c r="H494" s="1635"/>
      <c r="I494" s="1635"/>
      <c r="J494" s="1635"/>
      <c r="K494" s="1635"/>
      <c r="L494" s="1635"/>
      <c r="M494" s="45"/>
      <c r="N494" s="45"/>
      <c r="O494" s="45"/>
      <c r="P494" s="54"/>
      <c r="Q494" s="54"/>
      <c r="R494" s="54"/>
      <c r="S494" s="54"/>
      <c r="T494" s="54"/>
      <c r="U494" s="54"/>
      <c r="V494" s="54"/>
      <c r="W494" s="54"/>
      <c r="X494" s="54"/>
      <c r="Y494" s="54"/>
      <c r="Z494" s="54"/>
      <c r="AA494" s="54"/>
      <c r="AB494" s="45"/>
      <c r="AC494" s="45"/>
      <c r="AD494" s="45"/>
      <c r="AE494" s="45"/>
      <c r="AF494" s="45"/>
      <c r="AG494" s="45"/>
      <c r="AH494" s="45"/>
      <c r="AI494" s="45"/>
      <c r="AJ494" s="45"/>
      <c r="AK494" s="45"/>
      <c r="AL494" s="45"/>
      <c r="AM494" s="45"/>
      <c r="AN494" s="45"/>
      <c r="AO494" s="1635"/>
      <c r="AP494" s="1635"/>
      <c r="AQ494" s="1635"/>
      <c r="AR494" s="1635"/>
      <c r="AS494" s="1635"/>
      <c r="AT494" s="1635"/>
      <c r="AU494" s="45"/>
      <c r="AV494" s="45"/>
      <c r="AW494" s="45"/>
      <c r="AX494" s="54"/>
      <c r="AY494" s="54"/>
      <c r="AZ494" s="54"/>
      <c r="BA494" s="54"/>
      <c r="BB494" s="54"/>
      <c r="BC494" s="54"/>
    </row>
    <row r="495" spans="1:256">
      <c r="A495" s="45"/>
      <c r="B495" s="45"/>
      <c r="C495" s="45"/>
      <c r="D495" s="45"/>
      <c r="E495" s="45"/>
      <c r="F495" s="45"/>
      <c r="G495" s="45"/>
      <c r="H495" s="45"/>
      <c r="I495" s="45"/>
      <c r="J495" s="45"/>
      <c r="K495" s="45"/>
      <c r="L495" s="45"/>
      <c r="M495" s="45"/>
      <c r="N495" s="45"/>
      <c r="O495" s="45"/>
      <c r="P495" s="54"/>
      <c r="Q495" s="54"/>
      <c r="R495" s="54"/>
      <c r="S495" s="54"/>
      <c r="T495" s="54"/>
      <c r="U495" s="54"/>
      <c r="V495" s="54"/>
      <c r="W495" s="54"/>
      <c r="X495" s="54"/>
      <c r="Y495" s="54"/>
      <c r="Z495" s="54"/>
      <c r="AA495" s="54"/>
      <c r="AB495" s="45"/>
      <c r="AC495" s="45"/>
      <c r="AD495" s="45"/>
      <c r="AE495" s="45"/>
      <c r="AF495" s="45"/>
      <c r="AG495" s="45"/>
      <c r="AH495" s="45"/>
      <c r="AI495" s="45"/>
      <c r="AJ495" s="45"/>
      <c r="AK495" s="45"/>
      <c r="AL495" s="45"/>
      <c r="AM495" s="45"/>
      <c r="AN495" s="45"/>
      <c r="AO495" s="45"/>
      <c r="AP495" s="45"/>
      <c r="AQ495" s="45"/>
      <c r="AR495" s="45"/>
      <c r="AS495" s="45"/>
      <c r="AT495" s="45"/>
      <c r="AU495" s="45"/>
      <c r="AV495" s="45"/>
      <c r="AW495" s="45"/>
      <c r="AX495" s="54"/>
      <c r="AY495" s="54"/>
      <c r="AZ495" s="54"/>
      <c r="BA495" s="54"/>
      <c r="BB495" s="54"/>
      <c r="BC495" s="54"/>
    </row>
    <row r="496" spans="1:256">
      <c r="A496" s="45"/>
      <c r="B496" s="2301"/>
      <c r="C496" s="2551" t="s">
        <v>238</v>
      </c>
      <c r="D496" s="2551"/>
      <c r="E496" s="2303"/>
      <c r="F496" s="2303"/>
      <c r="G496" s="2303"/>
      <c r="H496" s="2303"/>
      <c r="I496" s="2303"/>
      <c r="J496" s="2303"/>
      <c r="K496" s="2303"/>
      <c r="L496" s="2303"/>
      <c r="M496" s="2446"/>
      <c r="N496" s="54"/>
      <c r="O496" s="54"/>
      <c r="P496" s="54"/>
      <c r="Q496" s="54"/>
      <c r="R496" s="54"/>
      <c r="S496" s="2301"/>
      <c r="T496" s="2551" t="s">
        <v>238</v>
      </c>
      <c r="U496" s="2551"/>
      <c r="V496" s="2303"/>
      <c r="W496" s="2303"/>
      <c r="X496" s="2303"/>
      <c r="Y496" s="2303"/>
      <c r="Z496" s="2303"/>
      <c r="AA496" s="2303"/>
      <c r="AB496" s="2303"/>
      <c r="AC496" s="2303"/>
      <c r="AD496" s="2446"/>
      <c r="AE496" s="45"/>
      <c r="AF496" s="45"/>
      <c r="AG496" s="45"/>
      <c r="AH496" s="45"/>
      <c r="AI496" s="45"/>
      <c r="AJ496" s="187"/>
      <c r="AK496" s="337" t="s">
        <v>238</v>
      </c>
      <c r="AL496" s="337"/>
      <c r="AM496" s="100"/>
      <c r="AN496" s="100"/>
      <c r="AO496" s="100"/>
      <c r="AP496" s="100"/>
      <c r="AQ496" s="100"/>
      <c r="AR496" s="100"/>
      <c r="AS496" s="100"/>
      <c r="AT496" s="100"/>
      <c r="AU496" s="239"/>
      <c r="AV496" s="54"/>
      <c r="AW496" s="54"/>
      <c r="AX496" s="54"/>
      <c r="AY496" s="54"/>
      <c r="AZ496" s="54"/>
      <c r="BA496" s="54"/>
      <c r="BB496" s="54"/>
      <c r="BC496" s="54"/>
    </row>
    <row r="497" spans="1:55">
      <c r="A497" s="45"/>
      <c r="B497" s="1575"/>
      <c r="C497" s="4207" t="s">
        <v>239</v>
      </c>
      <c r="D497" s="4207"/>
      <c r="E497" s="4207"/>
      <c r="F497" s="4207"/>
      <c r="G497" s="4207"/>
      <c r="H497" s="4207"/>
      <c r="I497" s="4207"/>
      <c r="J497" s="4207"/>
      <c r="K497" s="4207"/>
      <c r="L497" s="4207"/>
      <c r="M497" s="2480"/>
      <c r="N497" s="54"/>
      <c r="O497" s="54"/>
      <c r="P497" s="54"/>
      <c r="Q497" s="54"/>
      <c r="R497" s="54"/>
      <c r="S497" s="1575"/>
      <c r="T497" s="4207" t="s">
        <v>239</v>
      </c>
      <c r="U497" s="4207"/>
      <c r="V497" s="4207"/>
      <c r="W497" s="4207"/>
      <c r="X497" s="4207"/>
      <c r="Y497" s="4207"/>
      <c r="Z497" s="4207"/>
      <c r="AA497" s="4207"/>
      <c r="AB497" s="4207"/>
      <c r="AC497" s="4207"/>
      <c r="AD497" s="2480"/>
      <c r="AE497" s="45"/>
      <c r="AF497" s="45"/>
      <c r="AG497" s="45"/>
      <c r="AH497" s="45"/>
      <c r="AI497" s="45"/>
      <c r="AJ497" s="189"/>
      <c r="AK497" s="4208" t="s">
        <v>239</v>
      </c>
      <c r="AL497" s="4208"/>
      <c r="AM497" s="4208"/>
      <c r="AN497" s="4208"/>
      <c r="AO497" s="4208"/>
      <c r="AP497" s="4208"/>
      <c r="AQ497" s="4208"/>
      <c r="AR497" s="4208"/>
      <c r="AS497" s="4208"/>
      <c r="AT497" s="4208"/>
      <c r="AU497" s="261"/>
      <c r="AV497" s="54"/>
      <c r="AW497" s="54"/>
      <c r="AX497" s="54"/>
      <c r="AY497" s="54"/>
      <c r="AZ497" s="54"/>
      <c r="BA497" s="54"/>
      <c r="BB497" s="54"/>
      <c r="BC497" s="54"/>
    </row>
    <row r="498" spans="1:55" ht="15.6">
      <c r="A498" s="45"/>
      <c r="B498" s="1575"/>
      <c r="C498" s="2309" t="str">
        <f>"Country: " &amp;UPPER(Country)</f>
        <v>Country: BELGIUM</v>
      </c>
      <c r="D498" s="2309"/>
      <c r="E498" s="2311"/>
      <c r="F498" s="2311"/>
      <c r="G498" s="2311"/>
      <c r="H498" s="2311"/>
      <c r="I498" s="2311"/>
      <c r="J498" s="2311"/>
      <c r="K498" s="2311"/>
      <c r="L498" s="2311"/>
      <c r="M498" s="2405"/>
      <c r="N498" s="54"/>
      <c r="O498" s="54"/>
      <c r="P498" s="54"/>
      <c r="Q498" s="54"/>
      <c r="R498" s="54"/>
      <c r="S498" s="1575"/>
      <c r="T498" s="2309" t="str">
        <f>"Country: " &amp;UPPER(Country)</f>
        <v>Country: BELGIUM</v>
      </c>
      <c r="U498" s="2309"/>
      <c r="V498" s="2311"/>
      <c r="W498" s="1915" t="s">
        <v>724</v>
      </c>
      <c r="X498" s="65"/>
      <c r="Y498" s="65"/>
      <c r="Z498" s="65"/>
      <c r="AA498" s="65"/>
      <c r="AB498" s="65"/>
      <c r="AC498" s="65"/>
      <c r="AD498" s="195"/>
      <c r="AE498" s="45"/>
      <c r="AF498" s="45"/>
      <c r="AG498" s="45"/>
      <c r="AH498" s="45"/>
      <c r="AI498" s="45"/>
      <c r="AJ498" s="189"/>
      <c r="AK498" s="63" t="str">
        <f>"Country: " &amp;UPPER(Country)</f>
        <v>Country: BELGIUM</v>
      </c>
      <c r="AL498" s="63"/>
      <c r="AM498" s="65"/>
      <c r="AN498" s="65"/>
      <c r="AO498" s="65"/>
      <c r="AP498" s="65"/>
      <c r="AQ498" s="65"/>
      <c r="AR498" s="65"/>
      <c r="AS498" s="65"/>
      <c r="AT498" s="65"/>
      <c r="AU498" s="195"/>
      <c r="AV498" s="54"/>
      <c r="AW498" s="54"/>
      <c r="AX498" s="54"/>
      <c r="AY498" s="54"/>
      <c r="AZ498" s="54"/>
      <c r="BA498" s="54"/>
      <c r="BB498" s="54"/>
      <c r="BC498" s="54"/>
    </row>
    <row r="499" spans="1:55" ht="15.6">
      <c r="A499" s="45"/>
      <c r="B499" s="1575"/>
      <c r="C499" s="2309" t="str">
        <f>"Currency unit: " &amp; Currency</f>
        <v>Currency unit: bn EUR</v>
      </c>
      <c r="D499" s="2311"/>
      <c r="E499" s="2311"/>
      <c r="F499" s="2311"/>
      <c r="G499" s="2311"/>
      <c r="H499" s="2311"/>
      <c r="I499" s="2398"/>
      <c r="J499" s="2398"/>
      <c r="K499" s="2398"/>
      <c r="L499" s="2398"/>
      <c r="M499" s="1574"/>
      <c r="N499" s="54"/>
      <c r="O499" s="54"/>
      <c r="P499" s="54"/>
      <c r="Q499" s="54"/>
      <c r="R499" s="54"/>
      <c r="S499" s="189"/>
      <c r="T499" s="63" t="str">
        <f>"Currency unit: " &amp; Currency</f>
        <v>Currency unit: bn EUR</v>
      </c>
      <c r="U499" s="65"/>
      <c r="V499" s="65"/>
      <c r="W499" s="1915" t="str">
        <f>$T$4</f>
        <v>SF2018 - final storage FRI</v>
      </c>
      <c r="X499" s="65"/>
      <c r="Y499" s="65"/>
      <c r="Z499" s="1"/>
      <c r="AA499" s="1"/>
      <c r="AB499" s="1"/>
      <c r="AC499" s="1"/>
      <c r="AD499" s="90"/>
      <c r="AE499" s="45"/>
      <c r="AF499" s="45"/>
      <c r="AG499" s="45"/>
      <c r="AH499" s="45"/>
      <c r="AI499" s="45"/>
      <c r="AJ499" s="189"/>
      <c r="AK499" s="63" t="str">
        <f>"Currency unit: " &amp; Currency</f>
        <v>Currency unit: bn EUR</v>
      </c>
      <c r="AL499" s="65"/>
      <c r="AM499" s="65"/>
      <c r="AN499" s="65"/>
      <c r="AO499" s="65"/>
      <c r="AP499" s="65"/>
      <c r="AQ499" s="1"/>
      <c r="AR499" s="1"/>
      <c r="AS499" s="1"/>
      <c r="AT499" s="1"/>
      <c r="AU499" s="90"/>
      <c r="AV499" s="54"/>
      <c r="AW499" s="54"/>
      <c r="AX499" s="54"/>
      <c r="AY499" s="54"/>
      <c r="AZ499" s="54"/>
      <c r="BA499" s="54"/>
      <c r="BB499" s="54"/>
      <c r="BC499" s="54"/>
    </row>
    <row r="500" spans="1:55" ht="13.8" thickBot="1">
      <c r="A500" s="45"/>
      <c r="B500" s="1575"/>
      <c r="C500" s="2315" t="s">
        <v>1641</v>
      </c>
      <c r="D500" s="2311"/>
      <c r="E500" s="2662"/>
      <c r="F500" s="2662"/>
      <c r="G500" s="2662"/>
      <c r="H500" s="2662"/>
      <c r="I500" s="2662"/>
      <c r="J500" s="2662"/>
      <c r="K500" s="4159">
        <f ca="1">NOW()</f>
        <v>43213.646692361108</v>
      </c>
      <c r="L500" s="4159"/>
      <c r="M500" s="2552"/>
      <c r="N500" s="54"/>
      <c r="O500" s="54"/>
      <c r="P500" s="54"/>
      <c r="Q500" s="54"/>
      <c r="R500" s="54"/>
      <c r="S500" s="189"/>
      <c r="T500" s="69" t="s">
        <v>1641</v>
      </c>
      <c r="U500" s="65"/>
      <c r="Y500" s="28"/>
      <c r="AB500" s="4160">
        <f ca="1">NOW()</f>
        <v>43213.646692361108</v>
      </c>
      <c r="AC500" s="4160"/>
      <c r="AD500" s="338"/>
      <c r="AE500" s="45"/>
      <c r="AF500" s="45"/>
      <c r="AG500" s="45"/>
      <c r="AH500" s="45"/>
      <c r="AI500" s="45"/>
      <c r="AJ500" s="189"/>
      <c r="AK500" s="69" t="s">
        <v>1641</v>
      </c>
      <c r="AL500" s="65"/>
      <c r="AP500" s="28"/>
      <c r="AS500" s="4160">
        <f ca="1">NOW()</f>
        <v>43213.646692361108</v>
      </c>
      <c r="AT500" s="4160"/>
      <c r="AU500" s="338"/>
      <c r="AV500" s="54"/>
      <c r="AW500" s="54"/>
      <c r="AX500" s="54"/>
      <c r="AY500" s="54"/>
      <c r="AZ500" s="54"/>
      <c r="BA500" s="54"/>
      <c r="BB500" s="54"/>
      <c r="BC500" s="54"/>
    </row>
    <row r="501" spans="1:55">
      <c r="A501" s="45"/>
      <c r="B501" s="1575"/>
      <c r="C501" s="2317"/>
      <c r="D501" s="2588"/>
      <c r="E501" s="4241">
        <f>E16</f>
        <v>2016</v>
      </c>
      <c r="F501" s="4242"/>
      <c r="G501" s="4241">
        <f>E501+1</f>
        <v>2017</v>
      </c>
      <c r="H501" s="4242"/>
      <c r="I501" s="4241">
        <f>G501+1</f>
        <v>2018</v>
      </c>
      <c r="J501" s="4242"/>
      <c r="K501" s="4241">
        <f>I501+1</f>
        <v>2019</v>
      </c>
      <c r="L501" s="4327"/>
      <c r="M501" s="2555"/>
      <c r="N501" s="54"/>
      <c r="O501" s="54"/>
      <c r="P501" s="54"/>
      <c r="Q501" s="54"/>
      <c r="R501" s="54"/>
      <c r="S501" s="189"/>
      <c r="T501" s="190"/>
      <c r="U501" s="363"/>
      <c r="V501" s="4248">
        <f>Last_forecast_year - 3</f>
        <v>2016</v>
      </c>
      <c r="W501" s="4249"/>
      <c r="X501" s="4248">
        <f>V501+1</f>
        <v>2017</v>
      </c>
      <c r="Y501" s="4249"/>
      <c r="Z501" s="4248">
        <f>X501+1</f>
        <v>2018</v>
      </c>
      <c r="AA501" s="4249"/>
      <c r="AB501" s="4248">
        <f>Z501+1</f>
        <v>2019</v>
      </c>
      <c r="AC501" s="4328"/>
      <c r="AD501" s="340"/>
      <c r="AE501" s="45"/>
      <c r="AF501" s="45"/>
      <c r="AG501" s="45"/>
      <c r="AH501" s="45"/>
      <c r="AI501" s="45"/>
      <c r="AJ501" s="189"/>
      <c r="AK501" s="190"/>
      <c r="AL501" s="363"/>
      <c r="AM501" s="4248">
        <f>Last_forecast_year - 3</f>
        <v>2016</v>
      </c>
      <c r="AN501" s="4249"/>
      <c r="AO501" s="4248">
        <f>AM501+1</f>
        <v>2017</v>
      </c>
      <c r="AP501" s="4249"/>
      <c r="AQ501" s="4248">
        <f>AO501+1</f>
        <v>2018</v>
      </c>
      <c r="AR501" s="4249"/>
      <c r="AS501" s="4248">
        <f>AQ501+1</f>
        <v>2019</v>
      </c>
      <c r="AT501" s="4328"/>
      <c r="AU501" s="340"/>
      <c r="AV501" s="54"/>
      <c r="AW501" s="54"/>
      <c r="AX501" s="54"/>
      <c r="AY501" s="54"/>
      <c r="AZ501" s="54"/>
      <c r="BA501" s="54"/>
      <c r="BB501" s="54"/>
      <c r="BC501" s="54"/>
    </row>
    <row r="502" spans="1:55">
      <c r="A502" s="45"/>
      <c r="B502" s="1575"/>
      <c r="C502" s="1576"/>
      <c r="D502" s="2640"/>
      <c r="E502" s="2740" t="s">
        <v>1642</v>
      </c>
      <c r="F502" s="2741" t="s">
        <v>759</v>
      </c>
      <c r="G502" s="2740" t="s">
        <v>1642</v>
      </c>
      <c r="H502" s="2741" t="s">
        <v>759</v>
      </c>
      <c r="I502" s="2740" t="s">
        <v>1642</v>
      </c>
      <c r="J502" s="2741" t="s">
        <v>759</v>
      </c>
      <c r="K502" s="2740" t="s">
        <v>1642</v>
      </c>
      <c r="L502" s="2742" t="s">
        <v>759</v>
      </c>
      <c r="M502" s="2743"/>
      <c r="N502" s="54"/>
      <c r="O502" s="54"/>
      <c r="P502" s="54"/>
      <c r="Q502" s="54"/>
      <c r="R502" s="54"/>
      <c r="S502" s="189"/>
      <c r="T502" s="40"/>
      <c r="U502" s="500"/>
      <c r="V502" s="1658" t="s">
        <v>1642</v>
      </c>
      <c r="W502" s="1661" t="s">
        <v>759</v>
      </c>
      <c r="X502" s="1658" t="s">
        <v>1642</v>
      </c>
      <c r="Y502" s="1661" t="s">
        <v>759</v>
      </c>
      <c r="Z502" s="1658" t="s">
        <v>1642</v>
      </c>
      <c r="AA502" s="1661" t="s">
        <v>759</v>
      </c>
      <c r="AB502" s="1658" t="s">
        <v>1642</v>
      </c>
      <c r="AC502" s="1662" t="s">
        <v>759</v>
      </c>
      <c r="AD502" s="502"/>
      <c r="AE502" s="45"/>
      <c r="AF502" s="45"/>
      <c r="AG502" s="45"/>
      <c r="AH502" s="45"/>
      <c r="AI502" s="45"/>
      <c r="AJ502" s="189"/>
      <c r="AK502" s="40"/>
      <c r="AL502" s="500"/>
      <c r="AM502" s="1658" t="s">
        <v>1642</v>
      </c>
      <c r="AN502" s="1661" t="s">
        <v>759</v>
      </c>
      <c r="AO502" s="1658" t="s">
        <v>1642</v>
      </c>
      <c r="AP502" s="1661" t="s">
        <v>759</v>
      </c>
      <c r="AQ502" s="1658" t="s">
        <v>1642</v>
      </c>
      <c r="AR502" s="1661" t="s">
        <v>759</v>
      </c>
      <c r="AS502" s="1658" t="s">
        <v>1642</v>
      </c>
      <c r="AT502" s="1662" t="s">
        <v>759</v>
      </c>
      <c r="AU502" s="502"/>
      <c r="AV502" s="54"/>
      <c r="AW502" s="54"/>
      <c r="AX502" s="54"/>
      <c r="AY502" s="54"/>
      <c r="AZ502" s="54"/>
      <c r="BA502" s="54"/>
      <c r="BB502" s="54"/>
      <c r="BC502" s="54"/>
    </row>
    <row r="503" spans="1:55">
      <c r="A503" s="45"/>
      <c r="B503" s="1575"/>
      <c r="C503" s="2344" t="s">
        <v>240</v>
      </c>
      <c r="D503" s="2446"/>
      <c r="E503" s="2403">
        <f ca="1">Transfer!D143</f>
        <v>248.1651</v>
      </c>
      <c r="F503" s="2744">
        <f ca="1">100*((Transfer!D143/Transfer!C143)-1)</f>
        <v>7.9346612062546562</v>
      </c>
      <c r="G503" s="2403">
        <f ca="1">Transfer!E143</f>
        <v>268.40609999999998</v>
      </c>
      <c r="H503" s="2403">
        <f ca="1">100*((Transfer!E143/Transfer!D143)-1)</f>
        <v>8.1562637131490145</v>
      </c>
      <c r="I503" s="2403">
        <f ca="1">Transfer!F143</f>
        <v>285.1597403559</v>
      </c>
      <c r="J503" s="2744">
        <f ca="1">100*((Transfer!F143/Transfer!E143)-1)</f>
        <v>6.2419000000000002</v>
      </c>
      <c r="K503" s="2403">
        <f ca="1">Transfer!G143</f>
        <v>301.4812573188064</v>
      </c>
      <c r="L503" s="2745">
        <f ca="1">100*((Transfer!G143/Transfer!F143)-1)</f>
        <v>5.7236399999999854</v>
      </c>
      <c r="M503" s="2405"/>
      <c r="N503" s="54"/>
      <c r="O503" s="54"/>
      <c r="P503" s="54"/>
      <c r="Q503" s="54"/>
      <c r="R503" s="54"/>
      <c r="S503" s="189"/>
      <c r="T503" s="147" t="s">
        <v>240</v>
      </c>
      <c r="U503" s="1586"/>
      <c r="V503" s="194">
        <f t="shared" ref="V503:AC523" ca="1" si="30">ROUND(E503,1)-ROUND(AM503,1)</f>
        <v>0</v>
      </c>
      <c r="W503" s="194">
        <f t="shared" ca="1" si="30"/>
        <v>0</v>
      </c>
      <c r="X503" s="194">
        <f t="shared" ca="1" si="30"/>
        <v>0</v>
      </c>
      <c r="Y503" s="194">
        <f t="shared" ca="1" si="30"/>
        <v>0</v>
      </c>
      <c r="Z503" s="194">
        <f t="shared" ca="1" si="30"/>
        <v>0</v>
      </c>
      <c r="AA503" s="194">
        <f t="shared" ca="1" si="30"/>
        <v>0</v>
      </c>
      <c r="AB503" s="194">
        <f t="shared" ca="1" si="30"/>
        <v>0</v>
      </c>
      <c r="AC503" s="366">
        <f t="shared" ca="1" si="30"/>
        <v>0</v>
      </c>
      <c r="AD503" s="195"/>
      <c r="AE503" s="45"/>
      <c r="AF503" s="45"/>
      <c r="AG503" s="45"/>
      <c r="AH503" s="45"/>
      <c r="AI503" s="45"/>
      <c r="AJ503" s="189"/>
      <c r="AK503" s="147" t="s">
        <v>240</v>
      </c>
      <c r="AL503" s="1586"/>
      <c r="AM503" s="375">
        <f>Transfer!AD143</f>
        <v>248.1651</v>
      </c>
      <c r="AN503" s="1679">
        <f>100*((Transfer!AD143/Transfer!AC143)-1)</f>
        <v>7.9346612062546562</v>
      </c>
      <c r="AO503" s="375">
        <f>Transfer!AE143</f>
        <v>268.40609999999998</v>
      </c>
      <c r="AP503" s="375">
        <f>100*((Transfer!AE143/Transfer!AD143)-1)</f>
        <v>8.1562637131490145</v>
      </c>
      <c r="AQ503" s="375">
        <f>Transfer!AF143</f>
        <v>285.1597403559</v>
      </c>
      <c r="AR503" s="1679">
        <f>100*((Transfer!AF143/Transfer!AE143)-1)</f>
        <v>6.2419000000000002</v>
      </c>
      <c r="AS503" s="375">
        <f>Transfer!AG143</f>
        <v>301.4812573188064</v>
      </c>
      <c r="AT503" s="1686">
        <f>100*((Transfer!AG143/Transfer!AF143)-1)</f>
        <v>5.7236399999999854</v>
      </c>
      <c r="AU503" s="195"/>
      <c r="AV503" s="54"/>
      <c r="AW503" s="54"/>
      <c r="AX503" s="54"/>
      <c r="AY503" s="54"/>
      <c r="AZ503" s="54"/>
      <c r="BA503" s="1897" t="s">
        <v>320</v>
      </c>
      <c r="BB503" s="1913"/>
      <c r="BC503" s="54"/>
    </row>
    <row r="504" spans="1:55">
      <c r="A504" s="45"/>
      <c r="B504" s="1575"/>
      <c r="C504" s="2421" t="s">
        <v>1802</v>
      </c>
      <c r="D504" s="2746"/>
      <c r="E504" s="2406">
        <f ca="1">Transfer!D145</f>
        <v>247.03370000000001</v>
      </c>
      <c r="F504" s="2645">
        <f ca="1">100*((Transfer!D145/Transfer!C145)-1)</f>
        <v>7.5779877560725462</v>
      </c>
      <c r="G504" s="2406">
        <f ca="1">Transfer!E145</f>
        <v>264.52190000000002</v>
      </c>
      <c r="H504" s="2645">
        <f ca="1">100*((Transfer!E145/Transfer!D145)-1)</f>
        <v>7.0792770379102254</v>
      </c>
      <c r="I504" s="2406">
        <f ca="1">Transfer!F145</f>
        <v>281.05980918800003</v>
      </c>
      <c r="J504" s="2645">
        <f ca="1">100*((Transfer!F145/Transfer!E145)-1)</f>
        <v>6.2520000000000131</v>
      </c>
      <c r="K504" s="2406">
        <f ca="1">Transfer!G145</f>
        <v>297.28671295352643</v>
      </c>
      <c r="L504" s="2647">
        <f ca="1">100*((Transfer!G145/Transfer!F145)-1)</f>
        <v>5.7734699999999917</v>
      </c>
      <c r="M504" s="2405"/>
      <c r="N504" s="54"/>
      <c r="O504" s="54"/>
      <c r="P504" s="54"/>
      <c r="Q504" s="54"/>
      <c r="R504" s="54"/>
      <c r="S504" s="189"/>
      <c r="T504" s="178" t="s">
        <v>1802</v>
      </c>
      <c r="U504" s="1652"/>
      <c r="V504" s="196">
        <f t="shared" ca="1" si="30"/>
        <v>0</v>
      </c>
      <c r="W504" s="196">
        <f t="shared" ca="1" si="30"/>
        <v>0</v>
      </c>
      <c r="X504" s="196">
        <f t="shared" ca="1" si="30"/>
        <v>0</v>
      </c>
      <c r="Y504" s="196">
        <f t="shared" ca="1" si="30"/>
        <v>0</v>
      </c>
      <c r="Z504" s="196">
        <f t="shared" ca="1" si="30"/>
        <v>0</v>
      </c>
      <c r="AA504" s="196">
        <f t="shared" ca="1" si="30"/>
        <v>0</v>
      </c>
      <c r="AB504" s="196">
        <f t="shared" ca="1" si="30"/>
        <v>0</v>
      </c>
      <c r="AC504" s="342">
        <f t="shared" ca="1" si="30"/>
        <v>0</v>
      </c>
      <c r="AD504" s="195"/>
      <c r="AE504" s="45"/>
      <c r="AF504" s="45"/>
      <c r="AG504" s="45"/>
      <c r="AH504" s="45"/>
      <c r="AI504" s="45"/>
      <c r="AJ504" s="189"/>
      <c r="AK504" s="178" t="s">
        <v>1802</v>
      </c>
      <c r="AL504" s="1652"/>
      <c r="AM504" s="367">
        <f>Transfer!AD145</f>
        <v>247.03370000000001</v>
      </c>
      <c r="AN504" s="509">
        <f>100*((Transfer!AD145/Transfer!AC145)-1)</f>
        <v>7.5779877560725462</v>
      </c>
      <c r="AO504" s="367">
        <f>Transfer!AE145</f>
        <v>264.52190000000002</v>
      </c>
      <c r="AP504" s="509">
        <f>100*((Transfer!AE145/Transfer!AD145)-1)</f>
        <v>7.0792770379102254</v>
      </c>
      <c r="AQ504" s="367">
        <f>Transfer!AF145</f>
        <v>281.05980918800003</v>
      </c>
      <c r="AR504" s="509">
        <f>100*((Transfer!AF145/Transfer!AE145)-1)</f>
        <v>6.2520000000000131</v>
      </c>
      <c r="AS504" s="367">
        <f>Transfer!AG145</f>
        <v>297.34343082302058</v>
      </c>
      <c r="AT504" s="510">
        <f>100*((Transfer!AG145/Transfer!AF145)-1)</f>
        <v>5.7936500000000057</v>
      </c>
      <c r="AU504" s="195"/>
      <c r="AV504" s="54"/>
      <c r="AW504" s="54"/>
      <c r="AX504" s="54"/>
      <c r="AY504" s="54"/>
      <c r="AZ504" s="54"/>
      <c r="BA504" s="1898" t="s">
        <v>291</v>
      </c>
      <c r="BB504" s="1913"/>
      <c r="BC504" s="54"/>
    </row>
    <row r="505" spans="1:55">
      <c r="A505" s="45"/>
      <c r="B505" s="1575"/>
      <c r="C505" s="2618" t="s">
        <v>786</v>
      </c>
      <c r="D505" s="2413"/>
      <c r="E505" s="2747">
        <f ca="1">(Transfer!D143-Transfer!D145)</f>
        <v>1.1313999999999851</v>
      </c>
      <c r="F505" s="2748"/>
      <c r="G505" s="2747">
        <f ca="1">(Transfer!E143-Transfer!E145)</f>
        <v>3.8841999999999643</v>
      </c>
      <c r="H505" s="2748"/>
      <c r="I505" s="2747">
        <f ca="1">(Transfer!F143-Transfer!F145)</f>
        <v>4.0999311678999675</v>
      </c>
      <c r="J505" s="2748"/>
      <c r="K505" s="2747">
        <f ca="1">(Transfer!G143-Transfer!G145)</f>
        <v>4.1945443652799668</v>
      </c>
      <c r="L505" s="2749"/>
      <c r="M505" s="2308"/>
      <c r="N505" s="54"/>
      <c r="O505" s="54"/>
      <c r="P505" s="54"/>
      <c r="Q505" s="54"/>
      <c r="R505" s="54"/>
      <c r="S505" s="189"/>
      <c r="T505" s="405" t="s">
        <v>786</v>
      </c>
      <c r="U505" s="203"/>
      <c r="V505" s="1936">
        <f t="shared" ca="1" si="30"/>
        <v>0</v>
      </c>
      <c r="W505" s="505"/>
      <c r="X505" s="1936">
        <f t="shared" ca="1" si="30"/>
        <v>0</v>
      </c>
      <c r="Y505" s="505"/>
      <c r="Z505" s="1936">
        <f t="shared" ca="1" si="30"/>
        <v>0</v>
      </c>
      <c r="AA505" s="505"/>
      <c r="AB505" s="1936">
        <f t="shared" ca="1" si="30"/>
        <v>0.10000000000000053</v>
      </c>
      <c r="AC505" s="1937"/>
      <c r="AD505" s="62"/>
      <c r="AE505" s="45"/>
      <c r="AF505" s="45"/>
      <c r="AG505" s="45"/>
      <c r="AH505" s="45"/>
      <c r="AI505" s="45"/>
      <c r="AJ505" s="189"/>
      <c r="AK505" s="405" t="s">
        <v>786</v>
      </c>
      <c r="AL505" s="203"/>
      <c r="AM505" s="1950">
        <f>(Transfer!AD143-Transfer!AD145)</f>
        <v>1.1313999999999851</v>
      </c>
      <c r="AN505" s="1670"/>
      <c r="AO505" s="1950">
        <f>(Transfer!AE143-Transfer!AE145)</f>
        <v>3.8841999999999643</v>
      </c>
      <c r="AP505" s="1670"/>
      <c r="AQ505" s="1950">
        <f>(Transfer!AF143-Transfer!AF145)</f>
        <v>4.0999311678999675</v>
      </c>
      <c r="AR505" s="1670"/>
      <c r="AS505" s="1950">
        <f>(Transfer!AG143-Transfer!AG145)</f>
        <v>4.1378264957858164</v>
      </c>
      <c r="AT505" s="1685"/>
      <c r="AU505" s="62"/>
      <c r="AV505" s="54"/>
      <c r="AW505" s="54"/>
      <c r="AX505" s="54"/>
      <c r="AY505" s="54"/>
      <c r="AZ505" s="54"/>
      <c r="BA505" s="1898" t="s">
        <v>1101</v>
      </c>
      <c r="BB505" s="54"/>
      <c r="BC505" s="54"/>
    </row>
    <row r="506" spans="1:55">
      <c r="A506" s="45"/>
      <c r="B506" s="1575"/>
      <c r="C506" s="2750" t="s">
        <v>1102</v>
      </c>
      <c r="D506" s="2671"/>
      <c r="E506" s="2747">
        <f ca="1">100*(Transfer!D143-Transfer!D145)/Transfer!D147</f>
        <v>0.26743984849014557</v>
      </c>
      <c r="F506" s="2748"/>
      <c r="G506" s="2747">
        <f ca="1">100*(Transfer!E143-Transfer!E145)/Transfer!E147</f>
        <v>0.88582358422621099</v>
      </c>
      <c r="H506" s="2748"/>
      <c r="I506" s="2747">
        <f ca="1">100*(Transfer!F143-Transfer!F145)/Transfer!F147</f>
        <v>0.90431750914309839</v>
      </c>
      <c r="J506" s="2748"/>
      <c r="K506" s="2747">
        <f ca="1">100*(Transfer!G143-Transfer!G145)/Transfer!G147</f>
        <v>0.89428101366435808</v>
      </c>
      <c r="L506" s="2751"/>
      <c r="M506" s="2752"/>
      <c r="N506" s="54"/>
      <c r="O506" s="54"/>
      <c r="P506" s="54"/>
      <c r="Q506" s="54"/>
      <c r="R506" s="54"/>
      <c r="S506" s="189"/>
      <c r="T506" s="507" t="s">
        <v>1102</v>
      </c>
      <c r="U506" s="525"/>
      <c r="V506" s="1936">
        <f t="shared" ca="1" si="30"/>
        <v>0</v>
      </c>
      <c r="W506" s="505"/>
      <c r="X506" s="1936">
        <f t="shared" ca="1" si="30"/>
        <v>0</v>
      </c>
      <c r="Y506" s="505"/>
      <c r="Z506" s="1936">
        <f t="shared" ca="1" si="30"/>
        <v>0</v>
      </c>
      <c r="AA506" s="505"/>
      <c r="AB506" s="1936">
        <f t="shared" ca="1" si="30"/>
        <v>0</v>
      </c>
      <c r="AC506" s="1938"/>
      <c r="AD506" s="508"/>
      <c r="AE506" s="45"/>
      <c r="AF506" s="45"/>
      <c r="AG506" s="45"/>
      <c r="AH506" s="45"/>
      <c r="AI506" s="45"/>
      <c r="AJ506" s="189"/>
      <c r="AK506" s="507" t="s">
        <v>1102</v>
      </c>
      <c r="AL506" s="525"/>
      <c r="AM506" s="1950">
        <f>100*(Transfer!AD143-Transfer!AD145)/Transfer!AD147</f>
        <v>0.26743984849014557</v>
      </c>
      <c r="AN506" s="1670"/>
      <c r="AO506" s="1950">
        <f>100*(Transfer!AE143-Transfer!AE145)/Transfer!AE147</f>
        <v>0.88582358422621099</v>
      </c>
      <c r="AP506" s="1670"/>
      <c r="AQ506" s="1950">
        <f>100*(Transfer!AF143-Transfer!AF145)/Transfer!AF147</f>
        <v>0.90431750914309839</v>
      </c>
      <c r="AR506" s="1670"/>
      <c r="AS506" s="1950">
        <f>100*(Transfer!AG143-Transfer!AG145)/Transfer!AG147</f>
        <v>0.88208830464437282</v>
      </c>
      <c r="AT506" s="1951"/>
      <c r="AU506" s="508"/>
      <c r="AV506" s="54"/>
      <c r="AW506" s="54"/>
      <c r="AX506" s="54"/>
      <c r="AY506" s="54"/>
      <c r="AZ506" s="54"/>
      <c r="BA506" s="1898" t="s">
        <v>292</v>
      </c>
      <c r="BB506" s="54"/>
      <c r="BC506" s="54"/>
    </row>
    <row r="507" spans="1:55">
      <c r="A507" s="45"/>
      <c r="B507" s="1575"/>
      <c r="C507" s="2506" t="s">
        <v>1504</v>
      </c>
      <c r="D507" s="2753"/>
      <c r="E507" s="2403">
        <f ca="1">Transfer!D144</f>
        <v>102.3943</v>
      </c>
      <c r="F507" s="2744">
        <f ca="1">100*((Transfer!D144/Transfer!C144)-1)</f>
        <v>0.81155853106233966</v>
      </c>
      <c r="G507" s="2403">
        <f ca="1">Transfer!E144</f>
        <v>102.97969999999999</v>
      </c>
      <c r="H507" s="2744">
        <f ca="1">100*((Transfer!E144/Transfer!D144)-1)</f>
        <v>0.57171151128529996</v>
      </c>
      <c r="I507" s="2403">
        <f ca="1">Transfer!F144</f>
        <v>108.585914868</v>
      </c>
      <c r="J507" s="2744">
        <f ca="1">100*((Transfer!F144/Transfer!E144)-1)</f>
        <v>5.4440000000000044</v>
      </c>
      <c r="K507" s="2403">
        <f ca="1">Transfer!G144</f>
        <v>114.73057461855039</v>
      </c>
      <c r="L507" s="2745">
        <f ca="1">100*((Transfer!G144/Transfer!F144)-1)</f>
        <v>5.6588000000000083</v>
      </c>
      <c r="M507" s="2405"/>
      <c r="N507" s="54"/>
      <c r="O507" s="54"/>
      <c r="P507" s="54"/>
      <c r="Q507" s="54"/>
      <c r="R507" s="54"/>
      <c r="S507" s="189"/>
      <c r="T507" s="165" t="s">
        <v>1504</v>
      </c>
      <c r="U507" s="1653"/>
      <c r="V507" s="194">
        <f t="shared" ca="1" si="30"/>
        <v>0</v>
      </c>
      <c r="W507" s="194">
        <f t="shared" ca="1" si="30"/>
        <v>0</v>
      </c>
      <c r="X507" s="194">
        <f t="shared" ca="1" si="30"/>
        <v>0</v>
      </c>
      <c r="Y507" s="194">
        <f t="shared" ca="1" si="30"/>
        <v>0</v>
      </c>
      <c r="Z507" s="194">
        <f t="shared" ca="1" si="30"/>
        <v>0</v>
      </c>
      <c r="AA507" s="194">
        <f t="shared" ca="1" si="30"/>
        <v>0</v>
      </c>
      <c r="AB507" s="194">
        <f t="shared" ca="1" si="30"/>
        <v>-9.9999999999994316E-2</v>
      </c>
      <c r="AC507" s="366">
        <f t="shared" ca="1" si="30"/>
        <v>-9.9999999999999645E-2</v>
      </c>
      <c r="AD507" s="195"/>
      <c r="AE507" s="45"/>
      <c r="AF507" s="45"/>
      <c r="AG507" s="45"/>
      <c r="AH507" s="45"/>
      <c r="AI507" s="45"/>
      <c r="AJ507" s="189"/>
      <c r="AK507" s="165" t="s">
        <v>1504</v>
      </c>
      <c r="AL507" s="1653"/>
      <c r="AM507" s="375">
        <f>Transfer!AD144</f>
        <v>102.3943</v>
      </c>
      <c r="AN507" s="1679">
        <f>100*((Transfer!AD144/Transfer!AC144)-1)</f>
        <v>0.81155853106233966</v>
      </c>
      <c r="AO507" s="375">
        <f>Transfer!AE144</f>
        <v>102.97969999999999</v>
      </c>
      <c r="AP507" s="1679">
        <f>100*((Transfer!AE144/Transfer!AD144)-1)</f>
        <v>0.57171151128529996</v>
      </c>
      <c r="AQ507" s="375">
        <f>Transfer!AF144</f>
        <v>108.585914868</v>
      </c>
      <c r="AR507" s="1679">
        <f>100*((Transfer!AF144/Transfer!AE144)-1)</f>
        <v>5.4440000000000044</v>
      </c>
      <c r="AS507" s="375">
        <f>Transfer!AG144</f>
        <v>114.84068073622653</v>
      </c>
      <c r="AT507" s="1686">
        <f>100*((Transfer!AG144/Transfer!AF144)-1)</f>
        <v>5.7601999999999931</v>
      </c>
      <c r="AU507" s="195"/>
      <c r="AV507" s="54"/>
      <c r="AW507" s="54"/>
      <c r="AX507" s="54"/>
      <c r="AY507" s="54"/>
      <c r="AZ507" s="54"/>
      <c r="BA507" s="1898" t="s">
        <v>1171</v>
      </c>
      <c r="BB507" s="54"/>
      <c r="BC507" s="54"/>
    </row>
    <row r="508" spans="1:55">
      <c r="A508" s="45"/>
      <c r="B508" s="1575"/>
      <c r="C508" s="2333" t="s">
        <v>1286</v>
      </c>
      <c r="D508" s="2559"/>
      <c r="E508" s="2406">
        <f>Transfer!D238</f>
        <v>-9999</v>
      </c>
      <c r="F508" s="2645"/>
      <c r="G508" s="2406">
        <f>Transfer!E238</f>
        <v>-9999</v>
      </c>
      <c r="H508" s="2354"/>
      <c r="I508" s="2406">
        <f>Transfer!F238</f>
        <v>-9999</v>
      </c>
      <c r="J508" s="2354"/>
      <c r="K508" s="2406">
        <f>Transfer!G238</f>
        <v>-9999</v>
      </c>
      <c r="L508" s="2687"/>
      <c r="M508" s="2350"/>
      <c r="N508" s="54"/>
      <c r="O508" s="54"/>
      <c r="P508" s="54"/>
      <c r="Q508" s="54"/>
      <c r="R508" s="54"/>
      <c r="S508" s="189"/>
      <c r="T508" s="86" t="s">
        <v>1286</v>
      </c>
      <c r="U508" s="344"/>
      <c r="V508" s="196">
        <f t="shared" si="30"/>
        <v>0</v>
      </c>
      <c r="W508" s="196">
        <f t="shared" si="30"/>
        <v>0</v>
      </c>
      <c r="X508" s="196">
        <f t="shared" si="30"/>
        <v>0</v>
      </c>
      <c r="Y508" s="196">
        <f t="shared" si="30"/>
        <v>0</v>
      </c>
      <c r="Z508" s="196">
        <f t="shared" si="30"/>
        <v>0</v>
      </c>
      <c r="AA508" s="196">
        <f t="shared" si="30"/>
        <v>0</v>
      </c>
      <c r="AB508" s="196">
        <f t="shared" si="30"/>
        <v>0</v>
      </c>
      <c r="AC508" s="342">
        <f t="shared" si="30"/>
        <v>0</v>
      </c>
      <c r="AD508" s="369"/>
      <c r="AE508" s="45"/>
      <c r="AF508" s="45"/>
      <c r="AG508" s="45"/>
      <c r="AH508" s="45"/>
      <c r="AI508" s="45"/>
      <c r="AJ508" s="189"/>
      <c r="AK508" s="86" t="s">
        <v>1286</v>
      </c>
      <c r="AL508" s="344"/>
      <c r="AM508" s="367">
        <f>Transfer!AD238</f>
        <v>-9999</v>
      </c>
      <c r="AN508" s="509">
        <f>100*((Transfer!AD238/Transfer!AC238)-1)</f>
        <v>0</v>
      </c>
      <c r="AO508" s="367">
        <f>Transfer!AE238</f>
        <v>-9999</v>
      </c>
      <c r="AP508" s="509">
        <f>100*((Transfer!AE238/Transfer!AD238)-1)</f>
        <v>0</v>
      </c>
      <c r="AQ508" s="367">
        <f>Transfer!AF238</f>
        <v>-9999</v>
      </c>
      <c r="AR508" s="509">
        <f>100*((Transfer!AF238/Transfer!AE238)-1)</f>
        <v>0</v>
      </c>
      <c r="AS508" s="367">
        <f>Transfer!AG238</f>
        <v>-9999</v>
      </c>
      <c r="AT508" s="510">
        <f>100*((Transfer!AG238/Transfer!AF238)-1)</f>
        <v>0</v>
      </c>
      <c r="AU508" s="369"/>
      <c r="AV508" s="54"/>
      <c r="AW508" s="54"/>
      <c r="AX508" s="54"/>
      <c r="AY508" s="54"/>
      <c r="AZ508" s="54"/>
      <c r="BA508" s="1898" t="s">
        <v>293</v>
      </c>
      <c r="BB508" s="54"/>
      <c r="BC508" s="54"/>
    </row>
    <row r="509" spans="1:55">
      <c r="A509" s="45"/>
      <c r="B509" s="1575"/>
      <c r="C509" s="2421" t="s">
        <v>1672</v>
      </c>
      <c r="D509" s="2746"/>
      <c r="E509" s="2406">
        <f ca="1">Transfer!D146</f>
        <v>97.900499999999994</v>
      </c>
      <c r="F509" s="2645">
        <f ca="1">100*((Transfer!D146/Transfer!C146)-1)</f>
        <v>1.681105171376962</v>
      </c>
      <c r="G509" s="2406">
        <f ca="1">Transfer!E146</f>
        <v>101.17610000000001</v>
      </c>
      <c r="H509" s="2354">
        <f ca="1">100*((Transfer!E146/Transfer!D146)-1)</f>
        <v>3.3458460375585641</v>
      </c>
      <c r="I509" s="2406">
        <f ca="1">Transfer!F146</f>
        <v>106.93959653650001</v>
      </c>
      <c r="J509" s="2354">
        <f ca="1">100*((Transfer!F146/Transfer!E146)-1)</f>
        <v>5.6964999999999932</v>
      </c>
      <c r="K509" s="2406">
        <f ca="1">Transfer!G146</f>
        <v>111.84047783637298</v>
      </c>
      <c r="L509" s="2687">
        <f ca="1">100*((Transfer!G146/Transfer!F146)-1)</f>
        <v>4.5828499999999828</v>
      </c>
      <c r="M509" s="2328"/>
      <c r="N509" s="54"/>
      <c r="O509" s="54"/>
      <c r="P509" s="54"/>
      <c r="Q509" s="54"/>
      <c r="R509" s="54"/>
      <c r="S509" s="189"/>
      <c r="T509" s="178" t="s">
        <v>1672</v>
      </c>
      <c r="U509" s="1652"/>
      <c r="V509" s="341">
        <f t="shared" ca="1" si="30"/>
        <v>0</v>
      </c>
      <c r="W509" s="196">
        <f t="shared" ca="1" si="30"/>
        <v>0</v>
      </c>
      <c r="X509" s="196">
        <f t="shared" ca="1" si="30"/>
        <v>0</v>
      </c>
      <c r="Y509" s="196">
        <f t="shared" ca="1" si="30"/>
        <v>0</v>
      </c>
      <c r="Z509" s="196">
        <f t="shared" ca="1" si="30"/>
        <v>0</v>
      </c>
      <c r="AA509" s="196">
        <f t="shared" ca="1" si="30"/>
        <v>0</v>
      </c>
      <c r="AB509" s="341">
        <f t="shared" ca="1" si="30"/>
        <v>0</v>
      </c>
      <c r="AC509" s="342">
        <f t="shared" ca="1" si="30"/>
        <v>0</v>
      </c>
      <c r="AD509" s="372"/>
      <c r="AE509" s="45"/>
      <c r="AF509" s="45"/>
      <c r="AG509" s="45"/>
      <c r="AH509" s="45"/>
      <c r="AI509" s="45"/>
      <c r="AJ509" s="189"/>
      <c r="AK509" s="178" t="s">
        <v>1672</v>
      </c>
      <c r="AL509" s="1652"/>
      <c r="AM509" s="367">
        <f>Transfer!AD146</f>
        <v>97.900499999999994</v>
      </c>
      <c r="AN509" s="509">
        <f>100*((Transfer!AD146/Transfer!AC146)-1)</f>
        <v>1.681105171376962</v>
      </c>
      <c r="AO509" s="367">
        <f>Transfer!AE146</f>
        <v>101.17610000000001</v>
      </c>
      <c r="AP509" s="509">
        <f>100*((Transfer!AE146/Transfer!AD146)-1)</f>
        <v>3.3458460375585641</v>
      </c>
      <c r="AQ509" s="367">
        <f>Transfer!AF146</f>
        <v>106.93959653650001</v>
      </c>
      <c r="AR509" s="509">
        <f>100*((Transfer!AF146/Transfer!AE146)-1)</f>
        <v>5.6964999999999932</v>
      </c>
      <c r="AS509" s="367">
        <f>Transfer!AG146</f>
        <v>111.84047783637298</v>
      </c>
      <c r="AT509" s="510">
        <f>100*((Transfer!AG146/Transfer!AF146)-1)</f>
        <v>4.5828499999999828</v>
      </c>
      <c r="AU509" s="372"/>
      <c r="AV509" s="54"/>
      <c r="AW509" s="54"/>
      <c r="AX509" s="54"/>
      <c r="AY509" s="54"/>
      <c r="AZ509" s="54"/>
      <c r="BA509" s="1898" t="s">
        <v>1218</v>
      </c>
      <c r="BB509" s="54"/>
      <c r="BC509" s="54"/>
    </row>
    <row r="510" spans="1:55">
      <c r="A510" s="45"/>
      <c r="B510" s="1575"/>
      <c r="C510" s="2333" t="s">
        <v>1847</v>
      </c>
      <c r="D510" s="2559"/>
      <c r="E510" s="2406">
        <f>Transfer!D239</f>
        <v>-9999</v>
      </c>
      <c r="F510" s="2645"/>
      <c r="G510" s="2406">
        <f>Transfer!E239</f>
        <v>-9999</v>
      </c>
      <c r="H510" s="2354"/>
      <c r="I510" s="2406">
        <f>Transfer!F239</f>
        <v>-9999</v>
      </c>
      <c r="J510" s="2354"/>
      <c r="K510" s="2406">
        <f>Transfer!G239</f>
        <v>-9999</v>
      </c>
      <c r="L510" s="2687"/>
      <c r="M510" s="2350"/>
      <c r="N510" s="54"/>
      <c r="O510" s="54"/>
      <c r="P510" s="54"/>
      <c r="Q510" s="54"/>
      <c r="R510" s="54"/>
      <c r="S510" s="189"/>
      <c r="T510" s="86" t="s">
        <v>1847</v>
      </c>
      <c r="U510" s="344"/>
      <c r="V510" s="341">
        <f t="shared" si="30"/>
        <v>0</v>
      </c>
      <c r="W510" s="196">
        <f t="shared" si="30"/>
        <v>0</v>
      </c>
      <c r="X510" s="196">
        <f t="shared" si="30"/>
        <v>0</v>
      </c>
      <c r="Y510" s="196">
        <f t="shared" si="30"/>
        <v>0</v>
      </c>
      <c r="Z510" s="196">
        <f t="shared" si="30"/>
        <v>0</v>
      </c>
      <c r="AA510" s="196">
        <f t="shared" si="30"/>
        <v>0</v>
      </c>
      <c r="AB510" s="196">
        <f t="shared" si="30"/>
        <v>0</v>
      </c>
      <c r="AC510" s="476">
        <f t="shared" si="30"/>
        <v>0</v>
      </c>
      <c r="AD510" s="369"/>
      <c r="AE510" s="45"/>
      <c r="AF510" s="45"/>
      <c r="AG510" s="45"/>
      <c r="AH510" s="45"/>
      <c r="AI510" s="45"/>
      <c r="AJ510" s="189"/>
      <c r="AK510" s="86" t="s">
        <v>1847</v>
      </c>
      <c r="AL510" s="344"/>
      <c r="AM510" s="367">
        <f>Transfer!AD239</f>
        <v>-9999</v>
      </c>
      <c r="AN510" s="509">
        <f>100*((Transfer!AD239/Transfer!AC239)-1)</f>
        <v>0</v>
      </c>
      <c r="AO510" s="367">
        <f>Transfer!AE239</f>
        <v>-9999</v>
      </c>
      <c r="AP510" s="509">
        <f>100*((Transfer!AE239/Transfer!AD239)-1)</f>
        <v>0</v>
      </c>
      <c r="AQ510" s="367">
        <f>Transfer!AF239</f>
        <v>-9999</v>
      </c>
      <c r="AR510" s="509">
        <f>100*((Transfer!AF239/Transfer!AE239)-1)</f>
        <v>0</v>
      </c>
      <c r="AS510" s="367">
        <f>Transfer!AG239</f>
        <v>-9999</v>
      </c>
      <c r="AT510" s="510">
        <f>100*((Transfer!AG239/Transfer!AF239)-1)</f>
        <v>0</v>
      </c>
      <c r="AU510" s="369"/>
      <c r="AV510" s="54"/>
      <c r="AW510" s="54"/>
      <c r="AX510" s="54"/>
      <c r="AY510" s="54"/>
      <c r="AZ510" s="54"/>
      <c r="BA510" s="1898" t="s">
        <v>294</v>
      </c>
      <c r="BB510" s="54"/>
      <c r="BC510" s="54"/>
    </row>
    <row r="511" spans="1:55">
      <c r="A511" s="45"/>
      <c r="B511" s="1575"/>
      <c r="C511" s="2618" t="s">
        <v>458</v>
      </c>
      <c r="D511" s="2413"/>
      <c r="E511" s="2747">
        <f ca="1">(Transfer!D144-Transfer!D146)</f>
        <v>4.4938000000000073</v>
      </c>
      <c r="F511" s="2748"/>
      <c r="G511" s="2747">
        <f ca="1">(Transfer!E144-Transfer!E146)</f>
        <v>1.8035999999999888</v>
      </c>
      <c r="H511" s="2754"/>
      <c r="I511" s="2747">
        <f ca="1">(Transfer!F144-Transfer!F146)</f>
        <v>1.6463183314999981</v>
      </c>
      <c r="J511" s="2754"/>
      <c r="K511" s="2747">
        <f ca="1">(Transfer!G144-Transfer!G146)</f>
        <v>2.8900967821774088</v>
      </c>
      <c r="L511" s="2755"/>
      <c r="M511" s="2599"/>
      <c r="N511" s="54"/>
      <c r="O511" s="54"/>
      <c r="P511" s="54"/>
      <c r="Q511" s="54"/>
      <c r="R511" s="54"/>
      <c r="S511" s="189"/>
      <c r="T511" s="405" t="s">
        <v>458</v>
      </c>
      <c r="U511" s="203"/>
      <c r="V511" s="523">
        <f t="shared" ca="1" si="30"/>
        <v>0</v>
      </c>
      <c r="W511" s="505"/>
      <c r="X511" s="1936">
        <f t="shared" ca="1" si="30"/>
        <v>0</v>
      </c>
      <c r="Y511" s="1659"/>
      <c r="Z511" s="1936">
        <f t="shared" ca="1" si="30"/>
        <v>0</v>
      </c>
      <c r="AA511" s="1659"/>
      <c r="AB511" s="1936">
        <f t="shared" ca="1" si="30"/>
        <v>-0.10000000000000009</v>
      </c>
      <c r="AC511" s="1660"/>
      <c r="AD511" s="386"/>
      <c r="AE511" s="45"/>
      <c r="AF511" s="45"/>
      <c r="AG511" s="45"/>
      <c r="AH511" s="45"/>
      <c r="AI511" s="45"/>
      <c r="AJ511" s="189"/>
      <c r="AK511" s="405" t="s">
        <v>458</v>
      </c>
      <c r="AL511" s="203"/>
      <c r="AM511" s="1950">
        <f>(Transfer!AD144-Transfer!AD146)</f>
        <v>4.4938000000000073</v>
      </c>
      <c r="AN511" s="1670"/>
      <c r="AO511" s="1950">
        <f>(Transfer!AE144-Transfer!AE146)</f>
        <v>1.8035999999999888</v>
      </c>
      <c r="AP511" s="1952"/>
      <c r="AQ511" s="1950">
        <f>(Transfer!AF144-Transfer!AF146)</f>
        <v>1.6463183314999981</v>
      </c>
      <c r="AR511" s="1952"/>
      <c r="AS511" s="1950">
        <f>(Transfer!AG144-Transfer!AG146)</f>
        <v>3.0002028998535479</v>
      </c>
      <c r="AT511" s="1953"/>
      <c r="AU511" s="386"/>
      <c r="AV511" s="54"/>
      <c r="AW511" s="54"/>
      <c r="AX511" s="54"/>
      <c r="AY511" s="54"/>
      <c r="AZ511" s="54"/>
      <c r="BA511" s="1898" t="s">
        <v>603</v>
      </c>
      <c r="BB511" s="54"/>
      <c r="BC511" s="54"/>
    </row>
    <row r="512" spans="1:55">
      <c r="A512" s="45"/>
      <c r="B512" s="1575"/>
      <c r="C512" s="2666" t="s">
        <v>833</v>
      </c>
      <c r="D512" s="2667"/>
      <c r="E512" s="2756">
        <f ca="1">100*(Transfer!D144-Transfer!D146)/Transfer!D147</f>
        <v>1.0622425235504984</v>
      </c>
      <c r="F512" s="2757"/>
      <c r="G512" s="2756">
        <f ca="1">100*(Transfer!E144-Transfer!E146)/Transfer!E147</f>
        <v>0.41132573413068296</v>
      </c>
      <c r="H512" s="2758"/>
      <c r="I512" s="2756">
        <f ca="1">100*(Transfer!F144-Transfer!F146)/Transfer!F147</f>
        <v>0.36312670428593513</v>
      </c>
      <c r="J512" s="2758"/>
      <c r="K512" s="2756">
        <f ca="1">100*(Transfer!G144-Transfer!G146)/Transfer!G147</f>
        <v>0.61617149680122774</v>
      </c>
      <c r="L512" s="2759"/>
      <c r="M512" s="2760"/>
      <c r="N512" s="54"/>
      <c r="O512" s="54"/>
      <c r="P512" s="54"/>
      <c r="Q512" s="54"/>
      <c r="R512" s="54"/>
      <c r="S512" s="189"/>
      <c r="T512" s="513" t="s">
        <v>833</v>
      </c>
      <c r="U512" s="1654"/>
      <c r="V512" s="1936">
        <f t="shared" ca="1" si="30"/>
        <v>0</v>
      </c>
      <c r="W512" s="511"/>
      <c r="X512" s="1936">
        <f t="shared" ca="1" si="30"/>
        <v>0</v>
      </c>
      <c r="Y512" s="512"/>
      <c r="Z512" s="1936">
        <f t="shared" ca="1" si="30"/>
        <v>0</v>
      </c>
      <c r="AA512" s="512"/>
      <c r="AB512" s="202">
        <f t="shared" ca="1" si="30"/>
        <v>0</v>
      </c>
      <c r="AC512" s="514"/>
      <c r="AD512" s="515"/>
      <c r="AE512" s="45"/>
      <c r="AF512" s="45"/>
      <c r="AG512" s="45"/>
      <c r="AH512" s="45"/>
      <c r="AI512" s="45"/>
      <c r="AJ512" s="189"/>
      <c r="AK512" s="513" t="s">
        <v>833</v>
      </c>
      <c r="AL512" s="1654"/>
      <c r="AM512" s="1954">
        <f>100*(Transfer!AD144-Transfer!AD146)/Transfer!AD147</f>
        <v>1.0622425235504984</v>
      </c>
      <c r="AN512" s="1955"/>
      <c r="AO512" s="1954">
        <f>100*(Transfer!AE144-Transfer!AE146)/Transfer!AE147</f>
        <v>0.41132573413068296</v>
      </c>
      <c r="AP512" s="1956"/>
      <c r="AQ512" s="1954">
        <f>100*(Transfer!AF144-Transfer!AF146)/Transfer!AF147</f>
        <v>0.36312670428593513</v>
      </c>
      <c r="AR512" s="1956"/>
      <c r="AS512" s="1954">
        <f>100*(Transfer!AG144-Transfer!AG146)/Transfer!AG147</f>
        <v>0.63957343117605991</v>
      </c>
      <c r="AT512" s="1957"/>
      <c r="AU512" s="515"/>
      <c r="AV512" s="54"/>
      <c r="AW512" s="54"/>
      <c r="AX512" s="54"/>
      <c r="AY512" s="54"/>
      <c r="AZ512" s="54"/>
      <c r="BA512" s="1898" t="s">
        <v>295</v>
      </c>
      <c r="BB512" s="54"/>
      <c r="BC512" s="54"/>
    </row>
    <row r="513" spans="1:55">
      <c r="A513" s="45"/>
      <c r="B513" s="1575"/>
      <c r="C513" s="2641" t="s">
        <v>1616</v>
      </c>
      <c r="D513" s="2305"/>
      <c r="E513" s="2761">
        <f ca="1">(Transfer!D143-Transfer!D145)+(Transfer!D144-Transfer!D146)</f>
        <v>5.6251999999999924</v>
      </c>
      <c r="F513" s="2762"/>
      <c r="G513" s="2761">
        <f ca="1">(Transfer!E143-Transfer!E145)+(Transfer!E144-Transfer!E146)</f>
        <v>5.6877999999999531</v>
      </c>
      <c r="H513" s="2762"/>
      <c r="I513" s="2761">
        <f ca="1">(Transfer!F143-Transfer!F145)+(Transfer!F144-Transfer!F146)</f>
        <v>5.7462494993999655</v>
      </c>
      <c r="J513" s="2762"/>
      <c r="K513" s="2761">
        <f ca="1">(Transfer!G143-Transfer!G145)+(Transfer!G144-Transfer!G146)</f>
        <v>7.0846411474573756</v>
      </c>
      <c r="L513" s="2763"/>
      <c r="M513" s="2308"/>
      <c r="N513" s="54"/>
      <c r="O513" s="54"/>
      <c r="P513" s="54"/>
      <c r="Q513" s="54"/>
      <c r="R513" s="54"/>
      <c r="S513" s="189"/>
      <c r="T513" s="434" t="s">
        <v>1616</v>
      </c>
      <c r="U513" s="59"/>
      <c r="V513" s="360">
        <f t="shared" ca="1" si="30"/>
        <v>0</v>
      </c>
      <c r="W513" s="516"/>
      <c r="X513" s="360">
        <f t="shared" ca="1" si="30"/>
        <v>0</v>
      </c>
      <c r="Y513" s="516"/>
      <c r="Z513" s="360">
        <f t="shared" ca="1" si="30"/>
        <v>0</v>
      </c>
      <c r="AA513" s="516"/>
      <c r="AB513" s="360">
        <f t="shared" ca="1" si="30"/>
        <v>0</v>
      </c>
      <c r="AC513" s="517"/>
      <c r="AD513" s="62"/>
      <c r="AE513" s="45"/>
      <c r="AF513" s="45"/>
      <c r="AG513" s="45"/>
      <c r="AH513" s="45"/>
      <c r="AI513" s="45"/>
      <c r="AJ513" s="189"/>
      <c r="AK513" s="434" t="s">
        <v>1616</v>
      </c>
      <c r="AL513" s="59"/>
      <c r="AM513" s="1958">
        <f>(Transfer!AD143-Transfer!AD145)+(Transfer!AD144-Transfer!AD146)</f>
        <v>5.6251999999999924</v>
      </c>
      <c r="AN513" s="1959"/>
      <c r="AO513" s="1958">
        <f>(Transfer!AE143-Transfer!AE145)+(Transfer!AE144-Transfer!AE146)</f>
        <v>5.6877999999999531</v>
      </c>
      <c r="AP513" s="1959"/>
      <c r="AQ513" s="1958">
        <f>(Transfer!AF143-Transfer!AF145)+(Transfer!AF144-Transfer!AF146)</f>
        <v>5.7462494993999655</v>
      </c>
      <c r="AR513" s="1959"/>
      <c r="AS513" s="1958">
        <f>(Transfer!AG143-Transfer!AG145)+(Transfer!AG144-Transfer!AG146)</f>
        <v>7.1380293956393643</v>
      </c>
      <c r="AT513" s="1960"/>
      <c r="AU513" s="62"/>
      <c r="AV513" s="54"/>
      <c r="AW513" s="54"/>
      <c r="AX513" s="54"/>
      <c r="AY513" s="54"/>
      <c r="AZ513" s="54"/>
      <c r="BA513" s="1898" t="s">
        <v>1153</v>
      </c>
      <c r="BB513" s="54"/>
      <c r="BC513" s="54"/>
    </row>
    <row r="514" spans="1:55">
      <c r="A514" s="45"/>
      <c r="B514" s="1575"/>
      <c r="C514" s="2666" t="s">
        <v>834</v>
      </c>
      <c r="D514" s="2667"/>
      <c r="E514" s="2756">
        <f ca="1">100*((Transfer!D143-Transfer!D145)+(Transfer!D144-Transfer!D146))/Transfer!D147</f>
        <v>1.3296823720406443</v>
      </c>
      <c r="F514" s="2757"/>
      <c r="G514" s="2756">
        <f ca="1">100*((Transfer!E143-Transfer!E145)+(Transfer!E144-Transfer!E146))/Transfer!E147</f>
        <v>1.2971493183568941</v>
      </c>
      <c r="H514" s="2758"/>
      <c r="I514" s="2756">
        <f ca="1">100*((Transfer!F143-Transfer!F145)+(Transfer!F144-Transfer!F146))/Transfer!F147</f>
        <v>1.2674442134290336</v>
      </c>
      <c r="J514" s="2758"/>
      <c r="K514" s="2756">
        <f ca="1">100*((Transfer!G143-Transfer!G145)+(Transfer!G144-Transfer!G146))/Transfer!G147</f>
        <v>1.5104525104655859</v>
      </c>
      <c r="L514" s="2759"/>
      <c r="M514" s="2760"/>
      <c r="N514" s="54"/>
      <c r="O514" s="54"/>
      <c r="P514" s="54"/>
      <c r="Q514" s="54"/>
      <c r="R514" s="54"/>
      <c r="S514" s="189"/>
      <c r="T514" s="513" t="s">
        <v>834</v>
      </c>
      <c r="U514" s="1654"/>
      <c r="V514" s="1936">
        <f t="shared" ca="1" si="30"/>
        <v>0</v>
      </c>
      <c r="W514" s="511"/>
      <c r="X514" s="202">
        <f t="shared" ca="1" si="30"/>
        <v>0</v>
      </c>
      <c r="Y514" s="512"/>
      <c r="Z514" s="202">
        <f t="shared" ca="1" si="30"/>
        <v>0</v>
      </c>
      <c r="AA514" s="512"/>
      <c r="AB514" s="202">
        <f t="shared" ca="1" si="30"/>
        <v>0</v>
      </c>
      <c r="AC514" s="514"/>
      <c r="AD514" s="515"/>
      <c r="AE514" s="45"/>
      <c r="AF514" s="45"/>
      <c r="AG514" s="45"/>
      <c r="AH514" s="45"/>
      <c r="AI514" s="45"/>
      <c r="AJ514" s="189"/>
      <c r="AK514" s="513" t="s">
        <v>834</v>
      </c>
      <c r="AL514" s="1654"/>
      <c r="AM514" s="1954">
        <f>100*((Transfer!AD143-Transfer!AD145)+(Transfer!AD144-Transfer!AD146))/Transfer!AD147</f>
        <v>1.3296823720406443</v>
      </c>
      <c r="AN514" s="1955"/>
      <c r="AO514" s="1954">
        <f>100*((Transfer!AE143-Transfer!AE145)+(Transfer!AE144-Transfer!AE146))/Transfer!AE147</f>
        <v>1.2971493183568941</v>
      </c>
      <c r="AP514" s="1956"/>
      <c r="AQ514" s="1954">
        <f>100*((Transfer!AF143-Transfer!AF145)+(Transfer!AF144-Transfer!AF146))/Transfer!AF147</f>
        <v>1.2674442134290336</v>
      </c>
      <c r="AR514" s="1956"/>
      <c r="AS514" s="1954">
        <f>100*((Transfer!AG143-Transfer!AG145)+(Transfer!AG144-Transfer!AG146))/Transfer!AG147</f>
        <v>1.5216617358204327</v>
      </c>
      <c r="AT514" s="1957"/>
      <c r="AU514" s="515"/>
      <c r="AV514" s="54"/>
      <c r="AW514" s="54"/>
      <c r="AX514" s="54"/>
      <c r="AY514" s="54"/>
      <c r="AZ514" s="54"/>
      <c r="BA514" s="1898" t="s">
        <v>304</v>
      </c>
      <c r="BB514" s="54"/>
      <c r="BC514" s="54"/>
    </row>
    <row r="515" spans="1:55">
      <c r="A515" s="45"/>
      <c r="B515" s="1575"/>
      <c r="C515" s="2536" t="s">
        <v>1539</v>
      </c>
      <c r="D515" s="2764"/>
      <c r="E515" s="2765">
        <f ca="1">SUM(Transfer!D240,Transfer!D241)</f>
        <v>-5.2171999999999965</v>
      </c>
      <c r="F515" s="2766"/>
      <c r="G515" s="2765">
        <f ca="1">SUM(Transfer!E240,Transfer!E241)</f>
        <v>-2.8859139922507859</v>
      </c>
      <c r="H515" s="2766"/>
      <c r="I515" s="2765">
        <f ca="1">SUM(Transfer!F240,Transfer!F241)</f>
        <v>-3.4235531229434066</v>
      </c>
      <c r="J515" s="2766"/>
      <c r="K515" s="2765">
        <f ca="1">SUM(Transfer!G240,Transfer!G241)</f>
        <v>-4.054804838854384</v>
      </c>
      <c r="L515" s="2767"/>
      <c r="M515" s="2501"/>
      <c r="N515" s="54"/>
      <c r="O515" s="54"/>
      <c r="P515" s="54"/>
      <c r="Q515" s="54"/>
      <c r="R515" s="54"/>
      <c r="S515" s="189"/>
      <c r="T515" s="353" t="s">
        <v>1539</v>
      </c>
      <c r="U515" s="1655"/>
      <c r="V515" s="194">
        <f t="shared" ca="1" si="30"/>
        <v>0</v>
      </c>
      <c r="W515" s="518"/>
      <c r="X515" s="194">
        <f t="shared" ca="1" si="30"/>
        <v>0</v>
      </c>
      <c r="Y515" s="518"/>
      <c r="Z515" s="194">
        <f t="shared" ca="1" si="30"/>
        <v>-0.19999999999999973</v>
      </c>
      <c r="AA515" s="518"/>
      <c r="AB515" s="194">
        <f t="shared" ca="1" si="30"/>
        <v>-0.59999999999999964</v>
      </c>
      <c r="AC515" s="519"/>
      <c r="AD515" s="520"/>
      <c r="AE515" s="45"/>
      <c r="AF515" s="45"/>
      <c r="AG515" s="45"/>
      <c r="AH515" s="45"/>
      <c r="AI515" s="45"/>
      <c r="AJ515" s="189"/>
      <c r="AK515" s="353" t="s">
        <v>1539</v>
      </c>
      <c r="AL515" s="1655"/>
      <c r="AM515" s="370">
        <f>SUM(Transfer!AD240,Transfer!AD241)</f>
        <v>-5.2171999999999965</v>
      </c>
      <c r="AN515" s="509"/>
      <c r="AO515" s="370">
        <f>SUM(Transfer!AE240,Transfer!AE241)</f>
        <v>-2.8859139922507859</v>
      </c>
      <c r="AP515" s="509"/>
      <c r="AQ515" s="370">
        <f>SUM(Transfer!AF240,Transfer!AF241)</f>
        <v>-3.2211211700953823</v>
      </c>
      <c r="AR515" s="509"/>
      <c r="AS515" s="370">
        <f>SUM(Transfer!AG240,Transfer!AG241)</f>
        <v>-3.4940433532474513</v>
      </c>
      <c r="AT515" s="510"/>
      <c r="AU515" s="520"/>
      <c r="AV515" s="54"/>
      <c r="AW515" s="54"/>
      <c r="AX515" s="54"/>
      <c r="AY515" s="54"/>
      <c r="AZ515" s="54"/>
      <c r="BA515" s="1898" t="s">
        <v>344</v>
      </c>
      <c r="BB515" s="54"/>
      <c r="BC515" s="54"/>
    </row>
    <row r="516" spans="1:55">
      <c r="A516" s="45"/>
      <c r="B516" s="1575"/>
      <c r="C516" s="2333" t="s">
        <v>360</v>
      </c>
      <c r="D516" s="2559"/>
      <c r="E516" s="2765">
        <f ca="1">Transfer!D240</f>
        <v>2.692900000000003</v>
      </c>
      <c r="F516" s="2766"/>
      <c r="G516" s="2765">
        <f ca="1">Transfer!E240</f>
        <v>3.6839955277492145</v>
      </c>
      <c r="H516" s="2766"/>
      <c r="I516" s="2765">
        <f ca="1">Transfer!F240</f>
        <v>4.3135151179095921</v>
      </c>
      <c r="J516" s="2766"/>
      <c r="K516" s="2765">
        <f ca="1">Transfer!G240</f>
        <v>4.3841903318123805</v>
      </c>
      <c r="L516" s="2768"/>
      <c r="M516" s="2769"/>
      <c r="N516" s="54"/>
      <c r="O516" s="54"/>
      <c r="P516" s="54"/>
      <c r="Q516" s="54"/>
      <c r="R516" s="54"/>
      <c r="S516" s="189"/>
      <c r="T516" s="86" t="s">
        <v>360</v>
      </c>
      <c r="U516" s="344"/>
      <c r="V516" s="196">
        <f t="shared" ca="1" si="30"/>
        <v>0</v>
      </c>
      <c r="W516" s="518"/>
      <c r="X516" s="196">
        <f t="shared" ca="1" si="30"/>
        <v>0</v>
      </c>
      <c r="Y516" s="518"/>
      <c r="Z516" s="196">
        <f t="shared" ca="1" si="30"/>
        <v>0</v>
      </c>
      <c r="AA516" s="518"/>
      <c r="AB516" s="196">
        <f t="shared" ca="1" si="30"/>
        <v>-9.9999999999999645E-2</v>
      </c>
      <c r="AC516" s="521"/>
      <c r="AD516" s="522"/>
      <c r="AE516" s="45"/>
      <c r="AF516" s="45"/>
      <c r="AG516" s="45"/>
      <c r="AH516" s="45"/>
      <c r="AI516" s="45"/>
      <c r="AJ516" s="189"/>
      <c r="AK516" s="86" t="s">
        <v>360</v>
      </c>
      <c r="AL516" s="344"/>
      <c r="AM516" s="370">
        <f>Transfer!AD240</f>
        <v>2.692900000000003</v>
      </c>
      <c r="AN516" s="509"/>
      <c r="AO516" s="370">
        <f>Transfer!AE240</f>
        <v>3.6839955277492145</v>
      </c>
      <c r="AP516" s="509"/>
      <c r="AQ516" s="370">
        <f>Transfer!AF240</f>
        <v>4.3490657267776198</v>
      </c>
      <c r="AR516" s="509"/>
      <c r="AS516" s="370">
        <f>Transfer!AG240</f>
        <v>4.4889842090092031</v>
      </c>
      <c r="AT516" s="1961"/>
      <c r="AU516" s="522"/>
      <c r="AV516" s="54"/>
      <c r="AW516" s="54"/>
      <c r="AX516" s="54"/>
      <c r="AY516" s="54"/>
      <c r="AZ516" s="54"/>
      <c r="BA516" s="1898" t="s">
        <v>1652</v>
      </c>
      <c r="BB516" s="54"/>
      <c r="BC516" s="54"/>
    </row>
    <row r="517" spans="1:55">
      <c r="A517" s="45"/>
      <c r="B517" s="1575"/>
      <c r="C517" s="2508" t="s">
        <v>361</v>
      </c>
      <c r="D517" s="2770"/>
      <c r="E517" s="2765">
        <f ca="1">Transfer!D241</f>
        <v>-7.910099999999999</v>
      </c>
      <c r="F517" s="2766"/>
      <c r="G517" s="2765">
        <f ca="1">Transfer!E241</f>
        <v>-6.5699095200000004</v>
      </c>
      <c r="H517" s="2766"/>
      <c r="I517" s="2765">
        <f ca="1">Transfer!F241</f>
        <v>-7.7370682408529987</v>
      </c>
      <c r="J517" s="2766"/>
      <c r="K517" s="2765">
        <f ca="1">Transfer!G241</f>
        <v>-8.4389951706667645</v>
      </c>
      <c r="L517" s="2768"/>
      <c r="M517" s="2769"/>
      <c r="N517" s="54"/>
      <c r="O517" s="54"/>
      <c r="P517" s="54"/>
      <c r="Q517" s="54"/>
      <c r="R517" s="54"/>
      <c r="S517" s="189"/>
      <c r="T517" s="319" t="s">
        <v>361</v>
      </c>
      <c r="U517" s="1656"/>
      <c r="V517" s="196">
        <f t="shared" ca="1" si="30"/>
        <v>0</v>
      </c>
      <c r="W517" s="518"/>
      <c r="X517" s="196">
        <f t="shared" ca="1" si="30"/>
        <v>0</v>
      </c>
      <c r="Y517" s="518"/>
      <c r="Z517" s="196">
        <f t="shared" ca="1" si="30"/>
        <v>-0.10000000000000053</v>
      </c>
      <c r="AA517" s="518"/>
      <c r="AB517" s="196">
        <f t="shared" ca="1" si="30"/>
        <v>-0.40000000000000036</v>
      </c>
      <c r="AC517" s="521"/>
      <c r="AD517" s="522"/>
      <c r="AE517" s="45"/>
      <c r="AF517" s="45"/>
      <c r="AG517" s="45"/>
      <c r="AH517" s="45"/>
      <c r="AI517" s="45"/>
      <c r="AJ517" s="189"/>
      <c r="AK517" s="319" t="s">
        <v>361</v>
      </c>
      <c r="AL517" s="1656"/>
      <c r="AM517" s="370">
        <f>Transfer!AD241</f>
        <v>-7.910099999999999</v>
      </c>
      <c r="AN517" s="509"/>
      <c r="AO517" s="370">
        <f>Transfer!AE241</f>
        <v>-6.5699095200000004</v>
      </c>
      <c r="AP517" s="509"/>
      <c r="AQ517" s="370">
        <f>Transfer!AF241</f>
        <v>-7.5701868968730022</v>
      </c>
      <c r="AR517" s="509"/>
      <c r="AS517" s="370">
        <f>Transfer!AG241</f>
        <v>-7.9830275622566544</v>
      </c>
      <c r="AT517" s="1961"/>
      <c r="AU517" s="522"/>
      <c r="AV517" s="54"/>
      <c r="AW517" s="54"/>
      <c r="AX517" s="54"/>
      <c r="AY517" s="54"/>
      <c r="AZ517" s="54"/>
      <c r="BA517" s="1898" t="s">
        <v>345</v>
      </c>
      <c r="BB517" s="54"/>
      <c r="BC517" s="54"/>
    </row>
    <row r="518" spans="1:55">
      <c r="A518" s="45"/>
      <c r="B518" s="1575"/>
      <c r="C518" s="2508" t="s">
        <v>1900</v>
      </c>
      <c r="D518" s="2770"/>
      <c r="E518" s="2765">
        <f ca="1">100*SUM(Transfer!D240,Transfer!D241)/Transfer!D147</f>
        <v>-1.2332395064016308</v>
      </c>
      <c r="F518" s="2766"/>
      <c r="G518" s="2765">
        <f ca="1">100*SUM(Transfer!E240,Transfer!E241)/Transfer!E147</f>
        <v>-0.65815629380160345</v>
      </c>
      <c r="H518" s="2766"/>
      <c r="I518" s="2765">
        <f ca="1">100*SUM(Transfer!F240,Transfer!F241)/Transfer!F147</f>
        <v>-0.75512951456330268</v>
      </c>
      <c r="J518" s="2766"/>
      <c r="K518" s="2765">
        <f ca="1">100*SUM(Transfer!G240,Transfer!G241)/Transfer!G147</f>
        <v>-0.86448840820874584</v>
      </c>
      <c r="L518" s="2768"/>
      <c r="M518" s="2769"/>
      <c r="N518" s="54"/>
      <c r="O518" s="54"/>
      <c r="P518" s="54"/>
      <c r="Q518" s="54"/>
      <c r="R518" s="54"/>
      <c r="S518" s="189"/>
      <c r="T518" s="319" t="s">
        <v>1900</v>
      </c>
      <c r="U518" s="1656"/>
      <c r="V518" s="196">
        <f t="shared" ca="1" si="30"/>
        <v>0</v>
      </c>
      <c r="W518" s="518"/>
      <c r="X518" s="196">
        <f t="shared" ca="1" si="30"/>
        <v>0</v>
      </c>
      <c r="Y518" s="518"/>
      <c r="Z518" s="196">
        <f t="shared" ca="1" si="30"/>
        <v>-0.10000000000000009</v>
      </c>
      <c r="AA518" s="518"/>
      <c r="AB518" s="196">
        <f t="shared" ca="1" si="30"/>
        <v>-0.20000000000000007</v>
      </c>
      <c r="AC518" s="521"/>
      <c r="AD518" s="522"/>
      <c r="AE518" s="45"/>
      <c r="AF518" s="45"/>
      <c r="AG518" s="45"/>
      <c r="AH518" s="45"/>
      <c r="AI518" s="45"/>
      <c r="AJ518" s="189"/>
      <c r="AK518" s="319" t="s">
        <v>1900</v>
      </c>
      <c r="AL518" s="1656"/>
      <c r="AM518" s="370">
        <f>100*SUM(Transfer!AD240,Transfer!AD241)/Transfer!AD147</f>
        <v>-1.2332395064016308</v>
      </c>
      <c r="AN518" s="509"/>
      <c r="AO518" s="370">
        <f>100*SUM(Transfer!AE240,Transfer!AE241)/Transfer!AE147</f>
        <v>-0.65815629380160345</v>
      </c>
      <c r="AP518" s="509"/>
      <c r="AQ518" s="370">
        <f>100*SUM(Transfer!AF240,Transfer!AF241)/Transfer!AF147</f>
        <v>-0.71047931145653564</v>
      </c>
      <c r="AR518" s="509"/>
      <c r="AS518" s="370">
        <f>100*SUM(Transfer!AG240,Transfer!AG241)/Transfer!AG147</f>
        <v>-0.74484872213924702</v>
      </c>
      <c r="AT518" s="1961"/>
      <c r="AU518" s="522"/>
      <c r="AV518" s="54"/>
      <c r="AW518" s="54"/>
      <c r="AX518" s="54"/>
      <c r="AY518" s="54"/>
      <c r="AZ518" s="54"/>
      <c r="BA518" s="1898" t="s">
        <v>1520</v>
      </c>
      <c r="BB518" s="54"/>
      <c r="BC518" s="54"/>
    </row>
    <row r="519" spans="1:55">
      <c r="A519" s="45"/>
      <c r="B519" s="1575"/>
      <c r="C519" s="2618" t="s">
        <v>1617</v>
      </c>
      <c r="D519" s="2413"/>
      <c r="E519" s="2747">
        <f ca="1">SUM((Transfer!D143-Transfer!D145),(Transfer!D144-Transfer!D146),Transfer!D240,Transfer!D241)</f>
        <v>0.40799999999999681</v>
      </c>
      <c r="F519" s="2748"/>
      <c r="G519" s="2747">
        <f ca="1">SUM((Transfer!E143-Transfer!E145),(Transfer!E144-Transfer!E146),Transfer!E240,Transfer!E241)</f>
        <v>2.8018860077491672</v>
      </c>
      <c r="H519" s="2748"/>
      <c r="I519" s="2747">
        <f ca="1">SUM((Transfer!F143-Transfer!F145),(Transfer!F144-Transfer!F146),Transfer!F240,Transfer!F241)</f>
        <v>2.3226963764565589</v>
      </c>
      <c r="J519" s="2748"/>
      <c r="K519" s="2747">
        <f ca="1">SUM((Transfer!G143-Transfer!G145),(Transfer!G144-Transfer!G146),Transfer!G240,Transfer!G241)</f>
        <v>3.0298363086029916</v>
      </c>
      <c r="L519" s="2749"/>
      <c r="M519" s="2308"/>
      <c r="N519" s="54"/>
      <c r="O519" s="54"/>
      <c r="P519" s="54"/>
      <c r="Q519" s="54"/>
      <c r="R519" s="54"/>
      <c r="S519" s="189"/>
      <c r="T519" s="405" t="s">
        <v>1617</v>
      </c>
      <c r="U519" s="203"/>
      <c r="V519" s="1936">
        <f t="shared" ca="1" si="30"/>
        <v>0</v>
      </c>
      <c r="W519" s="505"/>
      <c r="X519" s="1936">
        <f t="shared" ca="1" si="30"/>
        <v>0</v>
      </c>
      <c r="Y519" s="505"/>
      <c r="Z519" s="1936">
        <f t="shared" ca="1" si="30"/>
        <v>-0.20000000000000018</v>
      </c>
      <c r="AA519" s="505"/>
      <c r="AB519" s="1936">
        <f t="shared" ca="1" si="30"/>
        <v>-0.60000000000000009</v>
      </c>
      <c r="AC519" s="506"/>
      <c r="AD519" s="62"/>
      <c r="AE519" s="45"/>
      <c r="AF519" s="45"/>
      <c r="AG519" s="45"/>
      <c r="AH519" s="45"/>
      <c r="AI519" s="45"/>
      <c r="AJ519" s="189"/>
      <c r="AK519" s="405" t="s">
        <v>1617</v>
      </c>
      <c r="AL519" s="203"/>
      <c r="AM519" s="1950">
        <f>SUM((Transfer!AD143-Transfer!AD145),(Transfer!AD144-Transfer!AD146),Transfer!AD240,Transfer!AD241)</f>
        <v>0.40799999999999681</v>
      </c>
      <c r="AN519" s="1670"/>
      <c r="AO519" s="1950">
        <f>SUM((Transfer!AE143-Transfer!AE145),(Transfer!AE144-Transfer!AE146),Transfer!AE240,Transfer!AE241)</f>
        <v>2.8018860077491672</v>
      </c>
      <c r="AP519" s="1670"/>
      <c r="AQ519" s="1950">
        <f>SUM((Transfer!AF143-Transfer!AF145),(Transfer!AF144-Transfer!AF146),Transfer!AF240,Transfer!AF241)</f>
        <v>2.5251283293045841</v>
      </c>
      <c r="AR519" s="1670"/>
      <c r="AS519" s="1950">
        <f>SUM((Transfer!AG143-Transfer!AG145),(Transfer!AG144-Transfer!AG146),Transfer!AG240,Transfer!AG241)</f>
        <v>3.643986042391913</v>
      </c>
      <c r="AT519" s="1685"/>
      <c r="AU519" s="62"/>
      <c r="AV519" s="54"/>
      <c r="AW519" s="54"/>
      <c r="AX519" s="54"/>
      <c r="AY519" s="54"/>
      <c r="AZ519" s="54"/>
      <c r="BA519" s="1898" t="s">
        <v>690</v>
      </c>
      <c r="BB519" s="54"/>
      <c r="BC519" s="54"/>
    </row>
    <row r="520" spans="1:55">
      <c r="A520" s="45"/>
      <c r="B520" s="1575"/>
      <c r="C520" s="2750" t="s">
        <v>1920</v>
      </c>
      <c r="D520" s="2671"/>
      <c r="E520" s="2747">
        <f ca="1">100*(SUM((Transfer!D143-Transfer!D145),(Transfer!D144-Transfer!D146),Transfer!D240,Transfer!D241))/Transfer!D147</f>
        <v>9.6442865639013609E-2</v>
      </c>
      <c r="F520" s="2748"/>
      <c r="G520" s="2747">
        <f ca="1">100*(SUM((Transfer!E143-Transfer!E145),(Transfer!E144-Transfer!E146),Transfer!E240,Transfer!E241))/Transfer!E147</f>
        <v>0.6389930245552905</v>
      </c>
      <c r="H520" s="2771"/>
      <c r="I520" s="2747">
        <f ca="1">100*(SUM((Transfer!F143-Transfer!F145),(Transfer!F144-Transfer!F146),Transfer!F240,Transfer!F241))/Transfer!F147</f>
        <v>0.51231469886573078</v>
      </c>
      <c r="J520" s="2771"/>
      <c r="K520" s="2747">
        <f ca="1">100*(SUM((Transfer!G143-Transfer!G145),(Transfer!G144-Transfer!G146),Transfer!G240,Transfer!G241))/Transfer!G147</f>
        <v>0.64596410225683998</v>
      </c>
      <c r="L520" s="2772"/>
      <c r="M520" s="2671"/>
      <c r="N520" s="54"/>
      <c r="O520" s="54"/>
      <c r="P520" s="54"/>
      <c r="Q520" s="54"/>
      <c r="R520" s="54"/>
      <c r="S520" s="189"/>
      <c r="T520" s="507" t="s">
        <v>1920</v>
      </c>
      <c r="U520" s="525"/>
      <c r="V520" s="202">
        <f t="shared" ca="1" si="30"/>
        <v>0</v>
      </c>
      <c r="W520" s="505"/>
      <c r="X520" s="1936">
        <f t="shared" ca="1" si="30"/>
        <v>0</v>
      </c>
      <c r="Y520" s="523"/>
      <c r="Z520" s="202">
        <f t="shared" ca="1" si="30"/>
        <v>-9.9999999999999978E-2</v>
      </c>
      <c r="AA520" s="523"/>
      <c r="AB520" s="1936">
        <f t="shared" ca="1" si="30"/>
        <v>-0.20000000000000007</v>
      </c>
      <c r="AC520" s="524"/>
      <c r="AD520" s="525"/>
      <c r="AE520" s="45"/>
      <c r="AF520" s="45"/>
      <c r="AG520" s="45"/>
      <c r="AH520" s="45"/>
      <c r="AI520" s="45"/>
      <c r="AJ520" s="189"/>
      <c r="AK520" s="507" t="s">
        <v>1920</v>
      </c>
      <c r="AL520" s="525"/>
      <c r="AM520" s="1950">
        <f>100*(SUM((Transfer!AD143-Transfer!AD145),(Transfer!AD144-Transfer!AD146),Transfer!AD240,Transfer!AD241))/Transfer!AD147</f>
        <v>9.6442865639013609E-2</v>
      </c>
      <c r="AN520" s="1670"/>
      <c r="AO520" s="1950">
        <f>100*(SUM((Transfer!AE143-Transfer!AE145),(Transfer!AE144-Transfer!AE146),Transfer!AE240,Transfer!AE241))/Transfer!AE147</f>
        <v>0.6389930245552905</v>
      </c>
      <c r="AP520" s="1670"/>
      <c r="AQ520" s="1950">
        <f>100*(SUM((Transfer!AF143-Transfer!AF145),(Transfer!AF144-Transfer!AF146),Transfer!AF240,Transfer!AF241))/Transfer!AF147</f>
        <v>0.55696490197249815</v>
      </c>
      <c r="AR520" s="1670"/>
      <c r="AS520" s="1950">
        <f>100*(SUM((Transfer!AG143-Transfer!AG145),(Transfer!AG144-Transfer!AG146),Transfer!AG240,Transfer!AG241))/Transfer!AG147</f>
        <v>0.77681301368118572</v>
      </c>
      <c r="AT520" s="1951"/>
      <c r="AU520" s="525"/>
      <c r="AV520" s="54"/>
      <c r="AW520" s="54"/>
      <c r="AX520" s="54"/>
      <c r="AY520" s="54"/>
      <c r="AZ520" s="54"/>
      <c r="BA520" s="1898" t="s">
        <v>689</v>
      </c>
      <c r="BB520" s="54"/>
      <c r="BC520" s="54"/>
    </row>
    <row r="521" spans="1:55">
      <c r="A521" s="45"/>
      <c r="B521" s="1575"/>
      <c r="C521" s="2344" t="s">
        <v>1921</v>
      </c>
      <c r="D521" s="2446"/>
      <c r="E521" s="2773">
        <f ca="1">Transfer!D242</f>
        <v>0.46399999999999997</v>
      </c>
      <c r="F521" s="2774"/>
      <c r="G521" s="2773">
        <f ca="1">Transfer!E242</f>
        <v>0.56721299999999986</v>
      </c>
      <c r="H521" s="2744"/>
      <c r="I521" s="2773">
        <f ca="1">Transfer!F242</f>
        <v>0.89636012950414701</v>
      </c>
      <c r="J521" s="2744"/>
      <c r="K521" s="2773">
        <f ca="1">Transfer!G242</f>
        <v>0.98471769722368596</v>
      </c>
      <c r="L521" s="2745"/>
      <c r="M521" s="2405"/>
      <c r="N521" s="54"/>
      <c r="O521" s="54"/>
      <c r="P521" s="54"/>
      <c r="Q521" s="54"/>
      <c r="R521" s="54"/>
      <c r="S521" s="189"/>
      <c r="T521" s="147" t="s">
        <v>1921</v>
      </c>
      <c r="U521" s="1586"/>
      <c r="V521" s="194">
        <f t="shared" ca="1" si="30"/>
        <v>0</v>
      </c>
      <c r="W521" s="526"/>
      <c r="X521" s="194">
        <f t="shared" ca="1" si="30"/>
        <v>0</v>
      </c>
      <c r="Y521" s="503"/>
      <c r="Z521" s="194">
        <f t="shared" ca="1" si="30"/>
        <v>0</v>
      </c>
      <c r="AA521" s="503"/>
      <c r="AB521" s="194">
        <f t="shared" ca="1" si="30"/>
        <v>0</v>
      </c>
      <c r="AC521" s="504"/>
      <c r="AD521" s="195"/>
      <c r="AE521" s="45"/>
      <c r="AF521" s="45"/>
      <c r="AG521" s="45"/>
      <c r="AH521" s="45"/>
      <c r="AI521" s="45"/>
      <c r="AJ521" s="189"/>
      <c r="AK521" s="147" t="s">
        <v>1921</v>
      </c>
      <c r="AL521" s="1586"/>
      <c r="AM521" s="1962">
        <f>Transfer!AD242</f>
        <v>0.46399999999999997</v>
      </c>
      <c r="AN521" s="1679"/>
      <c r="AO521" s="1962">
        <f>Transfer!AE242</f>
        <v>0.56721299999999986</v>
      </c>
      <c r="AP521" s="1679"/>
      <c r="AQ521" s="1962">
        <f>Transfer!AF242</f>
        <v>0.89636012950414701</v>
      </c>
      <c r="AR521" s="1679"/>
      <c r="AS521" s="1962">
        <f>Transfer!AG242</f>
        <v>0.98471769722368596</v>
      </c>
      <c r="AT521" s="1686"/>
      <c r="AU521" s="195"/>
      <c r="AV521" s="54"/>
      <c r="AW521" s="54"/>
      <c r="AX521" s="54"/>
      <c r="AY521" s="54"/>
      <c r="AZ521" s="54"/>
      <c r="BA521" s="1898" t="s">
        <v>1848</v>
      </c>
      <c r="BB521" s="54"/>
      <c r="BC521" s="54"/>
    </row>
    <row r="522" spans="1:55">
      <c r="A522" s="45"/>
      <c r="B522" s="1575"/>
      <c r="C522" s="2618" t="s">
        <v>1609</v>
      </c>
      <c r="D522" s="2413"/>
      <c r="E522" s="2747">
        <f ca="1">SUM((Transfer!D143-Transfer!D145),(Transfer!D144-Transfer!D146),Transfer!D240,Transfer!D241,Transfer!D242)</f>
        <v>0.87199999999999678</v>
      </c>
      <c r="F522" s="2748"/>
      <c r="G522" s="2747">
        <f ca="1">SUM((Transfer!E143-Transfer!E145),(Transfer!E144-Transfer!E146),Transfer!E240,Transfer!E241,Transfer!E242)</f>
        <v>3.3690990077491669</v>
      </c>
      <c r="H522" s="2771"/>
      <c r="I522" s="2747">
        <f ca="1">SUM((Transfer!F143-Transfer!F145),(Transfer!F144-Transfer!F146),Transfer!F240,Transfer!F241,Transfer!F242)</f>
        <v>3.2190565059607059</v>
      </c>
      <c r="J522" s="2771"/>
      <c r="K522" s="2747">
        <f ca="1">SUM((Transfer!G143-Transfer!G145),(Transfer!G144-Transfer!G146),Transfer!G240,Transfer!G241,Transfer!G242)</f>
        <v>4.0145540058266773</v>
      </c>
      <c r="L522" s="2583"/>
      <c r="M522" s="2413"/>
      <c r="N522" s="54"/>
      <c r="O522" s="54"/>
      <c r="P522" s="54"/>
      <c r="Q522" s="54"/>
      <c r="R522" s="54"/>
      <c r="S522" s="189"/>
      <c r="T522" s="405" t="s">
        <v>1609</v>
      </c>
      <c r="U522" s="203"/>
      <c r="V522" s="1936">
        <f t="shared" ca="1" si="30"/>
        <v>0</v>
      </c>
      <c r="W522" s="505"/>
      <c r="X522" s="1936">
        <f t="shared" ca="1" si="30"/>
        <v>0</v>
      </c>
      <c r="Y522" s="523"/>
      <c r="Z522" s="1936">
        <f t="shared" ca="1" si="30"/>
        <v>-0.19999999999999973</v>
      </c>
      <c r="AA522" s="523"/>
      <c r="AB522" s="1936">
        <f t="shared" ca="1" si="30"/>
        <v>-0.59999999999999964</v>
      </c>
      <c r="AC522" s="361"/>
      <c r="AD522" s="203"/>
      <c r="AE522" s="45"/>
      <c r="AF522" s="45"/>
      <c r="AG522" s="45"/>
      <c r="AH522" s="45"/>
      <c r="AI522" s="45"/>
      <c r="AJ522" s="189"/>
      <c r="AK522" s="405" t="s">
        <v>1609</v>
      </c>
      <c r="AL522" s="203"/>
      <c r="AM522" s="1950">
        <f>SUM((Transfer!AD143-Transfer!AD145),(Transfer!AD144-Transfer!AD146),Transfer!AD240,Transfer!AD241,Transfer!AD242)</f>
        <v>0.87199999999999678</v>
      </c>
      <c r="AN522" s="1670"/>
      <c r="AO522" s="1950">
        <f>SUM((Transfer!AE143-Transfer!AE145),(Transfer!AE144-Transfer!AE146),Transfer!AE240,Transfer!AE241,Transfer!AE242)</f>
        <v>3.3690990077491669</v>
      </c>
      <c r="AP522" s="1670"/>
      <c r="AQ522" s="1950">
        <f>SUM((Transfer!AF143-Transfer!AF145),(Transfer!AF144-Transfer!AF146),Transfer!AF240,Transfer!AF241,Transfer!AF242)</f>
        <v>3.4214884588087311</v>
      </c>
      <c r="AR522" s="1670"/>
      <c r="AS522" s="1950">
        <f>SUM((Transfer!AG143-Transfer!AG145),(Transfer!AG144-Transfer!AG146),Transfer!AG240,Transfer!AG241,Transfer!AG242)</f>
        <v>4.6287037396155988</v>
      </c>
      <c r="AT522" s="1685"/>
      <c r="AU522" s="203"/>
      <c r="AV522" s="54"/>
      <c r="AW522" s="54"/>
      <c r="AX522" s="54"/>
      <c r="AY522" s="54"/>
      <c r="AZ522" s="54"/>
      <c r="BA522" s="1898" t="s">
        <v>1384</v>
      </c>
      <c r="BB522" s="54"/>
      <c r="BC522" s="54"/>
    </row>
    <row r="523" spans="1:55" ht="13.8" thickBot="1">
      <c r="A523" s="45"/>
      <c r="B523" s="1575"/>
      <c r="C523" s="2674" t="s">
        <v>480</v>
      </c>
      <c r="D523" s="2675"/>
      <c r="E523" s="2775">
        <f ca="1">100*(SUM((Transfer!D143-Transfer!D145),(Transfer!D144-Transfer!D146),Transfer!D240,Transfer!D241,Transfer!D242)/Transfer!D147)</f>
        <v>0.20612298734612794</v>
      </c>
      <c r="F523" s="2676"/>
      <c r="G523" s="2775">
        <f ca="1">100*(SUM((Transfer!E143-Transfer!E145),(Transfer!E144-Transfer!E146),Transfer!E240,Transfer!E241,Transfer!E242)/Transfer!E147)</f>
        <v>0.76835058922232768</v>
      </c>
      <c r="H523" s="2676"/>
      <c r="I523" s="2775">
        <f ca="1">100*(SUM((Transfer!F143-Transfer!F145),(Transfer!F144-Transfer!F146),Transfer!F240,Transfer!F241,Transfer!F242)/Transfer!F147)</f>
        <v>0.7100239106580768</v>
      </c>
      <c r="J523" s="2676"/>
      <c r="K523" s="2775">
        <f ca="1">100*(SUM((Transfer!G143-Transfer!G145),(Transfer!G144-Transfer!G146),Transfer!G240,Transfer!G241,Transfer!G242)/Transfer!G147)</f>
        <v>0.85590689073600135</v>
      </c>
      <c r="L523" s="2776"/>
      <c r="M523" s="2671"/>
      <c r="N523" s="54"/>
      <c r="O523" s="54"/>
      <c r="P523" s="54"/>
      <c r="Q523" s="54"/>
      <c r="R523" s="54"/>
      <c r="S523" s="189"/>
      <c r="T523" s="527" t="s">
        <v>480</v>
      </c>
      <c r="U523" s="1657"/>
      <c r="V523" s="379">
        <f t="shared" ca="1" si="30"/>
        <v>0</v>
      </c>
      <c r="W523" s="528"/>
      <c r="X523" s="379">
        <f t="shared" ca="1" si="30"/>
        <v>0</v>
      </c>
      <c r="Y523" s="528"/>
      <c r="Z523" s="379">
        <f t="shared" ca="1" si="30"/>
        <v>-0.10000000000000009</v>
      </c>
      <c r="AA523" s="528"/>
      <c r="AB523" s="379">
        <f t="shared" ca="1" si="30"/>
        <v>-9.9999999999999978E-2</v>
      </c>
      <c r="AC523" s="529"/>
      <c r="AD523" s="525"/>
      <c r="AE523" s="45"/>
      <c r="AF523" s="45"/>
      <c r="AG523" s="45"/>
      <c r="AH523" s="45"/>
      <c r="AI523" s="45"/>
      <c r="AJ523" s="189"/>
      <c r="AK523" s="527" t="s">
        <v>480</v>
      </c>
      <c r="AL523" s="1657"/>
      <c r="AM523" s="1963">
        <f>100*(SUM((Transfer!AD143-Transfer!AD145),(Transfer!AD144-Transfer!AD146),Transfer!AD240,Transfer!AD241,Transfer!AD242)/Transfer!AD147)</f>
        <v>0.20612298734612794</v>
      </c>
      <c r="AN523" s="1964"/>
      <c r="AO523" s="1963">
        <f>100*(SUM((Transfer!AE143-Transfer!AE145),(Transfer!AE144-Transfer!AE146),Transfer!AE240,Transfer!AE241,Transfer!AE242)/Transfer!AE147)</f>
        <v>0.76835058922232768</v>
      </c>
      <c r="AP523" s="1964"/>
      <c r="AQ523" s="1963">
        <f>100*(SUM((Transfer!AF143-Transfer!AF145),(Transfer!AF144-Transfer!AF146),Transfer!AF240,Transfer!AF241,Transfer!AF242)/Transfer!AF147)</f>
        <v>0.75467411376484417</v>
      </c>
      <c r="AR523" s="1964"/>
      <c r="AS523" s="1963">
        <f>100*(SUM((Transfer!AG143-Transfer!AG145),(Transfer!AG144-Transfer!AG146),Transfer!AG240,Transfer!AG241,Transfer!AG242)/Transfer!AG147)</f>
        <v>0.98673190829457491</v>
      </c>
      <c r="AT523" s="1965"/>
      <c r="AU523" s="525"/>
      <c r="AV523" s="54"/>
      <c r="AW523" s="54"/>
      <c r="AX523" s="54"/>
      <c r="AY523" s="54"/>
      <c r="AZ523" s="54"/>
      <c r="BA523" s="1912" t="s">
        <v>1498</v>
      </c>
      <c r="BB523" s="54"/>
      <c r="BC523" s="54"/>
    </row>
    <row r="524" spans="1:55">
      <c r="A524" s="45"/>
      <c r="B524" s="1614"/>
      <c r="C524" s="2428"/>
      <c r="D524" s="2428"/>
      <c r="E524" s="2428"/>
      <c r="F524" s="2428"/>
      <c r="G524" s="2428"/>
      <c r="H524" s="2428"/>
      <c r="I524" s="2428"/>
      <c r="J524" s="2428"/>
      <c r="K524" s="2428"/>
      <c r="L524" s="2360" t="str">
        <f>UPPER(Country)</f>
        <v>BELGIUM</v>
      </c>
      <c r="M524" s="2429"/>
      <c r="N524" s="54"/>
      <c r="O524" s="54"/>
      <c r="P524" s="54"/>
      <c r="Q524" s="54"/>
      <c r="R524" s="54"/>
      <c r="S524" s="216"/>
      <c r="T524" s="113"/>
      <c r="U524" s="113"/>
      <c r="V524" s="113"/>
      <c r="W524" s="113"/>
      <c r="X524" s="113"/>
      <c r="Y524" s="113"/>
      <c r="Z524" s="113"/>
      <c r="AA524" s="113"/>
      <c r="AB524" s="113"/>
      <c r="AC524" s="118" t="str">
        <f>UPPER(Country)</f>
        <v>BELGIUM</v>
      </c>
      <c r="AD524" s="217"/>
      <c r="AE524" s="45"/>
      <c r="AF524" s="45"/>
      <c r="AG524" s="45"/>
      <c r="AH524" s="45"/>
      <c r="AI524" s="45"/>
      <c r="AJ524" s="216"/>
      <c r="AK524" s="113"/>
      <c r="AL524" s="113"/>
      <c r="AM524" s="113"/>
      <c r="AN524" s="113"/>
      <c r="AO524" s="113"/>
      <c r="AP524" s="113"/>
      <c r="AQ524" s="113"/>
      <c r="AR524" s="113"/>
      <c r="AS524" s="113"/>
      <c r="AT524" s="118" t="str">
        <f>UPPER(Country)</f>
        <v>BELGIUM</v>
      </c>
      <c r="AU524" s="217"/>
      <c r="AV524" s="54"/>
      <c r="AW524" s="54"/>
      <c r="AX524" s="54"/>
      <c r="AY524" s="54"/>
      <c r="AZ524" s="54"/>
      <c r="BA524" s="54"/>
      <c r="BB524" s="54"/>
      <c r="BC524" s="54"/>
    </row>
    <row r="525" spans="1:55">
      <c r="A525" s="45"/>
      <c r="B525" s="45"/>
      <c r="C525" s="45"/>
      <c r="D525" s="45"/>
      <c r="E525" s="45"/>
      <c r="F525" s="45"/>
      <c r="G525" s="45"/>
      <c r="H525" s="45"/>
      <c r="I525" s="45"/>
      <c r="J525" s="45"/>
      <c r="K525" s="45"/>
      <c r="L525" s="45"/>
      <c r="M525" s="45"/>
      <c r="N525" s="54"/>
      <c r="O525" s="54"/>
      <c r="P525" s="54"/>
      <c r="Q525" s="54"/>
      <c r="R525" s="54"/>
      <c r="S525" s="54"/>
      <c r="T525" s="54"/>
      <c r="U525" s="54"/>
      <c r="V525" s="54"/>
      <c r="W525" s="54"/>
      <c r="X525" s="54"/>
      <c r="Y525" s="54"/>
      <c r="Z525" s="54"/>
      <c r="AA525" s="54"/>
      <c r="AB525" s="45"/>
      <c r="AC525" s="45"/>
      <c r="AD525" s="45"/>
      <c r="AE525" s="45"/>
      <c r="AF525" s="45"/>
      <c r="AG525" s="45"/>
      <c r="AH525" s="45"/>
      <c r="AI525" s="45"/>
      <c r="AJ525" s="45"/>
      <c r="AK525" s="45"/>
      <c r="AL525" s="45"/>
      <c r="AM525" s="45"/>
      <c r="AN525" s="45"/>
      <c r="AO525" s="45"/>
      <c r="AP525" s="45"/>
      <c r="AQ525" s="45"/>
      <c r="AR525" s="45"/>
      <c r="AS525" s="45"/>
      <c r="AT525" s="45"/>
      <c r="AU525" s="45"/>
      <c r="AV525" s="54"/>
      <c r="AW525" s="54"/>
      <c r="AX525" s="54"/>
      <c r="AY525" s="54"/>
      <c r="AZ525" s="54"/>
      <c r="BA525" s="54"/>
      <c r="BB525" s="54"/>
      <c r="BC525" s="54"/>
    </row>
    <row r="526" spans="1:55">
      <c r="A526" s="45"/>
      <c r="B526" s="45"/>
      <c r="C526" s="45"/>
      <c r="D526" s="45"/>
      <c r="E526" s="45"/>
      <c r="F526" s="45"/>
      <c r="G526" s="45"/>
      <c r="H526" s="45"/>
      <c r="I526" s="45"/>
      <c r="J526" s="45"/>
      <c r="K526" s="45"/>
      <c r="L526" s="45"/>
      <c r="M526" s="45"/>
      <c r="N526" s="54"/>
      <c r="O526" s="54"/>
      <c r="P526" s="54"/>
      <c r="Q526" s="54"/>
      <c r="R526" s="54"/>
      <c r="S526" s="54"/>
      <c r="T526" s="54"/>
      <c r="U526" s="54"/>
      <c r="V526" s="54"/>
      <c r="W526" s="54"/>
      <c r="X526" s="54"/>
      <c r="Y526" s="54"/>
      <c r="Z526" s="54"/>
      <c r="AA526" s="54"/>
      <c r="AB526" s="45"/>
      <c r="AC526" s="45"/>
      <c r="AD526" s="45"/>
      <c r="AE526" s="45"/>
      <c r="AF526" s="45"/>
      <c r="AG526" s="45"/>
      <c r="AH526" s="45"/>
      <c r="AI526" s="45"/>
      <c r="AJ526" s="45"/>
      <c r="AK526" s="45"/>
      <c r="AL526" s="45"/>
      <c r="AM526" s="45"/>
      <c r="AN526" s="45"/>
      <c r="AO526" s="45"/>
      <c r="AP526" s="45"/>
      <c r="AQ526" s="45"/>
      <c r="AR526" s="45"/>
      <c r="AS526" s="45"/>
      <c r="AT526" s="45"/>
      <c r="AU526" s="45"/>
      <c r="AV526" s="54"/>
      <c r="AW526" s="54"/>
      <c r="AX526" s="54"/>
      <c r="AY526" s="54"/>
      <c r="AZ526" s="54"/>
      <c r="BA526" s="54"/>
      <c r="BB526" s="54"/>
      <c r="BC526" s="54"/>
    </row>
    <row r="527" spans="1:55">
      <c r="A527" s="45"/>
      <c r="B527" s="45"/>
      <c r="C527" s="45"/>
      <c r="D527" s="45"/>
      <c r="E527" s="45"/>
      <c r="F527" s="45"/>
      <c r="G527" s="45"/>
      <c r="H527" s="45"/>
      <c r="I527" s="45"/>
      <c r="J527" s="45"/>
      <c r="K527" s="45"/>
      <c r="L527" s="45"/>
      <c r="M527" s="45"/>
      <c r="N527" s="54"/>
      <c r="O527" s="54"/>
      <c r="P527" s="54"/>
      <c r="Q527" s="54"/>
      <c r="R527" s="54"/>
      <c r="S527" s="54"/>
      <c r="T527" s="54"/>
      <c r="U527" s="54"/>
      <c r="V527" s="54"/>
      <c r="W527" s="54"/>
      <c r="X527" s="54"/>
      <c r="Y527" s="54"/>
      <c r="Z527" s="54"/>
      <c r="AA527" s="54"/>
      <c r="AB527" s="45"/>
      <c r="AC527" s="45"/>
      <c r="AD527" s="45"/>
      <c r="AE527" s="45"/>
      <c r="AF527" s="45"/>
      <c r="AG527" s="45"/>
      <c r="AH527" s="45"/>
      <c r="AI527" s="45"/>
      <c r="AJ527" s="45"/>
      <c r="AK527" s="45"/>
      <c r="AL527" s="45"/>
      <c r="AM527" s="45"/>
      <c r="AN527" s="45"/>
      <c r="AO527" s="45"/>
      <c r="AP527" s="45"/>
      <c r="AQ527" s="45"/>
      <c r="AR527" s="45"/>
      <c r="AS527" s="45"/>
      <c r="AT527" s="45"/>
      <c r="AU527" s="45"/>
      <c r="AV527" s="54"/>
      <c r="AW527" s="54"/>
      <c r="AX527" s="54"/>
      <c r="AY527" s="54"/>
      <c r="AZ527" s="54"/>
      <c r="BA527" s="54"/>
      <c r="BB527" s="54"/>
      <c r="BC527" s="54"/>
    </row>
    <row r="528" spans="1:55">
      <c r="A528" s="45"/>
      <c r="B528" s="54"/>
      <c r="C528" s="54"/>
      <c r="D528" s="54"/>
      <c r="E528" s="54"/>
      <c r="F528" s="54"/>
      <c r="G528" s="54"/>
      <c r="H528" s="54"/>
      <c r="I528" s="54"/>
      <c r="J528" s="54"/>
      <c r="K528" s="54"/>
      <c r="L528" s="54"/>
      <c r="M528" s="54"/>
      <c r="N528" s="54"/>
      <c r="O528" s="54"/>
      <c r="P528" s="54"/>
      <c r="Q528" s="54"/>
      <c r="R528" s="54"/>
      <c r="S528" s="54"/>
      <c r="T528" s="54"/>
      <c r="U528" s="54"/>
      <c r="V528" s="54"/>
      <c r="W528" s="54"/>
      <c r="X528" s="54"/>
      <c r="Y528" s="54"/>
      <c r="Z528" s="54"/>
      <c r="AA528" s="54"/>
      <c r="AB528" s="45"/>
      <c r="AC528" s="45"/>
      <c r="AD528" s="45"/>
      <c r="AE528" s="45"/>
      <c r="AF528" s="45"/>
      <c r="AG528" s="45"/>
      <c r="AH528" s="45"/>
      <c r="AI528" s="45"/>
      <c r="AJ528" s="54"/>
      <c r="AK528" s="54"/>
      <c r="AL528" s="54"/>
      <c r="AM528" s="54"/>
      <c r="AN528" s="54"/>
      <c r="AO528" s="54"/>
      <c r="AP528" s="54"/>
      <c r="AQ528" s="54"/>
      <c r="AR528" s="54"/>
      <c r="AS528" s="54"/>
      <c r="AT528" s="54"/>
      <c r="AU528" s="54"/>
      <c r="AV528" s="54"/>
      <c r="AW528" s="54"/>
      <c r="AX528" s="54"/>
      <c r="AY528" s="54"/>
      <c r="AZ528" s="54"/>
      <c r="BA528" s="54"/>
      <c r="BB528" s="54"/>
      <c r="BC528" s="54"/>
    </row>
    <row r="529" spans="1:55">
      <c r="A529" s="45"/>
      <c r="B529" s="54"/>
      <c r="C529" s="54"/>
      <c r="D529" s="54"/>
      <c r="E529" s="54"/>
      <c r="F529" s="54"/>
      <c r="G529" s="54"/>
      <c r="H529" s="54"/>
      <c r="I529" s="54"/>
      <c r="J529" s="54"/>
      <c r="K529" s="54"/>
      <c r="L529" s="54"/>
      <c r="M529" s="54"/>
      <c r="N529" s="54"/>
      <c r="O529" s="54"/>
      <c r="P529" s="54"/>
      <c r="Q529" s="54"/>
      <c r="R529" s="54"/>
      <c r="S529" s="54"/>
      <c r="T529" s="54"/>
      <c r="U529" s="54"/>
      <c r="V529" s="54"/>
      <c r="W529" s="54"/>
      <c r="X529" s="54"/>
      <c r="Y529" s="54"/>
      <c r="Z529" s="54"/>
      <c r="AA529" s="54"/>
      <c r="AB529" s="45"/>
      <c r="AC529" s="45"/>
      <c r="AD529" s="45"/>
      <c r="AE529" s="45"/>
      <c r="AF529" s="45"/>
      <c r="AG529" s="45"/>
      <c r="AH529" s="45"/>
      <c r="AI529" s="45"/>
      <c r="AJ529" s="54"/>
      <c r="AK529" s="54"/>
      <c r="AL529" s="54"/>
      <c r="AM529" s="54"/>
      <c r="AN529" s="54"/>
      <c r="AO529" s="54"/>
      <c r="AP529" s="54"/>
      <c r="AQ529" s="54"/>
      <c r="AR529" s="54"/>
      <c r="AS529" s="54"/>
      <c r="AT529" s="54"/>
      <c r="AU529" s="54"/>
      <c r="AV529" s="54"/>
      <c r="AW529" s="54"/>
      <c r="AX529" s="54"/>
      <c r="AY529" s="54"/>
      <c r="AZ529" s="54"/>
      <c r="BA529" s="54"/>
      <c r="BB529" s="54"/>
      <c r="BC529" s="54"/>
    </row>
    <row r="530" spans="1:55">
      <c r="A530" s="45"/>
      <c r="B530" s="54"/>
      <c r="C530" s="54"/>
      <c r="D530" s="54"/>
      <c r="E530" s="54"/>
      <c r="F530" s="54"/>
      <c r="G530" s="54"/>
      <c r="H530" s="54"/>
      <c r="I530" s="54"/>
      <c r="J530" s="54"/>
      <c r="K530" s="54"/>
      <c r="L530" s="54"/>
      <c r="M530" s="54"/>
      <c r="N530" s="54"/>
      <c r="O530" s="54"/>
      <c r="P530" s="54"/>
      <c r="Q530" s="54"/>
      <c r="R530" s="54"/>
      <c r="S530" s="54"/>
      <c r="T530" s="54"/>
      <c r="U530" s="54"/>
      <c r="V530" s="54"/>
      <c r="W530" s="54"/>
      <c r="X530" s="54"/>
      <c r="Y530" s="54"/>
      <c r="Z530" s="54"/>
      <c r="AA530" s="54"/>
      <c r="AB530" s="45"/>
      <c r="AC530" s="45"/>
      <c r="AD530" s="45"/>
      <c r="AE530" s="45"/>
      <c r="AF530" s="45"/>
      <c r="AG530" s="45"/>
      <c r="AH530" s="45"/>
      <c r="AI530" s="45"/>
      <c r="AJ530" s="54"/>
      <c r="AK530" s="54"/>
      <c r="AL530" s="54"/>
      <c r="AM530" s="54"/>
      <c r="AN530" s="54"/>
      <c r="AO530" s="54"/>
      <c r="AP530" s="54"/>
      <c r="AQ530" s="54"/>
      <c r="AR530" s="54"/>
      <c r="AS530" s="54"/>
      <c r="AT530" s="54"/>
      <c r="AU530" s="54"/>
      <c r="AV530" s="54"/>
      <c r="AW530" s="54"/>
      <c r="AX530" s="54"/>
      <c r="AY530" s="54"/>
      <c r="AZ530" s="54"/>
      <c r="BA530" s="54"/>
      <c r="BB530" s="54"/>
      <c r="BC530" s="54"/>
    </row>
    <row r="531" spans="1:55">
      <c r="A531" s="45"/>
      <c r="B531" s="54"/>
      <c r="C531" s="54"/>
      <c r="D531" s="54"/>
      <c r="E531" s="54"/>
      <c r="F531" s="54"/>
      <c r="G531" s="54"/>
      <c r="H531" s="54"/>
      <c r="I531" s="54"/>
      <c r="J531" s="54"/>
      <c r="K531" s="54"/>
      <c r="L531" s="54"/>
      <c r="M531" s="54"/>
      <c r="N531" s="54"/>
      <c r="O531" s="54"/>
      <c r="P531" s="54"/>
      <c r="Q531" s="54"/>
      <c r="R531" s="54"/>
      <c r="S531" s="54"/>
      <c r="T531" s="54"/>
      <c r="U531" s="54"/>
      <c r="V531" s="54"/>
      <c r="W531" s="54"/>
      <c r="X531" s="54"/>
      <c r="Y531" s="54"/>
      <c r="Z531" s="54"/>
      <c r="AA531" s="54"/>
      <c r="AB531" s="45"/>
      <c r="AC531" s="45"/>
      <c r="AD531" s="45"/>
      <c r="AE531" s="45"/>
      <c r="AF531" s="45"/>
      <c r="AG531" s="45"/>
      <c r="AH531" s="45"/>
      <c r="AI531" s="45"/>
      <c r="AJ531" s="54"/>
      <c r="AK531" s="54"/>
      <c r="AL531" s="54"/>
      <c r="AM531" s="54"/>
      <c r="AN531" s="54"/>
      <c r="AO531" s="54"/>
      <c r="AP531" s="54"/>
      <c r="AQ531" s="54"/>
      <c r="AR531" s="54"/>
      <c r="AS531" s="54"/>
      <c r="AT531" s="54"/>
      <c r="AU531" s="54"/>
      <c r="AV531" s="54"/>
      <c r="AW531" s="54"/>
      <c r="AX531" s="54"/>
      <c r="AY531" s="54"/>
      <c r="AZ531" s="54"/>
      <c r="BA531" s="54"/>
      <c r="BB531" s="54"/>
      <c r="BC531" s="54"/>
    </row>
    <row r="532" spans="1:55">
      <c r="A532" s="45"/>
      <c r="B532" s="2301"/>
      <c r="C532" s="2551" t="s">
        <v>481</v>
      </c>
      <c r="D532" s="2303"/>
      <c r="E532" s="2303"/>
      <c r="F532" s="2303"/>
      <c r="G532" s="2303"/>
      <c r="H532" s="2303"/>
      <c r="I532" s="2303"/>
      <c r="J532" s="2303"/>
      <c r="K532" s="2303"/>
      <c r="L532" s="2303"/>
      <c r="M532" s="2303"/>
      <c r="N532" s="2446"/>
      <c r="O532" s="54"/>
      <c r="P532" s="54"/>
      <c r="Q532" s="54"/>
      <c r="R532" s="54"/>
      <c r="S532" s="2301"/>
      <c r="T532" s="2551" t="s">
        <v>481</v>
      </c>
      <c r="U532" s="2303"/>
      <c r="V532" s="2303"/>
      <c r="W532" s="2303"/>
      <c r="X532" s="2303"/>
      <c r="Y532" s="2303"/>
      <c r="Z532" s="2303"/>
      <c r="AA532" s="2303"/>
      <c r="AB532" s="2303"/>
      <c r="AC532" s="2303"/>
      <c r="AD532" s="2303"/>
      <c r="AE532" s="2446"/>
      <c r="AF532" s="45"/>
      <c r="AG532" s="45"/>
      <c r="AH532" s="45"/>
      <c r="AI532" s="45"/>
      <c r="AJ532" s="187"/>
      <c r="AK532" s="337" t="s">
        <v>481</v>
      </c>
      <c r="AL532" s="100"/>
      <c r="AM532" s="100"/>
      <c r="AN532" s="100"/>
      <c r="AO532" s="100"/>
      <c r="AP532" s="100"/>
      <c r="AQ532" s="100"/>
      <c r="AR532" s="100"/>
      <c r="AS532" s="100"/>
      <c r="AT532" s="100"/>
      <c r="AU532" s="100"/>
      <c r="AV532" s="239"/>
      <c r="AW532" s="54"/>
      <c r="AX532" s="54"/>
      <c r="AY532" s="54"/>
      <c r="AZ532" s="54"/>
      <c r="BA532" s="54"/>
      <c r="BB532" s="54"/>
      <c r="BC532" s="54"/>
    </row>
    <row r="533" spans="1:55">
      <c r="A533" s="45"/>
      <c r="B533" s="1575"/>
      <c r="C533" s="4207" t="s">
        <v>563</v>
      </c>
      <c r="D533" s="4207"/>
      <c r="E533" s="4207"/>
      <c r="F533" s="4207"/>
      <c r="G533" s="4207"/>
      <c r="H533" s="4207"/>
      <c r="I533" s="4207"/>
      <c r="J533" s="4207"/>
      <c r="K533" s="4207"/>
      <c r="L533" s="4207"/>
      <c r="M533" s="4207"/>
      <c r="N533" s="2743"/>
      <c r="O533" s="54"/>
      <c r="P533" s="54"/>
      <c r="Q533" s="54"/>
      <c r="R533" s="54"/>
      <c r="S533" s="1575"/>
      <c r="T533" s="4207" t="s">
        <v>563</v>
      </c>
      <c r="U533" s="4207"/>
      <c r="V533" s="4207"/>
      <c r="W533" s="4207"/>
      <c r="X533" s="4207"/>
      <c r="Y533" s="4207"/>
      <c r="Z533" s="4207"/>
      <c r="AA533" s="4207"/>
      <c r="AB533" s="4207"/>
      <c r="AC533" s="4207"/>
      <c r="AD533" s="4207"/>
      <c r="AE533" s="2743"/>
      <c r="AF533" s="45"/>
      <c r="AG533" s="45"/>
      <c r="AH533" s="45"/>
      <c r="AI533" s="45"/>
      <c r="AJ533" s="189"/>
      <c r="AK533" s="4208" t="s">
        <v>563</v>
      </c>
      <c r="AL533" s="4208"/>
      <c r="AM533" s="4208"/>
      <c r="AN533" s="4208"/>
      <c r="AO533" s="4208"/>
      <c r="AP533" s="4208"/>
      <c r="AQ533" s="4208"/>
      <c r="AR533" s="4208"/>
      <c r="AS533" s="4208"/>
      <c r="AT533" s="4208"/>
      <c r="AU533" s="4208"/>
      <c r="AV533" s="502"/>
      <c r="AW533" s="54"/>
      <c r="AX533" s="54"/>
      <c r="AY533" s="54"/>
      <c r="AZ533" s="54"/>
      <c r="BA533" s="54"/>
      <c r="BB533" s="54"/>
      <c r="BC533" s="54"/>
    </row>
    <row r="534" spans="1:55" ht="15.6">
      <c r="A534" s="45"/>
      <c r="B534" s="1575"/>
      <c r="C534" s="2309"/>
      <c r="D534" s="2311"/>
      <c r="E534" s="2311"/>
      <c r="F534" s="2311"/>
      <c r="G534" s="2311"/>
      <c r="H534" s="2311"/>
      <c r="I534" s="2311"/>
      <c r="J534" s="2311"/>
      <c r="K534" s="2311"/>
      <c r="L534" s="2311"/>
      <c r="M534" s="2311"/>
      <c r="N534" s="2405"/>
      <c r="O534" s="54"/>
      <c r="P534" s="54"/>
      <c r="Q534" s="54"/>
      <c r="R534" s="54"/>
      <c r="S534" s="1575"/>
      <c r="T534" s="2309"/>
      <c r="U534" s="2311"/>
      <c r="V534" s="2311"/>
      <c r="W534" s="1915" t="s">
        <v>724</v>
      </c>
      <c r="X534" s="65"/>
      <c r="Y534" s="65"/>
      <c r="Z534" s="65"/>
      <c r="AA534" s="65"/>
      <c r="AB534" s="65"/>
      <c r="AC534" s="65"/>
      <c r="AD534" s="65"/>
      <c r="AE534" s="195"/>
      <c r="AF534" s="45"/>
      <c r="AG534" s="45"/>
      <c r="AH534" s="45"/>
      <c r="AI534" s="45"/>
      <c r="AJ534" s="189"/>
      <c r="AK534" s="63"/>
      <c r="AL534" s="65"/>
      <c r="AM534" s="65"/>
      <c r="AN534" s="65"/>
      <c r="AO534" s="65"/>
      <c r="AP534" s="65"/>
      <c r="AQ534" s="65"/>
      <c r="AR534" s="65"/>
      <c r="AS534" s="65"/>
      <c r="AT534" s="65"/>
      <c r="AU534" s="65"/>
      <c r="AV534" s="195"/>
      <c r="AW534" s="54"/>
      <c r="AX534" s="54"/>
      <c r="AY534" s="54"/>
      <c r="AZ534" s="54"/>
      <c r="BA534" s="54"/>
      <c r="BB534" s="54"/>
      <c r="BC534" s="54"/>
    </row>
    <row r="535" spans="1:55" ht="15.6">
      <c r="A535" s="45"/>
      <c r="B535" s="1575"/>
      <c r="C535" s="2309" t="str">
        <f>"Country: " &amp;UPPER(Country)</f>
        <v>Country: BELGIUM</v>
      </c>
      <c r="D535" s="2311"/>
      <c r="E535" s="2662"/>
      <c r="F535" s="2662"/>
      <c r="G535" s="2662"/>
      <c r="H535" s="2662"/>
      <c r="I535" s="2662"/>
      <c r="J535" s="2662"/>
      <c r="K535" s="2662"/>
      <c r="L535" s="2662"/>
      <c r="M535" s="2662"/>
      <c r="N535" s="1574"/>
      <c r="O535" s="54"/>
      <c r="P535" s="54"/>
      <c r="Q535" s="54"/>
      <c r="R535" s="54"/>
      <c r="S535" s="189"/>
      <c r="T535" s="63" t="str">
        <f>"Country: " &amp;UPPER(Country)</f>
        <v>Country: BELGIUM</v>
      </c>
      <c r="U535" s="65"/>
      <c r="W535" s="1915" t="str">
        <f>$T$4</f>
        <v>SF2018 - final storage FRI</v>
      </c>
      <c r="Y535" s="28"/>
      <c r="AE535" s="90"/>
      <c r="AF535" s="45"/>
      <c r="AG535" s="45"/>
      <c r="AH535" s="45"/>
      <c r="AI535" s="45"/>
      <c r="AJ535" s="189"/>
      <c r="AK535" s="63" t="str">
        <f>"Country: " &amp;UPPER(Country)</f>
        <v>Country: BELGIUM</v>
      </c>
      <c r="AL535" s="65"/>
      <c r="AP535" s="28"/>
      <c r="AV535" s="90"/>
      <c r="AW535" s="54"/>
      <c r="AX535" s="54"/>
      <c r="AY535" s="54"/>
      <c r="AZ535" s="54"/>
      <c r="BA535" s="54"/>
      <c r="BB535" s="54"/>
      <c r="BC535" s="54"/>
    </row>
    <row r="536" spans="1:55" ht="13.8" thickBot="1">
      <c r="A536" s="45"/>
      <c r="B536" s="1575"/>
      <c r="C536" s="2309" t="str">
        <f>"Currency unit: " &amp; Currency</f>
        <v>Currency unit: bn EUR</v>
      </c>
      <c r="D536" s="2662"/>
      <c r="E536" s="2311"/>
      <c r="F536" s="2311"/>
      <c r="G536" s="2311"/>
      <c r="H536" s="2311"/>
      <c r="I536" s="2311"/>
      <c r="J536" s="2311"/>
      <c r="K536" s="2311"/>
      <c r="L536" s="4243">
        <f ca="1">NOW()</f>
        <v>43213.646692361108</v>
      </c>
      <c r="M536" s="4243"/>
      <c r="N536" s="2552"/>
      <c r="O536" s="54"/>
      <c r="P536" s="54"/>
      <c r="Q536" s="54"/>
      <c r="R536" s="54"/>
      <c r="S536" s="189"/>
      <c r="T536" s="63" t="str">
        <f>"Currency unit: " &amp; Currency</f>
        <v>Currency unit: bn EUR</v>
      </c>
      <c r="V536" s="65"/>
      <c r="W536" s="65"/>
      <c r="X536" s="65"/>
      <c r="Y536" s="65"/>
      <c r="Z536" s="65"/>
      <c r="AA536" s="65"/>
      <c r="AB536" s="65"/>
      <c r="AC536" s="4246">
        <f ca="1">NOW()</f>
        <v>43213.646692361108</v>
      </c>
      <c r="AD536" s="4246"/>
      <c r="AE536" s="338"/>
      <c r="AF536" s="45"/>
      <c r="AG536" s="45"/>
      <c r="AH536" s="45"/>
      <c r="AI536" s="45"/>
      <c r="AJ536" s="189"/>
      <c r="AK536" s="63" t="str">
        <f>"Currency unit: " &amp; Currency</f>
        <v>Currency unit: bn EUR</v>
      </c>
      <c r="AM536" s="65"/>
      <c r="AN536" s="65"/>
      <c r="AO536" s="65"/>
      <c r="AP536" s="65"/>
      <c r="AQ536" s="65"/>
      <c r="AR536" s="65"/>
      <c r="AS536" s="65"/>
      <c r="AT536" s="4246">
        <f ca="1">NOW()</f>
        <v>43213.646692361108</v>
      </c>
      <c r="AU536" s="4246"/>
      <c r="AV536" s="338"/>
      <c r="AW536" s="54"/>
      <c r="AX536" s="54"/>
      <c r="AY536" s="54"/>
      <c r="AZ536" s="54"/>
      <c r="BA536" s="54"/>
      <c r="BB536" s="54"/>
      <c r="BC536" s="54"/>
    </row>
    <row r="537" spans="1:55">
      <c r="A537" s="45"/>
      <c r="B537" s="1575"/>
      <c r="C537" s="2317"/>
      <c r="D537" s="2318"/>
      <c r="E537" s="4173">
        <f>E16</f>
        <v>2016</v>
      </c>
      <c r="F537" s="4184"/>
      <c r="G537" s="4174"/>
      <c r="H537" s="4255">
        <f>E537+1</f>
        <v>2017</v>
      </c>
      <c r="I537" s="4255"/>
      <c r="J537" s="4244">
        <f>H537+1</f>
        <v>2018</v>
      </c>
      <c r="K537" s="4245"/>
      <c r="L537" s="4255">
        <f>J537+1</f>
        <v>2019</v>
      </c>
      <c r="M537" s="4251"/>
      <c r="N537" s="2555"/>
      <c r="O537" s="54"/>
      <c r="P537" s="54"/>
      <c r="Q537" s="54"/>
      <c r="R537" s="54"/>
      <c r="S537" s="189"/>
      <c r="T537" s="190"/>
      <c r="U537" s="73"/>
      <c r="V537" s="4175">
        <f>Last_forecast_year - 3</f>
        <v>2016</v>
      </c>
      <c r="W537" s="4186"/>
      <c r="X537" s="4176"/>
      <c r="Y537" s="4329">
        <f>V537+1</f>
        <v>2017</v>
      </c>
      <c r="Z537" s="4329"/>
      <c r="AA537" s="4239">
        <f>Y537+1</f>
        <v>2018</v>
      </c>
      <c r="AB537" s="4240"/>
      <c r="AC537" s="4329">
        <f>AA537+1</f>
        <v>2019</v>
      </c>
      <c r="AD537" s="4247"/>
      <c r="AE537" s="340"/>
      <c r="AF537" s="45"/>
      <c r="AG537" s="45"/>
      <c r="AH537" s="45"/>
      <c r="AI537" s="45"/>
      <c r="AJ537" s="189"/>
      <c r="AK537" s="190"/>
      <c r="AL537" s="73"/>
      <c r="AM537" s="4175">
        <f>Last_forecast_year - 3</f>
        <v>2016</v>
      </c>
      <c r="AN537" s="4186"/>
      <c r="AO537" s="4176"/>
      <c r="AP537" s="4329">
        <f>AM537+1</f>
        <v>2017</v>
      </c>
      <c r="AQ537" s="4329"/>
      <c r="AR537" s="4239">
        <f>AP537+1</f>
        <v>2018</v>
      </c>
      <c r="AS537" s="4240"/>
      <c r="AT537" s="4329">
        <f>AR537+1</f>
        <v>2019</v>
      </c>
      <c r="AU537" s="4247"/>
      <c r="AV537" s="340"/>
      <c r="AW537" s="54"/>
      <c r="AX537" s="54"/>
      <c r="AY537" s="54"/>
      <c r="AZ537" s="54"/>
      <c r="BA537" s="54"/>
      <c r="BB537" s="54"/>
      <c r="BC537" s="54"/>
    </row>
    <row r="538" spans="1:55">
      <c r="A538" s="45"/>
      <c r="B538" s="1575"/>
      <c r="C538" s="1576"/>
      <c r="D538" s="2311"/>
      <c r="E538" s="2777" t="s">
        <v>564</v>
      </c>
      <c r="F538" s="2729" t="s">
        <v>1642</v>
      </c>
      <c r="G538" s="2616" t="s">
        <v>759</v>
      </c>
      <c r="H538" s="2729" t="s">
        <v>1642</v>
      </c>
      <c r="I538" s="2778" t="s">
        <v>759</v>
      </c>
      <c r="J538" s="2779" t="s">
        <v>1642</v>
      </c>
      <c r="K538" s="2616" t="s">
        <v>759</v>
      </c>
      <c r="L538" s="2729" t="s">
        <v>1642</v>
      </c>
      <c r="M538" s="2780" t="s">
        <v>759</v>
      </c>
      <c r="N538" s="2781"/>
      <c r="O538" s="54"/>
      <c r="P538" s="54"/>
      <c r="Q538" s="54"/>
      <c r="R538" s="54"/>
      <c r="S538" s="189"/>
      <c r="T538" s="40"/>
      <c r="U538" s="65"/>
      <c r="V538" s="1680" t="s">
        <v>564</v>
      </c>
      <c r="W538" s="1666" t="s">
        <v>1642</v>
      </c>
      <c r="X538" s="1668" t="s">
        <v>759</v>
      </c>
      <c r="Y538" s="1666" t="s">
        <v>1642</v>
      </c>
      <c r="Z538" s="1665" t="s">
        <v>759</v>
      </c>
      <c r="AA538" s="1667" t="s">
        <v>1642</v>
      </c>
      <c r="AB538" s="1668" t="s">
        <v>759</v>
      </c>
      <c r="AC538" s="1666" t="s">
        <v>1642</v>
      </c>
      <c r="AD538" s="1939" t="s">
        <v>759</v>
      </c>
      <c r="AE538" s="1940"/>
      <c r="AF538" s="45"/>
      <c r="AG538" s="45"/>
      <c r="AH538" s="45"/>
      <c r="AI538" s="45"/>
      <c r="AJ538" s="189"/>
      <c r="AK538" s="40"/>
      <c r="AL538" s="65"/>
      <c r="AM538" s="1680" t="s">
        <v>564</v>
      </c>
      <c r="AN538" s="1666" t="s">
        <v>1642</v>
      </c>
      <c r="AO538" s="1668" t="s">
        <v>759</v>
      </c>
      <c r="AP538" s="1666" t="s">
        <v>1642</v>
      </c>
      <c r="AQ538" s="1665" t="s">
        <v>759</v>
      </c>
      <c r="AR538" s="1667" t="s">
        <v>1642</v>
      </c>
      <c r="AS538" s="1668" t="s">
        <v>759</v>
      </c>
      <c r="AT538" s="1666" t="s">
        <v>1642</v>
      </c>
      <c r="AU538" s="1681" t="s">
        <v>759</v>
      </c>
      <c r="AV538" s="530"/>
      <c r="AW538" s="54"/>
      <c r="AX538" s="54"/>
      <c r="AY538" s="54"/>
      <c r="AZ538" s="54"/>
      <c r="BA538" s="54"/>
      <c r="BB538" s="54"/>
      <c r="BC538" s="54"/>
    </row>
    <row r="539" spans="1:55">
      <c r="A539" s="45"/>
      <c r="B539" s="1575"/>
      <c r="C539" s="2782" t="s">
        <v>565</v>
      </c>
      <c r="D539" s="2783"/>
      <c r="E539" s="2600"/>
      <c r="F539" s="2783"/>
      <c r="G539" s="2784"/>
      <c r="H539" s="2783"/>
      <c r="I539" s="2783"/>
      <c r="J539" s="2785"/>
      <c r="K539" s="2786"/>
      <c r="L539" s="2783"/>
      <c r="M539" s="2787"/>
      <c r="N539" s="2559"/>
      <c r="O539" s="54"/>
      <c r="P539" s="54"/>
      <c r="Q539" s="54"/>
      <c r="R539" s="54"/>
      <c r="S539" s="189"/>
      <c r="T539" s="1696" t="s">
        <v>565</v>
      </c>
      <c r="U539" s="1671"/>
      <c r="V539" s="387"/>
      <c r="W539" s="1671"/>
      <c r="X539" s="1673"/>
      <c r="Y539" s="1671"/>
      <c r="Z539" s="1674"/>
      <c r="AA539" s="1671"/>
      <c r="AB539" s="1674"/>
      <c r="AC539" s="1671"/>
      <c r="AD539" s="1682"/>
      <c r="AE539" s="344"/>
      <c r="AF539" s="45"/>
      <c r="AG539" s="45"/>
      <c r="AH539" s="45"/>
      <c r="AI539" s="45"/>
      <c r="AJ539" s="189"/>
      <c r="AK539" s="1696" t="s">
        <v>565</v>
      </c>
      <c r="AL539" s="1671"/>
      <c r="AM539" s="387"/>
      <c r="AN539" s="1671"/>
      <c r="AO539" s="1673"/>
      <c r="AP539" s="1671"/>
      <c r="AQ539" s="1671"/>
      <c r="AR539" s="1672"/>
      <c r="AS539" s="1674"/>
      <c r="AT539" s="1671"/>
      <c r="AU539" s="1682"/>
      <c r="AV539" s="344"/>
      <c r="AW539" s="54"/>
      <c r="AX539" s="54"/>
      <c r="AY539" s="54"/>
      <c r="AZ539" s="54"/>
      <c r="BA539" s="54"/>
      <c r="BB539" s="54"/>
      <c r="BC539" s="54"/>
    </row>
    <row r="540" spans="1:55">
      <c r="A540" s="45"/>
      <c r="B540" s="1575"/>
      <c r="C540" s="2536" t="s">
        <v>2027</v>
      </c>
      <c r="D540" s="2529"/>
      <c r="E540" s="2788">
        <f ca="1">Transfer!D247/SUM(Transfer!D247,Transfer!D249)</f>
        <v>0.71973559820405708</v>
      </c>
      <c r="F540" s="2337">
        <f ca="1">Transfer!D247</f>
        <v>258.77640000000002</v>
      </c>
      <c r="G540" s="2354">
        <f ca="1">100*((Transfer!D247/Transfer!C247)-1)</f>
        <v>0.89000271351800109</v>
      </c>
      <c r="H540" s="2337">
        <f ca="1">Transfer!E247</f>
        <v>274.46430000000004</v>
      </c>
      <c r="I540" s="2337">
        <f ca="1">100*((Transfer!E247/Transfer!D247)-1)</f>
        <v>6.0623379875444527</v>
      </c>
      <c r="J540" s="2353">
        <f ca="1">Transfer!F247</f>
        <v>293.98497058950005</v>
      </c>
      <c r="K540" s="2354">
        <f ca="1">100*((Transfer!F247/Transfer!E247)-1)</f>
        <v>7.1122803911109811</v>
      </c>
      <c r="L540" s="2337">
        <f ca="1">Transfer!G247</f>
        <v>312.72172305725604</v>
      </c>
      <c r="M540" s="2687">
        <f ca="1">100*((Transfer!G247/Transfer!F247)-1)</f>
        <v>6.3733708666075639</v>
      </c>
      <c r="N540" s="2405"/>
      <c r="O540" s="54"/>
      <c r="P540" s="54"/>
      <c r="Q540" s="54"/>
      <c r="R540" s="54"/>
      <c r="S540" s="189"/>
      <c r="T540" s="353" t="s">
        <v>2027</v>
      </c>
      <c r="U540" s="70"/>
      <c r="V540" s="1692">
        <f t="shared" ref="V540:AD542" ca="1" si="31">ROUND(E540,1)-ROUND(AM540,1)</f>
        <v>0</v>
      </c>
      <c r="W540" s="404">
        <f t="shared" ca="1" si="31"/>
        <v>0</v>
      </c>
      <c r="X540" s="509">
        <f t="shared" ca="1" si="31"/>
        <v>0</v>
      </c>
      <c r="Y540" s="404">
        <f t="shared" ca="1" si="31"/>
        <v>0</v>
      </c>
      <c r="Z540" s="509">
        <f t="shared" ca="1" si="31"/>
        <v>0</v>
      </c>
      <c r="AA540" s="404">
        <f t="shared" ca="1" si="31"/>
        <v>0.5</v>
      </c>
      <c r="AB540" s="509">
        <f t="shared" ca="1" si="31"/>
        <v>0.19999999999999929</v>
      </c>
      <c r="AC540" s="404">
        <f t="shared" ca="1" si="31"/>
        <v>1.0999999999999659</v>
      </c>
      <c r="AD540" s="510">
        <f t="shared" ca="1" si="31"/>
        <v>0.20000000000000018</v>
      </c>
      <c r="AE540" s="195"/>
      <c r="AF540" s="45"/>
      <c r="AG540" s="45"/>
      <c r="AH540" s="45"/>
      <c r="AI540" s="45"/>
      <c r="AJ540" s="189"/>
      <c r="AK540" s="353" t="s">
        <v>2027</v>
      </c>
      <c r="AL540" s="70"/>
      <c r="AM540" s="1692">
        <f>Transfer!AD247/SUM(Transfer!AD247,Transfer!AD249)</f>
        <v>0.71973559820405708</v>
      </c>
      <c r="AN540" s="404">
        <f>Transfer!AD247</f>
        <v>258.77640000000002</v>
      </c>
      <c r="AO540" s="509">
        <f>100*((Transfer!AD247/Transfer!AC247)-1)</f>
        <v>0.89000271351800109</v>
      </c>
      <c r="AP540" s="404">
        <f>Transfer!AE247</f>
        <v>274.46430000000004</v>
      </c>
      <c r="AQ540" s="404">
        <f>100*((Transfer!AE247/Transfer!AD247)-1)</f>
        <v>6.0623379875444527</v>
      </c>
      <c r="AR540" s="403">
        <f>Transfer!AF247</f>
        <v>293.45218958950005</v>
      </c>
      <c r="AS540" s="509">
        <f>100*((Transfer!AF247/Transfer!AE247)-1)</f>
        <v>6.9181637063545187</v>
      </c>
      <c r="AT540" s="404">
        <f>Transfer!AG247</f>
        <v>311.6108746722561</v>
      </c>
      <c r="AU540" s="510">
        <f>100*((Transfer!AG247/Transfer!AF247)-1)</f>
        <v>6.1879535157524534</v>
      </c>
      <c r="AV540" s="195"/>
      <c r="AW540" s="54"/>
      <c r="AX540" s="54"/>
      <c r="AY540" s="54"/>
      <c r="AZ540" s="54"/>
      <c r="BA540" s="531" t="s">
        <v>346</v>
      </c>
      <c r="BB540" s="335"/>
      <c r="BC540" s="54"/>
    </row>
    <row r="541" spans="1:55">
      <c r="A541" s="45"/>
      <c r="B541" s="1575"/>
      <c r="C541" s="2789" t="s">
        <v>2028</v>
      </c>
      <c r="D541" s="2790"/>
      <c r="E541" s="2791">
        <f ca="1">Transfer!D249/SUM(Transfer!D247,Transfer!D249)</f>
        <v>0.28026440179594297</v>
      </c>
      <c r="F541" s="2342">
        <f ca="1">Transfer!D249</f>
        <v>100.76729999999998</v>
      </c>
      <c r="G541" s="2792">
        <f ca="1">100*((Transfer!D249/Transfer!C249)-1)</f>
        <v>-0.4863726770150123</v>
      </c>
      <c r="H541" s="2342">
        <f ca="1">Transfer!E249</f>
        <v>106.55620000000005</v>
      </c>
      <c r="I541" s="2342">
        <f ca="1">100*((Transfer!E249/Transfer!D249)-1)</f>
        <v>5.7448199961694701</v>
      </c>
      <c r="J541" s="2793">
        <f ca="1">Transfer!F249</f>
        <v>110.81844800000005</v>
      </c>
      <c r="K541" s="2792">
        <f ca="1">100*((Transfer!F249/Transfer!E249)-1)</f>
        <v>4.0000000000000036</v>
      </c>
      <c r="L541" s="2342">
        <f ca="1">Transfer!G249</f>
        <v>115.25118592000005</v>
      </c>
      <c r="M541" s="2794">
        <f ca="1">100*((Transfer!G249/Transfer!F249)-1)</f>
        <v>4.0000000000000036</v>
      </c>
      <c r="N541" s="2405"/>
      <c r="O541" s="54"/>
      <c r="P541" s="54"/>
      <c r="Q541" s="54"/>
      <c r="R541" s="54"/>
      <c r="S541" s="189"/>
      <c r="T541" s="1683" t="s">
        <v>2028</v>
      </c>
      <c r="U541" s="1675"/>
      <c r="V541" s="1693">
        <f t="shared" ca="1" si="31"/>
        <v>0</v>
      </c>
      <c r="W541" s="1678">
        <f t="shared" ca="1" si="31"/>
        <v>0</v>
      </c>
      <c r="X541" s="1677">
        <f t="shared" ca="1" si="31"/>
        <v>0</v>
      </c>
      <c r="Y541" s="1678">
        <f t="shared" ca="1" si="31"/>
        <v>0</v>
      </c>
      <c r="Z541" s="1677">
        <f t="shared" ca="1" si="31"/>
        <v>0</v>
      </c>
      <c r="AA541" s="1678">
        <f t="shared" ca="1" si="31"/>
        <v>-0.60000000000000853</v>
      </c>
      <c r="AB541" s="1677">
        <f t="shared" ca="1" si="31"/>
        <v>-0.5</v>
      </c>
      <c r="AC541" s="1678">
        <f t="shared" ca="1" si="31"/>
        <v>-1.1000000000000085</v>
      </c>
      <c r="AD541" s="1684">
        <f t="shared" ca="1" si="31"/>
        <v>-0.5</v>
      </c>
      <c r="AE541" s="195"/>
      <c r="AF541" s="45"/>
      <c r="AG541" s="45"/>
      <c r="AH541" s="45"/>
      <c r="AI541" s="45"/>
      <c r="AJ541" s="189"/>
      <c r="AK541" s="1683" t="s">
        <v>2028</v>
      </c>
      <c r="AL541" s="1675"/>
      <c r="AM541" s="1693">
        <f>Transfer!AD249/SUM(Transfer!AD247,Transfer!AD249)</f>
        <v>0.28026440179594297</v>
      </c>
      <c r="AN541" s="1678">
        <f>Transfer!AD249</f>
        <v>100.76729999999998</v>
      </c>
      <c r="AO541" s="1677">
        <f>100*((Transfer!AD249/Transfer!AC249)-1)</f>
        <v>-0.4863726770150123</v>
      </c>
      <c r="AP541" s="1678">
        <f>Transfer!AE249</f>
        <v>106.55620000000005</v>
      </c>
      <c r="AQ541" s="1678">
        <f>100*((Transfer!AE249/Transfer!AD249)-1)</f>
        <v>5.7448199961694701</v>
      </c>
      <c r="AR541" s="1676">
        <f>Transfer!AF249</f>
        <v>111.35122900000005</v>
      </c>
      <c r="AS541" s="1677">
        <f>100*((Transfer!AF249/Transfer!AE249)-1)</f>
        <v>4.4999999999999929</v>
      </c>
      <c r="AT541" s="1678">
        <f>Transfer!AG249</f>
        <v>116.36203430500004</v>
      </c>
      <c r="AU541" s="1684">
        <f>100*((Transfer!AG249/Transfer!AF249)-1)</f>
        <v>4.4999999999999929</v>
      </c>
      <c r="AV541" s="195"/>
      <c r="AW541" s="54"/>
      <c r="AX541" s="54"/>
      <c r="AY541" s="54"/>
      <c r="AZ541" s="54"/>
      <c r="BA541" s="1587" t="s">
        <v>347</v>
      </c>
      <c r="BB541" s="335"/>
      <c r="BC541" s="54"/>
    </row>
    <row r="542" spans="1:55">
      <c r="A542" s="45"/>
      <c r="B542" s="1575"/>
      <c r="C542" s="2505" t="s">
        <v>1610</v>
      </c>
      <c r="D542" s="2795"/>
      <c r="E542" s="2788">
        <f ca="1">SUM(Transfer!D249,Transfer!D251)/SUM(Transfer!D249,Transfer!D251)</f>
        <v>1</v>
      </c>
      <c r="F542" s="2620">
        <f ca="1">SUM(Transfer!D247,Transfer!D249)</f>
        <v>359.5437</v>
      </c>
      <c r="G542" s="2796">
        <f ca="1">100*((SUM(Transfer!D247,Transfer!D249)/SUM(Transfer!C247,Transfer!C249))-1)</f>
        <v>0.50042850745790624</v>
      </c>
      <c r="H542" s="2620">
        <f ca="1">SUM(Transfer!E247,Transfer!E249)</f>
        <v>381.02050000000008</v>
      </c>
      <c r="I542" s="2620">
        <f ca="1">100*((SUM(Transfer!E247,Transfer!E249)/SUM(Transfer!D247,Transfer!D249))-1)</f>
        <v>5.9733489976323106</v>
      </c>
      <c r="J542" s="2619">
        <f ca="1">SUM(Transfer!F247,Transfer!F249)</f>
        <v>404.8034185895001</v>
      </c>
      <c r="K542" s="2796">
        <f ca="1">100*((SUM(Transfer!F247,Transfer!F249)/SUM(Transfer!E247,Transfer!E249))-1)</f>
        <v>6.2419000000000002</v>
      </c>
      <c r="L542" s="2620">
        <f ca="1">SUM(Transfer!G247,Transfer!G249)</f>
        <v>427.97290897725611</v>
      </c>
      <c r="M542" s="2797">
        <f ca="1">100*((SUM(Transfer!G247,Transfer!G249)/SUM(Transfer!F247,Transfer!F249))-1)</f>
        <v>5.7236399999999854</v>
      </c>
      <c r="N542" s="2413"/>
      <c r="O542" s="54"/>
      <c r="P542" s="54"/>
      <c r="Q542" s="54"/>
      <c r="R542" s="54"/>
      <c r="S542" s="189"/>
      <c r="T542" s="317" t="s">
        <v>1610</v>
      </c>
      <c r="U542" s="1669"/>
      <c r="V542" s="1941">
        <f t="shared" ca="1" si="31"/>
        <v>0</v>
      </c>
      <c r="W542" s="408">
        <f t="shared" ca="1" si="31"/>
        <v>0</v>
      </c>
      <c r="X542" s="1670">
        <f t="shared" ca="1" si="31"/>
        <v>0</v>
      </c>
      <c r="Y542" s="408">
        <f t="shared" ca="1" si="31"/>
        <v>0</v>
      </c>
      <c r="Z542" s="1670">
        <f t="shared" ca="1" si="31"/>
        <v>0</v>
      </c>
      <c r="AA542" s="408">
        <f t="shared" ca="1" si="31"/>
        <v>0</v>
      </c>
      <c r="AB542" s="1670">
        <f t="shared" ca="1" si="31"/>
        <v>0</v>
      </c>
      <c r="AC542" s="408">
        <f t="shared" ca="1" si="31"/>
        <v>0</v>
      </c>
      <c r="AD542" s="1685">
        <f t="shared" ca="1" si="31"/>
        <v>0</v>
      </c>
      <c r="AE542" s="203"/>
      <c r="AF542" s="45"/>
      <c r="AG542" s="45"/>
      <c r="AH542" s="45"/>
      <c r="AI542" s="45"/>
      <c r="AJ542" s="189"/>
      <c r="AK542" s="317" t="s">
        <v>1610</v>
      </c>
      <c r="AL542" s="1669"/>
      <c r="AM542" s="1692">
        <f>SUM(Transfer!AD249,Transfer!AD251)/SUM(Transfer!AD249,Transfer!AD251)</f>
        <v>1</v>
      </c>
      <c r="AN542" s="408">
        <f>SUM(Transfer!AD247,Transfer!AD249)</f>
        <v>359.5437</v>
      </c>
      <c r="AO542" s="1670">
        <f>100*((SUM(Transfer!AD247,Transfer!AD249)/SUM(Transfer!AC247,Transfer!AC249))-1)</f>
        <v>0.50042850745790624</v>
      </c>
      <c r="AP542" s="408">
        <f>SUM(Transfer!AE247,Transfer!AE249)</f>
        <v>381.02050000000008</v>
      </c>
      <c r="AQ542" s="408">
        <f>100*((SUM(Transfer!AE247,Transfer!AE249)/SUM(Transfer!AD247,Transfer!AD249))-1)</f>
        <v>5.9733489976323106</v>
      </c>
      <c r="AR542" s="406">
        <f>SUM(Transfer!AF247,Transfer!AF249)</f>
        <v>404.8034185895001</v>
      </c>
      <c r="AS542" s="1670">
        <f>100*((SUM(Transfer!AF247,Transfer!AF249)/SUM(Transfer!AE247,Transfer!AE249))-1)</f>
        <v>6.2419000000000002</v>
      </c>
      <c r="AT542" s="408">
        <f>SUM(Transfer!AG247,Transfer!AG249)</f>
        <v>427.97290897725611</v>
      </c>
      <c r="AU542" s="1685">
        <f>100*((SUM(Transfer!AG247,Transfer!AG249)/SUM(Transfer!AF247,Transfer!AF249))-1)</f>
        <v>5.7236399999999854</v>
      </c>
      <c r="AV542" s="203"/>
      <c r="AW542" s="54"/>
      <c r="AX542" s="54"/>
      <c r="AY542" s="54"/>
      <c r="AZ542" s="54"/>
      <c r="BA542" s="1587" t="s">
        <v>1851</v>
      </c>
      <c r="BB542" s="335"/>
      <c r="BC542" s="54"/>
    </row>
    <row r="543" spans="1:55">
      <c r="A543" s="45"/>
      <c r="B543" s="1575"/>
      <c r="C543" s="2782" t="s">
        <v>566</v>
      </c>
      <c r="D543" s="2783"/>
      <c r="E543" s="2798"/>
      <c r="F543" s="2326"/>
      <c r="G543" s="2799"/>
      <c r="H543" s="2326"/>
      <c r="I543" s="2326"/>
      <c r="J543" s="2617"/>
      <c r="K543" s="2799"/>
      <c r="L543" s="2326"/>
      <c r="M543" s="2800"/>
      <c r="N543" s="2405"/>
      <c r="O543" s="54"/>
      <c r="P543" s="54"/>
      <c r="Q543" s="54"/>
      <c r="R543" s="54"/>
      <c r="S543" s="189"/>
      <c r="T543" s="1696" t="s">
        <v>566</v>
      </c>
      <c r="U543" s="1671"/>
      <c r="V543" s="1942"/>
      <c r="W543" s="402"/>
      <c r="X543" s="1679"/>
      <c r="Y543" s="402"/>
      <c r="Z543" s="1679"/>
      <c r="AA543" s="402"/>
      <c r="AB543" s="1679"/>
      <c r="AC543" s="402"/>
      <c r="AD543" s="1686"/>
      <c r="AE543" s="195"/>
      <c r="AF543" s="45"/>
      <c r="AG543" s="45"/>
      <c r="AH543" s="45"/>
      <c r="AI543" s="45"/>
      <c r="AJ543" s="189"/>
      <c r="AK543" s="1696" t="s">
        <v>566</v>
      </c>
      <c r="AL543" s="1671"/>
      <c r="AM543" s="1694"/>
      <c r="AN543" s="402"/>
      <c r="AO543" s="1679"/>
      <c r="AP543" s="402"/>
      <c r="AQ543" s="402"/>
      <c r="AR543" s="401"/>
      <c r="AS543" s="1679"/>
      <c r="AT543" s="402"/>
      <c r="AU543" s="1686"/>
      <c r="AV543" s="195"/>
      <c r="AW543" s="54"/>
      <c r="AX543" s="54"/>
      <c r="AY543" s="54"/>
      <c r="AZ543" s="54"/>
      <c r="BA543" s="1896"/>
      <c r="BB543" s="335"/>
      <c r="BC543" s="54"/>
    </row>
    <row r="544" spans="1:55">
      <c r="A544" s="45"/>
      <c r="B544" s="1575"/>
      <c r="C544" s="2536" t="s">
        <v>2029</v>
      </c>
      <c r="D544" s="2529"/>
      <c r="E544" s="2788">
        <f ca="1">Transfer!D250/SUM(Transfer!D250,Transfer!D252)</f>
        <v>0.63802114280959066</v>
      </c>
      <c r="F544" s="2337">
        <f ca="1">Transfer!D250</f>
        <v>218.50980000000001</v>
      </c>
      <c r="G544" s="2354">
        <f ca="1">100*((Transfer!D250/Transfer!C250)-1)</f>
        <v>2.7950049043014236</v>
      </c>
      <c r="H544" s="2337">
        <f ca="1">Transfer!E250</f>
        <v>231.54430000000002</v>
      </c>
      <c r="I544" s="2337">
        <f ca="1">100*((Transfer!E250/Transfer!D250)-1)</f>
        <v>5.9651786784848948</v>
      </c>
      <c r="J544" s="2353">
        <f ca="1">Transfer!F250</f>
        <v>247.63087470000005</v>
      </c>
      <c r="K544" s="2354">
        <f ca="1">100*((Transfer!F250/Transfer!E250)-1)</f>
        <v>6.947514881601502</v>
      </c>
      <c r="L544" s="2337">
        <f ca="1">Transfer!G250</f>
        <v>262.97241452700905</v>
      </c>
      <c r="M544" s="2687">
        <f ca="1">100*((Transfer!G250/Transfer!F250)-1)</f>
        <v>6.1953259445515219</v>
      </c>
      <c r="N544" s="2405"/>
      <c r="O544" s="54"/>
      <c r="P544" s="54"/>
      <c r="Q544" s="54"/>
      <c r="R544" s="54"/>
      <c r="S544" s="189"/>
      <c r="T544" s="353" t="s">
        <v>2029</v>
      </c>
      <c r="U544" s="70"/>
      <c r="V544" s="1692">
        <f t="shared" ref="V544:AC546" ca="1" si="32">ROUND(E544,1)-ROUND(AM544,1)</f>
        <v>0</v>
      </c>
      <c r="W544" s="404">
        <f t="shared" ca="1" si="32"/>
        <v>0</v>
      </c>
      <c r="X544" s="509">
        <f t="shared" ca="1" si="32"/>
        <v>0</v>
      </c>
      <c r="Y544" s="404">
        <f t="shared" ca="1" si="32"/>
        <v>0</v>
      </c>
      <c r="Z544" s="509">
        <f t="shared" ca="1" si="32"/>
        <v>0</v>
      </c>
      <c r="AA544" s="404">
        <f t="shared" ca="1" si="32"/>
        <v>2.5</v>
      </c>
      <c r="AB544" s="509">
        <f t="shared" ca="1" si="32"/>
        <v>1.1000000000000005</v>
      </c>
      <c r="AC544" s="404">
        <f t="shared" ca="1" si="32"/>
        <v>5.3999999999999773</v>
      </c>
      <c r="AD544" s="510">
        <f ca="1">ROUND(M544,1)-ROUND(AU544,1)</f>
        <v>1.1000000000000005</v>
      </c>
      <c r="AE544" s="195"/>
      <c r="AF544" s="45"/>
      <c r="AG544" s="45"/>
      <c r="AH544" s="45"/>
      <c r="AI544" s="45"/>
      <c r="AJ544" s="189"/>
      <c r="AK544" s="353" t="s">
        <v>2029</v>
      </c>
      <c r="AL544" s="70"/>
      <c r="AM544" s="1692">
        <f>Transfer!AD250/SUM(Transfer!AD250,Transfer!AD252)</f>
        <v>0.63802114280959066</v>
      </c>
      <c r="AN544" s="404">
        <f>Transfer!AD250</f>
        <v>218.50980000000001</v>
      </c>
      <c r="AO544" s="509">
        <f>100*((Transfer!AD250/Transfer!AC250)-1)</f>
        <v>2.7950049043014236</v>
      </c>
      <c r="AP544" s="404">
        <f>Transfer!AE250</f>
        <v>231.54430000000002</v>
      </c>
      <c r="AQ544" s="404">
        <f>100*((Transfer!AE250/Transfer!AD250)-1)</f>
        <v>5.9651786784848948</v>
      </c>
      <c r="AR544" s="403">
        <f>Transfer!AF250</f>
        <v>245.05831070000005</v>
      </c>
      <c r="AS544" s="509">
        <f>100*((Transfer!AF250/Transfer!AE250)-1)</f>
        <v>5.8364687448579033</v>
      </c>
      <c r="AT544" s="404">
        <f>Transfer!AG250</f>
        <v>257.59580578682164</v>
      </c>
      <c r="AU544" s="510">
        <f>100*((Transfer!AG250/Transfer!AF250)-1)</f>
        <v>5.1161272804863156</v>
      </c>
      <c r="AV544" s="195"/>
      <c r="AW544" s="54"/>
      <c r="AX544" s="54"/>
      <c r="AY544" s="54"/>
      <c r="AZ544" s="54"/>
      <c r="BA544" s="1896" t="s">
        <v>1852</v>
      </c>
      <c r="BB544" s="335"/>
      <c r="BC544" s="54"/>
    </row>
    <row r="545" spans="1:55">
      <c r="A545" s="45"/>
      <c r="B545" s="1575"/>
      <c r="C545" s="2789" t="s">
        <v>2030</v>
      </c>
      <c r="D545" s="2790"/>
      <c r="E545" s="2791">
        <f ca="1">Transfer!D252/SUM(Transfer!D250,Transfer!D252)</f>
        <v>0.36197885719040934</v>
      </c>
      <c r="F545" s="2342">
        <f ca="1">Transfer!D252</f>
        <v>123.97069999999999</v>
      </c>
      <c r="G545" s="2792">
        <f ca="1">100*((Transfer!D252/Transfer!C252)-1)</f>
        <v>-1.6122734364955815</v>
      </c>
      <c r="H545" s="2342">
        <f ca="1">Transfer!E252</f>
        <v>128.62820000000002</v>
      </c>
      <c r="I545" s="2342">
        <f ca="1">100*((Transfer!E252/Transfer!D252)-1)</f>
        <v>3.7569361147432589</v>
      </c>
      <c r="J545" s="2793">
        <f ca="1">Transfer!F252</f>
        <v>135.05961000000002</v>
      </c>
      <c r="K545" s="2792">
        <f ca="1">100*((Transfer!F252/Transfer!E252)-1)</f>
        <v>5.0000000000000044</v>
      </c>
      <c r="L545" s="2342">
        <f ca="1">Transfer!G252</f>
        <v>141.81259050000003</v>
      </c>
      <c r="M545" s="2794">
        <f ca="1">100*((Transfer!G252/Transfer!F252)-1)</f>
        <v>5.0000000000000044</v>
      </c>
      <c r="N545" s="2405"/>
      <c r="O545" s="54"/>
      <c r="P545" s="54"/>
      <c r="Q545" s="54"/>
      <c r="R545" s="54"/>
      <c r="S545" s="189"/>
      <c r="T545" s="1683" t="s">
        <v>2030</v>
      </c>
      <c r="U545" s="1675"/>
      <c r="V545" s="1693">
        <f t="shared" ca="1" si="32"/>
        <v>0</v>
      </c>
      <c r="W545" s="1678">
        <f t="shared" ca="1" si="32"/>
        <v>0</v>
      </c>
      <c r="X545" s="1677">
        <f t="shared" ca="1" si="32"/>
        <v>0</v>
      </c>
      <c r="Y545" s="1678">
        <f t="shared" ca="1" si="32"/>
        <v>0</v>
      </c>
      <c r="Z545" s="1677">
        <f t="shared" ca="1" si="32"/>
        <v>0</v>
      </c>
      <c r="AA545" s="1678">
        <f t="shared" ca="1" si="32"/>
        <v>-2.5</v>
      </c>
      <c r="AB545" s="1677">
        <f t="shared" ca="1" si="32"/>
        <v>-2</v>
      </c>
      <c r="AC545" s="1678">
        <f t="shared" ca="1" si="32"/>
        <v>-5.5</v>
      </c>
      <c r="AD545" s="1684">
        <f ca="1">ROUND(M545,1)-ROUND(AU545,1)</f>
        <v>-2</v>
      </c>
      <c r="AE545" s="195"/>
      <c r="AF545" s="45"/>
      <c r="AG545" s="45"/>
      <c r="AH545" s="45"/>
      <c r="AI545" s="45"/>
      <c r="AJ545" s="189"/>
      <c r="AK545" s="1683" t="s">
        <v>2030</v>
      </c>
      <c r="AL545" s="1675"/>
      <c r="AM545" s="1693">
        <f>Transfer!AD252/SUM(Transfer!AD250,Transfer!AD252)</f>
        <v>0.36197885719040934</v>
      </c>
      <c r="AN545" s="1678">
        <f>Transfer!AD252</f>
        <v>123.97069999999999</v>
      </c>
      <c r="AO545" s="1677">
        <f>100*((Transfer!AD252/Transfer!AC252)-1)</f>
        <v>-1.6122734364955815</v>
      </c>
      <c r="AP545" s="1678">
        <f>Transfer!AE252</f>
        <v>128.62820000000002</v>
      </c>
      <c r="AQ545" s="1678">
        <f>100*((Transfer!AE252/Transfer!AD252)-1)</f>
        <v>3.7569361147432589</v>
      </c>
      <c r="AR545" s="1676">
        <f>Transfer!AF252</f>
        <v>137.63217400000002</v>
      </c>
      <c r="AS545" s="1677">
        <f>100*((Transfer!AF252/Transfer!AE252)-1)</f>
        <v>7.0000000000000062</v>
      </c>
      <c r="AT545" s="1678">
        <f>Transfer!AG252</f>
        <v>147.26642618000002</v>
      </c>
      <c r="AU545" s="1684">
        <f>100*((Transfer!AG252/Transfer!AF252)-1)</f>
        <v>7.0000000000000062</v>
      </c>
      <c r="AV545" s="195"/>
      <c r="AW545" s="54"/>
      <c r="AX545" s="54"/>
      <c r="AY545" s="54"/>
      <c r="AZ545" s="54"/>
      <c r="BA545" s="1587" t="s">
        <v>1853</v>
      </c>
      <c r="BB545" s="335"/>
      <c r="BC545" s="54"/>
    </row>
    <row r="546" spans="1:55">
      <c r="A546" s="45"/>
      <c r="B546" s="1575"/>
      <c r="C546" s="2505" t="s">
        <v>1638</v>
      </c>
      <c r="D546" s="2795"/>
      <c r="E546" s="2788">
        <f ca="1">SUM(Transfer!D250,Transfer!D252)/SUM(Transfer!D250,Transfer!D252)</f>
        <v>1</v>
      </c>
      <c r="F546" s="2620">
        <f ca="1">SUM(Transfer!D250,Transfer!D252)</f>
        <v>342.48050000000001</v>
      </c>
      <c r="G546" s="2796">
        <f ca="1">100*((SUM(Transfer!D250,Transfer!D252)/SUM(Transfer!C250,Transfer!C252))-1)</f>
        <v>1.1547957339486103</v>
      </c>
      <c r="H546" s="2620">
        <f ca="1">SUM(Transfer!E250,Transfer!E252)</f>
        <v>360.17250000000001</v>
      </c>
      <c r="I546" s="2620">
        <f ca="1">100*((SUM(Transfer!E250,Transfer!E252)/SUM(Transfer!D250,Transfer!D252))-1)</f>
        <v>5.1658415588624829</v>
      </c>
      <c r="J546" s="2619">
        <f ca="1">SUM(Transfer!F250,Transfer!F252)</f>
        <v>382.69048470000007</v>
      </c>
      <c r="K546" s="2796">
        <f ca="1">100*((SUM(Transfer!F250,Transfer!F252)/SUM(Transfer!E250,Transfer!E252))-1)</f>
        <v>6.2520000000000131</v>
      </c>
      <c r="L546" s="2620">
        <f ca="1">SUM(Transfer!G250,Transfer!G252)</f>
        <v>404.78500502700911</v>
      </c>
      <c r="M546" s="2797">
        <f ca="1">100*((SUM(Transfer!G250,Transfer!G252)/SUM(Transfer!F250,Transfer!F252))-1)</f>
        <v>5.7734699999999917</v>
      </c>
      <c r="N546" s="2413"/>
      <c r="O546" s="54"/>
      <c r="P546" s="54"/>
      <c r="Q546" s="54"/>
      <c r="R546" s="54"/>
      <c r="S546" s="189"/>
      <c r="T546" s="317" t="s">
        <v>1638</v>
      </c>
      <c r="U546" s="1669"/>
      <c r="V546" s="1941">
        <f t="shared" ca="1" si="32"/>
        <v>0</v>
      </c>
      <c r="W546" s="1943">
        <f t="shared" ca="1" si="32"/>
        <v>0</v>
      </c>
      <c r="X546" s="1944">
        <f t="shared" ca="1" si="32"/>
        <v>0</v>
      </c>
      <c r="Y546" s="1945">
        <f t="shared" ca="1" si="32"/>
        <v>0</v>
      </c>
      <c r="Z546" s="1944">
        <f t="shared" ca="1" si="32"/>
        <v>0</v>
      </c>
      <c r="AA546" s="1945">
        <f t="shared" ca="1" si="32"/>
        <v>0</v>
      </c>
      <c r="AB546" s="1944">
        <f t="shared" ca="1" si="32"/>
        <v>0</v>
      </c>
      <c r="AC546" s="1945">
        <f t="shared" ca="1" si="32"/>
        <v>-9.9999999999965894E-2</v>
      </c>
      <c r="AD546" s="1946">
        <f ca="1">ROUND(M546,1)-ROUND(AU546,1)</f>
        <v>0</v>
      </c>
      <c r="AE546" s="203"/>
      <c r="AF546" s="45"/>
      <c r="AG546" s="45"/>
      <c r="AH546" s="45"/>
      <c r="AI546" s="45"/>
      <c r="AJ546" s="189"/>
      <c r="AK546" s="317" t="s">
        <v>1638</v>
      </c>
      <c r="AL546" s="1669"/>
      <c r="AM546" s="1692">
        <f>SUM(Transfer!AD250,Transfer!AD252)/SUM(Transfer!AD250,Transfer!AD252)</f>
        <v>1</v>
      </c>
      <c r="AN546" s="408">
        <f>SUM(Transfer!AD250,Transfer!AD252)</f>
        <v>342.48050000000001</v>
      </c>
      <c r="AO546" s="1670">
        <f>100*((SUM(Transfer!AD250,Transfer!AD252)/SUM(Transfer!AC250,Transfer!AC252))-1)</f>
        <v>1.1547957339486103</v>
      </c>
      <c r="AP546" s="408">
        <f>SUM(Transfer!AE250,Transfer!AE252)</f>
        <v>360.17250000000001</v>
      </c>
      <c r="AQ546" s="408">
        <f>100*((SUM(Transfer!AE250,Transfer!AE252)/SUM(Transfer!AD250,Transfer!AD252))-1)</f>
        <v>5.1658415588624829</v>
      </c>
      <c r="AR546" s="406">
        <f>SUM(Transfer!AF250,Transfer!AF252)</f>
        <v>382.69048470000007</v>
      </c>
      <c r="AS546" s="1670">
        <f>100*((SUM(Transfer!AF250,Transfer!AF252)/SUM(Transfer!AE250,Transfer!AE252))-1)</f>
        <v>6.2520000000000131</v>
      </c>
      <c r="AT546" s="408">
        <f>SUM(Transfer!AG250,Transfer!AG252)</f>
        <v>404.8622319668217</v>
      </c>
      <c r="AU546" s="1685">
        <f>100*((SUM(Transfer!AG250,Transfer!AG252)/SUM(Transfer!AF250,Transfer!AF252))-1)</f>
        <v>5.7936500000000279</v>
      </c>
      <c r="AV546" s="203"/>
      <c r="AW546" s="54"/>
      <c r="AX546" s="54"/>
      <c r="AY546" s="54"/>
      <c r="AZ546" s="54"/>
      <c r="BA546" s="1587" t="s">
        <v>1854</v>
      </c>
      <c r="BB546" s="335"/>
      <c r="BC546" s="54"/>
    </row>
    <row r="547" spans="1:55" ht="13.8" thickBot="1">
      <c r="A547" s="45"/>
      <c r="B547" s="1575"/>
      <c r="C547" s="2523" t="s">
        <v>1639</v>
      </c>
      <c r="D547" s="1687"/>
      <c r="E547" s="1695"/>
      <c r="F547" s="1688">
        <f ca="1">SUM(Transfer!D247,Transfer!D249)-SUM(Transfer!D250,Transfer!D252)</f>
        <v>17.063199999999995</v>
      </c>
      <c r="G547" s="1689"/>
      <c r="H547" s="1688">
        <f ca="1">SUM(Transfer!E247,Transfer!E249)-SUM(Transfer!E250,Transfer!E252)</f>
        <v>20.84800000000007</v>
      </c>
      <c r="I547" s="1688"/>
      <c r="J547" s="1690">
        <f ca="1">SUM(Transfer!F247,Transfer!F249)-SUM(Transfer!F250,Transfer!F252)</f>
        <v>22.112933889500027</v>
      </c>
      <c r="K547" s="1689"/>
      <c r="L547" s="1688">
        <f ca="1">SUM(Transfer!G247,Transfer!G249)-SUM(Transfer!G250,Transfer!G252)</f>
        <v>23.187903950247005</v>
      </c>
      <c r="M547" s="1691"/>
      <c r="N547" s="203"/>
      <c r="O547" s="54"/>
      <c r="P547" s="54"/>
      <c r="Q547" s="54"/>
      <c r="R547" s="54"/>
      <c r="S547" s="189"/>
      <c r="T547" s="1590" t="s">
        <v>1639</v>
      </c>
      <c r="U547" s="1687"/>
      <c r="V547" s="1947"/>
      <c r="W547" s="1690">
        <f ca="1">ROUND(F547,1)-ROUND(AN547,1)</f>
        <v>0</v>
      </c>
      <c r="X547" s="1689"/>
      <c r="Y547" s="1688">
        <f ca="1">ROUND(H547,1)-ROUND(AP547,1)</f>
        <v>0</v>
      </c>
      <c r="Z547" s="1689"/>
      <c r="AA547" s="1688">
        <f ca="1">ROUND(J547,1)-ROUND(AR547,1)</f>
        <v>0</v>
      </c>
      <c r="AB547" s="1689"/>
      <c r="AC547" s="1688">
        <f ca="1">ROUND(L547,1)-ROUND(AT547,1)</f>
        <v>9.9999999999997868E-2</v>
      </c>
      <c r="AD547" s="1948"/>
      <c r="AE547" s="203"/>
      <c r="AF547" s="45"/>
      <c r="AG547" s="45"/>
      <c r="AH547" s="45"/>
      <c r="AI547" s="45"/>
      <c r="AJ547" s="189"/>
      <c r="AK547" s="1590" t="s">
        <v>1639</v>
      </c>
      <c r="AL547" s="1687"/>
      <c r="AM547" s="1695"/>
      <c r="AN547" s="1688">
        <f>SUM(Transfer!AD247,Transfer!AD249)-SUM(Transfer!AD250,Transfer!AD252)</f>
        <v>17.063199999999995</v>
      </c>
      <c r="AO547" s="1689"/>
      <c r="AP547" s="1688">
        <f>SUM(Transfer!AE247,Transfer!AE249)-SUM(Transfer!AE250,Transfer!AE252)</f>
        <v>20.84800000000007</v>
      </c>
      <c r="AQ547" s="1688"/>
      <c r="AR547" s="1690">
        <f>SUM(Transfer!AF247,Transfer!AF249)-SUM(Transfer!AF250,Transfer!AF252)</f>
        <v>22.112933889500027</v>
      </c>
      <c r="AS547" s="1689"/>
      <c r="AT547" s="1688">
        <f>SUM(Transfer!AG247,Transfer!AG249)-SUM(Transfer!AG250,Transfer!AG252)</f>
        <v>23.110677010434415</v>
      </c>
      <c r="AU547" s="1691"/>
      <c r="AV547" s="203"/>
      <c r="AW547" s="54"/>
      <c r="AX547" s="54"/>
      <c r="AY547" s="54"/>
      <c r="AZ547" s="54"/>
      <c r="BA547" s="1588" t="s">
        <v>1855</v>
      </c>
      <c r="BB547" s="335"/>
      <c r="BC547" s="54"/>
    </row>
    <row r="548" spans="1:55">
      <c r="A548" s="45"/>
      <c r="B548" s="216"/>
      <c r="C548" s="113"/>
      <c r="D548" s="113"/>
      <c r="E548" s="113"/>
      <c r="F548" s="113"/>
      <c r="G548" s="113"/>
      <c r="H548" s="113"/>
      <c r="I548" s="113"/>
      <c r="J548" s="113"/>
      <c r="K548" s="113"/>
      <c r="L548" s="113"/>
      <c r="M548" s="118" t="str">
        <f>UPPER(Country)</f>
        <v>BELGIUM</v>
      </c>
      <c r="N548" s="217"/>
      <c r="O548" s="54"/>
      <c r="P548" s="54"/>
      <c r="Q548" s="54"/>
      <c r="R548" s="54"/>
      <c r="S548" s="216"/>
      <c r="T548" s="113"/>
      <c r="U548" s="113"/>
      <c r="V548" s="113"/>
      <c r="W548" s="113"/>
      <c r="X548" s="113"/>
      <c r="Y548" s="113"/>
      <c r="Z548" s="113"/>
      <c r="AA548" s="113"/>
      <c r="AB548" s="113"/>
      <c r="AC548" s="113"/>
      <c r="AD548" s="118" t="str">
        <f>UPPER(Country)</f>
        <v>BELGIUM</v>
      </c>
      <c r="AE548" s="217"/>
      <c r="AF548" s="45"/>
      <c r="AG548" s="45"/>
      <c r="AH548" s="45"/>
      <c r="AI548" s="45"/>
      <c r="AJ548" s="216"/>
      <c r="AK548" s="113"/>
      <c r="AL548" s="113"/>
      <c r="AM548" s="113"/>
      <c r="AN548" s="113"/>
      <c r="AO548" s="113"/>
      <c r="AP548" s="113"/>
      <c r="AQ548" s="113"/>
      <c r="AR548" s="113"/>
      <c r="AS548" s="113"/>
      <c r="AT548" s="113"/>
      <c r="AU548" s="118" t="str">
        <f>UPPER(Country)</f>
        <v>BELGIUM</v>
      </c>
      <c r="AV548" s="217"/>
      <c r="AW548" s="54"/>
      <c r="AX548" s="54"/>
      <c r="AY548" s="54"/>
      <c r="AZ548" s="54"/>
      <c r="BA548" s="54"/>
      <c r="BB548" s="54"/>
      <c r="BC548" s="54"/>
    </row>
    <row r="549" spans="1:55">
      <c r="A549" s="45"/>
      <c r="B549" s="45"/>
      <c r="C549" s="45"/>
      <c r="D549" s="45"/>
      <c r="E549" s="45"/>
      <c r="F549" s="45"/>
      <c r="G549" s="45"/>
      <c r="H549" s="45"/>
      <c r="I549" s="45"/>
      <c r="J549" s="45"/>
      <c r="K549" s="45"/>
      <c r="L549" s="45"/>
      <c r="M549" s="45"/>
      <c r="N549" s="54"/>
      <c r="O549" s="54"/>
      <c r="P549" s="54"/>
      <c r="Q549" s="54"/>
      <c r="R549" s="54"/>
      <c r="S549" s="54"/>
      <c r="T549" s="54"/>
      <c r="U549" s="54"/>
      <c r="V549" s="54"/>
      <c r="W549" s="54"/>
      <c r="X549" s="54"/>
      <c r="Y549" s="54"/>
      <c r="Z549" s="54"/>
      <c r="AA549" s="54"/>
      <c r="AB549" s="45"/>
      <c r="AC549" s="45"/>
      <c r="AD549" s="45"/>
      <c r="AE549" s="45"/>
      <c r="AF549" s="45"/>
      <c r="AG549" s="45"/>
      <c r="AH549" s="45"/>
      <c r="AI549" s="45"/>
      <c r="AJ549" s="45"/>
      <c r="AK549" s="45"/>
      <c r="AL549" s="45"/>
      <c r="AM549" s="45"/>
      <c r="AN549" s="45"/>
      <c r="AO549" s="45"/>
      <c r="AP549" s="45"/>
      <c r="AQ549" s="45"/>
      <c r="AR549" s="45"/>
      <c r="AS549" s="45"/>
      <c r="AT549" s="45"/>
      <c r="AU549" s="45"/>
      <c r="AV549" s="54"/>
      <c r="AW549" s="54"/>
      <c r="AX549" s="54"/>
      <c r="AY549" s="54"/>
      <c r="AZ549" s="54"/>
      <c r="BA549" s="54"/>
      <c r="BB549" s="54"/>
      <c r="BC549" s="54"/>
    </row>
    <row r="550" spans="1:55">
      <c r="A550" s="45"/>
      <c r="B550" s="45"/>
      <c r="C550" s="45"/>
      <c r="D550" s="45"/>
      <c r="E550" s="45"/>
      <c r="F550" s="45"/>
      <c r="G550" s="45"/>
      <c r="H550" s="45"/>
      <c r="I550" s="45"/>
      <c r="J550" s="45"/>
      <c r="K550" s="45"/>
      <c r="L550" s="45"/>
      <c r="M550" s="45"/>
      <c r="N550" s="45"/>
      <c r="O550" s="54"/>
      <c r="P550" s="54"/>
      <c r="Q550" s="54"/>
      <c r="R550" s="54"/>
      <c r="S550" s="54"/>
      <c r="T550" s="54"/>
      <c r="U550" s="54"/>
      <c r="V550" s="54"/>
      <c r="W550" s="54"/>
      <c r="X550" s="54"/>
      <c r="Y550" s="54"/>
      <c r="Z550" s="54"/>
      <c r="AA550" s="54"/>
      <c r="AB550" s="45"/>
      <c r="AC550" s="45"/>
      <c r="AD550" s="45"/>
      <c r="AE550" s="45"/>
      <c r="AF550" s="45"/>
      <c r="AG550" s="45"/>
      <c r="AH550" s="45"/>
      <c r="AI550" s="45"/>
      <c r="AJ550" s="45"/>
      <c r="AK550" s="45"/>
      <c r="AL550" s="45"/>
      <c r="AM550" s="45"/>
      <c r="AN550" s="45"/>
      <c r="AO550" s="45"/>
      <c r="AP550" s="45"/>
      <c r="AQ550" s="45"/>
      <c r="AR550" s="45"/>
      <c r="AS550" s="45"/>
      <c r="AT550" s="45"/>
      <c r="AU550" s="45"/>
      <c r="AV550" s="45"/>
      <c r="AW550" s="54"/>
      <c r="AX550" s="54"/>
      <c r="AY550" s="54"/>
      <c r="AZ550" s="54"/>
      <c r="BA550" s="54"/>
      <c r="BB550" s="54"/>
      <c r="BC550" s="54"/>
    </row>
    <row r="551" spans="1:55">
      <c r="A551" s="45"/>
      <c r="B551" s="45"/>
      <c r="C551" s="45"/>
      <c r="D551" s="45"/>
      <c r="E551" s="45"/>
      <c r="F551" s="45"/>
      <c r="G551" s="45"/>
      <c r="H551" s="45"/>
      <c r="I551" s="45"/>
      <c r="J551" s="45"/>
      <c r="K551" s="45"/>
      <c r="L551" s="45"/>
      <c r="M551" s="45"/>
      <c r="N551" s="45"/>
      <c r="O551" s="54"/>
      <c r="P551" s="54"/>
      <c r="Q551" s="54"/>
      <c r="R551" s="54"/>
      <c r="S551" s="54"/>
      <c r="T551" s="54"/>
      <c r="U551" s="54"/>
      <c r="V551" s="54"/>
      <c r="W551" s="54"/>
      <c r="X551" s="54"/>
      <c r="Y551" s="54"/>
      <c r="Z551" s="54"/>
      <c r="AA551" s="54"/>
      <c r="AB551" s="54"/>
      <c r="AC551" s="54"/>
      <c r="AD551" s="54"/>
      <c r="AE551" s="54"/>
      <c r="AF551" s="54"/>
      <c r="AG551" s="54"/>
      <c r="AH551" s="54"/>
      <c r="AI551" s="54"/>
      <c r="AJ551" s="54"/>
      <c r="AK551" s="54"/>
      <c r="AL551" s="54"/>
      <c r="AM551" s="54"/>
      <c r="AN551" s="54"/>
      <c r="AO551" s="54"/>
      <c r="AP551" s="54"/>
      <c r="AQ551" s="54"/>
      <c r="AR551" s="54"/>
      <c r="AS551" s="54"/>
      <c r="AT551" s="54"/>
      <c r="AU551" s="54"/>
      <c r="AV551" s="54"/>
      <c r="AW551" s="54"/>
      <c r="AX551" s="54"/>
      <c r="AY551" s="54"/>
      <c r="AZ551" s="54"/>
      <c r="BA551" s="54"/>
      <c r="BB551" s="54"/>
      <c r="BC551" s="54"/>
    </row>
    <row r="552" spans="1:55">
      <c r="A552" s="45"/>
      <c r="B552" s="45"/>
      <c r="C552" s="45"/>
      <c r="D552" s="45"/>
      <c r="E552" s="45"/>
      <c r="F552" s="45"/>
      <c r="G552" s="45"/>
      <c r="H552" s="45"/>
      <c r="I552" s="45"/>
      <c r="J552" s="45"/>
      <c r="K552" s="45"/>
      <c r="L552" s="45"/>
      <c r="M552" s="45"/>
      <c r="N552" s="45"/>
      <c r="O552" s="54"/>
      <c r="P552" s="54"/>
      <c r="Q552" s="54"/>
      <c r="R552" s="54"/>
      <c r="S552" s="54"/>
      <c r="T552" s="54"/>
      <c r="U552" s="54"/>
      <c r="V552" s="54"/>
      <c r="W552" s="54"/>
      <c r="X552" s="54"/>
      <c r="Y552" s="54"/>
      <c r="Z552" s="54"/>
      <c r="AA552" s="54"/>
      <c r="AB552" s="54"/>
      <c r="AC552" s="54"/>
      <c r="AD552" s="54"/>
      <c r="AE552" s="54"/>
      <c r="AF552" s="54"/>
      <c r="AG552" s="54"/>
      <c r="AH552" s="54"/>
      <c r="AI552" s="54"/>
      <c r="AJ552" s="54"/>
      <c r="AK552" s="54"/>
      <c r="AL552" s="54"/>
      <c r="AM552" s="54"/>
      <c r="AN552" s="54"/>
      <c r="AO552" s="54"/>
      <c r="AP552" s="54"/>
      <c r="AQ552" s="54"/>
      <c r="AR552" s="54"/>
      <c r="AS552" s="54"/>
      <c r="AT552" s="54"/>
      <c r="AU552" s="54"/>
      <c r="AV552" s="54"/>
      <c r="AW552" s="54"/>
      <c r="AX552" s="54"/>
      <c r="AY552" s="54"/>
      <c r="AZ552" s="54"/>
      <c r="BA552" s="54"/>
      <c r="BB552" s="54"/>
      <c r="BC552" s="54"/>
    </row>
    <row r="553" spans="1:55">
      <c r="A553" s="45"/>
      <c r="B553" s="45"/>
      <c r="C553" s="45"/>
      <c r="D553" s="45"/>
      <c r="E553" s="45"/>
      <c r="F553" s="45"/>
      <c r="G553" s="45"/>
      <c r="H553" s="45"/>
      <c r="I553" s="45"/>
      <c r="J553" s="45"/>
      <c r="K553" s="45"/>
      <c r="L553" s="45"/>
      <c r="M553" s="45"/>
      <c r="N553" s="45"/>
      <c r="O553" s="54"/>
      <c r="P553" s="54"/>
      <c r="Q553" s="54"/>
      <c r="R553" s="54"/>
      <c r="S553" s="54"/>
      <c r="T553" s="54"/>
      <c r="U553" s="54"/>
      <c r="V553" s="54"/>
      <c r="W553" s="54"/>
      <c r="X553" s="54"/>
      <c r="Y553" s="54"/>
      <c r="Z553" s="54"/>
      <c r="AA553" s="54"/>
      <c r="AB553" s="54"/>
      <c r="AC553" s="54"/>
      <c r="AD553" s="54"/>
      <c r="AE553" s="54"/>
      <c r="AF553" s="54"/>
      <c r="AG553" s="54"/>
      <c r="AH553" s="54"/>
      <c r="AI553" s="54"/>
      <c r="AJ553" s="54"/>
      <c r="AK553" s="54"/>
      <c r="AL553" s="54"/>
      <c r="AM553" s="54"/>
      <c r="AN553" s="54"/>
      <c r="AO553" s="54"/>
      <c r="AP553" s="54"/>
      <c r="AQ553" s="54"/>
      <c r="AR553" s="54"/>
      <c r="AS553" s="54"/>
      <c r="AT553" s="54"/>
      <c r="AU553" s="54"/>
      <c r="AV553" s="54"/>
      <c r="AW553" s="54"/>
      <c r="AX553" s="54"/>
      <c r="AY553" s="54"/>
      <c r="AZ553" s="54"/>
      <c r="BA553" s="54"/>
      <c r="BB553" s="54"/>
      <c r="BC553" s="54"/>
    </row>
    <row r="554" spans="1:55">
      <c r="A554" s="45"/>
      <c r="B554" s="45"/>
      <c r="C554" s="45"/>
      <c r="D554" s="45"/>
      <c r="E554" s="45"/>
      <c r="F554" s="45"/>
      <c r="G554" s="45"/>
      <c r="H554" s="45"/>
      <c r="I554" s="45"/>
      <c r="J554" s="45"/>
      <c r="K554" s="45"/>
      <c r="L554" s="45"/>
      <c r="M554" s="45"/>
      <c r="N554" s="45"/>
      <c r="O554" s="54"/>
      <c r="P554" s="54"/>
      <c r="Q554" s="54"/>
      <c r="R554" s="54"/>
      <c r="S554" s="54"/>
      <c r="T554" s="54"/>
      <c r="U554" s="54"/>
      <c r="V554" s="54"/>
      <c r="W554" s="54"/>
      <c r="X554" s="54"/>
      <c r="Y554" s="54"/>
      <c r="Z554" s="54"/>
      <c r="AA554" s="54"/>
      <c r="AB554" s="54"/>
      <c r="AC554" s="54"/>
      <c r="AD554" s="54"/>
      <c r="AE554" s="54"/>
      <c r="AF554" s="54"/>
      <c r="AG554" s="54"/>
      <c r="AH554" s="54"/>
      <c r="AI554" s="54"/>
      <c r="AJ554" s="54"/>
      <c r="AK554" s="54"/>
      <c r="AL554" s="54"/>
      <c r="AM554" s="54"/>
      <c r="AN554" s="54"/>
      <c r="AO554" s="54"/>
      <c r="AP554" s="54"/>
      <c r="AQ554" s="54"/>
      <c r="AR554" s="54"/>
      <c r="AS554" s="54"/>
      <c r="AT554" s="54"/>
      <c r="AU554" s="54"/>
      <c r="AV554" s="54"/>
      <c r="AW554" s="54"/>
      <c r="AX554" s="54"/>
      <c r="AY554" s="54"/>
      <c r="AZ554" s="54"/>
      <c r="BA554" s="54"/>
      <c r="BB554" s="54"/>
      <c r="BC554" s="54"/>
    </row>
    <row r="555" spans="1:55">
      <c r="A555" s="45"/>
      <c r="B555" s="45"/>
      <c r="C555" s="45"/>
      <c r="D555" s="45"/>
      <c r="E555" s="45"/>
      <c r="F555" s="45"/>
      <c r="G555" s="45"/>
      <c r="H555" s="45"/>
      <c r="I555" s="45"/>
      <c r="J555" s="45"/>
      <c r="K555" s="45"/>
      <c r="L555" s="45"/>
      <c r="M555" s="45"/>
      <c r="N555" s="45"/>
      <c r="O555" s="54"/>
      <c r="P555" s="54"/>
      <c r="Q555" s="54"/>
      <c r="R555" s="54"/>
      <c r="S555" s="54"/>
      <c r="T555" s="54"/>
      <c r="U555" s="54"/>
      <c r="V555" s="54"/>
      <c r="W555" s="54"/>
      <c r="X555" s="54"/>
      <c r="Y555" s="54"/>
      <c r="Z555" s="54"/>
      <c r="AA555" s="54"/>
      <c r="AB555" s="54"/>
      <c r="AC555" s="54"/>
      <c r="AD555" s="54"/>
      <c r="AE555" s="54"/>
      <c r="AF555" s="54"/>
      <c r="AG555" s="54"/>
      <c r="AH555" s="54"/>
      <c r="AI555" s="54"/>
      <c r="AJ555" s="54"/>
      <c r="AK555" s="54"/>
      <c r="AL555" s="54"/>
      <c r="AM555" s="54"/>
      <c r="AN555" s="54"/>
      <c r="AO555" s="54"/>
      <c r="AP555" s="54"/>
      <c r="AQ555" s="54"/>
      <c r="AR555" s="54"/>
      <c r="AS555" s="54"/>
      <c r="AT555" s="54"/>
      <c r="AU555" s="54"/>
      <c r="AV555" s="54"/>
      <c r="AW555" s="54"/>
      <c r="AX555" s="54"/>
      <c r="AY555" s="54"/>
      <c r="AZ555" s="54"/>
      <c r="BA555" s="54"/>
      <c r="BB555" s="54"/>
      <c r="BC555" s="54"/>
    </row>
    <row r="556" spans="1:55">
      <c r="A556" s="45"/>
      <c r="B556" s="45"/>
      <c r="C556" s="45"/>
      <c r="D556" s="45"/>
      <c r="E556" s="45"/>
      <c r="F556" s="45"/>
      <c r="G556" s="45"/>
      <c r="H556" s="45"/>
      <c r="I556" s="45"/>
      <c r="J556" s="45"/>
      <c r="K556" s="45"/>
      <c r="L556" s="45"/>
      <c r="M556" s="45"/>
      <c r="N556" s="45"/>
      <c r="O556" s="54"/>
      <c r="P556" s="54"/>
      <c r="Q556" s="54"/>
      <c r="R556" s="54"/>
      <c r="S556" s="54"/>
      <c r="T556" s="54"/>
      <c r="U556" s="54"/>
      <c r="V556" s="54"/>
      <c r="W556" s="54"/>
      <c r="X556" s="54"/>
      <c r="Y556" s="54"/>
      <c r="Z556" s="54"/>
      <c r="AA556" s="54"/>
      <c r="AB556" s="54"/>
      <c r="AC556" s="54"/>
      <c r="AD556" s="54"/>
      <c r="AE556" s="54"/>
      <c r="AF556" s="54"/>
      <c r="AG556" s="54"/>
      <c r="AH556" s="54"/>
      <c r="AI556" s="54"/>
      <c r="AJ556" s="54"/>
      <c r="AK556" s="54"/>
      <c r="AL556" s="54"/>
      <c r="AM556" s="54"/>
      <c r="AN556" s="54"/>
      <c r="AO556" s="54"/>
      <c r="AP556" s="54"/>
      <c r="AQ556" s="54"/>
      <c r="AR556" s="54"/>
      <c r="AS556" s="54"/>
      <c r="AT556" s="54"/>
      <c r="AU556" s="54"/>
      <c r="AV556" s="54"/>
      <c r="AW556" s="54"/>
      <c r="AX556" s="54"/>
      <c r="AY556" s="54"/>
      <c r="AZ556" s="54"/>
      <c r="BA556" s="54"/>
      <c r="BB556" s="54"/>
      <c r="BC556" s="54"/>
    </row>
    <row r="557" spans="1:55">
      <c r="A557" s="45"/>
      <c r="B557" s="45"/>
      <c r="C557" s="45"/>
      <c r="D557" s="45"/>
      <c r="E557" s="45"/>
      <c r="F557" s="45"/>
      <c r="G557" s="45"/>
      <c r="H557" s="45"/>
      <c r="I557" s="45"/>
      <c r="J557" s="45"/>
      <c r="K557" s="45"/>
      <c r="L557" s="45"/>
      <c r="M557" s="45"/>
      <c r="N557" s="45"/>
      <c r="O557" s="54"/>
      <c r="P557" s="54"/>
      <c r="Q557" s="54"/>
      <c r="R557" s="54"/>
      <c r="S557" s="54"/>
      <c r="T557" s="54"/>
      <c r="U557" s="54"/>
      <c r="V557" s="54"/>
      <c r="W557" s="54"/>
      <c r="X557" s="54"/>
      <c r="Y557" s="54"/>
      <c r="Z557" s="54"/>
      <c r="AA557" s="54"/>
      <c r="AB557" s="54"/>
      <c r="AC557" s="54"/>
      <c r="AD557" s="54"/>
      <c r="AE557" s="54"/>
      <c r="AF557" s="54"/>
      <c r="AG557" s="54"/>
      <c r="AH557" s="54"/>
      <c r="AI557" s="54"/>
      <c r="AJ557" s="54"/>
      <c r="AK557" s="54"/>
      <c r="AL557" s="54"/>
      <c r="AM557" s="54"/>
      <c r="AN557" s="54"/>
      <c r="AO557" s="54"/>
      <c r="AP557" s="54"/>
      <c r="AQ557" s="54"/>
      <c r="AR557" s="54"/>
      <c r="AS557" s="54"/>
      <c r="AT557" s="54"/>
      <c r="AU557" s="54"/>
      <c r="AV557" s="54"/>
      <c r="AW557" s="54"/>
      <c r="AX557" s="54"/>
      <c r="AY557" s="54"/>
      <c r="AZ557" s="54"/>
      <c r="BA557" s="54"/>
      <c r="BB557" s="54"/>
      <c r="BC557" s="54"/>
    </row>
    <row r="558" spans="1:55">
      <c r="A558" s="45"/>
      <c r="B558" s="45"/>
      <c r="C558" s="45"/>
      <c r="D558" s="45"/>
      <c r="E558" s="45"/>
      <c r="F558" s="45"/>
      <c r="G558" s="45"/>
      <c r="H558" s="45"/>
      <c r="I558" s="45"/>
      <c r="J558" s="45"/>
      <c r="K558" s="45"/>
      <c r="L558" s="45"/>
      <c r="M558" s="45"/>
      <c r="N558" s="45"/>
      <c r="O558" s="54"/>
      <c r="P558" s="54"/>
      <c r="Q558" s="54"/>
      <c r="R558" s="54"/>
      <c r="S558" s="54"/>
      <c r="T558" s="54"/>
      <c r="U558" s="54"/>
      <c r="V558" s="54"/>
      <c r="W558" s="54"/>
      <c r="X558" s="54"/>
      <c r="Y558" s="54"/>
      <c r="Z558" s="54"/>
      <c r="AA558" s="54"/>
      <c r="AB558" s="54"/>
      <c r="AC558" s="54"/>
      <c r="AD558" s="54"/>
      <c r="AE558" s="54"/>
      <c r="AF558" s="54"/>
      <c r="AG558" s="54"/>
      <c r="AH558" s="54"/>
      <c r="AI558" s="54"/>
      <c r="AJ558" s="54"/>
      <c r="AK558" s="54"/>
      <c r="AL558" s="54"/>
      <c r="AM558" s="54"/>
      <c r="AN558" s="54"/>
      <c r="AO558" s="54"/>
      <c r="AP558" s="54"/>
      <c r="AQ558" s="54"/>
      <c r="AR558" s="54"/>
      <c r="AS558" s="54"/>
      <c r="AT558" s="54"/>
      <c r="AU558" s="54"/>
      <c r="AV558" s="54"/>
      <c r="AW558" s="54"/>
      <c r="AX558" s="54"/>
      <c r="AY558" s="54"/>
      <c r="AZ558" s="54"/>
      <c r="BA558" s="54"/>
      <c r="BB558" s="54"/>
      <c r="BC558" s="54"/>
    </row>
  </sheetData>
  <mergeCells count="391">
    <mergeCell ref="E537:G537"/>
    <mergeCell ref="H537:I537"/>
    <mergeCell ref="J537:K537"/>
    <mergeCell ref="L537:M537"/>
    <mergeCell ref="L536:M536"/>
    <mergeCell ref="AC536:AD536"/>
    <mergeCell ref="AT536:AU536"/>
    <mergeCell ref="AR537:AS537"/>
    <mergeCell ref="AT537:AU537"/>
    <mergeCell ref="V537:X537"/>
    <mergeCell ref="Y537:Z537"/>
    <mergeCell ref="AA537:AB537"/>
    <mergeCell ref="AC537:AD537"/>
    <mergeCell ref="AM537:AO537"/>
    <mergeCell ref="AP537:AQ537"/>
    <mergeCell ref="C533:M533"/>
    <mergeCell ref="T533:AD533"/>
    <mergeCell ref="AK533:AU533"/>
    <mergeCell ref="E501:F501"/>
    <mergeCell ref="G501:H501"/>
    <mergeCell ref="I501:J501"/>
    <mergeCell ref="K501:L501"/>
    <mergeCell ref="AQ501:AR501"/>
    <mergeCell ref="AS501:AT501"/>
    <mergeCell ref="V501:W501"/>
    <mergeCell ref="X501:Y501"/>
    <mergeCell ref="Z501:AA501"/>
    <mergeCell ref="AB501:AC501"/>
    <mergeCell ref="AM501:AN501"/>
    <mergeCell ref="AO501:AP501"/>
    <mergeCell ref="F481:G481"/>
    <mergeCell ref="H481:I481"/>
    <mergeCell ref="J481:K481"/>
    <mergeCell ref="K500:L500"/>
    <mergeCell ref="AB500:AC500"/>
    <mergeCell ref="Y481:Z481"/>
    <mergeCell ref="AA481:AB481"/>
    <mergeCell ref="AS500:AT500"/>
    <mergeCell ref="AQ470:AR470"/>
    <mergeCell ref="L480:M480"/>
    <mergeCell ref="AC480:AD480"/>
    <mergeCell ref="AN481:AO481"/>
    <mergeCell ref="AP481:AQ481"/>
    <mergeCell ref="C497:L497"/>
    <mergeCell ref="T497:AC497"/>
    <mergeCell ref="AK497:AT497"/>
    <mergeCell ref="AR481:AS481"/>
    <mergeCell ref="C477:M477"/>
    <mergeCell ref="G469:H469"/>
    <mergeCell ref="I469:J469"/>
    <mergeCell ref="K469:L469"/>
    <mergeCell ref="X469:Y469"/>
    <mergeCell ref="Z469:AA469"/>
    <mergeCell ref="AC481:AD481"/>
    <mergeCell ref="AT480:AU480"/>
    <mergeCell ref="AO469:AP469"/>
    <mergeCell ref="AQ469:AR469"/>
    <mergeCell ref="AS469:AT469"/>
    <mergeCell ref="K470:L470"/>
    <mergeCell ref="X470:Y470"/>
    <mergeCell ref="Z470:AA470"/>
    <mergeCell ref="AB470:AC470"/>
    <mergeCell ref="AS470:AT470"/>
    <mergeCell ref="AT481:AU481"/>
    <mergeCell ref="T477:AD477"/>
    <mergeCell ref="AK477:AU477"/>
    <mergeCell ref="G470:H470"/>
    <mergeCell ref="I470:J470"/>
    <mergeCell ref="AO470:AP470"/>
    <mergeCell ref="L481:M481"/>
    <mergeCell ref="W481:X481"/>
    <mergeCell ref="AB469:AC469"/>
    <mergeCell ref="G468:L468"/>
    <mergeCell ref="X468:AC468"/>
    <mergeCell ref="AO468:AT468"/>
    <mergeCell ref="Z467:AA467"/>
    <mergeCell ref="AB467:AC467"/>
    <mergeCell ref="AO467:AP467"/>
    <mergeCell ref="AQ467:AR467"/>
    <mergeCell ref="G467:H467"/>
    <mergeCell ref="I467:J467"/>
    <mergeCell ref="G465:H465"/>
    <mergeCell ref="I465:J465"/>
    <mergeCell ref="K465:L465"/>
    <mergeCell ref="X465:Y465"/>
    <mergeCell ref="AS465:AT465"/>
    <mergeCell ref="K467:L467"/>
    <mergeCell ref="X467:Y467"/>
    <mergeCell ref="G466:L466"/>
    <mergeCell ref="X466:AC466"/>
    <mergeCell ref="AO466:AT466"/>
    <mergeCell ref="Z465:AA465"/>
    <mergeCell ref="AB465:AC465"/>
    <mergeCell ref="AO465:AP465"/>
    <mergeCell ref="AQ465:AR465"/>
    <mergeCell ref="AS467:AT467"/>
    <mergeCell ref="G464:H464"/>
    <mergeCell ref="I464:J464"/>
    <mergeCell ref="K464:L464"/>
    <mergeCell ref="X464:Y464"/>
    <mergeCell ref="Z464:AA464"/>
    <mergeCell ref="AB464:AC464"/>
    <mergeCell ref="AO464:AP464"/>
    <mergeCell ref="AQ464:AR464"/>
    <mergeCell ref="AS464:AT464"/>
    <mergeCell ref="G463:H463"/>
    <mergeCell ref="I463:J463"/>
    <mergeCell ref="K463:L463"/>
    <mergeCell ref="X463:Y463"/>
    <mergeCell ref="Z463:AA463"/>
    <mergeCell ref="AB463:AC463"/>
    <mergeCell ref="AO463:AP463"/>
    <mergeCell ref="AQ463:AR463"/>
    <mergeCell ref="AS463:AT463"/>
    <mergeCell ref="G462:L462"/>
    <mergeCell ref="X462:AC462"/>
    <mergeCell ref="AO462:AT462"/>
    <mergeCell ref="Z461:AA461"/>
    <mergeCell ref="AB461:AC461"/>
    <mergeCell ref="AO461:AP461"/>
    <mergeCell ref="AQ461:AR461"/>
    <mergeCell ref="G461:H461"/>
    <mergeCell ref="I461:J461"/>
    <mergeCell ref="K461:L461"/>
    <mergeCell ref="G459:H459"/>
    <mergeCell ref="I459:J459"/>
    <mergeCell ref="K459:L459"/>
    <mergeCell ref="X459:Y459"/>
    <mergeCell ref="AS459:AT459"/>
    <mergeCell ref="X461:Y461"/>
    <mergeCell ref="G460:L460"/>
    <mergeCell ref="X460:AC460"/>
    <mergeCell ref="AO460:AT460"/>
    <mergeCell ref="Z459:AA459"/>
    <mergeCell ref="AB459:AC459"/>
    <mergeCell ref="AO459:AP459"/>
    <mergeCell ref="AQ459:AR459"/>
    <mergeCell ref="AS461:AT461"/>
    <mergeCell ref="AQ457:AR457"/>
    <mergeCell ref="AS457:AT457"/>
    <mergeCell ref="G455:H455"/>
    <mergeCell ref="I455:J455"/>
    <mergeCell ref="K455:L455"/>
    <mergeCell ref="X455:Y455"/>
    <mergeCell ref="G458:H458"/>
    <mergeCell ref="I458:J458"/>
    <mergeCell ref="K458:L458"/>
    <mergeCell ref="X458:Y458"/>
    <mergeCell ref="Z458:AA458"/>
    <mergeCell ref="AB458:AC458"/>
    <mergeCell ref="AO458:AP458"/>
    <mergeCell ref="AQ458:AR458"/>
    <mergeCell ref="AS458:AT458"/>
    <mergeCell ref="Z457:AA457"/>
    <mergeCell ref="AB457:AC457"/>
    <mergeCell ref="G456:L456"/>
    <mergeCell ref="X456:AC456"/>
    <mergeCell ref="G457:H457"/>
    <mergeCell ref="I457:J457"/>
    <mergeCell ref="K457:L457"/>
    <mergeCell ref="X457:Y457"/>
    <mergeCell ref="AO457:AP457"/>
    <mergeCell ref="AN405:AO405"/>
    <mergeCell ref="AP405:AQ405"/>
    <mergeCell ref="AR405:AS405"/>
    <mergeCell ref="G454:L454"/>
    <mergeCell ref="X454:AC454"/>
    <mergeCell ref="AO454:AT454"/>
    <mergeCell ref="K452:L452"/>
    <mergeCell ref="AB452:AC452"/>
    <mergeCell ref="AS452:AT452"/>
    <mergeCell ref="G453:H453"/>
    <mergeCell ref="I453:J453"/>
    <mergeCell ref="K453:L453"/>
    <mergeCell ref="X453:Y453"/>
    <mergeCell ref="Z453:AA453"/>
    <mergeCell ref="AB453:AC453"/>
    <mergeCell ref="AO456:AT456"/>
    <mergeCell ref="Z455:AA455"/>
    <mergeCell ref="AB455:AC455"/>
    <mergeCell ref="AO455:AP455"/>
    <mergeCell ref="AQ455:AR455"/>
    <mergeCell ref="AS455:AT455"/>
    <mergeCell ref="AQ453:AR453"/>
    <mergeCell ref="AS453:AT453"/>
    <mergeCell ref="AO453:AP453"/>
    <mergeCell ref="AK401:AU401"/>
    <mergeCell ref="L404:M404"/>
    <mergeCell ref="AC404:AD404"/>
    <mergeCell ref="AT404:AU404"/>
    <mergeCell ref="AT405:AU405"/>
    <mergeCell ref="C450:L450"/>
    <mergeCell ref="T450:AC450"/>
    <mergeCell ref="C368:M368"/>
    <mergeCell ref="T368:AD368"/>
    <mergeCell ref="F405:G405"/>
    <mergeCell ref="H405:I405"/>
    <mergeCell ref="L372:M372"/>
    <mergeCell ref="AC372:AD372"/>
    <mergeCell ref="AA373:AB373"/>
    <mergeCell ref="AC373:AD373"/>
    <mergeCell ref="J405:K405"/>
    <mergeCell ref="L405:M405"/>
    <mergeCell ref="W405:X405"/>
    <mergeCell ref="Y405:Z405"/>
    <mergeCell ref="C401:M401"/>
    <mergeCell ref="T401:AD401"/>
    <mergeCell ref="AA405:AB405"/>
    <mergeCell ref="AK450:AT450"/>
    <mergeCell ref="AC405:AD405"/>
    <mergeCell ref="W336:X336"/>
    <mergeCell ref="Y336:Z336"/>
    <mergeCell ref="AA336:AB336"/>
    <mergeCell ref="F336:G336"/>
    <mergeCell ref="H336:I336"/>
    <mergeCell ref="J336:K336"/>
    <mergeCell ref="L336:M336"/>
    <mergeCell ref="F373:G373"/>
    <mergeCell ref="AT372:AU372"/>
    <mergeCell ref="H373:I373"/>
    <mergeCell ref="J373:K373"/>
    <mergeCell ref="L373:M373"/>
    <mergeCell ref="Y373:Z373"/>
    <mergeCell ref="AC336:AD336"/>
    <mergeCell ref="AP373:AQ373"/>
    <mergeCell ref="AR373:AS373"/>
    <mergeCell ref="AT373:AU373"/>
    <mergeCell ref="AP336:AQ336"/>
    <mergeCell ref="AR336:AS336"/>
    <mergeCell ref="AT336:AU336"/>
    <mergeCell ref="AK368:AU368"/>
    <mergeCell ref="AN336:AO336"/>
    <mergeCell ref="L335:M335"/>
    <mergeCell ref="G301:H301"/>
    <mergeCell ref="I301:J301"/>
    <mergeCell ref="AB300:AC300"/>
    <mergeCell ref="AS300:AT300"/>
    <mergeCell ref="Z301:AA301"/>
    <mergeCell ref="AS301:AT301"/>
    <mergeCell ref="C331:M331"/>
    <mergeCell ref="AT335:AU335"/>
    <mergeCell ref="V301:W301"/>
    <mergeCell ref="K300:L300"/>
    <mergeCell ref="AC335:AD335"/>
    <mergeCell ref="T331:AD331"/>
    <mergeCell ref="AK331:AU331"/>
    <mergeCell ref="AB301:AC301"/>
    <mergeCell ref="AM301:AN301"/>
    <mergeCell ref="K301:L301"/>
    <mergeCell ref="C297:L297"/>
    <mergeCell ref="T297:AC297"/>
    <mergeCell ref="AK297:AT297"/>
    <mergeCell ref="AO301:AP301"/>
    <mergeCell ref="AQ301:AR301"/>
    <mergeCell ref="X301:Y301"/>
    <mergeCell ref="E301:F301"/>
    <mergeCell ref="AC274:AD274"/>
    <mergeCell ref="AT275:AU275"/>
    <mergeCell ref="AO277:AT277"/>
    <mergeCell ref="AN275:AO275"/>
    <mergeCell ref="G277:L277"/>
    <mergeCell ref="X277:AC277"/>
    <mergeCell ref="C270:M270"/>
    <mergeCell ref="T270:AD270"/>
    <mergeCell ref="AK270:AU270"/>
    <mergeCell ref="AT274:AU274"/>
    <mergeCell ref="F275:G275"/>
    <mergeCell ref="H275:I275"/>
    <mergeCell ref="J275:K275"/>
    <mergeCell ref="L275:M275"/>
    <mergeCell ref="L274:M274"/>
    <mergeCell ref="AP275:AQ275"/>
    <mergeCell ref="W275:X275"/>
    <mergeCell ref="Y275:Z275"/>
    <mergeCell ref="AC275:AD275"/>
    <mergeCell ref="AR275:AS275"/>
    <mergeCell ref="AA275:AB275"/>
    <mergeCell ref="E252:H252"/>
    <mergeCell ref="V252:Y252"/>
    <mergeCell ref="AM252:AP252"/>
    <mergeCell ref="G218:H218"/>
    <mergeCell ref="X218:Y218"/>
    <mergeCell ref="AO218:AP218"/>
    <mergeCell ref="E220:H220"/>
    <mergeCell ref="V220:Y220"/>
    <mergeCell ref="AM220:AP220"/>
    <mergeCell ref="E241:H241"/>
    <mergeCell ref="V241:Y241"/>
    <mergeCell ref="AM241:AP241"/>
    <mergeCell ref="E251:H251"/>
    <mergeCell ref="V251:Y251"/>
    <mergeCell ref="AM251:AP251"/>
    <mergeCell ref="F172:G172"/>
    <mergeCell ref="H172:I172"/>
    <mergeCell ref="J172:K172"/>
    <mergeCell ref="L172:M172"/>
    <mergeCell ref="W172:X172"/>
    <mergeCell ref="Y172:Z172"/>
    <mergeCell ref="AA172:AB172"/>
    <mergeCell ref="AT172:AU172"/>
    <mergeCell ref="C215:H215"/>
    <mergeCell ref="T215:Y215"/>
    <mergeCell ref="AK215:AP215"/>
    <mergeCell ref="AC172:AD172"/>
    <mergeCell ref="AN172:AO172"/>
    <mergeCell ref="AP172:AQ172"/>
    <mergeCell ref="AR172:AS172"/>
    <mergeCell ref="G144:J144"/>
    <mergeCell ref="X144:AA144"/>
    <mergeCell ref="AO144:AR144"/>
    <mergeCell ref="C167:M167"/>
    <mergeCell ref="T167:AD167"/>
    <mergeCell ref="AK167:AU167"/>
    <mergeCell ref="L170:M170"/>
    <mergeCell ref="AC170:AD170"/>
    <mergeCell ref="AT170:AU170"/>
    <mergeCell ref="C138:J138"/>
    <mergeCell ref="T138:AA138"/>
    <mergeCell ref="AK138:AR138"/>
    <mergeCell ref="I142:J142"/>
    <mergeCell ref="Z142:AA142"/>
    <mergeCell ref="AQ142:AR142"/>
    <mergeCell ref="F143:G143"/>
    <mergeCell ref="W143:X143"/>
    <mergeCell ref="AN143:AO143"/>
    <mergeCell ref="E115:P115"/>
    <mergeCell ref="V115:AG115"/>
    <mergeCell ref="AM115:AX115"/>
    <mergeCell ref="E116:P116"/>
    <mergeCell ref="V116:AG116"/>
    <mergeCell ref="AM116:AX116"/>
    <mergeCell ref="C137:J137"/>
    <mergeCell ref="T137:AA137"/>
    <mergeCell ref="AK137:AR137"/>
    <mergeCell ref="E102:P102"/>
    <mergeCell ref="V102:AG102"/>
    <mergeCell ref="AM102:AX102"/>
    <mergeCell ref="O98:P98"/>
    <mergeCell ref="AF98:AG98"/>
    <mergeCell ref="AW98:AX98"/>
    <mergeCell ref="E99:H99"/>
    <mergeCell ref="I99:L99"/>
    <mergeCell ref="M99:P99"/>
    <mergeCell ref="V99:Y99"/>
    <mergeCell ref="AQ99:AT99"/>
    <mergeCell ref="AU99:AX99"/>
    <mergeCell ref="E101:P101"/>
    <mergeCell ref="V101:AG101"/>
    <mergeCell ref="AM101:AX101"/>
    <mergeCell ref="Z99:AC99"/>
    <mergeCell ref="AD99:AG99"/>
    <mergeCell ref="AM99:AP99"/>
    <mergeCell ref="G59:J59"/>
    <mergeCell ref="X59:AA59"/>
    <mergeCell ref="AO59:AR59"/>
    <mergeCell ref="G74:J74"/>
    <mergeCell ref="X74:AA74"/>
    <mergeCell ref="AO74:AR74"/>
    <mergeCell ref="C93:P93"/>
    <mergeCell ref="T93:AG93"/>
    <mergeCell ref="AK93:AX93"/>
    <mergeCell ref="I57:J57"/>
    <mergeCell ref="Z57:AA57"/>
    <mergeCell ref="AQ57:AR57"/>
    <mergeCell ref="C53:J53"/>
    <mergeCell ref="T53:AA53"/>
    <mergeCell ref="AK53:AR53"/>
    <mergeCell ref="F58:G58"/>
    <mergeCell ref="W58:X58"/>
    <mergeCell ref="AN58:AO58"/>
    <mergeCell ref="E17:H17"/>
    <mergeCell ref="V17:Y17"/>
    <mergeCell ref="AM17:AP17"/>
    <mergeCell ref="C52:J52"/>
    <mergeCell ref="T52:AA52"/>
    <mergeCell ref="AK52:AR52"/>
    <mergeCell ref="E25:H25"/>
    <mergeCell ref="V25:Y25"/>
    <mergeCell ref="AM25:AP25"/>
    <mergeCell ref="E39:H39"/>
    <mergeCell ref="V39:Y39"/>
    <mergeCell ref="AM39:AP39"/>
    <mergeCell ref="C10:H10"/>
    <mergeCell ref="T10:Y10"/>
    <mergeCell ref="AK10:AP10"/>
    <mergeCell ref="C11:H11"/>
    <mergeCell ref="T11:Y11"/>
    <mergeCell ref="AK11:AP11"/>
    <mergeCell ref="G15:H15"/>
    <mergeCell ref="X15:Y15"/>
    <mergeCell ref="AO15:AP15"/>
  </mergeCells>
  <phoneticPr fontId="76" type="noConversion"/>
  <conditionalFormatting sqref="V503:AC523 X455:AC458 X460:AC464 X466:AC470 W539:AD547 V539 V547 W483:AD491 W443:AD443 W436:AD441 W375:AD389 W338:AD354 W146:AA155 V303:AC312 W278:AD284 V242:Y250 V228:Y239 V256:Y259 V221:Y226 V253:Y254 W174:AD192 W194:AD201 V117:AG123 V40:Y45 W75:AA77 V103:AG113 V27:Y38 W60:AA73 W407:AD434">
    <cfRule type="cellIs" dxfId="4" priority="1" stopIfTrue="1" operator="notBetween">
      <formula>-0.05</formula>
      <formula>0.05</formula>
    </cfRule>
  </conditionalFormatting>
  <conditionalFormatting sqref="X454:AC454 W193:AD193 W145:AA145">
    <cfRule type="cellIs" dxfId="3" priority="2" stopIfTrue="1" operator="notEqual">
      <formula>0</formula>
    </cfRule>
  </conditionalFormatting>
  <conditionalFormatting sqref="V540:V546">
    <cfRule type="cellIs" dxfId="2" priority="3" stopIfTrue="1" operator="notBetween">
      <formula>-0.0005</formula>
      <formula>0.0005</formula>
    </cfRule>
  </conditionalFormatting>
  <pageMargins left="0.75" right="0.75" top="1" bottom="1" header="0.5" footer="0.5"/>
  <pageSetup paperSize="9" scale="61"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Print_Table_1">
                <anchor moveWithCells="1" sizeWithCells="1">
                  <from>
                    <xdr:col>9</xdr:col>
                    <xdr:colOff>381000</xdr:colOff>
                    <xdr:row>50</xdr:row>
                    <xdr:rowOff>68580</xdr:rowOff>
                  </from>
                  <to>
                    <xdr:col>10</xdr:col>
                    <xdr:colOff>525780</xdr:colOff>
                    <xdr:row>52</xdr:row>
                    <xdr:rowOff>106680</xdr:rowOff>
                  </to>
                </anchor>
              </controlPr>
            </control>
          </mc:Choice>
        </mc:AlternateContent>
        <mc:AlternateContent xmlns:mc="http://schemas.openxmlformats.org/markup-compatibility/2006">
          <mc:Choice Requires="x14">
            <control shapeId="23556" r:id="rId5" name="Button 4">
              <controlPr defaultSize="0" print="0" autoFill="0" autoPict="0" macro="[0]!Print_Table_3">
                <anchor moveWithCells="1" sizeWithCells="1">
                  <from>
                    <xdr:col>9</xdr:col>
                    <xdr:colOff>388620</xdr:colOff>
                    <xdr:row>135</xdr:row>
                    <xdr:rowOff>60960</xdr:rowOff>
                  </from>
                  <to>
                    <xdr:col>10</xdr:col>
                    <xdr:colOff>533400</xdr:colOff>
                    <xdr:row>137</xdr:row>
                    <xdr:rowOff>99060</xdr:rowOff>
                  </to>
                </anchor>
              </controlPr>
            </control>
          </mc:Choice>
        </mc:AlternateContent>
        <mc:AlternateContent xmlns:mc="http://schemas.openxmlformats.org/markup-compatibility/2006">
          <mc:Choice Requires="x14">
            <control shapeId="23557" r:id="rId6" name="Button 5">
              <controlPr defaultSize="0" print="0" autoFill="0" autoPict="0" macro="[0]!Print_Table_4">
                <anchor moveWithCells="1" sizeWithCells="1">
                  <from>
                    <xdr:col>13</xdr:col>
                    <xdr:colOff>0</xdr:colOff>
                    <xdr:row>165</xdr:row>
                    <xdr:rowOff>60960</xdr:rowOff>
                  </from>
                  <to>
                    <xdr:col>13</xdr:col>
                    <xdr:colOff>251460</xdr:colOff>
                    <xdr:row>167</xdr:row>
                    <xdr:rowOff>99060</xdr:rowOff>
                  </to>
                </anchor>
              </controlPr>
            </control>
          </mc:Choice>
        </mc:AlternateContent>
        <mc:AlternateContent xmlns:mc="http://schemas.openxmlformats.org/markup-compatibility/2006">
          <mc:Choice Requires="x14">
            <control shapeId="23558" r:id="rId7" name="Button 6">
              <controlPr defaultSize="0" print="0" autoFill="0" autoPict="0" macro="[0]!Print_Table_5">
                <anchor moveWithCells="1" sizeWithCells="1">
                  <from>
                    <xdr:col>7</xdr:col>
                    <xdr:colOff>388620</xdr:colOff>
                    <xdr:row>213</xdr:row>
                    <xdr:rowOff>45720</xdr:rowOff>
                  </from>
                  <to>
                    <xdr:col>8</xdr:col>
                    <xdr:colOff>533400</xdr:colOff>
                    <xdr:row>215</xdr:row>
                    <xdr:rowOff>83820</xdr:rowOff>
                  </to>
                </anchor>
              </controlPr>
            </control>
          </mc:Choice>
        </mc:AlternateContent>
        <mc:AlternateContent xmlns:mc="http://schemas.openxmlformats.org/markup-compatibility/2006">
          <mc:Choice Requires="x14">
            <control shapeId="23560" r:id="rId8" name="Button 8">
              <controlPr defaultSize="0" print="0" autoFill="0" autoPict="0" macro="[0]!Print_Table_7">
                <anchor moveWithCells="1" sizeWithCells="1">
                  <from>
                    <xdr:col>11</xdr:col>
                    <xdr:colOff>373380</xdr:colOff>
                    <xdr:row>295</xdr:row>
                    <xdr:rowOff>60960</xdr:rowOff>
                  </from>
                  <to>
                    <xdr:col>13</xdr:col>
                    <xdr:colOff>0</xdr:colOff>
                    <xdr:row>297</xdr:row>
                    <xdr:rowOff>99060</xdr:rowOff>
                  </to>
                </anchor>
              </controlPr>
            </control>
          </mc:Choice>
        </mc:AlternateContent>
        <mc:AlternateContent xmlns:mc="http://schemas.openxmlformats.org/markup-compatibility/2006">
          <mc:Choice Requires="x14">
            <control shapeId="23561" r:id="rId9" name="Button 9">
              <controlPr defaultSize="0" print="0" autoFill="0" autoPict="0" macro="[0]!Print_Table_8">
                <anchor moveWithCells="1" sizeWithCells="1">
                  <from>
                    <xdr:col>13</xdr:col>
                    <xdr:colOff>0</xdr:colOff>
                    <xdr:row>328</xdr:row>
                    <xdr:rowOff>60960</xdr:rowOff>
                  </from>
                  <to>
                    <xdr:col>13</xdr:col>
                    <xdr:colOff>251460</xdr:colOff>
                    <xdr:row>330</xdr:row>
                    <xdr:rowOff>99060</xdr:rowOff>
                  </to>
                </anchor>
              </controlPr>
            </control>
          </mc:Choice>
        </mc:AlternateContent>
        <mc:AlternateContent xmlns:mc="http://schemas.openxmlformats.org/markup-compatibility/2006">
          <mc:Choice Requires="x14">
            <control shapeId="23562" r:id="rId10" name="Button 10">
              <controlPr defaultSize="0" print="0" autoFill="0" autoPict="0" macro="[0]!Print_Table_9">
                <anchor moveWithCells="1" sizeWithCells="1">
                  <from>
                    <xdr:col>13</xdr:col>
                    <xdr:colOff>0</xdr:colOff>
                    <xdr:row>365</xdr:row>
                    <xdr:rowOff>60960</xdr:rowOff>
                  </from>
                  <to>
                    <xdr:col>13</xdr:col>
                    <xdr:colOff>251460</xdr:colOff>
                    <xdr:row>367</xdr:row>
                    <xdr:rowOff>99060</xdr:rowOff>
                  </to>
                </anchor>
              </controlPr>
            </control>
          </mc:Choice>
        </mc:AlternateContent>
        <mc:AlternateContent xmlns:mc="http://schemas.openxmlformats.org/markup-compatibility/2006">
          <mc:Choice Requires="x14">
            <control shapeId="23563" r:id="rId11" name="Button 11">
              <controlPr defaultSize="0" print="0" autoFill="0" autoPict="0" macro="[0]!Print_Table_10">
                <anchor moveWithCells="1" sizeWithCells="1">
                  <from>
                    <xdr:col>13</xdr:col>
                    <xdr:colOff>0</xdr:colOff>
                    <xdr:row>399</xdr:row>
                    <xdr:rowOff>60960</xdr:rowOff>
                  </from>
                  <to>
                    <xdr:col>13</xdr:col>
                    <xdr:colOff>251460</xdr:colOff>
                    <xdr:row>401</xdr:row>
                    <xdr:rowOff>99060</xdr:rowOff>
                  </to>
                </anchor>
              </controlPr>
            </control>
          </mc:Choice>
        </mc:AlternateContent>
        <mc:AlternateContent xmlns:mc="http://schemas.openxmlformats.org/markup-compatibility/2006">
          <mc:Choice Requires="x14">
            <control shapeId="23564" r:id="rId12" name="Button 12">
              <controlPr defaultSize="0" print="0" autoFill="0" autoPict="0" macro="[0]!Print_Table_10a">
                <anchor moveWithCells="1" sizeWithCells="1">
                  <from>
                    <xdr:col>11</xdr:col>
                    <xdr:colOff>381000</xdr:colOff>
                    <xdr:row>448</xdr:row>
                    <xdr:rowOff>68580</xdr:rowOff>
                  </from>
                  <to>
                    <xdr:col>13</xdr:col>
                    <xdr:colOff>0</xdr:colOff>
                    <xdr:row>450</xdr:row>
                    <xdr:rowOff>106680</xdr:rowOff>
                  </to>
                </anchor>
              </controlPr>
            </control>
          </mc:Choice>
        </mc:AlternateContent>
        <mc:AlternateContent xmlns:mc="http://schemas.openxmlformats.org/markup-compatibility/2006">
          <mc:Choice Requires="x14">
            <control shapeId="23565" r:id="rId13" name="Button 13">
              <controlPr defaultSize="0" print="0" autoFill="0" autoPict="0" macro="[0]!Print_Table_10b">
                <anchor moveWithCells="1" sizeWithCells="1">
                  <from>
                    <xdr:col>13</xdr:col>
                    <xdr:colOff>0</xdr:colOff>
                    <xdr:row>475</xdr:row>
                    <xdr:rowOff>76200</xdr:rowOff>
                  </from>
                  <to>
                    <xdr:col>13</xdr:col>
                    <xdr:colOff>251460</xdr:colOff>
                    <xdr:row>477</xdr:row>
                    <xdr:rowOff>114300</xdr:rowOff>
                  </to>
                </anchor>
              </controlPr>
            </control>
          </mc:Choice>
        </mc:AlternateContent>
        <mc:AlternateContent xmlns:mc="http://schemas.openxmlformats.org/markup-compatibility/2006">
          <mc:Choice Requires="x14">
            <control shapeId="23566" r:id="rId14" name="Button 14">
              <controlPr defaultSize="0" print="0" autoFill="0" autoPict="0" macro="[0]!Print_Table_11">
                <anchor moveWithCells="1" sizeWithCells="1">
                  <from>
                    <xdr:col>11</xdr:col>
                    <xdr:colOff>381000</xdr:colOff>
                    <xdr:row>495</xdr:row>
                    <xdr:rowOff>68580</xdr:rowOff>
                  </from>
                  <to>
                    <xdr:col>13</xdr:col>
                    <xdr:colOff>0</xdr:colOff>
                    <xdr:row>497</xdr:row>
                    <xdr:rowOff>106680</xdr:rowOff>
                  </to>
                </anchor>
              </controlPr>
            </control>
          </mc:Choice>
        </mc:AlternateContent>
        <mc:AlternateContent xmlns:mc="http://schemas.openxmlformats.org/markup-compatibility/2006">
          <mc:Choice Requires="x14">
            <control shapeId="23567" r:id="rId15" name="Button 15">
              <controlPr defaultSize="0" print="0" autoFill="0" autoPict="0" macro="[0]!Print_Table_12">
                <anchor moveWithCells="1" sizeWithCells="1">
                  <from>
                    <xdr:col>13</xdr:col>
                    <xdr:colOff>0</xdr:colOff>
                    <xdr:row>531</xdr:row>
                    <xdr:rowOff>68580</xdr:rowOff>
                  </from>
                  <to>
                    <xdr:col>13</xdr:col>
                    <xdr:colOff>251460</xdr:colOff>
                    <xdr:row>533</xdr:row>
                    <xdr:rowOff>106680</xdr:rowOff>
                  </to>
                </anchor>
              </controlPr>
            </control>
          </mc:Choice>
        </mc:AlternateContent>
        <mc:AlternateContent xmlns:mc="http://schemas.openxmlformats.org/markup-compatibility/2006">
          <mc:Choice Requires="x14">
            <control shapeId="23568" r:id="rId16" name="Button 16">
              <controlPr defaultSize="0" print="0" autoFill="0" autoPict="0" macro="[0]!TablesNavigationMacros.Print_Tables_all">
                <anchor moveWithCells="1" sizeWithCells="1">
                  <from>
                    <xdr:col>5</xdr:col>
                    <xdr:colOff>190500</xdr:colOff>
                    <xdr:row>1</xdr:row>
                    <xdr:rowOff>38100</xdr:rowOff>
                  </from>
                  <to>
                    <xdr:col>6</xdr:col>
                    <xdr:colOff>563880</xdr:colOff>
                    <xdr:row>5</xdr:row>
                    <xdr:rowOff>7620</xdr:rowOff>
                  </to>
                </anchor>
              </controlPr>
            </control>
          </mc:Choice>
        </mc:AlternateContent>
        <mc:AlternateContent xmlns:mc="http://schemas.openxmlformats.org/markup-compatibility/2006">
          <mc:Choice Requires="x14">
            <control shapeId="23569" r:id="rId17" name="Button 17">
              <controlPr defaultSize="0" print="0" autoFill="0" autoPict="0" macro="[0]!Go_to_Table_0">
                <anchor moveWithCells="1" sizeWithCells="1">
                  <from>
                    <xdr:col>6</xdr:col>
                    <xdr:colOff>563880</xdr:colOff>
                    <xdr:row>1</xdr:row>
                    <xdr:rowOff>38100</xdr:rowOff>
                  </from>
                  <to>
                    <xdr:col>8</xdr:col>
                    <xdr:colOff>137160</xdr:colOff>
                    <xdr:row>2</xdr:row>
                    <xdr:rowOff>83820</xdr:rowOff>
                  </to>
                </anchor>
              </controlPr>
            </control>
          </mc:Choice>
        </mc:AlternateContent>
        <mc:AlternateContent xmlns:mc="http://schemas.openxmlformats.org/markup-compatibility/2006">
          <mc:Choice Requires="x14">
            <control shapeId="23571" r:id="rId18" name="Button 19">
              <controlPr defaultSize="0" print="0" autoFill="0" autoPict="0" macro="[0]!Go_to_Table_1">
                <anchor moveWithCells="1" sizeWithCells="1">
                  <from>
                    <xdr:col>8</xdr:col>
                    <xdr:colOff>137160</xdr:colOff>
                    <xdr:row>1</xdr:row>
                    <xdr:rowOff>38100</xdr:rowOff>
                  </from>
                  <to>
                    <xdr:col>9</xdr:col>
                    <xdr:colOff>289560</xdr:colOff>
                    <xdr:row>2</xdr:row>
                    <xdr:rowOff>83820</xdr:rowOff>
                  </to>
                </anchor>
              </controlPr>
            </control>
          </mc:Choice>
        </mc:AlternateContent>
        <mc:AlternateContent xmlns:mc="http://schemas.openxmlformats.org/markup-compatibility/2006">
          <mc:Choice Requires="x14">
            <control shapeId="23572" r:id="rId19" name="Button 20">
              <controlPr defaultSize="0" print="0" autoFill="0" autoPict="0" macro="[0]!Go_to_Table_2">
                <anchor moveWithCells="1" sizeWithCells="1">
                  <from>
                    <xdr:col>9</xdr:col>
                    <xdr:colOff>289560</xdr:colOff>
                    <xdr:row>1</xdr:row>
                    <xdr:rowOff>38100</xdr:rowOff>
                  </from>
                  <to>
                    <xdr:col>10</xdr:col>
                    <xdr:colOff>441960</xdr:colOff>
                    <xdr:row>2</xdr:row>
                    <xdr:rowOff>83820</xdr:rowOff>
                  </to>
                </anchor>
              </controlPr>
            </control>
          </mc:Choice>
        </mc:AlternateContent>
        <mc:AlternateContent xmlns:mc="http://schemas.openxmlformats.org/markup-compatibility/2006">
          <mc:Choice Requires="x14">
            <control shapeId="23573" r:id="rId20" name="Button 21">
              <controlPr defaultSize="0" print="0" autoFill="0" autoPict="0" macro="[0]!Go_to_Table_3">
                <anchor moveWithCells="1" sizeWithCells="1">
                  <from>
                    <xdr:col>10</xdr:col>
                    <xdr:colOff>441960</xdr:colOff>
                    <xdr:row>1</xdr:row>
                    <xdr:rowOff>38100</xdr:rowOff>
                  </from>
                  <to>
                    <xdr:col>12</xdr:col>
                    <xdr:colOff>7620</xdr:colOff>
                    <xdr:row>2</xdr:row>
                    <xdr:rowOff>83820</xdr:rowOff>
                  </to>
                </anchor>
              </controlPr>
            </control>
          </mc:Choice>
        </mc:AlternateContent>
        <mc:AlternateContent xmlns:mc="http://schemas.openxmlformats.org/markup-compatibility/2006">
          <mc:Choice Requires="x14">
            <control shapeId="23574" r:id="rId21" name="Button 22">
              <controlPr defaultSize="0" print="0" autoFill="0" autoPict="0" macro="[0]!Go_to_Table_4">
                <anchor moveWithCells="1" sizeWithCells="1">
                  <from>
                    <xdr:col>12</xdr:col>
                    <xdr:colOff>7620</xdr:colOff>
                    <xdr:row>1</xdr:row>
                    <xdr:rowOff>38100</xdr:rowOff>
                  </from>
                  <to>
                    <xdr:col>13</xdr:col>
                    <xdr:colOff>160020</xdr:colOff>
                    <xdr:row>2</xdr:row>
                    <xdr:rowOff>83820</xdr:rowOff>
                  </to>
                </anchor>
              </controlPr>
            </control>
          </mc:Choice>
        </mc:AlternateContent>
        <mc:AlternateContent xmlns:mc="http://schemas.openxmlformats.org/markup-compatibility/2006">
          <mc:Choice Requires="x14">
            <control shapeId="23575" r:id="rId22" name="Button 23">
              <controlPr defaultSize="0" print="0" autoFill="0" autoPict="0" macro="[0]!Go_to_Table_5">
                <anchor moveWithCells="1" sizeWithCells="1">
                  <from>
                    <xdr:col>6</xdr:col>
                    <xdr:colOff>563880</xdr:colOff>
                    <xdr:row>2</xdr:row>
                    <xdr:rowOff>83820</xdr:rowOff>
                  </from>
                  <to>
                    <xdr:col>8</xdr:col>
                    <xdr:colOff>137160</xdr:colOff>
                    <xdr:row>3</xdr:row>
                    <xdr:rowOff>137160</xdr:rowOff>
                  </to>
                </anchor>
              </controlPr>
            </control>
          </mc:Choice>
        </mc:AlternateContent>
        <mc:AlternateContent xmlns:mc="http://schemas.openxmlformats.org/markup-compatibility/2006">
          <mc:Choice Requires="x14">
            <control shapeId="23576" r:id="rId23" name="Button 24">
              <controlPr defaultSize="0" print="0" autoFill="0" autoPict="0" macro="[0]!Go_to_Table_6">
                <anchor moveWithCells="1" sizeWithCells="1">
                  <from>
                    <xdr:col>8</xdr:col>
                    <xdr:colOff>137160</xdr:colOff>
                    <xdr:row>2</xdr:row>
                    <xdr:rowOff>83820</xdr:rowOff>
                  </from>
                  <to>
                    <xdr:col>9</xdr:col>
                    <xdr:colOff>289560</xdr:colOff>
                    <xdr:row>3</xdr:row>
                    <xdr:rowOff>137160</xdr:rowOff>
                  </to>
                </anchor>
              </controlPr>
            </control>
          </mc:Choice>
        </mc:AlternateContent>
        <mc:AlternateContent xmlns:mc="http://schemas.openxmlformats.org/markup-compatibility/2006">
          <mc:Choice Requires="x14">
            <control shapeId="23577" r:id="rId24" name="Button 25">
              <controlPr defaultSize="0" print="0" autoFill="0" autoPict="0" macro="[0]!Go_to_Table_7">
                <anchor moveWithCells="1" sizeWithCells="1">
                  <from>
                    <xdr:col>9</xdr:col>
                    <xdr:colOff>289560</xdr:colOff>
                    <xdr:row>2</xdr:row>
                    <xdr:rowOff>83820</xdr:rowOff>
                  </from>
                  <to>
                    <xdr:col>10</xdr:col>
                    <xdr:colOff>441960</xdr:colOff>
                    <xdr:row>3</xdr:row>
                    <xdr:rowOff>137160</xdr:rowOff>
                  </to>
                </anchor>
              </controlPr>
            </control>
          </mc:Choice>
        </mc:AlternateContent>
        <mc:AlternateContent xmlns:mc="http://schemas.openxmlformats.org/markup-compatibility/2006">
          <mc:Choice Requires="x14">
            <control shapeId="23578" r:id="rId25" name="Button 26">
              <controlPr defaultSize="0" print="0" autoFill="0" autoPict="0" macro="[0]!Go_to_Table_8">
                <anchor moveWithCells="1" sizeWithCells="1">
                  <from>
                    <xdr:col>10</xdr:col>
                    <xdr:colOff>441960</xdr:colOff>
                    <xdr:row>2</xdr:row>
                    <xdr:rowOff>83820</xdr:rowOff>
                  </from>
                  <to>
                    <xdr:col>12</xdr:col>
                    <xdr:colOff>7620</xdr:colOff>
                    <xdr:row>3</xdr:row>
                    <xdr:rowOff>137160</xdr:rowOff>
                  </to>
                </anchor>
              </controlPr>
            </control>
          </mc:Choice>
        </mc:AlternateContent>
        <mc:AlternateContent xmlns:mc="http://schemas.openxmlformats.org/markup-compatibility/2006">
          <mc:Choice Requires="x14">
            <control shapeId="23579" r:id="rId26" name="Button 27">
              <controlPr defaultSize="0" print="0" autoFill="0" autoPict="0" macro="[0]!Go_to_Table_9">
                <anchor moveWithCells="1" sizeWithCells="1">
                  <from>
                    <xdr:col>12</xdr:col>
                    <xdr:colOff>7620</xdr:colOff>
                    <xdr:row>2</xdr:row>
                    <xdr:rowOff>83820</xdr:rowOff>
                  </from>
                  <to>
                    <xdr:col>13</xdr:col>
                    <xdr:colOff>160020</xdr:colOff>
                    <xdr:row>3</xdr:row>
                    <xdr:rowOff>137160</xdr:rowOff>
                  </to>
                </anchor>
              </controlPr>
            </control>
          </mc:Choice>
        </mc:AlternateContent>
        <mc:AlternateContent xmlns:mc="http://schemas.openxmlformats.org/markup-compatibility/2006">
          <mc:Choice Requires="x14">
            <control shapeId="23580" r:id="rId27" name="Button 28">
              <controlPr defaultSize="0" print="0" autoFill="0" autoPict="0" macro="[0]!Go_to_Table_10">
                <anchor moveWithCells="1" sizeWithCells="1">
                  <from>
                    <xdr:col>6</xdr:col>
                    <xdr:colOff>563880</xdr:colOff>
                    <xdr:row>3</xdr:row>
                    <xdr:rowOff>137160</xdr:rowOff>
                  </from>
                  <to>
                    <xdr:col>8</xdr:col>
                    <xdr:colOff>137160</xdr:colOff>
                    <xdr:row>5</xdr:row>
                    <xdr:rowOff>7620</xdr:rowOff>
                  </to>
                </anchor>
              </controlPr>
            </control>
          </mc:Choice>
        </mc:AlternateContent>
        <mc:AlternateContent xmlns:mc="http://schemas.openxmlformats.org/markup-compatibility/2006">
          <mc:Choice Requires="x14">
            <control shapeId="23581" r:id="rId28" name="Button 29">
              <controlPr defaultSize="0" print="0" autoFill="0" autoPict="0" macro="[0]!Go_to_Table_10a">
                <anchor moveWithCells="1" sizeWithCells="1">
                  <from>
                    <xdr:col>8</xdr:col>
                    <xdr:colOff>137160</xdr:colOff>
                    <xdr:row>3</xdr:row>
                    <xdr:rowOff>137160</xdr:rowOff>
                  </from>
                  <to>
                    <xdr:col>9</xdr:col>
                    <xdr:colOff>289560</xdr:colOff>
                    <xdr:row>5</xdr:row>
                    <xdr:rowOff>7620</xdr:rowOff>
                  </to>
                </anchor>
              </controlPr>
            </control>
          </mc:Choice>
        </mc:AlternateContent>
        <mc:AlternateContent xmlns:mc="http://schemas.openxmlformats.org/markup-compatibility/2006">
          <mc:Choice Requires="x14">
            <control shapeId="23582" r:id="rId29" name="Button 30">
              <controlPr defaultSize="0" print="0" autoFill="0" autoPict="0" macro="[0]!TablesNavigationMacros.Go_to_Table_10b">
                <anchor moveWithCells="1" sizeWithCells="1">
                  <from>
                    <xdr:col>9</xdr:col>
                    <xdr:colOff>289560</xdr:colOff>
                    <xdr:row>3</xdr:row>
                    <xdr:rowOff>137160</xdr:rowOff>
                  </from>
                  <to>
                    <xdr:col>10</xdr:col>
                    <xdr:colOff>441960</xdr:colOff>
                    <xdr:row>5</xdr:row>
                    <xdr:rowOff>7620</xdr:rowOff>
                  </to>
                </anchor>
              </controlPr>
            </control>
          </mc:Choice>
        </mc:AlternateContent>
        <mc:AlternateContent xmlns:mc="http://schemas.openxmlformats.org/markup-compatibility/2006">
          <mc:Choice Requires="x14">
            <control shapeId="23583" r:id="rId30" name="Button 31">
              <controlPr defaultSize="0" print="0" autoFill="0" autoPict="0" macro="[0]!Go_to_Table_11">
                <anchor moveWithCells="1" sizeWithCells="1">
                  <from>
                    <xdr:col>10</xdr:col>
                    <xdr:colOff>441960</xdr:colOff>
                    <xdr:row>3</xdr:row>
                    <xdr:rowOff>137160</xdr:rowOff>
                  </from>
                  <to>
                    <xdr:col>12</xdr:col>
                    <xdr:colOff>7620</xdr:colOff>
                    <xdr:row>5</xdr:row>
                    <xdr:rowOff>7620</xdr:rowOff>
                  </to>
                </anchor>
              </controlPr>
            </control>
          </mc:Choice>
        </mc:AlternateContent>
        <mc:AlternateContent xmlns:mc="http://schemas.openxmlformats.org/markup-compatibility/2006">
          <mc:Choice Requires="x14">
            <control shapeId="23584" r:id="rId31" name="Button 32">
              <controlPr defaultSize="0" print="0" autoFill="0" autoPict="0" macro="[0]!Go_to_Table_12">
                <anchor moveWithCells="1" sizeWithCells="1">
                  <from>
                    <xdr:col>12</xdr:col>
                    <xdr:colOff>7620</xdr:colOff>
                    <xdr:row>3</xdr:row>
                    <xdr:rowOff>137160</xdr:rowOff>
                  </from>
                  <to>
                    <xdr:col>13</xdr:col>
                    <xdr:colOff>160020</xdr:colOff>
                    <xdr:row>5</xdr:row>
                    <xdr:rowOff>7620</xdr:rowOff>
                  </to>
                </anchor>
              </controlPr>
            </control>
          </mc:Choice>
        </mc:AlternateContent>
        <mc:AlternateContent xmlns:mc="http://schemas.openxmlformats.org/markup-compatibility/2006">
          <mc:Choice Requires="x14">
            <control shapeId="23559" r:id="rId32" name="Button 7">
              <controlPr defaultSize="0" print="0" autoFill="0" autoPict="0" macro="[0]!Print_Table_6">
                <anchor moveWithCells="1" sizeWithCells="1">
                  <from>
                    <xdr:col>13</xdr:col>
                    <xdr:colOff>0</xdr:colOff>
                    <xdr:row>268</xdr:row>
                    <xdr:rowOff>76200</xdr:rowOff>
                  </from>
                  <to>
                    <xdr:col>13</xdr:col>
                    <xdr:colOff>251460</xdr:colOff>
                    <xdr:row>270</xdr:row>
                    <xdr:rowOff>114300</xdr:rowOff>
                  </to>
                </anchor>
              </controlPr>
            </control>
          </mc:Choice>
        </mc:AlternateContent>
        <mc:AlternateContent xmlns:mc="http://schemas.openxmlformats.org/markup-compatibility/2006">
          <mc:Choice Requires="x14">
            <control shapeId="23553" r:id="rId33" name="Button 1">
              <controlPr defaultSize="0" print="0" autoFill="0" autoPict="0" macro="[0]!Print_Table_0">
                <anchor moveWithCells="1" sizeWithCells="1">
                  <from>
                    <xdr:col>7</xdr:col>
                    <xdr:colOff>381000</xdr:colOff>
                    <xdr:row>8</xdr:row>
                    <xdr:rowOff>68580</xdr:rowOff>
                  </from>
                  <to>
                    <xdr:col>8</xdr:col>
                    <xdr:colOff>525780</xdr:colOff>
                    <xdr:row>10</xdr:row>
                    <xdr:rowOff>68580</xdr:rowOff>
                  </to>
                </anchor>
              </controlPr>
            </control>
          </mc:Choice>
        </mc:AlternateContent>
        <mc:AlternateContent xmlns:mc="http://schemas.openxmlformats.org/markup-compatibility/2006">
          <mc:Choice Requires="x14">
            <control shapeId="23555" r:id="rId34" name="Button 3">
              <controlPr defaultSize="0" print="0" autoFill="0" autoPict="0" macro="[0]!Print_Table_2">
                <anchor moveWithCells="1" sizeWithCells="1">
                  <from>
                    <xdr:col>15</xdr:col>
                    <xdr:colOff>274320</xdr:colOff>
                    <xdr:row>91</xdr:row>
                    <xdr:rowOff>60960</xdr:rowOff>
                  </from>
                  <to>
                    <xdr:col>17</xdr:col>
                    <xdr:colOff>0</xdr:colOff>
                    <xdr:row>93</xdr:row>
                    <xdr:rowOff>99060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tabColor indexed="44"/>
    <pageSetUpPr autoPageBreaks="0" fitToPage="1"/>
  </sheetPr>
  <dimension ref="A1:EN350"/>
  <sheetViews>
    <sheetView showGridLines="0" topLeftCell="A131" workbookViewId="0">
      <selection activeCell="F237" sqref="F237"/>
    </sheetView>
  </sheetViews>
  <sheetFormatPr defaultColWidth="9.109375" defaultRowHeight="13.2"/>
  <cols>
    <col min="1" max="1" width="5" style="15" bestFit="1" customWidth="1"/>
    <col min="2" max="2" width="41.109375" style="16" customWidth="1"/>
    <col min="3" max="7" width="10" style="16" customWidth="1"/>
    <col min="8" max="8" width="10.109375" style="16" customWidth="1"/>
    <col min="9" max="11" width="10.109375" style="17" customWidth="1"/>
    <col min="12" max="16" width="8.44140625" style="16" customWidth="1"/>
    <col min="17" max="24" width="8.44140625" style="16" hidden="1" customWidth="1"/>
    <col min="25" max="26" width="8.44140625" style="16" customWidth="1"/>
    <col min="27" max="27" width="8.44140625" style="16" hidden="1" customWidth="1"/>
    <col min="28" max="28" width="41.109375" style="16" hidden="1" customWidth="1"/>
    <col min="29" max="43" width="8.44140625" style="16" hidden="1" customWidth="1"/>
    <col min="44" max="44" width="8.44140625" style="16" customWidth="1"/>
    <col min="45" max="45" width="41.109375" style="16" customWidth="1"/>
    <col min="46" max="52" width="8.44140625" style="16" customWidth="1"/>
    <col min="53" max="59" width="9.109375" style="16"/>
    <col min="60" max="77" width="9.109375" style="16" hidden="1" customWidth="1"/>
    <col min="78" max="78" width="9.109375" style="16"/>
    <col min="79" max="143" width="9.109375" style="16" hidden="1" customWidth="1"/>
    <col min="144" max="16384" width="9.109375" style="16"/>
  </cols>
  <sheetData>
    <row r="1" hidden="1"/>
    <row r="2" hidden="1"/>
    <row r="3" hidden="1"/>
    <row r="4" hidden="1"/>
    <row r="5" hidden="1"/>
    <row r="6" hidden="1"/>
    <row r="7" hidden="1"/>
    <row r="8" hidden="1"/>
    <row r="9" hidden="1"/>
    <row r="10" hidden="1"/>
    <row r="11" hidden="1"/>
    <row r="12" hidden="1"/>
    <row r="13" hidden="1"/>
    <row r="14" hidden="1"/>
    <row r="15" hidden="1"/>
    <row r="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spans="1:144" hidden="1"/>
    <row r="82" spans="1:144" hidden="1"/>
    <row r="83" spans="1:144" hidden="1"/>
    <row r="84" spans="1:144" hidden="1"/>
    <row r="85" spans="1:144" hidden="1"/>
    <row r="86" spans="1:144" hidden="1"/>
    <row r="87" spans="1:144" hidden="1"/>
    <row r="88" spans="1:144" hidden="1"/>
    <row r="89" spans="1:144" hidden="1"/>
    <row r="90" spans="1:144" hidden="1"/>
    <row r="91" spans="1:144" s="1071" customFormat="1" ht="15.75" customHeight="1">
      <c r="A91" s="1073"/>
      <c r="I91" s="1072"/>
      <c r="J91" s="1072"/>
      <c r="K91" s="1072"/>
      <c r="Z91" s="1976"/>
      <c r="AR91" s="1887"/>
      <c r="BZ91" s="1976"/>
      <c r="EN91" s="1887"/>
    </row>
    <row r="92" spans="1:144" s="1071" customFormat="1" ht="15.6">
      <c r="A92" s="1073"/>
      <c r="B92" s="1914" t="s">
        <v>2093</v>
      </c>
      <c r="E92" s="4047"/>
      <c r="I92" s="1072"/>
      <c r="J92" s="1072"/>
      <c r="K92" s="1072"/>
      <c r="Z92" s="1976" t="s">
        <v>891</v>
      </c>
      <c r="AR92" s="1887" t="s">
        <v>892</v>
      </c>
      <c r="BZ92" s="1976" t="s">
        <v>891</v>
      </c>
      <c r="EN92" s="1887" t="s">
        <v>892</v>
      </c>
    </row>
    <row r="93" spans="1:144" s="1542" customFormat="1" ht="15.6">
      <c r="B93" s="1888" t="s">
        <v>1226</v>
      </c>
      <c r="C93" s="1544" t="s">
        <v>2108</v>
      </c>
      <c r="D93" s="1545"/>
      <c r="E93" s="1546"/>
      <c r="F93" s="1545"/>
      <c r="G93" s="1545"/>
      <c r="H93" s="1547"/>
      <c r="I93" s="1543"/>
      <c r="J93" s="1543"/>
      <c r="K93" s="1543"/>
      <c r="Z93" s="1977" t="s">
        <v>890</v>
      </c>
      <c r="AR93" s="1887" t="s">
        <v>893</v>
      </c>
      <c r="BZ93" s="1977" t="s">
        <v>890</v>
      </c>
      <c r="EN93" s="1887" t="s">
        <v>70</v>
      </c>
    </row>
    <row r="94" spans="1:144" s="1542" customFormat="1" ht="15.6">
      <c r="B94" s="1888" t="s">
        <v>732</v>
      </c>
      <c r="C94" s="1551" t="s">
        <v>2109</v>
      </c>
      <c r="D94" s="1552"/>
      <c r="E94" s="1553" t="s">
        <v>1806</v>
      </c>
      <c r="F94" s="1551" t="s">
        <v>8</v>
      </c>
      <c r="G94" s="1552"/>
      <c r="H94" s="1553" t="s">
        <v>730</v>
      </c>
      <c r="I94" s="1543"/>
      <c r="J94" s="1543"/>
      <c r="K94" s="1543"/>
      <c r="AR94" s="1075" t="s">
        <v>894</v>
      </c>
      <c r="EN94" s="1075" t="s">
        <v>941</v>
      </c>
    </row>
    <row r="95" spans="1:144" s="1542" customFormat="1" ht="15.6">
      <c r="B95" s="1981" t="s">
        <v>733</v>
      </c>
      <c r="C95" s="1548" t="s">
        <v>2081</v>
      </c>
      <c r="D95" s="1549"/>
      <c r="E95" s="1550" t="s">
        <v>1791</v>
      </c>
      <c r="F95" s="1548" t="s">
        <v>208</v>
      </c>
      <c r="G95" s="1549"/>
      <c r="H95" s="1550">
        <v>2019</v>
      </c>
      <c r="I95" s="1543"/>
      <c r="J95" s="1543"/>
      <c r="K95" s="1543"/>
      <c r="AR95" s="1075" t="s">
        <v>895</v>
      </c>
      <c r="EN95" s="1075" t="s">
        <v>702</v>
      </c>
    </row>
    <row r="96" spans="1:144" s="1071" customFormat="1">
      <c r="A96" s="1077"/>
      <c r="I96" s="1072"/>
      <c r="J96" s="1072"/>
      <c r="K96" s="1072"/>
      <c r="L96" s="1072"/>
      <c r="M96" s="1072"/>
      <c r="N96" s="1072"/>
      <c r="O96" s="1072"/>
      <c r="P96" s="1072"/>
      <c r="Q96" s="1072"/>
      <c r="R96" s="1072"/>
      <c r="S96" s="1072"/>
      <c r="T96" s="1072"/>
      <c r="U96" s="1072"/>
      <c r="V96" s="1072"/>
      <c r="W96" s="1072"/>
      <c r="X96" s="1072"/>
      <c r="Y96" s="1072"/>
      <c r="AA96" s="1072"/>
      <c r="AB96" s="1072"/>
      <c r="AC96" s="1072"/>
      <c r="AD96" s="1072"/>
      <c r="AE96" s="1072"/>
      <c r="AF96" s="1072"/>
      <c r="AG96" s="1072"/>
      <c r="AH96" s="1072"/>
      <c r="AI96" s="1072"/>
      <c r="AJ96" s="1072"/>
      <c r="AK96" s="1072"/>
      <c r="AL96" s="1072"/>
      <c r="AM96" s="1072"/>
      <c r="AN96" s="1072"/>
      <c r="AO96" s="1072"/>
      <c r="AP96" s="1072"/>
      <c r="AQ96" s="1072"/>
      <c r="AR96" s="1072"/>
      <c r="AS96" s="1072"/>
      <c r="AT96" s="1072"/>
      <c r="AU96" s="1072"/>
      <c r="AV96" s="1072"/>
      <c r="AW96" s="1072"/>
      <c r="AX96" s="1072"/>
      <c r="AY96" s="1072"/>
      <c r="AZ96" s="1072"/>
      <c r="EN96" s="1072"/>
    </row>
    <row r="97" spans="1:144" s="1071" customFormat="1" hidden="1">
      <c r="A97" s="1077"/>
      <c r="G97" s="1070"/>
      <c r="I97" s="1072"/>
      <c r="J97" s="1072"/>
      <c r="K97" s="1072"/>
      <c r="L97" s="1072"/>
      <c r="M97" s="1072"/>
      <c r="N97" s="1072"/>
      <c r="O97" s="1072"/>
      <c r="P97" s="1072"/>
      <c r="Q97" s="1072"/>
      <c r="R97" s="1072"/>
      <c r="S97" s="1072"/>
      <c r="T97" s="1072"/>
      <c r="U97" s="1072"/>
      <c r="V97" s="1072"/>
      <c r="W97" s="1072"/>
      <c r="X97" s="1072"/>
      <c r="Y97" s="1072"/>
      <c r="AA97" s="1072"/>
      <c r="AB97" s="1072"/>
      <c r="AC97" s="1072"/>
      <c r="AD97" s="1072"/>
      <c r="AE97" s="1072"/>
      <c r="AF97" s="1072"/>
      <c r="AG97" s="1072"/>
      <c r="AH97" s="1072"/>
      <c r="AI97" s="1072"/>
      <c r="AJ97" s="1072"/>
      <c r="AK97" s="1072"/>
      <c r="AL97" s="1072"/>
      <c r="AM97" s="1072"/>
      <c r="AN97" s="1072"/>
      <c r="AO97" s="1072"/>
      <c r="AP97" s="1072"/>
      <c r="AQ97" s="1072"/>
      <c r="AR97" s="1072"/>
      <c r="AS97" s="1072"/>
      <c r="AT97" s="1072"/>
      <c r="AU97" s="1072"/>
      <c r="AV97" s="1072"/>
      <c r="AW97" s="1072"/>
      <c r="AX97" s="1072"/>
      <c r="AY97" s="1072"/>
      <c r="AZ97" s="1072"/>
    </row>
    <row r="98" spans="1:144" s="1075" customFormat="1">
      <c r="B98" s="1074"/>
      <c r="C98" s="1076">
        <v>1</v>
      </c>
      <c r="D98" s="1076">
        <f t="shared" ref="D98:O98" si="0">C98+1</f>
        <v>2</v>
      </c>
      <c r="E98" s="1076">
        <f t="shared" si="0"/>
        <v>3</v>
      </c>
      <c r="F98" s="1076">
        <f t="shared" si="0"/>
        <v>4</v>
      </c>
      <c r="G98" s="1076">
        <f t="shared" si="0"/>
        <v>5</v>
      </c>
      <c r="H98" s="1076">
        <f t="shared" si="0"/>
        <v>6</v>
      </c>
      <c r="I98" s="1076">
        <f t="shared" si="0"/>
        <v>7</v>
      </c>
      <c r="J98" s="1076">
        <f t="shared" si="0"/>
        <v>8</v>
      </c>
      <c r="K98" s="1076">
        <f t="shared" si="0"/>
        <v>9</v>
      </c>
      <c r="L98" s="1076">
        <f t="shared" si="0"/>
        <v>10</v>
      </c>
      <c r="M98" s="1076">
        <f t="shared" si="0"/>
        <v>11</v>
      </c>
      <c r="N98" s="1076">
        <f t="shared" si="0"/>
        <v>12</v>
      </c>
      <c r="O98" s="1076">
        <f t="shared" si="0"/>
        <v>13</v>
      </c>
      <c r="P98" s="1076"/>
      <c r="Q98" s="1076"/>
      <c r="R98" s="1076"/>
      <c r="S98" s="1076"/>
      <c r="T98" s="1076"/>
      <c r="U98" s="1076"/>
      <c r="V98" s="1076"/>
      <c r="W98" s="1076"/>
      <c r="X98" s="1076"/>
      <c r="Y98" s="1076"/>
      <c r="AB98" s="1074"/>
      <c r="AC98" s="1076">
        <v>1</v>
      </c>
      <c r="AD98" s="1076">
        <f t="shared" ref="AD98:AO98" si="1">AC98+1</f>
        <v>2</v>
      </c>
      <c r="AE98" s="1076">
        <f t="shared" si="1"/>
        <v>3</v>
      </c>
      <c r="AF98" s="1076">
        <f t="shared" si="1"/>
        <v>4</v>
      </c>
      <c r="AG98" s="1076">
        <f t="shared" si="1"/>
        <v>5</v>
      </c>
      <c r="AH98" s="1076">
        <f t="shared" si="1"/>
        <v>6</v>
      </c>
      <c r="AI98" s="1076">
        <f t="shared" si="1"/>
        <v>7</v>
      </c>
      <c r="AJ98" s="1076">
        <f t="shared" si="1"/>
        <v>8</v>
      </c>
      <c r="AK98" s="1076">
        <f t="shared" si="1"/>
        <v>9</v>
      </c>
      <c r="AL98" s="1076">
        <f t="shared" si="1"/>
        <v>10</v>
      </c>
      <c r="AM98" s="1076">
        <f t="shared" si="1"/>
        <v>11</v>
      </c>
      <c r="AN98" s="1076">
        <f t="shared" si="1"/>
        <v>12</v>
      </c>
      <c r="AO98" s="1076">
        <f t="shared" si="1"/>
        <v>13</v>
      </c>
      <c r="AP98" s="1076"/>
      <c r="AQ98" s="1076"/>
      <c r="AR98" s="1076" t="s">
        <v>2012</v>
      </c>
      <c r="AS98" s="1076"/>
      <c r="AT98" s="1076"/>
      <c r="AU98" s="1076"/>
      <c r="AV98" s="1076"/>
      <c r="AW98" s="1076"/>
      <c r="AX98" s="1076"/>
      <c r="AY98" s="1076"/>
      <c r="AZ98" s="1076"/>
      <c r="BH98" s="1990"/>
      <c r="BI98" s="1990"/>
      <c r="BJ98" s="1990"/>
      <c r="BK98" s="1990"/>
      <c r="BL98" s="1990"/>
      <c r="BM98" s="1990"/>
      <c r="BN98" s="1990"/>
      <c r="BO98" s="1990"/>
      <c r="BP98" s="1990"/>
      <c r="BQ98" s="1990"/>
      <c r="BR98" s="1990"/>
      <c r="BS98" s="1990"/>
      <c r="BT98" s="1990"/>
      <c r="BU98" s="1990"/>
      <c r="BV98" s="1990"/>
      <c r="BW98" s="1990"/>
      <c r="BX98" s="1990"/>
      <c r="BY98" s="1990"/>
      <c r="CA98" s="1990" t="s">
        <v>2740</v>
      </c>
      <c r="CB98" s="1990"/>
      <c r="CC98" s="1990"/>
      <c r="CD98" s="1990"/>
      <c r="CE98" s="1990"/>
      <c r="CF98" s="1990"/>
      <c r="CG98" s="1990"/>
      <c r="CH98" s="1990"/>
      <c r="CI98" s="1990"/>
      <c r="CJ98" s="1990"/>
      <c r="CK98" s="1990"/>
      <c r="CL98" s="1990"/>
      <c r="CM98" s="1990"/>
      <c r="CN98" s="1990" t="s">
        <v>2737</v>
      </c>
      <c r="CO98" s="1990"/>
      <c r="CP98" s="1990"/>
      <c r="CQ98" s="1990"/>
      <c r="CR98" s="1990"/>
      <c r="CS98" s="1990"/>
      <c r="CT98" s="1990"/>
      <c r="CU98" s="1990"/>
      <c r="CV98" s="1990"/>
      <c r="CW98" s="1990"/>
      <c r="CX98" s="1990"/>
      <c r="CY98" s="1990"/>
      <c r="CZ98" s="1990"/>
      <c r="DA98" s="1990" t="s">
        <v>2741</v>
      </c>
      <c r="DB98" s="1990"/>
      <c r="DC98" s="1990"/>
      <c r="DD98" s="1990"/>
      <c r="DE98" s="1990"/>
      <c r="DF98" s="1990"/>
      <c r="DG98" s="1990"/>
      <c r="DH98" s="1990"/>
      <c r="DI98" s="1990"/>
      <c r="DJ98" s="1990"/>
      <c r="DK98" s="1990"/>
      <c r="DL98" s="1990"/>
      <c r="DM98" s="1990"/>
      <c r="DN98" s="1990" t="s">
        <v>2742</v>
      </c>
      <c r="DO98" s="1990"/>
      <c r="DP98" s="1990"/>
      <c r="DQ98" s="1990"/>
      <c r="DR98" s="1990"/>
      <c r="DS98" s="1990"/>
      <c r="DT98" s="1990"/>
      <c r="DU98" s="1990"/>
      <c r="DV98" s="1990"/>
      <c r="DW98" s="1990"/>
      <c r="DX98" s="1990"/>
      <c r="DY98" s="1990"/>
      <c r="DZ98" s="1990"/>
      <c r="EA98" s="1990" t="s">
        <v>2743</v>
      </c>
      <c r="EB98" s="1990"/>
      <c r="EC98" s="1990"/>
      <c r="ED98" s="1990"/>
      <c r="EE98" s="1990"/>
      <c r="EF98" s="1990"/>
      <c r="EG98" s="1990"/>
      <c r="EH98" s="1990"/>
      <c r="EI98" s="1990"/>
      <c r="EJ98" s="1990"/>
      <c r="EK98" s="1990"/>
      <c r="EL98" s="1990"/>
      <c r="EM98" s="1990"/>
      <c r="EN98" s="1990"/>
    </row>
    <row r="99" spans="1:144">
      <c r="D99" s="18" t="str">
        <f>Last_forecast_year-2 &amp; "Q1"</f>
        <v>2017Q1</v>
      </c>
      <c r="E99" s="18" t="str">
        <f>Last_forecast_year-2 &amp; "Q2"</f>
        <v>2017Q2</v>
      </c>
      <c r="F99" s="18" t="str">
        <f>Last_forecast_year-2 &amp; "Q3"</f>
        <v>2017Q3</v>
      </c>
      <c r="G99" s="18" t="str">
        <f>Last_forecast_year-2 &amp; "Q4"</f>
        <v>2017Q4</v>
      </c>
      <c r="H99" s="18" t="str">
        <f>Last_forecast_year-1 &amp; "Q1"</f>
        <v>2018Q1</v>
      </c>
      <c r="I99" s="18" t="str">
        <f>Last_forecast_year-1 &amp; "Q2"</f>
        <v>2018Q2</v>
      </c>
      <c r="J99" s="18" t="str">
        <f>Last_forecast_year-1 &amp; "Q3"</f>
        <v>2018Q3</v>
      </c>
      <c r="K99" s="18" t="str">
        <f>Last_forecast_year-1 &amp; "Q4"</f>
        <v>2018Q4</v>
      </c>
      <c r="L99" s="18" t="str">
        <f>Last_forecast_year &amp; "Q1"</f>
        <v>2019Q1</v>
      </c>
      <c r="M99" s="18" t="str">
        <f>Last_forecast_year &amp; "Q2"</f>
        <v>2019Q2</v>
      </c>
      <c r="N99" s="18" t="str">
        <f>Last_forecast_year &amp; "Q3"</f>
        <v>2019Q3</v>
      </c>
      <c r="O99" s="18" t="str">
        <f>Last_forecast_year &amp; "Q4"</f>
        <v>2019Q4</v>
      </c>
      <c r="P99" s="18"/>
      <c r="Q99" s="18"/>
      <c r="R99" s="18"/>
      <c r="S99" s="18"/>
      <c r="T99" s="18"/>
      <c r="U99" s="18"/>
      <c r="V99" s="18"/>
      <c r="W99" s="18"/>
      <c r="X99" s="18"/>
      <c r="Y99" s="18"/>
      <c r="Z99" s="18"/>
      <c r="AA99" s="15"/>
      <c r="AD99" s="18" t="str">
        <f>Last_forecast_year-2 &amp; "Q1"</f>
        <v>2017Q1</v>
      </c>
      <c r="AE99" s="18" t="str">
        <f>Last_forecast_year-2 &amp; "Q2"</f>
        <v>2017Q2</v>
      </c>
      <c r="AF99" s="18" t="str">
        <f>Last_forecast_year-2 &amp; "Q3"</f>
        <v>2017Q3</v>
      </c>
      <c r="AG99" s="18" t="str">
        <f>Last_forecast_year-2 &amp; "Q4"</f>
        <v>2017Q4</v>
      </c>
      <c r="AH99" s="18" t="str">
        <f>Last_forecast_year-1 &amp; "Q1"</f>
        <v>2018Q1</v>
      </c>
      <c r="AI99" s="18" t="str">
        <f>Last_forecast_year-1 &amp; "Q2"</f>
        <v>2018Q2</v>
      </c>
      <c r="AJ99" s="18" t="str">
        <f>Last_forecast_year-1 &amp; "Q3"</f>
        <v>2018Q3</v>
      </c>
      <c r="AK99" s="18" t="str">
        <f>Last_forecast_year-1 &amp; "Q4"</f>
        <v>2018Q4</v>
      </c>
      <c r="AL99" s="18" t="str">
        <f>Last_forecast_year &amp; "Q1"</f>
        <v>2019Q1</v>
      </c>
      <c r="AM99" s="18" t="str">
        <f>Last_forecast_year &amp; "Q2"</f>
        <v>2019Q2</v>
      </c>
      <c r="AN99" s="18" t="str">
        <f>Last_forecast_year &amp; "Q3"</f>
        <v>2019Q3</v>
      </c>
      <c r="AO99" s="18" t="str">
        <f>Last_forecast_year &amp; "Q4"</f>
        <v>2019Q4</v>
      </c>
      <c r="AP99" s="18"/>
      <c r="AQ99" s="18"/>
      <c r="AR99" s="15"/>
      <c r="AU99" s="18" t="s">
        <v>2013</v>
      </c>
      <c r="AV99" s="18" t="s">
        <v>2014</v>
      </c>
      <c r="AW99" s="18" t="s">
        <v>2015</v>
      </c>
      <c r="AX99" s="18" t="s">
        <v>2016</v>
      </c>
      <c r="AY99" s="18" t="s">
        <v>2017</v>
      </c>
      <c r="AZ99" s="18" t="s">
        <v>2018</v>
      </c>
      <c r="BA99" s="18" t="s">
        <v>2019</v>
      </c>
      <c r="BB99" s="18" t="s">
        <v>2020</v>
      </c>
      <c r="BC99" s="18" t="s">
        <v>2021</v>
      </c>
      <c r="BD99" s="18" t="s">
        <v>2022</v>
      </c>
      <c r="BE99" s="18" t="s">
        <v>939</v>
      </c>
      <c r="BF99" s="18" t="s">
        <v>940</v>
      </c>
    </row>
    <row r="100" spans="1:144">
      <c r="C100" s="19">
        <f>Last_forecast_year-4</f>
        <v>2015</v>
      </c>
      <c r="D100" s="19">
        <f>C100+1</f>
        <v>2016</v>
      </c>
      <c r="E100" s="19">
        <f>D100+1</f>
        <v>2017</v>
      </c>
      <c r="F100" s="19">
        <f>E100+1</f>
        <v>2018</v>
      </c>
      <c r="G100" s="19">
        <f>F100+1</f>
        <v>2019</v>
      </c>
      <c r="H100" s="19"/>
      <c r="I100" s="19"/>
      <c r="J100" s="19"/>
      <c r="K100" s="19"/>
      <c r="L100" s="20"/>
      <c r="M100" s="20"/>
      <c r="N100" s="20"/>
      <c r="O100" s="20"/>
      <c r="P100"/>
      <c r="Q100"/>
      <c r="AA100" s="15"/>
      <c r="AC100" s="19">
        <f>Last_forecast_year-4</f>
        <v>2015</v>
      </c>
      <c r="AD100" s="19">
        <f>AC100+1</f>
        <v>2016</v>
      </c>
      <c r="AE100" s="19">
        <f>AD100+1</f>
        <v>2017</v>
      </c>
      <c r="AF100" s="19">
        <f>AE100+1</f>
        <v>2018</v>
      </c>
      <c r="AG100" s="19">
        <f>AF100+1</f>
        <v>2019</v>
      </c>
      <c r="AH100" s="19"/>
      <c r="AI100" s="19"/>
      <c r="AJ100" s="19"/>
      <c r="AK100" s="19"/>
      <c r="AL100" s="20"/>
      <c r="AM100" s="20"/>
      <c r="AN100" s="20"/>
      <c r="AO100" s="20"/>
      <c r="AR100" s="15"/>
      <c r="AT100" s="19">
        <v>2004</v>
      </c>
      <c r="AU100" s="19">
        <v>2005</v>
      </c>
      <c r="AV100" s="19">
        <v>2006</v>
      </c>
      <c r="AW100" s="19">
        <v>2007</v>
      </c>
      <c r="AX100" s="19">
        <v>2008</v>
      </c>
      <c r="AY100" s="19"/>
      <c r="AZ100" s="19"/>
      <c r="BA100" s="19"/>
      <c r="BB100" s="19"/>
      <c r="BC100" s="20"/>
      <c r="BD100" s="20"/>
      <c r="BE100" s="20"/>
      <c r="BF100" s="20"/>
    </row>
    <row r="101" spans="1:144">
      <c r="A101" s="22">
        <v>1</v>
      </c>
      <c r="B101" s="23" t="s">
        <v>510</v>
      </c>
      <c r="C101" s="24">
        <f ca="1">OFFSET('VVP2'!F172,0,Last_forecast_year - 3-InputY!$G$3)</f>
        <v>208.73982457178622</v>
      </c>
      <c r="D101" s="24">
        <f ca="1">OFFSET('VVP2'!G172,0,Last_forecast_year - 3-InputY!$G$3)</f>
        <v>213.36539725760269</v>
      </c>
      <c r="E101" s="24">
        <f ca="1">OFFSET('VVP2'!H172,0,Last_forecast_year - 3-InputY!$G$3)</f>
        <v>219.01333450893432</v>
      </c>
      <c r="F101" s="24">
        <f ca="1">OFFSET('VVP2'!I172,0,Last_forecast_year - 3-InputY!$G$3)</f>
        <v>226.3979295</v>
      </c>
      <c r="G101" s="24">
        <f ca="1">OFFSET('VVP2'!J172,0,Last_forecast_year - 3-InputY!$G$3)</f>
        <v>234.2990361212064</v>
      </c>
      <c r="H101" s="25">
        <v>-9999</v>
      </c>
      <c r="I101" s="25">
        <v>-9999</v>
      </c>
      <c r="J101" s="25">
        <v>-9999</v>
      </c>
      <c r="K101" s="25">
        <v>-9999</v>
      </c>
      <c r="L101" s="25">
        <v>-9999</v>
      </c>
      <c r="M101" s="25">
        <v>-9999</v>
      </c>
      <c r="N101" s="25">
        <v>-9999</v>
      </c>
      <c r="O101" s="25">
        <v>-9999</v>
      </c>
      <c r="P101" s="26"/>
      <c r="Q101"/>
      <c r="Y101" s="16">
        <f ca="1">E101/D101*100-100</f>
        <v>2.6470727324696952</v>
      </c>
      <c r="AA101" s="22">
        <v>1</v>
      </c>
      <c r="AB101" s="1081" t="str">
        <f>+B101</f>
        <v>VOL. PRIVATE CONSUMPTION EXPEND.</v>
      </c>
      <c r="AC101" s="1081">
        <f>CHOOSE(Tables!$U$2,Transfer!CA101,Transfer!CN101,Transfer!DA101,Transfer!DN101,Transfer!EA101)</f>
        <v>208.73982457178622</v>
      </c>
      <c r="AD101" s="1081">
        <f>CHOOSE(Tables!$U$2,Transfer!CB101,Transfer!CO101,Transfer!DB101,Transfer!DO101,Transfer!EB101)</f>
        <v>213.36539725760269</v>
      </c>
      <c r="AE101" s="1081">
        <f>CHOOSE(Tables!$U$2,Transfer!CC101,Transfer!CP101,Transfer!DC101,Transfer!DP101,Transfer!EC101)</f>
        <v>219.01333450893432</v>
      </c>
      <c r="AF101" s="1081">
        <f>CHOOSE(Tables!$U$2,Transfer!CD101,Transfer!CQ101,Transfer!DD101,Transfer!DQ101,Transfer!ED101)</f>
        <v>226.3979295</v>
      </c>
      <c r="AG101" s="1081">
        <f>CHOOSE(Tables!$U$2,Transfer!CE101,Transfer!CR101,Transfer!DE101,Transfer!DR101,Transfer!EE101)</f>
        <v>234.2990361212064</v>
      </c>
      <c r="AH101" s="1081">
        <f>CHOOSE(Tables!$U$2,Transfer!CF101,Transfer!CS101,Transfer!DF101,Transfer!DS101,Transfer!EF101)</f>
        <v>-9999</v>
      </c>
      <c r="AI101" s="1081">
        <f>CHOOSE(Tables!$U$2,Transfer!CG101,Transfer!CT101,Transfer!DG101,Transfer!DT101,Transfer!EG101)</f>
        <v>-9999</v>
      </c>
      <c r="AJ101" s="1081">
        <f>CHOOSE(Tables!$U$2,Transfer!CH101,Transfer!CU101,Transfer!DH101,Transfer!DU101,Transfer!EH101)</f>
        <v>-9999</v>
      </c>
      <c r="AK101" s="1081">
        <f>CHOOSE(Tables!$U$2,Transfer!CI101,Transfer!CV101,Transfer!DI101,Transfer!DV101,Transfer!EI101)</f>
        <v>-9999</v>
      </c>
      <c r="AL101" s="1081">
        <f>CHOOSE(Tables!$U$2,Transfer!CJ101,Transfer!CW101,Transfer!DJ101,Transfer!DW101,Transfer!EJ101)</f>
        <v>-9999</v>
      </c>
      <c r="AM101" s="1081">
        <f>CHOOSE(Tables!$U$2,Transfer!CK101,Transfer!CX101,Transfer!DK101,Transfer!DX101,Transfer!EK101)</f>
        <v>-9999</v>
      </c>
      <c r="AN101" s="1081">
        <f>CHOOSE(Tables!$U$2,Transfer!CL101,Transfer!CY101,Transfer!DL101,Transfer!DY101,Transfer!EL101)</f>
        <v>-9999</v>
      </c>
      <c r="AO101" s="1081">
        <f>CHOOSE(Tables!$U$2,Transfer!CM101,Transfer!CZ101,Transfer!DM101,Transfer!DZ101,Transfer!EM101)</f>
        <v>-9999</v>
      </c>
      <c r="AR101" s="22">
        <v>1</v>
      </c>
      <c r="AS101" s="23" t="s">
        <v>510</v>
      </c>
      <c r="AT101" s="24">
        <f t="shared" ref="AT101:BF120" ca="1" si="2">C101-AC101</f>
        <v>0</v>
      </c>
      <c r="AU101" s="24">
        <f t="shared" ca="1" si="2"/>
        <v>0</v>
      </c>
      <c r="AV101" s="24">
        <f t="shared" ca="1" si="2"/>
        <v>0</v>
      </c>
      <c r="AW101" s="24">
        <f t="shared" ca="1" si="2"/>
        <v>0</v>
      </c>
      <c r="AX101" s="24">
        <f t="shared" ca="1" si="2"/>
        <v>0</v>
      </c>
      <c r="AY101" s="25">
        <f t="shared" si="2"/>
        <v>0</v>
      </c>
      <c r="AZ101" s="25">
        <f t="shared" si="2"/>
        <v>0</v>
      </c>
      <c r="BA101" s="25">
        <f t="shared" si="2"/>
        <v>0</v>
      </c>
      <c r="BB101" s="25">
        <f t="shared" si="2"/>
        <v>0</v>
      </c>
      <c r="BC101" s="25">
        <f t="shared" si="2"/>
        <v>0</v>
      </c>
      <c r="BD101" s="25">
        <f t="shared" si="2"/>
        <v>0</v>
      </c>
      <c r="BE101" s="25">
        <f t="shared" si="2"/>
        <v>0</v>
      </c>
      <c r="BF101" s="25">
        <f t="shared" si="2"/>
        <v>0</v>
      </c>
      <c r="CA101" s="16">
        <v>208.73982457178622</v>
      </c>
      <c r="CB101" s="16">
        <v>213.36539725760269</v>
      </c>
      <c r="CC101" s="16">
        <v>219.01333450893432</v>
      </c>
      <c r="CD101" s="16">
        <v>226.3979295</v>
      </c>
      <c r="CE101" s="16">
        <v>234.2990361212064</v>
      </c>
      <c r="CF101" s="16">
        <v>-9999</v>
      </c>
      <c r="CG101" s="16">
        <v>-9999</v>
      </c>
      <c r="CH101" s="16">
        <v>-9999</v>
      </c>
      <c r="CI101" s="16">
        <v>-9999</v>
      </c>
      <c r="CJ101" s="16">
        <v>-9999</v>
      </c>
      <c r="CK101" s="16">
        <v>-9999</v>
      </c>
      <c r="CL101" s="16">
        <v>-9999</v>
      </c>
      <c r="CM101" s="16">
        <v>-9999</v>
      </c>
      <c r="CN101" s="16">
        <v>208.73982457178622</v>
      </c>
      <c r="CO101" s="16">
        <v>213.36539725760269</v>
      </c>
      <c r="CP101" s="16">
        <v>219.08656188</v>
      </c>
      <c r="CQ101" s="16">
        <v>226.48741548358731</v>
      </c>
      <c r="CR101" s="16">
        <v>234.70868217822601</v>
      </c>
      <c r="CS101" s="16">
        <v>-9999</v>
      </c>
      <c r="CT101" s="16">
        <v>-9999</v>
      </c>
      <c r="CU101" s="16">
        <v>-9999</v>
      </c>
      <c r="CV101" s="16">
        <v>-9999</v>
      </c>
      <c r="CW101" s="16">
        <v>-9999</v>
      </c>
      <c r="CX101" s="16">
        <v>-9999</v>
      </c>
      <c r="CY101" s="16">
        <v>-9999</v>
      </c>
      <c r="CZ101" s="16">
        <v>-9999</v>
      </c>
      <c r="DA101" s="16">
        <v>208.73982457178622</v>
      </c>
      <c r="DB101" s="16">
        <v>213.36539725760269</v>
      </c>
      <c r="DC101" s="16">
        <v>219.01333450893432</v>
      </c>
      <c r="DD101" s="16">
        <v>226.3979295</v>
      </c>
      <c r="DE101" s="16">
        <v>234.2990361212064</v>
      </c>
      <c r="DF101" s="16">
        <v>-9999</v>
      </c>
      <c r="DG101" s="16">
        <v>-9999</v>
      </c>
      <c r="DH101" s="16">
        <v>-9999</v>
      </c>
      <c r="DI101" s="16">
        <v>-9999</v>
      </c>
      <c r="DJ101" s="16">
        <v>-9999</v>
      </c>
      <c r="DK101" s="16">
        <v>-9999</v>
      </c>
      <c r="DL101" s="16">
        <v>-9999</v>
      </c>
      <c r="DM101" s="16">
        <v>-9999</v>
      </c>
      <c r="DN101" s="16">
        <v>208.73982457178622</v>
      </c>
      <c r="DO101" s="16">
        <v>213.36539725760269</v>
      </c>
      <c r="DP101" s="16">
        <v>219.01333450893432</v>
      </c>
      <c r="DQ101" s="16">
        <v>226.3979295</v>
      </c>
      <c r="DR101" s="16">
        <v>234.2990361212064</v>
      </c>
      <c r="DS101" s="16">
        <v>-9999</v>
      </c>
      <c r="DT101" s="16">
        <v>-9999</v>
      </c>
      <c r="DU101" s="16">
        <v>-9999</v>
      </c>
      <c r="DV101" s="16">
        <v>-9999</v>
      </c>
      <c r="DW101" s="16">
        <v>-9999</v>
      </c>
      <c r="DX101" s="16">
        <v>-9999</v>
      </c>
      <c r="DY101" s="16">
        <v>-9999</v>
      </c>
      <c r="DZ101" s="16">
        <v>-9999</v>
      </c>
      <c r="EA101" s="2106">
        <v>208.73982457178622</v>
      </c>
      <c r="EB101" s="2106">
        <v>213.36539725760269</v>
      </c>
      <c r="EC101" s="2106">
        <v>219.01333450893432</v>
      </c>
      <c r="ED101" s="2106">
        <v>226.3979295</v>
      </c>
      <c r="EE101" s="2106">
        <v>234.2990361212064</v>
      </c>
      <c r="EF101" s="2107">
        <v>-9999</v>
      </c>
      <c r="EG101" s="2107">
        <v>-9999</v>
      </c>
      <c r="EH101" s="2107">
        <v>-9999</v>
      </c>
      <c r="EI101" s="2107">
        <v>-9999</v>
      </c>
      <c r="EJ101" s="2107">
        <v>-9999</v>
      </c>
      <c r="EK101" s="2107">
        <v>-9999</v>
      </c>
      <c r="EL101" s="2107">
        <v>-9999</v>
      </c>
      <c r="EM101" s="2107">
        <v>-9999</v>
      </c>
    </row>
    <row r="102" spans="1:144">
      <c r="A102" s="22">
        <v>2</v>
      </c>
      <c r="B102" s="1" t="s">
        <v>38</v>
      </c>
      <c r="C102" s="24">
        <f ca="1">OFFSET('VVP2'!F173,0,Last_forecast_year - 3-InputY!$G$3)</f>
        <v>97.865674072015125</v>
      </c>
      <c r="D102" s="24">
        <f ca="1">OFFSET('VVP2'!G173,0,Last_forecast_year - 3-InputY!$G$3)</f>
        <v>98.724598591313452</v>
      </c>
      <c r="E102" s="24">
        <f ca="1">OFFSET('VVP2'!H173,0,Last_forecast_year - 3-InputY!$G$3)</f>
        <v>100.76957544956498</v>
      </c>
      <c r="F102" s="24">
        <f ca="1">OFFSET('VVP2'!I173,0,Last_forecast_year - 3-InputY!$G$3)</f>
        <v>102.77139534999999</v>
      </c>
      <c r="G102" s="24">
        <f ca="1">OFFSET('VVP2'!J173,0,Last_forecast_year - 3-InputY!$G$3)</f>
        <v>105.8128120239879</v>
      </c>
      <c r="H102" s="25">
        <v>-9999</v>
      </c>
      <c r="I102" s="25">
        <v>-9999</v>
      </c>
      <c r="J102" s="25">
        <v>-9999</v>
      </c>
      <c r="K102" s="25">
        <v>-9999</v>
      </c>
      <c r="L102" s="25">
        <v>-9999</v>
      </c>
      <c r="M102" s="25">
        <v>-9999</v>
      </c>
      <c r="N102" s="25">
        <v>-9999</v>
      </c>
      <c r="O102" s="25">
        <v>-9999</v>
      </c>
      <c r="P102" s="26"/>
      <c r="Q102"/>
      <c r="AA102" s="22">
        <v>2</v>
      </c>
      <c r="AB102" s="1081" t="str">
        <f t="shared" ref="AB102:AB165" si="3">+B102</f>
        <v xml:space="preserve">VOL. GOVERNMENT CONSUMPTION EXPEND. </v>
      </c>
      <c r="AC102" s="1081">
        <f>CHOOSE(Tables!$U$2,Transfer!CA102,Transfer!CN102,Transfer!DA102,Transfer!DN102,Transfer!EA102)</f>
        <v>97.865674072015125</v>
      </c>
      <c r="AD102" s="1081">
        <f>CHOOSE(Tables!$U$2,Transfer!CB102,Transfer!CO102,Transfer!DB102,Transfer!DO102,Transfer!EB102)</f>
        <v>98.724598591313452</v>
      </c>
      <c r="AE102" s="1081">
        <f>CHOOSE(Tables!$U$2,Transfer!CC102,Transfer!CP102,Transfer!DC102,Transfer!DP102,Transfer!EC102)</f>
        <v>100.76957544956498</v>
      </c>
      <c r="AF102" s="1081">
        <f>CHOOSE(Tables!$U$2,Transfer!CD102,Transfer!CQ102,Transfer!DD102,Transfer!DQ102,Transfer!ED102)</f>
        <v>102.77139534999999</v>
      </c>
      <c r="AG102" s="1081">
        <f>CHOOSE(Tables!$U$2,Transfer!CE102,Transfer!CR102,Transfer!DE102,Transfer!DR102,Transfer!EE102)</f>
        <v>105.8128120239879</v>
      </c>
      <c r="AH102" s="1081">
        <f>CHOOSE(Tables!$U$2,Transfer!CF102,Transfer!CS102,Transfer!DF102,Transfer!DS102,Transfer!EF102)</f>
        <v>-9999</v>
      </c>
      <c r="AI102" s="1081">
        <f>CHOOSE(Tables!$U$2,Transfer!CG102,Transfer!CT102,Transfer!DG102,Transfer!DT102,Transfer!EG102)</f>
        <v>-9999</v>
      </c>
      <c r="AJ102" s="1081">
        <f>CHOOSE(Tables!$U$2,Transfer!CH102,Transfer!CU102,Transfer!DH102,Transfer!DU102,Transfer!EH102)</f>
        <v>-9999</v>
      </c>
      <c r="AK102" s="1081">
        <f>CHOOSE(Tables!$U$2,Transfer!CI102,Transfer!CV102,Transfer!DI102,Transfer!DV102,Transfer!EI102)</f>
        <v>-9999</v>
      </c>
      <c r="AL102" s="1081">
        <f>CHOOSE(Tables!$U$2,Transfer!CJ102,Transfer!CW102,Transfer!DJ102,Transfer!DW102,Transfer!EJ102)</f>
        <v>-9999</v>
      </c>
      <c r="AM102" s="1081">
        <f>CHOOSE(Tables!$U$2,Transfer!CK102,Transfer!CX102,Transfer!DK102,Transfer!DX102,Transfer!EK102)</f>
        <v>-9999</v>
      </c>
      <c r="AN102" s="1081">
        <f>CHOOSE(Tables!$U$2,Transfer!CL102,Transfer!CY102,Transfer!DL102,Transfer!DY102,Transfer!EL102)</f>
        <v>-9999</v>
      </c>
      <c r="AO102" s="1081">
        <f>CHOOSE(Tables!$U$2,Transfer!CM102,Transfer!CZ102,Transfer!DM102,Transfer!DZ102,Transfer!EM102)</f>
        <v>-9999</v>
      </c>
      <c r="AR102" s="22">
        <v>2</v>
      </c>
      <c r="AS102" s="1" t="s">
        <v>38</v>
      </c>
      <c r="AT102" s="24">
        <f t="shared" ca="1" si="2"/>
        <v>0</v>
      </c>
      <c r="AU102" s="24">
        <f t="shared" ca="1" si="2"/>
        <v>0</v>
      </c>
      <c r="AV102" s="24">
        <f t="shared" ca="1" si="2"/>
        <v>0</v>
      </c>
      <c r="AW102" s="24">
        <f t="shared" ca="1" si="2"/>
        <v>0</v>
      </c>
      <c r="AX102" s="24">
        <f t="shared" ca="1" si="2"/>
        <v>0</v>
      </c>
      <c r="AY102" s="25">
        <f t="shared" si="2"/>
        <v>0</v>
      </c>
      <c r="AZ102" s="25">
        <f t="shared" si="2"/>
        <v>0</v>
      </c>
      <c r="BA102" s="25">
        <f t="shared" si="2"/>
        <v>0</v>
      </c>
      <c r="BB102" s="25">
        <f t="shared" si="2"/>
        <v>0</v>
      </c>
      <c r="BC102" s="25">
        <f t="shared" si="2"/>
        <v>0</v>
      </c>
      <c r="BD102" s="25">
        <f t="shared" si="2"/>
        <v>0</v>
      </c>
      <c r="BE102" s="25">
        <f t="shared" si="2"/>
        <v>0</v>
      </c>
      <c r="BF102" s="25">
        <f t="shared" si="2"/>
        <v>0</v>
      </c>
      <c r="CA102" s="16">
        <v>97.865674072015125</v>
      </c>
      <c r="CB102" s="16">
        <v>98.724598591313452</v>
      </c>
      <c r="CC102" s="16">
        <v>100.76957544956498</v>
      </c>
      <c r="CD102" s="16">
        <v>102.77139534999999</v>
      </c>
      <c r="CE102" s="16">
        <v>105.8128120239879</v>
      </c>
      <c r="CF102" s="16">
        <v>-9999</v>
      </c>
      <c r="CG102" s="16">
        <v>-9999</v>
      </c>
      <c r="CH102" s="16">
        <v>-9999</v>
      </c>
      <c r="CI102" s="16">
        <v>-9999</v>
      </c>
      <c r="CJ102" s="16">
        <v>-9999</v>
      </c>
      <c r="CK102" s="16">
        <v>-9999</v>
      </c>
      <c r="CL102" s="16">
        <v>-9999</v>
      </c>
      <c r="CM102" s="16">
        <v>-9999</v>
      </c>
      <c r="CN102" s="16">
        <v>97.865674072015125</v>
      </c>
      <c r="CO102" s="16">
        <v>98.724598591313452</v>
      </c>
      <c r="CP102" s="16">
        <v>100.52117935</v>
      </c>
      <c r="CQ102" s="16">
        <v>102.68871754032405</v>
      </c>
      <c r="CR102" s="16">
        <v>104.92216223266212</v>
      </c>
      <c r="CS102" s="16">
        <v>-9999</v>
      </c>
      <c r="CT102" s="16">
        <v>-9999</v>
      </c>
      <c r="CU102" s="16">
        <v>-9999</v>
      </c>
      <c r="CV102" s="16">
        <v>-9999</v>
      </c>
      <c r="CW102" s="16">
        <v>-9999</v>
      </c>
      <c r="CX102" s="16">
        <v>-9999</v>
      </c>
      <c r="CY102" s="16">
        <v>-9999</v>
      </c>
      <c r="CZ102" s="16">
        <v>-9999</v>
      </c>
      <c r="DA102" s="16">
        <v>97.865674072015125</v>
      </c>
      <c r="DB102" s="16">
        <v>98.724598591313452</v>
      </c>
      <c r="DC102" s="16">
        <v>100.76957544956498</v>
      </c>
      <c r="DD102" s="16">
        <v>102.77139534999999</v>
      </c>
      <c r="DE102" s="16">
        <v>105.8128120239879</v>
      </c>
      <c r="DF102" s="16">
        <v>-9999</v>
      </c>
      <c r="DG102" s="16">
        <v>-9999</v>
      </c>
      <c r="DH102" s="16">
        <v>-9999</v>
      </c>
      <c r="DI102" s="16">
        <v>-9999</v>
      </c>
      <c r="DJ102" s="16">
        <v>-9999</v>
      </c>
      <c r="DK102" s="16">
        <v>-9999</v>
      </c>
      <c r="DL102" s="16">
        <v>-9999</v>
      </c>
      <c r="DM102" s="16">
        <v>-9999</v>
      </c>
      <c r="DN102" s="16">
        <v>97.865674072015125</v>
      </c>
      <c r="DO102" s="16">
        <v>98.724598591313452</v>
      </c>
      <c r="DP102" s="16">
        <v>100.76957544956498</v>
      </c>
      <c r="DQ102" s="16">
        <v>102.77139534999999</v>
      </c>
      <c r="DR102" s="16">
        <v>105.8128120239879</v>
      </c>
      <c r="DS102" s="16">
        <v>-9999</v>
      </c>
      <c r="DT102" s="16">
        <v>-9999</v>
      </c>
      <c r="DU102" s="16">
        <v>-9999</v>
      </c>
      <c r="DV102" s="16">
        <v>-9999</v>
      </c>
      <c r="DW102" s="16">
        <v>-9999</v>
      </c>
      <c r="DX102" s="16">
        <v>-9999</v>
      </c>
      <c r="DY102" s="16">
        <v>-9999</v>
      </c>
      <c r="DZ102" s="16">
        <v>-9999</v>
      </c>
      <c r="EA102" s="2106">
        <v>97.865674072015125</v>
      </c>
      <c r="EB102" s="2106">
        <v>98.724598591313452</v>
      </c>
      <c r="EC102" s="2106">
        <v>100.76957544956498</v>
      </c>
      <c r="ED102" s="2106">
        <v>102.77139534999999</v>
      </c>
      <c r="EE102" s="2106">
        <v>105.8128120239879</v>
      </c>
      <c r="EF102" s="2107">
        <v>-9999</v>
      </c>
      <c r="EG102" s="2107">
        <v>-9999</v>
      </c>
      <c r="EH102" s="2107">
        <v>-9999</v>
      </c>
      <c r="EI102" s="2107">
        <v>-9999</v>
      </c>
      <c r="EJ102" s="2107">
        <v>-9999</v>
      </c>
      <c r="EK102" s="2107">
        <v>-9999</v>
      </c>
      <c r="EL102" s="2107">
        <v>-9999</v>
      </c>
      <c r="EM102" s="2107">
        <v>-9999</v>
      </c>
    </row>
    <row r="103" spans="1:144">
      <c r="A103" s="22">
        <v>3</v>
      </c>
      <c r="B103" s="27" t="s">
        <v>40</v>
      </c>
      <c r="C103" s="24">
        <f ca="1">OFFSET('VVP2'!F174,0,Last_forecast_year - 3-InputY!$G$3)</f>
        <v>94.785148625383499</v>
      </c>
      <c r="D103" s="24">
        <f ca="1">OFFSET('VVP2'!G174,0,Last_forecast_year - 3-InputY!$G$3)</f>
        <v>98.614897514226556</v>
      </c>
      <c r="E103" s="24">
        <f ca="1">OFFSET('VVP2'!H174,0,Last_forecast_year - 3-InputY!$G$3)</f>
        <v>100.13432645410545</v>
      </c>
      <c r="F103" s="24">
        <f ca="1">OFFSET('VVP2'!I174,0,Last_forecast_year - 3-InputY!$G$3)</f>
        <v>105.97006715000001</v>
      </c>
      <c r="G103" s="24">
        <f ca="1">OFFSET('VVP2'!J174,0,Last_forecast_year - 3-InputY!$G$3)</f>
        <v>109.95762993166399</v>
      </c>
      <c r="H103" s="25">
        <v>-9999</v>
      </c>
      <c r="I103" s="25">
        <v>-9999</v>
      </c>
      <c r="J103" s="25">
        <v>-9999</v>
      </c>
      <c r="K103" s="25">
        <v>-9999</v>
      </c>
      <c r="L103" s="25">
        <v>-9999</v>
      </c>
      <c r="M103" s="25">
        <v>-9999</v>
      </c>
      <c r="N103" s="25">
        <v>-9999</v>
      </c>
      <c r="O103" s="25">
        <v>-9999</v>
      </c>
      <c r="P103" s="26"/>
      <c r="Q103"/>
      <c r="AA103" s="22">
        <v>3</v>
      </c>
      <c r="AB103" s="1081" t="str">
        <f t="shared" si="3"/>
        <v>VOL. G.F.C.F. TOTAL</v>
      </c>
      <c r="AC103" s="1081">
        <f>CHOOSE(Tables!$U$2,Transfer!CA103,Transfer!CN103,Transfer!DA103,Transfer!DN103,Transfer!EA103)</f>
        <v>94.785148625383499</v>
      </c>
      <c r="AD103" s="1081">
        <f>CHOOSE(Tables!$U$2,Transfer!CB103,Transfer!CO103,Transfer!DB103,Transfer!DO103,Transfer!EB103)</f>
        <v>98.614897514226556</v>
      </c>
      <c r="AE103" s="1081">
        <f>CHOOSE(Tables!$U$2,Transfer!CC103,Transfer!CP103,Transfer!DC103,Transfer!DP103,Transfer!EC103)</f>
        <v>100.13432645410545</v>
      </c>
      <c r="AF103" s="1081">
        <f>CHOOSE(Tables!$U$2,Transfer!CD103,Transfer!CQ103,Transfer!DD103,Transfer!DQ103,Transfer!ED103)</f>
        <v>105.97006715000001</v>
      </c>
      <c r="AG103" s="1081">
        <f>CHOOSE(Tables!$U$2,Transfer!CE103,Transfer!CR103,Transfer!DE103,Transfer!DR103,Transfer!EE103)</f>
        <v>109.95762993166399</v>
      </c>
      <c r="AH103" s="1081">
        <f>CHOOSE(Tables!$U$2,Transfer!CF103,Transfer!CS103,Transfer!DF103,Transfer!DS103,Transfer!EF103)</f>
        <v>-9999</v>
      </c>
      <c r="AI103" s="1081">
        <f>CHOOSE(Tables!$U$2,Transfer!CG103,Transfer!CT103,Transfer!DG103,Transfer!DT103,Transfer!EG103)</f>
        <v>-9999</v>
      </c>
      <c r="AJ103" s="1081">
        <f>CHOOSE(Tables!$U$2,Transfer!CH103,Transfer!CU103,Transfer!DH103,Transfer!DU103,Transfer!EH103)</f>
        <v>-9999</v>
      </c>
      <c r="AK103" s="1081">
        <f>CHOOSE(Tables!$U$2,Transfer!CI103,Transfer!CV103,Transfer!DI103,Transfer!DV103,Transfer!EI103)</f>
        <v>-9999</v>
      </c>
      <c r="AL103" s="1081">
        <f>CHOOSE(Tables!$U$2,Transfer!CJ103,Transfer!CW103,Transfer!DJ103,Transfer!DW103,Transfer!EJ103)</f>
        <v>-9999</v>
      </c>
      <c r="AM103" s="1081">
        <f>CHOOSE(Tables!$U$2,Transfer!CK103,Transfer!CX103,Transfer!DK103,Transfer!DX103,Transfer!EK103)</f>
        <v>-9999</v>
      </c>
      <c r="AN103" s="1081">
        <f>CHOOSE(Tables!$U$2,Transfer!CL103,Transfer!CY103,Transfer!DL103,Transfer!DY103,Transfer!EL103)</f>
        <v>-9999</v>
      </c>
      <c r="AO103" s="1081">
        <f>CHOOSE(Tables!$U$2,Transfer!CM103,Transfer!CZ103,Transfer!DM103,Transfer!DZ103,Transfer!EM103)</f>
        <v>-9999</v>
      </c>
      <c r="AR103" s="22">
        <v>3</v>
      </c>
      <c r="AS103" s="27" t="s">
        <v>40</v>
      </c>
      <c r="AT103" s="24">
        <f t="shared" ca="1" si="2"/>
        <v>0</v>
      </c>
      <c r="AU103" s="24">
        <f t="shared" ca="1" si="2"/>
        <v>0</v>
      </c>
      <c r="AV103" s="24">
        <f t="shared" ca="1" si="2"/>
        <v>0</v>
      </c>
      <c r="AW103" s="24">
        <f t="shared" ca="1" si="2"/>
        <v>0</v>
      </c>
      <c r="AX103" s="24">
        <f t="shared" ca="1" si="2"/>
        <v>0</v>
      </c>
      <c r="AY103" s="25">
        <f t="shared" si="2"/>
        <v>0</v>
      </c>
      <c r="AZ103" s="25">
        <f t="shared" si="2"/>
        <v>0</v>
      </c>
      <c r="BA103" s="25">
        <f t="shared" si="2"/>
        <v>0</v>
      </c>
      <c r="BB103" s="25">
        <f t="shared" si="2"/>
        <v>0</v>
      </c>
      <c r="BC103" s="25">
        <f t="shared" si="2"/>
        <v>0</v>
      </c>
      <c r="BD103" s="25">
        <f t="shared" si="2"/>
        <v>0</v>
      </c>
      <c r="BE103" s="25">
        <f t="shared" si="2"/>
        <v>0</v>
      </c>
      <c r="BF103" s="25">
        <f t="shared" si="2"/>
        <v>0</v>
      </c>
      <c r="CA103" s="16">
        <v>94.785148625383499</v>
      </c>
      <c r="CB103" s="16">
        <v>98.614897514226556</v>
      </c>
      <c r="CC103" s="16">
        <v>100.13432645410545</v>
      </c>
      <c r="CD103" s="16">
        <v>105.97006715000001</v>
      </c>
      <c r="CE103" s="16">
        <v>109.95762993166399</v>
      </c>
      <c r="CF103" s="16">
        <v>-9999</v>
      </c>
      <c r="CG103" s="16">
        <v>-9999</v>
      </c>
      <c r="CH103" s="16">
        <v>-9999</v>
      </c>
      <c r="CI103" s="16">
        <v>-9999</v>
      </c>
      <c r="CJ103" s="16">
        <v>-9999</v>
      </c>
      <c r="CK103" s="16">
        <v>-9999</v>
      </c>
      <c r="CL103" s="16">
        <v>-9999</v>
      </c>
      <c r="CM103" s="16">
        <v>-9999</v>
      </c>
      <c r="CN103" s="16">
        <v>94.785148625383499</v>
      </c>
      <c r="CO103" s="16">
        <v>98.614897514226556</v>
      </c>
      <c r="CP103" s="16">
        <v>100.37107554999999</v>
      </c>
      <c r="CQ103" s="16">
        <v>104.70225821186891</v>
      </c>
      <c r="CR103" s="16">
        <v>108.77915141747596</v>
      </c>
      <c r="CS103" s="16">
        <v>-9999</v>
      </c>
      <c r="CT103" s="16">
        <v>-9999</v>
      </c>
      <c r="CU103" s="16">
        <v>-9999</v>
      </c>
      <c r="CV103" s="16">
        <v>-9999</v>
      </c>
      <c r="CW103" s="16">
        <v>-9999</v>
      </c>
      <c r="CX103" s="16">
        <v>-9999</v>
      </c>
      <c r="CY103" s="16">
        <v>-9999</v>
      </c>
      <c r="CZ103" s="16">
        <v>-9999</v>
      </c>
      <c r="DA103" s="16">
        <v>94.785148625383499</v>
      </c>
      <c r="DB103" s="16">
        <v>98.614897514226556</v>
      </c>
      <c r="DC103" s="16">
        <v>100.13432645410545</v>
      </c>
      <c r="DD103" s="16">
        <v>105.97006715000001</v>
      </c>
      <c r="DE103" s="16">
        <v>109.95762993166399</v>
      </c>
      <c r="DF103" s="16">
        <v>-9999</v>
      </c>
      <c r="DG103" s="16">
        <v>-9999</v>
      </c>
      <c r="DH103" s="16">
        <v>-9999</v>
      </c>
      <c r="DI103" s="16">
        <v>-9999</v>
      </c>
      <c r="DJ103" s="16">
        <v>-9999</v>
      </c>
      <c r="DK103" s="16">
        <v>-9999</v>
      </c>
      <c r="DL103" s="16">
        <v>-9999</v>
      </c>
      <c r="DM103" s="16">
        <v>-9999</v>
      </c>
      <c r="DN103" s="16">
        <v>94.785148625383499</v>
      </c>
      <c r="DO103" s="16">
        <v>98.614897514226556</v>
      </c>
      <c r="DP103" s="16">
        <v>100.13432645410545</v>
      </c>
      <c r="DQ103" s="16">
        <v>105.97006715000001</v>
      </c>
      <c r="DR103" s="16">
        <v>109.95762993166399</v>
      </c>
      <c r="DS103" s="16">
        <v>-9999</v>
      </c>
      <c r="DT103" s="16">
        <v>-9999</v>
      </c>
      <c r="DU103" s="16">
        <v>-9999</v>
      </c>
      <c r="DV103" s="16">
        <v>-9999</v>
      </c>
      <c r="DW103" s="16">
        <v>-9999</v>
      </c>
      <c r="DX103" s="16">
        <v>-9999</v>
      </c>
      <c r="DY103" s="16">
        <v>-9999</v>
      </c>
      <c r="DZ103" s="16">
        <v>-9999</v>
      </c>
      <c r="EA103" s="2106">
        <v>94.785148625383499</v>
      </c>
      <c r="EB103" s="2106">
        <v>98.614897514226556</v>
      </c>
      <c r="EC103" s="2106">
        <v>100.13432645410545</v>
      </c>
      <c r="ED103" s="2106">
        <v>105.97006715000001</v>
      </c>
      <c r="EE103" s="2106">
        <v>109.95762993166399</v>
      </c>
      <c r="EF103" s="2107">
        <v>-9999</v>
      </c>
      <c r="EG103" s="2107">
        <v>-9999</v>
      </c>
      <c r="EH103" s="2107">
        <v>-9999</v>
      </c>
      <c r="EI103" s="2107">
        <v>-9999</v>
      </c>
      <c r="EJ103" s="2107">
        <v>-9999</v>
      </c>
      <c r="EK103" s="2107">
        <v>-9999</v>
      </c>
      <c r="EL103" s="2107">
        <v>-9999</v>
      </c>
      <c r="EM103" s="2107">
        <v>-9999</v>
      </c>
    </row>
    <row r="104" spans="1:144">
      <c r="A104" s="22">
        <v>4</v>
      </c>
      <c r="B104" s="1" t="s">
        <v>41</v>
      </c>
      <c r="C104" s="24">
        <f ca="1">OFFSET('VVP2'!F175,0,Last_forecast_year - 3-InputY!$G$3)</f>
        <v>44.467771853352787</v>
      </c>
      <c r="D104" s="24">
        <f ca="1">OFFSET('VVP2'!G175,0,Last_forecast_year - 3-InputY!$G$3)</f>
        <v>45.310897255886609</v>
      </c>
      <c r="E104" s="24">
        <f ca="1">OFFSET('VVP2'!H175,0,Last_forecast_year - 3-InputY!$G$3)</f>
        <v>46.601806386130733</v>
      </c>
      <c r="F104" s="24">
        <f ca="1">OFFSET('VVP2'!I175,0,Last_forecast_year - 3-InputY!$G$3)</f>
        <v>48.488666749999993</v>
      </c>
      <c r="G104" s="24">
        <f ca="1">OFFSET('VVP2'!J175,0,Last_forecast_year - 3-InputY!$G$3)</f>
        <v>49.992235268419989</v>
      </c>
      <c r="H104" s="25">
        <v>-9999</v>
      </c>
      <c r="I104" s="25">
        <v>-9999</v>
      </c>
      <c r="J104" s="25">
        <v>-9999</v>
      </c>
      <c r="K104" s="25">
        <v>-9999</v>
      </c>
      <c r="L104" s="25">
        <v>-9999</v>
      </c>
      <c r="M104" s="25">
        <v>-9999</v>
      </c>
      <c r="N104" s="25">
        <v>-9999</v>
      </c>
      <c r="O104" s="25">
        <v>-9999</v>
      </c>
      <c r="P104" s="26"/>
      <c r="Q104"/>
      <c r="AA104" s="22">
        <v>4</v>
      </c>
      <c r="AB104" s="1081" t="str">
        <f t="shared" si="3"/>
        <v>VOL. G.F.C.F. CONSTRUCTION</v>
      </c>
      <c r="AC104" s="1081">
        <f>CHOOSE(Tables!$U$2,Transfer!CA104,Transfer!CN104,Transfer!DA104,Transfer!DN104,Transfer!EA104)</f>
        <v>44.467771853352787</v>
      </c>
      <c r="AD104" s="1081">
        <f>CHOOSE(Tables!$U$2,Transfer!CB104,Transfer!CO104,Transfer!DB104,Transfer!DO104,Transfer!EB104)</f>
        <v>45.310897255886609</v>
      </c>
      <c r="AE104" s="1081">
        <f>CHOOSE(Tables!$U$2,Transfer!CC104,Transfer!CP104,Transfer!DC104,Transfer!DP104,Transfer!EC104)</f>
        <v>46.601806386130733</v>
      </c>
      <c r="AF104" s="1081">
        <f>CHOOSE(Tables!$U$2,Transfer!CD104,Transfer!CQ104,Transfer!DD104,Transfer!DQ104,Transfer!ED104)</f>
        <v>48.488666749999993</v>
      </c>
      <c r="AG104" s="1081">
        <f>CHOOSE(Tables!$U$2,Transfer!CE104,Transfer!CR104,Transfer!DE104,Transfer!DR104,Transfer!EE104)</f>
        <v>49.992235268419989</v>
      </c>
      <c r="AH104" s="1081">
        <f>CHOOSE(Tables!$U$2,Transfer!CF104,Transfer!CS104,Transfer!DF104,Transfer!DS104,Transfer!EF104)</f>
        <v>-9999</v>
      </c>
      <c r="AI104" s="1081">
        <f>CHOOSE(Tables!$U$2,Transfer!CG104,Transfer!CT104,Transfer!DG104,Transfer!DT104,Transfer!EG104)</f>
        <v>-9999</v>
      </c>
      <c r="AJ104" s="1081">
        <f>CHOOSE(Tables!$U$2,Transfer!CH104,Transfer!CU104,Transfer!DH104,Transfer!DU104,Transfer!EH104)</f>
        <v>-9999</v>
      </c>
      <c r="AK104" s="1081">
        <f>CHOOSE(Tables!$U$2,Transfer!CI104,Transfer!CV104,Transfer!DI104,Transfer!DV104,Transfer!EI104)</f>
        <v>-9999</v>
      </c>
      <c r="AL104" s="1081">
        <f>CHOOSE(Tables!$U$2,Transfer!CJ104,Transfer!CW104,Transfer!DJ104,Transfer!DW104,Transfer!EJ104)</f>
        <v>-9999</v>
      </c>
      <c r="AM104" s="1081">
        <f>CHOOSE(Tables!$U$2,Transfer!CK104,Transfer!CX104,Transfer!DK104,Transfer!DX104,Transfer!EK104)</f>
        <v>-9999</v>
      </c>
      <c r="AN104" s="1081">
        <f>CHOOSE(Tables!$U$2,Transfer!CL104,Transfer!CY104,Transfer!DL104,Transfer!DY104,Transfer!EL104)</f>
        <v>-9999</v>
      </c>
      <c r="AO104" s="1081">
        <f>CHOOSE(Tables!$U$2,Transfer!CM104,Transfer!CZ104,Transfer!DM104,Transfer!DZ104,Transfer!EM104)</f>
        <v>-9999</v>
      </c>
      <c r="AR104" s="22">
        <v>4</v>
      </c>
      <c r="AS104" s="1" t="s">
        <v>41</v>
      </c>
      <c r="AT104" s="24">
        <f t="shared" ca="1" si="2"/>
        <v>0</v>
      </c>
      <c r="AU104" s="24">
        <f t="shared" ca="1" si="2"/>
        <v>0</v>
      </c>
      <c r="AV104" s="24">
        <f t="shared" ca="1" si="2"/>
        <v>0</v>
      </c>
      <c r="AW104" s="24">
        <f t="shared" ca="1" si="2"/>
        <v>0</v>
      </c>
      <c r="AX104" s="24">
        <f t="shared" ca="1" si="2"/>
        <v>0</v>
      </c>
      <c r="AY104" s="25">
        <f t="shared" si="2"/>
        <v>0</v>
      </c>
      <c r="AZ104" s="25">
        <f t="shared" si="2"/>
        <v>0</v>
      </c>
      <c r="BA104" s="25">
        <f t="shared" si="2"/>
        <v>0</v>
      </c>
      <c r="BB104" s="25">
        <f t="shared" si="2"/>
        <v>0</v>
      </c>
      <c r="BC104" s="25">
        <f t="shared" si="2"/>
        <v>0</v>
      </c>
      <c r="BD104" s="25">
        <f t="shared" si="2"/>
        <v>0</v>
      </c>
      <c r="BE104" s="25">
        <f t="shared" si="2"/>
        <v>0</v>
      </c>
      <c r="BF104" s="25">
        <f t="shared" si="2"/>
        <v>0</v>
      </c>
      <c r="CA104" s="16">
        <v>44.467771853352787</v>
      </c>
      <c r="CB104" s="16">
        <v>45.310897255886609</v>
      </c>
      <c r="CC104" s="16">
        <v>46.601806386130733</v>
      </c>
      <c r="CD104" s="16">
        <v>48.488666749999993</v>
      </c>
      <c r="CE104" s="16">
        <v>49.992235268419989</v>
      </c>
      <c r="CF104" s="16">
        <v>-9999</v>
      </c>
      <c r="CG104" s="16">
        <v>-9999</v>
      </c>
      <c r="CH104" s="16">
        <v>-9999</v>
      </c>
      <c r="CI104" s="16">
        <v>-9999</v>
      </c>
      <c r="CJ104" s="16">
        <v>-9999</v>
      </c>
      <c r="CK104" s="16">
        <v>-9999</v>
      </c>
      <c r="CL104" s="16">
        <v>-9999</v>
      </c>
      <c r="CM104" s="16">
        <v>-9999</v>
      </c>
      <c r="CN104" s="16">
        <v>44.467771853352787</v>
      </c>
      <c r="CO104" s="16">
        <v>45.310897255886609</v>
      </c>
      <c r="CP104" s="16">
        <v>45.907648999999999</v>
      </c>
      <c r="CQ104" s="16">
        <v>47.242294131449995</v>
      </c>
      <c r="CR104" s="16">
        <v>48.974786252609888</v>
      </c>
      <c r="CS104" s="16">
        <v>-9999</v>
      </c>
      <c r="CT104" s="16">
        <v>-9999</v>
      </c>
      <c r="CU104" s="16">
        <v>-9999</v>
      </c>
      <c r="CV104" s="16">
        <v>-9999</v>
      </c>
      <c r="CW104" s="16">
        <v>-9999</v>
      </c>
      <c r="CX104" s="16">
        <v>-9999</v>
      </c>
      <c r="CY104" s="16">
        <v>-9999</v>
      </c>
      <c r="CZ104" s="16">
        <v>-9999</v>
      </c>
      <c r="DA104" s="16">
        <v>44.467771853352787</v>
      </c>
      <c r="DB104" s="16">
        <v>45.310897255886609</v>
      </c>
      <c r="DC104" s="16">
        <v>46.601806386130733</v>
      </c>
      <c r="DD104" s="16">
        <v>48.488666749999993</v>
      </c>
      <c r="DE104" s="16">
        <v>49.992235268419989</v>
      </c>
      <c r="DF104" s="16">
        <v>-9999</v>
      </c>
      <c r="DG104" s="16">
        <v>-9999</v>
      </c>
      <c r="DH104" s="16">
        <v>-9999</v>
      </c>
      <c r="DI104" s="16">
        <v>-9999</v>
      </c>
      <c r="DJ104" s="16">
        <v>-9999</v>
      </c>
      <c r="DK104" s="16">
        <v>-9999</v>
      </c>
      <c r="DL104" s="16">
        <v>-9999</v>
      </c>
      <c r="DM104" s="16">
        <v>-9999</v>
      </c>
      <c r="DN104" s="16">
        <v>44.467771853352787</v>
      </c>
      <c r="DO104" s="16">
        <v>45.310897255886609</v>
      </c>
      <c r="DP104" s="16">
        <v>46.601806386130733</v>
      </c>
      <c r="DQ104" s="16">
        <v>48.488666749999993</v>
      </c>
      <c r="DR104" s="16">
        <v>49.992235268419989</v>
      </c>
      <c r="DS104" s="16">
        <v>-9999</v>
      </c>
      <c r="DT104" s="16">
        <v>-9999</v>
      </c>
      <c r="DU104" s="16">
        <v>-9999</v>
      </c>
      <c r="DV104" s="16">
        <v>-9999</v>
      </c>
      <c r="DW104" s="16">
        <v>-9999</v>
      </c>
      <c r="DX104" s="16">
        <v>-9999</v>
      </c>
      <c r="DY104" s="16">
        <v>-9999</v>
      </c>
      <c r="DZ104" s="16">
        <v>-9999</v>
      </c>
      <c r="EA104" s="2106">
        <v>44.467771853352787</v>
      </c>
      <c r="EB104" s="2106">
        <v>45.310897255886609</v>
      </c>
      <c r="EC104" s="2106">
        <v>46.601806386130733</v>
      </c>
      <c r="ED104" s="2106">
        <v>48.488666749999993</v>
      </c>
      <c r="EE104" s="2106">
        <v>49.992235268419989</v>
      </c>
      <c r="EF104" s="2107">
        <v>-9999</v>
      </c>
      <c r="EG104" s="2107">
        <v>-9999</v>
      </c>
      <c r="EH104" s="2107">
        <v>-9999</v>
      </c>
      <c r="EI104" s="2107">
        <v>-9999</v>
      </c>
      <c r="EJ104" s="2107">
        <v>-9999</v>
      </c>
      <c r="EK104" s="2107">
        <v>-9999</v>
      </c>
      <c r="EL104" s="2107">
        <v>-9999</v>
      </c>
      <c r="EM104" s="2107">
        <v>-9999</v>
      </c>
    </row>
    <row r="105" spans="1:144">
      <c r="A105" s="22">
        <v>5</v>
      </c>
      <c r="B105" s="1" t="s">
        <v>43</v>
      </c>
      <c r="C105" s="24">
        <f ca="1">OFFSET('VVP2'!F176,0,Last_forecast_year - 3-InputY!$G$3)</f>
        <v>30.669041633971883</v>
      </c>
      <c r="D105" s="24">
        <f ca="1">OFFSET('VVP2'!G176,0,Last_forecast_year - 3-InputY!$G$3)</f>
        <v>35.261298291256736</v>
      </c>
      <c r="E105" s="24">
        <f ca="1">OFFSET('VVP2'!H176,0,Last_forecast_year - 3-InputY!$G$3)</f>
        <v>35.006305607700526</v>
      </c>
      <c r="F105" s="24">
        <f ca="1">OFFSET('VVP2'!I176,0,Last_forecast_year - 3-InputY!$G$3)</f>
        <v>37.586630400000004</v>
      </c>
      <c r="G105" s="24">
        <f ca="1">OFFSET('VVP2'!J176,0,Last_forecast_year - 3-InputY!$G$3)</f>
        <v>39.329146585344006</v>
      </c>
      <c r="H105" s="25">
        <v>-9999</v>
      </c>
      <c r="I105" s="25">
        <v>-9999</v>
      </c>
      <c r="J105" s="25">
        <v>-9999</v>
      </c>
      <c r="K105" s="25">
        <v>-9999</v>
      </c>
      <c r="L105" s="25">
        <v>-9999</v>
      </c>
      <c r="M105" s="25">
        <v>-9999</v>
      </c>
      <c r="N105" s="25">
        <v>-9999</v>
      </c>
      <c r="O105" s="25">
        <v>-9999</v>
      </c>
      <c r="P105" s="26"/>
      <c r="Q105"/>
      <c r="AA105" s="22">
        <v>5</v>
      </c>
      <c r="AB105" s="1081" t="str">
        <f t="shared" si="3"/>
        <v>VOL. G.F.C.F. EQUIPMENT</v>
      </c>
      <c r="AC105" s="1081">
        <f>CHOOSE(Tables!$U$2,Transfer!CA105,Transfer!CN105,Transfer!DA105,Transfer!DN105,Transfer!EA105)</f>
        <v>30.669041633971883</v>
      </c>
      <c r="AD105" s="1081">
        <f>CHOOSE(Tables!$U$2,Transfer!CB105,Transfer!CO105,Transfer!DB105,Transfer!DO105,Transfer!EB105)</f>
        <v>35.261298291256736</v>
      </c>
      <c r="AE105" s="1081">
        <f>CHOOSE(Tables!$U$2,Transfer!CC105,Transfer!CP105,Transfer!DC105,Transfer!DP105,Transfer!EC105)</f>
        <v>35.006305607700526</v>
      </c>
      <c r="AF105" s="1081">
        <f>CHOOSE(Tables!$U$2,Transfer!CD105,Transfer!CQ105,Transfer!DD105,Transfer!DQ105,Transfer!ED105)</f>
        <v>37.586630400000004</v>
      </c>
      <c r="AG105" s="1081">
        <f>CHOOSE(Tables!$U$2,Transfer!CE105,Transfer!CR105,Transfer!DE105,Transfer!DR105,Transfer!EE105)</f>
        <v>39.329146585344006</v>
      </c>
      <c r="AH105" s="1081">
        <f>CHOOSE(Tables!$U$2,Transfer!CF105,Transfer!CS105,Transfer!DF105,Transfer!DS105,Transfer!EF105)</f>
        <v>-9999</v>
      </c>
      <c r="AI105" s="1081">
        <f>CHOOSE(Tables!$U$2,Transfer!CG105,Transfer!CT105,Transfer!DG105,Transfer!DT105,Transfer!EG105)</f>
        <v>-9999</v>
      </c>
      <c r="AJ105" s="1081">
        <f>CHOOSE(Tables!$U$2,Transfer!CH105,Transfer!CU105,Transfer!DH105,Transfer!DU105,Transfer!EH105)</f>
        <v>-9999</v>
      </c>
      <c r="AK105" s="1081">
        <f>CHOOSE(Tables!$U$2,Transfer!CI105,Transfer!CV105,Transfer!DI105,Transfer!DV105,Transfer!EI105)</f>
        <v>-9999</v>
      </c>
      <c r="AL105" s="1081">
        <f>CHOOSE(Tables!$U$2,Transfer!CJ105,Transfer!CW105,Transfer!DJ105,Transfer!DW105,Transfer!EJ105)</f>
        <v>-9999</v>
      </c>
      <c r="AM105" s="1081">
        <f>CHOOSE(Tables!$U$2,Transfer!CK105,Transfer!CX105,Transfer!DK105,Transfer!DX105,Transfer!EK105)</f>
        <v>-9999</v>
      </c>
      <c r="AN105" s="1081">
        <f>CHOOSE(Tables!$U$2,Transfer!CL105,Transfer!CY105,Transfer!DL105,Transfer!DY105,Transfer!EL105)</f>
        <v>-9999</v>
      </c>
      <c r="AO105" s="1081">
        <f>CHOOSE(Tables!$U$2,Transfer!CM105,Transfer!CZ105,Transfer!DM105,Transfer!DZ105,Transfer!EM105)</f>
        <v>-9999</v>
      </c>
      <c r="AR105" s="22">
        <v>5</v>
      </c>
      <c r="AS105" s="1" t="s">
        <v>43</v>
      </c>
      <c r="AT105" s="24">
        <f t="shared" ca="1" si="2"/>
        <v>0</v>
      </c>
      <c r="AU105" s="24">
        <f t="shared" ca="1" si="2"/>
        <v>0</v>
      </c>
      <c r="AV105" s="24">
        <f t="shared" ca="1" si="2"/>
        <v>0</v>
      </c>
      <c r="AW105" s="24">
        <f t="shared" ca="1" si="2"/>
        <v>0</v>
      </c>
      <c r="AX105" s="24">
        <f t="shared" ca="1" si="2"/>
        <v>0</v>
      </c>
      <c r="AY105" s="25">
        <f t="shared" si="2"/>
        <v>0</v>
      </c>
      <c r="AZ105" s="25">
        <f t="shared" si="2"/>
        <v>0</v>
      </c>
      <c r="BA105" s="25">
        <f t="shared" si="2"/>
        <v>0</v>
      </c>
      <c r="BB105" s="25">
        <f t="shared" si="2"/>
        <v>0</v>
      </c>
      <c r="BC105" s="25">
        <f t="shared" si="2"/>
        <v>0</v>
      </c>
      <c r="BD105" s="25">
        <f t="shared" si="2"/>
        <v>0</v>
      </c>
      <c r="BE105" s="25">
        <f t="shared" si="2"/>
        <v>0</v>
      </c>
      <c r="BF105" s="25">
        <f t="shared" si="2"/>
        <v>0</v>
      </c>
      <c r="CA105" s="16">
        <v>30.669041633971883</v>
      </c>
      <c r="CB105" s="16">
        <v>35.261298291256736</v>
      </c>
      <c r="CC105" s="16">
        <v>35.006305607700526</v>
      </c>
      <c r="CD105" s="16">
        <v>37.586630400000004</v>
      </c>
      <c r="CE105" s="16">
        <v>39.329146585344006</v>
      </c>
      <c r="CF105" s="16">
        <v>-9999</v>
      </c>
      <c r="CG105" s="16">
        <v>-9999</v>
      </c>
      <c r="CH105" s="16">
        <v>-9999</v>
      </c>
      <c r="CI105" s="16">
        <v>-9999</v>
      </c>
      <c r="CJ105" s="16">
        <v>-9999</v>
      </c>
      <c r="CK105" s="16">
        <v>-9999</v>
      </c>
      <c r="CL105" s="16">
        <v>-9999</v>
      </c>
      <c r="CM105" s="16">
        <v>-9999</v>
      </c>
      <c r="CN105" s="16">
        <v>30.669041633971883</v>
      </c>
      <c r="CO105" s="16">
        <v>35.261298291256736</v>
      </c>
      <c r="CP105" s="16">
        <v>35.87236575</v>
      </c>
      <c r="CQ105" s="16">
        <v>37.780359488457293</v>
      </c>
      <c r="CR105" s="16">
        <v>39.229614078434516</v>
      </c>
      <c r="CS105" s="16">
        <v>-9999</v>
      </c>
      <c r="CT105" s="16">
        <v>-9999</v>
      </c>
      <c r="CU105" s="16">
        <v>-9999</v>
      </c>
      <c r="CV105" s="16">
        <v>-9999</v>
      </c>
      <c r="CW105" s="16">
        <v>-9999</v>
      </c>
      <c r="CX105" s="16">
        <v>-9999</v>
      </c>
      <c r="CY105" s="16">
        <v>-9999</v>
      </c>
      <c r="CZ105" s="16">
        <v>-9999</v>
      </c>
      <c r="DA105" s="16">
        <v>30.669041633971883</v>
      </c>
      <c r="DB105" s="16">
        <v>35.261298291256736</v>
      </c>
      <c r="DC105" s="16">
        <v>35.006305607700526</v>
      </c>
      <c r="DD105" s="16">
        <v>37.586630400000004</v>
      </c>
      <c r="DE105" s="16">
        <v>39.329146585344006</v>
      </c>
      <c r="DF105" s="16">
        <v>-9999</v>
      </c>
      <c r="DG105" s="16">
        <v>-9999</v>
      </c>
      <c r="DH105" s="16">
        <v>-9999</v>
      </c>
      <c r="DI105" s="16">
        <v>-9999</v>
      </c>
      <c r="DJ105" s="16">
        <v>-9999</v>
      </c>
      <c r="DK105" s="16">
        <v>-9999</v>
      </c>
      <c r="DL105" s="16">
        <v>-9999</v>
      </c>
      <c r="DM105" s="16">
        <v>-9999</v>
      </c>
      <c r="DN105" s="16">
        <v>30.669041633971883</v>
      </c>
      <c r="DO105" s="16">
        <v>35.261298291256736</v>
      </c>
      <c r="DP105" s="16">
        <v>35.006305607700526</v>
      </c>
      <c r="DQ105" s="16">
        <v>37.586630400000004</v>
      </c>
      <c r="DR105" s="16">
        <v>39.329146585344006</v>
      </c>
      <c r="DS105" s="16">
        <v>-9999</v>
      </c>
      <c r="DT105" s="16">
        <v>-9999</v>
      </c>
      <c r="DU105" s="16">
        <v>-9999</v>
      </c>
      <c r="DV105" s="16">
        <v>-9999</v>
      </c>
      <c r="DW105" s="16">
        <v>-9999</v>
      </c>
      <c r="DX105" s="16">
        <v>-9999</v>
      </c>
      <c r="DY105" s="16">
        <v>-9999</v>
      </c>
      <c r="DZ105" s="16">
        <v>-9999</v>
      </c>
      <c r="EA105" s="2106">
        <v>30.669041633971883</v>
      </c>
      <c r="EB105" s="2106">
        <v>35.261298291256736</v>
      </c>
      <c r="EC105" s="2106">
        <v>35.006305607700526</v>
      </c>
      <c r="ED105" s="2106">
        <v>37.586630400000004</v>
      </c>
      <c r="EE105" s="2106">
        <v>39.329146585344006</v>
      </c>
      <c r="EF105" s="2107">
        <v>-9999</v>
      </c>
      <c r="EG105" s="2107">
        <v>-9999</v>
      </c>
      <c r="EH105" s="2107">
        <v>-9999</v>
      </c>
      <c r="EI105" s="2107">
        <v>-9999</v>
      </c>
      <c r="EJ105" s="2107">
        <v>-9999</v>
      </c>
      <c r="EK105" s="2107">
        <v>-9999</v>
      </c>
      <c r="EL105" s="2107">
        <v>-9999</v>
      </c>
      <c r="EM105" s="2107">
        <v>-9999</v>
      </c>
    </row>
    <row r="106" spans="1:144">
      <c r="A106" s="22">
        <v>6</v>
      </c>
      <c r="B106" s="1" t="s">
        <v>2051</v>
      </c>
      <c r="C106" s="24">
        <f ca="1">OFFSET('VVP2'!F177,0,Last_forecast_year - 3-InputY!$G$3)</f>
        <v>19.648197200479437</v>
      </c>
      <c r="D106" s="24">
        <f ca="1">OFFSET('VVP2'!G177,0,Last_forecast_year - 3-InputY!$G$3)</f>
        <v>18.042690567760516</v>
      </c>
      <c r="E106" s="24">
        <f ca="1">OFFSET('VVP2'!H177,0,Last_forecast_year - 3-InputY!$G$3)</f>
        <v>18.526157634244431</v>
      </c>
      <c r="F106" s="24">
        <f ca="1">OFFSET('VVP2'!I177,0,Last_forecast_year - 3-InputY!$G$3)</f>
        <v>19.894770000000001</v>
      </c>
      <c r="G106" s="24">
        <f ca="1">OFFSET('VVP2'!J177,0,Last_forecast_year - 3-InputY!$G$3)</f>
        <v>20.636248077899999</v>
      </c>
      <c r="H106" s="25">
        <v>-9999</v>
      </c>
      <c r="I106" s="25">
        <v>-9999</v>
      </c>
      <c r="J106" s="25">
        <v>-9999</v>
      </c>
      <c r="K106" s="25">
        <v>-9999</v>
      </c>
      <c r="L106" s="25">
        <v>-9999</v>
      </c>
      <c r="M106" s="25">
        <v>-9999</v>
      </c>
      <c r="N106" s="25">
        <v>-9999</v>
      </c>
      <c r="O106" s="25">
        <v>-9999</v>
      </c>
      <c r="P106" s="26"/>
      <c r="Q106"/>
      <c r="AA106" s="22">
        <v>6</v>
      </c>
      <c r="AB106" s="1081" t="str">
        <f t="shared" si="3"/>
        <v>VOL. G.F.C.F. OTHER</v>
      </c>
      <c r="AC106" s="1081">
        <f>CHOOSE(Tables!$U$2,Transfer!CA106,Transfer!CN106,Transfer!DA106,Transfer!DN106,Transfer!EA106)</f>
        <v>19.648197200479437</v>
      </c>
      <c r="AD106" s="1081">
        <f>CHOOSE(Tables!$U$2,Transfer!CB106,Transfer!CO106,Transfer!DB106,Transfer!DO106,Transfer!EB106)</f>
        <v>18.042690567760516</v>
      </c>
      <c r="AE106" s="1081">
        <f>CHOOSE(Tables!$U$2,Transfer!CC106,Transfer!CP106,Transfer!DC106,Transfer!DP106,Transfer!EC106)</f>
        <v>18.526157634244431</v>
      </c>
      <c r="AF106" s="1081">
        <f>CHOOSE(Tables!$U$2,Transfer!CD106,Transfer!CQ106,Transfer!DD106,Transfer!DQ106,Transfer!ED106)</f>
        <v>19.894770000000001</v>
      </c>
      <c r="AG106" s="1081">
        <f>CHOOSE(Tables!$U$2,Transfer!CE106,Transfer!CR106,Transfer!DE106,Transfer!DR106,Transfer!EE106)</f>
        <v>20.636248077899999</v>
      </c>
      <c r="AH106" s="1081">
        <f>CHOOSE(Tables!$U$2,Transfer!CF106,Transfer!CS106,Transfer!DF106,Transfer!DS106,Transfer!EF106)</f>
        <v>-9999</v>
      </c>
      <c r="AI106" s="1081">
        <f>CHOOSE(Tables!$U$2,Transfer!CG106,Transfer!CT106,Transfer!DG106,Transfer!DT106,Transfer!EG106)</f>
        <v>-9999</v>
      </c>
      <c r="AJ106" s="1081">
        <f>CHOOSE(Tables!$U$2,Transfer!CH106,Transfer!CU106,Transfer!DH106,Transfer!DU106,Transfer!EH106)</f>
        <v>-9999</v>
      </c>
      <c r="AK106" s="1081">
        <f>CHOOSE(Tables!$U$2,Transfer!CI106,Transfer!CV106,Transfer!DI106,Transfer!DV106,Transfer!EI106)</f>
        <v>-9999</v>
      </c>
      <c r="AL106" s="1081">
        <f>CHOOSE(Tables!$U$2,Transfer!CJ106,Transfer!CW106,Transfer!DJ106,Transfer!DW106,Transfer!EJ106)</f>
        <v>-9999</v>
      </c>
      <c r="AM106" s="1081">
        <f>CHOOSE(Tables!$U$2,Transfer!CK106,Transfer!CX106,Transfer!DK106,Transfer!DX106,Transfer!EK106)</f>
        <v>-9999</v>
      </c>
      <c r="AN106" s="1081">
        <f>CHOOSE(Tables!$U$2,Transfer!CL106,Transfer!CY106,Transfer!DL106,Transfer!DY106,Transfer!EL106)</f>
        <v>-9999</v>
      </c>
      <c r="AO106" s="1081">
        <f>CHOOSE(Tables!$U$2,Transfer!CM106,Transfer!CZ106,Transfer!DM106,Transfer!DZ106,Transfer!EM106)</f>
        <v>-9999</v>
      </c>
      <c r="AR106" s="22">
        <v>6</v>
      </c>
      <c r="AS106" s="1" t="s">
        <v>2051</v>
      </c>
      <c r="AT106" s="24">
        <f t="shared" ca="1" si="2"/>
        <v>0</v>
      </c>
      <c r="AU106" s="24">
        <f t="shared" ca="1" si="2"/>
        <v>0</v>
      </c>
      <c r="AV106" s="24">
        <f t="shared" ca="1" si="2"/>
        <v>0</v>
      </c>
      <c r="AW106" s="24">
        <f t="shared" ca="1" si="2"/>
        <v>0</v>
      </c>
      <c r="AX106" s="24">
        <f t="shared" ca="1" si="2"/>
        <v>0</v>
      </c>
      <c r="AY106" s="25">
        <f t="shared" si="2"/>
        <v>0</v>
      </c>
      <c r="AZ106" s="25">
        <f t="shared" si="2"/>
        <v>0</v>
      </c>
      <c r="BA106" s="25">
        <f t="shared" si="2"/>
        <v>0</v>
      </c>
      <c r="BB106" s="25">
        <f t="shared" si="2"/>
        <v>0</v>
      </c>
      <c r="BC106" s="25">
        <f t="shared" si="2"/>
        <v>0</v>
      </c>
      <c r="BD106" s="25">
        <f t="shared" si="2"/>
        <v>0</v>
      </c>
      <c r="BE106" s="25">
        <f t="shared" si="2"/>
        <v>0</v>
      </c>
      <c r="BF106" s="25">
        <f t="shared" si="2"/>
        <v>0</v>
      </c>
      <c r="CA106" s="16">
        <v>19.648197200479437</v>
      </c>
      <c r="CB106" s="16">
        <v>18.042690567760516</v>
      </c>
      <c r="CC106" s="16">
        <v>18.526157634244431</v>
      </c>
      <c r="CD106" s="16">
        <v>19.894770000000001</v>
      </c>
      <c r="CE106" s="16">
        <v>20.636248077899999</v>
      </c>
      <c r="CF106" s="16">
        <v>-9999</v>
      </c>
      <c r="CG106" s="16">
        <v>-9999</v>
      </c>
      <c r="CH106" s="16">
        <v>-9999</v>
      </c>
      <c r="CI106" s="16">
        <v>-9999</v>
      </c>
      <c r="CJ106" s="16">
        <v>-9999</v>
      </c>
      <c r="CK106" s="16">
        <v>-9999</v>
      </c>
      <c r="CL106" s="16">
        <v>-9999</v>
      </c>
      <c r="CM106" s="16">
        <v>-9999</v>
      </c>
      <c r="CN106" s="16">
        <v>19.648197200479437</v>
      </c>
      <c r="CO106" s="16">
        <v>18.042690567760516</v>
      </c>
      <c r="CP106" s="16">
        <v>18.591060799999997</v>
      </c>
      <c r="CQ106" s="16">
        <v>19.679604591961599</v>
      </c>
      <c r="CR106" s="16">
        <v>20.574751086431565</v>
      </c>
      <c r="CS106" s="16">
        <v>-9999</v>
      </c>
      <c r="CT106" s="16">
        <v>-9999</v>
      </c>
      <c r="CU106" s="16">
        <v>-9999</v>
      </c>
      <c r="CV106" s="16">
        <v>-9999</v>
      </c>
      <c r="CW106" s="16">
        <v>-9999</v>
      </c>
      <c r="CX106" s="16">
        <v>-9999</v>
      </c>
      <c r="CY106" s="16">
        <v>-9999</v>
      </c>
      <c r="CZ106" s="16">
        <v>-9999</v>
      </c>
      <c r="DA106" s="16">
        <v>19.648197200479437</v>
      </c>
      <c r="DB106" s="16">
        <v>18.042690567760516</v>
      </c>
      <c r="DC106" s="16">
        <v>18.526157634244431</v>
      </c>
      <c r="DD106" s="16">
        <v>19.894770000000001</v>
      </c>
      <c r="DE106" s="16">
        <v>20.636248077899999</v>
      </c>
      <c r="DF106" s="16">
        <v>-9999</v>
      </c>
      <c r="DG106" s="16">
        <v>-9999</v>
      </c>
      <c r="DH106" s="16">
        <v>-9999</v>
      </c>
      <c r="DI106" s="16">
        <v>-9999</v>
      </c>
      <c r="DJ106" s="16">
        <v>-9999</v>
      </c>
      <c r="DK106" s="16">
        <v>-9999</v>
      </c>
      <c r="DL106" s="16">
        <v>-9999</v>
      </c>
      <c r="DM106" s="16">
        <v>-9999</v>
      </c>
      <c r="DN106" s="16">
        <v>19.648197200479437</v>
      </c>
      <c r="DO106" s="16">
        <v>18.042690567760516</v>
      </c>
      <c r="DP106" s="16">
        <v>18.526157634244431</v>
      </c>
      <c r="DQ106" s="16">
        <v>19.894770000000001</v>
      </c>
      <c r="DR106" s="16">
        <v>20.636248077899999</v>
      </c>
      <c r="DS106" s="16">
        <v>-9999</v>
      </c>
      <c r="DT106" s="16">
        <v>-9999</v>
      </c>
      <c r="DU106" s="16">
        <v>-9999</v>
      </c>
      <c r="DV106" s="16">
        <v>-9999</v>
      </c>
      <c r="DW106" s="16">
        <v>-9999</v>
      </c>
      <c r="DX106" s="16">
        <v>-9999</v>
      </c>
      <c r="DY106" s="16">
        <v>-9999</v>
      </c>
      <c r="DZ106" s="16">
        <v>-9999</v>
      </c>
      <c r="EA106" s="2106">
        <v>19.648197200479437</v>
      </c>
      <c r="EB106" s="2106">
        <v>18.042690567760516</v>
      </c>
      <c r="EC106" s="2106">
        <v>18.526157634244431</v>
      </c>
      <c r="ED106" s="2106">
        <v>19.894770000000001</v>
      </c>
      <c r="EE106" s="2106">
        <v>20.636248077899999</v>
      </c>
      <c r="EF106" s="2107">
        <v>-9999</v>
      </c>
      <c r="EG106" s="2107">
        <v>-9999</v>
      </c>
      <c r="EH106" s="2107">
        <v>-9999</v>
      </c>
      <c r="EI106" s="2107">
        <v>-9999</v>
      </c>
      <c r="EJ106" s="2107">
        <v>-9999</v>
      </c>
      <c r="EK106" s="2107">
        <v>-9999</v>
      </c>
      <c r="EL106" s="2107">
        <v>-9999</v>
      </c>
      <c r="EM106" s="2107">
        <v>-9999</v>
      </c>
    </row>
    <row r="107" spans="1:144">
      <c r="A107" s="22">
        <v>7</v>
      </c>
      <c r="B107" s="1" t="s">
        <v>1674</v>
      </c>
      <c r="C107" s="24">
        <f ca="1">OFFSET('VVP2'!F178,0,Last_forecast_year - 3-InputY!$G$3)</f>
        <v>1.8891277649899791</v>
      </c>
      <c r="D107" s="24">
        <f ca="1">OFFSET('VVP2'!G178,0,Last_forecast_year - 3-InputY!$G$3)</f>
        <v>2.5111001590912565</v>
      </c>
      <c r="E107" s="24">
        <f ca="1">OFFSET('VVP2'!H178,0,Last_forecast_year - 3-InputY!$G$3)</f>
        <v>2.9395372604797956</v>
      </c>
      <c r="F107" s="24">
        <f ca="1">OFFSET('VVP2'!I178,0,Last_forecast_year - 3-InputY!$G$3)</f>
        <v>5.5851000000000006</v>
      </c>
      <c r="G107" s="24">
        <f ca="1">OFFSET('VVP2'!J178,0,Last_forecast_year - 3-InputY!$G$3)</f>
        <v>5.5851000000000006</v>
      </c>
      <c r="H107" s="25">
        <v>-9999</v>
      </c>
      <c r="I107" s="25">
        <v>-9999</v>
      </c>
      <c r="J107" s="25">
        <v>-9999</v>
      </c>
      <c r="K107" s="25">
        <v>-9999</v>
      </c>
      <c r="L107" s="25">
        <v>-9999</v>
      </c>
      <c r="M107" s="25">
        <v>-9999</v>
      </c>
      <c r="N107" s="25">
        <v>-9999</v>
      </c>
      <c r="O107" s="25">
        <v>-9999</v>
      </c>
      <c r="P107" s="26"/>
      <c r="Q107"/>
      <c r="AA107" s="22">
        <v>7</v>
      </c>
      <c r="AB107" s="1081" t="str">
        <f t="shared" si="3"/>
        <v>VOL. CHANGE IN INVENTORIES</v>
      </c>
      <c r="AC107" s="1081">
        <f>CHOOSE(Tables!$U$2,Transfer!CA107,Transfer!CN107,Transfer!DA107,Transfer!DN107,Transfer!EA107)</f>
        <v>1.8891277649899791</v>
      </c>
      <c r="AD107" s="1081">
        <f>CHOOSE(Tables!$U$2,Transfer!CB107,Transfer!CO107,Transfer!DB107,Transfer!DO107,Transfer!EB107)</f>
        <v>2.5111001590912565</v>
      </c>
      <c r="AE107" s="1081">
        <f>CHOOSE(Tables!$U$2,Transfer!CC107,Transfer!CP107,Transfer!DC107,Transfer!DP107,Transfer!EC107)</f>
        <v>2.9395372604797956</v>
      </c>
      <c r="AF107" s="1081">
        <f>CHOOSE(Tables!$U$2,Transfer!CD107,Transfer!CQ107,Transfer!DD107,Transfer!DQ107,Transfer!ED107)</f>
        <v>5.5851000000000006</v>
      </c>
      <c r="AG107" s="1081">
        <f>CHOOSE(Tables!$U$2,Transfer!CE107,Transfer!CR107,Transfer!DE107,Transfer!DR107,Transfer!EE107)</f>
        <v>5.5851000000000006</v>
      </c>
      <c r="AH107" s="1081">
        <f>CHOOSE(Tables!$U$2,Transfer!CF107,Transfer!CS107,Transfer!DF107,Transfer!DS107,Transfer!EF107)</f>
        <v>-9999</v>
      </c>
      <c r="AI107" s="1081">
        <f>CHOOSE(Tables!$U$2,Transfer!CG107,Transfer!CT107,Transfer!DG107,Transfer!DT107,Transfer!EG107)</f>
        <v>-9999</v>
      </c>
      <c r="AJ107" s="1081">
        <f>CHOOSE(Tables!$U$2,Transfer!CH107,Transfer!CU107,Transfer!DH107,Transfer!DU107,Transfer!EH107)</f>
        <v>-9999</v>
      </c>
      <c r="AK107" s="1081">
        <f>CHOOSE(Tables!$U$2,Transfer!CI107,Transfer!CV107,Transfer!DI107,Transfer!DV107,Transfer!EI107)</f>
        <v>-9999</v>
      </c>
      <c r="AL107" s="1081">
        <f>CHOOSE(Tables!$U$2,Transfer!CJ107,Transfer!CW107,Transfer!DJ107,Transfer!DW107,Transfer!EJ107)</f>
        <v>-9999</v>
      </c>
      <c r="AM107" s="1081">
        <f>CHOOSE(Tables!$U$2,Transfer!CK107,Transfer!CX107,Transfer!DK107,Transfer!DX107,Transfer!EK107)</f>
        <v>-9999</v>
      </c>
      <c r="AN107" s="1081">
        <f>CHOOSE(Tables!$U$2,Transfer!CL107,Transfer!CY107,Transfer!DL107,Transfer!DY107,Transfer!EL107)</f>
        <v>-9999</v>
      </c>
      <c r="AO107" s="1081">
        <f>CHOOSE(Tables!$U$2,Transfer!CM107,Transfer!CZ107,Transfer!DM107,Transfer!DZ107,Transfer!EM107)</f>
        <v>-9999</v>
      </c>
      <c r="AR107" s="22">
        <v>7</v>
      </c>
      <c r="AS107" s="1" t="s">
        <v>1674</v>
      </c>
      <c r="AT107" s="24">
        <f t="shared" ca="1" si="2"/>
        <v>0</v>
      </c>
      <c r="AU107" s="24">
        <f t="shared" ca="1" si="2"/>
        <v>0</v>
      </c>
      <c r="AV107" s="24">
        <f t="shared" ca="1" si="2"/>
        <v>0</v>
      </c>
      <c r="AW107" s="24">
        <f t="shared" ca="1" si="2"/>
        <v>0</v>
      </c>
      <c r="AX107" s="24">
        <f t="shared" ca="1" si="2"/>
        <v>0</v>
      </c>
      <c r="AY107" s="25">
        <f t="shared" si="2"/>
        <v>0</v>
      </c>
      <c r="AZ107" s="25">
        <f t="shared" si="2"/>
        <v>0</v>
      </c>
      <c r="BA107" s="25">
        <f t="shared" si="2"/>
        <v>0</v>
      </c>
      <c r="BB107" s="25">
        <f t="shared" si="2"/>
        <v>0</v>
      </c>
      <c r="BC107" s="25">
        <f t="shared" si="2"/>
        <v>0</v>
      </c>
      <c r="BD107" s="25">
        <f t="shared" si="2"/>
        <v>0</v>
      </c>
      <c r="BE107" s="25">
        <f t="shared" si="2"/>
        <v>0</v>
      </c>
      <c r="BF107" s="25">
        <f t="shared" si="2"/>
        <v>0</v>
      </c>
      <c r="CA107" s="16">
        <v>1.8891277649899791</v>
      </c>
      <c r="CB107" s="16">
        <v>2.5111001590912565</v>
      </c>
      <c r="CC107" s="16">
        <v>2.9395372604797956</v>
      </c>
      <c r="CD107" s="16">
        <v>5.5851000000000006</v>
      </c>
      <c r="CE107" s="16">
        <v>5.5851000000000006</v>
      </c>
      <c r="CF107" s="16">
        <v>-9999</v>
      </c>
      <c r="CG107" s="16">
        <v>-9999</v>
      </c>
      <c r="CH107" s="16">
        <v>-9999</v>
      </c>
      <c r="CI107" s="16">
        <v>-9999</v>
      </c>
      <c r="CJ107" s="16">
        <v>-9999</v>
      </c>
      <c r="CK107" s="16">
        <v>-9999</v>
      </c>
      <c r="CL107" s="16">
        <v>-9999</v>
      </c>
      <c r="CM107" s="16">
        <v>-9999</v>
      </c>
      <c r="CN107" s="16">
        <v>1.8891277649899791</v>
      </c>
      <c r="CO107" s="16">
        <v>2.5111001590912565</v>
      </c>
      <c r="CP107" s="16">
        <v>3.4681500000000001</v>
      </c>
      <c r="CQ107" s="16">
        <v>3.4681500000000001</v>
      </c>
      <c r="CR107" s="16">
        <v>3.4681500000000001</v>
      </c>
      <c r="CS107" s="16">
        <v>-9999</v>
      </c>
      <c r="CT107" s="16">
        <v>-9999</v>
      </c>
      <c r="CU107" s="16">
        <v>-9999</v>
      </c>
      <c r="CV107" s="16">
        <v>-9999</v>
      </c>
      <c r="CW107" s="16">
        <v>-9999</v>
      </c>
      <c r="CX107" s="16">
        <v>-9999</v>
      </c>
      <c r="CY107" s="16">
        <v>-9999</v>
      </c>
      <c r="CZ107" s="16">
        <v>-9999</v>
      </c>
      <c r="DA107" s="16">
        <v>1.8891277649899791</v>
      </c>
      <c r="DB107" s="16">
        <v>2.5111001590912565</v>
      </c>
      <c r="DC107" s="16">
        <v>2.9395372604797956</v>
      </c>
      <c r="DD107" s="16">
        <v>5.5851000000000006</v>
      </c>
      <c r="DE107" s="16">
        <v>5.5851000000000006</v>
      </c>
      <c r="DF107" s="16">
        <v>-9999</v>
      </c>
      <c r="DG107" s="16">
        <v>-9999</v>
      </c>
      <c r="DH107" s="16">
        <v>-9999</v>
      </c>
      <c r="DI107" s="16">
        <v>-9999</v>
      </c>
      <c r="DJ107" s="16">
        <v>-9999</v>
      </c>
      <c r="DK107" s="16">
        <v>-9999</v>
      </c>
      <c r="DL107" s="16">
        <v>-9999</v>
      </c>
      <c r="DM107" s="16">
        <v>-9999</v>
      </c>
      <c r="DN107" s="16">
        <v>1.8891277649899791</v>
      </c>
      <c r="DO107" s="16">
        <v>2.5111001590912565</v>
      </c>
      <c r="DP107" s="16">
        <v>2.9395372604797956</v>
      </c>
      <c r="DQ107" s="16">
        <v>5.5851000000000006</v>
      </c>
      <c r="DR107" s="16">
        <v>5.5851000000000006</v>
      </c>
      <c r="DS107" s="16">
        <v>-9999</v>
      </c>
      <c r="DT107" s="16">
        <v>-9999</v>
      </c>
      <c r="DU107" s="16">
        <v>-9999</v>
      </c>
      <c r="DV107" s="16">
        <v>-9999</v>
      </c>
      <c r="DW107" s="16">
        <v>-9999</v>
      </c>
      <c r="DX107" s="16">
        <v>-9999</v>
      </c>
      <c r="DY107" s="16">
        <v>-9999</v>
      </c>
      <c r="DZ107" s="16">
        <v>-9999</v>
      </c>
      <c r="EA107" s="2106">
        <v>1.8891277649899791</v>
      </c>
      <c r="EB107" s="2106">
        <v>2.5111001590912565</v>
      </c>
      <c r="EC107" s="2106">
        <v>2.9395372604797956</v>
      </c>
      <c r="ED107" s="2106">
        <v>5.5851000000000006</v>
      </c>
      <c r="EE107" s="2106">
        <v>5.5851000000000006</v>
      </c>
      <c r="EF107" s="2107">
        <v>-9999</v>
      </c>
      <c r="EG107" s="2107">
        <v>-9999</v>
      </c>
      <c r="EH107" s="2107">
        <v>-9999</v>
      </c>
      <c r="EI107" s="2107">
        <v>-9999</v>
      </c>
      <c r="EJ107" s="2107">
        <v>-9999</v>
      </c>
      <c r="EK107" s="2107">
        <v>-9999</v>
      </c>
      <c r="EL107" s="2107">
        <v>-9999</v>
      </c>
      <c r="EM107" s="2107">
        <v>-9999</v>
      </c>
    </row>
    <row r="108" spans="1:144">
      <c r="A108" s="22">
        <v>8</v>
      </c>
      <c r="B108" s="29" t="s">
        <v>858</v>
      </c>
      <c r="C108" s="24">
        <f ca="1">OFFSET('VVP2'!F179,0,Last_forecast_year - 3-InputY!$G$3)</f>
        <v>238.75308456211337</v>
      </c>
      <c r="D108" s="24">
        <f ca="1">OFFSET('VVP2'!G179,0,Last_forecast_year - 3-InputY!$G$3)</f>
        <v>254.62749845929025</v>
      </c>
      <c r="E108" s="24">
        <f ca="1">OFFSET('VVP2'!H179,0,Last_forecast_year - 3-InputY!$G$3)</f>
        <v>264.88255721173221</v>
      </c>
      <c r="F108" s="24">
        <f ca="1">OFFSET('VVP2'!I179,0,Last_forecast_year - 3-InputY!$G$3)</f>
        <v>282.33637658999999</v>
      </c>
      <c r="G108" s="24">
        <f ca="1">OFFSET('VVP2'!J179,0,Last_forecast_year - 3-InputY!$G$3)</f>
        <v>297.9063807498087</v>
      </c>
      <c r="H108" s="25">
        <v>-9999</v>
      </c>
      <c r="I108" s="25">
        <v>-9999</v>
      </c>
      <c r="J108" s="25">
        <v>-9999</v>
      </c>
      <c r="K108" s="25">
        <v>-9999</v>
      </c>
      <c r="L108" s="25">
        <v>-9999</v>
      </c>
      <c r="M108" s="25">
        <v>-9999</v>
      </c>
      <c r="N108" s="25">
        <v>-9999</v>
      </c>
      <c r="O108" s="25">
        <v>-9999</v>
      </c>
      <c r="P108" s="26"/>
      <c r="Q108"/>
      <c r="AA108" s="22">
        <v>8</v>
      </c>
      <c r="AB108" s="1081" t="str">
        <f t="shared" si="3"/>
        <v>VOL. EXPORTS OF GOODS (FOB)</v>
      </c>
      <c r="AC108" s="1081">
        <f>CHOOSE(Tables!$U$2,Transfer!CA108,Transfer!CN108,Transfer!DA108,Transfer!DN108,Transfer!EA108)</f>
        <v>238.75308456211337</v>
      </c>
      <c r="AD108" s="1081">
        <f>CHOOSE(Tables!$U$2,Transfer!CB108,Transfer!CO108,Transfer!DB108,Transfer!DO108,Transfer!EB108)</f>
        <v>254.62749845929025</v>
      </c>
      <c r="AE108" s="1081">
        <f>CHOOSE(Tables!$U$2,Transfer!CC108,Transfer!CP108,Transfer!DC108,Transfer!DP108,Transfer!EC108)</f>
        <v>264.88255721173221</v>
      </c>
      <c r="AF108" s="1081">
        <f>CHOOSE(Tables!$U$2,Transfer!CD108,Transfer!CQ108,Transfer!DD108,Transfer!DQ108,Transfer!ED108)</f>
        <v>282.33637658999999</v>
      </c>
      <c r="AG108" s="1081">
        <f>CHOOSE(Tables!$U$2,Transfer!CE108,Transfer!CR108,Transfer!DE108,Transfer!DR108,Transfer!EE108)</f>
        <v>297.9063807498087</v>
      </c>
      <c r="AH108" s="1081">
        <f>CHOOSE(Tables!$U$2,Transfer!CF108,Transfer!CS108,Transfer!DF108,Transfer!DS108,Transfer!EF108)</f>
        <v>-9999</v>
      </c>
      <c r="AI108" s="1081">
        <f>CHOOSE(Tables!$U$2,Transfer!CG108,Transfer!CT108,Transfer!DG108,Transfer!DT108,Transfer!EG108)</f>
        <v>-9999</v>
      </c>
      <c r="AJ108" s="1081">
        <f>CHOOSE(Tables!$U$2,Transfer!CH108,Transfer!CU108,Transfer!DH108,Transfer!DU108,Transfer!EH108)</f>
        <v>-9999</v>
      </c>
      <c r="AK108" s="1081">
        <f>CHOOSE(Tables!$U$2,Transfer!CI108,Transfer!CV108,Transfer!DI108,Transfer!DV108,Transfer!EI108)</f>
        <v>-9999</v>
      </c>
      <c r="AL108" s="1081">
        <f>CHOOSE(Tables!$U$2,Transfer!CJ108,Transfer!CW108,Transfer!DJ108,Transfer!DW108,Transfer!EJ108)</f>
        <v>-9999</v>
      </c>
      <c r="AM108" s="1081">
        <f>CHOOSE(Tables!$U$2,Transfer!CK108,Transfer!CX108,Transfer!DK108,Transfer!DX108,Transfer!EK108)</f>
        <v>-9999</v>
      </c>
      <c r="AN108" s="1081">
        <f>CHOOSE(Tables!$U$2,Transfer!CL108,Transfer!CY108,Transfer!DL108,Transfer!DY108,Transfer!EL108)</f>
        <v>-9999</v>
      </c>
      <c r="AO108" s="1081">
        <f>CHOOSE(Tables!$U$2,Transfer!CM108,Transfer!CZ108,Transfer!DM108,Transfer!DZ108,Transfer!EM108)</f>
        <v>-9999</v>
      </c>
      <c r="AR108" s="22">
        <v>8</v>
      </c>
      <c r="AS108" s="29" t="s">
        <v>858</v>
      </c>
      <c r="AT108" s="24">
        <f t="shared" ca="1" si="2"/>
        <v>0</v>
      </c>
      <c r="AU108" s="24">
        <f t="shared" ca="1" si="2"/>
        <v>0</v>
      </c>
      <c r="AV108" s="24">
        <f t="shared" ca="1" si="2"/>
        <v>0</v>
      </c>
      <c r="AW108" s="24">
        <f t="shared" ca="1" si="2"/>
        <v>0</v>
      </c>
      <c r="AX108" s="24">
        <f t="shared" ca="1" si="2"/>
        <v>0</v>
      </c>
      <c r="AY108" s="25">
        <f t="shared" si="2"/>
        <v>0</v>
      </c>
      <c r="AZ108" s="25">
        <f t="shared" si="2"/>
        <v>0</v>
      </c>
      <c r="BA108" s="25">
        <f t="shared" si="2"/>
        <v>0</v>
      </c>
      <c r="BB108" s="25">
        <f t="shared" si="2"/>
        <v>0</v>
      </c>
      <c r="BC108" s="25">
        <f t="shared" si="2"/>
        <v>0</v>
      </c>
      <c r="BD108" s="25">
        <f t="shared" si="2"/>
        <v>0</v>
      </c>
      <c r="BE108" s="25">
        <f t="shared" si="2"/>
        <v>0</v>
      </c>
      <c r="BF108" s="25">
        <f t="shared" si="2"/>
        <v>0</v>
      </c>
      <c r="CA108" s="16">
        <v>238.75308456211337</v>
      </c>
      <c r="CB108" s="16">
        <v>254.62749845929025</v>
      </c>
      <c r="CC108" s="16">
        <v>264.88255721173221</v>
      </c>
      <c r="CD108" s="16">
        <v>282.33637658999999</v>
      </c>
      <c r="CE108" s="16">
        <v>297.9063807498087</v>
      </c>
      <c r="CF108" s="16">
        <v>-9999</v>
      </c>
      <c r="CG108" s="16">
        <v>-9999</v>
      </c>
      <c r="CH108" s="16">
        <v>-9999</v>
      </c>
      <c r="CI108" s="16">
        <v>-9999</v>
      </c>
      <c r="CJ108" s="16">
        <v>-9999</v>
      </c>
      <c r="CK108" s="16">
        <v>-9999</v>
      </c>
      <c r="CL108" s="16">
        <v>-9999</v>
      </c>
      <c r="CM108" s="16">
        <v>-9999</v>
      </c>
      <c r="CN108" s="16">
        <v>238.75308456211337</v>
      </c>
      <c r="CO108" s="16">
        <v>254.62749845929025</v>
      </c>
      <c r="CP108" s="16">
        <v>260.57335499999999</v>
      </c>
      <c r="CQ108" s="16">
        <v>276.63092742851995</v>
      </c>
      <c r="CR108" s="16">
        <v>289.57432254434394</v>
      </c>
      <c r="CS108" s="16">
        <v>-9999</v>
      </c>
      <c r="CT108" s="16">
        <v>-9999</v>
      </c>
      <c r="CU108" s="16">
        <v>-9999</v>
      </c>
      <c r="CV108" s="16">
        <v>-9999</v>
      </c>
      <c r="CW108" s="16">
        <v>-9999</v>
      </c>
      <c r="CX108" s="16">
        <v>-9999</v>
      </c>
      <c r="CY108" s="16">
        <v>-9999</v>
      </c>
      <c r="CZ108" s="16">
        <v>-9999</v>
      </c>
      <c r="DA108" s="16">
        <v>238.75308456211337</v>
      </c>
      <c r="DB108" s="16">
        <v>254.62749845929025</v>
      </c>
      <c r="DC108" s="16">
        <v>264.88255721173221</v>
      </c>
      <c r="DD108" s="16">
        <v>282.33637658999999</v>
      </c>
      <c r="DE108" s="16">
        <v>297.9063807498087</v>
      </c>
      <c r="DF108" s="16">
        <v>-9999</v>
      </c>
      <c r="DG108" s="16">
        <v>-9999</v>
      </c>
      <c r="DH108" s="16">
        <v>-9999</v>
      </c>
      <c r="DI108" s="16">
        <v>-9999</v>
      </c>
      <c r="DJ108" s="16">
        <v>-9999</v>
      </c>
      <c r="DK108" s="16">
        <v>-9999</v>
      </c>
      <c r="DL108" s="16">
        <v>-9999</v>
      </c>
      <c r="DM108" s="16">
        <v>-9999</v>
      </c>
      <c r="DN108" s="16">
        <v>238.75308456211337</v>
      </c>
      <c r="DO108" s="16">
        <v>254.62749845929025</v>
      </c>
      <c r="DP108" s="16">
        <v>264.88255721173221</v>
      </c>
      <c r="DQ108" s="16">
        <v>282.33637658999999</v>
      </c>
      <c r="DR108" s="16">
        <v>297.9063807498087</v>
      </c>
      <c r="DS108" s="16">
        <v>-9999</v>
      </c>
      <c r="DT108" s="16">
        <v>-9999</v>
      </c>
      <c r="DU108" s="16">
        <v>-9999</v>
      </c>
      <c r="DV108" s="16">
        <v>-9999</v>
      </c>
      <c r="DW108" s="16">
        <v>-9999</v>
      </c>
      <c r="DX108" s="16">
        <v>-9999</v>
      </c>
      <c r="DY108" s="16">
        <v>-9999</v>
      </c>
      <c r="DZ108" s="16">
        <v>-9999</v>
      </c>
      <c r="EA108" s="2106">
        <v>238.75308456211337</v>
      </c>
      <c r="EB108" s="2106">
        <v>254.62749845929025</v>
      </c>
      <c r="EC108" s="2106">
        <v>264.88255721173221</v>
      </c>
      <c r="ED108" s="2106">
        <v>282.33637658999999</v>
      </c>
      <c r="EE108" s="2106">
        <v>297.9063807498087</v>
      </c>
      <c r="EF108" s="2107">
        <v>-9999</v>
      </c>
      <c r="EG108" s="2107">
        <v>-9999</v>
      </c>
      <c r="EH108" s="2107">
        <v>-9999</v>
      </c>
      <c r="EI108" s="2107">
        <v>-9999</v>
      </c>
      <c r="EJ108" s="2107">
        <v>-9999</v>
      </c>
      <c r="EK108" s="2107">
        <v>-9999</v>
      </c>
      <c r="EL108" s="2107">
        <v>-9999</v>
      </c>
      <c r="EM108" s="2107">
        <v>-9999</v>
      </c>
    </row>
    <row r="109" spans="1:144">
      <c r="A109" s="22">
        <v>9</v>
      </c>
      <c r="B109" s="29" t="s">
        <v>859</v>
      </c>
      <c r="C109" s="24">
        <f ca="1">OFFSET('VVP2'!F180,0,Last_forecast_year - 3-InputY!$G$3)</f>
        <v>102.836107473315</v>
      </c>
      <c r="D109" s="24">
        <f ca="1">OFFSET('VVP2'!G180,0,Last_forecast_year - 3-InputY!$G$3)</f>
        <v>101.78299912533554</v>
      </c>
      <c r="E109" s="24">
        <f ca="1">OFFSET('VVP2'!H180,0,Last_forecast_year - 3-InputY!$G$3)</f>
        <v>101.48708646521402</v>
      </c>
      <c r="F109" s="24">
        <f ca="1">OFFSET('VVP2'!I180,0,Last_forecast_year - 3-InputY!$G$3)</f>
        <v>107.5108068</v>
      </c>
      <c r="G109" s="24">
        <f ca="1">OFFSET('VVP2'!J180,0,Last_forecast_year - 3-InputY!$G$3)</f>
        <v>113.14652329245601</v>
      </c>
      <c r="H109" s="25">
        <v>-9999</v>
      </c>
      <c r="I109" s="25">
        <v>-9999</v>
      </c>
      <c r="J109" s="25">
        <v>-9999</v>
      </c>
      <c r="K109" s="25">
        <v>-9999</v>
      </c>
      <c r="L109" s="25">
        <v>-9999</v>
      </c>
      <c r="M109" s="25">
        <v>-9999</v>
      </c>
      <c r="N109" s="25">
        <v>-9999</v>
      </c>
      <c r="O109" s="25">
        <v>-9999</v>
      </c>
      <c r="P109" s="26"/>
      <c r="Q109"/>
      <c r="AA109" s="22">
        <v>9</v>
      </c>
      <c r="AB109" s="1081" t="str">
        <f t="shared" si="3"/>
        <v>VOL. EXPORTS OF SERVICES</v>
      </c>
      <c r="AC109" s="1081">
        <f>CHOOSE(Tables!$U$2,Transfer!CA109,Transfer!CN109,Transfer!DA109,Transfer!DN109,Transfer!EA109)</f>
        <v>102.836107473315</v>
      </c>
      <c r="AD109" s="1081">
        <f>CHOOSE(Tables!$U$2,Transfer!CB109,Transfer!CO109,Transfer!DB109,Transfer!DO109,Transfer!EB109)</f>
        <v>101.78299912533554</v>
      </c>
      <c r="AE109" s="1081">
        <f>CHOOSE(Tables!$U$2,Transfer!CC109,Transfer!CP109,Transfer!DC109,Transfer!DP109,Transfer!EC109)</f>
        <v>101.48708646521402</v>
      </c>
      <c r="AF109" s="1081">
        <f>CHOOSE(Tables!$U$2,Transfer!CD109,Transfer!CQ109,Transfer!DD109,Transfer!DQ109,Transfer!ED109)</f>
        <v>107.5108068</v>
      </c>
      <c r="AG109" s="1081">
        <f>CHOOSE(Tables!$U$2,Transfer!CE109,Transfer!CR109,Transfer!DE109,Transfer!DR109,Transfer!EE109)</f>
        <v>113.255109207324</v>
      </c>
      <c r="AH109" s="1081">
        <f>CHOOSE(Tables!$U$2,Transfer!CF109,Transfer!CS109,Transfer!DF109,Transfer!DS109,Transfer!EF109)</f>
        <v>-9999</v>
      </c>
      <c r="AI109" s="1081">
        <f>CHOOSE(Tables!$U$2,Transfer!CG109,Transfer!CT109,Transfer!DG109,Transfer!DT109,Transfer!EG109)</f>
        <v>-9999</v>
      </c>
      <c r="AJ109" s="1081">
        <f>CHOOSE(Tables!$U$2,Transfer!CH109,Transfer!CU109,Transfer!DH109,Transfer!DU109,Transfer!EH109)</f>
        <v>-9999</v>
      </c>
      <c r="AK109" s="1081">
        <f>CHOOSE(Tables!$U$2,Transfer!CI109,Transfer!CV109,Transfer!DI109,Transfer!DV109,Transfer!EI109)</f>
        <v>-9999</v>
      </c>
      <c r="AL109" s="1081">
        <f>CHOOSE(Tables!$U$2,Transfer!CJ109,Transfer!CW109,Transfer!DJ109,Transfer!DW109,Transfer!EJ109)</f>
        <v>-9999</v>
      </c>
      <c r="AM109" s="1081">
        <f>CHOOSE(Tables!$U$2,Transfer!CK109,Transfer!CX109,Transfer!DK109,Transfer!DX109,Transfer!EK109)</f>
        <v>-9999</v>
      </c>
      <c r="AN109" s="1081">
        <f>CHOOSE(Tables!$U$2,Transfer!CL109,Transfer!CY109,Transfer!DL109,Transfer!DY109,Transfer!EL109)</f>
        <v>-9999</v>
      </c>
      <c r="AO109" s="1081">
        <f>CHOOSE(Tables!$U$2,Transfer!CM109,Transfer!CZ109,Transfer!DM109,Transfer!DZ109,Transfer!EM109)</f>
        <v>-9999</v>
      </c>
      <c r="AR109" s="22">
        <v>9</v>
      </c>
      <c r="AS109" s="29" t="s">
        <v>859</v>
      </c>
      <c r="AT109" s="24">
        <f t="shared" ca="1" si="2"/>
        <v>0</v>
      </c>
      <c r="AU109" s="24">
        <f t="shared" ca="1" si="2"/>
        <v>0</v>
      </c>
      <c r="AV109" s="24">
        <f t="shared" ca="1" si="2"/>
        <v>0</v>
      </c>
      <c r="AW109" s="24">
        <f t="shared" ca="1" si="2"/>
        <v>0</v>
      </c>
      <c r="AX109" s="24">
        <f t="shared" ca="1" si="2"/>
        <v>-0.1085859148679873</v>
      </c>
      <c r="AY109" s="25">
        <f t="shared" si="2"/>
        <v>0</v>
      </c>
      <c r="AZ109" s="25">
        <f t="shared" si="2"/>
        <v>0</v>
      </c>
      <c r="BA109" s="25">
        <f t="shared" si="2"/>
        <v>0</v>
      </c>
      <c r="BB109" s="25">
        <f t="shared" si="2"/>
        <v>0</v>
      </c>
      <c r="BC109" s="25">
        <f t="shared" si="2"/>
        <v>0</v>
      </c>
      <c r="BD109" s="25">
        <f t="shared" si="2"/>
        <v>0</v>
      </c>
      <c r="BE109" s="25">
        <f t="shared" si="2"/>
        <v>0</v>
      </c>
      <c r="BF109" s="25">
        <f t="shared" si="2"/>
        <v>0</v>
      </c>
      <c r="CA109" s="16">
        <v>102.836107473315</v>
      </c>
      <c r="CB109" s="16">
        <v>101.78299912533554</v>
      </c>
      <c r="CC109" s="16">
        <v>101.48708646521402</v>
      </c>
      <c r="CD109" s="16">
        <v>107.5108068</v>
      </c>
      <c r="CE109" s="16">
        <v>113.255109207324</v>
      </c>
      <c r="CF109" s="16">
        <v>-9999</v>
      </c>
      <c r="CG109" s="16">
        <v>-9999</v>
      </c>
      <c r="CH109" s="16">
        <v>-9999</v>
      </c>
      <c r="CI109" s="16">
        <v>-9999</v>
      </c>
      <c r="CJ109" s="16">
        <v>-9999</v>
      </c>
      <c r="CK109" s="16">
        <v>-9999</v>
      </c>
      <c r="CL109" s="16">
        <v>-9999</v>
      </c>
      <c r="CM109" s="16">
        <v>-9999</v>
      </c>
      <c r="CN109" s="16">
        <v>102.836107473315</v>
      </c>
      <c r="CO109" s="16">
        <v>101.78299912533554</v>
      </c>
      <c r="CP109" s="16">
        <v>106.5924663</v>
      </c>
      <c r="CQ109" s="16">
        <v>113.60092095922499</v>
      </c>
      <c r="CR109" s="16">
        <v>119.84652919218173</v>
      </c>
      <c r="CS109" s="16">
        <v>-9999</v>
      </c>
      <c r="CT109" s="16">
        <v>-9999</v>
      </c>
      <c r="CU109" s="16">
        <v>-9999</v>
      </c>
      <c r="CV109" s="16">
        <v>-9999</v>
      </c>
      <c r="CW109" s="16">
        <v>-9999</v>
      </c>
      <c r="CX109" s="16">
        <v>-9999</v>
      </c>
      <c r="CY109" s="16">
        <v>-9999</v>
      </c>
      <c r="CZ109" s="16">
        <v>-9999</v>
      </c>
      <c r="DA109" s="16">
        <v>102.836107473315</v>
      </c>
      <c r="DB109" s="16">
        <v>101.78299912533554</v>
      </c>
      <c r="DC109" s="16">
        <v>101.48708646521402</v>
      </c>
      <c r="DD109" s="16">
        <v>107.5108068</v>
      </c>
      <c r="DE109" s="16">
        <v>113.255109207324</v>
      </c>
      <c r="DF109" s="16">
        <v>-9999</v>
      </c>
      <c r="DG109" s="16">
        <v>-9999</v>
      </c>
      <c r="DH109" s="16">
        <v>-9999</v>
      </c>
      <c r="DI109" s="16">
        <v>-9999</v>
      </c>
      <c r="DJ109" s="16">
        <v>-9999</v>
      </c>
      <c r="DK109" s="16">
        <v>-9999</v>
      </c>
      <c r="DL109" s="16">
        <v>-9999</v>
      </c>
      <c r="DM109" s="16">
        <v>-9999</v>
      </c>
      <c r="DN109" s="16">
        <v>102.836107473315</v>
      </c>
      <c r="DO109" s="16">
        <v>101.78299912533554</v>
      </c>
      <c r="DP109" s="16">
        <v>101.48708646521402</v>
      </c>
      <c r="DQ109" s="16">
        <v>107.5108068</v>
      </c>
      <c r="DR109" s="16">
        <v>113.255109207324</v>
      </c>
      <c r="DS109" s="16">
        <v>-9999</v>
      </c>
      <c r="DT109" s="16">
        <v>-9999</v>
      </c>
      <c r="DU109" s="16">
        <v>-9999</v>
      </c>
      <c r="DV109" s="16">
        <v>-9999</v>
      </c>
      <c r="DW109" s="16">
        <v>-9999</v>
      </c>
      <c r="DX109" s="16">
        <v>-9999</v>
      </c>
      <c r="DY109" s="16">
        <v>-9999</v>
      </c>
      <c r="DZ109" s="16">
        <v>-9999</v>
      </c>
      <c r="EA109" s="2106">
        <v>102.836107473315</v>
      </c>
      <c r="EB109" s="2106">
        <v>101.78299912533554</v>
      </c>
      <c r="EC109" s="2106">
        <v>101.48708646521402</v>
      </c>
      <c r="ED109" s="2106">
        <v>107.5108068</v>
      </c>
      <c r="EE109" s="2106">
        <v>113.14652329245601</v>
      </c>
      <c r="EF109" s="2107">
        <v>-9999</v>
      </c>
      <c r="EG109" s="2107">
        <v>-9999</v>
      </c>
      <c r="EH109" s="2107">
        <v>-9999</v>
      </c>
      <c r="EI109" s="2107">
        <v>-9999</v>
      </c>
      <c r="EJ109" s="2107">
        <v>-9999</v>
      </c>
      <c r="EK109" s="2107">
        <v>-9999</v>
      </c>
      <c r="EL109" s="2107">
        <v>-9999</v>
      </c>
      <c r="EM109" s="2107">
        <v>-9999</v>
      </c>
    </row>
    <row r="110" spans="1:144">
      <c r="A110" s="22">
        <v>10</v>
      </c>
      <c r="B110" s="29" t="s">
        <v>222</v>
      </c>
      <c r="C110" s="24">
        <f ca="1">OFFSET('VVP2'!F181,0,Last_forecast_year - 3-InputY!$G$3)</f>
        <v>242.76138902943111</v>
      </c>
      <c r="D110" s="24">
        <f ca="1">OFFSET('VVP2'!G181,0,Last_forecast_year - 3-InputY!$G$3)</f>
        <v>255.2001013892507</v>
      </c>
      <c r="E110" s="24">
        <f ca="1">OFFSET('VVP2'!H181,0,Last_forecast_year - 3-InputY!$G$3)</f>
        <v>259.63473694827366</v>
      </c>
      <c r="F110" s="24">
        <f ca="1">OFFSET('VVP2'!I181,0,Last_forecast_year - 3-InputY!$G$3)</f>
        <v>278.27703880000001</v>
      </c>
      <c r="G110" s="24">
        <f ca="1">OFFSET('VVP2'!J181,0,Last_forecast_year - 3-InputY!$G$3)</f>
        <v>294.63499797178042</v>
      </c>
      <c r="H110" s="25">
        <v>-9999</v>
      </c>
      <c r="I110" s="25">
        <v>-9999</v>
      </c>
      <c r="J110" s="25">
        <v>-9999</v>
      </c>
      <c r="K110" s="25">
        <v>-9999</v>
      </c>
      <c r="L110" s="25">
        <v>-9999</v>
      </c>
      <c r="M110" s="25">
        <v>-9999</v>
      </c>
      <c r="N110" s="25">
        <v>-9999</v>
      </c>
      <c r="O110" s="25">
        <v>-9999</v>
      </c>
      <c r="P110" s="26"/>
      <c r="Q110"/>
      <c r="AA110" s="22">
        <v>10</v>
      </c>
      <c r="AB110" s="1081" t="str">
        <f t="shared" si="3"/>
        <v>VOL. IMPORTS OF GOODS (FOB)</v>
      </c>
      <c r="AC110" s="1081">
        <f>CHOOSE(Tables!$U$2,Transfer!CA110,Transfer!CN110,Transfer!DA110,Transfer!DN110,Transfer!EA110)</f>
        <v>242.76138902943111</v>
      </c>
      <c r="AD110" s="1081">
        <f>CHOOSE(Tables!$U$2,Transfer!CB110,Transfer!CO110,Transfer!DB110,Transfer!DO110,Transfer!EB110)</f>
        <v>255.2001013892507</v>
      </c>
      <c r="AE110" s="1081">
        <f>CHOOSE(Tables!$U$2,Transfer!CC110,Transfer!CP110,Transfer!DC110,Transfer!DP110,Transfer!EC110)</f>
        <v>259.63473694827366</v>
      </c>
      <c r="AF110" s="1081">
        <f>CHOOSE(Tables!$U$2,Transfer!CD110,Transfer!CQ110,Transfer!DD110,Transfer!DQ110,Transfer!ED110)</f>
        <v>278.27703880000001</v>
      </c>
      <c r="AG110" s="1081">
        <f>CHOOSE(Tables!$U$2,Transfer!CE110,Transfer!CR110,Transfer!DE110,Transfer!DR110,Transfer!EE110)</f>
        <v>294.69120993361804</v>
      </c>
      <c r="AH110" s="1081">
        <f>CHOOSE(Tables!$U$2,Transfer!CF110,Transfer!CS110,Transfer!DF110,Transfer!DS110,Transfer!EF110)</f>
        <v>-9999</v>
      </c>
      <c r="AI110" s="1081">
        <f>CHOOSE(Tables!$U$2,Transfer!CG110,Transfer!CT110,Transfer!DG110,Transfer!DT110,Transfer!EG110)</f>
        <v>-9999</v>
      </c>
      <c r="AJ110" s="1081">
        <f>CHOOSE(Tables!$U$2,Transfer!CH110,Transfer!CU110,Transfer!DH110,Transfer!DU110,Transfer!EH110)</f>
        <v>-9999</v>
      </c>
      <c r="AK110" s="1081">
        <f>CHOOSE(Tables!$U$2,Transfer!CI110,Transfer!CV110,Transfer!DI110,Transfer!DV110,Transfer!EI110)</f>
        <v>-9999</v>
      </c>
      <c r="AL110" s="1081">
        <f>CHOOSE(Tables!$U$2,Transfer!CJ110,Transfer!CW110,Transfer!DJ110,Transfer!DW110,Transfer!EJ110)</f>
        <v>-9999</v>
      </c>
      <c r="AM110" s="1081">
        <f>CHOOSE(Tables!$U$2,Transfer!CK110,Transfer!CX110,Transfer!DK110,Transfer!DX110,Transfer!EK110)</f>
        <v>-9999</v>
      </c>
      <c r="AN110" s="1081">
        <f>CHOOSE(Tables!$U$2,Transfer!CL110,Transfer!CY110,Transfer!DL110,Transfer!DY110,Transfer!EL110)</f>
        <v>-9999</v>
      </c>
      <c r="AO110" s="1081">
        <f>CHOOSE(Tables!$U$2,Transfer!CM110,Transfer!CZ110,Transfer!DM110,Transfer!DZ110,Transfer!EM110)</f>
        <v>-9999</v>
      </c>
      <c r="AR110" s="22">
        <v>10</v>
      </c>
      <c r="AS110" s="29" t="s">
        <v>222</v>
      </c>
      <c r="AT110" s="24">
        <f t="shared" ca="1" si="2"/>
        <v>0</v>
      </c>
      <c r="AU110" s="24">
        <f t="shared" ca="1" si="2"/>
        <v>0</v>
      </c>
      <c r="AV110" s="24">
        <f t="shared" ca="1" si="2"/>
        <v>0</v>
      </c>
      <c r="AW110" s="24">
        <f t="shared" ca="1" si="2"/>
        <v>0</v>
      </c>
      <c r="AX110" s="24">
        <f t="shared" ca="1" si="2"/>
        <v>-5.6211961837618674E-2</v>
      </c>
      <c r="AY110" s="25">
        <f t="shared" si="2"/>
        <v>0</v>
      </c>
      <c r="AZ110" s="25">
        <f t="shared" si="2"/>
        <v>0</v>
      </c>
      <c r="BA110" s="25">
        <f t="shared" si="2"/>
        <v>0</v>
      </c>
      <c r="BB110" s="25">
        <f t="shared" si="2"/>
        <v>0</v>
      </c>
      <c r="BC110" s="25">
        <f t="shared" si="2"/>
        <v>0</v>
      </c>
      <c r="BD110" s="25">
        <f t="shared" si="2"/>
        <v>0</v>
      </c>
      <c r="BE110" s="25">
        <f t="shared" si="2"/>
        <v>0</v>
      </c>
      <c r="BF110" s="25">
        <f t="shared" si="2"/>
        <v>0</v>
      </c>
      <c r="CA110" s="16">
        <v>242.76138902943111</v>
      </c>
      <c r="CB110" s="16">
        <v>255.2001013892507</v>
      </c>
      <c r="CC110" s="16">
        <v>259.63473694827366</v>
      </c>
      <c r="CD110" s="16">
        <v>278.27703880000001</v>
      </c>
      <c r="CE110" s="16">
        <v>294.69120993361804</v>
      </c>
      <c r="CF110" s="16">
        <v>-9999</v>
      </c>
      <c r="CG110" s="16">
        <v>-9999</v>
      </c>
      <c r="CH110" s="16">
        <v>-9999</v>
      </c>
      <c r="CI110" s="16">
        <v>-9999</v>
      </c>
      <c r="CJ110" s="16">
        <v>-9999</v>
      </c>
      <c r="CK110" s="16">
        <v>-9999</v>
      </c>
      <c r="CL110" s="16">
        <v>-9999</v>
      </c>
      <c r="CM110" s="16">
        <v>-9999</v>
      </c>
      <c r="CN110" s="16">
        <v>242.76138902943111</v>
      </c>
      <c r="CO110" s="16">
        <v>255.2001013892507</v>
      </c>
      <c r="CP110" s="16">
        <v>258.69369064</v>
      </c>
      <c r="CQ110" s="16">
        <v>276.52570542950582</v>
      </c>
      <c r="CR110" s="16">
        <v>292.1173308044431</v>
      </c>
      <c r="CS110" s="16">
        <v>-9999</v>
      </c>
      <c r="CT110" s="16">
        <v>-9999</v>
      </c>
      <c r="CU110" s="16">
        <v>-9999</v>
      </c>
      <c r="CV110" s="16">
        <v>-9999</v>
      </c>
      <c r="CW110" s="16">
        <v>-9999</v>
      </c>
      <c r="CX110" s="16">
        <v>-9999</v>
      </c>
      <c r="CY110" s="16">
        <v>-9999</v>
      </c>
      <c r="CZ110" s="16">
        <v>-9999</v>
      </c>
      <c r="DA110" s="16">
        <v>242.76138902943111</v>
      </c>
      <c r="DB110" s="16">
        <v>255.2001013892507</v>
      </c>
      <c r="DC110" s="16">
        <v>259.63473694827366</v>
      </c>
      <c r="DD110" s="16">
        <v>278.27703880000001</v>
      </c>
      <c r="DE110" s="16">
        <v>294.69120993361804</v>
      </c>
      <c r="DF110" s="16">
        <v>-9999</v>
      </c>
      <c r="DG110" s="16">
        <v>-9999</v>
      </c>
      <c r="DH110" s="16">
        <v>-9999</v>
      </c>
      <c r="DI110" s="16">
        <v>-9999</v>
      </c>
      <c r="DJ110" s="16">
        <v>-9999</v>
      </c>
      <c r="DK110" s="16">
        <v>-9999</v>
      </c>
      <c r="DL110" s="16">
        <v>-9999</v>
      </c>
      <c r="DM110" s="16">
        <v>-9999</v>
      </c>
      <c r="DN110" s="16">
        <v>242.76138902943111</v>
      </c>
      <c r="DO110" s="16">
        <v>255.2001013892507</v>
      </c>
      <c r="DP110" s="16">
        <v>259.63473694827366</v>
      </c>
      <c r="DQ110" s="16">
        <v>278.27703880000001</v>
      </c>
      <c r="DR110" s="16">
        <v>294.69120993361804</v>
      </c>
      <c r="DS110" s="16">
        <v>-9999</v>
      </c>
      <c r="DT110" s="16">
        <v>-9999</v>
      </c>
      <c r="DU110" s="16">
        <v>-9999</v>
      </c>
      <c r="DV110" s="16">
        <v>-9999</v>
      </c>
      <c r="DW110" s="16">
        <v>-9999</v>
      </c>
      <c r="DX110" s="16">
        <v>-9999</v>
      </c>
      <c r="DY110" s="16">
        <v>-9999</v>
      </c>
      <c r="DZ110" s="16">
        <v>-9999</v>
      </c>
      <c r="EA110" s="2106">
        <v>242.76138902943111</v>
      </c>
      <c r="EB110" s="2106">
        <v>255.2001013892507</v>
      </c>
      <c r="EC110" s="2106">
        <v>259.63473694827366</v>
      </c>
      <c r="ED110" s="2106">
        <v>278.27703880000001</v>
      </c>
      <c r="EE110" s="2106">
        <v>294.63499797178042</v>
      </c>
      <c r="EF110" s="2107">
        <v>-9999</v>
      </c>
      <c r="EG110" s="2107">
        <v>-9999</v>
      </c>
      <c r="EH110" s="2107">
        <v>-9999</v>
      </c>
      <c r="EI110" s="2107">
        <v>-9999</v>
      </c>
      <c r="EJ110" s="2107">
        <v>-9999</v>
      </c>
      <c r="EK110" s="2107">
        <v>-9999</v>
      </c>
      <c r="EL110" s="2107">
        <v>-9999</v>
      </c>
      <c r="EM110" s="2107">
        <v>-9999</v>
      </c>
    </row>
    <row r="111" spans="1:144">
      <c r="A111" s="22">
        <v>11</v>
      </c>
      <c r="B111" s="29" t="s">
        <v>1995</v>
      </c>
      <c r="C111" s="24">
        <f ca="1">OFFSET('VVP2'!F182,0,Last_forecast_year - 3-InputY!$G$3)</f>
        <v>96.197386990039504</v>
      </c>
      <c r="D111" s="24">
        <f ca="1">OFFSET('VVP2'!G182,0,Last_forecast_year - 3-InputY!$G$3)</f>
        <v>97.97420407382883</v>
      </c>
      <c r="E111" s="24">
        <f ca="1">OFFSET('VVP2'!H182,0,Last_forecast_year - 3-InputY!$G$3)</f>
        <v>99.408462267794008</v>
      </c>
      <c r="F111" s="24">
        <f ca="1">OFFSET('VVP2'!I182,0,Last_forecast_year - 3-InputY!$G$3)</f>
        <v>105.88078865</v>
      </c>
      <c r="G111" s="24">
        <f ca="1">OFFSET('VVP2'!J182,0,Last_forecast_year - 3-InputY!$G$3)</f>
        <v>110.84289181008225</v>
      </c>
      <c r="H111" s="25">
        <v>-9999</v>
      </c>
      <c r="I111" s="25">
        <v>-9999</v>
      </c>
      <c r="J111" s="25">
        <v>-9999</v>
      </c>
      <c r="K111" s="25">
        <v>-9999</v>
      </c>
      <c r="L111" s="25">
        <v>-9999</v>
      </c>
      <c r="M111" s="25">
        <v>-9999</v>
      </c>
      <c r="N111" s="25">
        <v>-9999</v>
      </c>
      <c r="O111" s="25">
        <v>-9999</v>
      </c>
      <c r="P111" s="26"/>
      <c r="Q111"/>
      <c r="AA111" s="22">
        <v>11</v>
      </c>
      <c r="AB111" s="1081" t="str">
        <f t="shared" si="3"/>
        <v>VOL. IMPORTS OF SERVICES</v>
      </c>
      <c r="AC111" s="1081">
        <f>CHOOSE(Tables!$U$2,Transfer!CA111,Transfer!CN111,Transfer!DA111,Transfer!DN111,Transfer!EA111)</f>
        <v>96.197386990039504</v>
      </c>
      <c r="AD111" s="1081">
        <f>CHOOSE(Tables!$U$2,Transfer!CB111,Transfer!CO111,Transfer!DB111,Transfer!DO111,Transfer!EB111)</f>
        <v>97.97420407382883</v>
      </c>
      <c r="AE111" s="1081">
        <f>CHOOSE(Tables!$U$2,Transfer!CC111,Transfer!CP111,Transfer!DC111,Transfer!DP111,Transfer!EC111)</f>
        <v>99.408462267794008</v>
      </c>
      <c r="AF111" s="1081">
        <f>CHOOSE(Tables!$U$2,Transfer!CD111,Transfer!CQ111,Transfer!DD111,Transfer!DQ111,Transfer!ED111)</f>
        <v>105.88078865</v>
      </c>
      <c r="AG111" s="1081">
        <f>CHOOSE(Tables!$U$2,Transfer!CE111,Transfer!CR111,Transfer!DE111,Transfer!DR111,Transfer!EE111)</f>
        <v>110.84289181008225</v>
      </c>
      <c r="AH111" s="1081">
        <f>CHOOSE(Tables!$U$2,Transfer!CF111,Transfer!CS111,Transfer!DF111,Transfer!DS111,Transfer!EF111)</f>
        <v>-9999</v>
      </c>
      <c r="AI111" s="1081">
        <f>CHOOSE(Tables!$U$2,Transfer!CG111,Transfer!CT111,Transfer!DG111,Transfer!DT111,Transfer!EG111)</f>
        <v>-9999</v>
      </c>
      <c r="AJ111" s="1081">
        <f>CHOOSE(Tables!$U$2,Transfer!CH111,Transfer!CU111,Transfer!DH111,Transfer!DU111,Transfer!EH111)</f>
        <v>-9999</v>
      </c>
      <c r="AK111" s="1081">
        <f>CHOOSE(Tables!$U$2,Transfer!CI111,Transfer!CV111,Transfer!DI111,Transfer!DV111,Transfer!EI111)</f>
        <v>-9999</v>
      </c>
      <c r="AL111" s="1081">
        <f>CHOOSE(Tables!$U$2,Transfer!CJ111,Transfer!CW111,Transfer!DJ111,Transfer!DW111,Transfer!EJ111)</f>
        <v>-9999</v>
      </c>
      <c r="AM111" s="1081">
        <f>CHOOSE(Tables!$U$2,Transfer!CK111,Transfer!CX111,Transfer!DK111,Transfer!DX111,Transfer!EK111)</f>
        <v>-9999</v>
      </c>
      <c r="AN111" s="1081">
        <f>CHOOSE(Tables!$U$2,Transfer!CL111,Transfer!CY111,Transfer!DL111,Transfer!DY111,Transfer!EL111)</f>
        <v>-9999</v>
      </c>
      <c r="AO111" s="1081">
        <f>CHOOSE(Tables!$U$2,Transfer!CM111,Transfer!CZ111,Transfer!DM111,Transfer!DZ111,Transfer!EM111)</f>
        <v>-9999</v>
      </c>
      <c r="AR111" s="22">
        <v>11</v>
      </c>
      <c r="AS111" s="29" t="s">
        <v>1995</v>
      </c>
      <c r="AT111" s="24">
        <f t="shared" ca="1" si="2"/>
        <v>0</v>
      </c>
      <c r="AU111" s="24">
        <f t="shared" ca="1" si="2"/>
        <v>0</v>
      </c>
      <c r="AV111" s="24">
        <f t="shared" ca="1" si="2"/>
        <v>0</v>
      </c>
      <c r="AW111" s="24">
        <f t="shared" ca="1" si="2"/>
        <v>0</v>
      </c>
      <c r="AX111" s="24">
        <f t="shared" ca="1" si="2"/>
        <v>0</v>
      </c>
      <c r="AY111" s="25">
        <f t="shared" si="2"/>
        <v>0</v>
      </c>
      <c r="AZ111" s="25">
        <f t="shared" si="2"/>
        <v>0</v>
      </c>
      <c r="BA111" s="25">
        <f t="shared" si="2"/>
        <v>0</v>
      </c>
      <c r="BB111" s="25">
        <f t="shared" si="2"/>
        <v>0</v>
      </c>
      <c r="BC111" s="25">
        <f t="shared" si="2"/>
        <v>0</v>
      </c>
      <c r="BD111" s="25">
        <f t="shared" si="2"/>
        <v>0</v>
      </c>
      <c r="BE111" s="25">
        <f t="shared" si="2"/>
        <v>0</v>
      </c>
      <c r="BF111" s="25">
        <f t="shared" si="2"/>
        <v>0</v>
      </c>
      <c r="CA111" s="16">
        <v>96.197386990039504</v>
      </c>
      <c r="CB111" s="16">
        <v>97.97420407382883</v>
      </c>
      <c r="CC111" s="16">
        <v>99.408462267794008</v>
      </c>
      <c r="CD111" s="16">
        <v>105.88078865</v>
      </c>
      <c r="CE111" s="16">
        <v>110.84289181008225</v>
      </c>
      <c r="CF111" s="16">
        <v>-9999</v>
      </c>
      <c r="CG111" s="16">
        <v>-9999</v>
      </c>
      <c r="CH111" s="16">
        <v>-9999</v>
      </c>
      <c r="CI111" s="16">
        <v>-9999</v>
      </c>
      <c r="CJ111" s="16">
        <v>-9999</v>
      </c>
      <c r="CK111" s="16">
        <v>-9999</v>
      </c>
      <c r="CL111" s="16">
        <v>-9999</v>
      </c>
      <c r="CM111" s="16">
        <v>-9999</v>
      </c>
      <c r="CN111" s="16">
        <v>96.197386990039504</v>
      </c>
      <c r="CO111" s="16">
        <v>97.97420407382883</v>
      </c>
      <c r="CP111" s="16">
        <v>101.59134885</v>
      </c>
      <c r="CQ111" s="16">
        <v>107.97047282698921</v>
      </c>
      <c r="CR111" s="16">
        <v>113.19699950512525</v>
      </c>
      <c r="CS111" s="16">
        <v>-9999</v>
      </c>
      <c r="CT111" s="16">
        <v>-9999</v>
      </c>
      <c r="CU111" s="16">
        <v>-9999</v>
      </c>
      <c r="CV111" s="16">
        <v>-9999</v>
      </c>
      <c r="CW111" s="16">
        <v>-9999</v>
      </c>
      <c r="CX111" s="16">
        <v>-9999</v>
      </c>
      <c r="CY111" s="16">
        <v>-9999</v>
      </c>
      <c r="CZ111" s="16">
        <v>-9999</v>
      </c>
      <c r="DA111" s="16">
        <v>96.197386990039504</v>
      </c>
      <c r="DB111" s="16">
        <v>97.97420407382883</v>
      </c>
      <c r="DC111" s="16">
        <v>99.408462267794008</v>
      </c>
      <c r="DD111" s="16">
        <v>105.88078865</v>
      </c>
      <c r="DE111" s="16">
        <v>110.84289181008225</v>
      </c>
      <c r="DF111" s="16">
        <v>-9999</v>
      </c>
      <c r="DG111" s="16">
        <v>-9999</v>
      </c>
      <c r="DH111" s="16">
        <v>-9999</v>
      </c>
      <c r="DI111" s="16">
        <v>-9999</v>
      </c>
      <c r="DJ111" s="16">
        <v>-9999</v>
      </c>
      <c r="DK111" s="16">
        <v>-9999</v>
      </c>
      <c r="DL111" s="16">
        <v>-9999</v>
      </c>
      <c r="DM111" s="16">
        <v>-9999</v>
      </c>
      <c r="DN111" s="16">
        <v>96.197386990039504</v>
      </c>
      <c r="DO111" s="16">
        <v>97.97420407382883</v>
      </c>
      <c r="DP111" s="16">
        <v>99.408462267794008</v>
      </c>
      <c r="DQ111" s="16">
        <v>105.88078865</v>
      </c>
      <c r="DR111" s="16">
        <v>110.84289181008225</v>
      </c>
      <c r="DS111" s="16">
        <v>-9999</v>
      </c>
      <c r="DT111" s="16">
        <v>-9999</v>
      </c>
      <c r="DU111" s="16">
        <v>-9999</v>
      </c>
      <c r="DV111" s="16">
        <v>-9999</v>
      </c>
      <c r="DW111" s="16">
        <v>-9999</v>
      </c>
      <c r="DX111" s="16">
        <v>-9999</v>
      </c>
      <c r="DY111" s="16">
        <v>-9999</v>
      </c>
      <c r="DZ111" s="16">
        <v>-9999</v>
      </c>
      <c r="EA111" s="2106">
        <v>96.197386990039504</v>
      </c>
      <c r="EB111" s="2106">
        <v>97.97420407382883</v>
      </c>
      <c r="EC111" s="2106">
        <v>99.408462267794008</v>
      </c>
      <c r="ED111" s="2106">
        <v>105.88078865</v>
      </c>
      <c r="EE111" s="2106">
        <v>110.84289181008225</v>
      </c>
      <c r="EF111" s="2107">
        <v>-9999</v>
      </c>
      <c r="EG111" s="2107">
        <v>-9999</v>
      </c>
      <c r="EH111" s="2107">
        <v>-9999</v>
      </c>
      <c r="EI111" s="2107">
        <v>-9999</v>
      </c>
      <c r="EJ111" s="2107">
        <v>-9999</v>
      </c>
      <c r="EK111" s="2107">
        <v>-9999</v>
      </c>
      <c r="EL111" s="2107">
        <v>-9999</v>
      </c>
      <c r="EM111" s="2107">
        <v>-9999</v>
      </c>
    </row>
    <row r="112" spans="1:144">
      <c r="A112" s="22">
        <v>12</v>
      </c>
      <c r="B112" s="1" t="s">
        <v>1997</v>
      </c>
      <c r="C112" s="24">
        <f ca="1">OFFSET('VVP2'!F183,0,Last_forecast_year - 3-InputY!$G$3)</f>
        <v>405.91022792599148</v>
      </c>
      <c r="D112" s="24">
        <f ca="1">OFFSET('VVP2'!G183,0,Last_forecast_year - 3-InputY!$G$3)</f>
        <v>416.45220113357516</v>
      </c>
      <c r="E112" s="24">
        <f ca="1">OFFSET('VVP2'!H183,0,Last_forecast_year - 3-InputY!$G$3)</f>
        <v>430.18314423750496</v>
      </c>
      <c r="F112" s="24">
        <f ca="1">OFFSET('VVP2'!I183,0,Last_forecast_year - 3-InputY!$G$3)</f>
        <v>446.4138479400001</v>
      </c>
      <c r="G112" s="24">
        <f ca="1">OFFSET('VVP2'!J183,0,Last_forecast_year - 3-InputY!$G$3)</f>
        <v>461.22959233726021</v>
      </c>
      <c r="H112" s="25">
        <v>-9999</v>
      </c>
      <c r="I112" s="25">
        <v>-9999</v>
      </c>
      <c r="J112" s="25">
        <v>-9999</v>
      </c>
      <c r="K112" s="25">
        <v>-9999</v>
      </c>
      <c r="L112" s="25">
        <v>-9999</v>
      </c>
      <c r="M112" s="25">
        <v>-9999</v>
      </c>
      <c r="N112" s="25">
        <v>-9999</v>
      </c>
      <c r="O112" s="25">
        <v>-9999</v>
      </c>
      <c r="P112" s="26"/>
      <c r="Q112"/>
      <c r="AA112" s="22">
        <v>12</v>
      </c>
      <c r="AB112" s="1081" t="str">
        <f t="shared" si="3"/>
        <v>VOL. GROSS DOMESTIC PRODUCT</v>
      </c>
      <c r="AC112" s="1081">
        <f>CHOOSE(Tables!$U$2,Transfer!CA112,Transfer!CN112,Transfer!DA112,Transfer!DN112,Transfer!EA112)</f>
        <v>405.91022792599148</v>
      </c>
      <c r="AD112" s="1081">
        <f>CHOOSE(Tables!$U$2,Transfer!CB112,Transfer!CO112,Transfer!DB112,Transfer!DO112,Transfer!EB112)</f>
        <v>416.45220113357516</v>
      </c>
      <c r="AE112" s="1081">
        <f>CHOOSE(Tables!$U$2,Transfer!CC112,Transfer!CP112,Transfer!DC112,Transfer!DP112,Transfer!EC112)</f>
        <v>430.18314423750496</v>
      </c>
      <c r="AF112" s="1081">
        <f>CHOOSE(Tables!$U$2,Transfer!CD112,Transfer!CQ112,Transfer!DD112,Transfer!DQ112,Transfer!ED112)</f>
        <v>446.4138479400001</v>
      </c>
      <c r="AG112" s="1081">
        <f>CHOOSE(Tables!$U$2,Transfer!CE112,Transfer!CR112,Transfer!DE112,Transfer!DR112,Transfer!EE112)</f>
        <v>461.2819662902906</v>
      </c>
      <c r="AH112" s="1081">
        <f>CHOOSE(Tables!$U$2,Transfer!CF112,Transfer!CS112,Transfer!DF112,Transfer!DS112,Transfer!EF112)</f>
        <v>-9999</v>
      </c>
      <c r="AI112" s="1081">
        <f>CHOOSE(Tables!$U$2,Transfer!CG112,Transfer!CT112,Transfer!DG112,Transfer!DT112,Transfer!EG112)</f>
        <v>-9999</v>
      </c>
      <c r="AJ112" s="1081">
        <f>CHOOSE(Tables!$U$2,Transfer!CH112,Transfer!CU112,Transfer!DH112,Transfer!DU112,Transfer!EH112)</f>
        <v>-9999</v>
      </c>
      <c r="AK112" s="1081">
        <f>CHOOSE(Tables!$U$2,Transfer!CI112,Transfer!CV112,Transfer!DI112,Transfer!DV112,Transfer!EI112)</f>
        <v>-9999</v>
      </c>
      <c r="AL112" s="1081">
        <f>CHOOSE(Tables!$U$2,Transfer!CJ112,Transfer!CW112,Transfer!DJ112,Transfer!DW112,Transfer!EJ112)</f>
        <v>-9999</v>
      </c>
      <c r="AM112" s="1081">
        <f>CHOOSE(Tables!$U$2,Transfer!CK112,Transfer!CX112,Transfer!DK112,Transfer!DX112,Transfer!EK112)</f>
        <v>-9999</v>
      </c>
      <c r="AN112" s="1081">
        <f>CHOOSE(Tables!$U$2,Transfer!CL112,Transfer!CY112,Transfer!DL112,Transfer!DY112,Transfer!EL112)</f>
        <v>-9999</v>
      </c>
      <c r="AO112" s="1081">
        <f>CHOOSE(Tables!$U$2,Transfer!CM112,Transfer!CZ112,Transfer!DM112,Transfer!DZ112,Transfer!EM112)</f>
        <v>-9999</v>
      </c>
      <c r="AR112" s="22">
        <v>12</v>
      </c>
      <c r="AS112" s="1" t="s">
        <v>1997</v>
      </c>
      <c r="AT112" s="24">
        <f t="shared" ca="1" si="2"/>
        <v>0</v>
      </c>
      <c r="AU112" s="24">
        <f t="shared" ca="1" si="2"/>
        <v>0</v>
      </c>
      <c r="AV112" s="24">
        <f t="shared" ca="1" si="2"/>
        <v>0</v>
      </c>
      <c r="AW112" s="24">
        <f t="shared" ca="1" si="2"/>
        <v>0</v>
      </c>
      <c r="AX112" s="24">
        <f t="shared" ca="1" si="2"/>
        <v>-5.2373953030382836E-2</v>
      </c>
      <c r="AY112" s="25">
        <f t="shared" si="2"/>
        <v>0</v>
      </c>
      <c r="AZ112" s="25">
        <f t="shared" si="2"/>
        <v>0</v>
      </c>
      <c r="BA112" s="25">
        <f t="shared" si="2"/>
        <v>0</v>
      </c>
      <c r="BB112" s="25">
        <f t="shared" si="2"/>
        <v>0</v>
      </c>
      <c r="BC112" s="25">
        <f t="shared" si="2"/>
        <v>0</v>
      </c>
      <c r="BD112" s="25">
        <f t="shared" si="2"/>
        <v>0</v>
      </c>
      <c r="BE112" s="25">
        <f t="shared" si="2"/>
        <v>0</v>
      </c>
      <c r="BF112" s="25">
        <f t="shared" si="2"/>
        <v>0</v>
      </c>
      <c r="CA112" s="16">
        <v>405.91022792599148</v>
      </c>
      <c r="CB112" s="16">
        <v>416.45220113357516</v>
      </c>
      <c r="CC112" s="16">
        <v>430.18314423750496</v>
      </c>
      <c r="CD112" s="16">
        <v>446.4138479400001</v>
      </c>
      <c r="CE112" s="16">
        <v>461.2819662902906</v>
      </c>
      <c r="CF112" s="16">
        <v>-9999</v>
      </c>
      <c r="CG112" s="16">
        <v>-9999</v>
      </c>
      <c r="CH112" s="16">
        <v>-9999</v>
      </c>
      <c r="CI112" s="16">
        <v>-9999</v>
      </c>
      <c r="CJ112" s="16">
        <v>-9999</v>
      </c>
      <c r="CK112" s="16">
        <v>-9999</v>
      </c>
      <c r="CL112" s="16">
        <v>-9999</v>
      </c>
      <c r="CM112" s="16">
        <v>-9999</v>
      </c>
      <c r="CN112" s="16">
        <v>405.91022792599148</v>
      </c>
      <c r="CO112" s="16">
        <v>416.45220113357516</v>
      </c>
      <c r="CP112" s="16">
        <v>430.32774858999994</v>
      </c>
      <c r="CQ112" s="16">
        <v>443.08221136703031</v>
      </c>
      <c r="CR112" s="16">
        <v>455.98466725532148</v>
      </c>
      <c r="CS112" s="16">
        <v>-9999</v>
      </c>
      <c r="CT112" s="16">
        <v>-9999</v>
      </c>
      <c r="CU112" s="16">
        <v>-9999</v>
      </c>
      <c r="CV112" s="16">
        <v>-9999</v>
      </c>
      <c r="CW112" s="16">
        <v>-9999</v>
      </c>
      <c r="CX112" s="16">
        <v>-9999</v>
      </c>
      <c r="CY112" s="16">
        <v>-9999</v>
      </c>
      <c r="CZ112" s="16">
        <v>-9999</v>
      </c>
      <c r="DA112" s="16">
        <v>405.91022792599148</v>
      </c>
      <c r="DB112" s="16">
        <v>416.45220113357516</v>
      </c>
      <c r="DC112" s="16">
        <v>430.18314423750496</v>
      </c>
      <c r="DD112" s="16">
        <v>446.4138479400001</v>
      </c>
      <c r="DE112" s="16">
        <v>461.2819662902906</v>
      </c>
      <c r="DF112" s="16">
        <v>-9999</v>
      </c>
      <c r="DG112" s="16">
        <v>-9999</v>
      </c>
      <c r="DH112" s="16">
        <v>-9999</v>
      </c>
      <c r="DI112" s="16">
        <v>-9999</v>
      </c>
      <c r="DJ112" s="16">
        <v>-9999</v>
      </c>
      <c r="DK112" s="16">
        <v>-9999</v>
      </c>
      <c r="DL112" s="16">
        <v>-9999</v>
      </c>
      <c r="DM112" s="16">
        <v>-9999</v>
      </c>
      <c r="DN112" s="16">
        <v>405.91022792599148</v>
      </c>
      <c r="DO112" s="16">
        <v>416.45220113357516</v>
      </c>
      <c r="DP112" s="16">
        <v>430.18314423750496</v>
      </c>
      <c r="DQ112" s="16">
        <v>446.4138479400001</v>
      </c>
      <c r="DR112" s="16">
        <v>461.2819662902906</v>
      </c>
      <c r="DS112" s="16">
        <v>-9999</v>
      </c>
      <c r="DT112" s="16">
        <v>-9999</v>
      </c>
      <c r="DU112" s="16">
        <v>-9999</v>
      </c>
      <c r="DV112" s="16">
        <v>-9999</v>
      </c>
      <c r="DW112" s="16">
        <v>-9999</v>
      </c>
      <c r="DX112" s="16">
        <v>-9999</v>
      </c>
      <c r="DY112" s="16">
        <v>-9999</v>
      </c>
      <c r="DZ112" s="16">
        <v>-9999</v>
      </c>
      <c r="EA112" s="2106">
        <v>405.91022792599148</v>
      </c>
      <c r="EB112" s="2106">
        <v>416.45220113357516</v>
      </c>
      <c r="EC112" s="2106">
        <v>430.18314423750496</v>
      </c>
      <c r="ED112" s="2106">
        <v>446.4138479400001</v>
      </c>
      <c r="EE112" s="2106">
        <v>461.22959233726021</v>
      </c>
      <c r="EF112" s="2107">
        <v>-9999</v>
      </c>
      <c r="EG112" s="2107">
        <v>-9999</v>
      </c>
      <c r="EH112" s="2107">
        <v>-9999</v>
      </c>
      <c r="EI112" s="2107">
        <v>-9999</v>
      </c>
      <c r="EJ112" s="2107">
        <v>-9999</v>
      </c>
      <c r="EK112" s="2107">
        <v>-9999</v>
      </c>
      <c r="EL112" s="2107">
        <v>-9999</v>
      </c>
      <c r="EM112" s="2107">
        <v>-9999</v>
      </c>
    </row>
    <row r="113" spans="1:143">
      <c r="A113" s="22">
        <v>13</v>
      </c>
      <c r="B113" s="30" t="s">
        <v>1998</v>
      </c>
      <c r="C113" s="25">
        <v>-9999</v>
      </c>
      <c r="D113" s="25">
        <v>-9999</v>
      </c>
      <c r="E113" s="25">
        <v>-9999</v>
      </c>
      <c r="F113" s="25">
        <v>-9999</v>
      </c>
      <c r="G113" s="25">
        <v>-9999</v>
      </c>
      <c r="H113" s="25">
        <v>-9999</v>
      </c>
      <c r="I113" s="25">
        <v>-9999</v>
      </c>
      <c r="J113" s="25">
        <v>-9999</v>
      </c>
      <c r="K113" s="25">
        <v>-9999</v>
      </c>
      <c r="L113" s="25">
        <v>-9999</v>
      </c>
      <c r="M113" s="25">
        <v>-9999</v>
      </c>
      <c r="N113" s="25">
        <v>-9999</v>
      </c>
      <c r="O113" s="25">
        <v>-9999</v>
      </c>
      <c r="P113" s="26"/>
      <c r="Q113"/>
      <c r="AA113" s="22">
        <v>13</v>
      </c>
      <c r="AB113" s="1081" t="str">
        <f t="shared" si="3"/>
        <v>FOR FUTURE USE</v>
      </c>
      <c r="AC113" s="1081">
        <f>CHOOSE(Tables!$U$2,Transfer!CA113,Transfer!CN113,Transfer!DA113,Transfer!DN113,Transfer!EA113)</f>
        <v>-9999</v>
      </c>
      <c r="AD113" s="1081">
        <f>CHOOSE(Tables!$U$2,Transfer!CB113,Transfer!CO113,Transfer!DB113,Transfer!DO113,Transfer!EB113)</f>
        <v>-9999</v>
      </c>
      <c r="AE113" s="1081">
        <f>CHOOSE(Tables!$U$2,Transfer!CC113,Transfer!CP113,Transfer!DC113,Transfer!DP113,Transfer!EC113)</f>
        <v>-9999</v>
      </c>
      <c r="AF113" s="1081">
        <f>CHOOSE(Tables!$U$2,Transfer!CD113,Transfer!CQ113,Transfer!DD113,Transfer!DQ113,Transfer!ED113)</f>
        <v>-9999</v>
      </c>
      <c r="AG113" s="1081">
        <f>CHOOSE(Tables!$U$2,Transfer!CE113,Transfer!CR113,Transfer!DE113,Transfer!DR113,Transfer!EE113)</f>
        <v>-9999</v>
      </c>
      <c r="AH113" s="1081">
        <f>CHOOSE(Tables!$U$2,Transfer!CF113,Transfer!CS113,Transfer!DF113,Transfer!DS113,Transfer!EF113)</f>
        <v>-9999</v>
      </c>
      <c r="AI113" s="1081">
        <f>CHOOSE(Tables!$U$2,Transfer!CG113,Transfer!CT113,Transfer!DG113,Transfer!DT113,Transfer!EG113)</f>
        <v>-9999</v>
      </c>
      <c r="AJ113" s="1081">
        <f>CHOOSE(Tables!$U$2,Transfer!CH113,Transfer!CU113,Transfer!DH113,Transfer!DU113,Transfer!EH113)</f>
        <v>-9999</v>
      </c>
      <c r="AK113" s="1081">
        <f>CHOOSE(Tables!$U$2,Transfer!CI113,Transfer!CV113,Transfer!DI113,Transfer!DV113,Transfer!EI113)</f>
        <v>-9999</v>
      </c>
      <c r="AL113" s="1081">
        <f>CHOOSE(Tables!$U$2,Transfer!CJ113,Transfer!CW113,Transfer!DJ113,Transfer!DW113,Transfer!EJ113)</f>
        <v>-9999</v>
      </c>
      <c r="AM113" s="1081">
        <f>CHOOSE(Tables!$U$2,Transfer!CK113,Transfer!CX113,Transfer!DK113,Transfer!DX113,Transfer!EK113)</f>
        <v>-9999</v>
      </c>
      <c r="AN113" s="1081">
        <f>CHOOSE(Tables!$U$2,Transfer!CL113,Transfer!CY113,Transfer!DL113,Transfer!DY113,Transfer!EL113)</f>
        <v>-9999</v>
      </c>
      <c r="AO113" s="1081">
        <f>CHOOSE(Tables!$U$2,Transfer!CM113,Transfer!CZ113,Transfer!DM113,Transfer!DZ113,Transfer!EM113)</f>
        <v>-9999</v>
      </c>
      <c r="AR113" s="22">
        <v>13</v>
      </c>
      <c r="AS113" s="30" t="s">
        <v>1998</v>
      </c>
      <c r="AT113" s="25">
        <f t="shared" si="2"/>
        <v>0</v>
      </c>
      <c r="AU113" s="25">
        <f t="shared" si="2"/>
        <v>0</v>
      </c>
      <c r="AV113" s="25">
        <f t="shared" si="2"/>
        <v>0</v>
      </c>
      <c r="AW113" s="25">
        <f t="shared" si="2"/>
        <v>0</v>
      </c>
      <c r="AX113" s="25">
        <f t="shared" si="2"/>
        <v>0</v>
      </c>
      <c r="AY113" s="25">
        <f t="shared" si="2"/>
        <v>0</v>
      </c>
      <c r="AZ113" s="25">
        <f t="shared" si="2"/>
        <v>0</v>
      </c>
      <c r="BA113" s="25">
        <f t="shared" si="2"/>
        <v>0</v>
      </c>
      <c r="BB113" s="25">
        <f t="shared" si="2"/>
        <v>0</v>
      </c>
      <c r="BC113" s="25">
        <f t="shared" si="2"/>
        <v>0</v>
      </c>
      <c r="BD113" s="25">
        <f t="shared" si="2"/>
        <v>0</v>
      </c>
      <c r="BE113" s="25">
        <f t="shared" si="2"/>
        <v>0</v>
      </c>
      <c r="BF113" s="25">
        <f t="shared" si="2"/>
        <v>0</v>
      </c>
      <c r="CA113" s="16">
        <v>-9999</v>
      </c>
      <c r="CB113" s="16">
        <v>-9999</v>
      </c>
      <c r="CC113" s="16">
        <v>-9999</v>
      </c>
      <c r="CD113" s="16">
        <v>-9999</v>
      </c>
      <c r="CE113" s="16">
        <v>-9999</v>
      </c>
      <c r="CF113" s="16">
        <v>-9999</v>
      </c>
      <c r="CG113" s="16">
        <v>-9999</v>
      </c>
      <c r="CH113" s="16">
        <v>-9999</v>
      </c>
      <c r="CI113" s="16">
        <v>-9999</v>
      </c>
      <c r="CJ113" s="16">
        <v>-9999</v>
      </c>
      <c r="CK113" s="16">
        <v>-9999</v>
      </c>
      <c r="CL113" s="16">
        <v>-9999</v>
      </c>
      <c r="CM113" s="16">
        <v>-9999</v>
      </c>
      <c r="CN113" s="16">
        <v>-9999</v>
      </c>
      <c r="CO113" s="16">
        <v>-9999</v>
      </c>
      <c r="CP113" s="16">
        <v>-9999</v>
      </c>
      <c r="CQ113" s="16">
        <v>-9999</v>
      </c>
      <c r="CR113" s="16">
        <v>-9999</v>
      </c>
      <c r="CS113" s="16">
        <v>-9999</v>
      </c>
      <c r="CT113" s="16">
        <v>-9999</v>
      </c>
      <c r="CU113" s="16">
        <v>-9999</v>
      </c>
      <c r="CV113" s="16">
        <v>-9999</v>
      </c>
      <c r="CW113" s="16">
        <v>-9999</v>
      </c>
      <c r="CX113" s="16">
        <v>-9999</v>
      </c>
      <c r="CY113" s="16">
        <v>-9999</v>
      </c>
      <c r="CZ113" s="16">
        <v>-9999</v>
      </c>
      <c r="DA113" s="16">
        <v>-9999</v>
      </c>
      <c r="DB113" s="16">
        <v>-9999</v>
      </c>
      <c r="DC113" s="16">
        <v>-9999</v>
      </c>
      <c r="DD113" s="16">
        <v>-9999</v>
      </c>
      <c r="DE113" s="16">
        <v>-9999</v>
      </c>
      <c r="DF113" s="16">
        <v>-9999</v>
      </c>
      <c r="DG113" s="16">
        <v>-9999</v>
      </c>
      <c r="DH113" s="16">
        <v>-9999</v>
      </c>
      <c r="DI113" s="16">
        <v>-9999</v>
      </c>
      <c r="DJ113" s="16">
        <v>-9999</v>
      </c>
      <c r="DK113" s="16">
        <v>-9999</v>
      </c>
      <c r="DL113" s="16">
        <v>-9999</v>
      </c>
      <c r="DM113" s="16">
        <v>-9999</v>
      </c>
      <c r="DN113" s="16">
        <v>-9999</v>
      </c>
      <c r="DO113" s="16">
        <v>-9999</v>
      </c>
      <c r="DP113" s="16">
        <v>-9999</v>
      </c>
      <c r="DQ113" s="16">
        <v>-9999</v>
      </c>
      <c r="DR113" s="16">
        <v>-9999</v>
      </c>
      <c r="DS113" s="16">
        <v>-9999</v>
      </c>
      <c r="DT113" s="16">
        <v>-9999</v>
      </c>
      <c r="DU113" s="16">
        <v>-9999</v>
      </c>
      <c r="DV113" s="16">
        <v>-9999</v>
      </c>
      <c r="DW113" s="16">
        <v>-9999</v>
      </c>
      <c r="DX113" s="16">
        <v>-9999</v>
      </c>
      <c r="DY113" s="16">
        <v>-9999</v>
      </c>
      <c r="DZ113" s="16">
        <v>-9999</v>
      </c>
      <c r="EA113" s="2107">
        <v>-9999</v>
      </c>
      <c r="EB113" s="2107">
        <v>-9999</v>
      </c>
      <c r="EC113" s="2107">
        <v>-9999</v>
      </c>
      <c r="ED113" s="2107">
        <v>-9999</v>
      </c>
      <c r="EE113" s="2107">
        <v>-9999</v>
      </c>
      <c r="EF113" s="2107">
        <v>-9999</v>
      </c>
      <c r="EG113" s="2107">
        <v>-9999</v>
      </c>
      <c r="EH113" s="2107">
        <v>-9999</v>
      </c>
      <c r="EI113" s="2107">
        <v>-9999</v>
      </c>
      <c r="EJ113" s="2107">
        <v>-9999</v>
      </c>
      <c r="EK113" s="2107">
        <v>-9999</v>
      </c>
      <c r="EL113" s="2107">
        <v>-9999</v>
      </c>
      <c r="EM113" s="2107">
        <v>-9999</v>
      </c>
    </row>
    <row r="114" spans="1:143">
      <c r="A114" s="22">
        <v>14</v>
      </c>
      <c r="B114" s="30" t="s">
        <v>1998</v>
      </c>
      <c r="C114" s="25">
        <v>-9999</v>
      </c>
      <c r="D114" s="25">
        <v>-9999</v>
      </c>
      <c r="E114" s="25">
        <v>-9999</v>
      </c>
      <c r="F114" s="25">
        <v>-9999</v>
      </c>
      <c r="G114" s="25">
        <v>-9999</v>
      </c>
      <c r="H114" s="25">
        <v>-9999</v>
      </c>
      <c r="I114" s="25">
        <v>-9999</v>
      </c>
      <c r="J114" s="25">
        <v>-9999</v>
      </c>
      <c r="K114" s="25">
        <v>-9999</v>
      </c>
      <c r="L114" s="25">
        <v>-9999</v>
      </c>
      <c r="M114" s="25">
        <v>-9999</v>
      </c>
      <c r="N114" s="25">
        <v>-9999</v>
      </c>
      <c r="O114" s="25">
        <v>-9999</v>
      </c>
      <c r="P114" s="26"/>
      <c r="Q114"/>
      <c r="AA114" s="22">
        <v>14</v>
      </c>
      <c r="AB114" s="1081" t="str">
        <f t="shared" si="3"/>
        <v>FOR FUTURE USE</v>
      </c>
      <c r="AC114" s="1081">
        <f>CHOOSE(Tables!$U$2,Transfer!CA114,Transfer!CN114,Transfer!DA114,Transfer!DN114,Transfer!EA114)</f>
        <v>-9999</v>
      </c>
      <c r="AD114" s="1081">
        <f>CHOOSE(Tables!$U$2,Transfer!CB114,Transfer!CO114,Transfer!DB114,Transfer!DO114,Transfer!EB114)</f>
        <v>-9999</v>
      </c>
      <c r="AE114" s="1081">
        <f>CHOOSE(Tables!$U$2,Transfer!CC114,Transfer!CP114,Transfer!DC114,Transfer!DP114,Transfer!EC114)</f>
        <v>-9999</v>
      </c>
      <c r="AF114" s="1081">
        <f>CHOOSE(Tables!$U$2,Transfer!CD114,Transfer!CQ114,Transfer!DD114,Transfer!DQ114,Transfer!ED114)</f>
        <v>-9999</v>
      </c>
      <c r="AG114" s="1081">
        <f>CHOOSE(Tables!$U$2,Transfer!CE114,Transfer!CR114,Transfer!DE114,Transfer!DR114,Transfer!EE114)</f>
        <v>-9999</v>
      </c>
      <c r="AH114" s="1081">
        <f>CHOOSE(Tables!$U$2,Transfer!CF114,Transfer!CS114,Transfer!DF114,Transfer!DS114,Transfer!EF114)</f>
        <v>-9999</v>
      </c>
      <c r="AI114" s="1081">
        <f>CHOOSE(Tables!$U$2,Transfer!CG114,Transfer!CT114,Transfer!DG114,Transfer!DT114,Transfer!EG114)</f>
        <v>-9999</v>
      </c>
      <c r="AJ114" s="1081">
        <f>CHOOSE(Tables!$U$2,Transfer!CH114,Transfer!CU114,Transfer!DH114,Transfer!DU114,Transfer!EH114)</f>
        <v>-9999</v>
      </c>
      <c r="AK114" s="1081">
        <f>CHOOSE(Tables!$U$2,Transfer!CI114,Transfer!CV114,Transfer!DI114,Transfer!DV114,Transfer!EI114)</f>
        <v>-9999</v>
      </c>
      <c r="AL114" s="1081">
        <f>CHOOSE(Tables!$U$2,Transfer!CJ114,Transfer!CW114,Transfer!DJ114,Transfer!DW114,Transfer!EJ114)</f>
        <v>-9999</v>
      </c>
      <c r="AM114" s="1081">
        <f>CHOOSE(Tables!$U$2,Transfer!CK114,Transfer!CX114,Transfer!DK114,Transfer!DX114,Transfer!EK114)</f>
        <v>-9999</v>
      </c>
      <c r="AN114" s="1081">
        <f>CHOOSE(Tables!$U$2,Transfer!CL114,Transfer!CY114,Transfer!DL114,Transfer!DY114,Transfer!EL114)</f>
        <v>-9999</v>
      </c>
      <c r="AO114" s="1081">
        <f>CHOOSE(Tables!$U$2,Transfer!CM114,Transfer!CZ114,Transfer!DM114,Transfer!DZ114,Transfer!EM114)</f>
        <v>-9999</v>
      </c>
      <c r="AR114" s="22">
        <v>14</v>
      </c>
      <c r="AS114" s="30" t="s">
        <v>1998</v>
      </c>
      <c r="AT114" s="25">
        <f t="shared" si="2"/>
        <v>0</v>
      </c>
      <c r="AU114" s="25">
        <f t="shared" si="2"/>
        <v>0</v>
      </c>
      <c r="AV114" s="25">
        <f t="shared" si="2"/>
        <v>0</v>
      </c>
      <c r="AW114" s="25">
        <f t="shared" si="2"/>
        <v>0</v>
      </c>
      <c r="AX114" s="25">
        <f t="shared" si="2"/>
        <v>0</v>
      </c>
      <c r="AY114" s="25">
        <f t="shared" si="2"/>
        <v>0</v>
      </c>
      <c r="AZ114" s="25">
        <f t="shared" si="2"/>
        <v>0</v>
      </c>
      <c r="BA114" s="25">
        <f t="shared" si="2"/>
        <v>0</v>
      </c>
      <c r="BB114" s="25">
        <f t="shared" si="2"/>
        <v>0</v>
      </c>
      <c r="BC114" s="25">
        <f t="shared" si="2"/>
        <v>0</v>
      </c>
      <c r="BD114" s="25">
        <f t="shared" si="2"/>
        <v>0</v>
      </c>
      <c r="BE114" s="25">
        <f t="shared" si="2"/>
        <v>0</v>
      </c>
      <c r="BF114" s="25">
        <f t="shared" si="2"/>
        <v>0</v>
      </c>
      <c r="CA114" s="16">
        <v>-9999</v>
      </c>
      <c r="CB114" s="16">
        <v>-9999</v>
      </c>
      <c r="CC114" s="16">
        <v>-9999</v>
      </c>
      <c r="CD114" s="16">
        <v>-9999</v>
      </c>
      <c r="CE114" s="16">
        <v>-9999</v>
      </c>
      <c r="CF114" s="16">
        <v>-9999</v>
      </c>
      <c r="CG114" s="16">
        <v>-9999</v>
      </c>
      <c r="CH114" s="16">
        <v>-9999</v>
      </c>
      <c r="CI114" s="16">
        <v>-9999</v>
      </c>
      <c r="CJ114" s="16">
        <v>-9999</v>
      </c>
      <c r="CK114" s="16">
        <v>-9999</v>
      </c>
      <c r="CL114" s="16">
        <v>-9999</v>
      </c>
      <c r="CM114" s="16">
        <v>-9999</v>
      </c>
      <c r="CN114" s="16">
        <v>-9999</v>
      </c>
      <c r="CO114" s="16">
        <v>-9999</v>
      </c>
      <c r="CP114" s="16">
        <v>-9999</v>
      </c>
      <c r="CQ114" s="16">
        <v>-9999</v>
      </c>
      <c r="CR114" s="16">
        <v>-9999</v>
      </c>
      <c r="CS114" s="16">
        <v>-9999</v>
      </c>
      <c r="CT114" s="16">
        <v>-9999</v>
      </c>
      <c r="CU114" s="16">
        <v>-9999</v>
      </c>
      <c r="CV114" s="16">
        <v>-9999</v>
      </c>
      <c r="CW114" s="16">
        <v>-9999</v>
      </c>
      <c r="CX114" s="16">
        <v>-9999</v>
      </c>
      <c r="CY114" s="16">
        <v>-9999</v>
      </c>
      <c r="CZ114" s="16">
        <v>-9999</v>
      </c>
      <c r="DA114" s="16">
        <v>-9999</v>
      </c>
      <c r="DB114" s="16">
        <v>-9999</v>
      </c>
      <c r="DC114" s="16">
        <v>-9999</v>
      </c>
      <c r="DD114" s="16">
        <v>-9999</v>
      </c>
      <c r="DE114" s="16">
        <v>-9999</v>
      </c>
      <c r="DF114" s="16">
        <v>-9999</v>
      </c>
      <c r="DG114" s="16">
        <v>-9999</v>
      </c>
      <c r="DH114" s="16">
        <v>-9999</v>
      </c>
      <c r="DI114" s="16">
        <v>-9999</v>
      </c>
      <c r="DJ114" s="16">
        <v>-9999</v>
      </c>
      <c r="DK114" s="16">
        <v>-9999</v>
      </c>
      <c r="DL114" s="16">
        <v>-9999</v>
      </c>
      <c r="DM114" s="16">
        <v>-9999</v>
      </c>
      <c r="DN114" s="16">
        <v>-9999</v>
      </c>
      <c r="DO114" s="16">
        <v>-9999</v>
      </c>
      <c r="DP114" s="16">
        <v>-9999</v>
      </c>
      <c r="DQ114" s="16">
        <v>-9999</v>
      </c>
      <c r="DR114" s="16">
        <v>-9999</v>
      </c>
      <c r="DS114" s="16">
        <v>-9999</v>
      </c>
      <c r="DT114" s="16">
        <v>-9999</v>
      </c>
      <c r="DU114" s="16">
        <v>-9999</v>
      </c>
      <c r="DV114" s="16">
        <v>-9999</v>
      </c>
      <c r="DW114" s="16">
        <v>-9999</v>
      </c>
      <c r="DX114" s="16">
        <v>-9999</v>
      </c>
      <c r="DY114" s="16">
        <v>-9999</v>
      </c>
      <c r="DZ114" s="16">
        <v>-9999</v>
      </c>
      <c r="EA114" s="2107">
        <v>-9999</v>
      </c>
      <c r="EB114" s="2107">
        <v>-9999</v>
      </c>
      <c r="EC114" s="2107">
        <v>-9999</v>
      </c>
      <c r="ED114" s="2107">
        <v>-9999</v>
      </c>
      <c r="EE114" s="2107">
        <v>-9999</v>
      </c>
      <c r="EF114" s="2107">
        <v>-9999</v>
      </c>
      <c r="EG114" s="2107">
        <v>-9999</v>
      </c>
      <c r="EH114" s="2107">
        <v>-9999</v>
      </c>
      <c r="EI114" s="2107">
        <v>-9999</v>
      </c>
      <c r="EJ114" s="2107">
        <v>-9999</v>
      </c>
      <c r="EK114" s="2107">
        <v>-9999</v>
      </c>
      <c r="EL114" s="2107">
        <v>-9999</v>
      </c>
      <c r="EM114" s="2107">
        <v>-9999</v>
      </c>
    </row>
    <row r="115" spans="1:143">
      <c r="A115" s="22">
        <v>15</v>
      </c>
      <c r="B115" s="27" t="s">
        <v>1317</v>
      </c>
      <c r="C115" s="25">
        <v>-9999</v>
      </c>
      <c r="D115" s="1081">
        <f ca="1">OFFSET('Q1'!G6,0,(Last_forecast_year - 3-InputY!$G$3)*4+4)</f>
        <v>0.35321821036107259</v>
      </c>
      <c r="E115" s="1081">
        <f ca="1">OFFSET('Q1'!H6,0,(Last_forecast_year - 3-InputY!$G$3)*4+4)</f>
        <v>0.42460472652101622</v>
      </c>
      <c r="F115" s="1081">
        <f ca="1">OFFSET('Q1'!I6,0,(Last_forecast_year - 3-InputY!$G$3)*4+4)</f>
        <v>0.20213259156236507</v>
      </c>
      <c r="G115" s="1081">
        <f ca="1">OFFSET('Q1'!J6,0,(Last_forecast_year - 3-InputY!$G$3)*4+4)</f>
        <v>0.14435355516897452</v>
      </c>
      <c r="H115" s="1081">
        <f ca="1">OFFSET('Q1'!K6,0,(Last_forecast_year - 3-InputY!$G$3)*4+4)</f>
        <v>0.53</v>
      </c>
      <c r="I115" s="1081">
        <f ca="1">OFFSET('Q1'!L6,0,(Last_forecast_year - 3-InputY!$G$3)*4+4)</f>
        <v>0.53</v>
      </c>
      <c r="J115" s="1081">
        <f ca="1">OFFSET('Q1'!M6,0,(Last_forecast_year - 3-InputY!$G$3)*4+4)</f>
        <v>0.53</v>
      </c>
      <c r="K115" s="1081">
        <f ca="1">OFFSET('Q1'!N6,0,(Last_forecast_year - 3-InputY!$G$3)*4+4)</f>
        <v>0.53</v>
      </c>
      <c r="L115" s="1081">
        <f ca="1">OFFSET('Q1'!O6,0,(Last_forecast_year - 3-InputY!$G$3)*4+4)</f>
        <v>0.38500000000000001</v>
      </c>
      <c r="M115" s="1081">
        <f ca="1">OFFSET('Q1'!P6,0,(Last_forecast_year - 3-InputY!$G$3)*4+4)</f>
        <v>0.38</v>
      </c>
      <c r="N115" s="1081">
        <f ca="1">OFFSET('Q1'!Q6,0,(Last_forecast_year - 3-InputY!$G$3)*4+4)</f>
        <v>0.38</v>
      </c>
      <c r="O115" s="1081">
        <f ca="1">OFFSET('Q1'!R6,0,(Last_forecast_year - 3-InputY!$G$3)*4+4)</f>
        <v>0.38</v>
      </c>
      <c r="P115" s="26"/>
      <c r="Q115"/>
      <c r="AA115" s="22">
        <v>15</v>
      </c>
      <c r="AB115" s="1081" t="str">
        <f t="shared" si="3"/>
        <v>QUART. VOL. PRIV. CONS. EXP. (cols 2-13)</v>
      </c>
      <c r="AC115" s="1081">
        <f>CHOOSE(Tables!$U$2,Transfer!CA115,Transfer!CN115,Transfer!DA115,Transfer!DN115,Transfer!EA115)</f>
        <v>-9999</v>
      </c>
      <c r="AD115" s="1081">
        <f>CHOOSE(Tables!$U$2,Transfer!CB115,Transfer!CO115,Transfer!DB115,Transfer!DO115,Transfer!EB115)</f>
        <v>0.35321821036107259</v>
      </c>
      <c r="AE115" s="1081">
        <f>CHOOSE(Tables!$U$2,Transfer!CC115,Transfer!CP115,Transfer!DC115,Transfer!DP115,Transfer!EC115)</f>
        <v>0.42460472652101622</v>
      </c>
      <c r="AF115" s="1081">
        <f>CHOOSE(Tables!$U$2,Transfer!CD115,Transfer!CQ115,Transfer!DD115,Transfer!DQ115,Transfer!ED115)</f>
        <v>0.20213259156236507</v>
      </c>
      <c r="AG115" s="1081">
        <f>CHOOSE(Tables!$U$2,Transfer!CE115,Transfer!CR115,Transfer!DE115,Transfer!DR115,Transfer!EE115)</f>
        <v>0.14435355516897452</v>
      </c>
      <c r="AH115" s="1081">
        <f>CHOOSE(Tables!$U$2,Transfer!CF115,Transfer!CS115,Transfer!DF115,Transfer!DS115,Transfer!EF115)</f>
        <v>0.53</v>
      </c>
      <c r="AI115" s="1081">
        <f>CHOOSE(Tables!$U$2,Transfer!CG115,Transfer!CT115,Transfer!DG115,Transfer!DT115,Transfer!EG115)</f>
        <v>0.53</v>
      </c>
      <c r="AJ115" s="1081">
        <f>CHOOSE(Tables!$U$2,Transfer!CH115,Transfer!CU115,Transfer!DH115,Transfer!DU115,Transfer!EH115)</f>
        <v>0.53</v>
      </c>
      <c r="AK115" s="1081">
        <f>CHOOSE(Tables!$U$2,Transfer!CI115,Transfer!CV115,Transfer!DI115,Transfer!DV115,Transfer!EI115)</f>
        <v>0.53</v>
      </c>
      <c r="AL115" s="1081">
        <f>CHOOSE(Tables!$U$2,Transfer!CJ115,Transfer!CW115,Transfer!DJ115,Transfer!DW115,Transfer!EJ115)</f>
        <v>0.38500000000000001</v>
      </c>
      <c r="AM115" s="1081">
        <f>CHOOSE(Tables!$U$2,Transfer!CK115,Transfer!CX115,Transfer!DK115,Transfer!DX115,Transfer!EK115)</f>
        <v>0.38</v>
      </c>
      <c r="AN115" s="1081">
        <f>CHOOSE(Tables!$U$2,Transfer!CL115,Transfer!CY115,Transfer!DL115,Transfer!DY115,Transfer!EL115)</f>
        <v>0.38</v>
      </c>
      <c r="AO115" s="1081">
        <f>CHOOSE(Tables!$U$2,Transfer!CM115,Transfer!CZ115,Transfer!DM115,Transfer!DZ115,Transfer!EM115)</f>
        <v>0.38</v>
      </c>
      <c r="AR115" s="22">
        <v>15</v>
      </c>
      <c r="AS115" s="27" t="s">
        <v>1317</v>
      </c>
      <c r="AT115" s="25">
        <f t="shared" si="2"/>
        <v>0</v>
      </c>
      <c r="AU115" s="1081">
        <f t="shared" ca="1" si="2"/>
        <v>0</v>
      </c>
      <c r="AV115" s="1081">
        <f t="shared" ca="1" si="2"/>
        <v>0</v>
      </c>
      <c r="AW115" s="1081">
        <f t="shared" ca="1" si="2"/>
        <v>0</v>
      </c>
      <c r="AX115" s="1081">
        <f t="shared" ca="1" si="2"/>
        <v>0</v>
      </c>
      <c r="AY115" s="1081">
        <f t="shared" ca="1" si="2"/>
        <v>0</v>
      </c>
      <c r="AZ115" s="1081">
        <f t="shared" ca="1" si="2"/>
        <v>0</v>
      </c>
      <c r="BA115" s="1081">
        <f t="shared" ca="1" si="2"/>
        <v>0</v>
      </c>
      <c r="BB115" s="1081">
        <f t="shared" ca="1" si="2"/>
        <v>0</v>
      </c>
      <c r="BC115" s="1081">
        <f t="shared" ca="1" si="2"/>
        <v>0</v>
      </c>
      <c r="BD115" s="1081">
        <f t="shared" ca="1" si="2"/>
        <v>0</v>
      </c>
      <c r="BE115" s="1081">
        <f t="shared" ca="1" si="2"/>
        <v>0</v>
      </c>
      <c r="BF115" s="1081">
        <f t="shared" ca="1" si="2"/>
        <v>0</v>
      </c>
      <c r="CA115" s="16">
        <v>-9999</v>
      </c>
      <c r="CB115" s="16">
        <v>0.35321821036107259</v>
      </c>
      <c r="CC115" s="16">
        <v>0.42460472652101622</v>
      </c>
      <c r="CD115" s="16">
        <v>0.20213259156236507</v>
      </c>
      <c r="CE115" s="16">
        <v>0.14435355516897452</v>
      </c>
      <c r="CF115" s="16">
        <v>0.53</v>
      </c>
      <c r="CG115" s="16">
        <v>0.53</v>
      </c>
      <c r="CH115" s="16">
        <v>0.53</v>
      </c>
      <c r="CI115" s="16">
        <v>0.53</v>
      </c>
      <c r="CJ115" s="16">
        <v>0.38500000000000001</v>
      </c>
      <c r="CK115" s="16">
        <v>0.38</v>
      </c>
      <c r="CL115" s="16">
        <v>0.38</v>
      </c>
      <c r="CM115" s="16">
        <v>0.38</v>
      </c>
      <c r="CN115" s="16">
        <v>-9999</v>
      </c>
      <c r="CO115" s="16">
        <v>0.3476115721013695</v>
      </c>
      <c r="CP115" s="16">
        <v>0.42090363914031315</v>
      </c>
      <c r="CQ115" s="16">
        <v>0.18175074183977014</v>
      </c>
      <c r="CR115" s="16">
        <v>0.35</v>
      </c>
      <c r="CS115" s="16">
        <v>0.5</v>
      </c>
      <c r="CT115" s="16">
        <v>0.5</v>
      </c>
      <c r="CU115" s="16">
        <v>0.5</v>
      </c>
      <c r="CV115" s="16">
        <v>0.5</v>
      </c>
      <c r="CW115" s="16">
        <v>0.5</v>
      </c>
      <c r="CX115" s="16">
        <v>0.6</v>
      </c>
      <c r="CY115" s="16">
        <v>0.65</v>
      </c>
      <c r="CZ115" s="16">
        <v>0.65</v>
      </c>
      <c r="DA115" s="16">
        <v>-9999</v>
      </c>
      <c r="DB115" s="16">
        <v>0.35321821036107259</v>
      </c>
      <c r="DC115" s="16">
        <v>0.42460472652101622</v>
      </c>
      <c r="DD115" s="16">
        <v>0.20213259156236507</v>
      </c>
      <c r="DE115" s="16">
        <v>0.14435355516897452</v>
      </c>
      <c r="DF115" s="16">
        <v>0.53</v>
      </c>
      <c r="DG115" s="16">
        <v>0.53</v>
      </c>
      <c r="DH115" s="16">
        <v>0.53</v>
      </c>
      <c r="DI115" s="16">
        <v>0.53</v>
      </c>
      <c r="DJ115" s="16">
        <v>0.38500000000000001</v>
      </c>
      <c r="DK115" s="16">
        <v>0.38</v>
      </c>
      <c r="DL115" s="16">
        <v>0.38</v>
      </c>
      <c r="DM115" s="16">
        <v>0.38</v>
      </c>
      <c r="DN115" s="16">
        <v>-9999</v>
      </c>
      <c r="DO115" s="16">
        <v>0.35321821036107259</v>
      </c>
      <c r="DP115" s="16">
        <v>0.42460472652101622</v>
      </c>
      <c r="DQ115" s="16">
        <v>0.20213259156236507</v>
      </c>
      <c r="DR115" s="16">
        <v>0.14435355516897452</v>
      </c>
      <c r="DS115" s="16">
        <v>0.53</v>
      </c>
      <c r="DT115" s="16">
        <v>0.53</v>
      </c>
      <c r="DU115" s="16">
        <v>0.53</v>
      </c>
      <c r="DV115" s="16">
        <v>0.53</v>
      </c>
      <c r="DW115" s="16">
        <v>0.38500000000000001</v>
      </c>
      <c r="DX115" s="16">
        <v>0.38</v>
      </c>
      <c r="DY115" s="16">
        <v>0.38</v>
      </c>
      <c r="DZ115" s="16">
        <v>0.38</v>
      </c>
      <c r="EA115" s="2107">
        <v>-9999</v>
      </c>
      <c r="EB115" s="2106">
        <v>0.35321821036107259</v>
      </c>
      <c r="EC115" s="2106">
        <v>0.42460472652101622</v>
      </c>
      <c r="ED115" s="2106">
        <v>0.20213259156236507</v>
      </c>
      <c r="EE115" s="2106">
        <v>0.14435355516897452</v>
      </c>
      <c r="EF115" s="2106">
        <v>0.53</v>
      </c>
      <c r="EG115" s="2106">
        <v>0.53</v>
      </c>
      <c r="EH115" s="2106">
        <v>0.53</v>
      </c>
      <c r="EI115" s="2106">
        <v>0.53</v>
      </c>
      <c r="EJ115" s="2106">
        <v>0.38500000000000001</v>
      </c>
      <c r="EK115" s="2106">
        <v>0.38</v>
      </c>
      <c r="EL115" s="2106">
        <v>0.38</v>
      </c>
      <c r="EM115" s="2106">
        <v>0.38</v>
      </c>
    </row>
    <row r="116" spans="1:143">
      <c r="A116" s="22">
        <v>16</v>
      </c>
      <c r="B116" s="27" t="s">
        <v>1386</v>
      </c>
      <c r="C116" s="25">
        <v>-9999</v>
      </c>
      <c r="D116" s="1081">
        <f ca="1">OFFSET('Q1'!G7,0,(Last_forecast_year - 3-InputY!$G$3)*4+4)</f>
        <v>-0.24552223787482896</v>
      </c>
      <c r="E116" s="1081">
        <f ca="1">OFFSET('Q1'!H7,0,(Last_forecast_year - 3-InputY!$G$3)*4+4)</f>
        <v>0.32682375726273971</v>
      </c>
      <c r="F116" s="1081">
        <f ca="1">OFFSET('Q1'!I7,0,(Last_forecast_year - 3-InputY!$G$3)*4+4)</f>
        <v>0.41423687914741159</v>
      </c>
      <c r="G116" s="1081">
        <f ca="1">OFFSET('Q1'!J7,0,(Last_forecast_year - 3-InputY!$G$3)*4+4)</f>
        <v>0.74495354053187857</v>
      </c>
      <c r="H116" s="1081">
        <f ca="1">OFFSET('Q1'!K7,0,(Last_forecast_year - 3-InputY!$G$3)*4+4)</f>
        <v>-0.26</v>
      </c>
      <c r="I116" s="1081">
        <f ca="1">OFFSET('Q1'!L7,0,(Last_forecast_year - 3-InputY!$G$3)*4+4)</f>
        <v>-0.26</v>
      </c>
      <c r="J116" s="1081">
        <f ca="1">OFFSET('Q1'!M7,0,(Last_forecast_year - 3-InputY!$G$3)*4+4)</f>
        <v>-0.26</v>
      </c>
      <c r="K116" s="1081">
        <f ca="1">OFFSET('Q1'!N7,0,(Last_forecast_year - 3-InputY!$G$3)*4+4)</f>
        <v>-0.26</v>
      </c>
      <c r="L116" s="1081">
        <f ca="1">OFFSET('Q1'!O7,0,(Last_forecast_year - 3-InputY!$G$3)*4+4)</f>
        <v>0.6</v>
      </c>
      <c r="M116" s="1081">
        <f ca="1">OFFSET('Q1'!P7,0,(Last_forecast_year - 3-InputY!$G$3)*4+4)</f>
        <v>0.6</v>
      </c>
      <c r="N116" s="1081">
        <f ca="1">OFFSET('Q1'!Q7,0,(Last_forecast_year - 3-InputY!$G$3)*4+4)</f>
        <v>0.6</v>
      </c>
      <c r="O116" s="1081">
        <f ca="1">OFFSET('Q1'!R7,0,(Last_forecast_year - 3-InputY!$G$3)*4+4)</f>
        <v>0.6</v>
      </c>
      <c r="P116" s="26"/>
      <c r="Q116"/>
      <c r="AA116" s="22">
        <v>16</v>
      </c>
      <c r="AB116" s="1081" t="str">
        <f t="shared" si="3"/>
        <v>QUART. VOL. GVMNT CONS. EXP. (cols 2-13)</v>
      </c>
      <c r="AC116" s="1081">
        <f>CHOOSE(Tables!$U$2,Transfer!CA116,Transfer!CN116,Transfer!DA116,Transfer!DN116,Transfer!EA116)</f>
        <v>-9999</v>
      </c>
      <c r="AD116" s="1081">
        <f>CHOOSE(Tables!$U$2,Transfer!CB116,Transfer!CO116,Transfer!DB116,Transfer!DO116,Transfer!EB116)</f>
        <v>-0.24552223787482896</v>
      </c>
      <c r="AE116" s="1081">
        <f>CHOOSE(Tables!$U$2,Transfer!CC116,Transfer!CP116,Transfer!DC116,Transfer!DP116,Transfer!EC116)</f>
        <v>0.32682375726273971</v>
      </c>
      <c r="AF116" s="1081">
        <f>CHOOSE(Tables!$U$2,Transfer!CD116,Transfer!CQ116,Transfer!DD116,Transfer!DQ116,Transfer!ED116)</f>
        <v>0.41423687914741159</v>
      </c>
      <c r="AG116" s="1081">
        <f>CHOOSE(Tables!$U$2,Transfer!CE116,Transfer!CR116,Transfer!DE116,Transfer!DR116,Transfer!EE116)</f>
        <v>0.74495354053187857</v>
      </c>
      <c r="AH116" s="1081">
        <f>CHOOSE(Tables!$U$2,Transfer!CF116,Transfer!CS116,Transfer!DF116,Transfer!DS116,Transfer!EF116)</f>
        <v>-0.26</v>
      </c>
      <c r="AI116" s="1081">
        <f>CHOOSE(Tables!$U$2,Transfer!CG116,Transfer!CT116,Transfer!DG116,Transfer!DT116,Transfer!EG116)</f>
        <v>-0.26</v>
      </c>
      <c r="AJ116" s="1081">
        <f>CHOOSE(Tables!$U$2,Transfer!CH116,Transfer!CU116,Transfer!DH116,Transfer!DU116,Transfer!EH116)</f>
        <v>-0.26</v>
      </c>
      <c r="AK116" s="1081">
        <f>CHOOSE(Tables!$U$2,Transfer!CI116,Transfer!CV116,Transfer!DI116,Transfer!DV116,Transfer!EI116)</f>
        <v>-0.26</v>
      </c>
      <c r="AL116" s="1081">
        <f>CHOOSE(Tables!$U$2,Transfer!CJ116,Transfer!CW116,Transfer!DJ116,Transfer!DW116,Transfer!EJ116)</f>
        <v>0.6</v>
      </c>
      <c r="AM116" s="1081">
        <f>CHOOSE(Tables!$U$2,Transfer!CK116,Transfer!CX116,Transfer!DK116,Transfer!DX116,Transfer!EK116)</f>
        <v>0.6</v>
      </c>
      <c r="AN116" s="1081">
        <f>CHOOSE(Tables!$U$2,Transfer!CL116,Transfer!CY116,Transfer!DL116,Transfer!DY116,Transfer!EL116)</f>
        <v>0.6</v>
      </c>
      <c r="AO116" s="1081">
        <f>CHOOSE(Tables!$U$2,Transfer!CM116,Transfer!CZ116,Transfer!DM116,Transfer!DZ116,Transfer!EM116)</f>
        <v>0.6</v>
      </c>
      <c r="AR116" s="22">
        <v>16</v>
      </c>
      <c r="AS116" s="27" t="s">
        <v>1386</v>
      </c>
      <c r="AT116" s="25">
        <f t="shared" si="2"/>
        <v>0</v>
      </c>
      <c r="AU116" s="1081">
        <f t="shared" ca="1" si="2"/>
        <v>0</v>
      </c>
      <c r="AV116" s="1081">
        <f t="shared" ca="1" si="2"/>
        <v>0</v>
      </c>
      <c r="AW116" s="1081">
        <f t="shared" ca="1" si="2"/>
        <v>0</v>
      </c>
      <c r="AX116" s="1081">
        <f t="shared" ca="1" si="2"/>
        <v>0</v>
      </c>
      <c r="AY116" s="1081">
        <f t="shared" ca="1" si="2"/>
        <v>0</v>
      </c>
      <c r="AZ116" s="1081">
        <f t="shared" ca="1" si="2"/>
        <v>0</v>
      </c>
      <c r="BA116" s="1081">
        <f t="shared" ca="1" si="2"/>
        <v>0</v>
      </c>
      <c r="BB116" s="1081">
        <f t="shared" ca="1" si="2"/>
        <v>0</v>
      </c>
      <c r="BC116" s="1081">
        <f t="shared" ca="1" si="2"/>
        <v>0</v>
      </c>
      <c r="BD116" s="1081">
        <f t="shared" ca="1" si="2"/>
        <v>0</v>
      </c>
      <c r="BE116" s="1081">
        <f t="shared" ca="1" si="2"/>
        <v>0</v>
      </c>
      <c r="BF116" s="1081">
        <f t="shared" ca="1" si="2"/>
        <v>0</v>
      </c>
      <c r="CA116" s="16">
        <v>-9999</v>
      </c>
      <c r="CB116" s="16">
        <v>-0.24552223787482896</v>
      </c>
      <c r="CC116" s="16">
        <v>0.32682375726273971</v>
      </c>
      <c r="CD116" s="16">
        <v>0.41423687914741159</v>
      </c>
      <c r="CE116" s="16">
        <v>0.74495354053187857</v>
      </c>
      <c r="CF116" s="16">
        <v>-0.26</v>
      </c>
      <c r="CG116" s="16">
        <v>-0.26</v>
      </c>
      <c r="CH116" s="16">
        <v>-0.26</v>
      </c>
      <c r="CI116" s="16">
        <v>-0.26</v>
      </c>
      <c r="CJ116" s="16">
        <v>0.6</v>
      </c>
      <c r="CK116" s="16">
        <v>0.6</v>
      </c>
      <c r="CL116" s="16">
        <v>0.6</v>
      </c>
      <c r="CM116" s="16">
        <v>0.6</v>
      </c>
      <c r="CN116" s="16">
        <v>-9999</v>
      </c>
      <c r="CO116" s="16">
        <v>-0.18514791708592604</v>
      </c>
      <c r="CP116" s="16">
        <v>0.34678817694262509</v>
      </c>
      <c r="CQ116" s="16">
        <v>-0.16475788627687837</v>
      </c>
      <c r="CR116" s="16">
        <v>0.6</v>
      </c>
      <c r="CS116" s="16">
        <v>-0.3</v>
      </c>
      <c r="CT116" s="16">
        <v>-0.1</v>
      </c>
      <c r="CU116" s="16">
        <v>0.35</v>
      </c>
      <c r="CV116" s="16">
        <v>0.4</v>
      </c>
      <c r="CW116" s="16">
        <v>-0.1</v>
      </c>
      <c r="CX116" s="16">
        <v>0.15</v>
      </c>
      <c r="CY116" s="16">
        <v>-0.25</v>
      </c>
      <c r="CZ116" s="16">
        <v>-0.3</v>
      </c>
      <c r="DA116" s="16">
        <v>-9999</v>
      </c>
      <c r="DB116" s="16">
        <v>-0.24552223787482896</v>
      </c>
      <c r="DC116" s="16">
        <v>0.32682375726273971</v>
      </c>
      <c r="DD116" s="16">
        <v>0.41423687914741159</v>
      </c>
      <c r="DE116" s="16">
        <v>0.74495354053187857</v>
      </c>
      <c r="DF116" s="16">
        <v>-0.26</v>
      </c>
      <c r="DG116" s="16">
        <v>-0.26</v>
      </c>
      <c r="DH116" s="16">
        <v>-0.26</v>
      </c>
      <c r="DI116" s="16">
        <v>-0.26</v>
      </c>
      <c r="DJ116" s="16">
        <v>0.6</v>
      </c>
      <c r="DK116" s="16">
        <v>0.6</v>
      </c>
      <c r="DL116" s="16">
        <v>0.6</v>
      </c>
      <c r="DM116" s="16">
        <v>0.6</v>
      </c>
      <c r="DN116" s="16">
        <v>-9999</v>
      </c>
      <c r="DO116" s="16">
        <v>-0.24552223787482896</v>
      </c>
      <c r="DP116" s="16">
        <v>0.32682375726273971</v>
      </c>
      <c r="DQ116" s="16">
        <v>0.41423687914741159</v>
      </c>
      <c r="DR116" s="16">
        <v>0.74495354053187857</v>
      </c>
      <c r="DS116" s="16">
        <v>-0.26</v>
      </c>
      <c r="DT116" s="16">
        <v>-0.26</v>
      </c>
      <c r="DU116" s="16">
        <v>-0.26</v>
      </c>
      <c r="DV116" s="16">
        <v>-0.26</v>
      </c>
      <c r="DW116" s="16">
        <v>0.6</v>
      </c>
      <c r="DX116" s="16">
        <v>0.6</v>
      </c>
      <c r="DY116" s="16">
        <v>0.6</v>
      </c>
      <c r="DZ116" s="16">
        <v>0.6</v>
      </c>
      <c r="EA116" s="2107">
        <v>-9999</v>
      </c>
      <c r="EB116" s="2106">
        <v>-0.24552223787482896</v>
      </c>
      <c r="EC116" s="2106">
        <v>0.32682375726273971</v>
      </c>
      <c r="ED116" s="2106">
        <v>0.41423687914741159</v>
      </c>
      <c r="EE116" s="2106">
        <v>0.74495354053187857</v>
      </c>
      <c r="EF116" s="2106">
        <v>-0.26</v>
      </c>
      <c r="EG116" s="2106">
        <v>-0.26</v>
      </c>
      <c r="EH116" s="2106">
        <v>-0.26</v>
      </c>
      <c r="EI116" s="2106">
        <v>-0.26</v>
      </c>
      <c r="EJ116" s="2106">
        <v>0.6</v>
      </c>
      <c r="EK116" s="2106">
        <v>0.6</v>
      </c>
      <c r="EL116" s="2106">
        <v>0.6</v>
      </c>
      <c r="EM116" s="2106">
        <v>0.6</v>
      </c>
    </row>
    <row r="117" spans="1:143">
      <c r="A117" s="22">
        <v>17</v>
      </c>
      <c r="B117" s="31" t="s">
        <v>1387</v>
      </c>
      <c r="C117" s="25">
        <v>-9999</v>
      </c>
      <c r="D117" s="1081">
        <f ca="1">OFFSET('Q1'!G8,0,(Last_forecast_year - 3-InputY!$G$3)*4+4)</f>
        <v>0.19964146023467855</v>
      </c>
      <c r="E117" s="1081">
        <f ca="1">OFFSET('Q1'!H8,0,(Last_forecast_year - 3-InputY!$G$3)*4+4)</f>
        <v>0.87423250518439133</v>
      </c>
      <c r="F117" s="1081">
        <f ca="1">OFFSET('Q1'!I8,0,(Last_forecast_year - 3-InputY!$G$3)*4+4)</f>
        <v>1.1528539180909458</v>
      </c>
      <c r="G117" s="1081">
        <f ca="1">OFFSET('Q1'!J8,0,(Last_forecast_year - 3-InputY!$G$3)*4+4)</f>
        <v>7.9700326771403596E-3</v>
      </c>
      <c r="H117" s="1081">
        <f ca="1">OFFSET('Q1'!K8,0,(Last_forecast_year - 3-InputY!$G$3)*4+4)</f>
        <v>1.2118664328976569</v>
      </c>
      <c r="I117" s="1081">
        <f ca="1">OFFSET('Q1'!L8,0,(Last_forecast_year - 3-InputY!$G$3)*4+4)</f>
        <v>1.2674108360862801</v>
      </c>
      <c r="J117" s="1081">
        <f ca="1">OFFSET('Q1'!M8,0,(Last_forecast_year - 3-InputY!$G$3)*4+4)</f>
        <v>1.2693063030658314</v>
      </c>
      <c r="K117" s="1081">
        <f ca="1">OFFSET('Q1'!N8,0,(Last_forecast_year - 3-InputY!$G$3)*4+4)</f>
        <v>1.271196260444496</v>
      </c>
      <c r="L117" s="1081">
        <f ca="1">OFFSET('Q1'!O8,0,(Last_forecast_year - 3-InputY!$G$3)*4+4)</f>
        <v>0.35075487953128981</v>
      </c>
      <c r="M117" s="1081">
        <f ca="1">OFFSET('Q1'!P8,0,(Last_forecast_year - 3-InputY!$G$3)*4+4)</f>
        <v>0.35125009969576571</v>
      </c>
      <c r="N117" s="1081">
        <f ca="1">OFFSET('Q1'!Q8,0,(Last_forecast_year - 3-InputY!$G$3)*4+4)</f>
        <v>0.26876027108759803</v>
      </c>
      <c r="O117" s="1081">
        <f ca="1">OFFSET('Q1'!R8,0,(Last_forecast_year - 3-InputY!$G$3)*4+4)</f>
        <v>0.24804898476988857</v>
      </c>
      <c r="P117" s="26"/>
      <c r="Q117"/>
      <c r="AA117" s="22">
        <v>17</v>
      </c>
      <c r="AB117" s="1081" t="str">
        <f t="shared" si="3"/>
        <v>QUART. VOL. G.F.C.F. TOTAL (cols 2-13)</v>
      </c>
      <c r="AC117" s="1081">
        <f>CHOOSE(Tables!$U$2,Transfer!CA117,Transfer!CN117,Transfer!DA117,Transfer!DN117,Transfer!EA117)</f>
        <v>-9999</v>
      </c>
      <c r="AD117" s="1081">
        <f>CHOOSE(Tables!$U$2,Transfer!CB117,Transfer!CO117,Transfer!DB117,Transfer!DO117,Transfer!EB117)</f>
        <v>0.19964146023467855</v>
      </c>
      <c r="AE117" s="1081">
        <f>CHOOSE(Tables!$U$2,Transfer!CC117,Transfer!CP117,Transfer!DC117,Transfer!DP117,Transfer!EC117)</f>
        <v>0.87423250518439133</v>
      </c>
      <c r="AF117" s="1081">
        <f>CHOOSE(Tables!$U$2,Transfer!CD117,Transfer!CQ117,Transfer!DD117,Transfer!DQ117,Transfer!ED117)</f>
        <v>1.1528539180909458</v>
      </c>
      <c r="AG117" s="1081">
        <f>CHOOSE(Tables!$U$2,Transfer!CE117,Transfer!CR117,Transfer!DE117,Transfer!DR117,Transfer!EE117)</f>
        <v>7.9700326771403596E-3</v>
      </c>
      <c r="AH117" s="1081">
        <f>CHOOSE(Tables!$U$2,Transfer!CF117,Transfer!CS117,Transfer!DF117,Transfer!DS117,Transfer!EF117)</f>
        <v>1.2118664328976569</v>
      </c>
      <c r="AI117" s="1081">
        <f>CHOOSE(Tables!$U$2,Transfer!CG117,Transfer!CT117,Transfer!DG117,Transfer!DT117,Transfer!EG117)</f>
        <v>1.2674108360862801</v>
      </c>
      <c r="AJ117" s="1081">
        <f>CHOOSE(Tables!$U$2,Transfer!CH117,Transfer!CU117,Transfer!DH117,Transfer!DU117,Transfer!EH117)</f>
        <v>1.2693063030658314</v>
      </c>
      <c r="AK117" s="1081">
        <f>CHOOSE(Tables!$U$2,Transfer!CI117,Transfer!CV117,Transfer!DI117,Transfer!DV117,Transfer!EI117)</f>
        <v>1.271196260444496</v>
      </c>
      <c r="AL117" s="1081">
        <f>CHOOSE(Tables!$U$2,Transfer!CJ117,Transfer!CW117,Transfer!DJ117,Transfer!DW117,Transfer!EJ117)</f>
        <v>0.35075487953128981</v>
      </c>
      <c r="AM117" s="1081">
        <f>CHOOSE(Tables!$U$2,Transfer!CK117,Transfer!CX117,Transfer!DK117,Transfer!DX117,Transfer!EK117)</f>
        <v>0.35125009969576571</v>
      </c>
      <c r="AN117" s="1081">
        <f>CHOOSE(Tables!$U$2,Transfer!CL117,Transfer!CY117,Transfer!DL117,Transfer!DY117,Transfer!EL117)</f>
        <v>0.26876027108759803</v>
      </c>
      <c r="AO117" s="1081">
        <f>CHOOSE(Tables!$U$2,Transfer!CM117,Transfer!CZ117,Transfer!DM117,Transfer!DZ117,Transfer!EM117)</f>
        <v>0.24804898476988857</v>
      </c>
      <c r="AR117" s="22">
        <v>17</v>
      </c>
      <c r="AS117" s="31" t="s">
        <v>1387</v>
      </c>
      <c r="AT117" s="25">
        <f t="shared" si="2"/>
        <v>0</v>
      </c>
      <c r="AU117" s="1081">
        <f t="shared" ca="1" si="2"/>
        <v>0</v>
      </c>
      <c r="AV117" s="1081">
        <f t="shared" ca="1" si="2"/>
        <v>0</v>
      </c>
      <c r="AW117" s="1081">
        <f t="shared" ca="1" si="2"/>
        <v>0</v>
      </c>
      <c r="AX117" s="1081">
        <f t="shared" ca="1" si="2"/>
        <v>0</v>
      </c>
      <c r="AY117" s="1081">
        <f t="shared" ca="1" si="2"/>
        <v>0</v>
      </c>
      <c r="AZ117" s="1081">
        <f t="shared" ca="1" si="2"/>
        <v>0</v>
      </c>
      <c r="BA117" s="1081">
        <f t="shared" ca="1" si="2"/>
        <v>0</v>
      </c>
      <c r="BB117" s="1081">
        <f t="shared" ca="1" si="2"/>
        <v>0</v>
      </c>
      <c r="BC117" s="1081">
        <f t="shared" ca="1" si="2"/>
        <v>0</v>
      </c>
      <c r="BD117" s="1081">
        <f t="shared" ca="1" si="2"/>
        <v>0</v>
      </c>
      <c r="BE117" s="1081">
        <f t="shared" ca="1" si="2"/>
        <v>0</v>
      </c>
      <c r="BF117" s="1081">
        <f t="shared" ca="1" si="2"/>
        <v>0</v>
      </c>
      <c r="CA117" s="16">
        <v>-9999</v>
      </c>
      <c r="CB117" s="16">
        <v>0.19964146023467855</v>
      </c>
      <c r="CC117" s="16">
        <v>0.87423250518439133</v>
      </c>
      <c r="CD117" s="16">
        <v>1.1528539180909458</v>
      </c>
      <c r="CE117" s="16">
        <v>7.9700326771403596E-3</v>
      </c>
      <c r="CF117" s="16">
        <v>1.2118664328976569</v>
      </c>
      <c r="CG117" s="16">
        <v>1.2674108360862801</v>
      </c>
      <c r="CH117" s="16">
        <v>1.2693063030658314</v>
      </c>
      <c r="CI117" s="16">
        <v>1.271196260444496</v>
      </c>
      <c r="CJ117" s="16">
        <v>0.35075487953128981</v>
      </c>
      <c r="CK117" s="16">
        <v>0.35125009969576571</v>
      </c>
      <c r="CL117" s="16">
        <v>0.26876027108759803</v>
      </c>
      <c r="CM117" s="16">
        <v>0.24804898476988857</v>
      </c>
      <c r="CN117" s="16">
        <v>-9999</v>
      </c>
      <c r="CO117" s="16">
        <v>0.19964146023467855</v>
      </c>
      <c r="CP117" s="16">
        <v>0.87016630748586454</v>
      </c>
      <c r="CQ117" s="16">
        <v>0.9795622203410348</v>
      </c>
      <c r="CR117" s="16">
        <v>1.295289421157686</v>
      </c>
      <c r="CS117" s="16">
        <v>0.761424179500092</v>
      </c>
      <c r="CT117" s="16">
        <v>0.51409447506971517</v>
      </c>
      <c r="CU117" s="16">
        <v>0.44761540068829486</v>
      </c>
      <c r="CV117" s="16">
        <v>0.36035633959579094</v>
      </c>
      <c r="CW117" s="16">
        <v>0.46706502281157469</v>
      </c>
      <c r="CX117" s="16">
        <v>0.69481814885496984</v>
      </c>
      <c r="CY117" s="16">
        <v>0.63371204605415787</v>
      </c>
      <c r="CZ117" s="16">
        <v>0.4759077556815372</v>
      </c>
      <c r="DA117" s="16">
        <v>-9999</v>
      </c>
      <c r="DB117" s="16">
        <v>0.19964146023467855</v>
      </c>
      <c r="DC117" s="16">
        <v>0.87423250518439133</v>
      </c>
      <c r="DD117" s="16">
        <v>1.1528539180909458</v>
      </c>
      <c r="DE117" s="16">
        <v>7.9700326771403596E-3</v>
      </c>
      <c r="DF117" s="16">
        <v>1.2118664328976569</v>
      </c>
      <c r="DG117" s="16">
        <v>1.2674108360862801</v>
      </c>
      <c r="DH117" s="16">
        <v>1.2693063030658314</v>
      </c>
      <c r="DI117" s="16">
        <v>1.271196260444496</v>
      </c>
      <c r="DJ117" s="16">
        <v>0.35075487953128981</v>
      </c>
      <c r="DK117" s="16">
        <v>0.35125009969576571</v>
      </c>
      <c r="DL117" s="16">
        <v>0.26876027108759803</v>
      </c>
      <c r="DM117" s="16">
        <v>0.24804898476988857</v>
      </c>
      <c r="DN117" s="16">
        <v>-9999</v>
      </c>
      <c r="DO117" s="16">
        <v>0.19964146023467855</v>
      </c>
      <c r="DP117" s="16">
        <v>0.87423250518439133</v>
      </c>
      <c r="DQ117" s="16">
        <v>1.1528539180909458</v>
      </c>
      <c r="DR117" s="16">
        <v>7.9700326771403596E-3</v>
      </c>
      <c r="DS117" s="16">
        <v>1.2118664328976569</v>
      </c>
      <c r="DT117" s="16">
        <v>1.2674108360862801</v>
      </c>
      <c r="DU117" s="16">
        <v>1.2693063030658314</v>
      </c>
      <c r="DV117" s="16">
        <v>1.271196260444496</v>
      </c>
      <c r="DW117" s="16">
        <v>0.35075487953128981</v>
      </c>
      <c r="DX117" s="16">
        <v>0.35125009969576571</v>
      </c>
      <c r="DY117" s="16">
        <v>0.26876027108759803</v>
      </c>
      <c r="DZ117" s="16">
        <v>0.24804898476988857</v>
      </c>
      <c r="EA117" s="2107">
        <v>-9999</v>
      </c>
      <c r="EB117" s="2106">
        <v>0.19964146023467855</v>
      </c>
      <c r="EC117" s="2106">
        <v>0.87423250518439133</v>
      </c>
      <c r="ED117" s="2106">
        <v>1.1528539180909458</v>
      </c>
      <c r="EE117" s="2106">
        <v>7.9700326771403596E-3</v>
      </c>
      <c r="EF117" s="2106">
        <v>1.2118664328976569</v>
      </c>
      <c r="EG117" s="2106">
        <v>1.2674108360862801</v>
      </c>
      <c r="EH117" s="2106">
        <v>1.2693063030658314</v>
      </c>
      <c r="EI117" s="2106">
        <v>1.271196260444496</v>
      </c>
      <c r="EJ117" s="2106">
        <v>0.35075487953128981</v>
      </c>
      <c r="EK117" s="2106">
        <v>0.35125009969576571</v>
      </c>
      <c r="EL117" s="2106">
        <v>0.26876027108759803</v>
      </c>
      <c r="EM117" s="2106">
        <v>0.24804898476988857</v>
      </c>
    </row>
    <row r="118" spans="1:143">
      <c r="A118" s="22">
        <v>18</v>
      </c>
      <c r="B118" s="31" t="s">
        <v>1388</v>
      </c>
      <c r="C118" s="25">
        <v>-9999</v>
      </c>
      <c r="D118" s="1081">
        <f ca="1">OFFSET('Q1'!G9,0,(Last_forecast_year - 3-InputY!$G$3)*4+4)</f>
        <v>0.17201667687103406</v>
      </c>
      <c r="E118" s="1081">
        <f ca="1">OFFSET('Q1'!H9,0,(Last_forecast_year - 3-InputY!$G$3)*4+4)</f>
        <v>0.50837262549234818</v>
      </c>
      <c r="F118" s="1081">
        <f ca="1">OFFSET('Q1'!I9,0,(Last_forecast_year - 3-InputY!$G$3)*4+4)</f>
        <v>0.4807042607000378</v>
      </c>
      <c r="G118" s="1081">
        <f ca="1">OFFSET('Q1'!J9,0,(Last_forecast_year - 3-InputY!$G$3)*4+4)</f>
        <v>0.25553335382724196</v>
      </c>
      <c r="H118" s="1081">
        <f ca="1">OFFSET('Q1'!K9,0,(Last_forecast_year - 3-InputY!$G$3)*4+4)</f>
        <v>0.50355800003831774</v>
      </c>
      <c r="I118" s="1081">
        <f ca="1">OFFSET('Q1'!L9,0,(Last_forecast_year - 3-InputY!$G$3)*4+4)</f>
        <v>0.51961113247069868</v>
      </c>
      <c r="J118" s="1081">
        <f ca="1">OFFSET('Q1'!M9,0,(Last_forecast_year - 3-InputY!$G$3)*4+4)</f>
        <v>0.52286761830309114</v>
      </c>
      <c r="K118" s="1081">
        <f ca="1">OFFSET('Q1'!N9,0,(Last_forecast_year - 3-InputY!$G$3)*4+4)</f>
        <v>0.52613168181772085</v>
      </c>
      <c r="L118" s="1081">
        <f ca="1">OFFSET('Q1'!O9,0,(Last_forecast_year - 3-InputY!$G$3)*4+4)</f>
        <v>0.42675568179741941</v>
      </c>
      <c r="M118" s="1081">
        <f ca="1">OFFSET('Q1'!P9,0,(Last_forecast_year - 3-InputY!$G$3)*4+4)</f>
        <v>0.42437861149153822</v>
      </c>
      <c r="N118" s="1081">
        <f ca="1">OFFSET('Q1'!Q9,0,(Last_forecast_year - 3-InputY!$G$3)*4+4)</f>
        <v>0.40407966192754774</v>
      </c>
      <c r="O118" s="1081">
        <f ca="1">OFFSET('Q1'!R9,0,(Last_forecast_year - 3-InputY!$G$3)*4+4)</f>
        <v>0.39910377553002974</v>
      </c>
      <c r="P118" s="26"/>
      <c r="Q118"/>
      <c r="AA118" s="22">
        <v>18</v>
      </c>
      <c r="AB118" s="1081" t="str">
        <f t="shared" si="3"/>
        <v>QUART. VOL. FINAL DOM. DEMAND (cols 2-13)</v>
      </c>
      <c r="AC118" s="1081">
        <f>CHOOSE(Tables!$U$2,Transfer!CA118,Transfer!CN118,Transfer!DA118,Transfer!DN118,Transfer!EA118)</f>
        <v>-9999</v>
      </c>
      <c r="AD118" s="1081">
        <f>CHOOSE(Tables!$U$2,Transfer!CB118,Transfer!CO118,Transfer!DB118,Transfer!DO118,Transfer!EB118)</f>
        <v>0.17201667687103406</v>
      </c>
      <c r="AE118" s="1081">
        <f>CHOOSE(Tables!$U$2,Transfer!CC118,Transfer!CP118,Transfer!DC118,Transfer!DP118,Transfer!EC118)</f>
        <v>0.50837262549234818</v>
      </c>
      <c r="AF118" s="1081">
        <f>CHOOSE(Tables!$U$2,Transfer!CD118,Transfer!CQ118,Transfer!DD118,Transfer!DQ118,Transfer!ED118)</f>
        <v>0.4807042607000378</v>
      </c>
      <c r="AG118" s="1081">
        <f>CHOOSE(Tables!$U$2,Transfer!CE118,Transfer!CR118,Transfer!DE118,Transfer!DR118,Transfer!EE118)</f>
        <v>0.25553335382724196</v>
      </c>
      <c r="AH118" s="1081">
        <f>CHOOSE(Tables!$U$2,Transfer!CF118,Transfer!CS118,Transfer!DF118,Transfer!DS118,Transfer!EF118)</f>
        <v>0.50355800003831774</v>
      </c>
      <c r="AI118" s="1081">
        <f>CHOOSE(Tables!$U$2,Transfer!CG118,Transfer!CT118,Transfer!DG118,Transfer!DT118,Transfer!EG118)</f>
        <v>0.51961113247069868</v>
      </c>
      <c r="AJ118" s="1081">
        <f>CHOOSE(Tables!$U$2,Transfer!CH118,Transfer!CU118,Transfer!DH118,Transfer!DU118,Transfer!EH118)</f>
        <v>0.52286761830309114</v>
      </c>
      <c r="AK118" s="1081">
        <f>CHOOSE(Tables!$U$2,Transfer!CI118,Transfer!CV118,Transfer!DI118,Transfer!DV118,Transfer!EI118)</f>
        <v>0.52613168181772085</v>
      </c>
      <c r="AL118" s="1081">
        <f>CHOOSE(Tables!$U$2,Transfer!CJ118,Transfer!CW118,Transfer!DJ118,Transfer!DW118,Transfer!EJ118)</f>
        <v>0.42675568179741941</v>
      </c>
      <c r="AM118" s="1081">
        <f>CHOOSE(Tables!$U$2,Transfer!CK118,Transfer!CX118,Transfer!DK118,Transfer!DX118,Transfer!EK118)</f>
        <v>0.42437861149153822</v>
      </c>
      <c r="AN118" s="1081">
        <f>CHOOSE(Tables!$U$2,Transfer!CL118,Transfer!CY118,Transfer!DL118,Transfer!DY118,Transfer!EL118)</f>
        <v>0.40407966192754774</v>
      </c>
      <c r="AO118" s="1081">
        <f>CHOOSE(Tables!$U$2,Transfer!CM118,Transfer!CZ118,Transfer!DM118,Transfer!DZ118,Transfer!EM118)</f>
        <v>0.39910377553002974</v>
      </c>
      <c r="AR118" s="22">
        <v>18</v>
      </c>
      <c r="AS118" s="31" t="s">
        <v>1388</v>
      </c>
      <c r="AT118" s="25">
        <f t="shared" si="2"/>
        <v>0</v>
      </c>
      <c r="AU118" s="1081">
        <f t="shared" ca="1" si="2"/>
        <v>0</v>
      </c>
      <c r="AV118" s="1081">
        <f t="shared" ca="1" si="2"/>
        <v>0</v>
      </c>
      <c r="AW118" s="1081">
        <f t="shared" ca="1" si="2"/>
        <v>0</v>
      </c>
      <c r="AX118" s="1081">
        <f t="shared" ca="1" si="2"/>
        <v>0</v>
      </c>
      <c r="AY118" s="1081">
        <f t="shared" ca="1" si="2"/>
        <v>0</v>
      </c>
      <c r="AZ118" s="1081">
        <f t="shared" ca="1" si="2"/>
        <v>0</v>
      </c>
      <c r="BA118" s="1081">
        <f t="shared" ca="1" si="2"/>
        <v>0</v>
      </c>
      <c r="BB118" s="1081">
        <f t="shared" ca="1" si="2"/>
        <v>0</v>
      </c>
      <c r="BC118" s="1081">
        <f t="shared" ca="1" si="2"/>
        <v>0</v>
      </c>
      <c r="BD118" s="1081">
        <f t="shared" ca="1" si="2"/>
        <v>0</v>
      </c>
      <c r="BE118" s="1081">
        <f t="shared" ca="1" si="2"/>
        <v>0</v>
      </c>
      <c r="BF118" s="1081">
        <f t="shared" ca="1" si="2"/>
        <v>0</v>
      </c>
      <c r="CA118" s="16">
        <v>-9999</v>
      </c>
      <c r="CB118" s="16">
        <v>0.17201667687103406</v>
      </c>
      <c r="CC118" s="16">
        <v>0.50837262549234818</v>
      </c>
      <c r="CD118" s="16">
        <v>0.4807042607000378</v>
      </c>
      <c r="CE118" s="16">
        <v>0.25553335382724196</v>
      </c>
      <c r="CF118" s="16">
        <v>0.50355800003831774</v>
      </c>
      <c r="CG118" s="16">
        <v>0.51961113247069868</v>
      </c>
      <c r="CH118" s="16">
        <v>0.52286761830309114</v>
      </c>
      <c r="CI118" s="16">
        <v>0.52613168181772085</v>
      </c>
      <c r="CJ118" s="16">
        <v>0.42675568179741941</v>
      </c>
      <c r="CK118" s="16">
        <v>0.42437861149153822</v>
      </c>
      <c r="CL118" s="16">
        <v>0.40407966192754774</v>
      </c>
      <c r="CM118" s="16">
        <v>0.39910377553002974</v>
      </c>
      <c r="CN118" s="16">
        <v>-9999</v>
      </c>
      <c r="CO118" s="16">
        <v>0.1836788244555132</v>
      </c>
      <c r="CP118" s="16">
        <v>0.51025357468521548</v>
      </c>
      <c r="CQ118" s="16">
        <v>0.28954175192061893</v>
      </c>
      <c r="CR118" s="16">
        <v>0.63765205173609285</v>
      </c>
      <c r="CS118" s="16">
        <v>0.3722352121519501</v>
      </c>
      <c r="CT118" s="16">
        <v>0.36099512891341057</v>
      </c>
      <c r="CU118" s="16">
        <v>0.45177445169675146</v>
      </c>
      <c r="CV118" s="16">
        <v>0.44232765278668928</v>
      </c>
      <c r="CW118" s="16">
        <v>0.35039169671382542</v>
      </c>
      <c r="CX118" s="16">
        <v>0.51742982532558823</v>
      </c>
      <c r="CY118" s="16">
        <v>0.43537348087285821</v>
      </c>
      <c r="CZ118" s="16">
        <v>0.38652710475290952</v>
      </c>
      <c r="DA118" s="16">
        <v>-9999</v>
      </c>
      <c r="DB118" s="16">
        <v>0.17201667687103406</v>
      </c>
      <c r="DC118" s="16">
        <v>0.50837262549234818</v>
      </c>
      <c r="DD118" s="16">
        <v>0.4807042607000378</v>
      </c>
      <c r="DE118" s="16">
        <v>0.25553335382724196</v>
      </c>
      <c r="DF118" s="16">
        <v>0.50355800003831774</v>
      </c>
      <c r="DG118" s="16">
        <v>0.51961113247069868</v>
      </c>
      <c r="DH118" s="16">
        <v>0.52286761830309114</v>
      </c>
      <c r="DI118" s="16">
        <v>0.52613168181772085</v>
      </c>
      <c r="DJ118" s="16">
        <v>0.42675568179741941</v>
      </c>
      <c r="DK118" s="16">
        <v>0.42437861149153822</v>
      </c>
      <c r="DL118" s="16">
        <v>0.40407966192754774</v>
      </c>
      <c r="DM118" s="16">
        <v>0.39910377553002974</v>
      </c>
      <c r="DN118" s="16">
        <v>-9999</v>
      </c>
      <c r="DO118" s="16">
        <v>0.17201667687103406</v>
      </c>
      <c r="DP118" s="16">
        <v>0.50837262549234818</v>
      </c>
      <c r="DQ118" s="16">
        <v>0.4807042607000378</v>
      </c>
      <c r="DR118" s="16">
        <v>0.25553335382724196</v>
      </c>
      <c r="DS118" s="16">
        <v>0.50355800003831774</v>
      </c>
      <c r="DT118" s="16">
        <v>0.51961113247069868</v>
      </c>
      <c r="DU118" s="16">
        <v>0.52286761830309114</v>
      </c>
      <c r="DV118" s="16">
        <v>0.52613168181772085</v>
      </c>
      <c r="DW118" s="16">
        <v>0.42675568179741941</v>
      </c>
      <c r="DX118" s="16">
        <v>0.42437861149153822</v>
      </c>
      <c r="DY118" s="16">
        <v>0.40407966192754774</v>
      </c>
      <c r="DZ118" s="16">
        <v>0.39910377553002974</v>
      </c>
      <c r="EA118" s="2107">
        <v>-9999</v>
      </c>
      <c r="EB118" s="2106">
        <v>0.17201667687103406</v>
      </c>
      <c r="EC118" s="2106">
        <v>0.50837262549234818</v>
      </c>
      <c r="ED118" s="2106">
        <v>0.4807042607000378</v>
      </c>
      <c r="EE118" s="2106">
        <v>0.25553335382724196</v>
      </c>
      <c r="EF118" s="2106">
        <v>0.50355800003831774</v>
      </c>
      <c r="EG118" s="2106">
        <v>0.51961113247069868</v>
      </c>
      <c r="EH118" s="2106">
        <v>0.52286761830309114</v>
      </c>
      <c r="EI118" s="2106">
        <v>0.52613168181772085</v>
      </c>
      <c r="EJ118" s="2106">
        <v>0.42675568179741941</v>
      </c>
      <c r="EK118" s="2106">
        <v>0.42437861149153822</v>
      </c>
      <c r="EL118" s="2106">
        <v>0.40407966192754774</v>
      </c>
      <c r="EM118" s="2106">
        <v>0.39910377553002974</v>
      </c>
    </row>
    <row r="119" spans="1:143">
      <c r="A119" s="22">
        <v>19</v>
      </c>
      <c r="B119" s="31" t="s">
        <v>653</v>
      </c>
      <c r="C119" s="25">
        <v>-9999</v>
      </c>
      <c r="D119" s="1081">
        <f ca="1">OFFSET('Q1'!G10,0,(Last_forecast_year - 3-InputY!$G$3)*4+4)</f>
        <v>0</v>
      </c>
      <c r="E119" s="1081">
        <f ca="1">OFFSET('Q1'!H10,0,(Last_forecast_year - 3-InputY!$G$3)*4+4)</f>
        <v>0</v>
      </c>
      <c r="F119" s="1081">
        <f ca="1">OFFSET('Q1'!I10,0,(Last_forecast_year - 3-InputY!$G$3)*4+4)</f>
        <v>0</v>
      </c>
      <c r="G119" s="1081">
        <f ca="1">OFFSET('Q1'!J10,0,(Last_forecast_year - 3-InputY!$G$3)*4+4)</f>
        <v>0</v>
      </c>
      <c r="H119" s="1081">
        <f ca="1">OFFSET('Q1'!K10,0,(Last_forecast_year - 3-InputY!$G$3)*4+4)</f>
        <v>0</v>
      </c>
      <c r="I119" s="1081">
        <f ca="1">OFFSET('Q1'!L10,0,(Last_forecast_year - 3-InputY!$G$3)*4+4)</f>
        <v>0</v>
      </c>
      <c r="J119" s="1081">
        <f ca="1">OFFSET('Q1'!M10,0,(Last_forecast_year - 3-InputY!$G$3)*4+4)</f>
        <v>0</v>
      </c>
      <c r="K119" s="1081">
        <f ca="1">OFFSET('Q1'!N10,0,(Last_forecast_year - 3-InputY!$G$3)*4+4)</f>
        <v>0</v>
      </c>
      <c r="L119" s="1081">
        <f ca="1">OFFSET('Q1'!O10,0,(Last_forecast_year - 3-InputY!$G$3)*4+4)</f>
        <v>0</v>
      </c>
      <c r="M119" s="1081">
        <f ca="1">OFFSET('Q1'!P10,0,(Last_forecast_year - 3-InputY!$G$3)*4+4)</f>
        <v>0</v>
      </c>
      <c r="N119" s="1081">
        <f ca="1">OFFSET('Q1'!Q10,0,(Last_forecast_year - 3-InputY!$G$3)*4+4)</f>
        <v>0</v>
      </c>
      <c r="O119" s="1081">
        <f ca="1">OFFSET('Q1'!R10,0,(Last_forecast_year - 3-InputY!$G$3)*4+4)</f>
        <v>0</v>
      </c>
      <c r="P119" s="26"/>
      <c r="Q119"/>
      <c r="AA119" s="22">
        <v>19</v>
      </c>
      <c r="AB119" s="1081" t="str">
        <f t="shared" si="3"/>
        <v>QUART. VOL. CHANGE IN INVENTORIES (cols 2-13)</v>
      </c>
      <c r="AC119" s="1081">
        <f>CHOOSE(Tables!$U$2,Transfer!CA119,Transfer!CN119,Transfer!DA119,Transfer!DN119,Transfer!EA119)</f>
        <v>-9999</v>
      </c>
      <c r="AD119" s="1081">
        <f>CHOOSE(Tables!$U$2,Transfer!CB119,Transfer!CO119,Transfer!DB119,Transfer!DO119,Transfer!EB119)</f>
        <v>0</v>
      </c>
      <c r="AE119" s="1081">
        <f>CHOOSE(Tables!$U$2,Transfer!CC119,Transfer!CP119,Transfer!DC119,Transfer!DP119,Transfer!EC119)</f>
        <v>0</v>
      </c>
      <c r="AF119" s="1081">
        <f>CHOOSE(Tables!$U$2,Transfer!CD119,Transfer!CQ119,Transfer!DD119,Transfer!DQ119,Transfer!ED119)</f>
        <v>0</v>
      </c>
      <c r="AG119" s="1081">
        <f>CHOOSE(Tables!$U$2,Transfer!CE119,Transfer!CR119,Transfer!DE119,Transfer!DR119,Transfer!EE119)</f>
        <v>0</v>
      </c>
      <c r="AH119" s="1081">
        <f>CHOOSE(Tables!$U$2,Transfer!CF119,Transfer!CS119,Transfer!DF119,Transfer!DS119,Transfer!EF119)</f>
        <v>0</v>
      </c>
      <c r="AI119" s="1081">
        <f>CHOOSE(Tables!$U$2,Transfer!CG119,Transfer!CT119,Transfer!DG119,Transfer!DT119,Transfer!EG119)</f>
        <v>0</v>
      </c>
      <c r="AJ119" s="1081">
        <f>CHOOSE(Tables!$U$2,Transfer!CH119,Transfer!CU119,Transfer!DH119,Transfer!DU119,Transfer!EH119)</f>
        <v>0</v>
      </c>
      <c r="AK119" s="1081">
        <f>CHOOSE(Tables!$U$2,Transfer!CI119,Transfer!CV119,Transfer!DI119,Transfer!DV119,Transfer!EI119)</f>
        <v>0</v>
      </c>
      <c r="AL119" s="1081">
        <f>CHOOSE(Tables!$U$2,Transfer!CJ119,Transfer!CW119,Transfer!DJ119,Transfer!DW119,Transfer!EJ119)</f>
        <v>0</v>
      </c>
      <c r="AM119" s="1081">
        <f>CHOOSE(Tables!$U$2,Transfer!CK119,Transfer!CX119,Transfer!DK119,Transfer!DX119,Transfer!EK119)</f>
        <v>0</v>
      </c>
      <c r="AN119" s="1081">
        <f>CHOOSE(Tables!$U$2,Transfer!CL119,Transfer!CY119,Transfer!DL119,Transfer!DY119,Transfer!EL119)</f>
        <v>0</v>
      </c>
      <c r="AO119" s="1081">
        <f>CHOOSE(Tables!$U$2,Transfer!CM119,Transfer!CZ119,Transfer!DM119,Transfer!DZ119,Transfer!EM119)</f>
        <v>0</v>
      </c>
      <c r="AR119" s="22">
        <v>19</v>
      </c>
      <c r="AS119" s="31" t="s">
        <v>653</v>
      </c>
      <c r="AT119" s="25">
        <f t="shared" si="2"/>
        <v>0</v>
      </c>
      <c r="AU119" s="1081">
        <f t="shared" ca="1" si="2"/>
        <v>0</v>
      </c>
      <c r="AV119" s="1081">
        <f t="shared" ca="1" si="2"/>
        <v>0</v>
      </c>
      <c r="AW119" s="1081">
        <f t="shared" ca="1" si="2"/>
        <v>0</v>
      </c>
      <c r="AX119" s="1081">
        <f t="shared" ca="1" si="2"/>
        <v>0</v>
      </c>
      <c r="AY119" s="1081">
        <f t="shared" ca="1" si="2"/>
        <v>0</v>
      </c>
      <c r="AZ119" s="1081">
        <f t="shared" ca="1" si="2"/>
        <v>0</v>
      </c>
      <c r="BA119" s="1081">
        <f t="shared" ca="1" si="2"/>
        <v>0</v>
      </c>
      <c r="BB119" s="1081">
        <f t="shared" ca="1" si="2"/>
        <v>0</v>
      </c>
      <c r="BC119" s="1081">
        <f t="shared" ca="1" si="2"/>
        <v>0</v>
      </c>
      <c r="BD119" s="1081">
        <f t="shared" ca="1" si="2"/>
        <v>0</v>
      </c>
      <c r="BE119" s="1081">
        <f t="shared" ca="1" si="2"/>
        <v>0</v>
      </c>
      <c r="BF119" s="1081">
        <f t="shared" ca="1" si="2"/>
        <v>0</v>
      </c>
      <c r="CA119" s="16">
        <v>-9999</v>
      </c>
      <c r="CB119" s="16">
        <v>0</v>
      </c>
      <c r="CC119" s="16">
        <v>0</v>
      </c>
      <c r="CD119" s="16">
        <v>0</v>
      </c>
      <c r="CE119" s="16">
        <v>0</v>
      </c>
      <c r="CF119" s="16">
        <v>0</v>
      </c>
      <c r="CG119" s="16">
        <v>0</v>
      </c>
      <c r="CH119" s="16">
        <v>0</v>
      </c>
      <c r="CI119" s="16">
        <v>0</v>
      </c>
      <c r="CJ119" s="16">
        <v>0</v>
      </c>
      <c r="CK119" s="16">
        <v>0</v>
      </c>
      <c r="CL119" s="16">
        <v>0</v>
      </c>
      <c r="CM119" s="16">
        <v>0</v>
      </c>
      <c r="CN119" s="16">
        <v>-9999</v>
      </c>
      <c r="CO119" s="16">
        <v>0</v>
      </c>
      <c r="CP119" s="16">
        <v>0</v>
      </c>
      <c r="CQ119" s="16">
        <v>0</v>
      </c>
      <c r="CR119" s="16">
        <v>0</v>
      </c>
      <c r="CS119" s="16">
        <v>0</v>
      </c>
      <c r="CT119" s="16">
        <v>0</v>
      </c>
      <c r="CU119" s="16">
        <v>0</v>
      </c>
      <c r="CV119" s="16">
        <v>0</v>
      </c>
      <c r="CW119" s="16">
        <v>0</v>
      </c>
      <c r="CX119" s="16">
        <v>0</v>
      </c>
      <c r="CY119" s="16">
        <v>0</v>
      </c>
      <c r="CZ119" s="16">
        <v>0</v>
      </c>
      <c r="DA119" s="16">
        <v>-9999</v>
      </c>
      <c r="DB119" s="16">
        <v>0</v>
      </c>
      <c r="DC119" s="16">
        <v>0</v>
      </c>
      <c r="DD119" s="16">
        <v>0</v>
      </c>
      <c r="DE119" s="16">
        <v>0</v>
      </c>
      <c r="DF119" s="16">
        <v>0</v>
      </c>
      <c r="DG119" s="16">
        <v>0</v>
      </c>
      <c r="DH119" s="16">
        <v>0</v>
      </c>
      <c r="DI119" s="16">
        <v>0</v>
      </c>
      <c r="DJ119" s="16">
        <v>0</v>
      </c>
      <c r="DK119" s="16">
        <v>0</v>
      </c>
      <c r="DL119" s="16">
        <v>0</v>
      </c>
      <c r="DM119" s="16">
        <v>0</v>
      </c>
      <c r="DN119" s="16">
        <v>-9999</v>
      </c>
      <c r="DO119" s="16">
        <v>0</v>
      </c>
      <c r="DP119" s="16">
        <v>0</v>
      </c>
      <c r="DQ119" s="16">
        <v>0</v>
      </c>
      <c r="DR119" s="16">
        <v>0</v>
      </c>
      <c r="DS119" s="16">
        <v>0</v>
      </c>
      <c r="DT119" s="16">
        <v>0</v>
      </c>
      <c r="DU119" s="16">
        <v>0</v>
      </c>
      <c r="DV119" s="16">
        <v>0</v>
      </c>
      <c r="DW119" s="16">
        <v>0</v>
      </c>
      <c r="DX119" s="16">
        <v>0</v>
      </c>
      <c r="DY119" s="16">
        <v>0</v>
      </c>
      <c r="DZ119" s="16">
        <v>0</v>
      </c>
      <c r="EA119" s="2107">
        <v>-9999</v>
      </c>
      <c r="EB119" s="2106">
        <v>0</v>
      </c>
      <c r="EC119" s="2106">
        <v>0</v>
      </c>
      <c r="ED119" s="2106">
        <v>0</v>
      </c>
      <c r="EE119" s="2106">
        <v>0</v>
      </c>
      <c r="EF119" s="2106">
        <v>0</v>
      </c>
      <c r="EG119" s="2106">
        <v>0</v>
      </c>
      <c r="EH119" s="2106">
        <v>0</v>
      </c>
      <c r="EI119" s="2106">
        <v>0</v>
      </c>
      <c r="EJ119" s="2106">
        <v>0</v>
      </c>
      <c r="EK119" s="2106">
        <v>0</v>
      </c>
      <c r="EL119" s="2106">
        <v>0</v>
      </c>
      <c r="EM119" s="2106">
        <v>0</v>
      </c>
    </row>
    <row r="120" spans="1:143">
      <c r="A120" s="22">
        <v>20</v>
      </c>
      <c r="B120" s="31" t="s">
        <v>654</v>
      </c>
      <c r="C120" s="25">
        <v>-9999</v>
      </c>
      <c r="D120" s="1081">
        <f ca="1">OFFSET('Q1'!G11,0,(Last_forecast_year - 3-InputY!$G$3)*4+4)</f>
        <v>0.17201667687103406</v>
      </c>
      <c r="E120" s="1081">
        <f ca="1">OFFSET('Q1'!H11,0,(Last_forecast_year - 3-InputY!$G$3)*4+4)</f>
        <v>0.50837262549234818</v>
      </c>
      <c r="F120" s="1081">
        <f ca="1">OFFSET('Q1'!I11,0,(Last_forecast_year - 3-InputY!$G$3)*4+4)</f>
        <v>0.4807042607000378</v>
      </c>
      <c r="G120" s="1081">
        <f ca="1">OFFSET('Q1'!J11,0,(Last_forecast_year - 3-InputY!$G$3)*4+4)</f>
        <v>0.25553335382724196</v>
      </c>
      <c r="H120" s="1081">
        <f ca="1">OFFSET('Q1'!K11,0,(Last_forecast_year - 3-InputY!$G$3)*4+4)</f>
        <v>0.50355800003831774</v>
      </c>
      <c r="I120" s="1081">
        <f ca="1">OFFSET('Q1'!L11,0,(Last_forecast_year - 3-InputY!$G$3)*4+4)</f>
        <v>0.51961113247069868</v>
      </c>
      <c r="J120" s="1081">
        <f ca="1">OFFSET('Q1'!M11,0,(Last_forecast_year - 3-InputY!$G$3)*4+4)</f>
        <v>0.52286761830309114</v>
      </c>
      <c r="K120" s="1081">
        <f ca="1">OFFSET('Q1'!N11,0,(Last_forecast_year - 3-InputY!$G$3)*4+4)</f>
        <v>0.52613168181772085</v>
      </c>
      <c r="L120" s="1081">
        <f ca="1">OFFSET('Q1'!O11,0,(Last_forecast_year - 3-InputY!$G$3)*4+4)</f>
        <v>0.42675568179741941</v>
      </c>
      <c r="M120" s="1081">
        <f ca="1">OFFSET('Q1'!P11,0,(Last_forecast_year - 3-InputY!$G$3)*4+4)</f>
        <v>0.42437861149153822</v>
      </c>
      <c r="N120" s="1081">
        <f ca="1">OFFSET('Q1'!Q11,0,(Last_forecast_year - 3-InputY!$G$3)*4+4)</f>
        <v>0.40407966192754774</v>
      </c>
      <c r="O120" s="1081">
        <f ca="1">OFFSET('Q1'!R11,0,(Last_forecast_year - 3-InputY!$G$3)*4+4)</f>
        <v>0.39910377553002974</v>
      </c>
      <c r="P120" s="26"/>
      <c r="Q120"/>
      <c r="AA120" s="22">
        <v>20</v>
      </c>
      <c r="AB120" s="1081" t="str">
        <f t="shared" si="3"/>
        <v>QUART. VOL. DOMESTIC DEMAND (cols 2-13)</v>
      </c>
      <c r="AC120" s="1081">
        <f>CHOOSE(Tables!$U$2,Transfer!CA120,Transfer!CN120,Transfer!DA120,Transfer!DN120,Transfer!EA120)</f>
        <v>-9999</v>
      </c>
      <c r="AD120" s="1081">
        <f>CHOOSE(Tables!$U$2,Transfer!CB120,Transfer!CO120,Transfer!DB120,Transfer!DO120,Transfer!EB120)</f>
        <v>0.17201667687103406</v>
      </c>
      <c r="AE120" s="1081">
        <f>CHOOSE(Tables!$U$2,Transfer!CC120,Transfer!CP120,Transfer!DC120,Transfer!DP120,Transfer!EC120)</f>
        <v>0.50837262549234818</v>
      </c>
      <c r="AF120" s="1081">
        <f>CHOOSE(Tables!$U$2,Transfer!CD120,Transfer!CQ120,Transfer!DD120,Transfer!DQ120,Transfer!ED120)</f>
        <v>0.4807042607000378</v>
      </c>
      <c r="AG120" s="1081">
        <f>CHOOSE(Tables!$U$2,Transfer!CE120,Transfer!CR120,Transfer!DE120,Transfer!DR120,Transfer!EE120)</f>
        <v>0.25553335382724196</v>
      </c>
      <c r="AH120" s="1081">
        <f>CHOOSE(Tables!$U$2,Transfer!CF120,Transfer!CS120,Transfer!DF120,Transfer!DS120,Transfer!EF120)</f>
        <v>0.50355800003831774</v>
      </c>
      <c r="AI120" s="1081">
        <f>CHOOSE(Tables!$U$2,Transfer!CG120,Transfer!CT120,Transfer!DG120,Transfer!DT120,Transfer!EG120)</f>
        <v>0.51961113247069868</v>
      </c>
      <c r="AJ120" s="1081">
        <f>CHOOSE(Tables!$U$2,Transfer!CH120,Transfer!CU120,Transfer!DH120,Transfer!DU120,Transfer!EH120)</f>
        <v>0.52286761830309114</v>
      </c>
      <c r="AK120" s="1081">
        <f>CHOOSE(Tables!$U$2,Transfer!CI120,Transfer!CV120,Transfer!DI120,Transfer!DV120,Transfer!EI120)</f>
        <v>0.52613168181772085</v>
      </c>
      <c r="AL120" s="1081">
        <f>CHOOSE(Tables!$U$2,Transfer!CJ120,Transfer!CW120,Transfer!DJ120,Transfer!DW120,Transfer!EJ120)</f>
        <v>0.42675568179741941</v>
      </c>
      <c r="AM120" s="1081">
        <f>CHOOSE(Tables!$U$2,Transfer!CK120,Transfer!CX120,Transfer!DK120,Transfer!DX120,Transfer!EK120)</f>
        <v>0.42437861149153822</v>
      </c>
      <c r="AN120" s="1081">
        <f>CHOOSE(Tables!$U$2,Transfer!CL120,Transfer!CY120,Transfer!DL120,Transfer!DY120,Transfer!EL120)</f>
        <v>0.40407966192754774</v>
      </c>
      <c r="AO120" s="1081">
        <f>CHOOSE(Tables!$U$2,Transfer!CM120,Transfer!CZ120,Transfer!DM120,Transfer!DZ120,Transfer!EM120)</f>
        <v>0.39910377553002974</v>
      </c>
      <c r="AR120" s="22">
        <v>20</v>
      </c>
      <c r="AS120" s="31" t="s">
        <v>654</v>
      </c>
      <c r="AT120" s="25">
        <f t="shared" si="2"/>
        <v>0</v>
      </c>
      <c r="AU120" s="1081">
        <f t="shared" ca="1" si="2"/>
        <v>0</v>
      </c>
      <c r="AV120" s="1081">
        <f t="shared" ca="1" si="2"/>
        <v>0</v>
      </c>
      <c r="AW120" s="1081">
        <f t="shared" ca="1" si="2"/>
        <v>0</v>
      </c>
      <c r="AX120" s="1081">
        <f t="shared" ca="1" si="2"/>
        <v>0</v>
      </c>
      <c r="AY120" s="1081">
        <f t="shared" ca="1" si="2"/>
        <v>0</v>
      </c>
      <c r="AZ120" s="1081">
        <f t="shared" ca="1" si="2"/>
        <v>0</v>
      </c>
      <c r="BA120" s="1081">
        <f t="shared" ca="1" si="2"/>
        <v>0</v>
      </c>
      <c r="BB120" s="1081">
        <f t="shared" ref="BB120:BF134" ca="1" si="4">K120-AK120</f>
        <v>0</v>
      </c>
      <c r="BC120" s="1081">
        <f t="shared" ca="1" si="4"/>
        <v>0</v>
      </c>
      <c r="BD120" s="1081">
        <f t="shared" ca="1" si="4"/>
        <v>0</v>
      </c>
      <c r="BE120" s="1081">
        <f t="shared" ca="1" si="4"/>
        <v>0</v>
      </c>
      <c r="BF120" s="1081">
        <f t="shared" ca="1" si="4"/>
        <v>0</v>
      </c>
      <c r="CA120" s="16">
        <v>-9999</v>
      </c>
      <c r="CB120" s="16">
        <v>0.17201667687103406</v>
      </c>
      <c r="CC120" s="16">
        <v>0.50837262549234818</v>
      </c>
      <c r="CD120" s="16">
        <v>0.4807042607000378</v>
      </c>
      <c r="CE120" s="16">
        <v>0.25553335382724196</v>
      </c>
      <c r="CF120" s="16">
        <v>0.50355800003831774</v>
      </c>
      <c r="CG120" s="16">
        <v>0.51961113247069868</v>
      </c>
      <c r="CH120" s="16">
        <v>0.52286761830309114</v>
      </c>
      <c r="CI120" s="16">
        <v>0.52613168181772085</v>
      </c>
      <c r="CJ120" s="16">
        <v>0.42675568179741941</v>
      </c>
      <c r="CK120" s="16">
        <v>0.42437861149153822</v>
      </c>
      <c r="CL120" s="16">
        <v>0.40407966192754774</v>
      </c>
      <c r="CM120" s="16">
        <v>0.39910377553002974</v>
      </c>
      <c r="CN120" s="16">
        <v>-9999</v>
      </c>
      <c r="CO120" s="16">
        <v>0.1836788244555132</v>
      </c>
      <c r="CP120" s="16">
        <v>0.51025357468521548</v>
      </c>
      <c r="CQ120" s="16">
        <v>0.28954175192061893</v>
      </c>
      <c r="CR120" s="16">
        <v>0.63765205173609285</v>
      </c>
      <c r="CS120" s="16">
        <v>0.3722352121519501</v>
      </c>
      <c r="CT120" s="16">
        <v>0.36099512891341057</v>
      </c>
      <c r="CU120" s="16">
        <v>0.45177445169675146</v>
      </c>
      <c r="CV120" s="16">
        <v>0.44232765278668928</v>
      </c>
      <c r="CW120" s="16">
        <v>0.35039169671382542</v>
      </c>
      <c r="CX120" s="16">
        <v>0.51742982532558823</v>
      </c>
      <c r="CY120" s="16">
        <v>0.43537348087285821</v>
      </c>
      <c r="CZ120" s="16">
        <v>0.38652710475290952</v>
      </c>
      <c r="DA120" s="16">
        <v>-9999</v>
      </c>
      <c r="DB120" s="16">
        <v>0.17201667687103406</v>
      </c>
      <c r="DC120" s="16">
        <v>0.50837262549234818</v>
      </c>
      <c r="DD120" s="16">
        <v>0.4807042607000378</v>
      </c>
      <c r="DE120" s="16">
        <v>0.25553335382724196</v>
      </c>
      <c r="DF120" s="16">
        <v>0.50355800003831774</v>
      </c>
      <c r="DG120" s="16">
        <v>0.51961113247069868</v>
      </c>
      <c r="DH120" s="16">
        <v>0.52286761830309114</v>
      </c>
      <c r="DI120" s="16">
        <v>0.52613168181772085</v>
      </c>
      <c r="DJ120" s="16">
        <v>0.42675568179741941</v>
      </c>
      <c r="DK120" s="16">
        <v>0.42437861149153822</v>
      </c>
      <c r="DL120" s="16">
        <v>0.40407966192754774</v>
      </c>
      <c r="DM120" s="16">
        <v>0.39910377553002974</v>
      </c>
      <c r="DN120" s="16">
        <v>-9999</v>
      </c>
      <c r="DO120" s="16">
        <v>0.17201667687103406</v>
      </c>
      <c r="DP120" s="16">
        <v>0.50837262549234818</v>
      </c>
      <c r="DQ120" s="16">
        <v>0.4807042607000378</v>
      </c>
      <c r="DR120" s="16">
        <v>0.25553335382724196</v>
      </c>
      <c r="DS120" s="16">
        <v>0.50355800003831774</v>
      </c>
      <c r="DT120" s="16">
        <v>0.51961113247069868</v>
      </c>
      <c r="DU120" s="16">
        <v>0.52286761830309114</v>
      </c>
      <c r="DV120" s="16">
        <v>0.52613168181772085</v>
      </c>
      <c r="DW120" s="16">
        <v>0.42675568179741941</v>
      </c>
      <c r="DX120" s="16">
        <v>0.42437861149153822</v>
      </c>
      <c r="DY120" s="16">
        <v>0.40407966192754774</v>
      </c>
      <c r="DZ120" s="16">
        <v>0.39910377553002974</v>
      </c>
      <c r="EA120" s="2107">
        <v>-9999</v>
      </c>
      <c r="EB120" s="2106">
        <v>0.17201667687103406</v>
      </c>
      <c r="EC120" s="2106">
        <v>0.50837262549234818</v>
      </c>
      <c r="ED120" s="2106">
        <v>0.4807042607000378</v>
      </c>
      <c r="EE120" s="2106">
        <v>0.25553335382724196</v>
      </c>
      <c r="EF120" s="2106">
        <v>0.50355800003831774</v>
      </c>
      <c r="EG120" s="2106">
        <v>0.51961113247069868</v>
      </c>
      <c r="EH120" s="2106">
        <v>0.52286761830309114</v>
      </c>
      <c r="EI120" s="2106">
        <v>0.52613168181772085</v>
      </c>
      <c r="EJ120" s="2106">
        <v>0.42675568179741941</v>
      </c>
      <c r="EK120" s="2106">
        <v>0.42437861149153822</v>
      </c>
      <c r="EL120" s="2106">
        <v>0.40407966192754774</v>
      </c>
      <c r="EM120" s="2106">
        <v>0.39910377553002974</v>
      </c>
    </row>
    <row r="121" spans="1:143">
      <c r="A121" s="22">
        <v>21</v>
      </c>
      <c r="B121" s="31" t="s">
        <v>554</v>
      </c>
      <c r="C121" s="25">
        <v>-9999</v>
      </c>
      <c r="D121" s="1081">
        <f ca="1">OFFSET('Q1'!G12,0,(Last_forecast_year - 3-InputY!$G$3)*4+4)</f>
        <v>-0.21693612795993245</v>
      </c>
      <c r="E121" s="1081">
        <f ca="1">OFFSET('Q1'!H12,0,(Last_forecast_year - 3-InputY!$G$3)*4+4)</f>
        <v>0.69765177982326065</v>
      </c>
      <c r="F121" s="1081">
        <f ca="1">OFFSET('Q1'!I12,0,(Last_forecast_year - 3-InputY!$G$3)*4+4)</f>
        <v>-0.57358912114117144</v>
      </c>
      <c r="G121" s="1081">
        <f ca="1">OFFSET('Q1'!J12,0,(Last_forecast_year - 3-InputY!$G$3)*4+4)</f>
        <v>1.9510824942742477</v>
      </c>
      <c r="H121" s="1081">
        <f ca="1">OFFSET('Q1'!K12,0,(Last_forecast_year - 3-InputY!$G$3)*4+4)</f>
        <v>1.48</v>
      </c>
      <c r="I121" s="1081">
        <f ca="1">OFFSET('Q1'!L12,0,(Last_forecast_year - 3-InputY!$G$3)*4+4)</f>
        <v>1.55</v>
      </c>
      <c r="J121" s="1081">
        <f ca="1">OFFSET('Q1'!M12,0,(Last_forecast_year - 3-InputY!$G$3)*4+4)</f>
        <v>1.35</v>
      </c>
      <c r="K121" s="1081">
        <f ca="1">OFFSET('Q1'!N12,0,(Last_forecast_year - 3-InputY!$G$3)*4+4)</f>
        <v>1.25</v>
      </c>
      <c r="L121" s="1081">
        <f ca="1">OFFSET('Q1'!O12,0,(Last_forecast_year - 3-InputY!$G$3)*4+4)</f>
        <v>1.1100000000000001</v>
      </c>
      <c r="M121" s="1081">
        <f ca="1">OFFSET('Q1'!P12,0,(Last_forecast_year - 3-InputY!$G$3)*4+4)</f>
        <v>0.92</v>
      </c>
      <c r="N121" s="1081">
        <f ca="1">OFFSET('Q1'!Q12,0,(Last_forecast_year - 3-InputY!$G$3)*4+4)</f>
        <v>0.77</v>
      </c>
      <c r="O121" s="1081">
        <f ca="1">OFFSET('Q1'!R12,0,(Last_forecast_year - 3-InputY!$G$3)*4+4)</f>
        <v>0.7</v>
      </c>
      <c r="P121" s="26"/>
      <c r="Q121"/>
      <c r="AA121" s="22">
        <v>21</v>
      </c>
      <c r="AB121" s="1081" t="str">
        <f t="shared" si="3"/>
        <v>QUART. VOL. EXPORTS G AND S (cols 2-13)</v>
      </c>
      <c r="AC121" s="1081">
        <f>CHOOSE(Tables!$U$2,Transfer!CA121,Transfer!CN121,Transfer!DA121,Transfer!DN121,Transfer!EA121)</f>
        <v>-9999</v>
      </c>
      <c r="AD121" s="1081">
        <f>CHOOSE(Tables!$U$2,Transfer!CB121,Transfer!CO121,Transfer!DB121,Transfer!DO121,Transfer!EB121)</f>
        <v>-0.21693612795993245</v>
      </c>
      <c r="AE121" s="1081">
        <f>CHOOSE(Tables!$U$2,Transfer!CC121,Transfer!CP121,Transfer!DC121,Transfer!DP121,Transfer!EC121)</f>
        <v>0.69765177982326065</v>
      </c>
      <c r="AF121" s="1081">
        <f>CHOOSE(Tables!$U$2,Transfer!CD121,Transfer!CQ121,Transfer!DD121,Transfer!DQ121,Transfer!ED121)</f>
        <v>-0.57358912114117144</v>
      </c>
      <c r="AG121" s="1081">
        <f>CHOOSE(Tables!$U$2,Transfer!CE121,Transfer!CR121,Transfer!DE121,Transfer!DR121,Transfer!EE121)</f>
        <v>1.9510824942742477</v>
      </c>
      <c r="AH121" s="1081">
        <f>CHOOSE(Tables!$U$2,Transfer!CF121,Transfer!CS121,Transfer!DF121,Transfer!DS121,Transfer!EF121)</f>
        <v>1.48</v>
      </c>
      <c r="AI121" s="1081">
        <f>CHOOSE(Tables!$U$2,Transfer!CG121,Transfer!CT121,Transfer!DG121,Transfer!DT121,Transfer!EG121)</f>
        <v>1.55</v>
      </c>
      <c r="AJ121" s="1081">
        <f>CHOOSE(Tables!$U$2,Transfer!CH121,Transfer!CU121,Transfer!DH121,Transfer!DU121,Transfer!EH121)</f>
        <v>1.35</v>
      </c>
      <c r="AK121" s="1081">
        <f>CHOOSE(Tables!$U$2,Transfer!CI121,Transfer!CV121,Transfer!DI121,Transfer!DV121,Transfer!EI121)</f>
        <v>1.25</v>
      </c>
      <c r="AL121" s="1081">
        <f>CHOOSE(Tables!$U$2,Transfer!CJ121,Transfer!CW121,Transfer!DJ121,Transfer!DW121,Transfer!EJ121)</f>
        <v>1.1100000000000001</v>
      </c>
      <c r="AM121" s="1081">
        <f>CHOOSE(Tables!$U$2,Transfer!CK121,Transfer!CX121,Transfer!DK121,Transfer!DX121,Transfer!EK121)</f>
        <v>0.92</v>
      </c>
      <c r="AN121" s="1081">
        <f>CHOOSE(Tables!$U$2,Transfer!CL121,Transfer!CY121,Transfer!DL121,Transfer!DY121,Transfer!EL121)</f>
        <v>0.77</v>
      </c>
      <c r="AO121" s="1081">
        <f>CHOOSE(Tables!$U$2,Transfer!CM121,Transfer!CZ121,Transfer!DM121,Transfer!DZ121,Transfer!EM121)</f>
        <v>0.7</v>
      </c>
      <c r="AR121" s="22">
        <v>21</v>
      </c>
      <c r="AS121" s="31" t="s">
        <v>554</v>
      </c>
      <c r="AT121" s="25">
        <f t="shared" ref="AT121:BF145" si="5">C121-AC121</f>
        <v>0</v>
      </c>
      <c r="AU121" s="1081">
        <f t="shared" ca="1" si="5"/>
        <v>0</v>
      </c>
      <c r="AV121" s="1081">
        <f t="shared" ca="1" si="5"/>
        <v>0</v>
      </c>
      <c r="AW121" s="1081">
        <f t="shared" ca="1" si="5"/>
        <v>0</v>
      </c>
      <c r="AX121" s="1081">
        <f t="shared" ca="1" si="5"/>
        <v>0</v>
      </c>
      <c r="AY121" s="1081">
        <f t="shared" ca="1" si="5"/>
        <v>0</v>
      </c>
      <c r="AZ121" s="1081">
        <f t="shared" ca="1" si="5"/>
        <v>0</v>
      </c>
      <c r="BA121" s="1081">
        <f t="shared" ca="1" si="5"/>
        <v>0</v>
      </c>
      <c r="BB121" s="1081">
        <f t="shared" ca="1" si="4"/>
        <v>0</v>
      </c>
      <c r="BC121" s="1081">
        <f t="shared" ca="1" si="4"/>
        <v>0</v>
      </c>
      <c r="BD121" s="1081">
        <f t="shared" ca="1" si="4"/>
        <v>0</v>
      </c>
      <c r="BE121" s="1081">
        <f t="shared" ca="1" si="4"/>
        <v>0</v>
      </c>
      <c r="BF121" s="1081">
        <f t="shared" ca="1" si="4"/>
        <v>0</v>
      </c>
      <c r="CA121" s="16">
        <v>-9999</v>
      </c>
      <c r="CB121" s="16">
        <v>-0.21693612795993245</v>
      </c>
      <c r="CC121" s="16">
        <v>0.69765177982326065</v>
      </c>
      <c r="CD121" s="16">
        <v>-0.57358912114117144</v>
      </c>
      <c r="CE121" s="16">
        <v>1.9510824942742477</v>
      </c>
      <c r="CF121" s="16">
        <v>1.53</v>
      </c>
      <c r="CG121" s="16">
        <v>1.45</v>
      </c>
      <c r="CH121" s="16">
        <v>1.35</v>
      </c>
      <c r="CI121" s="16">
        <v>1.25</v>
      </c>
      <c r="CJ121" s="16">
        <v>1.1100000000000001</v>
      </c>
      <c r="CK121" s="16">
        <v>0.92</v>
      </c>
      <c r="CL121" s="16">
        <v>0.82</v>
      </c>
      <c r="CM121" s="16">
        <v>0.7</v>
      </c>
      <c r="CN121" s="16">
        <v>-9999</v>
      </c>
      <c r="CO121" s="16">
        <v>-0.14138623265050887</v>
      </c>
      <c r="CP121" s="16">
        <v>0.73170995320084309</v>
      </c>
      <c r="CQ121" s="16">
        <v>-0.17274678111588448</v>
      </c>
      <c r="CR121" s="16">
        <v>1.5</v>
      </c>
      <c r="CS121" s="16">
        <v>1.4</v>
      </c>
      <c r="CT121" s="16">
        <v>1.4</v>
      </c>
      <c r="CU121" s="16">
        <v>1.45</v>
      </c>
      <c r="CV121" s="16">
        <v>1.4</v>
      </c>
      <c r="CW121" s="16">
        <v>1</v>
      </c>
      <c r="CX121" s="16">
        <v>0.85</v>
      </c>
      <c r="CY121" s="16">
        <v>0.8</v>
      </c>
      <c r="CZ121" s="16">
        <v>0.8</v>
      </c>
      <c r="DA121" s="16">
        <v>-9999</v>
      </c>
      <c r="DB121" s="16">
        <v>-0.21693612795993245</v>
      </c>
      <c r="DC121" s="16">
        <v>0.69765177982326065</v>
      </c>
      <c r="DD121" s="16">
        <v>-0.57358912114117144</v>
      </c>
      <c r="DE121" s="16">
        <v>1.9510824942742477</v>
      </c>
      <c r="DF121" s="16">
        <v>1.53</v>
      </c>
      <c r="DG121" s="16">
        <v>1.45</v>
      </c>
      <c r="DH121" s="16">
        <v>1.35</v>
      </c>
      <c r="DI121" s="16">
        <v>1.25</v>
      </c>
      <c r="DJ121" s="16">
        <v>1.1100000000000001</v>
      </c>
      <c r="DK121" s="16">
        <v>0.92</v>
      </c>
      <c r="DL121" s="16">
        <v>0.82</v>
      </c>
      <c r="DM121" s="16">
        <v>0.7</v>
      </c>
      <c r="DN121" s="16">
        <v>-9999</v>
      </c>
      <c r="DO121" s="16">
        <v>-0.21693612795993245</v>
      </c>
      <c r="DP121" s="16">
        <v>0.69765177982326065</v>
      </c>
      <c r="DQ121" s="16">
        <v>-0.57358912114117144</v>
      </c>
      <c r="DR121" s="16">
        <v>1.9510824942742477</v>
      </c>
      <c r="DS121" s="16">
        <v>1.48</v>
      </c>
      <c r="DT121" s="16">
        <v>1.55</v>
      </c>
      <c r="DU121" s="16">
        <v>1.35</v>
      </c>
      <c r="DV121" s="16">
        <v>1.25</v>
      </c>
      <c r="DW121" s="16">
        <v>1.1100000000000001</v>
      </c>
      <c r="DX121" s="16">
        <v>0.92</v>
      </c>
      <c r="DY121" s="16">
        <v>0.77</v>
      </c>
      <c r="DZ121" s="16">
        <v>0.7</v>
      </c>
      <c r="EA121" s="2107">
        <v>-9999</v>
      </c>
      <c r="EB121" s="2106">
        <v>-0.21693612795993245</v>
      </c>
      <c r="EC121" s="2106">
        <v>0.69765177982326065</v>
      </c>
      <c r="ED121" s="2106">
        <v>-0.57358912114117144</v>
      </c>
      <c r="EE121" s="2106">
        <v>1.9510824942742477</v>
      </c>
      <c r="EF121" s="2106">
        <v>1.48</v>
      </c>
      <c r="EG121" s="2106">
        <v>1.55</v>
      </c>
      <c r="EH121" s="2106">
        <v>1.35</v>
      </c>
      <c r="EI121" s="2106">
        <v>1.25</v>
      </c>
      <c r="EJ121" s="2106">
        <v>1.1100000000000001</v>
      </c>
      <c r="EK121" s="2106">
        <v>0.92</v>
      </c>
      <c r="EL121" s="2106">
        <v>0.77</v>
      </c>
      <c r="EM121" s="2106">
        <v>0.7</v>
      </c>
    </row>
    <row r="122" spans="1:143">
      <c r="A122" s="22">
        <v>22</v>
      </c>
      <c r="B122" s="31" t="s">
        <v>555</v>
      </c>
      <c r="C122" s="25">
        <v>-9999</v>
      </c>
      <c r="D122" s="1081">
        <f ca="1">OFFSET('Q1'!G13,0,(Last_forecast_year - 3-InputY!$G$3)*4+4)</f>
        <v>-1.2273013178143444E-2</v>
      </c>
      <c r="E122" s="1081">
        <f ca="1">OFFSET('Q1'!H13,0,(Last_forecast_year - 3-InputY!$G$3)*4+4)</f>
        <v>0.59787139372056153</v>
      </c>
      <c r="F122" s="1081">
        <f ca="1">OFFSET('Q1'!I13,0,(Last_forecast_year - 3-InputY!$G$3)*4+4)</f>
        <v>-1.8302354902988149E-2</v>
      </c>
      <c r="G122" s="1081">
        <f ca="1">OFFSET('Q1'!J13,0,(Last_forecast_year - 3-InputY!$G$3)*4+4)</f>
        <v>1.0535950371199254</v>
      </c>
      <c r="H122" s="1081">
        <f ca="1">OFFSET('Q1'!K13,0,(Last_forecast_year - 3-InputY!$G$3)*4+4)</f>
        <v>0.96723184992852929</v>
      </c>
      <c r="I122" s="1081">
        <f ca="1">OFFSET('Q1'!L13,0,(Last_forecast_year - 3-InputY!$G$3)*4+4)</f>
        <v>1.011387119338214</v>
      </c>
      <c r="J122" s="1081">
        <f ca="1">OFFSET('Q1'!M13,0,(Last_forecast_year - 3-InputY!$G$3)*4+4)</f>
        <v>0.91973990815301665</v>
      </c>
      <c r="K122" s="1081">
        <f ca="1">OFFSET('Q1'!N13,0,(Last_forecast_year - 3-InputY!$G$3)*4+4)</f>
        <v>0.87493688360302801</v>
      </c>
      <c r="L122" s="1081">
        <f ca="1">OFFSET('Q1'!O13,0,(Last_forecast_year - 3-InputY!$G$3)*4+4)</f>
        <v>0.75720980006372951</v>
      </c>
      <c r="M122" s="1081">
        <f ca="1">OFFSET('Q1'!P13,0,(Last_forecast_year - 3-InputY!$G$3)*4+4)</f>
        <v>0.66492739107049115</v>
      </c>
      <c r="N122" s="1081">
        <f ca="1">OFFSET('Q1'!Q13,0,(Last_forecast_year - 3-InputY!$G$3)*4+4)</f>
        <v>0.58212832767678968</v>
      </c>
      <c r="O122" s="1081">
        <f ca="1">OFFSET('Q1'!R13,0,(Last_forecast_year - 3-InputY!$G$3)*4+4)</f>
        <v>0.54578662935826916</v>
      </c>
      <c r="P122" s="26"/>
      <c r="Q122"/>
      <c r="AA122" s="22">
        <v>22</v>
      </c>
      <c r="AB122" s="1081" t="str">
        <f t="shared" si="3"/>
        <v>QUART. VOL. FINAL DEMAND (cols 2-13)</v>
      </c>
      <c r="AC122" s="1081">
        <f>CHOOSE(Tables!$U$2,Transfer!CA122,Transfer!CN122,Transfer!DA122,Transfer!DN122,Transfer!EA122)</f>
        <v>-9999</v>
      </c>
      <c r="AD122" s="1081">
        <f>CHOOSE(Tables!$U$2,Transfer!CB122,Transfer!CO122,Transfer!DB122,Transfer!DO122,Transfer!EB122)</f>
        <v>-1.2273013178143444E-2</v>
      </c>
      <c r="AE122" s="1081">
        <f>CHOOSE(Tables!$U$2,Transfer!CC122,Transfer!CP122,Transfer!DC122,Transfer!DP122,Transfer!EC122)</f>
        <v>0.59787139372056153</v>
      </c>
      <c r="AF122" s="1081">
        <f>CHOOSE(Tables!$U$2,Transfer!CD122,Transfer!CQ122,Transfer!DD122,Transfer!DQ122,Transfer!ED122)</f>
        <v>-1.8302354902988149E-2</v>
      </c>
      <c r="AG122" s="1081">
        <f>CHOOSE(Tables!$U$2,Transfer!CE122,Transfer!CR122,Transfer!DE122,Transfer!DR122,Transfer!EE122)</f>
        <v>1.0535950371199254</v>
      </c>
      <c r="AH122" s="1081">
        <f>CHOOSE(Tables!$U$2,Transfer!CF122,Transfer!CS122,Transfer!DF122,Transfer!DS122,Transfer!EF122)</f>
        <v>0.96723184992852929</v>
      </c>
      <c r="AI122" s="1081">
        <f>CHOOSE(Tables!$U$2,Transfer!CG122,Transfer!CT122,Transfer!DG122,Transfer!DT122,Transfer!EG122)</f>
        <v>1.011387119338214</v>
      </c>
      <c r="AJ122" s="1081">
        <f>CHOOSE(Tables!$U$2,Transfer!CH122,Transfer!CU122,Transfer!DH122,Transfer!DU122,Transfer!EH122)</f>
        <v>0.91973990815301665</v>
      </c>
      <c r="AK122" s="1081">
        <f>CHOOSE(Tables!$U$2,Transfer!CI122,Transfer!CV122,Transfer!DI122,Transfer!DV122,Transfer!EI122)</f>
        <v>0.87493688360302801</v>
      </c>
      <c r="AL122" s="1081">
        <f>CHOOSE(Tables!$U$2,Transfer!CJ122,Transfer!CW122,Transfer!DJ122,Transfer!DW122,Transfer!EJ122)</f>
        <v>0.75720980006372951</v>
      </c>
      <c r="AM122" s="1081">
        <f>CHOOSE(Tables!$U$2,Transfer!CK122,Transfer!CX122,Transfer!DK122,Transfer!DX122,Transfer!EK122)</f>
        <v>0.66492739107049115</v>
      </c>
      <c r="AN122" s="1081">
        <f>CHOOSE(Tables!$U$2,Transfer!CL122,Transfer!CY122,Transfer!DL122,Transfer!DY122,Transfer!EL122)</f>
        <v>0.58212832767678968</v>
      </c>
      <c r="AO122" s="1081">
        <f>CHOOSE(Tables!$U$2,Transfer!CM122,Transfer!CZ122,Transfer!DM122,Transfer!DZ122,Transfer!EM122)</f>
        <v>0.54578662935826916</v>
      </c>
      <c r="AR122" s="22">
        <v>22</v>
      </c>
      <c r="AS122" s="31" t="s">
        <v>555</v>
      </c>
      <c r="AT122" s="25">
        <f t="shared" si="5"/>
        <v>0</v>
      </c>
      <c r="AU122" s="1081">
        <f t="shared" ca="1" si="5"/>
        <v>0</v>
      </c>
      <c r="AV122" s="1081">
        <f t="shared" ca="1" si="5"/>
        <v>0</v>
      </c>
      <c r="AW122" s="1081">
        <f t="shared" ca="1" si="5"/>
        <v>0</v>
      </c>
      <c r="AX122" s="1081">
        <f t="shared" ca="1" si="5"/>
        <v>0</v>
      </c>
      <c r="AY122" s="1081">
        <f t="shared" ca="1" si="5"/>
        <v>0</v>
      </c>
      <c r="AZ122" s="1081">
        <f t="shared" ca="1" si="5"/>
        <v>0</v>
      </c>
      <c r="BA122" s="1081">
        <f t="shared" ca="1" si="5"/>
        <v>0</v>
      </c>
      <c r="BB122" s="1081">
        <f t="shared" ca="1" si="4"/>
        <v>0</v>
      </c>
      <c r="BC122" s="1081">
        <f t="shared" ca="1" si="4"/>
        <v>0</v>
      </c>
      <c r="BD122" s="1081">
        <f t="shared" ca="1" si="4"/>
        <v>0</v>
      </c>
      <c r="BE122" s="1081">
        <f t="shared" ca="1" si="4"/>
        <v>0</v>
      </c>
      <c r="BF122" s="1081">
        <f t="shared" ca="1" si="4"/>
        <v>0</v>
      </c>
      <c r="CA122" s="16">
        <v>-9999</v>
      </c>
      <c r="CB122" s="16">
        <v>-1.2273013178143444E-2</v>
      </c>
      <c r="CC122" s="16">
        <v>0.59787139372056153</v>
      </c>
      <c r="CD122" s="16">
        <v>-1.8302354902988149E-2</v>
      </c>
      <c r="CE122" s="16">
        <v>1.0535950371199254</v>
      </c>
      <c r="CF122" s="16">
        <v>0.99097488074391116</v>
      </c>
      <c r="CG122" s="16">
        <v>0.9637742357035517</v>
      </c>
      <c r="CH122" s="16">
        <v>0.91963820652432027</v>
      </c>
      <c r="CI122" s="16">
        <v>0.87484785095954809</v>
      </c>
      <c r="CJ122" s="16">
        <v>0.75712574312636338</v>
      </c>
      <c r="CK122" s="16">
        <v>0.66486640379757045</v>
      </c>
      <c r="CL122" s="16">
        <v>0.60640602421682122</v>
      </c>
      <c r="CM122" s="16">
        <v>0.54578688655284591</v>
      </c>
      <c r="CN122" s="16">
        <v>-9999</v>
      </c>
      <c r="CO122" s="16">
        <v>2.9659781847191091E-2</v>
      </c>
      <c r="CP122" s="16">
        <v>0.61500237719125384</v>
      </c>
      <c r="CQ122" s="16">
        <v>7.0625774851107437E-2</v>
      </c>
      <c r="CR122" s="16">
        <v>1.045022365969217</v>
      </c>
      <c r="CS122" s="16">
        <v>0.85993402203923264</v>
      </c>
      <c r="CT122" s="16">
        <v>0.85666762387184292</v>
      </c>
      <c r="CU122" s="16">
        <v>0.93055804300026246</v>
      </c>
      <c r="CV122" s="16">
        <v>0.90402449200623902</v>
      </c>
      <c r="CW122" s="16">
        <v>0.66510926598484232</v>
      </c>
      <c r="CX122" s="16">
        <v>0.67908705199506425</v>
      </c>
      <c r="CY122" s="16">
        <v>0.61291368329592366</v>
      </c>
      <c r="CZ122" s="16">
        <v>0.58822543845369335</v>
      </c>
      <c r="DA122" s="16">
        <v>-9999</v>
      </c>
      <c r="DB122" s="16">
        <v>-1.2273013178143444E-2</v>
      </c>
      <c r="DC122" s="16">
        <v>0.59787139372056153</v>
      </c>
      <c r="DD122" s="16">
        <v>-1.8302354902988149E-2</v>
      </c>
      <c r="DE122" s="16">
        <v>1.0535950371199254</v>
      </c>
      <c r="DF122" s="16">
        <v>0.99097488074391116</v>
      </c>
      <c r="DG122" s="16">
        <v>0.9637742357035517</v>
      </c>
      <c r="DH122" s="16">
        <v>0.91963820652432027</v>
      </c>
      <c r="DI122" s="16">
        <v>0.87484785095954809</v>
      </c>
      <c r="DJ122" s="16">
        <v>0.75712574312636338</v>
      </c>
      <c r="DK122" s="16">
        <v>0.66486640379757045</v>
      </c>
      <c r="DL122" s="16">
        <v>0.60640602421682122</v>
      </c>
      <c r="DM122" s="16">
        <v>0.54578688655284591</v>
      </c>
      <c r="DN122" s="16">
        <v>-9999</v>
      </c>
      <c r="DO122" s="16">
        <v>-1.2273013178143444E-2</v>
      </c>
      <c r="DP122" s="16">
        <v>0.59787139372056153</v>
      </c>
      <c r="DQ122" s="16">
        <v>-1.8302354902988149E-2</v>
      </c>
      <c r="DR122" s="16">
        <v>1.0535950371199254</v>
      </c>
      <c r="DS122" s="16">
        <v>0.96723184992852929</v>
      </c>
      <c r="DT122" s="16">
        <v>1.011387119338214</v>
      </c>
      <c r="DU122" s="16">
        <v>0.91973990815301665</v>
      </c>
      <c r="DV122" s="16">
        <v>0.87493688360302801</v>
      </c>
      <c r="DW122" s="16">
        <v>0.75720980006372951</v>
      </c>
      <c r="DX122" s="16">
        <v>0.66492739107049115</v>
      </c>
      <c r="DY122" s="16">
        <v>0.58212832767678968</v>
      </c>
      <c r="DZ122" s="16">
        <v>0.54578662935826916</v>
      </c>
      <c r="EA122" s="2107">
        <v>-9999</v>
      </c>
      <c r="EB122" s="2106">
        <v>-1.2273013178143444E-2</v>
      </c>
      <c r="EC122" s="2106">
        <v>0.59787139372056153</v>
      </c>
      <c r="ED122" s="2106">
        <v>-1.8302354902988149E-2</v>
      </c>
      <c r="EE122" s="2106">
        <v>1.0535950371199254</v>
      </c>
      <c r="EF122" s="2106">
        <v>0.96723184992852929</v>
      </c>
      <c r="EG122" s="2106">
        <v>1.011387119338214</v>
      </c>
      <c r="EH122" s="2106">
        <v>0.91973990815301665</v>
      </c>
      <c r="EI122" s="2106">
        <v>0.87493688360302801</v>
      </c>
      <c r="EJ122" s="2106">
        <v>0.75720980006372951</v>
      </c>
      <c r="EK122" s="2106">
        <v>0.66492739107049115</v>
      </c>
      <c r="EL122" s="2106">
        <v>0.58212832767678968</v>
      </c>
      <c r="EM122" s="2106">
        <v>0.54578662935826916</v>
      </c>
    </row>
    <row r="123" spans="1:143">
      <c r="A123" s="22">
        <v>23</v>
      </c>
      <c r="B123" s="31" t="s">
        <v>536</v>
      </c>
      <c r="C123" s="25">
        <v>-9999</v>
      </c>
      <c r="D123" s="1081">
        <f ca="1">OFFSET('Q1'!G14,0,(Last_forecast_year - 3-InputY!$G$3)*4+4)</f>
        <v>-0.51618242801759751</v>
      </c>
      <c r="E123" s="1081">
        <f ca="1">OFFSET('Q1'!H14,0,(Last_forecast_year - 3-InputY!$G$3)*4+4)</f>
        <v>0.77719640081441721</v>
      </c>
      <c r="F123" s="1081">
        <f ca="1">OFFSET('Q1'!I14,0,(Last_forecast_year - 3-InputY!$G$3)*4+4)</f>
        <v>-0.73861661452901961</v>
      </c>
      <c r="G123" s="1081">
        <f ca="1">OFFSET('Q1'!J14,0,(Last_forecast_year - 3-InputY!$G$3)*4+4)</f>
        <v>1.5702967696752168</v>
      </c>
      <c r="H123" s="1081">
        <f ca="1">OFFSET('Q1'!K14,0,(Last_forecast_year - 3-InputY!$G$3)*4+4)</f>
        <v>1.6</v>
      </c>
      <c r="I123" s="1081">
        <f ca="1">OFFSET('Q1'!L14,0,(Last_forecast_year - 3-InputY!$G$3)*4+4)</f>
        <v>1.55</v>
      </c>
      <c r="J123" s="1081">
        <f ca="1">OFFSET('Q1'!M14,0,(Last_forecast_year - 3-InputY!$G$3)*4+4)</f>
        <v>1.4</v>
      </c>
      <c r="K123" s="1081">
        <f ca="1">OFFSET('Q1'!N14,0,(Last_forecast_year - 3-InputY!$G$3)*4+4)</f>
        <v>1.3</v>
      </c>
      <c r="L123" s="1081">
        <f ca="1">OFFSET('Q1'!O14,0,(Last_forecast_year - 3-InputY!$G$3)*4+4)</f>
        <v>1.1000000000000001</v>
      </c>
      <c r="M123" s="1081">
        <f ca="1">OFFSET('Q1'!P14,0,(Last_forecast_year - 3-InputY!$G$3)*4+4)</f>
        <v>0.93</v>
      </c>
      <c r="N123" s="1081">
        <f ca="1">OFFSET('Q1'!Q14,0,(Last_forecast_year - 3-InputY!$G$3)*4+4)</f>
        <v>0.87</v>
      </c>
      <c r="O123" s="1081">
        <f ca="1">OFFSET('Q1'!R14,0,(Last_forecast_year - 3-InputY!$G$3)*4+4)</f>
        <v>0.84</v>
      </c>
      <c r="P123" s="26"/>
      <c r="Q123"/>
      <c r="AA123" s="22">
        <v>23</v>
      </c>
      <c r="AB123" s="1081" t="str">
        <f t="shared" si="3"/>
        <v>QUART. VOL. IMPORTS G AND S (cols 2-13)</v>
      </c>
      <c r="AC123" s="1081">
        <f>CHOOSE(Tables!$U$2,Transfer!CA123,Transfer!CN123,Transfer!DA123,Transfer!DN123,Transfer!EA123)</f>
        <v>-9999</v>
      </c>
      <c r="AD123" s="1081">
        <f>CHOOSE(Tables!$U$2,Transfer!CB123,Transfer!CO123,Transfer!DB123,Transfer!DO123,Transfer!EB123)</f>
        <v>-0.51618242801759751</v>
      </c>
      <c r="AE123" s="1081">
        <f>CHOOSE(Tables!$U$2,Transfer!CC123,Transfer!CP123,Transfer!DC123,Transfer!DP123,Transfer!EC123)</f>
        <v>0.77719640081441721</v>
      </c>
      <c r="AF123" s="1081">
        <f>CHOOSE(Tables!$U$2,Transfer!CD123,Transfer!CQ123,Transfer!DD123,Transfer!DQ123,Transfer!ED123)</f>
        <v>-0.73861661452901961</v>
      </c>
      <c r="AG123" s="1081">
        <f>CHOOSE(Tables!$U$2,Transfer!CE123,Transfer!CR123,Transfer!DE123,Transfer!DR123,Transfer!EE123)</f>
        <v>1.5702967696752168</v>
      </c>
      <c r="AH123" s="1081">
        <f>CHOOSE(Tables!$U$2,Transfer!CF123,Transfer!CS123,Transfer!DF123,Transfer!DS123,Transfer!EF123)</f>
        <v>1.6</v>
      </c>
      <c r="AI123" s="1081">
        <f>CHOOSE(Tables!$U$2,Transfer!CG123,Transfer!CT123,Transfer!DG123,Transfer!DT123,Transfer!EG123)</f>
        <v>1.55</v>
      </c>
      <c r="AJ123" s="1081">
        <f>CHOOSE(Tables!$U$2,Transfer!CH123,Transfer!CU123,Transfer!DH123,Transfer!DU123,Transfer!EH123)</f>
        <v>1.4</v>
      </c>
      <c r="AK123" s="1081">
        <f>CHOOSE(Tables!$U$2,Transfer!CI123,Transfer!CV123,Transfer!DI123,Transfer!DV123,Transfer!EI123)</f>
        <v>1.3</v>
      </c>
      <c r="AL123" s="1081">
        <f>CHOOSE(Tables!$U$2,Transfer!CJ123,Transfer!CW123,Transfer!DJ123,Transfer!DW123,Transfer!EJ123)</f>
        <v>1.1000000000000001</v>
      </c>
      <c r="AM123" s="1081">
        <f>CHOOSE(Tables!$U$2,Transfer!CK123,Transfer!CX123,Transfer!DK123,Transfer!DX123,Transfer!EK123)</f>
        <v>0.93</v>
      </c>
      <c r="AN123" s="1081">
        <f>CHOOSE(Tables!$U$2,Transfer!CL123,Transfer!CY123,Transfer!DL123,Transfer!DY123,Transfer!EL123)</f>
        <v>0.84</v>
      </c>
      <c r="AO123" s="1081">
        <f>CHOOSE(Tables!$U$2,Transfer!CM123,Transfer!CZ123,Transfer!DM123,Transfer!DZ123,Transfer!EM123)</f>
        <v>0.84</v>
      </c>
      <c r="AR123" s="22">
        <v>23</v>
      </c>
      <c r="AS123" s="31" t="s">
        <v>536</v>
      </c>
      <c r="AT123" s="25">
        <f t="shared" si="5"/>
        <v>0</v>
      </c>
      <c r="AU123" s="1081">
        <f t="shared" ca="1" si="5"/>
        <v>0</v>
      </c>
      <c r="AV123" s="1081">
        <f t="shared" ca="1" si="5"/>
        <v>0</v>
      </c>
      <c r="AW123" s="1081">
        <f t="shared" ca="1" si="5"/>
        <v>0</v>
      </c>
      <c r="AX123" s="1081">
        <f t="shared" ca="1" si="5"/>
        <v>0</v>
      </c>
      <c r="AY123" s="1081">
        <f t="shared" ca="1" si="5"/>
        <v>0</v>
      </c>
      <c r="AZ123" s="1081">
        <f t="shared" ca="1" si="5"/>
        <v>0</v>
      </c>
      <c r="BA123" s="1081">
        <f t="shared" ca="1" si="5"/>
        <v>0</v>
      </c>
      <c r="BB123" s="1081">
        <f t="shared" ca="1" si="4"/>
        <v>0</v>
      </c>
      <c r="BC123" s="1081">
        <f t="shared" ca="1" si="4"/>
        <v>0</v>
      </c>
      <c r="BD123" s="1081">
        <f t="shared" ca="1" si="4"/>
        <v>0</v>
      </c>
      <c r="BE123" s="1081">
        <f t="shared" ca="1" si="4"/>
        <v>3.0000000000000027E-2</v>
      </c>
      <c r="BF123" s="1081">
        <f t="shared" ca="1" si="4"/>
        <v>0</v>
      </c>
      <c r="CA123" s="16">
        <v>-9999</v>
      </c>
      <c r="CB123" s="16">
        <v>-0.51618242801759751</v>
      </c>
      <c r="CC123" s="16">
        <v>0.77719640081441721</v>
      </c>
      <c r="CD123" s="16">
        <v>-0.73861661452901961</v>
      </c>
      <c r="CE123" s="16">
        <v>1.5702967696752168</v>
      </c>
      <c r="CF123" s="16">
        <v>1.6</v>
      </c>
      <c r="CG123" s="16">
        <v>1.55</v>
      </c>
      <c r="CH123" s="16">
        <v>1.4</v>
      </c>
      <c r="CI123" s="16">
        <v>1.3</v>
      </c>
      <c r="CJ123" s="16">
        <v>1.1000000000000001</v>
      </c>
      <c r="CK123" s="16">
        <v>0.93</v>
      </c>
      <c r="CL123" s="16">
        <v>0.84</v>
      </c>
      <c r="CM123" s="16">
        <v>0.84</v>
      </c>
      <c r="CN123" s="16">
        <v>-9999</v>
      </c>
      <c r="CO123" s="16">
        <v>-0.44213094045389978</v>
      </c>
      <c r="CP123" s="16">
        <v>0.810527006628603</v>
      </c>
      <c r="CQ123" s="16">
        <v>-0.28102383819971211</v>
      </c>
      <c r="CR123" s="16">
        <v>1.65</v>
      </c>
      <c r="CS123" s="16">
        <v>1.3</v>
      </c>
      <c r="CT123" s="16">
        <v>1.4</v>
      </c>
      <c r="CU123" s="16">
        <v>1.3</v>
      </c>
      <c r="CV123" s="16">
        <v>1.2</v>
      </c>
      <c r="CW123" s="16">
        <v>1</v>
      </c>
      <c r="CX123" s="16">
        <v>1</v>
      </c>
      <c r="CY123" s="16">
        <v>1</v>
      </c>
      <c r="CZ123" s="16">
        <v>1</v>
      </c>
      <c r="DA123" s="16">
        <v>-9999</v>
      </c>
      <c r="DB123" s="16">
        <v>-0.51618242801759751</v>
      </c>
      <c r="DC123" s="16">
        <v>0.77719640081441721</v>
      </c>
      <c r="DD123" s="16">
        <v>-0.73861661452901961</v>
      </c>
      <c r="DE123" s="16">
        <v>1.5702967696752168</v>
      </c>
      <c r="DF123" s="16">
        <v>1.6</v>
      </c>
      <c r="DG123" s="16">
        <v>1.55</v>
      </c>
      <c r="DH123" s="16">
        <v>1.4</v>
      </c>
      <c r="DI123" s="16">
        <v>1.3</v>
      </c>
      <c r="DJ123" s="16">
        <v>1.1000000000000001</v>
      </c>
      <c r="DK123" s="16">
        <v>0.93</v>
      </c>
      <c r="DL123" s="16">
        <v>0.84</v>
      </c>
      <c r="DM123" s="16">
        <v>0.84</v>
      </c>
      <c r="DN123" s="16">
        <v>-9999</v>
      </c>
      <c r="DO123" s="16">
        <v>-0.51618242801759751</v>
      </c>
      <c r="DP123" s="16">
        <v>0.77719640081441721</v>
      </c>
      <c r="DQ123" s="16">
        <v>-0.73861661452901961</v>
      </c>
      <c r="DR123" s="16">
        <v>1.5702967696752168</v>
      </c>
      <c r="DS123" s="16">
        <v>1.6</v>
      </c>
      <c r="DT123" s="16">
        <v>1.55</v>
      </c>
      <c r="DU123" s="16">
        <v>1.4</v>
      </c>
      <c r="DV123" s="16">
        <v>1.3</v>
      </c>
      <c r="DW123" s="16">
        <v>1.1000000000000001</v>
      </c>
      <c r="DX123" s="16">
        <v>0.93</v>
      </c>
      <c r="DY123" s="16">
        <v>0.84</v>
      </c>
      <c r="DZ123" s="16">
        <v>0.84</v>
      </c>
      <c r="EA123" s="2107">
        <v>-9999</v>
      </c>
      <c r="EB123" s="2106">
        <v>-0.51618242801759751</v>
      </c>
      <c r="EC123" s="2106">
        <v>0.77719640081441721</v>
      </c>
      <c r="ED123" s="2106">
        <v>-0.73861661452901961</v>
      </c>
      <c r="EE123" s="2106">
        <v>1.5702967696752168</v>
      </c>
      <c r="EF123" s="2106">
        <v>1.6</v>
      </c>
      <c r="EG123" s="2106">
        <v>1.55</v>
      </c>
      <c r="EH123" s="2106">
        <v>1.4</v>
      </c>
      <c r="EI123" s="2106">
        <v>1.3</v>
      </c>
      <c r="EJ123" s="2106">
        <v>1.1000000000000001</v>
      </c>
      <c r="EK123" s="2106">
        <v>0.93</v>
      </c>
      <c r="EL123" s="2106">
        <v>0.87</v>
      </c>
      <c r="EM123" s="2106">
        <v>0.84</v>
      </c>
    </row>
    <row r="124" spans="1:143">
      <c r="A124" s="22">
        <v>24</v>
      </c>
      <c r="B124" s="31" t="s">
        <v>1945</v>
      </c>
      <c r="C124" s="25">
        <v>-9999</v>
      </c>
      <c r="D124" s="1081">
        <f ca="1">OFFSET('Q1'!G15,0,(Last_forecast_year - 3-InputY!$G$3)*4+4)</f>
        <v>0.66943365912437436</v>
      </c>
      <c r="E124" s="1081">
        <f ca="1">OFFSET('Q1'!H15,0,(Last_forecast_year - 3-InputY!$G$3)*4+4)</f>
        <v>0.45978758573517187</v>
      </c>
      <c r="F124" s="1081">
        <f ca="1">OFFSET('Q1'!I15,0,(Last_forecast_year - 3-InputY!$G$3)*4+4)</f>
        <v>0.19196217494090728</v>
      </c>
      <c r="G124" s="1081">
        <f ca="1">OFFSET('Q1'!J15,0,(Last_forecast_year - 3-InputY!$G$3)*4+4)</f>
        <v>0.5228733495040272</v>
      </c>
      <c r="H124" s="1081">
        <f ca="1">OFFSET('Q1'!K15,0,(Last_forecast_year - 3-InputY!$G$3)*4+4)</f>
        <v>0.41039105410907162</v>
      </c>
      <c r="I124" s="1081">
        <f ca="1">OFFSET('Q1'!L15,0,(Last_forecast_year - 3-InputY!$G$3)*4+4)</f>
        <v>0.53081669638552764</v>
      </c>
      <c r="J124" s="1081">
        <f ca="1">OFFSET('Q1'!M15,0,(Last_forecast_year - 3-InputY!$G$3)*4+4)</f>
        <v>0.48686800151156451</v>
      </c>
      <c r="K124" s="1081">
        <f ca="1">OFFSET('Q1'!N15,0,(Last_forecast_year - 3-InputY!$G$3)*4+4)</f>
        <v>0.48806190490571222</v>
      </c>
      <c r="L124" s="1081">
        <f ca="1">OFFSET('Q1'!O15,0,(Last_forecast_year - 3-InputY!$G$3)*4+4)</f>
        <v>0.44246310151412338</v>
      </c>
      <c r="M124" s="1081">
        <f ca="1">OFFSET('Q1'!P15,0,(Last_forecast_year - 3-InputY!$G$3)*4+4)</f>
        <v>0.41954953692420194</v>
      </c>
      <c r="N124" s="1081">
        <f ca="1">OFFSET('Q1'!Q15,0,(Last_forecast_year - 3-InputY!$G$3)*4+4)</f>
        <v>0.3150866133281971</v>
      </c>
      <c r="O124" s="1081">
        <f ca="1">OFFSET('Q1'!R15,0,(Last_forecast_year - 3-InputY!$G$3)*4+4)</f>
        <v>0.271646213633292</v>
      </c>
      <c r="P124" s="26"/>
      <c r="Q124"/>
      <c r="AA124" s="22">
        <v>24</v>
      </c>
      <c r="AB124" s="1081" t="str">
        <f t="shared" si="3"/>
        <v>QUART. VOL. GROSS DOM. PRODUCT (cols 2-13)</v>
      </c>
      <c r="AC124" s="1081">
        <f>CHOOSE(Tables!$U$2,Transfer!CA124,Transfer!CN124,Transfer!DA124,Transfer!DN124,Transfer!EA124)</f>
        <v>-9999</v>
      </c>
      <c r="AD124" s="1081">
        <f>CHOOSE(Tables!$U$2,Transfer!CB124,Transfer!CO124,Transfer!DB124,Transfer!DO124,Transfer!EB124)</f>
        <v>0.66943365912437436</v>
      </c>
      <c r="AE124" s="1081">
        <f>CHOOSE(Tables!$U$2,Transfer!CC124,Transfer!CP124,Transfer!DC124,Transfer!DP124,Transfer!EC124)</f>
        <v>0.45978758573517187</v>
      </c>
      <c r="AF124" s="1081">
        <f>CHOOSE(Tables!$U$2,Transfer!CD124,Transfer!CQ124,Transfer!DD124,Transfer!DQ124,Transfer!ED124)</f>
        <v>0.19196217494090728</v>
      </c>
      <c r="AG124" s="1081">
        <f>CHOOSE(Tables!$U$2,Transfer!CE124,Transfer!CR124,Transfer!DE124,Transfer!DR124,Transfer!EE124)</f>
        <v>0.5228733495040272</v>
      </c>
      <c r="AH124" s="1081">
        <f>CHOOSE(Tables!$U$2,Transfer!CF124,Transfer!CS124,Transfer!DF124,Transfer!DS124,Transfer!EF124)</f>
        <v>0.41039105410907162</v>
      </c>
      <c r="AI124" s="1081">
        <f>CHOOSE(Tables!$U$2,Transfer!CG124,Transfer!CT124,Transfer!DG124,Transfer!DT124,Transfer!EG124)</f>
        <v>0.53081669638552764</v>
      </c>
      <c r="AJ124" s="1081">
        <f>CHOOSE(Tables!$U$2,Transfer!CH124,Transfer!CU124,Transfer!DH124,Transfer!DU124,Transfer!EH124)</f>
        <v>0.48686800151156451</v>
      </c>
      <c r="AK124" s="1081">
        <f>CHOOSE(Tables!$U$2,Transfer!CI124,Transfer!CV124,Transfer!DI124,Transfer!DV124,Transfer!EI124)</f>
        <v>0.48806190490571222</v>
      </c>
      <c r="AL124" s="1081">
        <f>CHOOSE(Tables!$U$2,Transfer!CJ124,Transfer!CW124,Transfer!DJ124,Transfer!DW124,Transfer!EJ124)</f>
        <v>0.44246310151412338</v>
      </c>
      <c r="AM124" s="1081">
        <f>CHOOSE(Tables!$U$2,Transfer!CK124,Transfer!CX124,Transfer!DK124,Transfer!DX124,Transfer!EK124)</f>
        <v>0.41954953692420194</v>
      </c>
      <c r="AN124" s="1081">
        <f>CHOOSE(Tables!$U$2,Transfer!CL124,Transfer!CY124,Transfer!DL124,Transfer!DY124,Transfer!EL124)</f>
        <v>0.34258677076561828</v>
      </c>
      <c r="AO124" s="1081">
        <f>CHOOSE(Tables!$U$2,Transfer!CM124,Transfer!CZ124,Transfer!DM124,Transfer!DZ124,Transfer!EM124)</f>
        <v>0.27180197819058893</v>
      </c>
      <c r="AR124" s="22">
        <v>24</v>
      </c>
      <c r="AS124" s="31" t="s">
        <v>1945</v>
      </c>
      <c r="AT124" s="25">
        <f t="shared" si="5"/>
        <v>0</v>
      </c>
      <c r="AU124" s="1081">
        <f t="shared" ca="1" si="5"/>
        <v>0</v>
      </c>
      <c r="AV124" s="1081">
        <f t="shared" ca="1" si="5"/>
        <v>0</v>
      </c>
      <c r="AW124" s="1081">
        <f t="shared" ca="1" si="5"/>
        <v>0</v>
      </c>
      <c r="AX124" s="1081">
        <f t="shared" ca="1" si="5"/>
        <v>0</v>
      </c>
      <c r="AY124" s="1081">
        <f t="shared" ca="1" si="5"/>
        <v>0</v>
      </c>
      <c r="AZ124" s="1081">
        <f t="shared" ca="1" si="5"/>
        <v>0</v>
      </c>
      <c r="BA124" s="1081">
        <f t="shared" ca="1" si="5"/>
        <v>0</v>
      </c>
      <c r="BB124" s="1081">
        <f t="shared" ca="1" si="4"/>
        <v>0</v>
      </c>
      <c r="BC124" s="1081">
        <f t="shared" ca="1" si="4"/>
        <v>0</v>
      </c>
      <c r="BD124" s="1081">
        <f t="shared" ca="1" si="4"/>
        <v>0</v>
      </c>
      <c r="BE124" s="1081">
        <f t="shared" ca="1" si="4"/>
        <v>-2.750015743742118E-2</v>
      </c>
      <c r="BF124" s="1081">
        <f t="shared" ca="1" si="4"/>
        <v>-1.557645572969335E-4</v>
      </c>
      <c r="CA124" s="16">
        <v>-9999</v>
      </c>
      <c r="CB124" s="16">
        <v>0.66943365912437436</v>
      </c>
      <c r="CC124" s="16">
        <v>0.45978758573517187</v>
      </c>
      <c r="CD124" s="16">
        <v>0.19196217494090728</v>
      </c>
      <c r="CE124" s="16">
        <v>0.5228733495040272</v>
      </c>
      <c r="CF124" s="16">
        <v>0.45469330654319684</v>
      </c>
      <c r="CG124" s="16">
        <v>0.44171321133514851</v>
      </c>
      <c r="CH124" s="16">
        <v>0.48648329679701341</v>
      </c>
      <c r="CI124" s="16">
        <v>0.48771938478808785</v>
      </c>
      <c r="CJ124" s="16">
        <v>0.44216074194660671</v>
      </c>
      <c r="CK124" s="16">
        <v>0.41932135165856366</v>
      </c>
      <c r="CL124" s="16">
        <v>0.38888782369348451</v>
      </c>
      <c r="CM124" s="16">
        <v>0.27180334634835379</v>
      </c>
      <c r="CN124" s="16">
        <v>-9999</v>
      </c>
      <c r="CO124" s="16">
        <v>0.68664766750186068</v>
      </c>
      <c r="CP124" s="16">
        <v>0.46825728505754949</v>
      </c>
      <c r="CQ124" s="16">
        <v>0.25147243729732871</v>
      </c>
      <c r="CR124" s="16">
        <v>0.51089275105384857</v>
      </c>
      <c r="CS124" s="16">
        <v>0.46618505969227009</v>
      </c>
      <c r="CT124" s="16">
        <v>0.3685220192308547</v>
      </c>
      <c r="CU124" s="16">
        <v>0.59207958895948209</v>
      </c>
      <c r="CV124" s="16">
        <v>0.62957573086981355</v>
      </c>
      <c r="CW124" s="16">
        <v>0.35620318455726885</v>
      </c>
      <c r="CX124" s="16">
        <v>0.38085262755702676</v>
      </c>
      <c r="CY124" s="16">
        <v>0.25291185502467339</v>
      </c>
      <c r="CZ124" s="16">
        <v>0.20304621825169011</v>
      </c>
      <c r="DA124" s="16">
        <v>-9999</v>
      </c>
      <c r="DB124" s="16">
        <v>0.66943365912437436</v>
      </c>
      <c r="DC124" s="16">
        <v>0.45978758573517187</v>
      </c>
      <c r="DD124" s="16">
        <v>0.19196217494090728</v>
      </c>
      <c r="DE124" s="16">
        <v>0.5228733495040272</v>
      </c>
      <c r="DF124" s="16">
        <v>0.45469330654319684</v>
      </c>
      <c r="DG124" s="16">
        <v>0.44171321133514851</v>
      </c>
      <c r="DH124" s="16">
        <v>0.48648329679701341</v>
      </c>
      <c r="DI124" s="16">
        <v>0.48771938478808785</v>
      </c>
      <c r="DJ124" s="16">
        <v>0.44216074194660671</v>
      </c>
      <c r="DK124" s="16">
        <v>0.41932135165856366</v>
      </c>
      <c r="DL124" s="16">
        <v>0.38888782369348451</v>
      </c>
      <c r="DM124" s="16">
        <v>0.27180334634835379</v>
      </c>
      <c r="DN124" s="16">
        <v>-9999</v>
      </c>
      <c r="DO124" s="16">
        <v>0.66943365912437436</v>
      </c>
      <c r="DP124" s="16">
        <v>0.45978758573517187</v>
      </c>
      <c r="DQ124" s="16">
        <v>0.19196217494090728</v>
      </c>
      <c r="DR124" s="16">
        <v>0.5228733495040272</v>
      </c>
      <c r="DS124" s="16">
        <v>0.41039105410907162</v>
      </c>
      <c r="DT124" s="16">
        <v>0.53081669638552764</v>
      </c>
      <c r="DU124" s="16">
        <v>0.48686800151156451</v>
      </c>
      <c r="DV124" s="16">
        <v>0.48806190490571222</v>
      </c>
      <c r="DW124" s="16">
        <v>0.44246310151412338</v>
      </c>
      <c r="DX124" s="16">
        <v>0.41954953692420194</v>
      </c>
      <c r="DY124" s="16">
        <v>0.34258677076561828</v>
      </c>
      <c r="DZ124" s="16">
        <v>0.27180197819058893</v>
      </c>
      <c r="EA124" s="2107">
        <v>-9999</v>
      </c>
      <c r="EB124" s="2106">
        <v>0.66943365912437436</v>
      </c>
      <c r="EC124" s="2106">
        <v>0.45978758573517187</v>
      </c>
      <c r="ED124" s="2106">
        <v>0.19196217494090728</v>
      </c>
      <c r="EE124" s="2106">
        <v>0.5228733495040272</v>
      </c>
      <c r="EF124" s="2106">
        <v>0.41039105410907162</v>
      </c>
      <c r="EG124" s="2106">
        <v>0.53081669638552764</v>
      </c>
      <c r="EH124" s="2106">
        <v>0.48686800151156451</v>
      </c>
      <c r="EI124" s="2106">
        <v>0.48806190490571222</v>
      </c>
      <c r="EJ124" s="2106">
        <v>0.44246310151412338</v>
      </c>
      <c r="EK124" s="2106">
        <v>0.41954953692420194</v>
      </c>
      <c r="EL124" s="2106">
        <v>0.3150866133281971</v>
      </c>
      <c r="EM124" s="2106">
        <v>0.271646213633292</v>
      </c>
    </row>
    <row r="125" spans="1:143">
      <c r="A125" s="22">
        <v>25</v>
      </c>
      <c r="B125" s="16" t="s">
        <v>1946</v>
      </c>
      <c r="C125" s="25">
        <v>-9999</v>
      </c>
      <c r="D125" s="1081">
        <f ca="1">OFFSET('Q1'!G286,0,(Last_forecast_year - 3-InputY!$G$3)*4+4)</f>
        <v>2.932023429607284</v>
      </c>
      <c r="E125" s="1081">
        <f ca="1">OFFSET('Q1'!H286,0,(Last_forecast_year - 3-InputY!$G$3)*4+4)</f>
        <v>2.0144240531024877</v>
      </c>
      <c r="F125" s="1081">
        <f ca="1">OFFSET('Q1'!I286,0,(Last_forecast_year - 3-InputY!$G$3)*4+4)</f>
        <v>1.9046469536035318</v>
      </c>
      <c r="G125" s="1081">
        <f ca="1">OFFSET('Q1'!J286,0,(Last_forecast_year - 3-InputY!$G$3)*4+4)</f>
        <v>1.9864203951504891</v>
      </c>
      <c r="H125" s="1081">
        <f ca="1">OFFSET('Q1'!K286,0,(Last_forecast_year - 3-InputY!$G$3)*4+4)</f>
        <v>1.5762532370228826</v>
      </c>
      <c r="I125" s="1081">
        <f ca="1">OFFSET('Q1'!L286,0,(Last_forecast_year - 3-InputY!$G$3)*4+4)</f>
        <v>1.6424397323956015</v>
      </c>
      <c r="J125" s="1081">
        <f ca="1">OFFSET('Q1'!M286,0,(Last_forecast_year - 3-InputY!$G$3)*4+4)</f>
        <v>1.7263269501616634</v>
      </c>
      <c r="K125" s="1081">
        <f ca="1">OFFSET('Q1'!N286,0,(Last_forecast_year - 3-InputY!$G$3)*4+4)</f>
        <v>1.3383008381543817</v>
      </c>
      <c r="L125" s="1081">
        <f ca="1">OFFSET('Q1'!O286,0,(Last_forecast_year - 3-InputY!$G$3)*4+4)</f>
        <v>1.2380444364975602</v>
      </c>
      <c r="M125" s="1081">
        <f ca="1">OFFSET('Q1'!P286,0,(Last_forecast_year - 3-InputY!$G$3)*4+4)</f>
        <v>1.6398180435081429</v>
      </c>
      <c r="N125" s="1081">
        <f ca="1">OFFSET('Q1'!Q286,0,(Last_forecast_year - 3-InputY!$G$3)*4+4)</f>
        <v>2.1160401587297031</v>
      </c>
      <c r="O125" s="1081">
        <f ca="1">OFFSET('Q1'!R286,0,(Last_forecast_year - 3-InputY!$G$3)*4+4)</f>
        <v>1.540455335015011</v>
      </c>
      <c r="P125" s="26"/>
      <c r="Q125"/>
      <c r="AA125" s="22">
        <v>25</v>
      </c>
      <c r="AB125" s="1081" t="str">
        <f t="shared" si="3"/>
        <v>QUART. HICP (cols 2-13)</v>
      </c>
      <c r="AC125" s="1081">
        <f>CHOOSE(Tables!$U$2,Transfer!CA125,Transfer!CN125,Transfer!DA125,Transfer!DN125,Transfer!EA125)</f>
        <v>-9999</v>
      </c>
      <c r="AD125" s="1081">
        <f>CHOOSE(Tables!$U$2,Transfer!CB125,Transfer!CO125,Transfer!DB125,Transfer!DO125,Transfer!EB125)</f>
        <v>2.932023429607284</v>
      </c>
      <c r="AE125" s="1081">
        <f>CHOOSE(Tables!$U$2,Transfer!CC125,Transfer!CP125,Transfer!DC125,Transfer!DP125,Transfer!EC125)</f>
        <v>2.0144240531024877</v>
      </c>
      <c r="AF125" s="1081">
        <f>CHOOSE(Tables!$U$2,Transfer!CD125,Transfer!CQ125,Transfer!DD125,Transfer!DQ125,Transfer!ED125)</f>
        <v>1.9046469536035318</v>
      </c>
      <c r="AG125" s="1081">
        <f>CHOOSE(Tables!$U$2,Transfer!CE125,Transfer!CR125,Transfer!DE125,Transfer!DR125,Transfer!EE125)</f>
        <v>1.9864203951504891</v>
      </c>
      <c r="AH125" s="1081">
        <f>CHOOSE(Tables!$U$2,Transfer!CF125,Transfer!CS125,Transfer!DF125,Transfer!DS125,Transfer!EF125)</f>
        <v>1.5762532370228826</v>
      </c>
      <c r="AI125" s="1081">
        <f>CHOOSE(Tables!$U$2,Transfer!CG125,Transfer!CT125,Transfer!DG125,Transfer!DT125,Transfer!EG125)</f>
        <v>1.6424397323956015</v>
      </c>
      <c r="AJ125" s="1081">
        <f>CHOOSE(Tables!$U$2,Transfer!CH125,Transfer!CU125,Transfer!DH125,Transfer!DU125,Transfer!EH125)</f>
        <v>1.7263269501616634</v>
      </c>
      <c r="AK125" s="1081">
        <f>CHOOSE(Tables!$U$2,Transfer!CI125,Transfer!CV125,Transfer!DI125,Transfer!DV125,Transfer!EI125)</f>
        <v>1.3383008381543817</v>
      </c>
      <c r="AL125" s="1081">
        <f>CHOOSE(Tables!$U$2,Transfer!CJ125,Transfer!CW125,Transfer!DJ125,Transfer!DW125,Transfer!EJ125)</f>
        <v>1.2380444364975602</v>
      </c>
      <c r="AM125" s="1081">
        <f>CHOOSE(Tables!$U$2,Transfer!CK125,Transfer!CX125,Transfer!DK125,Transfer!DX125,Transfer!EK125)</f>
        <v>1.6398180435081429</v>
      </c>
      <c r="AN125" s="1081">
        <f>CHOOSE(Tables!$U$2,Transfer!CL125,Transfer!CY125,Transfer!DL125,Transfer!DY125,Transfer!EL125)</f>
        <v>2.1160401587297031</v>
      </c>
      <c r="AO125" s="1081">
        <f>CHOOSE(Tables!$U$2,Transfer!CM125,Transfer!CZ125,Transfer!DM125,Transfer!DZ125,Transfer!EM125)</f>
        <v>1.540455335015011</v>
      </c>
      <c r="AR125" s="22">
        <v>25</v>
      </c>
      <c r="AS125" s="16" t="s">
        <v>1946</v>
      </c>
      <c r="AT125" s="25">
        <f t="shared" si="5"/>
        <v>0</v>
      </c>
      <c r="AU125" s="1081">
        <f t="shared" ca="1" si="5"/>
        <v>0</v>
      </c>
      <c r="AV125" s="1081">
        <f t="shared" ca="1" si="5"/>
        <v>0</v>
      </c>
      <c r="AW125" s="1081">
        <f t="shared" ca="1" si="5"/>
        <v>0</v>
      </c>
      <c r="AX125" s="1081">
        <f t="shared" ca="1" si="5"/>
        <v>0</v>
      </c>
      <c r="AY125" s="1081">
        <f t="shared" ca="1" si="5"/>
        <v>0</v>
      </c>
      <c r="AZ125" s="1081">
        <f t="shared" ca="1" si="5"/>
        <v>0</v>
      </c>
      <c r="BA125" s="1081">
        <f t="shared" ca="1" si="5"/>
        <v>0</v>
      </c>
      <c r="BB125" s="1081">
        <f t="shared" ca="1" si="4"/>
        <v>0</v>
      </c>
      <c r="BC125" s="1081">
        <f t="shared" ca="1" si="4"/>
        <v>0</v>
      </c>
      <c r="BD125" s="1081">
        <f t="shared" ca="1" si="4"/>
        <v>0</v>
      </c>
      <c r="BE125" s="1081">
        <f t="shared" ca="1" si="4"/>
        <v>0</v>
      </c>
      <c r="BF125" s="1081">
        <f t="shared" ca="1" si="4"/>
        <v>0</v>
      </c>
      <c r="CA125" s="16">
        <v>-9999</v>
      </c>
      <c r="CB125" s="16">
        <v>2.932023429607284</v>
      </c>
      <c r="CC125" s="16">
        <v>2.0144240531024877</v>
      </c>
      <c r="CD125" s="16">
        <v>1.9046469536035318</v>
      </c>
      <c r="CE125" s="16">
        <v>1.9864203951504891</v>
      </c>
      <c r="CF125" s="16">
        <v>1.5762532370228826</v>
      </c>
      <c r="CG125" s="16">
        <v>1.6424397323956015</v>
      </c>
      <c r="CH125" s="16">
        <v>1.7263269501616634</v>
      </c>
      <c r="CI125" s="16">
        <v>1.3383008381543817</v>
      </c>
      <c r="CJ125" s="16">
        <v>1.2380444364975602</v>
      </c>
      <c r="CK125" s="16">
        <v>1.6398180435081429</v>
      </c>
      <c r="CL125" s="16">
        <v>2.1160401587297031</v>
      </c>
      <c r="CM125" s="16">
        <v>1.540455335015011</v>
      </c>
      <c r="CN125" s="16">
        <v>-9999</v>
      </c>
      <c r="CO125" s="16">
        <v>2.932023429607284</v>
      </c>
      <c r="CP125" s="16">
        <v>2.0144240531024877</v>
      </c>
      <c r="CQ125" s="16">
        <v>1.9046469536035318</v>
      </c>
      <c r="CR125" s="16">
        <v>1.9864203951504891</v>
      </c>
      <c r="CS125" s="16">
        <v>1.5342522468934732</v>
      </c>
      <c r="CT125" s="16">
        <v>1.5745863833611367</v>
      </c>
      <c r="CU125" s="16">
        <v>1.5964585642644238</v>
      </c>
      <c r="CV125" s="16">
        <v>1.2994062894816807</v>
      </c>
      <c r="CW125" s="16">
        <v>1.3448810407086427</v>
      </c>
      <c r="CX125" s="16">
        <v>1.6334424579132332</v>
      </c>
      <c r="CY125" s="16">
        <v>1.9320935079827848</v>
      </c>
      <c r="CZ125" s="16">
        <v>1.5047333390808149</v>
      </c>
      <c r="DA125" s="16">
        <v>-9999</v>
      </c>
      <c r="DB125" s="16">
        <v>2.932023429607284</v>
      </c>
      <c r="DC125" s="16">
        <v>2.0144240531024877</v>
      </c>
      <c r="DD125" s="16">
        <v>1.9046469536035318</v>
      </c>
      <c r="DE125" s="16">
        <v>1.9864203951504891</v>
      </c>
      <c r="DF125" s="16">
        <v>1.5762532370228826</v>
      </c>
      <c r="DG125" s="16">
        <v>1.6424397323956015</v>
      </c>
      <c r="DH125" s="16">
        <v>1.7263269501616634</v>
      </c>
      <c r="DI125" s="16">
        <v>1.3383008381543817</v>
      </c>
      <c r="DJ125" s="16">
        <v>1.2380444364975602</v>
      </c>
      <c r="DK125" s="16">
        <v>1.6398180435081429</v>
      </c>
      <c r="DL125" s="16">
        <v>2.1160401587297031</v>
      </c>
      <c r="DM125" s="16">
        <v>1.540455335015011</v>
      </c>
      <c r="DN125" s="16">
        <v>-9999</v>
      </c>
      <c r="DO125" s="16">
        <v>2.932023429607284</v>
      </c>
      <c r="DP125" s="16">
        <v>2.0144240531024877</v>
      </c>
      <c r="DQ125" s="16">
        <v>1.9046469536035318</v>
      </c>
      <c r="DR125" s="16">
        <v>1.9864203951504891</v>
      </c>
      <c r="DS125" s="16">
        <v>1.5762532370228826</v>
      </c>
      <c r="DT125" s="16">
        <v>1.6424397323956015</v>
      </c>
      <c r="DU125" s="16">
        <v>1.7263269501616634</v>
      </c>
      <c r="DV125" s="16">
        <v>1.3383008381543817</v>
      </c>
      <c r="DW125" s="16">
        <v>1.2380444364975602</v>
      </c>
      <c r="DX125" s="16">
        <v>1.6398180435081429</v>
      </c>
      <c r="DY125" s="16">
        <v>2.1160401587297031</v>
      </c>
      <c r="DZ125" s="16">
        <v>1.540455335015011</v>
      </c>
      <c r="EA125" s="2107">
        <v>-9999</v>
      </c>
      <c r="EB125" s="2106">
        <v>2.932023429607284</v>
      </c>
      <c r="EC125" s="2106">
        <v>2.0144240531024877</v>
      </c>
      <c r="ED125" s="2106">
        <v>1.9046469536035318</v>
      </c>
      <c r="EE125" s="2106">
        <v>1.9864203951504891</v>
      </c>
      <c r="EF125" s="2106">
        <v>1.5762532370228826</v>
      </c>
      <c r="EG125" s="2106">
        <v>1.6424397323956015</v>
      </c>
      <c r="EH125" s="2106">
        <v>1.7263269501616634</v>
      </c>
      <c r="EI125" s="2106">
        <v>1.3383008381543817</v>
      </c>
      <c r="EJ125" s="2106">
        <v>1.2380444364975602</v>
      </c>
      <c r="EK125" s="2106">
        <v>1.6398180435081429</v>
      </c>
      <c r="EL125" s="2106">
        <v>2.1160401587297031</v>
      </c>
      <c r="EM125" s="2106">
        <v>1.540455335015011</v>
      </c>
    </row>
    <row r="126" spans="1:143">
      <c r="A126" s="22">
        <v>26</v>
      </c>
      <c r="B126" s="30" t="s">
        <v>1998</v>
      </c>
      <c r="C126" s="25">
        <v>-9999</v>
      </c>
      <c r="D126" s="25">
        <v>-9999</v>
      </c>
      <c r="E126" s="25">
        <v>-9999</v>
      </c>
      <c r="F126" s="25">
        <v>-9999</v>
      </c>
      <c r="G126" s="25">
        <v>-9999</v>
      </c>
      <c r="H126" s="25">
        <v>-9999</v>
      </c>
      <c r="I126" s="25">
        <v>-9999</v>
      </c>
      <c r="J126" s="25">
        <v>-9999</v>
      </c>
      <c r="K126" s="25">
        <v>-9999</v>
      </c>
      <c r="L126" s="25">
        <v>-9999</v>
      </c>
      <c r="M126" s="25">
        <v>-9999</v>
      </c>
      <c r="N126" s="25">
        <v>-9999</v>
      </c>
      <c r="O126" s="25">
        <v>-9999</v>
      </c>
      <c r="P126" s="26"/>
      <c r="Q126"/>
      <c r="AA126" s="22">
        <v>26</v>
      </c>
      <c r="AB126" s="1081" t="str">
        <f t="shared" si="3"/>
        <v>FOR FUTURE USE</v>
      </c>
      <c r="AC126" s="1081">
        <f>CHOOSE(Tables!$U$2,Transfer!CA126,Transfer!CN126,Transfer!DA126,Transfer!DN126,Transfer!EA126)</f>
        <v>-9999</v>
      </c>
      <c r="AD126" s="1081">
        <f>CHOOSE(Tables!$U$2,Transfer!CB126,Transfer!CO126,Transfer!DB126,Transfer!DO126,Transfer!EB126)</f>
        <v>-9999</v>
      </c>
      <c r="AE126" s="1081">
        <f>CHOOSE(Tables!$U$2,Transfer!CC126,Transfer!CP126,Transfer!DC126,Transfer!DP126,Transfer!EC126)</f>
        <v>-9999</v>
      </c>
      <c r="AF126" s="1081">
        <f>CHOOSE(Tables!$U$2,Transfer!CD126,Transfer!CQ126,Transfer!DD126,Transfer!DQ126,Transfer!ED126)</f>
        <v>-9999</v>
      </c>
      <c r="AG126" s="1081">
        <f>CHOOSE(Tables!$U$2,Transfer!CE126,Transfer!CR126,Transfer!DE126,Transfer!DR126,Transfer!EE126)</f>
        <v>-9999</v>
      </c>
      <c r="AH126" s="1081">
        <f>CHOOSE(Tables!$U$2,Transfer!CF126,Transfer!CS126,Transfer!DF126,Transfer!DS126,Transfer!EF126)</f>
        <v>-9999</v>
      </c>
      <c r="AI126" s="1081">
        <f>CHOOSE(Tables!$U$2,Transfer!CG126,Transfer!CT126,Transfer!DG126,Transfer!DT126,Transfer!EG126)</f>
        <v>-9999</v>
      </c>
      <c r="AJ126" s="1081">
        <f>CHOOSE(Tables!$U$2,Transfer!CH126,Transfer!CU126,Transfer!DH126,Transfer!DU126,Transfer!EH126)</f>
        <v>-9999</v>
      </c>
      <c r="AK126" s="1081">
        <f>CHOOSE(Tables!$U$2,Transfer!CI126,Transfer!CV126,Transfer!DI126,Transfer!DV126,Transfer!EI126)</f>
        <v>-9999</v>
      </c>
      <c r="AL126" s="1081">
        <f>CHOOSE(Tables!$U$2,Transfer!CJ126,Transfer!CW126,Transfer!DJ126,Transfer!DW126,Transfer!EJ126)</f>
        <v>-9999</v>
      </c>
      <c r="AM126" s="1081">
        <f>CHOOSE(Tables!$U$2,Transfer!CK126,Transfer!CX126,Transfer!DK126,Transfer!DX126,Transfer!EK126)</f>
        <v>-9999</v>
      </c>
      <c r="AN126" s="1081">
        <f>CHOOSE(Tables!$U$2,Transfer!CL126,Transfer!CY126,Transfer!DL126,Transfer!DY126,Transfer!EL126)</f>
        <v>-9999</v>
      </c>
      <c r="AO126" s="1081">
        <f>CHOOSE(Tables!$U$2,Transfer!CM126,Transfer!CZ126,Transfer!DM126,Transfer!DZ126,Transfer!EM126)</f>
        <v>-9999</v>
      </c>
      <c r="AR126" s="22">
        <v>26</v>
      </c>
      <c r="AS126" s="30" t="s">
        <v>1998</v>
      </c>
      <c r="AT126" s="25">
        <f t="shared" si="5"/>
        <v>0</v>
      </c>
      <c r="AU126" s="25">
        <f t="shared" si="5"/>
        <v>0</v>
      </c>
      <c r="AV126" s="25">
        <f t="shared" si="5"/>
        <v>0</v>
      </c>
      <c r="AW126" s="25">
        <f t="shared" si="5"/>
        <v>0</v>
      </c>
      <c r="AX126" s="25">
        <f t="shared" si="5"/>
        <v>0</v>
      </c>
      <c r="AY126" s="25">
        <f t="shared" si="5"/>
        <v>0</v>
      </c>
      <c r="AZ126" s="25">
        <f t="shared" si="5"/>
        <v>0</v>
      </c>
      <c r="BA126" s="25">
        <f t="shared" si="5"/>
        <v>0</v>
      </c>
      <c r="BB126" s="25">
        <f t="shared" si="4"/>
        <v>0</v>
      </c>
      <c r="BC126" s="25">
        <f t="shared" si="4"/>
        <v>0</v>
      </c>
      <c r="BD126" s="25">
        <f t="shared" si="4"/>
        <v>0</v>
      </c>
      <c r="BE126" s="25">
        <f t="shared" si="4"/>
        <v>0</v>
      </c>
      <c r="BF126" s="25">
        <f t="shared" si="4"/>
        <v>0</v>
      </c>
      <c r="CA126" s="16">
        <v>-9999</v>
      </c>
      <c r="CB126" s="16">
        <v>-9999</v>
      </c>
      <c r="CC126" s="16">
        <v>-9999</v>
      </c>
      <c r="CD126" s="16">
        <v>-9999</v>
      </c>
      <c r="CE126" s="16">
        <v>-9999</v>
      </c>
      <c r="CF126" s="16">
        <v>-9999</v>
      </c>
      <c r="CG126" s="16">
        <v>-9999</v>
      </c>
      <c r="CH126" s="16">
        <v>-9999</v>
      </c>
      <c r="CI126" s="16">
        <v>-9999</v>
      </c>
      <c r="CJ126" s="16">
        <v>-9999</v>
      </c>
      <c r="CK126" s="16">
        <v>-9999</v>
      </c>
      <c r="CL126" s="16">
        <v>-9999</v>
      </c>
      <c r="CM126" s="16">
        <v>-9999</v>
      </c>
      <c r="CN126" s="16">
        <v>-9999</v>
      </c>
      <c r="CO126" s="16">
        <v>-9999</v>
      </c>
      <c r="CP126" s="16">
        <v>-9999</v>
      </c>
      <c r="CQ126" s="16">
        <v>-9999</v>
      </c>
      <c r="CR126" s="16">
        <v>-9999</v>
      </c>
      <c r="CS126" s="16">
        <v>-9999</v>
      </c>
      <c r="CT126" s="16">
        <v>-9999</v>
      </c>
      <c r="CU126" s="16">
        <v>-9999</v>
      </c>
      <c r="CV126" s="16">
        <v>-9999</v>
      </c>
      <c r="CW126" s="16">
        <v>-9999</v>
      </c>
      <c r="CX126" s="16">
        <v>-9999</v>
      </c>
      <c r="CY126" s="16">
        <v>-9999</v>
      </c>
      <c r="CZ126" s="16">
        <v>-9999</v>
      </c>
      <c r="DA126" s="16">
        <v>-9999</v>
      </c>
      <c r="DB126" s="16">
        <v>-9999</v>
      </c>
      <c r="DC126" s="16">
        <v>-9999</v>
      </c>
      <c r="DD126" s="16">
        <v>-9999</v>
      </c>
      <c r="DE126" s="16">
        <v>-9999</v>
      </c>
      <c r="DF126" s="16">
        <v>-9999</v>
      </c>
      <c r="DG126" s="16">
        <v>-9999</v>
      </c>
      <c r="DH126" s="16">
        <v>-9999</v>
      </c>
      <c r="DI126" s="16">
        <v>-9999</v>
      </c>
      <c r="DJ126" s="16">
        <v>-9999</v>
      </c>
      <c r="DK126" s="16">
        <v>-9999</v>
      </c>
      <c r="DL126" s="16">
        <v>-9999</v>
      </c>
      <c r="DM126" s="16">
        <v>-9999</v>
      </c>
      <c r="DN126" s="16">
        <v>-9999</v>
      </c>
      <c r="DO126" s="16">
        <v>-9999</v>
      </c>
      <c r="DP126" s="16">
        <v>-9999</v>
      </c>
      <c r="DQ126" s="16">
        <v>-9999</v>
      </c>
      <c r="DR126" s="16">
        <v>-9999</v>
      </c>
      <c r="DS126" s="16">
        <v>-9999</v>
      </c>
      <c r="DT126" s="16">
        <v>-9999</v>
      </c>
      <c r="DU126" s="16">
        <v>-9999</v>
      </c>
      <c r="DV126" s="16">
        <v>-9999</v>
      </c>
      <c r="DW126" s="16">
        <v>-9999</v>
      </c>
      <c r="DX126" s="16">
        <v>-9999</v>
      </c>
      <c r="DY126" s="16">
        <v>-9999</v>
      </c>
      <c r="DZ126" s="16">
        <v>-9999</v>
      </c>
      <c r="EA126" s="2107">
        <v>-9999</v>
      </c>
      <c r="EB126" s="2107">
        <v>-9999</v>
      </c>
      <c r="EC126" s="2107">
        <v>-9999</v>
      </c>
      <c r="ED126" s="2107">
        <v>-9999</v>
      </c>
      <c r="EE126" s="2107">
        <v>-9999</v>
      </c>
      <c r="EF126" s="2107">
        <v>-9999</v>
      </c>
      <c r="EG126" s="2107">
        <v>-9999</v>
      </c>
      <c r="EH126" s="2107">
        <v>-9999</v>
      </c>
      <c r="EI126" s="2107">
        <v>-9999</v>
      </c>
      <c r="EJ126" s="2107">
        <v>-9999</v>
      </c>
      <c r="EK126" s="2107">
        <v>-9999</v>
      </c>
      <c r="EL126" s="2107">
        <v>-9999</v>
      </c>
      <c r="EM126" s="2107">
        <v>-9999</v>
      </c>
    </row>
    <row r="127" spans="1:143">
      <c r="A127" s="22">
        <v>27</v>
      </c>
      <c r="B127" s="30" t="s">
        <v>1998</v>
      </c>
      <c r="C127" s="25">
        <v>-9999</v>
      </c>
      <c r="D127" s="25">
        <v>-9999</v>
      </c>
      <c r="E127" s="25">
        <v>-9999</v>
      </c>
      <c r="F127" s="25">
        <v>-9999</v>
      </c>
      <c r="G127" s="25">
        <v>-9999</v>
      </c>
      <c r="H127" s="25">
        <v>-9999</v>
      </c>
      <c r="I127" s="25">
        <v>-9999</v>
      </c>
      <c r="J127" s="25">
        <v>-9999</v>
      </c>
      <c r="K127" s="25">
        <v>-9999</v>
      </c>
      <c r="L127" s="25">
        <v>-9999</v>
      </c>
      <c r="M127" s="25">
        <v>-9999</v>
      </c>
      <c r="N127" s="25">
        <v>-9999</v>
      </c>
      <c r="O127" s="25">
        <v>-9999</v>
      </c>
      <c r="P127" s="26"/>
      <c r="Q127"/>
      <c r="AA127" s="22">
        <v>27</v>
      </c>
      <c r="AB127" s="1081" t="str">
        <f t="shared" si="3"/>
        <v>FOR FUTURE USE</v>
      </c>
      <c r="AC127" s="1081">
        <f>CHOOSE(Tables!$U$2,Transfer!CA127,Transfer!CN127,Transfer!DA127,Transfer!DN127,Transfer!EA127)</f>
        <v>-9999</v>
      </c>
      <c r="AD127" s="1081">
        <f>CHOOSE(Tables!$U$2,Transfer!CB127,Transfer!CO127,Transfer!DB127,Transfer!DO127,Transfer!EB127)</f>
        <v>-9999</v>
      </c>
      <c r="AE127" s="1081">
        <f>CHOOSE(Tables!$U$2,Transfer!CC127,Transfer!CP127,Transfer!DC127,Transfer!DP127,Transfer!EC127)</f>
        <v>-9999</v>
      </c>
      <c r="AF127" s="1081">
        <f>CHOOSE(Tables!$U$2,Transfer!CD127,Transfer!CQ127,Transfer!DD127,Transfer!DQ127,Transfer!ED127)</f>
        <v>-9999</v>
      </c>
      <c r="AG127" s="1081">
        <f>CHOOSE(Tables!$U$2,Transfer!CE127,Transfer!CR127,Transfer!DE127,Transfer!DR127,Transfer!EE127)</f>
        <v>-9999</v>
      </c>
      <c r="AH127" s="1081">
        <f>CHOOSE(Tables!$U$2,Transfer!CF127,Transfer!CS127,Transfer!DF127,Transfer!DS127,Transfer!EF127)</f>
        <v>-9999</v>
      </c>
      <c r="AI127" s="1081">
        <f>CHOOSE(Tables!$U$2,Transfer!CG127,Transfer!CT127,Transfer!DG127,Transfer!DT127,Transfer!EG127)</f>
        <v>-9999</v>
      </c>
      <c r="AJ127" s="1081">
        <f>CHOOSE(Tables!$U$2,Transfer!CH127,Transfer!CU127,Transfer!DH127,Transfer!DU127,Transfer!EH127)</f>
        <v>-9999</v>
      </c>
      <c r="AK127" s="1081">
        <f>CHOOSE(Tables!$U$2,Transfer!CI127,Transfer!CV127,Transfer!DI127,Transfer!DV127,Transfer!EI127)</f>
        <v>-9999</v>
      </c>
      <c r="AL127" s="1081">
        <f>CHOOSE(Tables!$U$2,Transfer!CJ127,Transfer!CW127,Transfer!DJ127,Transfer!DW127,Transfer!EJ127)</f>
        <v>-9999</v>
      </c>
      <c r="AM127" s="1081">
        <f>CHOOSE(Tables!$U$2,Transfer!CK127,Transfer!CX127,Transfer!DK127,Transfer!DX127,Transfer!EK127)</f>
        <v>-9999</v>
      </c>
      <c r="AN127" s="1081">
        <f>CHOOSE(Tables!$U$2,Transfer!CL127,Transfer!CY127,Transfer!DL127,Transfer!DY127,Transfer!EL127)</f>
        <v>-9999</v>
      </c>
      <c r="AO127" s="1081">
        <f>CHOOSE(Tables!$U$2,Transfer!CM127,Transfer!CZ127,Transfer!DM127,Transfer!DZ127,Transfer!EM127)</f>
        <v>-9999</v>
      </c>
      <c r="AR127" s="22">
        <v>27</v>
      </c>
      <c r="AS127" s="30" t="s">
        <v>1998</v>
      </c>
      <c r="AT127" s="25">
        <f t="shared" si="5"/>
        <v>0</v>
      </c>
      <c r="AU127" s="25">
        <f t="shared" si="5"/>
        <v>0</v>
      </c>
      <c r="AV127" s="25">
        <f t="shared" si="5"/>
        <v>0</v>
      </c>
      <c r="AW127" s="25">
        <f t="shared" si="5"/>
        <v>0</v>
      </c>
      <c r="AX127" s="25">
        <f t="shared" si="5"/>
        <v>0</v>
      </c>
      <c r="AY127" s="25">
        <f t="shared" si="5"/>
        <v>0</v>
      </c>
      <c r="AZ127" s="25">
        <f t="shared" si="5"/>
        <v>0</v>
      </c>
      <c r="BA127" s="25">
        <f t="shared" si="5"/>
        <v>0</v>
      </c>
      <c r="BB127" s="25">
        <f t="shared" si="4"/>
        <v>0</v>
      </c>
      <c r="BC127" s="25">
        <f t="shared" si="4"/>
        <v>0</v>
      </c>
      <c r="BD127" s="25">
        <f t="shared" si="4"/>
        <v>0</v>
      </c>
      <c r="BE127" s="25">
        <f t="shared" si="4"/>
        <v>0</v>
      </c>
      <c r="BF127" s="25">
        <f t="shared" si="4"/>
        <v>0</v>
      </c>
      <c r="CA127" s="16">
        <v>-9999</v>
      </c>
      <c r="CB127" s="16">
        <v>-9999</v>
      </c>
      <c r="CC127" s="16">
        <v>-9999</v>
      </c>
      <c r="CD127" s="16">
        <v>-9999</v>
      </c>
      <c r="CE127" s="16">
        <v>-9999</v>
      </c>
      <c r="CF127" s="16">
        <v>-9999</v>
      </c>
      <c r="CG127" s="16">
        <v>-9999</v>
      </c>
      <c r="CH127" s="16">
        <v>-9999</v>
      </c>
      <c r="CI127" s="16">
        <v>-9999</v>
      </c>
      <c r="CJ127" s="16">
        <v>-9999</v>
      </c>
      <c r="CK127" s="16">
        <v>-9999</v>
      </c>
      <c r="CL127" s="16">
        <v>-9999</v>
      </c>
      <c r="CM127" s="16">
        <v>-9999</v>
      </c>
      <c r="CN127" s="16">
        <v>-9999</v>
      </c>
      <c r="CO127" s="16">
        <v>-9999</v>
      </c>
      <c r="CP127" s="16">
        <v>-9999</v>
      </c>
      <c r="CQ127" s="16">
        <v>-9999</v>
      </c>
      <c r="CR127" s="16">
        <v>-9999</v>
      </c>
      <c r="CS127" s="16">
        <v>-9999</v>
      </c>
      <c r="CT127" s="16">
        <v>-9999</v>
      </c>
      <c r="CU127" s="16">
        <v>-9999</v>
      </c>
      <c r="CV127" s="16">
        <v>-9999</v>
      </c>
      <c r="CW127" s="16">
        <v>-9999</v>
      </c>
      <c r="CX127" s="16">
        <v>-9999</v>
      </c>
      <c r="CY127" s="16">
        <v>-9999</v>
      </c>
      <c r="CZ127" s="16">
        <v>-9999</v>
      </c>
      <c r="DA127" s="16">
        <v>-9999</v>
      </c>
      <c r="DB127" s="16">
        <v>-9999</v>
      </c>
      <c r="DC127" s="16">
        <v>-9999</v>
      </c>
      <c r="DD127" s="16">
        <v>-9999</v>
      </c>
      <c r="DE127" s="16">
        <v>-9999</v>
      </c>
      <c r="DF127" s="16">
        <v>-9999</v>
      </c>
      <c r="DG127" s="16">
        <v>-9999</v>
      </c>
      <c r="DH127" s="16">
        <v>-9999</v>
      </c>
      <c r="DI127" s="16">
        <v>-9999</v>
      </c>
      <c r="DJ127" s="16">
        <v>-9999</v>
      </c>
      <c r="DK127" s="16">
        <v>-9999</v>
      </c>
      <c r="DL127" s="16">
        <v>-9999</v>
      </c>
      <c r="DM127" s="16">
        <v>-9999</v>
      </c>
      <c r="DN127" s="16">
        <v>-9999</v>
      </c>
      <c r="DO127" s="16">
        <v>-9999</v>
      </c>
      <c r="DP127" s="16">
        <v>-9999</v>
      </c>
      <c r="DQ127" s="16">
        <v>-9999</v>
      </c>
      <c r="DR127" s="16">
        <v>-9999</v>
      </c>
      <c r="DS127" s="16">
        <v>-9999</v>
      </c>
      <c r="DT127" s="16">
        <v>-9999</v>
      </c>
      <c r="DU127" s="16">
        <v>-9999</v>
      </c>
      <c r="DV127" s="16">
        <v>-9999</v>
      </c>
      <c r="DW127" s="16">
        <v>-9999</v>
      </c>
      <c r="DX127" s="16">
        <v>-9999</v>
      </c>
      <c r="DY127" s="16">
        <v>-9999</v>
      </c>
      <c r="DZ127" s="16">
        <v>-9999</v>
      </c>
      <c r="EA127" s="2107">
        <v>-9999</v>
      </c>
      <c r="EB127" s="2107">
        <v>-9999</v>
      </c>
      <c r="EC127" s="2107">
        <v>-9999</v>
      </c>
      <c r="ED127" s="2107">
        <v>-9999</v>
      </c>
      <c r="EE127" s="2107">
        <v>-9999</v>
      </c>
      <c r="EF127" s="2107">
        <v>-9999</v>
      </c>
      <c r="EG127" s="2107">
        <v>-9999</v>
      </c>
      <c r="EH127" s="2107">
        <v>-9999</v>
      </c>
      <c r="EI127" s="2107">
        <v>-9999</v>
      </c>
      <c r="EJ127" s="2107">
        <v>-9999</v>
      </c>
      <c r="EK127" s="2107">
        <v>-9999</v>
      </c>
      <c r="EL127" s="2107">
        <v>-9999</v>
      </c>
      <c r="EM127" s="2107">
        <v>-9999</v>
      </c>
    </row>
    <row r="128" spans="1:143">
      <c r="A128" s="22">
        <v>28</v>
      </c>
      <c r="B128" s="1" t="s">
        <v>1947</v>
      </c>
      <c r="C128" s="24">
        <f ca="1">OFFSET('VVP2'!F184,0,Last_forecast_year - 3-InputY!$G$3)</f>
        <v>9.4234923678160918</v>
      </c>
      <c r="D128" s="24">
        <f ca="1">OFFSET('VVP2'!G184,0,Last_forecast_year - 3-InputY!$G$3)</f>
        <v>9.1993135450966541</v>
      </c>
      <c r="E128" s="24">
        <f ca="1">OFFSET('VVP2'!H184,0,Last_forecast_year - 3-InputY!$G$3)</f>
        <v>9.6074332499999997</v>
      </c>
      <c r="F128" s="24">
        <f ca="1">OFFSET('VVP2'!I184,0,Last_forecast_year - 3-InputY!$G$3)</f>
        <v>10.700291960000001</v>
      </c>
      <c r="G128" s="24">
        <f ca="1">OFFSET('VVP2'!J184,0,Last_forecast_year - 3-InputY!$G$3)</f>
        <v>11.4694289460848</v>
      </c>
      <c r="H128" s="25">
        <v>-9999</v>
      </c>
      <c r="I128" s="25">
        <v>-9999</v>
      </c>
      <c r="J128" s="25">
        <v>-9999</v>
      </c>
      <c r="K128" s="25">
        <v>-9999</v>
      </c>
      <c r="L128" s="25">
        <v>-9999</v>
      </c>
      <c r="M128" s="25">
        <v>-9999</v>
      </c>
      <c r="N128" s="25">
        <v>-9999</v>
      </c>
      <c r="O128" s="25">
        <v>-9999</v>
      </c>
      <c r="P128" s="32"/>
      <c r="Q128"/>
      <c r="AA128" s="22">
        <v>28</v>
      </c>
      <c r="AB128" s="1081" t="str">
        <f t="shared" si="3"/>
        <v xml:space="preserve">VOL. FIXED INVESTMENT GOVERNMENT  </v>
      </c>
      <c r="AC128" s="1081">
        <f>CHOOSE(Tables!$U$2,Transfer!CA128,Transfer!CN128,Transfer!DA128,Transfer!DN128,Transfer!EA128)</f>
        <v>9.4234923678160918</v>
      </c>
      <c r="AD128" s="1081">
        <f>CHOOSE(Tables!$U$2,Transfer!CB128,Transfer!CO128,Transfer!DB128,Transfer!DO128,Transfer!EB128)</f>
        <v>9.1993135450966541</v>
      </c>
      <c r="AE128" s="1081">
        <f>CHOOSE(Tables!$U$2,Transfer!CC128,Transfer!CP128,Transfer!DC128,Transfer!DP128,Transfer!EC128)</f>
        <v>9.6074332499999997</v>
      </c>
      <c r="AF128" s="1081">
        <f>CHOOSE(Tables!$U$2,Transfer!CD128,Transfer!CQ128,Transfer!DD128,Transfer!DQ128,Transfer!ED128)</f>
        <v>10.700291960000001</v>
      </c>
      <c r="AG128" s="1081">
        <f>CHOOSE(Tables!$U$2,Transfer!CE128,Transfer!CR128,Transfer!DE128,Transfer!DR128,Transfer!EE128)</f>
        <v>11.4694289460848</v>
      </c>
      <c r="AH128" s="1081">
        <f>CHOOSE(Tables!$U$2,Transfer!CF128,Transfer!CS128,Transfer!DF128,Transfer!DS128,Transfer!EF128)</f>
        <v>-9999</v>
      </c>
      <c r="AI128" s="1081">
        <f>CHOOSE(Tables!$U$2,Transfer!CG128,Transfer!CT128,Transfer!DG128,Transfer!DT128,Transfer!EG128)</f>
        <v>-9999</v>
      </c>
      <c r="AJ128" s="1081">
        <f>CHOOSE(Tables!$U$2,Transfer!CH128,Transfer!CU128,Transfer!DH128,Transfer!DU128,Transfer!EH128)</f>
        <v>-9999</v>
      </c>
      <c r="AK128" s="1081">
        <f>CHOOSE(Tables!$U$2,Transfer!CI128,Transfer!CV128,Transfer!DI128,Transfer!DV128,Transfer!EI128)</f>
        <v>-9999</v>
      </c>
      <c r="AL128" s="1081">
        <f>CHOOSE(Tables!$U$2,Transfer!CJ128,Transfer!CW128,Transfer!DJ128,Transfer!DW128,Transfer!EJ128)</f>
        <v>-9999</v>
      </c>
      <c r="AM128" s="1081">
        <f>CHOOSE(Tables!$U$2,Transfer!CK128,Transfer!CX128,Transfer!DK128,Transfer!DX128,Transfer!EK128)</f>
        <v>-9999</v>
      </c>
      <c r="AN128" s="1081">
        <f>CHOOSE(Tables!$U$2,Transfer!CL128,Transfer!CY128,Transfer!DL128,Transfer!DY128,Transfer!EL128)</f>
        <v>-9999</v>
      </c>
      <c r="AO128" s="1081">
        <f>CHOOSE(Tables!$U$2,Transfer!CM128,Transfer!CZ128,Transfer!DM128,Transfer!DZ128,Transfer!EM128)</f>
        <v>-9999</v>
      </c>
      <c r="AR128" s="22">
        <v>28</v>
      </c>
      <c r="AS128" s="1" t="s">
        <v>1947</v>
      </c>
      <c r="AT128" s="24">
        <f t="shared" ca="1" si="5"/>
        <v>0</v>
      </c>
      <c r="AU128" s="24">
        <f t="shared" ca="1" si="5"/>
        <v>0</v>
      </c>
      <c r="AV128" s="24">
        <f t="shared" ca="1" si="5"/>
        <v>0</v>
      </c>
      <c r="AW128" s="24">
        <f t="shared" ca="1" si="5"/>
        <v>0</v>
      </c>
      <c r="AX128" s="24">
        <f t="shared" ca="1" si="5"/>
        <v>0</v>
      </c>
      <c r="AY128" s="25">
        <f t="shared" si="5"/>
        <v>0</v>
      </c>
      <c r="AZ128" s="25">
        <f t="shared" si="5"/>
        <v>0</v>
      </c>
      <c r="BA128" s="25">
        <f t="shared" si="5"/>
        <v>0</v>
      </c>
      <c r="BB128" s="25">
        <f t="shared" si="4"/>
        <v>0</v>
      </c>
      <c r="BC128" s="25">
        <f t="shared" si="4"/>
        <v>0</v>
      </c>
      <c r="BD128" s="25">
        <f t="shared" si="4"/>
        <v>0</v>
      </c>
      <c r="BE128" s="25">
        <f t="shared" si="4"/>
        <v>0</v>
      </c>
      <c r="BF128" s="25">
        <f t="shared" si="4"/>
        <v>0</v>
      </c>
      <c r="CA128" s="16">
        <v>9.4234923678160918</v>
      </c>
      <c r="CB128" s="16">
        <v>9.1993135450966541</v>
      </c>
      <c r="CC128" s="16">
        <v>9.6074332499999997</v>
      </c>
      <c r="CD128" s="16">
        <v>10.700291960000001</v>
      </c>
      <c r="CE128" s="16">
        <v>11.4694289460848</v>
      </c>
      <c r="CF128" s="16">
        <v>-9999</v>
      </c>
      <c r="CG128" s="16">
        <v>-9999</v>
      </c>
      <c r="CH128" s="16">
        <v>-9999</v>
      </c>
      <c r="CI128" s="16">
        <v>-9999</v>
      </c>
      <c r="CJ128" s="16">
        <v>-9999</v>
      </c>
      <c r="CK128" s="16">
        <v>-9999</v>
      </c>
      <c r="CL128" s="16">
        <v>-9999</v>
      </c>
      <c r="CM128" s="16">
        <v>-9999</v>
      </c>
      <c r="CN128" s="16">
        <v>9.6271000000000004</v>
      </c>
      <c r="CO128" s="16">
        <v>9.3897000000000013</v>
      </c>
      <c r="CP128" s="16">
        <v>9.9455702400000003</v>
      </c>
      <c r="CQ128" s="16">
        <v>11.02140246400128</v>
      </c>
      <c r="CR128" s="16">
        <v>11.839588730101198</v>
      </c>
      <c r="CS128" s="16">
        <v>-9999</v>
      </c>
      <c r="CT128" s="16">
        <v>-9999</v>
      </c>
      <c r="CU128" s="16">
        <v>-9999</v>
      </c>
      <c r="CV128" s="16">
        <v>-9999</v>
      </c>
      <c r="CW128" s="16">
        <v>-9999</v>
      </c>
      <c r="CX128" s="16">
        <v>-9999</v>
      </c>
      <c r="CY128" s="16">
        <v>-9999</v>
      </c>
      <c r="CZ128" s="16">
        <v>-9999</v>
      </c>
      <c r="DA128" s="16">
        <v>9.4234923678160918</v>
      </c>
      <c r="DB128" s="16">
        <v>9.1993135450966541</v>
      </c>
      <c r="DC128" s="16">
        <v>9.6074332499999997</v>
      </c>
      <c r="DD128" s="16">
        <v>10.700291960000001</v>
      </c>
      <c r="DE128" s="16">
        <v>11.4694289460848</v>
      </c>
      <c r="DF128" s="16">
        <v>-9999</v>
      </c>
      <c r="DG128" s="16">
        <v>-9999</v>
      </c>
      <c r="DH128" s="16">
        <v>-9999</v>
      </c>
      <c r="DI128" s="16">
        <v>-9999</v>
      </c>
      <c r="DJ128" s="16">
        <v>-9999</v>
      </c>
      <c r="DK128" s="16">
        <v>-9999</v>
      </c>
      <c r="DL128" s="16">
        <v>-9999</v>
      </c>
      <c r="DM128" s="16">
        <v>-9999</v>
      </c>
      <c r="DN128" s="16">
        <v>9.4234923678160918</v>
      </c>
      <c r="DO128" s="16">
        <v>9.1993135450966541</v>
      </c>
      <c r="DP128" s="16">
        <v>9.6074332499999997</v>
      </c>
      <c r="DQ128" s="16">
        <v>10.700291960000001</v>
      </c>
      <c r="DR128" s="16">
        <v>11.4694289460848</v>
      </c>
      <c r="DS128" s="16">
        <v>-9999</v>
      </c>
      <c r="DT128" s="16">
        <v>-9999</v>
      </c>
      <c r="DU128" s="16">
        <v>-9999</v>
      </c>
      <c r="DV128" s="16">
        <v>-9999</v>
      </c>
      <c r="DW128" s="16">
        <v>-9999</v>
      </c>
      <c r="DX128" s="16">
        <v>-9999</v>
      </c>
      <c r="DY128" s="16">
        <v>-9999</v>
      </c>
      <c r="DZ128" s="16">
        <v>-9999</v>
      </c>
      <c r="EA128" s="2106">
        <v>9.4234923678160918</v>
      </c>
      <c r="EB128" s="2106">
        <v>9.1993135450966541</v>
      </c>
      <c r="EC128" s="2106">
        <v>9.6074332499999997</v>
      </c>
      <c r="ED128" s="2106">
        <v>10.700291960000001</v>
      </c>
      <c r="EE128" s="2106">
        <v>11.4694289460848</v>
      </c>
      <c r="EF128" s="2107">
        <v>-9999</v>
      </c>
      <c r="EG128" s="2107">
        <v>-9999</v>
      </c>
      <c r="EH128" s="2107">
        <v>-9999</v>
      </c>
      <c r="EI128" s="2107">
        <v>-9999</v>
      </c>
      <c r="EJ128" s="2107">
        <v>-9999</v>
      </c>
      <c r="EK128" s="2107">
        <v>-9999</v>
      </c>
      <c r="EL128" s="2107">
        <v>-9999</v>
      </c>
      <c r="EM128" s="2107">
        <v>-9999</v>
      </c>
    </row>
    <row r="129" spans="1:143">
      <c r="A129" s="22">
        <v>29</v>
      </c>
      <c r="B129" s="30" t="s">
        <v>1998</v>
      </c>
      <c r="C129" s="25">
        <v>-9999</v>
      </c>
      <c r="D129" s="25">
        <v>-9999</v>
      </c>
      <c r="E129" s="25">
        <v>-9999</v>
      </c>
      <c r="F129" s="25">
        <v>-9999</v>
      </c>
      <c r="G129" s="25">
        <v>-9999</v>
      </c>
      <c r="H129" s="25">
        <v>-9999</v>
      </c>
      <c r="I129" s="25">
        <v>-9999</v>
      </c>
      <c r="J129" s="25">
        <v>-9999</v>
      </c>
      <c r="K129" s="25">
        <v>-9999</v>
      </c>
      <c r="L129" s="25">
        <v>-9999</v>
      </c>
      <c r="M129" s="25">
        <v>-9999</v>
      </c>
      <c r="N129" s="25">
        <v>-9999</v>
      </c>
      <c r="O129" s="25">
        <v>-9999</v>
      </c>
      <c r="P129" s="32"/>
      <c r="Q129"/>
      <c r="AA129" s="22">
        <v>29</v>
      </c>
      <c r="AB129" s="1081" t="str">
        <f t="shared" si="3"/>
        <v>FOR FUTURE USE</v>
      </c>
      <c r="AC129" s="1081">
        <f>CHOOSE(Tables!$U$2,Transfer!CA129,Transfer!CN129,Transfer!DA129,Transfer!DN129,Transfer!EA129)</f>
        <v>-9999</v>
      </c>
      <c r="AD129" s="1081">
        <f>CHOOSE(Tables!$U$2,Transfer!CB129,Transfer!CO129,Transfer!DB129,Transfer!DO129,Transfer!EB129)</f>
        <v>-9999</v>
      </c>
      <c r="AE129" s="1081">
        <f>CHOOSE(Tables!$U$2,Transfer!CC129,Transfer!CP129,Transfer!DC129,Transfer!DP129,Transfer!EC129)</f>
        <v>-9999</v>
      </c>
      <c r="AF129" s="1081">
        <f>CHOOSE(Tables!$U$2,Transfer!CD129,Transfer!CQ129,Transfer!DD129,Transfer!DQ129,Transfer!ED129)</f>
        <v>-9999</v>
      </c>
      <c r="AG129" s="1081">
        <f>CHOOSE(Tables!$U$2,Transfer!CE129,Transfer!CR129,Transfer!DE129,Transfer!DR129,Transfer!EE129)</f>
        <v>-9999</v>
      </c>
      <c r="AH129" s="1081">
        <f>CHOOSE(Tables!$U$2,Transfer!CF129,Transfer!CS129,Transfer!DF129,Transfer!DS129,Transfer!EF129)</f>
        <v>-9999</v>
      </c>
      <c r="AI129" s="1081">
        <f>CHOOSE(Tables!$U$2,Transfer!CG129,Transfer!CT129,Transfer!DG129,Transfer!DT129,Transfer!EG129)</f>
        <v>-9999</v>
      </c>
      <c r="AJ129" s="1081">
        <f>CHOOSE(Tables!$U$2,Transfer!CH129,Transfer!CU129,Transfer!DH129,Transfer!DU129,Transfer!EH129)</f>
        <v>-9999</v>
      </c>
      <c r="AK129" s="1081">
        <f>CHOOSE(Tables!$U$2,Transfer!CI129,Transfer!CV129,Transfer!DI129,Transfer!DV129,Transfer!EI129)</f>
        <v>-9999</v>
      </c>
      <c r="AL129" s="1081">
        <f>CHOOSE(Tables!$U$2,Transfer!CJ129,Transfer!CW129,Transfer!DJ129,Transfer!DW129,Transfer!EJ129)</f>
        <v>-9999</v>
      </c>
      <c r="AM129" s="1081">
        <f>CHOOSE(Tables!$U$2,Transfer!CK129,Transfer!CX129,Transfer!DK129,Transfer!DX129,Transfer!EK129)</f>
        <v>-9999</v>
      </c>
      <c r="AN129" s="1081">
        <f>CHOOSE(Tables!$U$2,Transfer!CL129,Transfer!CY129,Transfer!DL129,Transfer!DY129,Transfer!EL129)</f>
        <v>-9999</v>
      </c>
      <c r="AO129" s="1081">
        <f>CHOOSE(Tables!$U$2,Transfer!CM129,Transfer!CZ129,Transfer!DM129,Transfer!DZ129,Transfer!EM129)</f>
        <v>-9999</v>
      </c>
      <c r="AR129" s="22">
        <v>29</v>
      </c>
      <c r="AS129" s="31" t="s">
        <v>713</v>
      </c>
      <c r="AT129" s="24">
        <f t="shared" si="5"/>
        <v>0</v>
      </c>
      <c r="AU129" s="24">
        <f t="shared" si="5"/>
        <v>0</v>
      </c>
      <c r="AV129" s="24">
        <f t="shared" si="5"/>
        <v>0</v>
      </c>
      <c r="AW129" s="24">
        <f t="shared" si="5"/>
        <v>0</v>
      </c>
      <c r="AX129" s="24">
        <f t="shared" si="5"/>
        <v>0</v>
      </c>
      <c r="AY129" s="25">
        <f t="shared" si="5"/>
        <v>0</v>
      </c>
      <c r="AZ129" s="25">
        <f t="shared" si="5"/>
        <v>0</v>
      </c>
      <c r="BA129" s="25">
        <f t="shared" si="5"/>
        <v>0</v>
      </c>
      <c r="BB129" s="25">
        <f t="shared" si="4"/>
        <v>0</v>
      </c>
      <c r="BC129" s="25">
        <f t="shared" si="4"/>
        <v>0</v>
      </c>
      <c r="BD129" s="25">
        <f t="shared" si="4"/>
        <v>0</v>
      </c>
      <c r="BE129" s="25">
        <f t="shared" si="4"/>
        <v>0</v>
      </c>
      <c r="BF129" s="25">
        <f t="shared" si="4"/>
        <v>0</v>
      </c>
      <c r="CA129" s="16">
        <v>-9999</v>
      </c>
      <c r="CB129" s="16">
        <v>-9999</v>
      </c>
      <c r="CC129" s="16">
        <v>-9999</v>
      </c>
      <c r="CD129" s="16">
        <v>-9999</v>
      </c>
      <c r="CE129" s="16">
        <v>-9999</v>
      </c>
      <c r="CF129" s="16">
        <v>-9999</v>
      </c>
      <c r="CG129" s="16">
        <v>-9999</v>
      </c>
      <c r="CH129" s="16">
        <v>-9999</v>
      </c>
      <c r="CI129" s="16">
        <v>-9999</v>
      </c>
      <c r="CJ129" s="16">
        <v>-9999</v>
      </c>
      <c r="CK129" s="16">
        <v>-9999</v>
      </c>
      <c r="CL129" s="16">
        <v>-9999</v>
      </c>
      <c r="CM129" s="16">
        <v>-9999</v>
      </c>
      <c r="CN129" s="16">
        <v>-9999</v>
      </c>
      <c r="CO129" s="16">
        <v>-9999</v>
      </c>
      <c r="CP129" s="16">
        <v>-9999</v>
      </c>
      <c r="CQ129" s="16">
        <v>-9999</v>
      </c>
      <c r="CR129" s="16">
        <v>-9999</v>
      </c>
      <c r="CS129" s="16">
        <v>-9999</v>
      </c>
      <c r="CT129" s="16">
        <v>-9999</v>
      </c>
      <c r="CU129" s="16">
        <v>-9999</v>
      </c>
      <c r="CV129" s="16">
        <v>-9999</v>
      </c>
      <c r="CW129" s="16">
        <v>-9999</v>
      </c>
      <c r="CX129" s="16">
        <v>-9999</v>
      </c>
      <c r="CY129" s="16">
        <v>-9999</v>
      </c>
      <c r="CZ129" s="16">
        <v>-9999</v>
      </c>
      <c r="DA129" s="16">
        <v>-9999</v>
      </c>
      <c r="DB129" s="16">
        <v>-9999</v>
      </c>
      <c r="DC129" s="16">
        <v>-9999</v>
      </c>
      <c r="DD129" s="16">
        <v>-9999</v>
      </c>
      <c r="DE129" s="16">
        <v>-9999</v>
      </c>
      <c r="DF129" s="16">
        <v>-9999</v>
      </c>
      <c r="DG129" s="16">
        <v>-9999</v>
      </c>
      <c r="DH129" s="16">
        <v>-9999</v>
      </c>
      <c r="DI129" s="16">
        <v>-9999</v>
      </c>
      <c r="DJ129" s="16">
        <v>-9999</v>
      </c>
      <c r="DK129" s="16">
        <v>-9999</v>
      </c>
      <c r="DL129" s="16">
        <v>-9999</v>
      </c>
      <c r="DM129" s="16">
        <v>-9999</v>
      </c>
      <c r="DN129" s="16">
        <v>-9999</v>
      </c>
      <c r="DO129" s="16">
        <v>-9999</v>
      </c>
      <c r="DP129" s="16">
        <v>-9999</v>
      </c>
      <c r="DQ129" s="16">
        <v>-9999</v>
      </c>
      <c r="DR129" s="16">
        <v>-9999</v>
      </c>
      <c r="DS129" s="16">
        <v>-9999</v>
      </c>
      <c r="DT129" s="16">
        <v>-9999</v>
      </c>
      <c r="DU129" s="16">
        <v>-9999</v>
      </c>
      <c r="DV129" s="16">
        <v>-9999</v>
      </c>
      <c r="DW129" s="16">
        <v>-9999</v>
      </c>
      <c r="DX129" s="16">
        <v>-9999</v>
      </c>
      <c r="DY129" s="16">
        <v>-9999</v>
      </c>
      <c r="DZ129" s="16">
        <v>-9999</v>
      </c>
      <c r="EA129" s="2107">
        <v>-9999</v>
      </c>
      <c r="EB129" s="2107">
        <v>-9999</v>
      </c>
      <c r="EC129" s="2107">
        <v>-9999</v>
      </c>
      <c r="ED129" s="2107">
        <v>-9999</v>
      </c>
      <c r="EE129" s="2107">
        <v>-9999</v>
      </c>
      <c r="EF129" s="2107">
        <v>-9999</v>
      </c>
      <c r="EG129" s="2107">
        <v>-9999</v>
      </c>
      <c r="EH129" s="2107">
        <v>-9999</v>
      </c>
      <c r="EI129" s="2107">
        <v>-9999</v>
      </c>
      <c r="EJ129" s="2107">
        <v>-9999</v>
      </c>
      <c r="EK129" s="2107">
        <v>-9999</v>
      </c>
      <c r="EL129" s="2107">
        <v>-9999</v>
      </c>
      <c r="EM129" s="2107">
        <v>-9999</v>
      </c>
    </row>
    <row r="130" spans="1:143">
      <c r="A130" s="22">
        <v>30</v>
      </c>
      <c r="B130" s="30" t="s">
        <v>1998</v>
      </c>
      <c r="C130" s="25">
        <v>-9999</v>
      </c>
      <c r="D130" s="25">
        <v>-9999</v>
      </c>
      <c r="E130" s="25">
        <v>-9999</v>
      </c>
      <c r="F130" s="25">
        <v>-9999</v>
      </c>
      <c r="G130" s="25">
        <v>-9999</v>
      </c>
      <c r="H130" s="25">
        <v>-9999</v>
      </c>
      <c r="I130" s="25">
        <v>-9999</v>
      </c>
      <c r="J130" s="25">
        <v>-9999</v>
      </c>
      <c r="K130" s="25">
        <v>-9999</v>
      </c>
      <c r="L130" s="25">
        <v>-9999</v>
      </c>
      <c r="M130" s="25">
        <v>-9999</v>
      </c>
      <c r="N130" s="25">
        <v>-9999</v>
      </c>
      <c r="O130" s="25">
        <v>-9999</v>
      </c>
      <c r="P130" s="32"/>
      <c r="Q130"/>
      <c r="AA130" s="22">
        <v>30</v>
      </c>
      <c r="AB130" s="1081" t="str">
        <f t="shared" si="3"/>
        <v>FOR FUTURE USE</v>
      </c>
      <c r="AC130" s="1081">
        <f>CHOOSE(Tables!$U$2,Transfer!CA130,Transfer!CN130,Transfer!DA130,Transfer!DN130,Transfer!EA130)</f>
        <v>-9999</v>
      </c>
      <c r="AD130" s="1081">
        <f>CHOOSE(Tables!$U$2,Transfer!CB130,Transfer!CO130,Transfer!DB130,Transfer!DO130,Transfer!EB130)</f>
        <v>-9999</v>
      </c>
      <c r="AE130" s="1081">
        <f>CHOOSE(Tables!$U$2,Transfer!CC130,Transfer!CP130,Transfer!DC130,Transfer!DP130,Transfer!EC130)</f>
        <v>-9999</v>
      </c>
      <c r="AF130" s="1081">
        <f>CHOOSE(Tables!$U$2,Transfer!CD130,Transfer!CQ130,Transfer!DD130,Transfer!DQ130,Transfer!ED130)</f>
        <v>-9999</v>
      </c>
      <c r="AG130" s="1081">
        <f>CHOOSE(Tables!$U$2,Transfer!CE130,Transfer!CR130,Transfer!DE130,Transfer!DR130,Transfer!EE130)</f>
        <v>-9999</v>
      </c>
      <c r="AH130" s="1081">
        <f>CHOOSE(Tables!$U$2,Transfer!CF130,Transfer!CS130,Transfer!DF130,Transfer!DS130,Transfer!EF130)</f>
        <v>-9999</v>
      </c>
      <c r="AI130" s="1081">
        <f>CHOOSE(Tables!$U$2,Transfer!CG130,Transfer!CT130,Transfer!DG130,Transfer!DT130,Transfer!EG130)</f>
        <v>-9999</v>
      </c>
      <c r="AJ130" s="1081">
        <f>CHOOSE(Tables!$U$2,Transfer!CH130,Transfer!CU130,Transfer!DH130,Transfer!DU130,Transfer!EH130)</f>
        <v>-9999</v>
      </c>
      <c r="AK130" s="1081">
        <f>CHOOSE(Tables!$U$2,Transfer!CI130,Transfer!CV130,Transfer!DI130,Transfer!DV130,Transfer!EI130)</f>
        <v>-9999</v>
      </c>
      <c r="AL130" s="1081">
        <f>CHOOSE(Tables!$U$2,Transfer!CJ130,Transfer!CW130,Transfer!DJ130,Transfer!DW130,Transfer!EJ130)</f>
        <v>-9999</v>
      </c>
      <c r="AM130" s="1081">
        <f>CHOOSE(Tables!$U$2,Transfer!CK130,Transfer!CX130,Transfer!DK130,Transfer!DX130,Transfer!EK130)</f>
        <v>-9999</v>
      </c>
      <c r="AN130" s="1081">
        <f>CHOOSE(Tables!$U$2,Transfer!CL130,Transfer!CY130,Transfer!DL130,Transfer!DY130,Transfer!EL130)</f>
        <v>-9999</v>
      </c>
      <c r="AO130" s="1081">
        <f>CHOOSE(Tables!$U$2,Transfer!CM130,Transfer!CZ130,Transfer!DM130,Transfer!DZ130,Transfer!EM130)</f>
        <v>-9999</v>
      </c>
      <c r="AR130" s="22">
        <v>30</v>
      </c>
      <c r="AS130" s="31" t="s">
        <v>714</v>
      </c>
      <c r="AT130" s="24">
        <f t="shared" si="5"/>
        <v>0</v>
      </c>
      <c r="AU130" s="24">
        <f t="shared" si="5"/>
        <v>0</v>
      </c>
      <c r="AV130" s="24">
        <f t="shared" si="5"/>
        <v>0</v>
      </c>
      <c r="AW130" s="24">
        <f t="shared" si="5"/>
        <v>0</v>
      </c>
      <c r="AX130" s="24">
        <f t="shared" si="5"/>
        <v>0</v>
      </c>
      <c r="AY130" s="25">
        <f t="shared" si="5"/>
        <v>0</v>
      </c>
      <c r="AZ130" s="25">
        <f t="shared" si="5"/>
        <v>0</v>
      </c>
      <c r="BA130" s="25">
        <f t="shared" si="5"/>
        <v>0</v>
      </c>
      <c r="BB130" s="25">
        <f t="shared" si="4"/>
        <v>0</v>
      </c>
      <c r="BC130" s="25">
        <f t="shared" si="4"/>
        <v>0</v>
      </c>
      <c r="BD130" s="25">
        <f t="shared" si="4"/>
        <v>0</v>
      </c>
      <c r="BE130" s="25">
        <f t="shared" si="4"/>
        <v>0</v>
      </c>
      <c r="BF130" s="25">
        <f t="shared" si="4"/>
        <v>0</v>
      </c>
      <c r="CA130" s="16">
        <v>-9999</v>
      </c>
      <c r="CB130" s="16">
        <v>-9999</v>
      </c>
      <c r="CC130" s="16">
        <v>-9999</v>
      </c>
      <c r="CD130" s="16">
        <v>-9999</v>
      </c>
      <c r="CE130" s="16">
        <v>-9999</v>
      </c>
      <c r="CF130" s="16">
        <v>-9999</v>
      </c>
      <c r="CG130" s="16">
        <v>-9999</v>
      </c>
      <c r="CH130" s="16">
        <v>-9999</v>
      </c>
      <c r="CI130" s="16">
        <v>-9999</v>
      </c>
      <c r="CJ130" s="16">
        <v>-9999</v>
      </c>
      <c r="CK130" s="16">
        <v>-9999</v>
      </c>
      <c r="CL130" s="16">
        <v>-9999</v>
      </c>
      <c r="CM130" s="16">
        <v>-9999</v>
      </c>
      <c r="CN130" s="16">
        <v>-9999</v>
      </c>
      <c r="CO130" s="16">
        <v>-9999</v>
      </c>
      <c r="CP130" s="16">
        <v>-9999</v>
      </c>
      <c r="CQ130" s="16">
        <v>-9999</v>
      </c>
      <c r="CR130" s="16">
        <v>-9999</v>
      </c>
      <c r="CS130" s="16">
        <v>-9999</v>
      </c>
      <c r="CT130" s="16">
        <v>-9999</v>
      </c>
      <c r="CU130" s="16">
        <v>-9999</v>
      </c>
      <c r="CV130" s="16">
        <v>-9999</v>
      </c>
      <c r="CW130" s="16">
        <v>-9999</v>
      </c>
      <c r="CX130" s="16">
        <v>-9999</v>
      </c>
      <c r="CY130" s="16">
        <v>-9999</v>
      </c>
      <c r="CZ130" s="16">
        <v>-9999</v>
      </c>
      <c r="DA130" s="16">
        <v>-9999</v>
      </c>
      <c r="DB130" s="16">
        <v>-9999</v>
      </c>
      <c r="DC130" s="16">
        <v>-9999</v>
      </c>
      <c r="DD130" s="16">
        <v>-9999</v>
      </c>
      <c r="DE130" s="16">
        <v>-9999</v>
      </c>
      <c r="DF130" s="16">
        <v>-9999</v>
      </c>
      <c r="DG130" s="16">
        <v>-9999</v>
      </c>
      <c r="DH130" s="16">
        <v>-9999</v>
      </c>
      <c r="DI130" s="16">
        <v>-9999</v>
      </c>
      <c r="DJ130" s="16">
        <v>-9999</v>
      </c>
      <c r="DK130" s="16">
        <v>-9999</v>
      </c>
      <c r="DL130" s="16">
        <v>-9999</v>
      </c>
      <c r="DM130" s="16">
        <v>-9999</v>
      </c>
      <c r="DN130" s="16">
        <v>-9999</v>
      </c>
      <c r="DO130" s="16">
        <v>-9999</v>
      </c>
      <c r="DP130" s="16">
        <v>-9999</v>
      </c>
      <c r="DQ130" s="16">
        <v>-9999</v>
      </c>
      <c r="DR130" s="16">
        <v>-9999</v>
      </c>
      <c r="DS130" s="16">
        <v>-9999</v>
      </c>
      <c r="DT130" s="16">
        <v>-9999</v>
      </c>
      <c r="DU130" s="16">
        <v>-9999</v>
      </c>
      <c r="DV130" s="16">
        <v>-9999</v>
      </c>
      <c r="DW130" s="16">
        <v>-9999</v>
      </c>
      <c r="DX130" s="16">
        <v>-9999</v>
      </c>
      <c r="DY130" s="16">
        <v>-9999</v>
      </c>
      <c r="DZ130" s="16">
        <v>-9999</v>
      </c>
      <c r="EA130" s="2107">
        <v>-9999</v>
      </c>
      <c r="EB130" s="2107">
        <v>-9999</v>
      </c>
      <c r="EC130" s="2107">
        <v>-9999</v>
      </c>
      <c r="ED130" s="2107">
        <v>-9999</v>
      </c>
      <c r="EE130" s="2107">
        <v>-9999</v>
      </c>
      <c r="EF130" s="2107">
        <v>-9999</v>
      </c>
      <c r="EG130" s="2107">
        <v>-9999</v>
      </c>
      <c r="EH130" s="2107">
        <v>-9999</v>
      </c>
      <c r="EI130" s="2107">
        <v>-9999</v>
      </c>
      <c r="EJ130" s="2107">
        <v>-9999</v>
      </c>
      <c r="EK130" s="2107">
        <v>-9999</v>
      </c>
      <c r="EL130" s="2107">
        <v>-9999</v>
      </c>
      <c r="EM130" s="2107">
        <v>-9999</v>
      </c>
    </row>
    <row r="131" spans="1:143">
      <c r="A131" s="22">
        <v>31</v>
      </c>
      <c r="B131" s="1" t="s">
        <v>715</v>
      </c>
      <c r="C131" s="24">
        <f ca="1">OFFSET('VVP2'!F185,0,Last_forecast_year - 3-InputY!$G$3)</f>
        <v>23.91927310440213</v>
      </c>
      <c r="D131" s="24">
        <f ca="1">OFFSET('VVP2'!G185,0,Last_forecast_year - 3-InputY!$G$3)</f>
        <v>24.719898297884487</v>
      </c>
      <c r="E131" s="24">
        <f ca="1">OFFSET('VVP2'!H185,0,Last_forecast_year - 3-InputY!$G$3)</f>
        <v>24.89879792551887</v>
      </c>
      <c r="F131" s="24">
        <f ca="1">OFFSET('VVP2'!I185,0,Last_forecast_year - 3-InputY!$G$3)</f>
        <v>25.413658999999996</v>
      </c>
      <c r="G131" s="24">
        <f ca="1">OFFSET('VVP2'!J185,0,Last_forecast_year - 3-InputY!$G$3)</f>
        <v>25.847470159129994</v>
      </c>
      <c r="H131" s="25">
        <v>-9999</v>
      </c>
      <c r="I131" s="25">
        <v>-9999</v>
      </c>
      <c r="J131" s="25">
        <v>-9999</v>
      </c>
      <c r="K131" s="25">
        <v>-9999</v>
      </c>
      <c r="L131" s="25">
        <v>-9999</v>
      </c>
      <c r="M131" s="25">
        <v>-9999</v>
      </c>
      <c r="N131" s="25">
        <v>-9999</v>
      </c>
      <c r="O131" s="25">
        <v>-9999</v>
      </c>
      <c r="P131" s="32"/>
      <c r="Q131"/>
      <c r="AA131" s="22">
        <v>31</v>
      </c>
      <c r="AB131" s="1081" t="str">
        <f t="shared" si="3"/>
        <v>VOL. FIXED INVESTMENT HOUSING</v>
      </c>
      <c r="AC131" s="1081">
        <f>CHOOSE(Tables!$U$2,Transfer!CA131,Transfer!CN131,Transfer!DA131,Transfer!DN131,Transfer!EA131)</f>
        <v>23.91927310440213</v>
      </c>
      <c r="AD131" s="1081">
        <f>CHOOSE(Tables!$U$2,Transfer!CB131,Transfer!CO131,Transfer!DB131,Transfer!DO131,Transfer!EB131)</f>
        <v>24.719898297884487</v>
      </c>
      <c r="AE131" s="1081">
        <f>CHOOSE(Tables!$U$2,Transfer!CC131,Transfer!CP131,Transfer!DC131,Transfer!DP131,Transfer!EC131)</f>
        <v>24.89879792551887</v>
      </c>
      <c r="AF131" s="1081">
        <f>CHOOSE(Tables!$U$2,Transfer!CD131,Transfer!CQ131,Transfer!DD131,Transfer!DQ131,Transfer!ED131)</f>
        <v>25.413658999999996</v>
      </c>
      <c r="AG131" s="1081">
        <f>CHOOSE(Tables!$U$2,Transfer!CE131,Transfer!CR131,Transfer!DE131,Transfer!DR131,Transfer!EE131)</f>
        <v>25.847470159129994</v>
      </c>
      <c r="AH131" s="1081">
        <f>CHOOSE(Tables!$U$2,Transfer!CF131,Transfer!CS131,Transfer!DF131,Transfer!DS131,Transfer!EF131)</f>
        <v>-9999</v>
      </c>
      <c r="AI131" s="1081">
        <f>CHOOSE(Tables!$U$2,Transfer!CG131,Transfer!CT131,Transfer!DG131,Transfer!DT131,Transfer!EG131)</f>
        <v>-9999</v>
      </c>
      <c r="AJ131" s="1081">
        <f>CHOOSE(Tables!$U$2,Transfer!CH131,Transfer!CU131,Transfer!DH131,Transfer!DU131,Transfer!EH131)</f>
        <v>-9999</v>
      </c>
      <c r="AK131" s="1081">
        <f>CHOOSE(Tables!$U$2,Transfer!CI131,Transfer!CV131,Transfer!DI131,Transfer!DV131,Transfer!EI131)</f>
        <v>-9999</v>
      </c>
      <c r="AL131" s="1081">
        <f>CHOOSE(Tables!$U$2,Transfer!CJ131,Transfer!CW131,Transfer!DJ131,Transfer!DW131,Transfer!EJ131)</f>
        <v>-9999</v>
      </c>
      <c r="AM131" s="1081">
        <f>CHOOSE(Tables!$U$2,Transfer!CK131,Transfer!CX131,Transfer!DK131,Transfer!DX131,Transfer!EK131)</f>
        <v>-9999</v>
      </c>
      <c r="AN131" s="1081">
        <f>CHOOSE(Tables!$U$2,Transfer!CL131,Transfer!CY131,Transfer!DL131,Transfer!DY131,Transfer!EL131)</f>
        <v>-9999</v>
      </c>
      <c r="AO131" s="1081">
        <f>CHOOSE(Tables!$U$2,Transfer!CM131,Transfer!CZ131,Transfer!DM131,Transfer!DZ131,Transfer!EM131)</f>
        <v>-9999</v>
      </c>
      <c r="AR131" s="22">
        <v>31</v>
      </c>
      <c r="AS131" s="1" t="s">
        <v>715</v>
      </c>
      <c r="AT131" s="24">
        <f t="shared" ca="1" si="5"/>
        <v>0</v>
      </c>
      <c r="AU131" s="24">
        <f t="shared" ca="1" si="5"/>
        <v>0</v>
      </c>
      <c r="AV131" s="24">
        <f t="shared" ca="1" si="5"/>
        <v>0</v>
      </c>
      <c r="AW131" s="24">
        <f t="shared" ca="1" si="5"/>
        <v>0</v>
      </c>
      <c r="AX131" s="24">
        <f t="shared" ca="1" si="5"/>
        <v>0</v>
      </c>
      <c r="AY131" s="25">
        <f t="shared" si="5"/>
        <v>0</v>
      </c>
      <c r="AZ131" s="25">
        <f t="shared" si="5"/>
        <v>0</v>
      </c>
      <c r="BA131" s="25">
        <f t="shared" si="5"/>
        <v>0</v>
      </c>
      <c r="BB131" s="25">
        <f t="shared" si="4"/>
        <v>0</v>
      </c>
      <c r="BC131" s="25">
        <f t="shared" si="4"/>
        <v>0</v>
      </c>
      <c r="BD131" s="25">
        <f t="shared" si="4"/>
        <v>0</v>
      </c>
      <c r="BE131" s="25">
        <f t="shared" si="4"/>
        <v>0</v>
      </c>
      <c r="BF131" s="25">
        <f t="shared" si="4"/>
        <v>0</v>
      </c>
      <c r="CA131" s="16">
        <v>23.91927310440213</v>
      </c>
      <c r="CB131" s="16">
        <v>24.719898297884487</v>
      </c>
      <c r="CC131" s="16">
        <v>24.89879792551887</v>
      </c>
      <c r="CD131" s="16">
        <v>25.413658999999996</v>
      </c>
      <c r="CE131" s="16">
        <v>25.847470159129994</v>
      </c>
      <c r="CF131" s="16">
        <v>-9999</v>
      </c>
      <c r="CG131" s="16">
        <v>-9999</v>
      </c>
      <c r="CH131" s="16">
        <v>-9999</v>
      </c>
      <c r="CI131" s="16">
        <v>-9999</v>
      </c>
      <c r="CJ131" s="16">
        <v>-9999</v>
      </c>
      <c r="CK131" s="16">
        <v>-9999</v>
      </c>
      <c r="CL131" s="16">
        <v>-9999</v>
      </c>
      <c r="CM131" s="16">
        <v>-9999</v>
      </c>
      <c r="CN131" s="16">
        <v>23.91927310440213</v>
      </c>
      <c r="CO131" s="16">
        <v>24.719898297884487</v>
      </c>
      <c r="CP131" s="16">
        <v>24.662269000000002</v>
      </c>
      <c r="CQ131" s="16">
        <v>25.033436148449997</v>
      </c>
      <c r="CR131" s="16">
        <v>25.687910303115075</v>
      </c>
      <c r="CS131" s="16">
        <v>-9999</v>
      </c>
      <c r="CT131" s="16">
        <v>-9999</v>
      </c>
      <c r="CU131" s="16">
        <v>-9999</v>
      </c>
      <c r="CV131" s="16">
        <v>-9999</v>
      </c>
      <c r="CW131" s="16">
        <v>-9999</v>
      </c>
      <c r="CX131" s="16">
        <v>-9999</v>
      </c>
      <c r="CY131" s="16">
        <v>-9999</v>
      </c>
      <c r="CZ131" s="16">
        <v>-9999</v>
      </c>
      <c r="DA131" s="16">
        <v>23.91927310440213</v>
      </c>
      <c r="DB131" s="16">
        <v>24.719898297884487</v>
      </c>
      <c r="DC131" s="16">
        <v>24.89879792551887</v>
      </c>
      <c r="DD131" s="16">
        <v>25.413658999999996</v>
      </c>
      <c r="DE131" s="16">
        <v>25.847470159129994</v>
      </c>
      <c r="DF131" s="16">
        <v>-9999</v>
      </c>
      <c r="DG131" s="16">
        <v>-9999</v>
      </c>
      <c r="DH131" s="16">
        <v>-9999</v>
      </c>
      <c r="DI131" s="16">
        <v>-9999</v>
      </c>
      <c r="DJ131" s="16">
        <v>-9999</v>
      </c>
      <c r="DK131" s="16">
        <v>-9999</v>
      </c>
      <c r="DL131" s="16">
        <v>-9999</v>
      </c>
      <c r="DM131" s="16">
        <v>-9999</v>
      </c>
      <c r="DN131" s="16">
        <v>23.91927310440213</v>
      </c>
      <c r="DO131" s="16">
        <v>24.719898297884487</v>
      </c>
      <c r="DP131" s="16">
        <v>24.89879792551887</v>
      </c>
      <c r="DQ131" s="16">
        <v>25.413658999999996</v>
      </c>
      <c r="DR131" s="16">
        <v>25.847470159129994</v>
      </c>
      <c r="DS131" s="16">
        <v>-9999</v>
      </c>
      <c r="DT131" s="16">
        <v>-9999</v>
      </c>
      <c r="DU131" s="16">
        <v>-9999</v>
      </c>
      <c r="DV131" s="16">
        <v>-9999</v>
      </c>
      <c r="DW131" s="16">
        <v>-9999</v>
      </c>
      <c r="DX131" s="16">
        <v>-9999</v>
      </c>
      <c r="DY131" s="16">
        <v>-9999</v>
      </c>
      <c r="DZ131" s="16">
        <v>-9999</v>
      </c>
      <c r="EA131" s="2106">
        <v>23.91927310440213</v>
      </c>
      <c r="EB131" s="2106">
        <v>24.719898297884487</v>
      </c>
      <c r="EC131" s="2106">
        <v>24.89879792551887</v>
      </c>
      <c r="ED131" s="2106">
        <v>25.413658999999996</v>
      </c>
      <c r="EE131" s="2106">
        <v>25.847470159129994</v>
      </c>
      <c r="EF131" s="2107">
        <v>-9999</v>
      </c>
      <c r="EG131" s="2107">
        <v>-9999</v>
      </c>
      <c r="EH131" s="2107">
        <v>-9999</v>
      </c>
      <c r="EI131" s="2107">
        <v>-9999</v>
      </c>
      <c r="EJ131" s="2107">
        <v>-9999</v>
      </c>
      <c r="EK131" s="2107">
        <v>-9999</v>
      </c>
      <c r="EL131" s="2107">
        <v>-9999</v>
      </c>
      <c r="EM131" s="2107">
        <v>-9999</v>
      </c>
    </row>
    <row r="132" spans="1:143">
      <c r="A132" s="22">
        <v>32</v>
      </c>
      <c r="B132" s="30" t="s">
        <v>1998</v>
      </c>
      <c r="C132" s="25">
        <v>-9999</v>
      </c>
      <c r="D132" s="25">
        <v>-9999</v>
      </c>
      <c r="E132" s="25">
        <v>-9999</v>
      </c>
      <c r="F132" s="25">
        <v>-9999</v>
      </c>
      <c r="G132" s="25">
        <v>-9999</v>
      </c>
      <c r="H132" s="25">
        <v>-9999</v>
      </c>
      <c r="I132" s="25">
        <v>-9999</v>
      </c>
      <c r="J132" s="25">
        <v>-9999</v>
      </c>
      <c r="K132" s="25">
        <v>-9999</v>
      </c>
      <c r="L132" s="25">
        <v>-9999</v>
      </c>
      <c r="M132" s="25">
        <v>-9999</v>
      </c>
      <c r="N132" s="25">
        <v>-9999</v>
      </c>
      <c r="O132" s="25">
        <v>-9999</v>
      </c>
      <c r="P132" s="32"/>
      <c r="Q132"/>
      <c r="AA132" s="22">
        <v>32</v>
      </c>
      <c r="AB132" s="1081" t="str">
        <f t="shared" si="3"/>
        <v>FOR FUTURE USE</v>
      </c>
      <c r="AC132" s="1081">
        <f>CHOOSE(Tables!$U$2,Transfer!CA132,Transfer!CN132,Transfer!DA132,Transfer!DN132,Transfer!EA132)</f>
        <v>-9999</v>
      </c>
      <c r="AD132" s="1081">
        <f>CHOOSE(Tables!$U$2,Transfer!CB132,Transfer!CO132,Transfer!DB132,Transfer!DO132,Transfer!EB132)</f>
        <v>-9999</v>
      </c>
      <c r="AE132" s="1081">
        <f>CHOOSE(Tables!$U$2,Transfer!CC132,Transfer!CP132,Transfer!DC132,Transfer!DP132,Transfer!EC132)</f>
        <v>-9999</v>
      </c>
      <c r="AF132" s="1081">
        <f>CHOOSE(Tables!$U$2,Transfer!CD132,Transfer!CQ132,Transfer!DD132,Transfer!DQ132,Transfer!ED132)</f>
        <v>-9999</v>
      </c>
      <c r="AG132" s="1081">
        <f>CHOOSE(Tables!$U$2,Transfer!CE132,Transfer!CR132,Transfer!DE132,Transfer!DR132,Transfer!EE132)</f>
        <v>-9999</v>
      </c>
      <c r="AH132" s="1081">
        <f>CHOOSE(Tables!$U$2,Transfer!CF132,Transfer!CS132,Transfer!DF132,Transfer!DS132,Transfer!EF132)</f>
        <v>-9999</v>
      </c>
      <c r="AI132" s="1081">
        <f>CHOOSE(Tables!$U$2,Transfer!CG132,Transfer!CT132,Transfer!DG132,Transfer!DT132,Transfer!EG132)</f>
        <v>-9999</v>
      </c>
      <c r="AJ132" s="1081">
        <f>CHOOSE(Tables!$U$2,Transfer!CH132,Transfer!CU132,Transfer!DH132,Transfer!DU132,Transfer!EH132)</f>
        <v>-9999</v>
      </c>
      <c r="AK132" s="1081">
        <f>CHOOSE(Tables!$U$2,Transfer!CI132,Transfer!CV132,Transfer!DI132,Transfer!DV132,Transfer!EI132)</f>
        <v>-9999</v>
      </c>
      <c r="AL132" s="1081">
        <f>CHOOSE(Tables!$U$2,Transfer!CJ132,Transfer!CW132,Transfer!DJ132,Transfer!DW132,Transfer!EJ132)</f>
        <v>-9999</v>
      </c>
      <c r="AM132" s="1081">
        <f>CHOOSE(Tables!$U$2,Transfer!CK132,Transfer!CX132,Transfer!DK132,Transfer!DX132,Transfer!EK132)</f>
        <v>-9999</v>
      </c>
      <c r="AN132" s="1081">
        <f>CHOOSE(Tables!$U$2,Transfer!CL132,Transfer!CY132,Transfer!DL132,Transfer!DY132,Transfer!EL132)</f>
        <v>-9999</v>
      </c>
      <c r="AO132" s="1081">
        <f>CHOOSE(Tables!$U$2,Transfer!CM132,Transfer!CZ132,Transfer!DM132,Transfer!DZ132,Transfer!EM132)</f>
        <v>-9999</v>
      </c>
      <c r="AR132" s="22">
        <v>32</v>
      </c>
      <c r="AS132" s="1" t="s">
        <v>2130</v>
      </c>
      <c r="AT132" s="24">
        <f t="shared" si="5"/>
        <v>0</v>
      </c>
      <c r="AU132" s="24">
        <f t="shared" si="5"/>
        <v>0</v>
      </c>
      <c r="AV132" s="24">
        <f t="shared" si="5"/>
        <v>0</v>
      </c>
      <c r="AW132" s="24">
        <f t="shared" si="5"/>
        <v>0</v>
      </c>
      <c r="AX132" s="24">
        <f t="shared" si="5"/>
        <v>0</v>
      </c>
      <c r="AY132" s="25">
        <f t="shared" si="5"/>
        <v>0</v>
      </c>
      <c r="AZ132" s="25">
        <f t="shared" si="5"/>
        <v>0</v>
      </c>
      <c r="BA132" s="25">
        <f t="shared" si="5"/>
        <v>0</v>
      </c>
      <c r="BB132" s="25">
        <f t="shared" si="4"/>
        <v>0</v>
      </c>
      <c r="BC132" s="25">
        <f t="shared" si="4"/>
        <v>0</v>
      </c>
      <c r="BD132" s="25">
        <f t="shared" si="4"/>
        <v>0</v>
      </c>
      <c r="BE132" s="25">
        <f t="shared" si="4"/>
        <v>0</v>
      </c>
      <c r="BF132" s="25">
        <f t="shared" si="4"/>
        <v>0</v>
      </c>
      <c r="CA132" s="16">
        <v>-9999</v>
      </c>
      <c r="CB132" s="16">
        <v>-9999</v>
      </c>
      <c r="CC132" s="16">
        <v>-9999</v>
      </c>
      <c r="CD132" s="16">
        <v>-9999</v>
      </c>
      <c r="CE132" s="16">
        <v>-9999</v>
      </c>
      <c r="CF132" s="16">
        <v>-9999</v>
      </c>
      <c r="CG132" s="16">
        <v>-9999</v>
      </c>
      <c r="CH132" s="16">
        <v>-9999</v>
      </c>
      <c r="CI132" s="16">
        <v>-9999</v>
      </c>
      <c r="CJ132" s="16">
        <v>-9999</v>
      </c>
      <c r="CK132" s="16">
        <v>-9999</v>
      </c>
      <c r="CL132" s="16">
        <v>-9999</v>
      </c>
      <c r="CM132" s="16">
        <v>-9999</v>
      </c>
      <c r="CN132" s="16">
        <v>-9999</v>
      </c>
      <c r="CO132" s="16">
        <v>-9999</v>
      </c>
      <c r="CP132" s="16">
        <v>-9999</v>
      </c>
      <c r="CQ132" s="16">
        <v>-9999</v>
      </c>
      <c r="CR132" s="16">
        <v>-9999</v>
      </c>
      <c r="CS132" s="16">
        <v>-9999</v>
      </c>
      <c r="CT132" s="16">
        <v>-9999</v>
      </c>
      <c r="CU132" s="16">
        <v>-9999</v>
      </c>
      <c r="CV132" s="16">
        <v>-9999</v>
      </c>
      <c r="CW132" s="16">
        <v>-9999</v>
      </c>
      <c r="CX132" s="16">
        <v>-9999</v>
      </c>
      <c r="CY132" s="16">
        <v>-9999</v>
      </c>
      <c r="CZ132" s="16">
        <v>-9999</v>
      </c>
      <c r="DA132" s="16">
        <v>-9999</v>
      </c>
      <c r="DB132" s="16">
        <v>-9999</v>
      </c>
      <c r="DC132" s="16">
        <v>-9999</v>
      </c>
      <c r="DD132" s="16">
        <v>-9999</v>
      </c>
      <c r="DE132" s="16">
        <v>-9999</v>
      </c>
      <c r="DF132" s="16">
        <v>-9999</v>
      </c>
      <c r="DG132" s="16">
        <v>-9999</v>
      </c>
      <c r="DH132" s="16">
        <v>-9999</v>
      </c>
      <c r="DI132" s="16">
        <v>-9999</v>
      </c>
      <c r="DJ132" s="16">
        <v>-9999</v>
      </c>
      <c r="DK132" s="16">
        <v>-9999</v>
      </c>
      <c r="DL132" s="16">
        <v>-9999</v>
      </c>
      <c r="DM132" s="16">
        <v>-9999</v>
      </c>
      <c r="DN132" s="16">
        <v>-9999</v>
      </c>
      <c r="DO132" s="16">
        <v>-9999</v>
      </c>
      <c r="DP132" s="16">
        <v>-9999</v>
      </c>
      <c r="DQ132" s="16">
        <v>-9999</v>
      </c>
      <c r="DR132" s="16">
        <v>-9999</v>
      </c>
      <c r="DS132" s="16">
        <v>-9999</v>
      </c>
      <c r="DT132" s="16">
        <v>-9999</v>
      </c>
      <c r="DU132" s="16">
        <v>-9999</v>
      </c>
      <c r="DV132" s="16">
        <v>-9999</v>
      </c>
      <c r="DW132" s="16">
        <v>-9999</v>
      </c>
      <c r="DX132" s="16">
        <v>-9999</v>
      </c>
      <c r="DY132" s="16">
        <v>-9999</v>
      </c>
      <c r="DZ132" s="16">
        <v>-9999</v>
      </c>
      <c r="EA132" s="2106">
        <v>-9999</v>
      </c>
      <c r="EB132" s="2106">
        <v>-9999</v>
      </c>
      <c r="EC132" s="2106">
        <v>-9999</v>
      </c>
      <c r="ED132" s="2106">
        <v>-9999</v>
      </c>
      <c r="EE132" s="2106">
        <v>-9999</v>
      </c>
      <c r="EF132" s="2107">
        <v>-9999</v>
      </c>
      <c r="EG132" s="2107">
        <v>-9999</v>
      </c>
      <c r="EH132" s="2107">
        <v>-9999</v>
      </c>
      <c r="EI132" s="2107">
        <v>-9999</v>
      </c>
      <c r="EJ132" s="2107">
        <v>-9999</v>
      </c>
      <c r="EK132" s="2107">
        <v>-9999</v>
      </c>
      <c r="EL132" s="2107">
        <v>-9999</v>
      </c>
      <c r="EM132" s="2107">
        <v>-9999</v>
      </c>
    </row>
    <row r="133" spans="1:143">
      <c r="A133" s="22">
        <v>33</v>
      </c>
      <c r="B133" s="31" t="s">
        <v>1799</v>
      </c>
      <c r="C133" s="25">
        <f ca="1">OFFSET('VVP2'!F213,0,Last_forecast_year - 3-InputY!$G$3)</f>
        <v>23.9801</v>
      </c>
      <c r="D133" s="1081">
        <f ca="1">OFFSET('VVP2'!G213,0,Last_forecast_year - 3-InputY!$G$3)</f>
        <v>24.786200000000001</v>
      </c>
      <c r="E133" s="1081">
        <f ca="1">OFFSET('VVP2'!H213,0,Last_forecast_year - 3-InputY!$G$3)</f>
        <v>25.236999999999998</v>
      </c>
      <c r="F133" s="1081">
        <f ca="1">OFFSET('VVP2'!I213,0,Last_forecast_year - 3-InputY!$G$3)</f>
        <v>25.667795589999997</v>
      </c>
      <c r="G133" s="1081">
        <f ca="1">OFFSET('VVP2'!J213,0,Last_forecast_year - 3-InputY!$G$3)</f>
        <v>26.157639801039554</v>
      </c>
      <c r="H133" s="1081">
        <v>-9999</v>
      </c>
      <c r="I133" s="1081">
        <v>-9999</v>
      </c>
      <c r="J133" s="1081">
        <v>-9999</v>
      </c>
      <c r="K133" s="1081">
        <v>-9999</v>
      </c>
      <c r="L133" s="1081">
        <v>-9999</v>
      </c>
      <c r="M133" s="1081">
        <v>-9999</v>
      </c>
      <c r="N133" s="1081">
        <v>-9999</v>
      </c>
      <c r="O133" s="1081">
        <v>-9999</v>
      </c>
      <c r="P133" s="26"/>
      <c r="Q133"/>
      <c r="AA133" s="22">
        <v>33</v>
      </c>
      <c r="AB133" s="1081" t="str">
        <f t="shared" si="3"/>
        <v xml:space="preserve">VAL. FIXED INVESTMENT HOUSING </v>
      </c>
      <c r="AC133" s="1081">
        <f>CHOOSE(Tables!$U$2,Transfer!CA133,Transfer!CN133,Transfer!DA133,Transfer!DN133,Transfer!EA133)</f>
        <v>23.9801</v>
      </c>
      <c r="AD133" s="1081">
        <f>CHOOSE(Tables!$U$2,Transfer!CB133,Transfer!CO133,Transfer!DB133,Transfer!DO133,Transfer!EB133)</f>
        <v>24.786200000000001</v>
      </c>
      <c r="AE133" s="1081">
        <f>CHOOSE(Tables!$U$2,Transfer!CC133,Transfer!CP133,Transfer!DC133,Transfer!DP133,Transfer!EC133)</f>
        <v>25.236999999999998</v>
      </c>
      <c r="AF133" s="1081">
        <f>CHOOSE(Tables!$U$2,Transfer!CD133,Transfer!CQ133,Transfer!DD133,Transfer!DQ133,Transfer!ED133)</f>
        <v>25.667795589999997</v>
      </c>
      <c r="AG133" s="1081">
        <f>CHOOSE(Tables!$U$2,Transfer!CE133,Transfer!CR133,Transfer!DE133,Transfer!DR133,Transfer!EE133)</f>
        <v>26.157639801039554</v>
      </c>
      <c r="AH133" s="1081">
        <f>CHOOSE(Tables!$U$2,Transfer!CF133,Transfer!CS133,Transfer!DF133,Transfer!DS133,Transfer!EF133)</f>
        <v>-9999</v>
      </c>
      <c r="AI133" s="1081">
        <f>CHOOSE(Tables!$U$2,Transfer!CG133,Transfer!CT133,Transfer!DG133,Transfer!DT133,Transfer!EG133)</f>
        <v>-9999</v>
      </c>
      <c r="AJ133" s="1081">
        <f>CHOOSE(Tables!$U$2,Transfer!CH133,Transfer!CU133,Transfer!DH133,Transfer!DU133,Transfer!EH133)</f>
        <v>-9999</v>
      </c>
      <c r="AK133" s="1081">
        <f>CHOOSE(Tables!$U$2,Transfer!CI133,Transfer!CV133,Transfer!DI133,Transfer!DV133,Transfer!EI133)</f>
        <v>-9999</v>
      </c>
      <c r="AL133" s="1081">
        <f>CHOOSE(Tables!$U$2,Transfer!CJ133,Transfer!CW133,Transfer!DJ133,Transfer!DW133,Transfer!EJ133)</f>
        <v>-9999</v>
      </c>
      <c r="AM133" s="1081">
        <f>CHOOSE(Tables!$U$2,Transfer!CK133,Transfer!CX133,Transfer!DK133,Transfer!DX133,Transfer!EK133)</f>
        <v>-9999</v>
      </c>
      <c r="AN133" s="1081">
        <f>CHOOSE(Tables!$U$2,Transfer!CL133,Transfer!CY133,Transfer!DL133,Transfer!DY133,Transfer!EL133)</f>
        <v>-9999</v>
      </c>
      <c r="AO133" s="1081">
        <f>CHOOSE(Tables!$U$2,Transfer!CM133,Transfer!CZ133,Transfer!DM133,Transfer!DZ133,Transfer!EM133)</f>
        <v>-9999</v>
      </c>
      <c r="AR133" s="22">
        <v>33</v>
      </c>
      <c r="AS133" s="31" t="s">
        <v>1799</v>
      </c>
      <c r="AT133" s="25">
        <f t="shared" ca="1" si="5"/>
        <v>0</v>
      </c>
      <c r="AU133" s="1081">
        <f t="shared" ca="1" si="5"/>
        <v>0</v>
      </c>
      <c r="AV133" s="1081">
        <f t="shared" ca="1" si="5"/>
        <v>0</v>
      </c>
      <c r="AW133" s="1081">
        <f t="shared" ca="1" si="5"/>
        <v>0</v>
      </c>
      <c r="AX133" s="1081">
        <f t="shared" ca="1" si="5"/>
        <v>0</v>
      </c>
      <c r="AY133" s="1081">
        <f t="shared" si="5"/>
        <v>0</v>
      </c>
      <c r="AZ133" s="1081">
        <f t="shared" si="5"/>
        <v>0</v>
      </c>
      <c r="BA133" s="1081">
        <f t="shared" si="5"/>
        <v>0</v>
      </c>
      <c r="BB133" s="1081">
        <f t="shared" si="4"/>
        <v>0</v>
      </c>
      <c r="BC133" s="1081">
        <f t="shared" si="4"/>
        <v>0</v>
      </c>
      <c r="BD133" s="1081">
        <f t="shared" si="4"/>
        <v>0</v>
      </c>
      <c r="BE133" s="1081">
        <f t="shared" si="4"/>
        <v>0</v>
      </c>
      <c r="BF133" s="1081">
        <f t="shared" si="4"/>
        <v>0</v>
      </c>
      <c r="CA133" s="16">
        <v>23.9801</v>
      </c>
      <c r="CB133" s="16">
        <v>24.786200000000001</v>
      </c>
      <c r="CC133" s="16">
        <v>25.236999999999998</v>
      </c>
      <c r="CD133" s="16">
        <v>25.667795589999997</v>
      </c>
      <c r="CE133" s="16">
        <v>26.157639801039554</v>
      </c>
      <c r="CF133" s="16">
        <v>-9999</v>
      </c>
      <c r="CG133" s="16">
        <v>-9999</v>
      </c>
      <c r="CH133" s="16">
        <v>-9999</v>
      </c>
      <c r="CI133" s="16">
        <v>-9999</v>
      </c>
      <c r="CJ133" s="16">
        <v>-9999</v>
      </c>
      <c r="CK133" s="16">
        <v>-9999</v>
      </c>
      <c r="CL133" s="16">
        <v>-9999</v>
      </c>
      <c r="CM133" s="16">
        <v>-9999</v>
      </c>
      <c r="CN133" s="16">
        <v>23.9801</v>
      </c>
      <c r="CO133" s="16">
        <v>24.786200000000001</v>
      </c>
      <c r="CP133" s="16">
        <v>24.908891690000001</v>
      </c>
      <c r="CQ133" s="16">
        <v>25.484037999122098</v>
      </c>
      <c r="CR133" s="16">
        <v>26.124604778268033</v>
      </c>
      <c r="CS133" s="16">
        <v>-9999</v>
      </c>
      <c r="CT133" s="16">
        <v>-9999</v>
      </c>
      <c r="CU133" s="16">
        <v>-9999</v>
      </c>
      <c r="CV133" s="16">
        <v>-9999</v>
      </c>
      <c r="CW133" s="16">
        <v>-9999</v>
      </c>
      <c r="CX133" s="16">
        <v>-9999</v>
      </c>
      <c r="CY133" s="16">
        <v>-9999</v>
      </c>
      <c r="CZ133" s="16">
        <v>-9999</v>
      </c>
      <c r="DA133" s="16">
        <v>23.9801</v>
      </c>
      <c r="DB133" s="16">
        <v>24.786200000000001</v>
      </c>
      <c r="DC133" s="16">
        <v>25.236999999999998</v>
      </c>
      <c r="DD133" s="16">
        <v>25.667795589999997</v>
      </c>
      <c r="DE133" s="16">
        <v>26.157639801039554</v>
      </c>
      <c r="DF133" s="16">
        <v>-9999</v>
      </c>
      <c r="DG133" s="16">
        <v>-9999</v>
      </c>
      <c r="DH133" s="16">
        <v>-9999</v>
      </c>
      <c r="DI133" s="16">
        <v>-9999</v>
      </c>
      <c r="DJ133" s="16">
        <v>-9999</v>
      </c>
      <c r="DK133" s="16">
        <v>-9999</v>
      </c>
      <c r="DL133" s="16">
        <v>-9999</v>
      </c>
      <c r="DM133" s="16">
        <v>-9999</v>
      </c>
      <c r="DN133" s="16">
        <v>23.9801</v>
      </c>
      <c r="DO133" s="16">
        <v>24.786200000000001</v>
      </c>
      <c r="DP133" s="16">
        <v>25.236999999999998</v>
      </c>
      <c r="DQ133" s="16">
        <v>25.667795589999997</v>
      </c>
      <c r="DR133" s="16">
        <v>26.157639801039554</v>
      </c>
      <c r="DS133" s="16">
        <v>-9999</v>
      </c>
      <c r="DT133" s="16">
        <v>-9999</v>
      </c>
      <c r="DU133" s="16">
        <v>-9999</v>
      </c>
      <c r="DV133" s="16">
        <v>-9999</v>
      </c>
      <c r="DW133" s="16">
        <v>-9999</v>
      </c>
      <c r="DX133" s="16">
        <v>-9999</v>
      </c>
      <c r="DY133" s="16">
        <v>-9999</v>
      </c>
      <c r="DZ133" s="16">
        <v>-9999</v>
      </c>
      <c r="EA133" s="2107">
        <v>23.9801</v>
      </c>
      <c r="EB133" s="2106">
        <v>24.786200000000001</v>
      </c>
      <c r="EC133" s="2106">
        <v>25.236999999999998</v>
      </c>
      <c r="ED133" s="2106">
        <v>25.667795589999997</v>
      </c>
      <c r="EE133" s="2106">
        <v>26.157639801039554</v>
      </c>
      <c r="EF133" s="2106">
        <v>-9999</v>
      </c>
      <c r="EG133" s="2106">
        <v>-9999</v>
      </c>
      <c r="EH133" s="2106">
        <v>-9999</v>
      </c>
      <c r="EI133" s="2106">
        <v>-9999</v>
      </c>
      <c r="EJ133" s="2106">
        <v>-9999</v>
      </c>
      <c r="EK133" s="2106">
        <v>-9999</v>
      </c>
      <c r="EL133" s="2106">
        <v>-9999</v>
      </c>
      <c r="EM133" s="2106">
        <v>-9999</v>
      </c>
    </row>
    <row r="134" spans="1:143">
      <c r="A134" s="22">
        <v>34</v>
      </c>
      <c r="B134" s="30" t="s">
        <v>1998</v>
      </c>
      <c r="C134" s="25">
        <v>-9999</v>
      </c>
      <c r="D134" s="25">
        <v>-9999</v>
      </c>
      <c r="E134" s="25">
        <v>-9999</v>
      </c>
      <c r="F134" s="25">
        <v>-9999</v>
      </c>
      <c r="G134" s="25">
        <v>-9999</v>
      </c>
      <c r="H134" s="25">
        <v>-9999</v>
      </c>
      <c r="I134" s="25">
        <v>-9999</v>
      </c>
      <c r="J134" s="25">
        <v>-9999</v>
      </c>
      <c r="K134" s="25">
        <v>-9999</v>
      </c>
      <c r="L134" s="25">
        <v>-9999</v>
      </c>
      <c r="M134" s="25">
        <v>-9999</v>
      </c>
      <c r="N134" s="25">
        <v>-9999</v>
      </c>
      <c r="O134" s="25">
        <v>-9999</v>
      </c>
      <c r="P134" s="32"/>
      <c r="Q134"/>
      <c r="AA134" s="22">
        <v>34</v>
      </c>
      <c r="AB134" s="1081" t="str">
        <f t="shared" si="3"/>
        <v>FOR FUTURE USE</v>
      </c>
      <c r="AC134" s="1081">
        <f>CHOOSE(Tables!$U$2,Transfer!CA134,Transfer!CN134,Transfer!DA134,Transfer!DN134,Transfer!EA134)</f>
        <v>-9999</v>
      </c>
      <c r="AD134" s="1081">
        <f>CHOOSE(Tables!$U$2,Transfer!CB134,Transfer!CO134,Transfer!DB134,Transfer!DO134,Transfer!EB134)</f>
        <v>-9999</v>
      </c>
      <c r="AE134" s="1081">
        <f>CHOOSE(Tables!$U$2,Transfer!CC134,Transfer!CP134,Transfer!DC134,Transfer!DP134,Transfer!EC134)</f>
        <v>-9999</v>
      </c>
      <c r="AF134" s="1081">
        <f>CHOOSE(Tables!$U$2,Transfer!CD134,Transfer!CQ134,Transfer!DD134,Transfer!DQ134,Transfer!ED134)</f>
        <v>-9999</v>
      </c>
      <c r="AG134" s="1081">
        <f>CHOOSE(Tables!$U$2,Transfer!CE134,Transfer!CR134,Transfer!DE134,Transfer!DR134,Transfer!EE134)</f>
        <v>-9999</v>
      </c>
      <c r="AH134" s="1081">
        <f>CHOOSE(Tables!$U$2,Transfer!CF134,Transfer!CS134,Transfer!DF134,Transfer!DS134,Transfer!EF134)</f>
        <v>-9999</v>
      </c>
      <c r="AI134" s="1081">
        <f>CHOOSE(Tables!$U$2,Transfer!CG134,Transfer!CT134,Transfer!DG134,Transfer!DT134,Transfer!EG134)</f>
        <v>-9999</v>
      </c>
      <c r="AJ134" s="1081">
        <f>CHOOSE(Tables!$U$2,Transfer!CH134,Transfer!CU134,Transfer!DH134,Transfer!DU134,Transfer!EH134)</f>
        <v>-9999</v>
      </c>
      <c r="AK134" s="1081">
        <f>CHOOSE(Tables!$U$2,Transfer!CI134,Transfer!CV134,Transfer!DI134,Transfer!DV134,Transfer!EI134)</f>
        <v>-9999</v>
      </c>
      <c r="AL134" s="1081">
        <f>CHOOSE(Tables!$U$2,Transfer!CJ134,Transfer!CW134,Transfer!DJ134,Transfer!DW134,Transfer!EJ134)</f>
        <v>-9999</v>
      </c>
      <c r="AM134" s="1081">
        <f>CHOOSE(Tables!$U$2,Transfer!CK134,Transfer!CX134,Transfer!DK134,Transfer!DX134,Transfer!EK134)</f>
        <v>-9999</v>
      </c>
      <c r="AN134" s="1081">
        <f>CHOOSE(Tables!$U$2,Transfer!CL134,Transfer!CY134,Transfer!DL134,Transfer!DY134,Transfer!EL134)</f>
        <v>-9999</v>
      </c>
      <c r="AO134" s="1081">
        <f>CHOOSE(Tables!$U$2,Transfer!CM134,Transfer!CZ134,Transfer!DM134,Transfer!DZ134,Transfer!EM134)</f>
        <v>-9999</v>
      </c>
      <c r="AR134" s="22">
        <v>34</v>
      </c>
      <c r="AS134" s="33" t="s">
        <v>1800</v>
      </c>
      <c r="AT134" s="24">
        <f t="shared" si="5"/>
        <v>0</v>
      </c>
      <c r="AU134" s="24">
        <f t="shared" si="5"/>
        <v>0</v>
      </c>
      <c r="AV134" s="24">
        <f t="shared" si="5"/>
        <v>0</v>
      </c>
      <c r="AW134" s="24">
        <f t="shared" si="5"/>
        <v>0</v>
      </c>
      <c r="AX134" s="24">
        <f t="shared" si="5"/>
        <v>0</v>
      </c>
      <c r="AY134" s="25">
        <f t="shared" si="5"/>
        <v>0</v>
      </c>
      <c r="AZ134" s="25">
        <f t="shared" si="5"/>
        <v>0</v>
      </c>
      <c r="BA134" s="25">
        <f t="shared" si="5"/>
        <v>0</v>
      </c>
      <c r="BB134" s="25">
        <f t="shared" si="4"/>
        <v>0</v>
      </c>
      <c r="BC134" s="25">
        <f t="shared" si="4"/>
        <v>0</v>
      </c>
      <c r="BD134" s="25">
        <f t="shared" si="4"/>
        <v>0</v>
      </c>
      <c r="BE134" s="25">
        <f t="shared" si="4"/>
        <v>0</v>
      </c>
      <c r="BF134" s="25">
        <f t="shared" si="4"/>
        <v>0</v>
      </c>
      <c r="CA134" s="16">
        <v>-9999</v>
      </c>
      <c r="CB134" s="16">
        <v>-9999</v>
      </c>
      <c r="CC134" s="16">
        <v>-9999</v>
      </c>
      <c r="CD134" s="16">
        <v>-9999</v>
      </c>
      <c r="CE134" s="16">
        <v>-9999</v>
      </c>
      <c r="CF134" s="16">
        <v>-9999</v>
      </c>
      <c r="CG134" s="16">
        <v>-9999</v>
      </c>
      <c r="CH134" s="16">
        <v>-9999</v>
      </c>
      <c r="CI134" s="16">
        <v>-9999</v>
      </c>
      <c r="CJ134" s="16">
        <v>-9999</v>
      </c>
      <c r="CK134" s="16">
        <v>-9999</v>
      </c>
      <c r="CL134" s="16">
        <v>-9999</v>
      </c>
      <c r="CM134" s="16">
        <v>-9999</v>
      </c>
      <c r="CN134" s="16">
        <v>-9999</v>
      </c>
      <c r="CO134" s="16">
        <v>-9999</v>
      </c>
      <c r="CP134" s="16">
        <v>-9999</v>
      </c>
      <c r="CQ134" s="16">
        <v>-9999</v>
      </c>
      <c r="CR134" s="16">
        <v>-9999</v>
      </c>
      <c r="CS134" s="16">
        <v>-9999</v>
      </c>
      <c r="CT134" s="16">
        <v>-9999</v>
      </c>
      <c r="CU134" s="16">
        <v>-9999</v>
      </c>
      <c r="CV134" s="16">
        <v>-9999</v>
      </c>
      <c r="CW134" s="16">
        <v>-9999</v>
      </c>
      <c r="CX134" s="16">
        <v>-9999</v>
      </c>
      <c r="CY134" s="16">
        <v>-9999</v>
      </c>
      <c r="CZ134" s="16">
        <v>-9999</v>
      </c>
      <c r="DA134" s="16">
        <v>-9999</v>
      </c>
      <c r="DB134" s="16">
        <v>-9999</v>
      </c>
      <c r="DC134" s="16">
        <v>-9999</v>
      </c>
      <c r="DD134" s="16">
        <v>-9999</v>
      </c>
      <c r="DE134" s="16">
        <v>-9999</v>
      </c>
      <c r="DF134" s="16">
        <v>-9999</v>
      </c>
      <c r="DG134" s="16">
        <v>-9999</v>
      </c>
      <c r="DH134" s="16">
        <v>-9999</v>
      </c>
      <c r="DI134" s="16">
        <v>-9999</v>
      </c>
      <c r="DJ134" s="16">
        <v>-9999</v>
      </c>
      <c r="DK134" s="16">
        <v>-9999</v>
      </c>
      <c r="DL134" s="16">
        <v>-9999</v>
      </c>
      <c r="DM134" s="16">
        <v>-9999</v>
      </c>
      <c r="DN134" s="16">
        <v>-9999</v>
      </c>
      <c r="DO134" s="16">
        <v>-9999</v>
      </c>
      <c r="DP134" s="16">
        <v>-9999</v>
      </c>
      <c r="DQ134" s="16">
        <v>-9999</v>
      </c>
      <c r="DR134" s="16">
        <v>-9999</v>
      </c>
      <c r="DS134" s="16">
        <v>-9999</v>
      </c>
      <c r="DT134" s="16">
        <v>-9999</v>
      </c>
      <c r="DU134" s="16">
        <v>-9999</v>
      </c>
      <c r="DV134" s="16">
        <v>-9999</v>
      </c>
      <c r="DW134" s="16">
        <v>-9999</v>
      </c>
      <c r="DX134" s="16">
        <v>-9999</v>
      </c>
      <c r="DY134" s="16">
        <v>-9999</v>
      </c>
      <c r="DZ134" s="16">
        <v>-9999</v>
      </c>
      <c r="EA134" s="2106">
        <v>-9999</v>
      </c>
      <c r="EB134" s="2106">
        <v>-9999</v>
      </c>
      <c r="EC134" s="2106">
        <v>-9999</v>
      </c>
      <c r="ED134" s="2106">
        <v>-9999</v>
      </c>
      <c r="EE134" s="2106">
        <v>-9999</v>
      </c>
      <c r="EF134" s="2107">
        <v>-9999</v>
      </c>
      <c r="EG134" s="2107">
        <v>-9999</v>
      </c>
      <c r="EH134" s="2107">
        <v>-9999</v>
      </c>
      <c r="EI134" s="2107">
        <v>-9999</v>
      </c>
      <c r="EJ134" s="2107">
        <v>-9999</v>
      </c>
      <c r="EK134" s="2107">
        <v>-9999</v>
      </c>
      <c r="EL134" s="2107">
        <v>-9999</v>
      </c>
      <c r="EM134" s="2107">
        <v>-9999</v>
      </c>
    </row>
    <row r="135" spans="1:143">
      <c r="A135" s="22">
        <v>35</v>
      </c>
      <c r="B135" s="30" t="s">
        <v>1998</v>
      </c>
      <c r="C135" s="25">
        <v>-9999</v>
      </c>
      <c r="D135" s="25">
        <v>-9999</v>
      </c>
      <c r="E135" s="25">
        <v>-9999</v>
      </c>
      <c r="F135" s="25">
        <v>-9999</v>
      </c>
      <c r="G135" s="25">
        <v>-9999</v>
      </c>
      <c r="H135" s="25">
        <v>-9999</v>
      </c>
      <c r="I135" s="25">
        <v>-9999</v>
      </c>
      <c r="J135" s="25">
        <v>-9999</v>
      </c>
      <c r="K135" s="25">
        <v>-9999</v>
      </c>
      <c r="L135" s="25">
        <v>-9999</v>
      </c>
      <c r="M135" s="25">
        <v>-9999</v>
      </c>
      <c r="N135" s="25">
        <v>-9999</v>
      </c>
      <c r="O135" s="25">
        <v>-9999</v>
      </c>
      <c r="P135" s="32"/>
      <c r="Q135"/>
      <c r="AA135" s="22">
        <v>35</v>
      </c>
      <c r="AB135" s="1081" t="str">
        <f t="shared" si="3"/>
        <v>FOR FUTURE USE</v>
      </c>
      <c r="AC135" s="1081">
        <f>CHOOSE(Tables!$U$2,Transfer!CA135,Transfer!CN135,Transfer!DA135,Transfer!DN135,Transfer!EA135)</f>
        <v>-9999</v>
      </c>
      <c r="AD135" s="1081">
        <f>CHOOSE(Tables!$U$2,Transfer!CB135,Transfer!CO135,Transfer!DB135,Transfer!DO135,Transfer!EB135)</f>
        <v>-9999</v>
      </c>
      <c r="AE135" s="1081">
        <f>CHOOSE(Tables!$U$2,Transfer!CC135,Transfer!CP135,Transfer!DC135,Transfer!DP135,Transfer!EC135)</f>
        <v>-9999</v>
      </c>
      <c r="AF135" s="1081">
        <f>CHOOSE(Tables!$U$2,Transfer!CD135,Transfer!CQ135,Transfer!DD135,Transfer!DQ135,Transfer!ED135)</f>
        <v>-9999</v>
      </c>
      <c r="AG135" s="1081">
        <f>CHOOSE(Tables!$U$2,Transfer!CE135,Transfer!CR135,Transfer!DE135,Transfer!DR135,Transfer!EE135)</f>
        <v>-9999</v>
      </c>
      <c r="AH135" s="1081">
        <f>CHOOSE(Tables!$U$2,Transfer!CF135,Transfer!CS135,Transfer!DF135,Transfer!DS135,Transfer!EF135)</f>
        <v>-9999</v>
      </c>
      <c r="AI135" s="1081">
        <f>CHOOSE(Tables!$U$2,Transfer!CG135,Transfer!CT135,Transfer!DG135,Transfer!DT135,Transfer!EG135)</f>
        <v>-9999</v>
      </c>
      <c r="AJ135" s="1081">
        <f>CHOOSE(Tables!$U$2,Transfer!CH135,Transfer!CU135,Transfer!DH135,Transfer!DU135,Transfer!EH135)</f>
        <v>-9999</v>
      </c>
      <c r="AK135" s="1081">
        <f>CHOOSE(Tables!$U$2,Transfer!CI135,Transfer!CV135,Transfer!DI135,Transfer!DV135,Transfer!EI135)</f>
        <v>-9999</v>
      </c>
      <c r="AL135" s="1081">
        <f>CHOOSE(Tables!$U$2,Transfer!CJ135,Transfer!CW135,Transfer!DJ135,Transfer!DW135,Transfer!EJ135)</f>
        <v>-9999</v>
      </c>
      <c r="AM135" s="1081">
        <f>CHOOSE(Tables!$U$2,Transfer!CK135,Transfer!CX135,Transfer!DK135,Transfer!DX135,Transfer!EK135)</f>
        <v>-9999</v>
      </c>
      <c r="AN135" s="1081">
        <f>CHOOSE(Tables!$U$2,Transfer!CL135,Transfer!CY135,Transfer!DL135,Transfer!DY135,Transfer!EL135)</f>
        <v>-9999</v>
      </c>
      <c r="AO135" s="1081">
        <f>CHOOSE(Tables!$U$2,Transfer!CM135,Transfer!CZ135,Transfer!DM135,Transfer!DZ135,Transfer!EM135)</f>
        <v>-9999</v>
      </c>
      <c r="AR135" s="22">
        <v>35</v>
      </c>
      <c r="AS135" s="30" t="s">
        <v>1998</v>
      </c>
      <c r="AT135" s="25">
        <f t="shared" si="5"/>
        <v>0</v>
      </c>
      <c r="AU135" s="25">
        <f t="shared" si="5"/>
        <v>0</v>
      </c>
      <c r="AV135" s="25">
        <f t="shared" si="5"/>
        <v>0</v>
      </c>
      <c r="AW135" s="25">
        <f t="shared" si="5"/>
        <v>0</v>
      </c>
      <c r="AX135" s="25">
        <f t="shared" si="5"/>
        <v>0</v>
      </c>
      <c r="AY135" s="25">
        <f t="shared" si="5"/>
        <v>0</v>
      </c>
      <c r="AZ135" s="25">
        <f t="shared" si="5"/>
        <v>0</v>
      </c>
      <c r="BA135" s="25">
        <f t="shared" si="5"/>
        <v>0</v>
      </c>
      <c r="BB135" s="25">
        <f t="shared" si="5"/>
        <v>0</v>
      </c>
      <c r="BC135" s="25">
        <f t="shared" si="5"/>
        <v>0</v>
      </c>
      <c r="BD135" s="25">
        <f t="shared" si="5"/>
        <v>0</v>
      </c>
      <c r="BE135" s="25">
        <f t="shared" si="5"/>
        <v>0</v>
      </c>
      <c r="BF135" s="25">
        <f t="shared" si="5"/>
        <v>0</v>
      </c>
      <c r="CA135" s="16">
        <v>-9999</v>
      </c>
      <c r="CB135" s="16">
        <v>-9999</v>
      </c>
      <c r="CC135" s="16">
        <v>-9999</v>
      </c>
      <c r="CD135" s="16">
        <v>-9999</v>
      </c>
      <c r="CE135" s="16">
        <v>-9999</v>
      </c>
      <c r="CF135" s="16">
        <v>-9999</v>
      </c>
      <c r="CG135" s="16">
        <v>-9999</v>
      </c>
      <c r="CH135" s="16">
        <v>-9999</v>
      </c>
      <c r="CI135" s="16">
        <v>-9999</v>
      </c>
      <c r="CJ135" s="16">
        <v>-9999</v>
      </c>
      <c r="CK135" s="16">
        <v>-9999</v>
      </c>
      <c r="CL135" s="16">
        <v>-9999</v>
      </c>
      <c r="CM135" s="16">
        <v>-9999</v>
      </c>
      <c r="CN135" s="16">
        <v>-9999</v>
      </c>
      <c r="CO135" s="16">
        <v>-9999</v>
      </c>
      <c r="CP135" s="16">
        <v>-9999</v>
      </c>
      <c r="CQ135" s="16">
        <v>-9999</v>
      </c>
      <c r="CR135" s="16">
        <v>-9999</v>
      </c>
      <c r="CS135" s="16">
        <v>-9999</v>
      </c>
      <c r="CT135" s="16">
        <v>-9999</v>
      </c>
      <c r="CU135" s="16">
        <v>-9999</v>
      </c>
      <c r="CV135" s="16">
        <v>-9999</v>
      </c>
      <c r="CW135" s="16">
        <v>-9999</v>
      </c>
      <c r="CX135" s="16">
        <v>-9999</v>
      </c>
      <c r="CY135" s="16">
        <v>-9999</v>
      </c>
      <c r="CZ135" s="16">
        <v>-9999</v>
      </c>
      <c r="DA135" s="16">
        <v>-9999</v>
      </c>
      <c r="DB135" s="16">
        <v>-9999</v>
      </c>
      <c r="DC135" s="16">
        <v>-9999</v>
      </c>
      <c r="DD135" s="16">
        <v>-9999</v>
      </c>
      <c r="DE135" s="16">
        <v>-9999</v>
      </c>
      <c r="DF135" s="16">
        <v>-9999</v>
      </c>
      <c r="DG135" s="16">
        <v>-9999</v>
      </c>
      <c r="DH135" s="16">
        <v>-9999</v>
      </c>
      <c r="DI135" s="16">
        <v>-9999</v>
      </c>
      <c r="DJ135" s="16">
        <v>-9999</v>
      </c>
      <c r="DK135" s="16">
        <v>-9999</v>
      </c>
      <c r="DL135" s="16">
        <v>-9999</v>
      </c>
      <c r="DM135" s="16">
        <v>-9999</v>
      </c>
      <c r="DN135" s="16">
        <v>-9999</v>
      </c>
      <c r="DO135" s="16">
        <v>-9999</v>
      </c>
      <c r="DP135" s="16">
        <v>-9999</v>
      </c>
      <c r="DQ135" s="16">
        <v>-9999</v>
      </c>
      <c r="DR135" s="16">
        <v>-9999</v>
      </c>
      <c r="DS135" s="16">
        <v>-9999</v>
      </c>
      <c r="DT135" s="16">
        <v>-9999</v>
      </c>
      <c r="DU135" s="16">
        <v>-9999</v>
      </c>
      <c r="DV135" s="16">
        <v>-9999</v>
      </c>
      <c r="DW135" s="16">
        <v>-9999</v>
      </c>
      <c r="DX135" s="16">
        <v>-9999</v>
      </c>
      <c r="DY135" s="16">
        <v>-9999</v>
      </c>
      <c r="DZ135" s="16">
        <v>-9999</v>
      </c>
      <c r="EA135" s="2107">
        <v>-9999</v>
      </c>
      <c r="EB135" s="2107">
        <v>-9999</v>
      </c>
      <c r="EC135" s="2107">
        <v>-9999</v>
      </c>
      <c r="ED135" s="2107">
        <v>-9999</v>
      </c>
      <c r="EE135" s="2107">
        <v>-9999</v>
      </c>
      <c r="EF135" s="2107">
        <v>-9999</v>
      </c>
      <c r="EG135" s="2107">
        <v>-9999</v>
      </c>
      <c r="EH135" s="2107">
        <v>-9999</v>
      </c>
      <c r="EI135" s="2107">
        <v>-9999</v>
      </c>
      <c r="EJ135" s="2107">
        <v>-9999</v>
      </c>
      <c r="EK135" s="2107">
        <v>-9999</v>
      </c>
      <c r="EL135" s="2107">
        <v>-9999</v>
      </c>
      <c r="EM135" s="2107">
        <v>-9999</v>
      </c>
    </row>
    <row r="136" spans="1:143">
      <c r="A136" s="22">
        <v>36</v>
      </c>
      <c r="B136" s="1" t="s">
        <v>875</v>
      </c>
      <c r="C136" s="24">
        <f ca="1">OFFSET('VVP2'!F192,0,Last_forecast_year - 3-InputY!$G$3)</f>
        <v>209.88810000000001</v>
      </c>
      <c r="D136" s="24">
        <f ca="1">OFFSET('VVP2'!G192,0,Last_forecast_year - 3-InputY!$G$3)</f>
        <v>216.57429999999999</v>
      </c>
      <c r="E136" s="24">
        <f ca="1">OFFSET('VVP2'!H192,0,Last_forecast_year - 3-InputY!$G$3)</f>
        <v>222.72300000000001</v>
      </c>
      <c r="F136" s="24">
        <f ca="1">OFFSET('VVP2'!I192,0,Last_forecast_year - 3-InputY!$G$3)</f>
        <v>230.24669430149996</v>
      </c>
      <c r="G136" s="24">
        <f ca="1">OFFSET('VVP2'!J192,0,Last_forecast_year - 3-InputY!$G$3)</f>
        <v>237.344923590782</v>
      </c>
      <c r="H136" s="25">
        <v>-9999</v>
      </c>
      <c r="I136" s="25">
        <v>-9999</v>
      </c>
      <c r="J136" s="25">
        <v>-9999</v>
      </c>
      <c r="K136" s="25">
        <v>-9999</v>
      </c>
      <c r="L136" s="25">
        <v>-9999</v>
      </c>
      <c r="M136" s="25">
        <v>-9999</v>
      </c>
      <c r="N136" s="25">
        <v>-9999</v>
      </c>
      <c r="O136" s="25">
        <v>-9999</v>
      </c>
      <c r="P136" s="32"/>
      <c r="Q136"/>
      <c r="AA136" s="22">
        <v>36</v>
      </c>
      <c r="AB136" s="1081" t="str">
        <f t="shared" si="3"/>
        <v xml:space="preserve">VAL. PRIVATE CONSUMPTION EXPEND. </v>
      </c>
      <c r="AC136" s="1081">
        <f>CHOOSE(Tables!$U$2,Transfer!CA136,Transfer!CN136,Transfer!DA136,Transfer!DN136,Transfer!EA136)</f>
        <v>209.88810000000001</v>
      </c>
      <c r="AD136" s="1081">
        <f>CHOOSE(Tables!$U$2,Transfer!CB136,Transfer!CO136,Transfer!DB136,Transfer!DO136,Transfer!EB136)</f>
        <v>216.57429999999999</v>
      </c>
      <c r="AE136" s="1081">
        <f>CHOOSE(Tables!$U$2,Transfer!CC136,Transfer!CP136,Transfer!DC136,Transfer!DP136,Transfer!EC136)</f>
        <v>222.72300000000001</v>
      </c>
      <c r="AF136" s="1081">
        <f>CHOOSE(Tables!$U$2,Transfer!CD136,Transfer!CQ136,Transfer!DD136,Transfer!DQ136,Transfer!ED136)</f>
        <v>230.24669430149996</v>
      </c>
      <c r="AG136" s="1081">
        <f>CHOOSE(Tables!$U$2,Transfer!CE136,Transfer!CR136,Transfer!DE136,Transfer!DR136,Transfer!EE136)</f>
        <v>237.344923590782</v>
      </c>
      <c r="AH136" s="1081">
        <f>CHOOSE(Tables!$U$2,Transfer!CF136,Transfer!CS136,Transfer!DF136,Transfer!DS136,Transfer!EF136)</f>
        <v>-9999</v>
      </c>
      <c r="AI136" s="1081">
        <f>CHOOSE(Tables!$U$2,Transfer!CG136,Transfer!CT136,Transfer!DG136,Transfer!DT136,Transfer!EG136)</f>
        <v>-9999</v>
      </c>
      <c r="AJ136" s="1081">
        <f>CHOOSE(Tables!$U$2,Transfer!CH136,Transfer!CU136,Transfer!DH136,Transfer!DU136,Transfer!EH136)</f>
        <v>-9999</v>
      </c>
      <c r="AK136" s="1081">
        <f>CHOOSE(Tables!$U$2,Transfer!CI136,Transfer!CV136,Transfer!DI136,Transfer!DV136,Transfer!EI136)</f>
        <v>-9999</v>
      </c>
      <c r="AL136" s="1081">
        <f>CHOOSE(Tables!$U$2,Transfer!CJ136,Transfer!CW136,Transfer!DJ136,Transfer!DW136,Transfer!EJ136)</f>
        <v>-9999</v>
      </c>
      <c r="AM136" s="1081">
        <f>CHOOSE(Tables!$U$2,Transfer!CK136,Transfer!CX136,Transfer!DK136,Transfer!DX136,Transfer!EK136)</f>
        <v>-9999</v>
      </c>
      <c r="AN136" s="1081">
        <f>CHOOSE(Tables!$U$2,Transfer!CL136,Transfer!CY136,Transfer!DL136,Transfer!DY136,Transfer!EL136)</f>
        <v>-9999</v>
      </c>
      <c r="AO136" s="1081">
        <f>CHOOSE(Tables!$U$2,Transfer!CM136,Transfer!CZ136,Transfer!DM136,Transfer!DZ136,Transfer!EM136)</f>
        <v>-9999</v>
      </c>
      <c r="AR136" s="22">
        <v>36</v>
      </c>
      <c r="AS136" s="1" t="s">
        <v>875</v>
      </c>
      <c r="AT136" s="24">
        <f t="shared" ca="1" si="5"/>
        <v>0</v>
      </c>
      <c r="AU136" s="24">
        <f t="shared" ca="1" si="5"/>
        <v>0</v>
      </c>
      <c r="AV136" s="24">
        <f t="shared" ca="1" si="5"/>
        <v>0</v>
      </c>
      <c r="AW136" s="24">
        <f t="shared" ca="1" si="5"/>
        <v>0</v>
      </c>
      <c r="AX136" s="24">
        <f t="shared" ca="1" si="5"/>
        <v>0</v>
      </c>
      <c r="AY136" s="25">
        <f t="shared" si="5"/>
        <v>0</v>
      </c>
      <c r="AZ136" s="25">
        <f t="shared" si="5"/>
        <v>0</v>
      </c>
      <c r="BA136" s="25">
        <f t="shared" si="5"/>
        <v>0</v>
      </c>
      <c r="BB136" s="25">
        <f t="shared" si="5"/>
        <v>0</v>
      </c>
      <c r="BC136" s="25">
        <f t="shared" si="5"/>
        <v>0</v>
      </c>
      <c r="BD136" s="25">
        <f t="shared" si="5"/>
        <v>0</v>
      </c>
      <c r="BE136" s="25">
        <f t="shared" si="5"/>
        <v>0</v>
      </c>
      <c r="BF136" s="25">
        <f t="shared" si="5"/>
        <v>0</v>
      </c>
      <c r="CA136" s="16">
        <v>209.88810000000001</v>
      </c>
      <c r="CB136" s="16">
        <v>216.57429999999999</v>
      </c>
      <c r="CC136" s="16">
        <v>222.72300000000001</v>
      </c>
      <c r="CD136" s="16">
        <v>230.24669430149996</v>
      </c>
      <c r="CE136" s="16">
        <v>237.344923590782</v>
      </c>
      <c r="CF136" s="16">
        <v>-9999</v>
      </c>
      <c r="CG136" s="16">
        <v>-9999</v>
      </c>
      <c r="CH136" s="16">
        <v>-9999</v>
      </c>
      <c r="CI136" s="16">
        <v>-9999</v>
      </c>
      <c r="CJ136" s="16">
        <v>-9999</v>
      </c>
      <c r="CK136" s="16">
        <v>-9999</v>
      </c>
      <c r="CL136" s="16">
        <v>-9999</v>
      </c>
      <c r="CM136" s="16">
        <v>-9999</v>
      </c>
      <c r="CN136" s="16">
        <v>209.88810000000001</v>
      </c>
      <c r="CO136" s="16">
        <v>216.57429999999999</v>
      </c>
      <c r="CP136" s="16">
        <v>222.81103343195997</v>
      </c>
      <c r="CQ136" s="16">
        <v>229.4317518848739</v>
      </c>
      <c r="CR136" s="16">
        <v>237.99460372872113</v>
      </c>
      <c r="CS136" s="16">
        <v>-9999</v>
      </c>
      <c r="CT136" s="16">
        <v>-9999</v>
      </c>
      <c r="CU136" s="16">
        <v>-9999</v>
      </c>
      <c r="CV136" s="16">
        <v>-9999</v>
      </c>
      <c r="CW136" s="16">
        <v>-9999</v>
      </c>
      <c r="CX136" s="16">
        <v>-9999</v>
      </c>
      <c r="CY136" s="16">
        <v>-9999</v>
      </c>
      <c r="CZ136" s="16">
        <v>-9999</v>
      </c>
      <c r="DA136" s="16">
        <v>209.88810000000001</v>
      </c>
      <c r="DB136" s="16">
        <v>216.57429999999999</v>
      </c>
      <c r="DC136" s="16">
        <v>222.72300000000001</v>
      </c>
      <c r="DD136" s="16">
        <v>230.24669430149996</v>
      </c>
      <c r="DE136" s="16">
        <v>237.344923590782</v>
      </c>
      <c r="DF136" s="16">
        <v>-9999</v>
      </c>
      <c r="DG136" s="16">
        <v>-9999</v>
      </c>
      <c r="DH136" s="16">
        <v>-9999</v>
      </c>
      <c r="DI136" s="16">
        <v>-9999</v>
      </c>
      <c r="DJ136" s="16">
        <v>-9999</v>
      </c>
      <c r="DK136" s="16">
        <v>-9999</v>
      </c>
      <c r="DL136" s="16">
        <v>-9999</v>
      </c>
      <c r="DM136" s="16">
        <v>-9999</v>
      </c>
      <c r="DN136" s="16">
        <v>209.88810000000001</v>
      </c>
      <c r="DO136" s="16">
        <v>216.57429999999999</v>
      </c>
      <c r="DP136" s="16">
        <v>222.72300000000001</v>
      </c>
      <c r="DQ136" s="16">
        <v>230.24669430149996</v>
      </c>
      <c r="DR136" s="16">
        <v>237.344923590782</v>
      </c>
      <c r="DS136" s="16">
        <v>-9999</v>
      </c>
      <c r="DT136" s="16">
        <v>-9999</v>
      </c>
      <c r="DU136" s="16">
        <v>-9999</v>
      </c>
      <c r="DV136" s="16">
        <v>-9999</v>
      </c>
      <c r="DW136" s="16">
        <v>-9999</v>
      </c>
      <c r="DX136" s="16">
        <v>-9999</v>
      </c>
      <c r="DY136" s="16">
        <v>-9999</v>
      </c>
      <c r="DZ136" s="16">
        <v>-9999</v>
      </c>
      <c r="EA136" s="2106">
        <v>209.88810000000001</v>
      </c>
      <c r="EB136" s="2106">
        <v>216.57429999999999</v>
      </c>
      <c r="EC136" s="2106">
        <v>222.72300000000001</v>
      </c>
      <c r="ED136" s="2106">
        <v>230.24669430149996</v>
      </c>
      <c r="EE136" s="2106">
        <v>237.344923590782</v>
      </c>
      <c r="EF136" s="2107">
        <v>-9999</v>
      </c>
      <c r="EG136" s="2107">
        <v>-9999</v>
      </c>
      <c r="EH136" s="2107">
        <v>-9999</v>
      </c>
      <c r="EI136" s="2107">
        <v>-9999</v>
      </c>
      <c r="EJ136" s="2107">
        <v>-9999</v>
      </c>
      <c r="EK136" s="2107">
        <v>-9999</v>
      </c>
      <c r="EL136" s="2107">
        <v>-9999</v>
      </c>
      <c r="EM136" s="2107">
        <v>-9999</v>
      </c>
    </row>
    <row r="137" spans="1:143">
      <c r="A137" s="22">
        <v>37</v>
      </c>
      <c r="B137" s="1" t="s">
        <v>1381</v>
      </c>
      <c r="C137" s="24">
        <f ca="1">OFFSET('VVP2'!F200,0,Last_forecast_year - 3-InputY!$G$3)</f>
        <v>98.209500000000006</v>
      </c>
      <c r="D137" s="24">
        <f ca="1">OFFSET('VVP2'!G200,0,Last_forecast_year - 3-InputY!$G$3)</f>
        <v>99.713499999999996</v>
      </c>
      <c r="E137" s="24">
        <f ca="1">OFFSET('VVP2'!H200,0,Last_forecast_year - 3-InputY!$G$3)</f>
        <v>102.5765</v>
      </c>
      <c r="F137" s="24">
        <f ca="1">OFFSET('VVP2'!I200,0,Last_forecast_year - 3-InputY!$G$3)</f>
        <v>104.76516041979002</v>
      </c>
      <c r="G137" s="24">
        <f ca="1">OFFSET('VVP2'!J200,0,Last_forecast_year - 3-InputY!$G$3)</f>
        <v>107.74918648402686</v>
      </c>
      <c r="H137" s="25">
        <v>-9999</v>
      </c>
      <c r="I137" s="25">
        <v>-9999</v>
      </c>
      <c r="J137" s="25">
        <v>-9999</v>
      </c>
      <c r="K137" s="25">
        <v>-9999</v>
      </c>
      <c r="L137" s="25">
        <v>-9999</v>
      </c>
      <c r="M137" s="25">
        <v>-9999</v>
      </c>
      <c r="N137" s="25">
        <v>-9999</v>
      </c>
      <c r="O137" s="25">
        <v>-9999</v>
      </c>
      <c r="P137" s="32"/>
      <c r="Q137"/>
      <c r="AA137" s="22">
        <v>37</v>
      </c>
      <c r="AB137" s="1081" t="str">
        <f t="shared" si="3"/>
        <v xml:space="preserve">VAL. GOVERNMENT CONSUMPTION EXPEND. </v>
      </c>
      <c r="AC137" s="1081">
        <f>CHOOSE(Tables!$U$2,Transfer!CA137,Transfer!CN137,Transfer!DA137,Transfer!DN137,Transfer!EA137)</f>
        <v>98.209500000000006</v>
      </c>
      <c r="AD137" s="1081">
        <f>CHOOSE(Tables!$U$2,Transfer!CB137,Transfer!CO137,Transfer!DB137,Transfer!DO137,Transfer!EB137)</f>
        <v>99.713499999999996</v>
      </c>
      <c r="AE137" s="1081">
        <f>CHOOSE(Tables!$U$2,Transfer!CC137,Transfer!CP137,Transfer!DC137,Transfer!DP137,Transfer!EC137)</f>
        <v>102.5765</v>
      </c>
      <c r="AF137" s="1081">
        <f>CHOOSE(Tables!$U$2,Transfer!CD137,Transfer!CQ137,Transfer!DD137,Transfer!DQ137,Transfer!ED137)</f>
        <v>104.76516041979002</v>
      </c>
      <c r="AG137" s="1081">
        <f>CHOOSE(Tables!$U$2,Transfer!CE137,Transfer!CR137,Transfer!DE137,Transfer!DR137,Transfer!EE137)</f>
        <v>107.74918648402686</v>
      </c>
      <c r="AH137" s="1081">
        <f>CHOOSE(Tables!$U$2,Transfer!CF137,Transfer!CS137,Transfer!DF137,Transfer!DS137,Transfer!EF137)</f>
        <v>-9999</v>
      </c>
      <c r="AI137" s="1081">
        <f>CHOOSE(Tables!$U$2,Transfer!CG137,Transfer!CT137,Transfer!DG137,Transfer!DT137,Transfer!EG137)</f>
        <v>-9999</v>
      </c>
      <c r="AJ137" s="1081">
        <f>CHOOSE(Tables!$U$2,Transfer!CH137,Transfer!CU137,Transfer!DH137,Transfer!DU137,Transfer!EH137)</f>
        <v>-9999</v>
      </c>
      <c r="AK137" s="1081">
        <f>CHOOSE(Tables!$U$2,Transfer!CI137,Transfer!CV137,Transfer!DI137,Transfer!DV137,Transfer!EI137)</f>
        <v>-9999</v>
      </c>
      <c r="AL137" s="1081">
        <f>CHOOSE(Tables!$U$2,Transfer!CJ137,Transfer!CW137,Transfer!DJ137,Transfer!DW137,Transfer!EJ137)</f>
        <v>-9999</v>
      </c>
      <c r="AM137" s="1081">
        <f>CHOOSE(Tables!$U$2,Transfer!CK137,Transfer!CX137,Transfer!DK137,Transfer!DX137,Transfer!EK137)</f>
        <v>-9999</v>
      </c>
      <c r="AN137" s="1081">
        <f>CHOOSE(Tables!$U$2,Transfer!CL137,Transfer!CY137,Transfer!DL137,Transfer!DY137,Transfer!EL137)</f>
        <v>-9999</v>
      </c>
      <c r="AO137" s="1081">
        <f>CHOOSE(Tables!$U$2,Transfer!CM137,Transfer!CZ137,Transfer!DM137,Transfer!DZ137,Transfer!EM137)</f>
        <v>-9999</v>
      </c>
      <c r="AR137" s="22">
        <v>37</v>
      </c>
      <c r="AS137" s="1" t="s">
        <v>1381</v>
      </c>
      <c r="AT137" s="24">
        <f t="shared" ca="1" si="5"/>
        <v>0</v>
      </c>
      <c r="AU137" s="24">
        <f t="shared" ca="1" si="5"/>
        <v>0</v>
      </c>
      <c r="AV137" s="24">
        <f t="shared" ca="1" si="5"/>
        <v>0</v>
      </c>
      <c r="AW137" s="24">
        <f t="shared" ca="1" si="5"/>
        <v>0</v>
      </c>
      <c r="AX137" s="24">
        <f t="shared" ca="1" si="5"/>
        <v>0</v>
      </c>
      <c r="AY137" s="25">
        <f t="shared" si="5"/>
        <v>0</v>
      </c>
      <c r="AZ137" s="25">
        <f t="shared" si="5"/>
        <v>0</v>
      </c>
      <c r="BA137" s="25">
        <f t="shared" si="5"/>
        <v>0</v>
      </c>
      <c r="BB137" s="25">
        <f t="shared" si="5"/>
        <v>0</v>
      </c>
      <c r="BC137" s="25">
        <f t="shared" si="5"/>
        <v>0</v>
      </c>
      <c r="BD137" s="25">
        <f t="shared" si="5"/>
        <v>0</v>
      </c>
      <c r="BE137" s="25">
        <f t="shared" si="5"/>
        <v>0</v>
      </c>
      <c r="BF137" s="25">
        <f t="shared" si="5"/>
        <v>0</v>
      </c>
      <c r="CA137" s="16">
        <v>98.209500000000006</v>
      </c>
      <c r="CB137" s="16">
        <v>99.713499999999996</v>
      </c>
      <c r="CC137" s="16">
        <v>102.5765</v>
      </c>
      <c r="CD137" s="16">
        <v>104.76516041979002</v>
      </c>
      <c r="CE137" s="16">
        <v>107.74918648402686</v>
      </c>
      <c r="CF137" s="16">
        <v>-9999</v>
      </c>
      <c r="CG137" s="16">
        <v>-9999</v>
      </c>
      <c r="CH137" s="16">
        <v>-9999</v>
      </c>
      <c r="CI137" s="16">
        <v>-9999</v>
      </c>
      <c r="CJ137" s="16">
        <v>-9999</v>
      </c>
      <c r="CK137" s="16">
        <v>-9999</v>
      </c>
      <c r="CL137" s="16">
        <v>-9999</v>
      </c>
      <c r="CM137" s="16">
        <v>-9999</v>
      </c>
      <c r="CN137" s="16">
        <v>98.209500000000006</v>
      </c>
      <c r="CO137" s="16">
        <v>99.713499999999996</v>
      </c>
      <c r="CP137" s="16">
        <v>102.33056057829999</v>
      </c>
      <c r="CQ137" s="16">
        <v>104.65007204534422</v>
      </c>
      <c r="CR137" s="16">
        <v>107.12552763954803</v>
      </c>
      <c r="CS137" s="16">
        <v>-9999</v>
      </c>
      <c r="CT137" s="16">
        <v>-9999</v>
      </c>
      <c r="CU137" s="16">
        <v>-9999</v>
      </c>
      <c r="CV137" s="16">
        <v>-9999</v>
      </c>
      <c r="CW137" s="16">
        <v>-9999</v>
      </c>
      <c r="CX137" s="16">
        <v>-9999</v>
      </c>
      <c r="CY137" s="16">
        <v>-9999</v>
      </c>
      <c r="CZ137" s="16">
        <v>-9999</v>
      </c>
      <c r="DA137" s="16">
        <v>98.209500000000006</v>
      </c>
      <c r="DB137" s="16">
        <v>99.713499999999996</v>
      </c>
      <c r="DC137" s="16">
        <v>102.5765</v>
      </c>
      <c r="DD137" s="16">
        <v>104.76516041979002</v>
      </c>
      <c r="DE137" s="16">
        <v>107.74918648402686</v>
      </c>
      <c r="DF137" s="16">
        <v>-9999</v>
      </c>
      <c r="DG137" s="16">
        <v>-9999</v>
      </c>
      <c r="DH137" s="16">
        <v>-9999</v>
      </c>
      <c r="DI137" s="16">
        <v>-9999</v>
      </c>
      <c r="DJ137" s="16">
        <v>-9999</v>
      </c>
      <c r="DK137" s="16">
        <v>-9999</v>
      </c>
      <c r="DL137" s="16">
        <v>-9999</v>
      </c>
      <c r="DM137" s="16">
        <v>-9999</v>
      </c>
      <c r="DN137" s="16">
        <v>98.209500000000006</v>
      </c>
      <c r="DO137" s="16">
        <v>99.713499999999996</v>
      </c>
      <c r="DP137" s="16">
        <v>102.5765</v>
      </c>
      <c r="DQ137" s="16">
        <v>104.76516041979002</v>
      </c>
      <c r="DR137" s="16">
        <v>107.74918648402686</v>
      </c>
      <c r="DS137" s="16">
        <v>-9999</v>
      </c>
      <c r="DT137" s="16">
        <v>-9999</v>
      </c>
      <c r="DU137" s="16">
        <v>-9999</v>
      </c>
      <c r="DV137" s="16">
        <v>-9999</v>
      </c>
      <c r="DW137" s="16">
        <v>-9999</v>
      </c>
      <c r="DX137" s="16">
        <v>-9999</v>
      </c>
      <c r="DY137" s="16">
        <v>-9999</v>
      </c>
      <c r="DZ137" s="16">
        <v>-9999</v>
      </c>
      <c r="EA137" s="2106">
        <v>98.209500000000006</v>
      </c>
      <c r="EB137" s="2106">
        <v>99.713499999999996</v>
      </c>
      <c r="EC137" s="2106">
        <v>102.5765</v>
      </c>
      <c r="ED137" s="2106">
        <v>104.76516041979002</v>
      </c>
      <c r="EE137" s="2106">
        <v>107.74918648402686</v>
      </c>
      <c r="EF137" s="2107">
        <v>-9999</v>
      </c>
      <c r="EG137" s="2107">
        <v>-9999</v>
      </c>
      <c r="EH137" s="2107">
        <v>-9999</v>
      </c>
      <c r="EI137" s="2107">
        <v>-9999</v>
      </c>
      <c r="EJ137" s="2107">
        <v>-9999</v>
      </c>
      <c r="EK137" s="2107">
        <v>-9999</v>
      </c>
      <c r="EL137" s="2107">
        <v>-9999</v>
      </c>
      <c r="EM137" s="2107">
        <v>-9999</v>
      </c>
    </row>
    <row r="138" spans="1:143">
      <c r="A138" s="22">
        <v>38</v>
      </c>
      <c r="B138" s="31" t="s">
        <v>1383</v>
      </c>
      <c r="C138" s="24">
        <f ca="1">OFFSET('VVP2'!F220,0,Last_forecast_year - 3-InputY!$G$3)</f>
        <v>95.18610000000001</v>
      </c>
      <c r="D138" s="24">
        <f ca="1">OFFSET('VVP2'!G220,0,Last_forecast_year - 3-InputY!$G$3)</f>
        <v>99.153600000000012</v>
      </c>
      <c r="E138" s="24">
        <f ca="1">OFFSET('VVP2'!H220,0,Last_forecast_year - 3-InputY!$G$3)</f>
        <v>101.91210000000001</v>
      </c>
      <c r="F138" s="24">
        <f ca="1">OFFSET('VVP2'!I220,0,Last_forecast_year - 3-InputY!$G$3)</f>
        <v>107.0297678215</v>
      </c>
      <c r="G138" s="24">
        <f ca="1">OFFSET('VVP2'!J220,0,Last_forecast_year - 3-InputY!$G$3)</f>
        <v>111.27712149084397</v>
      </c>
      <c r="H138" s="25">
        <v>-9999</v>
      </c>
      <c r="I138" s="25">
        <v>-9999</v>
      </c>
      <c r="J138" s="25">
        <v>-9999</v>
      </c>
      <c r="K138" s="25">
        <v>-9999</v>
      </c>
      <c r="L138" s="25">
        <v>-9999</v>
      </c>
      <c r="M138" s="25">
        <v>-9999</v>
      </c>
      <c r="N138" s="25">
        <v>-9999</v>
      </c>
      <c r="O138" s="25">
        <v>-9999</v>
      </c>
      <c r="P138" s="32"/>
      <c r="Q138"/>
      <c r="AA138" s="22">
        <v>38</v>
      </c>
      <c r="AB138" s="1081" t="str">
        <f t="shared" si="3"/>
        <v>VAL. G.F.C.F. TOTAL</v>
      </c>
      <c r="AC138" s="1081">
        <f>CHOOSE(Tables!$U$2,Transfer!CA138,Transfer!CN138,Transfer!DA138,Transfer!DN138,Transfer!EA138)</f>
        <v>95.18610000000001</v>
      </c>
      <c r="AD138" s="1081">
        <f>CHOOSE(Tables!$U$2,Transfer!CB138,Transfer!CO138,Transfer!DB138,Transfer!DO138,Transfer!EB138)</f>
        <v>99.153600000000012</v>
      </c>
      <c r="AE138" s="1081">
        <f>CHOOSE(Tables!$U$2,Transfer!CC138,Transfer!CP138,Transfer!DC138,Transfer!DP138,Transfer!EC138)</f>
        <v>101.91210000000001</v>
      </c>
      <c r="AF138" s="1081">
        <f>CHOOSE(Tables!$U$2,Transfer!CD138,Transfer!CQ138,Transfer!DD138,Transfer!DQ138,Transfer!ED138)</f>
        <v>107.0297678215</v>
      </c>
      <c r="AG138" s="1081">
        <f>CHOOSE(Tables!$U$2,Transfer!CE138,Transfer!CR138,Transfer!DE138,Transfer!DR138,Transfer!EE138)</f>
        <v>111.27712149084397</v>
      </c>
      <c r="AH138" s="1081">
        <f>CHOOSE(Tables!$U$2,Transfer!CF138,Transfer!CS138,Transfer!DF138,Transfer!DS138,Transfer!EF138)</f>
        <v>-9999</v>
      </c>
      <c r="AI138" s="1081">
        <f>CHOOSE(Tables!$U$2,Transfer!CG138,Transfer!CT138,Transfer!DG138,Transfer!DT138,Transfer!EG138)</f>
        <v>-9999</v>
      </c>
      <c r="AJ138" s="1081">
        <f>CHOOSE(Tables!$U$2,Transfer!CH138,Transfer!CU138,Transfer!DH138,Transfer!DU138,Transfer!EH138)</f>
        <v>-9999</v>
      </c>
      <c r="AK138" s="1081">
        <f>CHOOSE(Tables!$U$2,Transfer!CI138,Transfer!CV138,Transfer!DI138,Transfer!DV138,Transfer!EI138)</f>
        <v>-9999</v>
      </c>
      <c r="AL138" s="1081">
        <f>CHOOSE(Tables!$U$2,Transfer!CJ138,Transfer!CW138,Transfer!DJ138,Transfer!DW138,Transfer!EJ138)</f>
        <v>-9999</v>
      </c>
      <c r="AM138" s="1081">
        <f>CHOOSE(Tables!$U$2,Transfer!CK138,Transfer!CX138,Transfer!DK138,Transfer!DX138,Transfer!EK138)</f>
        <v>-9999</v>
      </c>
      <c r="AN138" s="1081">
        <f>CHOOSE(Tables!$U$2,Transfer!CL138,Transfer!CY138,Transfer!DL138,Transfer!DY138,Transfer!EL138)</f>
        <v>-9999</v>
      </c>
      <c r="AO138" s="1081">
        <f>CHOOSE(Tables!$U$2,Transfer!CM138,Transfer!CZ138,Transfer!DM138,Transfer!DZ138,Transfer!EM138)</f>
        <v>-9999</v>
      </c>
      <c r="AR138" s="22">
        <v>38</v>
      </c>
      <c r="AS138" s="31" t="s">
        <v>1383</v>
      </c>
      <c r="AT138" s="24">
        <f t="shared" ca="1" si="5"/>
        <v>0</v>
      </c>
      <c r="AU138" s="24">
        <f t="shared" ca="1" si="5"/>
        <v>0</v>
      </c>
      <c r="AV138" s="24">
        <f t="shared" ca="1" si="5"/>
        <v>0</v>
      </c>
      <c r="AW138" s="24">
        <f t="shared" ca="1" si="5"/>
        <v>0</v>
      </c>
      <c r="AX138" s="24">
        <f t="shared" ca="1" si="5"/>
        <v>0</v>
      </c>
      <c r="AY138" s="25">
        <f t="shared" si="5"/>
        <v>0</v>
      </c>
      <c r="AZ138" s="25">
        <f t="shared" si="5"/>
        <v>0</v>
      </c>
      <c r="BA138" s="25">
        <f t="shared" si="5"/>
        <v>0</v>
      </c>
      <c r="BB138" s="25">
        <f t="shared" si="5"/>
        <v>0</v>
      </c>
      <c r="BC138" s="25">
        <f t="shared" si="5"/>
        <v>0</v>
      </c>
      <c r="BD138" s="25">
        <f t="shared" si="5"/>
        <v>0</v>
      </c>
      <c r="BE138" s="25">
        <f t="shared" si="5"/>
        <v>0</v>
      </c>
      <c r="BF138" s="25">
        <f t="shared" si="5"/>
        <v>0</v>
      </c>
      <c r="CA138" s="16">
        <v>95.18610000000001</v>
      </c>
      <c r="CB138" s="16">
        <v>99.153600000000012</v>
      </c>
      <c r="CC138" s="16">
        <v>101.91210000000001</v>
      </c>
      <c r="CD138" s="16">
        <v>107.0297678215</v>
      </c>
      <c r="CE138" s="16">
        <v>111.27712149084397</v>
      </c>
      <c r="CF138" s="16">
        <v>-9999</v>
      </c>
      <c r="CG138" s="16">
        <v>-9999</v>
      </c>
      <c r="CH138" s="16">
        <v>-9999</v>
      </c>
      <c r="CI138" s="16">
        <v>-9999</v>
      </c>
      <c r="CJ138" s="16">
        <v>-9999</v>
      </c>
      <c r="CK138" s="16">
        <v>-9999</v>
      </c>
      <c r="CL138" s="16">
        <v>-9999</v>
      </c>
      <c r="CM138" s="16">
        <v>-9999</v>
      </c>
      <c r="CN138" s="16">
        <v>95.18610000000001</v>
      </c>
      <c r="CO138" s="16">
        <v>99.153600000000012</v>
      </c>
      <c r="CP138" s="16">
        <v>101.48371315859998</v>
      </c>
      <c r="CQ138" s="16">
        <v>106.58689885968252</v>
      </c>
      <c r="CR138" s="16">
        <v>110.62839699157306</v>
      </c>
      <c r="CS138" s="16">
        <v>-9999</v>
      </c>
      <c r="CT138" s="16">
        <v>-9999</v>
      </c>
      <c r="CU138" s="16">
        <v>-9999</v>
      </c>
      <c r="CV138" s="16">
        <v>-9999</v>
      </c>
      <c r="CW138" s="16">
        <v>-9999</v>
      </c>
      <c r="CX138" s="16">
        <v>-9999</v>
      </c>
      <c r="CY138" s="16">
        <v>-9999</v>
      </c>
      <c r="CZ138" s="16">
        <v>-9999</v>
      </c>
      <c r="DA138" s="16">
        <v>95.18610000000001</v>
      </c>
      <c r="DB138" s="16">
        <v>99.153600000000012</v>
      </c>
      <c r="DC138" s="16">
        <v>101.91210000000001</v>
      </c>
      <c r="DD138" s="16">
        <v>107.0297678215</v>
      </c>
      <c r="DE138" s="16">
        <v>111.27712149084397</v>
      </c>
      <c r="DF138" s="16">
        <v>-9999</v>
      </c>
      <c r="DG138" s="16">
        <v>-9999</v>
      </c>
      <c r="DH138" s="16">
        <v>-9999</v>
      </c>
      <c r="DI138" s="16">
        <v>-9999</v>
      </c>
      <c r="DJ138" s="16">
        <v>-9999</v>
      </c>
      <c r="DK138" s="16">
        <v>-9999</v>
      </c>
      <c r="DL138" s="16">
        <v>-9999</v>
      </c>
      <c r="DM138" s="16">
        <v>-9999</v>
      </c>
      <c r="DN138" s="16">
        <v>95.18610000000001</v>
      </c>
      <c r="DO138" s="16">
        <v>99.153600000000012</v>
      </c>
      <c r="DP138" s="16">
        <v>101.91210000000001</v>
      </c>
      <c r="DQ138" s="16">
        <v>107.0297678215</v>
      </c>
      <c r="DR138" s="16">
        <v>111.27712149084397</v>
      </c>
      <c r="DS138" s="16">
        <v>-9999</v>
      </c>
      <c r="DT138" s="16">
        <v>-9999</v>
      </c>
      <c r="DU138" s="16">
        <v>-9999</v>
      </c>
      <c r="DV138" s="16">
        <v>-9999</v>
      </c>
      <c r="DW138" s="16">
        <v>-9999</v>
      </c>
      <c r="DX138" s="16">
        <v>-9999</v>
      </c>
      <c r="DY138" s="16">
        <v>-9999</v>
      </c>
      <c r="DZ138" s="16">
        <v>-9999</v>
      </c>
      <c r="EA138" s="2106">
        <v>95.18610000000001</v>
      </c>
      <c r="EB138" s="2106">
        <v>99.153600000000012</v>
      </c>
      <c r="EC138" s="2106">
        <v>101.91210000000001</v>
      </c>
      <c r="ED138" s="2106">
        <v>107.0297678215</v>
      </c>
      <c r="EE138" s="2106">
        <v>111.27712149084397</v>
      </c>
      <c r="EF138" s="2107">
        <v>-9999</v>
      </c>
      <c r="EG138" s="2107">
        <v>-9999</v>
      </c>
      <c r="EH138" s="2107">
        <v>-9999</v>
      </c>
      <c r="EI138" s="2107">
        <v>-9999</v>
      </c>
      <c r="EJ138" s="2107">
        <v>-9999</v>
      </c>
      <c r="EK138" s="2107">
        <v>-9999</v>
      </c>
      <c r="EL138" s="2107">
        <v>-9999</v>
      </c>
      <c r="EM138" s="2107">
        <v>-9999</v>
      </c>
    </row>
    <row r="139" spans="1:143">
      <c r="A139" s="22">
        <v>39</v>
      </c>
      <c r="B139" s="1" t="s">
        <v>1346</v>
      </c>
      <c r="C139" s="24">
        <f ca="1">OFFSET('VVP2'!F214,0,Last_forecast_year - 3-InputY!$G$3)</f>
        <v>44.231200000000001</v>
      </c>
      <c r="D139" s="24">
        <f ca="1">OFFSET('VVP2'!G214,0,Last_forecast_year - 3-InputY!$G$3)</f>
        <v>45.513400000000004</v>
      </c>
      <c r="E139" s="24">
        <f ca="1">OFFSET('VVP2'!H214,0,Last_forecast_year - 3-InputY!$G$3)</f>
        <v>47.371299999999998</v>
      </c>
      <c r="F139" s="24">
        <f ca="1">OFFSET('VVP2'!I214,0,Last_forecast_year - 3-InputY!$G$3)</f>
        <v>48.9735534175</v>
      </c>
      <c r="G139" s="24">
        <f ca="1">OFFSET('VVP2'!J214,0,Last_forecast_year - 3-InputY!$G$3)</f>
        <v>50.59214209164103</v>
      </c>
      <c r="H139" s="25">
        <v>-9999</v>
      </c>
      <c r="I139" s="25">
        <v>-9999</v>
      </c>
      <c r="J139" s="25">
        <v>-9999</v>
      </c>
      <c r="K139" s="25">
        <v>-9999</v>
      </c>
      <c r="L139" s="25">
        <v>-9999</v>
      </c>
      <c r="M139" s="25">
        <v>-9999</v>
      </c>
      <c r="N139" s="25">
        <v>-9999</v>
      </c>
      <c r="O139" s="25">
        <v>-9999</v>
      </c>
      <c r="P139" s="32"/>
      <c r="Q139"/>
      <c r="AA139" s="22">
        <v>39</v>
      </c>
      <c r="AB139" s="1081" t="str">
        <f t="shared" si="3"/>
        <v>VAL. G.F.C.F. CONSTRUCTION</v>
      </c>
      <c r="AC139" s="1081">
        <f>CHOOSE(Tables!$U$2,Transfer!CA139,Transfer!CN139,Transfer!DA139,Transfer!DN139,Transfer!EA139)</f>
        <v>44.231200000000001</v>
      </c>
      <c r="AD139" s="1081">
        <f>CHOOSE(Tables!$U$2,Transfer!CB139,Transfer!CO139,Transfer!DB139,Transfer!DO139,Transfer!EB139)</f>
        <v>45.513400000000004</v>
      </c>
      <c r="AE139" s="1081">
        <f>CHOOSE(Tables!$U$2,Transfer!CC139,Transfer!CP139,Transfer!DC139,Transfer!DP139,Transfer!EC139)</f>
        <v>47.371299999999998</v>
      </c>
      <c r="AF139" s="1081">
        <f>CHOOSE(Tables!$U$2,Transfer!CD139,Transfer!CQ139,Transfer!DD139,Transfer!DQ139,Transfer!ED139)</f>
        <v>48.9735534175</v>
      </c>
      <c r="AG139" s="1081">
        <f>CHOOSE(Tables!$U$2,Transfer!CE139,Transfer!CR139,Transfer!DE139,Transfer!DR139,Transfer!EE139)</f>
        <v>50.59214209164103</v>
      </c>
      <c r="AH139" s="1081">
        <f>CHOOSE(Tables!$U$2,Transfer!CF139,Transfer!CS139,Transfer!DF139,Transfer!DS139,Transfer!EF139)</f>
        <v>-9999</v>
      </c>
      <c r="AI139" s="1081">
        <f>CHOOSE(Tables!$U$2,Transfer!CG139,Transfer!CT139,Transfer!DG139,Transfer!DT139,Transfer!EG139)</f>
        <v>-9999</v>
      </c>
      <c r="AJ139" s="1081">
        <f>CHOOSE(Tables!$U$2,Transfer!CH139,Transfer!CU139,Transfer!DH139,Transfer!DU139,Transfer!EH139)</f>
        <v>-9999</v>
      </c>
      <c r="AK139" s="1081">
        <f>CHOOSE(Tables!$U$2,Transfer!CI139,Transfer!CV139,Transfer!DI139,Transfer!DV139,Transfer!EI139)</f>
        <v>-9999</v>
      </c>
      <c r="AL139" s="1081">
        <f>CHOOSE(Tables!$U$2,Transfer!CJ139,Transfer!CW139,Transfer!DJ139,Transfer!DW139,Transfer!EJ139)</f>
        <v>-9999</v>
      </c>
      <c r="AM139" s="1081">
        <f>CHOOSE(Tables!$U$2,Transfer!CK139,Transfer!CX139,Transfer!DK139,Transfer!DX139,Transfer!EK139)</f>
        <v>-9999</v>
      </c>
      <c r="AN139" s="1081">
        <f>CHOOSE(Tables!$U$2,Transfer!CL139,Transfer!CY139,Transfer!DL139,Transfer!DY139,Transfer!EL139)</f>
        <v>-9999</v>
      </c>
      <c r="AO139" s="1081">
        <f>CHOOSE(Tables!$U$2,Transfer!CM139,Transfer!CZ139,Transfer!DM139,Transfer!DZ139,Transfer!EM139)</f>
        <v>-9999</v>
      </c>
      <c r="AR139" s="22">
        <v>39</v>
      </c>
      <c r="AS139" s="1" t="s">
        <v>1346</v>
      </c>
      <c r="AT139" s="24">
        <f t="shared" ca="1" si="5"/>
        <v>0</v>
      </c>
      <c r="AU139" s="24">
        <f t="shared" ca="1" si="5"/>
        <v>0</v>
      </c>
      <c r="AV139" s="24">
        <f t="shared" ca="1" si="5"/>
        <v>0</v>
      </c>
      <c r="AW139" s="24">
        <f t="shared" ca="1" si="5"/>
        <v>0</v>
      </c>
      <c r="AX139" s="24">
        <f t="shared" ca="1" si="5"/>
        <v>0</v>
      </c>
      <c r="AY139" s="25">
        <f t="shared" si="5"/>
        <v>0</v>
      </c>
      <c r="AZ139" s="25">
        <f t="shared" si="5"/>
        <v>0</v>
      </c>
      <c r="BA139" s="25">
        <f t="shared" si="5"/>
        <v>0</v>
      </c>
      <c r="BB139" s="25">
        <f t="shared" si="5"/>
        <v>0</v>
      </c>
      <c r="BC139" s="25">
        <f t="shared" si="5"/>
        <v>0</v>
      </c>
      <c r="BD139" s="25">
        <f t="shared" si="5"/>
        <v>0</v>
      </c>
      <c r="BE139" s="25">
        <f t="shared" si="5"/>
        <v>0</v>
      </c>
      <c r="BF139" s="25">
        <f t="shared" si="5"/>
        <v>0</v>
      </c>
      <c r="CA139" s="16">
        <v>44.231200000000001</v>
      </c>
      <c r="CB139" s="16">
        <v>45.513400000000004</v>
      </c>
      <c r="CC139" s="16">
        <v>47.371299999999998</v>
      </c>
      <c r="CD139" s="16">
        <v>48.9735534175</v>
      </c>
      <c r="CE139" s="16">
        <v>50.59214209164103</v>
      </c>
      <c r="CF139" s="16">
        <v>-9999</v>
      </c>
      <c r="CG139" s="16">
        <v>-9999</v>
      </c>
      <c r="CH139" s="16">
        <v>-9999</v>
      </c>
      <c r="CI139" s="16">
        <v>-9999</v>
      </c>
      <c r="CJ139" s="16">
        <v>-9999</v>
      </c>
      <c r="CK139" s="16">
        <v>-9999</v>
      </c>
      <c r="CL139" s="16">
        <v>-9999</v>
      </c>
      <c r="CM139" s="16">
        <v>-9999</v>
      </c>
      <c r="CN139" s="16">
        <v>44.231200000000001</v>
      </c>
      <c r="CO139" s="16">
        <v>45.513400000000004</v>
      </c>
      <c r="CP139" s="16">
        <v>46.366725489999993</v>
      </c>
      <c r="CQ139" s="16">
        <v>48.092655425816091</v>
      </c>
      <c r="CR139" s="16">
        <v>49.807357618904256</v>
      </c>
      <c r="CS139" s="16">
        <v>-9999</v>
      </c>
      <c r="CT139" s="16">
        <v>-9999</v>
      </c>
      <c r="CU139" s="16">
        <v>-9999</v>
      </c>
      <c r="CV139" s="16">
        <v>-9999</v>
      </c>
      <c r="CW139" s="16">
        <v>-9999</v>
      </c>
      <c r="CX139" s="16">
        <v>-9999</v>
      </c>
      <c r="CY139" s="16">
        <v>-9999</v>
      </c>
      <c r="CZ139" s="16">
        <v>-9999</v>
      </c>
      <c r="DA139" s="16">
        <v>44.231200000000001</v>
      </c>
      <c r="DB139" s="16">
        <v>45.513400000000004</v>
      </c>
      <c r="DC139" s="16">
        <v>47.371299999999998</v>
      </c>
      <c r="DD139" s="16">
        <v>48.9735534175</v>
      </c>
      <c r="DE139" s="16">
        <v>50.59214209164103</v>
      </c>
      <c r="DF139" s="16">
        <v>-9999</v>
      </c>
      <c r="DG139" s="16">
        <v>-9999</v>
      </c>
      <c r="DH139" s="16">
        <v>-9999</v>
      </c>
      <c r="DI139" s="16">
        <v>-9999</v>
      </c>
      <c r="DJ139" s="16">
        <v>-9999</v>
      </c>
      <c r="DK139" s="16">
        <v>-9999</v>
      </c>
      <c r="DL139" s="16">
        <v>-9999</v>
      </c>
      <c r="DM139" s="16">
        <v>-9999</v>
      </c>
      <c r="DN139" s="16">
        <v>44.231200000000001</v>
      </c>
      <c r="DO139" s="16">
        <v>45.513400000000004</v>
      </c>
      <c r="DP139" s="16">
        <v>47.371299999999998</v>
      </c>
      <c r="DQ139" s="16">
        <v>48.9735534175</v>
      </c>
      <c r="DR139" s="16">
        <v>50.59214209164103</v>
      </c>
      <c r="DS139" s="16">
        <v>-9999</v>
      </c>
      <c r="DT139" s="16">
        <v>-9999</v>
      </c>
      <c r="DU139" s="16">
        <v>-9999</v>
      </c>
      <c r="DV139" s="16">
        <v>-9999</v>
      </c>
      <c r="DW139" s="16">
        <v>-9999</v>
      </c>
      <c r="DX139" s="16">
        <v>-9999</v>
      </c>
      <c r="DY139" s="16">
        <v>-9999</v>
      </c>
      <c r="DZ139" s="16">
        <v>-9999</v>
      </c>
      <c r="EA139" s="2106">
        <v>44.231200000000001</v>
      </c>
      <c r="EB139" s="2106">
        <v>45.513400000000004</v>
      </c>
      <c r="EC139" s="2106">
        <v>47.371299999999998</v>
      </c>
      <c r="ED139" s="2106">
        <v>48.9735534175</v>
      </c>
      <c r="EE139" s="2106">
        <v>50.59214209164103</v>
      </c>
      <c r="EF139" s="2107">
        <v>-9999</v>
      </c>
      <c r="EG139" s="2107">
        <v>-9999</v>
      </c>
      <c r="EH139" s="2107">
        <v>-9999</v>
      </c>
      <c r="EI139" s="2107">
        <v>-9999</v>
      </c>
      <c r="EJ139" s="2107">
        <v>-9999</v>
      </c>
      <c r="EK139" s="2107">
        <v>-9999</v>
      </c>
      <c r="EL139" s="2107">
        <v>-9999</v>
      </c>
      <c r="EM139" s="2107">
        <v>-9999</v>
      </c>
    </row>
    <row r="140" spans="1:143">
      <c r="A140" s="22">
        <v>40</v>
      </c>
      <c r="B140" s="1" t="s">
        <v>1405</v>
      </c>
      <c r="C140" s="24">
        <f ca="1">OFFSET('VVP2'!F218,0,Last_forecast_year - 3-InputY!$G$3)</f>
        <v>31.1813</v>
      </c>
      <c r="D140" s="24">
        <f ca="1">OFFSET('VVP2'!G218,0,Last_forecast_year - 3-InputY!$G$3)</f>
        <v>35.422499999999999</v>
      </c>
      <c r="E140" s="24">
        <f ca="1">OFFSET('VVP2'!H218,0,Last_forecast_year - 3-InputY!$G$3)</f>
        <v>35.593400000000003</v>
      </c>
      <c r="F140" s="24">
        <f ca="1">OFFSET('VVP2'!I218,0,Last_forecast_year - 3-InputY!$G$3)</f>
        <v>37.962496704000003</v>
      </c>
      <c r="G140" s="24">
        <f ca="1">OFFSET('VVP2'!J218,0,Last_forecast_year - 3-InputY!$G$3)</f>
        <v>39.801096344368133</v>
      </c>
      <c r="H140" s="25">
        <v>-9999</v>
      </c>
      <c r="I140" s="25">
        <v>-9999</v>
      </c>
      <c r="J140" s="25">
        <v>-9999</v>
      </c>
      <c r="K140" s="25">
        <v>-9999</v>
      </c>
      <c r="L140" s="25">
        <v>-9999</v>
      </c>
      <c r="M140" s="25">
        <v>-9999</v>
      </c>
      <c r="N140" s="25">
        <v>-9999</v>
      </c>
      <c r="O140" s="25">
        <v>-9999</v>
      </c>
      <c r="P140" s="32"/>
      <c r="Q140"/>
      <c r="AA140" s="22">
        <v>40</v>
      </c>
      <c r="AB140" s="1081" t="str">
        <f t="shared" si="3"/>
        <v>VAL. G.F.C.F. EQUIPMENT</v>
      </c>
      <c r="AC140" s="1081">
        <f>CHOOSE(Tables!$U$2,Transfer!CA140,Transfer!CN140,Transfer!DA140,Transfer!DN140,Transfer!EA140)</f>
        <v>31.1813</v>
      </c>
      <c r="AD140" s="1081">
        <f>CHOOSE(Tables!$U$2,Transfer!CB140,Transfer!CO140,Transfer!DB140,Transfer!DO140,Transfer!EB140)</f>
        <v>35.422499999999999</v>
      </c>
      <c r="AE140" s="1081">
        <f>CHOOSE(Tables!$U$2,Transfer!CC140,Transfer!CP140,Transfer!DC140,Transfer!DP140,Transfer!EC140)</f>
        <v>35.593400000000003</v>
      </c>
      <c r="AF140" s="1081">
        <f>CHOOSE(Tables!$U$2,Transfer!CD140,Transfer!CQ140,Transfer!DD140,Transfer!DQ140,Transfer!ED140)</f>
        <v>37.962496704000003</v>
      </c>
      <c r="AG140" s="1081">
        <f>CHOOSE(Tables!$U$2,Transfer!CE140,Transfer!CR140,Transfer!DE140,Transfer!DR140,Transfer!EE140)</f>
        <v>39.801096344368133</v>
      </c>
      <c r="AH140" s="1081">
        <f>CHOOSE(Tables!$U$2,Transfer!CF140,Transfer!CS140,Transfer!DF140,Transfer!DS140,Transfer!EF140)</f>
        <v>-9999</v>
      </c>
      <c r="AI140" s="1081">
        <f>CHOOSE(Tables!$U$2,Transfer!CG140,Transfer!CT140,Transfer!DG140,Transfer!DT140,Transfer!EG140)</f>
        <v>-9999</v>
      </c>
      <c r="AJ140" s="1081">
        <f>CHOOSE(Tables!$U$2,Transfer!CH140,Transfer!CU140,Transfer!DH140,Transfer!DU140,Transfer!EH140)</f>
        <v>-9999</v>
      </c>
      <c r="AK140" s="1081">
        <f>CHOOSE(Tables!$U$2,Transfer!CI140,Transfer!CV140,Transfer!DI140,Transfer!DV140,Transfer!EI140)</f>
        <v>-9999</v>
      </c>
      <c r="AL140" s="1081">
        <f>CHOOSE(Tables!$U$2,Transfer!CJ140,Transfer!CW140,Transfer!DJ140,Transfer!DW140,Transfer!EJ140)</f>
        <v>-9999</v>
      </c>
      <c r="AM140" s="1081">
        <f>CHOOSE(Tables!$U$2,Transfer!CK140,Transfer!CX140,Transfer!DK140,Transfer!DX140,Transfer!EK140)</f>
        <v>-9999</v>
      </c>
      <c r="AN140" s="1081">
        <f>CHOOSE(Tables!$U$2,Transfer!CL140,Transfer!CY140,Transfer!DL140,Transfer!DY140,Transfer!EL140)</f>
        <v>-9999</v>
      </c>
      <c r="AO140" s="1081">
        <f>CHOOSE(Tables!$U$2,Transfer!CM140,Transfer!CZ140,Transfer!DM140,Transfer!DZ140,Transfer!EM140)</f>
        <v>-9999</v>
      </c>
      <c r="AR140" s="22">
        <v>40</v>
      </c>
      <c r="AS140" s="1" t="s">
        <v>1405</v>
      </c>
      <c r="AT140" s="24">
        <f t="shared" ca="1" si="5"/>
        <v>0</v>
      </c>
      <c r="AU140" s="24">
        <f t="shared" ca="1" si="5"/>
        <v>0</v>
      </c>
      <c r="AV140" s="24">
        <f t="shared" ca="1" si="5"/>
        <v>0</v>
      </c>
      <c r="AW140" s="24">
        <f t="shared" ca="1" si="5"/>
        <v>0</v>
      </c>
      <c r="AX140" s="24">
        <f t="shared" ca="1" si="5"/>
        <v>0</v>
      </c>
      <c r="AY140" s="25">
        <f t="shared" si="5"/>
        <v>0</v>
      </c>
      <c r="AZ140" s="25">
        <f t="shared" si="5"/>
        <v>0</v>
      </c>
      <c r="BA140" s="25">
        <f t="shared" si="5"/>
        <v>0</v>
      </c>
      <c r="BB140" s="25">
        <f t="shared" si="5"/>
        <v>0</v>
      </c>
      <c r="BC140" s="25">
        <f t="shared" si="5"/>
        <v>0</v>
      </c>
      <c r="BD140" s="25">
        <f t="shared" si="5"/>
        <v>0</v>
      </c>
      <c r="BE140" s="25">
        <f t="shared" si="5"/>
        <v>0</v>
      </c>
      <c r="BF140" s="25">
        <f t="shared" si="5"/>
        <v>0</v>
      </c>
      <c r="CA140" s="16">
        <v>31.1813</v>
      </c>
      <c r="CB140" s="16">
        <v>35.422499999999999</v>
      </c>
      <c r="CC140" s="16">
        <v>35.593400000000003</v>
      </c>
      <c r="CD140" s="16">
        <v>37.962496704000003</v>
      </c>
      <c r="CE140" s="16">
        <v>39.801096344368133</v>
      </c>
      <c r="CF140" s="16">
        <v>-9999</v>
      </c>
      <c r="CG140" s="16">
        <v>-9999</v>
      </c>
      <c r="CH140" s="16">
        <v>-9999</v>
      </c>
      <c r="CI140" s="16">
        <v>-9999</v>
      </c>
      <c r="CJ140" s="16">
        <v>-9999</v>
      </c>
      <c r="CK140" s="16">
        <v>-9999</v>
      </c>
      <c r="CL140" s="16">
        <v>-9999</v>
      </c>
      <c r="CM140" s="16">
        <v>-9999</v>
      </c>
      <c r="CN140" s="16">
        <v>31.1813</v>
      </c>
      <c r="CO140" s="16">
        <v>35.422499999999999</v>
      </c>
      <c r="CP140" s="16">
        <v>36.302834138999998</v>
      </c>
      <c r="CQ140" s="16">
        <v>38.460405959249535</v>
      </c>
      <c r="CR140" s="16">
        <v>39.896517517767904</v>
      </c>
      <c r="CS140" s="16">
        <v>-9999</v>
      </c>
      <c r="CT140" s="16">
        <v>-9999</v>
      </c>
      <c r="CU140" s="16">
        <v>-9999</v>
      </c>
      <c r="CV140" s="16">
        <v>-9999</v>
      </c>
      <c r="CW140" s="16">
        <v>-9999</v>
      </c>
      <c r="CX140" s="16">
        <v>-9999</v>
      </c>
      <c r="CY140" s="16">
        <v>-9999</v>
      </c>
      <c r="CZ140" s="16">
        <v>-9999</v>
      </c>
      <c r="DA140" s="16">
        <v>31.1813</v>
      </c>
      <c r="DB140" s="16">
        <v>35.422499999999999</v>
      </c>
      <c r="DC140" s="16">
        <v>35.593400000000003</v>
      </c>
      <c r="DD140" s="16">
        <v>37.962496704000003</v>
      </c>
      <c r="DE140" s="16">
        <v>39.801096344368133</v>
      </c>
      <c r="DF140" s="16">
        <v>-9999</v>
      </c>
      <c r="DG140" s="16">
        <v>-9999</v>
      </c>
      <c r="DH140" s="16">
        <v>-9999</v>
      </c>
      <c r="DI140" s="16">
        <v>-9999</v>
      </c>
      <c r="DJ140" s="16">
        <v>-9999</v>
      </c>
      <c r="DK140" s="16">
        <v>-9999</v>
      </c>
      <c r="DL140" s="16">
        <v>-9999</v>
      </c>
      <c r="DM140" s="16">
        <v>-9999</v>
      </c>
      <c r="DN140" s="16">
        <v>31.1813</v>
      </c>
      <c r="DO140" s="16">
        <v>35.422499999999999</v>
      </c>
      <c r="DP140" s="16">
        <v>35.593400000000003</v>
      </c>
      <c r="DQ140" s="16">
        <v>37.962496704000003</v>
      </c>
      <c r="DR140" s="16">
        <v>39.801096344368133</v>
      </c>
      <c r="DS140" s="16">
        <v>-9999</v>
      </c>
      <c r="DT140" s="16">
        <v>-9999</v>
      </c>
      <c r="DU140" s="16">
        <v>-9999</v>
      </c>
      <c r="DV140" s="16">
        <v>-9999</v>
      </c>
      <c r="DW140" s="16">
        <v>-9999</v>
      </c>
      <c r="DX140" s="16">
        <v>-9999</v>
      </c>
      <c r="DY140" s="16">
        <v>-9999</v>
      </c>
      <c r="DZ140" s="16">
        <v>-9999</v>
      </c>
      <c r="EA140" s="2106">
        <v>31.1813</v>
      </c>
      <c r="EB140" s="2106">
        <v>35.422499999999999</v>
      </c>
      <c r="EC140" s="2106">
        <v>35.593400000000003</v>
      </c>
      <c r="ED140" s="2106">
        <v>37.962496704000003</v>
      </c>
      <c r="EE140" s="2106">
        <v>39.801096344368133</v>
      </c>
      <c r="EF140" s="2107">
        <v>-9999</v>
      </c>
      <c r="EG140" s="2107">
        <v>-9999</v>
      </c>
      <c r="EH140" s="2107">
        <v>-9999</v>
      </c>
      <c r="EI140" s="2107">
        <v>-9999</v>
      </c>
      <c r="EJ140" s="2107">
        <v>-9999</v>
      </c>
      <c r="EK140" s="2107">
        <v>-9999</v>
      </c>
      <c r="EL140" s="2107">
        <v>-9999</v>
      </c>
      <c r="EM140" s="2107">
        <v>-9999</v>
      </c>
    </row>
    <row r="141" spans="1:143">
      <c r="A141" s="22">
        <v>41</v>
      </c>
      <c r="B141" s="1" t="s">
        <v>1093</v>
      </c>
      <c r="C141" s="24">
        <f ca="1">OFFSET('VVP2'!F219,0,Last_forecast_year - 3-InputY!$G$3)</f>
        <v>19.773599999999998</v>
      </c>
      <c r="D141" s="24">
        <f ca="1">OFFSET('VVP2'!G219,0,Last_forecast_year - 3-InputY!$G$3)</f>
        <v>18.217599999999997</v>
      </c>
      <c r="E141" s="24">
        <f ca="1">OFFSET('VVP2'!H219,0,Last_forecast_year - 3-InputY!$G$3)</f>
        <v>18.947400000000002</v>
      </c>
      <c r="F141" s="24">
        <f ca="1">OFFSET('VVP2'!I219,0,Last_forecast_year - 3-InputY!$G$3)</f>
        <v>20.093717700000003</v>
      </c>
      <c r="G141" s="24">
        <f ca="1">OFFSET('VVP2'!J219,0,Last_forecast_year - 3-InputY!$G$3)</f>
        <v>20.883883054834801</v>
      </c>
      <c r="H141" s="25">
        <v>-9999</v>
      </c>
      <c r="I141" s="25">
        <v>-9999</v>
      </c>
      <c r="J141" s="25">
        <v>-9999</v>
      </c>
      <c r="K141" s="25">
        <v>-9999</v>
      </c>
      <c r="L141" s="25">
        <v>-9999</v>
      </c>
      <c r="M141" s="25">
        <v>-9999</v>
      </c>
      <c r="N141" s="25">
        <v>-9999</v>
      </c>
      <c r="O141" s="25">
        <v>-9999</v>
      </c>
      <c r="P141" s="32"/>
      <c r="Q141"/>
      <c r="AA141" s="22">
        <v>41</v>
      </c>
      <c r="AB141" s="1081" t="str">
        <f t="shared" si="3"/>
        <v>VAL. G.F.C.F. OTHER</v>
      </c>
      <c r="AC141" s="1081">
        <f>CHOOSE(Tables!$U$2,Transfer!CA141,Transfer!CN141,Transfer!DA141,Transfer!DN141,Transfer!EA141)</f>
        <v>19.773599999999998</v>
      </c>
      <c r="AD141" s="1081">
        <f>CHOOSE(Tables!$U$2,Transfer!CB141,Transfer!CO141,Transfer!DB141,Transfer!DO141,Transfer!EB141)</f>
        <v>18.217599999999997</v>
      </c>
      <c r="AE141" s="1081">
        <f>CHOOSE(Tables!$U$2,Transfer!CC141,Transfer!CP141,Transfer!DC141,Transfer!DP141,Transfer!EC141)</f>
        <v>18.947400000000002</v>
      </c>
      <c r="AF141" s="1081">
        <f>CHOOSE(Tables!$U$2,Transfer!CD141,Transfer!CQ141,Transfer!DD141,Transfer!DQ141,Transfer!ED141)</f>
        <v>20.093717700000003</v>
      </c>
      <c r="AG141" s="1081">
        <f>CHOOSE(Tables!$U$2,Transfer!CE141,Transfer!CR141,Transfer!DE141,Transfer!DR141,Transfer!EE141)</f>
        <v>20.883883054834801</v>
      </c>
      <c r="AH141" s="1081">
        <f>CHOOSE(Tables!$U$2,Transfer!CF141,Transfer!CS141,Transfer!DF141,Transfer!DS141,Transfer!EF141)</f>
        <v>-9999</v>
      </c>
      <c r="AI141" s="1081">
        <f>CHOOSE(Tables!$U$2,Transfer!CG141,Transfer!CT141,Transfer!DG141,Transfer!DT141,Transfer!EG141)</f>
        <v>-9999</v>
      </c>
      <c r="AJ141" s="1081">
        <f>CHOOSE(Tables!$U$2,Transfer!CH141,Transfer!CU141,Transfer!DH141,Transfer!DU141,Transfer!EH141)</f>
        <v>-9999</v>
      </c>
      <c r="AK141" s="1081">
        <f>CHOOSE(Tables!$U$2,Transfer!CI141,Transfer!CV141,Transfer!DI141,Transfer!DV141,Transfer!EI141)</f>
        <v>-9999</v>
      </c>
      <c r="AL141" s="1081">
        <f>CHOOSE(Tables!$U$2,Transfer!CJ141,Transfer!CW141,Transfer!DJ141,Transfer!DW141,Transfer!EJ141)</f>
        <v>-9999</v>
      </c>
      <c r="AM141" s="1081">
        <f>CHOOSE(Tables!$U$2,Transfer!CK141,Transfer!CX141,Transfer!DK141,Transfer!DX141,Transfer!EK141)</f>
        <v>-9999</v>
      </c>
      <c r="AN141" s="1081">
        <f>CHOOSE(Tables!$U$2,Transfer!CL141,Transfer!CY141,Transfer!DL141,Transfer!DY141,Transfer!EL141)</f>
        <v>-9999</v>
      </c>
      <c r="AO141" s="1081">
        <f>CHOOSE(Tables!$U$2,Transfer!CM141,Transfer!CZ141,Transfer!DM141,Transfer!DZ141,Transfer!EM141)</f>
        <v>-9999</v>
      </c>
      <c r="AR141" s="22">
        <v>41</v>
      </c>
      <c r="AS141" s="1" t="s">
        <v>1093</v>
      </c>
      <c r="AT141" s="24">
        <f t="shared" ca="1" si="5"/>
        <v>0</v>
      </c>
      <c r="AU141" s="24">
        <f t="shared" ca="1" si="5"/>
        <v>0</v>
      </c>
      <c r="AV141" s="24">
        <f t="shared" ca="1" si="5"/>
        <v>0</v>
      </c>
      <c r="AW141" s="24">
        <f t="shared" ca="1" si="5"/>
        <v>0</v>
      </c>
      <c r="AX141" s="24">
        <f t="shared" ca="1" si="5"/>
        <v>0</v>
      </c>
      <c r="AY141" s="25">
        <f t="shared" si="5"/>
        <v>0</v>
      </c>
      <c r="AZ141" s="25">
        <f t="shared" si="5"/>
        <v>0</v>
      </c>
      <c r="BA141" s="25">
        <f t="shared" si="5"/>
        <v>0</v>
      </c>
      <c r="BB141" s="25">
        <f t="shared" si="5"/>
        <v>0</v>
      </c>
      <c r="BC141" s="25">
        <f t="shared" si="5"/>
        <v>0</v>
      </c>
      <c r="BD141" s="25">
        <f t="shared" si="5"/>
        <v>0</v>
      </c>
      <c r="BE141" s="25">
        <f t="shared" si="5"/>
        <v>0</v>
      </c>
      <c r="BF141" s="25">
        <f t="shared" si="5"/>
        <v>0</v>
      </c>
      <c r="CA141" s="16">
        <v>19.773599999999998</v>
      </c>
      <c r="CB141" s="16">
        <v>18.217599999999997</v>
      </c>
      <c r="CC141" s="16">
        <v>18.947400000000002</v>
      </c>
      <c r="CD141" s="16">
        <v>20.093717700000003</v>
      </c>
      <c r="CE141" s="16">
        <v>20.883883054834801</v>
      </c>
      <c r="CF141" s="16">
        <v>-9999</v>
      </c>
      <c r="CG141" s="16">
        <v>-9999</v>
      </c>
      <c r="CH141" s="16">
        <v>-9999</v>
      </c>
      <c r="CI141" s="16">
        <v>-9999</v>
      </c>
      <c r="CJ141" s="16">
        <v>-9999</v>
      </c>
      <c r="CK141" s="16">
        <v>-9999</v>
      </c>
      <c r="CL141" s="16">
        <v>-9999</v>
      </c>
      <c r="CM141" s="16">
        <v>-9999</v>
      </c>
      <c r="CN141" s="16">
        <v>19.773599999999998</v>
      </c>
      <c r="CO141" s="16">
        <v>18.217599999999997</v>
      </c>
      <c r="CP141" s="16">
        <v>18.814153529599999</v>
      </c>
      <c r="CQ141" s="16">
        <v>20.033837474616909</v>
      </c>
      <c r="CR141" s="16">
        <v>20.924521854900899</v>
      </c>
      <c r="CS141" s="16">
        <v>-9999</v>
      </c>
      <c r="CT141" s="16">
        <v>-9999</v>
      </c>
      <c r="CU141" s="16">
        <v>-9999</v>
      </c>
      <c r="CV141" s="16">
        <v>-9999</v>
      </c>
      <c r="CW141" s="16">
        <v>-9999</v>
      </c>
      <c r="CX141" s="16">
        <v>-9999</v>
      </c>
      <c r="CY141" s="16">
        <v>-9999</v>
      </c>
      <c r="CZ141" s="16">
        <v>-9999</v>
      </c>
      <c r="DA141" s="16">
        <v>19.773599999999998</v>
      </c>
      <c r="DB141" s="16">
        <v>18.217599999999997</v>
      </c>
      <c r="DC141" s="16">
        <v>18.947400000000002</v>
      </c>
      <c r="DD141" s="16">
        <v>20.093717700000003</v>
      </c>
      <c r="DE141" s="16">
        <v>20.883883054834801</v>
      </c>
      <c r="DF141" s="16">
        <v>-9999</v>
      </c>
      <c r="DG141" s="16">
        <v>-9999</v>
      </c>
      <c r="DH141" s="16">
        <v>-9999</v>
      </c>
      <c r="DI141" s="16">
        <v>-9999</v>
      </c>
      <c r="DJ141" s="16">
        <v>-9999</v>
      </c>
      <c r="DK141" s="16">
        <v>-9999</v>
      </c>
      <c r="DL141" s="16">
        <v>-9999</v>
      </c>
      <c r="DM141" s="16">
        <v>-9999</v>
      </c>
      <c r="DN141" s="16">
        <v>19.773599999999998</v>
      </c>
      <c r="DO141" s="16">
        <v>18.217599999999997</v>
      </c>
      <c r="DP141" s="16">
        <v>18.947400000000002</v>
      </c>
      <c r="DQ141" s="16">
        <v>20.093717700000003</v>
      </c>
      <c r="DR141" s="16">
        <v>20.883883054834801</v>
      </c>
      <c r="DS141" s="16">
        <v>-9999</v>
      </c>
      <c r="DT141" s="16">
        <v>-9999</v>
      </c>
      <c r="DU141" s="16">
        <v>-9999</v>
      </c>
      <c r="DV141" s="16">
        <v>-9999</v>
      </c>
      <c r="DW141" s="16">
        <v>-9999</v>
      </c>
      <c r="DX141" s="16">
        <v>-9999</v>
      </c>
      <c r="DY141" s="16">
        <v>-9999</v>
      </c>
      <c r="DZ141" s="16">
        <v>-9999</v>
      </c>
      <c r="EA141" s="2106">
        <v>19.773599999999998</v>
      </c>
      <c r="EB141" s="2106">
        <v>18.217599999999997</v>
      </c>
      <c r="EC141" s="2106">
        <v>18.947400000000002</v>
      </c>
      <c r="ED141" s="2106">
        <v>20.093717700000003</v>
      </c>
      <c r="EE141" s="2106">
        <v>20.883883054834801</v>
      </c>
      <c r="EF141" s="2107">
        <v>-9999</v>
      </c>
      <c r="EG141" s="2107">
        <v>-9999</v>
      </c>
      <c r="EH141" s="2107">
        <v>-9999</v>
      </c>
      <c r="EI141" s="2107">
        <v>-9999</v>
      </c>
      <c r="EJ141" s="2107">
        <v>-9999</v>
      </c>
      <c r="EK141" s="2107">
        <v>-9999</v>
      </c>
      <c r="EL141" s="2107">
        <v>-9999</v>
      </c>
      <c r="EM141" s="2107">
        <v>-9999</v>
      </c>
    </row>
    <row r="142" spans="1:143">
      <c r="A142" s="22">
        <v>42</v>
      </c>
      <c r="B142" s="1" t="s">
        <v>1099</v>
      </c>
      <c r="C142" s="24">
        <f ca="1">OFFSET('VVP2'!F274,0,Last_forecast_year - 3-InputY!$G$3)</f>
        <v>1.5740000000000001</v>
      </c>
      <c r="D142" s="24">
        <f ca="1">OFFSET('VVP2'!G274,0,Last_forecast_year - 3-InputY!$G$3)</f>
        <v>1.9818</v>
      </c>
      <c r="E142" s="24">
        <f ca="1">OFFSET('VVP2'!H274,0,Last_forecast_year - 3-InputY!$G$3)</f>
        <v>5.5851000000000006</v>
      </c>
      <c r="F142" s="24">
        <f ca="1">OFFSET('VVP2'!I274,0,Last_forecast_year - 3-InputY!$G$3)</f>
        <v>5.5851000000000006</v>
      </c>
      <c r="G142" s="24">
        <f ca="1">OFFSET('VVP2'!J274,0,Last_forecast_year - 3-InputY!$G$3)</f>
        <v>5.5851000000000006</v>
      </c>
      <c r="H142" s="25">
        <v>-9999</v>
      </c>
      <c r="I142" s="25">
        <v>-9999</v>
      </c>
      <c r="J142" s="25">
        <v>-9999</v>
      </c>
      <c r="K142" s="25">
        <v>-9999</v>
      </c>
      <c r="L142" s="25">
        <v>-9999</v>
      </c>
      <c r="M142" s="25">
        <v>-9999</v>
      </c>
      <c r="N142" s="25">
        <v>-9999</v>
      </c>
      <c r="O142" s="25">
        <v>-9999</v>
      </c>
      <c r="P142" s="32"/>
      <c r="Q142"/>
      <c r="AA142" s="22">
        <v>42</v>
      </c>
      <c r="AB142" s="1081" t="str">
        <f t="shared" si="3"/>
        <v>VAL. CHANGE IN INVENTORIES</v>
      </c>
      <c r="AC142" s="1081">
        <f>CHOOSE(Tables!$U$2,Transfer!CA142,Transfer!CN142,Transfer!DA142,Transfer!DN142,Transfer!EA142)</f>
        <v>1.5740000000000001</v>
      </c>
      <c r="AD142" s="1081">
        <f>CHOOSE(Tables!$U$2,Transfer!CB142,Transfer!CO142,Transfer!DB142,Transfer!DO142,Transfer!EB142)</f>
        <v>1.9818</v>
      </c>
      <c r="AE142" s="1081">
        <f>CHOOSE(Tables!$U$2,Transfer!CC142,Transfer!CP142,Transfer!DC142,Transfer!DP142,Transfer!EC142)</f>
        <v>5.5851000000000006</v>
      </c>
      <c r="AF142" s="1081">
        <f>CHOOSE(Tables!$U$2,Transfer!CD142,Transfer!CQ142,Transfer!DD142,Transfer!DQ142,Transfer!ED142)</f>
        <v>5.5851000000000006</v>
      </c>
      <c r="AG142" s="1081">
        <f>CHOOSE(Tables!$U$2,Transfer!CE142,Transfer!CR142,Transfer!DE142,Transfer!DR142,Transfer!EE142)</f>
        <v>5.5851000000000006</v>
      </c>
      <c r="AH142" s="1081">
        <f>CHOOSE(Tables!$U$2,Transfer!CF142,Transfer!CS142,Transfer!DF142,Transfer!DS142,Transfer!EF142)</f>
        <v>-9999</v>
      </c>
      <c r="AI142" s="1081">
        <f>CHOOSE(Tables!$U$2,Transfer!CG142,Transfer!CT142,Transfer!DG142,Transfer!DT142,Transfer!EG142)</f>
        <v>-9999</v>
      </c>
      <c r="AJ142" s="1081">
        <f>CHOOSE(Tables!$U$2,Transfer!CH142,Transfer!CU142,Transfer!DH142,Transfer!DU142,Transfer!EH142)</f>
        <v>-9999</v>
      </c>
      <c r="AK142" s="1081">
        <f>CHOOSE(Tables!$U$2,Transfer!CI142,Transfer!CV142,Transfer!DI142,Transfer!DV142,Transfer!EI142)</f>
        <v>-9999</v>
      </c>
      <c r="AL142" s="1081">
        <f>CHOOSE(Tables!$U$2,Transfer!CJ142,Transfer!CW142,Transfer!DJ142,Transfer!DW142,Transfer!EJ142)</f>
        <v>-9999</v>
      </c>
      <c r="AM142" s="1081">
        <f>CHOOSE(Tables!$U$2,Transfer!CK142,Transfer!CX142,Transfer!DK142,Transfer!DX142,Transfer!EK142)</f>
        <v>-9999</v>
      </c>
      <c r="AN142" s="1081">
        <f>CHOOSE(Tables!$U$2,Transfer!CL142,Transfer!CY142,Transfer!DL142,Transfer!DY142,Transfer!EL142)</f>
        <v>-9999</v>
      </c>
      <c r="AO142" s="1081">
        <f>CHOOSE(Tables!$U$2,Transfer!CM142,Transfer!CZ142,Transfer!DM142,Transfer!DZ142,Transfer!EM142)</f>
        <v>-9999</v>
      </c>
      <c r="AR142" s="22">
        <v>42</v>
      </c>
      <c r="AS142" s="1" t="s">
        <v>1099</v>
      </c>
      <c r="AT142" s="24">
        <f t="shared" ca="1" si="5"/>
        <v>0</v>
      </c>
      <c r="AU142" s="24">
        <f t="shared" ca="1" si="5"/>
        <v>0</v>
      </c>
      <c r="AV142" s="24">
        <f t="shared" ca="1" si="5"/>
        <v>0</v>
      </c>
      <c r="AW142" s="24">
        <f t="shared" ca="1" si="5"/>
        <v>0</v>
      </c>
      <c r="AX142" s="24">
        <f t="shared" ca="1" si="5"/>
        <v>0</v>
      </c>
      <c r="AY142" s="25">
        <f t="shared" si="5"/>
        <v>0</v>
      </c>
      <c r="AZ142" s="25">
        <f t="shared" si="5"/>
        <v>0</v>
      </c>
      <c r="BA142" s="25">
        <f t="shared" si="5"/>
        <v>0</v>
      </c>
      <c r="BB142" s="25">
        <f t="shared" si="5"/>
        <v>0</v>
      </c>
      <c r="BC142" s="25">
        <f t="shared" si="5"/>
        <v>0</v>
      </c>
      <c r="BD142" s="25">
        <f t="shared" si="5"/>
        <v>0</v>
      </c>
      <c r="BE142" s="25">
        <f t="shared" si="5"/>
        <v>0</v>
      </c>
      <c r="BF142" s="25">
        <f t="shared" si="5"/>
        <v>0</v>
      </c>
      <c r="CA142" s="16">
        <v>1.5740000000000001</v>
      </c>
      <c r="CB142" s="16">
        <v>1.9818</v>
      </c>
      <c r="CC142" s="16">
        <v>5.5851000000000006</v>
      </c>
      <c r="CD142" s="16">
        <v>5.5851000000000006</v>
      </c>
      <c r="CE142" s="16">
        <v>5.5851000000000006</v>
      </c>
      <c r="CF142" s="16">
        <v>-9999</v>
      </c>
      <c r="CG142" s="16">
        <v>-9999</v>
      </c>
      <c r="CH142" s="16">
        <v>-9999</v>
      </c>
      <c r="CI142" s="16">
        <v>-9999</v>
      </c>
      <c r="CJ142" s="16">
        <v>-9999</v>
      </c>
      <c r="CK142" s="16">
        <v>-9999</v>
      </c>
      <c r="CL142" s="16">
        <v>-9999</v>
      </c>
      <c r="CM142" s="16">
        <v>-9999</v>
      </c>
      <c r="CN142" s="16">
        <v>1.5740000000000001</v>
      </c>
      <c r="CO142" s="16">
        <v>1.9818</v>
      </c>
      <c r="CP142" s="16">
        <v>3.4681500000000001</v>
      </c>
      <c r="CQ142" s="16">
        <v>3.4681500000000001</v>
      </c>
      <c r="CR142" s="16">
        <v>3.4681500000000001</v>
      </c>
      <c r="CS142" s="16">
        <v>-9999</v>
      </c>
      <c r="CT142" s="16">
        <v>-9999</v>
      </c>
      <c r="CU142" s="16">
        <v>-9999</v>
      </c>
      <c r="CV142" s="16">
        <v>-9999</v>
      </c>
      <c r="CW142" s="16">
        <v>-9999</v>
      </c>
      <c r="CX142" s="16">
        <v>-9999</v>
      </c>
      <c r="CY142" s="16">
        <v>-9999</v>
      </c>
      <c r="CZ142" s="16">
        <v>-9999</v>
      </c>
      <c r="DA142" s="16">
        <v>1.5740000000000001</v>
      </c>
      <c r="DB142" s="16">
        <v>1.9818</v>
      </c>
      <c r="DC142" s="16">
        <v>5.5851000000000006</v>
      </c>
      <c r="DD142" s="16">
        <v>5.5851000000000006</v>
      </c>
      <c r="DE142" s="16">
        <v>5.5851000000000006</v>
      </c>
      <c r="DF142" s="16">
        <v>-9999</v>
      </c>
      <c r="DG142" s="16">
        <v>-9999</v>
      </c>
      <c r="DH142" s="16">
        <v>-9999</v>
      </c>
      <c r="DI142" s="16">
        <v>-9999</v>
      </c>
      <c r="DJ142" s="16">
        <v>-9999</v>
      </c>
      <c r="DK142" s="16">
        <v>-9999</v>
      </c>
      <c r="DL142" s="16">
        <v>-9999</v>
      </c>
      <c r="DM142" s="16">
        <v>-9999</v>
      </c>
      <c r="DN142" s="16">
        <v>1.5740000000000001</v>
      </c>
      <c r="DO142" s="16">
        <v>1.9818</v>
      </c>
      <c r="DP142" s="16">
        <v>5.5851000000000006</v>
      </c>
      <c r="DQ142" s="16">
        <v>5.5851000000000006</v>
      </c>
      <c r="DR142" s="16">
        <v>5.5851000000000006</v>
      </c>
      <c r="DS142" s="16">
        <v>-9999</v>
      </c>
      <c r="DT142" s="16">
        <v>-9999</v>
      </c>
      <c r="DU142" s="16">
        <v>-9999</v>
      </c>
      <c r="DV142" s="16">
        <v>-9999</v>
      </c>
      <c r="DW142" s="16">
        <v>-9999</v>
      </c>
      <c r="DX142" s="16">
        <v>-9999</v>
      </c>
      <c r="DY142" s="16">
        <v>-9999</v>
      </c>
      <c r="DZ142" s="16">
        <v>-9999</v>
      </c>
      <c r="EA142" s="2106">
        <v>1.5740000000000001</v>
      </c>
      <c r="EB142" s="2106">
        <v>1.9818</v>
      </c>
      <c r="EC142" s="2106">
        <v>5.5851000000000006</v>
      </c>
      <c r="ED142" s="2106">
        <v>5.5851000000000006</v>
      </c>
      <c r="EE142" s="2106">
        <v>5.5851000000000006</v>
      </c>
      <c r="EF142" s="2107">
        <v>-9999</v>
      </c>
      <c r="EG142" s="2107">
        <v>-9999</v>
      </c>
      <c r="EH142" s="2107">
        <v>-9999</v>
      </c>
      <c r="EI142" s="2107">
        <v>-9999</v>
      </c>
      <c r="EJ142" s="2107">
        <v>-9999</v>
      </c>
      <c r="EK142" s="2107">
        <v>-9999</v>
      </c>
      <c r="EL142" s="2107">
        <v>-9999</v>
      </c>
      <c r="EM142" s="2107">
        <v>-9999</v>
      </c>
    </row>
    <row r="143" spans="1:143">
      <c r="A143" s="22">
        <v>43</v>
      </c>
      <c r="B143" s="29" t="s">
        <v>1318</v>
      </c>
      <c r="C143" s="24">
        <f ca="1">OFFSET('VVP2'!F292,0,Last_forecast_year - 3-InputY!$G$3)</f>
        <v>229.92160000000001</v>
      </c>
      <c r="D143" s="24">
        <f ca="1">OFFSET('VVP2'!G292,0,Last_forecast_year - 3-InputY!$G$3)</f>
        <v>248.1651</v>
      </c>
      <c r="E143" s="24">
        <f ca="1">OFFSET('VVP2'!H292,0,Last_forecast_year - 3-InputY!$G$3)</f>
        <v>268.40609999999998</v>
      </c>
      <c r="F143" s="24">
        <f ca="1">OFFSET('VVP2'!I292,0,Last_forecast_year - 3-InputY!$G$3)</f>
        <v>285.1597403559</v>
      </c>
      <c r="G143" s="24">
        <f ca="1">OFFSET('VVP2'!J292,0,Last_forecast_year - 3-InputY!$G$3)</f>
        <v>301.4812573188064</v>
      </c>
      <c r="H143" s="25">
        <v>-9999</v>
      </c>
      <c r="I143" s="25">
        <v>-9999</v>
      </c>
      <c r="J143" s="25">
        <v>-9999</v>
      </c>
      <c r="K143" s="25">
        <v>-9999</v>
      </c>
      <c r="L143" s="25">
        <v>-9999</v>
      </c>
      <c r="M143" s="25">
        <v>-9999</v>
      </c>
      <c r="N143" s="25">
        <v>-9999</v>
      </c>
      <c r="O143" s="25">
        <v>-9999</v>
      </c>
      <c r="P143" s="32"/>
      <c r="Q143"/>
      <c r="AA143" s="22">
        <v>43</v>
      </c>
      <c r="AB143" s="1081" t="str">
        <f t="shared" si="3"/>
        <v>VAL. EXPORTS OF GOODS (FOB)</v>
      </c>
      <c r="AC143" s="1081">
        <f>CHOOSE(Tables!$U$2,Transfer!CA143,Transfer!CN143,Transfer!DA143,Transfer!DN143,Transfer!EA143)</f>
        <v>229.92160000000001</v>
      </c>
      <c r="AD143" s="1081">
        <f>CHOOSE(Tables!$U$2,Transfer!CB143,Transfer!CO143,Transfer!DB143,Transfer!DO143,Transfer!EB143)</f>
        <v>248.1651</v>
      </c>
      <c r="AE143" s="1081">
        <f>CHOOSE(Tables!$U$2,Transfer!CC143,Transfer!CP143,Transfer!DC143,Transfer!DP143,Transfer!EC143)</f>
        <v>268.40609999999998</v>
      </c>
      <c r="AF143" s="1081">
        <f>CHOOSE(Tables!$U$2,Transfer!CD143,Transfer!CQ143,Transfer!DD143,Transfer!DQ143,Transfer!ED143)</f>
        <v>285.1597403559</v>
      </c>
      <c r="AG143" s="1081">
        <f>CHOOSE(Tables!$U$2,Transfer!CE143,Transfer!CR143,Transfer!DE143,Transfer!DR143,Transfer!EE143)</f>
        <v>301.4812573188064</v>
      </c>
      <c r="AH143" s="1081">
        <f>CHOOSE(Tables!$U$2,Transfer!CF143,Transfer!CS143,Transfer!DF143,Transfer!DS143,Transfer!EF143)</f>
        <v>-9999</v>
      </c>
      <c r="AI143" s="1081">
        <f>CHOOSE(Tables!$U$2,Transfer!CG143,Transfer!CT143,Transfer!DG143,Transfer!DT143,Transfer!EG143)</f>
        <v>-9999</v>
      </c>
      <c r="AJ143" s="1081">
        <f>CHOOSE(Tables!$U$2,Transfer!CH143,Transfer!CU143,Transfer!DH143,Transfer!DU143,Transfer!EH143)</f>
        <v>-9999</v>
      </c>
      <c r="AK143" s="1081">
        <f>CHOOSE(Tables!$U$2,Transfer!CI143,Transfer!CV143,Transfer!DI143,Transfer!DV143,Transfer!EI143)</f>
        <v>-9999</v>
      </c>
      <c r="AL143" s="1081">
        <f>CHOOSE(Tables!$U$2,Transfer!CJ143,Transfer!CW143,Transfer!DJ143,Transfer!DW143,Transfer!EJ143)</f>
        <v>-9999</v>
      </c>
      <c r="AM143" s="1081">
        <f>CHOOSE(Tables!$U$2,Transfer!CK143,Transfer!CX143,Transfer!DK143,Transfer!DX143,Transfer!EK143)</f>
        <v>-9999</v>
      </c>
      <c r="AN143" s="1081">
        <f>CHOOSE(Tables!$U$2,Transfer!CL143,Transfer!CY143,Transfer!DL143,Transfer!DY143,Transfer!EL143)</f>
        <v>-9999</v>
      </c>
      <c r="AO143" s="1081">
        <f>CHOOSE(Tables!$U$2,Transfer!CM143,Transfer!CZ143,Transfer!DM143,Transfer!DZ143,Transfer!EM143)</f>
        <v>-9999</v>
      </c>
      <c r="AR143" s="22">
        <v>43</v>
      </c>
      <c r="AS143" s="29" t="s">
        <v>1318</v>
      </c>
      <c r="AT143" s="24">
        <f t="shared" ca="1" si="5"/>
        <v>0</v>
      </c>
      <c r="AU143" s="24">
        <f t="shared" ca="1" si="5"/>
        <v>0</v>
      </c>
      <c r="AV143" s="24">
        <f t="shared" ca="1" si="5"/>
        <v>0</v>
      </c>
      <c r="AW143" s="24">
        <f t="shared" ca="1" si="5"/>
        <v>0</v>
      </c>
      <c r="AX143" s="24">
        <f t="shared" ca="1" si="5"/>
        <v>0</v>
      </c>
      <c r="AY143" s="25">
        <f t="shared" si="5"/>
        <v>0</v>
      </c>
      <c r="AZ143" s="25">
        <f t="shared" si="5"/>
        <v>0</v>
      </c>
      <c r="BA143" s="25">
        <f t="shared" si="5"/>
        <v>0</v>
      </c>
      <c r="BB143" s="25">
        <f t="shared" si="5"/>
        <v>0</v>
      </c>
      <c r="BC143" s="25">
        <f t="shared" si="5"/>
        <v>0</v>
      </c>
      <c r="BD143" s="25">
        <f t="shared" si="5"/>
        <v>0</v>
      </c>
      <c r="BE143" s="25">
        <f t="shared" si="5"/>
        <v>0</v>
      </c>
      <c r="BF143" s="25">
        <f t="shared" si="5"/>
        <v>0</v>
      </c>
      <c r="CA143" s="16">
        <v>229.92160000000001</v>
      </c>
      <c r="CB143" s="16">
        <v>248.1651</v>
      </c>
      <c r="CC143" s="16">
        <v>268.40609999999998</v>
      </c>
      <c r="CD143" s="16">
        <v>285.1597403559</v>
      </c>
      <c r="CE143" s="16">
        <v>301.4812573188064</v>
      </c>
      <c r="CF143" s="16">
        <v>-9999</v>
      </c>
      <c r="CG143" s="16">
        <v>-9999</v>
      </c>
      <c r="CH143" s="16">
        <v>-9999</v>
      </c>
      <c r="CI143" s="16">
        <v>-9999</v>
      </c>
      <c r="CJ143" s="16">
        <v>-9999</v>
      </c>
      <c r="CK143" s="16">
        <v>-9999</v>
      </c>
      <c r="CL143" s="16">
        <v>-9999</v>
      </c>
      <c r="CM143" s="16">
        <v>-9999</v>
      </c>
      <c r="CN143" s="16">
        <v>229.92160000000001</v>
      </c>
      <c r="CO143" s="16">
        <v>248.1651</v>
      </c>
      <c r="CP143" s="16">
        <v>263.96080861499996</v>
      </c>
      <c r="CQ143" s="16">
        <v>277.18418928337707</v>
      </c>
      <c r="CR143" s="16">
        <v>295.22102183395873</v>
      </c>
      <c r="CS143" s="16">
        <v>-9999</v>
      </c>
      <c r="CT143" s="16">
        <v>-9999</v>
      </c>
      <c r="CU143" s="16">
        <v>-9999</v>
      </c>
      <c r="CV143" s="16">
        <v>-9999</v>
      </c>
      <c r="CW143" s="16">
        <v>-9999</v>
      </c>
      <c r="CX143" s="16">
        <v>-9999</v>
      </c>
      <c r="CY143" s="16">
        <v>-9999</v>
      </c>
      <c r="CZ143" s="16">
        <v>-9999</v>
      </c>
      <c r="DA143" s="16">
        <v>229.92160000000001</v>
      </c>
      <c r="DB143" s="16">
        <v>248.1651</v>
      </c>
      <c r="DC143" s="16">
        <v>268.40609999999998</v>
      </c>
      <c r="DD143" s="16">
        <v>285.1597403559</v>
      </c>
      <c r="DE143" s="16">
        <v>301.4812573188064</v>
      </c>
      <c r="DF143" s="16">
        <v>-9999</v>
      </c>
      <c r="DG143" s="16">
        <v>-9999</v>
      </c>
      <c r="DH143" s="16">
        <v>-9999</v>
      </c>
      <c r="DI143" s="16">
        <v>-9999</v>
      </c>
      <c r="DJ143" s="16">
        <v>-9999</v>
      </c>
      <c r="DK143" s="16">
        <v>-9999</v>
      </c>
      <c r="DL143" s="16">
        <v>-9999</v>
      </c>
      <c r="DM143" s="16">
        <v>-9999</v>
      </c>
      <c r="DN143" s="16">
        <v>229.92160000000001</v>
      </c>
      <c r="DO143" s="16">
        <v>248.1651</v>
      </c>
      <c r="DP143" s="16">
        <v>268.40609999999998</v>
      </c>
      <c r="DQ143" s="16">
        <v>285.1597403559</v>
      </c>
      <c r="DR143" s="16">
        <v>301.4812573188064</v>
      </c>
      <c r="DS143" s="16">
        <v>-9999</v>
      </c>
      <c r="DT143" s="16">
        <v>-9999</v>
      </c>
      <c r="DU143" s="16">
        <v>-9999</v>
      </c>
      <c r="DV143" s="16">
        <v>-9999</v>
      </c>
      <c r="DW143" s="16">
        <v>-9999</v>
      </c>
      <c r="DX143" s="16">
        <v>-9999</v>
      </c>
      <c r="DY143" s="16">
        <v>-9999</v>
      </c>
      <c r="DZ143" s="16">
        <v>-9999</v>
      </c>
      <c r="EA143" s="2106">
        <v>229.92160000000001</v>
      </c>
      <c r="EB143" s="2106">
        <v>248.1651</v>
      </c>
      <c r="EC143" s="2106">
        <v>268.40609999999998</v>
      </c>
      <c r="ED143" s="2106">
        <v>285.1597403559</v>
      </c>
      <c r="EE143" s="2106">
        <v>301.4812573188064</v>
      </c>
      <c r="EF143" s="2107">
        <v>-9999</v>
      </c>
      <c r="EG143" s="2107">
        <v>-9999</v>
      </c>
      <c r="EH143" s="2107">
        <v>-9999</v>
      </c>
      <c r="EI143" s="2107">
        <v>-9999</v>
      </c>
      <c r="EJ143" s="2107">
        <v>-9999</v>
      </c>
      <c r="EK143" s="2107">
        <v>-9999</v>
      </c>
      <c r="EL143" s="2107">
        <v>-9999</v>
      </c>
      <c r="EM143" s="2107">
        <v>-9999</v>
      </c>
    </row>
    <row r="144" spans="1:143">
      <c r="A144" s="22">
        <v>44</v>
      </c>
      <c r="B144" s="29" t="s">
        <v>1319</v>
      </c>
      <c r="C144" s="24">
        <f ca="1">OFFSET('VVP2'!F291,0,Last_forecast_year - 3-InputY!$G$3)</f>
        <v>101.57</v>
      </c>
      <c r="D144" s="24">
        <f ca="1">OFFSET('VVP2'!G291,0,Last_forecast_year - 3-InputY!$G$3)</f>
        <v>102.3943</v>
      </c>
      <c r="E144" s="24">
        <f ca="1">OFFSET('VVP2'!H291,0,Last_forecast_year - 3-InputY!$G$3)</f>
        <v>102.97969999999999</v>
      </c>
      <c r="F144" s="24">
        <f ca="1">OFFSET('VVP2'!I291,0,Last_forecast_year - 3-InputY!$G$3)</f>
        <v>108.585914868</v>
      </c>
      <c r="G144" s="24">
        <f ca="1">OFFSET('VVP2'!J291,0,Last_forecast_year - 3-InputY!$G$3)</f>
        <v>114.73057461855039</v>
      </c>
      <c r="H144" s="25">
        <v>-9999</v>
      </c>
      <c r="I144" s="25">
        <v>-9999</v>
      </c>
      <c r="J144" s="25">
        <v>-9999</v>
      </c>
      <c r="K144" s="25">
        <v>-9999</v>
      </c>
      <c r="L144" s="25">
        <v>-9999</v>
      </c>
      <c r="M144" s="25">
        <v>-9999</v>
      </c>
      <c r="N144" s="25">
        <v>-9999</v>
      </c>
      <c r="O144" s="25">
        <v>-9999</v>
      </c>
      <c r="P144" s="32"/>
      <c r="Q144"/>
      <c r="AA144" s="22">
        <v>44</v>
      </c>
      <c r="AB144" s="1081" t="str">
        <f t="shared" si="3"/>
        <v>VAL. EXPORTS OF SERVICES</v>
      </c>
      <c r="AC144" s="1081">
        <f>CHOOSE(Tables!$U$2,Transfer!CA144,Transfer!CN144,Transfer!DA144,Transfer!DN144,Transfer!EA144)</f>
        <v>101.57</v>
      </c>
      <c r="AD144" s="1081">
        <f>CHOOSE(Tables!$U$2,Transfer!CB144,Transfer!CO144,Transfer!DB144,Transfer!DO144,Transfer!EB144)</f>
        <v>102.3943</v>
      </c>
      <c r="AE144" s="1081">
        <f>CHOOSE(Tables!$U$2,Transfer!CC144,Transfer!CP144,Transfer!DC144,Transfer!DP144,Transfer!EC144)</f>
        <v>102.97969999999999</v>
      </c>
      <c r="AF144" s="1081">
        <f>CHOOSE(Tables!$U$2,Transfer!CD144,Transfer!CQ144,Transfer!DD144,Transfer!DQ144,Transfer!ED144)</f>
        <v>108.585914868</v>
      </c>
      <c r="AG144" s="1081">
        <f>CHOOSE(Tables!$U$2,Transfer!CE144,Transfer!CR144,Transfer!DE144,Transfer!DR144,Transfer!EE144)</f>
        <v>114.84068073622653</v>
      </c>
      <c r="AH144" s="1081">
        <f>CHOOSE(Tables!$U$2,Transfer!CF144,Transfer!CS144,Transfer!DF144,Transfer!DS144,Transfer!EF144)</f>
        <v>-9999</v>
      </c>
      <c r="AI144" s="1081">
        <f>CHOOSE(Tables!$U$2,Transfer!CG144,Transfer!CT144,Transfer!DG144,Transfer!DT144,Transfer!EG144)</f>
        <v>-9999</v>
      </c>
      <c r="AJ144" s="1081">
        <f>CHOOSE(Tables!$U$2,Transfer!CH144,Transfer!CU144,Transfer!DH144,Transfer!DU144,Transfer!EH144)</f>
        <v>-9999</v>
      </c>
      <c r="AK144" s="1081">
        <f>CHOOSE(Tables!$U$2,Transfer!CI144,Transfer!CV144,Transfer!DI144,Transfer!DV144,Transfer!EI144)</f>
        <v>-9999</v>
      </c>
      <c r="AL144" s="1081">
        <f>CHOOSE(Tables!$U$2,Transfer!CJ144,Transfer!CW144,Transfer!DJ144,Transfer!DW144,Transfer!EJ144)</f>
        <v>-9999</v>
      </c>
      <c r="AM144" s="1081">
        <f>CHOOSE(Tables!$U$2,Transfer!CK144,Transfer!CX144,Transfer!DK144,Transfer!DX144,Transfer!EK144)</f>
        <v>-9999</v>
      </c>
      <c r="AN144" s="1081">
        <f>CHOOSE(Tables!$U$2,Transfer!CL144,Transfer!CY144,Transfer!DL144,Transfer!DY144,Transfer!EL144)</f>
        <v>-9999</v>
      </c>
      <c r="AO144" s="1081">
        <f>CHOOSE(Tables!$U$2,Transfer!CM144,Transfer!CZ144,Transfer!DM144,Transfer!DZ144,Transfer!EM144)</f>
        <v>-9999</v>
      </c>
      <c r="AR144" s="22">
        <v>44</v>
      </c>
      <c r="AS144" s="29" t="s">
        <v>1319</v>
      </c>
      <c r="AT144" s="24">
        <f t="shared" ca="1" si="5"/>
        <v>0</v>
      </c>
      <c r="AU144" s="24">
        <f t="shared" ca="1" si="5"/>
        <v>0</v>
      </c>
      <c r="AV144" s="24">
        <f t="shared" ca="1" si="5"/>
        <v>0</v>
      </c>
      <c r="AW144" s="24">
        <f t="shared" ca="1" si="5"/>
        <v>0</v>
      </c>
      <c r="AX144" s="24">
        <f t="shared" ca="1" si="5"/>
        <v>-0.11010611767613909</v>
      </c>
      <c r="AY144" s="25">
        <f t="shared" si="5"/>
        <v>0</v>
      </c>
      <c r="AZ144" s="25">
        <f t="shared" si="5"/>
        <v>0</v>
      </c>
      <c r="BA144" s="25">
        <f t="shared" si="5"/>
        <v>0</v>
      </c>
      <c r="BB144" s="25">
        <f t="shared" si="5"/>
        <v>0</v>
      </c>
      <c r="BC144" s="25">
        <f t="shared" si="5"/>
        <v>0</v>
      </c>
      <c r="BD144" s="25">
        <f t="shared" si="5"/>
        <v>0</v>
      </c>
      <c r="BE144" s="25">
        <f t="shared" si="5"/>
        <v>0</v>
      </c>
      <c r="BF144" s="25">
        <f t="shared" si="5"/>
        <v>0</v>
      </c>
      <c r="CA144" s="16">
        <v>101.57</v>
      </c>
      <c r="CB144" s="16">
        <v>102.3943</v>
      </c>
      <c r="CC144" s="16">
        <v>102.97969999999999</v>
      </c>
      <c r="CD144" s="16">
        <v>108.585914868</v>
      </c>
      <c r="CE144" s="16">
        <v>114.84068073622653</v>
      </c>
      <c r="CF144" s="16">
        <v>-9999</v>
      </c>
      <c r="CG144" s="16">
        <v>-9999</v>
      </c>
      <c r="CH144" s="16">
        <v>-9999</v>
      </c>
      <c r="CI144" s="16">
        <v>-9999</v>
      </c>
      <c r="CJ144" s="16">
        <v>-9999</v>
      </c>
      <c r="CK144" s="16">
        <v>-9999</v>
      </c>
      <c r="CL144" s="16">
        <v>-9999</v>
      </c>
      <c r="CM144" s="16">
        <v>-9999</v>
      </c>
      <c r="CN144" s="16">
        <v>101.57</v>
      </c>
      <c r="CO144" s="16">
        <v>102.3943</v>
      </c>
      <c r="CP144" s="16">
        <v>108.19135329449999</v>
      </c>
      <c r="CQ144" s="16">
        <v>114.85053108977647</v>
      </c>
      <c r="CR144" s="16">
        <v>122.00376671764103</v>
      </c>
      <c r="CS144" s="16">
        <v>-9999</v>
      </c>
      <c r="CT144" s="16">
        <v>-9999</v>
      </c>
      <c r="CU144" s="16">
        <v>-9999</v>
      </c>
      <c r="CV144" s="16">
        <v>-9999</v>
      </c>
      <c r="CW144" s="16">
        <v>-9999</v>
      </c>
      <c r="CX144" s="16">
        <v>-9999</v>
      </c>
      <c r="CY144" s="16">
        <v>-9999</v>
      </c>
      <c r="CZ144" s="16">
        <v>-9999</v>
      </c>
      <c r="DA144" s="16">
        <v>101.57</v>
      </c>
      <c r="DB144" s="16">
        <v>102.3943</v>
      </c>
      <c r="DC144" s="16">
        <v>102.97969999999999</v>
      </c>
      <c r="DD144" s="16">
        <v>108.585914868</v>
      </c>
      <c r="DE144" s="16">
        <v>114.84068073622653</v>
      </c>
      <c r="DF144" s="16">
        <v>-9999</v>
      </c>
      <c r="DG144" s="16">
        <v>-9999</v>
      </c>
      <c r="DH144" s="16">
        <v>-9999</v>
      </c>
      <c r="DI144" s="16">
        <v>-9999</v>
      </c>
      <c r="DJ144" s="16">
        <v>-9999</v>
      </c>
      <c r="DK144" s="16">
        <v>-9999</v>
      </c>
      <c r="DL144" s="16">
        <v>-9999</v>
      </c>
      <c r="DM144" s="16">
        <v>-9999</v>
      </c>
      <c r="DN144" s="16">
        <v>101.57</v>
      </c>
      <c r="DO144" s="16">
        <v>102.3943</v>
      </c>
      <c r="DP144" s="16">
        <v>102.97969999999999</v>
      </c>
      <c r="DQ144" s="16">
        <v>108.585914868</v>
      </c>
      <c r="DR144" s="16">
        <v>114.84068073622653</v>
      </c>
      <c r="DS144" s="16">
        <v>-9999</v>
      </c>
      <c r="DT144" s="16">
        <v>-9999</v>
      </c>
      <c r="DU144" s="16">
        <v>-9999</v>
      </c>
      <c r="DV144" s="16">
        <v>-9999</v>
      </c>
      <c r="DW144" s="16">
        <v>-9999</v>
      </c>
      <c r="DX144" s="16">
        <v>-9999</v>
      </c>
      <c r="DY144" s="16">
        <v>-9999</v>
      </c>
      <c r="DZ144" s="16">
        <v>-9999</v>
      </c>
      <c r="EA144" s="2106">
        <v>101.57</v>
      </c>
      <c r="EB144" s="2106">
        <v>102.3943</v>
      </c>
      <c r="EC144" s="2106">
        <v>102.97969999999999</v>
      </c>
      <c r="ED144" s="2106">
        <v>108.585914868</v>
      </c>
      <c r="EE144" s="2106">
        <v>114.73057461855039</v>
      </c>
      <c r="EF144" s="2107">
        <v>-9999</v>
      </c>
      <c r="EG144" s="2107">
        <v>-9999</v>
      </c>
      <c r="EH144" s="2107">
        <v>-9999</v>
      </c>
      <c r="EI144" s="2107">
        <v>-9999</v>
      </c>
      <c r="EJ144" s="2107">
        <v>-9999</v>
      </c>
      <c r="EK144" s="2107">
        <v>-9999</v>
      </c>
      <c r="EL144" s="2107">
        <v>-9999</v>
      </c>
      <c r="EM144" s="2107">
        <v>-9999</v>
      </c>
    </row>
    <row r="145" spans="1:143">
      <c r="A145" s="22">
        <v>45</v>
      </c>
      <c r="B145" s="29" t="s">
        <v>1321</v>
      </c>
      <c r="C145" s="24">
        <f ca="1">OFFSET('VVP2'!F324,0,Last_forecast_year - 3-InputY!$G$3)</f>
        <v>229.63220000000001</v>
      </c>
      <c r="D145" s="24">
        <f ca="1">OFFSET('VVP2'!G324,0,Last_forecast_year - 3-InputY!$G$3)</f>
        <v>247.03370000000001</v>
      </c>
      <c r="E145" s="24">
        <f ca="1">OFFSET('VVP2'!H324,0,Last_forecast_year - 3-InputY!$G$3)</f>
        <v>264.52190000000002</v>
      </c>
      <c r="F145" s="24">
        <f ca="1">OFFSET('VVP2'!I324,0,Last_forecast_year - 3-InputY!$G$3)</f>
        <v>281.05980918800003</v>
      </c>
      <c r="G145" s="24">
        <f ca="1">OFFSET('VVP2'!J324,0,Last_forecast_year - 3-InputY!$G$3)</f>
        <v>297.28671295352643</v>
      </c>
      <c r="H145" s="25">
        <v>-9999</v>
      </c>
      <c r="I145" s="25">
        <v>-9999</v>
      </c>
      <c r="J145" s="25">
        <v>-9999</v>
      </c>
      <c r="K145" s="25">
        <v>-9999</v>
      </c>
      <c r="L145" s="25">
        <v>-9999</v>
      </c>
      <c r="M145" s="25">
        <v>-9999</v>
      </c>
      <c r="N145" s="25">
        <v>-9999</v>
      </c>
      <c r="O145" s="25">
        <v>-9999</v>
      </c>
      <c r="P145" s="32"/>
      <c r="Q145"/>
      <c r="AA145" s="22">
        <v>45</v>
      </c>
      <c r="AB145" s="1081" t="str">
        <f t="shared" si="3"/>
        <v>VAL. IMPORTS OF GOODS (FOB)</v>
      </c>
      <c r="AC145" s="1081">
        <f>CHOOSE(Tables!$U$2,Transfer!CA145,Transfer!CN145,Transfer!DA145,Transfer!DN145,Transfer!EA145)</f>
        <v>229.63220000000001</v>
      </c>
      <c r="AD145" s="1081">
        <f>CHOOSE(Tables!$U$2,Transfer!CB145,Transfer!CO145,Transfer!DB145,Transfer!DO145,Transfer!EB145)</f>
        <v>247.03370000000001</v>
      </c>
      <c r="AE145" s="1081">
        <f>CHOOSE(Tables!$U$2,Transfer!CC145,Transfer!CP145,Transfer!DC145,Transfer!DP145,Transfer!EC145)</f>
        <v>264.52190000000002</v>
      </c>
      <c r="AF145" s="1081">
        <f>CHOOSE(Tables!$U$2,Transfer!CD145,Transfer!CQ145,Transfer!DD145,Transfer!DQ145,Transfer!ED145)</f>
        <v>281.05980918800003</v>
      </c>
      <c r="AG145" s="1081">
        <f>CHOOSE(Tables!$U$2,Transfer!CE145,Transfer!CR145,Transfer!DE145,Transfer!DR145,Transfer!EE145)</f>
        <v>297.34343082302058</v>
      </c>
      <c r="AH145" s="1081">
        <f>CHOOSE(Tables!$U$2,Transfer!CF145,Transfer!CS145,Transfer!DF145,Transfer!DS145,Transfer!EF145)</f>
        <v>-9999</v>
      </c>
      <c r="AI145" s="1081">
        <f>CHOOSE(Tables!$U$2,Transfer!CG145,Transfer!CT145,Transfer!DG145,Transfer!DT145,Transfer!EG145)</f>
        <v>-9999</v>
      </c>
      <c r="AJ145" s="1081">
        <f>CHOOSE(Tables!$U$2,Transfer!CH145,Transfer!CU145,Transfer!DH145,Transfer!DU145,Transfer!EH145)</f>
        <v>-9999</v>
      </c>
      <c r="AK145" s="1081">
        <f>CHOOSE(Tables!$U$2,Transfer!CI145,Transfer!CV145,Transfer!DI145,Transfer!DV145,Transfer!EI145)</f>
        <v>-9999</v>
      </c>
      <c r="AL145" s="1081">
        <f>CHOOSE(Tables!$U$2,Transfer!CJ145,Transfer!CW145,Transfer!DJ145,Transfer!DW145,Transfer!EJ145)</f>
        <v>-9999</v>
      </c>
      <c r="AM145" s="1081">
        <f>CHOOSE(Tables!$U$2,Transfer!CK145,Transfer!CX145,Transfer!DK145,Transfer!DX145,Transfer!EK145)</f>
        <v>-9999</v>
      </c>
      <c r="AN145" s="1081">
        <f>CHOOSE(Tables!$U$2,Transfer!CL145,Transfer!CY145,Transfer!DL145,Transfer!DY145,Transfer!EL145)</f>
        <v>-9999</v>
      </c>
      <c r="AO145" s="1081">
        <f>CHOOSE(Tables!$U$2,Transfer!CM145,Transfer!CZ145,Transfer!DM145,Transfer!DZ145,Transfer!EM145)</f>
        <v>-9999</v>
      </c>
      <c r="AR145" s="22">
        <v>45</v>
      </c>
      <c r="AS145" s="29" t="s">
        <v>1321</v>
      </c>
      <c r="AT145" s="24">
        <f t="shared" ca="1" si="5"/>
        <v>0</v>
      </c>
      <c r="AU145" s="24">
        <f t="shared" ca="1" si="5"/>
        <v>0</v>
      </c>
      <c r="AV145" s="24">
        <f t="shared" ca="1" si="5"/>
        <v>0</v>
      </c>
      <c r="AW145" s="24">
        <f t="shared" ca="1" si="5"/>
        <v>0</v>
      </c>
      <c r="AX145" s="24">
        <f t="shared" ca="1" si="5"/>
        <v>-5.6717869494150364E-2</v>
      </c>
      <c r="AY145" s="25">
        <f t="shared" si="5"/>
        <v>0</v>
      </c>
      <c r="AZ145" s="25">
        <f t="shared" si="5"/>
        <v>0</v>
      </c>
      <c r="BA145" s="25">
        <f t="shared" si="5"/>
        <v>0</v>
      </c>
      <c r="BB145" s="25">
        <f t="shared" si="5"/>
        <v>0</v>
      </c>
      <c r="BC145" s="25">
        <f t="shared" si="5"/>
        <v>0</v>
      </c>
      <c r="BD145" s="25">
        <f t="shared" si="5"/>
        <v>0</v>
      </c>
      <c r="BE145" s="25">
        <f t="shared" si="5"/>
        <v>0</v>
      </c>
      <c r="BF145" s="25">
        <f t="shared" si="5"/>
        <v>0</v>
      </c>
      <c r="CA145" s="16">
        <v>229.63220000000001</v>
      </c>
      <c r="CB145" s="16">
        <v>247.03370000000001</v>
      </c>
      <c r="CC145" s="16">
        <v>264.52190000000002</v>
      </c>
      <c r="CD145" s="16">
        <v>281.05980918800003</v>
      </c>
      <c r="CE145" s="16">
        <v>297.34343082302058</v>
      </c>
      <c r="CF145" s="16">
        <v>-9999</v>
      </c>
      <c r="CG145" s="16">
        <v>-9999</v>
      </c>
      <c r="CH145" s="16">
        <v>-9999</v>
      </c>
      <c r="CI145" s="16">
        <v>-9999</v>
      </c>
      <c r="CJ145" s="16">
        <v>-9999</v>
      </c>
      <c r="CK145" s="16">
        <v>-9999</v>
      </c>
      <c r="CL145" s="16">
        <v>-9999</v>
      </c>
      <c r="CM145" s="16">
        <v>-9999</v>
      </c>
      <c r="CN145" s="16">
        <v>229.63220000000001</v>
      </c>
      <c r="CO145" s="16">
        <v>247.03370000000001</v>
      </c>
      <c r="CP145" s="16">
        <v>263.60887076216</v>
      </c>
      <c r="CQ145" s="16">
        <v>278.73791107294187</v>
      </c>
      <c r="CR145" s="16">
        <v>297.22938409352088</v>
      </c>
      <c r="CS145" s="16">
        <v>-9999</v>
      </c>
      <c r="CT145" s="16">
        <v>-9999</v>
      </c>
      <c r="CU145" s="16">
        <v>-9999</v>
      </c>
      <c r="CV145" s="16">
        <v>-9999</v>
      </c>
      <c r="CW145" s="16">
        <v>-9999</v>
      </c>
      <c r="CX145" s="16">
        <v>-9999</v>
      </c>
      <c r="CY145" s="16">
        <v>-9999</v>
      </c>
      <c r="CZ145" s="16">
        <v>-9999</v>
      </c>
      <c r="DA145" s="16">
        <v>229.63220000000001</v>
      </c>
      <c r="DB145" s="16">
        <v>247.03370000000001</v>
      </c>
      <c r="DC145" s="16">
        <v>264.52190000000002</v>
      </c>
      <c r="DD145" s="16">
        <v>281.05980918800003</v>
      </c>
      <c r="DE145" s="16">
        <v>297.34343082302058</v>
      </c>
      <c r="DF145" s="16">
        <v>-9999</v>
      </c>
      <c r="DG145" s="16">
        <v>-9999</v>
      </c>
      <c r="DH145" s="16">
        <v>-9999</v>
      </c>
      <c r="DI145" s="16">
        <v>-9999</v>
      </c>
      <c r="DJ145" s="16">
        <v>-9999</v>
      </c>
      <c r="DK145" s="16">
        <v>-9999</v>
      </c>
      <c r="DL145" s="16">
        <v>-9999</v>
      </c>
      <c r="DM145" s="16">
        <v>-9999</v>
      </c>
      <c r="DN145" s="16">
        <v>229.63220000000001</v>
      </c>
      <c r="DO145" s="16">
        <v>247.03370000000001</v>
      </c>
      <c r="DP145" s="16">
        <v>264.52190000000002</v>
      </c>
      <c r="DQ145" s="16">
        <v>281.05980918800003</v>
      </c>
      <c r="DR145" s="16">
        <v>297.34343082302058</v>
      </c>
      <c r="DS145" s="16">
        <v>-9999</v>
      </c>
      <c r="DT145" s="16">
        <v>-9999</v>
      </c>
      <c r="DU145" s="16">
        <v>-9999</v>
      </c>
      <c r="DV145" s="16">
        <v>-9999</v>
      </c>
      <c r="DW145" s="16">
        <v>-9999</v>
      </c>
      <c r="DX145" s="16">
        <v>-9999</v>
      </c>
      <c r="DY145" s="16">
        <v>-9999</v>
      </c>
      <c r="DZ145" s="16">
        <v>-9999</v>
      </c>
      <c r="EA145" s="2106">
        <v>229.63220000000001</v>
      </c>
      <c r="EB145" s="2106">
        <v>247.03370000000001</v>
      </c>
      <c r="EC145" s="2106">
        <v>264.52190000000002</v>
      </c>
      <c r="ED145" s="2106">
        <v>281.05980918800003</v>
      </c>
      <c r="EE145" s="2106">
        <v>297.28671295352643</v>
      </c>
      <c r="EF145" s="2107">
        <v>-9999</v>
      </c>
      <c r="EG145" s="2107">
        <v>-9999</v>
      </c>
      <c r="EH145" s="2107">
        <v>-9999</v>
      </c>
      <c r="EI145" s="2107">
        <v>-9999</v>
      </c>
      <c r="EJ145" s="2107">
        <v>-9999</v>
      </c>
      <c r="EK145" s="2107">
        <v>-9999</v>
      </c>
      <c r="EL145" s="2107">
        <v>-9999</v>
      </c>
      <c r="EM145" s="2107">
        <v>-9999</v>
      </c>
    </row>
    <row r="146" spans="1:143" ht="12" customHeight="1">
      <c r="A146" s="22">
        <v>46</v>
      </c>
      <c r="B146" s="29" t="s">
        <v>1322</v>
      </c>
      <c r="C146" s="24">
        <f ca="1">OFFSET('VVP2'!F323,0,Last_forecast_year - 3-InputY!$G$3)</f>
        <v>96.281899999999993</v>
      </c>
      <c r="D146" s="24">
        <f ca="1">OFFSET('VVP2'!G323,0,Last_forecast_year - 3-InputY!$G$3)</f>
        <v>97.900499999999994</v>
      </c>
      <c r="E146" s="24">
        <f ca="1">OFFSET('VVP2'!H323,0,Last_forecast_year - 3-InputY!$G$3)</f>
        <v>101.17610000000001</v>
      </c>
      <c r="F146" s="24">
        <f ca="1">OFFSET('VVP2'!I323,0,Last_forecast_year - 3-InputY!$G$3)</f>
        <v>106.93959653650001</v>
      </c>
      <c r="G146" s="24">
        <f ca="1">OFFSET('VVP2'!J323,0,Last_forecast_year - 3-InputY!$G$3)</f>
        <v>111.84047783637298</v>
      </c>
      <c r="H146" s="25">
        <v>-9999</v>
      </c>
      <c r="I146" s="25">
        <v>-9999</v>
      </c>
      <c r="J146" s="25">
        <v>-9999</v>
      </c>
      <c r="K146" s="25">
        <v>-9999</v>
      </c>
      <c r="L146" s="25">
        <v>-9999</v>
      </c>
      <c r="M146" s="25">
        <v>-9999</v>
      </c>
      <c r="N146" s="25">
        <v>-9999</v>
      </c>
      <c r="O146" s="25">
        <v>-9999</v>
      </c>
      <c r="P146" s="32"/>
      <c r="Q146"/>
      <c r="AA146" s="22">
        <v>46</v>
      </c>
      <c r="AB146" s="1081" t="str">
        <f t="shared" si="3"/>
        <v>VAL. IMPORTS OF SERVICES</v>
      </c>
      <c r="AC146" s="1081">
        <f>CHOOSE(Tables!$U$2,Transfer!CA146,Transfer!CN146,Transfer!DA146,Transfer!DN146,Transfer!EA146)</f>
        <v>96.281899999999993</v>
      </c>
      <c r="AD146" s="1081">
        <f>CHOOSE(Tables!$U$2,Transfer!CB146,Transfer!CO146,Transfer!DB146,Transfer!DO146,Transfer!EB146)</f>
        <v>97.900499999999994</v>
      </c>
      <c r="AE146" s="1081">
        <f>CHOOSE(Tables!$U$2,Transfer!CC146,Transfer!CP146,Transfer!DC146,Transfer!DP146,Transfer!EC146)</f>
        <v>101.17610000000001</v>
      </c>
      <c r="AF146" s="1081">
        <f>CHOOSE(Tables!$U$2,Transfer!CD146,Transfer!CQ146,Transfer!DD146,Transfer!DQ146,Transfer!ED146)</f>
        <v>106.93959653650001</v>
      </c>
      <c r="AG146" s="1081">
        <f>CHOOSE(Tables!$U$2,Transfer!CE146,Transfer!CR146,Transfer!DE146,Transfer!DR146,Transfer!EE146)</f>
        <v>111.84047783637298</v>
      </c>
      <c r="AH146" s="1081">
        <f>CHOOSE(Tables!$U$2,Transfer!CF146,Transfer!CS146,Transfer!DF146,Transfer!DS146,Transfer!EF146)</f>
        <v>-9999</v>
      </c>
      <c r="AI146" s="1081">
        <f>CHOOSE(Tables!$U$2,Transfer!CG146,Transfer!CT146,Transfer!DG146,Transfer!DT146,Transfer!EG146)</f>
        <v>-9999</v>
      </c>
      <c r="AJ146" s="1081">
        <f>CHOOSE(Tables!$U$2,Transfer!CH146,Transfer!CU146,Transfer!DH146,Transfer!DU146,Transfer!EH146)</f>
        <v>-9999</v>
      </c>
      <c r="AK146" s="1081">
        <f>CHOOSE(Tables!$U$2,Transfer!CI146,Transfer!CV146,Transfer!DI146,Transfer!DV146,Transfer!EI146)</f>
        <v>-9999</v>
      </c>
      <c r="AL146" s="1081">
        <f>CHOOSE(Tables!$U$2,Transfer!CJ146,Transfer!CW146,Transfer!DJ146,Transfer!DW146,Transfer!EJ146)</f>
        <v>-9999</v>
      </c>
      <c r="AM146" s="1081">
        <f>CHOOSE(Tables!$U$2,Transfer!CK146,Transfer!CX146,Transfer!DK146,Transfer!DX146,Transfer!EK146)</f>
        <v>-9999</v>
      </c>
      <c r="AN146" s="1081">
        <f>CHOOSE(Tables!$U$2,Transfer!CL146,Transfer!CY146,Transfer!DL146,Transfer!DY146,Transfer!EL146)</f>
        <v>-9999</v>
      </c>
      <c r="AO146" s="1081">
        <f>CHOOSE(Tables!$U$2,Transfer!CM146,Transfer!CZ146,Transfer!DM146,Transfer!DZ146,Transfer!EM146)</f>
        <v>-9999</v>
      </c>
      <c r="AR146" s="22">
        <v>46</v>
      </c>
      <c r="AS146" s="29" t="s">
        <v>1322</v>
      </c>
      <c r="AT146" s="24">
        <f t="shared" ref="AT146:BF165" ca="1" si="6">C146-AC146</f>
        <v>0</v>
      </c>
      <c r="AU146" s="24">
        <f t="shared" ca="1" si="6"/>
        <v>0</v>
      </c>
      <c r="AV146" s="24">
        <f t="shared" ca="1" si="6"/>
        <v>0</v>
      </c>
      <c r="AW146" s="24">
        <f t="shared" ca="1" si="6"/>
        <v>0</v>
      </c>
      <c r="AX146" s="24">
        <f t="shared" ca="1" si="6"/>
        <v>0</v>
      </c>
      <c r="AY146" s="25">
        <f t="shared" si="6"/>
        <v>0</v>
      </c>
      <c r="AZ146" s="25">
        <f t="shared" si="6"/>
        <v>0</v>
      </c>
      <c r="BA146" s="25">
        <f t="shared" si="6"/>
        <v>0</v>
      </c>
      <c r="BB146" s="25">
        <f t="shared" si="6"/>
        <v>0</v>
      </c>
      <c r="BC146" s="25">
        <f t="shared" si="6"/>
        <v>0</v>
      </c>
      <c r="BD146" s="25">
        <f t="shared" si="6"/>
        <v>0</v>
      </c>
      <c r="BE146" s="25">
        <f t="shared" si="6"/>
        <v>0</v>
      </c>
      <c r="BF146" s="25">
        <f t="shared" si="6"/>
        <v>0</v>
      </c>
      <c r="CA146" s="16">
        <v>96.281899999999993</v>
      </c>
      <c r="CB146" s="16">
        <v>97.900499999999994</v>
      </c>
      <c r="CC146" s="16">
        <v>101.17610000000001</v>
      </c>
      <c r="CD146" s="16">
        <v>106.93959653650001</v>
      </c>
      <c r="CE146" s="16">
        <v>111.84047783637298</v>
      </c>
      <c r="CF146" s="16">
        <v>-9999</v>
      </c>
      <c r="CG146" s="16">
        <v>-9999</v>
      </c>
      <c r="CH146" s="16">
        <v>-9999</v>
      </c>
      <c r="CI146" s="16">
        <v>-9999</v>
      </c>
      <c r="CJ146" s="16">
        <v>-9999</v>
      </c>
      <c r="CK146" s="16">
        <v>-9999</v>
      </c>
      <c r="CL146" s="16">
        <v>-9999</v>
      </c>
      <c r="CM146" s="16">
        <v>-9999</v>
      </c>
      <c r="CN146" s="16">
        <v>96.281899999999993</v>
      </c>
      <c r="CO146" s="16">
        <v>97.900499999999994</v>
      </c>
      <c r="CP146" s="16">
        <v>103.41999312930001</v>
      </c>
      <c r="CQ146" s="16">
        <v>109.15814802808607</v>
      </c>
      <c r="CR146" s="16">
        <v>115.34774249572261</v>
      </c>
      <c r="CS146" s="16">
        <v>-9999</v>
      </c>
      <c r="CT146" s="16">
        <v>-9999</v>
      </c>
      <c r="CU146" s="16">
        <v>-9999</v>
      </c>
      <c r="CV146" s="16">
        <v>-9999</v>
      </c>
      <c r="CW146" s="16">
        <v>-9999</v>
      </c>
      <c r="CX146" s="16">
        <v>-9999</v>
      </c>
      <c r="CY146" s="16">
        <v>-9999</v>
      </c>
      <c r="CZ146" s="16">
        <v>-9999</v>
      </c>
      <c r="DA146" s="16">
        <v>96.281899999999993</v>
      </c>
      <c r="DB146" s="16">
        <v>97.900499999999994</v>
      </c>
      <c r="DC146" s="16">
        <v>101.17610000000001</v>
      </c>
      <c r="DD146" s="16">
        <v>106.93959653650001</v>
      </c>
      <c r="DE146" s="16">
        <v>111.84047783637298</v>
      </c>
      <c r="DF146" s="16">
        <v>-9999</v>
      </c>
      <c r="DG146" s="16">
        <v>-9999</v>
      </c>
      <c r="DH146" s="16">
        <v>-9999</v>
      </c>
      <c r="DI146" s="16">
        <v>-9999</v>
      </c>
      <c r="DJ146" s="16">
        <v>-9999</v>
      </c>
      <c r="DK146" s="16">
        <v>-9999</v>
      </c>
      <c r="DL146" s="16">
        <v>-9999</v>
      </c>
      <c r="DM146" s="16">
        <v>-9999</v>
      </c>
      <c r="DN146" s="16">
        <v>96.281899999999993</v>
      </c>
      <c r="DO146" s="16">
        <v>97.900499999999994</v>
      </c>
      <c r="DP146" s="16">
        <v>101.17610000000001</v>
      </c>
      <c r="DQ146" s="16">
        <v>106.93959653650001</v>
      </c>
      <c r="DR146" s="16">
        <v>111.84047783637298</v>
      </c>
      <c r="DS146" s="16">
        <v>-9999</v>
      </c>
      <c r="DT146" s="16">
        <v>-9999</v>
      </c>
      <c r="DU146" s="16">
        <v>-9999</v>
      </c>
      <c r="DV146" s="16">
        <v>-9999</v>
      </c>
      <c r="DW146" s="16">
        <v>-9999</v>
      </c>
      <c r="DX146" s="16">
        <v>-9999</v>
      </c>
      <c r="DY146" s="16">
        <v>-9999</v>
      </c>
      <c r="DZ146" s="16">
        <v>-9999</v>
      </c>
      <c r="EA146" s="2106">
        <v>96.281899999999993</v>
      </c>
      <c r="EB146" s="2106">
        <v>97.900499999999994</v>
      </c>
      <c r="EC146" s="2106">
        <v>101.17610000000001</v>
      </c>
      <c r="ED146" s="2106">
        <v>106.93959653650001</v>
      </c>
      <c r="EE146" s="2106">
        <v>111.84047783637298</v>
      </c>
      <c r="EF146" s="2107">
        <v>-9999</v>
      </c>
      <c r="EG146" s="2107">
        <v>-9999</v>
      </c>
      <c r="EH146" s="2107">
        <v>-9999</v>
      </c>
      <c r="EI146" s="2107">
        <v>-9999</v>
      </c>
      <c r="EJ146" s="2107">
        <v>-9999</v>
      </c>
      <c r="EK146" s="2107">
        <v>-9999</v>
      </c>
      <c r="EL146" s="2107">
        <v>-9999</v>
      </c>
      <c r="EM146" s="2107">
        <v>-9999</v>
      </c>
    </row>
    <row r="147" spans="1:143" ht="12" customHeight="1">
      <c r="A147" s="22">
        <v>47</v>
      </c>
      <c r="B147" s="29" t="s">
        <v>1555</v>
      </c>
      <c r="C147" s="24">
        <f ca="1">OFFSET('VVP2'!F355,0,Last_forecast_year - 3-InputY!$G$3)</f>
        <v>410.43520000000001</v>
      </c>
      <c r="D147" s="24">
        <f ca="1">OFFSET('VVP2'!G355,0,Last_forecast_year - 3-InputY!$G$3)</f>
        <v>423.04840000000002</v>
      </c>
      <c r="E147" s="24">
        <f ca="1">OFFSET('VVP2'!H355,0,Last_forecast_year - 3-InputY!$G$3)</f>
        <v>438.4846</v>
      </c>
      <c r="F147" s="24">
        <f ca="1">OFFSET('VVP2'!I355,0,Last_forecast_year - 3-InputY!$G$3)</f>
        <v>453.37297204218987</v>
      </c>
      <c r="G147" s="24">
        <f ca="1">OFFSET('VVP2'!J355,0,Last_forecast_year - 3-InputY!$G$3)</f>
        <v>469.04097271311014</v>
      </c>
      <c r="H147" s="25">
        <v>-9999</v>
      </c>
      <c r="I147" s="25">
        <v>-9999</v>
      </c>
      <c r="J147" s="25">
        <v>-9999</v>
      </c>
      <c r="K147" s="25">
        <v>-9999</v>
      </c>
      <c r="L147" s="25">
        <v>-9999</v>
      </c>
      <c r="M147" s="25">
        <v>-9999</v>
      </c>
      <c r="N147" s="25">
        <v>-9999</v>
      </c>
      <c r="O147" s="25">
        <v>-9999</v>
      </c>
      <c r="P147" s="32"/>
      <c r="Q147"/>
      <c r="AA147" s="22">
        <v>47</v>
      </c>
      <c r="AB147" s="1081" t="str">
        <f t="shared" si="3"/>
        <v>VAL. GROSS DOMESTIC PRODUCT</v>
      </c>
      <c r="AC147" s="1081">
        <f>CHOOSE(Tables!$U$2,Transfer!CA147,Transfer!CN147,Transfer!DA147,Transfer!DN147,Transfer!EA147)</f>
        <v>410.43520000000001</v>
      </c>
      <c r="AD147" s="1081">
        <f>CHOOSE(Tables!$U$2,Transfer!CB147,Transfer!CO147,Transfer!DB147,Transfer!DO147,Transfer!EB147)</f>
        <v>423.04840000000002</v>
      </c>
      <c r="AE147" s="1081">
        <f>CHOOSE(Tables!$U$2,Transfer!CC147,Transfer!CP147,Transfer!DC147,Transfer!DP147,Transfer!EC147)</f>
        <v>438.4846</v>
      </c>
      <c r="AF147" s="1081">
        <f>CHOOSE(Tables!$U$2,Transfer!CD147,Transfer!CQ147,Transfer!DD147,Transfer!DQ147,Transfer!ED147)</f>
        <v>453.37297204218987</v>
      </c>
      <c r="AG147" s="1081">
        <f>CHOOSE(Tables!$U$2,Transfer!CE147,Transfer!CR147,Transfer!DE147,Transfer!DR147,Transfer!EE147)</f>
        <v>469.09436096129213</v>
      </c>
      <c r="AH147" s="1081">
        <f>CHOOSE(Tables!$U$2,Transfer!CF147,Transfer!CS147,Transfer!DF147,Transfer!DS147,Transfer!EF147)</f>
        <v>-9999</v>
      </c>
      <c r="AI147" s="1081">
        <f>CHOOSE(Tables!$U$2,Transfer!CG147,Transfer!CT147,Transfer!DG147,Transfer!DT147,Transfer!EG147)</f>
        <v>-9999</v>
      </c>
      <c r="AJ147" s="1081">
        <f>CHOOSE(Tables!$U$2,Transfer!CH147,Transfer!CU147,Transfer!DH147,Transfer!DU147,Transfer!EH147)</f>
        <v>-9999</v>
      </c>
      <c r="AK147" s="1081">
        <f>CHOOSE(Tables!$U$2,Transfer!CI147,Transfer!CV147,Transfer!DI147,Transfer!DV147,Transfer!EI147)</f>
        <v>-9999</v>
      </c>
      <c r="AL147" s="1081">
        <f>CHOOSE(Tables!$U$2,Transfer!CJ147,Transfer!CW147,Transfer!DJ147,Transfer!DW147,Transfer!EJ147)</f>
        <v>-9999</v>
      </c>
      <c r="AM147" s="1081">
        <f>CHOOSE(Tables!$U$2,Transfer!CK147,Transfer!CX147,Transfer!DK147,Transfer!DX147,Transfer!EK147)</f>
        <v>-9999</v>
      </c>
      <c r="AN147" s="1081">
        <f>CHOOSE(Tables!$U$2,Transfer!CL147,Transfer!CY147,Transfer!DL147,Transfer!DY147,Transfer!EL147)</f>
        <v>-9999</v>
      </c>
      <c r="AO147" s="1081">
        <f>CHOOSE(Tables!$U$2,Transfer!CM147,Transfer!CZ147,Transfer!DM147,Transfer!DZ147,Transfer!EM147)</f>
        <v>-9999</v>
      </c>
      <c r="AR147" s="22">
        <v>47</v>
      </c>
      <c r="AS147" s="29" t="s">
        <v>1555</v>
      </c>
      <c r="AT147" s="24">
        <f t="shared" ca="1" si="6"/>
        <v>0</v>
      </c>
      <c r="AU147" s="24">
        <f t="shared" ca="1" si="6"/>
        <v>0</v>
      </c>
      <c r="AV147" s="24">
        <f t="shared" ca="1" si="6"/>
        <v>0</v>
      </c>
      <c r="AW147" s="24">
        <f t="shared" ca="1" si="6"/>
        <v>0</v>
      </c>
      <c r="AX147" s="24">
        <f t="shared" ca="1" si="6"/>
        <v>-5.3388248181988729E-2</v>
      </c>
      <c r="AY147" s="25">
        <f t="shared" si="6"/>
        <v>0</v>
      </c>
      <c r="AZ147" s="25">
        <f t="shared" si="6"/>
        <v>0</v>
      </c>
      <c r="BA147" s="25">
        <f t="shared" si="6"/>
        <v>0</v>
      </c>
      <c r="BB147" s="25">
        <f t="shared" si="6"/>
        <v>0</v>
      </c>
      <c r="BC147" s="25">
        <f t="shared" si="6"/>
        <v>0</v>
      </c>
      <c r="BD147" s="25">
        <f t="shared" si="6"/>
        <v>0</v>
      </c>
      <c r="BE147" s="25">
        <f t="shared" si="6"/>
        <v>0</v>
      </c>
      <c r="BF147" s="25">
        <f t="shared" si="6"/>
        <v>0</v>
      </c>
      <c r="CA147" s="16">
        <v>410.43520000000001</v>
      </c>
      <c r="CB147" s="16">
        <v>423.04840000000002</v>
      </c>
      <c r="CC147" s="16">
        <v>438.4846</v>
      </c>
      <c r="CD147" s="16">
        <v>453.37297204218987</v>
      </c>
      <c r="CE147" s="16">
        <v>469.09436096129213</v>
      </c>
      <c r="CF147" s="16">
        <v>-9999</v>
      </c>
      <c r="CG147" s="16">
        <v>-9999</v>
      </c>
      <c r="CH147" s="16">
        <v>-9999</v>
      </c>
      <c r="CI147" s="16">
        <v>-9999</v>
      </c>
      <c r="CJ147" s="16">
        <v>-9999</v>
      </c>
      <c r="CK147" s="16">
        <v>-9999</v>
      </c>
      <c r="CL147" s="16">
        <v>-9999</v>
      </c>
      <c r="CM147" s="16">
        <v>-9999</v>
      </c>
      <c r="CN147" s="16">
        <v>410.43520000000001</v>
      </c>
      <c r="CO147" s="16">
        <v>423.04840000000002</v>
      </c>
      <c r="CP147" s="16">
        <v>435.21675518689977</v>
      </c>
      <c r="CQ147" s="16">
        <v>448.27553406202605</v>
      </c>
      <c r="CR147" s="16">
        <v>463.86434032219825</v>
      </c>
      <c r="CS147" s="16">
        <v>-9999</v>
      </c>
      <c r="CT147" s="16">
        <v>-9999</v>
      </c>
      <c r="CU147" s="16">
        <v>-9999</v>
      </c>
      <c r="CV147" s="16">
        <v>-9999</v>
      </c>
      <c r="CW147" s="16">
        <v>-9999</v>
      </c>
      <c r="CX147" s="16">
        <v>-9999</v>
      </c>
      <c r="CY147" s="16">
        <v>-9999</v>
      </c>
      <c r="CZ147" s="16">
        <v>-9999</v>
      </c>
      <c r="DA147" s="16">
        <v>410.43520000000001</v>
      </c>
      <c r="DB147" s="16">
        <v>423.04840000000002</v>
      </c>
      <c r="DC147" s="16">
        <v>438.4846</v>
      </c>
      <c r="DD147" s="16">
        <v>453.37297204218987</v>
      </c>
      <c r="DE147" s="16">
        <v>469.09436096129213</v>
      </c>
      <c r="DF147" s="16">
        <v>-9999</v>
      </c>
      <c r="DG147" s="16">
        <v>-9999</v>
      </c>
      <c r="DH147" s="16">
        <v>-9999</v>
      </c>
      <c r="DI147" s="16">
        <v>-9999</v>
      </c>
      <c r="DJ147" s="16">
        <v>-9999</v>
      </c>
      <c r="DK147" s="16">
        <v>-9999</v>
      </c>
      <c r="DL147" s="16">
        <v>-9999</v>
      </c>
      <c r="DM147" s="16">
        <v>-9999</v>
      </c>
      <c r="DN147" s="16">
        <v>410.43520000000001</v>
      </c>
      <c r="DO147" s="16">
        <v>423.04840000000002</v>
      </c>
      <c r="DP147" s="16">
        <v>438.4846</v>
      </c>
      <c r="DQ147" s="16">
        <v>453.37297204218987</v>
      </c>
      <c r="DR147" s="16">
        <v>469.09436096129213</v>
      </c>
      <c r="DS147" s="16">
        <v>-9999</v>
      </c>
      <c r="DT147" s="16">
        <v>-9999</v>
      </c>
      <c r="DU147" s="16">
        <v>-9999</v>
      </c>
      <c r="DV147" s="16">
        <v>-9999</v>
      </c>
      <c r="DW147" s="16">
        <v>-9999</v>
      </c>
      <c r="DX147" s="16">
        <v>-9999</v>
      </c>
      <c r="DY147" s="16">
        <v>-9999</v>
      </c>
      <c r="DZ147" s="16">
        <v>-9999</v>
      </c>
      <c r="EA147" s="2106">
        <v>410.43520000000001</v>
      </c>
      <c r="EB147" s="2106">
        <v>423.04840000000002</v>
      </c>
      <c r="EC147" s="2106">
        <v>438.4846</v>
      </c>
      <c r="ED147" s="2106">
        <v>453.37297204218987</v>
      </c>
      <c r="EE147" s="2106">
        <v>469.04097271311014</v>
      </c>
      <c r="EF147" s="2107">
        <v>-9999</v>
      </c>
      <c r="EG147" s="2107">
        <v>-9999</v>
      </c>
      <c r="EH147" s="2107">
        <v>-9999</v>
      </c>
      <c r="EI147" s="2107">
        <v>-9999</v>
      </c>
      <c r="EJ147" s="2107">
        <v>-9999</v>
      </c>
      <c r="EK147" s="2107">
        <v>-9999</v>
      </c>
      <c r="EL147" s="2107">
        <v>-9999</v>
      </c>
      <c r="EM147" s="2107">
        <v>-9999</v>
      </c>
    </row>
    <row r="148" spans="1:143">
      <c r="A148" s="22">
        <v>48</v>
      </c>
      <c r="B148" s="30" t="s">
        <v>1998</v>
      </c>
      <c r="C148" s="25">
        <v>-9999</v>
      </c>
      <c r="D148" s="25">
        <v>-9999</v>
      </c>
      <c r="E148" s="25">
        <v>-9999</v>
      </c>
      <c r="F148" s="25">
        <v>-9999</v>
      </c>
      <c r="G148" s="25">
        <v>-9999</v>
      </c>
      <c r="H148" s="25">
        <v>-9999</v>
      </c>
      <c r="I148" s="25">
        <v>-9999</v>
      </c>
      <c r="J148" s="25">
        <v>-9999</v>
      </c>
      <c r="K148" s="25">
        <v>-9999</v>
      </c>
      <c r="L148" s="25">
        <v>-9999</v>
      </c>
      <c r="M148" s="25">
        <v>-9999</v>
      </c>
      <c r="N148" s="25">
        <v>-9999</v>
      </c>
      <c r="O148" s="25">
        <v>-9999</v>
      </c>
      <c r="P148" s="32"/>
      <c r="Q148"/>
      <c r="AA148" s="22">
        <v>48</v>
      </c>
      <c r="AB148" s="1081" t="str">
        <f t="shared" si="3"/>
        <v>FOR FUTURE USE</v>
      </c>
      <c r="AC148" s="1081">
        <f>CHOOSE(Tables!$U$2,Transfer!CA148,Transfer!CN148,Transfer!DA148,Transfer!DN148,Transfer!EA148)</f>
        <v>-9999</v>
      </c>
      <c r="AD148" s="1081">
        <f>CHOOSE(Tables!$U$2,Transfer!CB148,Transfer!CO148,Transfer!DB148,Transfer!DO148,Transfer!EB148)</f>
        <v>-9999</v>
      </c>
      <c r="AE148" s="1081">
        <f>CHOOSE(Tables!$U$2,Transfer!CC148,Transfer!CP148,Transfer!DC148,Transfer!DP148,Transfer!EC148)</f>
        <v>-9999</v>
      </c>
      <c r="AF148" s="1081">
        <f>CHOOSE(Tables!$U$2,Transfer!CD148,Transfer!CQ148,Transfer!DD148,Transfer!DQ148,Transfer!ED148)</f>
        <v>-9999</v>
      </c>
      <c r="AG148" s="1081">
        <f>CHOOSE(Tables!$U$2,Transfer!CE148,Transfer!CR148,Transfer!DE148,Transfer!DR148,Transfer!EE148)</f>
        <v>-9999</v>
      </c>
      <c r="AH148" s="1081">
        <f>CHOOSE(Tables!$U$2,Transfer!CF148,Transfer!CS148,Transfer!DF148,Transfer!DS148,Transfer!EF148)</f>
        <v>-9999</v>
      </c>
      <c r="AI148" s="1081">
        <f>CHOOSE(Tables!$U$2,Transfer!CG148,Transfer!CT148,Transfer!DG148,Transfer!DT148,Transfer!EG148)</f>
        <v>-9999</v>
      </c>
      <c r="AJ148" s="1081">
        <f>CHOOSE(Tables!$U$2,Transfer!CH148,Transfer!CU148,Transfer!DH148,Transfer!DU148,Transfer!EH148)</f>
        <v>-9999</v>
      </c>
      <c r="AK148" s="1081">
        <f>CHOOSE(Tables!$U$2,Transfer!CI148,Transfer!CV148,Transfer!DI148,Transfer!DV148,Transfer!EI148)</f>
        <v>-9999</v>
      </c>
      <c r="AL148" s="1081">
        <f>CHOOSE(Tables!$U$2,Transfer!CJ148,Transfer!CW148,Transfer!DJ148,Transfer!DW148,Transfer!EJ148)</f>
        <v>-9999</v>
      </c>
      <c r="AM148" s="1081">
        <f>CHOOSE(Tables!$U$2,Transfer!CK148,Transfer!CX148,Transfer!DK148,Transfer!DX148,Transfer!EK148)</f>
        <v>-9999</v>
      </c>
      <c r="AN148" s="1081">
        <f>CHOOSE(Tables!$U$2,Transfer!CL148,Transfer!CY148,Transfer!DL148,Transfer!DY148,Transfer!EL148)</f>
        <v>-9999</v>
      </c>
      <c r="AO148" s="1081">
        <f>CHOOSE(Tables!$U$2,Transfer!CM148,Transfer!CZ148,Transfer!DM148,Transfer!DZ148,Transfer!EM148)</f>
        <v>-9999</v>
      </c>
      <c r="AR148" s="22">
        <v>48</v>
      </c>
      <c r="AS148" s="30" t="s">
        <v>1998</v>
      </c>
      <c r="AT148" s="25">
        <f t="shared" si="6"/>
        <v>0</v>
      </c>
      <c r="AU148" s="25">
        <f t="shared" si="6"/>
        <v>0</v>
      </c>
      <c r="AV148" s="25">
        <f t="shared" si="6"/>
        <v>0</v>
      </c>
      <c r="AW148" s="25">
        <f t="shared" si="6"/>
        <v>0</v>
      </c>
      <c r="AX148" s="25">
        <f t="shared" si="6"/>
        <v>0</v>
      </c>
      <c r="AY148" s="25">
        <f t="shared" si="6"/>
        <v>0</v>
      </c>
      <c r="AZ148" s="25">
        <f t="shared" si="6"/>
        <v>0</v>
      </c>
      <c r="BA148" s="25">
        <f t="shared" si="6"/>
        <v>0</v>
      </c>
      <c r="BB148" s="25">
        <f t="shared" si="6"/>
        <v>0</v>
      </c>
      <c r="BC148" s="25">
        <f t="shared" si="6"/>
        <v>0</v>
      </c>
      <c r="BD148" s="25">
        <f t="shared" si="6"/>
        <v>0</v>
      </c>
      <c r="BE148" s="25">
        <f t="shared" si="6"/>
        <v>0</v>
      </c>
      <c r="BF148" s="25">
        <f t="shared" si="6"/>
        <v>0</v>
      </c>
      <c r="CA148" s="16">
        <v>-9999</v>
      </c>
      <c r="CB148" s="16">
        <v>-9999</v>
      </c>
      <c r="CC148" s="16">
        <v>-9999</v>
      </c>
      <c r="CD148" s="16">
        <v>-9999</v>
      </c>
      <c r="CE148" s="16">
        <v>-9999</v>
      </c>
      <c r="CF148" s="16">
        <v>-9999</v>
      </c>
      <c r="CG148" s="16">
        <v>-9999</v>
      </c>
      <c r="CH148" s="16">
        <v>-9999</v>
      </c>
      <c r="CI148" s="16">
        <v>-9999</v>
      </c>
      <c r="CJ148" s="16">
        <v>-9999</v>
      </c>
      <c r="CK148" s="16">
        <v>-9999</v>
      </c>
      <c r="CL148" s="16">
        <v>-9999</v>
      </c>
      <c r="CM148" s="16">
        <v>-9999</v>
      </c>
      <c r="CN148" s="16">
        <v>-9999</v>
      </c>
      <c r="CO148" s="16">
        <v>-9999</v>
      </c>
      <c r="CP148" s="16">
        <v>-9999</v>
      </c>
      <c r="CQ148" s="16">
        <v>-9999</v>
      </c>
      <c r="CR148" s="16">
        <v>-9999</v>
      </c>
      <c r="CS148" s="16">
        <v>-9999</v>
      </c>
      <c r="CT148" s="16">
        <v>-9999</v>
      </c>
      <c r="CU148" s="16">
        <v>-9999</v>
      </c>
      <c r="CV148" s="16">
        <v>-9999</v>
      </c>
      <c r="CW148" s="16">
        <v>-9999</v>
      </c>
      <c r="CX148" s="16">
        <v>-9999</v>
      </c>
      <c r="CY148" s="16">
        <v>-9999</v>
      </c>
      <c r="CZ148" s="16">
        <v>-9999</v>
      </c>
      <c r="DA148" s="16">
        <v>-9999</v>
      </c>
      <c r="DB148" s="16">
        <v>-9999</v>
      </c>
      <c r="DC148" s="16">
        <v>-9999</v>
      </c>
      <c r="DD148" s="16">
        <v>-9999</v>
      </c>
      <c r="DE148" s="16">
        <v>-9999</v>
      </c>
      <c r="DF148" s="16">
        <v>-9999</v>
      </c>
      <c r="DG148" s="16">
        <v>-9999</v>
      </c>
      <c r="DH148" s="16">
        <v>-9999</v>
      </c>
      <c r="DI148" s="16">
        <v>-9999</v>
      </c>
      <c r="DJ148" s="16">
        <v>-9999</v>
      </c>
      <c r="DK148" s="16">
        <v>-9999</v>
      </c>
      <c r="DL148" s="16">
        <v>-9999</v>
      </c>
      <c r="DM148" s="16">
        <v>-9999</v>
      </c>
      <c r="DN148" s="16">
        <v>-9999</v>
      </c>
      <c r="DO148" s="16">
        <v>-9999</v>
      </c>
      <c r="DP148" s="16">
        <v>-9999</v>
      </c>
      <c r="DQ148" s="16">
        <v>-9999</v>
      </c>
      <c r="DR148" s="16">
        <v>-9999</v>
      </c>
      <c r="DS148" s="16">
        <v>-9999</v>
      </c>
      <c r="DT148" s="16">
        <v>-9999</v>
      </c>
      <c r="DU148" s="16">
        <v>-9999</v>
      </c>
      <c r="DV148" s="16">
        <v>-9999</v>
      </c>
      <c r="DW148" s="16">
        <v>-9999</v>
      </c>
      <c r="DX148" s="16">
        <v>-9999</v>
      </c>
      <c r="DY148" s="16">
        <v>-9999</v>
      </c>
      <c r="DZ148" s="16">
        <v>-9999</v>
      </c>
      <c r="EA148" s="2107">
        <v>-9999</v>
      </c>
      <c r="EB148" s="2107">
        <v>-9999</v>
      </c>
      <c r="EC148" s="2107">
        <v>-9999</v>
      </c>
      <c r="ED148" s="2107">
        <v>-9999</v>
      </c>
      <c r="EE148" s="2107">
        <v>-9999</v>
      </c>
      <c r="EF148" s="2107">
        <v>-9999</v>
      </c>
      <c r="EG148" s="2107">
        <v>-9999</v>
      </c>
      <c r="EH148" s="2107">
        <v>-9999</v>
      </c>
      <c r="EI148" s="2107">
        <v>-9999</v>
      </c>
      <c r="EJ148" s="2107">
        <v>-9999</v>
      </c>
      <c r="EK148" s="2107">
        <v>-9999</v>
      </c>
      <c r="EL148" s="2107">
        <v>-9999</v>
      </c>
      <c r="EM148" s="2107">
        <v>-9999</v>
      </c>
    </row>
    <row r="149" spans="1:143">
      <c r="A149" s="22">
        <v>49</v>
      </c>
      <c r="B149" s="30" t="s">
        <v>1998</v>
      </c>
      <c r="C149" s="25">
        <v>-9999</v>
      </c>
      <c r="D149" s="25">
        <v>-9999</v>
      </c>
      <c r="E149" s="25">
        <v>-9999</v>
      </c>
      <c r="F149" s="25">
        <v>-9999</v>
      </c>
      <c r="G149" s="25">
        <v>-9999</v>
      </c>
      <c r="H149" s="25">
        <v>-9999</v>
      </c>
      <c r="I149" s="25">
        <v>-9999</v>
      </c>
      <c r="J149" s="25">
        <v>-9999</v>
      </c>
      <c r="K149" s="25">
        <v>-9999</v>
      </c>
      <c r="L149" s="25">
        <v>-9999</v>
      </c>
      <c r="M149" s="25">
        <v>-9999</v>
      </c>
      <c r="N149" s="25">
        <v>-9999</v>
      </c>
      <c r="O149" s="25">
        <v>-9999</v>
      </c>
      <c r="P149" s="32"/>
      <c r="Q149"/>
      <c r="AA149" s="22">
        <v>49</v>
      </c>
      <c r="AB149" s="1081" t="str">
        <f t="shared" si="3"/>
        <v>FOR FUTURE USE</v>
      </c>
      <c r="AC149" s="1081">
        <f>CHOOSE(Tables!$U$2,Transfer!CA149,Transfer!CN149,Transfer!DA149,Transfer!DN149,Transfer!EA149)</f>
        <v>-9999</v>
      </c>
      <c r="AD149" s="1081">
        <f>CHOOSE(Tables!$U$2,Transfer!CB149,Transfer!CO149,Transfer!DB149,Transfer!DO149,Transfer!EB149)</f>
        <v>-9999</v>
      </c>
      <c r="AE149" s="1081">
        <f>CHOOSE(Tables!$U$2,Transfer!CC149,Transfer!CP149,Transfer!DC149,Transfer!DP149,Transfer!EC149)</f>
        <v>-9999</v>
      </c>
      <c r="AF149" s="1081">
        <f>CHOOSE(Tables!$U$2,Transfer!CD149,Transfer!CQ149,Transfer!DD149,Transfer!DQ149,Transfer!ED149)</f>
        <v>-9999</v>
      </c>
      <c r="AG149" s="1081">
        <f>CHOOSE(Tables!$U$2,Transfer!CE149,Transfer!CR149,Transfer!DE149,Transfer!DR149,Transfer!EE149)</f>
        <v>-9999</v>
      </c>
      <c r="AH149" s="1081">
        <f>CHOOSE(Tables!$U$2,Transfer!CF149,Transfer!CS149,Transfer!DF149,Transfer!DS149,Transfer!EF149)</f>
        <v>-9999</v>
      </c>
      <c r="AI149" s="1081">
        <f>CHOOSE(Tables!$U$2,Transfer!CG149,Transfer!CT149,Transfer!DG149,Transfer!DT149,Transfer!EG149)</f>
        <v>-9999</v>
      </c>
      <c r="AJ149" s="1081">
        <f>CHOOSE(Tables!$U$2,Transfer!CH149,Transfer!CU149,Transfer!DH149,Transfer!DU149,Transfer!EH149)</f>
        <v>-9999</v>
      </c>
      <c r="AK149" s="1081">
        <f>CHOOSE(Tables!$U$2,Transfer!CI149,Transfer!CV149,Transfer!DI149,Transfer!DV149,Transfer!EI149)</f>
        <v>-9999</v>
      </c>
      <c r="AL149" s="1081">
        <f>CHOOSE(Tables!$U$2,Transfer!CJ149,Transfer!CW149,Transfer!DJ149,Transfer!DW149,Transfer!EJ149)</f>
        <v>-9999</v>
      </c>
      <c r="AM149" s="1081">
        <f>CHOOSE(Tables!$U$2,Transfer!CK149,Transfer!CX149,Transfer!DK149,Transfer!DX149,Transfer!EK149)</f>
        <v>-9999</v>
      </c>
      <c r="AN149" s="1081">
        <f>CHOOSE(Tables!$U$2,Transfer!CL149,Transfer!CY149,Transfer!DL149,Transfer!DY149,Transfer!EL149)</f>
        <v>-9999</v>
      </c>
      <c r="AO149" s="1081">
        <f>CHOOSE(Tables!$U$2,Transfer!CM149,Transfer!CZ149,Transfer!DM149,Transfer!DZ149,Transfer!EM149)</f>
        <v>-9999</v>
      </c>
      <c r="AR149" s="22">
        <v>49</v>
      </c>
      <c r="AS149" s="30" t="s">
        <v>1998</v>
      </c>
      <c r="AT149" s="25">
        <f t="shared" si="6"/>
        <v>0</v>
      </c>
      <c r="AU149" s="25">
        <f t="shared" si="6"/>
        <v>0</v>
      </c>
      <c r="AV149" s="25">
        <f t="shared" si="6"/>
        <v>0</v>
      </c>
      <c r="AW149" s="25">
        <f t="shared" si="6"/>
        <v>0</v>
      </c>
      <c r="AX149" s="25">
        <f t="shared" si="6"/>
        <v>0</v>
      </c>
      <c r="AY149" s="25">
        <f t="shared" si="6"/>
        <v>0</v>
      </c>
      <c r="AZ149" s="25">
        <f t="shared" si="6"/>
        <v>0</v>
      </c>
      <c r="BA149" s="25">
        <f t="shared" si="6"/>
        <v>0</v>
      </c>
      <c r="BB149" s="25">
        <f t="shared" si="6"/>
        <v>0</v>
      </c>
      <c r="BC149" s="25">
        <f t="shared" si="6"/>
        <v>0</v>
      </c>
      <c r="BD149" s="25">
        <f t="shared" si="6"/>
        <v>0</v>
      </c>
      <c r="BE149" s="25">
        <f t="shared" si="6"/>
        <v>0</v>
      </c>
      <c r="BF149" s="25">
        <f t="shared" si="6"/>
        <v>0</v>
      </c>
      <c r="CA149" s="16">
        <v>-9999</v>
      </c>
      <c r="CB149" s="16">
        <v>-9999</v>
      </c>
      <c r="CC149" s="16">
        <v>-9999</v>
      </c>
      <c r="CD149" s="16">
        <v>-9999</v>
      </c>
      <c r="CE149" s="16">
        <v>-9999</v>
      </c>
      <c r="CF149" s="16">
        <v>-9999</v>
      </c>
      <c r="CG149" s="16">
        <v>-9999</v>
      </c>
      <c r="CH149" s="16">
        <v>-9999</v>
      </c>
      <c r="CI149" s="16">
        <v>-9999</v>
      </c>
      <c r="CJ149" s="16">
        <v>-9999</v>
      </c>
      <c r="CK149" s="16">
        <v>-9999</v>
      </c>
      <c r="CL149" s="16">
        <v>-9999</v>
      </c>
      <c r="CM149" s="16">
        <v>-9999</v>
      </c>
      <c r="CN149" s="16">
        <v>-9999</v>
      </c>
      <c r="CO149" s="16">
        <v>-9999</v>
      </c>
      <c r="CP149" s="16">
        <v>-9999</v>
      </c>
      <c r="CQ149" s="16">
        <v>-9999</v>
      </c>
      <c r="CR149" s="16">
        <v>-9999</v>
      </c>
      <c r="CS149" s="16">
        <v>-9999</v>
      </c>
      <c r="CT149" s="16">
        <v>-9999</v>
      </c>
      <c r="CU149" s="16">
        <v>-9999</v>
      </c>
      <c r="CV149" s="16">
        <v>-9999</v>
      </c>
      <c r="CW149" s="16">
        <v>-9999</v>
      </c>
      <c r="CX149" s="16">
        <v>-9999</v>
      </c>
      <c r="CY149" s="16">
        <v>-9999</v>
      </c>
      <c r="CZ149" s="16">
        <v>-9999</v>
      </c>
      <c r="DA149" s="16">
        <v>-9999</v>
      </c>
      <c r="DB149" s="16">
        <v>-9999</v>
      </c>
      <c r="DC149" s="16">
        <v>-9999</v>
      </c>
      <c r="DD149" s="16">
        <v>-9999</v>
      </c>
      <c r="DE149" s="16">
        <v>-9999</v>
      </c>
      <c r="DF149" s="16">
        <v>-9999</v>
      </c>
      <c r="DG149" s="16">
        <v>-9999</v>
      </c>
      <c r="DH149" s="16">
        <v>-9999</v>
      </c>
      <c r="DI149" s="16">
        <v>-9999</v>
      </c>
      <c r="DJ149" s="16">
        <v>-9999</v>
      </c>
      <c r="DK149" s="16">
        <v>-9999</v>
      </c>
      <c r="DL149" s="16">
        <v>-9999</v>
      </c>
      <c r="DM149" s="16">
        <v>-9999</v>
      </c>
      <c r="DN149" s="16">
        <v>-9999</v>
      </c>
      <c r="DO149" s="16">
        <v>-9999</v>
      </c>
      <c r="DP149" s="16">
        <v>-9999</v>
      </c>
      <c r="DQ149" s="16">
        <v>-9999</v>
      </c>
      <c r="DR149" s="16">
        <v>-9999</v>
      </c>
      <c r="DS149" s="16">
        <v>-9999</v>
      </c>
      <c r="DT149" s="16">
        <v>-9999</v>
      </c>
      <c r="DU149" s="16">
        <v>-9999</v>
      </c>
      <c r="DV149" s="16">
        <v>-9999</v>
      </c>
      <c r="DW149" s="16">
        <v>-9999</v>
      </c>
      <c r="DX149" s="16">
        <v>-9999</v>
      </c>
      <c r="DY149" s="16">
        <v>-9999</v>
      </c>
      <c r="DZ149" s="16">
        <v>-9999</v>
      </c>
      <c r="EA149" s="2107">
        <v>-9999</v>
      </c>
      <c r="EB149" s="2107">
        <v>-9999</v>
      </c>
      <c r="EC149" s="2107">
        <v>-9999</v>
      </c>
      <c r="ED149" s="2107">
        <v>-9999</v>
      </c>
      <c r="EE149" s="2107">
        <v>-9999</v>
      </c>
      <c r="EF149" s="2107">
        <v>-9999</v>
      </c>
      <c r="EG149" s="2107">
        <v>-9999</v>
      </c>
      <c r="EH149" s="2107">
        <v>-9999</v>
      </c>
      <c r="EI149" s="2107">
        <v>-9999</v>
      </c>
      <c r="EJ149" s="2107">
        <v>-9999</v>
      </c>
      <c r="EK149" s="2107">
        <v>-9999</v>
      </c>
      <c r="EL149" s="2107">
        <v>-9999</v>
      </c>
      <c r="EM149" s="2107">
        <v>-9999</v>
      </c>
    </row>
    <row r="150" spans="1:143">
      <c r="A150" s="22">
        <v>50</v>
      </c>
      <c r="B150" s="1" t="s">
        <v>484</v>
      </c>
      <c r="C150" s="24">
        <f ca="1">OFFSET(Sector1!F8,0,Last_forecast_year - 3-InputY!$G$3)</f>
        <v>45.102699999999999</v>
      </c>
      <c r="D150" s="24">
        <f ca="1">OFFSET(Sector1!G8,0,Last_forecast_year - 3-InputY!$G$3)</f>
        <v>47.467699999999994</v>
      </c>
      <c r="E150" s="24">
        <f ca="1">OFFSET(Sector1!H8,0,Last_forecast_year - 3-InputY!$G$3)</f>
        <v>49.843199999999996</v>
      </c>
      <c r="F150" s="24">
        <f ca="1">OFFSET(Sector1!I8,0,Last_forecast_year - 3-InputY!$G$3)</f>
        <v>51.238809599999996</v>
      </c>
      <c r="G150" s="24">
        <f ca="1">OFFSET(Sector1!J8,0,Last_forecast_year - 3-InputY!$G$3)</f>
        <v>52.9809291264</v>
      </c>
      <c r="H150" s="25">
        <v>-9999</v>
      </c>
      <c r="I150" s="25">
        <v>-9999</v>
      </c>
      <c r="J150" s="25">
        <v>-9999</v>
      </c>
      <c r="K150" s="25">
        <v>-9999</v>
      </c>
      <c r="L150" s="25">
        <v>-9999</v>
      </c>
      <c r="M150" s="25">
        <v>-9999</v>
      </c>
      <c r="N150" s="25">
        <v>-9999</v>
      </c>
      <c r="O150" s="25">
        <v>-9999</v>
      </c>
      <c r="P150" s="32"/>
      <c r="Q150"/>
      <c r="AA150" s="22">
        <v>50</v>
      </c>
      <c r="AB150" s="1081" t="str">
        <f t="shared" si="3"/>
        <v>TAXES ON PRODUCTS</v>
      </c>
      <c r="AC150" s="1081">
        <f>CHOOSE(Tables!$U$2,Transfer!CA150,Transfer!CN150,Transfer!DA150,Transfer!DN150,Transfer!EA150)</f>
        <v>45.102699999999999</v>
      </c>
      <c r="AD150" s="1081">
        <f>CHOOSE(Tables!$U$2,Transfer!CB150,Transfer!CO150,Transfer!DB150,Transfer!DO150,Transfer!EB150)</f>
        <v>47.467699999999994</v>
      </c>
      <c r="AE150" s="1081">
        <f>CHOOSE(Tables!$U$2,Transfer!CC150,Transfer!CP150,Transfer!DC150,Transfer!DP150,Transfer!EC150)</f>
        <v>49.843199999999996</v>
      </c>
      <c r="AF150" s="1081">
        <f>CHOOSE(Tables!$U$2,Transfer!CD150,Transfer!CQ150,Transfer!DD150,Transfer!DQ150,Transfer!ED150)</f>
        <v>51.493009919999992</v>
      </c>
      <c r="AG150" s="1081">
        <f>CHOOSE(Tables!$U$2,Transfer!CE150,Transfer!CR150,Transfer!DE150,Transfer!DR150,Transfer!EE150)</f>
        <v>53.444594995967996</v>
      </c>
      <c r="AH150" s="1081">
        <f>CHOOSE(Tables!$U$2,Transfer!CF150,Transfer!CS150,Transfer!DF150,Transfer!DS150,Transfer!EF150)</f>
        <v>-9999</v>
      </c>
      <c r="AI150" s="1081">
        <f>CHOOSE(Tables!$U$2,Transfer!CG150,Transfer!CT150,Transfer!DG150,Transfer!DT150,Transfer!EG150)</f>
        <v>-9999</v>
      </c>
      <c r="AJ150" s="1081">
        <f>CHOOSE(Tables!$U$2,Transfer!CH150,Transfer!CU150,Transfer!DH150,Transfer!DU150,Transfer!EH150)</f>
        <v>-9999</v>
      </c>
      <c r="AK150" s="1081">
        <f>CHOOSE(Tables!$U$2,Transfer!CI150,Transfer!CV150,Transfer!DI150,Transfer!DV150,Transfer!EI150)</f>
        <v>-9999</v>
      </c>
      <c r="AL150" s="1081">
        <f>CHOOSE(Tables!$U$2,Transfer!CJ150,Transfer!CW150,Transfer!DJ150,Transfer!DW150,Transfer!EJ150)</f>
        <v>-9999</v>
      </c>
      <c r="AM150" s="1081">
        <f>CHOOSE(Tables!$U$2,Transfer!CK150,Transfer!CX150,Transfer!DK150,Transfer!DX150,Transfer!EK150)</f>
        <v>-9999</v>
      </c>
      <c r="AN150" s="1081">
        <f>CHOOSE(Tables!$U$2,Transfer!CL150,Transfer!CY150,Transfer!DL150,Transfer!DY150,Transfer!EL150)</f>
        <v>-9999</v>
      </c>
      <c r="AO150" s="1081">
        <f>CHOOSE(Tables!$U$2,Transfer!CM150,Transfer!CZ150,Transfer!DM150,Transfer!DZ150,Transfer!EM150)</f>
        <v>-9999</v>
      </c>
      <c r="AR150" s="22">
        <v>50</v>
      </c>
      <c r="AS150" s="1" t="s">
        <v>484</v>
      </c>
      <c r="AT150" s="24">
        <f t="shared" ca="1" si="6"/>
        <v>0</v>
      </c>
      <c r="AU150" s="24">
        <f t="shared" ca="1" si="6"/>
        <v>0</v>
      </c>
      <c r="AV150" s="24">
        <f t="shared" ca="1" si="6"/>
        <v>0</v>
      </c>
      <c r="AW150" s="24">
        <f t="shared" ca="1" si="6"/>
        <v>-0.25420031999999537</v>
      </c>
      <c r="AX150" s="24">
        <f t="shared" ca="1" si="6"/>
        <v>-0.46366586956799694</v>
      </c>
      <c r="AY150" s="25">
        <f t="shared" si="6"/>
        <v>0</v>
      </c>
      <c r="AZ150" s="25">
        <f t="shared" si="6"/>
        <v>0</v>
      </c>
      <c r="BA150" s="25">
        <f t="shared" si="6"/>
        <v>0</v>
      </c>
      <c r="BB150" s="25">
        <f t="shared" si="6"/>
        <v>0</v>
      </c>
      <c r="BC150" s="25">
        <f t="shared" si="6"/>
        <v>0</v>
      </c>
      <c r="BD150" s="25">
        <f t="shared" si="6"/>
        <v>0</v>
      </c>
      <c r="BE150" s="25">
        <f t="shared" si="6"/>
        <v>0</v>
      </c>
      <c r="BF150" s="25">
        <f t="shared" si="6"/>
        <v>0</v>
      </c>
      <c r="CA150" s="16">
        <v>45.102699999999999</v>
      </c>
      <c r="CB150" s="16">
        <v>47.467699999999994</v>
      </c>
      <c r="CC150" s="16">
        <v>49.843199999999996</v>
      </c>
      <c r="CD150" s="16">
        <v>51.493009919999992</v>
      </c>
      <c r="CE150" s="16">
        <v>53.444594995967996</v>
      </c>
      <c r="CF150" s="16">
        <v>-9999</v>
      </c>
      <c r="CG150" s="16">
        <v>-9999</v>
      </c>
      <c r="CH150" s="16">
        <v>-9999</v>
      </c>
      <c r="CI150" s="16">
        <v>-9999</v>
      </c>
      <c r="CJ150" s="16">
        <v>-9999</v>
      </c>
      <c r="CK150" s="16">
        <v>-9999</v>
      </c>
      <c r="CL150" s="16">
        <v>-9999</v>
      </c>
      <c r="CM150" s="16">
        <v>-9999</v>
      </c>
      <c r="CN150" s="16">
        <v>45.102699999999999</v>
      </c>
      <c r="CO150" s="16">
        <v>47.467699999999994</v>
      </c>
      <c r="CP150" s="16">
        <v>49.11801272597144</v>
      </c>
      <c r="CQ150" s="16">
        <v>50.545302860595527</v>
      </c>
      <c r="CR150" s="16">
        <v>52.567114975019351</v>
      </c>
      <c r="CS150" s="16">
        <v>-9999</v>
      </c>
      <c r="CT150" s="16">
        <v>-9999</v>
      </c>
      <c r="CU150" s="16">
        <v>-9999</v>
      </c>
      <c r="CV150" s="16">
        <v>-9999</v>
      </c>
      <c r="CW150" s="16">
        <v>-9999</v>
      </c>
      <c r="CX150" s="16">
        <v>-9999</v>
      </c>
      <c r="CY150" s="16">
        <v>-9999</v>
      </c>
      <c r="CZ150" s="16">
        <v>-9999</v>
      </c>
      <c r="DA150" s="16">
        <v>45.102699999999999</v>
      </c>
      <c r="DB150" s="16">
        <v>47.467699999999994</v>
      </c>
      <c r="DC150" s="16">
        <v>49.843199999999996</v>
      </c>
      <c r="DD150" s="16">
        <v>51.493009919999992</v>
      </c>
      <c r="DE150" s="16">
        <v>53.444594995967996</v>
      </c>
      <c r="DF150" s="16">
        <v>-9999</v>
      </c>
      <c r="DG150" s="16">
        <v>-9999</v>
      </c>
      <c r="DH150" s="16">
        <v>-9999</v>
      </c>
      <c r="DI150" s="16">
        <v>-9999</v>
      </c>
      <c r="DJ150" s="16">
        <v>-9999</v>
      </c>
      <c r="DK150" s="16">
        <v>-9999</v>
      </c>
      <c r="DL150" s="16">
        <v>-9999</v>
      </c>
      <c r="DM150" s="16">
        <v>-9999</v>
      </c>
      <c r="DN150" s="16">
        <v>45.102699999999999</v>
      </c>
      <c r="DO150" s="16">
        <v>47.467699999999994</v>
      </c>
      <c r="DP150" s="16">
        <v>49.843199999999996</v>
      </c>
      <c r="DQ150" s="16">
        <v>51.493009919999992</v>
      </c>
      <c r="DR150" s="16">
        <v>53.444594995967996</v>
      </c>
      <c r="DS150" s="16">
        <v>-9999</v>
      </c>
      <c r="DT150" s="16">
        <v>-9999</v>
      </c>
      <c r="DU150" s="16">
        <v>-9999</v>
      </c>
      <c r="DV150" s="16">
        <v>-9999</v>
      </c>
      <c r="DW150" s="16">
        <v>-9999</v>
      </c>
      <c r="DX150" s="16">
        <v>-9999</v>
      </c>
      <c r="DY150" s="16">
        <v>-9999</v>
      </c>
      <c r="DZ150" s="16">
        <v>-9999</v>
      </c>
      <c r="EA150" s="2106">
        <v>45.102699999999999</v>
      </c>
      <c r="EB150" s="2106">
        <v>47.467699999999994</v>
      </c>
      <c r="EC150" s="2106">
        <v>49.843199999999996</v>
      </c>
      <c r="ED150" s="2106">
        <v>51.238809599999996</v>
      </c>
      <c r="EE150" s="2106">
        <v>52.9809291264</v>
      </c>
      <c r="EF150" s="2107">
        <v>-9999</v>
      </c>
      <c r="EG150" s="2107">
        <v>-9999</v>
      </c>
      <c r="EH150" s="2107">
        <v>-9999</v>
      </c>
      <c r="EI150" s="2107">
        <v>-9999</v>
      </c>
      <c r="EJ150" s="2107">
        <v>-9999</v>
      </c>
      <c r="EK150" s="2107">
        <v>-9999</v>
      </c>
      <c r="EL150" s="2107">
        <v>-9999</v>
      </c>
      <c r="EM150" s="2107">
        <v>-9999</v>
      </c>
    </row>
    <row r="151" spans="1:143">
      <c r="A151" s="22">
        <v>51</v>
      </c>
      <c r="B151" s="1" t="s">
        <v>486</v>
      </c>
      <c r="C151" s="24">
        <f ca="1">OFFSET(Sector1!F132,0,Last_forecast_year - 3-InputY!$G$3)</f>
        <v>2.1391</v>
      </c>
      <c r="D151" s="24">
        <f ca="1">OFFSET(Sector1!G132,0,Last_forecast_year - 3-InputY!$G$3)</f>
        <v>2.0548999999999999</v>
      </c>
      <c r="E151" s="24">
        <f ca="1">OFFSET(Sector1!H132,0,Last_forecast_year - 3-InputY!$G$3)</f>
        <v>2.105</v>
      </c>
      <c r="F151" s="24">
        <f ca="1">OFFSET(Sector1!I132,0,Last_forecast_year - 3-InputY!$G$3)</f>
        <v>2.0824764999999998</v>
      </c>
      <c r="G151" s="24">
        <f ca="1">OFFSET(Sector1!J132,0,Last_forecast_year - 3-InputY!$G$3)</f>
        <v>2.0568620390499999</v>
      </c>
      <c r="H151" s="25">
        <v>-9999</v>
      </c>
      <c r="I151" s="25">
        <v>-9999</v>
      </c>
      <c r="J151" s="25">
        <v>-9999</v>
      </c>
      <c r="K151" s="25">
        <v>-9999</v>
      </c>
      <c r="L151" s="25">
        <v>-9999</v>
      </c>
      <c r="M151" s="25">
        <v>-9999</v>
      </c>
      <c r="N151" s="25">
        <v>-9999</v>
      </c>
      <c r="O151" s="25">
        <v>-9999</v>
      </c>
      <c r="P151" s="32"/>
      <c r="Q151"/>
      <c r="AA151" s="22">
        <v>51</v>
      </c>
      <c r="AB151" s="1081" t="str">
        <f t="shared" si="3"/>
        <v>SUBSIDIES ON PRODUCTS</v>
      </c>
      <c r="AC151" s="1081">
        <f>CHOOSE(Tables!$U$2,Transfer!CA151,Transfer!CN151,Transfer!DA151,Transfer!DN151,Transfer!EA151)</f>
        <v>2.1391</v>
      </c>
      <c r="AD151" s="1081">
        <f>CHOOSE(Tables!$U$2,Transfer!CB151,Transfer!CO151,Transfer!DB151,Transfer!DO151,Transfer!EB151)</f>
        <v>2.0548999999999999</v>
      </c>
      <c r="AE151" s="1081">
        <f>CHOOSE(Tables!$U$2,Transfer!CC151,Transfer!CP151,Transfer!DC151,Transfer!DP151,Transfer!EC151)</f>
        <v>2.105</v>
      </c>
      <c r="AF151" s="1081">
        <f>CHOOSE(Tables!$U$2,Transfer!CD151,Transfer!CQ151,Transfer!DD151,Transfer!DQ151,Transfer!ED151)</f>
        <v>2.0824764999999998</v>
      </c>
      <c r="AG151" s="1081">
        <f>CHOOSE(Tables!$U$2,Transfer!CE151,Transfer!CR151,Transfer!DE151,Transfer!DR151,Transfer!EE151)</f>
        <v>2.0568620390499999</v>
      </c>
      <c r="AH151" s="1081">
        <f>CHOOSE(Tables!$U$2,Transfer!CF151,Transfer!CS151,Transfer!DF151,Transfer!DS151,Transfer!EF151)</f>
        <v>-9999</v>
      </c>
      <c r="AI151" s="1081">
        <f>CHOOSE(Tables!$U$2,Transfer!CG151,Transfer!CT151,Transfer!DG151,Transfer!DT151,Transfer!EG151)</f>
        <v>-9999</v>
      </c>
      <c r="AJ151" s="1081">
        <f>CHOOSE(Tables!$U$2,Transfer!CH151,Transfer!CU151,Transfer!DH151,Transfer!DU151,Transfer!EH151)</f>
        <v>-9999</v>
      </c>
      <c r="AK151" s="1081">
        <f>CHOOSE(Tables!$U$2,Transfer!CI151,Transfer!CV151,Transfer!DI151,Transfer!DV151,Transfer!EI151)</f>
        <v>-9999</v>
      </c>
      <c r="AL151" s="1081">
        <f>CHOOSE(Tables!$U$2,Transfer!CJ151,Transfer!CW151,Transfer!DJ151,Transfer!DW151,Transfer!EJ151)</f>
        <v>-9999</v>
      </c>
      <c r="AM151" s="1081">
        <f>CHOOSE(Tables!$U$2,Transfer!CK151,Transfer!CX151,Transfer!DK151,Transfer!DX151,Transfer!EK151)</f>
        <v>-9999</v>
      </c>
      <c r="AN151" s="1081">
        <f>CHOOSE(Tables!$U$2,Transfer!CL151,Transfer!CY151,Transfer!DL151,Transfer!DY151,Transfer!EL151)</f>
        <v>-9999</v>
      </c>
      <c r="AO151" s="1081">
        <f>CHOOSE(Tables!$U$2,Transfer!CM151,Transfer!CZ151,Transfer!DM151,Transfer!DZ151,Transfer!EM151)</f>
        <v>-9999</v>
      </c>
      <c r="AR151" s="22">
        <v>51</v>
      </c>
      <c r="AS151" s="1" t="s">
        <v>486</v>
      </c>
      <c r="AT151" s="24">
        <f t="shared" ca="1" si="6"/>
        <v>0</v>
      </c>
      <c r="AU151" s="24">
        <f t="shared" ca="1" si="6"/>
        <v>0</v>
      </c>
      <c r="AV151" s="24">
        <f t="shared" ca="1" si="6"/>
        <v>0</v>
      </c>
      <c r="AW151" s="24">
        <f t="shared" ca="1" si="6"/>
        <v>0</v>
      </c>
      <c r="AX151" s="24">
        <f t="shared" ca="1" si="6"/>
        <v>0</v>
      </c>
      <c r="AY151" s="25">
        <f t="shared" si="6"/>
        <v>0</v>
      </c>
      <c r="AZ151" s="25">
        <f t="shared" si="6"/>
        <v>0</v>
      </c>
      <c r="BA151" s="25">
        <f t="shared" si="6"/>
        <v>0</v>
      </c>
      <c r="BB151" s="25">
        <f t="shared" si="6"/>
        <v>0</v>
      </c>
      <c r="BC151" s="25">
        <f t="shared" si="6"/>
        <v>0</v>
      </c>
      <c r="BD151" s="25">
        <f t="shared" si="6"/>
        <v>0</v>
      </c>
      <c r="BE151" s="25">
        <f t="shared" si="6"/>
        <v>0</v>
      </c>
      <c r="BF151" s="25">
        <f t="shared" si="6"/>
        <v>0</v>
      </c>
      <c r="CA151" s="16">
        <v>2.1391</v>
      </c>
      <c r="CB151" s="16">
        <v>2.0548999999999999</v>
      </c>
      <c r="CC151" s="16">
        <v>2.105</v>
      </c>
      <c r="CD151" s="16">
        <v>2.0824764999999998</v>
      </c>
      <c r="CE151" s="16">
        <v>2.0568620390499999</v>
      </c>
      <c r="CF151" s="16">
        <v>-9999</v>
      </c>
      <c r="CG151" s="16">
        <v>-9999</v>
      </c>
      <c r="CH151" s="16">
        <v>-9999</v>
      </c>
      <c r="CI151" s="16">
        <v>-9999</v>
      </c>
      <c r="CJ151" s="16">
        <v>-9999</v>
      </c>
      <c r="CK151" s="16">
        <v>-9999</v>
      </c>
      <c r="CL151" s="16">
        <v>-9999</v>
      </c>
      <c r="CM151" s="16">
        <v>-9999</v>
      </c>
      <c r="CN151" s="16">
        <v>2.1391</v>
      </c>
      <c r="CO151" s="16">
        <v>2.0548999999999999</v>
      </c>
      <c r="CP151" s="16">
        <v>1.9965765445675998</v>
      </c>
      <c r="CQ151" s="16">
        <v>1.9732464191694061</v>
      </c>
      <c r="CR151" s="16">
        <v>1.9561343677129637</v>
      </c>
      <c r="CS151" s="16">
        <v>-9999</v>
      </c>
      <c r="CT151" s="16">
        <v>-9999</v>
      </c>
      <c r="CU151" s="16">
        <v>-9999</v>
      </c>
      <c r="CV151" s="16">
        <v>-9999</v>
      </c>
      <c r="CW151" s="16">
        <v>-9999</v>
      </c>
      <c r="CX151" s="16">
        <v>-9999</v>
      </c>
      <c r="CY151" s="16">
        <v>-9999</v>
      </c>
      <c r="CZ151" s="16">
        <v>-9999</v>
      </c>
      <c r="DA151" s="16">
        <v>2.1391</v>
      </c>
      <c r="DB151" s="16">
        <v>2.0548999999999999</v>
      </c>
      <c r="DC151" s="16">
        <v>2.105</v>
      </c>
      <c r="DD151" s="16">
        <v>2.0824764999999998</v>
      </c>
      <c r="DE151" s="16">
        <v>2.0568620390499999</v>
      </c>
      <c r="DF151" s="16">
        <v>-9999</v>
      </c>
      <c r="DG151" s="16">
        <v>-9999</v>
      </c>
      <c r="DH151" s="16">
        <v>-9999</v>
      </c>
      <c r="DI151" s="16">
        <v>-9999</v>
      </c>
      <c r="DJ151" s="16">
        <v>-9999</v>
      </c>
      <c r="DK151" s="16">
        <v>-9999</v>
      </c>
      <c r="DL151" s="16">
        <v>-9999</v>
      </c>
      <c r="DM151" s="16">
        <v>-9999</v>
      </c>
      <c r="DN151" s="16">
        <v>2.1391</v>
      </c>
      <c r="DO151" s="16">
        <v>2.0548999999999999</v>
      </c>
      <c r="DP151" s="16">
        <v>2.105</v>
      </c>
      <c r="DQ151" s="16">
        <v>2.0824764999999998</v>
      </c>
      <c r="DR151" s="16">
        <v>2.0568620390499999</v>
      </c>
      <c r="DS151" s="16">
        <v>-9999</v>
      </c>
      <c r="DT151" s="16">
        <v>-9999</v>
      </c>
      <c r="DU151" s="16">
        <v>-9999</v>
      </c>
      <c r="DV151" s="16">
        <v>-9999</v>
      </c>
      <c r="DW151" s="16">
        <v>-9999</v>
      </c>
      <c r="DX151" s="16">
        <v>-9999</v>
      </c>
      <c r="DY151" s="16">
        <v>-9999</v>
      </c>
      <c r="DZ151" s="16">
        <v>-9999</v>
      </c>
      <c r="EA151" s="2106">
        <v>2.1391</v>
      </c>
      <c r="EB151" s="2106">
        <v>2.0548999999999999</v>
      </c>
      <c r="EC151" s="2106">
        <v>2.105</v>
      </c>
      <c r="ED151" s="2106">
        <v>2.0824764999999998</v>
      </c>
      <c r="EE151" s="2106">
        <v>2.0568620390499999</v>
      </c>
      <c r="EF151" s="2107">
        <v>-9999</v>
      </c>
      <c r="EG151" s="2107">
        <v>-9999</v>
      </c>
      <c r="EH151" s="2107">
        <v>-9999</v>
      </c>
      <c r="EI151" s="2107">
        <v>-9999</v>
      </c>
      <c r="EJ151" s="2107">
        <v>-9999</v>
      </c>
      <c r="EK151" s="2107">
        <v>-9999</v>
      </c>
      <c r="EL151" s="2107">
        <v>-9999</v>
      </c>
      <c r="EM151" s="2107">
        <v>-9999</v>
      </c>
    </row>
    <row r="152" spans="1:143">
      <c r="A152" s="22">
        <v>52</v>
      </c>
      <c r="B152" s="30" t="s">
        <v>1998</v>
      </c>
      <c r="C152" s="25">
        <v>-9999</v>
      </c>
      <c r="D152" s="25">
        <v>-9999</v>
      </c>
      <c r="E152" s="25">
        <v>-9999</v>
      </c>
      <c r="F152" s="25">
        <v>-9999</v>
      </c>
      <c r="G152" s="25">
        <v>-9999</v>
      </c>
      <c r="H152" s="25">
        <v>-9999</v>
      </c>
      <c r="I152" s="25">
        <v>-9999</v>
      </c>
      <c r="J152" s="25">
        <v>-9999</v>
      </c>
      <c r="K152" s="25">
        <v>-9999</v>
      </c>
      <c r="L152" s="25">
        <v>-9999</v>
      </c>
      <c r="M152" s="25">
        <v>-9999</v>
      </c>
      <c r="N152" s="25">
        <v>-9999</v>
      </c>
      <c r="O152" s="25">
        <v>-9999</v>
      </c>
      <c r="P152" s="32"/>
      <c r="Q152"/>
      <c r="AA152" s="22">
        <v>52</v>
      </c>
      <c r="AB152" s="1081" t="str">
        <f t="shared" si="3"/>
        <v>FOR FUTURE USE</v>
      </c>
      <c r="AC152" s="1081">
        <f>CHOOSE(Tables!$U$2,Transfer!CA152,Transfer!CN152,Transfer!DA152,Transfer!DN152,Transfer!EA152)</f>
        <v>-9999</v>
      </c>
      <c r="AD152" s="1081">
        <f>CHOOSE(Tables!$U$2,Transfer!CB152,Transfer!CO152,Transfer!DB152,Transfer!DO152,Transfer!EB152)</f>
        <v>-9999</v>
      </c>
      <c r="AE152" s="1081">
        <f>CHOOSE(Tables!$U$2,Transfer!CC152,Transfer!CP152,Transfer!DC152,Transfer!DP152,Transfer!EC152)</f>
        <v>-9999</v>
      </c>
      <c r="AF152" s="1081">
        <f>CHOOSE(Tables!$U$2,Transfer!CD152,Transfer!CQ152,Transfer!DD152,Transfer!DQ152,Transfer!ED152)</f>
        <v>-9999</v>
      </c>
      <c r="AG152" s="1081">
        <f>CHOOSE(Tables!$U$2,Transfer!CE152,Transfer!CR152,Transfer!DE152,Transfer!DR152,Transfer!EE152)</f>
        <v>-9999</v>
      </c>
      <c r="AH152" s="1081">
        <f>CHOOSE(Tables!$U$2,Transfer!CF152,Transfer!CS152,Transfer!DF152,Transfer!DS152,Transfer!EF152)</f>
        <v>-9999</v>
      </c>
      <c r="AI152" s="1081">
        <f>CHOOSE(Tables!$U$2,Transfer!CG152,Transfer!CT152,Transfer!DG152,Transfer!DT152,Transfer!EG152)</f>
        <v>-9999</v>
      </c>
      <c r="AJ152" s="1081">
        <f>CHOOSE(Tables!$U$2,Transfer!CH152,Transfer!CU152,Transfer!DH152,Transfer!DU152,Transfer!EH152)</f>
        <v>-9999</v>
      </c>
      <c r="AK152" s="1081">
        <f>CHOOSE(Tables!$U$2,Transfer!CI152,Transfer!CV152,Transfer!DI152,Transfer!DV152,Transfer!EI152)</f>
        <v>-9999</v>
      </c>
      <c r="AL152" s="1081">
        <f>CHOOSE(Tables!$U$2,Transfer!CJ152,Transfer!CW152,Transfer!DJ152,Transfer!DW152,Transfer!EJ152)</f>
        <v>-9999</v>
      </c>
      <c r="AM152" s="1081">
        <f>CHOOSE(Tables!$U$2,Transfer!CK152,Transfer!CX152,Transfer!DK152,Transfer!DX152,Transfer!EK152)</f>
        <v>-9999</v>
      </c>
      <c r="AN152" s="1081">
        <f>CHOOSE(Tables!$U$2,Transfer!CL152,Transfer!CY152,Transfer!DL152,Transfer!DY152,Transfer!EL152)</f>
        <v>-9999</v>
      </c>
      <c r="AO152" s="1081">
        <f>CHOOSE(Tables!$U$2,Transfer!CM152,Transfer!CZ152,Transfer!DM152,Transfer!DZ152,Transfer!EM152)</f>
        <v>-9999</v>
      </c>
      <c r="AR152" s="22">
        <v>52</v>
      </c>
      <c r="AS152" s="30" t="s">
        <v>1998</v>
      </c>
      <c r="AT152" s="25">
        <f t="shared" si="6"/>
        <v>0</v>
      </c>
      <c r="AU152" s="25">
        <f t="shared" si="6"/>
        <v>0</v>
      </c>
      <c r="AV152" s="25">
        <f t="shared" si="6"/>
        <v>0</v>
      </c>
      <c r="AW152" s="25">
        <f t="shared" si="6"/>
        <v>0</v>
      </c>
      <c r="AX152" s="25">
        <f t="shared" si="6"/>
        <v>0</v>
      </c>
      <c r="AY152" s="25">
        <f t="shared" si="6"/>
        <v>0</v>
      </c>
      <c r="AZ152" s="25">
        <f t="shared" si="6"/>
        <v>0</v>
      </c>
      <c r="BA152" s="25">
        <f t="shared" si="6"/>
        <v>0</v>
      </c>
      <c r="BB152" s="25">
        <f t="shared" si="6"/>
        <v>0</v>
      </c>
      <c r="BC152" s="25">
        <f t="shared" si="6"/>
        <v>0</v>
      </c>
      <c r="BD152" s="25">
        <f t="shared" si="6"/>
        <v>0</v>
      </c>
      <c r="BE152" s="25">
        <f t="shared" si="6"/>
        <v>0</v>
      </c>
      <c r="BF152" s="25">
        <f t="shared" si="6"/>
        <v>0</v>
      </c>
      <c r="CA152" s="16">
        <v>-9999</v>
      </c>
      <c r="CB152" s="16">
        <v>-9999</v>
      </c>
      <c r="CC152" s="16">
        <v>-9999</v>
      </c>
      <c r="CD152" s="16">
        <v>-9999</v>
      </c>
      <c r="CE152" s="16">
        <v>-9999</v>
      </c>
      <c r="CF152" s="16">
        <v>-9999</v>
      </c>
      <c r="CG152" s="16">
        <v>-9999</v>
      </c>
      <c r="CH152" s="16">
        <v>-9999</v>
      </c>
      <c r="CI152" s="16">
        <v>-9999</v>
      </c>
      <c r="CJ152" s="16">
        <v>-9999</v>
      </c>
      <c r="CK152" s="16">
        <v>-9999</v>
      </c>
      <c r="CL152" s="16">
        <v>-9999</v>
      </c>
      <c r="CM152" s="16">
        <v>-9999</v>
      </c>
      <c r="CN152" s="16">
        <v>-9999</v>
      </c>
      <c r="CO152" s="16">
        <v>-9999</v>
      </c>
      <c r="CP152" s="16">
        <v>-9999</v>
      </c>
      <c r="CQ152" s="16">
        <v>-9999</v>
      </c>
      <c r="CR152" s="16">
        <v>-9999</v>
      </c>
      <c r="CS152" s="16">
        <v>-9999</v>
      </c>
      <c r="CT152" s="16">
        <v>-9999</v>
      </c>
      <c r="CU152" s="16">
        <v>-9999</v>
      </c>
      <c r="CV152" s="16">
        <v>-9999</v>
      </c>
      <c r="CW152" s="16">
        <v>-9999</v>
      </c>
      <c r="CX152" s="16">
        <v>-9999</v>
      </c>
      <c r="CY152" s="16">
        <v>-9999</v>
      </c>
      <c r="CZ152" s="16">
        <v>-9999</v>
      </c>
      <c r="DA152" s="16">
        <v>-9999</v>
      </c>
      <c r="DB152" s="16">
        <v>-9999</v>
      </c>
      <c r="DC152" s="16">
        <v>-9999</v>
      </c>
      <c r="DD152" s="16">
        <v>-9999</v>
      </c>
      <c r="DE152" s="16">
        <v>-9999</v>
      </c>
      <c r="DF152" s="16">
        <v>-9999</v>
      </c>
      <c r="DG152" s="16">
        <v>-9999</v>
      </c>
      <c r="DH152" s="16">
        <v>-9999</v>
      </c>
      <c r="DI152" s="16">
        <v>-9999</v>
      </c>
      <c r="DJ152" s="16">
        <v>-9999</v>
      </c>
      <c r="DK152" s="16">
        <v>-9999</v>
      </c>
      <c r="DL152" s="16">
        <v>-9999</v>
      </c>
      <c r="DM152" s="16">
        <v>-9999</v>
      </c>
      <c r="DN152" s="16">
        <v>-9999</v>
      </c>
      <c r="DO152" s="16">
        <v>-9999</v>
      </c>
      <c r="DP152" s="16">
        <v>-9999</v>
      </c>
      <c r="DQ152" s="16">
        <v>-9999</v>
      </c>
      <c r="DR152" s="16">
        <v>-9999</v>
      </c>
      <c r="DS152" s="16">
        <v>-9999</v>
      </c>
      <c r="DT152" s="16">
        <v>-9999</v>
      </c>
      <c r="DU152" s="16">
        <v>-9999</v>
      </c>
      <c r="DV152" s="16">
        <v>-9999</v>
      </c>
      <c r="DW152" s="16">
        <v>-9999</v>
      </c>
      <c r="DX152" s="16">
        <v>-9999</v>
      </c>
      <c r="DY152" s="16">
        <v>-9999</v>
      </c>
      <c r="DZ152" s="16">
        <v>-9999</v>
      </c>
      <c r="EA152" s="2107">
        <v>-9999</v>
      </c>
      <c r="EB152" s="2107">
        <v>-9999</v>
      </c>
      <c r="EC152" s="2107">
        <v>-9999</v>
      </c>
      <c r="ED152" s="2107">
        <v>-9999</v>
      </c>
      <c r="EE152" s="2107">
        <v>-9999</v>
      </c>
      <c r="EF152" s="2107">
        <v>-9999</v>
      </c>
      <c r="EG152" s="2107">
        <v>-9999</v>
      </c>
      <c r="EH152" s="2107">
        <v>-9999</v>
      </c>
      <c r="EI152" s="2107">
        <v>-9999</v>
      </c>
      <c r="EJ152" s="2107">
        <v>-9999</v>
      </c>
      <c r="EK152" s="2107">
        <v>-9999</v>
      </c>
      <c r="EL152" s="2107">
        <v>-9999</v>
      </c>
      <c r="EM152" s="2107">
        <v>-9999</v>
      </c>
    </row>
    <row r="153" spans="1:143">
      <c r="A153" s="22">
        <v>53</v>
      </c>
      <c r="B153" s="30" t="s">
        <v>1998</v>
      </c>
      <c r="C153" s="25">
        <v>-9999</v>
      </c>
      <c r="D153" s="25">
        <v>-9999</v>
      </c>
      <c r="E153" s="25">
        <v>-9999</v>
      </c>
      <c r="F153" s="25">
        <v>-9999</v>
      </c>
      <c r="G153" s="25">
        <v>-9999</v>
      </c>
      <c r="H153" s="25">
        <v>-9999</v>
      </c>
      <c r="I153" s="25">
        <v>-9999</v>
      </c>
      <c r="J153" s="25">
        <v>-9999</v>
      </c>
      <c r="K153" s="25">
        <v>-9999</v>
      </c>
      <c r="L153" s="25">
        <v>-9999</v>
      </c>
      <c r="M153" s="25">
        <v>-9999</v>
      </c>
      <c r="N153" s="25">
        <v>-9999</v>
      </c>
      <c r="O153" s="25">
        <v>-9999</v>
      </c>
      <c r="P153" s="32"/>
      <c r="Q153"/>
      <c r="AA153" s="22">
        <v>53</v>
      </c>
      <c r="AB153" s="1081" t="str">
        <f t="shared" si="3"/>
        <v>FOR FUTURE USE</v>
      </c>
      <c r="AC153" s="1081">
        <f>CHOOSE(Tables!$U$2,Transfer!CA153,Transfer!CN153,Transfer!DA153,Transfer!DN153,Transfer!EA153)</f>
        <v>-9999</v>
      </c>
      <c r="AD153" s="1081">
        <f>CHOOSE(Tables!$U$2,Transfer!CB153,Transfer!CO153,Transfer!DB153,Transfer!DO153,Transfer!EB153)</f>
        <v>-9999</v>
      </c>
      <c r="AE153" s="1081">
        <f>CHOOSE(Tables!$U$2,Transfer!CC153,Transfer!CP153,Transfer!DC153,Transfer!DP153,Transfer!EC153)</f>
        <v>-9999</v>
      </c>
      <c r="AF153" s="1081">
        <f>CHOOSE(Tables!$U$2,Transfer!CD153,Transfer!CQ153,Transfer!DD153,Transfer!DQ153,Transfer!ED153)</f>
        <v>-9999</v>
      </c>
      <c r="AG153" s="1081">
        <f>CHOOSE(Tables!$U$2,Transfer!CE153,Transfer!CR153,Transfer!DE153,Transfer!DR153,Transfer!EE153)</f>
        <v>-9999</v>
      </c>
      <c r="AH153" s="1081">
        <f>CHOOSE(Tables!$U$2,Transfer!CF153,Transfer!CS153,Transfer!DF153,Transfer!DS153,Transfer!EF153)</f>
        <v>-9999</v>
      </c>
      <c r="AI153" s="1081">
        <f>CHOOSE(Tables!$U$2,Transfer!CG153,Transfer!CT153,Transfer!DG153,Transfer!DT153,Transfer!EG153)</f>
        <v>-9999</v>
      </c>
      <c r="AJ153" s="1081">
        <f>CHOOSE(Tables!$U$2,Transfer!CH153,Transfer!CU153,Transfer!DH153,Transfer!DU153,Transfer!EH153)</f>
        <v>-9999</v>
      </c>
      <c r="AK153" s="1081">
        <f>CHOOSE(Tables!$U$2,Transfer!CI153,Transfer!CV153,Transfer!DI153,Transfer!DV153,Transfer!EI153)</f>
        <v>-9999</v>
      </c>
      <c r="AL153" s="1081">
        <f>CHOOSE(Tables!$U$2,Transfer!CJ153,Transfer!CW153,Transfer!DJ153,Transfer!DW153,Transfer!EJ153)</f>
        <v>-9999</v>
      </c>
      <c r="AM153" s="1081">
        <f>CHOOSE(Tables!$U$2,Transfer!CK153,Transfer!CX153,Transfer!DK153,Transfer!DX153,Transfer!EK153)</f>
        <v>-9999</v>
      </c>
      <c r="AN153" s="1081">
        <f>CHOOSE(Tables!$U$2,Transfer!CL153,Transfer!CY153,Transfer!DL153,Transfer!DY153,Transfer!EL153)</f>
        <v>-9999</v>
      </c>
      <c r="AO153" s="1081">
        <f>CHOOSE(Tables!$U$2,Transfer!CM153,Transfer!CZ153,Transfer!DM153,Transfer!DZ153,Transfer!EM153)</f>
        <v>-9999</v>
      </c>
      <c r="AR153" s="22">
        <v>53</v>
      </c>
      <c r="AS153" s="30" t="s">
        <v>1998</v>
      </c>
      <c r="AT153" s="25">
        <f t="shared" si="6"/>
        <v>0</v>
      </c>
      <c r="AU153" s="25">
        <f t="shared" si="6"/>
        <v>0</v>
      </c>
      <c r="AV153" s="25">
        <f t="shared" si="6"/>
        <v>0</v>
      </c>
      <c r="AW153" s="25">
        <f t="shared" si="6"/>
        <v>0</v>
      </c>
      <c r="AX153" s="25">
        <f t="shared" si="6"/>
        <v>0</v>
      </c>
      <c r="AY153" s="25">
        <f t="shared" si="6"/>
        <v>0</v>
      </c>
      <c r="AZ153" s="25">
        <f t="shared" si="6"/>
        <v>0</v>
      </c>
      <c r="BA153" s="25">
        <f t="shared" si="6"/>
        <v>0</v>
      </c>
      <c r="BB153" s="25">
        <f t="shared" si="6"/>
        <v>0</v>
      </c>
      <c r="BC153" s="25">
        <f t="shared" si="6"/>
        <v>0</v>
      </c>
      <c r="BD153" s="25">
        <f t="shared" si="6"/>
        <v>0</v>
      </c>
      <c r="BE153" s="25">
        <f t="shared" si="6"/>
        <v>0</v>
      </c>
      <c r="BF153" s="25">
        <f t="shared" si="6"/>
        <v>0</v>
      </c>
      <c r="CA153" s="16">
        <v>-9999</v>
      </c>
      <c r="CB153" s="16">
        <v>-9999</v>
      </c>
      <c r="CC153" s="16">
        <v>-9999</v>
      </c>
      <c r="CD153" s="16">
        <v>-9999</v>
      </c>
      <c r="CE153" s="16">
        <v>-9999</v>
      </c>
      <c r="CF153" s="16">
        <v>-9999</v>
      </c>
      <c r="CG153" s="16">
        <v>-9999</v>
      </c>
      <c r="CH153" s="16">
        <v>-9999</v>
      </c>
      <c r="CI153" s="16">
        <v>-9999</v>
      </c>
      <c r="CJ153" s="16">
        <v>-9999</v>
      </c>
      <c r="CK153" s="16">
        <v>-9999</v>
      </c>
      <c r="CL153" s="16">
        <v>-9999</v>
      </c>
      <c r="CM153" s="16">
        <v>-9999</v>
      </c>
      <c r="CN153" s="16">
        <v>-9999</v>
      </c>
      <c r="CO153" s="16">
        <v>-9999</v>
      </c>
      <c r="CP153" s="16">
        <v>-9999</v>
      </c>
      <c r="CQ153" s="16">
        <v>-9999</v>
      </c>
      <c r="CR153" s="16">
        <v>-9999</v>
      </c>
      <c r="CS153" s="16">
        <v>-9999</v>
      </c>
      <c r="CT153" s="16">
        <v>-9999</v>
      </c>
      <c r="CU153" s="16">
        <v>-9999</v>
      </c>
      <c r="CV153" s="16">
        <v>-9999</v>
      </c>
      <c r="CW153" s="16">
        <v>-9999</v>
      </c>
      <c r="CX153" s="16">
        <v>-9999</v>
      </c>
      <c r="CY153" s="16">
        <v>-9999</v>
      </c>
      <c r="CZ153" s="16">
        <v>-9999</v>
      </c>
      <c r="DA153" s="16">
        <v>-9999</v>
      </c>
      <c r="DB153" s="16">
        <v>-9999</v>
      </c>
      <c r="DC153" s="16">
        <v>-9999</v>
      </c>
      <c r="DD153" s="16">
        <v>-9999</v>
      </c>
      <c r="DE153" s="16">
        <v>-9999</v>
      </c>
      <c r="DF153" s="16">
        <v>-9999</v>
      </c>
      <c r="DG153" s="16">
        <v>-9999</v>
      </c>
      <c r="DH153" s="16">
        <v>-9999</v>
      </c>
      <c r="DI153" s="16">
        <v>-9999</v>
      </c>
      <c r="DJ153" s="16">
        <v>-9999</v>
      </c>
      <c r="DK153" s="16">
        <v>-9999</v>
      </c>
      <c r="DL153" s="16">
        <v>-9999</v>
      </c>
      <c r="DM153" s="16">
        <v>-9999</v>
      </c>
      <c r="DN153" s="16">
        <v>-9999</v>
      </c>
      <c r="DO153" s="16">
        <v>-9999</v>
      </c>
      <c r="DP153" s="16">
        <v>-9999</v>
      </c>
      <c r="DQ153" s="16">
        <v>-9999</v>
      </c>
      <c r="DR153" s="16">
        <v>-9999</v>
      </c>
      <c r="DS153" s="16">
        <v>-9999</v>
      </c>
      <c r="DT153" s="16">
        <v>-9999</v>
      </c>
      <c r="DU153" s="16">
        <v>-9999</v>
      </c>
      <c r="DV153" s="16">
        <v>-9999</v>
      </c>
      <c r="DW153" s="16">
        <v>-9999</v>
      </c>
      <c r="DX153" s="16">
        <v>-9999</v>
      </c>
      <c r="DY153" s="16">
        <v>-9999</v>
      </c>
      <c r="DZ153" s="16">
        <v>-9999</v>
      </c>
      <c r="EA153" s="2107">
        <v>-9999</v>
      </c>
      <c r="EB153" s="2107">
        <v>-9999</v>
      </c>
      <c r="EC153" s="2107">
        <v>-9999</v>
      </c>
      <c r="ED153" s="2107">
        <v>-9999</v>
      </c>
      <c r="EE153" s="2107">
        <v>-9999</v>
      </c>
      <c r="EF153" s="2107">
        <v>-9999</v>
      </c>
      <c r="EG153" s="2107">
        <v>-9999</v>
      </c>
      <c r="EH153" s="2107">
        <v>-9999</v>
      </c>
      <c r="EI153" s="2107">
        <v>-9999</v>
      </c>
      <c r="EJ153" s="2107">
        <v>-9999</v>
      </c>
      <c r="EK153" s="2107">
        <v>-9999</v>
      </c>
      <c r="EL153" s="2107">
        <v>-9999</v>
      </c>
      <c r="EM153" s="2107">
        <v>-9999</v>
      </c>
    </row>
    <row r="154" spans="1:143">
      <c r="A154" s="22">
        <v>54</v>
      </c>
      <c r="B154" s="1" t="s">
        <v>1138</v>
      </c>
      <c r="C154" s="24">
        <f ca="1">OFFSET('VVP2'!F377,0,Last_forecast_year - 3-InputY!$G$3)</f>
        <v>99.999166666666696</v>
      </c>
      <c r="D154" s="24">
        <f ca="1">OFFSET('VVP2'!G377,0,Last_forecast_year - 3-InputY!$G$3)</f>
        <v>101.769166666667</v>
      </c>
      <c r="E154" s="24">
        <f ca="1">OFFSET('VVP2'!H377,0,Last_forecast_year - 3-InputY!$G$3)</f>
        <v>104.0325</v>
      </c>
      <c r="F154" s="24">
        <f ca="1">OFFSET('VVP2'!I377,0,Last_forecast_year - 3-InputY!$G$3)</f>
        <v>105.66628471259277</v>
      </c>
      <c r="G154" s="24">
        <f ca="1">OFFSET('VVP2'!J377,0,Last_forecast_year - 3-InputY!$G$3)</f>
        <v>107.3931473183689</v>
      </c>
      <c r="H154" s="25">
        <v>-9999</v>
      </c>
      <c r="I154" s="25">
        <v>-9999</v>
      </c>
      <c r="J154" s="25">
        <v>-9999</v>
      </c>
      <c r="K154" s="25">
        <v>-9999</v>
      </c>
      <c r="L154" s="25">
        <v>-9999</v>
      </c>
      <c r="M154" s="25">
        <v>-9999</v>
      </c>
      <c r="N154" s="25">
        <v>-9999</v>
      </c>
      <c r="O154" s="25">
        <v>-9999</v>
      </c>
      <c r="P154" s="32"/>
      <c r="Q154"/>
      <c r="AA154" s="22">
        <v>54</v>
      </c>
      <c r="AB154" s="1081" t="str">
        <f t="shared" si="3"/>
        <v>CONSUMER PRICE HARMONIZED INDEX</v>
      </c>
      <c r="AC154" s="1081">
        <f>CHOOSE(Tables!$U$2,Transfer!CA154,Transfer!CN154,Transfer!DA154,Transfer!DN154,Transfer!EA154)</f>
        <v>99.999166666666696</v>
      </c>
      <c r="AD154" s="1081">
        <f>CHOOSE(Tables!$U$2,Transfer!CB154,Transfer!CO154,Transfer!DB154,Transfer!DO154,Transfer!EB154)</f>
        <v>101.769166666667</v>
      </c>
      <c r="AE154" s="1081">
        <f>CHOOSE(Tables!$U$2,Transfer!CC154,Transfer!CP154,Transfer!DC154,Transfer!DP154,Transfer!EC154)</f>
        <v>104.0325</v>
      </c>
      <c r="AF154" s="1081">
        <f>CHOOSE(Tables!$U$2,Transfer!CD154,Transfer!CQ154,Transfer!DD154,Transfer!DQ154,Transfer!ED154)</f>
        <v>105.66628471259277</v>
      </c>
      <c r="AG154" s="1081">
        <f>CHOOSE(Tables!$U$2,Transfer!CE154,Transfer!CR154,Transfer!DE154,Transfer!DR154,Transfer!EE154)</f>
        <v>107.3931473183689</v>
      </c>
      <c r="AH154" s="1081">
        <f>CHOOSE(Tables!$U$2,Transfer!CF154,Transfer!CS154,Transfer!DF154,Transfer!DS154,Transfer!EF154)</f>
        <v>-9999</v>
      </c>
      <c r="AI154" s="1081">
        <f>CHOOSE(Tables!$U$2,Transfer!CG154,Transfer!CT154,Transfer!DG154,Transfer!DT154,Transfer!EG154)</f>
        <v>-9999</v>
      </c>
      <c r="AJ154" s="1081">
        <f>CHOOSE(Tables!$U$2,Transfer!CH154,Transfer!CU154,Transfer!DH154,Transfer!DU154,Transfer!EH154)</f>
        <v>-9999</v>
      </c>
      <c r="AK154" s="1081">
        <f>CHOOSE(Tables!$U$2,Transfer!CI154,Transfer!CV154,Transfer!DI154,Transfer!DV154,Transfer!EI154)</f>
        <v>-9999</v>
      </c>
      <c r="AL154" s="1081">
        <f>CHOOSE(Tables!$U$2,Transfer!CJ154,Transfer!CW154,Transfer!DJ154,Transfer!DW154,Transfer!EJ154)</f>
        <v>-9999</v>
      </c>
      <c r="AM154" s="1081">
        <f>CHOOSE(Tables!$U$2,Transfer!CK154,Transfer!CX154,Transfer!DK154,Transfer!DX154,Transfer!EK154)</f>
        <v>-9999</v>
      </c>
      <c r="AN154" s="1081">
        <f>CHOOSE(Tables!$U$2,Transfer!CL154,Transfer!CY154,Transfer!DL154,Transfer!DY154,Transfer!EL154)</f>
        <v>-9999</v>
      </c>
      <c r="AO154" s="1081">
        <f>CHOOSE(Tables!$U$2,Transfer!CM154,Transfer!CZ154,Transfer!DM154,Transfer!DZ154,Transfer!EM154)</f>
        <v>-9999</v>
      </c>
      <c r="AR154" s="22">
        <v>54</v>
      </c>
      <c r="AS154" s="1" t="s">
        <v>1138</v>
      </c>
      <c r="AT154" s="24">
        <f t="shared" ca="1" si="6"/>
        <v>0</v>
      </c>
      <c r="AU154" s="24">
        <f t="shared" ca="1" si="6"/>
        <v>0</v>
      </c>
      <c r="AV154" s="24">
        <f t="shared" ca="1" si="6"/>
        <v>0</v>
      </c>
      <c r="AW154" s="24">
        <f t="shared" ca="1" si="6"/>
        <v>0</v>
      </c>
      <c r="AX154" s="24">
        <f t="shared" ca="1" si="6"/>
        <v>0</v>
      </c>
      <c r="AY154" s="25">
        <f t="shared" si="6"/>
        <v>0</v>
      </c>
      <c r="AZ154" s="25">
        <f t="shared" si="6"/>
        <v>0</v>
      </c>
      <c r="BA154" s="25">
        <f t="shared" si="6"/>
        <v>0</v>
      </c>
      <c r="BB154" s="25">
        <f t="shared" si="6"/>
        <v>0</v>
      </c>
      <c r="BC154" s="25">
        <f t="shared" si="6"/>
        <v>0</v>
      </c>
      <c r="BD154" s="25">
        <f t="shared" si="6"/>
        <v>0</v>
      </c>
      <c r="BE154" s="25">
        <f t="shared" si="6"/>
        <v>0</v>
      </c>
      <c r="BF154" s="25">
        <f t="shared" si="6"/>
        <v>0</v>
      </c>
      <c r="CA154" s="16">
        <v>99.999166666666696</v>
      </c>
      <c r="CB154" s="16">
        <v>101.769166666667</v>
      </c>
      <c r="CC154" s="16">
        <v>104.0325</v>
      </c>
      <c r="CD154" s="16">
        <v>105.66628471259277</v>
      </c>
      <c r="CE154" s="16">
        <v>107.3931473183689</v>
      </c>
      <c r="CF154" s="16">
        <v>-9999</v>
      </c>
      <c r="CG154" s="16">
        <v>-9999</v>
      </c>
      <c r="CH154" s="16">
        <v>-9999</v>
      </c>
      <c r="CI154" s="16">
        <v>-9999</v>
      </c>
      <c r="CJ154" s="16">
        <v>-9999</v>
      </c>
      <c r="CK154" s="16">
        <v>-9999</v>
      </c>
      <c r="CL154" s="16">
        <v>-9999</v>
      </c>
      <c r="CM154" s="16">
        <v>-9999</v>
      </c>
      <c r="CN154" s="16">
        <v>99.999166666666667</v>
      </c>
      <c r="CO154" s="16">
        <v>101.76916666666666</v>
      </c>
      <c r="CP154" s="16">
        <v>104.01435663100168</v>
      </c>
      <c r="CQ154" s="16">
        <v>105.57541708388507</v>
      </c>
      <c r="CR154" s="16">
        <v>107.26898319727643</v>
      </c>
      <c r="CS154" s="16">
        <v>-9999</v>
      </c>
      <c r="CT154" s="16">
        <v>-9999</v>
      </c>
      <c r="CU154" s="16">
        <v>-9999</v>
      </c>
      <c r="CV154" s="16">
        <v>-9999</v>
      </c>
      <c r="CW154" s="16">
        <v>-9999</v>
      </c>
      <c r="CX154" s="16">
        <v>-9999</v>
      </c>
      <c r="CY154" s="16">
        <v>-9999</v>
      </c>
      <c r="CZ154" s="16">
        <v>-9999</v>
      </c>
      <c r="DA154" s="16">
        <v>99.999166666666696</v>
      </c>
      <c r="DB154" s="16">
        <v>101.769166666667</v>
      </c>
      <c r="DC154" s="16">
        <v>104.0325</v>
      </c>
      <c r="DD154" s="16">
        <v>105.66628471259277</v>
      </c>
      <c r="DE154" s="16">
        <v>107.3931473183689</v>
      </c>
      <c r="DF154" s="16">
        <v>-9999</v>
      </c>
      <c r="DG154" s="16">
        <v>-9999</v>
      </c>
      <c r="DH154" s="16">
        <v>-9999</v>
      </c>
      <c r="DI154" s="16">
        <v>-9999</v>
      </c>
      <c r="DJ154" s="16">
        <v>-9999</v>
      </c>
      <c r="DK154" s="16">
        <v>-9999</v>
      </c>
      <c r="DL154" s="16">
        <v>-9999</v>
      </c>
      <c r="DM154" s="16">
        <v>-9999</v>
      </c>
      <c r="DN154" s="16">
        <v>99.999166666666696</v>
      </c>
      <c r="DO154" s="16">
        <v>101.769166666667</v>
      </c>
      <c r="DP154" s="16">
        <v>104.0325</v>
      </c>
      <c r="DQ154" s="16">
        <v>105.66628471259277</v>
      </c>
      <c r="DR154" s="16">
        <v>107.3931473183689</v>
      </c>
      <c r="DS154" s="16">
        <v>-9999</v>
      </c>
      <c r="DT154" s="16">
        <v>-9999</v>
      </c>
      <c r="DU154" s="16">
        <v>-9999</v>
      </c>
      <c r="DV154" s="16">
        <v>-9999</v>
      </c>
      <c r="DW154" s="16">
        <v>-9999</v>
      </c>
      <c r="DX154" s="16">
        <v>-9999</v>
      </c>
      <c r="DY154" s="16">
        <v>-9999</v>
      </c>
      <c r="DZ154" s="16">
        <v>-9999</v>
      </c>
      <c r="EA154" s="2106">
        <v>99.999166666666696</v>
      </c>
      <c r="EB154" s="2106">
        <v>101.769166666667</v>
      </c>
      <c r="EC154" s="2106">
        <v>104.0325</v>
      </c>
      <c r="ED154" s="2106">
        <v>105.66628471259277</v>
      </c>
      <c r="EE154" s="2106">
        <v>107.3931473183689</v>
      </c>
      <c r="EF154" s="2107">
        <v>-9999</v>
      </c>
      <c r="EG154" s="2107">
        <v>-9999</v>
      </c>
      <c r="EH154" s="2107">
        <v>-9999</v>
      </c>
      <c r="EI154" s="2107">
        <v>-9999</v>
      </c>
      <c r="EJ154" s="2107">
        <v>-9999</v>
      </c>
      <c r="EK154" s="2107">
        <v>-9999</v>
      </c>
      <c r="EL154" s="2107">
        <v>-9999</v>
      </c>
      <c r="EM154" s="2107">
        <v>-9999</v>
      </c>
    </row>
    <row r="155" spans="1:143">
      <c r="A155" s="22">
        <v>55</v>
      </c>
      <c r="B155" s="1" t="s">
        <v>1140</v>
      </c>
      <c r="C155" s="24">
        <f ca="1">OFFSET('VVP2'!F376,0,Last_forecast_year - 3-InputY!$G$3)</f>
        <v>100.90249999999999</v>
      </c>
      <c r="D155" s="24">
        <f ca="1">OFFSET('VVP2'!G376,0,Last_forecast_year - 3-InputY!$G$3)</f>
        <v>102.89416666666665</v>
      </c>
      <c r="E155" s="24">
        <f ca="1">OFFSET('VVP2'!H376,0,Last_forecast_year - 3-InputY!$G$3)</f>
        <v>105.08166666666666</v>
      </c>
      <c r="F155" s="24">
        <f ca="1">OFFSET('VVP2'!I376,0,Last_forecast_year - 3-InputY!$G$3)</f>
        <v>106.73192808087634</v>
      </c>
      <c r="G155" s="24">
        <f ca="1">OFFSET('VVP2'!J376,0,Last_forecast_year - 3-InputY!$G$3)</f>
        <v>108.4762060778417</v>
      </c>
      <c r="H155" s="25">
        <v>-9999</v>
      </c>
      <c r="I155" s="25">
        <v>-9999</v>
      </c>
      <c r="J155" s="25">
        <v>-9999</v>
      </c>
      <c r="K155" s="25">
        <v>-9999</v>
      </c>
      <c r="L155" s="25">
        <v>-9999</v>
      </c>
      <c r="M155" s="25">
        <v>-9999</v>
      </c>
      <c r="N155" s="25">
        <v>-9999</v>
      </c>
      <c r="O155" s="25">
        <v>-9999</v>
      </c>
      <c r="P155" s="32"/>
      <c r="Q155"/>
      <c r="AA155" s="22">
        <v>55</v>
      </c>
      <c r="AB155" s="1081" t="str">
        <f t="shared" si="3"/>
        <v>CONSUMER PRICE GENERAL INDEX</v>
      </c>
      <c r="AC155" s="1081">
        <f>CHOOSE(Tables!$U$2,Transfer!CA155,Transfer!CN155,Transfer!DA155,Transfer!DN155,Transfer!EA155)</f>
        <v>100.90249999999999</v>
      </c>
      <c r="AD155" s="1081">
        <f>CHOOSE(Tables!$U$2,Transfer!CB155,Transfer!CO155,Transfer!DB155,Transfer!DO155,Transfer!EB155)</f>
        <v>102.89416666666665</v>
      </c>
      <c r="AE155" s="1081">
        <f>CHOOSE(Tables!$U$2,Transfer!CC155,Transfer!CP155,Transfer!DC155,Transfer!DP155,Transfer!EC155)</f>
        <v>105.08166666666666</v>
      </c>
      <c r="AF155" s="1081">
        <f>CHOOSE(Tables!$U$2,Transfer!CD155,Transfer!CQ155,Transfer!DD155,Transfer!DQ155,Transfer!ED155)</f>
        <v>106.73192808087634</v>
      </c>
      <c r="AG155" s="1081">
        <f>CHOOSE(Tables!$U$2,Transfer!CE155,Transfer!CR155,Transfer!DE155,Transfer!DR155,Transfer!EE155)</f>
        <v>108.4762060778417</v>
      </c>
      <c r="AH155" s="1081">
        <f>CHOOSE(Tables!$U$2,Transfer!CF155,Transfer!CS155,Transfer!DF155,Transfer!DS155,Transfer!EF155)</f>
        <v>-9999</v>
      </c>
      <c r="AI155" s="1081">
        <f>CHOOSE(Tables!$U$2,Transfer!CG155,Transfer!CT155,Transfer!DG155,Transfer!DT155,Transfer!EG155)</f>
        <v>-9999</v>
      </c>
      <c r="AJ155" s="1081">
        <f>CHOOSE(Tables!$U$2,Transfer!CH155,Transfer!CU155,Transfer!DH155,Transfer!DU155,Transfer!EH155)</f>
        <v>-9999</v>
      </c>
      <c r="AK155" s="1081">
        <f>CHOOSE(Tables!$U$2,Transfer!CI155,Transfer!CV155,Transfer!DI155,Transfer!DV155,Transfer!EI155)</f>
        <v>-9999</v>
      </c>
      <c r="AL155" s="1081">
        <f>CHOOSE(Tables!$U$2,Transfer!CJ155,Transfer!CW155,Transfer!DJ155,Transfer!DW155,Transfer!EJ155)</f>
        <v>-9999</v>
      </c>
      <c r="AM155" s="1081">
        <f>CHOOSE(Tables!$U$2,Transfer!CK155,Transfer!CX155,Transfer!DK155,Transfer!DX155,Transfer!EK155)</f>
        <v>-9999</v>
      </c>
      <c r="AN155" s="1081">
        <f>CHOOSE(Tables!$U$2,Transfer!CL155,Transfer!CY155,Transfer!DL155,Transfer!DY155,Transfer!EL155)</f>
        <v>-9999</v>
      </c>
      <c r="AO155" s="1081">
        <f>CHOOSE(Tables!$U$2,Transfer!CM155,Transfer!CZ155,Transfer!DM155,Transfer!DZ155,Transfer!EM155)</f>
        <v>-9999</v>
      </c>
      <c r="AR155" s="22">
        <v>55</v>
      </c>
      <c r="AS155" s="1" t="s">
        <v>1140</v>
      </c>
      <c r="AT155" s="24">
        <f t="shared" ca="1" si="6"/>
        <v>0</v>
      </c>
      <c r="AU155" s="24">
        <f t="shared" ca="1" si="6"/>
        <v>0</v>
      </c>
      <c r="AV155" s="24">
        <f t="shared" ca="1" si="6"/>
        <v>0</v>
      </c>
      <c r="AW155" s="24">
        <f t="shared" ca="1" si="6"/>
        <v>0</v>
      </c>
      <c r="AX155" s="24">
        <f t="shared" ca="1" si="6"/>
        <v>0</v>
      </c>
      <c r="AY155" s="25">
        <f t="shared" si="6"/>
        <v>0</v>
      </c>
      <c r="AZ155" s="25">
        <f t="shared" si="6"/>
        <v>0</v>
      </c>
      <c r="BA155" s="25">
        <f t="shared" si="6"/>
        <v>0</v>
      </c>
      <c r="BB155" s="25">
        <f t="shared" si="6"/>
        <v>0</v>
      </c>
      <c r="BC155" s="25">
        <f t="shared" si="6"/>
        <v>0</v>
      </c>
      <c r="BD155" s="25">
        <f t="shared" si="6"/>
        <v>0</v>
      </c>
      <c r="BE155" s="25">
        <f t="shared" si="6"/>
        <v>0</v>
      </c>
      <c r="BF155" s="25">
        <f t="shared" si="6"/>
        <v>0</v>
      </c>
      <c r="CA155" s="16">
        <v>100.90249999999999</v>
      </c>
      <c r="CB155" s="16">
        <v>102.89416666666665</v>
      </c>
      <c r="CC155" s="16">
        <v>105.08166666666666</v>
      </c>
      <c r="CD155" s="16">
        <v>106.73192808087634</v>
      </c>
      <c r="CE155" s="16">
        <v>108.4762060778417</v>
      </c>
      <c r="CF155" s="16">
        <v>-9999</v>
      </c>
      <c r="CG155" s="16">
        <v>-9999</v>
      </c>
      <c r="CH155" s="16">
        <v>-9999</v>
      </c>
      <c r="CI155" s="16">
        <v>-9999</v>
      </c>
      <c r="CJ155" s="16">
        <v>-9999</v>
      </c>
      <c r="CK155" s="16">
        <v>-9999</v>
      </c>
      <c r="CL155" s="16">
        <v>-9999</v>
      </c>
      <c r="CM155" s="16">
        <v>-9999</v>
      </c>
      <c r="CN155" s="16">
        <v>100.90249999999999</v>
      </c>
      <c r="CO155" s="16">
        <v>102.89416666666665</v>
      </c>
      <c r="CP155" s="16">
        <v>105.05494416666664</v>
      </c>
      <c r="CQ155" s="16">
        <v>106.63162188722639</v>
      </c>
      <c r="CR155" s="16">
        <v>108.3421308904793</v>
      </c>
      <c r="CS155" s="16">
        <v>-9999</v>
      </c>
      <c r="CT155" s="16">
        <v>-9999</v>
      </c>
      <c r="CU155" s="16">
        <v>-9999</v>
      </c>
      <c r="CV155" s="16">
        <v>-9999</v>
      </c>
      <c r="CW155" s="16">
        <v>-9999</v>
      </c>
      <c r="CX155" s="16">
        <v>-9999</v>
      </c>
      <c r="CY155" s="16">
        <v>-9999</v>
      </c>
      <c r="CZ155" s="16">
        <v>-9999</v>
      </c>
      <c r="DA155" s="16">
        <v>100.90249999999999</v>
      </c>
      <c r="DB155" s="16">
        <v>102.89416666666665</v>
      </c>
      <c r="DC155" s="16">
        <v>105.08166666666666</v>
      </c>
      <c r="DD155" s="16">
        <v>106.73192808087634</v>
      </c>
      <c r="DE155" s="16">
        <v>108.4762060778417</v>
      </c>
      <c r="DF155" s="16">
        <v>-9999</v>
      </c>
      <c r="DG155" s="16">
        <v>-9999</v>
      </c>
      <c r="DH155" s="16">
        <v>-9999</v>
      </c>
      <c r="DI155" s="16">
        <v>-9999</v>
      </c>
      <c r="DJ155" s="16">
        <v>-9999</v>
      </c>
      <c r="DK155" s="16">
        <v>-9999</v>
      </c>
      <c r="DL155" s="16">
        <v>-9999</v>
      </c>
      <c r="DM155" s="16">
        <v>-9999</v>
      </c>
      <c r="DN155" s="16">
        <v>100.90249999999999</v>
      </c>
      <c r="DO155" s="16">
        <v>102.89416666666665</v>
      </c>
      <c r="DP155" s="16">
        <v>105.08166666666666</v>
      </c>
      <c r="DQ155" s="16">
        <v>106.73192808087634</v>
      </c>
      <c r="DR155" s="16">
        <v>108.4762060778417</v>
      </c>
      <c r="DS155" s="16">
        <v>-9999</v>
      </c>
      <c r="DT155" s="16">
        <v>-9999</v>
      </c>
      <c r="DU155" s="16">
        <v>-9999</v>
      </c>
      <c r="DV155" s="16">
        <v>-9999</v>
      </c>
      <c r="DW155" s="16">
        <v>-9999</v>
      </c>
      <c r="DX155" s="16">
        <v>-9999</v>
      </c>
      <c r="DY155" s="16">
        <v>-9999</v>
      </c>
      <c r="DZ155" s="16">
        <v>-9999</v>
      </c>
      <c r="EA155" s="2106">
        <v>100.90249999999999</v>
      </c>
      <c r="EB155" s="2106">
        <v>102.89416666666665</v>
      </c>
      <c r="EC155" s="2106">
        <v>105.08166666666666</v>
      </c>
      <c r="ED155" s="2106">
        <v>106.73192808087634</v>
      </c>
      <c r="EE155" s="2106">
        <v>108.4762060778417</v>
      </c>
      <c r="EF155" s="2107">
        <v>-9999</v>
      </c>
      <c r="EG155" s="2107">
        <v>-9999</v>
      </c>
      <c r="EH155" s="2107">
        <v>-9999</v>
      </c>
      <c r="EI155" s="2107">
        <v>-9999</v>
      </c>
      <c r="EJ155" s="2107">
        <v>-9999</v>
      </c>
      <c r="EK155" s="2107">
        <v>-9999</v>
      </c>
      <c r="EL155" s="2107">
        <v>-9999</v>
      </c>
      <c r="EM155" s="2107">
        <v>-9999</v>
      </c>
    </row>
    <row r="156" spans="1:143">
      <c r="A156" s="22">
        <v>56</v>
      </c>
      <c r="B156" s="30" t="s">
        <v>1998</v>
      </c>
      <c r="C156" s="25">
        <v>-9999</v>
      </c>
      <c r="D156" s="25">
        <v>-9999</v>
      </c>
      <c r="E156" s="25">
        <v>-9999</v>
      </c>
      <c r="F156" s="25">
        <v>-9999</v>
      </c>
      <c r="G156" s="25">
        <v>-9999</v>
      </c>
      <c r="H156" s="25">
        <v>-9999</v>
      </c>
      <c r="I156" s="25">
        <v>-9999</v>
      </c>
      <c r="J156" s="25">
        <v>-9999</v>
      </c>
      <c r="K156" s="25">
        <v>-9999</v>
      </c>
      <c r="L156" s="25">
        <v>-9999</v>
      </c>
      <c r="M156" s="25">
        <v>-9999</v>
      </c>
      <c r="N156" s="25">
        <v>-9999</v>
      </c>
      <c r="O156" s="25">
        <v>-9999</v>
      </c>
      <c r="P156" s="32"/>
      <c r="Q156"/>
      <c r="AA156" s="22">
        <v>56</v>
      </c>
      <c r="AB156" s="1081" t="str">
        <f t="shared" si="3"/>
        <v>FOR FUTURE USE</v>
      </c>
      <c r="AC156" s="1081">
        <f>CHOOSE(Tables!$U$2,Transfer!CA156,Transfer!CN156,Transfer!DA156,Transfer!DN156,Transfer!EA156)</f>
        <v>-9999</v>
      </c>
      <c r="AD156" s="1081">
        <f>CHOOSE(Tables!$U$2,Transfer!CB156,Transfer!CO156,Transfer!DB156,Transfer!DO156,Transfer!EB156)</f>
        <v>-9999</v>
      </c>
      <c r="AE156" s="1081">
        <f>CHOOSE(Tables!$U$2,Transfer!CC156,Transfer!CP156,Transfer!DC156,Transfer!DP156,Transfer!EC156)</f>
        <v>-9999</v>
      </c>
      <c r="AF156" s="1081">
        <f>CHOOSE(Tables!$U$2,Transfer!CD156,Transfer!CQ156,Transfer!DD156,Transfer!DQ156,Transfer!ED156)</f>
        <v>-9999</v>
      </c>
      <c r="AG156" s="1081">
        <f>CHOOSE(Tables!$U$2,Transfer!CE156,Transfer!CR156,Transfer!DE156,Transfer!DR156,Transfer!EE156)</f>
        <v>-9999</v>
      </c>
      <c r="AH156" s="1081">
        <f>CHOOSE(Tables!$U$2,Transfer!CF156,Transfer!CS156,Transfer!DF156,Transfer!DS156,Transfer!EF156)</f>
        <v>-9999</v>
      </c>
      <c r="AI156" s="1081">
        <f>CHOOSE(Tables!$U$2,Transfer!CG156,Transfer!CT156,Transfer!DG156,Transfer!DT156,Transfer!EG156)</f>
        <v>-9999</v>
      </c>
      <c r="AJ156" s="1081">
        <f>CHOOSE(Tables!$U$2,Transfer!CH156,Transfer!CU156,Transfer!DH156,Transfer!DU156,Transfer!EH156)</f>
        <v>-9999</v>
      </c>
      <c r="AK156" s="1081">
        <f>CHOOSE(Tables!$U$2,Transfer!CI156,Transfer!CV156,Transfer!DI156,Transfer!DV156,Transfer!EI156)</f>
        <v>-9999</v>
      </c>
      <c r="AL156" s="1081">
        <f>CHOOSE(Tables!$U$2,Transfer!CJ156,Transfer!CW156,Transfer!DJ156,Transfer!DW156,Transfer!EJ156)</f>
        <v>-9999</v>
      </c>
      <c r="AM156" s="1081">
        <f>CHOOSE(Tables!$U$2,Transfer!CK156,Transfer!CX156,Transfer!DK156,Transfer!DX156,Transfer!EK156)</f>
        <v>-9999</v>
      </c>
      <c r="AN156" s="1081">
        <f>CHOOSE(Tables!$U$2,Transfer!CL156,Transfer!CY156,Transfer!DL156,Transfer!DY156,Transfer!EL156)</f>
        <v>-9999</v>
      </c>
      <c r="AO156" s="1081">
        <f>CHOOSE(Tables!$U$2,Transfer!CM156,Transfer!CZ156,Transfer!DM156,Transfer!DZ156,Transfer!EM156)</f>
        <v>-9999</v>
      </c>
      <c r="AR156" s="22">
        <v>56</v>
      </c>
      <c r="AS156" s="30" t="s">
        <v>1998</v>
      </c>
      <c r="AT156" s="25">
        <f t="shared" si="6"/>
        <v>0</v>
      </c>
      <c r="AU156" s="25">
        <f t="shared" si="6"/>
        <v>0</v>
      </c>
      <c r="AV156" s="25">
        <f t="shared" si="6"/>
        <v>0</v>
      </c>
      <c r="AW156" s="25">
        <f t="shared" si="6"/>
        <v>0</v>
      </c>
      <c r="AX156" s="25">
        <f t="shared" si="6"/>
        <v>0</v>
      </c>
      <c r="AY156" s="25">
        <f t="shared" si="6"/>
        <v>0</v>
      </c>
      <c r="AZ156" s="25">
        <f t="shared" si="6"/>
        <v>0</v>
      </c>
      <c r="BA156" s="25">
        <f t="shared" si="6"/>
        <v>0</v>
      </c>
      <c r="BB156" s="25">
        <f t="shared" si="6"/>
        <v>0</v>
      </c>
      <c r="BC156" s="25">
        <f t="shared" si="6"/>
        <v>0</v>
      </c>
      <c r="BD156" s="25">
        <f t="shared" si="6"/>
        <v>0</v>
      </c>
      <c r="BE156" s="25">
        <f t="shared" si="6"/>
        <v>0</v>
      </c>
      <c r="BF156" s="25">
        <f t="shared" si="6"/>
        <v>0</v>
      </c>
      <c r="CA156" s="16">
        <v>-9999</v>
      </c>
      <c r="CB156" s="16">
        <v>-9999</v>
      </c>
      <c r="CC156" s="16">
        <v>-9999</v>
      </c>
      <c r="CD156" s="16">
        <v>-9999</v>
      </c>
      <c r="CE156" s="16">
        <v>-9999</v>
      </c>
      <c r="CF156" s="16">
        <v>-9999</v>
      </c>
      <c r="CG156" s="16">
        <v>-9999</v>
      </c>
      <c r="CH156" s="16">
        <v>-9999</v>
      </c>
      <c r="CI156" s="16">
        <v>-9999</v>
      </c>
      <c r="CJ156" s="16">
        <v>-9999</v>
      </c>
      <c r="CK156" s="16">
        <v>-9999</v>
      </c>
      <c r="CL156" s="16">
        <v>-9999</v>
      </c>
      <c r="CM156" s="16">
        <v>-9999</v>
      </c>
      <c r="CN156" s="16">
        <v>-9999</v>
      </c>
      <c r="CO156" s="16">
        <v>-9999</v>
      </c>
      <c r="CP156" s="16">
        <v>-9999</v>
      </c>
      <c r="CQ156" s="16">
        <v>-9999</v>
      </c>
      <c r="CR156" s="16">
        <v>-9999</v>
      </c>
      <c r="CS156" s="16">
        <v>-9999</v>
      </c>
      <c r="CT156" s="16">
        <v>-9999</v>
      </c>
      <c r="CU156" s="16">
        <v>-9999</v>
      </c>
      <c r="CV156" s="16">
        <v>-9999</v>
      </c>
      <c r="CW156" s="16">
        <v>-9999</v>
      </c>
      <c r="CX156" s="16">
        <v>-9999</v>
      </c>
      <c r="CY156" s="16">
        <v>-9999</v>
      </c>
      <c r="CZ156" s="16">
        <v>-9999</v>
      </c>
      <c r="DA156" s="16">
        <v>-9999</v>
      </c>
      <c r="DB156" s="16">
        <v>-9999</v>
      </c>
      <c r="DC156" s="16">
        <v>-9999</v>
      </c>
      <c r="DD156" s="16">
        <v>-9999</v>
      </c>
      <c r="DE156" s="16">
        <v>-9999</v>
      </c>
      <c r="DF156" s="16">
        <v>-9999</v>
      </c>
      <c r="DG156" s="16">
        <v>-9999</v>
      </c>
      <c r="DH156" s="16">
        <v>-9999</v>
      </c>
      <c r="DI156" s="16">
        <v>-9999</v>
      </c>
      <c r="DJ156" s="16">
        <v>-9999</v>
      </c>
      <c r="DK156" s="16">
        <v>-9999</v>
      </c>
      <c r="DL156" s="16">
        <v>-9999</v>
      </c>
      <c r="DM156" s="16">
        <v>-9999</v>
      </c>
      <c r="DN156" s="16">
        <v>-9999</v>
      </c>
      <c r="DO156" s="16">
        <v>-9999</v>
      </c>
      <c r="DP156" s="16">
        <v>-9999</v>
      </c>
      <c r="DQ156" s="16">
        <v>-9999</v>
      </c>
      <c r="DR156" s="16">
        <v>-9999</v>
      </c>
      <c r="DS156" s="16">
        <v>-9999</v>
      </c>
      <c r="DT156" s="16">
        <v>-9999</v>
      </c>
      <c r="DU156" s="16">
        <v>-9999</v>
      </c>
      <c r="DV156" s="16">
        <v>-9999</v>
      </c>
      <c r="DW156" s="16">
        <v>-9999</v>
      </c>
      <c r="DX156" s="16">
        <v>-9999</v>
      </c>
      <c r="DY156" s="16">
        <v>-9999</v>
      </c>
      <c r="DZ156" s="16">
        <v>-9999</v>
      </c>
      <c r="EA156" s="2107">
        <v>-9999</v>
      </c>
      <c r="EB156" s="2107">
        <v>-9999</v>
      </c>
      <c r="EC156" s="2107">
        <v>-9999</v>
      </c>
      <c r="ED156" s="2107">
        <v>-9999</v>
      </c>
      <c r="EE156" s="2107">
        <v>-9999</v>
      </c>
      <c r="EF156" s="2107">
        <v>-9999</v>
      </c>
      <c r="EG156" s="2107">
        <v>-9999</v>
      </c>
      <c r="EH156" s="2107">
        <v>-9999</v>
      </c>
      <c r="EI156" s="2107">
        <v>-9999</v>
      </c>
      <c r="EJ156" s="2107">
        <v>-9999</v>
      </c>
      <c r="EK156" s="2107">
        <v>-9999</v>
      </c>
      <c r="EL156" s="2107">
        <v>-9999</v>
      </c>
      <c r="EM156" s="2107">
        <v>-9999</v>
      </c>
    </row>
    <row r="157" spans="1:143">
      <c r="A157" s="22">
        <v>57</v>
      </c>
      <c r="B157" s="1" t="s">
        <v>912</v>
      </c>
      <c r="C157" s="24">
        <f ca="1">OFFSET(Sector1!F179,0,Last_forecast_year - 3-InputY!$G$3)</f>
        <v>367.47159999999997</v>
      </c>
      <c r="D157" s="24">
        <f ca="1">OFFSET(Sector1!G179,0,Last_forecast_year - 3-InputY!$G$3)</f>
        <v>377.63559999999995</v>
      </c>
      <c r="E157" s="24">
        <f ca="1">OFFSET(Sector1!H179,0,Last_forecast_year - 3-InputY!$G$3)</f>
        <v>390.74629999999996</v>
      </c>
      <c r="F157" s="24">
        <f ca="1">OFFSET(Sector1!I179,0,Last_forecast_year - 3-InputY!$G$3)</f>
        <v>404.21663894218989</v>
      </c>
      <c r="G157" s="24">
        <f ca="1">OFFSET(Sector1!J179,0,Last_forecast_year - 3-InputY!$G$3)</f>
        <v>418.11690562576013</v>
      </c>
      <c r="H157" s="25">
        <v>-9999</v>
      </c>
      <c r="I157" s="25">
        <v>-9999</v>
      </c>
      <c r="J157" s="25">
        <v>-9999</v>
      </c>
      <c r="K157" s="25">
        <v>-9999</v>
      </c>
      <c r="L157" s="25">
        <v>-9999</v>
      </c>
      <c r="M157" s="25">
        <v>-9999</v>
      </c>
      <c r="N157" s="25">
        <v>-9999</v>
      </c>
      <c r="O157" s="25">
        <v>-9999</v>
      </c>
      <c r="P157" s="32"/>
      <c r="Q157"/>
      <c r="AA157" s="22">
        <v>57</v>
      </c>
      <c r="AB157" s="1081" t="str">
        <f t="shared" si="3"/>
        <v>VAL GROSS VALUE ADDED</v>
      </c>
      <c r="AC157" s="1081">
        <f>CHOOSE(Tables!$U$2,Transfer!CA157,Transfer!CN157,Transfer!DA157,Transfer!DN157,Transfer!EA157)</f>
        <v>367.47159999999997</v>
      </c>
      <c r="AD157" s="1081">
        <f>CHOOSE(Tables!$U$2,Transfer!CB157,Transfer!CO157,Transfer!DB157,Transfer!DO157,Transfer!EB157)</f>
        <v>377.63559999999995</v>
      </c>
      <c r="AE157" s="1081">
        <f>CHOOSE(Tables!$U$2,Transfer!CC157,Transfer!CP157,Transfer!DC157,Transfer!DP157,Transfer!EC157)</f>
        <v>390.74629999999996</v>
      </c>
      <c r="AF157" s="1081">
        <f>CHOOSE(Tables!$U$2,Transfer!CD157,Transfer!CQ157,Transfer!DD157,Transfer!DQ157,Transfer!ED157)</f>
        <v>403.96243862218989</v>
      </c>
      <c r="AG157" s="1081">
        <f>CHOOSE(Tables!$U$2,Transfer!CE157,Transfer!CR157,Transfer!DE157,Transfer!DR157,Transfer!EE157)</f>
        <v>417.70662800437412</v>
      </c>
      <c r="AH157" s="1081">
        <f>CHOOSE(Tables!$U$2,Transfer!CF157,Transfer!CS157,Transfer!DF157,Transfer!DS157,Transfer!EF157)</f>
        <v>-9999</v>
      </c>
      <c r="AI157" s="1081">
        <f>CHOOSE(Tables!$U$2,Transfer!CG157,Transfer!CT157,Transfer!DG157,Transfer!DT157,Transfer!EG157)</f>
        <v>-9999</v>
      </c>
      <c r="AJ157" s="1081">
        <f>CHOOSE(Tables!$U$2,Transfer!CH157,Transfer!CU157,Transfer!DH157,Transfer!DU157,Transfer!EH157)</f>
        <v>-9999</v>
      </c>
      <c r="AK157" s="1081">
        <f>CHOOSE(Tables!$U$2,Transfer!CI157,Transfer!CV157,Transfer!DI157,Transfer!DV157,Transfer!EI157)</f>
        <v>-9999</v>
      </c>
      <c r="AL157" s="1081">
        <f>CHOOSE(Tables!$U$2,Transfer!CJ157,Transfer!CW157,Transfer!DJ157,Transfer!DW157,Transfer!EJ157)</f>
        <v>-9999</v>
      </c>
      <c r="AM157" s="1081">
        <f>CHOOSE(Tables!$U$2,Transfer!CK157,Transfer!CX157,Transfer!DK157,Transfer!DX157,Transfer!EK157)</f>
        <v>-9999</v>
      </c>
      <c r="AN157" s="1081">
        <f>CHOOSE(Tables!$U$2,Transfer!CL157,Transfer!CY157,Transfer!DL157,Transfer!DY157,Transfer!EL157)</f>
        <v>-9999</v>
      </c>
      <c r="AO157" s="1081">
        <f>CHOOSE(Tables!$U$2,Transfer!CM157,Transfer!CZ157,Transfer!DM157,Transfer!DZ157,Transfer!EM157)</f>
        <v>-9999</v>
      </c>
      <c r="AR157" s="22">
        <v>57</v>
      </c>
      <c r="AS157" s="1" t="s">
        <v>912</v>
      </c>
      <c r="AT157" s="24">
        <f t="shared" ca="1" si="6"/>
        <v>0</v>
      </c>
      <c r="AU157" s="24">
        <f t="shared" ca="1" si="6"/>
        <v>0</v>
      </c>
      <c r="AV157" s="24">
        <f t="shared" ca="1" si="6"/>
        <v>0</v>
      </c>
      <c r="AW157" s="24">
        <f t="shared" ca="1" si="6"/>
        <v>0.25420031999999537</v>
      </c>
      <c r="AX157" s="24">
        <f t="shared" ca="1" si="6"/>
        <v>0.4102776213860011</v>
      </c>
      <c r="AY157" s="25">
        <f t="shared" si="6"/>
        <v>0</v>
      </c>
      <c r="AZ157" s="25">
        <f t="shared" si="6"/>
        <v>0</v>
      </c>
      <c r="BA157" s="25">
        <f t="shared" si="6"/>
        <v>0</v>
      </c>
      <c r="BB157" s="25">
        <f t="shared" si="6"/>
        <v>0</v>
      </c>
      <c r="BC157" s="25">
        <f t="shared" si="6"/>
        <v>0</v>
      </c>
      <c r="BD157" s="25">
        <f t="shared" si="6"/>
        <v>0</v>
      </c>
      <c r="BE157" s="25">
        <f t="shared" si="6"/>
        <v>0</v>
      </c>
      <c r="BF157" s="25">
        <f t="shared" si="6"/>
        <v>0</v>
      </c>
      <c r="CA157" s="16">
        <v>367.47159999999997</v>
      </c>
      <c r="CB157" s="16">
        <v>377.63559999999995</v>
      </c>
      <c r="CC157" s="16">
        <v>390.74629999999996</v>
      </c>
      <c r="CD157" s="16">
        <v>403.96243862218989</v>
      </c>
      <c r="CE157" s="16">
        <v>417.70662800437412</v>
      </c>
      <c r="CF157" s="16">
        <v>-9999</v>
      </c>
      <c r="CG157" s="16">
        <v>-9999</v>
      </c>
      <c r="CH157" s="16">
        <v>-9999</v>
      </c>
      <c r="CI157" s="16">
        <v>-9999</v>
      </c>
      <c r="CJ157" s="16">
        <v>-9999</v>
      </c>
      <c r="CK157" s="16">
        <v>-9999</v>
      </c>
      <c r="CL157" s="16">
        <v>-9999</v>
      </c>
      <c r="CM157" s="16">
        <v>-9999</v>
      </c>
      <c r="CN157" s="16">
        <v>367.47159999999997</v>
      </c>
      <c r="CO157" s="16">
        <v>377.63559999999995</v>
      </c>
      <c r="CP157" s="16">
        <v>388.09531900549592</v>
      </c>
      <c r="CQ157" s="16">
        <v>399.70347762059993</v>
      </c>
      <c r="CR157" s="16">
        <v>413.25335971489187</v>
      </c>
      <c r="CS157" s="16">
        <v>-9999</v>
      </c>
      <c r="CT157" s="16">
        <v>-9999</v>
      </c>
      <c r="CU157" s="16">
        <v>-9999</v>
      </c>
      <c r="CV157" s="16">
        <v>-9999</v>
      </c>
      <c r="CW157" s="16">
        <v>-9999</v>
      </c>
      <c r="CX157" s="16">
        <v>-9999</v>
      </c>
      <c r="CY157" s="16">
        <v>-9999</v>
      </c>
      <c r="CZ157" s="16">
        <v>-9999</v>
      </c>
      <c r="DA157" s="16">
        <v>367.47159999999997</v>
      </c>
      <c r="DB157" s="16">
        <v>377.63559999999995</v>
      </c>
      <c r="DC157" s="16">
        <v>390.74629999999996</v>
      </c>
      <c r="DD157" s="16">
        <v>403.96243862218989</v>
      </c>
      <c r="DE157" s="16">
        <v>417.70662800437412</v>
      </c>
      <c r="DF157" s="16">
        <v>-9999</v>
      </c>
      <c r="DG157" s="16">
        <v>-9999</v>
      </c>
      <c r="DH157" s="16">
        <v>-9999</v>
      </c>
      <c r="DI157" s="16">
        <v>-9999</v>
      </c>
      <c r="DJ157" s="16">
        <v>-9999</v>
      </c>
      <c r="DK157" s="16">
        <v>-9999</v>
      </c>
      <c r="DL157" s="16">
        <v>-9999</v>
      </c>
      <c r="DM157" s="16">
        <v>-9999</v>
      </c>
      <c r="DN157" s="16">
        <v>367.47159999999997</v>
      </c>
      <c r="DO157" s="16">
        <v>377.63559999999995</v>
      </c>
      <c r="DP157" s="16">
        <v>390.74629999999996</v>
      </c>
      <c r="DQ157" s="16">
        <v>403.96243862218989</v>
      </c>
      <c r="DR157" s="16">
        <v>417.70662800437412</v>
      </c>
      <c r="DS157" s="16">
        <v>-9999</v>
      </c>
      <c r="DT157" s="16">
        <v>-9999</v>
      </c>
      <c r="DU157" s="16">
        <v>-9999</v>
      </c>
      <c r="DV157" s="16">
        <v>-9999</v>
      </c>
      <c r="DW157" s="16">
        <v>-9999</v>
      </c>
      <c r="DX157" s="16">
        <v>-9999</v>
      </c>
      <c r="DY157" s="16">
        <v>-9999</v>
      </c>
      <c r="DZ157" s="16">
        <v>-9999</v>
      </c>
      <c r="EA157" s="2106">
        <v>367.47159999999997</v>
      </c>
      <c r="EB157" s="2106">
        <v>377.63559999999995</v>
      </c>
      <c r="EC157" s="2106">
        <v>390.74629999999996</v>
      </c>
      <c r="ED157" s="2106">
        <v>404.21663894218989</v>
      </c>
      <c r="EE157" s="2106">
        <v>418.11690562576013</v>
      </c>
      <c r="EF157" s="2107">
        <v>-9999</v>
      </c>
      <c r="EG157" s="2107">
        <v>-9999</v>
      </c>
      <c r="EH157" s="2107">
        <v>-9999</v>
      </c>
      <c r="EI157" s="2107">
        <v>-9999</v>
      </c>
      <c r="EJ157" s="2107">
        <v>-9999</v>
      </c>
      <c r="EK157" s="2107">
        <v>-9999</v>
      </c>
      <c r="EL157" s="2107">
        <v>-9999</v>
      </c>
      <c r="EM157" s="2107">
        <v>-9999</v>
      </c>
    </row>
    <row r="158" spans="1:143">
      <c r="A158" s="22">
        <v>58</v>
      </c>
      <c r="B158" s="1" t="s">
        <v>913</v>
      </c>
      <c r="C158" s="1286">
        <f ca="1">OFFSET('VVP2'!F186,0,Last_forecast_year - 3-InputY!$G$3)</f>
        <v>363.70625691107489</v>
      </c>
      <c r="D158" s="1286">
        <f ca="1">OFFSET('VVP2'!G186,0,Last_forecast_year - 3-InputY!$G$3)</f>
        <v>371.92980227062822</v>
      </c>
      <c r="E158" s="1286">
        <f ca="1">OFFSET('VVP2'!H186,0,Last_forecast_year - 3-InputY!$G$3)</f>
        <v>383.87252751966798</v>
      </c>
      <c r="F158" s="1286">
        <f ca="1">OFFSET('VVP2'!I186,0,Last_forecast_year - 3-InputY!$G$3)</f>
        <v>398.01204817909735</v>
      </c>
      <c r="G158" s="1286">
        <f ca="1">OFFSET('VVP2'!J186,0,Last_forecast_year - 3-InputY!$G$3)</f>
        <v>411.15361162497379</v>
      </c>
      <c r="H158" s="25">
        <v>-9999</v>
      </c>
      <c r="I158" s="25">
        <v>-9999</v>
      </c>
      <c r="J158" s="25">
        <v>-9999</v>
      </c>
      <c r="K158" s="25">
        <v>-9999</v>
      </c>
      <c r="L158" s="25">
        <v>-9999</v>
      </c>
      <c r="M158" s="25">
        <v>-9999</v>
      </c>
      <c r="N158" s="25">
        <v>-9999</v>
      </c>
      <c r="O158" s="25">
        <v>-9999</v>
      </c>
      <c r="P158" s="32"/>
      <c r="Q158"/>
      <c r="AA158" s="22">
        <v>58</v>
      </c>
      <c r="AB158" s="1081" t="str">
        <f t="shared" si="3"/>
        <v>VOL GROSS VALUE ADDED</v>
      </c>
      <c r="AC158" s="1081">
        <f>CHOOSE(Tables!$U$2,Transfer!CA158,Transfer!CN158,Transfer!DA158,Transfer!DN158,Transfer!EA158)</f>
        <v>363.70625691107489</v>
      </c>
      <c r="AD158" s="1081">
        <f>CHOOSE(Tables!$U$2,Transfer!CB158,Transfer!CO158,Transfer!DB158,Transfer!DO158,Transfer!EB158)</f>
        <v>371.92980227062822</v>
      </c>
      <c r="AE158" s="1081">
        <f>CHOOSE(Tables!$U$2,Transfer!CC158,Transfer!CP158,Transfer!DC158,Transfer!DP158,Transfer!EC158)</f>
        <v>383.87252751966798</v>
      </c>
      <c r="AF158" s="1081">
        <f>CHOOSE(Tables!$U$2,Transfer!CD158,Transfer!CQ158,Transfer!DD158,Transfer!DQ158,Transfer!ED158)</f>
        <v>397.76174974933514</v>
      </c>
      <c r="AG158" s="1081">
        <f>CHOOSE(Tables!$U$2,Transfer!CE158,Transfer!CR158,Transfer!DE158,Transfer!DR158,Transfer!EE158)</f>
        <v>410.75005528417324</v>
      </c>
      <c r="AH158" s="1081">
        <f>CHOOSE(Tables!$U$2,Transfer!CF158,Transfer!CS158,Transfer!DF158,Transfer!DS158,Transfer!EF158)</f>
        <v>-9999</v>
      </c>
      <c r="AI158" s="1081">
        <f>CHOOSE(Tables!$U$2,Transfer!CG158,Transfer!CT158,Transfer!DG158,Transfer!DT158,Transfer!EG158)</f>
        <v>-9999</v>
      </c>
      <c r="AJ158" s="1081">
        <f>CHOOSE(Tables!$U$2,Transfer!CH158,Transfer!CU158,Transfer!DH158,Transfer!DU158,Transfer!EH158)</f>
        <v>-9999</v>
      </c>
      <c r="AK158" s="1081">
        <f>CHOOSE(Tables!$U$2,Transfer!CI158,Transfer!CV158,Transfer!DI158,Transfer!DV158,Transfer!EI158)</f>
        <v>-9999</v>
      </c>
      <c r="AL158" s="1081">
        <f>CHOOSE(Tables!$U$2,Transfer!CJ158,Transfer!CW158,Transfer!DJ158,Transfer!DW158,Transfer!EJ158)</f>
        <v>-9999</v>
      </c>
      <c r="AM158" s="1081">
        <f>CHOOSE(Tables!$U$2,Transfer!CK158,Transfer!CX158,Transfer!DK158,Transfer!DX158,Transfer!EK158)</f>
        <v>-9999</v>
      </c>
      <c r="AN158" s="1081">
        <f>CHOOSE(Tables!$U$2,Transfer!CL158,Transfer!CY158,Transfer!DL158,Transfer!DY158,Transfer!EL158)</f>
        <v>-9999</v>
      </c>
      <c r="AO158" s="1081">
        <f>CHOOSE(Tables!$U$2,Transfer!CM158,Transfer!CZ158,Transfer!DM158,Transfer!DZ158,Transfer!EM158)</f>
        <v>-9999</v>
      </c>
      <c r="AR158" s="22">
        <v>58</v>
      </c>
      <c r="AS158" s="1" t="s">
        <v>913</v>
      </c>
      <c r="AT158" s="24">
        <f t="shared" ca="1" si="6"/>
        <v>0</v>
      </c>
      <c r="AU158" s="24">
        <f t="shared" ca="1" si="6"/>
        <v>0</v>
      </c>
      <c r="AV158" s="24">
        <f t="shared" ca="1" si="6"/>
        <v>0</v>
      </c>
      <c r="AW158" s="24">
        <f t="shared" ca="1" si="6"/>
        <v>0.25029842976221062</v>
      </c>
      <c r="AX158" s="24">
        <f t="shared" ca="1" si="6"/>
        <v>0.4035563408005487</v>
      </c>
      <c r="AY158" s="25">
        <f t="shared" si="6"/>
        <v>0</v>
      </c>
      <c r="AZ158" s="25">
        <f t="shared" si="6"/>
        <v>0</v>
      </c>
      <c r="BA158" s="25">
        <f t="shared" si="6"/>
        <v>0</v>
      </c>
      <c r="BB158" s="25">
        <f t="shared" si="6"/>
        <v>0</v>
      </c>
      <c r="BC158" s="25">
        <f t="shared" si="6"/>
        <v>0</v>
      </c>
      <c r="BD158" s="25">
        <f t="shared" si="6"/>
        <v>0</v>
      </c>
      <c r="BE158" s="25">
        <f t="shared" si="6"/>
        <v>0</v>
      </c>
      <c r="BF158" s="25">
        <f t="shared" si="6"/>
        <v>0</v>
      </c>
      <c r="CA158" s="16">
        <v>363.70625691107489</v>
      </c>
      <c r="CB158" s="16">
        <v>371.92980227062822</v>
      </c>
      <c r="CC158" s="16">
        <v>383.87252751966798</v>
      </c>
      <c r="CD158" s="16">
        <v>397.76174974933514</v>
      </c>
      <c r="CE158" s="16">
        <v>410.75005528417324</v>
      </c>
      <c r="CF158" s="16">
        <v>-9999</v>
      </c>
      <c r="CG158" s="16">
        <v>-9999</v>
      </c>
      <c r="CH158" s="16">
        <v>-9999</v>
      </c>
      <c r="CI158" s="16">
        <v>-9999</v>
      </c>
      <c r="CJ158" s="16">
        <v>-9999</v>
      </c>
      <c r="CK158" s="16">
        <v>-9999</v>
      </c>
      <c r="CL158" s="16">
        <v>-9999</v>
      </c>
      <c r="CM158" s="16">
        <v>-9999</v>
      </c>
      <c r="CN158" s="16">
        <v>363.70625691107489</v>
      </c>
      <c r="CO158" s="16">
        <v>371.92980227062822</v>
      </c>
      <c r="CP158" s="16">
        <v>383.73565097288775</v>
      </c>
      <c r="CQ158" s="16">
        <v>395.07286768570992</v>
      </c>
      <c r="CR158" s="16">
        <v>406.23341641405545</v>
      </c>
      <c r="CS158" s="16">
        <v>-9999</v>
      </c>
      <c r="CT158" s="16">
        <v>-9999</v>
      </c>
      <c r="CU158" s="16">
        <v>-9999</v>
      </c>
      <c r="CV158" s="16">
        <v>-9999</v>
      </c>
      <c r="CW158" s="16">
        <v>-9999</v>
      </c>
      <c r="CX158" s="16">
        <v>-9999</v>
      </c>
      <c r="CY158" s="16">
        <v>-9999</v>
      </c>
      <c r="CZ158" s="16">
        <v>-9999</v>
      </c>
      <c r="DA158" s="16">
        <v>363.70625691107489</v>
      </c>
      <c r="DB158" s="16">
        <v>371.92980227062822</v>
      </c>
      <c r="DC158" s="16">
        <v>383.87252751966798</v>
      </c>
      <c r="DD158" s="16">
        <v>397.76174974933514</v>
      </c>
      <c r="DE158" s="16">
        <v>410.75005528417324</v>
      </c>
      <c r="DF158" s="16">
        <v>-9999</v>
      </c>
      <c r="DG158" s="16">
        <v>-9999</v>
      </c>
      <c r="DH158" s="16">
        <v>-9999</v>
      </c>
      <c r="DI158" s="16">
        <v>-9999</v>
      </c>
      <c r="DJ158" s="16">
        <v>-9999</v>
      </c>
      <c r="DK158" s="16">
        <v>-9999</v>
      </c>
      <c r="DL158" s="16">
        <v>-9999</v>
      </c>
      <c r="DM158" s="16">
        <v>-9999</v>
      </c>
      <c r="DN158" s="16">
        <v>363.70625691107489</v>
      </c>
      <c r="DO158" s="16">
        <v>371.92980227062822</v>
      </c>
      <c r="DP158" s="16">
        <v>383.87252751966798</v>
      </c>
      <c r="DQ158" s="16">
        <v>397.76174974933514</v>
      </c>
      <c r="DR158" s="16">
        <v>410.75005528417324</v>
      </c>
      <c r="DS158" s="16">
        <v>-9999</v>
      </c>
      <c r="DT158" s="16">
        <v>-9999</v>
      </c>
      <c r="DU158" s="16">
        <v>-9999</v>
      </c>
      <c r="DV158" s="16">
        <v>-9999</v>
      </c>
      <c r="DW158" s="16">
        <v>-9999</v>
      </c>
      <c r="DX158" s="16">
        <v>-9999</v>
      </c>
      <c r="DY158" s="16">
        <v>-9999</v>
      </c>
      <c r="DZ158" s="16">
        <v>-9999</v>
      </c>
      <c r="EA158" s="2106">
        <v>363.70625691107489</v>
      </c>
      <c r="EB158" s="2106">
        <v>371.92980227062822</v>
      </c>
      <c r="EC158" s="2106">
        <v>383.87252751966798</v>
      </c>
      <c r="ED158" s="2106">
        <v>398.01204817909735</v>
      </c>
      <c r="EE158" s="2106">
        <v>411.15361162497379</v>
      </c>
      <c r="EF158" s="2107">
        <v>-9999</v>
      </c>
      <c r="EG158" s="2107">
        <v>-9999</v>
      </c>
      <c r="EH158" s="2107">
        <v>-9999</v>
      </c>
      <c r="EI158" s="2107">
        <v>-9999</v>
      </c>
      <c r="EJ158" s="2107">
        <v>-9999</v>
      </c>
      <c r="EK158" s="2107">
        <v>-9999</v>
      </c>
      <c r="EL158" s="2107">
        <v>-9999</v>
      </c>
      <c r="EM158" s="2107">
        <v>-9999</v>
      </c>
    </row>
    <row r="159" spans="1:143">
      <c r="A159" s="22">
        <v>59</v>
      </c>
      <c r="B159" s="1" t="s">
        <v>931</v>
      </c>
      <c r="C159" s="20">
        <f ca="1">OFFSET(Labour1!F32,0,Last_forecast_year - 3-InputY!$G$3)</f>
        <v>4600.3999999999996</v>
      </c>
      <c r="D159" s="20">
        <f ca="1">OFFSET(Labour1!G32,0,Last_forecast_year - 3-InputY!$G$3)</f>
        <v>4658.1000000000004</v>
      </c>
      <c r="E159" s="20">
        <f ca="1">OFFSET(Labour1!H32,0,Last_forecast_year - 3-InputY!$G$3)</f>
        <v>4723.7</v>
      </c>
      <c r="F159" s="20">
        <f ca="1">OFFSET(Labour1!I32,0,Last_forecast_year - 3-InputY!$G$3)</f>
        <v>4782.3744499999993</v>
      </c>
      <c r="G159" s="2900">
        <f ca="1">OFFSET(Labour1!J32,0,Last_forecast_year - 3-InputY!$G$3)</f>
        <v>4832.4420419199987</v>
      </c>
      <c r="H159" s="25">
        <v>-9999</v>
      </c>
      <c r="I159" s="25">
        <v>-9999</v>
      </c>
      <c r="J159" s="25">
        <v>-9999</v>
      </c>
      <c r="K159" s="25">
        <v>-9999</v>
      </c>
      <c r="L159" s="25">
        <v>-9999</v>
      </c>
      <c r="M159" s="25">
        <v>-9999</v>
      </c>
      <c r="N159" s="25">
        <v>-9999</v>
      </c>
      <c r="O159" s="25">
        <v>-9999</v>
      </c>
      <c r="P159" s="32"/>
      <c r="Q159"/>
      <c r="AA159" s="22">
        <v>59</v>
      </c>
      <c r="AB159" s="1081" t="str">
        <f t="shared" si="3"/>
        <v>TOT. EMPLOYMENT PERSONS</v>
      </c>
      <c r="AC159" s="1081">
        <f>CHOOSE(Tables!$U$2,Transfer!CA159,Transfer!CN159,Transfer!DA159,Transfer!DN159,Transfer!EA159)</f>
        <v>4600.3999999999996</v>
      </c>
      <c r="AD159" s="1081">
        <f>CHOOSE(Tables!$U$2,Transfer!CB159,Transfer!CO159,Transfer!DB159,Transfer!DO159,Transfer!EB159)</f>
        <v>4658.1000000000004</v>
      </c>
      <c r="AE159" s="1081">
        <f>CHOOSE(Tables!$U$2,Transfer!CC159,Transfer!CP159,Transfer!DC159,Transfer!DP159,Transfer!EC159)</f>
        <v>4723.7</v>
      </c>
      <c r="AF159" s="1081">
        <f>CHOOSE(Tables!$U$2,Transfer!CD159,Transfer!CQ159,Transfer!DD159,Transfer!DQ159,Transfer!ED159)</f>
        <v>4782.2027499999995</v>
      </c>
      <c r="AG159" s="1081">
        <f>CHOOSE(Tables!$U$2,Transfer!CE159,Transfer!CR159,Transfer!DE159,Transfer!DR159,Transfer!EE159)</f>
        <v>4832.2703419199988</v>
      </c>
      <c r="AH159" s="1081">
        <f>CHOOSE(Tables!$U$2,Transfer!CF159,Transfer!CS159,Transfer!DF159,Transfer!DS159,Transfer!EF159)</f>
        <v>-9999</v>
      </c>
      <c r="AI159" s="1081">
        <f>CHOOSE(Tables!$U$2,Transfer!CG159,Transfer!CT159,Transfer!DG159,Transfer!DT159,Transfer!EG159)</f>
        <v>-9999</v>
      </c>
      <c r="AJ159" s="1081">
        <f>CHOOSE(Tables!$U$2,Transfer!CH159,Transfer!CU159,Transfer!DH159,Transfer!DU159,Transfer!EH159)</f>
        <v>-9999</v>
      </c>
      <c r="AK159" s="1081">
        <f>CHOOSE(Tables!$U$2,Transfer!CI159,Transfer!CV159,Transfer!DI159,Transfer!DV159,Transfer!EI159)</f>
        <v>-9999</v>
      </c>
      <c r="AL159" s="1081">
        <f>CHOOSE(Tables!$U$2,Transfer!CJ159,Transfer!CW159,Transfer!DJ159,Transfer!DW159,Transfer!EJ159)</f>
        <v>-9999</v>
      </c>
      <c r="AM159" s="1081">
        <f>CHOOSE(Tables!$U$2,Transfer!CK159,Transfer!CX159,Transfer!DK159,Transfer!DX159,Transfer!EK159)</f>
        <v>-9999</v>
      </c>
      <c r="AN159" s="1081">
        <f>CHOOSE(Tables!$U$2,Transfer!CL159,Transfer!CY159,Transfer!DL159,Transfer!DY159,Transfer!EL159)</f>
        <v>-9999</v>
      </c>
      <c r="AO159" s="1081">
        <f>CHOOSE(Tables!$U$2,Transfer!CM159,Transfer!CZ159,Transfer!DM159,Transfer!DZ159,Transfer!EM159)</f>
        <v>-9999</v>
      </c>
      <c r="AR159" s="22">
        <v>59</v>
      </c>
      <c r="AS159" s="1" t="s">
        <v>931</v>
      </c>
      <c r="AT159" s="20">
        <f t="shared" ca="1" si="6"/>
        <v>0</v>
      </c>
      <c r="AU159" s="20">
        <f t="shared" ca="1" si="6"/>
        <v>0</v>
      </c>
      <c r="AV159" s="20">
        <f t="shared" ca="1" si="6"/>
        <v>0</v>
      </c>
      <c r="AW159" s="20">
        <f t="shared" ca="1" si="6"/>
        <v>0.1716999999998734</v>
      </c>
      <c r="AX159" s="20">
        <f t="shared" ca="1" si="6"/>
        <v>0.1716999999998734</v>
      </c>
      <c r="AY159" s="25">
        <f t="shared" si="6"/>
        <v>0</v>
      </c>
      <c r="AZ159" s="25">
        <f t="shared" si="6"/>
        <v>0</v>
      </c>
      <c r="BA159" s="25">
        <f t="shared" si="6"/>
        <v>0</v>
      </c>
      <c r="BB159" s="25">
        <f t="shared" si="6"/>
        <v>0</v>
      </c>
      <c r="BC159" s="25">
        <f t="shared" si="6"/>
        <v>0</v>
      </c>
      <c r="BD159" s="25">
        <f t="shared" si="6"/>
        <v>0</v>
      </c>
      <c r="BE159" s="25">
        <f t="shared" si="6"/>
        <v>0</v>
      </c>
      <c r="BF159" s="25">
        <f t="shared" si="6"/>
        <v>0</v>
      </c>
      <c r="CA159" s="16">
        <v>4600.3999999999996</v>
      </c>
      <c r="CB159" s="16">
        <v>4658.1000000000004</v>
      </c>
      <c r="CC159" s="16">
        <v>4723.7</v>
      </c>
      <c r="CD159" s="16">
        <v>4782.2027499999995</v>
      </c>
      <c r="CE159" s="16">
        <v>4832.2703419199988</v>
      </c>
      <c r="CF159" s="16">
        <v>-9999</v>
      </c>
      <c r="CG159" s="16">
        <v>-9999</v>
      </c>
      <c r="CH159" s="16">
        <v>-9999</v>
      </c>
      <c r="CI159" s="16">
        <v>-9999</v>
      </c>
      <c r="CJ159" s="16">
        <v>-9999</v>
      </c>
      <c r="CK159" s="16">
        <v>-9999</v>
      </c>
      <c r="CL159" s="16">
        <v>-9999</v>
      </c>
      <c r="CM159" s="16">
        <v>-9999</v>
      </c>
      <c r="CN159" s="16">
        <v>4600.3999999999996</v>
      </c>
      <c r="CO159" s="16">
        <v>4658.1000000000004</v>
      </c>
      <c r="CP159" s="16">
        <v>4721.9732524459077</v>
      </c>
      <c r="CQ159" s="16">
        <v>4776.3559363016757</v>
      </c>
      <c r="CR159" s="16">
        <v>4821.4048877560544</v>
      </c>
      <c r="CS159" s="16">
        <v>-9999</v>
      </c>
      <c r="CT159" s="16">
        <v>-9999</v>
      </c>
      <c r="CU159" s="16">
        <v>-9999</v>
      </c>
      <c r="CV159" s="16">
        <v>-9999</v>
      </c>
      <c r="CW159" s="16">
        <v>-9999</v>
      </c>
      <c r="CX159" s="16">
        <v>-9999</v>
      </c>
      <c r="CY159" s="16">
        <v>-9999</v>
      </c>
      <c r="CZ159" s="16">
        <v>-9999</v>
      </c>
      <c r="DA159" s="16">
        <v>4600.3999999999996</v>
      </c>
      <c r="DB159" s="16">
        <v>4658.1000000000004</v>
      </c>
      <c r="DC159" s="16">
        <v>4723.7</v>
      </c>
      <c r="DD159" s="16">
        <v>4782.2027499999995</v>
      </c>
      <c r="DE159" s="16">
        <v>4832.2703419199988</v>
      </c>
      <c r="DF159" s="16">
        <v>-9999</v>
      </c>
      <c r="DG159" s="16">
        <v>-9999</v>
      </c>
      <c r="DH159" s="16">
        <v>-9999</v>
      </c>
      <c r="DI159" s="16">
        <v>-9999</v>
      </c>
      <c r="DJ159" s="16">
        <v>-9999</v>
      </c>
      <c r="DK159" s="16">
        <v>-9999</v>
      </c>
      <c r="DL159" s="16">
        <v>-9999</v>
      </c>
      <c r="DM159" s="16">
        <v>-9999</v>
      </c>
      <c r="DN159" s="16">
        <v>4600.3999999999996</v>
      </c>
      <c r="DO159" s="16">
        <v>4658.1000000000004</v>
      </c>
      <c r="DP159" s="16">
        <v>4723.7</v>
      </c>
      <c r="DQ159" s="16">
        <v>4782.2027499999995</v>
      </c>
      <c r="DR159" s="16">
        <v>4832.2703419199988</v>
      </c>
      <c r="DS159" s="16">
        <v>-9999</v>
      </c>
      <c r="DT159" s="16">
        <v>-9999</v>
      </c>
      <c r="DU159" s="16">
        <v>-9999</v>
      </c>
      <c r="DV159" s="16">
        <v>-9999</v>
      </c>
      <c r="DW159" s="16">
        <v>-9999</v>
      </c>
      <c r="DX159" s="16">
        <v>-9999</v>
      </c>
      <c r="DY159" s="16">
        <v>-9999</v>
      </c>
      <c r="DZ159" s="16">
        <v>-9999</v>
      </c>
      <c r="EA159" s="2106">
        <v>4600.3999999999996</v>
      </c>
      <c r="EB159" s="2106">
        <v>4658.1000000000004</v>
      </c>
      <c r="EC159" s="2106">
        <v>4723.7</v>
      </c>
      <c r="ED159" s="2106">
        <v>4782.3744499999993</v>
      </c>
      <c r="EE159" s="2106">
        <v>4832.4420419199987</v>
      </c>
      <c r="EF159" s="2107">
        <v>-9999</v>
      </c>
      <c r="EG159" s="2107">
        <v>-9999</v>
      </c>
      <c r="EH159" s="2107">
        <v>-9999</v>
      </c>
      <c r="EI159" s="2107">
        <v>-9999</v>
      </c>
      <c r="EJ159" s="2107">
        <v>-9999</v>
      </c>
      <c r="EK159" s="2107">
        <v>-9999</v>
      </c>
      <c r="EL159" s="2107">
        <v>-9999</v>
      </c>
      <c r="EM159" s="2107">
        <v>-9999</v>
      </c>
    </row>
    <row r="160" spans="1:143">
      <c r="A160" s="22">
        <v>60</v>
      </c>
      <c r="B160" s="31" t="s">
        <v>2139</v>
      </c>
      <c r="C160" s="34">
        <v>-9999</v>
      </c>
      <c r="D160" s="34">
        <v>-9999</v>
      </c>
      <c r="E160" s="34">
        <v>-9999</v>
      </c>
      <c r="F160" s="34">
        <v>-9999</v>
      </c>
      <c r="G160" s="34">
        <v>-9999</v>
      </c>
      <c r="H160" s="25">
        <v>-9999</v>
      </c>
      <c r="I160" s="25">
        <v>-9999</v>
      </c>
      <c r="J160" s="25">
        <v>-9999</v>
      </c>
      <c r="K160" s="25">
        <v>-9999</v>
      </c>
      <c r="L160" s="25">
        <v>-9999</v>
      </c>
      <c r="M160" s="25">
        <v>-9999</v>
      </c>
      <c r="N160" s="25">
        <v>-9999</v>
      </c>
      <c r="O160" s="25">
        <v>-9999</v>
      </c>
      <c r="P160" s="32"/>
      <c r="Q160"/>
      <c r="AA160" s="22">
        <v>60</v>
      </c>
      <c r="AB160" s="1081" t="str">
        <f t="shared" si="3"/>
        <v>TOT. EMPLOYMENT F.T.E.</v>
      </c>
      <c r="AC160" s="1081">
        <f>CHOOSE(Tables!$U$2,Transfer!CA160,Transfer!CN160,Transfer!DA160,Transfer!DN160,Transfer!EA160)</f>
        <v>-9999</v>
      </c>
      <c r="AD160" s="1081">
        <f>CHOOSE(Tables!$U$2,Transfer!CB160,Transfer!CO160,Transfer!DB160,Transfer!DO160,Transfer!EB160)</f>
        <v>-9999</v>
      </c>
      <c r="AE160" s="1081">
        <f>CHOOSE(Tables!$U$2,Transfer!CC160,Transfer!CP160,Transfer!DC160,Transfer!DP160,Transfer!EC160)</f>
        <v>-9999</v>
      </c>
      <c r="AF160" s="1081">
        <f>CHOOSE(Tables!$U$2,Transfer!CD160,Transfer!CQ160,Transfer!DD160,Transfer!DQ160,Transfer!ED160)</f>
        <v>-9999</v>
      </c>
      <c r="AG160" s="1081">
        <f>CHOOSE(Tables!$U$2,Transfer!CE160,Transfer!CR160,Transfer!DE160,Transfer!DR160,Transfer!EE160)</f>
        <v>-9999</v>
      </c>
      <c r="AH160" s="1081">
        <f>CHOOSE(Tables!$U$2,Transfer!CF160,Transfer!CS160,Transfer!DF160,Transfer!DS160,Transfer!EF160)</f>
        <v>-9999</v>
      </c>
      <c r="AI160" s="1081">
        <f>CHOOSE(Tables!$U$2,Transfer!CG160,Transfer!CT160,Transfer!DG160,Transfer!DT160,Transfer!EG160)</f>
        <v>-9999</v>
      </c>
      <c r="AJ160" s="1081">
        <f>CHOOSE(Tables!$U$2,Transfer!CH160,Transfer!CU160,Transfer!DH160,Transfer!DU160,Transfer!EH160)</f>
        <v>-9999</v>
      </c>
      <c r="AK160" s="1081">
        <f>CHOOSE(Tables!$U$2,Transfer!CI160,Transfer!CV160,Transfer!DI160,Transfer!DV160,Transfer!EI160)</f>
        <v>-9999</v>
      </c>
      <c r="AL160" s="1081">
        <f>CHOOSE(Tables!$U$2,Transfer!CJ160,Transfer!CW160,Transfer!DJ160,Transfer!DW160,Transfer!EJ160)</f>
        <v>-9999</v>
      </c>
      <c r="AM160" s="1081">
        <f>CHOOSE(Tables!$U$2,Transfer!CK160,Transfer!CX160,Transfer!DK160,Transfer!DX160,Transfer!EK160)</f>
        <v>-9999</v>
      </c>
      <c r="AN160" s="1081">
        <f>CHOOSE(Tables!$U$2,Transfer!CL160,Transfer!CY160,Transfer!DL160,Transfer!DY160,Transfer!EL160)</f>
        <v>-9999</v>
      </c>
      <c r="AO160" s="1081">
        <f>CHOOSE(Tables!$U$2,Transfer!CM160,Transfer!CZ160,Transfer!DM160,Transfer!DZ160,Transfer!EM160)</f>
        <v>-9999</v>
      </c>
      <c r="AR160" s="22">
        <v>60</v>
      </c>
      <c r="AS160" s="31" t="s">
        <v>2139</v>
      </c>
      <c r="AT160" s="1978">
        <f t="shared" si="6"/>
        <v>0</v>
      </c>
      <c r="AU160" s="34">
        <f t="shared" si="6"/>
        <v>0</v>
      </c>
      <c r="AV160" s="1978">
        <f t="shared" si="6"/>
        <v>0</v>
      </c>
      <c r="AW160" s="1978">
        <f t="shared" si="6"/>
        <v>0</v>
      </c>
      <c r="AX160" s="1978">
        <f t="shared" si="6"/>
        <v>0</v>
      </c>
      <c r="AY160" s="25">
        <f t="shared" si="6"/>
        <v>0</v>
      </c>
      <c r="AZ160" s="25">
        <f t="shared" si="6"/>
        <v>0</v>
      </c>
      <c r="BA160" s="25">
        <f t="shared" si="6"/>
        <v>0</v>
      </c>
      <c r="BB160" s="25">
        <f t="shared" si="6"/>
        <v>0</v>
      </c>
      <c r="BC160" s="25">
        <f t="shared" si="6"/>
        <v>0</v>
      </c>
      <c r="BD160" s="25">
        <f t="shared" si="6"/>
        <v>0</v>
      </c>
      <c r="BE160" s="25">
        <f t="shared" si="6"/>
        <v>0</v>
      </c>
      <c r="BF160" s="25">
        <f t="shared" si="6"/>
        <v>0</v>
      </c>
      <c r="CA160" s="16">
        <v>-9999</v>
      </c>
      <c r="CB160" s="16">
        <v>-9999</v>
      </c>
      <c r="CC160" s="16">
        <v>-9999</v>
      </c>
      <c r="CD160" s="16">
        <v>-9999</v>
      </c>
      <c r="CE160" s="16">
        <v>-9999</v>
      </c>
      <c r="CF160" s="16">
        <v>-9999</v>
      </c>
      <c r="CG160" s="16">
        <v>-9999</v>
      </c>
      <c r="CH160" s="16">
        <v>-9999</v>
      </c>
      <c r="CI160" s="16">
        <v>-9999</v>
      </c>
      <c r="CJ160" s="16">
        <v>-9999</v>
      </c>
      <c r="CK160" s="16">
        <v>-9999</v>
      </c>
      <c r="CL160" s="16">
        <v>-9999</v>
      </c>
      <c r="CM160" s="16">
        <v>-9999</v>
      </c>
      <c r="CN160" s="16">
        <v>-9999</v>
      </c>
      <c r="CO160" s="16">
        <v>-9999</v>
      </c>
      <c r="CP160" s="16">
        <v>-9999</v>
      </c>
      <c r="CQ160" s="16">
        <v>-9999</v>
      </c>
      <c r="CR160" s="16">
        <v>-9999</v>
      </c>
      <c r="CS160" s="16">
        <v>-9999</v>
      </c>
      <c r="CT160" s="16">
        <v>-9999</v>
      </c>
      <c r="CU160" s="16">
        <v>-9999</v>
      </c>
      <c r="CV160" s="16">
        <v>-9999</v>
      </c>
      <c r="CW160" s="16">
        <v>-9999</v>
      </c>
      <c r="CX160" s="16">
        <v>-9999</v>
      </c>
      <c r="CY160" s="16">
        <v>-9999</v>
      </c>
      <c r="CZ160" s="16">
        <v>-9999</v>
      </c>
      <c r="DA160" s="16">
        <v>-9999</v>
      </c>
      <c r="DB160" s="16">
        <v>-9999</v>
      </c>
      <c r="DC160" s="16">
        <v>-9999</v>
      </c>
      <c r="DD160" s="16">
        <v>-9999</v>
      </c>
      <c r="DE160" s="16">
        <v>-9999</v>
      </c>
      <c r="DF160" s="16">
        <v>-9999</v>
      </c>
      <c r="DG160" s="16">
        <v>-9999</v>
      </c>
      <c r="DH160" s="16">
        <v>-9999</v>
      </c>
      <c r="DI160" s="16">
        <v>-9999</v>
      </c>
      <c r="DJ160" s="16">
        <v>-9999</v>
      </c>
      <c r="DK160" s="16">
        <v>-9999</v>
      </c>
      <c r="DL160" s="16">
        <v>-9999</v>
      </c>
      <c r="DM160" s="16">
        <v>-9999</v>
      </c>
      <c r="DN160" s="16">
        <v>-9999</v>
      </c>
      <c r="DO160" s="16">
        <v>-9999</v>
      </c>
      <c r="DP160" s="16">
        <v>-9999</v>
      </c>
      <c r="DQ160" s="16">
        <v>-9999</v>
      </c>
      <c r="DR160" s="16">
        <v>-9999</v>
      </c>
      <c r="DS160" s="16">
        <v>-9999</v>
      </c>
      <c r="DT160" s="16">
        <v>-9999</v>
      </c>
      <c r="DU160" s="16">
        <v>-9999</v>
      </c>
      <c r="DV160" s="16">
        <v>-9999</v>
      </c>
      <c r="DW160" s="16">
        <v>-9999</v>
      </c>
      <c r="DX160" s="16">
        <v>-9999</v>
      </c>
      <c r="DY160" s="16">
        <v>-9999</v>
      </c>
      <c r="DZ160" s="16">
        <v>-9999</v>
      </c>
      <c r="EA160" s="2107">
        <v>-9999</v>
      </c>
      <c r="EB160" s="2107">
        <v>-9999</v>
      </c>
      <c r="EC160" s="2107">
        <v>-9999</v>
      </c>
      <c r="ED160" s="2107">
        <v>-9999</v>
      </c>
      <c r="EE160" s="2107">
        <v>-9999</v>
      </c>
      <c r="EF160" s="2107">
        <v>-9999</v>
      </c>
      <c r="EG160" s="2107">
        <v>-9999</v>
      </c>
      <c r="EH160" s="2107">
        <v>-9999</v>
      </c>
      <c r="EI160" s="2107">
        <v>-9999</v>
      </c>
      <c r="EJ160" s="2107">
        <v>-9999</v>
      </c>
      <c r="EK160" s="2107">
        <v>-9999</v>
      </c>
      <c r="EL160" s="2107">
        <v>-9999</v>
      </c>
      <c r="EM160" s="2107">
        <v>-9999</v>
      </c>
    </row>
    <row r="161" spans="1:143">
      <c r="A161" s="22">
        <v>61</v>
      </c>
      <c r="B161" s="1" t="s">
        <v>933</v>
      </c>
      <c r="C161" s="24">
        <f ca="1">OFFSET(Labour1!F214,0,Last_forecast_year - 3-InputY!$G$3)</f>
        <v>206.54179999999999</v>
      </c>
      <c r="D161" s="24">
        <f ca="1">OFFSET(Labour1!G214,0,Last_forecast_year - 3-InputY!$G$3)</f>
        <v>209.14500000000001</v>
      </c>
      <c r="E161" s="24">
        <f ca="1">OFFSET(Labour1!H214,0,Last_forecast_year - 3-InputY!$G$3)</f>
        <v>215.74179999999998</v>
      </c>
      <c r="F161" s="24">
        <f ca="1">OFFSET(Labour1!I214,0,Last_forecast_year - 3-InputY!$G$3)</f>
        <v>222.85392806550556</v>
      </c>
      <c r="G161" s="24">
        <f ca="1">OFFSET(Labour1!J214,0,Last_forecast_year - 3-InputY!$G$3)</f>
        <v>229.99237146146336</v>
      </c>
      <c r="H161" s="25">
        <v>-9999</v>
      </c>
      <c r="I161" s="25">
        <v>-9999</v>
      </c>
      <c r="J161" s="25">
        <v>-9999</v>
      </c>
      <c r="K161" s="25">
        <v>-9999</v>
      </c>
      <c r="L161" s="25">
        <v>-9999</v>
      </c>
      <c r="M161" s="25">
        <v>-9999</v>
      </c>
      <c r="N161" s="25">
        <v>-9999</v>
      </c>
      <c r="O161" s="25">
        <v>-9999</v>
      </c>
      <c r="P161" s="32"/>
      <c r="Q161"/>
      <c r="AA161" s="22">
        <v>61</v>
      </c>
      <c r="AB161" s="1081" t="str">
        <f t="shared" si="3"/>
        <v>TOT. COMPENSATION OF EMPLOYEES</v>
      </c>
      <c r="AC161" s="1081">
        <f>CHOOSE(Tables!$U$2,Transfer!CA161,Transfer!CN161,Transfer!DA161,Transfer!DN161,Transfer!EA161)</f>
        <v>206.54179999999999</v>
      </c>
      <c r="AD161" s="1081">
        <f>CHOOSE(Tables!$U$2,Transfer!CB161,Transfer!CO161,Transfer!DB161,Transfer!DO161,Transfer!EB161)</f>
        <v>209.14500000000001</v>
      </c>
      <c r="AE161" s="1081">
        <f>CHOOSE(Tables!$U$2,Transfer!CC161,Transfer!CP161,Transfer!DC161,Transfer!DP161,Transfer!EC161)</f>
        <v>215.74179999999998</v>
      </c>
      <c r="AF161" s="1081">
        <f>CHOOSE(Tables!$U$2,Transfer!CD161,Transfer!CQ161,Transfer!DD161,Transfer!DQ161,Transfer!ED161)</f>
        <v>222.84357554340693</v>
      </c>
      <c r="AG161" s="1081">
        <f>CHOOSE(Tables!$U$2,Transfer!CE161,Transfer!CR161,Transfer!DE161,Transfer!DR161,Transfer!EE161)</f>
        <v>229.9818197910879</v>
      </c>
      <c r="AH161" s="1081">
        <f>CHOOSE(Tables!$U$2,Transfer!CF161,Transfer!CS161,Transfer!DF161,Transfer!DS161,Transfer!EF161)</f>
        <v>-9999</v>
      </c>
      <c r="AI161" s="1081">
        <f>CHOOSE(Tables!$U$2,Transfer!CG161,Transfer!CT161,Transfer!DG161,Transfer!DT161,Transfer!EG161)</f>
        <v>-9999</v>
      </c>
      <c r="AJ161" s="1081">
        <f>CHOOSE(Tables!$U$2,Transfer!CH161,Transfer!CU161,Transfer!DH161,Transfer!DU161,Transfer!EH161)</f>
        <v>-9999</v>
      </c>
      <c r="AK161" s="1081">
        <f>CHOOSE(Tables!$U$2,Transfer!CI161,Transfer!CV161,Transfer!DI161,Transfer!DV161,Transfer!EI161)</f>
        <v>-9999</v>
      </c>
      <c r="AL161" s="1081">
        <f>CHOOSE(Tables!$U$2,Transfer!CJ161,Transfer!CW161,Transfer!DJ161,Transfer!DW161,Transfer!EJ161)</f>
        <v>-9999</v>
      </c>
      <c r="AM161" s="1081">
        <f>CHOOSE(Tables!$U$2,Transfer!CK161,Transfer!CX161,Transfer!DK161,Transfer!DX161,Transfer!EK161)</f>
        <v>-9999</v>
      </c>
      <c r="AN161" s="1081">
        <f>CHOOSE(Tables!$U$2,Transfer!CL161,Transfer!CY161,Transfer!DL161,Transfer!DY161,Transfer!EL161)</f>
        <v>-9999</v>
      </c>
      <c r="AO161" s="1081">
        <f>CHOOSE(Tables!$U$2,Transfer!CM161,Transfer!CZ161,Transfer!DM161,Transfer!DZ161,Transfer!EM161)</f>
        <v>-9999</v>
      </c>
      <c r="AR161" s="22">
        <v>61</v>
      </c>
      <c r="AS161" s="1" t="s">
        <v>933</v>
      </c>
      <c r="AT161" s="24">
        <f t="shared" ca="1" si="6"/>
        <v>0</v>
      </c>
      <c r="AU161" s="24">
        <f t="shared" ca="1" si="6"/>
        <v>0</v>
      </c>
      <c r="AV161" s="24">
        <f t="shared" ca="1" si="6"/>
        <v>0</v>
      </c>
      <c r="AW161" s="24">
        <f t="shared" ca="1" si="6"/>
        <v>1.0352522098628469E-2</v>
      </c>
      <c r="AX161" s="24">
        <f t="shared" ca="1" si="6"/>
        <v>1.0551670375463118E-2</v>
      </c>
      <c r="AY161" s="25">
        <f t="shared" si="6"/>
        <v>0</v>
      </c>
      <c r="AZ161" s="25">
        <f t="shared" si="6"/>
        <v>0</v>
      </c>
      <c r="BA161" s="25">
        <f t="shared" si="6"/>
        <v>0</v>
      </c>
      <c r="BB161" s="25">
        <f t="shared" si="6"/>
        <v>0</v>
      </c>
      <c r="BC161" s="25">
        <f t="shared" si="6"/>
        <v>0</v>
      </c>
      <c r="BD161" s="25">
        <f t="shared" si="6"/>
        <v>0</v>
      </c>
      <c r="BE161" s="25">
        <f t="shared" si="6"/>
        <v>0</v>
      </c>
      <c r="BF161" s="25">
        <f t="shared" si="6"/>
        <v>0</v>
      </c>
      <c r="CA161" s="16">
        <v>206.54179999999999</v>
      </c>
      <c r="CB161" s="16">
        <v>209.14500000000001</v>
      </c>
      <c r="CC161" s="16">
        <v>215.74179999999998</v>
      </c>
      <c r="CD161" s="16">
        <v>222.84357554340693</v>
      </c>
      <c r="CE161" s="16">
        <v>229.9818197910879</v>
      </c>
      <c r="CF161" s="16">
        <v>-9999</v>
      </c>
      <c r="CG161" s="16">
        <v>-9999</v>
      </c>
      <c r="CH161" s="16">
        <v>-9999</v>
      </c>
      <c r="CI161" s="16">
        <v>-9999</v>
      </c>
      <c r="CJ161" s="16">
        <v>-9999</v>
      </c>
      <c r="CK161" s="16">
        <v>-9999</v>
      </c>
      <c r="CL161" s="16">
        <v>-9999</v>
      </c>
      <c r="CM161" s="16">
        <v>-9999</v>
      </c>
      <c r="CN161" s="16">
        <v>206.54179999999999</v>
      </c>
      <c r="CO161" s="16">
        <v>209.14500000000001</v>
      </c>
      <c r="CP161" s="16">
        <v>215.58360947611135</v>
      </c>
      <c r="CQ161" s="16">
        <v>222.47637540933084</v>
      </c>
      <c r="CR161" s="16">
        <v>229.65057481506497</v>
      </c>
      <c r="CS161" s="16">
        <v>-9999</v>
      </c>
      <c r="CT161" s="16">
        <v>-9999</v>
      </c>
      <c r="CU161" s="16">
        <v>-9999</v>
      </c>
      <c r="CV161" s="16">
        <v>-9999</v>
      </c>
      <c r="CW161" s="16">
        <v>-9999</v>
      </c>
      <c r="CX161" s="16">
        <v>-9999</v>
      </c>
      <c r="CY161" s="16">
        <v>-9999</v>
      </c>
      <c r="CZ161" s="16">
        <v>-9999</v>
      </c>
      <c r="DA161" s="16">
        <v>206.54179999999999</v>
      </c>
      <c r="DB161" s="16">
        <v>209.14500000000001</v>
      </c>
      <c r="DC161" s="16">
        <v>215.74179999999998</v>
      </c>
      <c r="DD161" s="16">
        <v>222.84357554340693</v>
      </c>
      <c r="DE161" s="16">
        <v>229.9818197910879</v>
      </c>
      <c r="DF161" s="16">
        <v>-9999</v>
      </c>
      <c r="DG161" s="16">
        <v>-9999</v>
      </c>
      <c r="DH161" s="16">
        <v>-9999</v>
      </c>
      <c r="DI161" s="16">
        <v>-9999</v>
      </c>
      <c r="DJ161" s="16">
        <v>-9999</v>
      </c>
      <c r="DK161" s="16">
        <v>-9999</v>
      </c>
      <c r="DL161" s="16">
        <v>-9999</v>
      </c>
      <c r="DM161" s="16">
        <v>-9999</v>
      </c>
      <c r="DN161" s="16">
        <v>206.54179999999999</v>
      </c>
      <c r="DO161" s="16">
        <v>209.14500000000001</v>
      </c>
      <c r="DP161" s="16">
        <v>215.74179999999998</v>
      </c>
      <c r="DQ161" s="16">
        <v>222.84357554340693</v>
      </c>
      <c r="DR161" s="16">
        <v>229.9818197910879</v>
      </c>
      <c r="DS161" s="16">
        <v>-9999</v>
      </c>
      <c r="DT161" s="16">
        <v>-9999</v>
      </c>
      <c r="DU161" s="16">
        <v>-9999</v>
      </c>
      <c r="DV161" s="16">
        <v>-9999</v>
      </c>
      <c r="DW161" s="16">
        <v>-9999</v>
      </c>
      <c r="DX161" s="16">
        <v>-9999</v>
      </c>
      <c r="DY161" s="16">
        <v>-9999</v>
      </c>
      <c r="DZ161" s="16">
        <v>-9999</v>
      </c>
      <c r="EA161" s="2106">
        <v>206.54179999999999</v>
      </c>
      <c r="EB161" s="2106">
        <v>209.14500000000001</v>
      </c>
      <c r="EC161" s="2106">
        <v>215.74179999999998</v>
      </c>
      <c r="ED161" s="2106">
        <v>222.85392806550556</v>
      </c>
      <c r="EE161" s="2106">
        <v>229.99237146146336</v>
      </c>
      <c r="EF161" s="2107">
        <v>-9999</v>
      </c>
      <c r="EG161" s="2107">
        <v>-9999</v>
      </c>
      <c r="EH161" s="2107">
        <v>-9999</v>
      </c>
      <c r="EI161" s="2107">
        <v>-9999</v>
      </c>
      <c r="EJ161" s="2107">
        <v>-9999</v>
      </c>
      <c r="EK161" s="2107">
        <v>-9999</v>
      </c>
      <c r="EL161" s="2107">
        <v>-9999</v>
      </c>
      <c r="EM161" s="2107">
        <v>-9999</v>
      </c>
    </row>
    <row r="162" spans="1:143">
      <c r="A162" s="22">
        <v>62</v>
      </c>
      <c r="B162" s="31" t="s">
        <v>934</v>
      </c>
      <c r="C162" s="24">
        <f ca="1">OFFSET(Labour1!F135,0,Last_forecast_year - 3-InputY!$G$3)</f>
        <v>149.10410000000002</v>
      </c>
      <c r="D162" s="24">
        <f ca="1">OFFSET(Labour1!G135,0,Last_forecast_year - 3-InputY!$G$3)</f>
        <v>152.82429999999999</v>
      </c>
      <c r="E162" s="24">
        <f ca="1">OFFSET(Labour1!H135,0,Last_forecast_year - 3-InputY!$G$3)</f>
        <v>157.89510000000001</v>
      </c>
      <c r="F162" s="24">
        <f ca="1">OFFSET(Labour1!I135,0,Last_forecast_year - 3-InputY!$G$3)</f>
        <v>163.44911996871582</v>
      </c>
      <c r="G162" s="24">
        <f ca="1">OFFSET(Labour1!J135,0,Last_forecast_year - 3-InputY!$G$3)</f>
        <v>168.64815252048436</v>
      </c>
      <c r="H162" s="25">
        <v>-9999</v>
      </c>
      <c r="I162" s="25">
        <v>-9999</v>
      </c>
      <c r="J162" s="25">
        <v>-9999</v>
      </c>
      <c r="K162" s="25">
        <v>-9999</v>
      </c>
      <c r="L162" s="25">
        <v>-9999</v>
      </c>
      <c r="M162" s="25">
        <v>-9999</v>
      </c>
      <c r="N162" s="25">
        <v>-9999</v>
      </c>
      <c r="O162" s="25">
        <v>-9999</v>
      </c>
      <c r="P162" s="32"/>
      <c r="Q162"/>
      <c r="AA162" s="22">
        <v>62</v>
      </c>
      <c r="AB162" s="1081" t="str">
        <f t="shared" si="3"/>
        <v>TOT. WAGES AND SALARIES</v>
      </c>
      <c r="AC162" s="1081">
        <f>CHOOSE(Tables!$U$2,Transfer!CA162,Transfer!CN162,Transfer!DA162,Transfer!DN162,Transfer!EA162)</f>
        <v>149.10410000000002</v>
      </c>
      <c r="AD162" s="1081">
        <f>CHOOSE(Tables!$U$2,Transfer!CB162,Transfer!CO162,Transfer!DB162,Transfer!DO162,Transfer!EB162)</f>
        <v>152.82429999999999</v>
      </c>
      <c r="AE162" s="1081">
        <f>CHOOSE(Tables!$U$2,Transfer!CC162,Transfer!CP162,Transfer!DC162,Transfer!DP162,Transfer!EC162)</f>
        <v>157.89510000000001</v>
      </c>
      <c r="AF162" s="1081">
        <f>CHOOSE(Tables!$U$2,Transfer!CD162,Transfer!CQ162,Transfer!DD162,Transfer!DQ162,Transfer!ED162)</f>
        <v>163.43810339913028</v>
      </c>
      <c r="AG162" s="1081">
        <f>CHOOSE(Tables!$U$2,Transfer!CE162,Transfer!CR162,Transfer!DE162,Transfer!DR162,Transfer!EE162)</f>
        <v>168.63691561950714</v>
      </c>
      <c r="AH162" s="1081">
        <f>CHOOSE(Tables!$U$2,Transfer!CF162,Transfer!CS162,Transfer!DF162,Transfer!DS162,Transfer!EF162)</f>
        <v>-9999</v>
      </c>
      <c r="AI162" s="1081">
        <f>CHOOSE(Tables!$U$2,Transfer!CG162,Transfer!CT162,Transfer!DG162,Transfer!DT162,Transfer!EG162)</f>
        <v>-9999</v>
      </c>
      <c r="AJ162" s="1081">
        <f>CHOOSE(Tables!$U$2,Transfer!CH162,Transfer!CU162,Transfer!DH162,Transfer!DU162,Transfer!EH162)</f>
        <v>-9999</v>
      </c>
      <c r="AK162" s="1081">
        <f>CHOOSE(Tables!$U$2,Transfer!CI162,Transfer!CV162,Transfer!DI162,Transfer!DV162,Transfer!EI162)</f>
        <v>-9999</v>
      </c>
      <c r="AL162" s="1081">
        <f>CHOOSE(Tables!$U$2,Transfer!CJ162,Transfer!CW162,Transfer!DJ162,Transfer!DW162,Transfer!EJ162)</f>
        <v>-9999</v>
      </c>
      <c r="AM162" s="1081">
        <f>CHOOSE(Tables!$U$2,Transfer!CK162,Transfer!CX162,Transfer!DK162,Transfer!DX162,Transfer!EK162)</f>
        <v>-9999</v>
      </c>
      <c r="AN162" s="1081">
        <f>CHOOSE(Tables!$U$2,Transfer!CL162,Transfer!CY162,Transfer!DL162,Transfer!DY162,Transfer!EL162)</f>
        <v>-9999</v>
      </c>
      <c r="AO162" s="1081">
        <f>CHOOSE(Tables!$U$2,Transfer!CM162,Transfer!CZ162,Transfer!DM162,Transfer!DZ162,Transfer!EM162)</f>
        <v>-9999</v>
      </c>
      <c r="AR162" s="22">
        <v>62</v>
      </c>
      <c r="AS162" s="31" t="s">
        <v>934</v>
      </c>
      <c r="AT162" s="24">
        <f t="shared" ca="1" si="6"/>
        <v>0</v>
      </c>
      <c r="AU162" s="24">
        <f t="shared" ca="1" si="6"/>
        <v>0</v>
      </c>
      <c r="AV162" s="24">
        <f t="shared" ca="1" si="6"/>
        <v>0</v>
      </c>
      <c r="AW162" s="24">
        <f t="shared" ca="1" si="6"/>
        <v>1.1016569585535763E-2</v>
      </c>
      <c r="AX162" s="24">
        <f t="shared" ca="1" si="6"/>
        <v>1.123690097722374E-2</v>
      </c>
      <c r="AY162" s="25">
        <f t="shared" si="6"/>
        <v>0</v>
      </c>
      <c r="AZ162" s="25">
        <f t="shared" si="6"/>
        <v>0</v>
      </c>
      <c r="BA162" s="25">
        <f t="shared" si="6"/>
        <v>0</v>
      </c>
      <c r="BB162" s="25">
        <f t="shared" si="6"/>
        <v>0</v>
      </c>
      <c r="BC162" s="25">
        <f t="shared" si="6"/>
        <v>0</v>
      </c>
      <c r="BD162" s="25">
        <f t="shared" si="6"/>
        <v>0</v>
      </c>
      <c r="BE162" s="25">
        <f t="shared" si="6"/>
        <v>0</v>
      </c>
      <c r="BF162" s="25">
        <f t="shared" si="6"/>
        <v>0</v>
      </c>
      <c r="CA162" s="16">
        <v>149.10410000000002</v>
      </c>
      <c r="CB162" s="16">
        <v>152.82429999999999</v>
      </c>
      <c r="CC162" s="16">
        <v>157.89510000000001</v>
      </c>
      <c r="CD162" s="16">
        <v>163.43810339913028</v>
      </c>
      <c r="CE162" s="16">
        <v>168.63691561950714</v>
      </c>
      <c r="CF162" s="16">
        <v>-9999</v>
      </c>
      <c r="CG162" s="16">
        <v>-9999</v>
      </c>
      <c r="CH162" s="16">
        <v>-9999</v>
      </c>
      <c r="CI162" s="16">
        <v>-9999</v>
      </c>
      <c r="CJ162" s="16">
        <v>-9999</v>
      </c>
      <c r="CK162" s="16">
        <v>-9999</v>
      </c>
      <c r="CL162" s="16">
        <v>-9999</v>
      </c>
      <c r="CM162" s="16">
        <v>-9999</v>
      </c>
      <c r="CN162" s="16">
        <v>149.10410000000002</v>
      </c>
      <c r="CO162" s="16">
        <v>152.82429999999999</v>
      </c>
      <c r="CP162" s="16">
        <v>157.96211250873631</v>
      </c>
      <c r="CQ162" s="16">
        <v>163.07633834854761</v>
      </c>
      <c r="CR162" s="16">
        <v>168.34391637191453</v>
      </c>
      <c r="CS162" s="16">
        <v>-9999</v>
      </c>
      <c r="CT162" s="16">
        <v>-9999</v>
      </c>
      <c r="CU162" s="16">
        <v>-9999</v>
      </c>
      <c r="CV162" s="16">
        <v>-9999</v>
      </c>
      <c r="CW162" s="16">
        <v>-9999</v>
      </c>
      <c r="CX162" s="16">
        <v>-9999</v>
      </c>
      <c r="CY162" s="16">
        <v>-9999</v>
      </c>
      <c r="CZ162" s="16">
        <v>-9999</v>
      </c>
      <c r="DA162" s="16">
        <v>149.10410000000002</v>
      </c>
      <c r="DB162" s="16">
        <v>152.82429999999999</v>
      </c>
      <c r="DC162" s="16">
        <v>157.89510000000001</v>
      </c>
      <c r="DD162" s="16">
        <v>163.43810339913028</v>
      </c>
      <c r="DE162" s="16">
        <v>168.63691561950714</v>
      </c>
      <c r="DF162" s="16">
        <v>-9999</v>
      </c>
      <c r="DG162" s="16">
        <v>-9999</v>
      </c>
      <c r="DH162" s="16">
        <v>-9999</v>
      </c>
      <c r="DI162" s="16">
        <v>-9999</v>
      </c>
      <c r="DJ162" s="16">
        <v>-9999</v>
      </c>
      <c r="DK162" s="16">
        <v>-9999</v>
      </c>
      <c r="DL162" s="16">
        <v>-9999</v>
      </c>
      <c r="DM162" s="16">
        <v>-9999</v>
      </c>
      <c r="DN162" s="16">
        <v>149.10410000000002</v>
      </c>
      <c r="DO162" s="16">
        <v>152.82429999999999</v>
      </c>
      <c r="DP162" s="16">
        <v>157.89510000000001</v>
      </c>
      <c r="DQ162" s="16">
        <v>163.43810339913028</v>
      </c>
      <c r="DR162" s="16">
        <v>168.63691561950714</v>
      </c>
      <c r="DS162" s="16">
        <v>-9999</v>
      </c>
      <c r="DT162" s="16">
        <v>-9999</v>
      </c>
      <c r="DU162" s="16">
        <v>-9999</v>
      </c>
      <c r="DV162" s="16">
        <v>-9999</v>
      </c>
      <c r="DW162" s="16">
        <v>-9999</v>
      </c>
      <c r="DX162" s="16">
        <v>-9999</v>
      </c>
      <c r="DY162" s="16">
        <v>-9999</v>
      </c>
      <c r="DZ162" s="16">
        <v>-9999</v>
      </c>
      <c r="EA162" s="2106">
        <v>149.10410000000002</v>
      </c>
      <c r="EB162" s="2106">
        <v>152.82429999999999</v>
      </c>
      <c r="EC162" s="2106">
        <v>157.89510000000001</v>
      </c>
      <c r="ED162" s="2106">
        <v>163.44911996871582</v>
      </c>
      <c r="EE162" s="2106">
        <v>168.64815252048436</v>
      </c>
      <c r="EF162" s="2107">
        <v>-9999</v>
      </c>
      <c r="EG162" s="2107">
        <v>-9999</v>
      </c>
      <c r="EH162" s="2107">
        <v>-9999</v>
      </c>
      <c r="EI162" s="2107">
        <v>-9999</v>
      </c>
      <c r="EJ162" s="2107">
        <v>-9999</v>
      </c>
      <c r="EK162" s="2107">
        <v>-9999</v>
      </c>
      <c r="EL162" s="2107">
        <v>-9999</v>
      </c>
      <c r="EM162" s="2107">
        <v>-9999</v>
      </c>
    </row>
    <row r="163" spans="1:143">
      <c r="A163" s="22">
        <v>63</v>
      </c>
      <c r="B163" s="1" t="s">
        <v>935</v>
      </c>
      <c r="C163" s="20">
        <f ca="1">OFFSET(Labour1!F30,0,Last_forecast_year - 3-InputY!$G$3)</f>
        <v>3835.3</v>
      </c>
      <c r="D163" s="20">
        <f ca="1">OFFSET(Labour1!G30,0,Last_forecast_year - 3-InputY!$G$3)</f>
        <v>3879.8</v>
      </c>
      <c r="E163" s="20">
        <f ca="1">OFFSET(Labour1!H30,0,Last_forecast_year - 3-InputY!$G$3)</f>
        <v>3934.5</v>
      </c>
      <c r="F163" s="20">
        <f ca="1">OFFSET(Labour1!I30,0,Last_forecast_year - 3-InputY!$G$3)</f>
        <v>3982.9148500000001</v>
      </c>
      <c r="G163" s="20">
        <f ca="1">OFFSET(Labour1!J30,0,Last_forecast_year - 3-InputY!$G$3)</f>
        <v>4022.5894671199994</v>
      </c>
      <c r="H163" s="25">
        <v>-9999</v>
      </c>
      <c r="I163" s="25">
        <v>-9999</v>
      </c>
      <c r="J163" s="25">
        <v>-9999</v>
      </c>
      <c r="K163" s="25">
        <v>-9999</v>
      </c>
      <c r="L163" s="25">
        <v>-9999</v>
      </c>
      <c r="M163" s="25">
        <v>-9999</v>
      </c>
      <c r="N163" s="25">
        <v>-9999</v>
      </c>
      <c r="O163" s="25">
        <v>-9999</v>
      </c>
      <c r="P163" s="32"/>
      <c r="Q163"/>
      <c r="AA163" s="22">
        <v>63</v>
      </c>
      <c r="AB163" s="1081" t="str">
        <f t="shared" si="3"/>
        <v>TOT. WAGE AND SALARY EARNERS PERSONS</v>
      </c>
      <c r="AC163" s="1081">
        <f>CHOOSE(Tables!$U$2,Transfer!CA163,Transfer!CN163,Transfer!DA163,Transfer!DN163,Transfer!EA163)</f>
        <v>3835.3</v>
      </c>
      <c r="AD163" s="1081">
        <f>CHOOSE(Tables!$U$2,Transfer!CB163,Transfer!CO163,Transfer!DB163,Transfer!DO163,Transfer!EB163)</f>
        <v>3879.8</v>
      </c>
      <c r="AE163" s="1081">
        <f>CHOOSE(Tables!$U$2,Transfer!CC163,Transfer!CP163,Transfer!DC163,Transfer!DP163,Transfer!EC163)</f>
        <v>3934.5</v>
      </c>
      <c r="AF163" s="1081">
        <f>CHOOSE(Tables!$U$2,Transfer!CD163,Transfer!CQ163,Transfer!DD163,Transfer!DQ163,Transfer!ED163)</f>
        <v>3982.7431499999998</v>
      </c>
      <c r="AG163" s="1081">
        <f>CHOOSE(Tables!$U$2,Transfer!CE163,Transfer!CR163,Transfer!DE163,Transfer!DR163,Transfer!EE163)</f>
        <v>4022.4177671199996</v>
      </c>
      <c r="AH163" s="1081">
        <f>CHOOSE(Tables!$U$2,Transfer!CF163,Transfer!CS163,Transfer!DF163,Transfer!DS163,Transfer!EF163)</f>
        <v>-9999</v>
      </c>
      <c r="AI163" s="1081">
        <f>CHOOSE(Tables!$U$2,Transfer!CG163,Transfer!CT163,Transfer!DG163,Transfer!DT163,Transfer!EG163)</f>
        <v>-9999</v>
      </c>
      <c r="AJ163" s="1081">
        <f>CHOOSE(Tables!$U$2,Transfer!CH163,Transfer!CU163,Transfer!DH163,Transfer!DU163,Transfer!EH163)</f>
        <v>-9999</v>
      </c>
      <c r="AK163" s="1081">
        <f>CHOOSE(Tables!$U$2,Transfer!CI163,Transfer!CV163,Transfer!DI163,Transfer!DV163,Transfer!EI163)</f>
        <v>-9999</v>
      </c>
      <c r="AL163" s="1081">
        <f>CHOOSE(Tables!$U$2,Transfer!CJ163,Transfer!CW163,Transfer!DJ163,Transfer!DW163,Transfer!EJ163)</f>
        <v>-9999</v>
      </c>
      <c r="AM163" s="1081">
        <f>CHOOSE(Tables!$U$2,Transfer!CK163,Transfer!CX163,Transfer!DK163,Transfer!DX163,Transfer!EK163)</f>
        <v>-9999</v>
      </c>
      <c r="AN163" s="1081">
        <f>CHOOSE(Tables!$U$2,Transfer!CL163,Transfer!CY163,Transfer!DL163,Transfer!DY163,Transfer!EL163)</f>
        <v>-9999</v>
      </c>
      <c r="AO163" s="1081">
        <f>CHOOSE(Tables!$U$2,Transfer!CM163,Transfer!CZ163,Transfer!DM163,Transfer!DZ163,Transfer!EM163)</f>
        <v>-9999</v>
      </c>
      <c r="AR163" s="22">
        <v>63</v>
      </c>
      <c r="AS163" s="1" t="s">
        <v>935</v>
      </c>
      <c r="AT163" s="20">
        <f t="shared" ca="1" si="6"/>
        <v>0</v>
      </c>
      <c r="AU163" s="20">
        <f t="shared" ca="1" si="6"/>
        <v>0</v>
      </c>
      <c r="AV163" s="20">
        <f t="shared" ca="1" si="6"/>
        <v>0</v>
      </c>
      <c r="AW163" s="20">
        <f t="shared" ca="1" si="6"/>
        <v>0.17170000000032815</v>
      </c>
      <c r="AX163" s="20">
        <f t="shared" ca="1" si="6"/>
        <v>0.1716999999998734</v>
      </c>
      <c r="AY163" s="25">
        <f t="shared" si="6"/>
        <v>0</v>
      </c>
      <c r="AZ163" s="25">
        <f t="shared" si="6"/>
        <v>0</v>
      </c>
      <c r="BA163" s="25">
        <f t="shared" si="6"/>
        <v>0</v>
      </c>
      <c r="BB163" s="25">
        <f t="shared" si="6"/>
        <v>0</v>
      </c>
      <c r="BC163" s="25">
        <f t="shared" si="6"/>
        <v>0</v>
      </c>
      <c r="BD163" s="25">
        <f t="shared" si="6"/>
        <v>0</v>
      </c>
      <c r="BE163" s="25">
        <f t="shared" si="6"/>
        <v>0</v>
      </c>
      <c r="BF163" s="25">
        <f t="shared" si="6"/>
        <v>0</v>
      </c>
      <c r="CA163" s="16">
        <v>3835.3</v>
      </c>
      <c r="CB163" s="16">
        <v>3879.8</v>
      </c>
      <c r="CC163" s="16">
        <v>3934.5</v>
      </c>
      <c r="CD163" s="16">
        <v>3982.7431499999998</v>
      </c>
      <c r="CE163" s="16">
        <v>4022.4177671199996</v>
      </c>
      <c r="CF163" s="16">
        <v>-9999</v>
      </c>
      <c r="CG163" s="16">
        <v>-9999</v>
      </c>
      <c r="CH163" s="16">
        <v>-9999</v>
      </c>
      <c r="CI163" s="16">
        <v>-9999</v>
      </c>
      <c r="CJ163" s="16">
        <v>-9999</v>
      </c>
      <c r="CK163" s="16">
        <v>-9999</v>
      </c>
      <c r="CL163" s="16">
        <v>-9999</v>
      </c>
      <c r="CM163" s="16">
        <v>-9999</v>
      </c>
      <c r="CN163" s="16">
        <v>3835.3</v>
      </c>
      <c r="CO163" s="16">
        <v>3879.8</v>
      </c>
      <c r="CP163" s="16">
        <v>3932.7770524459074</v>
      </c>
      <c r="CQ163" s="16">
        <v>3976.900185701676</v>
      </c>
      <c r="CR163" s="16">
        <v>4011.556212398254</v>
      </c>
      <c r="CS163" s="16">
        <v>-9999</v>
      </c>
      <c r="CT163" s="16">
        <v>-9999</v>
      </c>
      <c r="CU163" s="16">
        <v>-9999</v>
      </c>
      <c r="CV163" s="16">
        <v>-9999</v>
      </c>
      <c r="CW163" s="16">
        <v>-9999</v>
      </c>
      <c r="CX163" s="16">
        <v>-9999</v>
      </c>
      <c r="CY163" s="16">
        <v>-9999</v>
      </c>
      <c r="CZ163" s="16">
        <v>-9999</v>
      </c>
      <c r="DA163" s="16">
        <v>3835.3</v>
      </c>
      <c r="DB163" s="16">
        <v>3879.8</v>
      </c>
      <c r="DC163" s="16">
        <v>3934.5</v>
      </c>
      <c r="DD163" s="16">
        <v>3982.7431499999998</v>
      </c>
      <c r="DE163" s="16">
        <v>4022.4177671199996</v>
      </c>
      <c r="DF163" s="16">
        <v>-9999</v>
      </c>
      <c r="DG163" s="16">
        <v>-9999</v>
      </c>
      <c r="DH163" s="16">
        <v>-9999</v>
      </c>
      <c r="DI163" s="16">
        <v>-9999</v>
      </c>
      <c r="DJ163" s="16">
        <v>-9999</v>
      </c>
      <c r="DK163" s="16">
        <v>-9999</v>
      </c>
      <c r="DL163" s="16">
        <v>-9999</v>
      </c>
      <c r="DM163" s="16">
        <v>-9999</v>
      </c>
      <c r="DN163" s="16">
        <v>3835.3</v>
      </c>
      <c r="DO163" s="16">
        <v>3879.8</v>
      </c>
      <c r="DP163" s="16">
        <v>3934.5</v>
      </c>
      <c r="DQ163" s="16">
        <v>3982.7431499999998</v>
      </c>
      <c r="DR163" s="16">
        <v>4022.4177671199996</v>
      </c>
      <c r="DS163" s="16">
        <v>-9999</v>
      </c>
      <c r="DT163" s="16">
        <v>-9999</v>
      </c>
      <c r="DU163" s="16">
        <v>-9999</v>
      </c>
      <c r="DV163" s="16">
        <v>-9999</v>
      </c>
      <c r="DW163" s="16">
        <v>-9999</v>
      </c>
      <c r="DX163" s="16">
        <v>-9999</v>
      </c>
      <c r="DY163" s="16">
        <v>-9999</v>
      </c>
      <c r="DZ163" s="16">
        <v>-9999</v>
      </c>
      <c r="EA163" s="2106">
        <v>3835.3</v>
      </c>
      <c r="EB163" s="2106">
        <v>3879.8</v>
      </c>
      <c r="EC163" s="2106">
        <v>3934.5</v>
      </c>
      <c r="ED163" s="2106">
        <v>3982.9148500000001</v>
      </c>
      <c r="EE163" s="2106">
        <v>4022.5894671199994</v>
      </c>
      <c r="EF163" s="2107">
        <v>-9999</v>
      </c>
      <c r="EG163" s="2107">
        <v>-9999</v>
      </c>
      <c r="EH163" s="2107">
        <v>-9999</v>
      </c>
      <c r="EI163" s="2107">
        <v>-9999</v>
      </c>
      <c r="EJ163" s="2107">
        <v>-9999</v>
      </c>
      <c r="EK163" s="2107">
        <v>-9999</v>
      </c>
      <c r="EL163" s="2107">
        <v>-9999</v>
      </c>
      <c r="EM163" s="2107">
        <v>-9999</v>
      </c>
    </row>
    <row r="164" spans="1:143">
      <c r="A164" s="22">
        <v>64</v>
      </c>
      <c r="B164" s="1" t="s">
        <v>117</v>
      </c>
      <c r="C164" s="34">
        <v>-9999</v>
      </c>
      <c r="D164" s="34">
        <v>-9999</v>
      </c>
      <c r="E164" s="34">
        <v>-9999</v>
      </c>
      <c r="F164" s="34">
        <v>-9999</v>
      </c>
      <c r="G164" s="34">
        <v>-9999</v>
      </c>
      <c r="H164" s="25">
        <v>-9999</v>
      </c>
      <c r="I164" s="25">
        <v>-9999</v>
      </c>
      <c r="J164" s="25">
        <v>-9999</v>
      </c>
      <c r="K164" s="25">
        <v>-9999</v>
      </c>
      <c r="L164" s="25">
        <v>-9999</v>
      </c>
      <c r="M164" s="25">
        <v>-9999</v>
      </c>
      <c r="N164" s="25">
        <v>-9999</v>
      </c>
      <c r="O164" s="25">
        <v>-9999</v>
      </c>
      <c r="P164" s="32"/>
      <c r="Q164"/>
      <c r="AA164" s="22">
        <v>64</v>
      </c>
      <c r="AB164" s="1081" t="str">
        <f t="shared" si="3"/>
        <v>TOT. WAGE AND SALARY EARNERS F.T.E.</v>
      </c>
      <c r="AC164" s="1081">
        <f>CHOOSE(Tables!$U$2,Transfer!CA164,Transfer!CN164,Transfer!DA164,Transfer!DN164,Transfer!EA164)</f>
        <v>-9999</v>
      </c>
      <c r="AD164" s="1081">
        <f>CHOOSE(Tables!$U$2,Transfer!CB164,Transfer!CO164,Transfer!DB164,Transfer!DO164,Transfer!EB164)</f>
        <v>-9999</v>
      </c>
      <c r="AE164" s="1081">
        <f>CHOOSE(Tables!$U$2,Transfer!CC164,Transfer!CP164,Transfer!DC164,Transfer!DP164,Transfer!EC164)</f>
        <v>-9999</v>
      </c>
      <c r="AF164" s="1081">
        <f>CHOOSE(Tables!$U$2,Transfer!CD164,Transfer!CQ164,Transfer!DD164,Transfer!DQ164,Transfer!ED164)</f>
        <v>-9999</v>
      </c>
      <c r="AG164" s="1081">
        <f>CHOOSE(Tables!$U$2,Transfer!CE164,Transfer!CR164,Transfer!DE164,Transfer!DR164,Transfer!EE164)</f>
        <v>-9999</v>
      </c>
      <c r="AH164" s="1081">
        <f>CHOOSE(Tables!$U$2,Transfer!CF164,Transfer!CS164,Transfer!DF164,Transfer!DS164,Transfer!EF164)</f>
        <v>-9999</v>
      </c>
      <c r="AI164" s="1081">
        <f>CHOOSE(Tables!$U$2,Transfer!CG164,Transfer!CT164,Transfer!DG164,Transfer!DT164,Transfer!EG164)</f>
        <v>-9999</v>
      </c>
      <c r="AJ164" s="1081">
        <f>CHOOSE(Tables!$U$2,Transfer!CH164,Transfer!CU164,Transfer!DH164,Transfer!DU164,Transfer!EH164)</f>
        <v>-9999</v>
      </c>
      <c r="AK164" s="1081">
        <f>CHOOSE(Tables!$U$2,Transfer!CI164,Transfer!CV164,Transfer!DI164,Transfer!DV164,Transfer!EI164)</f>
        <v>-9999</v>
      </c>
      <c r="AL164" s="1081">
        <f>CHOOSE(Tables!$U$2,Transfer!CJ164,Transfer!CW164,Transfer!DJ164,Transfer!DW164,Transfer!EJ164)</f>
        <v>-9999</v>
      </c>
      <c r="AM164" s="1081">
        <f>CHOOSE(Tables!$U$2,Transfer!CK164,Transfer!CX164,Transfer!DK164,Transfer!DX164,Transfer!EK164)</f>
        <v>-9999</v>
      </c>
      <c r="AN164" s="1081">
        <f>CHOOSE(Tables!$U$2,Transfer!CL164,Transfer!CY164,Transfer!DL164,Transfer!DY164,Transfer!EL164)</f>
        <v>-9999</v>
      </c>
      <c r="AO164" s="1081">
        <f>CHOOSE(Tables!$U$2,Transfer!CM164,Transfer!CZ164,Transfer!DM164,Transfer!DZ164,Transfer!EM164)</f>
        <v>-9999</v>
      </c>
      <c r="AR164" s="22">
        <v>64</v>
      </c>
      <c r="AS164" s="1" t="s">
        <v>117</v>
      </c>
      <c r="AT164" s="1978">
        <f t="shared" si="6"/>
        <v>0</v>
      </c>
      <c r="AU164" s="1978">
        <f t="shared" si="6"/>
        <v>0</v>
      </c>
      <c r="AV164" s="1978">
        <f t="shared" si="6"/>
        <v>0</v>
      </c>
      <c r="AW164" s="1978">
        <f t="shared" si="6"/>
        <v>0</v>
      </c>
      <c r="AX164" s="1978">
        <f t="shared" si="6"/>
        <v>0</v>
      </c>
      <c r="AY164" s="25">
        <f t="shared" si="6"/>
        <v>0</v>
      </c>
      <c r="AZ164" s="25">
        <f t="shared" si="6"/>
        <v>0</v>
      </c>
      <c r="BA164" s="25">
        <f t="shared" si="6"/>
        <v>0</v>
      </c>
      <c r="BB164" s="25">
        <f t="shared" si="6"/>
        <v>0</v>
      </c>
      <c r="BC164" s="25">
        <f t="shared" si="6"/>
        <v>0</v>
      </c>
      <c r="BD164" s="25">
        <f t="shared" si="6"/>
        <v>0</v>
      </c>
      <c r="BE164" s="25">
        <f t="shared" si="6"/>
        <v>0</v>
      </c>
      <c r="BF164" s="25">
        <f t="shared" si="6"/>
        <v>0</v>
      </c>
      <c r="CA164" s="16">
        <v>-9999</v>
      </c>
      <c r="CB164" s="16">
        <v>-9999</v>
      </c>
      <c r="CC164" s="16">
        <v>-9999</v>
      </c>
      <c r="CD164" s="16">
        <v>-9999</v>
      </c>
      <c r="CE164" s="16">
        <v>-9999</v>
      </c>
      <c r="CF164" s="16">
        <v>-9999</v>
      </c>
      <c r="CG164" s="16">
        <v>-9999</v>
      </c>
      <c r="CH164" s="16">
        <v>-9999</v>
      </c>
      <c r="CI164" s="16">
        <v>-9999</v>
      </c>
      <c r="CJ164" s="16">
        <v>-9999</v>
      </c>
      <c r="CK164" s="16">
        <v>-9999</v>
      </c>
      <c r="CL164" s="16">
        <v>-9999</v>
      </c>
      <c r="CM164" s="16">
        <v>-9999</v>
      </c>
      <c r="CN164" s="16">
        <v>-9999</v>
      </c>
      <c r="CO164" s="16">
        <v>-9999</v>
      </c>
      <c r="CP164" s="16">
        <v>-9999</v>
      </c>
      <c r="CQ164" s="16">
        <v>-9999</v>
      </c>
      <c r="CR164" s="16">
        <v>-9999</v>
      </c>
      <c r="CS164" s="16">
        <v>-9999</v>
      </c>
      <c r="CT164" s="16">
        <v>-9999</v>
      </c>
      <c r="CU164" s="16">
        <v>-9999</v>
      </c>
      <c r="CV164" s="16">
        <v>-9999</v>
      </c>
      <c r="CW164" s="16">
        <v>-9999</v>
      </c>
      <c r="CX164" s="16">
        <v>-9999</v>
      </c>
      <c r="CY164" s="16">
        <v>-9999</v>
      </c>
      <c r="CZ164" s="16">
        <v>-9999</v>
      </c>
      <c r="DA164" s="16">
        <v>-9999</v>
      </c>
      <c r="DB164" s="16">
        <v>-9999</v>
      </c>
      <c r="DC164" s="16">
        <v>-9999</v>
      </c>
      <c r="DD164" s="16">
        <v>-9999</v>
      </c>
      <c r="DE164" s="16">
        <v>-9999</v>
      </c>
      <c r="DF164" s="16">
        <v>-9999</v>
      </c>
      <c r="DG164" s="16">
        <v>-9999</v>
      </c>
      <c r="DH164" s="16">
        <v>-9999</v>
      </c>
      <c r="DI164" s="16">
        <v>-9999</v>
      </c>
      <c r="DJ164" s="16">
        <v>-9999</v>
      </c>
      <c r="DK164" s="16">
        <v>-9999</v>
      </c>
      <c r="DL164" s="16">
        <v>-9999</v>
      </c>
      <c r="DM164" s="16">
        <v>-9999</v>
      </c>
      <c r="DN164" s="16">
        <v>-9999</v>
      </c>
      <c r="DO164" s="16">
        <v>-9999</v>
      </c>
      <c r="DP164" s="16">
        <v>-9999</v>
      </c>
      <c r="DQ164" s="16">
        <v>-9999</v>
      </c>
      <c r="DR164" s="16">
        <v>-9999</v>
      </c>
      <c r="DS164" s="16">
        <v>-9999</v>
      </c>
      <c r="DT164" s="16">
        <v>-9999</v>
      </c>
      <c r="DU164" s="16">
        <v>-9999</v>
      </c>
      <c r="DV164" s="16">
        <v>-9999</v>
      </c>
      <c r="DW164" s="16">
        <v>-9999</v>
      </c>
      <c r="DX164" s="16">
        <v>-9999</v>
      </c>
      <c r="DY164" s="16">
        <v>-9999</v>
      </c>
      <c r="DZ164" s="16">
        <v>-9999</v>
      </c>
      <c r="EA164" s="2107">
        <v>-9999</v>
      </c>
      <c r="EB164" s="2107">
        <v>-9999</v>
      </c>
      <c r="EC164" s="2107">
        <v>-9999</v>
      </c>
      <c r="ED164" s="2107">
        <v>-9999</v>
      </c>
      <c r="EE164" s="2107">
        <v>-9999</v>
      </c>
      <c r="EF164" s="2107">
        <v>-9999</v>
      </c>
      <c r="EG164" s="2107">
        <v>-9999</v>
      </c>
      <c r="EH164" s="2107">
        <v>-9999</v>
      </c>
      <c r="EI164" s="2107">
        <v>-9999</v>
      </c>
      <c r="EJ164" s="2107">
        <v>-9999</v>
      </c>
      <c r="EK164" s="2107">
        <v>-9999</v>
      </c>
      <c r="EL164" s="2107">
        <v>-9999</v>
      </c>
      <c r="EM164" s="2107">
        <v>-9999</v>
      </c>
    </row>
    <row r="165" spans="1:143">
      <c r="A165" s="22">
        <v>65</v>
      </c>
      <c r="B165" s="37" t="s">
        <v>1998</v>
      </c>
      <c r="C165" s="2914">
        <v>-9999</v>
      </c>
      <c r="D165" s="2914">
        <v>-9999</v>
      </c>
      <c r="E165" s="2914">
        <v>-9999</v>
      </c>
      <c r="F165" s="2914">
        <v>-9999</v>
      </c>
      <c r="G165" s="2914">
        <v>-9999</v>
      </c>
      <c r="H165" s="25">
        <v>-9999</v>
      </c>
      <c r="I165" s="25">
        <v>-9999</v>
      </c>
      <c r="J165" s="25">
        <v>-9999</v>
      </c>
      <c r="K165" s="25">
        <v>-9999</v>
      </c>
      <c r="L165" s="25">
        <v>-9999</v>
      </c>
      <c r="M165" s="25">
        <v>-9999</v>
      </c>
      <c r="N165" s="25">
        <v>-9999</v>
      </c>
      <c r="O165" s="25">
        <v>-9999</v>
      </c>
      <c r="P165" s="32"/>
      <c r="Q165"/>
      <c r="AA165" s="22">
        <v>65</v>
      </c>
      <c r="AB165" s="1081" t="str">
        <f t="shared" si="3"/>
        <v>FOR FUTURE USE</v>
      </c>
      <c r="AC165" s="1081">
        <f>CHOOSE(Tables!$U$2,Transfer!CA165,Transfer!CN165,Transfer!DA165,Transfer!DN165,Transfer!EA165)</f>
        <v>-9999</v>
      </c>
      <c r="AD165" s="1081">
        <f>CHOOSE(Tables!$U$2,Transfer!CB165,Transfer!CO165,Transfer!DB165,Transfer!DO165,Transfer!EB165)</f>
        <v>-9999</v>
      </c>
      <c r="AE165" s="1081">
        <f>CHOOSE(Tables!$U$2,Transfer!CC165,Transfer!CP165,Transfer!DC165,Transfer!DP165,Transfer!EC165)</f>
        <v>-9999</v>
      </c>
      <c r="AF165" s="1081">
        <f>CHOOSE(Tables!$U$2,Transfer!CD165,Transfer!CQ165,Transfer!DD165,Transfer!DQ165,Transfer!ED165)</f>
        <v>-9999</v>
      </c>
      <c r="AG165" s="1081">
        <f>CHOOSE(Tables!$U$2,Transfer!CE165,Transfer!CR165,Transfer!DE165,Transfer!DR165,Transfer!EE165)</f>
        <v>-9999</v>
      </c>
      <c r="AH165" s="1081">
        <f>CHOOSE(Tables!$U$2,Transfer!CF165,Transfer!CS165,Transfer!DF165,Transfer!DS165,Transfer!EF165)</f>
        <v>-9999</v>
      </c>
      <c r="AI165" s="1081">
        <f>CHOOSE(Tables!$U$2,Transfer!CG165,Transfer!CT165,Transfer!DG165,Transfer!DT165,Transfer!EG165)</f>
        <v>-9999</v>
      </c>
      <c r="AJ165" s="1081">
        <f>CHOOSE(Tables!$U$2,Transfer!CH165,Transfer!CU165,Transfer!DH165,Transfer!DU165,Transfer!EH165)</f>
        <v>-9999</v>
      </c>
      <c r="AK165" s="1081">
        <f>CHOOSE(Tables!$U$2,Transfer!CI165,Transfer!CV165,Transfer!DI165,Transfer!DV165,Transfer!EI165)</f>
        <v>-9999</v>
      </c>
      <c r="AL165" s="1081">
        <f>CHOOSE(Tables!$U$2,Transfer!CJ165,Transfer!CW165,Transfer!DJ165,Transfer!DW165,Transfer!EJ165)</f>
        <v>-9999</v>
      </c>
      <c r="AM165" s="1081">
        <f>CHOOSE(Tables!$U$2,Transfer!CK165,Transfer!CX165,Transfer!DK165,Transfer!DX165,Transfer!EK165)</f>
        <v>-9999</v>
      </c>
      <c r="AN165" s="1081">
        <f>CHOOSE(Tables!$U$2,Transfer!CL165,Transfer!CY165,Transfer!DL165,Transfer!DY165,Transfer!EL165)</f>
        <v>-9999</v>
      </c>
      <c r="AO165" s="1081">
        <f>CHOOSE(Tables!$U$2,Transfer!CM165,Transfer!CZ165,Transfer!DM165,Transfer!DZ165,Transfer!EM165)</f>
        <v>-9999</v>
      </c>
      <c r="AR165" s="22">
        <v>65</v>
      </c>
      <c r="AS165" s="1" t="s">
        <v>873</v>
      </c>
      <c r="AT165" s="1286">
        <f t="shared" si="6"/>
        <v>0</v>
      </c>
      <c r="AU165" s="1286">
        <f t="shared" si="6"/>
        <v>0</v>
      </c>
      <c r="AV165" s="1286">
        <f t="shared" si="6"/>
        <v>0</v>
      </c>
      <c r="AW165" s="1286">
        <f t="shared" si="6"/>
        <v>0</v>
      </c>
      <c r="AX165" s="1286">
        <f t="shared" si="6"/>
        <v>0</v>
      </c>
      <c r="AY165" s="25">
        <f t="shared" si="6"/>
        <v>0</v>
      </c>
      <c r="AZ165" s="25">
        <f t="shared" si="6"/>
        <v>0</v>
      </c>
      <c r="BA165" s="25">
        <f t="shared" si="6"/>
        <v>0</v>
      </c>
      <c r="BB165" s="25">
        <f t="shared" ref="AZ165:BF201" si="7">K165-AK165</f>
        <v>0</v>
      </c>
      <c r="BC165" s="25">
        <f t="shared" si="7"/>
        <v>0</v>
      </c>
      <c r="BD165" s="25">
        <f t="shared" si="7"/>
        <v>0</v>
      </c>
      <c r="BE165" s="25">
        <f t="shared" si="7"/>
        <v>0</v>
      </c>
      <c r="BF165" s="25">
        <f t="shared" si="7"/>
        <v>0</v>
      </c>
      <c r="CA165" s="16">
        <v>-9999</v>
      </c>
      <c r="CB165" s="16">
        <v>-9999</v>
      </c>
      <c r="CC165" s="16">
        <v>-9999</v>
      </c>
      <c r="CD165" s="16">
        <v>-9999</v>
      </c>
      <c r="CE165" s="16">
        <v>-9999</v>
      </c>
      <c r="CF165" s="16">
        <v>-9999</v>
      </c>
      <c r="CG165" s="16">
        <v>-9999</v>
      </c>
      <c r="CH165" s="16">
        <v>-9999</v>
      </c>
      <c r="CI165" s="16">
        <v>-9999</v>
      </c>
      <c r="CJ165" s="16">
        <v>-9999</v>
      </c>
      <c r="CK165" s="16">
        <v>-9999</v>
      </c>
      <c r="CL165" s="16">
        <v>-9999</v>
      </c>
      <c r="CM165" s="16">
        <v>-9999</v>
      </c>
      <c r="CN165" s="16">
        <v>-9999</v>
      </c>
      <c r="CO165" s="16">
        <v>-9999</v>
      </c>
      <c r="CP165" s="16">
        <v>-9999</v>
      </c>
      <c r="CQ165" s="16">
        <v>-9999</v>
      </c>
      <c r="CR165" s="16">
        <v>-9999</v>
      </c>
      <c r="CS165" s="16">
        <v>-9999</v>
      </c>
      <c r="CT165" s="16">
        <v>-9999</v>
      </c>
      <c r="CU165" s="16">
        <v>-9999</v>
      </c>
      <c r="CV165" s="16">
        <v>-9999</v>
      </c>
      <c r="CW165" s="16">
        <v>-9999</v>
      </c>
      <c r="CX165" s="16">
        <v>-9999</v>
      </c>
      <c r="CY165" s="16">
        <v>-9999</v>
      </c>
      <c r="CZ165" s="16">
        <v>-9999</v>
      </c>
      <c r="DA165" s="16">
        <v>-9999</v>
      </c>
      <c r="DB165" s="16">
        <v>-9999</v>
      </c>
      <c r="DC165" s="16">
        <v>-9999</v>
      </c>
      <c r="DD165" s="16">
        <v>-9999</v>
      </c>
      <c r="DE165" s="16">
        <v>-9999</v>
      </c>
      <c r="DF165" s="16">
        <v>-9999</v>
      </c>
      <c r="DG165" s="16">
        <v>-9999</v>
      </c>
      <c r="DH165" s="16">
        <v>-9999</v>
      </c>
      <c r="DI165" s="16">
        <v>-9999</v>
      </c>
      <c r="DJ165" s="16">
        <v>-9999</v>
      </c>
      <c r="DK165" s="16">
        <v>-9999</v>
      </c>
      <c r="DL165" s="16">
        <v>-9999</v>
      </c>
      <c r="DM165" s="16">
        <v>-9999</v>
      </c>
      <c r="DN165" s="16">
        <v>-9999</v>
      </c>
      <c r="DO165" s="16">
        <v>-9999</v>
      </c>
      <c r="DP165" s="16">
        <v>-9999</v>
      </c>
      <c r="DQ165" s="16">
        <v>-9999</v>
      </c>
      <c r="DR165" s="16">
        <v>-9999</v>
      </c>
      <c r="DS165" s="16">
        <v>-9999</v>
      </c>
      <c r="DT165" s="16">
        <v>-9999</v>
      </c>
      <c r="DU165" s="16">
        <v>-9999</v>
      </c>
      <c r="DV165" s="16">
        <v>-9999</v>
      </c>
      <c r="DW165" s="16">
        <v>-9999</v>
      </c>
      <c r="DX165" s="16">
        <v>-9999</v>
      </c>
      <c r="DY165" s="16">
        <v>-9999</v>
      </c>
      <c r="DZ165" s="16">
        <v>-9999</v>
      </c>
      <c r="EA165" s="2106">
        <v>-9999</v>
      </c>
      <c r="EB165" s="2106">
        <v>-9999</v>
      </c>
      <c r="EC165" s="2106">
        <v>-9999</v>
      </c>
      <c r="ED165" s="2106">
        <v>-9999</v>
      </c>
      <c r="EE165" s="2106">
        <v>-9999</v>
      </c>
      <c r="EF165" s="2107">
        <v>-9999</v>
      </c>
      <c r="EG165" s="2107">
        <v>-9999</v>
      </c>
      <c r="EH165" s="2107">
        <v>-9999</v>
      </c>
      <c r="EI165" s="2107">
        <v>-9999</v>
      </c>
      <c r="EJ165" s="2107">
        <v>-9999</v>
      </c>
      <c r="EK165" s="2107">
        <v>-9999</v>
      </c>
      <c r="EL165" s="2107">
        <v>-9999</v>
      </c>
      <c r="EM165" s="2107">
        <v>-9999</v>
      </c>
    </row>
    <row r="166" spans="1:143">
      <c r="A166" s="22">
        <v>66</v>
      </c>
      <c r="B166" s="37" t="s">
        <v>1998</v>
      </c>
      <c r="C166" s="2914">
        <v>-9999</v>
      </c>
      <c r="D166" s="2914">
        <v>-9999</v>
      </c>
      <c r="E166" s="2914">
        <v>-9999</v>
      </c>
      <c r="F166" s="2914">
        <v>-9999</v>
      </c>
      <c r="G166" s="2914">
        <v>-9999</v>
      </c>
      <c r="H166" s="25">
        <v>-9999</v>
      </c>
      <c r="I166" s="25">
        <v>-9999</v>
      </c>
      <c r="J166" s="25">
        <v>-9999</v>
      </c>
      <c r="K166" s="25">
        <v>-9999</v>
      </c>
      <c r="L166" s="25">
        <v>-9999</v>
      </c>
      <c r="M166" s="25">
        <v>-9999</v>
      </c>
      <c r="N166" s="25">
        <v>-9999</v>
      </c>
      <c r="O166" s="25">
        <v>-9999</v>
      </c>
      <c r="P166" s="32"/>
      <c r="Q166"/>
      <c r="AA166" s="22">
        <v>66</v>
      </c>
      <c r="AB166" s="1081" t="str">
        <f t="shared" ref="AB166:AB229" si="8">+B166</f>
        <v>FOR FUTURE USE</v>
      </c>
      <c r="AC166" s="1081">
        <f>CHOOSE(Tables!$U$2,Transfer!CA166,Transfer!CN166,Transfer!DA166,Transfer!DN166,Transfer!EA166)</f>
        <v>-9999</v>
      </c>
      <c r="AD166" s="1081">
        <f>CHOOSE(Tables!$U$2,Transfer!CB166,Transfer!CO166,Transfer!DB166,Transfer!DO166,Transfer!EB166)</f>
        <v>-9999</v>
      </c>
      <c r="AE166" s="1081">
        <f>CHOOSE(Tables!$U$2,Transfer!CC166,Transfer!CP166,Transfer!DC166,Transfer!DP166,Transfer!EC166)</f>
        <v>-9999</v>
      </c>
      <c r="AF166" s="1081">
        <f>CHOOSE(Tables!$U$2,Transfer!CD166,Transfer!CQ166,Transfer!DD166,Transfer!DQ166,Transfer!ED166)</f>
        <v>-9999</v>
      </c>
      <c r="AG166" s="1081">
        <f>CHOOSE(Tables!$U$2,Transfer!CE166,Transfer!CR166,Transfer!DE166,Transfer!DR166,Transfer!EE166)</f>
        <v>-9999</v>
      </c>
      <c r="AH166" s="1081">
        <f>CHOOSE(Tables!$U$2,Transfer!CF166,Transfer!CS166,Transfer!DF166,Transfer!DS166,Transfer!EF166)</f>
        <v>-9999</v>
      </c>
      <c r="AI166" s="1081">
        <f>CHOOSE(Tables!$U$2,Transfer!CG166,Transfer!CT166,Transfer!DG166,Transfer!DT166,Transfer!EG166)</f>
        <v>-9999</v>
      </c>
      <c r="AJ166" s="1081">
        <f>CHOOSE(Tables!$U$2,Transfer!CH166,Transfer!CU166,Transfer!DH166,Transfer!DU166,Transfer!EH166)</f>
        <v>-9999</v>
      </c>
      <c r="AK166" s="1081">
        <f>CHOOSE(Tables!$U$2,Transfer!CI166,Transfer!CV166,Transfer!DI166,Transfer!DV166,Transfer!EI166)</f>
        <v>-9999</v>
      </c>
      <c r="AL166" s="1081">
        <f>CHOOSE(Tables!$U$2,Transfer!CJ166,Transfer!CW166,Transfer!DJ166,Transfer!DW166,Transfer!EJ166)</f>
        <v>-9999</v>
      </c>
      <c r="AM166" s="1081">
        <f>CHOOSE(Tables!$U$2,Transfer!CK166,Transfer!CX166,Transfer!DK166,Transfer!DX166,Transfer!EK166)</f>
        <v>-9999</v>
      </c>
      <c r="AN166" s="1081">
        <f>CHOOSE(Tables!$U$2,Transfer!CL166,Transfer!CY166,Transfer!DL166,Transfer!DY166,Transfer!EL166)</f>
        <v>-9999</v>
      </c>
      <c r="AO166" s="1081">
        <f>CHOOSE(Tables!$U$2,Transfer!CM166,Transfer!CZ166,Transfer!DM166,Transfer!DZ166,Transfer!EM166)</f>
        <v>-9999</v>
      </c>
      <c r="AR166" s="22">
        <v>66</v>
      </c>
      <c r="AS166" s="1" t="s">
        <v>874</v>
      </c>
      <c r="AT166" s="24">
        <f t="shared" ref="AT166:BB181" si="9">C166-AC166</f>
        <v>0</v>
      </c>
      <c r="AU166" s="24">
        <f t="shared" si="9"/>
        <v>0</v>
      </c>
      <c r="AV166" s="24">
        <f t="shared" si="9"/>
        <v>0</v>
      </c>
      <c r="AW166" s="24">
        <f t="shared" si="9"/>
        <v>0</v>
      </c>
      <c r="AX166" s="1286">
        <f t="shared" si="9"/>
        <v>0</v>
      </c>
      <c r="AY166" s="25">
        <f t="shared" si="9"/>
        <v>0</v>
      </c>
      <c r="AZ166" s="25">
        <f t="shared" si="7"/>
        <v>0</v>
      </c>
      <c r="BA166" s="25">
        <f t="shared" si="7"/>
        <v>0</v>
      </c>
      <c r="BB166" s="25">
        <f t="shared" si="7"/>
        <v>0</v>
      </c>
      <c r="BC166" s="25">
        <f t="shared" si="7"/>
        <v>0</v>
      </c>
      <c r="BD166" s="25">
        <f t="shared" si="7"/>
        <v>0</v>
      </c>
      <c r="BE166" s="25">
        <f t="shared" si="7"/>
        <v>0</v>
      </c>
      <c r="BF166" s="25">
        <f t="shared" si="7"/>
        <v>0</v>
      </c>
      <c r="CA166" s="16">
        <v>-9999</v>
      </c>
      <c r="CB166" s="16">
        <v>-9999</v>
      </c>
      <c r="CC166" s="16">
        <v>-9999</v>
      </c>
      <c r="CD166" s="16">
        <v>-9999</v>
      </c>
      <c r="CE166" s="16">
        <v>-9999</v>
      </c>
      <c r="CF166" s="16">
        <v>-9999</v>
      </c>
      <c r="CG166" s="16">
        <v>-9999</v>
      </c>
      <c r="CH166" s="16">
        <v>-9999</v>
      </c>
      <c r="CI166" s="16">
        <v>-9999</v>
      </c>
      <c r="CJ166" s="16">
        <v>-9999</v>
      </c>
      <c r="CK166" s="16">
        <v>-9999</v>
      </c>
      <c r="CL166" s="16">
        <v>-9999</v>
      </c>
      <c r="CM166" s="16">
        <v>-9999</v>
      </c>
      <c r="CN166" s="16">
        <v>-9999</v>
      </c>
      <c r="CO166" s="16">
        <v>-9999</v>
      </c>
      <c r="CP166" s="16">
        <v>-9999</v>
      </c>
      <c r="CQ166" s="16">
        <v>-9999</v>
      </c>
      <c r="CR166" s="16">
        <v>-9999</v>
      </c>
      <c r="CS166" s="16">
        <v>-9999</v>
      </c>
      <c r="CT166" s="16">
        <v>-9999</v>
      </c>
      <c r="CU166" s="16">
        <v>-9999</v>
      </c>
      <c r="CV166" s="16">
        <v>-9999</v>
      </c>
      <c r="CW166" s="16">
        <v>-9999</v>
      </c>
      <c r="CX166" s="16">
        <v>-9999</v>
      </c>
      <c r="CY166" s="16">
        <v>-9999</v>
      </c>
      <c r="CZ166" s="16">
        <v>-9999</v>
      </c>
      <c r="DA166" s="16">
        <v>-9999</v>
      </c>
      <c r="DB166" s="16">
        <v>-9999</v>
      </c>
      <c r="DC166" s="16">
        <v>-9999</v>
      </c>
      <c r="DD166" s="16">
        <v>-9999</v>
      </c>
      <c r="DE166" s="16">
        <v>-9999</v>
      </c>
      <c r="DF166" s="16">
        <v>-9999</v>
      </c>
      <c r="DG166" s="16">
        <v>-9999</v>
      </c>
      <c r="DH166" s="16">
        <v>-9999</v>
      </c>
      <c r="DI166" s="16">
        <v>-9999</v>
      </c>
      <c r="DJ166" s="16">
        <v>-9999</v>
      </c>
      <c r="DK166" s="16">
        <v>-9999</v>
      </c>
      <c r="DL166" s="16">
        <v>-9999</v>
      </c>
      <c r="DM166" s="16">
        <v>-9999</v>
      </c>
      <c r="DN166" s="16">
        <v>-9999</v>
      </c>
      <c r="DO166" s="16">
        <v>-9999</v>
      </c>
      <c r="DP166" s="16">
        <v>-9999</v>
      </c>
      <c r="DQ166" s="16">
        <v>-9999</v>
      </c>
      <c r="DR166" s="16">
        <v>-9999</v>
      </c>
      <c r="DS166" s="16">
        <v>-9999</v>
      </c>
      <c r="DT166" s="16">
        <v>-9999</v>
      </c>
      <c r="DU166" s="16">
        <v>-9999</v>
      </c>
      <c r="DV166" s="16">
        <v>-9999</v>
      </c>
      <c r="DW166" s="16">
        <v>-9999</v>
      </c>
      <c r="DX166" s="16">
        <v>-9999</v>
      </c>
      <c r="DY166" s="16">
        <v>-9999</v>
      </c>
      <c r="DZ166" s="16">
        <v>-9999</v>
      </c>
      <c r="EA166" s="2106">
        <v>-9999</v>
      </c>
      <c r="EB166" s="2106">
        <v>-9999</v>
      </c>
      <c r="EC166" s="2106">
        <v>-9999</v>
      </c>
      <c r="ED166" s="2106">
        <v>-9999</v>
      </c>
      <c r="EE166" s="2106">
        <v>-9999</v>
      </c>
      <c r="EF166" s="2107">
        <v>-9999</v>
      </c>
      <c r="EG166" s="2107">
        <v>-9999</v>
      </c>
      <c r="EH166" s="2107">
        <v>-9999</v>
      </c>
      <c r="EI166" s="2107">
        <v>-9999</v>
      </c>
      <c r="EJ166" s="2107">
        <v>-9999</v>
      </c>
      <c r="EK166" s="2107">
        <v>-9999</v>
      </c>
      <c r="EL166" s="2107">
        <v>-9999</v>
      </c>
      <c r="EM166" s="2107">
        <v>-9999</v>
      </c>
    </row>
    <row r="167" spans="1:143">
      <c r="A167" s="22">
        <v>67</v>
      </c>
      <c r="B167" s="37" t="s">
        <v>1998</v>
      </c>
      <c r="C167" s="2914">
        <v>-9999</v>
      </c>
      <c r="D167" s="2914">
        <v>-9999</v>
      </c>
      <c r="E167" s="2914">
        <v>-9999</v>
      </c>
      <c r="F167" s="2914">
        <v>-9999</v>
      </c>
      <c r="G167" s="2914">
        <v>-9999</v>
      </c>
      <c r="H167" s="25">
        <v>-9999</v>
      </c>
      <c r="I167" s="25">
        <v>-9999</v>
      </c>
      <c r="J167" s="25">
        <v>-9999</v>
      </c>
      <c r="K167" s="25">
        <v>-9999</v>
      </c>
      <c r="L167" s="25">
        <v>-9999</v>
      </c>
      <c r="M167" s="25">
        <v>-9999</v>
      </c>
      <c r="N167" s="25">
        <v>-9999</v>
      </c>
      <c r="O167" s="25">
        <v>-9999</v>
      </c>
      <c r="P167" s="32"/>
      <c r="Q167"/>
      <c r="AA167" s="22">
        <v>67</v>
      </c>
      <c r="AB167" s="1081" t="str">
        <f t="shared" si="8"/>
        <v>FOR FUTURE USE</v>
      </c>
      <c r="AC167" s="1081">
        <f>CHOOSE(Tables!$U$2,Transfer!CA167,Transfer!CN167,Transfer!DA167,Transfer!DN167,Transfer!EA167)</f>
        <v>-9999</v>
      </c>
      <c r="AD167" s="1081">
        <f>CHOOSE(Tables!$U$2,Transfer!CB167,Transfer!CO167,Transfer!DB167,Transfer!DO167,Transfer!EB167)</f>
        <v>-9999</v>
      </c>
      <c r="AE167" s="1081">
        <f>CHOOSE(Tables!$U$2,Transfer!CC167,Transfer!CP167,Transfer!DC167,Transfer!DP167,Transfer!EC167)</f>
        <v>-9999</v>
      </c>
      <c r="AF167" s="1081">
        <f>CHOOSE(Tables!$U$2,Transfer!CD167,Transfer!CQ167,Transfer!DD167,Transfer!DQ167,Transfer!ED167)</f>
        <v>-9999</v>
      </c>
      <c r="AG167" s="1081">
        <f>CHOOSE(Tables!$U$2,Transfer!CE167,Transfer!CR167,Transfer!DE167,Transfer!DR167,Transfer!EE167)</f>
        <v>-9999</v>
      </c>
      <c r="AH167" s="1081">
        <f>CHOOSE(Tables!$U$2,Transfer!CF167,Transfer!CS167,Transfer!DF167,Transfer!DS167,Transfer!EF167)</f>
        <v>-9999</v>
      </c>
      <c r="AI167" s="1081">
        <f>CHOOSE(Tables!$U$2,Transfer!CG167,Transfer!CT167,Transfer!DG167,Transfer!DT167,Transfer!EG167)</f>
        <v>-9999</v>
      </c>
      <c r="AJ167" s="1081">
        <f>CHOOSE(Tables!$U$2,Transfer!CH167,Transfer!CU167,Transfer!DH167,Transfer!DU167,Transfer!EH167)</f>
        <v>-9999</v>
      </c>
      <c r="AK167" s="1081">
        <f>CHOOSE(Tables!$U$2,Transfer!CI167,Transfer!CV167,Transfer!DI167,Transfer!DV167,Transfer!EI167)</f>
        <v>-9999</v>
      </c>
      <c r="AL167" s="1081">
        <f>CHOOSE(Tables!$U$2,Transfer!CJ167,Transfer!CW167,Transfer!DJ167,Transfer!DW167,Transfer!EJ167)</f>
        <v>-9999</v>
      </c>
      <c r="AM167" s="1081">
        <f>CHOOSE(Tables!$U$2,Transfer!CK167,Transfer!CX167,Transfer!DK167,Transfer!DX167,Transfer!EK167)</f>
        <v>-9999</v>
      </c>
      <c r="AN167" s="1081">
        <f>CHOOSE(Tables!$U$2,Transfer!CL167,Transfer!CY167,Transfer!DL167,Transfer!DY167,Transfer!EL167)</f>
        <v>-9999</v>
      </c>
      <c r="AO167" s="1081">
        <f>CHOOSE(Tables!$U$2,Transfer!CM167,Transfer!CZ167,Transfer!DM167,Transfer!DZ167,Transfer!EM167)</f>
        <v>-9999</v>
      </c>
      <c r="AR167" s="22">
        <v>67</v>
      </c>
      <c r="AS167" s="1" t="s">
        <v>1551</v>
      </c>
      <c r="AT167" s="20">
        <f t="shared" si="9"/>
        <v>0</v>
      </c>
      <c r="AU167" s="20">
        <f t="shared" si="9"/>
        <v>0</v>
      </c>
      <c r="AV167" s="20">
        <f t="shared" si="9"/>
        <v>0</v>
      </c>
      <c r="AW167" s="20">
        <f t="shared" si="9"/>
        <v>0</v>
      </c>
      <c r="AX167" s="20">
        <f t="shared" si="9"/>
        <v>0</v>
      </c>
      <c r="AY167" s="25">
        <f t="shared" si="9"/>
        <v>0</v>
      </c>
      <c r="AZ167" s="25">
        <f t="shared" si="7"/>
        <v>0</v>
      </c>
      <c r="BA167" s="25">
        <f t="shared" si="7"/>
        <v>0</v>
      </c>
      <c r="BB167" s="25">
        <f t="shared" si="7"/>
        <v>0</v>
      </c>
      <c r="BC167" s="25">
        <f t="shared" si="7"/>
        <v>0</v>
      </c>
      <c r="BD167" s="25">
        <f t="shared" si="7"/>
        <v>0</v>
      </c>
      <c r="BE167" s="25">
        <f t="shared" si="7"/>
        <v>0</v>
      </c>
      <c r="BF167" s="25">
        <f t="shared" si="7"/>
        <v>0</v>
      </c>
      <c r="CA167" s="16">
        <v>-9999</v>
      </c>
      <c r="CB167" s="16">
        <v>-9999</v>
      </c>
      <c r="CC167" s="16">
        <v>-9999</v>
      </c>
      <c r="CD167" s="16">
        <v>-9999</v>
      </c>
      <c r="CE167" s="16">
        <v>-9999</v>
      </c>
      <c r="CF167" s="16">
        <v>-9999</v>
      </c>
      <c r="CG167" s="16">
        <v>-9999</v>
      </c>
      <c r="CH167" s="16">
        <v>-9999</v>
      </c>
      <c r="CI167" s="16">
        <v>-9999</v>
      </c>
      <c r="CJ167" s="16">
        <v>-9999</v>
      </c>
      <c r="CK167" s="16">
        <v>-9999</v>
      </c>
      <c r="CL167" s="16">
        <v>-9999</v>
      </c>
      <c r="CM167" s="16">
        <v>-9999</v>
      </c>
      <c r="CN167" s="16">
        <v>-9999</v>
      </c>
      <c r="CO167" s="16">
        <v>-9999</v>
      </c>
      <c r="CP167" s="16">
        <v>-9999</v>
      </c>
      <c r="CQ167" s="16">
        <v>-9999</v>
      </c>
      <c r="CR167" s="16">
        <v>-9999</v>
      </c>
      <c r="CS167" s="16">
        <v>-9999</v>
      </c>
      <c r="CT167" s="16">
        <v>-9999</v>
      </c>
      <c r="CU167" s="16">
        <v>-9999</v>
      </c>
      <c r="CV167" s="16">
        <v>-9999</v>
      </c>
      <c r="CW167" s="16">
        <v>-9999</v>
      </c>
      <c r="CX167" s="16">
        <v>-9999</v>
      </c>
      <c r="CY167" s="16">
        <v>-9999</v>
      </c>
      <c r="CZ167" s="16">
        <v>-9999</v>
      </c>
      <c r="DA167" s="16">
        <v>-9999</v>
      </c>
      <c r="DB167" s="16">
        <v>-9999</v>
      </c>
      <c r="DC167" s="16">
        <v>-9999</v>
      </c>
      <c r="DD167" s="16">
        <v>-9999</v>
      </c>
      <c r="DE167" s="16">
        <v>-9999</v>
      </c>
      <c r="DF167" s="16">
        <v>-9999</v>
      </c>
      <c r="DG167" s="16">
        <v>-9999</v>
      </c>
      <c r="DH167" s="16">
        <v>-9999</v>
      </c>
      <c r="DI167" s="16">
        <v>-9999</v>
      </c>
      <c r="DJ167" s="16">
        <v>-9999</v>
      </c>
      <c r="DK167" s="16">
        <v>-9999</v>
      </c>
      <c r="DL167" s="16">
        <v>-9999</v>
      </c>
      <c r="DM167" s="16">
        <v>-9999</v>
      </c>
      <c r="DN167" s="16">
        <v>-9999</v>
      </c>
      <c r="DO167" s="16">
        <v>-9999</v>
      </c>
      <c r="DP167" s="16">
        <v>-9999</v>
      </c>
      <c r="DQ167" s="16">
        <v>-9999</v>
      </c>
      <c r="DR167" s="16">
        <v>-9999</v>
      </c>
      <c r="DS167" s="16">
        <v>-9999</v>
      </c>
      <c r="DT167" s="16">
        <v>-9999</v>
      </c>
      <c r="DU167" s="16">
        <v>-9999</v>
      </c>
      <c r="DV167" s="16">
        <v>-9999</v>
      </c>
      <c r="DW167" s="16">
        <v>-9999</v>
      </c>
      <c r="DX167" s="16">
        <v>-9999</v>
      </c>
      <c r="DY167" s="16">
        <v>-9999</v>
      </c>
      <c r="DZ167" s="16">
        <v>-9999</v>
      </c>
      <c r="EA167" s="2106">
        <v>-9999</v>
      </c>
      <c r="EB167" s="2106">
        <v>-9999</v>
      </c>
      <c r="EC167" s="2106">
        <v>-9999</v>
      </c>
      <c r="ED167" s="2106">
        <v>-9999</v>
      </c>
      <c r="EE167" s="2106">
        <v>-9999</v>
      </c>
      <c r="EF167" s="2107">
        <v>-9999</v>
      </c>
      <c r="EG167" s="2107">
        <v>-9999</v>
      </c>
      <c r="EH167" s="2107">
        <v>-9999</v>
      </c>
      <c r="EI167" s="2107">
        <v>-9999</v>
      </c>
      <c r="EJ167" s="2107">
        <v>-9999</v>
      </c>
      <c r="EK167" s="2107">
        <v>-9999</v>
      </c>
      <c r="EL167" s="2107">
        <v>-9999</v>
      </c>
      <c r="EM167" s="2107">
        <v>-9999</v>
      </c>
    </row>
    <row r="168" spans="1:143">
      <c r="A168" s="22">
        <v>68</v>
      </c>
      <c r="B168" s="37" t="s">
        <v>1998</v>
      </c>
      <c r="C168" s="2914">
        <v>-9999</v>
      </c>
      <c r="D168" s="2914">
        <v>-9999</v>
      </c>
      <c r="E168" s="2914">
        <v>-9999</v>
      </c>
      <c r="F168" s="2914">
        <v>-9999</v>
      </c>
      <c r="G168" s="2914">
        <v>-9999</v>
      </c>
      <c r="H168" s="25">
        <v>-9999</v>
      </c>
      <c r="I168" s="25">
        <v>-9999</v>
      </c>
      <c r="J168" s="25">
        <v>-9999</v>
      </c>
      <c r="K168" s="25">
        <v>-9999</v>
      </c>
      <c r="L168" s="25">
        <v>-9999</v>
      </c>
      <c r="M168" s="25">
        <v>-9999</v>
      </c>
      <c r="N168" s="25">
        <v>-9999</v>
      </c>
      <c r="O168" s="25">
        <v>-9999</v>
      </c>
      <c r="P168" s="32"/>
      <c r="Q168"/>
      <c r="AA168" s="22">
        <v>68</v>
      </c>
      <c r="AB168" s="1081" t="str">
        <f t="shared" si="8"/>
        <v>FOR FUTURE USE</v>
      </c>
      <c r="AC168" s="1081">
        <f>CHOOSE(Tables!$U$2,Transfer!CA168,Transfer!CN168,Transfer!DA168,Transfer!DN168,Transfer!EA168)</f>
        <v>-9999</v>
      </c>
      <c r="AD168" s="1081">
        <f>CHOOSE(Tables!$U$2,Transfer!CB168,Transfer!CO168,Transfer!DB168,Transfer!DO168,Transfer!EB168)</f>
        <v>-9999</v>
      </c>
      <c r="AE168" s="1081">
        <f>CHOOSE(Tables!$U$2,Transfer!CC168,Transfer!CP168,Transfer!DC168,Transfer!DP168,Transfer!EC168)</f>
        <v>-9999</v>
      </c>
      <c r="AF168" s="1081">
        <f>CHOOSE(Tables!$U$2,Transfer!CD168,Transfer!CQ168,Transfer!DD168,Transfer!DQ168,Transfer!ED168)</f>
        <v>-9999</v>
      </c>
      <c r="AG168" s="1081">
        <f>CHOOSE(Tables!$U$2,Transfer!CE168,Transfer!CR168,Transfer!DE168,Transfer!DR168,Transfer!EE168)</f>
        <v>-9999</v>
      </c>
      <c r="AH168" s="1081">
        <f>CHOOSE(Tables!$U$2,Transfer!CF168,Transfer!CS168,Transfer!DF168,Transfer!DS168,Transfer!EF168)</f>
        <v>-9999</v>
      </c>
      <c r="AI168" s="1081">
        <f>CHOOSE(Tables!$U$2,Transfer!CG168,Transfer!CT168,Transfer!DG168,Transfer!DT168,Transfer!EG168)</f>
        <v>-9999</v>
      </c>
      <c r="AJ168" s="1081">
        <f>CHOOSE(Tables!$U$2,Transfer!CH168,Transfer!CU168,Transfer!DH168,Transfer!DU168,Transfer!EH168)</f>
        <v>-9999</v>
      </c>
      <c r="AK168" s="1081">
        <f>CHOOSE(Tables!$U$2,Transfer!CI168,Transfer!CV168,Transfer!DI168,Transfer!DV168,Transfer!EI168)</f>
        <v>-9999</v>
      </c>
      <c r="AL168" s="1081">
        <f>CHOOSE(Tables!$U$2,Transfer!CJ168,Transfer!CW168,Transfer!DJ168,Transfer!DW168,Transfer!EJ168)</f>
        <v>-9999</v>
      </c>
      <c r="AM168" s="1081">
        <f>CHOOSE(Tables!$U$2,Transfer!CK168,Transfer!CX168,Transfer!DK168,Transfer!DX168,Transfer!EK168)</f>
        <v>-9999</v>
      </c>
      <c r="AN168" s="1081">
        <f>CHOOSE(Tables!$U$2,Transfer!CL168,Transfer!CY168,Transfer!DL168,Transfer!DY168,Transfer!EL168)</f>
        <v>-9999</v>
      </c>
      <c r="AO168" s="1081">
        <f>CHOOSE(Tables!$U$2,Transfer!CM168,Transfer!CZ168,Transfer!DM168,Transfer!DZ168,Transfer!EM168)</f>
        <v>-9999</v>
      </c>
      <c r="AR168" s="22">
        <v>68</v>
      </c>
      <c r="AS168" s="31" t="s">
        <v>2138</v>
      </c>
      <c r="AT168" s="1978">
        <f t="shared" si="9"/>
        <v>0</v>
      </c>
      <c r="AU168" s="1978">
        <f t="shared" si="9"/>
        <v>0</v>
      </c>
      <c r="AV168" s="1978">
        <f t="shared" si="9"/>
        <v>0</v>
      </c>
      <c r="AW168" s="1978">
        <f t="shared" si="9"/>
        <v>0</v>
      </c>
      <c r="AX168" s="1978">
        <f t="shared" si="9"/>
        <v>0</v>
      </c>
      <c r="AY168" s="25">
        <f t="shared" si="9"/>
        <v>0</v>
      </c>
      <c r="AZ168" s="25">
        <f t="shared" si="7"/>
        <v>0</v>
      </c>
      <c r="BA168" s="25">
        <f t="shared" si="7"/>
        <v>0</v>
      </c>
      <c r="BB168" s="25">
        <f t="shared" si="7"/>
        <v>0</v>
      </c>
      <c r="BC168" s="25">
        <f t="shared" si="7"/>
        <v>0</v>
      </c>
      <c r="BD168" s="25">
        <f t="shared" si="7"/>
        <v>0</v>
      </c>
      <c r="BE168" s="25">
        <f t="shared" si="7"/>
        <v>0</v>
      </c>
      <c r="BF168" s="25">
        <f t="shared" si="7"/>
        <v>0</v>
      </c>
      <c r="CA168" s="16">
        <v>-9999</v>
      </c>
      <c r="CB168" s="16">
        <v>-9999</v>
      </c>
      <c r="CC168" s="16">
        <v>-9999</v>
      </c>
      <c r="CD168" s="16">
        <v>-9999</v>
      </c>
      <c r="CE168" s="16">
        <v>-9999</v>
      </c>
      <c r="CF168" s="16">
        <v>-9999</v>
      </c>
      <c r="CG168" s="16">
        <v>-9999</v>
      </c>
      <c r="CH168" s="16">
        <v>-9999</v>
      </c>
      <c r="CI168" s="16">
        <v>-9999</v>
      </c>
      <c r="CJ168" s="16">
        <v>-9999</v>
      </c>
      <c r="CK168" s="16">
        <v>-9999</v>
      </c>
      <c r="CL168" s="16">
        <v>-9999</v>
      </c>
      <c r="CM168" s="16">
        <v>-9999</v>
      </c>
      <c r="CN168" s="16">
        <v>-9999</v>
      </c>
      <c r="CO168" s="16">
        <v>-9999</v>
      </c>
      <c r="CP168" s="16">
        <v>-9999</v>
      </c>
      <c r="CQ168" s="16">
        <v>-9999</v>
      </c>
      <c r="CR168" s="16">
        <v>-9999</v>
      </c>
      <c r="CS168" s="16">
        <v>-9999</v>
      </c>
      <c r="CT168" s="16">
        <v>-9999</v>
      </c>
      <c r="CU168" s="16">
        <v>-9999</v>
      </c>
      <c r="CV168" s="16">
        <v>-9999</v>
      </c>
      <c r="CW168" s="16">
        <v>-9999</v>
      </c>
      <c r="CX168" s="16">
        <v>-9999</v>
      </c>
      <c r="CY168" s="16">
        <v>-9999</v>
      </c>
      <c r="CZ168" s="16">
        <v>-9999</v>
      </c>
      <c r="DA168" s="16">
        <v>-9999</v>
      </c>
      <c r="DB168" s="16">
        <v>-9999</v>
      </c>
      <c r="DC168" s="16">
        <v>-9999</v>
      </c>
      <c r="DD168" s="16">
        <v>-9999</v>
      </c>
      <c r="DE168" s="16">
        <v>-9999</v>
      </c>
      <c r="DF168" s="16">
        <v>-9999</v>
      </c>
      <c r="DG168" s="16">
        <v>-9999</v>
      </c>
      <c r="DH168" s="16">
        <v>-9999</v>
      </c>
      <c r="DI168" s="16">
        <v>-9999</v>
      </c>
      <c r="DJ168" s="16">
        <v>-9999</v>
      </c>
      <c r="DK168" s="16">
        <v>-9999</v>
      </c>
      <c r="DL168" s="16">
        <v>-9999</v>
      </c>
      <c r="DM168" s="16">
        <v>-9999</v>
      </c>
      <c r="DN168" s="16">
        <v>-9999</v>
      </c>
      <c r="DO168" s="16">
        <v>-9999</v>
      </c>
      <c r="DP168" s="16">
        <v>-9999</v>
      </c>
      <c r="DQ168" s="16">
        <v>-9999</v>
      </c>
      <c r="DR168" s="16">
        <v>-9999</v>
      </c>
      <c r="DS168" s="16">
        <v>-9999</v>
      </c>
      <c r="DT168" s="16">
        <v>-9999</v>
      </c>
      <c r="DU168" s="16">
        <v>-9999</v>
      </c>
      <c r="DV168" s="16">
        <v>-9999</v>
      </c>
      <c r="DW168" s="16">
        <v>-9999</v>
      </c>
      <c r="DX168" s="16">
        <v>-9999</v>
      </c>
      <c r="DY168" s="16">
        <v>-9999</v>
      </c>
      <c r="DZ168" s="16">
        <v>-9999</v>
      </c>
      <c r="EA168" s="2107">
        <v>-9999</v>
      </c>
      <c r="EB168" s="2107">
        <v>-9999</v>
      </c>
      <c r="EC168" s="2107">
        <v>-9999</v>
      </c>
      <c r="ED168" s="2107">
        <v>-9999</v>
      </c>
      <c r="EE168" s="2107">
        <v>-9999</v>
      </c>
      <c r="EF168" s="2107">
        <v>-9999</v>
      </c>
      <c r="EG168" s="2107">
        <v>-9999</v>
      </c>
      <c r="EH168" s="2107">
        <v>-9999</v>
      </c>
      <c r="EI168" s="2107">
        <v>-9999</v>
      </c>
      <c r="EJ168" s="2107">
        <v>-9999</v>
      </c>
      <c r="EK168" s="2107">
        <v>-9999</v>
      </c>
      <c r="EL168" s="2107">
        <v>-9999</v>
      </c>
      <c r="EM168" s="2107">
        <v>-9999</v>
      </c>
    </row>
    <row r="169" spans="1:143">
      <c r="A169" s="22">
        <v>69</v>
      </c>
      <c r="B169" s="37" t="s">
        <v>1998</v>
      </c>
      <c r="C169" s="2914">
        <v>-9999</v>
      </c>
      <c r="D169" s="2914">
        <v>-9999</v>
      </c>
      <c r="E169" s="2914">
        <v>-9999</v>
      </c>
      <c r="F169" s="2914">
        <v>-9999</v>
      </c>
      <c r="G169" s="2914">
        <v>-9999</v>
      </c>
      <c r="H169" s="25">
        <v>-9999</v>
      </c>
      <c r="I169" s="25">
        <v>-9999</v>
      </c>
      <c r="J169" s="25">
        <v>-9999</v>
      </c>
      <c r="K169" s="25">
        <v>-9999</v>
      </c>
      <c r="L169" s="25">
        <v>-9999</v>
      </c>
      <c r="M169" s="25">
        <v>-9999</v>
      </c>
      <c r="N169" s="25">
        <v>-9999</v>
      </c>
      <c r="O169" s="25">
        <v>-9999</v>
      </c>
      <c r="P169" s="32"/>
      <c r="Q169"/>
      <c r="AA169" s="22">
        <v>69</v>
      </c>
      <c r="AB169" s="1081" t="str">
        <f t="shared" si="8"/>
        <v>FOR FUTURE USE</v>
      </c>
      <c r="AC169" s="1081">
        <f>CHOOSE(Tables!$U$2,Transfer!CA169,Transfer!CN169,Transfer!DA169,Transfer!DN169,Transfer!EA169)</f>
        <v>-9999</v>
      </c>
      <c r="AD169" s="1081">
        <f>CHOOSE(Tables!$U$2,Transfer!CB169,Transfer!CO169,Transfer!DB169,Transfer!DO169,Transfer!EB169)</f>
        <v>-9999</v>
      </c>
      <c r="AE169" s="1081">
        <f>CHOOSE(Tables!$U$2,Transfer!CC169,Transfer!CP169,Transfer!DC169,Transfer!DP169,Transfer!EC169)</f>
        <v>-9999</v>
      </c>
      <c r="AF169" s="1081">
        <f>CHOOSE(Tables!$U$2,Transfer!CD169,Transfer!CQ169,Transfer!DD169,Transfer!DQ169,Transfer!ED169)</f>
        <v>-9999</v>
      </c>
      <c r="AG169" s="1081">
        <f>CHOOSE(Tables!$U$2,Transfer!CE169,Transfer!CR169,Transfer!DE169,Transfer!DR169,Transfer!EE169)</f>
        <v>-9999</v>
      </c>
      <c r="AH169" s="1081">
        <f>CHOOSE(Tables!$U$2,Transfer!CF169,Transfer!CS169,Transfer!DF169,Transfer!DS169,Transfer!EF169)</f>
        <v>-9999</v>
      </c>
      <c r="AI169" s="1081">
        <f>CHOOSE(Tables!$U$2,Transfer!CG169,Transfer!CT169,Transfer!DG169,Transfer!DT169,Transfer!EG169)</f>
        <v>-9999</v>
      </c>
      <c r="AJ169" s="1081">
        <f>CHOOSE(Tables!$U$2,Transfer!CH169,Transfer!CU169,Transfer!DH169,Transfer!DU169,Transfer!EH169)</f>
        <v>-9999</v>
      </c>
      <c r="AK169" s="1081">
        <f>CHOOSE(Tables!$U$2,Transfer!CI169,Transfer!CV169,Transfer!DI169,Transfer!DV169,Transfer!EI169)</f>
        <v>-9999</v>
      </c>
      <c r="AL169" s="1081">
        <f>CHOOSE(Tables!$U$2,Transfer!CJ169,Transfer!CW169,Transfer!DJ169,Transfer!DW169,Transfer!EJ169)</f>
        <v>-9999</v>
      </c>
      <c r="AM169" s="1081">
        <f>CHOOSE(Tables!$U$2,Transfer!CK169,Transfer!CX169,Transfer!DK169,Transfer!DX169,Transfer!EK169)</f>
        <v>-9999</v>
      </c>
      <c r="AN169" s="1081">
        <f>CHOOSE(Tables!$U$2,Transfer!CL169,Transfer!CY169,Transfer!DL169,Transfer!DY169,Transfer!EL169)</f>
        <v>-9999</v>
      </c>
      <c r="AO169" s="1081">
        <f>CHOOSE(Tables!$U$2,Transfer!CM169,Transfer!CZ169,Transfer!DM169,Transfer!DZ169,Transfer!EM169)</f>
        <v>-9999</v>
      </c>
      <c r="AR169" s="22">
        <v>69</v>
      </c>
      <c r="AS169" s="27" t="s">
        <v>1552</v>
      </c>
      <c r="AT169" s="24">
        <f t="shared" si="9"/>
        <v>0</v>
      </c>
      <c r="AU169" s="24">
        <f t="shared" si="9"/>
        <v>0</v>
      </c>
      <c r="AV169" s="24">
        <f t="shared" si="9"/>
        <v>0</v>
      </c>
      <c r="AW169" s="24">
        <f t="shared" si="9"/>
        <v>0</v>
      </c>
      <c r="AX169" s="24">
        <f t="shared" si="9"/>
        <v>0</v>
      </c>
      <c r="AY169" s="25">
        <f t="shared" si="9"/>
        <v>0</v>
      </c>
      <c r="AZ169" s="25">
        <f t="shared" si="7"/>
        <v>0</v>
      </c>
      <c r="BA169" s="25">
        <f t="shared" si="7"/>
        <v>0</v>
      </c>
      <c r="BB169" s="25">
        <f t="shared" si="7"/>
        <v>0</v>
      </c>
      <c r="BC169" s="25">
        <f t="shared" si="7"/>
        <v>0</v>
      </c>
      <c r="BD169" s="25">
        <f t="shared" si="7"/>
        <v>0</v>
      </c>
      <c r="BE169" s="25">
        <f t="shared" si="7"/>
        <v>0</v>
      </c>
      <c r="BF169" s="25">
        <f t="shared" si="7"/>
        <v>0</v>
      </c>
      <c r="CA169" s="16">
        <v>-9999</v>
      </c>
      <c r="CB169" s="16">
        <v>-9999</v>
      </c>
      <c r="CC169" s="16">
        <v>-9999</v>
      </c>
      <c r="CD169" s="16">
        <v>-9999</v>
      </c>
      <c r="CE169" s="16">
        <v>-9999</v>
      </c>
      <c r="CF169" s="16">
        <v>-9999</v>
      </c>
      <c r="CG169" s="16">
        <v>-9999</v>
      </c>
      <c r="CH169" s="16">
        <v>-9999</v>
      </c>
      <c r="CI169" s="16">
        <v>-9999</v>
      </c>
      <c r="CJ169" s="16">
        <v>-9999</v>
      </c>
      <c r="CK169" s="16">
        <v>-9999</v>
      </c>
      <c r="CL169" s="16">
        <v>-9999</v>
      </c>
      <c r="CM169" s="16">
        <v>-9999</v>
      </c>
      <c r="CN169" s="16">
        <v>-9999</v>
      </c>
      <c r="CO169" s="16">
        <v>-9999</v>
      </c>
      <c r="CP169" s="16">
        <v>-9999</v>
      </c>
      <c r="CQ169" s="16">
        <v>-9999</v>
      </c>
      <c r="CR169" s="16">
        <v>-9999</v>
      </c>
      <c r="CS169" s="16">
        <v>-9999</v>
      </c>
      <c r="CT169" s="16">
        <v>-9999</v>
      </c>
      <c r="CU169" s="16">
        <v>-9999</v>
      </c>
      <c r="CV169" s="16">
        <v>-9999</v>
      </c>
      <c r="CW169" s="16">
        <v>-9999</v>
      </c>
      <c r="CX169" s="16">
        <v>-9999</v>
      </c>
      <c r="CY169" s="16">
        <v>-9999</v>
      </c>
      <c r="CZ169" s="16">
        <v>-9999</v>
      </c>
      <c r="DA169" s="16">
        <v>-9999</v>
      </c>
      <c r="DB169" s="16">
        <v>-9999</v>
      </c>
      <c r="DC169" s="16">
        <v>-9999</v>
      </c>
      <c r="DD169" s="16">
        <v>-9999</v>
      </c>
      <c r="DE169" s="16">
        <v>-9999</v>
      </c>
      <c r="DF169" s="16">
        <v>-9999</v>
      </c>
      <c r="DG169" s="16">
        <v>-9999</v>
      </c>
      <c r="DH169" s="16">
        <v>-9999</v>
      </c>
      <c r="DI169" s="16">
        <v>-9999</v>
      </c>
      <c r="DJ169" s="16">
        <v>-9999</v>
      </c>
      <c r="DK169" s="16">
        <v>-9999</v>
      </c>
      <c r="DL169" s="16">
        <v>-9999</v>
      </c>
      <c r="DM169" s="16">
        <v>-9999</v>
      </c>
      <c r="DN169" s="16">
        <v>-9999</v>
      </c>
      <c r="DO169" s="16">
        <v>-9999</v>
      </c>
      <c r="DP169" s="16">
        <v>-9999</v>
      </c>
      <c r="DQ169" s="16">
        <v>-9999</v>
      </c>
      <c r="DR169" s="16">
        <v>-9999</v>
      </c>
      <c r="DS169" s="16">
        <v>-9999</v>
      </c>
      <c r="DT169" s="16">
        <v>-9999</v>
      </c>
      <c r="DU169" s="16">
        <v>-9999</v>
      </c>
      <c r="DV169" s="16">
        <v>-9999</v>
      </c>
      <c r="DW169" s="16">
        <v>-9999</v>
      </c>
      <c r="DX169" s="16">
        <v>-9999</v>
      </c>
      <c r="DY169" s="16">
        <v>-9999</v>
      </c>
      <c r="DZ169" s="16">
        <v>-9999</v>
      </c>
      <c r="EA169" s="2106">
        <v>-9999</v>
      </c>
      <c r="EB169" s="2106">
        <v>-9999</v>
      </c>
      <c r="EC169" s="2106">
        <v>-9999</v>
      </c>
      <c r="ED169" s="2106">
        <v>-9999</v>
      </c>
      <c r="EE169" s="2106">
        <v>-9999</v>
      </c>
      <c r="EF169" s="2107">
        <v>-9999</v>
      </c>
      <c r="EG169" s="2107">
        <v>-9999</v>
      </c>
      <c r="EH169" s="2107">
        <v>-9999</v>
      </c>
      <c r="EI169" s="2107">
        <v>-9999</v>
      </c>
      <c r="EJ169" s="2107">
        <v>-9999</v>
      </c>
      <c r="EK169" s="2107">
        <v>-9999</v>
      </c>
      <c r="EL169" s="2107">
        <v>-9999</v>
      </c>
      <c r="EM169" s="2107">
        <v>-9999</v>
      </c>
    </row>
    <row r="170" spans="1:143">
      <c r="A170" s="22">
        <v>70</v>
      </c>
      <c r="B170" s="37" t="s">
        <v>1998</v>
      </c>
      <c r="C170" s="2914">
        <v>-9999</v>
      </c>
      <c r="D170" s="2914">
        <v>-9999</v>
      </c>
      <c r="E170" s="2914">
        <v>-9999</v>
      </c>
      <c r="F170" s="2914">
        <v>-9999</v>
      </c>
      <c r="G170" s="2914">
        <v>-9999</v>
      </c>
      <c r="H170" s="25">
        <v>-9999</v>
      </c>
      <c r="I170" s="25">
        <v>-9999</v>
      </c>
      <c r="J170" s="25">
        <v>-9999</v>
      </c>
      <c r="K170" s="25">
        <v>-9999</v>
      </c>
      <c r="L170" s="25">
        <v>-9999</v>
      </c>
      <c r="M170" s="25">
        <v>-9999</v>
      </c>
      <c r="N170" s="25">
        <v>-9999</v>
      </c>
      <c r="O170" s="25">
        <v>-9999</v>
      </c>
      <c r="P170" s="32"/>
      <c r="Q170"/>
      <c r="AA170" s="22">
        <v>70</v>
      </c>
      <c r="AB170" s="1081" t="str">
        <f t="shared" si="8"/>
        <v>FOR FUTURE USE</v>
      </c>
      <c r="AC170" s="1081">
        <f>CHOOSE(Tables!$U$2,Transfer!CA170,Transfer!CN170,Transfer!DA170,Transfer!DN170,Transfer!EA170)</f>
        <v>-9999</v>
      </c>
      <c r="AD170" s="1081">
        <f>CHOOSE(Tables!$U$2,Transfer!CB170,Transfer!CO170,Transfer!DB170,Transfer!DO170,Transfer!EB170)</f>
        <v>-9999</v>
      </c>
      <c r="AE170" s="1081">
        <f>CHOOSE(Tables!$U$2,Transfer!CC170,Transfer!CP170,Transfer!DC170,Transfer!DP170,Transfer!EC170)</f>
        <v>-9999</v>
      </c>
      <c r="AF170" s="1081">
        <f>CHOOSE(Tables!$U$2,Transfer!CD170,Transfer!CQ170,Transfer!DD170,Transfer!DQ170,Transfer!ED170)</f>
        <v>-9999</v>
      </c>
      <c r="AG170" s="1081">
        <f>CHOOSE(Tables!$U$2,Transfer!CE170,Transfer!CR170,Transfer!DE170,Transfer!DR170,Transfer!EE170)</f>
        <v>-9999</v>
      </c>
      <c r="AH170" s="1081">
        <f>CHOOSE(Tables!$U$2,Transfer!CF170,Transfer!CS170,Transfer!DF170,Transfer!DS170,Transfer!EF170)</f>
        <v>-9999</v>
      </c>
      <c r="AI170" s="1081">
        <f>CHOOSE(Tables!$U$2,Transfer!CG170,Transfer!CT170,Transfer!DG170,Transfer!DT170,Transfer!EG170)</f>
        <v>-9999</v>
      </c>
      <c r="AJ170" s="1081">
        <f>CHOOSE(Tables!$U$2,Transfer!CH170,Transfer!CU170,Transfer!DH170,Transfer!DU170,Transfer!EH170)</f>
        <v>-9999</v>
      </c>
      <c r="AK170" s="1081">
        <f>CHOOSE(Tables!$U$2,Transfer!CI170,Transfer!CV170,Transfer!DI170,Transfer!DV170,Transfer!EI170)</f>
        <v>-9999</v>
      </c>
      <c r="AL170" s="1081">
        <f>CHOOSE(Tables!$U$2,Transfer!CJ170,Transfer!CW170,Transfer!DJ170,Transfer!DW170,Transfer!EJ170)</f>
        <v>-9999</v>
      </c>
      <c r="AM170" s="1081">
        <f>CHOOSE(Tables!$U$2,Transfer!CK170,Transfer!CX170,Transfer!DK170,Transfer!DX170,Transfer!EK170)</f>
        <v>-9999</v>
      </c>
      <c r="AN170" s="1081">
        <f>CHOOSE(Tables!$U$2,Transfer!CL170,Transfer!CY170,Transfer!DL170,Transfer!DY170,Transfer!EL170)</f>
        <v>-9999</v>
      </c>
      <c r="AO170" s="1081">
        <f>CHOOSE(Tables!$U$2,Transfer!CM170,Transfer!CZ170,Transfer!DM170,Transfer!DZ170,Transfer!EM170)</f>
        <v>-9999</v>
      </c>
      <c r="AR170" s="22">
        <v>70</v>
      </c>
      <c r="AS170" s="31" t="s">
        <v>1553</v>
      </c>
      <c r="AT170" s="1979">
        <f t="shared" si="9"/>
        <v>0</v>
      </c>
      <c r="AU170" s="1979">
        <f t="shared" si="9"/>
        <v>0</v>
      </c>
      <c r="AV170" s="1979">
        <f t="shared" si="9"/>
        <v>0</v>
      </c>
      <c r="AW170" s="1979">
        <f t="shared" si="9"/>
        <v>0</v>
      </c>
      <c r="AX170" s="1979">
        <f t="shared" si="9"/>
        <v>0</v>
      </c>
      <c r="AY170" s="25">
        <f t="shared" si="9"/>
        <v>0</v>
      </c>
      <c r="AZ170" s="25">
        <f t="shared" si="7"/>
        <v>0</v>
      </c>
      <c r="BA170" s="25">
        <f t="shared" si="7"/>
        <v>0</v>
      </c>
      <c r="BB170" s="25">
        <f t="shared" si="7"/>
        <v>0</v>
      </c>
      <c r="BC170" s="25">
        <f t="shared" si="7"/>
        <v>0</v>
      </c>
      <c r="BD170" s="25">
        <f t="shared" si="7"/>
        <v>0</v>
      </c>
      <c r="BE170" s="25">
        <f t="shared" si="7"/>
        <v>0</v>
      </c>
      <c r="BF170" s="25">
        <f t="shared" si="7"/>
        <v>0</v>
      </c>
      <c r="CA170" s="16">
        <v>-9999</v>
      </c>
      <c r="CB170" s="16">
        <v>-9999</v>
      </c>
      <c r="CC170" s="16">
        <v>-9999</v>
      </c>
      <c r="CD170" s="16">
        <v>-9999</v>
      </c>
      <c r="CE170" s="16">
        <v>-9999</v>
      </c>
      <c r="CF170" s="16">
        <v>-9999</v>
      </c>
      <c r="CG170" s="16">
        <v>-9999</v>
      </c>
      <c r="CH170" s="16">
        <v>-9999</v>
      </c>
      <c r="CI170" s="16">
        <v>-9999</v>
      </c>
      <c r="CJ170" s="16">
        <v>-9999</v>
      </c>
      <c r="CK170" s="16">
        <v>-9999</v>
      </c>
      <c r="CL170" s="16">
        <v>-9999</v>
      </c>
      <c r="CM170" s="16">
        <v>-9999</v>
      </c>
      <c r="CN170" s="16">
        <v>-9999</v>
      </c>
      <c r="CO170" s="16">
        <v>-9999</v>
      </c>
      <c r="CP170" s="16">
        <v>-9999</v>
      </c>
      <c r="CQ170" s="16">
        <v>-9999</v>
      </c>
      <c r="CR170" s="16">
        <v>-9999</v>
      </c>
      <c r="CS170" s="16">
        <v>-9999</v>
      </c>
      <c r="CT170" s="16">
        <v>-9999</v>
      </c>
      <c r="CU170" s="16">
        <v>-9999</v>
      </c>
      <c r="CV170" s="16">
        <v>-9999</v>
      </c>
      <c r="CW170" s="16">
        <v>-9999</v>
      </c>
      <c r="CX170" s="16">
        <v>-9999</v>
      </c>
      <c r="CY170" s="16">
        <v>-9999</v>
      </c>
      <c r="CZ170" s="16">
        <v>-9999</v>
      </c>
      <c r="DA170" s="16">
        <v>-9999</v>
      </c>
      <c r="DB170" s="16">
        <v>-9999</v>
      </c>
      <c r="DC170" s="16">
        <v>-9999</v>
      </c>
      <c r="DD170" s="16">
        <v>-9999</v>
      </c>
      <c r="DE170" s="16">
        <v>-9999</v>
      </c>
      <c r="DF170" s="16">
        <v>-9999</v>
      </c>
      <c r="DG170" s="16">
        <v>-9999</v>
      </c>
      <c r="DH170" s="16">
        <v>-9999</v>
      </c>
      <c r="DI170" s="16">
        <v>-9999</v>
      </c>
      <c r="DJ170" s="16">
        <v>-9999</v>
      </c>
      <c r="DK170" s="16">
        <v>-9999</v>
      </c>
      <c r="DL170" s="16">
        <v>-9999</v>
      </c>
      <c r="DM170" s="16">
        <v>-9999</v>
      </c>
      <c r="DN170" s="16">
        <v>-9999</v>
      </c>
      <c r="DO170" s="16">
        <v>-9999</v>
      </c>
      <c r="DP170" s="16">
        <v>-9999</v>
      </c>
      <c r="DQ170" s="16">
        <v>-9999</v>
      </c>
      <c r="DR170" s="16">
        <v>-9999</v>
      </c>
      <c r="DS170" s="16">
        <v>-9999</v>
      </c>
      <c r="DT170" s="16">
        <v>-9999</v>
      </c>
      <c r="DU170" s="16">
        <v>-9999</v>
      </c>
      <c r="DV170" s="16">
        <v>-9999</v>
      </c>
      <c r="DW170" s="16">
        <v>-9999</v>
      </c>
      <c r="DX170" s="16">
        <v>-9999</v>
      </c>
      <c r="DY170" s="16">
        <v>-9999</v>
      </c>
      <c r="DZ170" s="16">
        <v>-9999</v>
      </c>
      <c r="EA170" s="2107">
        <v>-9999</v>
      </c>
      <c r="EB170" s="2107">
        <v>-9999</v>
      </c>
      <c r="EC170" s="2107">
        <v>-9999</v>
      </c>
      <c r="ED170" s="2107">
        <v>-9999</v>
      </c>
      <c r="EE170" s="2107">
        <v>-9999</v>
      </c>
      <c r="EF170" s="2107">
        <v>-9999</v>
      </c>
      <c r="EG170" s="2107">
        <v>-9999</v>
      </c>
      <c r="EH170" s="2107">
        <v>-9999</v>
      </c>
      <c r="EI170" s="2107">
        <v>-9999</v>
      </c>
      <c r="EJ170" s="2107">
        <v>-9999</v>
      </c>
      <c r="EK170" s="2107">
        <v>-9999</v>
      </c>
      <c r="EL170" s="2107">
        <v>-9999</v>
      </c>
      <c r="EM170" s="2107">
        <v>-9999</v>
      </c>
    </row>
    <row r="171" spans="1:143">
      <c r="A171" s="22">
        <v>71</v>
      </c>
      <c r="B171" s="37" t="s">
        <v>1998</v>
      </c>
      <c r="C171" s="2914">
        <v>-9999</v>
      </c>
      <c r="D171" s="2914">
        <v>-9999</v>
      </c>
      <c r="E171" s="2914">
        <v>-9999</v>
      </c>
      <c r="F171" s="2914">
        <v>-9999</v>
      </c>
      <c r="G171" s="2914">
        <v>-9999</v>
      </c>
      <c r="H171" s="25">
        <v>-9999</v>
      </c>
      <c r="I171" s="25">
        <v>-9999</v>
      </c>
      <c r="J171" s="25">
        <v>-9999</v>
      </c>
      <c r="K171" s="25">
        <v>-9999</v>
      </c>
      <c r="L171" s="25">
        <v>-9999</v>
      </c>
      <c r="M171" s="25">
        <v>-9999</v>
      </c>
      <c r="N171" s="25">
        <v>-9999</v>
      </c>
      <c r="O171" s="25">
        <v>-9999</v>
      </c>
      <c r="P171" s="32"/>
      <c r="Q171"/>
      <c r="AA171" s="22">
        <v>71</v>
      </c>
      <c r="AB171" s="1081" t="str">
        <f t="shared" si="8"/>
        <v>FOR FUTURE USE</v>
      </c>
      <c r="AC171" s="1081">
        <f>CHOOSE(Tables!$U$2,Transfer!CA171,Transfer!CN171,Transfer!DA171,Transfer!DN171,Transfer!EA171)</f>
        <v>-9999</v>
      </c>
      <c r="AD171" s="1081">
        <f>CHOOSE(Tables!$U$2,Transfer!CB171,Transfer!CO171,Transfer!DB171,Transfer!DO171,Transfer!EB171)</f>
        <v>-9999</v>
      </c>
      <c r="AE171" s="1081">
        <f>CHOOSE(Tables!$U$2,Transfer!CC171,Transfer!CP171,Transfer!DC171,Transfer!DP171,Transfer!EC171)</f>
        <v>-9999</v>
      </c>
      <c r="AF171" s="1081">
        <f>CHOOSE(Tables!$U$2,Transfer!CD171,Transfer!CQ171,Transfer!DD171,Transfer!DQ171,Transfer!ED171)</f>
        <v>-9999</v>
      </c>
      <c r="AG171" s="1081">
        <f>CHOOSE(Tables!$U$2,Transfer!CE171,Transfer!CR171,Transfer!DE171,Transfer!DR171,Transfer!EE171)</f>
        <v>-9999</v>
      </c>
      <c r="AH171" s="1081">
        <f>CHOOSE(Tables!$U$2,Transfer!CF171,Transfer!CS171,Transfer!DF171,Transfer!DS171,Transfer!EF171)</f>
        <v>-9999</v>
      </c>
      <c r="AI171" s="1081">
        <f>CHOOSE(Tables!$U$2,Transfer!CG171,Transfer!CT171,Transfer!DG171,Transfer!DT171,Transfer!EG171)</f>
        <v>-9999</v>
      </c>
      <c r="AJ171" s="1081">
        <f>CHOOSE(Tables!$U$2,Transfer!CH171,Transfer!CU171,Transfer!DH171,Transfer!DU171,Transfer!EH171)</f>
        <v>-9999</v>
      </c>
      <c r="AK171" s="1081">
        <f>CHOOSE(Tables!$U$2,Transfer!CI171,Transfer!CV171,Transfer!DI171,Transfer!DV171,Transfer!EI171)</f>
        <v>-9999</v>
      </c>
      <c r="AL171" s="1081">
        <f>CHOOSE(Tables!$U$2,Transfer!CJ171,Transfer!CW171,Transfer!DJ171,Transfer!DW171,Transfer!EJ171)</f>
        <v>-9999</v>
      </c>
      <c r="AM171" s="1081">
        <f>CHOOSE(Tables!$U$2,Transfer!CK171,Transfer!CX171,Transfer!DK171,Transfer!DX171,Transfer!EK171)</f>
        <v>-9999</v>
      </c>
      <c r="AN171" s="1081">
        <f>CHOOSE(Tables!$U$2,Transfer!CL171,Transfer!CY171,Transfer!DL171,Transfer!DY171,Transfer!EL171)</f>
        <v>-9999</v>
      </c>
      <c r="AO171" s="1081">
        <f>CHOOSE(Tables!$U$2,Transfer!CM171,Transfer!CZ171,Transfer!DM171,Transfer!DZ171,Transfer!EM171)</f>
        <v>-9999</v>
      </c>
      <c r="AR171" s="22">
        <v>71</v>
      </c>
      <c r="AS171" s="27" t="s">
        <v>1312</v>
      </c>
      <c r="AT171" s="20">
        <f t="shared" si="9"/>
        <v>0</v>
      </c>
      <c r="AU171" s="20">
        <f t="shared" si="9"/>
        <v>0</v>
      </c>
      <c r="AV171" s="20">
        <f t="shared" si="9"/>
        <v>0</v>
      </c>
      <c r="AW171" s="20">
        <f t="shared" si="9"/>
        <v>0</v>
      </c>
      <c r="AX171" s="20">
        <f t="shared" si="9"/>
        <v>0</v>
      </c>
      <c r="AY171" s="25">
        <f t="shared" si="9"/>
        <v>0</v>
      </c>
      <c r="AZ171" s="25">
        <f t="shared" si="7"/>
        <v>0</v>
      </c>
      <c r="BA171" s="25">
        <f t="shared" si="7"/>
        <v>0</v>
      </c>
      <c r="BB171" s="25">
        <f t="shared" si="7"/>
        <v>0</v>
      </c>
      <c r="BC171" s="25">
        <f t="shared" si="7"/>
        <v>0</v>
      </c>
      <c r="BD171" s="25">
        <f t="shared" si="7"/>
        <v>0</v>
      </c>
      <c r="BE171" s="25">
        <f t="shared" si="7"/>
        <v>0</v>
      </c>
      <c r="BF171" s="25">
        <f t="shared" si="7"/>
        <v>0</v>
      </c>
      <c r="CA171" s="16">
        <v>-9999</v>
      </c>
      <c r="CB171" s="16">
        <v>-9999</v>
      </c>
      <c r="CC171" s="16">
        <v>-9999</v>
      </c>
      <c r="CD171" s="16">
        <v>-9999</v>
      </c>
      <c r="CE171" s="16">
        <v>-9999</v>
      </c>
      <c r="CF171" s="16">
        <v>-9999</v>
      </c>
      <c r="CG171" s="16">
        <v>-9999</v>
      </c>
      <c r="CH171" s="16">
        <v>-9999</v>
      </c>
      <c r="CI171" s="16">
        <v>-9999</v>
      </c>
      <c r="CJ171" s="16">
        <v>-9999</v>
      </c>
      <c r="CK171" s="16">
        <v>-9999</v>
      </c>
      <c r="CL171" s="16">
        <v>-9999</v>
      </c>
      <c r="CM171" s="16">
        <v>-9999</v>
      </c>
      <c r="CN171" s="16">
        <v>-9999</v>
      </c>
      <c r="CO171" s="16">
        <v>-9999</v>
      </c>
      <c r="CP171" s="16">
        <v>-9999</v>
      </c>
      <c r="CQ171" s="16">
        <v>-9999</v>
      </c>
      <c r="CR171" s="16">
        <v>-9999</v>
      </c>
      <c r="CS171" s="16">
        <v>-9999</v>
      </c>
      <c r="CT171" s="16">
        <v>-9999</v>
      </c>
      <c r="CU171" s="16">
        <v>-9999</v>
      </c>
      <c r="CV171" s="16">
        <v>-9999</v>
      </c>
      <c r="CW171" s="16">
        <v>-9999</v>
      </c>
      <c r="CX171" s="16">
        <v>-9999</v>
      </c>
      <c r="CY171" s="16">
        <v>-9999</v>
      </c>
      <c r="CZ171" s="16">
        <v>-9999</v>
      </c>
      <c r="DA171" s="16">
        <v>-9999</v>
      </c>
      <c r="DB171" s="16">
        <v>-9999</v>
      </c>
      <c r="DC171" s="16">
        <v>-9999</v>
      </c>
      <c r="DD171" s="16">
        <v>-9999</v>
      </c>
      <c r="DE171" s="16">
        <v>-9999</v>
      </c>
      <c r="DF171" s="16">
        <v>-9999</v>
      </c>
      <c r="DG171" s="16">
        <v>-9999</v>
      </c>
      <c r="DH171" s="16">
        <v>-9999</v>
      </c>
      <c r="DI171" s="16">
        <v>-9999</v>
      </c>
      <c r="DJ171" s="16">
        <v>-9999</v>
      </c>
      <c r="DK171" s="16">
        <v>-9999</v>
      </c>
      <c r="DL171" s="16">
        <v>-9999</v>
      </c>
      <c r="DM171" s="16">
        <v>-9999</v>
      </c>
      <c r="DN171" s="16">
        <v>-9999</v>
      </c>
      <c r="DO171" s="16">
        <v>-9999</v>
      </c>
      <c r="DP171" s="16">
        <v>-9999</v>
      </c>
      <c r="DQ171" s="16">
        <v>-9999</v>
      </c>
      <c r="DR171" s="16">
        <v>-9999</v>
      </c>
      <c r="DS171" s="16">
        <v>-9999</v>
      </c>
      <c r="DT171" s="16">
        <v>-9999</v>
      </c>
      <c r="DU171" s="16">
        <v>-9999</v>
      </c>
      <c r="DV171" s="16">
        <v>-9999</v>
      </c>
      <c r="DW171" s="16">
        <v>-9999</v>
      </c>
      <c r="DX171" s="16">
        <v>-9999</v>
      </c>
      <c r="DY171" s="16">
        <v>-9999</v>
      </c>
      <c r="DZ171" s="16">
        <v>-9999</v>
      </c>
      <c r="EA171" s="2106">
        <v>-9999</v>
      </c>
      <c r="EB171" s="2106">
        <v>-9999</v>
      </c>
      <c r="EC171" s="2106">
        <v>-9999</v>
      </c>
      <c r="ED171" s="2106">
        <v>-9999</v>
      </c>
      <c r="EE171" s="2106">
        <v>-9999</v>
      </c>
      <c r="EF171" s="2107">
        <v>-9999</v>
      </c>
      <c r="EG171" s="2107">
        <v>-9999</v>
      </c>
      <c r="EH171" s="2107">
        <v>-9999</v>
      </c>
      <c r="EI171" s="2107">
        <v>-9999</v>
      </c>
      <c r="EJ171" s="2107">
        <v>-9999</v>
      </c>
      <c r="EK171" s="2107">
        <v>-9999</v>
      </c>
      <c r="EL171" s="2107">
        <v>-9999</v>
      </c>
      <c r="EM171" s="2107">
        <v>-9999</v>
      </c>
    </row>
    <row r="172" spans="1:143">
      <c r="A172" s="22">
        <v>72</v>
      </c>
      <c r="B172" s="37" t="s">
        <v>1998</v>
      </c>
      <c r="C172" s="2914">
        <v>-9999</v>
      </c>
      <c r="D172" s="2914">
        <v>-9999</v>
      </c>
      <c r="E172" s="2914">
        <v>-9999</v>
      </c>
      <c r="F172" s="2914">
        <v>-9999</v>
      </c>
      <c r="G172" s="2914">
        <v>-9999</v>
      </c>
      <c r="H172" s="25">
        <v>-9999</v>
      </c>
      <c r="I172" s="25">
        <v>-9999</v>
      </c>
      <c r="J172" s="25">
        <v>-9999</v>
      </c>
      <c r="K172" s="25">
        <v>-9999</v>
      </c>
      <c r="L172" s="25">
        <v>-9999</v>
      </c>
      <c r="M172" s="25">
        <v>-9999</v>
      </c>
      <c r="N172" s="25">
        <v>-9999</v>
      </c>
      <c r="O172" s="25">
        <v>-9999</v>
      </c>
      <c r="P172" s="32"/>
      <c r="Q172"/>
      <c r="AA172" s="22">
        <v>72</v>
      </c>
      <c r="AB172" s="1081" t="str">
        <f t="shared" si="8"/>
        <v>FOR FUTURE USE</v>
      </c>
      <c r="AC172" s="1081">
        <f>CHOOSE(Tables!$U$2,Transfer!CA172,Transfer!CN172,Transfer!DA172,Transfer!DN172,Transfer!EA172)</f>
        <v>-9999</v>
      </c>
      <c r="AD172" s="1081">
        <f>CHOOSE(Tables!$U$2,Transfer!CB172,Transfer!CO172,Transfer!DB172,Transfer!DO172,Transfer!EB172)</f>
        <v>-9999</v>
      </c>
      <c r="AE172" s="1081">
        <f>CHOOSE(Tables!$U$2,Transfer!CC172,Transfer!CP172,Transfer!DC172,Transfer!DP172,Transfer!EC172)</f>
        <v>-9999</v>
      </c>
      <c r="AF172" s="1081">
        <f>CHOOSE(Tables!$U$2,Transfer!CD172,Transfer!CQ172,Transfer!DD172,Transfer!DQ172,Transfer!ED172)</f>
        <v>-9999</v>
      </c>
      <c r="AG172" s="1081">
        <f>CHOOSE(Tables!$U$2,Transfer!CE172,Transfer!CR172,Transfer!DE172,Transfer!DR172,Transfer!EE172)</f>
        <v>-9999</v>
      </c>
      <c r="AH172" s="1081">
        <f>CHOOSE(Tables!$U$2,Transfer!CF172,Transfer!CS172,Transfer!DF172,Transfer!DS172,Transfer!EF172)</f>
        <v>-9999</v>
      </c>
      <c r="AI172" s="1081">
        <f>CHOOSE(Tables!$U$2,Transfer!CG172,Transfer!CT172,Transfer!DG172,Transfer!DT172,Transfer!EG172)</f>
        <v>-9999</v>
      </c>
      <c r="AJ172" s="1081">
        <f>CHOOSE(Tables!$U$2,Transfer!CH172,Transfer!CU172,Transfer!DH172,Transfer!DU172,Transfer!EH172)</f>
        <v>-9999</v>
      </c>
      <c r="AK172" s="1081">
        <f>CHOOSE(Tables!$U$2,Transfer!CI172,Transfer!CV172,Transfer!DI172,Transfer!DV172,Transfer!EI172)</f>
        <v>-9999</v>
      </c>
      <c r="AL172" s="1081">
        <f>CHOOSE(Tables!$U$2,Transfer!CJ172,Transfer!CW172,Transfer!DJ172,Transfer!DW172,Transfer!EJ172)</f>
        <v>-9999</v>
      </c>
      <c r="AM172" s="1081">
        <f>CHOOSE(Tables!$U$2,Transfer!CK172,Transfer!CX172,Transfer!DK172,Transfer!DX172,Transfer!EK172)</f>
        <v>-9999</v>
      </c>
      <c r="AN172" s="1081">
        <f>CHOOSE(Tables!$U$2,Transfer!CL172,Transfer!CY172,Transfer!DL172,Transfer!DY172,Transfer!EL172)</f>
        <v>-9999</v>
      </c>
      <c r="AO172" s="1081">
        <f>CHOOSE(Tables!$U$2,Transfer!CM172,Transfer!CZ172,Transfer!DM172,Transfer!DZ172,Transfer!EM172)</f>
        <v>-9999</v>
      </c>
      <c r="AR172" s="22">
        <v>72</v>
      </c>
      <c r="AS172" s="31" t="s">
        <v>1314</v>
      </c>
      <c r="AT172" s="1980">
        <f t="shared" si="9"/>
        <v>0</v>
      </c>
      <c r="AU172" s="1980">
        <f t="shared" si="9"/>
        <v>0</v>
      </c>
      <c r="AV172" s="1980">
        <f t="shared" si="9"/>
        <v>0</v>
      </c>
      <c r="AW172" s="1980">
        <f t="shared" si="9"/>
        <v>0</v>
      </c>
      <c r="AX172" s="1980">
        <f t="shared" si="9"/>
        <v>0</v>
      </c>
      <c r="AY172" s="25">
        <f t="shared" si="9"/>
        <v>0</v>
      </c>
      <c r="AZ172" s="25">
        <f t="shared" si="7"/>
        <v>0</v>
      </c>
      <c r="BA172" s="25">
        <f t="shared" si="7"/>
        <v>0</v>
      </c>
      <c r="BB172" s="25">
        <f t="shared" si="7"/>
        <v>0</v>
      </c>
      <c r="BC172" s="25">
        <f t="shared" si="7"/>
        <v>0</v>
      </c>
      <c r="BD172" s="25">
        <f t="shared" si="7"/>
        <v>0</v>
      </c>
      <c r="BE172" s="25">
        <f t="shared" si="7"/>
        <v>0</v>
      </c>
      <c r="BF172" s="25">
        <f t="shared" si="7"/>
        <v>0</v>
      </c>
      <c r="CA172" s="16">
        <v>-9999</v>
      </c>
      <c r="CB172" s="16">
        <v>-9999</v>
      </c>
      <c r="CC172" s="16">
        <v>-9999</v>
      </c>
      <c r="CD172" s="16">
        <v>-9999</v>
      </c>
      <c r="CE172" s="16">
        <v>-9999</v>
      </c>
      <c r="CF172" s="16">
        <v>-9999</v>
      </c>
      <c r="CG172" s="16">
        <v>-9999</v>
      </c>
      <c r="CH172" s="16">
        <v>-9999</v>
      </c>
      <c r="CI172" s="16">
        <v>-9999</v>
      </c>
      <c r="CJ172" s="16">
        <v>-9999</v>
      </c>
      <c r="CK172" s="16">
        <v>-9999</v>
      </c>
      <c r="CL172" s="16">
        <v>-9999</v>
      </c>
      <c r="CM172" s="16">
        <v>-9999</v>
      </c>
      <c r="CN172" s="16">
        <v>-9999</v>
      </c>
      <c r="CO172" s="16">
        <v>-9999</v>
      </c>
      <c r="CP172" s="16">
        <v>-9999</v>
      </c>
      <c r="CQ172" s="16">
        <v>-9999</v>
      </c>
      <c r="CR172" s="16">
        <v>-9999</v>
      </c>
      <c r="CS172" s="16">
        <v>-9999</v>
      </c>
      <c r="CT172" s="16">
        <v>-9999</v>
      </c>
      <c r="CU172" s="16">
        <v>-9999</v>
      </c>
      <c r="CV172" s="16">
        <v>-9999</v>
      </c>
      <c r="CW172" s="16">
        <v>-9999</v>
      </c>
      <c r="CX172" s="16">
        <v>-9999</v>
      </c>
      <c r="CY172" s="16">
        <v>-9999</v>
      </c>
      <c r="CZ172" s="16">
        <v>-9999</v>
      </c>
      <c r="DA172" s="16">
        <v>-9999</v>
      </c>
      <c r="DB172" s="16">
        <v>-9999</v>
      </c>
      <c r="DC172" s="16">
        <v>-9999</v>
      </c>
      <c r="DD172" s="16">
        <v>-9999</v>
      </c>
      <c r="DE172" s="16">
        <v>-9999</v>
      </c>
      <c r="DF172" s="16">
        <v>-9999</v>
      </c>
      <c r="DG172" s="16">
        <v>-9999</v>
      </c>
      <c r="DH172" s="16">
        <v>-9999</v>
      </c>
      <c r="DI172" s="16">
        <v>-9999</v>
      </c>
      <c r="DJ172" s="16">
        <v>-9999</v>
      </c>
      <c r="DK172" s="16">
        <v>-9999</v>
      </c>
      <c r="DL172" s="16">
        <v>-9999</v>
      </c>
      <c r="DM172" s="16">
        <v>-9999</v>
      </c>
      <c r="DN172" s="16">
        <v>-9999</v>
      </c>
      <c r="DO172" s="16">
        <v>-9999</v>
      </c>
      <c r="DP172" s="16">
        <v>-9999</v>
      </c>
      <c r="DQ172" s="16">
        <v>-9999</v>
      </c>
      <c r="DR172" s="16">
        <v>-9999</v>
      </c>
      <c r="DS172" s="16">
        <v>-9999</v>
      </c>
      <c r="DT172" s="16">
        <v>-9999</v>
      </c>
      <c r="DU172" s="16">
        <v>-9999</v>
      </c>
      <c r="DV172" s="16">
        <v>-9999</v>
      </c>
      <c r="DW172" s="16">
        <v>-9999</v>
      </c>
      <c r="DX172" s="16">
        <v>-9999</v>
      </c>
      <c r="DY172" s="16">
        <v>-9999</v>
      </c>
      <c r="DZ172" s="16">
        <v>-9999</v>
      </c>
      <c r="EA172" s="2107">
        <v>-9999</v>
      </c>
      <c r="EB172" s="2107">
        <v>-9999</v>
      </c>
      <c r="EC172" s="2107">
        <v>-9999</v>
      </c>
      <c r="ED172" s="2107">
        <v>-9999</v>
      </c>
      <c r="EE172" s="2107">
        <v>-9999</v>
      </c>
      <c r="EF172" s="2107">
        <v>-9999</v>
      </c>
      <c r="EG172" s="2107">
        <v>-9999</v>
      </c>
      <c r="EH172" s="2107">
        <v>-9999</v>
      </c>
      <c r="EI172" s="2107">
        <v>-9999</v>
      </c>
      <c r="EJ172" s="2107">
        <v>-9999</v>
      </c>
      <c r="EK172" s="2107">
        <v>-9999</v>
      </c>
      <c r="EL172" s="2107">
        <v>-9999</v>
      </c>
      <c r="EM172" s="2107">
        <v>-9999</v>
      </c>
    </row>
    <row r="173" spans="1:143">
      <c r="A173" s="22">
        <v>73</v>
      </c>
      <c r="B173" s="36" t="s">
        <v>1998</v>
      </c>
      <c r="C173" s="2914">
        <v>-9999</v>
      </c>
      <c r="D173" s="2914">
        <v>-9999</v>
      </c>
      <c r="E173" s="2914">
        <v>-9999</v>
      </c>
      <c r="F173" s="2914">
        <v>-9999</v>
      </c>
      <c r="G173" s="2914">
        <v>-9999</v>
      </c>
      <c r="H173" s="25">
        <v>-9999</v>
      </c>
      <c r="I173" s="25">
        <v>-9999</v>
      </c>
      <c r="J173" s="25">
        <v>-9999</v>
      </c>
      <c r="K173" s="25">
        <v>-9999</v>
      </c>
      <c r="L173" s="25">
        <v>-9999</v>
      </c>
      <c r="M173" s="25">
        <v>-9999</v>
      </c>
      <c r="N173" s="25">
        <v>-9999</v>
      </c>
      <c r="O173" s="25">
        <v>-9999</v>
      </c>
      <c r="P173" s="32"/>
      <c r="Q173"/>
      <c r="AA173" s="22">
        <v>73</v>
      </c>
      <c r="AB173" s="1081" t="str">
        <f t="shared" si="8"/>
        <v>FOR FUTURE USE</v>
      </c>
      <c r="AC173" s="1081">
        <f>CHOOSE(Tables!$U$2,Transfer!CA173,Transfer!CN173,Transfer!DA173,Transfer!DN173,Transfer!EA173)</f>
        <v>-9999</v>
      </c>
      <c r="AD173" s="1081">
        <f>CHOOSE(Tables!$U$2,Transfer!CB173,Transfer!CO173,Transfer!DB173,Transfer!DO173,Transfer!EB173)</f>
        <v>-9999</v>
      </c>
      <c r="AE173" s="1081">
        <f>CHOOSE(Tables!$U$2,Transfer!CC173,Transfer!CP173,Transfer!DC173,Transfer!DP173,Transfer!EC173)</f>
        <v>-9999</v>
      </c>
      <c r="AF173" s="1081">
        <f>CHOOSE(Tables!$U$2,Transfer!CD173,Transfer!CQ173,Transfer!DD173,Transfer!DQ173,Transfer!ED173)</f>
        <v>-9999</v>
      </c>
      <c r="AG173" s="1081">
        <f>CHOOSE(Tables!$U$2,Transfer!CE173,Transfer!CR173,Transfer!DE173,Transfer!DR173,Transfer!EE173)</f>
        <v>-9999</v>
      </c>
      <c r="AH173" s="1081">
        <f>CHOOSE(Tables!$U$2,Transfer!CF173,Transfer!CS173,Transfer!DF173,Transfer!DS173,Transfer!EF173)</f>
        <v>-9999</v>
      </c>
      <c r="AI173" s="1081">
        <f>CHOOSE(Tables!$U$2,Transfer!CG173,Transfer!CT173,Transfer!DG173,Transfer!DT173,Transfer!EG173)</f>
        <v>-9999</v>
      </c>
      <c r="AJ173" s="1081">
        <f>CHOOSE(Tables!$U$2,Transfer!CH173,Transfer!CU173,Transfer!DH173,Transfer!DU173,Transfer!EH173)</f>
        <v>-9999</v>
      </c>
      <c r="AK173" s="1081">
        <f>CHOOSE(Tables!$U$2,Transfer!CI173,Transfer!CV173,Transfer!DI173,Transfer!DV173,Transfer!EI173)</f>
        <v>-9999</v>
      </c>
      <c r="AL173" s="1081">
        <f>CHOOSE(Tables!$U$2,Transfer!CJ173,Transfer!CW173,Transfer!DJ173,Transfer!DW173,Transfer!EJ173)</f>
        <v>-9999</v>
      </c>
      <c r="AM173" s="1081">
        <f>CHOOSE(Tables!$U$2,Transfer!CK173,Transfer!CX173,Transfer!DK173,Transfer!DX173,Transfer!EK173)</f>
        <v>-9999</v>
      </c>
      <c r="AN173" s="1081">
        <f>CHOOSE(Tables!$U$2,Transfer!CL173,Transfer!CY173,Transfer!DL173,Transfer!DY173,Transfer!EL173)</f>
        <v>-9999</v>
      </c>
      <c r="AO173" s="1081">
        <f>CHOOSE(Tables!$U$2,Transfer!CM173,Transfer!CZ173,Transfer!DM173,Transfer!DZ173,Transfer!EM173)</f>
        <v>-9999</v>
      </c>
      <c r="AR173" s="22">
        <v>73</v>
      </c>
      <c r="AS173" s="36" t="s">
        <v>1998</v>
      </c>
      <c r="AT173" s="25">
        <f t="shared" si="9"/>
        <v>0</v>
      </c>
      <c r="AU173" s="25">
        <f t="shared" si="9"/>
        <v>0</v>
      </c>
      <c r="AV173" s="25">
        <f t="shared" si="9"/>
        <v>0</v>
      </c>
      <c r="AW173" s="25">
        <f t="shared" si="9"/>
        <v>0</v>
      </c>
      <c r="AX173" s="25">
        <f t="shared" si="9"/>
        <v>0</v>
      </c>
      <c r="AY173" s="25">
        <f t="shared" si="9"/>
        <v>0</v>
      </c>
      <c r="AZ173" s="25">
        <f t="shared" si="7"/>
        <v>0</v>
      </c>
      <c r="BA173" s="25">
        <f t="shared" si="7"/>
        <v>0</v>
      </c>
      <c r="BB173" s="25">
        <f t="shared" si="7"/>
        <v>0</v>
      </c>
      <c r="BC173" s="25">
        <f t="shared" si="7"/>
        <v>0</v>
      </c>
      <c r="BD173" s="25">
        <f t="shared" si="7"/>
        <v>0</v>
      </c>
      <c r="BE173" s="25">
        <f t="shared" si="7"/>
        <v>0</v>
      </c>
      <c r="BF173" s="25">
        <f t="shared" si="7"/>
        <v>0</v>
      </c>
      <c r="CA173" s="16">
        <v>-9999</v>
      </c>
      <c r="CB173" s="16">
        <v>-9999</v>
      </c>
      <c r="CC173" s="16">
        <v>-9999</v>
      </c>
      <c r="CD173" s="16">
        <v>-9999</v>
      </c>
      <c r="CE173" s="16">
        <v>-9999</v>
      </c>
      <c r="CF173" s="16">
        <v>-9999</v>
      </c>
      <c r="CG173" s="16">
        <v>-9999</v>
      </c>
      <c r="CH173" s="16">
        <v>-9999</v>
      </c>
      <c r="CI173" s="16">
        <v>-9999</v>
      </c>
      <c r="CJ173" s="16">
        <v>-9999</v>
      </c>
      <c r="CK173" s="16">
        <v>-9999</v>
      </c>
      <c r="CL173" s="16">
        <v>-9999</v>
      </c>
      <c r="CM173" s="16">
        <v>-9999</v>
      </c>
      <c r="CN173" s="16">
        <v>-9999</v>
      </c>
      <c r="CO173" s="16">
        <v>-9999</v>
      </c>
      <c r="CP173" s="16">
        <v>-9999</v>
      </c>
      <c r="CQ173" s="16">
        <v>-9999</v>
      </c>
      <c r="CR173" s="16">
        <v>-9999</v>
      </c>
      <c r="CS173" s="16">
        <v>-9999</v>
      </c>
      <c r="CT173" s="16">
        <v>-9999</v>
      </c>
      <c r="CU173" s="16">
        <v>-9999</v>
      </c>
      <c r="CV173" s="16">
        <v>-9999</v>
      </c>
      <c r="CW173" s="16">
        <v>-9999</v>
      </c>
      <c r="CX173" s="16">
        <v>-9999</v>
      </c>
      <c r="CY173" s="16">
        <v>-9999</v>
      </c>
      <c r="CZ173" s="16">
        <v>-9999</v>
      </c>
      <c r="DA173" s="16">
        <v>-9999</v>
      </c>
      <c r="DB173" s="16">
        <v>-9999</v>
      </c>
      <c r="DC173" s="16">
        <v>-9999</v>
      </c>
      <c r="DD173" s="16">
        <v>-9999</v>
      </c>
      <c r="DE173" s="16">
        <v>-9999</v>
      </c>
      <c r="DF173" s="16">
        <v>-9999</v>
      </c>
      <c r="DG173" s="16">
        <v>-9999</v>
      </c>
      <c r="DH173" s="16">
        <v>-9999</v>
      </c>
      <c r="DI173" s="16">
        <v>-9999</v>
      </c>
      <c r="DJ173" s="16">
        <v>-9999</v>
      </c>
      <c r="DK173" s="16">
        <v>-9999</v>
      </c>
      <c r="DL173" s="16">
        <v>-9999</v>
      </c>
      <c r="DM173" s="16">
        <v>-9999</v>
      </c>
      <c r="DN173" s="16">
        <v>-9999</v>
      </c>
      <c r="DO173" s="16">
        <v>-9999</v>
      </c>
      <c r="DP173" s="16">
        <v>-9999</v>
      </c>
      <c r="DQ173" s="16">
        <v>-9999</v>
      </c>
      <c r="DR173" s="16">
        <v>-9999</v>
      </c>
      <c r="DS173" s="16">
        <v>-9999</v>
      </c>
      <c r="DT173" s="16">
        <v>-9999</v>
      </c>
      <c r="DU173" s="16">
        <v>-9999</v>
      </c>
      <c r="DV173" s="16">
        <v>-9999</v>
      </c>
      <c r="DW173" s="16">
        <v>-9999</v>
      </c>
      <c r="DX173" s="16">
        <v>-9999</v>
      </c>
      <c r="DY173" s="16">
        <v>-9999</v>
      </c>
      <c r="DZ173" s="16">
        <v>-9999</v>
      </c>
      <c r="EA173" s="2107">
        <v>-9999</v>
      </c>
      <c r="EB173" s="2107">
        <v>-9999</v>
      </c>
      <c r="EC173" s="2107">
        <v>-9999</v>
      </c>
      <c r="ED173" s="2107">
        <v>-9999</v>
      </c>
      <c r="EE173" s="2107">
        <v>-9999</v>
      </c>
      <c r="EF173" s="2107">
        <v>-9999</v>
      </c>
      <c r="EG173" s="2107">
        <v>-9999</v>
      </c>
      <c r="EH173" s="2107">
        <v>-9999</v>
      </c>
      <c r="EI173" s="2107">
        <v>-9999</v>
      </c>
      <c r="EJ173" s="2107">
        <v>-9999</v>
      </c>
      <c r="EK173" s="2107">
        <v>-9999</v>
      </c>
      <c r="EL173" s="2107">
        <v>-9999</v>
      </c>
      <c r="EM173" s="2107">
        <v>-9999</v>
      </c>
    </row>
    <row r="174" spans="1:143">
      <c r="A174" s="22">
        <v>74</v>
      </c>
      <c r="B174" s="36" t="s">
        <v>1998</v>
      </c>
      <c r="C174" s="25">
        <v>-9999</v>
      </c>
      <c r="D174" s="25">
        <v>-9999</v>
      </c>
      <c r="E174" s="25">
        <v>-9999</v>
      </c>
      <c r="F174" s="25">
        <v>-9999</v>
      </c>
      <c r="G174" s="25">
        <v>-9999</v>
      </c>
      <c r="H174" s="25">
        <v>-9999</v>
      </c>
      <c r="I174" s="25">
        <v>-9999</v>
      </c>
      <c r="J174" s="25">
        <v>-9999</v>
      </c>
      <c r="K174" s="25">
        <v>-9999</v>
      </c>
      <c r="L174" s="25">
        <v>-9999</v>
      </c>
      <c r="M174" s="25">
        <v>-9999</v>
      </c>
      <c r="N174" s="25">
        <v>-9999</v>
      </c>
      <c r="O174" s="25">
        <v>-9999</v>
      </c>
      <c r="P174" s="32"/>
      <c r="Q174"/>
      <c r="AA174" s="22">
        <v>74</v>
      </c>
      <c r="AB174" s="1081" t="str">
        <f t="shared" si="8"/>
        <v>FOR FUTURE USE</v>
      </c>
      <c r="AC174" s="1081">
        <f>CHOOSE(Tables!$U$2,Transfer!CA174,Transfer!CN174,Transfer!DA174,Transfer!DN174,Transfer!EA174)</f>
        <v>-9999</v>
      </c>
      <c r="AD174" s="1081">
        <f>CHOOSE(Tables!$U$2,Transfer!CB174,Transfer!CO174,Transfer!DB174,Transfer!DO174,Transfer!EB174)</f>
        <v>-9999</v>
      </c>
      <c r="AE174" s="1081">
        <f>CHOOSE(Tables!$U$2,Transfer!CC174,Transfer!CP174,Transfer!DC174,Transfer!DP174,Transfer!EC174)</f>
        <v>-9999</v>
      </c>
      <c r="AF174" s="1081">
        <f>CHOOSE(Tables!$U$2,Transfer!CD174,Transfer!CQ174,Transfer!DD174,Transfer!DQ174,Transfer!ED174)</f>
        <v>-9999</v>
      </c>
      <c r="AG174" s="1081">
        <f>CHOOSE(Tables!$U$2,Transfer!CE174,Transfer!CR174,Transfer!DE174,Transfer!DR174,Transfer!EE174)</f>
        <v>-9999</v>
      </c>
      <c r="AH174" s="1081">
        <f>CHOOSE(Tables!$U$2,Transfer!CF174,Transfer!CS174,Transfer!DF174,Transfer!DS174,Transfer!EF174)</f>
        <v>-9999</v>
      </c>
      <c r="AI174" s="1081">
        <f>CHOOSE(Tables!$U$2,Transfer!CG174,Transfer!CT174,Transfer!DG174,Transfer!DT174,Transfer!EG174)</f>
        <v>-9999</v>
      </c>
      <c r="AJ174" s="1081">
        <f>CHOOSE(Tables!$U$2,Transfer!CH174,Transfer!CU174,Transfer!DH174,Transfer!DU174,Transfer!EH174)</f>
        <v>-9999</v>
      </c>
      <c r="AK174" s="1081">
        <f>CHOOSE(Tables!$U$2,Transfer!CI174,Transfer!CV174,Transfer!DI174,Transfer!DV174,Transfer!EI174)</f>
        <v>-9999</v>
      </c>
      <c r="AL174" s="1081">
        <f>CHOOSE(Tables!$U$2,Transfer!CJ174,Transfer!CW174,Transfer!DJ174,Transfer!DW174,Transfer!EJ174)</f>
        <v>-9999</v>
      </c>
      <c r="AM174" s="1081">
        <f>CHOOSE(Tables!$U$2,Transfer!CK174,Transfer!CX174,Transfer!DK174,Transfer!DX174,Transfer!EK174)</f>
        <v>-9999</v>
      </c>
      <c r="AN174" s="1081">
        <f>CHOOSE(Tables!$U$2,Transfer!CL174,Transfer!CY174,Transfer!DL174,Transfer!DY174,Transfer!EL174)</f>
        <v>-9999</v>
      </c>
      <c r="AO174" s="1081">
        <f>CHOOSE(Tables!$U$2,Transfer!CM174,Transfer!CZ174,Transfer!DM174,Transfer!DZ174,Transfer!EM174)</f>
        <v>-9999</v>
      </c>
      <c r="AR174" s="22">
        <v>74</v>
      </c>
      <c r="AS174" s="36" t="s">
        <v>1998</v>
      </c>
      <c r="AT174" s="25">
        <f t="shared" si="9"/>
        <v>0</v>
      </c>
      <c r="AU174" s="25">
        <f t="shared" si="9"/>
        <v>0</v>
      </c>
      <c r="AV174" s="25">
        <f t="shared" si="9"/>
        <v>0</v>
      </c>
      <c r="AW174" s="25">
        <f t="shared" si="9"/>
        <v>0</v>
      </c>
      <c r="AX174" s="25">
        <f t="shared" si="9"/>
        <v>0</v>
      </c>
      <c r="AY174" s="25">
        <f t="shared" si="9"/>
        <v>0</v>
      </c>
      <c r="AZ174" s="25">
        <f t="shared" si="7"/>
        <v>0</v>
      </c>
      <c r="BA174" s="25">
        <f t="shared" si="7"/>
        <v>0</v>
      </c>
      <c r="BB174" s="25">
        <f t="shared" si="7"/>
        <v>0</v>
      </c>
      <c r="BC174" s="25">
        <f t="shared" si="7"/>
        <v>0</v>
      </c>
      <c r="BD174" s="25">
        <f t="shared" si="7"/>
        <v>0</v>
      </c>
      <c r="BE174" s="25">
        <f t="shared" si="7"/>
        <v>0</v>
      </c>
      <c r="BF174" s="25">
        <f t="shared" si="7"/>
        <v>0</v>
      </c>
      <c r="CA174" s="16">
        <v>-9999</v>
      </c>
      <c r="CB174" s="16">
        <v>-9999</v>
      </c>
      <c r="CC174" s="16">
        <v>-9999</v>
      </c>
      <c r="CD174" s="16">
        <v>-9999</v>
      </c>
      <c r="CE174" s="16">
        <v>-9999</v>
      </c>
      <c r="CF174" s="16">
        <v>-9999</v>
      </c>
      <c r="CG174" s="16">
        <v>-9999</v>
      </c>
      <c r="CH174" s="16">
        <v>-9999</v>
      </c>
      <c r="CI174" s="16">
        <v>-9999</v>
      </c>
      <c r="CJ174" s="16">
        <v>-9999</v>
      </c>
      <c r="CK174" s="16">
        <v>-9999</v>
      </c>
      <c r="CL174" s="16">
        <v>-9999</v>
      </c>
      <c r="CM174" s="16">
        <v>-9999</v>
      </c>
      <c r="CN174" s="16">
        <v>-9999</v>
      </c>
      <c r="CO174" s="16">
        <v>-9999</v>
      </c>
      <c r="CP174" s="16">
        <v>-9999</v>
      </c>
      <c r="CQ174" s="16">
        <v>-9999</v>
      </c>
      <c r="CR174" s="16">
        <v>-9999</v>
      </c>
      <c r="CS174" s="16">
        <v>-9999</v>
      </c>
      <c r="CT174" s="16">
        <v>-9999</v>
      </c>
      <c r="CU174" s="16">
        <v>-9999</v>
      </c>
      <c r="CV174" s="16">
        <v>-9999</v>
      </c>
      <c r="CW174" s="16">
        <v>-9999</v>
      </c>
      <c r="CX174" s="16">
        <v>-9999</v>
      </c>
      <c r="CY174" s="16">
        <v>-9999</v>
      </c>
      <c r="CZ174" s="16">
        <v>-9999</v>
      </c>
      <c r="DA174" s="16">
        <v>-9999</v>
      </c>
      <c r="DB174" s="16">
        <v>-9999</v>
      </c>
      <c r="DC174" s="16">
        <v>-9999</v>
      </c>
      <c r="DD174" s="16">
        <v>-9999</v>
      </c>
      <c r="DE174" s="16">
        <v>-9999</v>
      </c>
      <c r="DF174" s="16">
        <v>-9999</v>
      </c>
      <c r="DG174" s="16">
        <v>-9999</v>
      </c>
      <c r="DH174" s="16">
        <v>-9999</v>
      </c>
      <c r="DI174" s="16">
        <v>-9999</v>
      </c>
      <c r="DJ174" s="16">
        <v>-9999</v>
      </c>
      <c r="DK174" s="16">
        <v>-9999</v>
      </c>
      <c r="DL174" s="16">
        <v>-9999</v>
      </c>
      <c r="DM174" s="16">
        <v>-9999</v>
      </c>
      <c r="DN174" s="16">
        <v>-9999</v>
      </c>
      <c r="DO174" s="16">
        <v>-9999</v>
      </c>
      <c r="DP174" s="16">
        <v>-9999</v>
      </c>
      <c r="DQ174" s="16">
        <v>-9999</v>
      </c>
      <c r="DR174" s="16">
        <v>-9999</v>
      </c>
      <c r="DS174" s="16">
        <v>-9999</v>
      </c>
      <c r="DT174" s="16">
        <v>-9999</v>
      </c>
      <c r="DU174" s="16">
        <v>-9999</v>
      </c>
      <c r="DV174" s="16">
        <v>-9999</v>
      </c>
      <c r="DW174" s="16">
        <v>-9999</v>
      </c>
      <c r="DX174" s="16">
        <v>-9999</v>
      </c>
      <c r="DY174" s="16">
        <v>-9999</v>
      </c>
      <c r="DZ174" s="16">
        <v>-9999</v>
      </c>
      <c r="EA174" s="2107">
        <v>-9999</v>
      </c>
      <c r="EB174" s="2107">
        <v>-9999</v>
      </c>
      <c r="EC174" s="2107">
        <v>-9999</v>
      </c>
      <c r="ED174" s="2107">
        <v>-9999</v>
      </c>
      <c r="EE174" s="2107">
        <v>-9999</v>
      </c>
      <c r="EF174" s="2107">
        <v>-9999</v>
      </c>
      <c r="EG174" s="2107">
        <v>-9999</v>
      </c>
      <c r="EH174" s="2107">
        <v>-9999</v>
      </c>
      <c r="EI174" s="2107">
        <v>-9999</v>
      </c>
      <c r="EJ174" s="2107">
        <v>-9999</v>
      </c>
      <c r="EK174" s="2107">
        <v>-9999</v>
      </c>
      <c r="EL174" s="2107">
        <v>-9999</v>
      </c>
      <c r="EM174" s="2107">
        <v>-9999</v>
      </c>
    </row>
    <row r="175" spans="1:143">
      <c r="A175" s="22">
        <v>75</v>
      </c>
      <c r="B175" s="27" t="s">
        <v>193</v>
      </c>
      <c r="C175" s="20">
        <f ca="1">OFFSET(Labour1!F5,0,Last_forecast_year - 3-InputY!$G$3)</f>
        <v>11238</v>
      </c>
      <c r="D175" s="20">
        <f ca="1">OFFSET(Labour1!G5,0,Last_forecast_year - 3-InputY!$G$3)</f>
        <v>11295</v>
      </c>
      <c r="E175" s="20">
        <f ca="1">OFFSET(Labour1!H5,0,Last_forecast_year - 3-InputY!$G$3)</f>
        <v>11348</v>
      </c>
      <c r="F175" s="20">
        <f ca="1">OFFSET(Labour1!I5,0,Last_forecast_year - 3-InputY!$G$3)</f>
        <v>11406.019729489513</v>
      </c>
      <c r="G175" s="20">
        <f ca="1">OFFSET(Labour1!J5,0,Last_forecast_year - 3-InputY!$G$3)</f>
        <v>11464.336100590768</v>
      </c>
      <c r="H175" s="25">
        <v>-9999</v>
      </c>
      <c r="I175" s="25">
        <v>-9999</v>
      </c>
      <c r="J175" s="25">
        <v>-9999</v>
      </c>
      <c r="K175" s="25">
        <v>-9999</v>
      </c>
      <c r="L175" s="25">
        <v>-9999</v>
      </c>
      <c r="M175" s="25">
        <v>-9999</v>
      </c>
      <c r="N175" s="25">
        <v>-9999</v>
      </c>
      <c r="O175" s="25">
        <v>-9999</v>
      </c>
      <c r="P175" s="32"/>
      <c r="Q175"/>
      <c r="AA175" s="22">
        <v>75</v>
      </c>
      <c r="AB175" s="1081" t="str">
        <f t="shared" si="8"/>
        <v>TOTAL POPULATION</v>
      </c>
      <c r="AC175" s="1081">
        <f>CHOOSE(Tables!$U$2,Transfer!CA175,Transfer!CN175,Transfer!DA175,Transfer!DN175,Transfer!EA175)</f>
        <v>11238</v>
      </c>
      <c r="AD175" s="1081">
        <f>CHOOSE(Tables!$U$2,Transfer!CB175,Transfer!CO175,Transfer!DB175,Transfer!DO175,Transfer!EB175)</f>
        <v>11295</v>
      </c>
      <c r="AE175" s="1081">
        <f>CHOOSE(Tables!$U$2,Transfer!CC175,Transfer!CP175,Transfer!DC175,Transfer!DP175,Transfer!EC175)</f>
        <v>11348</v>
      </c>
      <c r="AF175" s="1081">
        <f>CHOOSE(Tables!$U$2,Transfer!CD175,Transfer!CQ175,Transfer!DD175,Transfer!DQ175,Transfer!ED175)</f>
        <v>11406.019729489513</v>
      </c>
      <c r="AG175" s="1081">
        <f>CHOOSE(Tables!$U$2,Transfer!CE175,Transfer!CR175,Transfer!DE175,Transfer!DR175,Transfer!EE175)</f>
        <v>11464.336100590768</v>
      </c>
      <c r="AH175" s="1081">
        <f>CHOOSE(Tables!$U$2,Transfer!CF175,Transfer!CS175,Transfer!DF175,Transfer!DS175,Transfer!EF175)</f>
        <v>-9999</v>
      </c>
      <c r="AI175" s="1081">
        <f>CHOOSE(Tables!$U$2,Transfer!CG175,Transfer!CT175,Transfer!DG175,Transfer!DT175,Transfer!EG175)</f>
        <v>-9999</v>
      </c>
      <c r="AJ175" s="1081">
        <f>CHOOSE(Tables!$U$2,Transfer!CH175,Transfer!CU175,Transfer!DH175,Transfer!DU175,Transfer!EH175)</f>
        <v>-9999</v>
      </c>
      <c r="AK175" s="1081">
        <f>CHOOSE(Tables!$U$2,Transfer!CI175,Transfer!CV175,Transfer!DI175,Transfer!DV175,Transfer!EI175)</f>
        <v>-9999</v>
      </c>
      <c r="AL175" s="1081">
        <f>CHOOSE(Tables!$U$2,Transfer!CJ175,Transfer!CW175,Transfer!DJ175,Transfer!DW175,Transfer!EJ175)</f>
        <v>-9999</v>
      </c>
      <c r="AM175" s="1081">
        <f>CHOOSE(Tables!$U$2,Transfer!CK175,Transfer!CX175,Transfer!DK175,Transfer!DX175,Transfer!EK175)</f>
        <v>-9999</v>
      </c>
      <c r="AN175" s="1081">
        <f>CHOOSE(Tables!$U$2,Transfer!CL175,Transfer!CY175,Transfer!DL175,Transfer!DY175,Transfer!EL175)</f>
        <v>-9999</v>
      </c>
      <c r="AO175" s="1081">
        <f>CHOOSE(Tables!$U$2,Transfer!CM175,Transfer!CZ175,Transfer!DM175,Transfer!DZ175,Transfer!EM175)</f>
        <v>-9999</v>
      </c>
      <c r="AR175" s="22">
        <v>75</v>
      </c>
      <c r="AS175" s="27" t="s">
        <v>193</v>
      </c>
      <c r="AT175" s="20">
        <f t="shared" ca="1" si="9"/>
        <v>0</v>
      </c>
      <c r="AU175" s="20">
        <f t="shared" ca="1" si="9"/>
        <v>0</v>
      </c>
      <c r="AV175" s="20">
        <f t="shared" ca="1" si="9"/>
        <v>0</v>
      </c>
      <c r="AW175" s="20">
        <f t="shared" ca="1" si="9"/>
        <v>0</v>
      </c>
      <c r="AX175" s="20">
        <f t="shared" ca="1" si="9"/>
        <v>0</v>
      </c>
      <c r="AY175" s="25">
        <f t="shared" si="9"/>
        <v>0</v>
      </c>
      <c r="AZ175" s="25">
        <f t="shared" si="7"/>
        <v>0</v>
      </c>
      <c r="BA175" s="25">
        <f t="shared" si="7"/>
        <v>0</v>
      </c>
      <c r="BB175" s="25">
        <f t="shared" si="7"/>
        <v>0</v>
      </c>
      <c r="BC175" s="25">
        <f t="shared" si="7"/>
        <v>0</v>
      </c>
      <c r="BD175" s="25">
        <f t="shared" si="7"/>
        <v>0</v>
      </c>
      <c r="BE175" s="25">
        <f t="shared" si="7"/>
        <v>0</v>
      </c>
      <c r="BF175" s="25">
        <f t="shared" si="7"/>
        <v>0</v>
      </c>
      <c r="CA175" s="16">
        <v>11238</v>
      </c>
      <c r="CB175" s="16">
        <v>11295</v>
      </c>
      <c r="CC175" s="16">
        <v>11348</v>
      </c>
      <c r="CD175" s="16">
        <v>11406.019729489513</v>
      </c>
      <c r="CE175" s="16">
        <v>11464.336100590768</v>
      </c>
      <c r="CF175" s="16">
        <v>-9999</v>
      </c>
      <c r="CG175" s="16">
        <v>-9999</v>
      </c>
      <c r="CH175" s="16">
        <v>-9999</v>
      </c>
      <c r="CI175" s="16">
        <v>-9999</v>
      </c>
      <c r="CJ175" s="16">
        <v>-9999</v>
      </c>
      <c r="CK175" s="16">
        <v>-9999</v>
      </c>
      <c r="CL175" s="16">
        <v>-9999</v>
      </c>
      <c r="CM175" s="16">
        <v>-9999</v>
      </c>
      <c r="CN175" s="16">
        <v>11238</v>
      </c>
      <c r="CO175" s="16">
        <v>11295</v>
      </c>
      <c r="CP175" s="16">
        <v>11358.370264506253</v>
      </c>
      <c r="CQ175" s="16">
        <v>11416.443014787217</v>
      </c>
      <c r="CR175" s="16">
        <v>11474.812677763108</v>
      </c>
      <c r="CS175" s="16">
        <v>-9999</v>
      </c>
      <c r="CT175" s="16">
        <v>-9999</v>
      </c>
      <c r="CU175" s="16">
        <v>-9999</v>
      </c>
      <c r="CV175" s="16">
        <v>-9999</v>
      </c>
      <c r="CW175" s="16">
        <v>-9999</v>
      </c>
      <c r="CX175" s="16">
        <v>-9999</v>
      </c>
      <c r="CY175" s="16">
        <v>-9999</v>
      </c>
      <c r="CZ175" s="16">
        <v>-9999</v>
      </c>
      <c r="DA175" s="16">
        <v>11238</v>
      </c>
      <c r="DB175" s="16">
        <v>11295</v>
      </c>
      <c r="DC175" s="16">
        <v>11348</v>
      </c>
      <c r="DD175" s="16">
        <v>11406.019729489513</v>
      </c>
      <c r="DE175" s="16">
        <v>11464.336100590768</v>
      </c>
      <c r="DF175" s="16">
        <v>-9999</v>
      </c>
      <c r="DG175" s="16">
        <v>-9999</v>
      </c>
      <c r="DH175" s="16">
        <v>-9999</v>
      </c>
      <c r="DI175" s="16">
        <v>-9999</v>
      </c>
      <c r="DJ175" s="16">
        <v>-9999</v>
      </c>
      <c r="DK175" s="16">
        <v>-9999</v>
      </c>
      <c r="DL175" s="16">
        <v>-9999</v>
      </c>
      <c r="DM175" s="16">
        <v>-9999</v>
      </c>
      <c r="DN175" s="16">
        <v>11238</v>
      </c>
      <c r="DO175" s="16">
        <v>11295</v>
      </c>
      <c r="DP175" s="16">
        <v>11348</v>
      </c>
      <c r="DQ175" s="16">
        <v>11406.019729489513</v>
      </c>
      <c r="DR175" s="16">
        <v>11464.336100590768</v>
      </c>
      <c r="DS175" s="16">
        <v>-9999</v>
      </c>
      <c r="DT175" s="16">
        <v>-9999</v>
      </c>
      <c r="DU175" s="16">
        <v>-9999</v>
      </c>
      <c r="DV175" s="16">
        <v>-9999</v>
      </c>
      <c r="DW175" s="16">
        <v>-9999</v>
      </c>
      <c r="DX175" s="16">
        <v>-9999</v>
      </c>
      <c r="DY175" s="16">
        <v>-9999</v>
      </c>
      <c r="DZ175" s="16">
        <v>-9999</v>
      </c>
      <c r="EA175" s="2106">
        <v>11238</v>
      </c>
      <c r="EB175" s="2106">
        <v>11295</v>
      </c>
      <c r="EC175" s="2106">
        <v>11348</v>
      </c>
      <c r="ED175" s="2106">
        <v>11406.019729489513</v>
      </c>
      <c r="EE175" s="2106">
        <v>11464.336100590768</v>
      </c>
      <c r="EF175" s="2107">
        <v>-9999</v>
      </c>
      <c r="EG175" s="2107">
        <v>-9999</v>
      </c>
      <c r="EH175" s="2107">
        <v>-9999</v>
      </c>
      <c r="EI175" s="2107">
        <v>-9999</v>
      </c>
      <c r="EJ175" s="2107">
        <v>-9999</v>
      </c>
      <c r="EK175" s="2107">
        <v>-9999</v>
      </c>
      <c r="EL175" s="2107">
        <v>-9999</v>
      </c>
      <c r="EM175" s="2107">
        <v>-9999</v>
      </c>
    </row>
    <row r="176" spans="1:143">
      <c r="A176" s="22">
        <v>76</v>
      </c>
      <c r="B176" s="27" t="s">
        <v>194</v>
      </c>
      <c r="C176" s="20">
        <f ca="1">OFFSET(Labour1!F7,0,Last_forecast_year - 3-InputY!$G$3)</f>
        <v>7311.2285000000002</v>
      </c>
      <c r="D176" s="20">
        <f ca="1">OFFSET(Labour1!G7,0,Last_forecast_year - 3-InputY!$G$3)</f>
        <v>7327.7685000000001</v>
      </c>
      <c r="E176" s="20">
        <f ca="1">OFFSET(Labour1!H7,0,Last_forecast_year - 3-InputY!$G$3)</f>
        <v>7344.9227372409168</v>
      </c>
      <c r="F176" s="20">
        <f ca="1">OFFSET(Labour1!I7,0,Last_forecast_year - 3-InputY!$G$3)</f>
        <v>7353.0484285655621</v>
      </c>
      <c r="G176" s="20">
        <f ca="1">OFFSET(Labour1!J7,0,Last_forecast_year - 3-InputY!$G$3)</f>
        <v>7356.6598469320697</v>
      </c>
      <c r="H176" s="25">
        <v>-9999</v>
      </c>
      <c r="I176" s="25">
        <v>-9999</v>
      </c>
      <c r="J176" s="25">
        <v>-9999</v>
      </c>
      <c r="K176" s="25">
        <v>-9999</v>
      </c>
      <c r="L176" s="25">
        <v>-9999</v>
      </c>
      <c r="M176" s="25">
        <v>-9999</v>
      </c>
      <c r="N176" s="25">
        <v>-9999</v>
      </c>
      <c r="O176" s="25">
        <v>-9999</v>
      </c>
      <c r="P176" s="32"/>
      <c r="Q176"/>
      <c r="AA176" s="22">
        <v>76</v>
      </c>
      <c r="AB176" s="1081" t="str">
        <f t="shared" si="8"/>
        <v>POPULATION OF WORKING AGE (15-64)</v>
      </c>
      <c r="AC176" s="1081">
        <f>CHOOSE(Tables!$U$2,Transfer!CA176,Transfer!CN176,Transfer!DA176,Transfer!DN176,Transfer!EA176)</f>
        <v>7311.2285000000002</v>
      </c>
      <c r="AD176" s="1081">
        <f>CHOOSE(Tables!$U$2,Transfer!CB176,Transfer!CO176,Transfer!DB176,Transfer!DO176,Transfer!EB176)</f>
        <v>7327.7685000000001</v>
      </c>
      <c r="AE176" s="1081">
        <f>CHOOSE(Tables!$U$2,Transfer!CC176,Transfer!CP176,Transfer!DC176,Transfer!DP176,Transfer!EC176)</f>
        <v>7344.9227372409168</v>
      </c>
      <c r="AF176" s="1081">
        <f>CHOOSE(Tables!$U$2,Transfer!CD176,Transfer!CQ176,Transfer!DD176,Transfer!DQ176,Transfer!ED176)</f>
        <v>7353.0484285655621</v>
      </c>
      <c r="AG176" s="1081">
        <f>CHOOSE(Tables!$U$2,Transfer!CE176,Transfer!CR176,Transfer!DE176,Transfer!DR176,Transfer!EE176)</f>
        <v>7356.6598469320697</v>
      </c>
      <c r="AH176" s="1081">
        <f>CHOOSE(Tables!$U$2,Transfer!CF176,Transfer!CS176,Transfer!DF176,Transfer!DS176,Transfer!EF176)</f>
        <v>-9999</v>
      </c>
      <c r="AI176" s="1081">
        <f>CHOOSE(Tables!$U$2,Transfer!CG176,Transfer!CT176,Transfer!DG176,Transfer!DT176,Transfer!EG176)</f>
        <v>-9999</v>
      </c>
      <c r="AJ176" s="1081">
        <f>CHOOSE(Tables!$U$2,Transfer!CH176,Transfer!CU176,Transfer!DH176,Transfer!DU176,Transfer!EH176)</f>
        <v>-9999</v>
      </c>
      <c r="AK176" s="1081">
        <f>CHOOSE(Tables!$U$2,Transfer!CI176,Transfer!CV176,Transfer!DI176,Transfer!DV176,Transfer!EI176)</f>
        <v>-9999</v>
      </c>
      <c r="AL176" s="1081">
        <f>CHOOSE(Tables!$U$2,Transfer!CJ176,Transfer!CW176,Transfer!DJ176,Transfer!DW176,Transfer!EJ176)</f>
        <v>-9999</v>
      </c>
      <c r="AM176" s="1081">
        <f>CHOOSE(Tables!$U$2,Transfer!CK176,Transfer!CX176,Transfer!DK176,Transfer!DX176,Transfer!EK176)</f>
        <v>-9999</v>
      </c>
      <c r="AN176" s="1081">
        <f>CHOOSE(Tables!$U$2,Transfer!CL176,Transfer!CY176,Transfer!DL176,Transfer!DY176,Transfer!EL176)</f>
        <v>-9999</v>
      </c>
      <c r="AO176" s="1081">
        <f>CHOOSE(Tables!$U$2,Transfer!CM176,Transfer!CZ176,Transfer!DM176,Transfer!DZ176,Transfer!EM176)</f>
        <v>-9999</v>
      </c>
      <c r="AR176" s="22">
        <v>76</v>
      </c>
      <c r="AS176" s="27" t="s">
        <v>194</v>
      </c>
      <c r="AT176" s="20">
        <f t="shared" ca="1" si="9"/>
        <v>0</v>
      </c>
      <c r="AU176" s="20">
        <f ca="1">D176-AD176</f>
        <v>0</v>
      </c>
      <c r="AV176" s="20">
        <f ca="1">E176-AE176</f>
        <v>0</v>
      </c>
      <c r="AW176" s="20">
        <f t="shared" ca="1" si="9"/>
        <v>0</v>
      </c>
      <c r="AX176" s="20">
        <f t="shared" ca="1" si="9"/>
        <v>0</v>
      </c>
      <c r="AY176" s="25">
        <f t="shared" si="9"/>
        <v>0</v>
      </c>
      <c r="AZ176" s="25">
        <f t="shared" si="9"/>
        <v>0</v>
      </c>
      <c r="BA176" s="25">
        <f t="shared" si="9"/>
        <v>0</v>
      </c>
      <c r="BB176" s="25">
        <f t="shared" si="9"/>
        <v>0</v>
      </c>
      <c r="BC176" s="25">
        <f t="shared" si="7"/>
        <v>0</v>
      </c>
      <c r="BD176" s="25">
        <f t="shared" si="7"/>
        <v>0</v>
      </c>
      <c r="BE176" s="25">
        <f t="shared" si="7"/>
        <v>0</v>
      </c>
      <c r="BF176" s="25">
        <f t="shared" si="7"/>
        <v>0</v>
      </c>
      <c r="CA176" s="16">
        <v>7311.2285000000002</v>
      </c>
      <c r="CB176" s="16">
        <v>7327.7685000000001</v>
      </c>
      <c r="CC176" s="16">
        <v>7344.9227372409168</v>
      </c>
      <c r="CD176" s="16">
        <v>7353.0484285655621</v>
      </c>
      <c r="CE176" s="16">
        <v>7356.6598469320697</v>
      </c>
      <c r="CF176" s="16">
        <v>-9999</v>
      </c>
      <c r="CG176" s="16">
        <v>-9999</v>
      </c>
      <c r="CH176" s="16">
        <v>-9999</v>
      </c>
      <c r="CI176" s="16">
        <v>-9999</v>
      </c>
      <c r="CJ176" s="16">
        <v>-9999</v>
      </c>
      <c r="CK176" s="16">
        <v>-9999</v>
      </c>
      <c r="CL176" s="16">
        <v>-9999</v>
      </c>
      <c r="CM176" s="16">
        <v>-9999</v>
      </c>
      <c r="CN176" s="16">
        <v>7311.2285000000002</v>
      </c>
      <c r="CO176" s="16">
        <v>7344.3652308419505</v>
      </c>
      <c r="CP176" s="16">
        <v>7361.5583208739026</v>
      </c>
      <c r="CQ176" s="16">
        <v>7369.7024161521958</v>
      </c>
      <c r="CR176" s="16">
        <v>7373.3220140536587</v>
      </c>
      <c r="CS176" s="16">
        <v>-9999</v>
      </c>
      <c r="CT176" s="16">
        <v>-9999</v>
      </c>
      <c r="CU176" s="16">
        <v>-9999</v>
      </c>
      <c r="CV176" s="16">
        <v>-9999</v>
      </c>
      <c r="CW176" s="16">
        <v>-9999</v>
      </c>
      <c r="CX176" s="16">
        <v>-9999</v>
      </c>
      <c r="CY176" s="16">
        <v>-9999</v>
      </c>
      <c r="CZ176" s="16">
        <v>-9999</v>
      </c>
      <c r="DA176" s="16">
        <v>7311.2285000000002</v>
      </c>
      <c r="DB176" s="16">
        <v>7327.7685000000001</v>
      </c>
      <c r="DC176" s="16">
        <v>7344.9227372409168</v>
      </c>
      <c r="DD176" s="16">
        <v>7353.0484285655621</v>
      </c>
      <c r="DE176" s="16">
        <v>7356.6598469320697</v>
      </c>
      <c r="DF176" s="16">
        <v>-9999</v>
      </c>
      <c r="DG176" s="16">
        <v>-9999</v>
      </c>
      <c r="DH176" s="16">
        <v>-9999</v>
      </c>
      <c r="DI176" s="16">
        <v>-9999</v>
      </c>
      <c r="DJ176" s="16">
        <v>-9999</v>
      </c>
      <c r="DK176" s="16">
        <v>-9999</v>
      </c>
      <c r="DL176" s="16">
        <v>-9999</v>
      </c>
      <c r="DM176" s="16">
        <v>-9999</v>
      </c>
      <c r="DN176" s="16">
        <v>7311.2285000000002</v>
      </c>
      <c r="DO176" s="16">
        <v>7327.7685000000001</v>
      </c>
      <c r="DP176" s="16">
        <v>7344.9227372409168</v>
      </c>
      <c r="DQ176" s="16">
        <v>7353.0484285655621</v>
      </c>
      <c r="DR176" s="16">
        <v>7356.6598469320697</v>
      </c>
      <c r="DS176" s="16">
        <v>-9999</v>
      </c>
      <c r="DT176" s="16">
        <v>-9999</v>
      </c>
      <c r="DU176" s="16">
        <v>-9999</v>
      </c>
      <c r="DV176" s="16">
        <v>-9999</v>
      </c>
      <c r="DW176" s="16">
        <v>-9999</v>
      </c>
      <c r="DX176" s="16">
        <v>-9999</v>
      </c>
      <c r="DY176" s="16">
        <v>-9999</v>
      </c>
      <c r="DZ176" s="16">
        <v>-9999</v>
      </c>
      <c r="EA176" s="2106">
        <v>7311.2285000000002</v>
      </c>
      <c r="EB176" s="2106">
        <v>7327.7685000000001</v>
      </c>
      <c r="EC176" s="2106">
        <v>7344.9227372409168</v>
      </c>
      <c r="ED176" s="2106">
        <v>7353.0484285655621</v>
      </c>
      <c r="EE176" s="2106">
        <v>7356.6598469320697</v>
      </c>
      <c r="EF176" s="2107">
        <v>-9999</v>
      </c>
      <c r="EG176" s="2107">
        <v>-9999</v>
      </c>
      <c r="EH176" s="2107">
        <v>-9999</v>
      </c>
      <c r="EI176" s="2107">
        <v>-9999</v>
      </c>
      <c r="EJ176" s="2107">
        <v>-9999</v>
      </c>
      <c r="EK176" s="2107">
        <v>-9999</v>
      </c>
      <c r="EL176" s="2107">
        <v>-9999</v>
      </c>
      <c r="EM176" s="2107">
        <v>-9999</v>
      </c>
    </row>
    <row r="177" spans="1:143">
      <c r="A177" s="22">
        <v>77</v>
      </c>
      <c r="B177" s="27" t="s">
        <v>2153</v>
      </c>
      <c r="C177" s="20">
        <f ca="1">OFFSET(Labour1!F8,0,Last_forecast_year - 3-InputY!$G$3)</f>
        <v>8348.2209999999995</v>
      </c>
      <c r="D177" s="20">
        <f ca="1">OFFSET(Labour1!G8,0,Last_forecast_year - 3-InputY!$G$3)</f>
        <v>8397.6054999999997</v>
      </c>
      <c r="E177" s="20">
        <f ca="1">OFFSET(Labour1!H8,0,Last_forecast_year - 3-InputY!$G$3)</f>
        <v>8451.3041006134317</v>
      </c>
      <c r="F177" s="20">
        <f ca="1">OFFSET(Labour1!I8,0,Last_forecast_year - 3-InputY!$G$3)</f>
        <v>8490.1476459761216</v>
      </c>
      <c r="G177" s="20">
        <f ca="1">OFFSET(Labour1!J8,0,Last_forecast_year - 3-InputY!$G$3)</f>
        <v>8518.9472707934674</v>
      </c>
      <c r="H177" s="25">
        <v>-9999</v>
      </c>
      <c r="I177" s="25">
        <v>-9999</v>
      </c>
      <c r="J177" s="25">
        <v>-9999</v>
      </c>
      <c r="K177" s="25">
        <v>-9999</v>
      </c>
      <c r="L177" s="25">
        <v>-9999</v>
      </c>
      <c r="M177" s="25">
        <v>-9999</v>
      </c>
      <c r="N177" s="25">
        <v>-9999</v>
      </c>
      <c r="O177" s="25">
        <v>-9999</v>
      </c>
      <c r="P177" s="32"/>
      <c r="Q177"/>
      <c r="AA177" s="22">
        <v>76</v>
      </c>
      <c r="AB177" s="1081" t="str">
        <f>+B177</f>
        <v>POPULATION OF WORKING AGE (15-74)</v>
      </c>
      <c r="AC177" s="1081">
        <f>CHOOSE(Tables!$U$2,Transfer!CA177,Transfer!CN177,Transfer!DA177,Transfer!DN177,Transfer!EA177)</f>
        <v>8348.2209999999995</v>
      </c>
      <c r="AD177" s="1081">
        <f>CHOOSE(Tables!$U$2,Transfer!CB177,Transfer!CO177,Transfer!DB177,Transfer!DO177,Transfer!EB177)</f>
        <v>8397.6054999999997</v>
      </c>
      <c r="AE177" s="1081">
        <f>CHOOSE(Tables!$U$2,Transfer!CC177,Transfer!CP177,Transfer!DC177,Transfer!DP177,Transfer!EC177)</f>
        <v>8451.3041006134317</v>
      </c>
      <c r="AF177" s="1081">
        <f>CHOOSE(Tables!$U$2,Transfer!CD177,Transfer!CQ177,Transfer!DD177,Transfer!DQ177,Transfer!ED177)</f>
        <v>8490.1476459761216</v>
      </c>
      <c r="AG177" s="1081">
        <f>CHOOSE(Tables!$U$2,Transfer!CE177,Transfer!CR177,Transfer!DE177,Transfer!DR177,Transfer!EE177)</f>
        <v>8518.9472707934674</v>
      </c>
      <c r="AH177" s="1081">
        <f>CHOOSE(Tables!$U$2,Transfer!CF177,Transfer!CS177,Transfer!DF177,Transfer!DS177,Transfer!EF177)</f>
        <v>-9999</v>
      </c>
      <c r="AI177" s="1081">
        <f>CHOOSE(Tables!$U$2,Transfer!CG177,Transfer!CT177,Transfer!DG177,Transfer!DT177,Transfer!EG177)</f>
        <v>-9999</v>
      </c>
      <c r="AJ177" s="1081">
        <f>CHOOSE(Tables!$U$2,Transfer!CH177,Transfer!CU177,Transfer!DH177,Transfer!DU177,Transfer!EH177)</f>
        <v>-9999</v>
      </c>
      <c r="AK177" s="1081">
        <f>CHOOSE(Tables!$U$2,Transfer!CI177,Transfer!CV177,Transfer!DI177,Transfer!DV177,Transfer!EI177)</f>
        <v>-9999</v>
      </c>
      <c r="AL177" s="1081">
        <f>CHOOSE(Tables!$U$2,Transfer!CJ177,Transfer!CW177,Transfer!DJ177,Transfer!DW177,Transfer!EJ177)</f>
        <v>-9999</v>
      </c>
      <c r="AM177" s="1081">
        <f>CHOOSE(Tables!$U$2,Transfer!CK177,Transfer!CX177,Transfer!DK177,Transfer!DX177,Transfer!EK177)</f>
        <v>-9999</v>
      </c>
      <c r="AN177" s="1081">
        <f>CHOOSE(Tables!$U$2,Transfer!CL177,Transfer!CY177,Transfer!DL177,Transfer!DY177,Transfer!EL177)</f>
        <v>-9999</v>
      </c>
      <c r="AO177" s="1081">
        <f>CHOOSE(Tables!$U$2,Transfer!CM177,Transfer!CZ177,Transfer!DM177,Transfer!DZ177,Transfer!EM177)</f>
        <v>-9999</v>
      </c>
      <c r="AR177" s="22">
        <v>77</v>
      </c>
      <c r="AS177" s="27" t="s">
        <v>2153</v>
      </c>
      <c r="AT177" s="20">
        <f ca="1">C177-AC177</f>
        <v>0</v>
      </c>
      <c r="AU177" s="20">
        <f ca="1">D177-AD177</f>
        <v>0</v>
      </c>
      <c r="AV177" s="20">
        <f ca="1">E177-AE177</f>
        <v>0</v>
      </c>
      <c r="AW177" s="20">
        <f t="shared" ref="AW177:BF177" ca="1" si="10">F177-AF177</f>
        <v>0</v>
      </c>
      <c r="AX177" s="20">
        <f t="shared" ca="1" si="10"/>
        <v>0</v>
      </c>
      <c r="AY177" s="25">
        <f t="shared" si="10"/>
        <v>0</v>
      </c>
      <c r="AZ177" s="25">
        <f t="shared" si="10"/>
        <v>0</v>
      </c>
      <c r="BA177" s="25">
        <f t="shared" si="10"/>
        <v>0</v>
      </c>
      <c r="BB177" s="25">
        <f t="shared" si="10"/>
        <v>0</v>
      </c>
      <c r="BC177" s="25">
        <f t="shared" si="10"/>
        <v>0</v>
      </c>
      <c r="BD177" s="25">
        <f t="shared" si="10"/>
        <v>0</v>
      </c>
      <c r="BE177" s="25">
        <f t="shared" si="10"/>
        <v>0</v>
      </c>
      <c r="BF177" s="25">
        <f t="shared" si="10"/>
        <v>0</v>
      </c>
      <c r="CA177" s="16">
        <v>8348.2209999999995</v>
      </c>
      <c r="CB177" s="16">
        <v>8397.6054999999997</v>
      </c>
      <c r="CC177" s="16">
        <v>8451.3041006134317</v>
      </c>
      <c r="CD177" s="16">
        <v>8490.1476459761216</v>
      </c>
      <c r="CE177" s="16">
        <v>8518.9472707934674</v>
      </c>
      <c r="CF177" s="16">
        <v>-9999</v>
      </c>
      <c r="CG177" s="16">
        <v>-9999</v>
      </c>
      <c r="CH177" s="16">
        <v>-9999</v>
      </c>
      <c r="CI177" s="16">
        <v>-9999</v>
      </c>
      <c r="CJ177" s="16">
        <v>-9999</v>
      </c>
      <c r="CK177" s="16">
        <v>-9999</v>
      </c>
      <c r="CL177" s="16">
        <v>-9999</v>
      </c>
      <c r="CM177" s="16">
        <v>-9999</v>
      </c>
      <c r="CN177" s="16">
        <v>8348.2209999999995</v>
      </c>
      <c r="CO177" s="16">
        <v>8415.1567529279564</v>
      </c>
      <c r="CP177" s="16">
        <v>8468.9675852628279</v>
      </c>
      <c r="CQ177" s="16">
        <v>8507.8923148260947</v>
      </c>
      <c r="CR177" s="16">
        <v>8536.7521317421761</v>
      </c>
      <c r="CS177" s="16">
        <v>-9999</v>
      </c>
      <c r="CT177" s="16">
        <v>-9999</v>
      </c>
      <c r="CU177" s="16">
        <v>-9999</v>
      </c>
      <c r="CV177" s="16">
        <v>-9999</v>
      </c>
      <c r="CW177" s="16">
        <v>-9999</v>
      </c>
      <c r="CX177" s="16">
        <v>-9999</v>
      </c>
      <c r="CY177" s="16">
        <v>-9999</v>
      </c>
      <c r="CZ177" s="16">
        <v>-9999</v>
      </c>
      <c r="DA177" s="16">
        <v>8348.2209999999995</v>
      </c>
      <c r="DB177" s="16">
        <v>8397.6054999999997</v>
      </c>
      <c r="DC177" s="16">
        <v>8451.3041006134317</v>
      </c>
      <c r="DD177" s="16">
        <v>8490.1476459761216</v>
      </c>
      <c r="DE177" s="16">
        <v>8518.9472707934674</v>
      </c>
      <c r="DF177" s="16">
        <v>-9999</v>
      </c>
      <c r="DG177" s="16">
        <v>-9999</v>
      </c>
      <c r="DH177" s="16">
        <v>-9999</v>
      </c>
      <c r="DI177" s="16">
        <v>-9999</v>
      </c>
      <c r="DJ177" s="16">
        <v>-9999</v>
      </c>
      <c r="DK177" s="16">
        <v>-9999</v>
      </c>
      <c r="DL177" s="16">
        <v>-9999</v>
      </c>
      <c r="DM177" s="16">
        <v>-9999</v>
      </c>
      <c r="DN177" s="16">
        <v>8348.2209999999995</v>
      </c>
      <c r="DO177" s="16">
        <v>8397.6054999999997</v>
      </c>
      <c r="DP177" s="16">
        <v>8451.3041006134317</v>
      </c>
      <c r="DQ177" s="16">
        <v>8490.1476459761216</v>
      </c>
      <c r="DR177" s="16">
        <v>8518.9472707934674</v>
      </c>
      <c r="DS177" s="16">
        <v>-9999</v>
      </c>
      <c r="DT177" s="16">
        <v>-9999</v>
      </c>
      <c r="DU177" s="16">
        <v>-9999</v>
      </c>
      <c r="DV177" s="16">
        <v>-9999</v>
      </c>
      <c r="DW177" s="16">
        <v>-9999</v>
      </c>
      <c r="DX177" s="16">
        <v>-9999</v>
      </c>
      <c r="DY177" s="16">
        <v>-9999</v>
      </c>
      <c r="DZ177" s="16">
        <v>-9999</v>
      </c>
      <c r="EA177" s="2106">
        <v>8348.2209999999995</v>
      </c>
      <c r="EB177" s="2106">
        <v>8397.6054999999997</v>
      </c>
      <c r="EC177" s="2106">
        <v>8451.3041006134317</v>
      </c>
      <c r="ED177" s="2106">
        <v>8490.1476459761216</v>
      </c>
      <c r="EE177" s="2106">
        <v>8518.9472707934674</v>
      </c>
      <c r="EF177" s="2107">
        <v>-9999</v>
      </c>
      <c r="EG177" s="2107">
        <v>-9999</v>
      </c>
      <c r="EH177" s="2107">
        <v>-9999</v>
      </c>
      <c r="EI177" s="2107">
        <v>-9999</v>
      </c>
      <c r="EJ177" s="2107">
        <v>-9999</v>
      </c>
      <c r="EK177" s="2107">
        <v>-9999</v>
      </c>
      <c r="EL177" s="2107">
        <v>-9999</v>
      </c>
      <c r="EM177" s="2107">
        <v>-9999</v>
      </c>
    </row>
    <row r="178" spans="1:143">
      <c r="A178" s="22">
        <v>78</v>
      </c>
      <c r="B178" s="27" t="s">
        <v>195</v>
      </c>
      <c r="C178" s="20">
        <f ca="1">OFFSET(Labour1!F36,0,Last_forecast_year - 3-InputY!$G$3)</f>
        <v>422</v>
      </c>
      <c r="D178" s="20">
        <f ca="1">OFFSET(Labour1!G36,0,Last_forecast_year - 3-InputY!$G$3)</f>
        <v>390</v>
      </c>
      <c r="E178" s="20">
        <f ca="1">OFFSET(Labour1!H36,0,Last_forecast_year - 3-InputY!$G$3)</f>
        <v>354</v>
      </c>
      <c r="F178" s="20">
        <f ca="1">OFFSET(Labour1!I36,0,Last_forecast_year - 3-InputY!$G$3)</f>
        <v>323.54905000000053</v>
      </c>
      <c r="G178" s="20">
        <f ca="1">OFFSET(Labour1!J36,0,Last_forecast_year - 3-InputY!$G$3)</f>
        <v>302.23791288000211</v>
      </c>
      <c r="H178" s="25">
        <v>-9999</v>
      </c>
      <c r="I178" s="25">
        <v>-9999</v>
      </c>
      <c r="J178" s="25">
        <v>-9999</v>
      </c>
      <c r="K178" s="25">
        <v>-9999</v>
      </c>
      <c r="L178" s="25">
        <v>-9999</v>
      </c>
      <c r="M178" s="25">
        <v>-9999</v>
      </c>
      <c r="N178" s="25">
        <v>-9999</v>
      </c>
      <c r="O178" s="25">
        <v>-9999</v>
      </c>
      <c r="P178" s="32"/>
      <c r="Q178"/>
      <c r="AA178" s="22">
        <v>78</v>
      </c>
      <c r="AB178" s="1081" t="str">
        <f t="shared" si="8"/>
        <v>REGISTERED UNEMPLOYED PERSONS</v>
      </c>
      <c r="AC178" s="1081">
        <f>CHOOSE(Tables!$U$2,Transfer!CA178,Transfer!CN178,Transfer!DA178,Transfer!DN178,Transfer!EA178)</f>
        <v>422</v>
      </c>
      <c r="AD178" s="1081">
        <f>CHOOSE(Tables!$U$2,Transfer!CB178,Transfer!CO178,Transfer!DB178,Transfer!DO178,Transfer!EB178)</f>
        <v>390</v>
      </c>
      <c r="AE178" s="1081">
        <f>CHOOSE(Tables!$U$2,Transfer!CC178,Transfer!CP178,Transfer!DC178,Transfer!DP178,Transfer!EC178)</f>
        <v>354</v>
      </c>
      <c r="AF178" s="1081">
        <f>CHOOSE(Tables!$U$2,Transfer!CD178,Transfer!CQ178,Transfer!DD178,Transfer!DQ178,Transfer!ED178)</f>
        <v>323.33425000000079</v>
      </c>
      <c r="AG178" s="1081">
        <f>CHOOSE(Tables!$U$2,Transfer!CE178,Transfer!CR178,Transfer!DE178,Transfer!DR178,Transfer!EE178)</f>
        <v>301.25397788000191</v>
      </c>
      <c r="AH178" s="1081">
        <f>CHOOSE(Tables!$U$2,Transfer!CF178,Transfer!CS178,Transfer!DF178,Transfer!DS178,Transfer!EF178)</f>
        <v>-9999</v>
      </c>
      <c r="AI178" s="1081">
        <f>CHOOSE(Tables!$U$2,Transfer!CG178,Transfer!CT178,Transfer!DG178,Transfer!DT178,Transfer!EG178)</f>
        <v>-9999</v>
      </c>
      <c r="AJ178" s="1081">
        <f>CHOOSE(Tables!$U$2,Transfer!CH178,Transfer!CU178,Transfer!DH178,Transfer!DU178,Transfer!EH178)</f>
        <v>-9999</v>
      </c>
      <c r="AK178" s="1081">
        <f>CHOOSE(Tables!$U$2,Transfer!CI178,Transfer!CV178,Transfer!DI178,Transfer!DV178,Transfer!EI178)</f>
        <v>-9999</v>
      </c>
      <c r="AL178" s="1081">
        <f>CHOOSE(Tables!$U$2,Transfer!CJ178,Transfer!CW178,Transfer!DJ178,Transfer!DW178,Transfer!EJ178)</f>
        <v>-9999</v>
      </c>
      <c r="AM178" s="1081">
        <f>CHOOSE(Tables!$U$2,Transfer!CK178,Transfer!CX178,Transfer!DK178,Transfer!DX178,Transfer!EK178)</f>
        <v>-9999</v>
      </c>
      <c r="AN178" s="1081">
        <f>CHOOSE(Tables!$U$2,Transfer!CL178,Transfer!CY178,Transfer!DL178,Transfer!DY178,Transfer!EL178)</f>
        <v>-9999</v>
      </c>
      <c r="AO178" s="1081">
        <f>CHOOSE(Tables!$U$2,Transfer!CM178,Transfer!CZ178,Transfer!DM178,Transfer!DZ178,Transfer!EM178)</f>
        <v>-9999</v>
      </c>
      <c r="AR178" s="22">
        <v>78</v>
      </c>
      <c r="AS178" s="27" t="s">
        <v>195</v>
      </c>
      <c r="AT178" s="20">
        <f t="shared" ca="1" si="9"/>
        <v>0</v>
      </c>
      <c r="AU178" s="20">
        <f t="shared" ca="1" si="9"/>
        <v>0</v>
      </c>
      <c r="AV178" s="20">
        <f t="shared" ca="1" si="9"/>
        <v>0</v>
      </c>
      <c r="AW178" s="20">
        <f t="shared" ca="1" si="9"/>
        <v>0.21479999999974098</v>
      </c>
      <c r="AX178" s="20">
        <f t="shared" ca="1" si="9"/>
        <v>0.9839350000002014</v>
      </c>
      <c r="AY178" s="25">
        <f t="shared" si="9"/>
        <v>0</v>
      </c>
      <c r="AZ178" s="25">
        <f t="shared" si="9"/>
        <v>0</v>
      </c>
      <c r="BA178" s="25">
        <f t="shared" si="9"/>
        <v>0</v>
      </c>
      <c r="BB178" s="25">
        <f t="shared" si="9"/>
        <v>0</v>
      </c>
      <c r="BC178" s="25">
        <f t="shared" si="7"/>
        <v>0</v>
      </c>
      <c r="BD178" s="25">
        <f t="shared" si="7"/>
        <v>0</v>
      </c>
      <c r="BE178" s="25">
        <f t="shared" si="7"/>
        <v>0</v>
      </c>
      <c r="BF178" s="25">
        <f t="shared" si="7"/>
        <v>0</v>
      </c>
      <c r="CA178" s="16">
        <v>422</v>
      </c>
      <c r="CB178" s="16">
        <v>390</v>
      </c>
      <c r="CC178" s="16">
        <v>354</v>
      </c>
      <c r="CD178" s="16">
        <v>323.33425000000079</v>
      </c>
      <c r="CE178" s="16">
        <v>301.25397788000191</v>
      </c>
      <c r="CF178" s="16">
        <v>-9999</v>
      </c>
      <c r="CG178" s="16">
        <v>-9999</v>
      </c>
      <c r="CH178" s="16">
        <v>-9999</v>
      </c>
      <c r="CI178" s="16">
        <v>-9999</v>
      </c>
      <c r="CJ178" s="16">
        <v>-9999</v>
      </c>
      <c r="CK178" s="16">
        <v>-9999</v>
      </c>
      <c r="CL178" s="16">
        <v>-9999</v>
      </c>
      <c r="CM178" s="16">
        <v>-9999</v>
      </c>
      <c r="CN178" s="16">
        <v>422</v>
      </c>
      <c r="CO178" s="16">
        <v>390</v>
      </c>
      <c r="CP178" s="16">
        <v>353.8039075540928</v>
      </c>
      <c r="CQ178" s="16">
        <v>327.24784036232541</v>
      </c>
      <c r="CR178" s="16">
        <v>310.17576930193263</v>
      </c>
      <c r="CS178" s="16">
        <v>-9999</v>
      </c>
      <c r="CT178" s="16">
        <v>-9999</v>
      </c>
      <c r="CU178" s="16">
        <v>-9999</v>
      </c>
      <c r="CV178" s="16">
        <v>-9999</v>
      </c>
      <c r="CW178" s="16">
        <v>-9999</v>
      </c>
      <c r="CX178" s="16">
        <v>-9999</v>
      </c>
      <c r="CY178" s="16">
        <v>-9999</v>
      </c>
      <c r="CZ178" s="16">
        <v>-9999</v>
      </c>
      <c r="DA178" s="16">
        <v>422</v>
      </c>
      <c r="DB178" s="16">
        <v>390</v>
      </c>
      <c r="DC178" s="16">
        <v>354</v>
      </c>
      <c r="DD178" s="16">
        <v>323.33425000000079</v>
      </c>
      <c r="DE178" s="16">
        <v>301.25397788000191</v>
      </c>
      <c r="DF178" s="16">
        <v>-9999</v>
      </c>
      <c r="DG178" s="16">
        <v>-9999</v>
      </c>
      <c r="DH178" s="16">
        <v>-9999</v>
      </c>
      <c r="DI178" s="16">
        <v>-9999</v>
      </c>
      <c r="DJ178" s="16">
        <v>-9999</v>
      </c>
      <c r="DK178" s="16">
        <v>-9999</v>
      </c>
      <c r="DL178" s="16">
        <v>-9999</v>
      </c>
      <c r="DM178" s="16">
        <v>-9999</v>
      </c>
      <c r="DN178" s="16">
        <v>422</v>
      </c>
      <c r="DO178" s="16">
        <v>390</v>
      </c>
      <c r="DP178" s="16">
        <v>354</v>
      </c>
      <c r="DQ178" s="16">
        <v>323.33425000000079</v>
      </c>
      <c r="DR178" s="16">
        <v>301.25397788000191</v>
      </c>
      <c r="DS178" s="16">
        <v>-9999</v>
      </c>
      <c r="DT178" s="16">
        <v>-9999</v>
      </c>
      <c r="DU178" s="16">
        <v>-9999</v>
      </c>
      <c r="DV178" s="16">
        <v>-9999</v>
      </c>
      <c r="DW178" s="16">
        <v>-9999</v>
      </c>
      <c r="DX178" s="16">
        <v>-9999</v>
      </c>
      <c r="DY178" s="16">
        <v>-9999</v>
      </c>
      <c r="DZ178" s="16">
        <v>-9999</v>
      </c>
      <c r="EA178" s="2106">
        <v>422</v>
      </c>
      <c r="EB178" s="2106">
        <v>390</v>
      </c>
      <c r="EC178" s="2106">
        <v>354</v>
      </c>
      <c r="ED178" s="2106">
        <v>323.54905000000053</v>
      </c>
      <c r="EE178" s="2106">
        <v>302.23791288000211</v>
      </c>
      <c r="EF178" s="2107">
        <v>-9999</v>
      </c>
      <c r="EG178" s="2107">
        <v>-9999</v>
      </c>
      <c r="EH178" s="2107">
        <v>-9999</v>
      </c>
      <c r="EI178" s="2107">
        <v>-9999</v>
      </c>
      <c r="EJ178" s="2107">
        <v>-9999</v>
      </c>
      <c r="EK178" s="2107">
        <v>-9999</v>
      </c>
      <c r="EL178" s="2107">
        <v>-9999</v>
      </c>
      <c r="EM178" s="2107">
        <v>-9999</v>
      </c>
    </row>
    <row r="179" spans="1:143">
      <c r="A179" s="22">
        <v>79</v>
      </c>
      <c r="B179" s="27" t="s">
        <v>2655</v>
      </c>
      <c r="C179" s="20">
        <f ca="1">OFFSET(Labour1!F34,0,Last_forecast_year - 3-InputY!$G$3)</f>
        <v>4677.7</v>
      </c>
      <c r="D179" s="20">
        <f ca="1">OFFSET(Labour1!G34,0,Last_forecast_year - 3-InputY!$G$3)</f>
        <v>4735.3999999999996</v>
      </c>
      <c r="E179" s="20">
        <f ca="1">OFFSET(Labour1!H34,0,Last_forecast_year - 3-InputY!$G$3)</f>
        <v>4801</v>
      </c>
      <c r="F179" s="20">
        <f ca="1">OFFSET(Labour1!I34,0,Last_forecast_year - 3-InputY!$G$3)</f>
        <v>4859.2879499999999</v>
      </c>
      <c r="G179" s="2900">
        <f ca="1">OFFSET(Labour1!J34,0,Last_forecast_year - 3-InputY!$G$3)</f>
        <v>4908.5864069199988</v>
      </c>
      <c r="H179" s="25">
        <v>-9999</v>
      </c>
      <c r="I179" s="25">
        <v>-9999</v>
      </c>
      <c r="J179" s="25">
        <v>-9999</v>
      </c>
      <c r="K179" s="25">
        <v>-9999</v>
      </c>
      <c r="L179" s="25">
        <v>-9999</v>
      </c>
      <c r="M179" s="25">
        <v>-9999</v>
      </c>
      <c r="N179" s="25">
        <v>-9999</v>
      </c>
      <c r="O179" s="25">
        <v>-9999</v>
      </c>
      <c r="P179" s="32"/>
      <c r="Q179"/>
      <c r="AA179" s="22">
        <v>79</v>
      </c>
      <c r="AB179" s="1081" t="str">
        <f t="shared" si="8"/>
        <v>TOTAL EMPLOYMENT National Accounts</v>
      </c>
      <c r="AC179" s="1081">
        <f>CHOOSE(Tables!$U$2,Transfer!CA179,Transfer!CN179,Transfer!DA179,Transfer!DN179,Transfer!EA179)</f>
        <v>4677.7</v>
      </c>
      <c r="AD179" s="1081">
        <f>CHOOSE(Tables!$U$2,Transfer!CB179,Transfer!CO179,Transfer!DB179,Transfer!DO179,Transfer!EB179)</f>
        <v>4735.3999999999996</v>
      </c>
      <c r="AE179" s="1081">
        <f>CHOOSE(Tables!$U$2,Transfer!CC179,Transfer!CP179,Transfer!DC179,Transfer!DP179,Transfer!EC179)</f>
        <v>4801</v>
      </c>
      <c r="AF179" s="1081">
        <f>CHOOSE(Tables!$U$2,Transfer!CD179,Transfer!CQ179,Transfer!DD179,Transfer!DQ179,Transfer!ED179)</f>
        <v>4859.5027499999997</v>
      </c>
      <c r="AG179" s="1081">
        <f>CHOOSE(Tables!$U$2,Transfer!CE179,Transfer!CR179,Transfer!DE179,Transfer!DR179,Transfer!EE179)</f>
        <v>4909.570341919999</v>
      </c>
      <c r="AH179" s="1081">
        <f>CHOOSE(Tables!$U$2,Transfer!CF179,Transfer!CS179,Transfer!DF179,Transfer!DS179,Transfer!EF179)</f>
        <v>-9999</v>
      </c>
      <c r="AI179" s="1081">
        <f>CHOOSE(Tables!$U$2,Transfer!CG179,Transfer!CT179,Transfer!DG179,Transfer!DT179,Transfer!EG179)</f>
        <v>-9999</v>
      </c>
      <c r="AJ179" s="1081">
        <f>CHOOSE(Tables!$U$2,Transfer!CH179,Transfer!CU179,Transfer!DH179,Transfer!DU179,Transfer!EH179)</f>
        <v>-9999</v>
      </c>
      <c r="AK179" s="1081">
        <f>CHOOSE(Tables!$U$2,Transfer!CI179,Transfer!CV179,Transfer!DI179,Transfer!DV179,Transfer!EI179)</f>
        <v>-9999</v>
      </c>
      <c r="AL179" s="1081">
        <f>CHOOSE(Tables!$U$2,Transfer!CJ179,Transfer!CW179,Transfer!DJ179,Transfer!DW179,Transfer!EJ179)</f>
        <v>-9999</v>
      </c>
      <c r="AM179" s="1081">
        <f>CHOOSE(Tables!$U$2,Transfer!CK179,Transfer!CX179,Transfer!DK179,Transfer!DX179,Transfer!EK179)</f>
        <v>-9999</v>
      </c>
      <c r="AN179" s="1081">
        <f>CHOOSE(Tables!$U$2,Transfer!CL179,Transfer!CY179,Transfer!DL179,Transfer!DY179,Transfer!EL179)</f>
        <v>-9999</v>
      </c>
      <c r="AO179" s="1081">
        <f>CHOOSE(Tables!$U$2,Transfer!CM179,Transfer!CZ179,Transfer!DM179,Transfer!DZ179,Transfer!EM179)</f>
        <v>-9999</v>
      </c>
      <c r="AR179" s="22">
        <v>79</v>
      </c>
      <c r="AS179" s="27" t="s">
        <v>1633</v>
      </c>
      <c r="AT179" s="20">
        <f t="shared" ca="1" si="9"/>
        <v>0</v>
      </c>
      <c r="AU179" s="20">
        <f t="shared" ca="1" si="9"/>
        <v>0</v>
      </c>
      <c r="AV179" s="20">
        <f t="shared" ca="1" si="9"/>
        <v>0</v>
      </c>
      <c r="AW179" s="20">
        <f t="shared" ca="1" si="9"/>
        <v>-0.21479999999974098</v>
      </c>
      <c r="AX179" s="20">
        <f t="shared" ca="1" si="9"/>
        <v>-0.9839350000002014</v>
      </c>
      <c r="AY179" s="25">
        <f t="shared" si="9"/>
        <v>0</v>
      </c>
      <c r="AZ179" s="25">
        <f t="shared" si="9"/>
        <v>0</v>
      </c>
      <c r="BA179" s="25">
        <f t="shared" si="9"/>
        <v>0</v>
      </c>
      <c r="BB179" s="25">
        <f t="shared" si="9"/>
        <v>0</v>
      </c>
      <c r="BC179" s="25">
        <f t="shared" si="7"/>
        <v>0</v>
      </c>
      <c r="BD179" s="25">
        <f t="shared" si="7"/>
        <v>0</v>
      </c>
      <c r="BE179" s="25">
        <f t="shared" si="7"/>
        <v>0</v>
      </c>
      <c r="BF179" s="25">
        <f t="shared" si="7"/>
        <v>0</v>
      </c>
      <c r="CA179" s="16">
        <v>4677.7</v>
      </c>
      <c r="CB179" s="16">
        <v>4735.3999999999996</v>
      </c>
      <c r="CC179" s="16">
        <v>4801</v>
      </c>
      <c r="CD179" s="16">
        <v>4859.5027499999997</v>
      </c>
      <c r="CE179" s="16">
        <v>4909.570341919999</v>
      </c>
      <c r="CF179" s="16">
        <v>-9999</v>
      </c>
      <c r="CG179" s="16">
        <v>-9999</v>
      </c>
      <c r="CH179" s="16">
        <v>-9999</v>
      </c>
      <c r="CI179" s="16">
        <v>-9999</v>
      </c>
      <c r="CJ179" s="16">
        <v>-9999</v>
      </c>
      <c r="CK179" s="16">
        <v>-9999</v>
      </c>
      <c r="CL179" s="16">
        <v>-9999</v>
      </c>
      <c r="CM179" s="16">
        <v>-9999</v>
      </c>
      <c r="CN179" s="16">
        <v>4677.7</v>
      </c>
      <c r="CO179" s="16">
        <v>4735.3999999999996</v>
      </c>
      <c r="CP179" s="16">
        <v>4799.273252445907</v>
      </c>
      <c r="CQ179" s="16">
        <v>4853.655936301675</v>
      </c>
      <c r="CR179" s="16">
        <v>4898.7048877560537</v>
      </c>
      <c r="CS179" s="16">
        <v>-9999</v>
      </c>
      <c r="CT179" s="16">
        <v>-9999</v>
      </c>
      <c r="CU179" s="16">
        <v>-9999</v>
      </c>
      <c r="CV179" s="16">
        <v>-9999</v>
      </c>
      <c r="CW179" s="16">
        <v>-9999</v>
      </c>
      <c r="CX179" s="16">
        <v>-9999</v>
      </c>
      <c r="CY179" s="16">
        <v>-9999</v>
      </c>
      <c r="CZ179" s="16">
        <v>-9999</v>
      </c>
      <c r="DA179" s="16">
        <v>4677.7</v>
      </c>
      <c r="DB179" s="16">
        <v>4735.3999999999996</v>
      </c>
      <c r="DC179" s="16">
        <v>4801</v>
      </c>
      <c r="DD179" s="16">
        <v>4859.5027499999997</v>
      </c>
      <c r="DE179" s="16">
        <v>4909.570341919999</v>
      </c>
      <c r="DF179" s="16">
        <v>-9999</v>
      </c>
      <c r="DG179" s="16">
        <v>-9999</v>
      </c>
      <c r="DH179" s="16">
        <v>-9999</v>
      </c>
      <c r="DI179" s="16">
        <v>-9999</v>
      </c>
      <c r="DJ179" s="16">
        <v>-9999</v>
      </c>
      <c r="DK179" s="16">
        <v>-9999</v>
      </c>
      <c r="DL179" s="16">
        <v>-9999</v>
      </c>
      <c r="DM179" s="16">
        <v>-9999</v>
      </c>
      <c r="DN179" s="16">
        <v>4677.7</v>
      </c>
      <c r="DO179" s="16">
        <v>4735.3999999999996</v>
      </c>
      <c r="DP179" s="16">
        <v>4801</v>
      </c>
      <c r="DQ179" s="16">
        <v>4859.5027499999997</v>
      </c>
      <c r="DR179" s="16">
        <v>4909.570341919999</v>
      </c>
      <c r="DS179" s="16">
        <v>-9999</v>
      </c>
      <c r="DT179" s="16">
        <v>-9999</v>
      </c>
      <c r="DU179" s="16">
        <v>-9999</v>
      </c>
      <c r="DV179" s="16">
        <v>-9999</v>
      </c>
      <c r="DW179" s="16">
        <v>-9999</v>
      </c>
      <c r="DX179" s="16">
        <v>-9999</v>
      </c>
      <c r="DY179" s="16">
        <v>-9999</v>
      </c>
      <c r="DZ179" s="16">
        <v>-9999</v>
      </c>
      <c r="EA179" s="2106">
        <v>4677.7</v>
      </c>
      <c r="EB179" s="2106">
        <v>4735.3999999999996</v>
      </c>
      <c r="EC179" s="2106">
        <v>4801</v>
      </c>
      <c r="ED179" s="2106">
        <v>4859.2879499999999</v>
      </c>
      <c r="EE179" s="2106">
        <v>4908.5864069199988</v>
      </c>
      <c r="EF179" s="2107">
        <v>-9999</v>
      </c>
      <c r="EG179" s="2107">
        <v>-9999</v>
      </c>
      <c r="EH179" s="2107">
        <v>-9999</v>
      </c>
      <c r="EI179" s="2107">
        <v>-9999</v>
      </c>
      <c r="EJ179" s="2107">
        <v>-9999</v>
      </c>
      <c r="EK179" s="2107">
        <v>-9999</v>
      </c>
      <c r="EL179" s="2107">
        <v>-9999</v>
      </c>
      <c r="EM179" s="2107">
        <v>-9999</v>
      </c>
    </row>
    <row r="180" spans="1:143">
      <c r="A180" s="22">
        <v>80</v>
      </c>
      <c r="B180" s="36" t="s">
        <v>1998</v>
      </c>
      <c r="C180" s="25">
        <v>-9999</v>
      </c>
      <c r="D180" s="25">
        <v>-9999</v>
      </c>
      <c r="E180" s="25">
        <v>-9999</v>
      </c>
      <c r="F180" s="25">
        <v>-9999</v>
      </c>
      <c r="G180" s="25">
        <v>-9999</v>
      </c>
      <c r="H180" s="25">
        <v>-9999</v>
      </c>
      <c r="I180" s="25">
        <v>-9999</v>
      </c>
      <c r="J180" s="25">
        <v>-9999</v>
      </c>
      <c r="K180" s="25">
        <v>-9999</v>
      </c>
      <c r="L180" s="25">
        <v>-9999</v>
      </c>
      <c r="M180" s="25">
        <v>-9999</v>
      </c>
      <c r="N180" s="25">
        <v>-9999</v>
      </c>
      <c r="O180" s="25">
        <v>-9999</v>
      </c>
      <c r="P180" s="26"/>
      <c r="Q180"/>
      <c r="AA180" s="22">
        <v>80</v>
      </c>
      <c r="AB180" s="1081" t="str">
        <f t="shared" si="8"/>
        <v>FOR FUTURE USE</v>
      </c>
      <c r="AC180" s="1081">
        <f>CHOOSE(Tables!$U$2,Transfer!CA180,Transfer!CN180,Transfer!DA180,Transfer!DN180,Transfer!EA180)</f>
        <v>-9999</v>
      </c>
      <c r="AD180" s="1081">
        <f>CHOOSE(Tables!$U$2,Transfer!CB180,Transfer!CO180,Transfer!DB180,Transfer!DO180,Transfer!EB180)</f>
        <v>-9999</v>
      </c>
      <c r="AE180" s="1081">
        <f>CHOOSE(Tables!$U$2,Transfer!CC180,Transfer!CP180,Transfer!DC180,Transfer!DP180,Transfer!EC180)</f>
        <v>-9999</v>
      </c>
      <c r="AF180" s="1081">
        <f>CHOOSE(Tables!$U$2,Transfer!CD180,Transfer!CQ180,Transfer!DD180,Transfer!DQ180,Transfer!ED180)</f>
        <v>-9999</v>
      </c>
      <c r="AG180" s="1081">
        <f>CHOOSE(Tables!$U$2,Transfer!CE180,Transfer!CR180,Transfer!DE180,Transfer!DR180,Transfer!EE180)</f>
        <v>-9999</v>
      </c>
      <c r="AH180" s="1081">
        <f>CHOOSE(Tables!$U$2,Transfer!CF180,Transfer!CS180,Transfer!DF180,Transfer!DS180,Transfer!EF180)</f>
        <v>-9999</v>
      </c>
      <c r="AI180" s="1081">
        <f>CHOOSE(Tables!$U$2,Transfer!CG180,Transfer!CT180,Transfer!DG180,Transfer!DT180,Transfer!EG180)</f>
        <v>-9999</v>
      </c>
      <c r="AJ180" s="1081">
        <f>CHOOSE(Tables!$U$2,Transfer!CH180,Transfer!CU180,Transfer!DH180,Transfer!DU180,Transfer!EH180)</f>
        <v>-9999</v>
      </c>
      <c r="AK180" s="1081">
        <f>CHOOSE(Tables!$U$2,Transfer!CI180,Transfer!CV180,Transfer!DI180,Transfer!DV180,Transfer!EI180)</f>
        <v>-9999</v>
      </c>
      <c r="AL180" s="1081">
        <f>CHOOSE(Tables!$U$2,Transfer!CJ180,Transfer!CW180,Transfer!DJ180,Transfer!DW180,Transfer!EJ180)</f>
        <v>-9999</v>
      </c>
      <c r="AM180" s="1081">
        <f>CHOOSE(Tables!$U$2,Transfer!CK180,Transfer!CX180,Transfer!DK180,Transfer!DX180,Transfer!EK180)</f>
        <v>-9999</v>
      </c>
      <c r="AN180" s="1081">
        <f>CHOOSE(Tables!$U$2,Transfer!CL180,Transfer!CY180,Transfer!DL180,Transfer!DY180,Transfer!EL180)</f>
        <v>-9999</v>
      </c>
      <c r="AO180" s="1081">
        <f>CHOOSE(Tables!$U$2,Transfer!CM180,Transfer!CZ180,Transfer!DM180,Transfer!DZ180,Transfer!EM180)</f>
        <v>-9999</v>
      </c>
      <c r="AR180" s="22">
        <v>80</v>
      </c>
      <c r="AS180" s="27" t="s">
        <v>2590</v>
      </c>
      <c r="AT180" s="1979">
        <f t="shared" si="9"/>
        <v>0</v>
      </c>
      <c r="AU180" s="1979">
        <f t="shared" si="9"/>
        <v>0</v>
      </c>
      <c r="AV180" s="1979">
        <f t="shared" si="9"/>
        <v>0</v>
      </c>
      <c r="AW180" s="1979">
        <f t="shared" si="9"/>
        <v>0</v>
      </c>
      <c r="AX180" s="1979">
        <f t="shared" si="9"/>
        <v>0</v>
      </c>
      <c r="AY180" s="25">
        <f t="shared" si="9"/>
        <v>0</v>
      </c>
      <c r="AZ180" s="25">
        <f t="shared" si="9"/>
        <v>0</v>
      </c>
      <c r="BA180" s="25">
        <f t="shared" si="9"/>
        <v>0</v>
      </c>
      <c r="BB180" s="25">
        <f t="shared" si="9"/>
        <v>0</v>
      </c>
      <c r="BC180" s="25">
        <f t="shared" si="7"/>
        <v>0</v>
      </c>
      <c r="BD180" s="25">
        <f t="shared" si="7"/>
        <v>0</v>
      </c>
      <c r="BE180" s="25">
        <f t="shared" si="7"/>
        <v>0</v>
      </c>
      <c r="BF180" s="25">
        <f t="shared" si="7"/>
        <v>0</v>
      </c>
      <c r="CA180" s="16">
        <v>-9999</v>
      </c>
      <c r="CB180" s="16">
        <v>-9999</v>
      </c>
      <c r="CC180" s="16">
        <v>-9999</v>
      </c>
      <c r="CD180" s="16">
        <v>-9999</v>
      </c>
      <c r="CE180" s="16">
        <v>-9999</v>
      </c>
      <c r="CF180" s="16">
        <v>-9999</v>
      </c>
      <c r="CG180" s="16">
        <v>-9999</v>
      </c>
      <c r="CH180" s="16">
        <v>-9999</v>
      </c>
      <c r="CI180" s="16">
        <v>-9999</v>
      </c>
      <c r="CJ180" s="16">
        <v>-9999</v>
      </c>
      <c r="CK180" s="16">
        <v>-9999</v>
      </c>
      <c r="CL180" s="16">
        <v>-9999</v>
      </c>
      <c r="CM180" s="16">
        <v>-9999</v>
      </c>
      <c r="CN180" s="16">
        <v>-9999</v>
      </c>
      <c r="CO180" s="16">
        <v>-9999</v>
      </c>
      <c r="CP180" s="16">
        <v>-9999</v>
      </c>
      <c r="CQ180" s="16">
        <v>-9999</v>
      </c>
      <c r="CR180" s="16">
        <v>-9999</v>
      </c>
      <c r="CS180" s="16">
        <v>-9999</v>
      </c>
      <c r="CT180" s="16">
        <v>-9999</v>
      </c>
      <c r="CU180" s="16">
        <v>-9999</v>
      </c>
      <c r="CV180" s="16">
        <v>-9999</v>
      </c>
      <c r="CW180" s="16">
        <v>-9999</v>
      </c>
      <c r="CX180" s="16">
        <v>-9999</v>
      </c>
      <c r="CY180" s="16">
        <v>-9999</v>
      </c>
      <c r="CZ180" s="16">
        <v>-9999</v>
      </c>
      <c r="DA180" s="16">
        <v>-9999</v>
      </c>
      <c r="DB180" s="16">
        <v>-9999</v>
      </c>
      <c r="DC180" s="16">
        <v>-9999</v>
      </c>
      <c r="DD180" s="16">
        <v>-9999</v>
      </c>
      <c r="DE180" s="16">
        <v>-9999</v>
      </c>
      <c r="DF180" s="16">
        <v>-9999</v>
      </c>
      <c r="DG180" s="16">
        <v>-9999</v>
      </c>
      <c r="DH180" s="16">
        <v>-9999</v>
      </c>
      <c r="DI180" s="16">
        <v>-9999</v>
      </c>
      <c r="DJ180" s="16">
        <v>-9999</v>
      </c>
      <c r="DK180" s="16">
        <v>-9999</v>
      </c>
      <c r="DL180" s="16">
        <v>-9999</v>
      </c>
      <c r="DM180" s="16">
        <v>-9999</v>
      </c>
      <c r="DN180" s="16">
        <v>-9999</v>
      </c>
      <c r="DO180" s="16">
        <v>-9999</v>
      </c>
      <c r="DP180" s="16">
        <v>-9999</v>
      </c>
      <c r="DQ180" s="16">
        <v>-9999</v>
      </c>
      <c r="DR180" s="16">
        <v>-9999</v>
      </c>
      <c r="DS180" s="16">
        <v>-9999</v>
      </c>
      <c r="DT180" s="16">
        <v>-9999</v>
      </c>
      <c r="DU180" s="16">
        <v>-9999</v>
      </c>
      <c r="DV180" s="16">
        <v>-9999</v>
      </c>
      <c r="DW180" s="16">
        <v>-9999</v>
      </c>
      <c r="DX180" s="16">
        <v>-9999</v>
      </c>
      <c r="DY180" s="16">
        <v>-9999</v>
      </c>
      <c r="DZ180" s="16">
        <v>-9999</v>
      </c>
      <c r="EA180" s="2107">
        <v>-9999</v>
      </c>
      <c r="EB180" s="2107">
        <v>-9999</v>
      </c>
      <c r="EC180" s="2107">
        <v>-9999</v>
      </c>
      <c r="ED180" s="2107">
        <v>-9999</v>
      </c>
      <c r="EE180" s="2107">
        <v>-9999</v>
      </c>
      <c r="EF180" s="2107">
        <v>-9999</v>
      </c>
      <c r="EG180" s="2107">
        <v>-9999</v>
      </c>
      <c r="EH180" s="2107">
        <v>-9999</v>
      </c>
      <c r="EI180" s="2107">
        <v>-9999</v>
      </c>
      <c r="EJ180" s="2107">
        <v>-9999</v>
      </c>
      <c r="EK180" s="2107">
        <v>-9999</v>
      </c>
      <c r="EL180" s="2107">
        <v>-9999</v>
      </c>
      <c r="EM180" s="2107">
        <v>-9999</v>
      </c>
    </row>
    <row r="181" spans="1:143">
      <c r="A181" s="22">
        <v>81</v>
      </c>
      <c r="B181" s="36" t="s">
        <v>1998</v>
      </c>
      <c r="C181" s="25">
        <v>-9999</v>
      </c>
      <c r="D181" s="25">
        <v>-9999</v>
      </c>
      <c r="E181" s="25">
        <v>-9999</v>
      </c>
      <c r="F181" s="25">
        <v>-9999</v>
      </c>
      <c r="G181" s="25">
        <v>-9999</v>
      </c>
      <c r="H181" s="25">
        <v>-9999</v>
      </c>
      <c r="I181" s="25">
        <v>-9999</v>
      </c>
      <c r="J181" s="25">
        <v>-9999</v>
      </c>
      <c r="K181" s="25">
        <v>-9999</v>
      </c>
      <c r="L181" s="25">
        <v>-9999</v>
      </c>
      <c r="M181" s="25">
        <v>-9999</v>
      </c>
      <c r="N181" s="25">
        <v>-9999</v>
      </c>
      <c r="O181" s="25">
        <v>-9999</v>
      </c>
      <c r="P181" s="26"/>
      <c r="Q181"/>
      <c r="AA181" s="22">
        <v>81</v>
      </c>
      <c r="AB181" s="1081" t="str">
        <f t="shared" si="8"/>
        <v>FOR FUTURE USE</v>
      </c>
      <c r="AC181" s="1081">
        <f>CHOOSE(Tables!$U$2,Transfer!CA181,Transfer!CN181,Transfer!DA181,Transfer!DN181,Transfer!EA181)</f>
        <v>-9999</v>
      </c>
      <c r="AD181" s="1081">
        <f>CHOOSE(Tables!$U$2,Transfer!CB181,Transfer!CO181,Transfer!DB181,Transfer!DO181,Transfer!EB181)</f>
        <v>-9999</v>
      </c>
      <c r="AE181" s="1081">
        <f>CHOOSE(Tables!$U$2,Transfer!CC181,Transfer!CP181,Transfer!DC181,Transfer!DP181,Transfer!EC181)</f>
        <v>-9999</v>
      </c>
      <c r="AF181" s="1081">
        <f>CHOOSE(Tables!$U$2,Transfer!CD181,Transfer!CQ181,Transfer!DD181,Transfer!DQ181,Transfer!ED181)</f>
        <v>-9999</v>
      </c>
      <c r="AG181" s="1081">
        <f>CHOOSE(Tables!$U$2,Transfer!CE181,Transfer!CR181,Transfer!DE181,Transfer!DR181,Transfer!EE181)</f>
        <v>-9999</v>
      </c>
      <c r="AH181" s="1081">
        <f>CHOOSE(Tables!$U$2,Transfer!CF181,Transfer!CS181,Transfer!DF181,Transfer!DS181,Transfer!EF181)</f>
        <v>-9999</v>
      </c>
      <c r="AI181" s="1081">
        <f>CHOOSE(Tables!$U$2,Transfer!CG181,Transfer!CT181,Transfer!DG181,Transfer!DT181,Transfer!EG181)</f>
        <v>-9999</v>
      </c>
      <c r="AJ181" s="1081">
        <f>CHOOSE(Tables!$U$2,Transfer!CH181,Transfer!CU181,Transfer!DH181,Transfer!DU181,Transfer!EH181)</f>
        <v>-9999</v>
      </c>
      <c r="AK181" s="1081">
        <f>CHOOSE(Tables!$U$2,Transfer!CI181,Transfer!CV181,Transfer!DI181,Transfer!DV181,Transfer!EI181)</f>
        <v>-9999</v>
      </c>
      <c r="AL181" s="1081">
        <f>CHOOSE(Tables!$U$2,Transfer!CJ181,Transfer!CW181,Transfer!DJ181,Transfer!DW181,Transfer!EJ181)</f>
        <v>-9999</v>
      </c>
      <c r="AM181" s="1081">
        <f>CHOOSE(Tables!$U$2,Transfer!CK181,Transfer!CX181,Transfer!DK181,Transfer!DX181,Transfer!EK181)</f>
        <v>-9999</v>
      </c>
      <c r="AN181" s="1081">
        <f>CHOOSE(Tables!$U$2,Transfer!CL181,Transfer!CY181,Transfer!DL181,Transfer!DY181,Transfer!EL181)</f>
        <v>-9999</v>
      </c>
      <c r="AO181" s="1081">
        <f>CHOOSE(Tables!$U$2,Transfer!CM181,Transfer!CZ181,Transfer!DM181,Transfer!DZ181,Transfer!EM181)</f>
        <v>-9999</v>
      </c>
      <c r="AR181" s="22">
        <v>81</v>
      </c>
      <c r="AS181" s="31" t="s">
        <v>2591</v>
      </c>
      <c r="AT181" s="1979">
        <f t="shared" si="9"/>
        <v>0</v>
      </c>
      <c r="AU181" s="1979">
        <f t="shared" si="9"/>
        <v>0</v>
      </c>
      <c r="AV181" s="1979">
        <f t="shared" si="9"/>
        <v>0</v>
      </c>
      <c r="AW181" s="1979">
        <f t="shared" si="9"/>
        <v>0</v>
      </c>
      <c r="AX181" s="1979">
        <f t="shared" si="9"/>
        <v>0</v>
      </c>
      <c r="AY181" s="25">
        <f t="shared" si="9"/>
        <v>0</v>
      </c>
      <c r="AZ181" s="25">
        <f t="shared" si="9"/>
        <v>0</v>
      </c>
      <c r="BA181" s="25">
        <f t="shared" si="9"/>
        <v>0</v>
      </c>
      <c r="BB181" s="25">
        <f t="shared" si="9"/>
        <v>0</v>
      </c>
      <c r="BC181" s="25">
        <f t="shared" si="7"/>
        <v>0</v>
      </c>
      <c r="BD181" s="25">
        <f t="shared" si="7"/>
        <v>0</v>
      </c>
      <c r="BE181" s="25">
        <f t="shared" si="7"/>
        <v>0</v>
      </c>
      <c r="BF181" s="25">
        <f t="shared" si="7"/>
        <v>0</v>
      </c>
      <c r="CA181" s="16">
        <v>-9999</v>
      </c>
      <c r="CB181" s="16">
        <v>-9999</v>
      </c>
      <c r="CC181" s="16">
        <v>-9999</v>
      </c>
      <c r="CD181" s="16">
        <v>-9999</v>
      </c>
      <c r="CE181" s="16">
        <v>-9999</v>
      </c>
      <c r="CF181" s="16">
        <v>-9999</v>
      </c>
      <c r="CG181" s="16">
        <v>-9999</v>
      </c>
      <c r="CH181" s="16">
        <v>-9999</v>
      </c>
      <c r="CI181" s="16">
        <v>-9999</v>
      </c>
      <c r="CJ181" s="16">
        <v>-9999</v>
      </c>
      <c r="CK181" s="16">
        <v>-9999</v>
      </c>
      <c r="CL181" s="16">
        <v>-9999</v>
      </c>
      <c r="CM181" s="16">
        <v>-9999</v>
      </c>
      <c r="CN181" s="16">
        <v>-9999</v>
      </c>
      <c r="CO181" s="16">
        <v>-9999</v>
      </c>
      <c r="CP181" s="16">
        <v>-9999</v>
      </c>
      <c r="CQ181" s="16">
        <v>-9999</v>
      </c>
      <c r="CR181" s="16">
        <v>-9999</v>
      </c>
      <c r="CS181" s="16">
        <v>-9999</v>
      </c>
      <c r="CT181" s="16">
        <v>-9999</v>
      </c>
      <c r="CU181" s="16">
        <v>-9999</v>
      </c>
      <c r="CV181" s="16">
        <v>-9999</v>
      </c>
      <c r="CW181" s="16">
        <v>-9999</v>
      </c>
      <c r="CX181" s="16">
        <v>-9999</v>
      </c>
      <c r="CY181" s="16">
        <v>-9999</v>
      </c>
      <c r="CZ181" s="16">
        <v>-9999</v>
      </c>
      <c r="DA181" s="16">
        <v>-9999</v>
      </c>
      <c r="DB181" s="16">
        <v>-9999</v>
      </c>
      <c r="DC181" s="16">
        <v>-9999</v>
      </c>
      <c r="DD181" s="16">
        <v>-9999</v>
      </c>
      <c r="DE181" s="16">
        <v>-9999</v>
      </c>
      <c r="DF181" s="16">
        <v>-9999</v>
      </c>
      <c r="DG181" s="16">
        <v>-9999</v>
      </c>
      <c r="DH181" s="16">
        <v>-9999</v>
      </c>
      <c r="DI181" s="16">
        <v>-9999</v>
      </c>
      <c r="DJ181" s="16">
        <v>-9999</v>
      </c>
      <c r="DK181" s="16">
        <v>-9999</v>
      </c>
      <c r="DL181" s="16">
        <v>-9999</v>
      </c>
      <c r="DM181" s="16">
        <v>-9999</v>
      </c>
      <c r="DN181" s="16">
        <v>-9999</v>
      </c>
      <c r="DO181" s="16">
        <v>-9999</v>
      </c>
      <c r="DP181" s="16">
        <v>-9999</v>
      </c>
      <c r="DQ181" s="16">
        <v>-9999</v>
      </c>
      <c r="DR181" s="16">
        <v>-9999</v>
      </c>
      <c r="DS181" s="16">
        <v>-9999</v>
      </c>
      <c r="DT181" s="16">
        <v>-9999</v>
      </c>
      <c r="DU181" s="16">
        <v>-9999</v>
      </c>
      <c r="DV181" s="16">
        <v>-9999</v>
      </c>
      <c r="DW181" s="16">
        <v>-9999</v>
      </c>
      <c r="DX181" s="16">
        <v>-9999</v>
      </c>
      <c r="DY181" s="16">
        <v>-9999</v>
      </c>
      <c r="DZ181" s="16">
        <v>-9999</v>
      </c>
      <c r="EA181" s="2107">
        <v>-9999</v>
      </c>
      <c r="EB181" s="2107">
        <v>-9999</v>
      </c>
      <c r="EC181" s="2107">
        <v>-9999</v>
      </c>
      <c r="ED181" s="2107">
        <v>-9999</v>
      </c>
      <c r="EE181" s="2107">
        <v>-9999</v>
      </c>
      <c r="EF181" s="2107">
        <v>-9999</v>
      </c>
      <c r="EG181" s="2107">
        <v>-9999</v>
      </c>
      <c r="EH181" s="2107">
        <v>-9999</v>
      </c>
      <c r="EI181" s="2107">
        <v>-9999</v>
      </c>
      <c r="EJ181" s="2107">
        <v>-9999</v>
      </c>
      <c r="EK181" s="2107">
        <v>-9999</v>
      </c>
      <c r="EL181" s="2107">
        <v>-9999</v>
      </c>
      <c r="EM181" s="2107">
        <v>-9999</v>
      </c>
    </row>
    <row r="182" spans="1:143">
      <c r="A182" s="22">
        <v>82</v>
      </c>
      <c r="B182" s="36" t="s">
        <v>1998</v>
      </c>
      <c r="C182" s="25">
        <v>-9999</v>
      </c>
      <c r="D182" s="25">
        <v>-9999</v>
      </c>
      <c r="E182" s="25">
        <v>-9999</v>
      </c>
      <c r="F182" s="25">
        <v>-9999</v>
      </c>
      <c r="G182" s="25">
        <v>-9999</v>
      </c>
      <c r="H182" s="25">
        <v>-9999</v>
      </c>
      <c r="I182" s="25">
        <v>-9999</v>
      </c>
      <c r="J182" s="25">
        <v>-9999</v>
      </c>
      <c r="K182" s="25">
        <v>-9999</v>
      </c>
      <c r="L182" s="25">
        <v>-9999</v>
      </c>
      <c r="M182" s="25">
        <v>-9999</v>
      </c>
      <c r="N182" s="25">
        <v>-9999</v>
      </c>
      <c r="O182" s="25">
        <v>-9999</v>
      </c>
      <c r="P182" s="26"/>
      <c r="Q182"/>
      <c r="AA182" s="22">
        <v>82</v>
      </c>
      <c r="AB182" s="1081" t="str">
        <f t="shared" si="8"/>
        <v>FOR FUTURE USE</v>
      </c>
      <c r="AC182" s="1081">
        <f>CHOOSE(Tables!$U$2,Transfer!CA182,Transfer!CN182,Transfer!DA182,Transfer!DN182,Transfer!EA182)</f>
        <v>-9999</v>
      </c>
      <c r="AD182" s="1081">
        <f>CHOOSE(Tables!$U$2,Transfer!CB182,Transfer!CO182,Transfer!DB182,Transfer!DO182,Transfer!EB182)</f>
        <v>-9999</v>
      </c>
      <c r="AE182" s="1081">
        <f>CHOOSE(Tables!$U$2,Transfer!CC182,Transfer!CP182,Transfer!DC182,Transfer!DP182,Transfer!EC182)</f>
        <v>-9999</v>
      </c>
      <c r="AF182" s="1081">
        <f>CHOOSE(Tables!$U$2,Transfer!CD182,Transfer!CQ182,Transfer!DD182,Transfer!DQ182,Transfer!ED182)</f>
        <v>-9999</v>
      </c>
      <c r="AG182" s="1081">
        <f>CHOOSE(Tables!$U$2,Transfer!CE182,Transfer!CR182,Transfer!DE182,Transfer!DR182,Transfer!EE182)</f>
        <v>-9999</v>
      </c>
      <c r="AH182" s="1081">
        <f>CHOOSE(Tables!$U$2,Transfer!CF182,Transfer!CS182,Transfer!DF182,Transfer!DS182,Transfer!EF182)</f>
        <v>-9999</v>
      </c>
      <c r="AI182" s="1081">
        <f>CHOOSE(Tables!$U$2,Transfer!CG182,Transfer!CT182,Transfer!DG182,Transfer!DT182,Transfer!EG182)</f>
        <v>-9999</v>
      </c>
      <c r="AJ182" s="1081">
        <f>CHOOSE(Tables!$U$2,Transfer!CH182,Transfer!CU182,Transfer!DH182,Transfer!DU182,Transfer!EH182)</f>
        <v>-9999</v>
      </c>
      <c r="AK182" s="1081">
        <f>CHOOSE(Tables!$U$2,Transfer!CI182,Transfer!CV182,Transfer!DI182,Transfer!DV182,Transfer!EI182)</f>
        <v>-9999</v>
      </c>
      <c r="AL182" s="1081">
        <f>CHOOSE(Tables!$U$2,Transfer!CJ182,Transfer!CW182,Transfer!DJ182,Transfer!DW182,Transfer!EJ182)</f>
        <v>-9999</v>
      </c>
      <c r="AM182" s="1081">
        <f>CHOOSE(Tables!$U$2,Transfer!CK182,Transfer!CX182,Transfer!DK182,Transfer!DX182,Transfer!EK182)</f>
        <v>-9999</v>
      </c>
      <c r="AN182" s="1081">
        <f>CHOOSE(Tables!$U$2,Transfer!CL182,Transfer!CY182,Transfer!DL182,Transfer!DY182,Transfer!EL182)</f>
        <v>-9999</v>
      </c>
      <c r="AO182" s="1081">
        <f>CHOOSE(Tables!$U$2,Transfer!CM182,Transfer!CZ182,Transfer!DM182,Transfer!DZ182,Transfer!EM182)</f>
        <v>-9999</v>
      </c>
      <c r="AR182" s="22">
        <v>82</v>
      </c>
      <c r="AS182" s="31" t="s">
        <v>2592</v>
      </c>
      <c r="AT182" s="1979">
        <f t="shared" ref="AT182:AT213" si="11">C182-AC182</f>
        <v>0</v>
      </c>
      <c r="AU182" s="1979">
        <f t="shared" ref="AU182:AU213" si="12">D182-AD182</f>
        <v>0</v>
      </c>
      <c r="AV182" s="1979">
        <f t="shared" ref="AV182:AV213" si="13">E182-AE182</f>
        <v>0</v>
      </c>
      <c r="AW182" s="1979">
        <f t="shared" ref="AW182:AW213" si="14">F182-AF182</f>
        <v>0</v>
      </c>
      <c r="AX182" s="1979">
        <f t="shared" ref="AX182:AX213" si="15">G182-AG182</f>
        <v>0</v>
      </c>
      <c r="AY182" s="25">
        <f t="shared" ref="AY182:AY213" si="16">H182-AH182</f>
        <v>0</v>
      </c>
      <c r="AZ182" s="25">
        <f t="shared" ref="AZ182:AZ213" si="17">I182-AI182</f>
        <v>0</v>
      </c>
      <c r="BA182" s="25">
        <f t="shared" ref="BA182:BA213" si="18">J182-AJ182</f>
        <v>0</v>
      </c>
      <c r="BB182" s="25">
        <f t="shared" ref="BB182:BB213" si="19">K182-AK182</f>
        <v>0</v>
      </c>
      <c r="BC182" s="25">
        <f t="shared" si="7"/>
        <v>0</v>
      </c>
      <c r="BD182" s="25">
        <f t="shared" si="7"/>
        <v>0</v>
      </c>
      <c r="BE182" s="25">
        <f t="shared" si="7"/>
        <v>0</v>
      </c>
      <c r="BF182" s="25">
        <f t="shared" si="7"/>
        <v>0</v>
      </c>
      <c r="CA182" s="16">
        <v>-9999</v>
      </c>
      <c r="CB182" s="16">
        <v>-9999</v>
      </c>
      <c r="CC182" s="16">
        <v>-9999</v>
      </c>
      <c r="CD182" s="16">
        <v>-9999</v>
      </c>
      <c r="CE182" s="16">
        <v>-9999</v>
      </c>
      <c r="CF182" s="16">
        <v>-9999</v>
      </c>
      <c r="CG182" s="16">
        <v>-9999</v>
      </c>
      <c r="CH182" s="16">
        <v>-9999</v>
      </c>
      <c r="CI182" s="16">
        <v>-9999</v>
      </c>
      <c r="CJ182" s="16">
        <v>-9999</v>
      </c>
      <c r="CK182" s="16">
        <v>-9999</v>
      </c>
      <c r="CL182" s="16">
        <v>-9999</v>
      </c>
      <c r="CM182" s="16">
        <v>-9999</v>
      </c>
      <c r="CN182" s="16">
        <v>-9999</v>
      </c>
      <c r="CO182" s="16">
        <v>-9999</v>
      </c>
      <c r="CP182" s="16">
        <v>-9999</v>
      </c>
      <c r="CQ182" s="16">
        <v>-9999</v>
      </c>
      <c r="CR182" s="16">
        <v>-9999</v>
      </c>
      <c r="CS182" s="16">
        <v>-9999</v>
      </c>
      <c r="CT182" s="16">
        <v>-9999</v>
      </c>
      <c r="CU182" s="16">
        <v>-9999</v>
      </c>
      <c r="CV182" s="16">
        <v>-9999</v>
      </c>
      <c r="CW182" s="16">
        <v>-9999</v>
      </c>
      <c r="CX182" s="16">
        <v>-9999</v>
      </c>
      <c r="CY182" s="16">
        <v>-9999</v>
      </c>
      <c r="CZ182" s="16">
        <v>-9999</v>
      </c>
      <c r="DA182" s="16">
        <v>-9999</v>
      </c>
      <c r="DB182" s="16">
        <v>-9999</v>
      </c>
      <c r="DC182" s="16">
        <v>-9999</v>
      </c>
      <c r="DD182" s="16">
        <v>-9999</v>
      </c>
      <c r="DE182" s="16">
        <v>-9999</v>
      </c>
      <c r="DF182" s="16">
        <v>-9999</v>
      </c>
      <c r="DG182" s="16">
        <v>-9999</v>
      </c>
      <c r="DH182" s="16">
        <v>-9999</v>
      </c>
      <c r="DI182" s="16">
        <v>-9999</v>
      </c>
      <c r="DJ182" s="16">
        <v>-9999</v>
      </c>
      <c r="DK182" s="16">
        <v>-9999</v>
      </c>
      <c r="DL182" s="16">
        <v>-9999</v>
      </c>
      <c r="DM182" s="16">
        <v>-9999</v>
      </c>
      <c r="DN182" s="16">
        <v>-9999</v>
      </c>
      <c r="DO182" s="16">
        <v>-9999</v>
      </c>
      <c r="DP182" s="16">
        <v>-9999</v>
      </c>
      <c r="DQ182" s="16">
        <v>-9999</v>
      </c>
      <c r="DR182" s="16">
        <v>-9999</v>
      </c>
      <c r="DS182" s="16">
        <v>-9999</v>
      </c>
      <c r="DT182" s="16">
        <v>-9999</v>
      </c>
      <c r="DU182" s="16">
        <v>-9999</v>
      </c>
      <c r="DV182" s="16">
        <v>-9999</v>
      </c>
      <c r="DW182" s="16">
        <v>-9999</v>
      </c>
      <c r="DX182" s="16">
        <v>-9999</v>
      </c>
      <c r="DY182" s="16">
        <v>-9999</v>
      </c>
      <c r="DZ182" s="16">
        <v>-9999</v>
      </c>
      <c r="EA182" s="2107">
        <v>-9999</v>
      </c>
      <c r="EB182" s="2107">
        <v>-9999</v>
      </c>
      <c r="EC182" s="2107">
        <v>-9999</v>
      </c>
      <c r="ED182" s="2107">
        <v>-9999</v>
      </c>
      <c r="EE182" s="2107">
        <v>-9999</v>
      </c>
      <c r="EF182" s="2107">
        <v>-9999</v>
      </c>
      <c r="EG182" s="2107">
        <v>-9999</v>
      </c>
      <c r="EH182" s="2107">
        <v>-9999</v>
      </c>
      <c r="EI182" s="2107">
        <v>-9999</v>
      </c>
      <c r="EJ182" s="2107">
        <v>-9999</v>
      </c>
      <c r="EK182" s="2107">
        <v>-9999</v>
      </c>
      <c r="EL182" s="2107">
        <v>-9999</v>
      </c>
      <c r="EM182" s="2107">
        <v>-9999</v>
      </c>
    </row>
    <row r="183" spans="1:143">
      <c r="A183" s="22">
        <v>83</v>
      </c>
      <c r="B183" s="1078" t="s">
        <v>278</v>
      </c>
      <c r="C183" s="20">
        <f ca="1">OFFSET(Labour1!F78,0,Last_forecast_year - 3-InputY!$G$3)</f>
        <v>3912.6000000000004</v>
      </c>
      <c r="D183" s="20">
        <f ca="1">OFFSET(Labour1!G78,0,Last_forecast_year - 3-InputY!$G$3)</f>
        <v>3957.0999999999995</v>
      </c>
      <c r="E183" s="20">
        <f ca="1">OFFSET(Labour1!H78,0,Last_forecast_year - 3-InputY!$G$3)</f>
        <v>4011.8</v>
      </c>
      <c r="F183" s="20">
        <f ca="1">OFFSET(Labour1!I78,0,Last_forecast_year - 3-InputY!$G$3)</f>
        <v>4059.8283500000002</v>
      </c>
      <c r="G183" s="20">
        <f ca="1">OFFSET(Labour1!J78,0,Last_forecast_year - 3-InputY!$G$3)</f>
        <v>4098.7338321199995</v>
      </c>
      <c r="H183" s="25">
        <v>-9999</v>
      </c>
      <c r="I183" s="25">
        <v>-9999</v>
      </c>
      <c r="J183" s="25">
        <v>-9999</v>
      </c>
      <c r="K183" s="25">
        <v>-9999</v>
      </c>
      <c r="L183" s="25">
        <v>-9999</v>
      </c>
      <c r="M183" s="25">
        <v>-9999</v>
      </c>
      <c r="N183" s="25">
        <v>-9999</v>
      </c>
      <c r="O183" s="25">
        <v>-9999</v>
      </c>
      <c r="P183" s="26"/>
      <c r="Q183"/>
      <c r="AA183" s="22">
        <v>83</v>
      </c>
      <c r="AB183" s="1081" t="str">
        <f t="shared" si="8"/>
        <v>EMPLOYEES LAB. FORCE STATISTICS</v>
      </c>
      <c r="AC183" s="1081">
        <f>CHOOSE(Tables!$U$2,Transfer!CA183,Transfer!CN183,Transfer!DA183,Transfer!DN183,Transfer!EA183)</f>
        <v>3912.6000000000004</v>
      </c>
      <c r="AD183" s="1081">
        <f>CHOOSE(Tables!$U$2,Transfer!CB183,Transfer!CO183,Transfer!DB183,Transfer!DO183,Transfer!EB183)</f>
        <v>3957.0999999999995</v>
      </c>
      <c r="AE183" s="1081">
        <f>CHOOSE(Tables!$U$2,Transfer!CC183,Transfer!CP183,Transfer!DC183,Transfer!DP183,Transfer!EC183)</f>
        <v>4011.8</v>
      </c>
      <c r="AF183" s="1081">
        <f>CHOOSE(Tables!$U$2,Transfer!CD183,Transfer!CQ183,Transfer!DD183,Transfer!DQ183,Transfer!ED183)</f>
        <v>4060.04315</v>
      </c>
      <c r="AG183" s="1081">
        <f>CHOOSE(Tables!$U$2,Transfer!CE183,Transfer!CR183,Transfer!DE183,Transfer!DR183,Transfer!EE183)</f>
        <v>4099.7177671199997</v>
      </c>
      <c r="AH183" s="1081">
        <f>CHOOSE(Tables!$U$2,Transfer!CF183,Transfer!CS183,Transfer!DF183,Transfer!DS183,Transfer!EF183)</f>
        <v>-9999</v>
      </c>
      <c r="AI183" s="1081">
        <f>CHOOSE(Tables!$U$2,Transfer!CG183,Transfer!CT183,Transfer!DG183,Transfer!DT183,Transfer!EG183)</f>
        <v>-9999</v>
      </c>
      <c r="AJ183" s="1081">
        <f>CHOOSE(Tables!$U$2,Transfer!CH183,Transfer!CU183,Transfer!DH183,Transfer!DU183,Transfer!EH183)</f>
        <v>-9999</v>
      </c>
      <c r="AK183" s="1081">
        <f>CHOOSE(Tables!$U$2,Transfer!CI183,Transfer!CV183,Transfer!DI183,Transfer!DV183,Transfer!EI183)</f>
        <v>-9999</v>
      </c>
      <c r="AL183" s="1081">
        <f>CHOOSE(Tables!$U$2,Transfer!CJ183,Transfer!CW183,Transfer!DJ183,Transfer!DW183,Transfer!EJ183)</f>
        <v>-9999</v>
      </c>
      <c r="AM183" s="1081">
        <f>CHOOSE(Tables!$U$2,Transfer!CK183,Transfer!CX183,Transfer!DK183,Transfer!DX183,Transfer!EK183)</f>
        <v>-9999</v>
      </c>
      <c r="AN183" s="1081">
        <f>CHOOSE(Tables!$U$2,Transfer!CL183,Transfer!CY183,Transfer!DL183,Transfer!DY183,Transfer!EL183)</f>
        <v>-9999</v>
      </c>
      <c r="AO183" s="1081">
        <f>CHOOSE(Tables!$U$2,Transfer!CM183,Transfer!CZ183,Transfer!DM183,Transfer!DZ183,Transfer!EM183)</f>
        <v>-9999</v>
      </c>
      <c r="AR183" s="22">
        <v>83</v>
      </c>
      <c r="AS183" s="1461" t="s">
        <v>278</v>
      </c>
      <c r="AT183" s="20">
        <f t="shared" ca="1" si="11"/>
        <v>0</v>
      </c>
      <c r="AU183" s="20">
        <f t="shared" ca="1" si="12"/>
        <v>0</v>
      </c>
      <c r="AV183" s="20">
        <f t="shared" ca="1" si="13"/>
        <v>0</v>
      </c>
      <c r="AW183" s="20">
        <f t="shared" ca="1" si="14"/>
        <v>-0.21479999999974098</v>
      </c>
      <c r="AX183" s="20">
        <f t="shared" ca="1" si="15"/>
        <v>-0.9839350000002014</v>
      </c>
      <c r="AY183" s="25">
        <f t="shared" si="16"/>
        <v>0</v>
      </c>
      <c r="AZ183" s="25">
        <f t="shared" si="17"/>
        <v>0</v>
      </c>
      <c r="BA183" s="25">
        <f t="shared" si="18"/>
        <v>0</v>
      </c>
      <c r="BB183" s="25">
        <f t="shared" si="19"/>
        <v>0</v>
      </c>
      <c r="BC183" s="25">
        <f t="shared" si="7"/>
        <v>0</v>
      </c>
      <c r="BD183" s="25">
        <f t="shared" si="7"/>
        <v>0</v>
      </c>
      <c r="BE183" s="25">
        <f t="shared" si="7"/>
        <v>0</v>
      </c>
      <c r="BF183" s="25">
        <f t="shared" si="7"/>
        <v>0</v>
      </c>
      <c r="CA183" s="16">
        <v>3912.6000000000004</v>
      </c>
      <c r="CB183" s="16">
        <v>3957.0999999999995</v>
      </c>
      <c r="CC183" s="16">
        <v>4011.8</v>
      </c>
      <c r="CD183" s="16">
        <v>4060.04315</v>
      </c>
      <c r="CE183" s="16">
        <v>4099.7177671199997</v>
      </c>
      <c r="CF183" s="16">
        <v>-9999</v>
      </c>
      <c r="CG183" s="16">
        <v>-9999</v>
      </c>
      <c r="CH183" s="16">
        <v>-9999</v>
      </c>
      <c r="CI183" s="16">
        <v>-9999</v>
      </c>
      <c r="CJ183" s="16">
        <v>-9999</v>
      </c>
      <c r="CK183" s="16">
        <v>-9999</v>
      </c>
      <c r="CL183" s="16">
        <v>-9999</v>
      </c>
      <c r="CM183" s="16">
        <v>-9999</v>
      </c>
      <c r="CN183" s="16">
        <v>3912.6000000000004</v>
      </c>
      <c r="CO183" s="16">
        <v>3957.0999999999995</v>
      </c>
      <c r="CP183" s="16">
        <v>4010.0770524459067</v>
      </c>
      <c r="CQ183" s="16">
        <v>4054.2001857016753</v>
      </c>
      <c r="CR183" s="16">
        <v>4088.8562123982533</v>
      </c>
      <c r="CS183" s="16">
        <v>-9999</v>
      </c>
      <c r="CT183" s="16">
        <v>-9999</v>
      </c>
      <c r="CU183" s="16">
        <v>-9999</v>
      </c>
      <c r="CV183" s="16">
        <v>-9999</v>
      </c>
      <c r="CW183" s="16">
        <v>-9999</v>
      </c>
      <c r="CX183" s="16">
        <v>-9999</v>
      </c>
      <c r="CY183" s="16">
        <v>-9999</v>
      </c>
      <c r="CZ183" s="16">
        <v>-9999</v>
      </c>
      <c r="DA183" s="16">
        <v>3912.6000000000004</v>
      </c>
      <c r="DB183" s="16">
        <v>3957.0999999999995</v>
      </c>
      <c r="DC183" s="16">
        <v>4011.8</v>
      </c>
      <c r="DD183" s="16">
        <v>4060.04315</v>
      </c>
      <c r="DE183" s="16">
        <v>4099.7177671199997</v>
      </c>
      <c r="DF183" s="16">
        <v>-9999</v>
      </c>
      <c r="DG183" s="16">
        <v>-9999</v>
      </c>
      <c r="DH183" s="16">
        <v>-9999</v>
      </c>
      <c r="DI183" s="16">
        <v>-9999</v>
      </c>
      <c r="DJ183" s="16">
        <v>-9999</v>
      </c>
      <c r="DK183" s="16">
        <v>-9999</v>
      </c>
      <c r="DL183" s="16">
        <v>-9999</v>
      </c>
      <c r="DM183" s="16">
        <v>-9999</v>
      </c>
      <c r="DN183" s="16">
        <v>3912.6000000000004</v>
      </c>
      <c r="DO183" s="16">
        <v>3957.0999999999995</v>
      </c>
      <c r="DP183" s="16">
        <v>4011.8</v>
      </c>
      <c r="DQ183" s="16">
        <v>4060.04315</v>
      </c>
      <c r="DR183" s="16">
        <v>4099.7177671199997</v>
      </c>
      <c r="DS183" s="16">
        <v>-9999</v>
      </c>
      <c r="DT183" s="16">
        <v>-9999</v>
      </c>
      <c r="DU183" s="16">
        <v>-9999</v>
      </c>
      <c r="DV183" s="16">
        <v>-9999</v>
      </c>
      <c r="DW183" s="16">
        <v>-9999</v>
      </c>
      <c r="DX183" s="16">
        <v>-9999</v>
      </c>
      <c r="DY183" s="16">
        <v>-9999</v>
      </c>
      <c r="DZ183" s="16">
        <v>-9999</v>
      </c>
      <c r="EA183" s="2106">
        <v>3912.6000000000004</v>
      </c>
      <c r="EB183" s="2106">
        <v>3957.0999999999995</v>
      </c>
      <c r="EC183" s="2106">
        <v>4011.8</v>
      </c>
      <c r="ED183" s="2106">
        <v>4059.8283500000002</v>
      </c>
      <c r="EE183" s="2106">
        <v>4098.7338321199995</v>
      </c>
      <c r="EF183" s="2107">
        <v>-9999</v>
      </c>
      <c r="EG183" s="2107">
        <v>-9999</v>
      </c>
      <c r="EH183" s="2107">
        <v>-9999</v>
      </c>
      <c r="EI183" s="2107">
        <v>-9999</v>
      </c>
      <c r="EJ183" s="2107">
        <v>-9999</v>
      </c>
      <c r="EK183" s="2107">
        <v>-9999</v>
      </c>
      <c r="EL183" s="2107">
        <v>-9999</v>
      </c>
      <c r="EM183" s="2107">
        <v>-9999</v>
      </c>
    </row>
    <row r="184" spans="1:143">
      <c r="A184" s="22">
        <v>84</v>
      </c>
      <c r="B184" s="30" t="s">
        <v>1998</v>
      </c>
      <c r="C184" s="25">
        <v>-9999</v>
      </c>
      <c r="D184" s="25">
        <v>-9999</v>
      </c>
      <c r="E184" s="25">
        <v>-9999</v>
      </c>
      <c r="F184" s="25">
        <v>-9999</v>
      </c>
      <c r="G184" s="25">
        <v>-9999</v>
      </c>
      <c r="H184" s="25">
        <v>-9999</v>
      </c>
      <c r="I184" s="25">
        <v>-9999</v>
      </c>
      <c r="J184" s="25">
        <v>-9999</v>
      </c>
      <c r="K184" s="25">
        <v>-9999</v>
      </c>
      <c r="L184" s="25">
        <v>-9999</v>
      </c>
      <c r="M184" s="25">
        <v>-9999</v>
      </c>
      <c r="N184" s="25">
        <v>-9999</v>
      </c>
      <c r="O184" s="25">
        <v>-9999</v>
      </c>
      <c r="P184" s="26"/>
      <c r="Q184"/>
      <c r="AA184" s="22">
        <v>84</v>
      </c>
      <c r="AB184" s="1081" t="str">
        <f t="shared" si="8"/>
        <v>FOR FUTURE USE</v>
      </c>
      <c r="AC184" s="1081">
        <f>CHOOSE(Tables!$U$2,Transfer!CA184,Transfer!CN184,Transfer!DA184,Transfer!DN184,Transfer!EA184)</f>
        <v>-9999</v>
      </c>
      <c r="AD184" s="1081">
        <f>CHOOSE(Tables!$U$2,Transfer!CB184,Transfer!CO184,Transfer!DB184,Transfer!DO184,Transfer!EB184)</f>
        <v>-9999</v>
      </c>
      <c r="AE184" s="1081">
        <f>CHOOSE(Tables!$U$2,Transfer!CC184,Transfer!CP184,Transfer!DC184,Transfer!DP184,Transfer!EC184)</f>
        <v>-9999</v>
      </c>
      <c r="AF184" s="1081">
        <f>CHOOSE(Tables!$U$2,Transfer!CD184,Transfer!CQ184,Transfer!DD184,Transfer!DQ184,Transfer!ED184)</f>
        <v>-9999</v>
      </c>
      <c r="AG184" s="1081">
        <f>CHOOSE(Tables!$U$2,Transfer!CE184,Transfer!CR184,Transfer!DE184,Transfer!DR184,Transfer!EE184)</f>
        <v>-9999</v>
      </c>
      <c r="AH184" s="1081">
        <f>CHOOSE(Tables!$U$2,Transfer!CF184,Transfer!CS184,Transfer!DF184,Transfer!DS184,Transfer!EF184)</f>
        <v>-9999</v>
      </c>
      <c r="AI184" s="1081">
        <f>CHOOSE(Tables!$U$2,Transfer!CG184,Transfer!CT184,Transfer!DG184,Transfer!DT184,Transfer!EG184)</f>
        <v>-9999</v>
      </c>
      <c r="AJ184" s="1081">
        <f>CHOOSE(Tables!$U$2,Transfer!CH184,Transfer!CU184,Transfer!DH184,Transfer!DU184,Transfer!EH184)</f>
        <v>-9999</v>
      </c>
      <c r="AK184" s="1081">
        <f>CHOOSE(Tables!$U$2,Transfer!CI184,Transfer!CV184,Transfer!DI184,Transfer!DV184,Transfer!EI184)</f>
        <v>-9999</v>
      </c>
      <c r="AL184" s="1081">
        <f>CHOOSE(Tables!$U$2,Transfer!CJ184,Transfer!CW184,Transfer!DJ184,Transfer!DW184,Transfer!EJ184)</f>
        <v>-9999</v>
      </c>
      <c r="AM184" s="1081">
        <f>CHOOSE(Tables!$U$2,Transfer!CK184,Transfer!CX184,Transfer!DK184,Transfer!DX184,Transfer!EK184)</f>
        <v>-9999</v>
      </c>
      <c r="AN184" s="1081">
        <f>CHOOSE(Tables!$U$2,Transfer!CL184,Transfer!CY184,Transfer!DL184,Transfer!DY184,Transfer!EL184)</f>
        <v>-9999</v>
      </c>
      <c r="AO184" s="1081">
        <f>CHOOSE(Tables!$U$2,Transfer!CM184,Transfer!CZ184,Transfer!DM184,Transfer!DZ184,Transfer!EM184)</f>
        <v>-9999</v>
      </c>
      <c r="AR184" s="22">
        <v>84</v>
      </c>
      <c r="AS184" s="30" t="s">
        <v>1998</v>
      </c>
      <c r="AT184" s="25">
        <f t="shared" si="11"/>
        <v>0</v>
      </c>
      <c r="AU184" s="25">
        <f t="shared" si="12"/>
        <v>0</v>
      </c>
      <c r="AV184" s="25">
        <f t="shared" si="13"/>
        <v>0</v>
      </c>
      <c r="AW184" s="25">
        <f t="shared" si="14"/>
        <v>0</v>
      </c>
      <c r="AX184" s="25">
        <f t="shared" si="15"/>
        <v>0</v>
      </c>
      <c r="AY184" s="25">
        <f t="shared" si="16"/>
        <v>0</v>
      </c>
      <c r="AZ184" s="25">
        <f t="shared" si="17"/>
        <v>0</v>
      </c>
      <c r="BA184" s="25">
        <f t="shared" si="18"/>
        <v>0</v>
      </c>
      <c r="BB184" s="25">
        <f t="shared" si="19"/>
        <v>0</v>
      </c>
      <c r="BC184" s="25">
        <f t="shared" si="7"/>
        <v>0</v>
      </c>
      <c r="BD184" s="25">
        <f t="shared" si="7"/>
        <v>0</v>
      </c>
      <c r="BE184" s="25">
        <f t="shared" si="7"/>
        <v>0</v>
      </c>
      <c r="BF184" s="25">
        <f t="shared" si="7"/>
        <v>0</v>
      </c>
      <c r="CA184" s="16">
        <v>-9999</v>
      </c>
      <c r="CB184" s="16">
        <v>-9999</v>
      </c>
      <c r="CC184" s="16">
        <v>-9999</v>
      </c>
      <c r="CD184" s="16">
        <v>-9999</v>
      </c>
      <c r="CE184" s="16">
        <v>-9999</v>
      </c>
      <c r="CF184" s="16">
        <v>-9999</v>
      </c>
      <c r="CG184" s="16">
        <v>-9999</v>
      </c>
      <c r="CH184" s="16">
        <v>-9999</v>
      </c>
      <c r="CI184" s="16">
        <v>-9999</v>
      </c>
      <c r="CJ184" s="16">
        <v>-9999</v>
      </c>
      <c r="CK184" s="16">
        <v>-9999</v>
      </c>
      <c r="CL184" s="16">
        <v>-9999</v>
      </c>
      <c r="CM184" s="16">
        <v>-9999</v>
      </c>
      <c r="CN184" s="16">
        <v>-9999</v>
      </c>
      <c r="CO184" s="16">
        <v>-9999</v>
      </c>
      <c r="CP184" s="16">
        <v>-9999</v>
      </c>
      <c r="CQ184" s="16">
        <v>-9999</v>
      </c>
      <c r="CR184" s="16">
        <v>-9999</v>
      </c>
      <c r="CS184" s="16">
        <v>-9999</v>
      </c>
      <c r="CT184" s="16">
        <v>-9999</v>
      </c>
      <c r="CU184" s="16">
        <v>-9999</v>
      </c>
      <c r="CV184" s="16">
        <v>-9999</v>
      </c>
      <c r="CW184" s="16">
        <v>-9999</v>
      </c>
      <c r="CX184" s="16">
        <v>-9999</v>
      </c>
      <c r="CY184" s="16">
        <v>-9999</v>
      </c>
      <c r="CZ184" s="16">
        <v>-9999</v>
      </c>
      <c r="DA184" s="16">
        <v>-9999</v>
      </c>
      <c r="DB184" s="16">
        <v>-9999</v>
      </c>
      <c r="DC184" s="16">
        <v>-9999</v>
      </c>
      <c r="DD184" s="16">
        <v>-9999</v>
      </c>
      <c r="DE184" s="16">
        <v>-9999</v>
      </c>
      <c r="DF184" s="16">
        <v>-9999</v>
      </c>
      <c r="DG184" s="16">
        <v>-9999</v>
      </c>
      <c r="DH184" s="16">
        <v>-9999</v>
      </c>
      <c r="DI184" s="16">
        <v>-9999</v>
      </c>
      <c r="DJ184" s="16">
        <v>-9999</v>
      </c>
      <c r="DK184" s="16">
        <v>-9999</v>
      </c>
      <c r="DL184" s="16">
        <v>-9999</v>
      </c>
      <c r="DM184" s="16">
        <v>-9999</v>
      </c>
      <c r="DN184" s="16">
        <v>-9999</v>
      </c>
      <c r="DO184" s="16">
        <v>-9999</v>
      </c>
      <c r="DP184" s="16">
        <v>-9999</v>
      </c>
      <c r="DQ184" s="16">
        <v>-9999</v>
      </c>
      <c r="DR184" s="16">
        <v>-9999</v>
      </c>
      <c r="DS184" s="16">
        <v>-9999</v>
      </c>
      <c r="DT184" s="16">
        <v>-9999</v>
      </c>
      <c r="DU184" s="16">
        <v>-9999</v>
      </c>
      <c r="DV184" s="16">
        <v>-9999</v>
      </c>
      <c r="DW184" s="16">
        <v>-9999</v>
      </c>
      <c r="DX184" s="16">
        <v>-9999</v>
      </c>
      <c r="DY184" s="16">
        <v>-9999</v>
      </c>
      <c r="DZ184" s="16">
        <v>-9999</v>
      </c>
      <c r="EA184" s="2107">
        <v>-9999</v>
      </c>
      <c r="EB184" s="2107">
        <v>-9999</v>
      </c>
      <c r="EC184" s="2107">
        <v>-9999</v>
      </c>
      <c r="ED184" s="2107">
        <v>-9999</v>
      </c>
      <c r="EE184" s="2107">
        <v>-9999</v>
      </c>
      <c r="EF184" s="2107">
        <v>-9999</v>
      </c>
      <c r="EG184" s="2107">
        <v>-9999</v>
      </c>
      <c r="EH184" s="2107">
        <v>-9999</v>
      </c>
      <c r="EI184" s="2107">
        <v>-9999</v>
      </c>
      <c r="EJ184" s="2107">
        <v>-9999</v>
      </c>
      <c r="EK184" s="2107">
        <v>-9999</v>
      </c>
      <c r="EL184" s="2107">
        <v>-9999</v>
      </c>
      <c r="EM184" s="2107">
        <v>-9999</v>
      </c>
    </row>
    <row r="185" spans="1:143">
      <c r="A185" s="22">
        <v>85</v>
      </c>
      <c r="B185" s="33" t="s">
        <v>122</v>
      </c>
      <c r="C185" s="20">
        <f ca="1">OFFSET(Labour1!F89,0,Last_forecast_year - 3-InputY!$G$3)</f>
        <v>1544.6099252238939</v>
      </c>
      <c r="D185" s="20">
        <f ca="1">OFFSET(Labour1!G89,0,Last_forecast_year - 3-InputY!$G$3)</f>
        <v>1545.8149889439901</v>
      </c>
      <c r="E185" s="20">
        <f ca="1">OFFSET(Labour1!H89,0,Last_forecast_year - 3-InputY!$G$3)</f>
        <v>1545.8149889439901</v>
      </c>
      <c r="F185" s="20">
        <f ca="1">OFFSET(Labour1!I89,0,Last_forecast_year - 3-InputY!$G$3)</f>
        <v>1545.8149889439901</v>
      </c>
      <c r="G185" s="20">
        <f ca="1">OFFSET(Labour1!J89,0,Last_forecast_year - 3-InputY!$G$3)</f>
        <v>1545.8149889439901</v>
      </c>
      <c r="H185" s="25">
        <v>-9999</v>
      </c>
      <c r="I185" s="25">
        <v>-9999</v>
      </c>
      <c r="J185" s="25">
        <v>-9999</v>
      </c>
      <c r="K185" s="25">
        <v>-9999</v>
      </c>
      <c r="L185" s="25">
        <v>-9999</v>
      </c>
      <c r="M185" s="25">
        <v>-9999</v>
      </c>
      <c r="N185" s="25">
        <v>-9999</v>
      </c>
      <c r="O185" s="25">
        <v>-9999</v>
      </c>
      <c r="P185" s="26"/>
      <c r="Q185"/>
      <c r="AA185" s="22">
        <v>85</v>
      </c>
      <c r="AB185" s="1081" t="str">
        <f t="shared" si="8"/>
        <v>AV. HOURS WORKED</v>
      </c>
      <c r="AC185" s="1081">
        <f>CHOOSE(Tables!$U$2,Transfer!CA185,Transfer!CN185,Transfer!DA185,Transfer!DN185,Transfer!EA185)</f>
        <v>1544.6099252238939</v>
      </c>
      <c r="AD185" s="1081">
        <f>CHOOSE(Tables!$U$2,Transfer!CB185,Transfer!CO185,Transfer!DB185,Transfer!DO185,Transfer!EB185)</f>
        <v>1545.8149889439901</v>
      </c>
      <c r="AE185" s="1081">
        <f>CHOOSE(Tables!$U$2,Transfer!CC185,Transfer!CP185,Transfer!DC185,Transfer!DP185,Transfer!EC185)</f>
        <v>1545.8149889439901</v>
      </c>
      <c r="AF185" s="1081">
        <f>CHOOSE(Tables!$U$2,Transfer!CD185,Transfer!CQ185,Transfer!DD185,Transfer!DQ185,Transfer!ED185)</f>
        <v>1545.8149889439901</v>
      </c>
      <c r="AG185" s="1081">
        <f>CHOOSE(Tables!$U$2,Transfer!CE185,Transfer!CR185,Transfer!DE185,Transfer!DR185,Transfer!EE185)</f>
        <v>1545.8149889439901</v>
      </c>
      <c r="AH185" s="1081">
        <f>CHOOSE(Tables!$U$2,Transfer!CF185,Transfer!CS185,Transfer!DF185,Transfer!DS185,Transfer!EF185)</f>
        <v>-9999</v>
      </c>
      <c r="AI185" s="1081">
        <f>CHOOSE(Tables!$U$2,Transfer!CG185,Transfer!CT185,Transfer!DG185,Transfer!DT185,Transfer!EG185)</f>
        <v>-9999</v>
      </c>
      <c r="AJ185" s="1081">
        <f>CHOOSE(Tables!$U$2,Transfer!CH185,Transfer!CU185,Transfer!DH185,Transfer!DU185,Transfer!EH185)</f>
        <v>-9999</v>
      </c>
      <c r="AK185" s="1081">
        <f>CHOOSE(Tables!$U$2,Transfer!CI185,Transfer!CV185,Transfer!DI185,Transfer!DV185,Transfer!EI185)</f>
        <v>-9999</v>
      </c>
      <c r="AL185" s="1081">
        <f>CHOOSE(Tables!$U$2,Transfer!CJ185,Transfer!CW185,Transfer!DJ185,Transfer!DW185,Transfer!EJ185)</f>
        <v>-9999</v>
      </c>
      <c r="AM185" s="1081">
        <f>CHOOSE(Tables!$U$2,Transfer!CK185,Transfer!CX185,Transfer!DK185,Transfer!DX185,Transfer!EK185)</f>
        <v>-9999</v>
      </c>
      <c r="AN185" s="1081">
        <f>CHOOSE(Tables!$U$2,Transfer!CL185,Transfer!CY185,Transfer!DL185,Transfer!DY185,Transfer!EL185)</f>
        <v>-9999</v>
      </c>
      <c r="AO185" s="1081">
        <f>CHOOSE(Tables!$U$2,Transfer!CM185,Transfer!CZ185,Transfer!DM185,Transfer!DZ185,Transfer!EM185)</f>
        <v>-9999</v>
      </c>
      <c r="AR185" s="22">
        <v>85</v>
      </c>
      <c r="AS185" s="33" t="s">
        <v>122</v>
      </c>
      <c r="AT185" s="20">
        <f t="shared" ca="1" si="11"/>
        <v>0</v>
      </c>
      <c r="AU185" s="20">
        <f t="shared" ca="1" si="12"/>
        <v>0</v>
      </c>
      <c r="AV185" s="20">
        <f t="shared" ca="1" si="13"/>
        <v>0</v>
      </c>
      <c r="AW185" s="20">
        <f t="shared" ca="1" si="14"/>
        <v>0</v>
      </c>
      <c r="AX185" s="20">
        <f t="shared" ca="1" si="15"/>
        <v>0</v>
      </c>
      <c r="AY185" s="25">
        <f t="shared" si="16"/>
        <v>0</v>
      </c>
      <c r="AZ185" s="25">
        <f t="shared" si="17"/>
        <v>0</v>
      </c>
      <c r="BA185" s="25">
        <f t="shared" si="18"/>
        <v>0</v>
      </c>
      <c r="BB185" s="25">
        <f t="shared" si="19"/>
        <v>0</v>
      </c>
      <c r="BC185" s="25">
        <f t="shared" si="7"/>
        <v>0</v>
      </c>
      <c r="BD185" s="25">
        <f t="shared" si="7"/>
        <v>0</v>
      </c>
      <c r="BE185" s="25">
        <f t="shared" si="7"/>
        <v>0</v>
      </c>
      <c r="BF185" s="25">
        <f t="shared" si="7"/>
        <v>0</v>
      </c>
      <c r="CA185" s="16">
        <v>1544.6099252238939</v>
      </c>
      <c r="CB185" s="16">
        <v>1545.8149889439901</v>
      </c>
      <c r="CC185" s="16">
        <v>1545.8149889439901</v>
      </c>
      <c r="CD185" s="16">
        <v>1545.8149889439901</v>
      </c>
      <c r="CE185" s="16">
        <v>1545.8149889439901</v>
      </c>
      <c r="CF185" s="16">
        <v>-9999</v>
      </c>
      <c r="CG185" s="16">
        <v>-9999</v>
      </c>
      <c r="CH185" s="16">
        <v>-9999</v>
      </c>
      <c r="CI185" s="16">
        <v>-9999</v>
      </c>
      <c r="CJ185" s="16">
        <v>-9999</v>
      </c>
      <c r="CK185" s="16">
        <v>-9999</v>
      </c>
      <c r="CL185" s="16">
        <v>-9999</v>
      </c>
      <c r="CM185" s="16">
        <v>-9999</v>
      </c>
      <c r="CN185" s="16">
        <v>1544.6099252238939</v>
      </c>
      <c r="CO185" s="16">
        <v>1545.8149889439901</v>
      </c>
      <c r="CP185" s="16">
        <v>1545.8149889439901</v>
      </c>
      <c r="CQ185" s="16">
        <v>1545.8149889439901</v>
      </c>
      <c r="CR185" s="16">
        <v>1545.8149889439901</v>
      </c>
      <c r="CS185" s="16">
        <v>-9999</v>
      </c>
      <c r="CT185" s="16">
        <v>-9999</v>
      </c>
      <c r="CU185" s="16">
        <v>-9999</v>
      </c>
      <c r="CV185" s="16">
        <v>-9999</v>
      </c>
      <c r="CW185" s="16">
        <v>-9999</v>
      </c>
      <c r="CX185" s="16">
        <v>-9999</v>
      </c>
      <c r="CY185" s="16">
        <v>-9999</v>
      </c>
      <c r="CZ185" s="16">
        <v>-9999</v>
      </c>
      <c r="DA185" s="16">
        <v>1544.6099252238939</v>
      </c>
      <c r="DB185" s="16">
        <v>1545.8149889439901</v>
      </c>
      <c r="DC185" s="16">
        <v>1545.8149889439901</v>
      </c>
      <c r="DD185" s="16">
        <v>1545.8149889439901</v>
      </c>
      <c r="DE185" s="16">
        <v>1545.8149889439901</v>
      </c>
      <c r="DF185" s="16">
        <v>-9999</v>
      </c>
      <c r="DG185" s="16">
        <v>-9999</v>
      </c>
      <c r="DH185" s="16">
        <v>-9999</v>
      </c>
      <c r="DI185" s="16">
        <v>-9999</v>
      </c>
      <c r="DJ185" s="16">
        <v>-9999</v>
      </c>
      <c r="DK185" s="16">
        <v>-9999</v>
      </c>
      <c r="DL185" s="16">
        <v>-9999</v>
      </c>
      <c r="DM185" s="16">
        <v>-9999</v>
      </c>
      <c r="DN185" s="16">
        <v>1544.6099252238939</v>
      </c>
      <c r="DO185" s="16">
        <v>1545.8149889439901</v>
      </c>
      <c r="DP185" s="16">
        <v>1545.8149889439901</v>
      </c>
      <c r="DQ185" s="16">
        <v>1545.8149889439901</v>
      </c>
      <c r="DR185" s="16">
        <v>1545.8149889439901</v>
      </c>
      <c r="DS185" s="16">
        <v>-9999</v>
      </c>
      <c r="DT185" s="16">
        <v>-9999</v>
      </c>
      <c r="DU185" s="16">
        <v>-9999</v>
      </c>
      <c r="DV185" s="16">
        <v>-9999</v>
      </c>
      <c r="DW185" s="16">
        <v>-9999</v>
      </c>
      <c r="DX185" s="16">
        <v>-9999</v>
      </c>
      <c r="DY185" s="16">
        <v>-9999</v>
      </c>
      <c r="DZ185" s="16">
        <v>-9999</v>
      </c>
      <c r="EA185" s="2106">
        <v>1544.6099252238939</v>
      </c>
      <c r="EB185" s="2106">
        <v>1545.8149889439901</v>
      </c>
      <c r="EC185" s="2106">
        <v>1545.8149889439901</v>
      </c>
      <c r="ED185" s="2106">
        <v>1545.8149889439901</v>
      </c>
      <c r="EE185" s="2106">
        <v>1545.8149889439901</v>
      </c>
      <c r="EF185" s="2107">
        <v>-9999</v>
      </c>
      <c r="EG185" s="2107">
        <v>-9999</v>
      </c>
      <c r="EH185" s="2107">
        <v>-9999</v>
      </c>
      <c r="EI185" s="2107">
        <v>-9999</v>
      </c>
      <c r="EJ185" s="2107">
        <v>-9999</v>
      </c>
      <c r="EK185" s="2107">
        <v>-9999</v>
      </c>
      <c r="EL185" s="2107">
        <v>-9999</v>
      </c>
      <c r="EM185" s="2107">
        <v>-9999</v>
      </c>
    </row>
    <row r="186" spans="1:143">
      <c r="A186" s="22">
        <v>86</v>
      </c>
      <c r="B186" s="30" t="s">
        <v>1998</v>
      </c>
      <c r="C186" s="25">
        <v>-9999</v>
      </c>
      <c r="D186" s="25">
        <v>-9999</v>
      </c>
      <c r="E186" s="25">
        <v>-9999</v>
      </c>
      <c r="F186" s="25">
        <v>-9999</v>
      </c>
      <c r="G186" s="25">
        <v>-9999</v>
      </c>
      <c r="H186" s="25">
        <v>-9999</v>
      </c>
      <c r="I186" s="25">
        <v>-9999</v>
      </c>
      <c r="J186" s="25">
        <v>-9999</v>
      </c>
      <c r="K186" s="25">
        <v>-9999</v>
      </c>
      <c r="L186" s="25">
        <v>-9999</v>
      </c>
      <c r="M186" s="25">
        <v>-9999</v>
      </c>
      <c r="N186" s="25">
        <v>-9999</v>
      </c>
      <c r="O186" s="25">
        <v>-9999</v>
      </c>
      <c r="P186" s="26"/>
      <c r="Q186"/>
      <c r="AA186" s="22">
        <v>86</v>
      </c>
      <c r="AB186" s="1081" t="str">
        <f t="shared" si="8"/>
        <v>FOR FUTURE USE</v>
      </c>
      <c r="AC186" s="1081">
        <f>CHOOSE(Tables!$U$2,Transfer!CA186,Transfer!CN186,Transfer!DA186,Transfer!DN186,Transfer!EA186)</f>
        <v>-9999</v>
      </c>
      <c r="AD186" s="1081">
        <f>CHOOSE(Tables!$U$2,Transfer!CB186,Transfer!CO186,Transfer!DB186,Transfer!DO186,Transfer!EB186)</f>
        <v>-9999</v>
      </c>
      <c r="AE186" s="1081">
        <f>CHOOSE(Tables!$U$2,Transfer!CC186,Transfer!CP186,Transfer!DC186,Transfer!DP186,Transfer!EC186)</f>
        <v>-9999</v>
      </c>
      <c r="AF186" s="1081">
        <f>CHOOSE(Tables!$U$2,Transfer!CD186,Transfer!CQ186,Transfer!DD186,Transfer!DQ186,Transfer!ED186)</f>
        <v>-9999</v>
      </c>
      <c r="AG186" s="1081">
        <f>CHOOSE(Tables!$U$2,Transfer!CE186,Transfer!CR186,Transfer!DE186,Transfer!DR186,Transfer!EE186)</f>
        <v>-9999</v>
      </c>
      <c r="AH186" s="1081">
        <f>CHOOSE(Tables!$U$2,Transfer!CF186,Transfer!CS186,Transfer!DF186,Transfer!DS186,Transfer!EF186)</f>
        <v>-9999</v>
      </c>
      <c r="AI186" s="1081">
        <f>CHOOSE(Tables!$U$2,Transfer!CG186,Transfer!CT186,Transfer!DG186,Transfer!DT186,Transfer!EG186)</f>
        <v>-9999</v>
      </c>
      <c r="AJ186" s="1081">
        <f>CHOOSE(Tables!$U$2,Transfer!CH186,Transfer!CU186,Transfer!DH186,Transfer!DU186,Transfer!EH186)</f>
        <v>-9999</v>
      </c>
      <c r="AK186" s="1081">
        <f>CHOOSE(Tables!$U$2,Transfer!CI186,Transfer!CV186,Transfer!DI186,Transfer!DV186,Transfer!EI186)</f>
        <v>-9999</v>
      </c>
      <c r="AL186" s="1081">
        <f>CHOOSE(Tables!$U$2,Transfer!CJ186,Transfer!CW186,Transfer!DJ186,Transfer!DW186,Transfer!EJ186)</f>
        <v>-9999</v>
      </c>
      <c r="AM186" s="1081">
        <f>CHOOSE(Tables!$U$2,Transfer!CK186,Transfer!CX186,Transfer!DK186,Transfer!DX186,Transfer!EK186)</f>
        <v>-9999</v>
      </c>
      <c r="AN186" s="1081">
        <f>CHOOSE(Tables!$U$2,Transfer!CL186,Transfer!CY186,Transfer!DL186,Transfer!DY186,Transfer!EL186)</f>
        <v>-9999</v>
      </c>
      <c r="AO186" s="1081">
        <f>CHOOSE(Tables!$U$2,Transfer!CM186,Transfer!CZ186,Transfer!DM186,Transfer!DZ186,Transfer!EM186)</f>
        <v>-9999</v>
      </c>
      <c r="AR186" s="22">
        <v>86</v>
      </c>
      <c r="AS186" s="30" t="s">
        <v>1998</v>
      </c>
      <c r="AT186" s="25">
        <f t="shared" si="11"/>
        <v>0</v>
      </c>
      <c r="AU186" s="25">
        <f t="shared" si="12"/>
        <v>0</v>
      </c>
      <c r="AV186" s="25">
        <f t="shared" si="13"/>
        <v>0</v>
      </c>
      <c r="AW186" s="25">
        <f t="shared" si="14"/>
        <v>0</v>
      </c>
      <c r="AX186" s="25">
        <f t="shared" si="15"/>
        <v>0</v>
      </c>
      <c r="AY186" s="25">
        <f t="shared" si="16"/>
        <v>0</v>
      </c>
      <c r="AZ186" s="25">
        <f t="shared" si="17"/>
        <v>0</v>
      </c>
      <c r="BA186" s="25">
        <f t="shared" si="18"/>
        <v>0</v>
      </c>
      <c r="BB186" s="25">
        <f t="shared" si="19"/>
        <v>0</v>
      </c>
      <c r="BC186" s="25">
        <f t="shared" si="7"/>
        <v>0</v>
      </c>
      <c r="BD186" s="25">
        <f t="shared" si="7"/>
        <v>0</v>
      </c>
      <c r="BE186" s="25">
        <f t="shared" si="7"/>
        <v>0</v>
      </c>
      <c r="BF186" s="25">
        <f t="shared" si="7"/>
        <v>0</v>
      </c>
      <c r="CA186" s="16">
        <v>-9999</v>
      </c>
      <c r="CB186" s="16">
        <v>-9999</v>
      </c>
      <c r="CC186" s="16">
        <v>-9999</v>
      </c>
      <c r="CD186" s="16">
        <v>-9999</v>
      </c>
      <c r="CE186" s="16">
        <v>-9999</v>
      </c>
      <c r="CF186" s="16">
        <v>-9999</v>
      </c>
      <c r="CG186" s="16">
        <v>-9999</v>
      </c>
      <c r="CH186" s="16">
        <v>-9999</v>
      </c>
      <c r="CI186" s="16">
        <v>-9999</v>
      </c>
      <c r="CJ186" s="16">
        <v>-9999</v>
      </c>
      <c r="CK186" s="16">
        <v>-9999</v>
      </c>
      <c r="CL186" s="16">
        <v>-9999</v>
      </c>
      <c r="CM186" s="16">
        <v>-9999</v>
      </c>
      <c r="CN186" s="16">
        <v>-9999</v>
      </c>
      <c r="CO186" s="16">
        <v>-9999</v>
      </c>
      <c r="CP186" s="16">
        <v>-9999</v>
      </c>
      <c r="CQ186" s="16">
        <v>-9999</v>
      </c>
      <c r="CR186" s="16">
        <v>-9999</v>
      </c>
      <c r="CS186" s="16">
        <v>-9999</v>
      </c>
      <c r="CT186" s="16">
        <v>-9999</v>
      </c>
      <c r="CU186" s="16">
        <v>-9999</v>
      </c>
      <c r="CV186" s="16">
        <v>-9999</v>
      </c>
      <c r="CW186" s="16">
        <v>-9999</v>
      </c>
      <c r="CX186" s="16">
        <v>-9999</v>
      </c>
      <c r="CY186" s="16">
        <v>-9999</v>
      </c>
      <c r="CZ186" s="16">
        <v>-9999</v>
      </c>
      <c r="DA186" s="16">
        <v>-9999</v>
      </c>
      <c r="DB186" s="16">
        <v>-9999</v>
      </c>
      <c r="DC186" s="16">
        <v>-9999</v>
      </c>
      <c r="DD186" s="16">
        <v>-9999</v>
      </c>
      <c r="DE186" s="16">
        <v>-9999</v>
      </c>
      <c r="DF186" s="16">
        <v>-9999</v>
      </c>
      <c r="DG186" s="16">
        <v>-9999</v>
      </c>
      <c r="DH186" s="16">
        <v>-9999</v>
      </c>
      <c r="DI186" s="16">
        <v>-9999</v>
      </c>
      <c r="DJ186" s="16">
        <v>-9999</v>
      </c>
      <c r="DK186" s="16">
        <v>-9999</v>
      </c>
      <c r="DL186" s="16">
        <v>-9999</v>
      </c>
      <c r="DM186" s="16">
        <v>-9999</v>
      </c>
      <c r="DN186" s="16">
        <v>-9999</v>
      </c>
      <c r="DO186" s="16">
        <v>-9999</v>
      </c>
      <c r="DP186" s="16">
        <v>-9999</v>
      </c>
      <c r="DQ186" s="16">
        <v>-9999</v>
      </c>
      <c r="DR186" s="16">
        <v>-9999</v>
      </c>
      <c r="DS186" s="16">
        <v>-9999</v>
      </c>
      <c r="DT186" s="16">
        <v>-9999</v>
      </c>
      <c r="DU186" s="16">
        <v>-9999</v>
      </c>
      <c r="DV186" s="16">
        <v>-9999</v>
      </c>
      <c r="DW186" s="16">
        <v>-9999</v>
      </c>
      <c r="DX186" s="16">
        <v>-9999</v>
      </c>
      <c r="DY186" s="16">
        <v>-9999</v>
      </c>
      <c r="DZ186" s="16">
        <v>-9999</v>
      </c>
      <c r="EA186" s="2107">
        <v>-9999</v>
      </c>
      <c r="EB186" s="2107">
        <v>-9999</v>
      </c>
      <c r="EC186" s="2107">
        <v>-9999</v>
      </c>
      <c r="ED186" s="2107">
        <v>-9999</v>
      </c>
      <c r="EE186" s="2107">
        <v>-9999</v>
      </c>
      <c r="EF186" s="2107">
        <v>-9999</v>
      </c>
      <c r="EG186" s="2107">
        <v>-9999</v>
      </c>
      <c r="EH186" s="2107">
        <v>-9999</v>
      </c>
      <c r="EI186" s="2107">
        <v>-9999</v>
      </c>
      <c r="EJ186" s="2107">
        <v>-9999</v>
      </c>
      <c r="EK186" s="2107">
        <v>-9999</v>
      </c>
      <c r="EL186" s="2107">
        <v>-9999</v>
      </c>
      <c r="EM186" s="2107">
        <v>-9999</v>
      </c>
    </row>
    <row r="187" spans="1:143">
      <c r="A187" s="22">
        <v>87</v>
      </c>
      <c r="B187" s="1" t="s">
        <v>784</v>
      </c>
      <c r="C187" s="24">
        <f ca="1">OFFSET(Labour1!F217,0,Last_forecast_year - 3-InputY!$G$3)</f>
        <v>212.48429999999999</v>
      </c>
      <c r="D187" s="24">
        <f ca="1">OFFSET(Labour1!G217,0,Last_forecast_year - 3-InputY!$G$3)</f>
        <v>215.2261</v>
      </c>
      <c r="E187" s="24">
        <f ca="1">OFFSET(Labour1!H217,0,Last_forecast_year - 3-InputY!$G$3)</f>
        <v>221.9462129577492</v>
      </c>
      <c r="F187" s="24">
        <f ca="1">OFFSET(Labour1!I217,0,Last_forecast_year - 3-InputY!$G$3)</f>
        <v>229.16863166024314</v>
      </c>
      <c r="G187" s="24">
        <f ca="1">OFFSET(Labour1!J217,0,Last_forecast_year - 3-InputY!$G$3)</f>
        <v>236.38772170747959</v>
      </c>
      <c r="H187" s="25">
        <v>-9999</v>
      </c>
      <c r="I187" s="25">
        <v>-9999</v>
      </c>
      <c r="J187" s="25">
        <v>-9999</v>
      </c>
      <c r="K187" s="25">
        <v>-9999</v>
      </c>
      <c r="L187" s="25">
        <v>-9999</v>
      </c>
      <c r="M187" s="25">
        <v>-9999</v>
      </c>
      <c r="N187" s="25">
        <v>-9999</v>
      </c>
      <c r="O187" s="25">
        <v>-9999</v>
      </c>
      <c r="P187"/>
      <c r="Q187"/>
      <c r="AA187" s="22">
        <v>87</v>
      </c>
      <c r="AB187" s="1081" t="str">
        <f t="shared" si="8"/>
        <v>HH COMPENSATION OF EMPLOYEES</v>
      </c>
      <c r="AC187" s="1081">
        <f>CHOOSE(Tables!$U$2,Transfer!CA187,Transfer!CN187,Transfer!DA187,Transfer!DN187,Transfer!EA187)</f>
        <v>212.48429999999999</v>
      </c>
      <c r="AD187" s="1081">
        <f>CHOOSE(Tables!$U$2,Transfer!CB187,Transfer!CO187,Transfer!DB187,Transfer!DO187,Transfer!EB187)</f>
        <v>215.2261</v>
      </c>
      <c r="AE187" s="1081">
        <f>CHOOSE(Tables!$U$2,Transfer!CC187,Transfer!CP187,Transfer!DC187,Transfer!DP187,Transfer!EC187)</f>
        <v>221.9462129577492</v>
      </c>
      <c r="AF187" s="1081">
        <f>CHOOSE(Tables!$U$2,Transfer!CD187,Transfer!CQ187,Transfer!DD187,Transfer!DQ187,Transfer!ED187)</f>
        <v>229.19382974701256</v>
      </c>
      <c r="AG187" s="1081">
        <f>CHOOSE(Tables!$U$2,Transfer!CE187,Transfer!CR187,Transfer!DE187,Transfer!DR187,Transfer!EE187)</f>
        <v>236.48196391430093</v>
      </c>
      <c r="AH187" s="1081">
        <f>CHOOSE(Tables!$U$2,Transfer!CF187,Transfer!CS187,Transfer!DF187,Transfer!DS187,Transfer!EF187)</f>
        <v>-9999</v>
      </c>
      <c r="AI187" s="1081">
        <f>CHOOSE(Tables!$U$2,Transfer!CG187,Transfer!CT187,Transfer!DG187,Transfer!DT187,Transfer!EG187)</f>
        <v>-9999</v>
      </c>
      <c r="AJ187" s="1081">
        <f>CHOOSE(Tables!$U$2,Transfer!CH187,Transfer!CU187,Transfer!DH187,Transfer!DU187,Transfer!EH187)</f>
        <v>-9999</v>
      </c>
      <c r="AK187" s="1081">
        <f>CHOOSE(Tables!$U$2,Transfer!CI187,Transfer!CV187,Transfer!DI187,Transfer!DV187,Transfer!EI187)</f>
        <v>-9999</v>
      </c>
      <c r="AL187" s="1081">
        <f>CHOOSE(Tables!$U$2,Transfer!CJ187,Transfer!CW187,Transfer!DJ187,Transfer!DW187,Transfer!EJ187)</f>
        <v>-9999</v>
      </c>
      <c r="AM187" s="1081">
        <f>CHOOSE(Tables!$U$2,Transfer!CK187,Transfer!CX187,Transfer!DK187,Transfer!DX187,Transfer!EK187)</f>
        <v>-9999</v>
      </c>
      <c r="AN187" s="1081">
        <f>CHOOSE(Tables!$U$2,Transfer!CL187,Transfer!CY187,Transfer!DL187,Transfer!DY187,Transfer!EL187)</f>
        <v>-9999</v>
      </c>
      <c r="AO187" s="1081">
        <f>CHOOSE(Tables!$U$2,Transfer!CM187,Transfer!CZ187,Transfer!DM187,Transfer!DZ187,Transfer!EM187)</f>
        <v>-9999</v>
      </c>
      <c r="AR187" s="22">
        <v>87</v>
      </c>
      <c r="AS187" s="1" t="s">
        <v>784</v>
      </c>
      <c r="AT187" s="24">
        <f t="shared" ca="1" si="11"/>
        <v>0</v>
      </c>
      <c r="AU187" s="24">
        <f t="shared" ca="1" si="12"/>
        <v>0</v>
      </c>
      <c r="AV187" s="24">
        <f t="shared" ca="1" si="13"/>
        <v>0</v>
      </c>
      <c r="AW187" s="24">
        <f t="shared" ca="1" si="14"/>
        <v>-2.5198086769421479E-2</v>
      </c>
      <c r="AX187" s="24">
        <f t="shared" ca="1" si="15"/>
        <v>-9.4242206821348873E-2</v>
      </c>
      <c r="AY187" s="25">
        <f t="shared" si="16"/>
        <v>0</v>
      </c>
      <c r="AZ187" s="25">
        <f t="shared" si="17"/>
        <v>0</v>
      </c>
      <c r="BA187" s="25">
        <f t="shared" si="18"/>
        <v>0</v>
      </c>
      <c r="BB187" s="25">
        <f t="shared" si="19"/>
        <v>0</v>
      </c>
      <c r="BC187" s="25">
        <f t="shared" si="7"/>
        <v>0</v>
      </c>
      <c r="BD187" s="25">
        <f t="shared" si="7"/>
        <v>0</v>
      </c>
      <c r="BE187" s="25">
        <f t="shared" si="7"/>
        <v>0</v>
      </c>
      <c r="BF187" s="25">
        <f t="shared" si="7"/>
        <v>0</v>
      </c>
      <c r="CA187" s="16">
        <v>212.48429999999999</v>
      </c>
      <c r="CB187" s="16">
        <v>215.2261</v>
      </c>
      <c r="CC187" s="16">
        <v>221.9462129577492</v>
      </c>
      <c r="CD187" s="16">
        <v>229.19382974701256</v>
      </c>
      <c r="CE187" s="16">
        <v>236.48196391430093</v>
      </c>
      <c r="CF187" s="16">
        <v>-9999</v>
      </c>
      <c r="CG187" s="16">
        <v>-9999</v>
      </c>
      <c r="CH187" s="16">
        <v>-9999</v>
      </c>
      <c r="CI187" s="16">
        <v>-9999</v>
      </c>
      <c r="CJ187" s="16">
        <v>-9999</v>
      </c>
      <c r="CK187" s="16">
        <v>-9999</v>
      </c>
      <c r="CL187" s="16">
        <v>-9999</v>
      </c>
      <c r="CM187" s="16">
        <v>-9999</v>
      </c>
      <c r="CN187" s="16">
        <v>212.48429999999999</v>
      </c>
      <c r="CO187" s="16">
        <v>215.2261</v>
      </c>
      <c r="CP187" s="16">
        <v>221.77761378511133</v>
      </c>
      <c r="CQ187" s="16">
        <v>228.81596387056314</v>
      </c>
      <c r="CR187" s="16">
        <v>236.14090157492808</v>
      </c>
      <c r="CS187" s="16">
        <v>-9999</v>
      </c>
      <c r="CT187" s="16">
        <v>-9999</v>
      </c>
      <c r="CU187" s="16">
        <v>-9999</v>
      </c>
      <c r="CV187" s="16">
        <v>-9999</v>
      </c>
      <c r="CW187" s="16">
        <v>-9999</v>
      </c>
      <c r="CX187" s="16">
        <v>-9999</v>
      </c>
      <c r="CY187" s="16">
        <v>-9999</v>
      </c>
      <c r="CZ187" s="16">
        <v>-9999</v>
      </c>
      <c r="DA187" s="16">
        <v>212.48429999999999</v>
      </c>
      <c r="DB187" s="16">
        <v>215.2261</v>
      </c>
      <c r="DC187" s="16">
        <v>221.9462129577492</v>
      </c>
      <c r="DD187" s="16">
        <v>229.19382974701256</v>
      </c>
      <c r="DE187" s="16">
        <v>236.48196391430093</v>
      </c>
      <c r="DF187" s="16">
        <v>-9999</v>
      </c>
      <c r="DG187" s="16">
        <v>-9999</v>
      </c>
      <c r="DH187" s="16">
        <v>-9999</v>
      </c>
      <c r="DI187" s="16">
        <v>-9999</v>
      </c>
      <c r="DJ187" s="16">
        <v>-9999</v>
      </c>
      <c r="DK187" s="16">
        <v>-9999</v>
      </c>
      <c r="DL187" s="16">
        <v>-9999</v>
      </c>
      <c r="DM187" s="16">
        <v>-9999</v>
      </c>
      <c r="DN187" s="16">
        <v>212.48429999999999</v>
      </c>
      <c r="DO187" s="16">
        <v>215.2261</v>
      </c>
      <c r="DP187" s="16">
        <v>221.9462129577492</v>
      </c>
      <c r="DQ187" s="16">
        <v>229.19382974701256</v>
      </c>
      <c r="DR187" s="16">
        <v>236.48196391430093</v>
      </c>
      <c r="DS187" s="16">
        <v>-9999</v>
      </c>
      <c r="DT187" s="16">
        <v>-9999</v>
      </c>
      <c r="DU187" s="16">
        <v>-9999</v>
      </c>
      <c r="DV187" s="16">
        <v>-9999</v>
      </c>
      <c r="DW187" s="16">
        <v>-9999</v>
      </c>
      <c r="DX187" s="16">
        <v>-9999</v>
      </c>
      <c r="DY187" s="16">
        <v>-9999</v>
      </c>
      <c r="DZ187" s="16">
        <v>-9999</v>
      </c>
      <c r="EA187" s="2106">
        <v>212.48429999999999</v>
      </c>
      <c r="EB187" s="2106">
        <v>215.2261</v>
      </c>
      <c r="EC187" s="2106">
        <v>221.9462129577492</v>
      </c>
      <c r="ED187" s="2106">
        <v>229.16863166024314</v>
      </c>
      <c r="EE187" s="2106">
        <v>236.38772170747959</v>
      </c>
      <c r="EF187" s="2107">
        <v>-9999</v>
      </c>
      <c r="EG187" s="2107">
        <v>-9999</v>
      </c>
      <c r="EH187" s="2107">
        <v>-9999</v>
      </c>
      <c r="EI187" s="2107">
        <v>-9999</v>
      </c>
      <c r="EJ187" s="2107">
        <v>-9999</v>
      </c>
      <c r="EK187" s="2107">
        <v>-9999</v>
      </c>
      <c r="EL187" s="2107">
        <v>-9999</v>
      </c>
      <c r="EM187" s="2107">
        <v>-9999</v>
      </c>
    </row>
    <row r="188" spans="1:143">
      <c r="A188" s="22">
        <v>88</v>
      </c>
      <c r="B188" s="1" t="s">
        <v>216</v>
      </c>
      <c r="C188" s="24">
        <f ca="1">OFFSET(Labour1!F137,0,Last_forecast_year - 3-InputY!$G$3)</f>
        <v>154.3331</v>
      </c>
      <c r="D188" s="24">
        <f ca="1">OFFSET(Labour1!G137,0,Last_forecast_year - 3-InputY!$G$3)</f>
        <v>158.15299999999999</v>
      </c>
      <c r="E188" s="24">
        <f ca="1">OFFSET(Labour1!H137,0,Last_forecast_year - 3-InputY!$G$3)</f>
        <v>163.33582695774922</v>
      </c>
      <c r="F188" s="24">
        <f ca="1">OFFSET(Labour1!I137,0,Last_forecast_year - 3-InputY!$G$3)</f>
        <v>168.99635731775342</v>
      </c>
      <c r="G188" s="24">
        <f ca="1">OFFSET(Labour1!J137,0,Last_forecast_year - 3-InputY!$G$3)</f>
        <v>174.27611326742513</v>
      </c>
      <c r="H188" s="25">
        <v>-9999</v>
      </c>
      <c r="I188" s="25">
        <v>-9999</v>
      </c>
      <c r="J188" s="25">
        <v>-9999</v>
      </c>
      <c r="K188" s="25">
        <v>-9999</v>
      </c>
      <c r="L188" s="25">
        <v>-9999</v>
      </c>
      <c r="M188" s="25">
        <v>-9999</v>
      </c>
      <c r="N188" s="25">
        <v>-9999</v>
      </c>
      <c r="O188" s="25">
        <v>-9999</v>
      </c>
      <c r="P188"/>
      <c r="Q188"/>
      <c r="AA188" s="22">
        <v>88</v>
      </c>
      <c r="AB188" s="1081" t="str">
        <f t="shared" si="8"/>
        <v>HH GROSS WAGES AND SALARIES</v>
      </c>
      <c r="AC188" s="1081">
        <f>CHOOSE(Tables!$U$2,Transfer!CA188,Transfer!CN188,Transfer!DA188,Transfer!DN188,Transfer!EA188)</f>
        <v>154.3331</v>
      </c>
      <c r="AD188" s="1081">
        <f>CHOOSE(Tables!$U$2,Transfer!CB188,Transfer!CO188,Transfer!DB188,Transfer!DO188,Transfer!EB188)</f>
        <v>158.15299999999999</v>
      </c>
      <c r="AE188" s="1081">
        <f>CHOOSE(Tables!$U$2,Transfer!CC188,Transfer!CP188,Transfer!DC188,Transfer!DP188,Transfer!EC188)</f>
        <v>163.33582695774922</v>
      </c>
      <c r="AF188" s="1081">
        <f>CHOOSE(Tables!$U$2,Transfer!CD188,Transfer!CQ188,Transfer!DD188,Transfer!DQ188,Transfer!ED188)</f>
        <v>169.01321631273589</v>
      </c>
      <c r="AG188" s="1081">
        <f>CHOOSE(Tables!$U$2,Transfer!CE188,Transfer!CR188,Transfer!DE188,Transfer!DR188,Transfer!EE188)</f>
        <v>174.35029133337017</v>
      </c>
      <c r="AH188" s="1081">
        <f>CHOOSE(Tables!$U$2,Transfer!CF188,Transfer!CS188,Transfer!DF188,Transfer!DS188,Transfer!EF188)</f>
        <v>-9999</v>
      </c>
      <c r="AI188" s="1081">
        <f>CHOOSE(Tables!$U$2,Transfer!CG188,Transfer!CT188,Transfer!DG188,Transfer!DT188,Transfer!EG188)</f>
        <v>-9999</v>
      </c>
      <c r="AJ188" s="1081">
        <f>CHOOSE(Tables!$U$2,Transfer!CH188,Transfer!CU188,Transfer!DH188,Transfer!DU188,Transfer!EH188)</f>
        <v>-9999</v>
      </c>
      <c r="AK188" s="1081">
        <f>CHOOSE(Tables!$U$2,Transfer!CI188,Transfer!CV188,Transfer!DI188,Transfer!DV188,Transfer!EI188)</f>
        <v>-9999</v>
      </c>
      <c r="AL188" s="1081">
        <f>CHOOSE(Tables!$U$2,Transfer!CJ188,Transfer!CW188,Transfer!DJ188,Transfer!DW188,Transfer!EJ188)</f>
        <v>-9999</v>
      </c>
      <c r="AM188" s="1081">
        <f>CHOOSE(Tables!$U$2,Transfer!CK188,Transfer!CX188,Transfer!DK188,Transfer!DX188,Transfer!EK188)</f>
        <v>-9999</v>
      </c>
      <c r="AN188" s="1081">
        <f>CHOOSE(Tables!$U$2,Transfer!CL188,Transfer!CY188,Transfer!DL188,Transfer!DY188,Transfer!EL188)</f>
        <v>-9999</v>
      </c>
      <c r="AO188" s="1081">
        <f>CHOOSE(Tables!$U$2,Transfer!CM188,Transfer!CZ188,Transfer!DM188,Transfer!DZ188,Transfer!EM188)</f>
        <v>-9999</v>
      </c>
      <c r="AR188" s="22">
        <v>88</v>
      </c>
      <c r="AS188" s="1" t="s">
        <v>216</v>
      </c>
      <c r="AT188" s="24">
        <f t="shared" ca="1" si="11"/>
        <v>0</v>
      </c>
      <c r="AU188" s="24">
        <f t="shared" ca="1" si="12"/>
        <v>0</v>
      </c>
      <c r="AV188" s="24">
        <f t="shared" ca="1" si="13"/>
        <v>0</v>
      </c>
      <c r="AW188" s="24">
        <f t="shared" ca="1" si="14"/>
        <v>-1.6858994982470676E-2</v>
      </c>
      <c r="AX188" s="24">
        <f t="shared" ca="1" si="15"/>
        <v>-7.4178065945034177E-2</v>
      </c>
      <c r="AY188" s="25">
        <f t="shared" si="16"/>
        <v>0</v>
      </c>
      <c r="AZ188" s="25">
        <f t="shared" si="17"/>
        <v>0</v>
      </c>
      <c r="BA188" s="25">
        <f t="shared" si="18"/>
        <v>0</v>
      </c>
      <c r="BB188" s="25">
        <f t="shared" si="19"/>
        <v>0</v>
      </c>
      <c r="BC188" s="25">
        <f t="shared" si="7"/>
        <v>0</v>
      </c>
      <c r="BD188" s="25">
        <f t="shared" si="7"/>
        <v>0</v>
      </c>
      <c r="BE188" s="25">
        <f t="shared" si="7"/>
        <v>0</v>
      </c>
      <c r="BF188" s="25">
        <f t="shared" si="7"/>
        <v>0</v>
      </c>
      <c r="CA188" s="16">
        <v>154.3331</v>
      </c>
      <c r="CB188" s="16">
        <v>158.15299999999999</v>
      </c>
      <c r="CC188" s="16">
        <v>163.33582695774922</v>
      </c>
      <c r="CD188" s="16">
        <v>169.01321631273589</v>
      </c>
      <c r="CE188" s="16">
        <v>174.35029133337017</v>
      </c>
      <c r="CF188" s="16">
        <v>-9999</v>
      </c>
      <c r="CG188" s="16">
        <v>-9999</v>
      </c>
      <c r="CH188" s="16">
        <v>-9999</v>
      </c>
      <c r="CI188" s="16">
        <v>-9999</v>
      </c>
      <c r="CJ188" s="16">
        <v>-9999</v>
      </c>
      <c r="CK188" s="16">
        <v>-9999</v>
      </c>
      <c r="CL188" s="16">
        <v>-9999</v>
      </c>
      <c r="CM188" s="16">
        <v>-9999</v>
      </c>
      <c r="CN188" s="16">
        <v>154.3331</v>
      </c>
      <c r="CO188" s="16">
        <v>158.15299999999999</v>
      </c>
      <c r="CP188" s="16">
        <v>163.39243081773631</v>
      </c>
      <c r="CQ188" s="16">
        <v>168.64078551977991</v>
      </c>
      <c r="CR188" s="16">
        <v>174.04747472242764</v>
      </c>
      <c r="CS188" s="16">
        <v>-9999</v>
      </c>
      <c r="CT188" s="16">
        <v>-9999</v>
      </c>
      <c r="CU188" s="16">
        <v>-9999</v>
      </c>
      <c r="CV188" s="16">
        <v>-9999</v>
      </c>
      <c r="CW188" s="16">
        <v>-9999</v>
      </c>
      <c r="CX188" s="16">
        <v>-9999</v>
      </c>
      <c r="CY188" s="16">
        <v>-9999</v>
      </c>
      <c r="CZ188" s="16">
        <v>-9999</v>
      </c>
      <c r="DA188" s="16">
        <v>154.3331</v>
      </c>
      <c r="DB188" s="16">
        <v>158.15299999999999</v>
      </c>
      <c r="DC188" s="16">
        <v>163.33582695774922</v>
      </c>
      <c r="DD188" s="16">
        <v>169.01321631273589</v>
      </c>
      <c r="DE188" s="16">
        <v>174.35029133337017</v>
      </c>
      <c r="DF188" s="16">
        <v>-9999</v>
      </c>
      <c r="DG188" s="16">
        <v>-9999</v>
      </c>
      <c r="DH188" s="16">
        <v>-9999</v>
      </c>
      <c r="DI188" s="16">
        <v>-9999</v>
      </c>
      <c r="DJ188" s="16">
        <v>-9999</v>
      </c>
      <c r="DK188" s="16">
        <v>-9999</v>
      </c>
      <c r="DL188" s="16">
        <v>-9999</v>
      </c>
      <c r="DM188" s="16">
        <v>-9999</v>
      </c>
      <c r="DN188" s="16">
        <v>154.3331</v>
      </c>
      <c r="DO188" s="16">
        <v>158.15299999999999</v>
      </c>
      <c r="DP188" s="16">
        <v>163.33582695774922</v>
      </c>
      <c r="DQ188" s="16">
        <v>169.01321631273589</v>
      </c>
      <c r="DR188" s="16">
        <v>174.35029133337017</v>
      </c>
      <c r="DS188" s="16">
        <v>-9999</v>
      </c>
      <c r="DT188" s="16">
        <v>-9999</v>
      </c>
      <c r="DU188" s="16">
        <v>-9999</v>
      </c>
      <c r="DV188" s="16">
        <v>-9999</v>
      </c>
      <c r="DW188" s="16">
        <v>-9999</v>
      </c>
      <c r="DX188" s="16">
        <v>-9999</v>
      </c>
      <c r="DY188" s="16">
        <v>-9999</v>
      </c>
      <c r="DZ188" s="16">
        <v>-9999</v>
      </c>
      <c r="EA188" s="2106">
        <v>154.3331</v>
      </c>
      <c r="EB188" s="2106">
        <v>158.15299999999999</v>
      </c>
      <c r="EC188" s="2106">
        <v>163.33582695774922</v>
      </c>
      <c r="ED188" s="2106">
        <v>168.99635731775342</v>
      </c>
      <c r="EE188" s="2106">
        <v>174.27611326742513</v>
      </c>
      <c r="EF188" s="2107">
        <v>-9999</v>
      </c>
      <c r="EG188" s="2107">
        <v>-9999</v>
      </c>
      <c r="EH188" s="2107">
        <v>-9999</v>
      </c>
      <c r="EI188" s="2107">
        <v>-9999</v>
      </c>
      <c r="EJ188" s="2107">
        <v>-9999</v>
      </c>
      <c r="EK188" s="2107">
        <v>-9999</v>
      </c>
      <c r="EL188" s="2107">
        <v>-9999</v>
      </c>
      <c r="EM188" s="2107">
        <v>-9999</v>
      </c>
    </row>
    <row r="189" spans="1:143">
      <c r="A189" s="22">
        <v>89</v>
      </c>
      <c r="B189" s="1" t="s">
        <v>142</v>
      </c>
      <c r="C189" s="24">
        <f ca="1">OFFSET(Sector1!F198,0,Last_forecast_year - 3-InputY!$G$3)</f>
        <v>49.655200000000008</v>
      </c>
      <c r="D189" s="24">
        <f ca="1">OFFSET(Sector1!G198,0,Last_forecast_year - 3-InputY!$G$3)</f>
        <v>50.114100000000008</v>
      </c>
      <c r="E189" s="24">
        <f ca="1">OFFSET(Sector1!H198,0,Last_forecast_year - 3-InputY!$G$3)</f>
        <v>51.116382000000009</v>
      </c>
      <c r="F189" s="24">
        <f ca="1">OFFSET(Sector1!I198,0,Last_forecast_year - 3-InputY!$G$3)</f>
        <v>52.138709640000009</v>
      </c>
      <c r="G189" s="24">
        <f ca="1">OFFSET(Sector1!J198,0,Last_forecast_year - 3-InputY!$G$3)</f>
        <v>53.181483832800012</v>
      </c>
      <c r="H189" s="25">
        <v>-9999</v>
      </c>
      <c r="I189" s="25">
        <v>-9999</v>
      </c>
      <c r="J189" s="25">
        <v>-9999</v>
      </c>
      <c r="K189" s="25">
        <v>-9999</v>
      </c>
      <c r="L189" s="25">
        <v>-9999</v>
      </c>
      <c r="M189" s="25">
        <v>-9999</v>
      </c>
      <c r="N189" s="25">
        <v>-9999</v>
      </c>
      <c r="O189" s="25">
        <v>-9999</v>
      </c>
      <c r="P189"/>
      <c r="Q189"/>
      <c r="AA189" s="22">
        <v>89</v>
      </c>
      <c r="AB189" s="1081" t="str">
        <f t="shared" si="8"/>
        <v>HH GROSS OPERATION SURPLUS</v>
      </c>
      <c r="AC189" s="1081">
        <f>CHOOSE(Tables!$U$2,Transfer!CA189,Transfer!CN189,Transfer!DA189,Transfer!DN189,Transfer!EA189)</f>
        <v>49.655200000000008</v>
      </c>
      <c r="AD189" s="1081">
        <f>CHOOSE(Tables!$U$2,Transfer!CB189,Transfer!CO189,Transfer!DB189,Transfer!DO189,Transfer!EB189)</f>
        <v>50.114100000000008</v>
      </c>
      <c r="AE189" s="1081">
        <f>CHOOSE(Tables!$U$2,Transfer!CC189,Transfer!CP189,Transfer!DC189,Transfer!DP189,Transfer!EC189)</f>
        <v>51.116382000000009</v>
      </c>
      <c r="AF189" s="1081">
        <f>CHOOSE(Tables!$U$2,Transfer!CD189,Transfer!CQ189,Transfer!DD189,Transfer!DQ189,Transfer!ED189)</f>
        <v>52.138709640000009</v>
      </c>
      <c r="AG189" s="1081">
        <f>CHOOSE(Tables!$U$2,Transfer!CE189,Transfer!CR189,Transfer!DE189,Transfer!DR189,Transfer!EE189)</f>
        <v>53.181483832800012</v>
      </c>
      <c r="AH189" s="1081">
        <f>CHOOSE(Tables!$U$2,Transfer!CF189,Transfer!CS189,Transfer!DF189,Transfer!DS189,Transfer!EF189)</f>
        <v>-9999</v>
      </c>
      <c r="AI189" s="1081">
        <f>CHOOSE(Tables!$U$2,Transfer!CG189,Transfer!CT189,Transfer!DG189,Transfer!DT189,Transfer!EG189)</f>
        <v>-9999</v>
      </c>
      <c r="AJ189" s="1081">
        <f>CHOOSE(Tables!$U$2,Transfer!CH189,Transfer!CU189,Transfer!DH189,Transfer!DU189,Transfer!EH189)</f>
        <v>-9999</v>
      </c>
      <c r="AK189" s="1081">
        <f>CHOOSE(Tables!$U$2,Transfer!CI189,Transfer!CV189,Transfer!DI189,Transfer!DV189,Transfer!EI189)</f>
        <v>-9999</v>
      </c>
      <c r="AL189" s="1081">
        <f>CHOOSE(Tables!$U$2,Transfer!CJ189,Transfer!CW189,Transfer!DJ189,Transfer!DW189,Transfer!EJ189)</f>
        <v>-9999</v>
      </c>
      <c r="AM189" s="1081">
        <f>CHOOSE(Tables!$U$2,Transfer!CK189,Transfer!CX189,Transfer!DK189,Transfer!DX189,Transfer!EK189)</f>
        <v>-9999</v>
      </c>
      <c r="AN189" s="1081">
        <f>CHOOSE(Tables!$U$2,Transfer!CL189,Transfer!CY189,Transfer!DL189,Transfer!DY189,Transfer!EL189)</f>
        <v>-9999</v>
      </c>
      <c r="AO189" s="1081">
        <f>CHOOSE(Tables!$U$2,Transfer!CM189,Transfer!CZ189,Transfer!DM189,Transfer!DZ189,Transfer!EM189)</f>
        <v>-9999</v>
      </c>
      <c r="AR189" s="22">
        <v>89</v>
      </c>
      <c r="AS189" s="1" t="s">
        <v>142</v>
      </c>
      <c r="AT189" s="24">
        <f t="shared" ca="1" si="11"/>
        <v>0</v>
      </c>
      <c r="AU189" s="24">
        <f t="shared" ca="1" si="12"/>
        <v>0</v>
      </c>
      <c r="AV189" s="24">
        <f t="shared" ca="1" si="13"/>
        <v>0</v>
      </c>
      <c r="AW189" s="24">
        <f t="shared" ca="1" si="14"/>
        <v>0</v>
      </c>
      <c r="AX189" s="24">
        <f t="shared" ca="1" si="15"/>
        <v>0</v>
      </c>
      <c r="AY189" s="25">
        <f t="shared" si="16"/>
        <v>0</v>
      </c>
      <c r="AZ189" s="25">
        <f t="shared" si="17"/>
        <v>0</v>
      </c>
      <c r="BA189" s="25">
        <f t="shared" si="18"/>
        <v>0</v>
      </c>
      <c r="BB189" s="25">
        <f t="shared" si="19"/>
        <v>0</v>
      </c>
      <c r="BC189" s="25">
        <f t="shared" si="7"/>
        <v>0</v>
      </c>
      <c r="BD189" s="25">
        <f t="shared" si="7"/>
        <v>0</v>
      </c>
      <c r="BE189" s="25">
        <f t="shared" si="7"/>
        <v>0</v>
      </c>
      <c r="BF189" s="25">
        <f t="shared" si="7"/>
        <v>0</v>
      </c>
      <c r="CA189" s="16">
        <v>49.655200000000008</v>
      </c>
      <c r="CB189" s="16">
        <v>50.114100000000008</v>
      </c>
      <c r="CC189" s="16">
        <v>51.116382000000009</v>
      </c>
      <c r="CD189" s="16">
        <v>52.138709640000009</v>
      </c>
      <c r="CE189" s="16">
        <v>53.181483832800012</v>
      </c>
      <c r="CF189" s="16">
        <v>-9999</v>
      </c>
      <c r="CG189" s="16">
        <v>-9999</v>
      </c>
      <c r="CH189" s="16">
        <v>-9999</v>
      </c>
      <c r="CI189" s="16">
        <v>-9999</v>
      </c>
      <c r="CJ189" s="16">
        <v>-9999</v>
      </c>
      <c r="CK189" s="16">
        <v>-9999</v>
      </c>
      <c r="CL189" s="16">
        <v>-9999</v>
      </c>
      <c r="CM189" s="16">
        <v>-9999</v>
      </c>
      <c r="CN189" s="16">
        <v>49.655200000000008</v>
      </c>
      <c r="CO189" s="16">
        <v>50.114100000000008</v>
      </c>
      <c r="CP189" s="16">
        <v>51.116382000000009</v>
      </c>
      <c r="CQ189" s="16">
        <v>52.138709640000009</v>
      </c>
      <c r="CR189" s="16">
        <v>53.181483832800012</v>
      </c>
      <c r="CS189" s="16">
        <v>-9999</v>
      </c>
      <c r="CT189" s="16">
        <v>-9999</v>
      </c>
      <c r="CU189" s="16">
        <v>-9999</v>
      </c>
      <c r="CV189" s="16">
        <v>-9999</v>
      </c>
      <c r="CW189" s="16">
        <v>-9999</v>
      </c>
      <c r="CX189" s="16">
        <v>-9999</v>
      </c>
      <c r="CY189" s="16">
        <v>-9999</v>
      </c>
      <c r="CZ189" s="16">
        <v>-9999</v>
      </c>
      <c r="DA189" s="16">
        <v>49.655200000000008</v>
      </c>
      <c r="DB189" s="16">
        <v>50.114100000000008</v>
      </c>
      <c r="DC189" s="16">
        <v>51.116382000000009</v>
      </c>
      <c r="DD189" s="16">
        <v>52.138709640000009</v>
      </c>
      <c r="DE189" s="16">
        <v>53.181483832800012</v>
      </c>
      <c r="DF189" s="16">
        <v>-9999</v>
      </c>
      <c r="DG189" s="16">
        <v>-9999</v>
      </c>
      <c r="DH189" s="16">
        <v>-9999</v>
      </c>
      <c r="DI189" s="16">
        <v>-9999</v>
      </c>
      <c r="DJ189" s="16">
        <v>-9999</v>
      </c>
      <c r="DK189" s="16">
        <v>-9999</v>
      </c>
      <c r="DL189" s="16">
        <v>-9999</v>
      </c>
      <c r="DM189" s="16">
        <v>-9999</v>
      </c>
      <c r="DN189" s="16">
        <v>49.655200000000008</v>
      </c>
      <c r="DO189" s="16">
        <v>50.114100000000008</v>
      </c>
      <c r="DP189" s="16">
        <v>51.116382000000009</v>
      </c>
      <c r="DQ189" s="16">
        <v>52.138709640000009</v>
      </c>
      <c r="DR189" s="16">
        <v>53.181483832800012</v>
      </c>
      <c r="DS189" s="16">
        <v>-9999</v>
      </c>
      <c r="DT189" s="16">
        <v>-9999</v>
      </c>
      <c r="DU189" s="16">
        <v>-9999</v>
      </c>
      <c r="DV189" s="16">
        <v>-9999</v>
      </c>
      <c r="DW189" s="16">
        <v>-9999</v>
      </c>
      <c r="DX189" s="16">
        <v>-9999</v>
      </c>
      <c r="DY189" s="16">
        <v>-9999</v>
      </c>
      <c r="DZ189" s="16">
        <v>-9999</v>
      </c>
      <c r="EA189" s="2106">
        <v>49.655200000000008</v>
      </c>
      <c r="EB189" s="2106">
        <v>50.114100000000008</v>
      </c>
      <c r="EC189" s="2106">
        <v>51.116382000000009</v>
      </c>
      <c r="ED189" s="2106">
        <v>52.138709640000009</v>
      </c>
      <c r="EE189" s="2106">
        <v>53.181483832800012</v>
      </c>
      <c r="EF189" s="2107">
        <v>-9999</v>
      </c>
      <c r="EG189" s="2107">
        <v>-9999</v>
      </c>
      <c r="EH189" s="2107">
        <v>-9999</v>
      </c>
      <c r="EI189" s="2107">
        <v>-9999</v>
      </c>
      <c r="EJ189" s="2107">
        <v>-9999</v>
      </c>
      <c r="EK189" s="2107">
        <v>-9999</v>
      </c>
      <c r="EL189" s="2107">
        <v>-9999</v>
      </c>
      <c r="EM189" s="2107">
        <v>-9999</v>
      </c>
    </row>
    <row r="190" spans="1:143">
      <c r="A190" s="22">
        <v>90</v>
      </c>
      <c r="B190" s="1" t="s">
        <v>1701</v>
      </c>
      <c r="C190" s="24">
        <f ca="1">OFFSET(Sector1!F235,0,Last_forecast_year - 3-InputY!$G$3)</f>
        <v>27.055499999999999</v>
      </c>
      <c r="D190" s="24">
        <f ca="1">OFFSET(Sector1!G235,0,Last_forecast_year - 3-InputY!$G$3)</f>
        <v>26.257699999999996</v>
      </c>
      <c r="E190" s="24">
        <f ca="1">OFFSET(Sector1!H235,0,Last_forecast_year - 3-InputY!$G$3)</f>
        <v>26.257693360000008</v>
      </c>
      <c r="F190" s="24">
        <f ca="1">OFFSET(Sector1!I235,0,Last_forecast_year - 3-InputY!$G$3)</f>
        <v>26.838321886612004</v>
      </c>
      <c r="G190" s="24">
        <f ca="1">OFFSET(Sector1!J235,0,Last_forecast_year - 3-InputY!$G$3)</f>
        <v>27.369804339694966</v>
      </c>
      <c r="H190" s="25">
        <v>-9999</v>
      </c>
      <c r="I190" s="25">
        <v>-9999</v>
      </c>
      <c r="J190" s="25">
        <v>-9999</v>
      </c>
      <c r="K190" s="25">
        <v>-9999</v>
      </c>
      <c r="L190" s="25">
        <v>-9999</v>
      </c>
      <c r="M190" s="25">
        <v>-9999</v>
      </c>
      <c r="N190" s="25">
        <v>-9999</v>
      </c>
      <c r="O190" s="25">
        <v>-9999</v>
      </c>
      <c r="P190"/>
      <c r="Q190"/>
      <c r="AA190" s="22">
        <v>90</v>
      </c>
      <c r="AB190" s="1081" t="str">
        <f t="shared" si="8"/>
        <v>HH OTHER NON-LABOUR INCOME (NET)</v>
      </c>
      <c r="AC190" s="1081">
        <f>CHOOSE(Tables!$U$2,Transfer!CA190,Transfer!CN190,Transfer!DA190,Transfer!DN190,Transfer!EA190)</f>
        <v>27.055499999999999</v>
      </c>
      <c r="AD190" s="1081">
        <f>CHOOSE(Tables!$U$2,Transfer!CB190,Transfer!CO190,Transfer!DB190,Transfer!DO190,Transfer!EB190)</f>
        <v>26.257699999999996</v>
      </c>
      <c r="AE190" s="1081">
        <f>CHOOSE(Tables!$U$2,Transfer!CC190,Transfer!CP190,Transfer!DC190,Transfer!DP190,Transfer!EC190)</f>
        <v>26.257693360000008</v>
      </c>
      <c r="AF190" s="1081">
        <f>CHOOSE(Tables!$U$2,Transfer!CD190,Transfer!CQ190,Transfer!DD190,Transfer!DQ190,Transfer!ED190)</f>
        <v>26.838321886612004</v>
      </c>
      <c r="AG190" s="1081">
        <f>CHOOSE(Tables!$U$2,Transfer!CE190,Transfer!CR190,Transfer!DE190,Transfer!DR190,Transfer!EE190)</f>
        <v>27.369804339694966</v>
      </c>
      <c r="AH190" s="1081">
        <f>CHOOSE(Tables!$U$2,Transfer!CF190,Transfer!CS190,Transfer!DF190,Transfer!DS190,Transfer!EF190)</f>
        <v>-9999</v>
      </c>
      <c r="AI190" s="1081">
        <f>CHOOSE(Tables!$U$2,Transfer!CG190,Transfer!CT190,Transfer!DG190,Transfer!DT190,Transfer!EG190)</f>
        <v>-9999</v>
      </c>
      <c r="AJ190" s="1081">
        <f>CHOOSE(Tables!$U$2,Transfer!CH190,Transfer!CU190,Transfer!DH190,Transfer!DU190,Transfer!EH190)</f>
        <v>-9999</v>
      </c>
      <c r="AK190" s="1081">
        <f>CHOOSE(Tables!$U$2,Transfer!CI190,Transfer!CV190,Transfer!DI190,Transfer!DV190,Transfer!EI190)</f>
        <v>-9999</v>
      </c>
      <c r="AL190" s="1081">
        <f>CHOOSE(Tables!$U$2,Transfer!CJ190,Transfer!CW190,Transfer!DJ190,Transfer!DW190,Transfer!EJ190)</f>
        <v>-9999</v>
      </c>
      <c r="AM190" s="1081">
        <f>CHOOSE(Tables!$U$2,Transfer!CK190,Transfer!CX190,Transfer!DK190,Transfer!DX190,Transfer!EK190)</f>
        <v>-9999</v>
      </c>
      <c r="AN190" s="1081">
        <f>CHOOSE(Tables!$U$2,Transfer!CL190,Transfer!CY190,Transfer!DL190,Transfer!DY190,Transfer!EL190)</f>
        <v>-9999</v>
      </c>
      <c r="AO190" s="1081">
        <f>CHOOSE(Tables!$U$2,Transfer!CM190,Transfer!CZ190,Transfer!DM190,Transfer!DZ190,Transfer!EM190)</f>
        <v>-9999</v>
      </c>
      <c r="AR190" s="22">
        <v>90</v>
      </c>
      <c r="AS190" s="1" t="s">
        <v>1701</v>
      </c>
      <c r="AT190" s="24">
        <f t="shared" ca="1" si="11"/>
        <v>0</v>
      </c>
      <c r="AU190" s="24">
        <f t="shared" ca="1" si="12"/>
        <v>0</v>
      </c>
      <c r="AV190" s="24">
        <f t="shared" ca="1" si="13"/>
        <v>0</v>
      </c>
      <c r="AW190" s="24">
        <f t="shared" ca="1" si="14"/>
        <v>0</v>
      </c>
      <c r="AX190" s="24">
        <f t="shared" ca="1" si="15"/>
        <v>0</v>
      </c>
      <c r="AY190" s="25">
        <f t="shared" si="16"/>
        <v>0</v>
      </c>
      <c r="AZ190" s="25">
        <f t="shared" si="17"/>
        <v>0</v>
      </c>
      <c r="BA190" s="25">
        <f t="shared" si="18"/>
        <v>0</v>
      </c>
      <c r="BB190" s="25">
        <f t="shared" si="19"/>
        <v>0</v>
      </c>
      <c r="BC190" s="25">
        <f t="shared" si="7"/>
        <v>0</v>
      </c>
      <c r="BD190" s="25">
        <f t="shared" si="7"/>
        <v>0</v>
      </c>
      <c r="BE190" s="25">
        <f t="shared" si="7"/>
        <v>0</v>
      </c>
      <c r="BF190" s="25">
        <f t="shared" si="7"/>
        <v>0</v>
      </c>
      <c r="CA190" s="16">
        <v>27.055499999999999</v>
      </c>
      <c r="CB190" s="16">
        <v>26.257699999999996</v>
      </c>
      <c r="CC190" s="16">
        <v>26.257693360000008</v>
      </c>
      <c r="CD190" s="16">
        <v>26.838321886612004</v>
      </c>
      <c r="CE190" s="16">
        <v>27.369804339694966</v>
      </c>
      <c r="CF190" s="16">
        <v>-9999</v>
      </c>
      <c r="CG190" s="16">
        <v>-9999</v>
      </c>
      <c r="CH190" s="16">
        <v>-9999</v>
      </c>
      <c r="CI190" s="16">
        <v>-9999</v>
      </c>
      <c r="CJ190" s="16">
        <v>-9999</v>
      </c>
      <c r="CK190" s="16">
        <v>-9999</v>
      </c>
      <c r="CL190" s="16">
        <v>-9999</v>
      </c>
      <c r="CM190" s="16">
        <v>-9999</v>
      </c>
      <c r="CN190" s="16">
        <v>27.055499999999999</v>
      </c>
      <c r="CO190" s="16">
        <v>26.257699999999996</v>
      </c>
      <c r="CP190" s="16">
        <v>26.257700000000007</v>
      </c>
      <c r="CQ190" s="16">
        <v>26.651565500000004</v>
      </c>
      <c r="CR190" s="16">
        <v>27.184596810000013</v>
      </c>
      <c r="CS190" s="16">
        <v>-9999</v>
      </c>
      <c r="CT190" s="16">
        <v>-9999</v>
      </c>
      <c r="CU190" s="16">
        <v>-9999</v>
      </c>
      <c r="CV190" s="16">
        <v>-9999</v>
      </c>
      <c r="CW190" s="16">
        <v>-9999</v>
      </c>
      <c r="CX190" s="16">
        <v>-9999</v>
      </c>
      <c r="CY190" s="16">
        <v>-9999</v>
      </c>
      <c r="CZ190" s="16">
        <v>-9999</v>
      </c>
      <c r="DA190" s="16">
        <v>27.055499999999999</v>
      </c>
      <c r="DB190" s="16">
        <v>26.257699999999996</v>
      </c>
      <c r="DC190" s="16">
        <v>26.257693360000008</v>
      </c>
      <c r="DD190" s="16">
        <v>26.838321886612004</v>
      </c>
      <c r="DE190" s="16">
        <v>27.369804339694966</v>
      </c>
      <c r="DF190" s="16">
        <v>-9999</v>
      </c>
      <c r="DG190" s="16">
        <v>-9999</v>
      </c>
      <c r="DH190" s="16">
        <v>-9999</v>
      </c>
      <c r="DI190" s="16">
        <v>-9999</v>
      </c>
      <c r="DJ190" s="16">
        <v>-9999</v>
      </c>
      <c r="DK190" s="16">
        <v>-9999</v>
      </c>
      <c r="DL190" s="16">
        <v>-9999</v>
      </c>
      <c r="DM190" s="16">
        <v>-9999</v>
      </c>
      <c r="DN190" s="16">
        <v>27.055499999999999</v>
      </c>
      <c r="DO190" s="16">
        <v>26.257699999999996</v>
      </c>
      <c r="DP190" s="16">
        <v>26.257693360000008</v>
      </c>
      <c r="DQ190" s="16">
        <v>26.838321886612004</v>
      </c>
      <c r="DR190" s="16">
        <v>27.369804339694966</v>
      </c>
      <c r="DS190" s="16">
        <v>-9999</v>
      </c>
      <c r="DT190" s="16">
        <v>-9999</v>
      </c>
      <c r="DU190" s="16">
        <v>-9999</v>
      </c>
      <c r="DV190" s="16">
        <v>-9999</v>
      </c>
      <c r="DW190" s="16">
        <v>-9999</v>
      </c>
      <c r="DX190" s="16">
        <v>-9999</v>
      </c>
      <c r="DY190" s="16">
        <v>-9999</v>
      </c>
      <c r="DZ190" s="16">
        <v>-9999</v>
      </c>
      <c r="EA190" s="2106">
        <v>27.055499999999999</v>
      </c>
      <c r="EB190" s="2106">
        <v>26.257699999999996</v>
      </c>
      <c r="EC190" s="2106">
        <v>26.257693360000008</v>
      </c>
      <c r="ED190" s="2106">
        <v>26.838321886612004</v>
      </c>
      <c r="EE190" s="2106">
        <v>27.369804339694966</v>
      </c>
      <c r="EF190" s="2107">
        <v>-9999</v>
      </c>
      <c r="EG190" s="2107">
        <v>-9999</v>
      </c>
      <c r="EH190" s="2107">
        <v>-9999</v>
      </c>
      <c r="EI190" s="2107">
        <v>-9999</v>
      </c>
      <c r="EJ190" s="2107">
        <v>-9999</v>
      </c>
      <c r="EK190" s="2107">
        <v>-9999</v>
      </c>
      <c r="EL190" s="2107">
        <v>-9999</v>
      </c>
      <c r="EM190" s="2107">
        <v>-9999</v>
      </c>
    </row>
    <row r="191" spans="1:143">
      <c r="A191" s="22">
        <v>91</v>
      </c>
      <c r="B191" s="1" t="s">
        <v>1916</v>
      </c>
      <c r="C191" s="24">
        <f ca="1">OFFSET(Sector1!F1060,0,Last_forecast_year - 3-InputY!$G$3)</f>
        <v>93.658300000000011</v>
      </c>
      <c r="D191" s="24">
        <f ca="1">OFFSET(Sector1!G1060,0,Last_forecast_year - 3-InputY!$G$3)</f>
        <v>95.86160000000001</v>
      </c>
      <c r="E191" s="24">
        <f ca="1">OFFSET(Sector1!H1060,0,Last_forecast_year - 3-InputY!$G$3)</f>
        <v>99.077317849999986</v>
      </c>
      <c r="F191" s="24">
        <f ca="1">OFFSET(Sector1!I1060,0,Last_forecast_year - 3-InputY!$G$3)</f>
        <v>102.03267093340899</v>
      </c>
      <c r="G191" s="24">
        <f ca="1">OFFSET(Sector1!J1060,0,Last_forecast_year - 3-InputY!$G$3)</f>
        <v>106.25695643505354</v>
      </c>
      <c r="H191" s="25">
        <v>-9999</v>
      </c>
      <c r="I191" s="25">
        <v>-9999</v>
      </c>
      <c r="J191" s="25">
        <v>-9999</v>
      </c>
      <c r="K191" s="25">
        <v>-9999</v>
      </c>
      <c r="L191" s="25">
        <v>-9999</v>
      </c>
      <c r="M191" s="25">
        <v>-9999</v>
      </c>
      <c r="N191" s="25">
        <v>-9999</v>
      </c>
      <c r="O191" s="25">
        <v>-9999</v>
      </c>
      <c r="P191"/>
      <c r="Q191"/>
      <c r="AA191" s="22">
        <v>91</v>
      </c>
      <c r="AB191" s="1081" t="str">
        <f t="shared" si="8"/>
        <v>HH CURRENT TRANSFERS RECEIVED</v>
      </c>
      <c r="AC191" s="1081">
        <f>CHOOSE(Tables!$U$2,Transfer!CA191,Transfer!CN191,Transfer!DA191,Transfer!DN191,Transfer!EA191)</f>
        <v>93.658300000000011</v>
      </c>
      <c r="AD191" s="1081">
        <f>CHOOSE(Tables!$U$2,Transfer!CB191,Transfer!CO191,Transfer!DB191,Transfer!DO191,Transfer!EB191)</f>
        <v>95.86160000000001</v>
      </c>
      <c r="AE191" s="1081">
        <f>CHOOSE(Tables!$U$2,Transfer!CC191,Transfer!CP191,Transfer!DC191,Transfer!DP191,Transfer!EC191)</f>
        <v>99.077317849999986</v>
      </c>
      <c r="AF191" s="1081">
        <f>CHOOSE(Tables!$U$2,Transfer!CD191,Transfer!CQ191,Transfer!DD191,Transfer!DQ191,Transfer!ED191)</f>
        <v>101.685382553569</v>
      </c>
      <c r="AG191" s="1081">
        <f>CHOOSE(Tables!$U$2,Transfer!CE191,Transfer!CR191,Transfer!DE191,Transfer!DR191,Transfer!EE191)</f>
        <v>105.91280687209824</v>
      </c>
      <c r="AH191" s="1081">
        <f>CHOOSE(Tables!$U$2,Transfer!CF191,Transfer!CS191,Transfer!DF191,Transfer!DS191,Transfer!EF191)</f>
        <v>-9999</v>
      </c>
      <c r="AI191" s="1081">
        <f>CHOOSE(Tables!$U$2,Transfer!CG191,Transfer!CT191,Transfer!DG191,Transfer!DT191,Transfer!EG191)</f>
        <v>-9999</v>
      </c>
      <c r="AJ191" s="1081">
        <f>CHOOSE(Tables!$U$2,Transfer!CH191,Transfer!CU191,Transfer!DH191,Transfer!DU191,Transfer!EH191)</f>
        <v>-9999</v>
      </c>
      <c r="AK191" s="1081">
        <f>CHOOSE(Tables!$U$2,Transfer!CI191,Transfer!CV191,Transfer!DI191,Transfer!DV191,Transfer!EI191)</f>
        <v>-9999</v>
      </c>
      <c r="AL191" s="1081">
        <f>CHOOSE(Tables!$U$2,Transfer!CJ191,Transfer!CW191,Transfer!DJ191,Transfer!DW191,Transfer!EJ191)</f>
        <v>-9999</v>
      </c>
      <c r="AM191" s="1081">
        <f>CHOOSE(Tables!$U$2,Transfer!CK191,Transfer!CX191,Transfer!DK191,Transfer!DX191,Transfer!EK191)</f>
        <v>-9999</v>
      </c>
      <c r="AN191" s="1081">
        <f>CHOOSE(Tables!$U$2,Transfer!CL191,Transfer!CY191,Transfer!DL191,Transfer!DY191,Transfer!EL191)</f>
        <v>-9999</v>
      </c>
      <c r="AO191" s="1081">
        <f>CHOOSE(Tables!$U$2,Transfer!CM191,Transfer!CZ191,Transfer!DM191,Transfer!DZ191,Transfer!EM191)</f>
        <v>-9999</v>
      </c>
      <c r="AR191" s="22">
        <v>91</v>
      </c>
      <c r="AS191" s="1" t="s">
        <v>1916</v>
      </c>
      <c r="AT191" s="24">
        <f t="shared" ca="1" si="11"/>
        <v>0</v>
      </c>
      <c r="AU191" s="24">
        <f t="shared" ca="1" si="12"/>
        <v>0</v>
      </c>
      <c r="AV191" s="24">
        <f t="shared" ca="1" si="13"/>
        <v>0</v>
      </c>
      <c r="AW191" s="24">
        <f t="shared" ca="1" si="14"/>
        <v>0.34728837983999483</v>
      </c>
      <c r="AX191" s="24">
        <f t="shared" ca="1" si="15"/>
        <v>0.34414956295529464</v>
      </c>
      <c r="AY191" s="25">
        <f t="shared" si="16"/>
        <v>0</v>
      </c>
      <c r="AZ191" s="25">
        <f t="shared" si="17"/>
        <v>0</v>
      </c>
      <c r="BA191" s="25">
        <f t="shared" si="18"/>
        <v>0</v>
      </c>
      <c r="BB191" s="25">
        <f t="shared" si="19"/>
        <v>0</v>
      </c>
      <c r="BC191" s="25">
        <f t="shared" si="7"/>
        <v>0</v>
      </c>
      <c r="BD191" s="25">
        <f t="shared" si="7"/>
        <v>0</v>
      </c>
      <c r="BE191" s="25">
        <f t="shared" si="7"/>
        <v>0</v>
      </c>
      <c r="BF191" s="25">
        <f t="shared" si="7"/>
        <v>0</v>
      </c>
      <c r="CA191" s="16">
        <v>93.658300000000011</v>
      </c>
      <c r="CB191" s="16">
        <v>95.86160000000001</v>
      </c>
      <c r="CC191" s="16">
        <v>99.077317849999986</v>
      </c>
      <c r="CD191" s="16">
        <v>101.685382553569</v>
      </c>
      <c r="CE191" s="16">
        <v>105.91280687209824</v>
      </c>
      <c r="CF191" s="16">
        <v>-9999</v>
      </c>
      <c r="CG191" s="16">
        <v>-9999</v>
      </c>
      <c r="CH191" s="16">
        <v>-9999</v>
      </c>
      <c r="CI191" s="16">
        <v>-9999</v>
      </c>
      <c r="CJ191" s="16">
        <v>-9999</v>
      </c>
      <c r="CK191" s="16">
        <v>-9999</v>
      </c>
      <c r="CL191" s="16">
        <v>-9999</v>
      </c>
      <c r="CM191" s="16">
        <v>-9999</v>
      </c>
      <c r="CN191" s="16">
        <v>93.658300000000011</v>
      </c>
      <c r="CO191" s="16">
        <v>95.86160000000001</v>
      </c>
      <c r="CP191" s="16">
        <v>98.839559803038213</v>
      </c>
      <c r="CQ191" s="16">
        <v>101.56608387855245</v>
      </c>
      <c r="CR191" s="16">
        <v>104.71172607326254</v>
      </c>
      <c r="CS191" s="16">
        <v>-9999</v>
      </c>
      <c r="CT191" s="16">
        <v>-9999</v>
      </c>
      <c r="CU191" s="16">
        <v>-9999</v>
      </c>
      <c r="CV191" s="16">
        <v>-9999</v>
      </c>
      <c r="CW191" s="16">
        <v>-9999</v>
      </c>
      <c r="CX191" s="16">
        <v>-9999</v>
      </c>
      <c r="CY191" s="16">
        <v>-9999</v>
      </c>
      <c r="CZ191" s="16">
        <v>-9999</v>
      </c>
      <c r="DA191" s="16">
        <v>93.658300000000011</v>
      </c>
      <c r="DB191" s="16">
        <v>95.86160000000001</v>
      </c>
      <c r="DC191" s="16">
        <v>99.077317849999986</v>
      </c>
      <c r="DD191" s="16">
        <v>101.685382553569</v>
      </c>
      <c r="DE191" s="16">
        <v>105.91280687209824</v>
      </c>
      <c r="DF191" s="16">
        <v>-9999</v>
      </c>
      <c r="DG191" s="16">
        <v>-9999</v>
      </c>
      <c r="DH191" s="16">
        <v>-9999</v>
      </c>
      <c r="DI191" s="16">
        <v>-9999</v>
      </c>
      <c r="DJ191" s="16">
        <v>-9999</v>
      </c>
      <c r="DK191" s="16">
        <v>-9999</v>
      </c>
      <c r="DL191" s="16">
        <v>-9999</v>
      </c>
      <c r="DM191" s="16">
        <v>-9999</v>
      </c>
      <c r="DN191" s="16">
        <v>93.658300000000011</v>
      </c>
      <c r="DO191" s="16">
        <v>95.86160000000001</v>
      </c>
      <c r="DP191" s="16">
        <v>99.077317849999986</v>
      </c>
      <c r="DQ191" s="16">
        <v>101.685382553569</v>
      </c>
      <c r="DR191" s="16">
        <v>105.91280687209824</v>
      </c>
      <c r="DS191" s="16">
        <v>-9999</v>
      </c>
      <c r="DT191" s="16">
        <v>-9999</v>
      </c>
      <c r="DU191" s="16">
        <v>-9999</v>
      </c>
      <c r="DV191" s="16">
        <v>-9999</v>
      </c>
      <c r="DW191" s="16">
        <v>-9999</v>
      </c>
      <c r="DX191" s="16">
        <v>-9999</v>
      </c>
      <c r="DY191" s="16">
        <v>-9999</v>
      </c>
      <c r="DZ191" s="16">
        <v>-9999</v>
      </c>
      <c r="EA191" s="2106">
        <v>93.658300000000011</v>
      </c>
      <c r="EB191" s="2106">
        <v>95.86160000000001</v>
      </c>
      <c r="EC191" s="2106">
        <v>99.077317849999986</v>
      </c>
      <c r="ED191" s="2106">
        <v>102.03267093340899</v>
      </c>
      <c r="EE191" s="2106">
        <v>106.25695643505354</v>
      </c>
      <c r="EF191" s="2107">
        <v>-9999</v>
      </c>
      <c r="EG191" s="2107">
        <v>-9999</v>
      </c>
      <c r="EH191" s="2107">
        <v>-9999</v>
      </c>
      <c r="EI191" s="2107">
        <v>-9999</v>
      </c>
      <c r="EJ191" s="2107">
        <v>-9999</v>
      </c>
      <c r="EK191" s="2107">
        <v>-9999</v>
      </c>
      <c r="EL191" s="2107">
        <v>-9999</v>
      </c>
      <c r="EM191" s="2107">
        <v>-9999</v>
      </c>
    </row>
    <row r="192" spans="1:143">
      <c r="A192" s="22">
        <v>92</v>
      </c>
      <c r="B192" s="1" t="s">
        <v>300</v>
      </c>
      <c r="C192" s="24">
        <f ca="1">OFFSET(Sector1!F296,0,Last_forecast_year - 3-InputY!$G$3)</f>
        <v>53.569800000000001</v>
      </c>
      <c r="D192" s="24">
        <f ca="1">OFFSET(Sector1!G296,0,Last_forecast_year - 3-InputY!$G$3)</f>
        <v>53.116099999999996</v>
      </c>
      <c r="E192" s="24">
        <f ca="1">OFFSET(Sector1!H296,0,Last_forecast_year - 3-InputY!$G$3)</f>
        <v>54.922047399999997</v>
      </c>
      <c r="F192" s="24">
        <f ca="1">OFFSET(Sector1!I296,0,Last_forecast_year - 3-InputY!$G$3)</f>
        <v>56.498310160379994</v>
      </c>
      <c r="G192" s="24">
        <f ca="1">OFFSET(Sector1!J296,0,Last_forecast_year - 3-InputY!$G$3)</f>
        <v>57.340134981769651</v>
      </c>
      <c r="H192" s="25">
        <v>-9999</v>
      </c>
      <c r="I192" s="25">
        <v>-9999</v>
      </c>
      <c r="J192" s="25">
        <v>-9999</v>
      </c>
      <c r="K192" s="25">
        <v>-9999</v>
      </c>
      <c r="L192" s="25">
        <v>-9999</v>
      </c>
      <c r="M192" s="25">
        <v>-9999</v>
      </c>
      <c r="N192" s="25">
        <v>-9999</v>
      </c>
      <c r="O192" s="25">
        <v>-9999</v>
      </c>
      <c r="P192"/>
      <c r="Q192"/>
      <c r="AA192" s="22">
        <v>92</v>
      </c>
      <c r="AB192" s="1081" t="str">
        <f t="shared" si="8"/>
        <v>HH CURRENT TAXES ON INCOME AND WEALTH</v>
      </c>
      <c r="AC192" s="1081">
        <f>CHOOSE(Tables!$U$2,Transfer!CA192,Transfer!CN192,Transfer!DA192,Transfer!DN192,Transfer!EA192)</f>
        <v>53.569800000000001</v>
      </c>
      <c r="AD192" s="1081">
        <f>CHOOSE(Tables!$U$2,Transfer!CB192,Transfer!CO192,Transfer!DB192,Transfer!DO192,Transfer!EB192)</f>
        <v>53.116099999999996</v>
      </c>
      <c r="AE192" s="1081">
        <f>CHOOSE(Tables!$U$2,Transfer!CC192,Transfer!CP192,Transfer!DC192,Transfer!DP192,Transfer!EC192)</f>
        <v>54.922047399999997</v>
      </c>
      <c r="AF192" s="1081">
        <f>CHOOSE(Tables!$U$2,Transfer!CD192,Transfer!CQ192,Transfer!DD192,Transfer!DQ192,Transfer!ED192)</f>
        <v>56.498310160379994</v>
      </c>
      <c r="AG192" s="1081">
        <f>CHOOSE(Tables!$U$2,Transfer!CE192,Transfer!CR192,Transfer!DE192,Transfer!DR192,Transfer!EE192)</f>
        <v>57.340134981769651</v>
      </c>
      <c r="AH192" s="1081">
        <f>CHOOSE(Tables!$U$2,Transfer!CF192,Transfer!CS192,Transfer!DF192,Transfer!DS192,Transfer!EF192)</f>
        <v>-9999</v>
      </c>
      <c r="AI192" s="1081">
        <f>CHOOSE(Tables!$U$2,Transfer!CG192,Transfer!CT192,Transfer!DG192,Transfer!DT192,Transfer!EG192)</f>
        <v>-9999</v>
      </c>
      <c r="AJ192" s="1081">
        <f>CHOOSE(Tables!$U$2,Transfer!CH192,Transfer!CU192,Transfer!DH192,Transfer!DU192,Transfer!EH192)</f>
        <v>-9999</v>
      </c>
      <c r="AK192" s="1081">
        <f>CHOOSE(Tables!$U$2,Transfer!CI192,Transfer!CV192,Transfer!DI192,Transfer!DV192,Transfer!EI192)</f>
        <v>-9999</v>
      </c>
      <c r="AL192" s="1081">
        <f>CHOOSE(Tables!$U$2,Transfer!CJ192,Transfer!CW192,Transfer!DJ192,Transfer!DW192,Transfer!EJ192)</f>
        <v>-9999</v>
      </c>
      <c r="AM192" s="1081">
        <f>CHOOSE(Tables!$U$2,Transfer!CK192,Transfer!CX192,Transfer!DK192,Transfer!DX192,Transfer!EK192)</f>
        <v>-9999</v>
      </c>
      <c r="AN192" s="1081">
        <f>CHOOSE(Tables!$U$2,Transfer!CL192,Transfer!CY192,Transfer!DL192,Transfer!DY192,Transfer!EL192)</f>
        <v>-9999</v>
      </c>
      <c r="AO192" s="1081">
        <f>CHOOSE(Tables!$U$2,Transfer!CM192,Transfer!CZ192,Transfer!DM192,Transfer!DZ192,Transfer!EM192)</f>
        <v>-9999</v>
      </c>
      <c r="AR192" s="22">
        <v>92</v>
      </c>
      <c r="AS192" s="1" t="s">
        <v>300</v>
      </c>
      <c r="AT192" s="24">
        <f t="shared" ca="1" si="11"/>
        <v>0</v>
      </c>
      <c r="AU192" s="24">
        <f t="shared" ca="1" si="12"/>
        <v>0</v>
      </c>
      <c r="AV192" s="24">
        <f t="shared" ca="1" si="13"/>
        <v>0</v>
      </c>
      <c r="AW192" s="24">
        <f t="shared" ca="1" si="14"/>
        <v>0</v>
      </c>
      <c r="AX192" s="24">
        <f t="shared" ca="1" si="15"/>
        <v>0</v>
      </c>
      <c r="AY192" s="25">
        <f t="shared" si="16"/>
        <v>0</v>
      </c>
      <c r="AZ192" s="25">
        <f t="shared" si="17"/>
        <v>0</v>
      </c>
      <c r="BA192" s="25">
        <f t="shared" si="18"/>
        <v>0</v>
      </c>
      <c r="BB192" s="25">
        <f t="shared" si="19"/>
        <v>0</v>
      </c>
      <c r="BC192" s="25">
        <f t="shared" si="7"/>
        <v>0</v>
      </c>
      <c r="BD192" s="25">
        <f t="shared" si="7"/>
        <v>0</v>
      </c>
      <c r="BE192" s="25">
        <f t="shared" si="7"/>
        <v>0</v>
      </c>
      <c r="BF192" s="25">
        <f t="shared" si="7"/>
        <v>0</v>
      </c>
      <c r="CA192" s="16">
        <v>53.569800000000001</v>
      </c>
      <c r="CB192" s="16">
        <v>53.116099999999996</v>
      </c>
      <c r="CC192" s="16">
        <v>54.922047399999997</v>
      </c>
      <c r="CD192" s="16">
        <v>56.498310160379994</v>
      </c>
      <c r="CE192" s="16">
        <v>57.340134981769651</v>
      </c>
      <c r="CF192" s="16">
        <v>-9999</v>
      </c>
      <c r="CG192" s="16">
        <v>-9999</v>
      </c>
      <c r="CH192" s="16">
        <v>-9999</v>
      </c>
      <c r="CI192" s="16">
        <v>-9999</v>
      </c>
      <c r="CJ192" s="16">
        <v>-9999</v>
      </c>
      <c r="CK192" s="16">
        <v>-9999</v>
      </c>
      <c r="CL192" s="16">
        <v>-9999</v>
      </c>
      <c r="CM192" s="16">
        <v>-9999</v>
      </c>
      <c r="CN192" s="16">
        <v>53.569800000000001</v>
      </c>
      <c r="CO192" s="16">
        <v>53.116099999999996</v>
      </c>
      <c r="CP192" s="16">
        <v>55.268647453830454</v>
      </c>
      <c r="CQ192" s="16">
        <v>56.028329232932776</v>
      </c>
      <c r="CR192" s="16">
        <v>56.980810829892626</v>
      </c>
      <c r="CS192" s="16">
        <v>-9999</v>
      </c>
      <c r="CT192" s="16">
        <v>-9999</v>
      </c>
      <c r="CU192" s="16">
        <v>-9999</v>
      </c>
      <c r="CV192" s="16">
        <v>-9999</v>
      </c>
      <c r="CW192" s="16">
        <v>-9999</v>
      </c>
      <c r="CX192" s="16">
        <v>-9999</v>
      </c>
      <c r="CY192" s="16">
        <v>-9999</v>
      </c>
      <c r="CZ192" s="16">
        <v>-9999</v>
      </c>
      <c r="DA192" s="16">
        <v>53.569800000000001</v>
      </c>
      <c r="DB192" s="16">
        <v>53.116099999999996</v>
      </c>
      <c r="DC192" s="16">
        <v>54.922047399999997</v>
      </c>
      <c r="DD192" s="16">
        <v>56.498310160379994</v>
      </c>
      <c r="DE192" s="16">
        <v>57.340134981769651</v>
      </c>
      <c r="DF192" s="16">
        <v>-9999</v>
      </c>
      <c r="DG192" s="16">
        <v>-9999</v>
      </c>
      <c r="DH192" s="16">
        <v>-9999</v>
      </c>
      <c r="DI192" s="16">
        <v>-9999</v>
      </c>
      <c r="DJ192" s="16">
        <v>-9999</v>
      </c>
      <c r="DK192" s="16">
        <v>-9999</v>
      </c>
      <c r="DL192" s="16">
        <v>-9999</v>
      </c>
      <c r="DM192" s="16">
        <v>-9999</v>
      </c>
      <c r="DN192" s="16">
        <v>53.569800000000001</v>
      </c>
      <c r="DO192" s="16">
        <v>53.116099999999996</v>
      </c>
      <c r="DP192" s="16">
        <v>54.922047399999997</v>
      </c>
      <c r="DQ192" s="16">
        <v>56.498310160379994</v>
      </c>
      <c r="DR192" s="16">
        <v>57.340134981769651</v>
      </c>
      <c r="DS192" s="16">
        <v>-9999</v>
      </c>
      <c r="DT192" s="16">
        <v>-9999</v>
      </c>
      <c r="DU192" s="16">
        <v>-9999</v>
      </c>
      <c r="DV192" s="16">
        <v>-9999</v>
      </c>
      <c r="DW192" s="16">
        <v>-9999</v>
      </c>
      <c r="DX192" s="16">
        <v>-9999</v>
      </c>
      <c r="DY192" s="16">
        <v>-9999</v>
      </c>
      <c r="DZ192" s="16">
        <v>-9999</v>
      </c>
      <c r="EA192" s="2106">
        <v>53.569800000000001</v>
      </c>
      <c r="EB192" s="2106">
        <v>53.116099999999996</v>
      </c>
      <c r="EC192" s="2106">
        <v>54.922047399999997</v>
      </c>
      <c r="ED192" s="2106">
        <v>56.498310160379994</v>
      </c>
      <c r="EE192" s="2106">
        <v>57.340134981769651</v>
      </c>
      <c r="EF192" s="2107">
        <v>-9999</v>
      </c>
      <c r="EG192" s="2107">
        <v>-9999</v>
      </c>
      <c r="EH192" s="2107">
        <v>-9999</v>
      </c>
      <c r="EI192" s="2107">
        <v>-9999</v>
      </c>
      <c r="EJ192" s="2107">
        <v>-9999</v>
      </c>
      <c r="EK192" s="2107">
        <v>-9999</v>
      </c>
      <c r="EL192" s="2107">
        <v>-9999</v>
      </c>
      <c r="EM192" s="2107">
        <v>-9999</v>
      </c>
    </row>
    <row r="193" spans="1:143">
      <c r="A193" s="22">
        <v>93</v>
      </c>
      <c r="B193" s="1" t="s">
        <v>372</v>
      </c>
      <c r="C193" s="24">
        <f ca="1">OFFSET(Sector1!F1066,0,Last_forecast_year - 3-InputY!$G$3)</f>
        <v>93.903199999999998</v>
      </c>
      <c r="D193" s="24">
        <f ca="1">OFFSET(Sector1!G1066,0,Last_forecast_year - 3-InputY!$G$3)</f>
        <v>93.319600000000008</v>
      </c>
      <c r="E193" s="24">
        <f ca="1">OFFSET(Sector1!H1066,0,Last_forecast_year - 3-InputY!$G$3)</f>
        <v>95.897094139999993</v>
      </c>
      <c r="F193" s="24">
        <f ca="1">OFFSET(Sector1!I1066,0,Last_forecast_year - 3-InputY!$G$3)</f>
        <v>98.80443494776398</v>
      </c>
      <c r="G193" s="24">
        <f ca="1">OFFSET(Sector1!J1066,0,Last_forecast_year - 3-InputY!$G$3)</f>
        <v>101.87186151694843</v>
      </c>
      <c r="H193" s="25">
        <v>-9999</v>
      </c>
      <c r="I193" s="25">
        <v>-9999</v>
      </c>
      <c r="J193" s="25">
        <v>-9999</v>
      </c>
      <c r="K193" s="25">
        <v>-9999</v>
      </c>
      <c r="L193" s="25">
        <v>-9999</v>
      </c>
      <c r="M193" s="25">
        <v>-9999</v>
      </c>
      <c r="N193" s="25">
        <v>-9999</v>
      </c>
      <c r="O193" s="25">
        <v>-9999</v>
      </c>
      <c r="P193"/>
      <c r="Q193"/>
      <c r="AA193" s="22">
        <v>93</v>
      </c>
      <c r="AB193" s="1081" t="str">
        <f t="shared" si="8"/>
        <v>HH CURRENT TRANSFERS PAID</v>
      </c>
      <c r="AC193" s="1081">
        <f>CHOOSE(Tables!$U$2,Transfer!CA193,Transfer!CN193,Transfer!DA193,Transfer!DN193,Transfer!EA193)</f>
        <v>93.903199999999998</v>
      </c>
      <c r="AD193" s="1081">
        <f>CHOOSE(Tables!$U$2,Transfer!CB193,Transfer!CO193,Transfer!DB193,Transfer!DO193,Transfer!EB193)</f>
        <v>93.319600000000008</v>
      </c>
      <c r="AE193" s="1081">
        <f>CHOOSE(Tables!$U$2,Transfer!CC193,Transfer!CP193,Transfer!DC193,Transfer!DP193,Transfer!EC193)</f>
        <v>95.897094139999993</v>
      </c>
      <c r="AF193" s="1081">
        <f>CHOOSE(Tables!$U$2,Transfer!CD193,Transfer!CQ193,Transfer!DD193,Transfer!DQ193,Transfer!ED193)</f>
        <v>98.857999090603982</v>
      </c>
      <c r="AG193" s="1081">
        <f>CHOOSE(Tables!$U$2,Transfer!CE193,Transfer!CR193,Transfer!DE193,Transfer!DR193,Transfer!EE193)</f>
        <v>101.92715037694347</v>
      </c>
      <c r="AH193" s="1081">
        <f>CHOOSE(Tables!$U$2,Transfer!CF193,Transfer!CS193,Transfer!DF193,Transfer!DS193,Transfer!EF193)</f>
        <v>-9999</v>
      </c>
      <c r="AI193" s="1081">
        <f>CHOOSE(Tables!$U$2,Transfer!CG193,Transfer!CT193,Transfer!DG193,Transfer!DT193,Transfer!EG193)</f>
        <v>-9999</v>
      </c>
      <c r="AJ193" s="1081">
        <f>CHOOSE(Tables!$U$2,Transfer!CH193,Transfer!CU193,Transfer!DH193,Transfer!DU193,Transfer!EH193)</f>
        <v>-9999</v>
      </c>
      <c r="AK193" s="1081">
        <f>CHOOSE(Tables!$U$2,Transfer!CI193,Transfer!CV193,Transfer!DI193,Transfer!DV193,Transfer!EI193)</f>
        <v>-9999</v>
      </c>
      <c r="AL193" s="1081">
        <f>CHOOSE(Tables!$U$2,Transfer!CJ193,Transfer!CW193,Transfer!DJ193,Transfer!DW193,Transfer!EJ193)</f>
        <v>-9999</v>
      </c>
      <c r="AM193" s="1081">
        <f>CHOOSE(Tables!$U$2,Transfer!CK193,Transfer!CX193,Transfer!DK193,Transfer!DX193,Transfer!EK193)</f>
        <v>-9999</v>
      </c>
      <c r="AN193" s="1081">
        <f>CHOOSE(Tables!$U$2,Transfer!CL193,Transfer!CY193,Transfer!DL193,Transfer!DY193,Transfer!EL193)</f>
        <v>-9999</v>
      </c>
      <c r="AO193" s="1081">
        <f>CHOOSE(Tables!$U$2,Transfer!CM193,Transfer!CZ193,Transfer!DM193,Transfer!DZ193,Transfer!EM193)</f>
        <v>-9999</v>
      </c>
      <c r="AR193" s="22">
        <v>93</v>
      </c>
      <c r="AS193" s="1" t="s">
        <v>372</v>
      </c>
      <c r="AT193" s="24">
        <f t="shared" ca="1" si="11"/>
        <v>0</v>
      </c>
      <c r="AU193" s="24">
        <f t="shared" ca="1" si="12"/>
        <v>0</v>
      </c>
      <c r="AV193" s="24">
        <f t="shared" ca="1" si="13"/>
        <v>0</v>
      </c>
      <c r="AW193" s="24">
        <f t="shared" ca="1" si="14"/>
        <v>-5.356414284000266E-2</v>
      </c>
      <c r="AX193" s="24">
        <f t="shared" ca="1" si="15"/>
        <v>-5.5288859995044959E-2</v>
      </c>
      <c r="AY193" s="25">
        <f t="shared" si="16"/>
        <v>0</v>
      </c>
      <c r="AZ193" s="25">
        <f t="shared" si="17"/>
        <v>0</v>
      </c>
      <c r="BA193" s="25">
        <f t="shared" si="18"/>
        <v>0</v>
      </c>
      <c r="BB193" s="25">
        <f t="shared" si="19"/>
        <v>0</v>
      </c>
      <c r="BC193" s="25">
        <f t="shared" si="7"/>
        <v>0</v>
      </c>
      <c r="BD193" s="25">
        <f t="shared" si="7"/>
        <v>0</v>
      </c>
      <c r="BE193" s="25">
        <f t="shared" si="7"/>
        <v>0</v>
      </c>
      <c r="BF193" s="25">
        <f t="shared" si="7"/>
        <v>0</v>
      </c>
      <c r="CA193" s="16">
        <v>93.903199999999998</v>
      </c>
      <c r="CB193" s="16">
        <v>93.319600000000008</v>
      </c>
      <c r="CC193" s="16">
        <v>95.897094139999993</v>
      </c>
      <c r="CD193" s="16">
        <v>98.857999090603982</v>
      </c>
      <c r="CE193" s="16">
        <v>101.92715037694347</v>
      </c>
      <c r="CF193" s="16">
        <v>-9999</v>
      </c>
      <c r="CG193" s="16">
        <v>-9999</v>
      </c>
      <c r="CH193" s="16">
        <v>-9999</v>
      </c>
      <c r="CI193" s="16">
        <v>-9999</v>
      </c>
      <c r="CJ193" s="16">
        <v>-9999</v>
      </c>
      <c r="CK193" s="16">
        <v>-9999</v>
      </c>
      <c r="CL193" s="16">
        <v>-9999</v>
      </c>
      <c r="CM193" s="16">
        <v>-9999</v>
      </c>
      <c r="CN193" s="16">
        <v>93.903199999999998</v>
      </c>
      <c r="CO193" s="16">
        <v>93.319600000000008</v>
      </c>
      <c r="CP193" s="16">
        <v>95.767565986290137</v>
      </c>
      <c r="CQ193" s="16">
        <v>98.759880491956523</v>
      </c>
      <c r="CR193" s="16">
        <v>101.81059174587153</v>
      </c>
      <c r="CS193" s="16">
        <v>-9999</v>
      </c>
      <c r="CT193" s="16">
        <v>-9999</v>
      </c>
      <c r="CU193" s="16">
        <v>-9999</v>
      </c>
      <c r="CV193" s="16">
        <v>-9999</v>
      </c>
      <c r="CW193" s="16">
        <v>-9999</v>
      </c>
      <c r="CX193" s="16">
        <v>-9999</v>
      </c>
      <c r="CY193" s="16">
        <v>-9999</v>
      </c>
      <c r="CZ193" s="16">
        <v>-9999</v>
      </c>
      <c r="DA193" s="16">
        <v>93.903199999999998</v>
      </c>
      <c r="DB193" s="16">
        <v>93.319600000000008</v>
      </c>
      <c r="DC193" s="16">
        <v>95.897094139999993</v>
      </c>
      <c r="DD193" s="16">
        <v>98.857999090603982</v>
      </c>
      <c r="DE193" s="16">
        <v>101.92715037694347</v>
      </c>
      <c r="DF193" s="16">
        <v>-9999</v>
      </c>
      <c r="DG193" s="16">
        <v>-9999</v>
      </c>
      <c r="DH193" s="16">
        <v>-9999</v>
      </c>
      <c r="DI193" s="16">
        <v>-9999</v>
      </c>
      <c r="DJ193" s="16">
        <v>-9999</v>
      </c>
      <c r="DK193" s="16">
        <v>-9999</v>
      </c>
      <c r="DL193" s="16">
        <v>-9999</v>
      </c>
      <c r="DM193" s="16">
        <v>-9999</v>
      </c>
      <c r="DN193" s="16">
        <v>93.903199999999998</v>
      </c>
      <c r="DO193" s="16">
        <v>93.319600000000008</v>
      </c>
      <c r="DP193" s="16">
        <v>95.897094139999993</v>
      </c>
      <c r="DQ193" s="16">
        <v>98.857999090603982</v>
      </c>
      <c r="DR193" s="16">
        <v>101.92715037694347</v>
      </c>
      <c r="DS193" s="16">
        <v>-9999</v>
      </c>
      <c r="DT193" s="16">
        <v>-9999</v>
      </c>
      <c r="DU193" s="16">
        <v>-9999</v>
      </c>
      <c r="DV193" s="16">
        <v>-9999</v>
      </c>
      <c r="DW193" s="16">
        <v>-9999</v>
      </c>
      <c r="DX193" s="16">
        <v>-9999</v>
      </c>
      <c r="DY193" s="16">
        <v>-9999</v>
      </c>
      <c r="DZ193" s="16">
        <v>-9999</v>
      </c>
      <c r="EA193" s="2106">
        <v>93.903199999999998</v>
      </c>
      <c r="EB193" s="2106">
        <v>93.319600000000008</v>
      </c>
      <c r="EC193" s="2106">
        <v>95.897094139999993</v>
      </c>
      <c r="ED193" s="2106">
        <v>98.80443494776398</v>
      </c>
      <c r="EE193" s="2106">
        <v>101.87186151694843</v>
      </c>
      <c r="EF193" s="2107">
        <v>-9999</v>
      </c>
      <c r="EG193" s="2107">
        <v>-9999</v>
      </c>
      <c r="EH193" s="2107">
        <v>-9999</v>
      </c>
      <c r="EI193" s="2107">
        <v>-9999</v>
      </c>
      <c r="EJ193" s="2107">
        <v>-9999</v>
      </c>
      <c r="EK193" s="2107">
        <v>-9999</v>
      </c>
      <c r="EL193" s="2107">
        <v>-9999</v>
      </c>
      <c r="EM193" s="2107">
        <v>-9999</v>
      </c>
    </row>
    <row r="194" spans="1:143">
      <c r="A194" s="22">
        <v>94</v>
      </c>
      <c r="B194" s="1" t="s">
        <v>374</v>
      </c>
      <c r="C194" s="24">
        <f ca="1">OFFSET(Sector1!F666,0,Last_forecast_year - 3-InputY!$G$3)</f>
        <v>2.7558999999999996</v>
      </c>
      <c r="D194" s="24">
        <f ca="1">OFFSET(Sector1!G666,0,Last_forecast_year - 3-InputY!$G$3)</f>
        <v>2.8010000000000002</v>
      </c>
      <c r="E194" s="24">
        <f ca="1">OFFSET(Sector1!H666,0,Last_forecast_year - 3-InputY!$G$3)</f>
        <v>2.9410500000000002</v>
      </c>
      <c r="F194" s="24">
        <f ca="1">OFFSET(Sector1!I666,0,Last_forecast_year - 3-InputY!$G$3)</f>
        <v>3.0881025000000002</v>
      </c>
      <c r="G194" s="24">
        <f ca="1">OFFSET(Sector1!J666,0,Last_forecast_year - 3-InputY!$G$3)</f>
        <v>3.2425076250000004</v>
      </c>
      <c r="H194" s="25">
        <v>-9999</v>
      </c>
      <c r="I194" s="25">
        <v>-9999</v>
      </c>
      <c r="J194" s="25">
        <v>-9999</v>
      </c>
      <c r="K194" s="25">
        <v>-9999</v>
      </c>
      <c r="L194" s="25">
        <v>-9999</v>
      </c>
      <c r="M194" s="25">
        <v>-9999</v>
      </c>
      <c r="N194" s="25">
        <v>-9999</v>
      </c>
      <c r="O194" s="25">
        <v>-9999</v>
      </c>
      <c r="P194"/>
      <c r="Q194"/>
      <c r="AA194" s="22">
        <v>94</v>
      </c>
      <c r="AB194" s="1081" t="str">
        <f t="shared" si="8"/>
        <v>HH CHANGE IN NET EQUITY IN PENSION FUNDS</v>
      </c>
      <c r="AC194" s="1081">
        <f>CHOOSE(Tables!$U$2,Transfer!CA194,Transfer!CN194,Transfer!DA194,Transfer!DN194,Transfer!EA194)</f>
        <v>2.7558999999999996</v>
      </c>
      <c r="AD194" s="1081">
        <f>CHOOSE(Tables!$U$2,Transfer!CB194,Transfer!CO194,Transfer!DB194,Transfer!DO194,Transfer!EB194)</f>
        <v>2.8010000000000002</v>
      </c>
      <c r="AE194" s="1081">
        <f>CHOOSE(Tables!$U$2,Transfer!CC194,Transfer!CP194,Transfer!DC194,Transfer!DP194,Transfer!EC194)</f>
        <v>2.9410500000000002</v>
      </c>
      <c r="AF194" s="1081">
        <f>CHOOSE(Tables!$U$2,Transfer!CD194,Transfer!CQ194,Transfer!DD194,Transfer!DQ194,Transfer!ED194)</f>
        <v>3.0881025000000002</v>
      </c>
      <c r="AG194" s="1081">
        <f>CHOOSE(Tables!$U$2,Transfer!CE194,Transfer!CR194,Transfer!DE194,Transfer!DR194,Transfer!EE194)</f>
        <v>3.2425076250000004</v>
      </c>
      <c r="AH194" s="1081">
        <f>CHOOSE(Tables!$U$2,Transfer!CF194,Transfer!CS194,Transfer!DF194,Transfer!DS194,Transfer!EF194)</f>
        <v>-9999</v>
      </c>
      <c r="AI194" s="1081">
        <f>CHOOSE(Tables!$U$2,Transfer!CG194,Transfer!CT194,Transfer!DG194,Transfer!DT194,Transfer!EG194)</f>
        <v>-9999</v>
      </c>
      <c r="AJ194" s="1081">
        <f>CHOOSE(Tables!$U$2,Transfer!CH194,Transfer!CU194,Transfer!DH194,Transfer!DU194,Transfer!EH194)</f>
        <v>-9999</v>
      </c>
      <c r="AK194" s="1081">
        <f>CHOOSE(Tables!$U$2,Transfer!CI194,Transfer!CV194,Transfer!DI194,Transfer!DV194,Transfer!EI194)</f>
        <v>-9999</v>
      </c>
      <c r="AL194" s="1081">
        <f>CHOOSE(Tables!$U$2,Transfer!CJ194,Transfer!CW194,Transfer!DJ194,Transfer!DW194,Transfer!EJ194)</f>
        <v>-9999</v>
      </c>
      <c r="AM194" s="1081">
        <f>CHOOSE(Tables!$U$2,Transfer!CK194,Transfer!CX194,Transfer!DK194,Transfer!DX194,Transfer!EK194)</f>
        <v>-9999</v>
      </c>
      <c r="AN194" s="1081">
        <f>CHOOSE(Tables!$U$2,Transfer!CL194,Transfer!CY194,Transfer!DL194,Transfer!DY194,Transfer!EL194)</f>
        <v>-9999</v>
      </c>
      <c r="AO194" s="1081">
        <f>CHOOSE(Tables!$U$2,Transfer!CM194,Transfer!CZ194,Transfer!DM194,Transfer!DZ194,Transfer!EM194)</f>
        <v>-9999</v>
      </c>
      <c r="AR194" s="22">
        <v>94</v>
      </c>
      <c r="AS194" s="1" t="s">
        <v>374</v>
      </c>
      <c r="AT194" s="24">
        <f t="shared" ca="1" si="11"/>
        <v>0</v>
      </c>
      <c r="AU194" s="24">
        <f t="shared" ca="1" si="12"/>
        <v>0</v>
      </c>
      <c r="AV194" s="24">
        <f t="shared" ca="1" si="13"/>
        <v>0</v>
      </c>
      <c r="AW194" s="24">
        <f t="shared" ca="1" si="14"/>
        <v>0</v>
      </c>
      <c r="AX194" s="24">
        <f t="shared" ca="1" si="15"/>
        <v>0</v>
      </c>
      <c r="AY194" s="25">
        <f t="shared" si="16"/>
        <v>0</v>
      </c>
      <c r="AZ194" s="25">
        <f t="shared" si="17"/>
        <v>0</v>
      </c>
      <c r="BA194" s="25">
        <f t="shared" si="18"/>
        <v>0</v>
      </c>
      <c r="BB194" s="25">
        <f t="shared" si="19"/>
        <v>0</v>
      </c>
      <c r="BC194" s="25">
        <f t="shared" si="7"/>
        <v>0</v>
      </c>
      <c r="BD194" s="25">
        <f t="shared" si="7"/>
        <v>0</v>
      </c>
      <c r="BE194" s="25">
        <f t="shared" si="7"/>
        <v>0</v>
      </c>
      <c r="BF194" s="25">
        <f t="shared" si="7"/>
        <v>0</v>
      </c>
      <c r="CA194" s="16">
        <v>2.7558999999999996</v>
      </c>
      <c r="CB194" s="16">
        <v>2.8010000000000002</v>
      </c>
      <c r="CC194" s="16">
        <v>2.9410500000000002</v>
      </c>
      <c r="CD194" s="16">
        <v>3.0881025000000002</v>
      </c>
      <c r="CE194" s="16">
        <v>3.2425076250000004</v>
      </c>
      <c r="CF194" s="16">
        <v>-9999</v>
      </c>
      <c r="CG194" s="16">
        <v>-9999</v>
      </c>
      <c r="CH194" s="16">
        <v>-9999</v>
      </c>
      <c r="CI194" s="16">
        <v>-9999</v>
      </c>
      <c r="CJ194" s="16">
        <v>-9999</v>
      </c>
      <c r="CK194" s="16">
        <v>-9999</v>
      </c>
      <c r="CL194" s="16">
        <v>-9999</v>
      </c>
      <c r="CM194" s="16">
        <v>-9999</v>
      </c>
      <c r="CN194" s="16">
        <v>2.7558999999999996</v>
      </c>
      <c r="CO194" s="16">
        <v>2.8017000000000003</v>
      </c>
      <c r="CP194" s="16">
        <v>2.9417500000000003</v>
      </c>
      <c r="CQ194" s="16">
        <v>3.0888025000000003</v>
      </c>
      <c r="CR194" s="16">
        <v>3.2432076250000006</v>
      </c>
      <c r="CS194" s="16">
        <v>-9999</v>
      </c>
      <c r="CT194" s="16">
        <v>-9999</v>
      </c>
      <c r="CU194" s="16">
        <v>-9999</v>
      </c>
      <c r="CV194" s="16">
        <v>-9999</v>
      </c>
      <c r="CW194" s="16">
        <v>-9999</v>
      </c>
      <c r="CX194" s="16">
        <v>-9999</v>
      </c>
      <c r="CY194" s="16">
        <v>-9999</v>
      </c>
      <c r="CZ194" s="16">
        <v>-9999</v>
      </c>
      <c r="DA194" s="16">
        <v>2.7558999999999996</v>
      </c>
      <c r="DB194" s="16">
        <v>2.8010000000000002</v>
      </c>
      <c r="DC194" s="16">
        <v>2.9410500000000002</v>
      </c>
      <c r="DD194" s="16">
        <v>3.0881025000000002</v>
      </c>
      <c r="DE194" s="16">
        <v>3.2425076250000004</v>
      </c>
      <c r="DF194" s="16">
        <v>-9999</v>
      </c>
      <c r="DG194" s="16">
        <v>-9999</v>
      </c>
      <c r="DH194" s="16">
        <v>-9999</v>
      </c>
      <c r="DI194" s="16">
        <v>-9999</v>
      </c>
      <c r="DJ194" s="16">
        <v>-9999</v>
      </c>
      <c r="DK194" s="16">
        <v>-9999</v>
      </c>
      <c r="DL194" s="16">
        <v>-9999</v>
      </c>
      <c r="DM194" s="16">
        <v>-9999</v>
      </c>
      <c r="DN194" s="16">
        <v>2.7558999999999996</v>
      </c>
      <c r="DO194" s="16">
        <v>2.8010000000000002</v>
      </c>
      <c r="DP194" s="16">
        <v>2.9410500000000002</v>
      </c>
      <c r="DQ194" s="16">
        <v>3.0881025000000002</v>
      </c>
      <c r="DR194" s="16">
        <v>3.2425076250000004</v>
      </c>
      <c r="DS194" s="16">
        <v>-9999</v>
      </c>
      <c r="DT194" s="16">
        <v>-9999</v>
      </c>
      <c r="DU194" s="16">
        <v>-9999</v>
      </c>
      <c r="DV194" s="16">
        <v>-9999</v>
      </c>
      <c r="DW194" s="16">
        <v>-9999</v>
      </c>
      <c r="DX194" s="16">
        <v>-9999</v>
      </c>
      <c r="DY194" s="16">
        <v>-9999</v>
      </c>
      <c r="DZ194" s="16">
        <v>-9999</v>
      </c>
      <c r="EA194" s="2106">
        <v>2.7558999999999996</v>
      </c>
      <c r="EB194" s="2106">
        <v>2.8010000000000002</v>
      </c>
      <c r="EC194" s="2106">
        <v>2.9410500000000002</v>
      </c>
      <c r="ED194" s="2106">
        <v>3.0881025000000002</v>
      </c>
      <c r="EE194" s="2106">
        <v>3.2425076250000004</v>
      </c>
      <c r="EF194" s="2107">
        <v>-9999</v>
      </c>
      <c r="EG194" s="2107">
        <v>-9999</v>
      </c>
      <c r="EH194" s="2107">
        <v>-9999</v>
      </c>
      <c r="EI194" s="2107">
        <v>-9999</v>
      </c>
      <c r="EJ194" s="2107">
        <v>-9999</v>
      </c>
      <c r="EK194" s="2107">
        <v>-9999</v>
      </c>
      <c r="EL194" s="2107">
        <v>-9999</v>
      </c>
      <c r="EM194" s="2107">
        <v>-9999</v>
      </c>
    </row>
    <row r="195" spans="1:143">
      <c r="A195" s="22">
        <v>95</v>
      </c>
      <c r="B195" s="1" t="s">
        <v>375</v>
      </c>
      <c r="C195" s="24">
        <f ca="1">OFFSET('VVP2'!F192,0,Last_forecast_year - 3-InputY!$G$3)</f>
        <v>209.88810000000001</v>
      </c>
      <c r="D195" s="24">
        <f ca="1">OFFSET('VVP2'!G192,0,Last_forecast_year - 3-InputY!$G$3)</f>
        <v>216.57429999999999</v>
      </c>
      <c r="E195" s="24">
        <f ca="1">OFFSET('VVP2'!H192,0,Last_forecast_year - 3-InputY!$G$3)</f>
        <v>222.72300000000001</v>
      </c>
      <c r="F195" s="24">
        <f ca="1">OFFSET('VVP2'!I192,0,Last_forecast_year - 3-InputY!$G$3)</f>
        <v>230.24669430149996</v>
      </c>
      <c r="G195" s="24">
        <f ca="1">OFFSET('VVP2'!J192,0,Last_forecast_year - 3-InputY!$G$3)</f>
        <v>237.344923590782</v>
      </c>
      <c r="H195" s="25">
        <v>-9999</v>
      </c>
      <c r="I195" s="25">
        <v>-9999</v>
      </c>
      <c r="J195" s="25">
        <v>-9999</v>
      </c>
      <c r="K195" s="25">
        <v>-9999</v>
      </c>
      <c r="L195" s="25">
        <v>-9999</v>
      </c>
      <c r="M195" s="25">
        <v>-9999</v>
      </c>
      <c r="N195" s="25">
        <v>-9999</v>
      </c>
      <c r="O195" s="25">
        <v>-9999</v>
      </c>
      <c r="P195"/>
      <c r="Q195"/>
      <c r="AA195" s="22">
        <v>95</v>
      </c>
      <c r="AB195" s="1081" t="str">
        <f t="shared" si="8"/>
        <v>HH FINAL CONSUMPTION EXPENDITURE</v>
      </c>
      <c r="AC195" s="1081">
        <f>CHOOSE(Tables!$U$2,Transfer!CA195,Transfer!CN195,Transfer!DA195,Transfer!DN195,Transfer!EA195)</f>
        <v>209.88810000000001</v>
      </c>
      <c r="AD195" s="1081">
        <f>CHOOSE(Tables!$U$2,Transfer!CB195,Transfer!CO195,Transfer!DB195,Transfer!DO195,Transfer!EB195)</f>
        <v>216.57429999999999</v>
      </c>
      <c r="AE195" s="1081">
        <f>CHOOSE(Tables!$U$2,Transfer!CC195,Transfer!CP195,Transfer!DC195,Transfer!DP195,Transfer!EC195)</f>
        <v>222.72300000000001</v>
      </c>
      <c r="AF195" s="1081">
        <f>CHOOSE(Tables!$U$2,Transfer!CD195,Transfer!CQ195,Transfer!DD195,Transfer!DQ195,Transfer!ED195)</f>
        <v>230.24669430149996</v>
      </c>
      <c r="AG195" s="1081">
        <f>CHOOSE(Tables!$U$2,Transfer!CE195,Transfer!CR195,Transfer!DE195,Transfer!DR195,Transfer!EE195)</f>
        <v>237.344923590782</v>
      </c>
      <c r="AH195" s="1081">
        <f>CHOOSE(Tables!$U$2,Transfer!CF195,Transfer!CS195,Transfer!DF195,Transfer!DS195,Transfer!EF195)</f>
        <v>-9999</v>
      </c>
      <c r="AI195" s="1081">
        <f>CHOOSE(Tables!$U$2,Transfer!CG195,Transfer!CT195,Transfer!DG195,Transfer!DT195,Transfer!EG195)</f>
        <v>-9999</v>
      </c>
      <c r="AJ195" s="1081">
        <f>CHOOSE(Tables!$U$2,Transfer!CH195,Transfer!CU195,Transfer!DH195,Transfer!DU195,Transfer!EH195)</f>
        <v>-9999</v>
      </c>
      <c r="AK195" s="1081">
        <f>CHOOSE(Tables!$U$2,Transfer!CI195,Transfer!CV195,Transfer!DI195,Transfer!DV195,Transfer!EI195)</f>
        <v>-9999</v>
      </c>
      <c r="AL195" s="1081">
        <f>CHOOSE(Tables!$U$2,Transfer!CJ195,Transfer!CW195,Transfer!DJ195,Transfer!DW195,Transfer!EJ195)</f>
        <v>-9999</v>
      </c>
      <c r="AM195" s="1081">
        <f>CHOOSE(Tables!$U$2,Transfer!CK195,Transfer!CX195,Transfer!DK195,Transfer!DX195,Transfer!EK195)</f>
        <v>-9999</v>
      </c>
      <c r="AN195" s="1081">
        <f>CHOOSE(Tables!$U$2,Transfer!CL195,Transfer!CY195,Transfer!DL195,Transfer!DY195,Transfer!EL195)</f>
        <v>-9999</v>
      </c>
      <c r="AO195" s="1081">
        <f>CHOOSE(Tables!$U$2,Transfer!CM195,Transfer!CZ195,Transfer!DM195,Transfer!DZ195,Transfer!EM195)</f>
        <v>-9999</v>
      </c>
      <c r="AR195" s="22">
        <v>95</v>
      </c>
      <c r="AS195" s="1" t="s">
        <v>375</v>
      </c>
      <c r="AT195" s="24">
        <f t="shared" ca="1" si="11"/>
        <v>0</v>
      </c>
      <c r="AU195" s="24">
        <f t="shared" ca="1" si="12"/>
        <v>0</v>
      </c>
      <c r="AV195" s="24">
        <f t="shared" ca="1" si="13"/>
        <v>0</v>
      </c>
      <c r="AW195" s="24">
        <f t="shared" ca="1" si="14"/>
        <v>0</v>
      </c>
      <c r="AX195" s="24">
        <f t="shared" ca="1" si="15"/>
        <v>0</v>
      </c>
      <c r="AY195" s="25">
        <f t="shared" si="16"/>
        <v>0</v>
      </c>
      <c r="AZ195" s="25">
        <f t="shared" si="17"/>
        <v>0</v>
      </c>
      <c r="BA195" s="25">
        <f t="shared" si="18"/>
        <v>0</v>
      </c>
      <c r="BB195" s="25">
        <f t="shared" si="19"/>
        <v>0</v>
      </c>
      <c r="BC195" s="25">
        <f t="shared" si="7"/>
        <v>0</v>
      </c>
      <c r="BD195" s="25">
        <f t="shared" si="7"/>
        <v>0</v>
      </c>
      <c r="BE195" s="25">
        <f t="shared" si="7"/>
        <v>0</v>
      </c>
      <c r="BF195" s="25">
        <f t="shared" si="7"/>
        <v>0</v>
      </c>
      <c r="CA195" s="16">
        <v>209.88810000000001</v>
      </c>
      <c r="CB195" s="16">
        <v>216.57429999999999</v>
      </c>
      <c r="CC195" s="16">
        <v>222.72300000000001</v>
      </c>
      <c r="CD195" s="16">
        <v>230.24669430149996</v>
      </c>
      <c r="CE195" s="16">
        <v>237.344923590782</v>
      </c>
      <c r="CF195" s="16">
        <v>-9999</v>
      </c>
      <c r="CG195" s="16">
        <v>-9999</v>
      </c>
      <c r="CH195" s="16">
        <v>-9999</v>
      </c>
      <c r="CI195" s="16">
        <v>-9999</v>
      </c>
      <c r="CJ195" s="16">
        <v>-9999</v>
      </c>
      <c r="CK195" s="16">
        <v>-9999</v>
      </c>
      <c r="CL195" s="16">
        <v>-9999</v>
      </c>
      <c r="CM195" s="16">
        <v>-9999</v>
      </c>
      <c r="CN195" s="16">
        <v>209.88810000000001</v>
      </c>
      <c r="CO195" s="16">
        <v>216.57429999999999</v>
      </c>
      <c r="CP195" s="16">
        <v>222.81103343195997</v>
      </c>
      <c r="CQ195" s="16">
        <v>229.4317518848739</v>
      </c>
      <c r="CR195" s="16">
        <v>237.99460372872113</v>
      </c>
      <c r="CS195" s="16">
        <v>-9999</v>
      </c>
      <c r="CT195" s="16">
        <v>-9999</v>
      </c>
      <c r="CU195" s="16">
        <v>-9999</v>
      </c>
      <c r="CV195" s="16">
        <v>-9999</v>
      </c>
      <c r="CW195" s="16">
        <v>-9999</v>
      </c>
      <c r="CX195" s="16">
        <v>-9999</v>
      </c>
      <c r="CY195" s="16">
        <v>-9999</v>
      </c>
      <c r="CZ195" s="16">
        <v>-9999</v>
      </c>
      <c r="DA195" s="16">
        <v>209.88810000000001</v>
      </c>
      <c r="DB195" s="16">
        <v>216.57429999999999</v>
      </c>
      <c r="DC195" s="16">
        <v>222.72300000000001</v>
      </c>
      <c r="DD195" s="16">
        <v>230.24669430149996</v>
      </c>
      <c r="DE195" s="16">
        <v>237.344923590782</v>
      </c>
      <c r="DF195" s="16">
        <v>-9999</v>
      </c>
      <c r="DG195" s="16">
        <v>-9999</v>
      </c>
      <c r="DH195" s="16">
        <v>-9999</v>
      </c>
      <c r="DI195" s="16">
        <v>-9999</v>
      </c>
      <c r="DJ195" s="16">
        <v>-9999</v>
      </c>
      <c r="DK195" s="16">
        <v>-9999</v>
      </c>
      <c r="DL195" s="16">
        <v>-9999</v>
      </c>
      <c r="DM195" s="16">
        <v>-9999</v>
      </c>
      <c r="DN195" s="16">
        <v>209.88810000000001</v>
      </c>
      <c r="DO195" s="16">
        <v>216.57429999999999</v>
      </c>
      <c r="DP195" s="16">
        <v>222.72300000000001</v>
      </c>
      <c r="DQ195" s="16">
        <v>230.24669430149996</v>
      </c>
      <c r="DR195" s="16">
        <v>237.344923590782</v>
      </c>
      <c r="DS195" s="16">
        <v>-9999</v>
      </c>
      <c r="DT195" s="16">
        <v>-9999</v>
      </c>
      <c r="DU195" s="16">
        <v>-9999</v>
      </c>
      <c r="DV195" s="16">
        <v>-9999</v>
      </c>
      <c r="DW195" s="16">
        <v>-9999</v>
      </c>
      <c r="DX195" s="16">
        <v>-9999</v>
      </c>
      <c r="DY195" s="16">
        <v>-9999</v>
      </c>
      <c r="DZ195" s="16">
        <v>-9999</v>
      </c>
      <c r="EA195" s="2106">
        <v>209.88810000000001</v>
      </c>
      <c r="EB195" s="2106">
        <v>216.57429999999999</v>
      </c>
      <c r="EC195" s="2106">
        <v>222.72300000000001</v>
      </c>
      <c r="ED195" s="2106">
        <v>230.24669430149996</v>
      </c>
      <c r="EE195" s="2106">
        <v>237.344923590782</v>
      </c>
      <c r="EF195" s="2107">
        <v>-9999</v>
      </c>
      <c r="EG195" s="2107">
        <v>-9999</v>
      </c>
      <c r="EH195" s="2107">
        <v>-9999</v>
      </c>
      <c r="EI195" s="2107">
        <v>-9999</v>
      </c>
      <c r="EJ195" s="2107">
        <v>-9999</v>
      </c>
      <c r="EK195" s="2107">
        <v>-9999</v>
      </c>
      <c r="EL195" s="2107">
        <v>-9999</v>
      </c>
      <c r="EM195" s="2107">
        <v>-9999</v>
      </c>
    </row>
    <row r="196" spans="1:143">
      <c r="A196" s="22">
        <v>96</v>
      </c>
      <c r="B196" s="1" t="s">
        <v>376</v>
      </c>
      <c r="C196" s="24">
        <f ca="1">OFFSET(Sector1!F1071,0,Last_forecast_year - 3-InputY!$G$3)</f>
        <v>23.722200000000004</v>
      </c>
      <c r="D196" s="24">
        <f ca="1">OFFSET(Sector1!G1071,0,Last_forecast_year - 3-InputY!$G$3)</f>
        <v>24.465100000000003</v>
      </c>
      <c r="E196" s="24">
        <f ca="1">OFFSET(Sector1!H1071,0,Last_forecast_year - 3-InputY!$G$3)</f>
        <v>24.910316425268899</v>
      </c>
      <c r="F196" s="24">
        <f ca="1">OFFSET(Sector1!I1071,0,Last_forecast_year - 3-InputY!$G$3)</f>
        <v>25.335776213648238</v>
      </c>
      <c r="G196" s="24">
        <f ca="1">OFFSET(Sector1!J1071,0,Last_forecast_year - 3-InputY!$G$3)</f>
        <v>25.819553251309497</v>
      </c>
      <c r="H196" s="25">
        <v>-9999</v>
      </c>
      <c r="I196" s="25">
        <v>-9999</v>
      </c>
      <c r="J196" s="25">
        <v>-9999</v>
      </c>
      <c r="K196" s="25">
        <v>-9999</v>
      </c>
      <c r="L196" s="25">
        <v>-9999</v>
      </c>
      <c r="M196" s="25">
        <v>-9999</v>
      </c>
      <c r="N196" s="25">
        <v>-9999</v>
      </c>
      <c r="O196" s="25">
        <v>-9999</v>
      </c>
      <c r="P196"/>
      <c r="Q196"/>
      <c r="AA196" s="22">
        <v>96</v>
      </c>
      <c r="AB196" s="1081" t="str">
        <f t="shared" si="8"/>
        <v>HH GROSS CAPITAL FORMATION</v>
      </c>
      <c r="AC196" s="1081">
        <f>CHOOSE(Tables!$U$2,Transfer!CA196,Transfer!CN196,Transfer!DA196,Transfer!DN196,Transfer!EA196)</f>
        <v>23.722200000000004</v>
      </c>
      <c r="AD196" s="1081">
        <f>CHOOSE(Tables!$U$2,Transfer!CB196,Transfer!CO196,Transfer!DB196,Transfer!DO196,Transfer!EB196)</f>
        <v>24.465100000000003</v>
      </c>
      <c r="AE196" s="1081">
        <f>CHOOSE(Tables!$U$2,Transfer!CC196,Transfer!CP196,Transfer!DC196,Transfer!DP196,Transfer!EC196)</f>
        <v>24.910316425268899</v>
      </c>
      <c r="AF196" s="1081">
        <f>CHOOSE(Tables!$U$2,Transfer!CD196,Transfer!CQ196,Transfer!DD196,Transfer!DQ196,Transfer!ED196)</f>
        <v>25.335776213648238</v>
      </c>
      <c r="AG196" s="1081">
        <f>CHOOSE(Tables!$U$2,Transfer!CE196,Transfer!CR196,Transfer!DE196,Transfer!DR196,Transfer!EE196)</f>
        <v>25.819553251309497</v>
      </c>
      <c r="AH196" s="1081">
        <f>CHOOSE(Tables!$U$2,Transfer!CF196,Transfer!CS196,Transfer!DF196,Transfer!DS196,Transfer!EF196)</f>
        <v>-9999</v>
      </c>
      <c r="AI196" s="1081">
        <f>CHOOSE(Tables!$U$2,Transfer!CG196,Transfer!CT196,Transfer!DG196,Transfer!DT196,Transfer!EG196)</f>
        <v>-9999</v>
      </c>
      <c r="AJ196" s="1081">
        <f>CHOOSE(Tables!$U$2,Transfer!CH196,Transfer!CU196,Transfer!DH196,Transfer!DU196,Transfer!EH196)</f>
        <v>-9999</v>
      </c>
      <c r="AK196" s="1081">
        <f>CHOOSE(Tables!$U$2,Transfer!CI196,Transfer!CV196,Transfer!DI196,Transfer!DV196,Transfer!EI196)</f>
        <v>-9999</v>
      </c>
      <c r="AL196" s="1081">
        <f>CHOOSE(Tables!$U$2,Transfer!CJ196,Transfer!CW196,Transfer!DJ196,Transfer!DW196,Transfer!EJ196)</f>
        <v>-9999</v>
      </c>
      <c r="AM196" s="1081">
        <f>CHOOSE(Tables!$U$2,Transfer!CK196,Transfer!CX196,Transfer!DK196,Transfer!DX196,Transfer!EK196)</f>
        <v>-9999</v>
      </c>
      <c r="AN196" s="1081">
        <f>CHOOSE(Tables!$U$2,Transfer!CL196,Transfer!CY196,Transfer!DL196,Transfer!DY196,Transfer!EL196)</f>
        <v>-9999</v>
      </c>
      <c r="AO196" s="1081">
        <f>CHOOSE(Tables!$U$2,Transfer!CM196,Transfer!CZ196,Transfer!DM196,Transfer!DZ196,Transfer!EM196)</f>
        <v>-9999</v>
      </c>
      <c r="AR196" s="22">
        <v>96</v>
      </c>
      <c r="AS196" s="1" t="s">
        <v>376</v>
      </c>
      <c r="AT196" s="24">
        <f t="shared" ca="1" si="11"/>
        <v>0</v>
      </c>
      <c r="AU196" s="24">
        <f t="shared" ca="1" si="12"/>
        <v>0</v>
      </c>
      <c r="AV196" s="24">
        <f t="shared" ca="1" si="13"/>
        <v>0</v>
      </c>
      <c r="AW196" s="24">
        <f t="shared" ca="1" si="14"/>
        <v>0</v>
      </c>
      <c r="AX196" s="24">
        <f t="shared" ca="1" si="15"/>
        <v>0</v>
      </c>
      <c r="AY196" s="25">
        <f t="shared" si="16"/>
        <v>0</v>
      </c>
      <c r="AZ196" s="25">
        <f t="shared" si="17"/>
        <v>0</v>
      </c>
      <c r="BA196" s="25">
        <f t="shared" si="18"/>
        <v>0</v>
      </c>
      <c r="BB196" s="25">
        <f t="shared" si="19"/>
        <v>0</v>
      </c>
      <c r="BC196" s="25">
        <f t="shared" si="7"/>
        <v>0</v>
      </c>
      <c r="BD196" s="25">
        <f t="shared" si="7"/>
        <v>0</v>
      </c>
      <c r="BE196" s="25">
        <f t="shared" si="7"/>
        <v>0</v>
      </c>
      <c r="BF196" s="25">
        <f t="shared" si="7"/>
        <v>0</v>
      </c>
      <c r="CA196" s="16">
        <v>23.722200000000004</v>
      </c>
      <c r="CB196" s="16">
        <v>24.465100000000003</v>
      </c>
      <c r="CC196" s="16">
        <v>24.910316425268899</v>
      </c>
      <c r="CD196" s="16">
        <v>25.335776213648238</v>
      </c>
      <c r="CE196" s="16">
        <v>25.819553251309497</v>
      </c>
      <c r="CF196" s="16">
        <v>-9999</v>
      </c>
      <c r="CG196" s="16">
        <v>-9999</v>
      </c>
      <c r="CH196" s="16">
        <v>-9999</v>
      </c>
      <c r="CI196" s="16">
        <v>-9999</v>
      </c>
      <c r="CJ196" s="16">
        <v>-9999</v>
      </c>
      <c r="CK196" s="16">
        <v>-9999</v>
      </c>
      <c r="CL196" s="16">
        <v>-9999</v>
      </c>
      <c r="CM196" s="16">
        <v>-9999</v>
      </c>
      <c r="CN196" s="16">
        <v>23.722200000000004</v>
      </c>
      <c r="CO196" s="16">
        <v>24.465100000000003</v>
      </c>
      <c r="CP196" s="16">
        <v>24.586272040000004</v>
      </c>
      <c r="CQ196" s="16">
        <v>25.154294630403605</v>
      </c>
      <c r="CR196" s="16">
        <v>25.786927397833431</v>
      </c>
      <c r="CS196" s="16">
        <v>-9999</v>
      </c>
      <c r="CT196" s="16">
        <v>-9999</v>
      </c>
      <c r="CU196" s="16">
        <v>-9999</v>
      </c>
      <c r="CV196" s="16">
        <v>-9999</v>
      </c>
      <c r="CW196" s="16">
        <v>-9999</v>
      </c>
      <c r="CX196" s="16">
        <v>-9999</v>
      </c>
      <c r="CY196" s="16">
        <v>-9999</v>
      </c>
      <c r="CZ196" s="16">
        <v>-9999</v>
      </c>
      <c r="DA196" s="16">
        <v>23.722200000000004</v>
      </c>
      <c r="DB196" s="16">
        <v>24.465100000000003</v>
      </c>
      <c r="DC196" s="16">
        <v>24.910316425268899</v>
      </c>
      <c r="DD196" s="16">
        <v>25.335776213648238</v>
      </c>
      <c r="DE196" s="16">
        <v>25.819553251309497</v>
      </c>
      <c r="DF196" s="16">
        <v>-9999</v>
      </c>
      <c r="DG196" s="16">
        <v>-9999</v>
      </c>
      <c r="DH196" s="16">
        <v>-9999</v>
      </c>
      <c r="DI196" s="16">
        <v>-9999</v>
      </c>
      <c r="DJ196" s="16">
        <v>-9999</v>
      </c>
      <c r="DK196" s="16">
        <v>-9999</v>
      </c>
      <c r="DL196" s="16">
        <v>-9999</v>
      </c>
      <c r="DM196" s="16">
        <v>-9999</v>
      </c>
      <c r="DN196" s="16">
        <v>23.722200000000004</v>
      </c>
      <c r="DO196" s="16">
        <v>24.465100000000003</v>
      </c>
      <c r="DP196" s="16">
        <v>24.910316425268899</v>
      </c>
      <c r="DQ196" s="16">
        <v>25.335776213648238</v>
      </c>
      <c r="DR196" s="16">
        <v>25.819553251309497</v>
      </c>
      <c r="DS196" s="16">
        <v>-9999</v>
      </c>
      <c r="DT196" s="16">
        <v>-9999</v>
      </c>
      <c r="DU196" s="16">
        <v>-9999</v>
      </c>
      <c r="DV196" s="16">
        <v>-9999</v>
      </c>
      <c r="DW196" s="16">
        <v>-9999</v>
      </c>
      <c r="DX196" s="16">
        <v>-9999</v>
      </c>
      <c r="DY196" s="16">
        <v>-9999</v>
      </c>
      <c r="DZ196" s="16">
        <v>-9999</v>
      </c>
      <c r="EA196" s="2106">
        <v>23.722200000000004</v>
      </c>
      <c r="EB196" s="2106">
        <v>24.465100000000003</v>
      </c>
      <c r="EC196" s="2106">
        <v>24.910316425268899</v>
      </c>
      <c r="ED196" s="2106">
        <v>25.335776213648238</v>
      </c>
      <c r="EE196" s="2106">
        <v>25.819553251309497</v>
      </c>
      <c r="EF196" s="2107">
        <v>-9999</v>
      </c>
      <c r="EG196" s="2107">
        <v>-9999</v>
      </c>
      <c r="EH196" s="2107">
        <v>-9999</v>
      </c>
      <c r="EI196" s="2107">
        <v>-9999</v>
      </c>
      <c r="EJ196" s="2107">
        <v>-9999</v>
      </c>
      <c r="EK196" s="2107">
        <v>-9999</v>
      </c>
      <c r="EL196" s="2107">
        <v>-9999</v>
      </c>
      <c r="EM196" s="2107">
        <v>-9999</v>
      </c>
    </row>
    <row r="197" spans="1:143">
      <c r="A197" s="22">
        <v>97</v>
      </c>
      <c r="B197" s="1" t="s">
        <v>520</v>
      </c>
      <c r="C197" s="24">
        <f ca="1">OFFSET(Sector1!F1076,0,Last_forecast_year - 3-InputY!$G$3)</f>
        <v>2.5240999999999998</v>
      </c>
      <c r="D197" s="24">
        <f ca="1">OFFSET(Sector1!G1076,0,Last_forecast_year - 3-InputY!$G$3)</f>
        <v>2.145</v>
      </c>
      <c r="E197" s="24">
        <f ca="1">OFFSET(Sector1!H1076,0,Last_forecast_year - 3-InputY!$G$3)</f>
        <v>2.285625</v>
      </c>
      <c r="F197" s="24">
        <f ca="1">OFFSET(Sector1!I1076,0,Last_forecast_year - 3-InputY!$G$3)</f>
        <v>2.4332812500000003</v>
      </c>
      <c r="G197" s="24">
        <f ca="1">OFFSET(Sector1!J1076,0,Last_forecast_year - 3-InputY!$G$3)</f>
        <v>2.5883203125000005</v>
      </c>
      <c r="H197" s="25">
        <v>-9999</v>
      </c>
      <c r="I197" s="25">
        <v>-9999</v>
      </c>
      <c r="J197" s="25">
        <v>-9999</v>
      </c>
      <c r="K197" s="25">
        <v>-9999</v>
      </c>
      <c r="L197" s="25">
        <v>-9999</v>
      </c>
      <c r="M197" s="25">
        <v>-9999</v>
      </c>
      <c r="N197" s="25">
        <v>-9999</v>
      </c>
      <c r="O197" s="25">
        <v>-9999</v>
      </c>
      <c r="P197"/>
      <c r="Q197"/>
      <c r="AA197" s="22">
        <v>97</v>
      </c>
      <c r="AB197" s="1081" t="str">
        <f t="shared" si="8"/>
        <v>HH OTHER CAPITAL EXPENDITURE (PAID-REC.)</v>
      </c>
      <c r="AC197" s="1081">
        <f>CHOOSE(Tables!$U$2,Transfer!CA197,Transfer!CN197,Transfer!DA197,Transfer!DN197,Transfer!EA197)</f>
        <v>2.5240999999999998</v>
      </c>
      <c r="AD197" s="1081">
        <f>CHOOSE(Tables!$U$2,Transfer!CB197,Transfer!CO197,Transfer!DB197,Transfer!DO197,Transfer!EB197)</f>
        <v>2.145</v>
      </c>
      <c r="AE197" s="1081">
        <f>CHOOSE(Tables!$U$2,Transfer!CC197,Transfer!CP197,Transfer!DC197,Transfer!DP197,Transfer!EC197)</f>
        <v>2.285625</v>
      </c>
      <c r="AF197" s="1081">
        <f>CHOOSE(Tables!$U$2,Transfer!CD197,Transfer!CQ197,Transfer!DD197,Transfer!DQ197,Transfer!ED197)</f>
        <v>2.4332812500000003</v>
      </c>
      <c r="AG197" s="1081">
        <f>CHOOSE(Tables!$U$2,Transfer!CE197,Transfer!CR197,Transfer!DE197,Transfer!DR197,Transfer!EE197)</f>
        <v>2.5883203125000005</v>
      </c>
      <c r="AH197" s="1081">
        <f>CHOOSE(Tables!$U$2,Transfer!CF197,Transfer!CS197,Transfer!DF197,Transfer!DS197,Transfer!EF197)</f>
        <v>-9999</v>
      </c>
      <c r="AI197" s="1081">
        <f>CHOOSE(Tables!$U$2,Transfer!CG197,Transfer!CT197,Transfer!DG197,Transfer!DT197,Transfer!EG197)</f>
        <v>-9999</v>
      </c>
      <c r="AJ197" s="1081">
        <f>CHOOSE(Tables!$U$2,Transfer!CH197,Transfer!CU197,Transfer!DH197,Transfer!DU197,Transfer!EH197)</f>
        <v>-9999</v>
      </c>
      <c r="AK197" s="1081">
        <f>CHOOSE(Tables!$U$2,Transfer!CI197,Transfer!CV197,Transfer!DI197,Transfer!DV197,Transfer!EI197)</f>
        <v>-9999</v>
      </c>
      <c r="AL197" s="1081">
        <f>CHOOSE(Tables!$U$2,Transfer!CJ197,Transfer!CW197,Transfer!DJ197,Transfer!DW197,Transfer!EJ197)</f>
        <v>-9999</v>
      </c>
      <c r="AM197" s="1081">
        <f>CHOOSE(Tables!$U$2,Transfer!CK197,Transfer!CX197,Transfer!DK197,Transfer!DX197,Transfer!EK197)</f>
        <v>-9999</v>
      </c>
      <c r="AN197" s="1081">
        <f>CHOOSE(Tables!$U$2,Transfer!CL197,Transfer!CY197,Transfer!DL197,Transfer!DY197,Transfer!EL197)</f>
        <v>-9999</v>
      </c>
      <c r="AO197" s="1081">
        <f>CHOOSE(Tables!$U$2,Transfer!CM197,Transfer!CZ197,Transfer!DM197,Transfer!DZ197,Transfer!EM197)</f>
        <v>-9999</v>
      </c>
      <c r="AR197" s="22">
        <v>97</v>
      </c>
      <c r="AS197" s="1" t="s">
        <v>520</v>
      </c>
      <c r="AT197" s="24">
        <f t="shared" ca="1" si="11"/>
        <v>0</v>
      </c>
      <c r="AU197" s="24">
        <f t="shared" ca="1" si="12"/>
        <v>0</v>
      </c>
      <c r="AV197" s="24">
        <f t="shared" ca="1" si="13"/>
        <v>0</v>
      </c>
      <c r="AW197" s="24">
        <f t="shared" ca="1" si="14"/>
        <v>0</v>
      </c>
      <c r="AX197" s="24">
        <f t="shared" ca="1" si="15"/>
        <v>0</v>
      </c>
      <c r="AY197" s="25">
        <f t="shared" si="16"/>
        <v>0</v>
      </c>
      <c r="AZ197" s="25">
        <f t="shared" si="17"/>
        <v>0</v>
      </c>
      <c r="BA197" s="25">
        <f t="shared" si="18"/>
        <v>0</v>
      </c>
      <c r="BB197" s="25">
        <f t="shared" si="19"/>
        <v>0</v>
      </c>
      <c r="BC197" s="25">
        <f t="shared" si="7"/>
        <v>0</v>
      </c>
      <c r="BD197" s="25">
        <f t="shared" si="7"/>
        <v>0</v>
      </c>
      <c r="BE197" s="25">
        <f t="shared" si="7"/>
        <v>0</v>
      </c>
      <c r="BF197" s="25">
        <f t="shared" si="7"/>
        <v>0</v>
      </c>
      <c r="CA197" s="16">
        <v>2.5240999999999998</v>
      </c>
      <c r="CB197" s="16">
        <v>2.145</v>
      </c>
      <c r="CC197" s="16">
        <v>2.285625</v>
      </c>
      <c r="CD197" s="16">
        <v>2.4332812500000003</v>
      </c>
      <c r="CE197" s="16">
        <v>2.5883203125000005</v>
      </c>
      <c r="CF197" s="16">
        <v>-9999</v>
      </c>
      <c r="CG197" s="16">
        <v>-9999</v>
      </c>
      <c r="CH197" s="16">
        <v>-9999</v>
      </c>
      <c r="CI197" s="16">
        <v>-9999</v>
      </c>
      <c r="CJ197" s="16">
        <v>-9999</v>
      </c>
      <c r="CK197" s="16">
        <v>-9999</v>
      </c>
      <c r="CL197" s="16">
        <v>-9999</v>
      </c>
      <c r="CM197" s="16">
        <v>-9999</v>
      </c>
      <c r="CN197" s="16">
        <v>2.5240999999999998</v>
      </c>
      <c r="CO197" s="16">
        <v>2.145</v>
      </c>
      <c r="CP197" s="16">
        <v>2.285625</v>
      </c>
      <c r="CQ197" s="16">
        <v>2.4332812500000003</v>
      </c>
      <c r="CR197" s="16">
        <v>2.5883203125000005</v>
      </c>
      <c r="CS197" s="16">
        <v>-9999</v>
      </c>
      <c r="CT197" s="16">
        <v>-9999</v>
      </c>
      <c r="CU197" s="16">
        <v>-9999</v>
      </c>
      <c r="CV197" s="16">
        <v>-9999</v>
      </c>
      <c r="CW197" s="16">
        <v>-9999</v>
      </c>
      <c r="CX197" s="16">
        <v>-9999</v>
      </c>
      <c r="CY197" s="16">
        <v>-9999</v>
      </c>
      <c r="CZ197" s="16">
        <v>-9999</v>
      </c>
      <c r="DA197" s="16">
        <v>2.5240999999999998</v>
      </c>
      <c r="DB197" s="16">
        <v>2.145</v>
      </c>
      <c r="DC197" s="16">
        <v>2.285625</v>
      </c>
      <c r="DD197" s="16">
        <v>2.4332812500000003</v>
      </c>
      <c r="DE197" s="16">
        <v>2.5883203125000005</v>
      </c>
      <c r="DF197" s="16">
        <v>-9999</v>
      </c>
      <c r="DG197" s="16">
        <v>-9999</v>
      </c>
      <c r="DH197" s="16">
        <v>-9999</v>
      </c>
      <c r="DI197" s="16">
        <v>-9999</v>
      </c>
      <c r="DJ197" s="16">
        <v>-9999</v>
      </c>
      <c r="DK197" s="16">
        <v>-9999</v>
      </c>
      <c r="DL197" s="16">
        <v>-9999</v>
      </c>
      <c r="DM197" s="16">
        <v>-9999</v>
      </c>
      <c r="DN197" s="16">
        <v>2.5240999999999998</v>
      </c>
      <c r="DO197" s="16">
        <v>2.145</v>
      </c>
      <c r="DP197" s="16">
        <v>2.285625</v>
      </c>
      <c r="DQ197" s="16">
        <v>2.4332812500000003</v>
      </c>
      <c r="DR197" s="16">
        <v>2.5883203125000005</v>
      </c>
      <c r="DS197" s="16">
        <v>-9999</v>
      </c>
      <c r="DT197" s="16">
        <v>-9999</v>
      </c>
      <c r="DU197" s="16">
        <v>-9999</v>
      </c>
      <c r="DV197" s="16">
        <v>-9999</v>
      </c>
      <c r="DW197" s="16">
        <v>-9999</v>
      </c>
      <c r="DX197" s="16">
        <v>-9999</v>
      </c>
      <c r="DY197" s="16">
        <v>-9999</v>
      </c>
      <c r="DZ197" s="16">
        <v>-9999</v>
      </c>
      <c r="EA197" s="2106">
        <v>2.5240999999999998</v>
      </c>
      <c r="EB197" s="2106">
        <v>2.145</v>
      </c>
      <c r="EC197" s="2106">
        <v>2.285625</v>
      </c>
      <c r="ED197" s="2106">
        <v>2.4332812500000003</v>
      </c>
      <c r="EE197" s="2106">
        <v>2.5883203125000005</v>
      </c>
      <c r="EF197" s="2107">
        <v>-9999</v>
      </c>
      <c r="EG197" s="2107">
        <v>-9999</v>
      </c>
      <c r="EH197" s="2107">
        <v>-9999</v>
      </c>
      <c r="EI197" s="2107">
        <v>-9999</v>
      </c>
      <c r="EJ197" s="2107">
        <v>-9999</v>
      </c>
      <c r="EK197" s="2107">
        <v>-9999</v>
      </c>
      <c r="EL197" s="2107">
        <v>-9999</v>
      </c>
      <c r="EM197" s="2107">
        <v>-9999</v>
      </c>
    </row>
    <row r="198" spans="1:143">
      <c r="A198" s="22">
        <v>98</v>
      </c>
      <c r="B198" s="30" t="s">
        <v>1998</v>
      </c>
      <c r="C198" s="25">
        <v>-9999</v>
      </c>
      <c r="D198" s="25">
        <v>-9999</v>
      </c>
      <c r="E198" s="25">
        <v>-9999</v>
      </c>
      <c r="F198" s="25">
        <v>-9999</v>
      </c>
      <c r="G198" s="25">
        <v>-9999</v>
      </c>
      <c r="H198" s="25">
        <v>-9999</v>
      </c>
      <c r="I198" s="25">
        <v>-9999</v>
      </c>
      <c r="J198" s="25">
        <v>-9999</v>
      </c>
      <c r="K198" s="25">
        <v>-9999</v>
      </c>
      <c r="L198" s="25">
        <v>-9999</v>
      </c>
      <c r="M198" s="25">
        <v>-9999</v>
      </c>
      <c r="N198" s="25">
        <v>-9999</v>
      </c>
      <c r="O198" s="25">
        <v>-9999</v>
      </c>
      <c r="P198"/>
      <c r="Q198"/>
      <c r="AA198" s="22">
        <v>98</v>
      </c>
      <c r="AB198" s="1081" t="str">
        <f t="shared" si="8"/>
        <v>FOR FUTURE USE</v>
      </c>
      <c r="AC198" s="1081">
        <f>CHOOSE(Tables!$U$2,Transfer!CA198,Transfer!CN198,Transfer!DA198,Transfer!DN198,Transfer!EA198)</f>
        <v>-9999</v>
      </c>
      <c r="AD198" s="1081">
        <f>CHOOSE(Tables!$U$2,Transfer!CB198,Transfer!CO198,Transfer!DB198,Transfer!DO198,Transfer!EB198)</f>
        <v>-9999</v>
      </c>
      <c r="AE198" s="1081">
        <f>CHOOSE(Tables!$U$2,Transfer!CC198,Transfer!CP198,Transfer!DC198,Transfer!DP198,Transfer!EC198)</f>
        <v>-9999</v>
      </c>
      <c r="AF198" s="1081">
        <f>CHOOSE(Tables!$U$2,Transfer!CD198,Transfer!CQ198,Transfer!DD198,Transfer!DQ198,Transfer!ED198)</f>
        <v>-9999</v>
      </c>
      <c r="AG198" s="1081">
        <f>CHOOSE(Tables!$U$2,Transfer!CE198,Transfer!CR198,Transfer!DE198,Transfer!DR198,Transfer!EE198)</f>
        <v>-9999</v>
      </c>
      <c r="AH198" s="1081">
        <f>CHOOSE(Tables!$U$2,Transfer!CF198,Transfer!CS198,Transfer!DF198,Transfer!DS198,Transfer!EF198)</f>
        <v>-9999</v>
      </c>
      <c r="AI198" s="1081">
        <f>CHOOSE(Tables!$U$2,Transfer!CG198,Transfer!CT198,Transfer!DG198,Transfer!DT198,Transfer!EG198)</f>
        <v>-9999</v>
      </c>
      <c r="AJ198" s="1081">
        <f>CHOOSE(Tables!$U$2,Transfer!CH198,Transfer!CU198,Transfer!DH198,Transfer!DU198,Transfer!EH198)</f>
        <v>-9999</v>
      </c>
      <c r="AK198" s="1081">
        <f>CHOOSE(Tables!$U$2,Transfer!CI198,Transfer!CV198,Transfer!DI198,Transfer!DV198,Transfer!EI198)</f>
        <v>-9999</v>
      </c>
      <c r="AL198" s="1081">
        <f>CHOOSE(Tables!$U$2,Transfer!CJ198,Transfer!CW198,Transfer!DJ198,Transfer!DW198,Transfer!EJ198)</f>
        <v>-9999</v>
      </c>
      <c r="AM198" s="1081">
        <f>CHOOSE(Tables!$U$2,Transfer!CK198,Transfer!CX198,Transfer!DK198,Transfer!DX198,Transfer!EK198)</f>
        <v>-9999</v>
      </c>
      <c r="AN198" s="1081">
        <f>CHOOSE(Tables!$U$2,Transfer!CL198,Transfer!CY198,Transfer!DL198,Transfer!DY198,Transfer!EL198)</f>
        <v>-9999</v>
      </c>
      <c r="AO198" s="1081">
        <f>CHOOSE(Tables!$U$2,Transfer!CM198,Transfer!CZ198,Transfer!DM198,Transfer!DZ198,Transfer!EM198)</f>
        <v>-9999</v>
      </c>
      <c r="AR198" s="22">
        <v>98</v>
      </c>
      <c r="AS198" s="30" t="s">
        <v>1998</v>
      </c>
      <c r="AT198" s="25">
        <f t="shared" si="11"/>
        <v>0</v>
      </c>
      <c r="AU198" s="25">
        <f t="shared" si="12"/>
        <v>0</v>
      </c>
      <c r="AV198" s="25">
        <f t="shared" si="13"/>
        <v>0</v>
      </c>
      <c r="AW198" s="25">
        <f t="shared" si="14"/>
        <v>0</v>
      </c>
      <c r="AX198" s="25">
        <f t="shared" si="15"/>
        <v>0</v>
      </c>
      <c r="AY198" s="25">
        <f t="shared" si="16"/>
        <v>0</v>
      </c>
      <c r="AZ198" s="25">
        <f t="shared" si="17"/>
        <v>0</v>
      </c>
      <c r="BA198" s="25">
        <f t="shared" si="18"/>
        <v>0</v>
      </c>
      <c r="BB198" s="25">
        <f t="shared" si="19"/>
        <v>0</v>
      </c>
      <c r="BC198" s="25">
        <f t="shared" si="7"/>
        <v>0</v>
      </c>
      <c r="BD198" s="25">
        <f t="shared" si="7"/>
        <v>0</v>
      </c>
      <c r="BE198" s="25">
        <f t="shared" si="7"/>
        <v>0</v>
      </c>
      <c r="BF198" s="25">
        <f t="shared" si="7"/>
        <v>0</v>
      </c>
      <c r="CA198" s="16">
        <v>-9999</v>
      </c>
      <c r="CB198" s="16">
        <v>-9999</v>
      </c>
      <c r="CC198" s="16">
        <v>-9999</v>
      </c>
      <c r="CD198" s="16">
        <v>-9999</v>
      </c>
      <c r="CE198" s="16">
        <v>-9999</v>
      </c>
      <c r="CF198" s="16">
        <v>-9999</v>
      </c>
      <c r="CG198" s="16">
        <v>-9999</v>
      </c>
      <c r="CH198" s="16">
        <v>-9999</v>
      </c>
      <c r="CI198" s="16">
        <v>-9999</v>
      </c>
      <c r="CJ198" s="16">
        <v>-9999</v>
      </c>
      <c r="CK198" s="16">
        <v>-9999</v>
      </c>
      <c r="CL198" s="16">
        <v>-9999</v>
      </c>
      <c r="CM198" s="16">
        <v>-9999</v>
      </c>
      <c r="CN198" s="16">
        <v>-9999</v>
      </c>
      <c r="CO198" s="16">
        <v>-9999</v>
      </c>
      <c r="CP198" s="16">
        <v>-9999</v>
      </c>
      <c r="CQ198" s="16">
        <v>-9999</v>
      </c>
      <c r="CR198" s="16">
        <v>-9999</v>
      </c>
      <c r="CS198" s="16">
        <v>-9999</v>
      </c>
      <c r="CT198" s="16">
        <v>-9999</v>
      </c>
      <c r="CU198" s="16">
        <v>-9999</v>
      </c>
      <c r="CV198" s="16">
        <v>-9999</v>
      </c>
      <c r="CW198" s="16">
        <v>-9999</v>
      </c>
      <c r="CX198" s="16">
        <v>-9999</v>
      </c>
      <c r="CY198" s="16">
        <v>-9999</v>
      </c>
      <c r="CZ198" s="16">
        <v>-9999</v>
      </c>
      <c r="DA198" s="16">
        <v>-9999</v>
      </c>
      <c r="DB198" s="16">
        <v>-9999</v>
      </c>
      <c r="DC198" s="16">
        <v>-9999</v>
      </c>
      <c r="DD198" s="16">
        <v>-9999</v>
      </c>
      <c r="DE198" s="16">
        <v>-9999</v>
      </c>
      <c r="DF198" s="16">
        <v>-9999</v>
      </c>
      <c r="DG198" s="16">
        <v>-9999</v>
      </c>
      <c r="DH198" s="16">
        <v>-9999</v>
      </c>
      <c r="DI198" s="16">
        <v>-9999</v>
      </c>
      <c r="DJ198" s="16">
        <v>-9999</v>
      </c>
      <c r="DK198" s="16">
        <v>-9999</v>
      </c>
      <c r="DL198" s="16">
        <v>-9999</v>
      </c>
      <c r="DM198" s="16">
        <v>-9999</v>
      </c>
      <c r="DN198" s="16">
        <v>-9999</v>
      </c>
      <c r="DO198" s="16">
        <v>-9999</v>
      </c>
      <c r="DP198" s="16">
        <v>-9999</v>
      </c>
      <c r="DQ198" s="16">
        <v>-9999</v>
      </c>
      <c r="DR198" s="16">
        <v>-9999</v>
      </c>
      <c r="DS198" s="16">
        <v>-9999</v>
      </c>
      <c r="DT198" s="16">
        <v>-9999</v>
      </c>
      <c r="DU198" s="16">
        <v>-9999</v>
      </c>
      <c r="DV198" s="16">
        <v>-9999</v>
      </c>
      <c r="DW198" s="16">
        <v>-9999</v>
      </c>
      <c r="DX198" s="16">
        <v>-9999</v>
      </c>
      <c r="DY198" s="16">
        <v>-9999</v>
      </c>
      <c r="DZ198" s="16">
        <v>-9999</v>
      </c>
      <c r="EA198" s="2107">
        <v>-9999</v>
      </c>
      <c r="EB198" s="2107">
        <v>-9999</v>
      </c>
      <c r="EC198" s="2107">
        <v>-9999</v>
      </c>
      <c r="ED198" s="2107">
        <v>-9999</v>
      </c>
      <c r="EE198" s="2107">
        <v>-9999</v>
      </c>
      <c r="EF198" s="2107">
        <v>-9999</v>
      </c>
      <c r="EG198" s="2107">
        <v>-9999</v>
      </c>
      <c r="EH198" s="2107">
        <v>-9999</v>
      </c>
      <c r="EI198" s="2107">
        <v>-9999</v>
      </c>
      <c r="EJ198" s="2107">
        <v>-9999</v>
      </c>
      <c r="EK198" s="2107">
        <v>-9999</v>
      </c>
      <c r="EL198" s="2107">
        <v>-9999</v>
      </c>
      <c r="EM198" s="2107">
        <v>-9999</v>
      </c>
    </row>
    <row r="199" spans="1:143">
      <c r="A199" s="22">
        <v>99</v>
      </c>
      <c r="B199" s="30" t="s">
        <v>1998</v>
      </c>
      <c r="C199" s="25">
        <v>-9999</v>
      </c>
      <c r="D199" s="25">
        <v>-9999</v>
      </c>
      <c r="E199" s="25">
        <v>-9999</v>
      </c>
      <c r="F199" s="25">
        <v>-9999</v>
      </c>
      <c r="G199" s="25">
        <v>-9999</v>
      </c>
      <c r="H199" s="25">
        <v>-9999</v>
      </c>
      <c r="I199" s="25">
        <v>-9999</v>
      </c>
      <c r="J199" s="25">
        <v>-9999</v>
      </c>
      <c r="K199" s="25">
        <v>-9999</v>
      </c>
      <c r="L199" s="25">
        <v>-9999</v>
      </c>
      <c r="M199" s="25">
        <v>-9999</v>
      </c>
      <c r="N199" s="25">
        <v>-9999</v>
      </c>
      <c r="O199" s="25">
        <v>-9999</v>
      </c>
      <c r="P199"/>
      <c r="Q199"/>
      <c r="AA199" s="22">
        <v>99</v>
      </c>
      <c r="AB199" s="1081" t="str">
        <f t="shared" si="8"/>
        <v>FOR FUTURE USE</v>
      </c>
      <c r="AC199" s="1081">
        <f>CHOOSE(Tables!$U$2,Transfer!CA199,Transfer!CN199,Transfer!DA199,Transfer!DN199,Transfer!EA199)</f>
        <v>-9999</v>
      </c>
      <c r="AD199" s="1081">
        <f>CHOOSE(Tables!$U$2,Transfer!CB199,Transfer!CO199,Transfer!DB199,Transfer!DO199,Transfer!EB199)</f>
        <v>-9999</v>
      </c>
      <c r="AE199" s="1081">
        <f>CHOOSE(Tables!$U$2,Transfer!CC199,Transfer!CP199,Transfer!DC199,Transfer!DP199,Transfer!EC199)</f>
        <v>-9999</v>
      </c>
      <c r="AF199" s="1081">
        <f>CHOOSE(Tables!$U$2,Transfer!CD199,Transfer!CQ199,Transfer!DD199,Transfer!DQ199,Transfer!ED199)</f>
        <v>-9999</v>
      </c>
      <c r="AG199" s="1081">
        <f>CHOOSE(Tables!$U$2,Transfer!CE199,Transfer!CR199,Transfer!DE199,Transfer!DR199,Transfer!EE199)</f>
        <v>-9999</v>
      </c>
      <c r="AH199" s="1081">
        <f>CHOOSE(Tables!$U$2,Transfer!CF199,Transfer!CS199,Transfer!DF199,Transfer!DS199,Transfer!EF199)</f>
        <v>-9999</v>
      </c>
      <c r="AI199" s="1081">
        <f>CHOOSE(Tables!$U$2,Transfer!CG199,Transfer!CT199,Transfer!DG199,Transfer!DT199,Transfer!EG199)</f>
        <v>-9999</v>
      </c>
      <c r="AJ199" s="1081">
        <f>CHOOSE(Tables!$U$2,Transfer!CH199,Transfer!CU199,Transfer!DH199,Transfer!DU199,Transfer!EH199)</f>
        <v>-9999</v>
      </c>
      <c r="AK199" s="1081">
        <f>CHOOSE(Tables!$U$2,Transfer!CI199,Transfer!CV199,Transfer!DI199,Transfer!DV199,Transfer!EI199)</f>
        <v>-9999</v>
      </c>
      <c r="AL199" s="1081">
        <f>CHOOSE(Tables!$U$2,Transfer!CJ199,Transfer!CW199,Transfer!DJ199,Transfer!DW199,Transfer!EJ199)</f>
        <v>-9999</v>
      </c>
      <c r="AM199" s="1081">
        <f>CHOOSE(Tables!$U$2,Transfer!CK199,Transfer!CX199,Transfer!DK199,Transfer!DX199,Transfer!EK199)</f>
        <v>-9999</v>
      </c>
      <c r="AN199" s="1081">
        <f>CHOOSE(Tables!$U$2,Transfer!CL199,Transfer!CY199,Transfer!DL199,Transfer!DY199,Transfer!EL199)</f>
        <v>-9999</v>
      </c>
      <c r="AO199" s="1081">
        <f>CHOOSE(Tables!$U$2,Transfer!CM199,Transfer!CZ199,Transfer!DM199,Transfer!DZ199,Transfer!EM199)</f>
        <v>-9999</v>
      </c>
      <c r="AR199" s="22">
        <v>99</v>
      </c>
      <c r="AS199" s="30" t="s">
        <v>1998</v>
      </c>
      <c r="AT199" s="25">
        <f t="shared" si="11"/>
        <v>0</v>
      </c>
      <c r="AU199" s="25">
        <f t="shared" si="12"/>
        <v>0</v>
      </c>
      <c r="AV199" s="25">
        <f t="shared" si="13"/>
        <v>0</v>
      </c>
      <c r="AW199" s="25">
        <f t="shared" si="14"/>
        <v>0</v>
      </c>
      <c r="AX199" s="25">
        <f t="shared" si="15"/>
        <v>0</v>
      </c>
      <c r="AY199" s="25">
        <f t="shared" si="16"/>
        <v>0</v>
      </c>
      <c r="AZ199" s="25">
        <f t="shared" si="17"/>
        <v>0</v>
      </c>
      <c r="BA199" s="25">
        <f t="shared" si="18"/>
        <v>0</v>
      </c>
      <c r="BB199" s="25">
        <f t="shared" si="19"/>
        <v>0</v>
      </c>
      <c r="BC199" s="25">
        <f t="shared" si="7"/>
        <v>0</v>
      </c>
      <c r="BD199" s="25">
        <f t="shared" si="7"/>
        <v>0</v>
      </c>
      <c r="BE199" s="25">
        <f t="shared" si="7"/>
        <v>0</v>
      </c>
      <c r="BF199" s="25">
        <f t="shared" si="7"/>
        <v>0</v>
      </c>
      <c r="CA199" s="16">
        <v>-9999</v>
      </c>
      <c r="CB199" s="16">
        <v>-9999</v>
      </c>
      <c r="CC199" s="16">
        <v>-9999</v>
      </c>
      <c r="CD199" s="16">
        <v>-9999</v>
      </c>
      <c r="CE199" s="16">
        <v>-9999</v>
      </c>
      <c r="CF199" s="16">
        <v>-9999</v>
      </c>
      <c r="CG199" s="16">
        <v>-9999</v>
      </c>
      <c r="CH199" s="16">
        <v>-9999</v>
      </c>
      <c r="CI199" s="16">
        <v>-9999</v>
      </c>
      <c r="CJ199" s="16">
        <v>-9999</v>
      </c>
      <c r="CK199" s="16">
        <v>-9999</v>
      </c>
      <c r="CL199" s="16">
        <v>-9999</v>
      </c>
      <c r="CM199" s="16">
        <v>-9999</v>
      </c>
      <c r="CN199" s="16">
        <v>-9999</v>
      </c>
      <c r="CO199" s="16">
        <v>-9999</v>
      </c>
      <c r="CP199" s="16">
        <v>-9999</v>
      </c>
      <c r="CQ199" s="16">
        <v>-9999</v>
      </c>
      <c r="CR199" s="16">
        <v>-9999</v>
      </c>
      <c r="CS199" s="16">
        <v>-9999</v>
      </c>
      <c r="CT199" s="16">
        <v>-9999</v>
      </c>
      <c r="CU199" s="16">
        <v>-9999</v>
      </c>
      <c r="CV199" s="16">
        <v>-9999</v>
      </c>
      <c r="CW199" s="16">
        <v>-9999</v>
      </c>
      <c r="CX199" s="16">
        <v>-9999</v>
      </c>
      <c r="CY199" s="16">
        <v>-9999</v>
      </c>
      <c r="CZ199" s="16">
        <v>-9999</v>
      </c>
      <c r="DA199" s="16">
        <v>-9999</v>
      </c>
      <c r="DB199" s="16">
        <v>-9999</v>
      </c>
      <c r="DC199" s="16">
        <v>-9999</v>
      </c>
      <c r="DD199" s="16">
        <v>-9999</v>
      </c>
      <c r="DE199" s="16">
        <v>-9999</v>
      </c>
      <c r="DF199" s="16">
        <v>-9999</v>
      </c>
      <c r="DG199" s="16">
        <v>-9999</v>
      </c>
      <c r="DH199" s="16">
        <v>-9999</v>
      </c>
      <c r="DI199" s="16">
        <v>-9999</v>
      </c>
      <c r="DJ199" s="16">
        <v>-9999</v>
      </c>
      <c r="DK199" s="16">
        <v>-9999</v>
      </c>
      <c r="DL199" s="16">
        <v>-9999</v>
      </c>
      <c r="DM199" s="16">
        <v>-9999</v>
      </c>
      <c r="DN199" s="16">
        <v>-9999</v>
      </c>
      <c r="DO199" s="16">
        <v>-9999</v>
      </c>
      <c r="DP199" s="16">
        <v>-9999</v>
      </c>
      <c r="DQ199" s="16">
        <v>-9999</v>
      </c>
      <c r="DR199" s="16">
        <v>-9999</v>
      </c>
      <c r="DS199" s="16">
        <v>-9999</v>
      </c>
      <c r="DT199" s="16">
        <v>-9999</v>
      </c>
      <c r="DU199" s="16">
        <v>-9999</v>
      </c>
      <c r="DV199" s="16">
        <v>-9999</v>
      </c>
      <c r="DW199" s="16">
        <v>-9999</v>
      </c>
      <c r="DX199" s="16">
        <v>-9999</v>
      </c>
      <c r="DY199" s="16">
        <v>-9999</v>
      </c>
      <c r="DZ199" s="16">
        <v>-9999</v>
      </c>
      <c r="EA199" s="2107">
        <v>-9999</v>
      </c>
      <c r="EB199" s="2107">
        <v>-9999</v>
      </c>
      <c r="EC199" s="2107">
        <v>-9999</v>
      </c>
      <c r="ED199" s="2107">
        <v>-9999</v>
      </c>
      <c r="EE199" s="2107">
        <v>-9999</v>
      </c>
      <c r="EF199" s="2107">
        <v>-9999</v>
      </c>
      <c r="EG199" s="2107">
        <v>-9999</v>
      </c>
      <c r="EH199" s="2107">
        <v>-9999</v>
      </c>
      <c r="EI199" s="2107">
        <v>-9999</v>
      </c>
      <c r="EJ199" s="2107">
        <v>-9999</v>
      </c>
      <c r="EK199" s="2107">
        <v>-9999</v>
      </c>
      <c r="EL199" s="2107">
        <v>-9999</v>
      </c>
      <c r="EM199" s="2107">
        <v>-9999</v>
      </c>
    </row>
    <row r="200" spans="1:143">
      <c r="A200" s="22">
        <v>100</v>
      </c>
      <c r="B200" s="1" t="s">
        <v>1349</v>
      </c>
      <c r="C200" s="24">
        <f ca="1">OFFSET(Sector1!F169,0,Last_forecast_year - 3-InputY!$G$3)</f>
        <v>249.8425</v>
      </c>
      <c r="D200" s="24">
        <f ca="1">OFFSET(Sector1!G169,0,Last_forecast_year - 3-InputY!$G$3)</f>
        <v>257.62099999999998</v>
      </c>
      <c r="E200" s="24">
        <f ca="1">OFFSET(Sector1!H169,0,Last_forecast_year - 3-InputY!$G$3)</f>
        <v>268.26206499999995</v>
      </c>
      <c r="F200" s="24">
        <f ca="1">OFFSET(Sector1!I169,0,Last_forecast_year - 3-InputY!$G$3)</f>
        <v>279.56150323352051</v>
      </c>
      <c r="G200" s="24">
        <f ca="1">OFFSET(Sector1!J169,0,Last_forecast_year - 3-InputY!$G$3)</f>
        <v>291.01575720878168</v>
      </c>
      <c r="H200" s="25">
        <v>-9999</v>
      </c>
      <c r="I200" s="25">
        <v>-9999</v>
      </c>
      <c r="J200" s="25">
        <v>-9999</v>
      </c>
      <c r="K200" s="25">
        <v>-9999</v>
      </c>
      <c r="L200" s="25">
        <v>-9999</v>
      </c>
      <c r="M200" s="25">
        <v>-9999</v>
      </c>
      <c r="N200" s="25">
        <v>-9999</v>
      </c>
      <c r="O200" s="25">
        <v>-9999</v>
      </c>
      <c r="P200"/>
      <c r="Q200"/>
      <c r="AA200" s="22">
        <v>100</v>
      </c>
      <c r="AB200" s="1081" t="str">
        <f t="shared" si="8"/>
        <v xml:space="preserve">COR GROSS VALUE ADDED </v>
      </c>
      <c r="AC200" s="1081">
        <f>CHOOSE(Tables!$U$2,Transfer!CA200,Transfer!CN200,Transfer!DA200,Transfer!DN200,Transfer!EA200)</f>
        <v>249.8425</v>
      </c>
      <c r="AD200" s="1081">
        <f>CHOOSE(Tables!$U$2,Transfer!CB200,Transfer!CO200,Transfer!DB200,Transfer!DO200,Transfer!EB200)</f>
        <v>257.62099999999998</v>
      </c>
      <c r="AE200" s="1081">
        <f>CHOOSE(Tables!$U$2,Transfer!CC200,Transfer!CP200,Transfer!DC200,Transfer!DP200,Transfer!EC200)</f>
        <v>268.26206499999995</v>
      </c>
      <c r="AF200" s="1081">
        <f>CHOOSE(Tables!$U$2,Transfer!CD200,Transfer!CQ200,Transfer!DD200,Transfer!DQ200,Transfer!ED200)</f>
        <v>279.31001287361909</v>
      </c>
      <c r="AG200" s="1081">
        <f>CHOOSE(Tables!$U$2,Transfer!CE200,Transfer!CR200,Transfer!DE200,Transfer!DR200,Transfer!EE200)</f>
        <v>290.60812197035733</v>
      </c>
      <c r="AH200" s="1081">
        <f>CHOOSE(Tables!$U$2,Transfer!CF200,Transfer!CS200,Transfer!DF200,Transfer!DS200,Transfer!EF200)</f>
        <v>-9999</v>
      </c>
      <c r="AI200" s="1081">
        <f>CHOOSE(Tables!$U$2,Transfer!CG200,Transfer!CT200,Transfer!DG200,Transfer!DT200,Transfer!EG200)</f>
        <v>-9999</v>
      </c>
      <c r="AJ200" s="1081">
        <f>CHOOSE(Tables!$U$2,Transfer!CH200,Transfer!CU200,Transfer!DH200,Transfer!DU200,Transfer!EH200)</f>
        <v>-9999</v>
      </c>
      <c r="AK200" s="1081">
        <f>CHOOSE(Tables!$U$2,Transfer!CI200,Transfer!CV200,Transfer!DI200,Transfer!DV200,Transfer!EI200)</f>
        <v>-9999</v>
      </c>
      <c r="AL200" s="1081">
        <f>CHOOSE(Tables!$U$2,Transfer!CJ200,Transfer!CW200,Transfer!DJ200,Transfer!DW200,Transfer!EJ200)</f>
        <v>-9999</v>
      </c>
      <c r="AM200" s="1081">
        <f>CHOOSE(Tables!$U$2,Transfer!CK200,Transfer!CX200,Transfer!DK200,Transfer!DX200,Transfer!EK200)</f>
        <v>-9999</v>
      </c>
      <c r="AN200" s="1081">
        <f>CHOOSE(Tables!$U$2,Transfer!CL200,Transfer!CY200,Transfer!DL200,Transfer!DY200,Transfer!EL200)</f>
        <v>-9999</v>
      </c>
      <c r="AO200" s="1081">
        <f>CHOOSE(Tables!$U$2,Transfer!CM200,Transfer!CZ200,Transfer!DM200,Transfer!DZ200,Transfer!EM200)</f>
        <v>-9999</v>
      </c>
      <c r="AR200" s="22">
        <v>100</v>
      </c>
      <c r="AS200" s="1" t="s">
        <v>1349</v>
      </c>
      <c r="AT200" s="24">
        <f t="shared" ca="1" si="11"/>
        <v>0</v>
      </c>
      <c r="AU200" s="24">
        <f t="shared" ca="1" si="12"/>
        <v>0</v>
      </c>
      <c r="AV200" s="24">
        <f t="shared" ca="1" si="13"/>
        <v>0</v>
      </c>
      <c r="AW200" s="24">
        <f t="shared" ca="1" si="14"/>
        <v>0.25149035990142465</v>
      </c>
      <c r="AX200" s="24">
        <f t="shared" ca="1" si="15"/>
        <v>0.40763523842434779</v>
      </c>
      <c r="AY200" s="25">
        <f t="shared" si="16"/>
        <v>0</v>
      </c>
      <c r="AZ200" s="25">
        <f t="shared" si="17"/>
        <v>0</v>
      </c>
      <c r="BA200" s="25">
        <f t="shared" si="18"/>
        <v>0</v>
      </c>
      <c r="BB200" s="25">
        <f t="shared" si="19"/>
        <v>0</v>
      </c>
      <c r="BC200" s="25">
        <f t="shared" si="7"/>
        <v>0</v>
      </c>
      <c r="BD200" s="25">
        <f t="shared" si="7"/>
        <v>0</v>
      </c>
      <c r="BE200" s="25">
        <f t="shared" si="7"/>
        <v>0</v>
      </c>
      <c r="BF200" s="25">
        <f t="shared" si="7"/>
        <v>0</v>
      </c>
      <c r="CA200" s="16">
        <v>249.8425</v>
      </c>
      <c r="CB200" s="16">
        <v>257.62099999999998</v>
      </c>
      <c r="CC200" s="16">
        <v>268.26206499999995</v>
      </c>
      <c r="CD200" s="16">
        <v>279.31001287361909</v>
      </c>
      <c r="CE200" s="16">
        <v>290.60812197035733</v>
      </c>
      <c r="CF200" s="16">
        <v>-9999</v>
      </c>
      <c r="CG200" s="16">
        <v>-9999</v>
      </c>
      <c r="CH200" s="16">
        <v>-9999</v>
      </c>
      <c r="CI200" s="16">
        <v>-9999</v>
      </c>
      <c r="CJ200" s="16">
        <v>-9999</v>
      </c>
      <c r="CK200" s="16">
        <v>-9999</v>
      </c>
      <c r="CL200" s="16">
        <v>-9999</v>
      </c>
      <c r="CM200" s="16">
        <v>-9999</v>
      </c>
      <c r="CN200" s="16">
        <v>249.8425</v>
      </c>
      <c r="CO200" s="16">
        <v>257.62099999999998</v>
      </c>
      <c r="CP200" s="16">
        <v>265.35365945793274</v>
      </c>
      <c r="CQ200" s="16">
        <v>274.75781415582446</v>
      </c>
      <c r="CR200" s="16">
        <v>285.72120533763575</v>
      </c>
      <c r="CS200" s="16">
        <v>-9999</v>
      </c>
      <c r="CT200" s="16">
        <v>-9999</v>
      </c>
      <c r="CU200" s="16">
        <v>-9999</v>
      </c>
      <c r="CV200" s="16">
        <v>-9999</v>
      </c>
      <c r="CW200" s="16">
        <v>-9999</v>
      </c>
      <c r="CX200" s="16">
        <v>-9999</v>
      </c>
      <c r="CY200" s="16">
        <v>-9999</v>
      </c>
      <c r="CZ200" s="16">
        <v>-9999</v>
      </c>
      <c r="DA200" s="16">
        <v>249.8425</v>
      </c>
      <c r="DB200" s="16">
        <v>257.62099999999998</v>
      </c>
      <c r="DC200" s="16">
        <v>268.26206499999995</v>
      </c>
      <c r="DD200" s="16">
        <v>279.31001287361909</v>
      </c>
      <c r="DE200" s="16">
        <v>290.60812197035733</v>
      </c>
      <c r="DF200" s="16">
        <v>-9999</v>
      </c>
      <c r="DG200" s="16">
        <v>-9999</v>
      </c>
      <c r="DH200" s="16">
        <v>-9999</v>
      </c>
      <c r="DI200" s="16">
        <v>-9999</v>
      </c>
      <c r="DJ200" s="16">
        <v>-9999</v>
      </c>
      <c r="DK200" s="16">
        <v>-9999</v>
      </c>
      <c r="DL200" s="16">
        <v>-9999</v>
      </c>
      <c r="DM200" s="16">
        <v>-9999</v>
      </c>
      <c r="DN200" s="16">
        <v>249.8425</v>
      </c>
      <c r="DO200" s="16">
        <v>257.62099999999998</v>
      </c>
      <c r="DP200" s="16">
        <v>268.26206499999995</v>
      </c>
      <c r="DQ200" s="16">
        <v>279.31001287361909</v>
      </c>
      <c r="DR200" s="16">
        <v>290.60812197035733</v>
      </c>
      <c r="DS200" s="16">
        <v>-9999</v>
      </c>
      <c r="DT200" s="16">
        <v>-9999</v>
      </c>
      <c r="DU200" s="16">
        <v>-9999</v>
      </c>
      <c r="DV200" s="16">
        <v>-9999</v>
      </c>
      <c r="DW200" s="16">
        <v>-9999</v>
      </c>
      <c r="DX200" s="16">
        <v>-9999</v>
      </c>
      <c r="DY200" s="16">
        <v>-9999</v>
      </c>
      <c r="DZ200" s="16">
        <v>-9999</v>
      </c>
      <c r="EA200" s="2106">
        <v>249.8425</v>
      </c>
      <c r="EB200" s="2106">
        <v>257.62099999999998</v>
      </c>
      <c r="EC200" s="2106">
        <v>268.26206499999995</v>
      </c>
      <c r="ED200" s="2106">
        <v>279.56150323352051</v>
      </c>
      <c r="EE200" s="2106">
        <v>291.01575720878168</v>
      </c>
      <c r="EF200" s="2107">
        <v>-9999</v>
      </c>
      <c r="EG200" s="2107">
        <v>-9999</v>
      </c>
      <c r="EH200" s="2107">
        <v>-9999</v>
      </c>
      <c r="EI200" s="2107">
        <v>-9999</v>
      </c>
      <c r="EJ200" s="2107">
        <v>-9999</v>
      </c>
      <c r="EK200" s="2107">
        <v>-9999</v>
      </c>
      <c r="EL200" s="2107">
        <v>-9999</v>
      </c>
      <c r="EM200" s="2107">
        <v>-9999</v>
      </c>
    </row>
    <row r="201" spans="1:143">
      <c r="A201" s="22">
        <v>101</v>
      </c>
      <c r="B201" s="1" t="s">
        <v>1350</v>
      </c>
      <c r="C201" s="24">
        <f ca="1">OFFSET(Sector1!F134,0,Last_forecast_year - 3-InputY!$G$3)</f>
        <v>11.317200000000001</v>
      </c>
      <c r="D201" s="24">
        <f ca="1">OFFSET(Sector1!G134,0,Last_forecast_year - 3-InputY!$G$3)</f>
        <v>11.2653</v>
      </c>
      <c r="E201" s="24">
        <f ca="1">OFFSET(Sector1!H134,0,Last_forecast_year - 3-InputY!$G$3)</f>
        <v>11.62353654</v>
      </c>
      <c r="F201" s="24">
        <f ca="1">OFFSET(Sector1!I134,0,Last_forecast_year - 3-InputY!$G$3)</f>
        <v>11.616562418075999</v>
      </c>
      <c r="G201" s="24">
        <f ca="1">OFFSET(Sector1!J134,0,Last_forecast_year - 3-InputY!$G$3)</f>
        <v>11.91626972846236</v>
      </c>
      <c r="H201" s="25">
        <v>-9999</v>
      </c>
      <c r="I201" s="25">
        <v>-9999</v>
      </c>
      <c r="J201" s="25">
        <v>-9999</v>
      </c>
      <c r="K201" s="25">
        <v>-9999</v>
      </c>
      <c r="L201" s="25">
        <v>-9999</v>
      </c>
      <c r="M201" s="25">
        <v>-9999</v>
      </c>
      <c r="N201" s="25">
        <v>-9999</v>
      </c>
      <c r="O201" s="25">
        <v>-9999</v>
      </c>
      <c r="P201"/>
      <c r="Q201"/>
      <c r="AA201" s="22">
        <v>101</v>
      </c>
      <c r="AB201" s="1081" t="str">
        <f t="shared" si="8"/>
        <v xml:space="preserve">COR OTHER SUBSIDIES ON PRODUCTION </v>
      </c>
      <c r="AC201" s="1081">
        <f>CHOOSE(Tables!$U$2,Transfer!CA201,Transfer!CN201,Transfer!DA201,Transfer!DN201,Transfer!EA201)</f>
        <v>11.317200000000001</v>
      </c>
      <c r="AD201" s="1081">
        <f>CHOOSE(Tables!$U$2,Transfer!CB201,Transfer!CO201,Transfer!DB201,Transfer!DO201,Transfer!EB201)</f>
        <v>11.2653</v>
      </c>
      <c r="AE201" s="1081">
        <f>CHOOSE(Tables!$U$2,Transfer!CC201,Transfer!CP201,Transfer!DC201,Transfer!DP201,Transfer!EC201)</f>
        <v>11.62353654</v>
      </c>
      <c r="AF201" s="1081">
        <f>CHOOSE(Tables!$U$2,Transfer!CD201,Transfer!CQ201,Transfer!DD201,Transfer!DQ201,Transfer!ED201)</f>
        <v>11.616562418075999</v>
      </c>
      <c r="AG201" s="1081">
        <f>CHOOSE(Tables!$U$2,Transfer!CE201,Transfer!CR201,Transfer!DE201,Transfer!DR201,Transfer!EE201)</f>
        <v>11.91626972846236</v>
      </c>
      <c r="AH201" s="1081">
        <f>CHOOSE(Tables!$U$2,Transfer!CF201,Transfer!CS201,Transfer!DF201,Transfer!DS201,Transfer!EF201)</f>
        <v>-9999</v>
      </c>
      <c r="AI201" s="1081">
        <f>CHOOSE(Tables!$U$2,Transfer!CG201,Transfer!CT201,Transfer!DG201,Transfer!DT201,Transfer!EG201)</f>
        <v>-9999</v>
      </c>
      <c r="AJ201" s="1081">
        <f>CHOOSE(Tables!$U$2,Transfer!CH201,Transfer!CU201,Transfer!DH201,Transfer!DU201,Transfer!EH201)</f>
        <v>-9999</v>
      </c>
      <c r="AK201" s="1081">
        <f>CHOOSE(Tables!$U$2,Transfer!CI201,Transfer!CV201,Transfer!DI201,Transfer!DV201,Transfer!EI201)</f>
        <v>-9999</v>
      </c>
      <c r="AL201" s="1081">
        <f>CHOOSE(Tables!$U$2,Transfer!CJ201,Transfer!CW201,Transfer!DJ201,Transfer!DW201,Transfer!EJ201)</f>
        <v>-9999</v>
      </c>
      <c r="AM201" s="1081">
        <f>CHOOSE(Tables!$U$2,Transfer!CK201,Transfer!CX201,Transfer!DK201,Transfer!DX201,Transfer!EK201)</f>
        <v>-9999</v>
      </c>
      <c r="AN201" s="1081">
        <f>CHOOSE(Tables!$U$2,Transfer!CL201,Transfer!CY201,Transfer!DL201,Transfer!DY201,Transfer!EL201)</f>
        <v>-9999</v>
      </c>
      <c r="AO201" s="1081">
        <f>CHOOSE(Tables!$U$2,Transfer!CM201,Transfer!CZ201,Transfer!DM201,Transfer!DZ201,Transfer!EM201)</f>
        <v>-9999</v>
      </c>
      <c r="AR201" s="22">
        <v>101</v>
      </c>
      <c r="AS201" s="1" t="s">
        <v>1350</v>
      </c>
      <c r="AT201" s="24">
        <f t="shared" ca="1" si="11"/>
        <v>0</v>
      </c>
      <c r="AU201" s="24">
        <f t="shared" ca="1" si="12"/>
        <v>0</v>
      </c>
      <c r="AV201" s="24">
        <f t="shared" ca="1" si="13"/>
        <v>0</v>
      </c>
      <c r="AW201" s="24">
        <f t="shared" ca="1" si="14"/>
        <v>0</v>
      </c>
      <c r="AX201" s="24">
        <f t="shared" ca="1" si="15"/>
        <v>0</v>
      </c>
      <c r="AY201" s="25">
        <f t="shared" si="16"/>
        <v>0</v>
      </c>
      <c r="AZ201" s="25">
        <f t="shared" si="17"/>
        <v>0</v>
      </c>
      <c r="BA201" s="25">
        <f t="shared" si="18"/>
        <v>0</v>
      </c>
      <c r="BB201" s="25">
        <f t="shared" si="19"/>
        <v>0</v>
      </c>
      <c r="BC201" s="25">
        <f t="shared" si="7"/>
        <v>0</v>
      </c>
      <c r="BD201" s="25">
        <f t="shared" si="7"/>
        <v>0</v>
      </c>
      <c r="BE201" s="25">
        <f t="shared" si="7"/>
        <v>0</v>
      </c>
      <c r="BF201" s="25">
        <f t="shared" si="7"/>
        <v>0</v>
      </c>
      <c r="CA201" s="16">
        <v>11.317200000000001</v>
      </c>
      <c r="CB201" s="16">
        <v>11.2653</v>
      </c>
      <c r="CC201" s="16">
        <v>11.62353654</v>
      </c>
      <c r="CD201" s="16">
        <v>11.616562418075999</v>
      </c>
      <c r="CE201" s="16">
        <v>11.91626972846236</v>
      </c>
      <c r="CF201" s="16">
        <v>-9999</v>
      </c>
      <c r="CG201" s="16">
        <v>-9999</v>
      </c>
      <c r="CH201" s="16">
        <v>-9999</v>
      </c>
      <c r="CI201" s="16">
        <v>-9999</v>
      </c>
      <c r="CJ201" s="16">
        <v>-9999</v>
      </c>
      <c r="CK201" s="16">
        <v>-9999</v>
      </c>
      <c r="CL201" s="16">
        <v>-9999</v>
      </c>
      <c r="CM201" s="16">
        <v>-9999</v>
      </c>
      <c r="CN201" s="16">
        <v>11.317200000000001</v>
      </c>
      <c r="CO201" s="16">
        <v>11.2653</v>
      </c>
      <c r="CP201" s="16">
        <v>11.667130818798192</v>
      </c>
      <c r="CQ201" s="16">
        <v>11.739127045368503</v>
      </c>
      <c r="CR201" s="16">
        <v>12.099460562400036</v>
      </c>
      <c r="CS201" s="16">
        <v>-9999</v>
      </c>
      <c r="CT201" s="16">
        <v>-9999</v>
      </c>
      <c r="CU201" s="16">
        <v>-9999</v>
      </c>
      <c r="CV201" s="16">
        <v>-9999</v>
      </c>
      <c r="CW201" s="16">
        <v>-9999</v>
      </c>
      <c r="CX201" s="16">
        <v>-9999</v>
      </c>
      <c r="CY201" s="16">
        <v>-9999</v>
      </c>
      <c r="CZ201" s="16">
        <v>-9999</v>
      </c>
      <c r="DA201" s="16">
        <v>11.317200000000001</v>
      </c>
      <c r="DB201" s="16">
        <v>11.2653</v>
      </c>
      <c r="DC201" s="16">
        <v>11.62353654</v>
      </c>
      <c r="DD201" s="16">
        <v>11.616562418075999</v>
      </c>
      <c r="DE201" s="16">
        <v>11.91626972846236</v>
      </c>
      <c r="DF201" s="16">
        <v>-9999</v>
      </c>
      <c r="DG201" s="16">
        <v>-9999</v>
      </c>
      <c r="DH201" s="16">
        <v>-9999</v>
      </c>
      <c r="DI201" s="16">
        <v>-9999</v>
      </c>
      <c r="DJ201" s="16">
        <v>-9999</v>
      </c>
      <c r="DK201" s="16">
        <v>-9999</v>
      </c>
      <c r="DL201" s="16">
        <v>-9999</v>
      </c>
      <c r="DM201" s="16">
        <v>-9999</v>
      </c>
      <c r="DN201" s="16">
        <v>11.317200000000001</v>
      </c>
      <c r="DO201" s="16">
        <v>11.2653</v>
      </c>
      <c r="DP201" s="16">
        <v>11.62353654</v>
      </c>
      <c r="DQ201" s="16">
        <v>11.616562418075999</v>
      </c>
      <c r="DR201" s="16">
        <v>11.91626972846236</v>
      </c>
      <c r="DS201" s="16">
        <v>-9999</v>
      </c>
      <c r="DT201" s="16">
        <v>-9999</v>
      </c>
      <c r="DU201" s="16">
        <v>-9999</v>
      </c>
      <c r="DV201" s="16">
        <v>-9999</v>
      </c>
      <c r="DW201" s="16">
        <v>-9999</v>
      </c>
      <c r="DX201" s="16">
        <v>-9999</v>
      </c>
      <c r="DY201" s="16">
        <v>-9999</v>
      </c>
      <c r="DZ201" s="16">
        <v>-9999</v>
      </c>
      <c r="EA201" s="2106">
        <v>11.317200000000001</v>
      </c>
      <c r="EB201" s="2106">
        <v>11.2653</v>
      </c>
      <c r="EC201" s="2106">
        <v>11.62353654</v>
      </c>
      <c r="ED201" s="2106">
        <v>11.616562418075999</v>
      </c>
      <c r="EE201" s="2106">
        <v>11.91626972846236</v>
      </c>
      <c r="EF201" s="2107">
        <v>-9999</v>
      </c>
      <c r="EG201" s="2107">
        <v>-9999</v>
      </c>
      <c r="EH201" s="2107">
        <v>-9999</v>
      </c>
      <c r="EI201" s="2107">
        <v>-9999</v>
      </c>
      <c r="EJ201" s="2107">
        <v>-9999</v>
      </c>
      <c r="EK201" s="2107">
        <v>-9999</v>
      </c>
      <c r="EL201" s="2107">
        <v>-9999</v>
      </c>
      <c r="EM201" s="2107">
        <v>-9999</v>
      </c>
    </row>
    <row r="202" spans="1:143">
      <c r="A202" s="22">
        <v>102</v>
      </c>
      <c r="B202" s="1" t="s">
        <v>1351</v>
      </c>
      <c r="C202" s="24">
        <f ca="1">OFFSET(Sector1!F24,0,Last_forecast_year - 3-InputY!$G$3)</f>
        <v>5.6438000000000006</v>
      </c>
      <c r="D202" s="24">
        <f ca="1">OFFSET(Sector1!G24,0,Last_forecast_year - 3-InputY!$G$3)</f>
        <v>5.8630000000000004</v>
      </c>
      <c r="E202" s="24">
        <f ca="1">OFFSET(Sector1!H24,0,Last_forecast_year - 3-InputY!$G$3)</f>
        <v>5.8067709327159749</v>
      </c>
      <c r="F202" s="24">
        <f ca="1">OFFSET(Sector1!I24,0,Last_forecast_year - 3-InputY!$G$3)</f>
        <v>5.9229063513702949</v>
      </c>
      <c r="G202" s="24">
        <f ca="1">OFFSET(Sector1!J24,0,Last_forecast_year - 3-InputY!$G$3)</f>
        <v>6.0668329757085928</v>
      </c>
      <c r="H202" s="25">
        <v>-9999</v>
      </c>
      <c r="I202" s="25">
        <v>-9999</v>
      </c>
      <c r="J202" s="25">
        <v>-9999</v>
      </c>
      <c r="K202" s="25">
        <v>-9999</v>
      </c>
      <c r="L202" s="25">
        <v>-9999</v>
      </c>
      <c r="M202" s="25">
        <v>-9999</v>
      </c>
      <c r="N202" s="25">
        <v>-9999</v>
      </c>
      <c r="O202" s="25">
        <v>-9999</v>
      </c>
      <c r="P202"/>
      <c r="Q202"/>
      <c r="AA202" s="22">
        <v>102</v>
      </c>
      <c r="AB202" s="1081" t="str">
        <f t="shared" si="8"/>
        <v>COR OTHER TAXES ON PRODUCTS</v>
      </c>
      <c r="AC202" s="1081">
        <f>CHOOSE(Tables!$U$2,Transfer!CA202,Transfer!CN202,Transfer!DA202,Transfer!DN202,Transfer!EA202)</f>
        <v>5.6438000000000006</v>
      </c>
      <c r="AD202" s="1081">
        <f>CHOOSE(Tables!$U$2,Transfer!CB202,Transfer!CO202,Transfer!DB202,Transfer!DO202,Transfer!EB202)</f>
        <v>5.8630000000000004</v>
      </c>
      <c r="AE202" s="1081">
        <f>CHOOSE(Tables!$U$2,Transfer!CC202,Transfer!CP202,Transfer!DC202,Transfer!DP202,Transfer!EC202)</f>
        <v>5.8067709327159749</v>
      </c>
      <c r="AF202" s="1081">
        <f>CHOOSE(Tables!$U$2,Transfer!CD202,Transfer!CQ202,Transfer!DD202,Transfer!DQ202,Transfer!ED202)</f>
        <v>5.9461334351011583</v>
      </c>
      <c r="AG202" s="1081">
        <f>CHOOSE(Tables!$U$2,Transfer!CE202,Transfer!CR202,Transfer!DE202,Transfer!DR202,Transfer!EE202)</f>
        <v>6.0906244775741163</v>
      </c>
      <c r="AH202" s="1081">
        <f>CHOOSE(Tables!$U$2,Transfer!CF202,Transfer!CS202,Transfer!DF202,Transfer!DS202,Transfer!EF202)</f>
        <v>-9999</v>
      </c>
      <c r="AI202" s="1081">
        <f>CHOOSE(Tables!$U$2,Transfer!CG202,Transfer!CT202,Transfer!DG202,Transfer!DT202,Transfer!EG202)</f>
        <v>-9999</v>
      </c>
      <c r="AJ202" s="1081">
        <f>CHOOSE(Tables!$U$2,Transfer!CH202,Transfer!CU202,Transfer!DH202,Transfer!DU202,Transfer!EH202)</f>
        <v>-9999</v>
      </c>
      <c r="AK202" s="1081">
        <f>CHOOSE(Tables!$U$2,Transfer!CI202,Transfer!CV202,Transfer!DI202,Transfer!DV202,Transfer!EI202)</f>
        <v>-9999</v>
      </c>
      <c r="AL202" s="1081">
        <f>CHOOSE(Tables!$U$2,Transfer!CJ202,Transfer!CW202,Transfer!DJ202,Transfer!DW202,Transfer!EJ202)</f>
        <v>-9999</v>
      </c>
      <c r="AM202" s="1081">
        <f>CHOOSE(Tables!$U$2,Transfer!CK202,Transfer!CX202,Transfer!DK202,Transfer!DX202,Transfer!EK202)</f>
        <v>-9999</v>
      </c>
      <c r="AN202" s="1081">
        <f>CHOOSE(Tables!$U$2,Transfer!CL202,Transfer!CY202,Transfer!DL202,Transfer!DY202,Transfer!EL202)</f>
        <v>-9999</v>
      </c>
      <c r="AO202" s="1081">
        <f>CHOOSE(Tables!$U$2,Transfer!CM202,Transfer!CZ202,Transfer!DM202,Transfer!DZ202,Transfer!EM202)</f>
        <v>-9999</v>
      </c>
      <c r="AR202" s="22">
        <v>102</v>
      </c>
      <c r="AS202" s="1" t="s">
        <v>1351</v>
      </c>
      <c r="AT202" s="24">
        <f t="shared" ca="1" si="11"/>
        <v>0</v>
      </c>
      <c r="AU202" s="24">
        <f t="shared" ca="1" si="12"/>
        <v>0</v>
      </c>
      <c r="AV202" s="24">
        <f t="shared" ca="1" si="13"/>
        <v>0</v>
      </c>
      <c r="AW202" s="24">
        <f t="shared" ca="1" si="14"/>
        <v>-2.3227083730863463E-2</v>
      </c>
      <c r="AX202" s="24">
        <f t="shared" ca="1" si="15"/>
        <v>-2.3791501865523479E-2</v>
      </c>
      <c r="AY202" s="25">
        <f t="shared" si="16"/>
        <v>0</v>
      </c>
      <c r="AZ202" s="25">
        <f t="shared" si="17"/>
        <v>0</v>
      </c>
      <c r="BA202" s="25">
        <f t="shared" si="18"/>
        <v>0</v>
      </c>
      <c r="BB202" s="25">
        <f t="shared" si="19"/>
        <v>0</v>
      </c>
      <c r="BC202" s="25">
        <f t="shared" ref="BC202:BF206" si="20">L202-AL202</f>
        <v>0</v>
      </c>
      <c r="BD202" s="25">
        <f t="shared" si="20"/>
        <v>0</v>
      </c>
      <c r="BE202" s="25">
        <f t="shared" si="20"/>
        <v>0</v>
      </c>
      <c r="BF202" s="25">
        <f t="shared" si="20"/>
        <v>0</v>
      </c>
      <c r="CA202" s="16">
        <v>5.6438000000000006</v>
      </c>
      <c r="CB202" s="16">
        <v>5.8630000000000004</v>
      </c>
      <c r="CC202" s="16">
        <v>5.8067709327159749</v>
      </c>
      <c r="CD202" s="16">
        <v>5.9461334351011583</v>
      </c>
      <c r="CE202" s="16">
        <v>6.0906244775741163</v>
      </c>
      <c r="CF202" s="16">
        <v>-9999</v>
      </c>
      <c r="CG202" s="16">
        <v>-9999</v>
      </c>
      <c r="CH202" s="16">
        <v>-9999</v>
      </c>
      <c r="CI202" s="16">
        <v>-9999</v>
      </c>
      <c r="CJ202" s="16">
        <v>-9999</v>
      </c>
      <c r="CK202" s="16">
        <v>-9999</v>
      </c>
      <c r="CL202" s="16">
        <v>-9999</v>
      </c>
      <c r="CM202" s="16">
        <v>-9999</v>
      </c>
      <c r="CN202" s="16">
        <v>5.6438000000000006</v>
      </c>
      <c r="CO202" s="16">
        <v>5.8630000000000004</v>
      </c>
      <c r="CP202" s="16">
        <v>5.8724732785706992</v>
      </c>
      <c r="CQ202" s="16">
        <v>6.0004167252678782</v>
      </c>
      <c r="CR202" s="16">
        <v>6.2104313106522531</v>
      </c>
      <c r="CS202" s="16">
        <v>-9999</v>
      </c>
      <c r="CT202" s="16">
        <v>-9999</v>
      </c>
      <c r="CU202" s="16">
        <v>-9999</v>
      </c>
      <c r="CV202" s="16">
        <v>-9999</v>
      </c>
      <c r="CW202" s="16">
        <v>-9999</v>
      </c>
      <c r="CX202" s="16">
        <v>-9999</v>
      </c>
      <c r="CY202" s="16">
        <v>-9999</v>
      </c>
      <c r="CZ202" s="16">
        <v>-9999</v>
      </c>
      <c r="DA202" s="16">
        <v>5.6438000000000006</v>
      </c>
      <c r="DB202" s="16">
        <v>5.8630000000000004</v>
      </c>
      <c r="DC202" s="16">
        <v>5.8067709327159749</v>
      </c>
      <c r="DD202" s="16">
        <v>5.9461334351011583</v>
      </c>
      <c r="DE202" s="16">
        <v>6.0906244775741163</v>
      </c>
      <c r="DF202" s="16">
        <v>-9999</v>
      </c>
      <c r="DG202" s="16">
        <v>-9999</v>
      </c>
      <c r="DH202" s="16">
        <v>-9999</v>
      </c>
      <c r="DI202" s="16">
        <v>-9999</v>
      </c>
      <c r="DJ202" s="16">
        <v>-9999</v>
      </c>
      <c r="DK202" s="16">
        <v>-9999</v>
      </c>
      <c r="DL202" s="16">
        <v>-9999</v>
      </c>
      <c r="DM202" s="16">
        <v>-9999</v>
      </c>
      <c r="DN202" s="16">
        <v>5.6438000000000006</v>
      </c>
      <c r="DO202" s="16">
        <v>5.8630000000000004</v>
      </c>
      <c r="DP202" s="16">
        <v>5.8067709327159749</v>
      </c>
      <c r="DQ202" s="16">
        <v>5.9461334351011583</v>
      </c>
      <c r="DR202" s="16">
        <v>6.0906244775741163</v>
      </c>
      <c r="DS202" s="16">
        <v>-9999</v>
      </c>
      <c r="DT202" s="16">
        <v>-9999</v>
      </c>
      <c r="DU202" s="16">
        <v>-9999</v>
      </c>
      <c r="DV202" s="16">
        <v>-9999</v>
      </c>
      <c r="DW202" s="16">
        <v>-9999</v>
      </c>
      <c r="DX202" s="16">
        <v>-9999</v>
      </c>
      <c r="DY202" s="16">
        <v>-9999</v>
      </c>
      <c r="DZ202" s="16">
        <v>-9999</v>
      </c>
      <c r="EA202" s="2106">
        <v>5.6438000000000006</v>
      </c>
      <c r="EB202" s="2106">
        <v>5.8630000000000004</v>
      </c>
      <c r="EC202" s="2106">
        <v>5.8067709327159749</v>
      </c>
      <c r="ED202" s="2106">
        <v>5.9229063513702949</v>
      </c>
      <c r="EE202" s="2106">
        <v>6.0668329757085928</v>
      </c>
      <c r="EF202" s="2107">
        <v>-9999</v>
      </c>
      <c r="EG202" s="2107">
        <v>-9999</v>
      </c>
      <c r="EH202" s="2107">
        <v>-9999</v>
      </c>
      <c r="EI202" s="2107">
        <v>-9999</v>
      </c>
      <c r="EJ202" s="2107">
        <v>-9999</v>
      </c>
      <c r="EK202" s="2107">
        <v>-9999</v>
      </c>
      <c r="EL202" s="2107">
        <v>-9999</v>
      </c>
      <c r="EM202" s="2107">
        <v>-9999</v>
      </c>
    </row>
    <row r="203" spans="1:143">
      <c r="A203" s="22">
        <v>103</v>
      </c>
      <c r="B203" s="1" t="s">
        <v>1467</v>
      </c>
      <c r="C203" s="24">
        <f ca="1">OFFSET(Labour1!F210,0,Last_forecast_year - 3-InputY!$G$3)</f>
        <v>150.15020000000001</v>
      </c>
      <c r="D203" s="24">
        <f ca="1">OFFSET(Labour1!G210,0,Last_forecast_year - 3-InputY!$G$3)</f>
        <v>151.2167</v>
      </c>
      <c r="E203" s="24">
        <f ca="1">OFFSET(Labour1!H210,0,Last_forecast_year - 3-InputY!$G$3)</f>
        <v>156.53889599999997</v>
      </c>
      <c r="F203" s="24">
        <f ca="1">OFFSET(Labour1!I210,0,Last_forecast_year - 3-InputY!$G$3)</f>
        <v>162.57168400583615</v>
      </c>
      <c r="G203" s="24">
        <f ca="1">OFFSET(Labour1!J210,0,Last_forecast_year - 3-InputY!$G$3)</f>
        <v>168.52508755156842</v>
      </c>
      <c r="H203" s="25">
        <v>-9999</v>
      </c>
      <c r="I203" s="25">
        <v>-9999</v>
      </c>
      <c r="J203" s="25">
        <v>-9999</v>
      </c>
      <c r="K203" s="25">
        <v>-9999</v>
      </c>
      <c r="L203" s="25">
        <v>-9999</v>
      </c>
      <c r="M203" s="25">
        <v>-9999</v>
      </c>
      <c r="N203" s="25">
        <v>-9999</v>
      </c>
      <c r="O203" s="25">
        <v>-9999</v>
      </c>
      <c r="P203"/>
      <c r="Q203"/>
      <c r="AA203" s="22">
        <v>103</v>
      </c>
      <c r="AB203" s="1081" t="str">
        <f t="shared" si="8"/>
        <v xml:space="preserve">COR COMPENSATION OF EMPLOYEES </v>
      </c>
      <c r="AC203" s="1081">
        <f>CHOOSE(Tables!$U$2,Transfer!CA203,Transfer!CN203,Transfer!DA203,Transfer!DN203,Transfer!EA203)</f>
        <v>150.15020000000001</v>
      </c>
      <c r="AD203" s="1081">
        <f>CHOOSE(Tables!$U$2,Transfer!CB203,Transfer!CO203,Transfer!DB203,Transfer!DO203,Transfer!EB203)</f>
        <v>151.2167</v>
      </c>
      <c r="AE203" s="1081">
        <f>CHOOSE(Tables!$U$2,Transfer!CC203,Transfer!CP203,Transfer!DC203,Transfer!DP203,Transfer!EC203)</f>
        <v>156.53889599999997</v>
      </c>
      <c r="AF203" s="1081">
        <f>CHOOSE(Tables!$U$2,Transfer!CD203,Transfer!CQ203,Transfer!DD203,Transfer!DQ203,Transfer!ED203)</f>
        <v>162.57168400583612</v>
      </c>
      <c r="AG203" s="1081">
        <f>CHOOSE(Tables!$U$2,Transfer!CE203,Transfer!CR203,Transfer!DE203,Transfer!DR203,Transfer!EE203)</f>
        <v>168.52508755156845</v>
      </c>
      <c r="AH203" s="1081">
        <f>CHOOSE(Tables!$U$2,Transfer!CF203,Transfer!CS203,Transfer!DF203,Transfer!DS203,Transfer!EF203)</f>
        <v>-9999</v>
      </c>
      <c r="AI203" s="1081">
        <f>CHOOSE(Tables!$U$2,Transfer!CG203,Transfer!CT203,Transfer!DG203,Transfer!DT203,Transfer!EG203)</f>
        <v>-9999</v>
      </c>
      <c r="AJ203" s="1081">
        <f>CHOOSE(Tables!$U$2,Transfer!CH203,Transfer!CU203,Transfer!DH203,Transfer!DU203,Transfer!EH203)</f>
        <v>-9999</v>
      </c>
      <c r="AK203" s="1081">
        <f>CHOOSE(Tables!$U$2,Transfer!CI203,Transfer!CV203,Transfer!DI203,Transfer!DV203,Transfer!EI203)</f>
        <v>-9999</v>
      </c>
      <c r="AL203" s="1081">
        <f>CHOOSE(Tables!$U$2,Transfer!CJ203,Transfer!CW203,Transfer!DJ203,Transfer!DW203,Transfer!EJ203)</f>
        <v>-9999</v>
      </c>
      <c r="AM203" s="1081">
        <f>CHOOSE(Tables!$U$2,Transfer!CK203,Transfer!CX203,Transfer!DK203,Transfer!DX203,Transfer!EK203)</f>
        <v>-9999</v>
      </c>
      <c r="AN203" s="1081">
        <f>CHOOSE(Tables!$U$2,Transfer!CL203,Transfer!CY203,Transfer!DL203,Transfer!DY203,Transfer!EL203)</f>
        <v>-9999</v>
      </c>
      <c r="AO203" s="1081">
        <f>CHOOSE(Tables!$U$2,Transfer!CM203,Transfer!CZ203,Transfer!DM203,Transfer!DZ203,Transfer!EM203)</f>
        <v>-9999</v>
      </c>
      <c r="AR203" s="22">
        <v>103</v>
      </c>
      <c r="AS203" s="1" t="s">
        <v>1467</v>
      </c>
      <c r="AT203" s="24">
        <f t="shared" ca="1" si="11"/>
        <v>0</v>
      </c>
      <c r="AU203" s="24">
        <f t="shared" ca="1" si="12"/>
        <v>0</v>
      </c>
      <c r="AV203" s="24">
        <f t="shared" ca="1" si="13"/>
        <v>0</v>
      </c>
      <c r="AW203" s="24">
        <f t="shared" ca="1" si="14"/>
        <v>0</v>
      </c>
      <c r="AX203" s="24">
        <f t="shared" ca="1" si="15"/>
        <v>0</v>
      </c>
      <c r="AY203" s="25">
        <f t="shared" si="16"/>
        <v>0</v>
      </c>
      <c r="AZ203" s="25">
        <f t="shared" si="17"/>
        <v>0</v>
      </c>
      <c r="BA203" s="25">
        <f t="shared" si="18"/>
        <v>0</v>
      </c>
      <c r="BB203" s="25">
        <f t="shared" si="19"/>
        <v>0</v>
      </c>
      <c r="BC203" s="25">
        <f t="shared" si="20"/>
        <v>0</v>
      </c>
      <c r="BD203" s="25">
        <f t="shared" si="20"/>
        <v>0</v>
      </c>
      <c r="BE203" s="25">
        <f t="shared" si="20"/>
        <v>0</v>
      </c>
      <c r="BF203" s="25">
        <f t="shared" si="20"/>
        <v>0</v>
      </c>
      <c r="CA203" s="16">
        <v>150.15020000000001</v>
      </c>
      <c r="CB203" s="16">
        <v>151.2167</v>
      </c>
      <c r="CC203" s="16">
        <v>156.53889599999997</v>
      </c>
      <c r="CD203" s="16">
        <v>162.57168400583612</v>
      </c>
      <c r="CE203" s="16">
        <v>168.52508755156845</v>
      </c>
      <c r="CF203" s="16">
        <v>-9999</v>
      </c>
      <c r="CG203" s="16">
        <v>-9999</v>
      </c>
      <c r="CH203" s="16">
        <v>-9999</v>
      </c>
      <c r="CI203" s="16">
        <v>-9999</v>
      </c>
      <c r="CJ203" s="16">
        <v>-9999</v>
      </c>
      <c r="CK203" s="16">
        <v>-9999</v>
      </c>
      <c r="CL203" s="16">
        <v>-9999</v>
      </c>
      <c r="CM203" s="16">
        <v>-9999</v>
      </c>
      <c r="CN203" s="16">
        <v>150.15020000000001</v>
      </c>
      <c r="CO203" s="16">
        <v>151.2167</v>
      </c>
      <c r="CP203" s="16">
        <v>156.10944405272005</v>
      </c>
      <c r="CQ203" s="16">
        <v>162.00765899759239</v>
      </c>
      <c r="CR203" s="16">
        <v>167.85346730038179</v>
      </c>
      <c r="CS203" s="16">
        <v>-9999</v>
      </c>
      <c r="CT203" s="16">
        <v>-9999</v>
      </c>
      <c r="CU203" s="16">
        <v>-9999</v>
      </c>
      <c r="CV203" s="16">
        <v>-9999</v>
      </c>
      <c r="CW203" s="16">
        <v>-9999</v>
      </c>
      <c r="CX203" s="16">
        <v>-9999</v>
      </c>
      <c r="CY203" s="16">
        <v>-9999</v>
      </c>
      <c r="CZ203" s="16">
        <v>-9999</v>
      </c>
      <c r="DA203" s="16">
        <v>150.15020000000001</v>
      </c>
      <c r="DB203" s="16">
        <v>151.2167</v>
      </c>
      <c r="DC203" s="16">
        <v>156.53889599999997</v>
      </c>
      <c r="DD203" s="16">
        <v>162.57168400583612</v>
      </c>
      <c r="DE203" s="16">
        <v>168.52508755156845</v>
      </c>
      <c r="DF203" s="16">
        <v>-9999</v>
      </c>
      <c r="DG203" s="16">
        <v>-9999</v>
      </c>
      <c r="DH203" s="16">
        <v>-9999</v>
      </c>
      <c r="DI203" s="16">
        <v>-9999</v>
      </c>
      <c r="DJ203" s="16">
        <v>-9999</v>
      </c>
      <c r="DK203" s="16">
        <v>-9999</v>
      </c>
      <c r="DL203" s="16">
        <v>-9999</v>
      </c>
      <c r="DM203" s="16">
        <v>-9999</v>
      </c>
      <c r="DN203" s="16">
        <v>150.15020000000001</v>
      </c>
      <c r="DO203" s="16">
        <v>151.2167</v>
      </c>
      <c r="DP203" s="16">
        <v>156.53889599999997</v>
      </c>
      <c r="DQ203" s="16">
        <v>162.57168400583612</v>
      </c>
      <c r="DR203" s="16">
        <v>168.52508755156845</v>
      </c>
      <c r="DS203" s="16">
        <v>-9999</v>
      </c>
      <c r="DT203" s="16">
        <v>-9999</v>
      </c>
      <c r="DU203" s="16">
        <v>-9999</v>
      </c>
      <c r="DV203" s="16">
        <v>-9999</v>
      </c>
      <c r="DW203" s="16">
        <v>-9999</v>
      </c>
      <c r="DX203" s="16">
        <v>-9999</v>
      </c>
      <c r="DY203" s="16">
        <v>-9999</v>
      </c>
      <c r="DZ203" s="16">
        <v>-9999</v>
      </c>
      <c r="EA203" s="2106">
        <v>150.15020000000001</v>
      </c>
      <c r="EB203" s="2106">
        <v>151.2167</v>
      </c>
      <c r="EC203" s="2106">
        <v>156.53889599999997</v>
      </c>
      <c r="ED203" s="2106">
        <v>162.57168400583615</v>
      </c>
      <c r="EE203" s="2106">
        <v>168.52508755156842</v>
      </c>
      <c r="EF203" s="2107">
        <v>-9999</v>
      </c>
      <c r="EG203" s="2107">
        <v>-9999</v>
      </c>
      <c r="EH203" s="2107">
        <v>-9999</v>
      </c>
      <c r="EI203" s="2107">
        <v>-9999</v>
      </c>
      <c r="EJ203" s="2107">
        <v>-9999</v>
      </c>
      <c r="EK203" s="2107">
        <v>-9999</v>
      </c>
      <c r="EL203" s="2107">
        <v>-9999</v>
      </c>
      <c r="EM203" s="2107">
        <v>-9999</v>
      </c>
    </row>
    <row r="204" spans="1:143">
      <c r="A204" s="22">
        <v>104</v>
      </c>
      <c r="B204" s="1" t="s">
        <v>1469</v>
      </c>
      <c r="C204" s="24">
        <f ca="1">OFFSET(Sector1!F199,0,Last_forecast_year - 3-InputY!$G$3)</f>
        <v>105.36569999999999</v>
      </c>
      <c r="D204" s="24">
        <f ca="1">OFFSET(Sector1!G199,0,Last_forecast_year - 3-InputY!$G$3)</f>
        <v>111.80659999999997</v>
      </c>
      <c r="E204" s="24">
        <f ca="1">OFFSET(Sector1!H199,0,Last_forecast_year - 3-InputY!$G$3)</f>
        <v>117.53993460728401</v>
      </c>
      <c r="F204" s="24">
        <f ca="1">OFFSET(Sector1!I199,0,Last_forecast_year - 3-InputY!$G$3)</f>
        <v>122.68347529439006</v>
      </c>
      <c r="G204" s="24">
        <f ca="1">OFFSET(Sector1!J199,0,Last_forecast_year - 3-InputY!$G$3)</f>
        <v>128.34010640996704</v>
      </c>
      <c r="H204" s="25">
        <v>-9999</v>
      </c>
      <c r="I204" s="25">
        <v>-9999</v>
      </c>
      <c r="J204" s="25">
        <v>-9999</v>
      </c>
      <c r="K204" s="25">
        <v>-9999</v>
      </c>
      <c r="L204" s="25">
        <v>-9999</v>
      </c>
      <c r="M204" s="25">
        <v>-9999</v>
      </c>
      <c r="N204" s="25">
        <v>-9999</v>
      </c>
      <c r="O204" s="25">
        <v>-9999</v>
      </c>
      <c r="P204"/>
      <c r="Q204"/>
      <c r="AA204" s="22">
        <v>104</v>
      </c>
      <c r="AB204" s="1081" t="str">
        <f t="shared" si="8"/>
        <v>COR GROSS OPERATING SURPLUS</v>
      </c>
      <c r="AC204" s="1081">
        <f>CHOOSE(Tables!$U$2,Transfer!CA204,Transfer!CN204,Transfer!DA204,Transfer!DN204,Transfer!EA204)</f>
        <v>105.36569999999999</v>
      </c>
      <c r="AD204" s="1081">
        <f>CHOOSE(Tables!$U$2,Transfer!CB204,Transfer!CO204,Transfer!DB204,Transfer!DO204,Transfer!EB204)</f>
        <v>111.80659999999997</v>
      </c>
      <c r="AE204" s="1081">
        <f>CHOOSE(Tables!$U$2,Transfer!CC204,Transfer!CP204,Transfer!DC204,Transfer!DP204,Transfer!EC204)</f>
        <v>117.53993460728401</v>
      </c>
      <c r="AF204" s="1081">
        <f>CHOOSE(Tables!$U$2,Transfer!CD204,Transfer!CQ204,Transfer!DD204,Transfer!DQ204,Transfer!ED204)</f>
        <v>122.40875785075781</v>
      </c>
      <c r="AG204" s="1081">
        <f>CHOOSE(Tables!$U$2,Transfer!CE204,Transfer!CR204,Transfer!DE204,Transfer!DR204,Transfer!EE204)</f>
        <v>127.90867966967713</v>
      </c>
      <c r="AH204" s="1081">
        <f>CHOOSE(Tables!$U$2,Transfer!CF204,Transfer!CS204,Transfer!DF204,Transfer!DS204,Transfer!EF204)</f>
        <v>-9999</v>
      </c>
      <c r="AI204" s="1081">
        <f>CHOOSE(Tables!$U$2,Transfer!CG204,Transfer!CT204,Transfer!DG204,Transfer!DT204,Transfer!EG204)</f>
        <v>-9999</v>
      </c>
      <c r="AJ204" s="1081">
        <f>CHOOSE(Tables!$U$2,Transfer!CH204,Transfer!CU204,Transfer!DH204,Transfer!DU204,Transfer!EH204)</f>
        <v>-9999</v>
      </c>
      <c r="AK204" s="1081">
        <f>CHOOSE(Tables!$U$2,Transfer!CI204,Transfer!CV204,Transfer!DI204,Transfer!DV204,Transfer!EI204)</f>
        <v>-9999</v>
      </c>
      <c r="AL204" s="1081">
        <f>CHOOSE(Tables!$U$2,Transfer!CJ204,Transfer!CW204,Transfer!DJ204,Transfer!DW204,Transfer!EJ204)</f>
        <v>-9999</v>
      </c>
      <c r="AM204" s="1081">
        <f>CHOOSE(Tables!$U$2,Transfer!CK204,Transfer!CX204,Transfer!DK204,Transfer!DX204,Transfer!EK204)</f>
        <v>-9999</v>
      </c>
      <c r="AN204" s="1081">
        <f>CHOOSE(Tables!$U$2,Transfer!CL204,Transfer!CY204,Transfer!DL204,Transfer!DY204,Transfer!EL204)</f>
        <v>-9999</v>
      </c>
      <c r="AO204" s="1081">
        <f>CHOOSE(Tables!$U$2,Transfer!CM204,Transfer!CZ204,Transfer!DM204,Transfer!DZ204,Transfer!EM204)</f>
        <v>-9999</v>
      </c>
      <c r="AR204" s="22">
        <v>104</v>
      </c>
      <c r="AS204" s="1" t="s">
        <v>1469</v>
      </c>
      <c r="AT204" s="24">
        <f t="shared" ca="1" si="11"/>
        <v>0</v>
      </c>
      <c r="AU204" s="24">
        <f t="shared" ca="1" si="12"/>
        <v>0</v>
      </c>
      <c r="AV204" s="24">
        <f t="shared" ca="1" si="13"/>
        <v>0</v>
      </c>
      <c r="AW204" s="24">
        <f t="shared" ca="1" si="14"/>
        <v>0.27471744363225525</v>
      </c>
      <c r="AX204" s="24">
        <f t="shared" ca="1" si="15"/>
        <v>0.43142674028990768</v>
      </c>
      <c r="AY204" s="25">
        <f t="shared" si="16"/>
        <v>0</v>
      </c>
      <c r="AZ204" s="25">
        <f t="shared" si="17"/>
        <v>0</v>
      </c>
      <c r="BA204" s="25">
        <f t="shared" si="18"/>
        <v>0</v>
      </c>
      <c r="BB204" s="25">
        <f t="shared" si="19"/>
        <v>0</v>
      </c>
      <c r="BC204" s="25">
        <f t="shared" si="20"/>
        <v>0</v>
      </c>
      <c r="BD204" s="25">
        <f t="shared" si="20"/>
        <v>0</v>
      </c>
      <c r="BE204" s="25">
        <f t="shared" si="20"/>
        <v>0</v>
      </c>
      <c r="BF204" s="25">
        <f t="shared" si="20"/>
        <v>0</v>
      </c>
      <c r="CA204" s="16">
        <v>105.36569999999999</v>
      </c>
      <c r="CB204" s="16">
        <v>111.80659999999997</v>
      </c>
      <c r="CC204" s="16">
        <v>117.53993460728401</v>
      </c>
      <c r="CD204" s="16">
        <v>122.40875785075781</v>
      </c>
      <c r="CE204" s="16">
        <v>127.90867966967713</v>
      </c>
      <c r="CF204" s="16">
        <v>-9999</v>
      </c>
      <c r="CG204" s="16">
        <v>-9999</v>
      </c>
      <c r="CH204" s="16">
        <v>-9999</v>
      </c>
      <c r="CI204" s="16">
        <v>-9999</v>
      </c>
      <c r="CJ204" s="16">
        <v>-9999</v>
      </c>
      <c r="CK204" s="16">
        <v>-9999</v>
      </c>
      <c r="CL204" s="16">
        <v>-9999</v>
      </c>
      <c r="CM204" s="16">
        <v>-9999</v>
      </c>
      <c r="CN204" s="16">
        <v>105.36569999999999</v>
      </c>
      <c r="CO204" s="16">
        <v>111.80659999999997</v>
      </c>
      <c r="CP204" s="16">
        <v>115.03887294544018</v>
      </c>
      <c r="CQ204" s="16">
        <v>118.4888654783327</v>
      </c>
      <c r="CR204" s="16">
        <v>123.75676728900174</v>
      </c>
      <c r="CS204" s="16">
        <v>-9999</v>
      </c>
      <c r="CT204" s="16">
        <v>-9999</v>
      </c>
      <c r="CU204" s="16">
        <v>-9999</v>
      </c>
      <c r="CV204" s="16">
        <v>-9999</v>
      </c>
      <c r="CW204" s="16">
        <v>-9999</v>
      </c>
      <c r="CX204" s="16">
        <v>-9999</v>
      </c>
      <c r="CY204" s="16">
        <v>-9999</v>
      </c>
      <c r="CZ204" s="16">
        <v>-9999</v>
      </c>
      <c r="DA204" s="16">
        <v>105.36569999999999</v>
      </c>
      <c r="DB204" s="16">
        <v>111.80659999999997</v>
      </c>
      <c r="DC204" s="16">
        <v>117.53993460728401</v>
      </c>
      <c r="DD204" s="16">
        <v>122.40875785075781</v>
      </c>
      <c r="DE204" s="16">
        <v>127.90867966967713</v>
      </c>
      <c r="DF204" s="16">
        <v>-9999</v>
      </c>
      <c r="DG204" s="16">
        <v>-9999</v>
      </c>
      <c r="DH204" s="16">
        <v>-9999</v>
      </c>
      <c r="DI204" s="16">
        <v>-9999</v>
      </c>
      <c r="DJ204" s="16">
        <v>-9999</v>
      </c>
      <c r="DK204" s="16">
        <v>-9999</v>
      </c>
      <c r="DL204" s="16">
        <v>-9999</v>
      </c>
      <c r="DM204" s="16">
        <v>-9999</v>
      </c>
      <c r="DN204" s="16">
        <v>105.36569999999999</v>
      </c>
      <c r="DO204" s="16">
        <v>111.80659999999997</v>
      </c>
      <c r="DP204" s="16">
        <v>117.53993460728401</v>
      </c>
      <c r="DQ204" s="16">
        <v>122.40875785075781</v>
      </c>
      <c r="DR204" s="16">
        <v>127.90867966967713</v>
      </c>
      <c r="DS204" s="16">
        <v>-9999</v>
      </c>
      <c r="DT204" s="16">
        <v>-9999</v>
      </c>
      <c r="DU204" s="16">
        <v>-9999</v>
      </c>
      <c r="DV204" s="16">
        <v>-9999</v>
      </c>
      <c r="DW204" s="16">
        <v>-9999</v>
      </c>
      <c r="DX204" s="16">
        <v>-9999</v>
      </c>
      <c r="DY204" s="16">
        <v>-9999</v>
      </c>
      <c r="DZ204" s="16">
        <v>-9999</v>
      </c>
      <c r="EA204" s="2106">
        <v>105.36569999999999</v>
      </c>
      <c r="EB204" s="2106">
        <v>111.80659999999997</v>
      </c>
      <c r="EC204" s="2106">
        <v>117.53993460728401</v>
      </c>
      <c r="ED204" s="2106">
        <v>122.68347529439006</v>
      </c>
      <c r="EE204" s="2106">
        <v>128.34010640996704</v>
      </c>
      <c r="EF204" s="2107">
        <v>-9999</v>
      </c>
      <c r="EG204" s="2107">
        <v>-9999</v>
      </c>
      <c r="EH204" s="2107">
        <v>-9999</v>
      </c>
      <c r="EI204" s="2107">
        <v>-9999</v>
      </c>
      <c r="EJ204" s="2107">
        <v>-9999</v>
      </c>
      <c r="EK204" s="2107">
        <v>-9999</v>
      </c>
      <c r="EL204" s="2107">
        <v>-9999</v>
      </c>
      <c r="EM204" s="2107">
        <v>-9999</v>
      </c>
    </row>
    <row r="205" spans="1:143">
      <c r="A205" s="22">
        <v>105</v>
      </c>
      <c r="B205" s="1" t="s">
        <v>1471</v>
      </c>
      <c r="C205" s="24">
        <f ca="1">OFFSET(Sector1!F227,0,Last_forecast_year - 3-InputY!$G$3)</f>
        <v>-24.469400000000007</v>
      </c>
      <c r="D205" s="24">
        <f ca="1">OFFSET(Sector1!G227,0,Last_forecast_year - 3-InputY!$G$3)</f>
        <v>-20.186600000000006</v>
      </c>
      <c r="E205" s="24">
        <f ca="1">OFFSET(Sector1!H227,0,Last_forecast_year - 3-InputY!$G$3)</f>
        <v>-20.691265000000005</v>
      </c>
      <c r="F205" s="24">
        <f ca="1">OFFSET(Sector1!I227,0,Last_forecast_year - 3-InputY!$G$3)</f>
        <v>-21.208546625000004</v>
      </c>
      <c r="G205" s="24">
        <f ca="1">OFFSET(Sector1!J227,0,Last_forecast_year - 3-InputY!$G$3)</f>
        <v>-21.738760290625002</v>
      </c>
      <c r="H205" s="25">
        <v>-9999</v>
      </c>
      <c r="I205" s="25">
        <v>-9999</v>
      </c>
      <c r="J205" s="25">
        <v>-9999</v>
      </c>
      <c r="K205" s="25">
        <v>-9999</v>
      </c>
      <c r="L205" s="25">
        <v>-9999</v>
      </c>
      <c r="M205" s="25">
        <v>-9999</v>
      </c>
      <c r="N205" s="25">
        <v>-9999</v>
      </c>
      <c r="O205" s="25">
        <v>-9999</v>
      </c>
      <c r="P205"/>
      <c r="Q205"/>
      <c r="AA205" s="22">
        <v>105</v>
      </c>
      <c r="AB205" s="1081" t="str">
        <f t="shared" si="8"/>
        <v>COR PROPERTY INCOME (NET)</v>
      </c>
      <c r="AC205" s="1081">
        <f>CHOOSE(Tables!$U$2,Transfer!CA205,Transfer!CN205,Transfer!DA205,Transfer!DN205,Transfer!EA205)</f>
        <v>-24.469400000000007</v>
      </c>
      <c r="AD205" s="1081">
        <f>CHOOSE(Tables!$U$2,Transfer!CB205,Transfer!CO205,Transfer!DB205,Transfer!DO205,Transfer!EB205)</f>
        <v>-20.186600000000006</v>
      </c>
      <c r="AE205" s="1081">
        <f>CHOOSE(Tables!$U$2,Transfer!CC205,Transfer!CP205,Transfer!DC205,Transfer!DP205,Transfer!EC205)</f>
        <v>-20.691265000000005</v>
      </c>
      <c r="AF205" s="1081">
        <f>CHOOSE(Tables!$U$2,Transfer!CD205,Transfer!CQ205,Transfer!DD205,Transfer!DQ205,Transfer!ED205)</f>
        <v>-21.208546625000004</v>
      </c>
      <c r="AG205" s="1081">
        <f>CHOOSE(Tables!$U$2,Transfer!CE205,Transfer!CR205,Transfer!DE205,Transfer!DR205,Transfer!EE205)</f>
        <v>-21.738760290625002</v>
      </c>
      <c r="AH205" s="1081">
        <f>CHOOSE(Tables!$U$2,Transfer!CF205,Transfer!CS205,Transfer!DF205,Transfer!DS205,Transfer!EF205)</f>
        <v>-9999</v>
      </c>
      <c r="AI205" s="1081">
        <f>CHOOSE(Tables!$U$2,Transfer!CG205,Transfer!CT205,Transfer!DG205,Transfer!DT205,Transfer!EG205)</f>
        <v>-9999</v>
      </c>
      <c r="AJ205" s="1081">
        <f>CHOOSE(Tables!$U$2,Transfer!CH205,Transfer!CU205,Transfer!DH205,Transfer!DU205,Transfer!EH205)</f>
        <v>-9999</v>
      </c>
      <c r="AK205" s="1081">
        <f>CHOOSE(Tables!$U$2,Transfer!CI205,Transfer!CV205,Transfer!DI205,Transfer!DV205,Transfer!EI205)</f>
        <v>-9999</v>
      </c>
      <c r="AL205" s="1081">
        <f>CHOOSE(Tables!$U$2,Transfer!CJ205,Transfer!CW205,Transfer!DJ205,Transfer!DW205,Transfer!EJ205)</f>
        <v>-9999</v>
      </c>
      <c r="AM205" s="1081">
        <f>CHOOSE(Tables!$U$2,Transfer!CK205,Transfer!CX205,Transfer!DK205,Transfer!DX205,Transfer!EK205)</f>
        <v>-9999</v>
      </c>
      <c r="AN205" s="1081">
        <f>CHOOSE(Tables!$U$2,Transfer!CL205,Transfer!CY205,Transfer!DL205,Transfer!DY205,Transfer!EL205)</f>
        <v>-9999</v>
      </c>
      <c r="AO205" s="1081">
        <f>CHOOSE(Tables!$U$2,Transfer!CM205,Transfer!CZ205,Transfer!DM205,Transfer!DZ205,Transfer!EM205)</f>
        <v>-9999</v>
      </c>
      <c r="AR205" s="22">
        <v>105</v>
      </c>
      <c r="AS205" s="1" t="s">
        <v>1471</v>
      </c>
      <c r="AT205" s="24">
        <f t="shared" ca="1" si="11"/>
        <v>0</v>
      </c>
      <c r="AU205" s="24">
        <f t="shared" ca="1" si="12"/>
        <v>0</v>
      </c>
      <c r="AV205" s="24">
        <f t="shared" ca="1" si="13"/>
        <v>0</v>
      </c>
      <c r="AW205" s="24">
        <f t="shared" ca="1" si="14"/>
        <v>0</v>
      </c>
      <c r="AX205" s="24">
        <f t="shared" ca="1" si="15"/>
        <v>0</v>
      </c>
      <c r="AY205" s="25">
        <f t="shared" si="16"/>
        <v>0</v>
      </c>
      <c r="AZ205" s="25">
        <f t="shared" si="17"/>
        <v>0</v>
      </c>
      <c r="BA205" s="25">
        <f t="shared" si="18"/>
        <v>0</v>
      </c>
      <c r="BB205" s="25">
        <f t="shared" si="19"/>
        <v>0</v>
      </c>
      <c r="BC205" s="25">
        <f t="shared" si="20"/>
        <v>0</v>
      </c>
      <c r="BD205" s="25">
        <f t="shared" si="20"/>
        <v>0</v>
      </c>
      <c r="BE205" s="25">
        <f t="shared" si="20"/>
        <v>0</v>
      </c>
      <c r="BF205" s="25">
        <f t="shared" si="20"/>
        <v>0</v>
      </c>
      <c r="CA205" s="16">
        <v>-24.469400000000007</v>
      </c>
      <c r="CB205" s="16">
        <v>-20.186600000000006</v>
      </c>
      <c r="CC205" s="16">
        <v>-20.691265000000005</v>
      </c>
      <c r="CD205" s="16">
        <v>-21.208546625000004</v>
      </c>
      <c r="CE205" s="16">
        <v>-21.738760290625002</v>
      </c>
      <c r="CF205" s="16">
        <v>-9999</v>
      </c>
      <c r="CG205" s="16">
        <v>-9999</v>
      </c>
      <c r="CH205" s="16">
        <v>-9999</v>
      </c>
      <c r="CI205" s="16">
        <v>-9999</v>
      </c>
      <c r="CJ205" s="16">
        <v>-9999</v>
      </c>
      <c r="CK205" s="16">
        <v>-9999</v>
      </c>
      <c r="CL205" s="16">
        <v>-9999</v>
      </c>
      <c r="CM205" s="16">
        <v>-9999</v>
      </c>
      <c r="CN205" s="16">
        <v>-24.469400000000007</v>
      </c>
      <c r="CO205" s="16">
        <v>-20.186600000000006</v>
      </c>
      <c r="CP205" s="16">
        <v>-20.691265000000005</v>
      </c>
      <c r="CQ205" s="16">
        <v>-21.208546625000004</v>
      </c>
      <c r="CR205" s="16">
        <v>-21.738760290625002</v>
      </c>
      <c r="CS205" s="16">
        <v>-9999</v>
      </c>
      <c r="CT205" s="16">
        <v>-9999</v>
      </c>
      <c r="CU205" s="16">
        <v>-9999</v>
      </c>
      <c r="CV205" s="16">
        <v>-9999</v>
      </c>
      <c r="CW205" s="16">
        <v>-9999</v>
      </c>
      <c r="CX205" s="16">
        <v>-9999</v>
      </c>
      <c r="CY205" s="16">
        <v>-9999</v>
      </c>
      <c r="CZ205" s="16">
        <v>-9999</v>
      </c>
      <c r="DA205" s="16">
        <v>-24.469400000000007</v>
      </c>
      <c r="DB205" s="16">
        <v>-20.186600000000006</v>
      </c>
      <c r="DC205" s="16">
        <v>-20.691265000000005</v>
      </c>
      <c r="DD205" s="16">
        <v>-21.208546625000004</v>
      </c>
      <c r="DE205" s="16">
        <v>-21.738760290625002</v>
      </c>
      <c r="DF205" s="16">
        <v>-9999</v>
      </c>
      <c r="DG205" s="16">
        <v>-9999</v>
      </c>
      <c r="DH205" s="16">
        <v>-9999</v>
      </c>
      <c r="DI205" s="16">
        <v>-9999</v>
      </c>
      <c r="DJ205" s="16">
        <v>-9999</v>
      </c>
      <c r="DK205" s="16">
        <v>-9999</v>
      </c>
      <c r="DL205" s="16">
        <v>-9999</v>
      </c>
      <c r="DM205" s="16">
        <v>-9999</v>
      </c>
      <c r="DN205" s="16">
        <v>-24.469400000000007</v>
      </c>
      <c r="DO205" s="16">
        <v>-20.186600000000006</v>
      </c>
      <c r="DP205" s="16">
        <v>-20.691265000000005</v>
      </c>
      <c r="DQ205" s="16">
        <v>-21.208546625000004</v>
      </c>
      <c r="DR205" s="16">
        <v>-21.738760290625002</v>
      </c>
      <c r="DS205" s="16">
        <v>-9999</v>
      </c>
      <c r="DT205" s="16">
        <v>-9999</v>
      </c>
      <c r="DU205" s="16">
        <v>-9999</v>
      </c>
      <c r="DV205" s="16">
        <v>-9999</v>
      </c>
      <c r="DW205" s="16">
        <v>-9999</v>
      </c>
      <c r="DX205" s="16">
        <v>-9999</v>
      </c>
      <c r="DY205" s="16">
        <v>-9999</v>
      </c>
      <c r="DZ205" s="16">
        <v>-9999</v>
      </c>
      <c r="EA205" s="2106">
        <v>-24.469400000000007</v>
      </c>
      <c r="EB205" s="2106">
        <v>-20.186600000000006</v>
      </c>
      <c r="EC205" s="2106">
        <v>-20.691265000000005</v>
      </c>
      <c r="ED205" s="2106">
        <v>-21.208546625000004</v>
      </c>
      <c r="EE205" s="2106">
        <v>-21.738760290625002</v>
      </c>
      <c r="EF205" s="2107">
        <v>-9999</v>
      </c>
      <c r="EG205" s="2107">
        <v>-9999</v>
      </c>
      <c r="EH205" s="2107">
        <v>-9999</v>
      </c>
      <c r="EI205" s="2107">
        <v>-9999</v>
      </c>
      <c r="EJ205" s="2107">
        <v>-9999</v>
      </c>
      <c r="EK205" s="2107">
        <v>-9999</v>
      </c>
      <c r="EL205" s="2107">
        <v>-9999</v>
      </c>
      <c r="EM205" s="2107">
        <v>-9999</v>
      </c>
    </row>
    <row r="206" spans="1:143">
      <c r="A206" s="22">
        <v>106</v>
      </c>
      <c r="B206" s="1" t="s">
        <v>1769</v>
      </c>
      <c r="C206" s="24">
        <f ca="1">OFFSET(Sector1!F1083,0,Last_forecast_year - 3-InputY!$G$3)</f>
        <v>1.6861999999999995</v>
      </c>
      <c r="D206" s="24">
        <f ca="1">OFFSET(Sector1!G1083,0,Last_forecast_year - 3-InputY!$G$3)</f>
        <v>0.97049999999999947</v>
      </c>
      <c r="E206" s="24">
        <f ca="1">OFFSET(Sector1!H1083,0,Last_forecast_year - 3-InputY!$G$3)</f>
        <v>0.68490266999999605</v>
      </c>
      <c r="F206" s="24">
        <f ca="1">OFFSET(Sector1!I1083,0,Last_forecast_year - 3-InputY!$G$3)</f>
        <v>0.43253438047199566</v>
      </c>
      <c r="G206" s="24">
        <f ca="1">OFFSET(Sector1!J1083,0,Last_forecast_year - 3-InputY!$G$3)</f>
        <v>7.8867071806651978E-3</v>
      </c>
      <c r="H206" s="25">
        <v>-9999</v>
      </c>
      <c r="I206" s="25">
        <v>-9999</v>
      </c>
      <c r="J206" s="25">
        <v>-9999</v>
      </c>
      <c r="K206" s="25">
        <v>-9999</v>
      </c>
      <c r="L206" s="25">
        <v>-9999</v>
      </c>
      <c r="M206" s="25">
        <v>-9999</v>
      </c>
      <c r="N206" s="25">
        <v>-9999</v>
      </c>
      <c r="O206" s="25">
        <v>-9999</v>
      </c>
      <c r="P206"/>
      <c r="Q206"/>
      <c r="AA206" s="22">
        <v>106</v>
      </c>
      <c r="AB206" s="1081" t="str">
        <f t="shared" si="8"/>
        <v>COR CURRENT TRANSFERS (NET RECEIPTS)</v>
      </c>
      <c r="AC206" s="1081">
        <f>CHOOSE(Tables!$U$2,Transfer!CA206,Transfer!CN206,Transfer!DA206,Transfer!DN206,Transfer!EA206)</f>
        <v>1.6861999999999995</v>
      </c>
      <c r="AD206" s="1081">
        <f>CHOOSE(Tables!$U$2,Transfer!CB206,Transfer!CO206,Transfer!DB206,Transfer!DO206,Transfer!EB206)</f>
        <v>0.97049999999999947</v>
      </c>
      <c r="AE206" s="1081">
        <f>CHOOSE(Tables!$U$2,Transfer!CC206,Transfer!CP206,Transfer!DC206,Transfer!DP206,Transfer!EC206)</f>
        <v>0.68490266999999605</v>
      </c>
      <c r="AF206" s="1081">
        <f>CHOOSE(Tables!$U$2,Transfer!CD206,Transfer!CQ206,Transfer!DD206,Transfer!DQ206,Transfer!ED206)</f>
        <v>0.69939464713199229</v>
      </c>
      <c r="AG206" s="1081">
        <f>CHOOSE(Tables!$U$2,Transfer!CE206,Transfer!CR206,Transfer!DE206,Transfer!DR206,Transfer!EE206)</f>
        <v>0.54981253470111469</v>
      </c>
      <c r="AH206" s="1081">
        <f>CHOOSE(Tables!$U$2,Transfer!CF206,Transfer!CS206,Transfer!DF206,Transfer!DS206,Transfer!EF206)</f>
        <v>-9999</v>
      </c>
      <c r="AI206" s="1081">
        <f>CHOOSE(Tables!$U$2,Transfer!CG206,Transfer!CT206,Transfer!DG206,Transfer!DT206,Transfer!EG206)</f>
        <v>-9999</v>
      </c>
      <c r="AJ206" s="1081">
        <f>CHOOSE(Tables!$U$2,Transfer!CH206,Transfer!CU206,Transfer!DH206,Transfer!DU206,Transfer!EH206)</f>
        <v>-9999</v>
      </c>
      <c r="AK206" s="1081">
        <f>CHOOSE(Tables!$U$2,Transfer!CI206,Transfer!CV206,Transfer!DI206,Transfer!DV206,Transfer!EI206)</f>
        <v>-9999</v>
      </c>
      <c r="AL206" s="1081">
        <f>CHOOSE(Tables!$U$2,Transfer!CJ206,Transfer!CW206,Transfer!DJ206,Transfer!DW206,Transfer!EJ206)</f>
        <v>-9999</v>
      </c>
      <c r="AM206" s="1081">
        <f>CHOOSE(Tables!$U$2,Transfer!CK206,Transfer!CX206,Transfer!DK206,Transfer!DX206,Transfer!EK206)</f>
        <v>-9999</v>
      </c>
      <c r="AN206" s="1081">
        <f>CHOOSE(Tables!$U$2,Transfer!CL206,Transfer!CY206,Transfer!DL206,Transfer!DY206,Transfer!EL206)</f>
        <v>-9999</v>
      </c>
      <c r="AO206" s="1081">
        <f>CHOOSE(Tables!$U$2,Transfer!CM206,Transfer!CZ206,Transfer!DM206,Transfer!DZ206,Transfer!EM206)</f>
        <v>-9999</v>
      </c>
      <c r="AR206" s="22">
        <v>106</v>
      </c>
      <c r="AS206" s="1" t="s">
        <v>1769</v>
      </c>
      <c r="AT206" s="24">
        <f t="shared" ca="1" si="11"/>
        <v>0</v>
      </c>
      <c r="AU206" s="24">
        <f t="shared" ca="1" si="12"/>
        <v>0</v>
      </c>
      <c r="AV206" s="24">
        <f t="shared" ca="1" si="13"/>
        <v>0</v>
      </c>
      <c r="AW206" s="24">
        <f t="shared" ca="1" si="14"/>
        <v>-0.26686026665999663</v>
      </c>
      <c r="AX206" s="24">
        <f t="shared" ca="1" si="15"/>
        <v>-0.54192582752044949</v>
      </c>
      <c r="AY206" s="25">
        <f t="shared" si="16"/>
        <v>0</v>
      </c>
      <c r="AZ206" s="25">
        <f t="shared" si="17"/>
        <v>0</v>
      </c>
      <c r="BA206" s="25">
        <f t="shared" si="18"/>
        <v>0</v>
      </c>
      <c r="BB206" s="25">
        <f t="shared" si="19"/>
        <v>0</v>
      </c>
      <c r="BC206" s="25">
        <f t="shared" si="20"/>
        <v>0</v>
      </c>
      <c r="BD206" s="25">
        <f t="shared" si="20"/>
        <v>0</v>
      </c>
      <c r="BE206" s="25">
        <f t="shared" si="20"/>
        <v>0</v>
      </c>
      <c r="BF206" s="25">
        <f t="shared" si="20"/>
        <v>0</v>
      </c>
      <c r="CA206" s="16">
        <v>1.6861999999999995</v>
      </c>
      <c r="CB206" s="16">
        <v>0.97049999999999947</v>
      </c>
      <c r="CC206" s="16">
        <v>0.68490266999999605</v>
      </c>
      <c r="CD206" s="16">
        <v>0.69939464713199229</v>
      </c>
      <c r="CE206" s="16">
        <v>0.54981253470111469</v>
      </c>
      <c r="CF206" s="16">
        <v>-9999</v>
      </c>
      <c r="CG206" s="16">
        <v>-9999</v>
      </c>
      <c r="CH206" s="16">
        <v>-9999</v>
      </c>
      <c r="CI206" s="16">
        <v>-9999</v>
      </c>
      <c r="CJ206" s="16">
        <v>-9999</v>
      </c>
      <c r="CK206" s="16">
        <v>-9999</v>
      </c>
      <c r="CL206" s="16">
        <v>-9999</v>
      </c>
      <c r="CM206" s="16">
        <v>-9999</v>
      </c>
      <c r="CN206" s="16">
        <v>1.6861999999999995</v>
      </c>
      <c r="CO206" s="16">
        <v>0.97049999999999947</v>
      </c>
      <c r="CP206" s="16">
        <v>0.51207451692890693</v>
      </c>
      <c r="CQ206" s="16">
        <v>0.6736979882269658</v>
      </c>
      <c r="CR206" s="16">
        <v>0.60319938047295985</v>
      </c>
      <c r="CS206" s="16">
        <v>-9999</v>
      </c>
      <c r="CT206" s="16">
        <v>-9999</v>
      </c>
      <c r="CU206" s="16">
        <v>-9999</v>
      </c>
      <c r="CV206" s="16">
        <v>-9999</v>
      </c>
      <c r="CW206" s="16">
        <v>-9999</v>
      </c>
      <c r="CX206" s="16">
        <v>-9999</v>
      </c>
      <c r="CY206" s="16">
        <v>-9999</v>
      </c>
      <c r="CZ206" s="16">
        <v>-9999</v>
      </c>
      <c r="DA206" s="16">
        <v>1.6861999999999995</v>
      </c>
      <c r="DB206" s="16">
        <v>0.97049999999999947</v>
      </c>
      <c r="DC206" s="16">
        <v>0.68490266999999605</v>
      </c>
      <c r="DD206" s="16">
        <v>0.69939464713199229</v>
      </c>
      <c r="DE206" s="16">
        <v>0.54981253470111469</v>
      </c>
      <c r="DF206" s="16">
        <v>-9999</v>
      </c>
      <c r="DG206" s="16">
        <v>-9999</v>
      </c>
      <c r="DH206" s="16">
        <v>-9999</v>
      </c>
      <c r="DI206" s="16">
        <v>-9999</v>
      </c>
      <c r="DJ206" s="16">
        <v>-9999</v>
      </c>
      <c r="DK206" s="16">
        <v>-9999</v>
      </c>
      <c r="DL206" s="16">
        <v>-9999</v>
      </c>
      <c r="DM206" s="16">
        <v>-9999</v>
      </c>
      <c r="DN206" s="16">
        <v>1.6861999999999995</v>
      </c>
      <c r="DO206" s="16">
        <v>0.97049999999999947</v>
      </c>
      <c r="DP206" s="16">
        <v>0.68490266999999605</v>
      </c>
      <c r="DQ206" s="16">
        <v>0.69939464713199229</v>
      </c>
      <c r="DR206" s="16">
        <v>0.54981253470111469</v>
      </c>
      <c r="DS206" s="16">
        <v>-9999</v>
      </c>
      <c r="DT206" s="16">
        <v>-9999</v>
      </c>
      <c r="DU206" s="16">
        <v>-9999</v>
      </c>
      <c r="DV206" s="16">
        <v>-9999</v>
      </c>
      <c r="DW206" s="16">
        <v>-9999</v>
      </c>
      <c r="DX206" s="16">
        <v>-9999</v>
      </c>
      <c r="DY206" s="16">
        <v>-9999</v>
      </c>
      <c r="DZ206" s="16">
        <v>-9999</v>
      </c>
      <c r="EA206" s="2106">
        <v>1.6861999999999995</v>
      </c>
      <c r="EB206" s="2106">
        <v>0.97049999999999947</v>
      </c>
      <c r="EC206" s="2106">
        <v>0.68490266999999605</v>
      </c>
      <c r="ED206" s="2106">
        <v>0.43253438047199566</v>
      </c>
      <c r="EE206" s="2106">
        <v>7.8867071806651978E-3</v>
      </c>
      <c r="EF206" s="2107">
        <v>-9999</v>
      </c>
      <c r="EG206" s="2107">
        <v>-9999</v>
      </c>
      <c r="EH206" s="2107">
        <v>-9999</v>
      </c>
      <c r="EI206" s="2107">
        <v>-9999</v>
      </c>
      <c r="EJ206" s="2107">
        <v>-9999</v>
      </c>
      <c r="EK206" s="2107">
        <v>-9999</v>
      </c>
      <c r="EL206" s="2107">
        <v>-9999</v>
      </c>
      <c r="EM206" s="2107">
        <v>-9999</v>
      </c>
    </row>
    <row r="207" spans="1:143">
      <c r="A207" s="22">
        <v>107</v>
      </c>
      <c r="B207" s="1" t="s">
        <v>1770</v>
      </c>
      <c r="C207" s="24">
        <f ca="1">OFFSET(Sector1!F310,0,Last_forecast_year - 3-InputY!$G$3)</f>
        <v>13.8781</v>
      </c>
      <c r="D207" s="24">
        <f ca="1">OFFSET(Sector1!G310,0,Last_forecast_year - 3-InputY!$G$3)</f>
        <v>14.945499999999999</v>
      </c>
      <c r="E207" s="24">
        <f ca="1">OFFSET(Sector1!H310,0,Last_forecast_year - 3-InputY!$G$3)</f>
        <v>17.882290749999996</v>
      </c>
      <c r="F207" s="24">
        <f ca="1">OFFSET(Sector1!I310,0,Last_forecast_year - 3-InputY!$G$3)</f>
        <v>17.077587666249997</v>
      </c>
      <c r="G207" s="24">
        <f ca="1">OFFSET(Sector1!J310,0,Last_forecast_year - 3-InputY!$G$3)</f>
        <v>18.016854987893744</v>
      </c>
      <c r="H207" s="25">
        <v>-9999</v>
      </c>
      <c r="I207" s="25">
        <v>-9999</v>
      </c>
      <c r="J207" s="25">
        <v>-9999</v>
      </c>
      <c r="K207" s="25">
        <v>-9999</v>
      </c>
      <c r="L207" s="25">
        <v>-9999</v>
      </c>
      <c r="M207" s="25">
        <v>-9999</v>
      </c>
      <c r="N207" s="25">
        <v>-9999</v>
      </c>
      <c r="O207" s="25">
        <v>-9999</v>
      </c>
      <c r="P207"/>
      <c r="Q207"/>
      <c r="AA207" s="22">
        <v>107</v>
      </c>
      <c r="AB207" s="1081" t="str">
        <f t="shared" si="8"/>
        <v>COR CURRENT TAXES ON INCOME AND WEALTH</v>
      </c>
      <c r="AC207" s="1081">
        <f>CHOOSE(Tables!$U$2,Transfer!CA207,Transfer!CN207,Transfer!DA207,Transfer!DN207,Transfer!EA207)</f>
        <v>13.8781</v>
      </c>
      <c r="AD207" s="1081">
        <f>CHOOSE(Tables!$U$2,Transfer!CB207,Transfer!CO207,Transfer!DB207,Transfer!DO207,Transfer!EB207)</f>
        <v>14.945499999999999</v>
      </c>
      <c r="AE207" s="1081">
        <f>CHOOSE(Tables!$U$2,Transfer!CC207,Transfer!CP207,Transfer!DC207,Transfer!DP207,Transfer!EC207)</f>
        <v>17.882290749999996</v>
      </c>
      <c r="AF207" s="1081">
        <f>CHOOSE(Tables!$U$2,Transfer!CD207,Transfer!CQ207,Transfer!DD207,Transfer!DQ207,Transfer!ED207)</f>
        <v>16.421307595724997</v>
      </c>
      <c r="AG207" s="1081">
        <f>CHOOSE(Tables!$U$2,Transfer!CE207,Transfer!CR207,Transfer!DE207,Transfer!DR207,Transfer!EE207)</f>
        <v>16.884388469924442</v>
      </c>
      <c r="AH207" s="1081">
        <f>CHOOSE(Tables!$U$2,Transfer!CF207,Transfer!CS207,Transfer!DF207,Transfer!DS207,Transfer!EF207)</f>
        <v>-9999</v>
      </c>
      <c r="AI207" s="1081">
        <f>CHOOSE(Tables!$U$2,Transfer!CG207,Transfer!CT207,Transfer!DG207,Transfer!DT207,Transfer!EG207)</f>
        <v>-9999</v>
      </c>
      <c r="AJ207" s="1081">
        <f>CHOOSE(Tables!$U$2,Transfer!CH207,Transfer!CU207,Transfer!DH207,Transfer!DU207,Transfer!EH207)</f>
        <v>-9999</v>
      </c>
      <c r="AK207" s="1081">
        <f>CHOOSE(Tables!$U$2,Transfer!CI207,Transfer!CV207,Transfer!DI207,Transfer!DV207,Transfer!EI207)</f>
        <v>-9999</v>
      </c>
      <c r="AL207" s="1081">
        <f>CHOOSE(Tables!$U$2,Transfer!CJ207,Transfer!CW207,Transfer!DJ207,Transfer!DW207,Transfer!EJ207)</f>
        <v>-9999</v>
      </c>
      <c r="AM207" s="1081">
        <f>CHOOSE(Tables!$U$2,Transfer!CK207,Transfer!CX207,Transfer!DK207,Transfer!DX207,Transfer!EK207)</f>
        <v>-9999</v>
      </c>
      <c r="AN207" s="1081">
        <f>CHOOSE(Tables!$U$2,Transfer!CL207,Transfer!CY207,Transfer!DL207,Transfer!DY207,Transfer!EL207)</f>
        <v>-9999</v>
      </c>
      <c r="AO207" s="1081">
        <f>CHOOSE(Tables!$U$2,Transfer!CM207,Transfer!CZ207,Transfer!DM207,Transfer!DZ207,Transfer!EM207)</f>
        <v>-9999</v>
      </c>
      <c r="AR207" s="22">
        <v>107</v>
      </c>
      <c r="AS207" s="1" t="s">
        <v>1770</v>
      </c>
      <c r="AT207" s="24">
        <f t="shared" ca="1" si="11"/>
        <v>0</v>
      </c>
      <c r="AU207" s="24">
        <f t="shared" ca="1" si="12"/>
        <v>0</v>
      </c>
      <c r="AV207" s="24">
        <f t="shared" ca="1" si="13"/>
        <v>0</v>
      </c>
      <c r="AW207" s="24">
        <f t="shared" ca="1" si="14"/>
        <v>0.65628007052499981</v>
      </c>
      <c r="AX207" s="24">
        <f t="shared" ca="1" si="15"/>
        <v>1.1324665179693021</v>
      </c>
      <c r="AY207" s="25">
        <f t="shared" si="16"/>
        <v>0</v>
      </c>
      <c r="AZ207" s="25">
        <f t="shared" si="17"/>
        <v>0</v>
      </c>
      <c r="BA207" s="25">
        <f t="shared" si="18"/>
        <v>0</v>
      </c>
      <c r="BB207" s="25">
        <f t="shared" si="19"/>
        <v>0</v>
      </c>
      <c r="BC207" s="25">
        <f>L207-AL207</f>
        <v>0</v>
      </c>
      <c r="BD207" s="25">
        <f t="shared" ref="BC207:BF270" si="21">M207-AM207</f>
        <v>0</v>
      </c>
      <c r="BE207" s="25">
        <f t="shared" si="21"/>
        <v>0</v>
      </c>
      <c r="BF207" s="25">
        <f t="shared" si="21"/>
        <v>0</v>
      </c>
      <c r="CA207" s="16">
        <v>13.8781</v>
      </c>
      <c r="CB207" s="16">
        <v>14.945499999999999</v>
      </c>
      <c r="CC207" s="16">
        <v>17.882290749999996</v>
      </c>
      <c r="CD207" s="16">
        <v>16.421307595724997</v>
      </c>
      <c r="CE207" s="16">
        <v>16.884388469924442</v>
      </c>
      <c r="CF207" s="16">
        <v>-9999</v>
      </c>
      <c r="CG207" s="16">
        <v>-9999</v>
      </c>
      <c r="CH207" s="16">
        <v>-9999</v>
      </c>
      <c r="CI207" s="16">
        <v>-9999</v>
      </c>
      <c r="CJ207" s="16">
        <v>-9999</v>
      </c>
      <c r="CK207" s="16">
        <v>-9999</v>
      </c>
      <c r="CL207" s="16">
        <v>-9999</v>
      </c>
      <c r="CM207" s="16">
        <v>-9999</v>
      </c>
      <c r="CN207" s="16">
        <v>13.8781</v>
      </c>
      <c r="CO207" s="16">
        <v>14.945499999999999</v>
      </c>
      <c r="CP207" s="16">
        <v>18.084054999999999</v>
      </c>
      <c r="CQ207" s="16">
        <v>19.169098300000002</v>
      </c>
      <c r="CR207" s="16">
        <v>20.319244198000003</v>
      </c>
      <c r="CS207" s="16">
        <v>-9999</v>
      </c>
      <c r="CT207" s="16">
        <v>-9999</v>
      </c>
      <c r="CU207" s="16">
        <v>-9999</v>
      </c>
      <c r="CV207" s="16">
        <v>-9999</v>
      </c>
      <c r="CW207" s="16">
        <v>-9999</v>
      </c>
      <c r="CX207" s="16">
        <v>-9999</v>
      </c>
      <c r="CY207" s="16">
        <v>-9999</v>
      </c>
      <c r="CZ207" s="16">
        <v>-9999</v>
      </c>
      <c r="DA207" s="16">
        <v>13.8781</v>
      </c>
      <c r="DB207" s="16">
        <v>14.945499999999999</v>
      </c>
      <c r="DC207" s="16">
        <v>17.882290749999996</v>
      </c>
      <c r="DD207" s="16">
        <v>16.421307595724997</v>
      </c>
      <c r="DE207" s="16">
        <v>16.884388469924442</v>
      </c>
      <c r="DF207" s="16">
        <v>-9999</v>
      </c>
      <c r="DG207" s="16">
        <v>-9999</v>
      </c>
      <c r="DH207" s="16">
        <v>-9999</v>
      </c>
      <c r="DI207" s="16">
        <v>-9999</v>
      </c>
      <c r="DJ207" s="16">
        <v>-9999</v>
      </c>
      <c r="DK207" s="16">
        <v>-9999</v>
      </c>
      <c r="DL207" s="16">
        <v>-9999</v>
      </c>
      <c r="DM207" s="16">
        <v>-9999</v>
      </c>
      <c r="DN207" s="16">
        <v>13.8781</v>
      </c>
      <c r="DO207" s="16">
        <v>14.945499999999999</v>
      </c>
      <c r="DP207" s="16">
        <v>17.882290749999996</v>
      </c>
      <c r="DQ207" s="16">
        <v>16.421307595724997</v>
      </c>
      <c r="DR207" s="16">
        <v>16.884388469924442</v>
      </c>
      <c r="DS207" s="16">
        <v>-9999</v>
      </c>
      <c r="DT207" s="16">
        <v>-9999</v>
      </c>
      <c r="DU207" s="16">
        <v>-9999</v>
      </c>
      <c r="DV207" s="16">
        <v>-9999</v>
      </c>
      <c r="DW207" s="16">
        <v>-9999</v>
      </c>
      <c r="DX207" s="16">
        <v>-9999</v>
      </c>
      <c r="DY207" s="16">
        <v>-9999</v>
      </c>
      <c r="DZ207" s="16">
        <v>-9999</v>
      </c>
      <c r="EA207" s="2106">
        <v>13.8781</v>
      </c>
      <c r="EB207" s="2106">
        <v>14.945499999999999</v>
      </c>
      <c r="EC207" s="2106">
        <v>17.882290749999996</v>
      </c>
      <c r="ED207" s="2106">
        <v>17.077587666249997</v>
      </c>
      <c r="EE207" s="2106">
        <v>18.016854987893744</v>
      </c>
      <c r="EF207" s="2107">
        <v>-9999</v>
      </c>
      <c r="EG207" s="2107">
        <v>-9999</v>
      </c>
      <c r="EH207" s="2107">
        <v>-9999</v>
      </c>
      <c r="EI207" s="2107">
        <v>-9999</v>
      </c>
      <c r="EJ207" s="2107">
        <v>-9999</v>
      </c>
      <c r="EK207" s="2107">
        <v>-9999</v>
      </c>
      <c r="EL207" s="2107">
        <v>-9999</v>
      </c>
      <c r="EM207" s="2107">
        <v>-9999</v>
      </c>
    </row>
    <row r="208" spans="1:143">
      <c r="A208" s="22">
        <v>108</v>
      </c>
      <c r="B208" s="1" t="s">
        <v>427</v>
      </c>
      <c r="C208" s="24">
        <f ca="1">OFFSET(Sector1!F667,0,Last_forecast_year - 3-InputY!$G$3)</f>
        <v>2.8030999999999997</v>
      </c>
      <c r="D208" s="24">
        <f ca="1">OFFSET(Sector1!G667,0,Last_forecast_year - 3-InputY!$G$3)</f>
        <v>2.8010000000000002</v>
      </c>
      <c r="E208" s="24">
        <f ca="1">OFFSET(Sector1!H667,0,Last_forecast_year - 3-InputY!$G$3)</f>
        <v>2.9410500000000002</v>
      </c>
      <c r="F208" s="24">
        <f ca="1">OFFSET(Sector1!I667,0,Last_forecast_year - 3-InputY!$G$3)</f>
        <v>3.0881025000000002</v>
      </c>
      <c r="G208" s="24">
        <f ca="1">OFFSET(Sector1!J667,0,Last_forecast_year - 3-InputY!$G$3)</f>
        <v>3.2425076250000004</v>
      </c>
      <c r="H208" s="25">
        <v>-9999</v>
      </c>
      <c r="I208" s="25">
        <v>-9999</v>
      </c>
      <c r="J208" s="25">
        <v>-9999</v>
      </c>
      <c r="K208" s="25">
        <v>-9999</v>
      </c>
      <c r="L208" s="25">
        <v>-9999</v>
      </c>
      <c r="M208" s="25">
        <v>-9999</v>
      </c>
      <c r="N208" s="25">
        <v>-9999</v>
      </c>
      <c r="O208" s="25">
        <v>-9999</v>
      </c>
      <c r="P208"/>
      <c r="Q208"/>
      <c r="AA208" s="22">
        <v>108</v>
      </c>
      <c r="AB208" s="1081" t="str">
        <f t="shared" si="8"/>
        <v>COR CHANGE IN NET EQUITY IN PENSION FUNDS</v>
      </c>
      <c r="AC208" s="1081">
        <f>CHOOSE(Tables!$U$2,Transfer!CA208,Transfer!CN208,Transfer!DA208,Transfer!DN208,Transfer!EA208)</f>
        <v>2.8030999999999997</v>
      </c>
      <c r="AD208" s="1081">
        <f>CHOOSE(Tables!$U$2,Transfer!CB208,Transfer!CO208,Transfer!DB208,Transfer!DO208,Transfer!EB208)</f>
        <v>2.8010000000000002</v>
      </c>
      <c r="AE208" s="1081">
        <f>CHOOSE(Tables!$U$2,Transfer!CC208,Transfer!CP208,Transfer!DC208,Transfer!DP208,Transfer!EC208)</f>
        <v>2.9410500000000002</v>
      </c>
      <c r="AF208" s="1081">
        <f>CHOOSE(Tables!$U$2,Transfer!CD208,Transfer!CQ208,Transfer!DD208,Transfer!DQ208,Transfer!ED208)</f>
        <v>3.0881025000000002</v>
      </c>
      <c r="AG208" s="1081">
        <f>CHOOSE(Tables!$U$2,Transfer!CE208,Transfer!CR208,Transfer!DE208,Transfer!DR208,Transfer!EE208)</f>
        <v>3.2425076250000004</v>
      </c>
      <c r="AH208" s="1081">
        <f>CHOOSE(Tables!$U$2,Transfer!CF208,Transfer!CS208,Transfer!DF208,Transfer!DS208,Transfer!EF208)</f>
        <v>-9999</v>
      </c>
      <c r="AI208" s="1081">
        <f>CHOOSE(Tables!$U$2,Transfer!CG208,Transfer!CT208,Transfer!DG208,Transfer!DT208,Transfer!EG208)</f>
        <v>-9999</v>
      </c>
      <c r="AJ208" s="1081">
        <f>CHOOSE(Tables!$U$2,Transfer!CH208,Transfer!CU208,Transfer!DH208,Transfer!DU208,Transfer!EH208)</f>
        <v>-9999</v>
      </c>
      <c r="AK208" s="1081">
        <f>CHOOSE(Tables!$U$2,Transfer!CI208,Transfer!CV208,Transfer!DI208,Transfer!DV208,Transfer!EI208)</f>
        <v>-9999</v>
      </c>
      <c r="AL208" s="1081">
        <f>CHOOSE(Tables!$U$2,Transfer!CJ208,Transfer!CW208,Transfer!DJ208,Transfer!DW208,Transfer!EJ208)</f>
        <v>-9999</v>
      </c>
      <c r="AM208" s="1081">
        <f>CHOOSE(Tables!$U$2,Transfer!CK208,Transfer!CX208,Transfer!DK208,Transfer!DX208,Transfer!EK208)</f>
        <v>-9999</v>
      </c>
      <c r="AN208" s="1081">
        <f>CHOOSE(Tables!$U$2,Transfer!CL208,Transfer!CY208,Transfer!DL208,Transfer!DY208,Transfer!EL208)</f>
        <v>-9999</v>
      </c>
      <c r="AO208" s="1081">
        <f>CHOOSE(Tables!$U$2,Transfer!CM208,Transfer!CZ208,Transfer!DM208,Transfer!DZ208,Transfer!EM208)</f>
        <v>-9999</v>
      </c>
      <c r="AR208" s="22">
        <v>108</v>
      </c>
      <c r="AS208" s="1" t="s">
        <v>427</v>
      </c>
      <c r="AT208" s="24">
        <f t="shared" ca="1" si="11"/>
        <v>0</v>
      </c>
      <c r="AU208" s="24">
        <f t="shared" ca="1" si="12"/>
        <v>0</v>
      </c>
      <c r="AV208" s="24">
        <f t="shared" ca="1" si="13"/>
        <v>0</v>
      </c>
      <c r="AW208" s="24">
        <f t="shared" ca="1" si="14"/>
        <v>0</v>
      </c>
      <c r="AX208" s="24">
        <f t="shared" ca="1" si="15"/>
        <v>0</v>
      </c>
      <c r="AY208" s="25">
        <f t="shared" si="16"/>
        <v>0</v>
      </c>
      <c r="AZ208" s="25">
        <f t="shared" si="17"/>
        <v>0</v>
      </c>
      <c r="BA208" s="25">
        <f t="shared" si="18"/>
        <v>0</v>
      </c>
      <c r="BB208" s="25">
        <f t="shared" si="19"/>
        <v>0</v>
      </c>
      <c r="BC208" s="25">
        <f t="shared" si="21"/>
        <v>0</v>
      </c>
      <c r="BD208" s="25">
        <f t="shared" si="21"/>
        <v>0</v>
      </c>
      <c r="BE208" s="25">
        <f t="shared" si="21"/>
        <v>0</v>
      </c>
      <c r="BF208" s="25">
        <f t="shared" si="21"/>
        <v>0</v>
      </c>
      <c r="CA208" s="16">
        <v>2.8030999999999997</v>
      </c>
      <c r="CB208" s="16">
        <v>2.8010000000000002</v>
      </c>
      <c r="CC208" s="16">
        <v>2.9410500000000002</v>
      </c>
      <c r="CD208" s="16">
        <v>3.0881025000000002</v>
      </c>
      <c r="CE208" s="16">
        <v>3.2425076250000004</v>
      </c>
      <c r="CF208" s="16">
        <v>-9999</v>
      </c>
      <c r="CG208" s="16">
        <v>-9999</v>
      </c>
      <c r="CH208" s="16">
        <v>-9999</v>
      </c>
      <c r="CI208" s="16">
        <v>-9999</v>
      </c>
      <c r="CJ208" s="16">
        <v>-9999</v>
      </c>
      <c r="CK208" s="16">
        <v>-9999</v>
      </c>
      <c r="CL208" s="16">
        <v>-9999</v>
      </c>
      <c r="CM208" s="16">
        <v>-9999</v>
      </c>
      <c r="CN208" s="16">
        <v>2.8030999999999997</v>
      </c>
      <c r="CO208" s="16">
        <v>2.8010000000000002</v>
      </c>
      <c r="CP208" s="16">
        <v>2.9410500000000002</v>
      </c>
      <c r="CQ208" s="16">
        <v>3.0881025000000002</v>
      </c>
      <c r="CR208" s="16">
        <v>3.2425076250000004</v>
      </c>
      <c r="CS208" s="16">
        <v>-9999</v>
      </c>
      <c r="CT208" s="16">
        <v>-9999</v>
      </c>
      <c r="CU208" s="16">
        <v>-9999</v>
      </c>
      <c r="CV208" s="16">
        <v>-9999</v>
      </c>
      <c r="CW208" s="16">
        <v>-9999</v>
      </c>
      <c r="CX208" s="16">
        <v>-9999</v>
      </c>
      <c r="CY208" s="16">
        <v>-9999</v>
      </c>
      <c r="CZ208" s="16">
        <v>-9999</v>
      </c>
      <c r="DA208" s="16">
        <v>2.8030999999999997</v>
      </c>
      <c r="DB208" s="16">
        <v>2.8010000000000002</v>
      </c>
      <c r="DC208" s="16">
        <v>2.9410500000000002</v>
      </c>
      <c r="DD208" s="16">
        <v>3.0881025000000002</v>
      </c>
      <c r="DE208" s="16">
        <v>3.2425076250000004</v>
      </c>
      <c r="DF208" s="16">
        <v>-9999</v>
      </c>
      <c r="DG208" s="16">
        <v>-9999</v>
      </c>
      <c r="DH208" s="16">
        <v>-9999</v>
      </c>
      <c r="DI208" s="16">
        <v>-9999</v>
      </c>
      <c r="DJ208" s="16">
        <v>-9999</v>
      </c>
      <c r="DK208" s="16">
        <v>-9999</v>
      </c>
      <c r="DL208" s="16">
        <v>-9999</v>
      </c>
      <c r="DM208" s="16">
        <v>-9999</v>
      </c>
      <c r="DN208" s="16">
        <v>2.8030999999999997</v>
      </c>
      <c r="DO208" s="16">
        <v>2.8010000000000002</v>
      </c>
      <c r="DP208" s="16">
        <v>2.9410500000000002</v>
      </c>
      <c r="DQ208" s="16">
        <v>3.0881025000000002</v>
      </c>
      <c r="DR208" s="16">
        <v>3.2425076250000004</v>
      </c>
      <c r="DS208" s="16">
        <v>-9999</v>
      </c>
      <c r="DT208" s="16">
        <v>-9999</v>
      </c>
      <c r="DU208" s="16">
        <v>-9999</v>
      </c>
      <c r="DV208" s="16">
        <v>-9999</v>
      </c>
      <c r="DW208" s="16">
        <v>-9999</v>
      </c>
      <c r="DX208" s="16">
        <v>-9999</v>
      </c>
      <c r="DY208" s="16">
        <v>-9999</v>
      </c>
      <c r="DZ208" s="16">
        <v>-9999</v>
      </c>
      <c r="EA208" s="2106">
        <v>2.8030999999999997</v>
      </c>
      <c r="EB208" s="2106">
        <v>2.8010000000000002</v>
      </c>
      <c r="EC208" s="2106">
        <v>2.9410500000000002</v>
      </c>
      <c r="ED208" s="2106">
        <v>3.0881025000000002</v>
      </c>
      <c r="EE208" s="2106">
        <v>3.2425076250000004</v>
      </c>
      <c r="EF208" s="2107">
        <v>-9999</v>
      </c>
      <c r="EG208" s="2107">
        <v>-9999</v>
      </c>
      <c r="EH208" s="2107">
        <v>-9999</v>
      </c>
      <c r="EI208" s="2107">
        <v>-9999</v>
      </c>
      <c r="EJ208" s="2107">
        <v>-9999</v>
      </c>
      <c r="EK208" s="2107">
        <v>-9999</v>
      </c>
      <c r="EL208" s="2107">
        <v>-9999</v>
      </c>
      <c r="EM208" s="2107">
        <v>-9999</v>
      </c>
    </row>
    <row r="209" spans="1:143">
      <c r="A209" s="22">
        <v>109</v>
      </c>
      <c r="B209" s="1" t="s">
        <v>428</v>
      </c>
      <c r="C209" s="24">
        <f ca="1">OFFSET(Sector1!F1088,0,Last_forecast_year - 3-InputY!$G$3)</f>
        <v>63.492399999999996</v>
      </c>
      <c r="D209" s="24">
        <f ca="1">OFFSET(Sector1!G1088,0,Last_forecast_year - 3-InputY!$G$3)</f>
        <v>67.327600000000004</v>
      </c>
      <c r="E209" s="24">
        <f ca="1">OFFSET(Sector1!H1088,0,Last_forecast_year - 3-InputY!$G$3)</f>
        <v>72.966083574731115</v>
      </c>
      <c r="F209" s="24">
        <f ca="1">OFFSET(Sector1!I1088,0,Last_forecast_year - 3-InputY!$G$3)</f>
        <v>76.491594976491768</v>
      </c>
      <c r="G209" s="24">
        <f ca="1">OFFSET(Sector1!J1088,0,Last_forecast_year - 3-InputY!$G$3)</f>
        <v>79.427850714527978</v>
      </c>
      <c r="H209" s="25">
        <v>-9999</v>
      </c>
      <c r="I209" s="25">
        <v>-9999</v>
      </c>
      <c r="J209" s="25">
        <v>-9999</v>
      </c>
      <c r="K209" s="25">
        <v>-9999</v>
      </c>
      <c r="L209" s="25">
        <v>-9999</v>
      </c>
      <c r="M209" s="25">
        <v>-9999</v>
      </c>
      <c r="N209" s="25">
        <v>-9999</v>
      </c>
      <c r="O209" s="25">
        <v>-9999</v>
      </c>
      <c r="P209" s="26"/>
      <c r="Q209"/>
      <c r="AA209" s="22">
        <v>109</v>
      </c>
      <c r="AB209" s="1081" t="str">
        <f t="shared" si="8"/>
        <v>COR GROSS CAPITAL FORMATION</v>
      </c>
      <c r="AC209" s="1081">
        <f>CHOOSE(Tables!$U$2,Transfer!CA209,Transfer!CN209,Transfer!DA209,Transfer!DN209,Transfer!EA209)</f>
        <v>63.492399999999996</v>
      </c>
      <c r="AD209" s="1081">
        <f>CHOOSE(Tables!$U$2,Transfer!CB209,Transfer!CO209,Transfer!DB209,Transfer!DO209,Transfer!EB209)</f>
        <v>67.327600000000004</v>
      </c>
      <c r="AE209" s="1081">
        <f>CHOOSE(Tables!$U$2,Transfer!CC209,Transfer!CP209,Transfer!DC209,Transfer!DP209,Transfer!EC209)</f>
        <v>72.966083574731115</v>
      </c>
      <c r="AF209" s="1081">
        <f>CHOOSE(Tables!$U$2,Transfer!CD209,Transfer!CQ209,Transfer!DD209,Transfer!DQ209,Transfer!ED209)</f>
        <v>76.491594976491768</v>
      </c>
      <c r="AG209" s="1081">
        <f>CHOOSE(Tables!$U$2,Transfer!CE209,Transfer!CR209,Transfer!DE209,Transfer!DR209,Transfer!EE209)</f>
        <v>79.427850714527978</v>
      </c>
      <c r="AH209" s="1081">
        <f>CHOOSE(Tables!$U$2,Transfer!CF209,Transfer!CS209,Transfer!DF209,Transfer!DS209,Transfer!EF209)</f>
        <v>-9999</v>
      </c>
      <c r="AI209" s="1081">
        <f>CHOOSE(Tables!$U$2,Transfer!CG209,Transfer!CT209,Transfer!DG209,Transfer!DT209,Transfer!EG209)</f>
        <v>-9999</v>
      </c>
      <c r="AJ209" s="1081">
        <f>CHOOSE(Tables!$U$2,Transfer!CH209,Transfer!CU209,Transfer!DH209,Transfer!DU209,Transfer!EH209)</f>
        <v>-9999</v>
      </c>
      <c r="AK209" s="1081">
        <f>CHOOSE(Tables!$U$2,Transfer!CI209,Transfer!CV209,Transfer!DI209,Transfer!DV209,Transfer!EI209)</f>
        <v>-9999</v>
      </c>
      <c r="AL209" s="1081">
        <f>CHOOSE(Tables!$U$2,Transfer!CJ209,Transfer!CW209,Transfer!DJ209,Transfer!DW209,Transfer!EJ209)</f>
        <v>-9999</v>
      </c>
      <c r="AM209" s="1081">
        <f>CHOOSE(Tables!$U$2,Transfer!CK209,Transfer!CX209,Transfer!DK209,Transfer!DX209,Transfer!EK209)</f>
        <v>-9999</v>
      </c>
      <c r="AN209" s="1081">
        <f>CHOOSE(Tables!$U$2,Transfer!CL209,Transfer!CY209,Transfer!DL209,Transfer!DY209,Transfer!EL209)</f>
        <v>-9999</v>
      </c>
      <c r="AO209" s="1081">
        <f>CHOOSE(Tables!$U$2,Transfer!CM209,Transfer!CZ209,Transfer!DM209,Transfer!DZ209,Transfer!EM209)</f>
        <v>-9999</v>
      </c>
      <c r="AR209" s="22">
        <v>109</v>
      </c>
      <c r="AS209" s="1" t="s">
        <v>428</v>
      </c>
      <c r="AT209" s="24">
        <f t="shared" ca="1" si="11"/>
        <v>0</v>
      </c>
      <c r="AU209" s="24">
        <f t="shared" ca="1" si="12"/>
        <v>0</v>
      </c>
      <c r="AV209" s="24">
        <f t="shared" ca="1" si="13"/>
        <v>0</v>
      </c>
      <c r="AW209" s="24">
        <f t="shared" ca="1" si="14"/>
        <v>0</v>
      </c>
      <c r="AX209" s="24">
        <f t="shared" ca="1" si="15"/>
        <v>0</v>
      </c>
      <c r="AY209" s="25">
        <f t="shared" si="16"/>
        <v>0</v>
      </c>
      <c r="AZ209" s="25">
        <f t="shared" si="17"/>
        <v>0</v>
      </c>
      <c r="BA209" s="25">
        <f t="shared" si="18"/>
        <v>0</v>
      </c>
      <c r="BB209" s="25">
        <f t="shared" si="19"/>
        <v>0</v>
      </c>
      <c r="BC209" s="25">
        <f t="shared" si="21"/>
        <v>0</v>
      </c>
      <c r="BD209" s="25">
        <f t="shared" si="21"/>
        <v>0</v>
      </c>
      <c r="BE209" s="25">
        <f t="shared" si="21"/>
        <v>0</v>
      </c>
      <c r="BF209" s="25">
        <f t="shared" si="21"/>
        <v>0</v>
      </c>
      <c r="CA209" s="16">
        <v>63.492399999999996</v>
      </c>
      <c r="CB209" s="16">
        <v>67.327600000000004</v>
      </c>
      <c r="CC209" s="16">
        <v>72.966083574731115</v>
      </c>
      <c r="CD209" s="16">
        <v>76.491594976491768</v>
      </c>
      <c r="CE209" s="16">
        <v>79.427850714527978</v>
      </c>
      <c r="CF209" s="16">
        <v>-9999</v>
      </c>
      <c r="CG209" s="16">
        <v>-9999</v>
      </c>
      <c r="CH209" s="16">
        <v>-9999</v>
      </c>
      <c r="CI209" s="16">
        <v>-9999</v>
      </c>
      <c r="CJ209" s="16">
        <v>-9999</v>
      </c>
      <c r="CK209" s="16">
        <v>-9999</v>
      </c>
      <c r="CL209" s="16">
        <v>-9999</v>
      </c>
      <c r="CM209" s="16">
        <v>-9999</v>
      </c>
      <c r="CN209" s="16">
        <v>63.499600000000001</v>
      </c>
      <c r="CO209" s="16">
        <v>67.328500000000005</v>
      </c>
      <c r="CP209" s="16">
        <v>70.36846517619999</v>
      </c>
      <c r="CQ209" s="16">
        <v>73.771849990535216</v>
      </c>
      <c r="CR209" s="16">
        <v>76.281139089036415</v>
      </c>
      <c r="CS209" s="16">
        <v>-9999</v>
      </c>
      <c r="CT209" s="16">
        <v>-9999</v>
      </c>
      <c r="CU209" s="16">
        <v>-9999</v>
      </c>
      <c r="CV209" s="16">
        <v>-9999</v>
      </c>
      <c r="CW209" s="16">
        <v>-9999</v>
      </c>
      <c r="CX209" s="16">
        <v>-9999</v>
      </c>
      <c r="CY209" s="16">
        <v>-9999</v>
      </c>
      <c r="CZ209" s="16">
        <v>-9999</v>
      </c>
      <c r="DA209" s="16">
        <v>63.492399999999996</v>
      </c>
      <c r="DB209" s="16">
        <v>67.327600000000004</v>
      </c>
      <c r="DC209" s="16">
        <v>72.966083574731115</v>
      </c>
      <c r="DD209" s="16">
        <v>76.491594976491768</v>
      </c>
      <c r="DE209" s="16">
        <v>79.427850714527978</v>
      </c>
      <c r="DF209" s="16">
        <v>-9999</v>
      </c>
      <c r="DG209" s="16">
        <v>-9999</v>
      </c>
      <c r="DH209" s="16">
        <v>-9999</v>
      </c>
      <c r="DI209" s="16">
        <v>-9999</v>
      </c>
      <c r="DJ209" s="16">
        <v>-9999</v>
      </c>
      <c r="DK209" s="16">
        <v>-9999</v>
      </c>
      <c r="DL209" s="16">
        <v>-9999</v>
      </c>
      <c r="DM209" s="16">
        <v>-9999</v>
      </c>
      <c r="DN209" s="16">
        <v>63.492399999999996</v>
      </c>
      <c r="DO209" s="16">
        <v>67.327600000000004</v>
      </c>
      <c r="DP209" s="16">
        <v>72.966083574731115</v>
      </c>
      <c r="DQ209" s="16">
        <v>76.491594976491768</v>
      </c>
      <c r="DR209" s="16">
        <v>79.427850714527978</v>
      </c>
      <c r="DS209" s="16">
        <v>-9999</v>
      </c>
      <c r="DT209" s="16">
        <v>-9999</v>
      </c>
      <c r="DU209" s="16">
        <v>-9999</v>
      </c>
      <c r="DV209" s="16">
        <v>-9999</v>
      </c>
      <c r="DW209" s="16">
        <v>-9999</v>
      </c>
      <c r="DX209" s="16">
        <v>-9999</v>
      </c>
      <c r="DY209" s="16">
        <v>-9999</v>
      </c>
      <c r="DZ209" s="16">
        <v>-9999</v>
      </c>
      <c r="EA209" s="2106">
        <v>63.492399999999996</v>
      </c>
      <c r="EB209" s="2106">
        <v>67.327600000000004</v>
      </c>
      <c r="EC209" s="2106">
        <v>72.966083574731115</v>
      </c>
      <c r="ED209" s="2106">
        <v>76.491594976491768</v>
      </c>
      <c r="EE209" s="2106">
        <v>79.427850714527978</v>
      </c>
      <c r="EF209" s="2107">
        <v>-9999</v>
      </c>
      <c r="EG209" s="2107">
        <v>-9999</v>
      </c>
      <c r="EH209" s="2107">
        <v>-9999</v>
      </c>
      <c r="EI209" s="2107">
        <v>-9999</v>
      </c>
      <c r="EJ209" s="2107">
        <v>-9999</v>
      </c>
      <c r="EK209" s="2107">
        <v>-9999</v>
      </c>
      <c r="EL209" s="2107">
        <v>-9999</v>
      </c>
      <c r="EM209" s="2107">
        <v>-9999</v>
      </c>
    </row>
    <row r="210" spans="1:143">
      <c r="A210" s="22">
        <v>110</v>
      </c>
      <c r="B210" s="1" t="s">
        <v>429</v>
      </c>
      <c r="C210" s="24">
        <f ca="1">OFFSET(Sector1!F1093,0,Last_forecast_year - 3-InputY!$G$3)</f>
        <v>-4.0590999999999999</v>
      </c>
      <c r="D210" s="24">
        <f ca="1">OFFSET(Sector1!G1093,0,Last_forecast_year - 3-InputY!$G$3)</f>
        <v>-3.2523</v>
      </c>
      <c r="E210" s="24">
        <f ca="1">OFFSET(Sector1!H1093,0,Last_forecast_year - 3-InputY!$G$3)</f>
        <v>-3.191138</v>
      </c>
      <c r="F210" s="24">
        <f ca="1">OFFSET(Sector1!I1093,0,Last_forecast_year - 3-InputY!$G$3)</f>
        <v>-3.1311992399999999</v>
      </c>
      <c r="G210" s="24">
        <f ca="1">OFFSET(Sector1!J1093,0,Last_forecast_year - 3-InputY!$G$3)</f>
        <v>-3.0724592552000001</v>
      </c>
      <c r="H210" s="25">
        <v>-9999</v>
      </c>
      <c r="I210" s="25">
        <v>-9999</v>
      </c>
      <c r="J210" s="25">
        <v>-9999</v>
      </c>
      <c r="K210" s="25">
        <v>-9999</v>
      </c>
      <c r="L210" s="25">
        <v>-9999</v>
      </c>
      <c r="M210" s="25">
        <v>-9999</v>
      </c>
      <c r="N210" s="25">
        <v>-9999</v>
      </c>
      <c r="O210" s="25">
        <v>-9999</v>
      </c>
      <c r="P210"/>
      <c r="Q210"/>
      <c r="AA210" s="22">
        <v>110</v>
      </c>
      <c r="AB210" s="1081" t="str">
        <f t="shared" si="8"/>
        <v>COR OTHER CAPITAL EXPENDITURE (PAID-REC.)</v>
      </c>
      <c r="AC210" s="1081">
        <f>CHOOSE(Tables!$U$2,Transfer!CA210,Transfer!CN210,Transfer!DA210,Transfer!DN210,Transfer!EA210)</f>
        <v>-4.0590999999999999</v>
      </c>
      <c r="AD210" s="1081">
        <f>CHOOSE(Tables!$U$2,Transfer!CB210,Transfer!CO210,Transfer!DB210,Transfer!DO210,Transfer!EB210)</f>
        <v>-3.2523</v>
      </c>
      <c r="AE210" s="1081">
        <f>CHOOSE(Tables!$U$2,Transfer!CC210,Transfer!CP210,Transfer!DC210,Transfer!DP210,Transfer!EC210)</f>
        <v>-3.191138</v>
      </c>
      <c r="AF210" s="1081">
        <f>CHOOSE(Tables!$U$2,Transfer!CD210,Transfer!CQ210,Transfer!DD210,Transfer!DQ210,Transfer!ED210)</f>
        <v>-3.1311992399999999</v>
      </c>
      <c r="AG210" s="1081">
        <f>CHOOSE(Tables!$U$2,Transfer!CE210,Transfer!CR210,Transfer!DE210,Transfer!DR210,Transfer!EE210)</f>
        <v>-3.0724592552000001</v>
      </c>
      <c r="AH210" s="1081">
        <f>CHOOSE(Tables!$U$2,Transfer!CF210,Transfer!CS210,Transfer!DF210,Transfer!DS210,Transfer!EF210)</f>
        <v>-9999</v>
      </c>
      <c r="AI210" s="1081">
        <f>CHOOSE(Tables!$U$2,Transfer!CG210,Transfer!CT210,Transfer!DG210,Transfer!DT210,Transfer!EG210)</f>
        <v>-9999</v>
      </c>
      <c r="AJ210" s="1081">
        <f>CHOOSE(Tables!$U$2,Transfer!CH210,Transfer!CU210,Transfer!DH210,Transfer!DU210,Transfer!EH210)</f>
        <v>-9999</v>
      </c>
      <c r="AK210" s="1081">
        <f>CHOOSE(Tables!$U$2,Transfer!CI210,Transfer!CV210,Transfer!DI210,Transfer!DV210,Transfer!EI210)</f>
        <v>-9999</v>
      </c>
      <c r="AL210" s="1081">
        <f>CHOOSE(Tables!$U$2,Transfer!CJ210,Transfer!CW210,Transfer!DJ210,Transfer!DW210,Transfer!EJ210)</f>
        <v>-9999</v>
      </c>
      <c r="AM210" s="1081">
        <f>CHOOSE(Tables!$U$2,Transfer!CK210,Transfer!CX210,Transfer!DK210,Transfer!DX210,Transfer!EK210)</f>
        <v>-9999</v>
      </c>
      <c r="AN210" s="1081">
        <f>CHOOSE(Tables!$U$2,Transfer!CL210,Transfer!CY210,Transfer!DL210,Transfer!DY210,Transfer!EL210)</f>
        <v>-9999</v>
      </c>
      <c r="AO210" s="1081">
        <f>CHOOSE(Tables!$U$2,Transfer!CM210,Transfer!CZ210,Transfer!DM210,Transfer!DZ210,Transfer!EM210)</f>
        <v>-9999</v>
      </c>
      <c r="AR210" s="22">
        <v>110</v>
      </c>
      <c r="AS210" s="1" t="s">
        <v>429</v>
      </c>
      <c r="AT210" s="24">
        <f t="shared" ca="1" si="11"/>
        <v>0</v>
      </c>
      <c r="AU210" s="24">
        <f t="shared" ca="1" si="12"/>
        <v>0</v>
      </c>
      <c r="AV210" s="24">
        <f t="shared" ca="1" si="13"/>
        <v>0</v>
      </c>
      <c r="AW210" s="24">
        <f t="shared" ca="1" si="14"/>
        <v>0</v>
      </c>
      <c r="AX210" s="24">
        <f t="shared" ca="1" si="15"/>
        <v>0</v>
      </c>
      <c r="AY210" s="25">
        <f t="shared" si="16"/>
        <v>0</v>
      </c>
      <c r="AZ210" s="25">
        <f t="shared" si="17"/>
        <v>0</v>
      </c>
      <c r="BA210" s="25">
        <f t="shared" si="18"/>
        <v>0</v>
      </c>
      <c r="BB210" s="25">
        <f t="shared" si="19"/>
        <v>0</v>
      </c>
      <c r="BC210" s="25">
        <f t="shared" si="21"/>
        <v>0</v>
      </c>
      <c r="BD210" s="25">
        <f t="shared" si="21"/>
        <v>0</v>
      </c>
      <c r="BE210" s="25">
        <f t="shared" si="21"/>
        <v>0</v>
      </c>
      <c r="BF210" s="25">
        <f t="shared" si="21"/>
        <v>0</v>
      </c>
      <c r="CA210" s="16">
        <v>-4.0590999999999999</v>
      </c>
      <c r="CB210" s="16">
        <v>-3.2523</v>
      </c>
      <c r="CC210" s="16">
        <v>-3.191138</v>
      </c>
      <c r="CD210" s="16">
        <v>-3.1311992399999999</v>
      </c>
      <c r="CE210" s="16">
        <v>-3.0724592552000001</v>
      </c>
      <c r="CF210" s="16">
        <v>-9999</v>
      </c>
      <c r="CG210" s="16">
        <v>-9999</v>
      </c>
      <c r="CH210" s="16">
        <v>-9999</v>
      </c>
      <c r="CI210" s="16">
        <v>-9999</v>
      </c>
      <c r="CJ210" s="16">
        <v>-9999</v>
      </c>
      <c r="CK210" s="16">
        <v>-9999</v>
      </c>
      <c r="CL210" s="16">
        <v>-9999</v>
      </c>
      <c r="CM210" s="16">
        <v>-9999</v>
      </c>
      <c r="CN210" s="16">
        <v>-4.0590999999999999</v>
      </c>
      <c r="CO210" s="16">
        <v>-3.2523</v>
      </c>
      <c r="CP210" s="16">
        <v>-3.191138</v>
      </c>
      <c r="CQ210" s="16">
        <v>-3.1311992399999999</v>
      </c>
      <c r="CR210" s="16">
        <v>-3.0724592552000001</v>
      </c>
      <c r="CS210" s="16">
        <v>-9999</v>
      </c>
      <c r="CT210" s="16">
        <v>-9999</v>
      </c>
      <c r="CU210" s="16">
        <v>-9999</v>
      </c>
      <c r="CV210" s="16">
        <v>-9999</v>
      </c>
      <c r="CW210" s="16">
        <v>-9999</v>
      </c>
      <c r="CX210" s="16">
        <v>-9999</v>
      </c>
      <c r="CY210" s="16">
        <v>-9999</v>
      </c>
      <c r="CZ210" s="16">
        <v>-9999</v>
      </c>
      <c r="DA210" s="16">
        <v>-4.0590999999999999</v>
      </c>
      <c r="DB210" s="16">
        <v>-3.2523</v>
      </c>
      <c r="DC210" s="16">
        <v>-3.191138</v>
      </c>
      <c r="DD210" s="16">
        <v>-3.1311992399999999</v>
      </c>
      <c r="DE210" s="16">
        <v>-3.0724592552000001</v>
      </c>
      <c r="DF210" s="16">
        <v>-9999</v>
      </c>
      <c r="DG210" s="16">
        <v>-9999</v>
      </c>
      <c r="DH210" s="16">
        <v>-9999</v>
      </c>
      <c r="DI210" s="16">
        <v>-9999</v>
      </c>
      <c r="DJ210" s="16">
        <v>-9999</v>
      </c>
      <c r="DK210" s="16">
        <v>-9999</v>
      </c>
      <c r="DL210" s="16">
        <v>-9999</v>
      </c>
      <c r="DM210" s="16">
        <v>-9999</v>
      </c>
      <c r="DN210" s="16">
        <v>-4.0590999999999999</v>
      </c>
      <c r="DO210" s="16">
        <v>-3.2523</v>
      </c>
      <c r="DP210" s="16">
        <v>-3.191138</v>
      </c>
      <c r="DQ210" s="16">
        <v>-3.1311992399999999</v>
      </c>
      <c r="DR210" s="16">
        <v>-3.0724592552000001</v>
      </c>
      <c r="DS210" s="16">
        <v>-9999</v>
      </c>
      <c r="DT210" s="16">
        <v>-9999</v>
      </c>
      <c r="DU210" s="16">
        <v>-9999</v>
      </c>
      <c r="DV210" s="16">
        <v>-9999</v>
      </c>
      <c r="DW210" s="16">
        <v>-9999</v>
      </c>
      <c r="DX210" s="16">
        <v>-9999</v>
      </c>
      <c r="DY210" s="16">
        <v>-9999</v>
      </c>
      <c r="DZ210" s="16">
        <v>-9999</v>
      </c>
      <c r="EA210" s="2106">
        <v>-4.0590999999999999</v>
      </c>
      <c r="EB210" s="2106">
        <v>-3.2523</v>
      </c>
      <c r="EC210" s="2106">
        <v>-3.191138</v>
      </c>
      <c r="ED210" s="2106">
        <v>-3.1311992399999999</v>
      </c>
      <c r="EE210" s="2106">
        <v>-3.0724592552000001</v>
      </c>
      <c r="EF210" s="2107">
        <v>-9999</v>
      </c>
      <c r="EG210" s="2107">
        <v>-9999</v>
      </c>
      <c r="EH210" s="2107">
        <v>-9999</v>
      </c>
      <c r="EI210" s="2107">
        <v>-9999</v>
      </c>
      <c r="EJ210" s="2107">
        <v>-9999</v>
      </c>
      <c r="EK210" s="2107">
        <v>-9999</v>
      </c>
      <c r="EL210" s="2107">
        <v>-9999</v>
      </c>
      <c r="EM210" s="2107">
        <v>-9999</v>
      </c>
    </row>
    <row r="211" spans="1:143">
      <c r="A211" s="22">
        <v>111</v>
      </c>
      <c r="B211" s="33" t="s">
        <v>2627</v>
      </c>
      <c r="C211" s="24">
        <f ca="1">OFFSET(Sector1!F594,0,Last_forecast_year - 3-InputY!$G$3)</f>
        <v>0.3508</v>
      </c>
      <c r="D211" s="24">
        <f ca="1">OFFSET(Sector1!G594,0,Last_forecast_year - 3-InputY!$G$3)</f>
        <v>0.37460000000000004</v>
      </c>
      <c r="E211" s="24">
        <f ca="1">OFFSET(Sector1!H594,0,Last_forecast_year - 3-InputY!$G$3)</f>
        <v>0.35619999999999996</v>
      </c>
      <c r="F211" s="24">
        <f ca="1">OFFSET(Sector1!I594,0,Last_forecast_year - 3-InputY!$G$3)</f>
        <v>0.36799021999999992</v>
      </c>
      <c r="G211" s="24">
        <f ca="1">OFFSET(Sector1!J594,0,Last_forecast_year - 3-InputY!$G$3)</f>
        <v>0.38083307867799987</v>
      </c>
      <c r="H211" s="25">
        <v>-9999</v>
      </c>
      <c r="I211" s="25">
        <v>-9999</v>
      </c>
      <c r="J211" s="25">
        <v>-9999</v>
      </c>
      <c r="K211" s="25">
        <v>-9999</v>
      </c>
      <c r="L211" s="25">
        <v>-9999</v>
      </c>
      <c r="M211" s="25">
        <v>-9999</v>
      </c>
      <c r="N211" s="25">
        <v>-9999</v>
      </c>
      <c r="O211" s="25">
        <v>-9999</v>
      </c>
      <c r="P211" s="26"/>
      <c r="Q211"/>
      <c r="AA211" s="22">
        <v>111</v>
      </c>
      <c r="AB211" s="1081" t="str">
        <f t="shared" si="8"/>
        <v>GG Current transfers from EU Institutions</v>
      </c>
      <c r="AC211" s="1081">
        <f>CHOOSE(Tables!$U$2,Transfer!CA211,Transfer!CN211,Transfer!DA211,Transfer!DN211,Transfer!EA211)</f>
        <v>0.3508</v>
      </c>
      <c r="AD211" s="1081">
        <f>CHOOSE(Tables!$U$2,Transfer!CB211,Transfer!CO211,Transfer!DB211,Transfer!DO211,Transfer!EB211)</f>
        <v>0.37460000000000004</v>
      </c>
      <c r="AE211" s="1081">
        <f>CHOOSE(Tables!$U$2,Transfer!CC211,Transfer!CP211,Transfer!DC211,Transfer!DP211,Transfer!EC211)</f>
        <v>0.35619999999999996</v>
      </c>
      <c r="AF211" s="1081">
        <f>CHOOSE(Tables!$U$2,Transfer!CD211,Transfer!CQ211,Transfer!DD211,Transfer!DQ211,Transfer!ED211)</f>
        <v>0.36799021999999992</v>
      </c>
      <c r="AG211" s="1081">
        <f>CHOOSE(Tables!$U$2,Transfer!CE211,Transfer!CR211,Transfer!DE211,Transfer!DR211,Transfer!EE211)</f>
        <v>0.38083307867799987</v>
      </c>
      <c r="AH211" s="1081">
        <f>CHOOSE(Tables!$U$2,Transfer!CF211,Transfer!CS211,Transfer!DF211,Transfer!DS211,Transfer!EF211)</f>
        <v>-9999</v>
      </c>
      <c r="AI211" s="1081">
        <f>CHOOSE(Tables!$U$2,Transfer!CG211,Transfer!CT211,Transfer!DG211,Transfer!DT211,Transfer!EG211)</f>
        <v>-9999</v>
      </c>
      <c r="AJ211" s="1081">
        <f>CHOOSE(Tables!$U$2,Transfer!CH211,Transfer!CU211,Transfer!DH211,Transfer!DU211,Transfer!EH211)</f>
        <v>-9999</v>
      </c>
      <c r="AK211" s="1081">
        <f>CHOOSE(Tables!$U$2,Transfer!CI211,Transfer!CV211,Transfer!DI211,Transfer!DV211,Transfer!EI211)</f>
        <v>-9999</v>
      </c>
      <c r="AL211" s="1081">
        <f>CHOOSE(Tables!$U$2,Transfer!CJ211,Transfer!CW211,Transfer!DJ211,Transfer!DW211,Transfer!EJ211)</f>
        <v>-9999</v>
      </c>
      <c r="AM211" s="1081">
        <f>CHOOSE(Tables!$U$2,Transfer!CK211,Transfer!CX211,Transfer!DK211,Transfer!DX211,Transfer!EK211)</f>
        <v>-9999</v>
      </c>
      <c r="AN211" s="1081">
        <f>CHOOSE(Tables!$U$2,Transfer!CL211,Transfer!CY211,Transfer!DL211,Transfer!DY211,Transfer!EL211)</f>
        <v>-9999</v>
      </c>
      <c r="AO211" s="1081">
        <f>CHOOSE(Tables!$U$2,Transfer!CM211,Transfer!CZ211,Transfer!DM211,Transfer!DZ211,Transfer!EM211)</f>
        <v>-9999</v>
      </c>
      <c r="AR211" s="22">
        <v>111</v>
      </c>
      <c r="AS211" s="30" t="s">
        <v>1998</v>
      </c>
      <c r="AT211" s="25">
        <f t="shared" ca="1" si="11"/>
        <v>0</v>
      </c>
      <c r="AU211" s="25">
        <f t="shared" ca="1" si="12"/>
        <v>0</v>
      </c>
      <c r="AV211" s="25">
        <f t="shared" ca="1" si="13"/>
        <v>0</v>
      </c>
      <c r="AW211" s="25">
        <f t="shared" ca="1" si="14"/>
        <v>0</v>
      </c>
      <c r="AX211" s="25">
        <f t="shared" ca="1" si="15"/>
        <v>0</v>
      </c>
      <c r="AY211" s="25">
        <f t="shared" si="16"/>
        <v>0</v>
      </c>
      <c r="AZ211" s="25">
        <f t="shared" si="17"/>
        <v>0</v>
      </c>
      <c r="BA211" s="25">
        <f t="shared" si="18"/>
        <v>0</v>
      </c>
      <c r="BB211" s="25">
        <f t="shared" si="19"/>
        <v>0</v>
      </c>
      <c r="BC211" s="25">
        <f t="shared" si="21"/>
        <v>0</v>
      </c>
      <c r="BD211" s="25">
        <f t="shared" si="21"/>
        <v>0</v>
      </c>
      <c r="BE211" s="25">
        <f t="shared" si="21"/>
        <v>0</v>
      </c>
      <c r="BF211" s="25">
        <f t="shared" si="21"/>
        <v>0</v>
      </c>
      <c r="CA211" s="16">
        <v>0.3508</v>
      </c>
      <c r="CB211" s="16">
        <v>0.37460000000000004</v>
      </c>
      <c r="CC211" s="16">
        <v>0.35619999999999996</v>
      </c>
      <c r="CD211" s="16">
        <v>0.36799021999999992</v>
      </c>
      <c r="CE211" s="16">
        <v>0.38083307867799987</v>
      </c>
      <c r="CF211" s="16">
        <v>-9999</v>
      </c>
      <c r="CG211" s="16">
        <v>-9999</v>
      </c>
      <c r="CH211" s="16">
        <v>-9999</v>
      </c>
      <c r="CI211" s="16">
        <v>-9999</v>
      </c>
      <c r="CJ211" s="16">
        <v>-9999</v>
      </c>
      <c r="CK211" s="16">
        <v>-9999</v>
      </c>
      <c r="CL211" s="16">
        <v>-9999</v>
      </c>
      <c r="CM211" s="16">
        <v>-9999</v>
      </c>
      <c r="CN211" s="16">
        <v>0.3508</v>
      </c>
      <c r="CO211" s="16">
        <v>0.37410000000000004</v>
      </c>
      <c r="CP211" s="16">
        <v>0.38486042759036371</v>
      </c>
      <c r="CQ211" s="16">
        <v>0.39640825326984797</v>
      </c>
      <c r="CR211" s="16">
        <v>0.41019337199841527</v>
      </c>
      <c r="CS211" s="16">
        <v>-9999</v>
      </c>
      <c r="CT211" s="16">
        <v>-9999</v>
      </c>
      <c r="CU211" s="16">
        <v>-9999</v>
      </c>
      <c r="CV211" s="16">
        <v>-9999</v>
      </c>
      <c r="CW211" s="16">
        <v>-9999</v>
      </c>
      <c r="CX211" s="16">
        <v>-9999</v>
      </c>
      <c r="CY211" s="16">
        <v>-9999</v>
      </c>
      <c r="CZ211" s="16">
        <v>-9999</v>
      </c>
      <c r="DA211" s="16">
        <v>0.3508</v>
      </c>
      <c r="DB211" s="16">
        <v>0.37460000000000004</v>
      </c>
      <c r="DC211" s="16">
        <v>0.35619999999999996</v>
      </c>
      <c r="DD211" s="16">
        <v>0.36799021999999992</v>
      </c>
      <c r="DE211" s="16">
        <v>0.38083307867799987</v>
      </c>
      <c r="DF211" s="16">
        <v>-9999</v>
      </c>
      <c r="DG211" s="16">
        <v>-9999</v>
      </c>
      <c r="DH211" s="16">
        <v>-9999</v>
      </c>
      <c r="DI211" s="16">
        <v>-9999</v>
      </c>
      <c r="DJ211" s="16">
        <v>-9999</v>
      </c>
      <c r="DK211" s="16">
        <v>-9999</v>
      </c>
      <c r="DL211" s="16">
        <v>-9999</v>
      </c>
      <c r="DM211" s="16">
        <v>-9999</v>
      </c>
      <c r="DN211" s="16">
        <v>0.3508</v>
      </c>
      <c r="DO211" s="16">
        <v>0.37460000000000004</v>
      </c>
      <c r="DP211" s="16">
        <v>0.35619999999999996</v>
      </c>
      <c r="DQ211" s="16">
        <v>0.36799021999999992</v>
      </c>
      <c r="DR211" s="16">
        <v>0.38083307867799987</v>
      </c>
      <c r="DS211" s="16">
        <v>-9999</v>
      </c>
      <c r="DT211" s="16">
        <v>-9999</v>
      </c>
      <c r="DU211" s="16">
        <v>-9999</v>
      </c>
      <c r="DV211" s="16">
        <v>-9999</v>
      </c>
      <c r="DW211" s="16">
        <v>-9999</v>
      </c>
      <c r="DX211" s="16">
        <v>-9999</v>
      </c>
      <c r="DY211" s="16">
        <v>-9999</v>
      </c>
      <c r="DZ211" s="16">
        <v>-9999</v>
      </c>
      <c r="EA211" s="2107">
        <v>0.3508</v>
      </c>
      <c r="EB211" s="2107">
        <v>0.37460000000000004</v>
      </c>
      <c r="EC211" s="2107">
        <v>0.35619999999999996</v>
      </c>
      <c r="ED211" s="2107">
        <v>0.36799021999999992</v>
      </c>
      <c r="EE211" s="2107">
        <v>0.38083307867799987</v>
      </c>
      <c r="EF211" s="2107">
        <v>-9999</v>
      </c>
      <c r="EG211" s="2107">
        <v>-9999</v>
      </c>
      <c r="EH211" s="2107">
        <v>-9999</v>
      </c>
      <c r="EI211" s="2107">
        <v>-9999</v>
      </c>
      <c r="EJ211" s="2107">
        <v>-9999</v>
      </c>
      <c r="EK211" s="2107">
        <v>-9999</v>
      </c>
      <c r="EL211" s="2107">
        <v>-9999</v>
      </c>
      <c r="EM211" s="2107">
        <v>-9999</v>
      </c>
    </row>
    <row r="212" spans="1:143">
      <c r="A212" s="22">
        <v>112</v>
      </c>
      <c r="B212" s="33" t="s">
        <v>2628</v>
      </c>
      <c r="C212" s="24">
        <f ca="1">OFFSET(Sector1!F792,0,Last_forecast_year - 3-InputY!$G$3)</f>
        <v>2.4799999999999999E-2</v>
      </c>
      <c r="D212" s="24">
        <f ca="1">OFFSET(Sector1!G792,0,Last_forecast_year - 3-InputY!$G$3)</f>
        <v>5.5399999999999998E-2</v>
      </c>
      <c r="E212" s="24">
        <f ca="1">OFFSET(Sector1!H792,0,Last_forecast_year - 3-InputY!$G$3)</f>
        <v>5.1200000000000002E-2</v>
      </c>
      <c r="F212" s="24">
        <f ca="1">OFFSET(Sector1!I792,0,Last_forecast_year - 3-InputY!$G$3)</f>
        <v>5.2893860209135758E-2</v>
      </c>
      <c r="G212" s="24">
        <f ca="1">OFFSET(Sector1!J792,0,Last_forecast_year - 3-InputY!$G$3)</f>
        <v>5.4732201351003838E-2</v>
      </c>
      <c r="H212" s="25">
        <v>-9999</v>
      </c>
      <c r="I212" s="25">
        <v>-9999</v>
      </c>
      <c r="J212" s="25">
        <v>-9999</v>
      </c>
      <c r="K212" s="25">
        <v>-9999</v>
      </c>
      <c r="L212" s="25">
        <v>-9999</v>
      </c>
      <c r="M212" s="25">
        <v>-9999</v>
      </c>
      <c r="N212" s="25">
        <v>-9999</v>
      </c>
      <c r="O212" s="25">
        <v>-9999</v>
      </c>
      <c r="P212" s="26"/>
      <c r="Q212"/>
      <c r="AA212" s="22">
        <v>112</v>
      </c>
      <c r="AB212" s="1081" t="str">
        <f t="shared" si="8"/>
        <v>GG Capital transfers from EU Institutions</v>
      </c>
      <c r="AC212" s="1081">
        <f>CHOOSE(Tables!$U$2,Transfer!CA212,Transfer!CN212,Transfer!DA212,Transfer!DN212,Transfer!EA212)</f>
        <v>2.4799999999999999E-2</v>
      </c>
      <c r="AD212" s="1081">
        <f>CHOOSE(Tables!$U$2,Transfer!CB212,Transfer!CO212,Transfer!DB212,Transfer!DO212,Transfer!EB212)</f>
        <v>5.5399999999999998E-2</v>
      </c>
      <c r="AE212" s="1081">
        <f>CHOOSE(Tables!$U$2,Transfer!CC212,Transfer!CP212,Transfer!DC212,Transfer!DP212,Transfer!EC212)</f>
        <v>5.1200000000000002E-2</v>
      </c>
      <c r="AF212" s="1081">
        <f>CHOOSE(Tables!$U$2,Transfer!CD212,Transfer!CQ212,Transfer!DD212,Transfer!DQ212,Transfer!ED212)</f>
        <v>5.2893860209135758E-2</v>
      </c>
      <c r="AG212" s="1081">
        <f>CHOOSE(Tables!$U$2,Transfer!CE212,Transfer!CR212,Transfer!DE212,Transfer!DR212,Transfer!EE212)</f>
        <v>5.4732201351003838E-2</v>
      </c>
      <c r="AH212" s="1081">
        <f>CHOOSE(Tables!$U$2,Transfer!CF212,Transfer!CS212,Transfer!DF212,Transfer!DS212,Transfer!EF212)</f>
        <v>-9999</v>
      </c>
      <c r="AI212" s="1081">
        <f>CHOOSE(Tables!$U$2,Transfer!CG212,Transfer!CT212,Transfer!DG212,Transfer!DT212,Transfer!EG212)</f>
        <v>-9999</v>
      </c>
      <c r="AJ212" s="1081">
        <f>CHOOSE(Tables!$U$2,Transfer!CH212,Transfer!CU212,Transfer!DH212,Transfer!DU212,Transfer!EH212)</f>
        <v>-9999</v>
      </c>
      <c r="AK212" s="1081">
        <f>CHOOSE(Tables!$U$2,Transfer!CI212,Transfer!CV212,Transfer!DI212,Transfer!DV212,Transfer!EI212)</f>
        <v>-9999</v>
      </c>
      <c r="AL212" s="1081">
        <f>CHOOSE(Tables!$U$2,Transfer!CJ212,Transfer!CW212,Transfer!DJ212,Transfer!DW212,Transfer!EJ212)</f>
        <v>-9999</v>
      </c>
      <c r="AM212" s="1081">
        <f>CHOOSE(Tables!$U$2,Transfer!CK212,Transfer!CX212,Transfer!DK212,Transfer!DX212,Transfer!EK212)</f>
        <v>-9999</v>
      </c>
      <c r="AN212" s="1081">
        <f>CHOOSE(Tables!$U$2,Transfer!CL212,Transfer!CY212,Transfer!DL212,Transfer!DY212,Transfer!EL212)</f>
        <v>-9999</v>
      </c>
      <c r="AO212" s="1081">
        <f>CHOOSE(Tables!$U$2,Transfer!CM212,Transfer!CZ212,Transfer!DM212,Transfer!DZ212,Transfer!EM212)</f>
        <v>-9999</v>
      </c>
      <c r="AR212" s="22">
        <v>112</v>
      </c>
      <c r="AS212" s="30" t="s">
        <v>1998</v>
      </c>
      <c r="AT212" s="25">
        <f t="shared" ca="1" si="11"/>
        <v>0</v>
      </c>
      <c r="AU212" s="25">
        <f t="shared" ca="1" si="12"/>
        <v>0</v>
      </c>
      <c r="AV212" s="25">
        <f t="shared" ca="1" si="13"/>
        <v>0</v>
      </c>
      <c r="AW212" s="25">
        <f t="shared" ca="1" si="14"/>
        <v>0</v>
      </c>
      <c r="AX212" s="25">
        <f t="shared" ca="1" si="15"/>
        <v>0</v>
      </c>
      <c r="AY212" s="25">
        <f t="shared" si="16"/>
        <v>0</v>
      </c>
      <c r="AZ212" s="25">
        <f t="shared" si="17"/>
        <v>0</v>
      </c>
      <c r="BA212" s="25">
        <f t="shared" si="18"/>
        <v>0</v>
      </c>
      <c r="BB212" s="25">
        <f t="shared" si="19"/>
        <v>0</v>
      </c>
      <c r="BC212" s="25">
        <f t="shared" si="21"/>
        <v>0</v>
      </c>
      <c r="BD212" s="25">
        <f t="shared" si="21"/>
        <v>0</v>
      </c>
      <c r="BE212" s="25">
        <f t="shared" si="21"/>
        <v>0</v>
      </c>
      <c r="BF212" s="25">
        <f t="shared" si="21"/>
        <v>0</v>
      </c>
      <c r="CA212" s="16">
        <v>2.4799999999999999E-2</v>
      </c>
      <c r="CB212" s="16">
        <v>5.5399999999999998E-2</v>
      </c>
      <c r="CC212" s="16">
        <v>5.1200000000000002E-2</v>
      </c>
      <c r="CD212" s="16">
        <v>5.2893860209135758E-2</v>
      </c>
      <c r="CE212" s="16">
        <v>5.4732201351003838E-2</v>
      </c>
      <c r="CF212" s="16">
        <v>-9999</v>
      </c>
      <c r="CG212" s="16">
        <v>-9999</v>
      </c>
      <c r="CH212" s="16">
        <v>-9999</v>
      </c>
      <c r="CI212" s="16">
        <v>-9999</v>
      </c>
      <c r="CJ212" s="16">
        <v>-9999</v>
      </c>
      <c r="CK212" s="16">
        <v>-9999</v>
      </c>
      <c r="CL212" s="16">
        <v>-9999</v>
      </c>
      <c r="CM212" s="16">
        <v>-9999</v>
      </c>
      <c r="CN212" s="16">
        <v>2.4799999999999999E-2</v>
      </c>
      <c r="CO212" s="16">
        <v>5.5399999999999998E-2</v>
      </c>
      <c r="CP212" s="16">
        <v>5.6993498231772646E-2</v>
      </c>
      <c r="CQ212" s="16">
        <v>5.8703601259421478E-2</v>
      </c>
      <c r="CR212" s="16">
        <v>6.0745022209869562E-2</v>
      </c>
      <c r="CS212" s="16">
        <v>-9999</v>
      </c>
      <c r="CT212" s="16">
        <v>-9999</v>
      </c>
      <c r="CU212" s="16">
        <v>-9999</v>
      </c>
      <c r="CV212" s="16">
        <v>-9999</v>
      </c>
      <c r="CW212" s="16">
        <v>-9999</v>
      </c>
      <c r="CX212" s="16">
        <v>-9999</v>
      </c>
      <c r="CY212" s="16">
        <v>-9999</v>
      </c>
      <c r="CZ212" s="16">
        <v>-9999</v>
      </c>
      <c r="DA212" s="16">
        <v>2.4799999999999999E-2</v>
      </c>
      <c r="DB212" s="16">
        <v>5.5399999999999998E-2</v>
      </c>
      <c r="DC212" s="16">
        <v>5.1200000000000002E-2</v>
      </c>
      <c r="DD212" s="16">
        <v>5.2893860209135758E-2</v>
      </c>
      <c r="DE212" s="16">
        <v>5.4732201351003838E-2</v>
      </c>
      <c r="DF212" s="16">
        <v>-9999</v>
      </c>
      <c r="DG212" s="16">
        <v>-9999</v>
      </c>
      <c r="DH212" s="16">
        <v>-9999</v>
      </c>
      <c r="DI212" s="16">
        <v>-9999</v>
      </c>
      <c r="DJ212" s="16">
        <v>-9999</v>
      </c>
      <c r="DK212" s="16">
        <v>-9999</v>
      </c>
      <c r="DL212" s="16">
        <v>-9999</v>
      </c>
      <c r="DM212" s="16">
        <v>-9999</v>
      </c>
      <c r="DN212" s="16">
        <v>2.4799999999999999E-2</v>
      </c>
      <c r="DO212" s="16">
        <v>5.5399999999999998E-2</v>
      </c>
      <c r="DP212" s="16">
        <v>5.1200000000000002E-2</v>
      </c>
      <c r="DQ212" s="16">
        <v>5.2893860209135758E-2</v>
      </c>
      <c r="DR212" s="16">
        <v>5.4732201351003838E-2</v>
      </c>
      <c r="DS212" s="16">
        <v>-9999</v>
      </c>
      <c r="DT212" s="16">
        <v>-9999</v>
      </c>
      <c r="DU212" s="16">
        <v>-9999</v>
      </c>
      <c r="DV212" s="16">
        <v>-9999</v>
      </c>
      <c r="DW212" s="16">
        <v>-9999</v>
      </c>
      <c r="DX212" s="16">
        <v>-9999</v>
      </c>
      <c r="DY212" s="16">
        <v>-9999</v>
      </c>
      <c r="DZ212" s="16">
        <v>-9999</v>
      </c>
      <c r="EA212" s="2107">
        <v>2.4799999999999999E-2</v>
      </c>
      <c r="EB212" s="2107">
        <v>5.5399999999999998E-2</v>
      </c>
      <c r="EC212" s="2107">
        <v>5.1200000000000002E-2</v>
      </c>
      <c r="ED212" s="2107">
        <v>5.2893860209135758E-2</v>
      </c>
      <c r="EE212" s="2107">
        <v>5.4732201351003838E-2</v>
      </c>
      <c r="EF212" s="2107">
        <v>-9999</v>
      </c>
      <c r="EG212" s="2107">
        <v>-9999</v>
      </c>
      <c r="EH212" s="2107">
        <v>-9999</v>
      </c>
      <c r="EI212" s="2107">
        <v>-9999</v>
      </c>
      <c r="EJ212" s="2107">
        <v>-9999</v>
      </c>
      <c r="EK212" s="2107">
        <v>-9999</v>
      </c>
      <c r="EL212" s="2107">
        <v>-9999</v>
      </c>
      <c r="EM212" s="2107">
        <v>-9999</v>
      </c>
    </row>
    <row r="213" spans="1:143">
      <c r="A213" s="22">
        <v>113</v>
      </c>
      <c r="B213" s="1" t="s">
        <v>431</v>
      </c>
      <c r="C213" s="24">
        <f ca="1">OFFSET(Sector1!F32,0,Last_forecast_year - 3-InputY!$G$3)</f>
        <v>52.859300000000005</v>
      </c>
      <c r="D213" s="24">
        <f ca="1">OFFSET(Sector1!G32,0,Last_forecast_year - 3-InputY!$G$3)</f>
        <v>55.320900000000002</v>
      </c>
      <c r="E213" s="24">
        <f ca="1">OFFSET(Sector1!H32,0,Last_forecast_year - 3-InputY!$G$3)</f>
        <v>57.298099999999998</v>
      </c>
      <c r="F213" s="24">
        <f ca="1">OFFSET(Sector1!I32,0,Last_forecast_year - 3-InputY!$G$3)</f>
        <v>59.120098280130293</v>
      </c>
      <c r="G213" s="35">
        <f ca="1">OFFSET(Sector1!J32,0,Last_forecast_year - 3-InputY!$G$3)</f>
        <v>61.054472535494071</v>
      </c>
      <c r="H213" s="25">
        <v>-9999</v>
      </c>
      <c r="I213" s="25">
        <v>-9999</v>
      </c>
      <c r="J213" s="25">
        <v>-9999</v>
      </c>
      <c r="K213" s="25">
        <v>-9999</v>
      </c>
      <c r="L213" s="25">
        <v>-9999</v>
      </c>
      <c r="M213" s="25">
        <v>-9999</v>
      </c>
      <c r="N213" s="25">
        <v>-9999</v>
      </c>
      <c r="O213" s="25">
        <v>-9999</v>
      </c>
      <c r="P213" s="26"/>
      <c r="Q213"/>
      <c r="AA213" s="22">
        <v>113</v>
      </c>
      <c r="AB213" s="1081" t="str">
        <f t="shared" si="8"/>
        <v>GG TAXES ON PRODUCTION AND IMPORTS</v>
      </c>
      <c r="AC213" s="1081">
        <f>CHOOSE(Tables!$U$2,Transfer!CA213,Transfer!CN213,Transfer!DA213,Transfer!DN213,Transfer!EA213)</f>
        <v>52.859300000000005</v>
      </c>
      <c r="AD213" s="1081">
        <f>CHOOSE(Tables!$U$2,Transfer!CB213,Transfer!CO213,Transfer!DB213,Transfer!DO213,Transfer!EB213)</f>
        <v>55.320900000000002</v>
      </c>
      <c r="AE213" s="1081">
        <f>CHOOSE(Tables!$U$2,Transfer!CC213,Transfer!CP213,Transfer!DC213,Transfer!DP213,Transfer!EC213)</f>
        <v>57.298099999999998</v>
      </c>
      <c r="AF213" s="1081">
        <f>CHOOSE(Tables!$U$2,Transfer!CD213,Transfer!CQ213,Transfer!DD213,Transfer!DQ213,Transfer!ED213)</f>
        <v>59.405168245861148</v>
      </c>
      <c r="AG213" s="1081">
        <f>CHOOSE(Tables!$U$2,Transfer!CE213,Transfer!CR213,Transfer!DE213,Transfer!DR213,Transfer!EE213)</f>
        <v>61.549839194341395</v>
      </c>
      <c r="AH213" s="1081">
        <f>CHOOSE(Tables!$U$2,Transfer!CF213,Transfer!CS213,Transfer!DF213,Transfer!DS213,Transfer!EF213)</f>
        <v>-9999</v>
      </c>
      <c r="AI213" s="1081">
        <f>CHOOSE(Tables!$U$2,Transfer!CG213,Transfer!CT213,Transfer!DG213,Transfer!DT213,Transfer!EG213)</f>
        <v>-9999</v>
      </c>
      <c r="AJ213" s="1081">
        <f>CHOOSE(Tables!$U$2,Transfer!CH213,Transfer!CU213,Transfer!DH213,Transfer!DU213,Transfer!EH213)</f>
        <v>-9999</v>
      </c>
      <c r="AK213" s="1081">
        <f>CHOOSE(Tables!$U$2,Transfer!CI213,Transfer!CV213,Transfer!DI213,Transfer!DV213,Transfer!EI213)</f>
        <v>-9999</v>
      </c>
      <c r="AL213" s="1081">
        <f>CHOOSE(Tables!$U$2,Transfer!CJ213,Transfer!CW213,Transfer!DJ213,Transfer!DW213,Transfer!EJ213)</f>
        <v>-9999</v>
      </c>
      <c r="AM213" s="1081">
        <f>CHOOSE(Tables!$U$2,Transfer!CK213,Transfer!CX213,Transfer!DK213,Transfer!DX213,Transfer!EK213)</f>
        <v>-9999</v>
      </c>
      <c r="AN213" s="1081">
        <f>CHOOSE(Tables!$U$2,Transfer!CL213,Transfer!CY213,Transfer!DL213,Transfer!DY213,Transfer!EL213)</f>
        <v>-9999</v>
      </c>
      <c r="AO213" s="1081">
        <f>CHOOSE(Tables!$U$2,Transfer!CM213,Transfer!CZ213,Transfer!DM213,Transfer!DZ213,Transfer!EM213)</f>
        <v>-9999</v>
      </c>
      <c r="AR213" s="22">
        <v>113</v>
      </c>
      <c r="AS213" s="1" t="s">
        <v>431</v>
      </c>
      <c r="AT213" s="24">
        <f t="shared" ca="1" si="11"/>
        <v>0</v>
      </c>
      <c r="AU213" s="24">
        <f t="shared" ca="1" si="12"/>
        <v>0</v>
      </c>
      <c r="AV213" s="24">
        <f t="shared" ca="1" si="13"/>
        <v>0</v>
      </c>
      <c r="AW213" s="24">
        <f t="shared" ca="1" si="14"/>
        <v>-0.2850699657308553</v>
      </c>
      <c r="AX213" s="24">
        <f t="shared" ca="1" si="15"/>
        <v>-0.495366658847324</v>
      </c>
      <c r="AY213" s="25">
        <f t="shared" si="16"/>
        <v>0</v>
      </c>
      <c r="AZ213" s="25">
        <f t="shared" si="17"/>
        <v>0</v>
      </c>
      <c r="BA213" s="25">
        <f t="shared" si="18"/>
        <v>0</v>
      </c>
      <c r="BB213" s="25">
        <f t="shared" si="19"/>
        <v>0</v>
      </c>
      <c r="BC213" s="25">
        <f t="shared" si="21"/>
        <v>0</v>
      </c>
      <c r="BD213" s="25">
        <f t="shared" si="21"/>
        <v>0</v>
      </c>
      <c r="BE213" s="25">
        <f t="shared" si="21"/>
        <v>0</v>
      </c>
      <c r="BF213" s="25">
        <f t="shared" si="21"/>
        <v>0</v>
      </c>
      <c r="CA213" s="16">
        <v>52.859300000000005</v>
      </c>
      <c r="CB213" s="16">
        <v>55.320900000000002</v>
      </c>
      <c r="CC213" s="16">
        <v>57.298099999999998</v>
      </c>
      <c r="CD213" s="16">
        <v>59.405168245861148</v>
      </c>
      <c r="CE213" s="16">
        <v>61.549839194341395</v>
      </c>
      <c r="CF213" s="16">
        <v>-9999</v>
      </c>
      <c r="CG213" s="16">
        <v>-9999</v>
      </c>
      <c r="CH213" s="16">
        <v>-9999</v>
      </c>
      <c r="CI213" s="16">
        <v>-9999</v>
      </c>
      <c r="CJ213" s="16">
        <v>-9999</v>
      </c>
      <c r="CK213" s="16">
        <v>-9999</v>
      </c>
      <c r="CL213" s="16">
        <v>-9999</v>
      </c>
      <c r="CM213" s="16">
        <v>-9999</v>
      </c>
      <c r="CN213" s="16">
        <v>52.828099999999999</v>
      </c>
      <c r="CO213" s="16">
        <v>55.288199999999996</v>
      </c>
      <c r="CP213" s="16">
        <v>57.006466002411599</v>
      </c>
      <c r="CQ213" s="16">
        <v>58.625573791354057</v>
      </c>
      <c r="CR213" s="16">
        <v>60.948076832571935</v>
      </c>
      <c r="CS213" s="16">
        <v>-9999</v>
      </c>
      <c r="CT213" s="16">
        <v>-9999</v>
      </c>
      <c r="CU213" s="16">
        <v>-9999</v>
      </c>
      <c r="CV213" s="16">
        <v>-9999</v>
      </c>
      <c r="CW213" s="16">
        <v>-9999</v>
      </c>
      <c r="CX213" s="16">
        <v>-9999</v>
      </c>
      <c r="CY213" s="16">
        <v>-9999</v>
      </c>
      <c r="CZ213" s="16">
        <v>-9999</v>
      </c>
      <c r="DA213" s="16">
        <v>52.859300000000005</v>
      </c>
      <c r="DB213" s="16">
        <v>55.320900000000002</v>
      </c>
      <c r="DC213" s="16">
        <v>57.298099999999998</v>
      </c>
      <c r="DD213" s="16">
        <v>59.405168245861148</v>
      </c>
      <c r="DE213" s="16">
        <v>61.549839194341395</v>
      </c>
      <c r="DF213" s="16">
        <v>-9999</v>
      </c>
      <c r="DG213" s="16">
        <v>-9999</v>
      </c>
      <c r="DH213" s="16">
        <v>-9999</v>
      </c>
      <c r="DI213" s="16">
        <v>-9999</v>
      </c>
      <c r="DJ213" s="16">
        <v>-9999</v>
      </c>
      <c r="DK213" s="16">
        <v>-9999</v>
      </c>
      <c r="DL213" s="16">
        <v>-9999</v>
      </c>
      <c r="DM213" s="16">
        <v>-9999</v>
      </c>
      <c r="DN213" s="16">
        <v>52.859300000000005</v>
      </c>
      <c r="DO213" s="16">
        <v>55.320900000000002</v>
      </c>
      <c r="DP213" s="16">
        <v>57.298099999999998</v>
      </c>
      <c r="DQ213" s="16">
        <v>59.405168245861148</v>
      </c>
      <c r="DR213" s="16">
        <v>61.549839194341395</v>
      </c>
      <c r="DS213" s="16">
        <v>-9999</v>
      </c>
      <c r="DT213" s="16">
        <v>-9999</v>
      </c>
      <c r="DU213" s="16">
        <v>-9999</v>
      </c>
      <c r="DV213" s="16">
        <v>-9999</v>
      </c>
      <c r="DW213" s="16">
        <v>-9999</v>
      </c>
      <c r="DX213" s="16">
        <v>-9999</v>
      </c>
      <c r="DY213" s="16">
        <v>-9999</v>
      </c>
      <c r="DZ213" s="16">
        <v>-9999</v>
      </c>
      <c r="EA213" s="2106">
        <v>52.859300000000005</v>
      </c>
      <c r="EB213" s="2106">
        <v>55.320900000000002</v>
      </c>
      <c r="EC213" s="2106">
        <v>57.298099999999998</v>
      </c>
      <c r="ED213" s="2106">
        <v>59.120098280130293</v>
      </c>
      <c r="EE213" s="2106">
        <v>61.054472535494071</v>
      </c>
      <c r="EF213" s="2107">
        <v>-9999</v>
      </c>
      <c r="EG213" s="2107">
        <v>-9999</v>
      </c>
      <c r="EH213" s="2107">
        <v>-9999</v>
      </c>
      <c r="EI213" s="2107">
        <v>-9999</v>
      </c>
      <c r="EJ213" s="2107">
        <v>-9999</v>
      </c>
      <c r="EK213" s="2107">
        <v>-9999</v>
      </c>
      <c r="EL213" s="2107">
        <v>-9999</v>
      </c>
      <c r="EM213" s="2107">
        <v>-9999</v>
      </c>
    </row>
    <row r="214" spans="1:143">
      <c r="A214" s="22">
        <v>114</v>
      </c>
      <c r="B214" s="1" t="s">
        <v>1538</v>
      </c>
      <c r="C214" s="24">
        <f ca="1">OFFSET(Sector1!F319,0,Last_forecast_year - 3-InputY!$G$3)</f>
        <v>68.038699999999992</v>
      </c>
      <c r="D214" s="24">
        <f ca="1">OFFSET(Sector1!G319,0,Last_forecast_year - 3-InputY!$G$3)</f>
        <v>68.753399999999999</v>
      </c>
      <c r="E214" s="24">
        <f ca="1">OFFSET(Sector1!H319,0,Last_forecast_year - 3-InputY!$G$3)</f>
        <v>73.776699999999991</v>
      </c>
      <c r="F214" s="24">
        <f ca="1">OFFSET(Sector1!I319,0,Last_forecast_year - 3-InputY!$G$3)</f>
        <v>74.224751359659976</v>
      </c>
      <c r="G214" s="24">
        <f ca="1">OFFSET(Sector1!J319,0,Last_forecast_year - 3-InputY!$G$3)</f>
        <v>76.022804492324838</v>
      </c>
      <c r="H214" s="25">
        <v>-9999</v>
      </c>
      <c r="I214" s="25">
        <v>-9999</v>
      </c>
      <c r="J214" s="25">
        <v>-9999</v>
      </c>
      <c r="K214" s="25">
        <v>-9999</v>
      </c>
      <c r="L214" s="25">
        <v>-9999</v>
      </c>
      <c r="M214" s="25">
        <v>-9999</v>
      </c>
      <c r="N214" s="25">
        <v>-9999</v>
      </c>
      <c r="O214" s="25">
        <v>-9999</v>
      </c>
      <c r="P214" s="26"/>
      <c r="Q214"/>
      <c r="AA214" s="22">
        <v>114</v>
      </c>
      <c r="AB214" s="1081" t="str">
        <f t="shared" si="8"/>
        <v xml:space="preserve">GG CURRENT TAXES ON INCOME AND WEALTH </v>
      </c>
      <c r="AC214" s="1081">
        <f>CHOOSE(Tables!$U$2,Transfer!CA214,Transfer!CN214,Transfer!DA214,Transfer!DN214,Transfer!EA214)</f>
        <v>68.038699999999992</v>
      </c>
      <c r="AD214" s="1081">
        <f>CHOOSE(Tables!$U$2,Transfer!CB214,Transfer!CO214,Transfer!DB214,Transfer!DO214,Transfer!EB214)</f>
        <v>68.753399999999999</v>
      </c>
      <c r="AE214" s="1081">
        <f>CHOOSE(Tables!$U$2,Transfer!CC214,Transfer!CP214,Transfer!DC214,Transfer!DP214,Transfer!EC214)</f>
        <v>73.776699999999991</v>
      </c>
      <c r="AF214" s="1081">
        <f>CHOOSE(Tables!$U$2,Transfer!CD214,Transfer!CQ214,Transfer!DD214,Transfer!DQ214,Transfer!ED214)</f>
        <v>73.56847128913499</v>
      </c>
      <c r="AG214" s="1081">
        <f>CHOOSE(Tables!$U$2,Transfer!CE214,Transfer!CR214,Transfer!DE214,Transfer!DR214,Transfer!EE214)</f>
        <v>74.890337974355532</v>
      </c>
      <c r="AH214" s="1081">
        <f>CHOOSE(Tables!$U$2,Transfer!CF214,Transfer!CS214,Transfer!DF214,Transfer!DS214,Transfer!EF214)</f>
        <v>-9999</v>
      </c>
      <c r="AI214" s="1081">
        <f>CHOOSE(Tables!$U$2,Transfer!CG214,Transfer!CT214,Transfer!DG214,Transfer!DT214,Transfer!EG214)</f>
        <v>-9999</v>
      </c>
      <c r="AJ214" s="1081">
        <f>CHOOSE(Tables!$U$2,Transfer!CH214,Transfer!CU214,Transfer!DH214,Transfer!DU214,Transfer!EH214)</f>
        <v>-9999</v>
      </c>
      <c r="AK214" s="1081">
        <f>CHOOSE(Tables!$U$2,Transfer!CI214,Transfer!CV214,Transfer!DI214,Transfer!DV214,Transfer!EI214)</f>
        <v>-9999</v>
      </c>
      <c r="AL214" s="1081">
        <f>CHOOSE(Tables!$U$2,Transfer!CJ214,Transfer!CW214,Transfer!DJ214,Transfer!DW214,Transfer!EJ214)</f>
        <v>-9999</v>
      </c>
      <c r="AM214" s="1081">
        <f>CHOOSE(Tables!$U$2,Transfer!CK214,Transfer!CX214,Transfer!DK214,Transfer!DX214,Transfer!EK214)</f>
        <v>-9999</v>
      </c>
      <c r="AN214" s="1081">
        <f>CHOOSE(Tables!$U$2,Transfer!CL214,Transfer!CY214,Transfer!DL214,Transfer!DY214,Transfer!EL214)</f>
        <v>-9999</v>
      </c>
      <c r="AO214" s="1081">
        <f>CHOOSE(Tables!$U$2,Transfer!CM214,Transfer!CZ214,Transfer!DM214,Transfer!DZ214,Transfer!EM214)</f>
        <v>-9999</v>
      </c>
      <c r="AR214" s="22">
        <v>114</v>
      </c>
      <c r="AS214" s="1" t="s">
        <v>1538</v>
      </c>
      <c r="AT214" s="24">
        <f t="shared" ref="AT214:AT245" ca="1" si="22">C214-AC214</f>
        <v>0</v>
      </c>
      <c r="AU214" s="24">
        <f t="shared" ref="AU214:AU245" ca="1" si="23">D214-AD214</f>
        <v>0</v>
      </c>
      <c r="AV214" s="24">
        <f t="shared" ref="AV214:AV245" ca="1" si="24">E214-AE214</f>
        <v>0</v>
      </c>
      <c r="AW214" s="24">
        <f t="shared" ref="AW214:AW245" ca="1" si="25">F214-AF214</f>
        <v>0.6562800705249856</v>
      </c>
      <c r="AX214" s="24">
        <f t="shared" ref="AX214:AX245" ca="1" si="26">G214-AG214</f>
        <v>1.1324665179693056</v>
      </c>
      <c r="AY214" s="25">
        <f t="shared" ref="AY214:AY245" si="27">H214-AH214</f>
        <v>0</v>
      </c>
      <c r="AZ214" s="25">
        <f t="shared" ref="AZ214:AZ245" si="28">I214-AI214</f>
        <v>0</v>
      </c>
      <c r="BA214" s="25">
        <f t="shared" ref="BA214:BA245" si="29">J214-AJ214</f>
        <v>0</v>
      </c>
      <c r="BB214" s="25">
        <f t="shared" ref="BB214:BB245" si="30">K214-AK214</f>
        <v>0</v>
      </c>
      <c r="BC214" s="25">
        <f t="shared" si="21"/>
        <v>0</v>
      </c>
      <c r="BD214" s="25">
        <f t="shared" si="21"/>
        <v>0</v>
      </c>
      <c r="BE214" s="25">
        <f t="shared" si="21"/>
        <v>0</v>
      </c>
      <c r="BF214" s="25">
        <f t="shared" si="21"/>
        <v>0</v>
      </c>
      <c r="CA214" s="16">
        <v>68.038699999999992</v>
      </c>
      <c r="CB214" s="16">
        <v>68.753399999999999</v>
      </c>
      <c r="CC214" s="16">
        <v>73.776699999999991</v>
      </c>
      <c r="CD214" s="16">
        <v>73.56847128913499</v>
      </c>
      <c r="CE214" s="16">
        <v>74.890337974355532</v>
      </c>
      <c r="CF214" s="16">
        <v>-9999</v>
      </c>
      <c r="CG214" s="16">
        <v>-9999</v>
      </c>
      <c r="CH214" s="16">
        <v>-9999</v>
      </c>
      <c r="CI214" s="16">
        <v>-9999</v>
      </c>
      <c r="CJ214" s="16">
        <v>-9999</v>
      </c>
      <c r="CK214" s="16">
        <v>-9999</v>
      </c>
      <c r="CL214" s="16">
        <v>-9999</v>
      </c>
      <c r="CM214" s="16">
        <v>-9999</v>
      </c>
      <c r="CN214" s="16">
        <v>68.028700000000001</v>
      </c>
      <c r="CO214" s="16">
        <v>68.660399999999996</v>
      </c>
      <c r="CP214" s="16">
        <v>74.094115426989191</v>
      </c>
      <c r="CQ214" s="16">
        <v>75.887377764314749</v>
      </c>
      <c r="CR214" s="16">
        <v>77.991757450895079</v>
      </c>
      <c r="CS214" s="16">
        <v>-9999</v>
      </c>
      <c r="CT214" s="16">
        <v>-9999</v>
      </c>
      <c r="CU214" s="16">
        <v>-9999</v>
      </c>
      <c r="CV214" s="16">
        <v>-9999</v>
      </c>
      <c r="CW214" s="16">
        <v>-9999</v>
      </c>
      <c r="CX214" s="16">
        <v>-9999</v>
      </c>
      <c r="CY214" s="16">
        <v>-9999</v>
      </c>
      <c r="CZ214" s="16">
        <v>-9999</v>
      </c>
      <c r="DA214" s="16">
        <v>68.038699999999992</v>
      </c>
      <c r="DB214" s="16">
        <v>68.753399999999999</v>
      </c>
      <c r="DC214" s="16">
        <v>73.776699999999991</v>
      </c>
      <c r="DD214" s="16">
        <v>73.56847128913499</v>
      </c>
      <c r="DE214" s="16">
        <v>74.890337974355532</v>
      </c>
      <c r="DF214" s="16">
        <v>-9999</v>
      </c>
      <c r="DG214" s="16">
        <v>-9999</v>
      </c>
      <c r="DH214" s="16">
        <v>-9999</v>
      </c>
      <c r="DI214" s="16">
        <v>-9999</v>
      </c>
      <c r="DJ214" s="16">
        <v>-9999</v>
      </c>
      <c r="DK214" s="16">
        <v>-9999</v>
      </c>
      <c r="DL214" s="16">
        <v>-9999</v>
      </c>
      <c r="DM214" s="16">
        <v>-9999</v>
      </c>
      <c r="DN214" s="16">
        <v>68.038699999999992</v>
      </c>
      <c r="DO214" s="16">
        <v>68.753399999999999</v>
      </c>
      <c r="DP214" s="16">
        <v>73.776699999999991</v>
      </c>
      <c r="DQ214" s="16">
        <v>73.56847128913499</v>
      </c>
      <c r="DR214" s="16">
        <v>74.890337974355532</v>
      </c>
      <c r="DS214" s="16">
        <v>-9999</v>
      </c>
      <c r="DT214" s="16">
        <v>-9999</v>
      </c>
      <c r="DU214" s="16">
        <v>-9999</v>
      </c>
      <c r="DV214" s="16">
        <v>-9999</v>
      </c>
      <c r="DW214" s="16">
        <v>-9999</v>
      </c>
      <c r="DX214" s="16">
        <v>-9999</v>
      </c>
      <c r="DY214" s="16">
        <v>-9999</v>
      </c>
      <c r="DZ214" s="16">
        <v>-9999</v>
      </c>
      <c r="EA214" s="2106">
        <v>68.038699999999992</v>
      </c>
      <c r="EB214" s="2106">
        <v>68.753399999999999</v>
      </c>
      <c r="EC214" s="2106">
        <v>73.776699999999991</v>
      </c>
      <c r="ED214" s="2106">
        <v>74.224751359659976</v>
      </c>
      <c r="EE214" s="2106">
        <v>76.022804492324838</v>
      </c>
      <c r="EF214" s="2107">
        <v>-9999</v>
      </c>
      <c r="EG214" s="2107">
        <v>-9999</v>
      </c>
      <c r="EH214" s="2107">
        <v>-9999</v>
      </c>
      <c r="EI214" s="2107">
        <v>-9999</v>
      </c>
      <c r="EJ214" s="2107">
        <v>-9999</v>
      </c>
      <c r="EK214" s="2107">
        <v>-9999</v>
      </c>
      <c r="EL214" s="2107">
        <v>-9999</v>
      </c>
      <c r="EM214" s="2107">
        <v>-9999</v>
      </c>
    </row>
    <row r="215" spans="1:143">
      <c r="A215" s="22">
        <v>115</v>
      </c>
      <c r="B215" s="1" t="s">
        <v>1394</v>
      </c>
      <c r="C215" s="24">
        <f ca="1">OFFSET(Sector1!F473,0,Last_forecast_year - 3-InputY!$G$3)</f>
        <v>67.944400000000002</v>
      </c>
      <c r="D215" s="24">
        <f ca="1">OFFSET(Sector1!G473,0,Last_forecast_year - 3-InputY!$G$3)</f>
        <v>67.528700000000001</v>
      </c>
      <c r="E215" s="24">
        <f ca="1">OFFSET(Sector1!H473,0,Last_forecast_year - 3-InputY!$G$3)</f>
        <v>69.342799999999997</v>
      </c>
      <c r="F215" s="24">
        <f ca="1">OFFSET(Sector1!I473,0,Last_forecast_year - 3-InputY!$G$3)</f>
        <v>71.271879679999998</v>
      </c>
      <c r="G215" s="24">
        <f ca="1">OFFSET(Sector1!J473,0,Last_forecast_year - 3-InputY!$G$3)</f>
        <v>73.410592586023995</v>
      </c>
      <c r="H215" s="25">
        <v>-9999</v>
      </c>
      <c r="I215" s="25">
        <v>-9999</v>
      </c>
      <c r="J215" s="25">
        <v>-9999</v>
      </c>
      <c r="K215" s="25">
        <v>-9999</v>
      </c>
      <c r="L215" s="25">
        <v>-9999</v>
      </c>
      <c r="M215" s="25">
        <v>-9999</v>
      </c>
      <c r="N215" s="25">
        <v>-9999</v>
      </c>
      <c r="O215" s="25">
        <v>-9999</v>
      </c>
      <c r="P215" s="26"/>
      <c r="Q215"/>
      <c r="AA215" s="22">
        <v>115</v>
      </c>
      <c r="AB215" s="1081" t="str">
        <f t="shared" si="8"/>
        <v>GG SOCIAL CONTRIBUTIONS</v>
      </c>
      <c r="AC215" s="1081">
        <f>CHOOSE(Tables!$U$2,Transfer!CA215,Transfer!CN215,Transfer!DA215,Transfer!DN215,Transfer!EA215)</f>
        <v>67.944400000000002</v>
      </c>
      <c r="AD215" s="1081">
        <f>CHOOSE(Tables!$U$2,Transfer!CB215,Transfer!CO215,Transfer!DB215,Transfer!DO215,Transfer!EB215)</f>
        <v>67.528700000000001</v>
      </c>
      <c r="AE215" s="1081">
        <f>CHOOSE(Tables!$U$2,Transfer!CC215,Transfer!CP215,Transfer!DC215,Transfer!DP215,Transfer!EC215)</f>
        <v>69.342799999999997</v>
      </c>
      <c r="AF215" s="1081">
        <f>CHOOSE(Tables!$U$2,Transfer!CD215,Transfer!CQ215,Transfer!DD215,Transfer!DQ215,Transfer!ED215)</f>
        <v>71.271879679999998</v>
      </c>
      <c r="AG215" s="1081">
        <f>CHOOSE(Tables!$U$2,Transfer!CE215,Transfer!CR215,Transfer!DE215,Transfer!DR215,Transfer!EE215)</f>
        <v>73.410592586023995</v>
      </c>
      <c r="AH215" s="1081">
        <f>CHOOSE(Tables!$U$2,Transfer!CF215,Transfer!CS215,Transfer!DF215,Transfer!DS215,Transfer!EF215)</f>
        <v>-9999</v>
      </c>
      <c r="AI215" s="1081">
        <f>CHOOSE(Tables!$U$2,Transfer!CG215,Transfer!CT215,Transfer!DG215,Transfer!DT215,Transfer!EG215)</f>
        <v>-9999</v>
      </c>
      <c r="AJ215" s="1081">
        <f>CHOOSE(Tables!$U$2,Transfer!CH215,Transfer!CU215,Transfer!DH215,Transfer!DU215,Transfer!EH215)</f>
        <v>-9999</v>
      </c>
      <c r="AK215" s="1081">
        <f>CHOOSE(Tables!$U$2,Transfer!CI215,Transfer!CV215,Transfer!DI215,Transfer!DV215,Transfer!EI215)</f>
        <v>-9999</v>
      </c>
      <c r="AL215" s="1081">
        <f>CHOOSE(Tables!$U$2,Transfer!CJ215,Transfer!CW215,Transfer!DJ215,Transfer!DW215,Transfer!EJ215)</f>
        <v>-9999</v>
      </c>
      <c r="AM215" s="1081">
        <f>CHOOSE(Tables!$U$2,Transfer!CK215,Transfer!CX215,Transfer!DK215,Transfer!DX215,Transfer!EK215)</f>
        <v>-9999</v>
      </c>
      <c r="AN215" s="1081">
        <f>CHOOSE(Tables!$U$2,Transfer!CL215,Transfer!CY215,Transfer!DL215,Transfer!DY215,Transfer!EL215)</f>
        <v>-9999</v>
      </c>
      <c r="AO215" s="1081">
        <f>CHOOSE(Tables!$U$2,Transfer!CM215,Transfer!CZ215,Transfer!DM215,Transfer!DZ215,Transfer!EM215)</f>
        <v>-9999</v>
      </c>
      <c r="AR215" s="22">
        <v>115</v>
      </c>
      <c r="AS215" s="1" t="s">
        <v>1394</v>
      </c>
      <c r="AT215" s="24">
        <f t="shared" ca="1" si="22"/>
        <v>0</v>
      </c>
      <c r="AU215" s="24">
        <f t="shared" ca="1" si="23"/>
        <v>0</v>
      </c>
      <c r="AV215" s="24">
        <f t="shared" ca="1" si="24"/>
        <v>0</v>
      </c>
      <c r="AW215" s="24">
        <f t="shared" ca="1" si="25"/>
        <v>0</v>
      </c>
      <c r="AX215" s="24">
        <f t="shared" ca="1" si="26"/>
        <v>0</v>
      </c>
      <c r="AY215" s="25">
        <f t="shared" si="27"/>
        <v>0</v>
      </c>
      <c r="AZ215" s="25">
        <f t="shared" si="28"/>
        <v>0</v>
      </c>
      <c r="BA215" s="25">
        <f t="shared" si="29"/>
        <v>0</v>
      </c>
      <c r="BB215" s="25">
        <f t="shared" si="30"/>
        <v>0</v>
      </c>
      <c r="BC215" s="25">
        <f t="shared" si="21"/>
        <v>0</v>
      </c>
      <c r="BD215" s="25">
        <f t="shared" si="21"/>
        <v>0</v>
      </c>
      <c r="BE215" s="25">
        <f t="shared" si="21"/>
        <v>0</v>
      </c>
      <c r="BF215" s="25">
        <f t="shared" si="21"/>
        <v>0</v>
      </c>
      <c r="CA215" s="16">
        <v>67.944400000000002</v>
      </c>
      <c r="CB215" s="16">
        <v>67.528700000000001</v>
      </c>
      <c r="CC215" s="16">
        <v>69.342799999999997</v>
      </c>
      <c r="CD215" s="16">
        <v>71.271879679999998</v>
      </c>
      <c r="CE215" s="16">
        <v>73.410592586023995</v>
      </c>
      <c r="CF215" s="16">
        <v>-9999</v>
      </c>
      <c r="CG215" s="16">
        <v>-9999</v>
      </c>
      <c r="CH215" s="16">
        <v>-9999</v>
      </c>
      <c r="CI215" s="16">
        <v>-9999</v>
      </c>
      <c r="CJ215" s="16">
        <v>-9999</v>
      </c>
      <c r="CK215" s="16">
        <v>-9999</v>
      </c>
      <c r="CL215" s="16">
        <v>-9999</v>
      </c>
      <c r="CM215" s="16">
        <v>-9999</v>
      </c>
      <c r="CN215" s="16">
        <v>67.941299999999998</v>
      </c>
      <c r="CO215" s="16">
        <v>67.442100000000011</v>
      </c>
      <c r="CP215" s="16">
        <v>69.409504617193122</v>
      </c>
      <c r="CQ215" s="16">
        <v>71.278650130423003</v>
      </c>
      <c r="CR215" s="16">
        <v>73.462805168081715</v>
      </c>
      <c r="CS215" s="16">
        <v>-9999</v>
      </c>
      <c r="CT215" s="16">
        <v>-9999</v>
      </c>
      <c r="CU215" s="16">
        <v>-9999</v>
      </c>
      <c r="CV215" s="16">
        <v>-9999</v>
      </c>
      <c r="CW215" s="16">
        <v>-9999</v>
      </c>
      <c r="CX215" s="16">
        <v>-9999</v>
      </c>
      <c r="CY215" s="16">
        <v>-9999</v>
      </c>
      <c r="CZ215" s="16">
        <v>-9999</v>
      </c>
      <c r="DA215" s="16">
        <v>67.944400000000002</v>
      </c>
      <c r="DB215" s="16">
        <v>67.528700000000001</v>
      </c>
      <c r="DC215" s="16">
        <v>69.342799999999997</v>
      </c>
      <c r="DD215" s="16">
        <v>71.271879679999998</v>
      </c>
      <c r="DE215" s="16">
        <v>73.410592586023995</v>
      </c>
      <c r="DF215" s="16">
        <v>-9999</v>
      </c>
      <c r="DG215" s="16">
        <v>-9999</v>
      </c>
      <c r="DH215" s="16">
        <v>-9999</v>
      </c>
      <c r="DI215" s="16">
        <v>-9999</v>
      </c>
      <c r="DJ215" s="16">
        <v>-9999</v>
      </c>
      <c r="DK215" s="16">
        <v>-9999</v>
      </c>
      <c r="DL215" s="16">
        <v>-9999</v>
      </c>
      <c r="DM215" s="16">
        <v>-9999</v>
      </c>
      <c r="DN215" s="16">
        <v>67.944400000000002</v>
      </c>
      <c r="DO215" s="16">
        <v>67.528700000000001</v>
      </c>
      <c r="DP215" s="16">
        <v>69.342799999999997</v>
      </c>
      <c r="DQ215" s="16">
        <v>71.271879679999998</v>
      </c>
      <c r="DR215" s="16">
        <v>73.410592586023995</v>
      </c>
      <c r="DS215" s="16">
        <v>-9999</v>
      </c>
      <c r="DT215" s="16">
        <v>-9999</v>
      </c>
      <c r="DU215" s="16">
        <v>-9999</v>
      </c>
      <c r="DV215" s="16">
        <v>-9999</v>
      </c>
      <c r="DW215" s="16">
        <v>-9999</v>
      </c>
      <c r="DX215" s="16">
        <v>-9999</v>
      </c>
      <c r="DY215" s="16">
        <v>-9999</v>
      </c>
      <c r="DZ215" s="16">
        <v>-9999</v>
      </c>
      <c r="EA215" s="2106">
        <v>67.944400000000002</v>
      </c>
      <c r="EB215" s="2106">
        <v>67.528700000000001</v>
      </c>
      <c r="EC215" s="2106">
        <v>69.342799999999997</v>
      </c>
      <c r="ED215" s="2106">
        <v>71.271879679999998</v>
      </c>
      <c r="EE215" s="2106">
        <v>73.410592586023995</v>
      </c>
      <c r="EF215" s="2107">
        <v>-9999</v>
      </c>
      <c r="EG215" s="2107">
        <v>-9999</v>
      </c>
      <c r="EH215" s="2107">
        <v>-9999</v>
      </c>
      <c r="EI215" s="2107">
        <v>-9999</v>
      </c>
      <c r="EJ215" s="2107">
        <v>-9999</v>
      </c>
      <c r="EK215" s="2107">
        <v>-9999</v>
      </c>
      <c r="EL215" s="2107">
        <v>-9999</v>
      </c>
      <c r="EM215" s="2107">
        <v>-9999</v>
      </c>
    </row>
    <row r="216" spans="1:143">
      <c r="A216" s="22">
        <v>116</v>
      </c>
      <c r="B216" s="1" t="s">
        <v>1489</v>
      </c>
      <c r="C216" s="24">
        <f ca="1">OFFSET(Sector1!F471,0,Last_forecast_year - 3-InputY!$G$3)</f>
        <v>58.699300000000001</v>
      </c>
      <c r="D216" s="24">
        <f ca="1">OFFSET(Sector1!G471,0,Last_forecast_year - 3-InputY!$G$3)</f>
        <v>58.002699999999997</v>
      </c>
      <c r="E216" s="24">
        <f ca="1">OFFSET(Sector1!H471,0,Last_forecast_year - 3-InputY!$G$3)</f>
        <v>59.502000000000002</v>
      </c>
      <c r="F216" s="24">
        <f ca="1">OFFSET(Sector1!I471,0,Last_forecast_year - 3-InputY!$G$3)</f>
        <v>61.203757199999998</v>
      </c>
      <c r="G216" s="24">
        <f ca="1">OFFSET(Sector1!J471,0,Last_forecast_year - 3-InputY!$G$3)</f>
        <v>63.082712546039993</v>
      </c>
      <c r="H216" s="25">
        <v>-9999</v>
      </c>
      <c r="I216" s="25">
        <v>-9999</v>
      </c>
      <c r="J216" s="25">
        <v>-9999</v>
      </c>
      <c r="K216" s="25">
        <v>-9999</v>
      </c>
      <c r="L216" s="25">
        <v>-9999</v>
      </c>
      <c r="M216" s="25">
        <v>-9999</v>
      </c>
      <c r="N216" s="25">
        <v>-9999</v>
      </c>
      <c r="O216" s="25">
        <v>-9999</v>
      </c>
      <c r="P216" s="26"/>
      <c r="Q216"/>
      <c r="AA216" s="22">
        <v>116</v>
      </c>
      <c r="AB216" s="1081" t="str">
        <f t="shared" si="8"/>
        <v>GG ACTUAL SOCIAL CONTRIBUTIONS</v>
      </c>
      <c r="AC216" s="1081">
        <f>CHOOSE(Tables!$U$2,Transfer!CA216,Transfer!CN216,Transfer!DA216,Transfer!DN216,Transfer!EA216)</f>
        <v>58.699300000000001</v>
      </c>
      <c r="AD216" s="1081">
        <f>CHOOSE(Tables!$U$2,Transfer!CB216,Transfer!CO216,Transfer!DB216,Transfer!DO216,Transfer!EB216)</f>
        <v>58.002699999999997</v>
      </c>
      <c r="AE216" s="1081">
        <f>CHOOSE(Tables!$U$2,Transfer!CC216,Transfer!CP216,Transfer!DC216,Transfer!DP216,Transfer!EC216)</f>
        <v>59.502000000000002</v>
      </c>
      <c r="AF216" s="1081">
        <f>CHOOSE(Tables!$U$2,Transfer!CD216,Transfer!CQ216,Transfer!DD216,Transfer!DQ216,Transfer!ED216)</f>
        <v>61.203757199999998</v>
      </c>
      <c r="AG216" s="1081">
        <f>CHOOSE(Tables!$U$2,Transfer!CE216,Transfer!CR216,Transfer!DE216,Transfer!DR216,Transfer!EE216)</f>
        <v>63.082712546039993</v>
      </c>
      <c r="AH216" s="1081">
        <f>CHOOSE(Tables!$U$2,Transfer!CF216,Transfer!CS216,Transfer!DF216,Transfer!DS216,Transfer!EF216)</f>
        <v>-9999</v>
      </c>
      <c r="AI216" s="1081">
        <f>CHOOSE(Tables!$U$2,Transfer!CG216,Transfer!CT216,Transfer!DG216,Transfer!DT216,Transfer!EG216)</f>
        <v>-9999</v>
      </c>
      <c r="AJ216" s="1081">
        <f>CHOOSE(Tables!$U$2,Transfer!CH216,Transfer!CU216,Transfer!DH216,Transfer!DU216,Transfer!EH216)</f>
        <v>-9999</v>
      </c>
      <c r="AK216" s="1081">
        <f>CHOOSE(Tables!$U$2,Transfer!CI216,Transfer!CV216,Transfer!DI216,Transfer!DV216,Transfer!EI216)</f>
        <v>-9999</v>
      </c>
      <c r="AL216" s="1081">
        <f>CHOOSE(Tables!$U$2,Transfer!CJ216,Transfer!CW216,Transfer!DJ216,Transfer!DW216,Transfer!EJ216)</f>
        <v>-9999</v>
      </c>
      <c r="AM216" s="1081">
        <f>CHOOSE(Tables!$U$2,Transfer!CK216,Transfer!CX216,Transfer!DK216,Transfer!DX216,Transfer!EK216)</f>
        <v>-9999</v>
      </c>
      <c r="AN216" s="1081">
        <f>CHOOSE(Tables!$U$2,Transfer!CL216,Transfer!CY216,Transfer!DL216,Transfer!DY216,Transfer!EL216)</f>
        <v>-9999</v>
      </c>
      <c r="AO216" s="1081">
        <f>CHOOSE(Tables!$U$2,Transfer!CM216,Transfer!CZ216,Transfer!DM216,Transfer!DZ216,Transfer!EM216)</f>
        <v>-9999</v>
      </c>
      <c r="AR216" s="22">
        <v>116</v>
      </c>
      <c r="AS216" s="1" t="s">
        <v>1489</v>
      </c>
      <c r="AT216" s="24">
        <f t="shared" ca="1" si="22"/>
        <v>0</v>
      </c>
      <c r="AU216" s="24">
        <f t="shared" ca="1" si="23"/>
        <v>0</v>
      </c>
      <c r="AV216" s="24">
        <f t="shared" ca="1" si="24"/>
        <v>0</v>
      </c>
      <c r="AW216" s="24">
        <f t="shared" ca="1" si="25"/>
        <v>0</v>
      </c>
      <c r="AX216" s="24">
        <f t="shared" ca="1" si="26"/>
        <v>0</v>
      </c>
      <c r="AY216" s="25">
        <f t="shared" si="27"/>
        <v>0</v>
      </c>
      <c r="AZ216" s="25">
        <f t="shared" si="28"/>
        <v>0</v>
      </c>
      <c r="BA216" s="25">
        <f t="shared" si="29"/>
        <v>0</v>
      </c>
      <c r="BB216" s="25">
        <f t="shared" si="30"/>
        <v>0</v>
      </c>
      <c r="BC216" s="25">
        <f t="shared" si="21"/>
        <v>0</v>
      </c>
      <c r="BD216" s="25">
        <f t="shared" si="21"/>
        <v>0</v>
      </c>
      <c r="BE216" s="25">
        <f t="shared" si="21"/>
        <v>0</v>
      </c>
      <c r="BF216" s="25">
        <f t="shared" si="21"/>
        <v>0</v>
      </c>
      <c r="CA216" s="16">
        <v>58.699300000000001</v>
      </c>
      <c r="CB216" s="16">
        <v>58.002699999999997</v>
      </c>
      <c r="CC216" s="16">
        <v>59.502000000000002</v>
      </c>
      <c r="CD216" s="16">
        <v>61.203757199999998</v>
      </c>
      <c r="CE216" s="16">
        <v>63.082712546039993</v>
      </c>
      <c r="CF216" s="16">
        <v>-9999</v>
      </c>
      <c r="CG216" s="16">
        <v>-9999</v>
      </c>
      <c r="CH216" s="16">
        <v>-9999</v>
      </c>
      <c r="CI216" s="16">
        <v>-9999</v>
      </c>
      <c r="CJ216" s="16">
        <v>-9999</v>
      </c>
      <c r="CK216" s="16">
        <v>-9999</v>
      </c>
      <c r="CL216" s="16">
        <v>-9999</v>
      </c>
      <c r="CM216" s="16">
        <v>-9999</v>
      </c>
      <c r="CN216" s="16">
        <v>58.699300000000001</v>
      </c>
      <c r="CO216" s="16">
        <v>57.906400000000005</v>
      </c>
      <c r="CP216" s="16">
        <v>59.538098473381481</v>
      </c>
      <c r="CQ216" s="16">
        <v>61.167541047362498</v>
      </c>
      <c r="CR216" s="16">
        <v>63.068200271727711</v>
      </c>
      <c r="CS216" s="16">
        <v>-9999</v>
      </c>
      <c r="CT216" s="16">
        <v>-9999</v>
      </c>
      <c r="CU216" s="16">
        <v>-9999</v>
      </c>
      <c r="CV216" s="16">
        <v>-9999</v>
      </c>
      <c r="CW216" s="16">
        <v>-9999</v>
      </c>
      <c r="CX216" s="16">
        <v>-9999</v>
      </c>
      <c r="CY216" s="16">
        <v>-9999</v>
      </c>
      <c r="CZ216" s="16">
        <v>-9999</v>
      </c>
      <c r="DA216" s="16">
        <v>58.699300000000001</v>
      </c>
      <c r="DB216" s="16">
        <v>58.002699999999997</v>
      </c>
      <c r="DC216" s="16">
        <v>59.502000000000002</v>
      </c>
      <c r="DD216" s="16">
        <v>61.203757199999998</v>
      </c>
      <c r="DE216" s="16">
        <v>63.082712546039993</v>
      </c>
      <c r="DF216" s="16">
        <v>-9999</v>
      </c>
      <c r="DG216" s="16">
        <v>-9999</v>
      </c>
      <c r="DH216" s="16">
        <v>-9999</v>
      </c>
      <c r="DI216" s="16">
        <v>-9999</v>
      </c>
      <c r="DJ216" s="16">
        <v>-9999</v>
      </c>
      <c r="DK216" s="16">
        <v>-9999</v>
      </c>
      <c r="DL216" s="16">
        <v>-9999</v>
      </c>
      <c r="DM216" s="16">
        <v>-9999</v>
      </c>
      <c r="DN216" s="16">
        <v>58.699300000000001</v>
      </c>
      <c r="DO216" s="16">
        <v>58.002699999999997</v>
      </c>
      <c r="DP216" s="16">
        <v>59.502000000000002</v>
      </c>
      <c r="DQ216" s="16">
        <v>61.203757199999998</v>
      </c>
      <c r="DR216" s="16">
        <v>63.082712546039993</v>
      </c>
      <c r="DS216" s="16">
        <v>-9999</v>
      </c>
      <c r="DT216" s="16">
        <v>-9999</v>
      </c>
      <c r="DU216" s="16">
        <v>-9999</v>
      </c>
      <c r="DV216" s="16">
        <v>-9999</v>
      </c>
      <c r="DW216" s="16">
        <v>-9999</v>
      </c>
      <c r="DX216" s="16">
        <v>-9999</v>
      </c>
      <c r="DY216" s="16">
        <v>-9999</v>
      </c>
      <c r="DZ216" s="16">
        <v>-9999</v>
      </c>
      <c r="EA216" s="2106">
        <v>58.699300000000001</v>
      </c>
      <c r="EB216" s="2106">
        <v>58.002699999999997</v>
      </c>
      <c r="EC216" s="2106">
        <v>59.502000000000002</v>
      </c>
      <c r="ED216" s="2106">
        <v>61.203757199999998</v>
      </c>
      <c r="EE216" s="2106">
        <v>63.082712546039993</v>
      </c>
      <c r="EF216" s="2107">
        <v>-9999</v>
      </c>
      <c r="EG216" s="2107">
        <v>-9999</v>
      </c>
      <c r="EH216" s="2107">
        <v>-9999</v>
      </c>
      <c r="EI216" s="2107">
        <v>-9999</v>
      </c>
      <c r="EJ216" s="2107">
        <v>-9999</v>
      </c>
      <c r="EK216" s="2107">
        <v>-9999</v>
      </c>
      <c r="EL216" s="2107">
        <v>-9999</v>
      </c>
      <c r="EM216" s="2107">
        <v>-9999</v>
      </c>
    </row>
    <row r="217" spans="1:143">
      <c r="A217" s="22">
        <v>117</v>
      </c>
      <c r="B217" s="1" t="s">
        <v>1371</v>
      </c>
      <c r="C217" s="24">
        <f ca="1">OFFSET(Sector1!F1099,0,Last_forecast_year - 3-InputY!$G$3)</f>
        <v>6.8463999999999992</v>
      </c>
      <c r="D217" s="24">
        <f ca="1">OFFSET(Sector1!G1099,0,Last_forecast_year - 3-InputY!$G$3)</f>
        <v>6.8486000000000002</v>
      </c>
      <c r="E217" s="24">
        <f ca="1">OFFSET(Sector1!H1099,0,Last_forecast_year - 3-InputY!$G$3)</f>
        <v>7.1141000000000005</v>
      </c>
      <c r="F217" s="24">
        <f ca="1">OFFSET(Sector1!I1099,0,Last_forecast_year - 3-InputY!$G$3)</f>
        <v>7.2800986900000009</v>
      </c>
      <c r="G217" s="24">
        <f ca="1">OFFSET(Sector1!J1099,0,Last_forecast_year - 3-InputY!$G$3)</f>
        <v>7.3119591468920007</v>
      </c>
      <c r="H217" s="25">
        <v>-9999</v>
      </c>
      <c r="I217" s="25">
        <v>-9999</v>
      </c>
      <c r="J217" s="25">
        <v>-9999</v>
      </c>
      <c r="K217" s="25">
        <v>-9999</v>
      </c>
      <c r="L217" s="25">
        <v>-9999</v>
      </c>
      <c r="M217" s="25">
        <v>-9999</v>
      </c>
      <c r="N217" s="25">
        <v>-9999</v>
      </c>
      <c r="O217" s="25">
        <v>-9999</v>
      </c>
      <c r="P217"/>
      <c r="Q217"/>
      <c r="AA217" s="22">
        <v>117</v>
      </c>
      <c r="AB217" s="1081" t="str">
        <f t="shared" si="8"/>
        <v>GG OTHER CURRENT RESOURCES</v>
      </c>
      <c r="AC217" s="1081">
        <f>CHOOSE(Tables!$U$2,Transfer!CA217,Transfer!CN217,Transfer!DA217,Transfer!DN217,Transfer!EA217)</f>
        <v>6.8463999999999992</v>
      </c>
      <c r="AD217" s="1081">
        <f>CHOOSE(Tables!$U$2,Transfer!CB217,Transfer!CO217,Transfer!DB217,Transfer!DO217,Transfer!EB217)</f>
        <v>6.8486000000000002</v>
      </c>
      <c r="AE217" s="1081">
        <f>CHOOSE(Tables!$U$2,Transfer!CC217,Transfer!CP217,Transfer!DC217,Transfer!DP217,Transfer!EC217)</f>
        <v>7.1141000000000005</v>
      </c>
      <c r="AF217" s="1081">
        <f>CHOOSE(Tables!$U$2,Transfer!CD217,Transfer!CQ217,Transfer!DD217,Transfer!DQ217,Transfer!ED217)</f>
        <v>7.2800986900000009</v>
      </c>
      <c r="AG217" s="1081">
        <f>CHOOSE(Tables!$U$2,Transfer!CE217,Transfer!CR217,Transfer!DE217,Transfer!DR217,Transfer!EE217)</f>
        <v>7.3119591468920007</v>
      </c>
      <c r="AH217" s="1081">
        <f>CHOOSE(Tables!$U$2,Transfer!CF217,Transfer!CS217,Transfer!DF217,Transfer!DS217,Transfer!EF217)</f>
        <v>-9999</v>
      </c>
      <c r="AI217" s="1081">
        <f>CHOOSE(Tables!$U$2,Transfer!CG217,Transfer!CT217,Transfer!DG217,Transfer!DT217,Transfer!EG217)</f>
        <v>-9999</v>
      </c>
      <c r="AJ217" s="1081">
        <f>CHOOSE(Tables!$U$2,Transfer!CH217,Transfer!CU217,Transfer!DH217,Transfer!DU217,Transfer!EH217)</f>
        <v>-9999</v>
      </c>
      <c r="AK217" s="1081">
        <f>CHOOSE(Tables!$U$2,Transfer!CI217,Transfer!CV217,Transfer!DI217,Transfer!DV217,Transfer!EI217)</f>
        <v>-9999</v>
      </c>
      <c r="AL217" s="1081">
        <f>CHOOSE(Tables!$U$2,Transfer!CJ217,Transfer!CW217,Transfer!DJ217,Transfer!DW217,Transfer!EJ217)</f>
        <v>-9999</v>
      </c>
      <c r="AM217" s="1081">
        <f>CHOOSE(Tables!$U$2,Transfer!CK217,Transfer!CX217,Transfer!DK217,Transfer!DX217,Transfer!EK217)</f>
        <v>-9999</v>
      </c>
      <c r="AN217" s="1081">
        <f>CHOOSE(Tables!$U$2,Transfer!CL217,Transfer!CY217,Transfer!DL217,Transfer!DY217,Transfer!EL217)</f>
        <v>-9999</v>
      </c>
      <c r="AO217" s="1081">
        <f>CHOOSE(Tables!$U$2,Transfer!CM217,Transfer!CZ217,Transfer!DM217,Transfer!DZ217,Transfer!EM217)</f>
        <v>-9999</v>
      </c>
      <c r="AR217" s="22">
        <v>117</v>
      </c>
      <c r="AS217" s="1" t="s">
        <v>1371</v>
      </c>
      <c r="AT217" s="24">
        <f t="shared" ca="1" si="22"/>
        <v>0</v>
      </c>
      <c r="AU217" s="24">
        <f t="shared" ca="1" si="23"/>
        <v>0</v>
      </c>
      <c r="AV217" s="24">
        <f t="shared" ca="1" si="24"/>
        <v>0</v>
      </c>
      <c r="AW217" s="24">
        <f t="shared" ca="1" si="25"/>
        <v>0</v>
      </c>
      <c r="AX217" s="24">
        <f t="shared" ca="1" si="26"/>
        <v>0</v>
      </c>
      <c r="AY217" s="25">
        <f t="shared" si="27"/>
        <v>0</v>
      </c>
      <c r="AZ217" s="25">
        <f t="shared" si="28"/>
        <v>0</v>
      </c>
      <c r="BA217" s="25">
        <f t="shared" si="29"/>
        <v>0</v>
      </c>
      <c r="BB217" s="25">
        <f t="shared" si="30"/>
        <v>0</v>
      </c>
      <c r="BC217" s="25">
        <f t="shared" si="21"/>
        <v>0</v>
      </c>
      <c r="BD217" s="25">
        <f t="shared" si="21"/>
        <v>0</v>
      </c>
      <c r="BE217" s="25">
        <f t="shared" si="21"/>
        <v>0</v>
      </c>
      <c r="BF217" s="25">
        <f t="shared" si="21"/>
        <v>0</v>
      </c>
      <c r="CA217" s="16">
        <v>6.8463999999999992</v>
      </c>
      <c r="CB217" s="16">
        <v>6.8486000000000002</v>
      </c>
      <c r="CC217" s="16">
        <v>7.1141000000000005</v>
      </c>
      <c r="CD217" s="16">
        <v>7.2800986900000009</v>
      </c>
      <c r="CE217" s="16">
        <v>7.3119591468920007</v>
      </c>
      <c r="CF217" s="16">
        <v>-9999</v>
      </c>
      <c r="CG217" s="16">
        <v>-9999</v>
      </c>
      <c r="CH217" s="16">
        <v>-9999</v>
      </c>
      <c r="CI217" s="16">
        <v>-9999</v>
      </c>
      <c r="CJ217" s="16">
        <v>-9999</v>
      </c>
      <c r="CK217" s="16">
        <v>-9999</v>
      </c>
      <c r="CL217" s="16">
        <v>-9999</v>
      </c>
      <c r="CM217" s="16">
        <v>-9999</v>
      </c>
      <c r="CN217" s="16">
        <v>6.8868999999999998</v>
      </c>
      <c r="CO217" s="16">
        <v>6.8269000000000002</v>
      </c>
      <c r="CP217" s="16">
        <v>6.9872790371074469</v>
      </c>
      <c r="CQ217" s="16">
        <v>7.0311227908925993</v>
      </c>
      <c r="CR217" s="16">
        <v>7.0691419365817607</v>
      </c>
      <c r="CS217" s="16">
        <v>-9999</v>
      </c>
      <c r="CT217" s="16">
        <v>-9999</v>
      </c>
      <c r="CU217" s="16">
        <v>-9999</v>
      </c>
      <c r="CV217" s="16">
        <v>-9999</v>
      </c>
      <c r="CW217" s="16">
        <v>-9999</v>
      </c>
      <c r="CX217" s="16">
        <v>-9999</v>
      </c>
      <c r="CY217" s="16">
        <v>-9999</v>
      </c>
      <c r="CZ217" s="16">
        <v>-9999</v>
      </c>
      <c r="DA217" s="16">
        <v>6.8463999999999992</v>
      </c>
      <c r="DB217" s="16">
        <v>6.8486000000000002</v>
      </c>
      <c r="DC217" s="16">
        <v>7.1141000000000005</v>
      </c>
      <c r="DD217" s="16">
        <v>7.2800986900000009</v>
      </c>
      <c r="DE217" s="16">
        <v>7.3119591468920007</v>
      </c>
      <c r="DF217" s="16">
        <v>-9999</v>
      </c>
      <c r="DG217" s="16">
        <v>-9999</v>
      </c>
      <c r="DH217" s="16">
        <v>-9999</v>
      </c>
      <c r="DI217" s="16">
        <v>-9999</v>
      </c>
      <c r="DJ217" s="16">
        <v>-9999</v>
      </c>
      <c r="DK217" s="16">
        <v>-9999</v>
      </c>
      <c r="DL217" s="16">
        <v>-9999</v>
      </c>
      <c r="DM217" s="16">
        <v>-9999</v>
      </c>
      <c r="DN217" s="16">
        <v>6.8463999999999992</v>
      </c>
      <c r="DO217" s="16">
        <v>6.8486000000000002</v>
      </c>
      <c r="DP217" s="16">
        <v>7.1141000000000005</v>
      </c>
      <c r="DQ217" s="16">
        <v>7.2800986900000009</v>
      </c>
      <c r="DR217" s="16">
        <v>7.3119591468920007</v>
      </c>
      <c r="DS217" s="16">
        <v>-9999</v>
      </c>
      <c r="DT217" s="16">
        <v>-9999</v>
      </c>
      <c r="DU217" s="16">
        <v>-9999</v>
      </c>
      <c r="DV217" s="16">
        <v>-9999</v>
      </c>
      <c r="DW217" s="16">
        <v>-9999</v>
      </c>
      <c r="DX217" s="16">
        <v>-9999</v>
      </c>
      <c r="DY217" s="16">
        <v>-9999</v>
      </c>
      <c r="DZ217" s="16">
        <v>-9999</v>
      </c>
      <c r="EA217" s="2106">
        <v>6.8463999999999992</v>
      </c>
      <c r="EB217" s="2106">
        <v>6.8486000000000002</v>
      </c>
      <c r="EC217" s="2106">
        <v>7.1141000000000005</v>
      </c>
      <c r="ED217" s="2106">
        <v>7.2800986900000009</v>
      </c>
      <c r="EE217" s="2106">
        <v>7.3119591468920007</v>
      </c>
      <c r="EF217" s="2107">
        <v>-9999</v>
      </c>
      <c r="EG217" s="2107">
        <v>-9999</v>
      </c>
      <c r="EH217" s="2107">
        <v>-9999</v>
      </c>
      <c r="EI217" s="2107">
        <v>-9999</v>
      </c>
      <c r="EJ217" s="2107">
        <v>-9999</v>
      </c>
      <c r="EK217" s="2107">
        <v>-9999</v>
      </c>
      <c r="EL217" s="2107">
        <v>-9999</v>
      </c>
      <c r="EM217" s="2107">
        <v>-9999</v>
      </c>
    </row>
    <row r="218" spans="1:143">
      <c r="A218" s="22">
        <v>118</v>
      </c>
      <c r="B218" s="1" t="s">
        <v>258</v>
      </c>
      <c r="C218" s="24">
        <f ca="1">OFFSET('VVP2'!F199,0,Last_forecast_year - 3-InputY!$G$3)</f>
        <v>34.003</v>
      </c>
      <c r="D218" s="24">
        <f ca="1">OFFSET('VVP2'!G199,0,Last_forecast_year - 3-InputY!$G$3)</f>
        <v>33.262910000000005</v>
      </c>
      <c r="E218" s="24">
        <f ca="1">OFFSET('VVP2'!H199,0,Last_forecast_year - 3-InputY!$G$3)</f>
        <v>34.146269999999994</v>
      </c>
      <c r="F218" s="24">
        <f ca="1">OFFSET('VVP2'!I199,0,Last_forecast_year - 3-InputY!$G$3)</f>
        <v>34.972609733999995</v>
      </c>
      <c r="G218" s="24">
        <f ca="1">OFFSET('VVP2'!J199,0,Last_forecast_year - 3-InputY!$G$3)</f>
        <v>36.126705855221992</v>
      </c>
      <c r="H218" s="25">
        <v>-9999</v>
      </c>
      <c r="I218" s="25">
        <v>-9999</v>
      </c>
      <c r="J218" s="25">
        <v>-9999</v>
      </c>
      <c r="K218" s="25">
        <v>-9999</v>
      </c>
      <c r="L218" s="25">
        <v>-9999</v>
      </c>
      <c r="M218" s="25">
        <v>-9999</v>
      </c>
      <c r="N218" s="25">
        <v>-9999</v>
      </c>
      <c r="O218" s="25">
        <v>-9999</v>
      </c>
      <c r="P218"/>
      <c r="Q218"/>
      <c r="AA218" s="22">
        <v>118</v>
      </c>
      <c r="AB218" s="1081" t="str">
        <f t="shared" si="8"/>
        <v>GG COLLECTIVE CONSUMPTION EXPENDITURE</v>
      </c>
      <c r="AC218" s="1081">
        <f>CHOOSE(Tables!$U$2,Transfer!CA218,Transfer!CN218,Transfer!DA218,Transfer!DN218,Transfer!EA218)</f>
        <v>34.003</v>
      </c>
      <c r="AD218" s="1081">
        <f>CHOOSE(Tables!$U$2,Transfer!CB218,Transfer!CO218,Transfer!DB218,Transfer!DO218,Transfer!EB218)</f>
        <v>33.262910000000005</v>
      </c>
      <c r="AE218" s="1081">
        <f>CHOOSE(Tables!$U$2,Transfer!CC218,Transfer!CP218,Transfer!DC218,Transfer!DP218,Transfer!EC218)</f>
        <v>34.146269999999994</v>
      </c>
      <c r="AF218" s="1081">
        <f>CHOOSE(Tables!$U$2,Transfer!CD218,Transfer!CQ218,Transfer!DD218,Transfer!DQ218,Transfer!ED218)</f>
        <v>34.972609733999995</v>
      </c>
      <c r="AG218" s="1081">
        <f>CHOOSE(Tables!$U$2,Transfer!CE218,Transfer!CR218,Transfer!DE218,Transfer!DR218,Transfer!EE218)</f>
        <v>36.126705855221992</v>
      </c>
      <c r="AH218" s="1081">
        <f>CHOOSE(Tables!$U$2,Transfer!CF218,Transfer!CS218,Transfer!DF218,Transfer!DS218,Transfer!EF218)</f>
        <v>-9999</v>
      </c>
      <c r="AI218" s="1081">
        <f>CHOOSE(Tables!$U$2,Transfer!CG218,Transfer!CT218,Transfer!DG218,Transfer!DT218,Transfer!EG218)</f>
        <v>-9999</v>
      </c>
      <c r="AJ218" s="1081">
        <f>CHOOSE(Tables!$U$2,Transfer!CH218,Transfer!CU218,Transfer!DH218,Transfer!DU218,Transfer!EH218)</f>
        <v>-9999</v>
      </c>
      <c r="AK218" s="1081">
        <f>CHOOSE(Tables!$U$2,Transfer!CI218,Transfer!CV218,Transfer!DI218,Transfer!DV218,Transfer!EI218)</f>
        <v>-9999</v>
      </c>
      <c r="AL218" s="1081">
        <f>CHOOSE(Tables!$U$2,Transfer!CJ218,Transfer!CW218,Transfer!DJ218,Transfer!DW218,Transfer!EJ218)</f>
        <v>-9999</v>
      </c>
      <c r="AM218" s="1081">
        <f>CHOOSE(Tables!$U$2,Transfer!CK218,Transfer!CX218,Transfer!DK218,Transfer!DX218,Transfer!EK218)</f>
        <v>-9999</v>
      </c>
      <c r="AN218" s="1081">
        <f>CHOOSE(Tables!$U$2,Transfer!CL218,Transfer!CY218,Transfer!DL218,Transfer!DY218,Transfer!EL218)</f>
        <v>-9999</v>
      </c>
      <c r="AO218" s="1081">
        <f>CHOOSE(Tables!$U$2,Transfer!CM218,Transfer!CZ218,Transfer!DM218,Transfer!DZ218,Transfer!EM218)</f>
        <v>-9999</v>
      </c>
      <c r="AR218" s="22">
        <v>118</v>
      </c>
      <c r="AS218" s="1" t="s">
        <v>258</v>
      </c>
      <c r="AT218" s="24">
        <f t="shared" ca="1" si="22"/>
        <v>0</v>
      </c>
      <c r="AU218" s="24">
        <f t="shared" ca="1" si="23"/>
        <v>0</v>
      </c>
      <c r="AV218" s="24">
        <f t="shared" ca="1" si="24"/>
        <v>0</v>
      </c>
      <c r="AW218" s="24">
        <f t="shared" ca="1" si="25"/>
        <v>0</v>
      </c>
      <c r="AX218" s="24">
        <f t="shared" ca="1" si="26"/>
        <v>0</v>
      </c>
      <c r="AY218" s="25">
        <f t="shared" si="27"/>
        <v>0</v>
      </c>
      <c r="AZ218" s="25">
        <f t="shared" si="28"/>
        <v>0</v>
      </c>
      <c r="BA218" s="25">
        <f t="shared" si="29"/>
        <v>0</v>
      </c>
      <c r="BB218" s="25">
        <f t="shared" si="30"/>
        <v>0</v>
      </c>
      <c r="BC218" s="25">
        <f t="shared" si="21"/>
        <v>0</v>
      </c>
      <c r="BD218" s="25">
        <f t="shared" si="21"/>
        <v>0</v>
      </c>
      <c r="BE218" s="25">
        <f t="shared" si="21"/>
        <v>0</v>
      </c>
      <c r="BF218" s="25">
        <f t="shared" si="21"/>
        <v>0</v>
      </c>
      <c r="CA218" s="16">
        <v>34.003</v>
      </c>
      <c r="CB218" s="16">
        <v>33.262910000000005</v>
      </c>
      <c r="CC218" s="16">
        <v>34.146269999999994</v>
      </c>
      <c r="CD218" s="16">
        <v>34.972609733999995</v>
      </c>
      <c r="CE218" s="16">
        <v>36.126705855221992</v>
      </c>
      <c r="CF218" s="16">
        <v>-9999</v>
      </c>
      <c r="CG218" s="16">
        <v>-9999</v>
      </c>
      <c r="CH218" s="16">
        <v>-9999</v>
      </c>
      <c r="CI218" s="16">
        <v>-9999</v>
      </c>
      <c r="CJ218" s="16">
        <v>-9999</v>
      </c>
      <c r="CK218" s="16">
        <v>-9999</v>
      </c>
      <c r="CL218" s="16">
        <v>-9999</v>
      </c>
      <c r="CM218" s="16">
        <v>-9999</v>
      </c>
      <c r="CN218" s="16">
        <v>34.243000000000002</v>
      </c>
      <c r="CO218" s="16">
        <v>34.288199999999996</v>
      </c>
      <c r="CP218" s="16">
        <v>35.080257419999995</v>
      </c>
      <c r="CQ218" s="16">
        <v>35.704686002075995</v>
      </c>
      <c r="CR218" s="16">
        <v>36.243826760707336</v>
      </c>
      <c r="CS218" s="16">
        <v>-9999</v>
      </c>
      <c r="CT218" s="16">
        <v>-9999</v>
      </c>
      <c r="CU218" s="16">
        <v>-9999</v>
      </c>
      <c r="CV218" s="16">
        <v>-9999</v>
      </c>
      <c r="CW218" s="16">
        <v>-9999</v>
      </c>
      <c r="CX218" s="16">
        <v>-9999</v>
      </c>
      <c r="CY218" s="16">
        <v>-9999</v>
      </c>
      <c r="CZ218" s="16">
        <v>-9999</v>
      </c>
      <c r="DA218" s="16">
        <v>34.003</v>
      </c>
      <c r="DB218" s="16">
        <v>33.262910000000005</v>
      </c>
      <c r="DC218" s="16">
        <v>34.146269999999994</v>
      </c>
      <c r="DD218" s="16">
        <v>34.972609733999995</v>
      </c>
      <c r="DE218" s="16">
        <v>36.126705855221992</v>
      </c>
      <c r="DF218" s="16">
        <v>-9999</v>
      </c>
      <c r="DG218" s="16">
        <v>-9999</v>
      </c>
      <c r="DH218" s="16">
        <v>-9999</v>
      </c>
      <c r="DI218" s="16">
        <v>-9999</v>
      </c>
      <c r="DJ218" s="16">
        <v>-9999</v>
      </c>
      <c r="DK218" s="16">
        <v>-9999</v>
      </c>
      <c r="DL218" s="16">
        <v>-9999</v>
      </c>
      <c r="DM218" s="16">
        <v>-9999</v>
      </c>
      <c r="DN218" s="16">
        <v>34.003</v>
      </c>
      <c r="DO218" s="16">
        <v>33.262910000000005</v>
      </c>
      <c r="DP218" s="16">
        <v>34.146269999999994</v>
      </c>
      <c r="DQ218" s="16">
        <v>34.972609733999995</v>
      </c>
      <c r="DR218" s="16">
        <v>36.126705855221992</v>
      </c>
      <c r="DS218" s="16">
        <v>-9999</v>
      </c>
      <c r="DT218" s="16">
        <v>-9999</v>
      </c>
      <c r="DU218" s="16">
        <v>-9999</v>
      </c>
      <c r="DV218" s="16">
        <v>-9999</v>
      </c>
      <c r="DW218" s="16">
        <v>-9999</v>
      </c>
      <c r="DX218" s="16">
        <v>-9999</v>
      </c>
      <c r="DY218" s="16">
        <v>-9999</v>
      </c>
      <c r="DZ218" s="16">
        <v>-9999</v>
      </c>
      <c r="EA218" s="2106">
        <v>34.003</v>
      </c>
      <c r="EB218" s="2106">
        <v>33.262910000000005</v>
      </c>
      <c r="EC218" s="2106">
        <v>34.146269999999994</v>
      </c>
      <c r="ED218" s="2106">
        <v>34.972609733999995</v>
      </c>
      <c r="EE218" s="2106">
        <v>36.126705855221992</v>
      </c>
      <c r="EF218" s="2107">
        <v>-9999</v>
      </c>
      <c r="EG218" s="2107">
        <v>-9999</v>
      </c>
      <c r="EH218" s="2107">
        <v>-9999</v>
      </c>
      <c r="EI218" s="2107">
        <v>-9999</v>
      </c>
      <c r="EJ218" s="2107">
        <v>-9999</v>
      </c>
      <c r="EK218" s="2107">
        <v>-9999</v>
      </c>
      <c r="EL218" s="2107">
        <v>-9999</v>
      </c>
      <c r="EM218" s="2107">
        <v>-9999</v>
      </c>
    </row>
    <row r="219" spans="1:143">
      <c r="A219" s="22">
        <v>119</v>
      </c>
      <c r="B219" s="1" t="s">
        <v>259</v>
      </c>
      <c r="C219" s="24">
        <f ca="1">OFFSET('VVP2'!F198,0,Last_forecast_year - 3-InputY!$G$3)</f>
        <v>64.084599999999995</v>
      </c>
      <c r="D219" s="24">
        <f ca="1">OFFSET('VVP2'!G198,0,Last_forecast_year - 3-InputY!$G$3)</f>
        <v>65.977190000000007</v>
      </c>
      <c r="E219" s="24">
        <f ca="1">OFFSET('VVP2'!H198,0,Last_forecast_year - 3-InputY!$G$3)</f>
        <v>68.266030000000001</v>
      </c>
      <c r="F219" s="24">
        <f ca="1">OFFSET('VVP2'!I198,0,Last_forecast_year - 3-InputY!$G$3)</f>
        <v>69.792550685790019</v>
      </c>
      <c r="G219" s="24">
        <f ca="1">OFFSET('VVP2'!J198,0,Last_forecast_year - 3-InputY!$G$3)</f>
        <v>71.62248062880488</v>
      </c>
      <c r="H219" s="25">
        <v>-9999</v>
      </c>
      <c r="I219" s="25">
        <v>-9999</v>
      </c>
      <c r="J219" s="25">
        <v>-9999</v>
      </c>
      <c r="K219" s="25">
        <v>-9999</v>
      </c>
      <c r="L219" s="25">
        <v>-9999</v>
      </c>
      <c r="M219" s="25">
        <v>-9999</v>
      </c>
      <c r="N219" s="25">
        <v>-9999</v>
      </c>
      <c r="O219" s="25">
        <v>-9999</v>
      </c>
      <c r="P219"/>
      <c r="Q219"/>
      <c r="AA219" s="22">
        <v>119</v>
      </c>
      <c r="AB219" s="1081" t="str">
        <f t="shared" si="8"/>
        <v>GG SOCIAL TRANSFERS IN KIND</v>
      </c>
      <c r="AC219" s="1081">
        <f>CHOOSE(Tables!$U$2,Transfer!CA219,Transfer!CN219,Transfer!DA219,Transfer!DN219,Transfer!EA219)</f>
        <v>64.084599999999995</v>
      </c>
      <c r="AD219" s="1081">
        <f>CHOOSE(Tables!$U$2,Transfer!CB219,Transfer!CO219,Transfer!DB219,Transfer!DO219,Transfer!EB219)</f>
        <v>65.977190000000007</v>
      </c>
      <c r="AE219" s="1081">
        <f>CHOOSE(Tables!$U$2,Transfer!CC219,Transfer!CP219,Transfer!DC219,Transfer!DP219,Transfer!EC219)</f>
        <v>68.266030000000001</v>
      </c>
      <c r="AF219" s="1081">
        <f>CHOOSE(Tables!$U$2,Transfer!CD219,Transfer!CQ219,Transfer!DD219,Transfer!DQ219,Transfer!ED219)</f>
        <v>69.792550685790019</v>
      </c>
      <c r="AG219" s="1081">
        <f>CHOOSE(Tables!$U$2,Transfer!CE219,Transfer!CR219,Transfer!DE219,Transfer!DR219,Transfer!EE219)</f>
        <v>71.62248062880488</v>
      </c>
      <c r="AH219" s="1081">
        <f>CHOOSE(Tables!$U$2,Transfer!CF219,Transfer!CS219,Transfer!DF219,Transfer!DS219,Transfer!EF219)</f>
        <v>-9999</v>
      </c>
      <c r="AI219" s="1081">
        <f>CHOOSE(Tables!$U$2,Transfer!CG219,Transfer!CT219,Transfer!DG219,Transfer!DT219,Transfer!EG219)</f>
        <v>-9999</v>
      </c>
      <c r="AJ219" s="1081">
        <f>CHOOSE(Tables!$U$2,Transfer!CH219,Transfer!CU219,Transfer!DH219,Transfer!DU219,Transfer!EH219)</f>
        <v>-9999</v>
      </c>
      <c r="AK219" s="1081">
        <f>CHOOSE(Tables!$U$2,Transfer!CI219,Transfer!CV219,Transfer!DI219,Transfer!DV219,Transfer!EI219)</f>
        <v>-9999</v>
      </c>
      <c r="AL219" s="1081">
        <f>CHOOSE(Tables!$U$2,Transfer!CJ219,Transfer!CW219,Transfer!DJ219,Transfer!DW219,Transfer!EJ219)</f>
        <v>-9999</v>
      </c>
      <c r="AM219" s="1081">
        <f>CHOOSE(Tables!$U$2,Transfer!CK219,Transfer!CX219,Transfer!DK219,Transfer!DX219,Transfer!EK219)</f>
        <v>-9999</v>
      </c>
      <c r="AN219" s="1081">
        <f>CHOOSE(Tables!$U$2,Transfer!CL219,Transfer!CY219,Transfer!DL219,Transfer!DY219,Transfer!EL219)</f>
        <v>-9999</v>
      </c>
      <c r="AO219" s="1081">
        <f>CHOOSE(Tables!$U$2,Transfer!CM219,Transfer!CZ219,Transfer!DM219,Transfer!DZ219,Transfer!EM219)</f>
        <v>-9999</v>
      </c>
      <c r="AR219" s="22">
        <v>119</v>
      </c>
      <c r="AS219" s="1" t="s">
        <v>259</v>
      </c>
      <c r="AT219" s="24">
        <f t="shared" ca="1" si="22"/>
        <v>0</v>
      </c>
      <c r="AU219" s="24">
        <f t="shared" ca="1" si="23"/>
        <v>0</v>
      </c>
      <c r="AV219" s="24">
        <f t="shared" ca="1" si="24"/>
        <v>0</v>
      </c>
      <c r="AW219" s="24">
        <f t="shared" ca="1" si="25"/>
        <v>0</v>
      </c>
      <c r="AX219" s="24">
        <f t="shared" ca="1" si="26"/>
        <v>0</v>
      </c>
      <c r="AY219" s="25">
        <f t="shared" si="27"/>
        <v>0</v>
      </c>
      <c r="AZ219" s="25">
        <f t="shared" si="28"/>
        <v>0</v>
      </c>
      <c r="BA219" s="25">
        <f t="shared" si="29"/>
        <v>0</v>
      </c>
      <c r="BB219" s="25">
        <f t="shared" si="30"/>
        <v>0</v>
      </c>
      <c r="BC219" s="25">
        <f t="shared" si="21"/>
        <v>0</v>
      </c>
      <c r="BD219" s="25">
        <f t="shared" si="21"/>
        <v>0</v>
      </c>
      <c r="BE219" s="25">
        <f t="shared" si="21"/>
        <v>0</v>
      </c>
      <c r="BF219" s="25">
        <f t="shared" si="21"/>
        <v>0</v>
      </c>
      <c r="CA219" s="16">
        <v>64.084599999999995</v>
      </c>
      <c r="CB219" s="16">
        <v>65.977190000000007</v>
      </c>
      <c r="CC219" s="16">
        <v>68.266030000000001</v>
      </c>
      <c r="CD219" s="16">
        <v>69.792550685790019</v>
      </c>
      <c r="CE219" s="16">
        <v>71.62248062880488</v>
      </c>
      <c r="CF219" s="16">
        <v>-9999</v>
      </c>
      <c r="CG219" s="16">
        <v>-9999</v>
      </c>
      <c r="CH219" s="16">
        <v>-9999</v>
      </c>
      <c r="CI219" s="16">
        <v>-9999</v>
      </c>
      <c r="CJ219" s="16">
        <v>-9999</v>
      </c>
      <c r="CK219" s="16">
        <v>-9999</v>
      </c>
      <c r="CL219" s="16">
        <v>-9999</v>
      </c>
      <c r="CM219" s="16">
        <v>-9999</v>
      </c>
      <c r="CN219" s="16">
        <v>63.966500000000003</v>
      </c>
      <c r="CO219" s="16">
        <v>65.425300000000007</v>
      </c>
      <c r="CP219" s="16">
        <v>67.250303158299999</v>
      </c>
      <c r="CQ219" s="16">
        <v>68.945386043268229</v>
      </c>
      <c r="CR219" s="16">
        <v>70.881700878840689</v>
      </c>
      <c r="CS219" s="16">
        <v>-9999</v>
      </c>
      <c r="CT219" s="16">
        <v>-9999</v>
      </c>
      <c r="CU219" s="16">
        <v>-9999</v>
      </c>
      <c r="CV219" s="16">
        <v>-9999</v>
      </c>
      <c r="CW219" s="16">
        <v>-9999</v>
      </c>
      <c r="CX219" s="16">
        <v>-9999</v>
      </c>
      <c r="CY219" s="16">
        <v>-9999</v>
      </c>
      <c r="CZ219" s="16">
        <v>-9999</v>
      </c>
      <c r="DA219" s="16">
        <v>64.084599999999995</v>
      </c>
      <c r="DB219" s="16">
        <v>65.977190000000007</v>
      </c>
      <c r="DC219" s="16">
        <v>68.266030000000001</v>
      </c>
      <c r="DD219" s="16">
        <v>69.792550685790019</v>
      </c>
      <c r="DE219" s="16">
        <v>71.62248062880488</v>
      </c>
      <c r="DF219" s="16">
        <v>-9999</v>
      </c>
      <c r="DG219" s="16">
        <v>-9999</v>
      </c>
      <c r="DH219" s="16">
        <v>-9999</v>
      </c>
      <c r="DI219" s="16">
        <v>-9999</v>
      </c>
      <c r="DJ219" s="16">
        <v>-9999</v>
      </c>
      <c r="DK219" s="16">
        <v>-9999</v>
      </c>
      <c r="DL219" s="16">
        <v>-9999</v>
      </c>
      <c r="DM219" s="16">
        <v>-9999</v>
      </c>
      <c r="DN219" s="16">
        <v>64.084599999999995</v>
      </c>
      <c r="DO219" s="16">
        <v>65.977190000000007</v>
      </c>
      <c r="DP219" s="16">
        <v>68.266030000000001</v>
      </c>
      <c r="DQ219" s="16">
        <v>69.792550685790019</v>
      </c>
      <c r="DR219" s="16">
        <v>71.62248062880488</v>
      </c>
      <c r="DS219" s="16">
        <v>-9999</v>
      </c>
      <c r="DT219" s="16">
        <v>-9999</v>
      </c>
      <c r="DU219" s="16">
        <v>-9999</v>
      </c>
      <c r="DV219" s="16">
        <v>-9999</v>
      </c>
      <c r="DW219" s="16">
        <v>-9999</v>
      </c>
      <c r="DX219" s="16">
        <v>-9999</v>
      </c>
      <c r="DY219" s="16">
        <v>-9999</v>
      </c>
      <c r="DZ219" s="16">
        <v>-9999</v>
      </c>
      <c r="EA219" s="2106">
        <v>64.084599999999995</v>
      </c>
      <c r="EB219" s="2106">
        <v>65.977190000000007</v>
      </c>
      <c r="EC219" s="2106">
        <v>68.266030000000001</v>
      </c>
      <c r="ED219" s="2106">
        <v>69.792550685790019</v>
      </c>
      <c r="EE219" s="2106">
        <v>71.62248062880488</v>
      </c>
      <c r="EF219" s="2107">
        <v>-9999</v>
      </c>
      <c r="EG219" s="2107">
        <v>-9999</v>
      </c>
      <c r="EH219" s="2107">
        <v>-9999</v>
      </c>
      <c r="EI219" s="2107">
        <v>-9999</v>
      </c>
      <c r="EJ219" s="2107">
        <v>-9999</v>
      </c>
      <c r="EK219" s="2107">
        <v>-9999</v>
      </c>
      <c r="EL219" s="2107">
        <v>-9999</v>
      </c>
      <c r="EM219" s="2107">
        <v>-9999</v>
      </c>
    </row>
    <row r="220" spans="1:143">
      <c r="A220" s="22">
        <v>120</v>
      </c>
      <c r="B220" s="1" t="s">
        <v>260</v>
      </c>
      <c r="C220" s="24">
        <f ca="1">OFFSET(Labour1!F211,0,Last_forecast_year - 3-InputY!$G$3)</f>
        <v>51.093000000000004</v>
      </c>
      <c r="D220" s="24">
        <f ca="1">OFFSET(Labour1!G211,0,Last_forecast_year - 3-InputY!$G$3)</f>
        <v>52.288199999999996</v>
      </c>
      <c r="E220" s="24">
        <f ca="1">OFFSET(Labour1!H211,0,Last_forecast_year - 3-InputY!$G$3)</f>
        <v>53.776300000000006</v>
      </c>
      <c r="F220" s="24">
        <f ca="1">OFFSET(Labour1!I211,0,Last_forecast_year - 3-InputY!$G$3)</f>
        <v>54.768814395669409</v>
      </c>
      <c r="G220" s="24">
        <f ca="1">OFFSET(Labour1!J211,0,Last_forecast_year - 3-InputY!$G$3)</f>
        <v>55.860125941606945</v>
      </c>
      <c r="H220" s="25">
        <v>-9999</v>
      </c>
      <c r="I220" s="25">
        <v>-9999</v>
      </c>
      <c r="J220" s="25">
        <v>-9999</v>
      </c>
      <c r="K220" s="25">
        <v>-9999</v>
      </c>
      <c r="L220" s="25">
        <v>-9999</v>
      </c>
      <c r="M220" s="25">
        <v>-9999</v>
      </c>
      <c r="N220" s="25">
        <v>-9999</v>
      </c>
      <c r="O220" s="25">
        <v>-9999</v>
      </c>
      <c r="P220"/>
      <c r="Q220"/>
      <c r="AA220" s="22">
        <v>120</v>
      </c>
      <c r="AB220" s="1081" t="str">
        <f t="shared" si="8"/>
        <v>GG COMPENSATION OF EMPLOYEES</v>
      </c>
      <c r="AC220" s="1081">
        <f>CHOOSE(Tables!$U$2,Transfer!CA220,Transfer!CN220,Transfer!DA220,Transfer!DN220,Transfer!EA220)</f>
        <v>51.093000000000004</v>
      </c>
      <c r="AD220" s="1081">
        <f>CHOOSE(Tables!$U$2,Transfer!CB220,Transfer!CO220,Transfer!DB220,Transfer!DO220,Transfer!EB220)</f>
        <v>52.288199999999996</v>
      </c>
      <c r="AE220" s="1081">
        <f>CHOOSE(Tables!$U$2,Transfer!CC220,Transfer!CP220,Transfer!DC220,Transfer!DP220,Transfer!EC220)</f>
        <v>53.776300000000006</v>
      </c>
      <c r="AF220" s="1081">
        <f>CHOOSE(Tables!$U$2,Transfer!CD220,Transfer!CQ220,Transfer!DD220,Transfer!DQ220,Transfer!ED220)</f>
        <v>54.758461873570809</v>
      </c>
      <c r="AG220" s="1081">
        <f>CHOOSE(Tables!$U$2,Transfer!CE220,Transfer!CR220,Transfer!DE220,Transfer!DR220,Transfer!EE220)</f>
        <v>55.849574271231461</v>
      </c>
      <c r="AH220" s="1081">
        <f>CHOOSE(Tables!$U$2,Transfer!CF220,Transfer!CS220,Transfer!DF220,Transfer!DS220,Transfer!EF220)</f>
        <v>-9999</v>
      </c>
      <c r="AI220" s="1081">
        <f>CHOOSE(Tables!$U$2,Transfer!CG220,Transfer!CT220,Transfer!DG220,Transfer!DT220,Transfer!EG220)</f>
        <v>-9999</v>
      </c>
      <c r="AJ220" s="1081">
        <f>CHOOSE(Tables!$U$2,Transfer!CH220,Transfer!CU220,Transfer!DH220,Transfer!DU220,Transfer!EH220)</f>
        <v>-9999</v>
      </c>
      <c r="AK220" s="1081">
        <f>CHOOSE(Tables!$U$2,Transfer!CI220,Transfer!CV220,Transfer!DI220,Transfer!DV220,Transfer!EI220)</f>
        <v>-9999</v>
      </c>
      <c r="AL220" s="1081">
        <f>CHOOSE(Tables!$U$2,Transfer!CJ220,Transfer!CW220,Transfer!DJ220,Transfer!DW220,Transfer!EJ220)</f>
        <v>-9999</v>
      </c>
      <c r="AM220" s="1081">
        <f>CHOOSE(Tables!$U$2,Transfer!CK220,Transfer!CX220,Transfer!DK220,Transfer!DX220,Transfer!EK220)</f>
        <v>-9999</v>
      </c>
      <c r="AN220" s="1081">
        <f>CHOOSE(Tables!$U$2,Transfer!CL220,Transfer!CY220,Transfer!DL220,Transfer!DY220,Transfer!EL220)</f>
        <v>-9999</v>
      </c>
      <c r="AO220" s="1081">
        <f>CHOOSE(Tables!$U$2,Transfer!CM220,Transfer!CZ220,Transfer!DM220,Transfer!DZ220,Transfer!EM220)</f>
        <v>-9999</v>
      </c>
      <c r="AR220" s="22">
        <v>120</v>
      </c>
      <c r="AS220" s="1" t="s">
        <v>260</v>
      </c>
      <c r="AT220" s="24">
        <f t="shared" ca="1" si="22"/>
        <v>0</v>
      </c>
      <c r="AU220" s="24">
        <f t="shared" ca="1" si="23"/>
        <v>0</v>
      </c>
      <c r="AV220" s="24">
        <f t="shared" ca="1" si="24"/>
        <v>0</v>
      </c>
      <c r="AW220" s="24">
        <f t="shared" ca="1" si="25"/>
        <v>1.0352522098600048E-2</v>
      </c>
      <c r="AX220" s="24">
        <f t="shared" ca="1" si="26"/>
        <v>1.0551670375484434E-2</v>
      </c>
      <c r="AY220" s="25">
        <f t="shared" si="27"/>
        <v>0</v>
      </c>
      <c r="AZ220" s="25">
        <f t="shared" si="28"/>
        <v>0</v>
      </c>
      <c r="BA220" s="25">
        <f t="shared" si="29"/>
        <v>0</v>
      </c>
      <c r="BB220" s="25">
        <f t="shared" si="30"/>
        <v>0</v>
      </c>
      <c r="BC220" s="25">
        <f t="shared" si="21"/>
        <v>0</v>
      </c>
      <c r="BD220" s="25">
        <f t="shared" si="21"/>
        <v>0</v>
      </c>
      <c r="BE220" s="25">
        <f t="shared" si="21"/>
        <v>0</v>
      </c>
      <c r="BF220" s="25">
        <f t="shared" si="21"/>
        <v>0</v>
      </c>
      <c r="CA220" s="16">
        <v>51.093000000000004</v>
      </c>
      <c r="CB220" s="16">
        <v>52.288199999999996</v>
      </c>
      <c r="CC220" s="16">
        <v>53.776300000000006</v>
      </c>
      <c r="CD220" s="16">
        <v>54.758461873570809</v>
      </c>
      <c r="CE220" s="16">
        <v>55.849574271231461</v>
      </c>
      <c r="CF220" s="16">
        <v>-9999</v>
      </c>
      <c r="CG220" s="16">
        <v>-9999</v>
      </c>
      <c r="CH220" s="16">
        <v>-9999</v>
      </c>
      <c r="CI220" s="16">
        <v>-9999</v>
      </c>
      <c r="CJ220" s="16">
        <v>-9999</v>
      </c>
      <c r="CK220" s="16">
        <v>-9999</v>
      </c>
      <c r="CL220" s="16">
        <v>-9999</v>
      </c>
      <c r="CM220" s="16">
        <v>-9999</v>
      </c>
      <c r="CN220" s="16">
        <v>51.17</v>
      </c>
      <c r="CO220" s="16">
        <v>52.6081</v>
      </c>
      <c r="CP220" s="16">
        <v>54.047561423391301</v>
      </c>
      <c r="CQ220" s="16">
        <v>54.955286747738441</v>
      </c>
      <c r="CR220" s="16">
        <v>56.189949546395191</v>
      </c>
      <c r="CS220" s="16">
        <v>-9999</v>
      </c>
      <c r="CT220" s="16">
        <v>-9999</v>
      </c>
      <c r="CU220" s="16">
        <v>-9999</v>
      </c>
      <c r="CV220" s="16">
        <v>-9999</v>
      </c>
      <c r="CW220" s="16">
        <v>-9999</v>
      </c>
      <c r="CX220" s="16">
        <v>-9999</v>
      </c>
      <c r="CY220" s="16">
        <v>-9999</v>
      </c>
      <c r="CZ220" s="16">
        <v>-9999</v>
      </c>
      <c r="DA220" s="16">
        <v>51.093000000000004</v>
      </c>
      <c r="DB220" s="16">
        <v>52.288199999999996</v>
      </c>
      <c r="DC220" s="16">
        <v>53.776300000000006</v>
      </c>
      <c r="DD220" s="16">
        <v>54.758461873570809</v>
      </c>
      <c r="DE220" s="16">
        <v>55.849574271231461</v>
      </c>
      <c r="DF220" s="16">
        <v>-9999</v>
      </c>
      <c r="DG220" s="16">
        <v>-9999</v>
      </c>
      <c r="DH220" s="16">
        <v>-9999</v>
      </c>
      <c r="DI220" s="16">
        <v>-9999</v>
      </c>
      <c r="DJ220" s="16">
        <v>-9999</v>
      </c>
      <c r="DK220" s="16">
        <v>-9999</v>
      </c>
      <c r="DL220" s="16">
        <v>-9999</v>
      </c>
      <c r="DM220" s="16">
        <v>-9999</v>
      </c>
      <c r="DN220" s="16">
        <v>51.093000000000004</v>
      </c>
      <c r="DO220" s="16">
        <v>52.288199999999996</v>
      </c>
      <c r="DP220" s="16">
        <v>53.776300000000006</v>
      </c>
      <c r="DQ220" s="16">
        <v>54.758461873570809</v>
      </c>
      <c r="DR220" s="16">
        <v>55.849574271231461</v>
      </c>
      <c r="DS220" s="16">
        <v>-9999</v>
      </c>
      <c r="DT220" s="16">
        <v>-9999</v>
      </c>
      <c r="DU220" s="16">
        <v>-9999</v>
      </c>
      <c r="DV220" s="16">
        <v>-9999</v>
      </c>
      <c r="DW220" s="16">
        <v>-9999</v>
      </c>
      <c r="DX220" s="16">
        <v>-9999</v>
      </c>
      <c r="DY220" s="16">
        <v>-9999</v>
      </c>
      <c r="DZ220" s="16">
        <v>-9999</v>
      </c>
      <c r="EA220" s="2106">
        <v>51.093000000000004</v>
      </c>
      <c r="EB220" s="2106">
        <v>52.288199999999996</v>
      </c>
      <c r="EC220" s="2106">
        <v>53.776300000000006</v>
      </c>
      <c r="ED220" s="2106">
        <v>54.768814395669409</v>
      </c>
      <c r="EE220" s="2106">
        <v>55.860125941606945</v>
      </c>
      <c r="EF220" s="2107">
        <v>-9999</v>
      </c>
      <c r="EG220" s="2107">
        <v>-9999</v>
      </c>
      <c r="EH220" s="2107">
        <v>-9999</v>
      </c>
      <c r="EI220" s="2107">
        <v>-9999</v>
      </c>
      <c r="EJ220" s="2107">
        <v>-9999</v>
      </c>
      <c r="EK220" s="2107">
        <v>-9999</v>
      </c>
      <c r="EL220" s="2107">
        <v>-9999</v>
      </c>
      <c r="EM220" s="2107">
        <v>-9999</v>
      </c>
    </row>
    <row r="221" spans="1:143">
      <c r="A221" s="22">
        <v>121</v>
      </c>
      <c r="B221" s="1" t="s">
        <v>1924</v>
      </c>
      <c r="C221" s="24">
        <f ca="1">OFFSET(Sector1!F520,0,Last_forecast_year - 3-InputY!$G$3)</f>
        <v>70.655699999999996</v>
      </c>
      <c r="D221" s="24">
        <f ca="1">OFFSET(Sector1!G520,0,Last_forecast_year - 3-InputY!$G$3)</f>
        <v>72.838100000000011</v>
      </c>
      <c r="E221" s="24">
        <f ca="1">OFFSET(Sector1!H520,0,Last_forecast_year - 3-InputY!$G$3)</f>
        <v>75.218399999999988</v>
      </c>
      <c r="F221" s="24">
        <f ca="1">OFFSET(Sector1!I520,0,Last_forecast_year - 3-InputY!$G$3)</f>
        <v>77.422299119999991</v>
      </c>
      <c r="G221" s="24">
        <f ca="1">OFFSET(Sector1!J520,0,Last_forecast_year - 3-InputY!$G$3)</f>
        <v>80.666293453127992</v>
      </c>
      <c r="H221" s="25">
        <v>-9999</v>
      </c>
      <c r="I221" s="25">
        <v>-9999</v>
      </c>
      <c r="J221" s="25">
        <v>-9999</v>
      </c>
      <c r="K221" s="25">
        <v>-9999</v>
      </c>
      <c r="L221" s="25">
        <v>-9999</v>
      </c>
      <c r="M221" s="25">
        <v>-9999</v>
      </c>
      <c r="N221" s="25">
        <v>-9999</v>
      </c>
      <c r="O221" s="25">
        <v>-9999</v>
      </c>
      <c r="P221"/>
      <c r="Q221"/>
      <c r="AA221" s="22">
        <v>121</v>
      </c>
      <c r="AB221" s="1081" t="str">
        <f t="shared" si="8"/>
        <v>GG SOCIAL TRANSFERS OTHER THAN IN KIND</v>
      </c>
      <c r="AC221" s="1081">
        <f>CHOOSE(Tables!$U$2,Transfer!CA221,Transfer!CN221,Transfer!DA221,Transfer!DN221,Transfer!EA221)</f>
        <v>70.655699999999996</v>
      </c>
      <c r="AD221" s="1081">
        <f>CHOOSE(Tables!$U$2,Transfer!CB221,Transfer!CO221,Transfer!DB221,Transfer!DO221,Transfer!EB221)</f>
        <v>72.838100000000011</v>
      </c>
      <c r="AE221" s="1081">
        <f>CHOOSE(Tables!$U$2,Transfer!CC221,Transfer!CP221,Transfer!DC221,Transfer!DP221,Transfer!EC221)</f>
        <v>75.218399999999988</v>
      </c>
      <c r="AF221" s="1081">
        <f>CHOOSE(Tables!$U$2,Transfer!CD221,Transfer!CQ221,Transfer!DD221,Transfer!DQ221,Transfer!ED221)</f>
        <v>77.121425520000003</v>
      </c>
      <c r="AG221" s="1081">
        <f>CHOOSE(Tables!$U$2,Transfer!CE221,Transfer!CR221,Transfer!DE221,Transfer!DR221,Transfer!EE221)</f>
        <v>80.352813249288005</v>
      </c>
      <c r="AH221" s="1081">
        <f>CHOOSE(Tables!$U$2,Transfer!CF221,Transfer!CS221,Transfer!DF221,Transfer!DS221,Transfer!EF221)</f>
        <v>-9999</v>
      </c>
      <c r="AI221" s="1081">
        <f>CHOOSE(Tables!$U$2,Transfer!CG221,Transfer!CT221,Transfer!DG221,Transfer!DT221,Transfer!EG221)</f>
        <v>-9999</v>
      </c>
      <c r="AJ221" s="1081">
        <f>CHOOSE(Tables!$U$2,Transfer!CH221,Transfer!CU221,Transfer!DH221,Transfer!DU221,Transfer!EH221)</f>
        <v>-9999</v>
      </c>
      <c r="AK221" s="1081">
        <f>CHOOSE(Tables!$U$2,Transfer!CI221,Transfer!CV221,Transfer!DI221,Transfer!DV221,Transfer!EI221)</f>
        <v>-9999</v>
      </c>
      <c r="AL221" s="1081">
        <f>CHOOSE(Tables!$U$2,Transfer!CJ221,Transfer!CW221,Transfer!DJ221,Transfer!DW221,Transfer!EJ221)</f>
        <v>-9999</v>
      </c>
      <c r="AM221" s="1081">
        <f>CHOOSE(Tables!$U$2,Transfer!CK221,Transfer!CX221,Transfer!DK221,Transfer!DX221,Transfer!EK221)</f>
        <v>-9999</v>
      </c>
      <c r="AN221" s="1081">
        <f>CHOOSE(Tables!$U$2,Transfer!CL221,Transfer!CY221,Transfer!DL221,Transfer!DY221,Transfer!EL221)</f>
        <v>-9999</v>
      </c>
      <c r="AO221" s="1081">
        <f>CHOOSE(Tables!$U$2,Transfer!CM221,Transfer!CZ221,Transfer!DM221,Transfer!DZ221,Transfer!EM221)</f>
        <v>-9999</v>
      </c>
      <c r="AR221" s="22">
        <v>121</v>
      </c>
      <c r="AS221" s="1" t="s">
        <v>1924</v>
      </c>
      <c r="AT221" s="24">
        <f t="shared" ca="1" si="22"/>
        <v>0</v>
      </c>
      <c r="AU221" s="24">
        <f t="shared" ca="1" si="23"/>
        <v>0</v>
      </c>
      <c r="AV221" s="24">
        <f t="shared" ca="1" si="24"/>
        <v>0</v>
      </c>
      <c r="AW221" s="24">
        <f t="shared" ca="1" si="25"/>
        <v>0.30087359999998853</v>
      </c>
      <c r="AX221" s="24">
        <f t="shared" ca="1" si="26"/>
        <v>0.31348020383998687</v>
      </c>
      <c r="AY221" s="25">
        <f t="shared" si="27"/>
        <v>0</v>
      </c>
      <c r="AZ221" s="25">
        <f t="shared" si="28"/>
        <v>0</v>
      </c>
      <c r="BA221" s="25">
        <f t="shared" si="29"/>
        <v>0</v>
      </c>
      <c r="BB221" s="25">
        <f t="shared" si="30"/>
        <v>0</v>
      </c>
      <c r="BC221" s="25">
        <f t="shared" si="21"/>
        <v>0</v>
      </c>
      <c r="BD221" s="25">
        <f t="shared" si="21"/>
        <v>0</v>
      </c>
      <c r="BE221" s="25">
        <f t="shared" si="21"/>
        <v>0</v>
      </c>
      <c r="BF221" s="25">
        <f t="shared" si="21"/>
        <v>0</v>
      </c>
      <c r="CA221" s="16">
        <v>70.655699999999996</v>
      </c>
      <c r="CB221" s="16">
        <v>72.838100000000011</v>
      </c>
      <c r="CC221" s="16">
        <v>75.218399999999988</v>
      </c>
      <c r="CD221" s="16">
        <v>77.121425520000003</v>
      </c>
      <c r="CE221" s="16">
        <v>80.352813249288005</v>
      </c>
      <c r="CF221" s="16">
        <v>-9999</v>
      </c>
      <c r="CG221" s="16">
        <v>-9999</v>
      </c>
      <c r="CH221" s="16">
        <v>-9999</v>
      </c>
      <c r="CI221" s="16">
        <v>-9999</v>
      </c>
      <c r="CJ221" s="16">
        <v>-9999</v>
      </c>
      <c r="CK221" s="16">
        <v>-9999</v>
      </c>
      <c r="CL221" s="16">
        <v>-9999</v>
      </c>
      <c r="CM221" s="16">
        <v>-9999</v>
      </c>
      <c r="CN221" s="16">
        <v>70.651800000000009</v>
      </c>
      <c r="CO221" s="16">
        <v>72.787700000000001</v>
      </c>
      <c r="CP221" s="16">
        <v>74.94014465818023</v>
      </c>
      <c r="CQ221" s="16">
        <v>76.964697185987973</v>
      </c>
      <c r="CR221" s="16">
        <v>79.273638101567613</v>
      </c>
      <c r="CS221" s="16">
        <v>-9999</v>
      </c>
      <c r="CT221" s="16">
        <v>-9999</v>
      </c>
      <c r="CU221" s="16">
        <v>-9999</v>
      </c>
      <c r="CV221" s="16">
        <v>-9999</v>
      </c>
      <c r="CW221" s="16">
        <v>-9999</v>
      </c>
      <c r="CX221" s="16">
        <v>-9999</v>
      </c>
      <c r="CY221" s="16">
        <v>-9999</v>
      </c>
      <c r="CZ221" s="16">
        <v>-9999</v>
      </c>
      <c r="DA221" s="16">
        <v>70.655699999999996</v>
      </c>
      <c r="DB221" s="16">
        <v>72.838100000000011</v>
      </c>
      <c r="DC221" s="16">
        <v>75.218399999999988</v>
      </c>
      <c r="DD221" s="16">
        <v>77.121425520000003</v>
      </c>
      <c r="DE221" s="16">
        <v>80.352813249288005</v>
      </c>
      <c r="DF221" s="16">
        <v>-9999</v>
      </c>
      <c r="DG221" s="16">
        <v>-9999</v>
      </c>
      <c r="DH221" s="16">
        <v>-9999</v>
      </c>
      <c r="DI221" s="16">
        <v>-9999</v>
      </c>
      <c r="DJ221" s="16">
        <v>-9999</v>
      </c>
      <c r="DK221" s="16">
        <v>-9999</v>
      </c>
      <c r="DL221" s="16">
        <v>-9999</v>
      </c>
      <c r="DM221" s="16">
        <v>-9999</v>
      </c>
      <c r="DN221" s="16">
        <v>70.655699999999996</v>
      </c>
      <c r="DO221" s="16">
        <v>72.838100000000011</v>
      </c>
      <c r="DP221" s="16">
        <v>75.218399999999988</v>
      </c>
      <c r="DQ221" s="16">
        <v>77.121425520000003</v>
      </c>
      <c r="DR221" s="16">
        <v>80.352813249288005</v>
      </c>
      <c r="DS221" s="16">
        <v>-9999</v>
      </c>
      <c r="DT221" s="16">
        <v>-9999</v>
      </c>
      <c r="DU221" s="16">
        <v>-9999</v>
      </c>
      <c r="DV221" s="16">
        <v>-9999</v>
      </c>
      <c r="DW221" s="16">
        <v>-9999</v>
      </c>
      <c r="DX221" s="16">
        <v>-9999</v>
      </c>
      <c r="DY221" s="16">
        <v>-9999</v>
      </c>
      <c r="DZ221" s="16">
        <v>-9999</v>
      </c>
      <c r="EA221" s="2106">
        <v>70.655699999999996</v>
      </c>
      <c r="EB221" s="2106">
        <v>72.838100000000011</v>
      </c>
      <c r="EC221" s="2106">
        <v>75.218399999999988</v>
      </c>
      <c r="ED221" s="2106">
        <v>77.422299119999991</v>
      </c>
      <c r="EE221" s="2106">
        <v>80.666293453127992</v>
      </c>
      <c r="EF221" s="2107">
        <v>-9999</v>
      </c>
      <c r="EG221" s="2107">
        <v>-9999</v>
      </c>
      <c r="EH221" s="2107">
        <v>-9999</v>
      </c>
      <c r="EI221" s="2107">
        <v>-9999</v>
      </c>
      <c r="EJ221" s="2107">
        <v>-9999</v>
      </c>
      <c r="EK221" s="2107">
        <v>-9999</v>
      </c>
      <c r="EL221" s="2107">
        <v>-9999</v>
      </c>
      <c r="EM221" s="2107">
        <v>-9999</v>
      </c>
    </row>
    <row r="222" spans="1:143">
      <c r="A222" s="22">
        <v>122</v>
      </c>
      <c r="B222" s="1" t="s">
        <v>1926</v>
      </c>
      <c r="C222" s="24">
        <f ca="1">OFFSET(Sector1!F231,0,Last_forecast_year - 3-InputY!$G$3)</f>
        <v>12.417399999999999</v>
      </c>
      <c r="D222" s="24">
        <f ca="1">OFFSET(Sector1!G231,0,Last_forecast_year - 3-InputY!$G$3)</f>
        <v>12.116200000000001</v>
      </c>
      <c r="E222" s="24">
        <f ca="1">OFFSET(Sector1!H231,0,Last_forecast_year - 3-InputY!$G$3)</f>
        <v>10.7761</v>
      </c>
      <c r="F222" s="24">
        <f ca="1">OFFSET(Sector1!I231,0,Last_forecast_year - 3-InputY!$G$3)</f>
        <v>10.213587579999999</v>
      </c>
      <c r="G222" s="24">
        <f ca="1">OFFSET(Sector1!J231,0,Last_forecast_year - 3-InputY!$G$3)</f>
        <v>10.148220619487999</v>
      </c>
      <c r="H222" s="25">
        <v>-9999</v>
      </c>
      <c r="I222" s="25">
        <v>-9999</v>
      </c>
      <c r="J222" s="25">
        <v>-9999</v>
      </c>
      <c r="K222" s="25">
        <v>-9999</v>
      </c>
      <c r="L222" s="25">
        <v>-9999</v>
      </c>
      <c r="M222" s="25">
        <v>-9999</v>
      </c>
      <c r="N222" s="25">
        <v>-9999</v>
      </c>
      <c r="O222" s="25">
        <v>-9999</v>
      </c>
      <c r="P222"/>
      <c r="Q222"/>
      <c r="AA222" s="22">
        <v>122</v>
      </c>
      <c r="AB222" s="1081" t="str">
        <f t="shared" si="8"/>
        <v>GG INTEREST excl SWAPS</v>
      </c>
      <c r="AC222" s="1081">
        <f>CHOOSE(Tables!$U$2,Transfer!CA222,Transfer!CN222,Transfer!DA222,Transfer!DN222,Transfer!EA222)</f>
        <v>12.417399999999999</v>
      </c>
      <c r="AD222" s="1081">
        <f>CHOOSE(Tables!$U$2,Transfer!CB222,Transfer!CO222,Transfer!DB222,Transfer!DO222,Transfer!EB222)</f>
        <v>12.116200000000001</v>
      </c>
      <c r="AE222" s="1081">
        <f>CHOOSE(Tables!$U$2,Transfer!CC222,Transfer!CP222,Transfer!DC222,Transfer!DP222,Transfer!EC222)</f>
        <v>10.7761</v>
      </c>
      <c r="AF222" s="1081">
        <f>CHOOSE(Tables!$U$2,Transfer!CD222,Transfer!CQ222,Transfer!DD222,Transfer!DQ222,Transfer!ED222)</f>
        <v>10.213587579999999</v>
      </c>
      <c r="AG222" s="1081">
        <f>CHOOSE(Tables!$U$2,Transfer!CE222,Transfer!CR222,Transfer!DE222,Transfer!DR222,Transfer!EE222)</f>
        <v>10.148220619487999</v>
      </c>
      <c r="AH222" s="1081">
        <f>CHOOSE(Tables!$U$2,Transfer!CF222,Transfer!CS222,Transfer!DF222,Transfer!DS222,Transfer!EF222)</f>
        <v>-9999</v>
      </c>
      <c r="AI222" s="1081">
        <f>CHOOSE(Tables!$U$2,Transfer!CG222,Transfer!CT222,Transfer!DG222,Transfer!DT222,Transfer!EG222)</f>
        <v>-9999</v>
      </c>
      <c r="AJ222" s="1081">
        <f>CHOOSE(Tables!$U$2,Transfer!CH222,Transfer!CU222,Transfer!DH222,Transfer!DU222,Transfer!EH222)</f>
        <v>-9999</v>
      </c>
      <c r="AK222" s="1081">
        <f>CHOOSE(Tables!$U$2,Transfer!CI222,Transfer!CV222,Transfer!DI222,Transfer!DV222,Transfer!EI222)</f>
        <v>-9999</v>
      </c>
      <c r="AL222" s="1081">
        <f>CHOOSE(Tables!$U$2,Transfer!CJ222,Transfer!CW222,Transfer!DJ222,Transfer!DW222,Transfer!EJ222)</f>
        <v>-9999</v>
      </c>
      <c r="AM222" s="1081">
        <f>CHOOSE(Tables!$U$2,Transfer!CK222,Transfer!CX222,Transfer!DK222,Transfer!DX222,Transfer!EK222)</f>
        <v>-9999</v>
      </c>
      <c r="AN222" s="1081">
        <f>CHOOSE(Tables!$U$2,Transfer!CL222,Transfer!CY222,Transfer!DL222,Transfer!DY222,Transfer!EL222)</f>
        <v>-9999</v>
      </c>
      <c r="AO222" s="1081">
        <f>CHOOSE(Tables!$U$2,Transfer!CM222,Transfer!CZ222,Transfer!DM222,Transfer!DZ222,Transfer!EM222)</f>
        <v>-9999</v>
      </c>
      <c r="AR222" s="22">
        <v>122</v>
      </c>
      <c r="AS222" s="1" t="s">
        <v>1926</v>
      </c>
      <c r="AT222" s="24">
        <f t="shared" ca="1" si="22"/>
        <v>0</v>
      </c>
      <c r="AU222" s="24">
        <f t="shared" ca="1" si="23"/>
        <v>0</v>
      </c>
      <c r="AV222" s="24">
        <f t="shared" ca="1" si="24"/>
        <v>0</v>
      </c>
      <c r="AW222" s="24">
        <f t="shared" ca="1" si="25"/>
        <v>0</v>
      </c>
      <c r="AX222" s="24">
        <f t="shared" ca="1" si="26"/>
        <v>0</v>
      </c>
      <c r="AY222" s="25">
        <f t="shared" si="27"/>
        <v>0</v>
      </c>
      <c r="AZ222" s="25">
        <f t="shared" si="28"/>
        <v>0</v>
      </c>
      <c r="BA222" s="25">
        <f t="shared" si="29"/>
        <v>0</v>
      </c>
      <c r="BB222" s="25">
        <f t="shared" si="30"/>
        <v>0</v>
      </c>
      <c r="BC222" s="25">
        <f t="shared" si="21"/>
        <v>0</v>
      </c>
      <c r="BD222" s="25">
        <f t="shared" si="21"/>
        <v>0</v>
      </c>
      <c r="BE222" s="25">
        <f t="shared" si="21"/>
        <v>0</v>
      </c>
      <c r="BF222" s="25">
        <f t="shared" si="21"/>
        <v>0</v>
      </c>
      <c r="CA222" s="16">
        <v>12.417399999999999</v>
      </c>
      <c r="CB222" s="16">
        <v>12.116200000000001</v>
      </c>
      <c r="CC222" s="16">
        <v>10.7761</v>
      </c>
      <c r="CD222" s="16">
        <v>10.213587579999999</v>
      </c>
      <c r="CE222" s="16">
        <v>10.148220619487999</v>
      </c>
      <c r="CF222" s="16">
        <v>-9999</v>
      </c>
      <c r="CG222" s="16">
        <v>-9999</v>
      </c>
      <c r="CH222" s="16">
        <v>-9999</v>
      </c>
      <c r="CI222" s="16">
        <v>-9999</v>
      </c>
      <c r="CJ222" s="16">
        <v>-9999</v>
      </c>
      <c r="CK222" s="16">
        <v>-9999</v>
      </c>
      <c r="CL222" s="16">
        <v>-9999</v>
      </c>
      <c r="CM222" s="16">
        <v>-9999</v>
      </c>
      <c r="CN222" s="16">
        <v>12.420299999999999</v>
      </c>
      <c r="CO222" s="16">
        <v>12.1388</v>
      </c>
      <c r="CP222" s="16">
        <v>11.413148200024851</v>
      </c>
      <c r="CQ222" s="16">
        <v>11.155025337524851</v>
      </c>
      <c r="CR222" s="16">
        <v>11.071694053074925</v>
      </c>
      <c r="CS222" s="16">
        <v>-9999</v>
      </c>
      <c r="CT222" s="16">
        <v>-9999</v>
      </c>
      <c r="CU222" s="16">
        <v>-9999</v>
      </c>
      <c r="CV222" s="16">
        <v>-9999</v>
      </c>
      <c r="CW222" s="16">
        <v>-9999</v>
      </c>
      <c r="CX222" s="16">
        <v>-9999</v>
      </c>
      <c r="CY222" s="16">
        <v>-9999</v>
      </c>
      <c r="CZ222" s="16">
        <v>-9999</v>
      </c>
      <c r="DA222" s="16">
        <v>12.417399999999999</v>
      </c>
      <c r="DB222" s="16">
        <v>12.116200000000001</v>
      </c>
      <c r="DC222" s="16">
        <v>10.7761</v>
      </c>
      <c r="DD222" s="16">
        <v>10.213587579999999</v>
      </c>
      <c r="DE222" s="16">
        <v>10.148220619487999</v>
      </c>
      <c r="DF222" s="16">
        <v>-9999</v>
      </c>
      <c r="DG222" s="16">
        <v>-9999</v>
      </c>
      <c r="DH222" s="16">
        <v>-9999</v>
      </c>
      <c r="DI222" s="16">
        <v>-9999</v>
      </c>
      <c r="DJ222" s="16">
        <v>-9999</v>
      </c>
      <c r="DK222" s="16">
        <v>-9999</v>
      </c>
      <c r="DL222" s="16">
        <v>-9999</v>
      </c>
      <c r="DM222" s="16">
        <v>-9999</v>
      </c>
      <c r="DN222" s="16">
        <v>12.417399999999999</v>
      </c>
      <c r="DO222" s="16">
        <v>12.116200000000001</v>
      </c>
      <c r="DP222" s="16">
        <v>10.7761</v>
      </c>
      <c r="DQ222" s="16">
        <v>10.213587579999999</v>
      </c>
      <c r="DR222" s="16">
        <v>10.148220619487999</v>
      </c>
      <c r="DS222" s="16">
        <v>-9999</v>
      </c>
      <c r="DT222" s="16">
        <v>-9999</v>
      </c>
      <c r="DU222" s="16">
        <v>-9999</v>
      </c>
      <c r="DV222" s="16">
        <v>-9999</v>
      </c>
      <c r="DW222" s="16">
        <v>-9999</v>
      </c>
      <c r="DX222" s="16">
        <v>-9999</v>
      </c>
      <c r="DY222" s="16">
        <v>-9999</v>
      </c>
      <c r="DZ222" s="16">
        <v>-9999</v>
      </c>
      <c r="EA222" s="2106">
        <v>12.417399999999999</v>
      </c>
      <c r="EB222" s="2106">
        <v>12.116200000000001</v>
      </c>
      <c r="EC222" s="2106">
        <v>10.7761</v>
      </c>
      <c r="ED222" s="2106">
        <v>10.213587579999999</v>
      </c>
      <c r="EE222" s="2106">
        <v>10.148220619487999</v>
      </c>
      <c r="EF222" s="2107">
        <v>-9999</v>
      </c>
      <c r="EG222" s="2107">
        <v>-9999</v>
      </c>
      <c r="EH222" s="2107">
        <v>-9999</v>
      </c>
      <c r="EI222" s="2107">
        <v>-9999</v>
      </c>
      <c r="EJ222" s="2107">
        <v>-9999</v>
      </c>
      <c r="EK222" s="2107">
        <v>-9999</v>
      </c>
      <c r="EL222" s="2107">
        <v>-9999</v>
      </c>
      <c r="EM222" s="2107">
        <v>-9999</v>
      </c>
    </row>
    <row r="223" spans="1:143">
      <c r="A223" s="22">
        <v>123</v>
      </c>
      <c r="B223" s="1" t="s">
        <v>630</v>
      </c>
      <c r="C223" s="24">
        <f ca="1">OFFSET(Sector1!F141,0,Last_forecast_year - 3-InputY!$G$3)</f>
        <v>14.058200000000001</v>
      </c>
      <c r="D223" s="24">
        <f ca="1">OFFSET(Sector1!G141,0,Last_forecast_year - 3-InputY!$G$3)</f>
        <v>14.2582</v>
      </c>
      <c r="E223" s="24">
        <f ca="1">OFFSET(Sector1!H141,0,Last_forecast_year - 3-InputY!$G$3)</f>
        <v>14.704700000000001</v>
      </c>
      <c r="F223" s="24">
        <f ca="1">OFFSET(Sector1!I141,0,Last_forecast_year - 3-InputY!$G$3)</f>
        <v>14.200035728075999</v>
      </c>
      <c r="G223" s="24">
        <f ca="1">OFFSET(Sector1!J141,0,Last_forecast_year - 3-InputY!$G$3)</f>
        <v>14.515967078272361</v>
      </c>
      <c r="H223" s="25">
        <v>-9999</v>
      </c>
      <c r="I223" s="25">
        <v>-9999</v>
      </c>
      <c r="J223" s="25">
        <v>-9999</v>
      </c>
      <c r="K223" s="25">
        <v>-9999</v>
      </c>
      <c r="L223" s="25">
        <v>-9999</v>
      </c>
      <c r="M223" s="25">
        <v>-9999</v>
      </c>
      <c r="N223" s="25">
        <v>-9999</v>
      </c>
      <c r="O223" s="25">
        <v>-9999</v>
      </c>
      <c r="P223"/>
      <c r="Q223"/>
      <c r="AA223" s="22">
        <v>123</v>
      </c>
      <c r="AB223" s="1081" t="str">
        <f t="shared" si="8"/>
        <v>GG SUBSIDIES</v>
      </c>
      <c r="AC223" s="1081">
        <f>CHOOSE(Tables!$U$2,Transfer!CA223,Transfer!CN223,Transfer!DA223,Transfer!DN223,Transfer!EA223)</f>
        <v>14.058200000000001</v>
      </c>
      <c r="AD223" s="1081">
        <f>CHOOSE(Tables!$U$2,Transfer!CB223,Transfer!CO223,Transfer!DB223,Transfer!DO223,Transfer!EB223)</f>
        <v>14.2582</v>
      </c>
      <c r="AE223" s="1081">
        <f>CHOOSE(Tables!$U$2,Transfer!CC223,Transfer!CP223,Transfer!DC223,Transfer!DP223,Transfer!EC223)</f>
        <v>14.704700000000001</v>
      </c>
      <c r="AF223" s="1081">
        <f>CHOOSE(Tables!$U$2,Transfer!CD223,Transfer!CQ223,Transfer!DD223,Transfer!DQ223,Transfer!ED223)</f>
        <v>14.200035728075999</v>
      </c>
      <c r="AG223" s="1081">
        <f>CHOOSE(Tables!$U$2,Transfer!CE223,Transfer!CR223,Transfer!DE223,Transfer!DR223,Transfer!EE223)</f>
        <v>14.515967078272361</v>
      </c>
      <c r="AH223" s="1081">
        <f>CHOOSE(Tables!$U$2,Transfer!CF223,Transfer!CS223,Transfer!DF223,Transfer!DS223,Transfer!EF223)</f>
        <v>-9999</v>
      </c>
      <c r="AI223" s="1081">
        <f>CHOOSE(Tables!$U$2,Transfer!CG223,Transfer!CT223,Transfer!DG223,Transfer!DT223,Transfer!EG223)</f>
        <v>-9999</v>
      </c>
      <c r="AJ223" s="1081">
        <f>CHOOSE(Tables!$U$2,Transfer!CH223,Transfer!CU223,Transfer!DH223,Transfer!DU223,Transfer!EH223)</f>
        <v>-9999</v>
      </c>
      <c r="AK223" s="1081">
        <f>CHOOSE(Tables!$U$2,Transfer!CI223,Transfer!CV223,Transfer!DI223,Transfer!DV223,Transfer!EI223)</f>
        <v>-9999</v>
      </c>
      <c r="AL223" s="1081">
        <f>CHOOSE(Tables!$U$2,Transfer!CJ223,Transfer!CW223,Transfer!DJ223,Transfer!DW223,Transfer!EJ223)</f>
        <v>-9999</v>
      </c>
      <c r="AM223" s="1081">
        <f>CHOOSE(Tables!$U$2,Transfer!CK223,Transfer!CX223,Transfer!DK223,Transfer!DX223,Transfer!EK223)</f>
        <v>-9999</v>
      </c>
      <c r="AN223" s="1081">
        <f>CHOOSE(Tables!$U$2,Transfer!CL223,Transfer!CY223,Transfer!DL223,Transfer!DY223,Transfer!EL223)</f>
        <v>-9999</v>
      </c>
      <c r="AO223" s="1081">
        <f>CHOOSE(Tables!$U$2,Transfer!CM223,Transfer!CZ223,Transfer!DM223,Transfer!DZ223,Transfer!EM223)</f>
        <v>-9999</v>
      </c>
      <c r="AR223" s="22">
        <v>123</v>
      </c>
      <c r="AS223" s="1" t="s">
        <v>630</v>
      </c>
      <c r="AT223" s="24">
        <f t="shared" ca="1" si="22"/>
        <v>0</v>
      </c>
      <c r="AU223" s="24">
        <f t="shared" ca="1" si="23"/>
        <v>0</v>
      </c>
      <c r="AV223" s="24">
        <f t="shared" ca="1" si="24"/>
        <v>0</v>
      </c>
      <c r="AW223" s="24">
        <f t="shared" ca="1" si="25"/>
        <v>0</v>
      </c>
      <c r="AX223" s="24">
        <f t="shared" ca="1" si="26"/>
        <v>0</v>
      </c>
      <c r="AY223" s="25">
        <f t="shared" si="27"/>
        <v>0</v>
      </c>
      <c r="AZ223" s="25">
        <f t="shared" si="28"/>
        <v>0</v>
      </c>
      <c r="BA223" s="25">
        <f t="shared" si="29"/>
        <v>0</v>
      </c>
      <c r="BB223" s="25">
        <f t="shared" si="30"/>
        <v>0</v>
      </c>
      <c r="BC223" s="25">
        <f t="shared" si="21"/>
        <v>0</v>
      </c>
      <c r="BD223" s="25">
        <f t="shared" si="21"/>
        <v>0</v>
      </c>
      <c r="BE223" s="25">
        <f t="shared" si="21"/>
        <v>0</v>
      </c>
      <c r="BF223" s="25">
        <f t="shared" si="21"/>
        <v>0</v>
      </c>
      <c r="CA223" s="16">
        <v>14.058200000000001</v>
      </c>
      <c r="CB223" s="16">
        <v>14.2582</v>
      </c>
      <c r="CC223" s="16">
        <v>14.704700000000001</v>
      </c>
      <c r="CD223" s="16">
        <v>14.200035728075999</v>
      </c>
      <c r="CE223" s="16">
        <v>14.515967078272361</v>
      </c>
      <c r="CF223" s="16">
        <v>-9999</v>
      </c>
      <c r="CG223" s="16">
        <v>-9999</v>
      </c>
      <c r="CH223" s="16">
        <v>-9999</v>
      </c>
      <c r="CI223" s="16">
        <v>-9999</v>
      </c>
      <c r="CJ223" s="16">
        <v>-9999</v>
      </c>
      <c r="CK223" s="16">
        <v>-9999</v>
      </c>
      <c r="CL223" s="16">
        <v>-9999</v>
      </c>
      <c r="CM223" s="16">
        <v>-9999</v>
      </c>
      <c r="CN223" s="16">
        <v>13.823499999999999</v>
      </c>
      <c r="CO223" s="16">
        <v>13.748100000000001</v>
      </c>
      <c r="CP223" s="16">
        <v>14.126095294881202</v>
      </c>
      <c r="CQ223" s="16">
        <v>14.210909121911998</v>
      </c>
      <c r="CR223" s="16">
        <v>14.595460678013639</v>
      </c>
      <c r="CS223" s="16">
        <v>-9999</v>
      </c>
      <c r="CT223" s="16">
        <v>-9999</v>
      </c>
      <c r="CU223" s="16">
        <v>-9999</v>
      </c>
      <c r="CV223" s="16">
        <v>-9999</v>
      </c>
      <c r="CW223" s="16">
        <v>-9999</v>
      </c>
      <c r="CX223" s="16">
        <v>-9999</v>
      </c>
      <c r="CY223" s="16">
        <v>-9999</v>
      </c>
      <c r="CZ223" s="16">
        <v>-9999</v>
      </c>
      <c r="DA223" s="16">
        <v>14.058200000000001</v>
      </c>
      <c r="DB223" s="16">
        <v>14.2582</v>
      </c>
      <c r="DC223" s="16">
        <v>14.704700000000001</v>
      </c>
      <c r="DD223" s="16">
        <v>14.200035728075999</v>
      </c>
      <c r="DE223" s="16">
        <v>14.515967078272361</v>
      </c>
      <c r="DF223" s="16">
        <v>-9999</v>
      </c>
      <c r="DG223" s="16">
        <v>-9999</v>
      </c>
      <c r="DH223" s="16">
        <v>-9999</v>
      </c>
      <c r="DI223" s="16">
        <v>-9999</v>
      </c>
      <c r="DJ223" s="16">
        <v>-9999</v>
      </c>
      <c r="DK223" s="16">
        <v>-9999</v>
      </c>
      <c r="DL223" s="16">
        <v>-9999</v>
      </c>
      <c r="DM223" s="16">
        <v>-9999</v>
      </c>
      <c r="DN223" s="16">
        <v>14.058200000000001</v>
      </c>
      <c r="DO223" s="16">
        <v>14.2582</v>
      </c>
      <c r="DP223" s="16">
        <v>14.704700000000001</v>
      </c>
      <c r="DQ223" s="16">
        <v>14.200035728075999</v>
      </c>
      <c r="DR223" s="16">
        <v>14.515967078272361</v>
      </c>
      <c r="DS223" s="16">
        <v>-9999</v>
      </c>
      <c r="DT223" s="16">
        <v>-9999</v>
      </c>
      <c r="DU223" s="16">
        <v>-9999</v>
      </c>
      <c r="DV223" s="16">
        <v>-9999</v>
      </c>
      <c r="DW223" s="16">
        <v>-9999</v>
      </c>
      <c r="DX223" s="16">
        <v>-9999</v>
      </c>
      <c r="DY223" s="16">
        <v>-9999</v>
      </c>
      <c r="DZ223" s="16">
        <v>-9999</v>
      </c>
      <c r="EA223" s="2106">
        <v>14.058200000000001</v>
      </c>
      <c r="EB223" s="2106">
        <v>14.2582</v>
      </c>
      <c r="EC223" s="2106">
        <v>14.704700000000001</v>
      </c>
      <c r="ED223" s="2106">
        <v>14.200035728075999</v>
      </c>
      <c r="EE223" s="2106">
        <v>14.515967078272361</v>
      </c>
      <c r="EF223" s="2107">
        <v>-9999</v>
      </c>
      <c r="EG223" s="2107">
        <v>-9999</v>
      </c>
      <c r="EH223" s="2107">
        <v>-9999</v>
      </c>
      <c r="EI223" s="2107">
        <v>-9999</v>
      </c>
      <c r="EJ223" s="2107">
        <v>-9999</v>
      </c>
      <c r="EK223" s="2107">
        <v>-9999</v>
      </c>
      <c r="EL223" s="2107">
        <v>-9999</v>
      </c>
      <c r="EM223" s="2107">
        <v>-9999</v>
      </c>
    </row>
    <row r="224" spans="1:143">
      <c r="A224" s="22">
        <v>124</v>
      </c>
      <c r="B224" s="1" t="s">
        <v>631</v>
      </c>
      <c r="C224" s="24">
        <f ca="1">OFFSET(Sector1!F1107,0,Last_forecast_year - 3-InputY!$G$3)</f>
        <v>8.444700000000001</v>
      </c>
      <c r="D224" s="24">
        <f ca="1">OFFSET(Sector1!G1107,0,Last_forecast_year - 3-InputY!$G$3)</f>
        <v>9.2129999999999992</v>
      </c>
      <c r="E224" s="24">
        <f ca="1">OFFSET(Sector1!H1107,0,Last_forecast_year - 3-InputY!$G$3)</f>
        <v>7.992</v>
      </c>
      <c r="F224" s="24">
        <f ca="1">OFFSET(Sector1!I1107,0,Last_forecast_year - 3-InputY!$G$3)</f>
        <v>8.7951990599999998</v>
      </c>
      <c r="G224" s="24">
        <f ca="1">OFFSET(Sector1!J1107,0,Last_forecast_year - 3-InputY!$G$3)</f>
        <v>9.1389875630579986</v>
      </c>
      <c r="H224" s="25">
        <v>-9999</v>
      </c>
      <c r="I224" s="25">
        <v>-9999</v>
      </c>
      <c r="J224" s="25">
        <v>-9999</v>
      </c>
      <c r="K224" s="25">
        <v>-9999</v>
      </c>
      <c r="L224" s="25">
        <v>-9999</v>
      </c>
      <c r="M224" s="25">
        <v>-9999</v>
      </c>
      <c r="N224" s="25">
        <v>-9999</v>
      </c>
      <c r="O224" s="25">
        <v>-9999</v>
      </c>
      <c r="P224"/>
      <c r="Q224"/>
      <c r="AA224" s="22">
        <v>124</v>
      </c>
      <c r="AB224" s="1081" t="str">
        <f t="shared" si="8"/>
        <v>GG OTHER CURRENT EXPENDITURE</v>
      </c>
      <c r="AC224" s="1081">
        <f>CHOOSE(Tables!$U$2,Transfer!CA224,Transfer!CN224,Transfer!DA224,Transfer!DN224,Transfer!EA224)</f>
        <v>8.444700000000001</v>
      </c>
      <c r="AD224" s="1081">
        <f>CHOOSE(Tables!$U$2,Transfer!CB224,Transfer!CO224,Transfer!DB224,Transfer!DO224,Transfer!EB224)</f>
        <v>9.2129999999999992</v>
      </c>
      <c r="AE224" s="1081">
        <f>CHOOSE(Tables!$U$2,Transfer!CC224,Transfer!CP224,Transfer!DC224,Transfer!DP224,Transfer!EC224)</f>
        <v>7.992</v>
      </c>
      <c r="AF224" s="1081">
        <f>CHOOSE(Tables!$U$2,Transfer!CD224,Transfer!CQ224,Transfer!DD224,Transfer!DQ224,Transfer!ED224)</f>
        <v>8.7951990599999998</v>
      </c>
      <c r="AG224" s="1081">
        <f>CHOOSE(Tables!$U$2,Transfer!CE224,Transfer!CR224,Transfer!DE224,Transfer!DR224,Transfer!EE224)</f>
        <v>9.1389875630579986</v>
      </c>
      <c r="AH224" s="1081">
        <f>CHOOSE(Tables!$U$2,Transfer!CF224,Transfer!CS224,Transfer!DF224,Transfer!DS224,Transfer!EF224)</f>
        <v>-9999</v>
      </c>
      <c r="AI224" s="1081">
        <f>CHOOSE(Tables!$U$2,Transfer!CG224,Transfer!CT224,Transfer!DG224,Transfer!DT224,Transfer!EG224)</f>
        <v>-9999</v>
      </c>
      <c r="AJ224" s="1081">
        <f>CHOOSE(Tables!$U$2,Transfer!CH224,Transfer!CU224,Transfer!DH224,Transfer!DU224,Transfer!EH224)</f>
        <v>-9999</v>
      </c>
      <c r="AK224" s="1081">
        <f>CHOOSE(Tables!$U$2,Transfer!CI224,Transfer!CV224,Transfer!DI224,Transfer!DV224,Transfer!EI224)</f>
        <v>-9999</v>
      </c>
      <c r="AL224" s="1081">
        <f>CHOOSE(Tables!$U$2,Transfer!CJ224,Transfer!CW224,Transfer!DJ224,Transfer!DW224,Transfer!EJ224)</f>
        <v>-9999</v>
      </c>
      <c r="AM224" s="1081">
        <f>CHOOSE(Tables!$U$2,Transfer!CK224,Transfer!CX224,Transfer!DK224,Transfer!DX224,Transfer!EK224)</f>
        <v>-9999</v>
      </c>
      <c r="AN224" s="1081">
        <f>CHOOSE(Tables!$U$2,Transfer!CL224,Transfer!CY224,Transfer!DL224,Transfer!DY224,Transfer!EL224)</f>
        <v>-9999</v>
      </c>
      <c r="AO224" s="1081">
        <f>CHOOSE(Tables!$U$2,Transfer!CM224,Transfer!CZ224,Transfer!DM224,Transfer!DZ224,Transfer!EM224)</f>
        <v>-9999</v>
      </c>
      <c r="AR224" s="22">
        <v>124</v>
      </c>
      <c r="AS224" s="1" t="s">
        <v>631</v>
      </c>
      <c r="AT224" s="24">
        <f t="shared" ca="1" si="22"/>
        <v>0</v>
      </c>
      <c r="AU224" s="24">
        <f t="shared" ca="1" si="23"/>
        <v>0</v>
      </c>
      <c r="AV224" s="24">
        <f t="shared" ca="1" si="24"/>
        <v>0</v>
      </c>
      <c r="AW224" s="24">
        <f t="shared" ca="1" si="25"/>
        <v>0</v>
      </c>
      <c r="AX224" s="24">
        <f t="shared" ca="1" si="26"/>
        <v>0</v>
      </c>
      <c r="AY224" s="25">
        <f t="shared" si="27"/>
        <v>0</v>
      </c>
      <c r="AZ224" s="25">
        <f t="shared" si="28"/>
        <v>0</v>
      </c>
      <c r="BA224" s="25">
        <f t="shared" si="29"/>
        <v>0</v>
      </c>
      <c r="BB224" s="25">
        <f t="shared" si="30"/>
        <v>0</v>
      </c>
      <c r="BC224" s="25">
        <f t="shared" si="21"/>
        <v>0</v>
      </c>
      <c r="BD224" s="25">
        <f t="shared" si="21"/>
        <v>0</v>
      </c>
      <c r="BE224" s="25">
        <f t="shared" si="21"/>
        <v>0</v>
      </c>
      <c r="BF224" s="25">
        <f t="shared" si="21"/>
        <v>0</v>
      </c>
      <c r="CA224" s="16">
        <v>8.444700000000001</v>
      </c>
      <c r="CB224" s="16">
        <v>9.2129999999999992</v>
      </c>
      <c r="CC224" s="16">
        <v>7.992</v>
      </c>
      <c r="CD224" s="16">
        <v>8.7951990599999998</v>
      </c>
      <c r="CE224" s="16">
        <v>9.1389875630579986</v>
      </c>
      <c r="CF224" s="16">
        <v>-9999</v>
      </c>
      <c r="CG224" s="16">
        <v>-9999</v>
      </c>
      <c r="CH224" s="16">
        <v>-9999</v>
      </c>
      <c r="CI224" s="16">
        <v>-9999</v>
      </c>
      <c r="CJ224" s="16">
        <v>-9999</v>
      </c>
      <c r="CK224" s="16">
        <v>-9999</v>
      </c>
      <c r="CL224" s="16">
        <v>-9999</v>
      </c>
      <c r="CM224" s="16">
        <v>-9999</v>
      </c>
      <c r="CN224" s="16">
        <v>8.4051000000000009</v>
      </c>
      <c r="CO224" s="16">
        <v>9.1936</v>
      </c>
      <c r="CP224" s="16">
        <v>8.3786499080097236</v>
      </c>
      <c r="CQ224" s="16">
        <v>9.2413993239831971</v>
      </c>
      <c r="CR224" s="16">
        <v>9.6114946744065897</v>
      </c>
      <c r="CS224" s="16">
        <v>-9999</v>
      </c>
      <c r="CT224" s="16">
        <v>-9999</v>
      </c>
      <c r="CU224" s="16">
        <v>-9999</v>
      </c>
      <c r="CV224" s="16">
        <v>-9999</v>
      </c>
      <c r="CW224" s="16">
        <v>-9999</v>
      </c>
      <c r="CX224" s="16">
        <v>-9999</v>
      </c>
      <c r="CY224" s="16">
        <v>-9999</v>
      </c>
      <c r="CZ224" s="16">
        <v>-9999</v>
      </c>
      <c r="DA224" s="16">
        <v>8.444700000000001</v>
      </c>
      <c r="DB224" s="16">
        <v>9.2129999999999992</v>
      </c>
      <c r="DC224" s="16">
        <v>7.992</v>
      </c>
      <c r="DD224" s="16">
        <v>8.7951990599999998</v>
      </c>
      <c r="DE224" s="16">
        <v>9.1389875630579986</v>
      </c>
      <c r="DF224" s="16">
        <v>-9999</v>
      </c>
      <c r="DG224" s="16">
        <v>-9999</v>
      </c>
      <c r="DH224" s="16">
        <v>-9999</v>
      </c>
      <c r="DI224" s="16">
        <v>-9999</v>
      </c>
      <c r="DJ224" s="16">
        <v>-9999</v>
      </c>
      <c r="DK224" s="16">
        <v>-9999</v>
      </c>
      <c r="DL224" s="16">
        <v>-9999</v>
      </c>
      <c r="DM224" s="16">
        <v>-9999</v>
      </c>
      <c r="DN224" s="16">
        <v>8.444700000000001</v>
      </c>
      <c r="DO224" s="16">
        <v>9.2129999999999992</v>
      </c>
      <c r="DP224" s="16">
        <v>7.992</v>
      </c>
      <c r="DQ224" s="16">
        <v>8.7951990599999998</v>
      </c>
      <c r="DR224" s="16">
        <v>9.1389875630579986</v>
      </c>
      <c r="DS224" s="16">
        <v>-9999</v>
      </c>
      <c r="DT224" s="16">
        <v>-9999</v>
      </c>
      <c r="DU224" s="16">
        <v>-9999</v>
      </c>
      <c r="DV224" s="16">
        <v>-9999</v>
      </c>
      <c r="DW224" s="16">
        <v>-9999</v>
      </c>
      <c r="DX224" s="16">
        <v>-9999</v>
      </c>
      <c r="DY224" s="16">
        <v>-9999</v>
      </c>
      <c r="DZ224" s="16">
        <v>-9999</v>
      </c>
      <c r="EA224" s="2106">
        <v>8.444700000000001</v>
      </c>
      <c r="EB224" s="2106">
        <v>9.2129999999999992</v>
      </c>
      <c r="EC224" s="2106">
        <v>7.992</v>
      </c>
      <c r="ED224" s="2106">
        <v>8.7951990599999998</v>
      </c>
      <c r="EE224" s="2106">
        <v>9.1389875630579986</v>
      </c>
      <c r="EF224" s="2107">
        <v>-9999</v>
      </c>
      <c r="EG224" s="2107">
        <v>-9999</v>
      </c>
      <c r="EH224" s="2107">
        <v>-9999</v>
      </c>
      <c r="EI224" s="2107">
        <v>-9999</v>
      </c>
      <c r="EJ224" s="2107">
        <v>-9999</v>
      </c>
      <c r="EK224" s="2107">
        <v>-9999</v>
      </c>
      <c r="EL224" s="2107">
        <v>-9999</v>
      </c>
      <c r="EM224" s="2107">
        <v>-9999</v>
      </c>
    </row>
    <row r="225" spans="1:143">
      <c r="A225" s="22">
        <v>125</v>
      </c>
      <c r="B225" s="1" t="s">
        <v>2593</v>
      </c>
      <c r="C225" s="24">
        <f ca="1">OFFSET(Sector1!F791,0,Last_forecast_year - 3-InputY!$G$3)</f>
        <v>3.8383000000000003</v>
      </c>
      <c r="D225" s="24">
        <f ca="1">OFFSET(Sector1!G791,0,Last_forecast_year - 3-InputY!$G$3)</f>
        <v>3.9711999999999996</v>
      </c>
      <c r="E225" s="24">
        <f ca="1">OFFSET(Sector1!H791,0,Last_forecast_year - 3-InputY!$G$3)</f>
        <v>4.0526999999999997</v>
      </c>
      <c r="F225" s="24">
        <f ca="1">OFFSET(Sector1!I791,0,Last_forecast_year - 3-InputY!$G$3)</f>
        <v>4.1563048756164438</v>
      </c>
      <c r="G225" s="24">
        <f ca="1">OFFSET(Sector1!J791,0,Last_forecast_year - 3-InputY!$G$3)</f>
        <v>4.4328693364110183</v>
      </c>
      <c r="H225" s="25">
        <v>-9999</v>
      </c>
      <c r="I225" s="25">
        <v>-9999</v>
      </c>
      <c r="J225" s="25">
        <v>-9999</v>
      </c>
      <c r="K225" s="25">
        <v>-9999</v>
      </c>
      <c r="L225" s="25">
        <v>-9999</v>
      </c>
      <c r="M225" s="25">
        <v>-9999</v>
      </c>
      <c r="N225" s="25">
        <v>-9999</v>
      </c>
      <c r="O225" s="25">
        <v>-9999</v>
      </c>
      <c r="P225"/>
      <c r="Q225"/>
      <c r="AA225" s="22">
        <v>125</v>
      </c>
      <c r="AB225" s="1081" t="str">
        <f t="shared" si="8"/>
        <v xml:space="preserve">GG CAPITAL TRANSFERS; RECEIVED </v>
      </c>
      <c r="AC225" s="1081">
        <f>CHOOSE(Tables!$U$2,Transfer!CA225,Transfer!CN225,Transfer!DA225,Transfer!DN225,Transfer!EA225)</f>
        <v>3.8383000000000003</v>
      </c>
      <c r="AD225" s="1081">
        <f>CHOOSE(Tables!$U$2,Transfer!CB225,Transfer!CO225,Transfer!DB225,Transfer!DO225,Transfer!EB225)</f>
        <v>3.9711999999999996</v>
      </c>
      <c r="AE225" s="1081">
        <f>CHOOSE(Tables!$U$2,Transfer!CC225,Transfer!CP225,Transfer!DC225,Transfer!DP225,Transfer!EC225)</f>
        <v>4.0526999999999997</v>
      </c>
      <c r="AF225" s="1081">
        <f>CHOOSE(Tables!$U$2,Transfer!CD225,Transfer!CQ225,Transfer!DD225,Transfer!DQ225,Transfer!ED225)</f>
        <v>4.1563048756164438</v>
      </c>
      <c r="AG225" s="1081">
        <f>CHOOSE(Tables!$U$2,Transfer!CE225,Transfer!CR225,Transfer!DE225,Transfer!DR225,Transfer!EE225)</f>
        <v>4.4328693364110183</v>
      </c>
      <c r="AH225" s="1081">
        <f>CHOOSE(Tables!$U$2,Transfer!CF225,Transfer!CS225,Transfer!DF225,Transfer!DS225,Transfer!EF225)</f>
        <v>-9999</v>
      </c>
      <c r="AI225" s="1081">
        <f>CHOOSE(Tables!$U$2,Transfer!CG225,Transfer!CT225,Transfer!DG225,Transfer!DT225,Transfer!EG225)</f>
        <v>-9999</v>
      </c>
      <c r="AJ225" s="1081">
        <f>CHOOSE(Tables!$U$2,Transfer!CH225,Transfer!CU225,Transfer!DH225,Transfer!DU225,Transfer!EH225)</f>
        <v>-9999</v>
      </c>
      <c r="AK225" s="1081">
        <f>CHOOSE(Tables!$U$2,Transfer!CI225,Transfer!CV225,Transfer!DI225,Transfer!DV225,Transfer!EI225)</f>
        <v>-9999</v>
      </c>
      <c r="AL225" s="1081">
        <f>CHOOSE(Tables!$U$2,Transfer!CJ225,Transfer!CW225,Transfer!DJ225,Transfer!DW225,Transfer!EJ225)</f>
        <v>-9999</v>
      </c>
      <c r="AM225" s="1081">
        <f>CHOOSE(Tables!$U$2,Transfer!CK225,Transfer!CX225,Transfer!DK225,Transfer!DX225,Transfer!EK225)</f>
        <v>-9999</v>
      </c>
      <c r="AN225" s="1081">
        <f>CHOOSE(Tables!$U$2,Transfer!CL225,Transfer!CY225,Transfer!DL225,Transfer!DY225,Transfer!EL225)</f>
        <v>-9999</v>
      </c>
      <c r="AO225" s="1081">
        <f>CHOOSE(Tables!$U$2,Transfer!CM225,Transfer!CZ225,Transfer!DM225,Transfer!DZ225,Transfer!EM225)</f>
        <v>-9999</v>
      </c>
      <c r="AR225" s="22">
        <v>125</v>
      </c>
      <c r="AS225" s="1" t="s">
        <v>2593</v>
      </c>
      <c r="AT225" s="24">
        <f t="shared" ca="1" si="22"/>
        <v>0</v>
      </c>
      <c r="AU225" s="24">
        <f t="shared" ca="1" si="23"/>
        <v>0</v>
      </c>
      <c r="AV225" s="24">
        <f t="shared" ca="1" si="24"/>
        <v>0</v>
      </c>
      <c r="AW225" s="24">
        <f t="shared" ca="1" si="25"/>
        <v>0</v>
      </c>
      <c r="AX225" s="24">
        <f t="shared" ca="1" si="26"/>
        <v>0</v>
      </c>
      <c r="AY225" s="25">
        <f t="shared" si="27"/>
        <v>0</v>
      </c>
      <c r="AZ225" s="25">
        <f t="shared" si="28"/>
        <v>0</v>
      </c>
      <c r="BA225" s="25">
        <f t="shared" si="29"/>
        <v>0</v>
      </c>
      <c r="BB225" s="25">
        <f t="shared" si="30"/>
        <v>0</v>
      </c>
      <c r="BC225" s="25">
        <f t="shared" si="21"/>
        <v>0</v>
      </c>
      <c r="BD225" s="25">
        <f t="shared" si="21"/>
        <v>0</v>
      </c>
      <c r="BE225" s="25">
        <f t="shared" si="21"/>
        <v>0</v>
      </c>
      <c r="BF225" s="25">
        <f t="shared" si="21"/>
        <v>0</v>
      </c>
      <c r="CA225" s="16">
        <v>3.8383000000000003</v>
      </c>
      <c r="CB225" s="16">
        <v>3.9711999999999996</v>
      </c>
      <c r="CC225" s="16">
        <v>4.0526999999999997</v>
      </c>
      <c r="CD225" s="16">
        <v>4.1563048756164438</v>
      </c>
      <c r="CE225" s="16">
        <v>4.4328693364110183</v>
      </c>
      <c r="CF225" s="16">
        <v>-9999</v>
      </c>
      <c r="CG225" s="16">
        <v>-9999</v>
      </c>
      <c r="CH225" s="16">
        <v>-9999</v>
      </c>
      <c r="CI225" s="16">
        <v>-9999</v>
      </c>
      <c r="CJ225" s="16">
        <v>-9999</v>
      </c>
      <c r="CK225" s="16">
        <v>-9999</v>
      </c>
      <c r="CL225" s="16">
        <v>-9999</v>
      </c>
      <c r="CM225" s="16">
        <v>-9999</v>
      </c>
      <c r="CN225" s="16">
        <v>3.8383000000000003</v>
      </c>
      <c r="CO225" s="16">
        <v>3.9768000000000003</v>
      </c>
      <c r="CP225" s="16">
        <v>3.9393648276252602</v>
      </c>
      <c r="CQ225" s="16">
        <v>3.5451802854283345</v>
      </c>
      <c r="CR225" s="16">
        <v>3.4001107394251089</v>
      </c>
      <c r="CS225" s="16">
        <v>-9999</v>
      </c>
      <c r="CT225" s="16">
        <v>-9999</v>
      </c>
      <c r="CU225" s="16">
        <v>-9999</v>
      </c>
      <c r="CV225" s="16">
        <v>-9999</v>
      </c>
      <c r="CW225" s="16">
        <v>-9999</v>
      </c>
      <c r="CX225" s="16">
        <v>-9999</v>
      </c>
      <c r="CY225" s="16">
        <v>-9999</v>
      </c>
      <c r="CZ225" s="16">
        <v>-9999</v>
      </c>
      <c r="DA225" s="16">
        <v>3.8383000000000003</v>
      </c>
      <c r="DB225" s="16">
        <v>3.9711999999999996</v>
      </c>
      <c r="DC225" s="16">
        <v>4.0526999999999997</v>
      </c>
      <c r="DD225" s="16">
        <v>4.1563048756164438</v>
      </c>
      <c r="DE225" s="16">
        <v>4.4328693364110183</v>
      </c>
      <c r="DF225" s="16">
        <v>-9999</v>
      </c>
      <c r="DG225" s="16">
        <v>-9999</v>
      </c>
      <c r="DH225" s="16">
        <v>-9999</v>
      </c>
      <c r="DI225" s="16">
        <v>-9999</v>
      </c>
      <c r="DJ225" s="16">
        <v>-9999</v>
      </c>
      <c r="DK225" s="16">
        <v>-9999</v>
      </c>
      <c r="DL225" s="16">
        <v>-9999</v>
      </c>
      <c r="DM225" s="16">
        <v>-9999</v>
      </c>
      <c r="DN225" s="16">
        <v>3.8383000000000003</v>
      </c>
      <c r="DO225" s="16">
        <v>3.9711999999999996</v>
      </c>
      <c r="DP225" s="16">
        <v>4.0526999999999997</v>
      </c>
      <c r="DQ225" s="16">
        <v>4.1563048756164438</v>
      </c>
      <c r="DR225" s="16">
        <v>4.4328693364110183</v>
      </c>
      <c r="DS225" s="16">
        <v>-9999</v>
      </c>
      <c r="DT225" s="16">
        <v>-9999</v>
      </c>
      <c r="DU225" s="16">
        <v>-9999</v>
      </c>
      <c r="DV225" s="16">
        <v>-9999</v>
      </c>
      <c r="DW225" s="16">
        <v>-9999</v>
      </c>
      <c r="DX225" s="16">
        <v>-9999</v>
      </c>
      <c r="DY225" s="16">
        <v>-9999</v>
      </c>
      <c r="DZ225" s="16">
        <v>-9999</v>
      </c>
      <c r="EA225" s="2106">
        <v>3.8383000000000003</v>
      </c>
      <c r="EB225" s="2106">
        <v>3.9711999999999996</v>
      </c>
      <c r="EC225" s="2106">
        <v>4.0526999999999997</v>
      </c>
      <c r="ED225" s="2106">
        <v>4.1563048756164438</v>
      </c>
      <c r="EE225" s="2106">
        <v>4.4328693364110183</v>
      </c>
      <c r="EF225" s="2107">
        <v>-9999</v>
      </c>
      <c r="EG225" s="2107">
        <v>-9999</v>
      </c>
      <c r="EH225" s="2107">
        <v>-9999</v>
      </c>
      <c r="EI225" s="2107">
        <v>-9999</v>
      </c>
      <c r="EJ225" s="2107">
        <v>-9999</v>
      </c>
      <c r="EK225" s="2107">
        <v>-9999</v>
      </c>
      <c r="EL225" s="2107">
        <v>-9999</v>
      </c>
      <c r="EM225" s="2107">
        <v>-9999</v>
      </c>
    </row>
    <row r="226" spans="1:143">
      <c r="A226" s="22">
        <v>126</v>
      </c>
      <c r="B226" s="1" t="s">
        <v>706</v>
      </c>
      <c r="C226" s="24">
        <f ca="1">OFFSET('VVP2'!F237,0,Last_forecast_year - 3-InputY!$G$3)</f>
        <v>9.4318999999999988</v>
      </c>
      <c r="D226" s="24">
        <f ca="1">OFFSET('VVP2'!G237,0,Last_forecast_year - 3-InputY!$G$3)</f>
        <v>9.3502999999999989</v>
      </c>
      <c r="E226" s="24">
        <f ca="1">OFFSET('VVP2'!H237,0,Last_forecast_year - 3-InputY!$G$3)</f>
        <v>9.704600000000001</v>
      </c>
      <c r="F226" s="24">
        <f ca="1">OFFSET('VVP2'!I237,0,Last_forecast_year - 3-InputY!$G$3)</f>
        <v>10.871496631360001</v>
      </c>
      <c r="G226" s="24">
        <f ca="1">OFFSET('VVP2'!J237,0,Last_forecast_year - 3-InputY!$G$3)</f>
        <v>11.698817525006499</v>
      </c>
      <c r="H226" s="25">
        <v>-9999</v>
      </c>
      <c r="I226" s="25">
        <v>-9999</v>
      </c>
      <c r="J226" s="25">
        <v>-9999</v>
      </c>
      <c r="K226" s="25">
        <v>-9999</v>
      </c>
      <c r="L226" s="25">
        <v>-9999</v>
      </c>
      <c r="M226" s="25">
        <v>-9999</v>
      </c>
      <c r="N226" s="25">
        <v>-9999</v>
      </c>
      <c r="O226" s="25">
        <v>-9999</v>
      </c>
      <c r="P226"/>
      <c r="Q226"/>
      <c r="AA226" s="22">
        <v>126</v>
      </c>
      <c r="AB226" s="1081" t="str">
        <f t="shared" si="8"/>
        <v>GG GROSS FIXED CAPITAL FORMATION</v>
      </c>
      <c r="AC226" s="1081">
        <f>CHOOSE(Tables!$U$2,Transfer!CA226,Transfer!CN226,Transfer!DA226,Transfer!DN226,Transfer!EA226)</f>
        <v>9.4318999999999988</v>
      </c>
      <c r="AD226" s="1081">
        <f>CHOOSE(Tables!$U$2,Transfer!CB226,Transfer!CO226,Transfer!DB226,Transfer!DO226,Transfer!EB226)</f>
        <v>9.3502999999999989</v>
      </c>
      <c r="AE226" s="1081">
        <f>CHOOSE(Tables!$U$2,Transfer!CC226,Transfer!CP226,Transfer!DC226,Transfer!DP226,Transfer!EC226)</f>
        <v>9.704600000000001</v>
      </c>
      <c r="AF226" s="1081">
        <f>CHOOSE(Tables!$U$2,Transfer!CD226,Transfer!CQ226,Transfer!DD226,Transfer!DQ226,Transfer!ED226)</f>
        <v>10.871496631360001</v>
      </c>
      <c r="AG226" s="1081">
        <f>CHOOSE(Tables!$U$2,Transfer!CE226,Transfer!CR226,Transfer!DE226,Transfer!DR226,Transfer!EE226)</f>
        <v>11.698817525006499</v>
      </c>
      <c r="AH226" s="1081">
        <f>CHOOSE(Tables!$U$2,Transfer!CF226,Transfer!CS226,Transfer!DF226,Transfer!DS226,Transfer!EF226)</f>
        <v>-9999</v>
      </c>
      <c r="AI226" s="1081">
        <f>CHOOSE(Tables!$U$2,Transfer!CG226,Transfer!CT226,Transfer!DG226,Transfer!DT226,Transfer!EG226)</f>
        <v>-9999</v>
      </c>
      <c r="AJ226" s="1081">
        <f>CHOOSE(Tables!$U$2,Transfer!CH226,Transfer!CU226,Transfer!DH226,Transfer!DU226,Transfer!EH226)</f>
        <v>-9999</v>
      </c>
      <c r="AK226" s="1081">
        <f>CHOOSE(Tables!$U$2,Transfer!CI226,Transfer!CV226,Transfer!DI226,Transfer!DV226,Transfer!EI226)</f>
        <v>-9999</v>
      </c>
      <c r="AL226" s="1081">
        <f>CHOOSE(Tables!$U$2,Transfer!CJ226,Transfer!CW226,Transfer!DJ226,Transfer!DW226,Transfer!EJ226)</f>
        <v>-9999</v>
      </c>
      <c r="AM226" s="1081">
        <f>CHOOSE(Tables!$U$2,Transfer!CK226,Transfer!CX226,Transfer!DK226,Transfer!DX226,Transfer!EK226)</f>
        <v>-9999</v>
      </c>
      <c r="AN226" s="1081">
        <f>CHOOSE(Tables!$U$2,Transfer!CL226,Transfer!CY226,Transfer!DL226,Transfer!DY226,Transfer!EL226)</f>
        <v>-9999</v>
      </c>
      <c r="AO226" s="1081">
        <f>CHOOSE(Tables!$U$2,Transfer!CM226,Transfer!CZ226,Transfer!DM226,Transfer!DZ226,Transfer!EM226)</f>
        <v>-9999</v>
      </c>
      <c r="AR226" s="22">
        <v>126</v>
      </c>
      <c r="AS226" s="1" t="s">
        <v>706</v>
      </c>
      <c r="AT226" s="24">
        <f t="shared" ca="1" si="22"/>
        <v>0</v>
      </c>
      <c r="AU226" s="24">
        <f t="shared" ca="1" si="23"/>
        <v>0</v>
      </c>
      <c r="AV226" s="24">
        <f t="shared" ca="1" si="24"/>
        <v>0</v>
      </c>
      <c r="AW226" s="24">
        <f t="shared" ca="1" si="25"/>
        <v>0</v>
      </c>
      <c r="AX226" s="24">
        <f t="shared" ca="1" si="26"/>
        <v>0</v>
      </c>
      <c r="AY226" s="25">
        <f t="shared" si="27"/>
        <v>0</v>
      </c>
      <c r="AZ226" s="25">
        <f t="shared" si="28"/>
        <v>0</v>
      </c>
      <c r="BA226" s="25">
        <f t="shared" si="29"/>
        <v>0</v>
      </c>
      <c r="BB226" s="25">
        <f t="shared" si="30"/>
        <v>0</v>
      </c>
      <c r="BC226" s="25">
        <f t="shared" si="21"/>
        <v>0</v>
      </c>
      <c r="BD226" s="25">
        <f t="shared" si="21"/>
        <v>0</v>
      </c>
      <c r="BE226" s="25">
        <f t="shared" si="21"/>
        <v>0</v>
      </c>
      <c r="BF226" s="25">
        <f t="shared" si="21"/>
        <v>0</v>
      </c>
      <c r="CA226" s="16">
        <v>9.4318999999999988</v>
      </c>
      <c r="CB226" s="16">
        <v>9.3502999999999989</v>
      </c>
      <c r="CC226" s="16">
        <v>9.704600000000001</v>
      </c>
      <c r="CD226" s="16">
        <v>10.871496631360001</v>
      </c>
      <c r="CE226" s="16">
        <v>11.698817525006499</v>
      </c>
      <c r="CF226" s="16">
        <v>-9999</v>
      </c>
      <c r="CG226" s="16">
        <v>-9999</v>
      </c>
      <c r="CH226" s="16">
        <v>-9999</v>
      </c>
      <c r="CI226" s="16">
        <v>-9999</v>
      </c>
      <c r="CJ226" s="16">
        <v>-9999</v>
      </c>
      <c r="CK226" s="16">
        <v>-9999</v>
      </c>
      <c r="CL226" s="16">
        <v>-9999</v>
      </c>
      <c r="CM226" s="16">
        <v>-9999</v>
      </c>
      <c r="CN226" s="16">
        <v>9.6271000000000004</v>
      </c>
      <c r="CO226" s="16">
        <v>9.3897000000000013</v>
      </c>
      <c r="CP226" s="16">
        <v>10.045025942400001</v>
      </c>
      <c r="CQ226" s="16">
        <v>11.176804238743696</v>
      </c>
      <c r="CR226" s="16">
        <v>12.076380504703218</v>
      </c>
      <c r="CS226" s="16">
        <v>-9999</v>
      </c>
      <c r="CT226" s="16">
        <v>-9999</v>
      </c>
      <c r="CU226" s="16">
        <v>-9999</v>
      </c>
      <c r="CV226" s="16">
        <v>-9999</v>
      </c>
      <c r="CW226" s="16">
        <v>-9999</v>
      </c>
      <c r="CX226" s="16">
        <v>-9999</v>
      </c>
      <c r="CY226" s="16">
        <v>-9999</v>
      </c>
      <c r="CZ226" s="16">
        <v>-9999</v>
      </c>
      <c r="DA226" s="16">
        <v>9.4318999999999988</v>
      </c>
      <c r="DB226" s="16">
        <v>9.3502999999999989</v>
      </c>
      <c r="DC226" s="16">
        <v>9.704600000000001</v>
      </c>
      <c r="DD226" s="16">
        <v>10.871496631360001</v>
      </c>
      <c r="DE226" s="16">
        <v>11.698817525006499</v>
      </c>
      <c r="DF226" s="16">
        <v>-9999</v>
      </c>
      <c r="DG226" s="16">
        <v>-9999</v>
      </c>
      <c r="DH226" s="16">
        <v>-9999</v>
      </c>
      <c r="DI226" s="16">
        <v>-9999</v>
      </c>
      <c r="DJ226" s="16">
        <v>-9999</v>
      </c>
      <c r="DK226" s="16">
        <v>-9999</v>
      </c>
      <c r="DL226" s="16">
        <v>-9999</v>
      </c>
      <c r="DM226" s="16">
        <v>-9999</v>
      </c>
      <c r="DN226" s="16">
        <v>9.4318999999999988</v>
      </c>
      <c r="DO226" s="16">
        <v>9.3502999999999989</v>
      </c>
      <c r="DP226" s="16">
        <v>9.704600000000001</v>
      </c>
      <c r="DQ226" s="16">
        <v>10.871496631360001</v>
      </c>
      <c r="DR226" s="16">
        <v>11.698817525006499</v>
      </c>
      <c r="DS226" s="16">
        <v>-9999</v>
      </c>
      <c r="DT226" s="16">
        <v>-9999</v>
      </c>
      <c r="DU226" s="16">
        <v>-9999</v>
      </c>
      <c r="DV226" s="16">
        <v>-9999</v>
      </c>
      <c r="DW226" s="16">
        <v>-9999</v>
      </c>
      <c r="DX226" s="16">
        <v>-9999</v>
      </c>
      <c r="DY226" s="16">
        <v>-9999</v>
      </c>
      <c r="DZ226" s="16">
        <v>-9999</v>
      </c>
      <c r="EA226" s="2106">
        <v>9.4318999999999988</v>
      </c>
      <c r="EB226" s="2106">
        <v>9.3502999999999989</v>
      </c>
      <c r="EC226" s="2106">
        <v>9.704600000000001</v>
      </c>
      <c r="ED226" s="2106">
        <v>10.871496631360001</v>
      </c>
      <c r="EE226" s="2106">
        <v>11.698817525006499</v>
      </c>
      <c r="EF226" s="2107">
        <v>-9999</v>
      </c>
      <c r="EG226" s="2107">
        <v>-9999</v>
      </c>
      <c r="EH226" s="2107">
        <v>-9999</v>
      </c>
      <c r="EI226" s="2107">
        <v>-9999</v>
      </c>
      <c r="EJ226" s="2107">
        <v>-9999</v>
      </c>
      <c r="EK226" s="2107">
        <v>-9999</v>
      </c>
      <c r="EL226" s="2107">
        <v>-9999</v>
      </c>
      <c r="EM226" s="2107">
        <v>-9999</v>
      </c>
    </row>
    <row r="227" spans="1:143">
      <c r="A227" s="22">
        <v>127</v>
      </c>
      <c r="B227" s="1" t="s">
        <v>2594</v>
      </c>
      <c r="C227" s="24">
        <f ca="1">OFFSET(Sector1!F1113,0,Last_forecast_year - 3-InputY!$G$3)</f>
        <v>5.2461000000000002</v>
      </c>
      <c r="D227" s="24">
        <f ca="1">OFFSET(Sector1!G1113,0,Last_forecast_year - 3-InputY!$G$3)</f>
        <v>4.6873000000000005</v>
      </c>
      <c r="E227" s="24">
        <f ca="1">OFFSET(Sector1!H1113,0,Last_forecast_year - 3-InputY!$G$3)</f>
        <v>4.3071999999999999</v>
      </c>
      <c r="F227" s="24">
        <f ca="1">OFFSET(Sector1!I1113,0,Last_forecast_year - 3-InputY!$G$3)</f>
        <v>3.8738627361122964</v>
      </c>
      <c r="G227" s="24">
        <f ca="1">OFFSET(Sector1!J1113,0,Last_forecast_year - 3-InputY!$G$3)</f>
        <v>3.8482905818873321</v>
      </c>
      <c r="H227" s="25">
        <v>-9999</v>
      </c>
      <c r="I227" s="25">
        <v>-9999</v>
      </c>
      <c r="J227" s="25">
        <v>-9999</v>
      </c>
      <c r="K227" s="25">
        <v>-9999</v>
      </c>
      <c r="L227" s="25">
        <v>-9999</v>
      </c>
      <c r="M227" s="25">
        <v>-9999</v>
      </c>
      <c r="N227" s="25">
        <v>-9999</v>
      </c>
      <c r="O227" s="25">
        <v>-9999</v>
      </c>
      <c r="P227"/>
      <c r="Q227"/>
      <c r="AA227" s="22">
        <v>127</v>
      </c>
      <c r="AB227" s="1081" t="str">
        <f t="shared" si="8"/>
        <v>GG OTHER CAPITAL EXPENDITURE; NET</v>
      </c>
      <c r="AC227" s="1081">
        <f>CHOOSE(Tables!$U$2,Transfer!CA227,Transfer!CN227,Transfer!DA227,Transfer!DN227,Transfer!EA227)</f>
        <v>5.2461000000000002</v>
      </c>
      <c r="AD227" s="1081">
        <f>CHOOSE(Tables!$U$2,Transfer!CB227,Transfer!CO227,Transfer!DB227,Transfer!DO227,Transfer!EB227)</f>
        <v>4.6873000000000005</v>
      </c>
      <c r="AE227" s="1081">
        <f>CHOOSE(Tables!$U$2,Transfer!CC227,Transfer!CP227,Transfer!DC227,Transfer!DP227,Transfer!EC227)</f>
        <v>4.3071999999999999</v>
      </c>
      <c r="AF227" s="1081">
        <f>CHOOSE(Tables!$U$2,Transfer!CD227,Transfer!CQ227,Transfer!DD227,Transfer!DQ227,Transfer!ED227)</f>
        <v>3.8738627361122964</v>
      </c>
      <c r="AG227" s="1081">
        <f>CHOOSE(Tables!$U$2,Transfer!CE227,Transfer!CR227,Transfer!DE227,Transfer!DR227,Transfer!EE227)</f>
        <v>3.8482905818873321</v>
      </c>
      <c r="AH227" s="1081">
        <f>CHOOSE(Tables!$U$2,Transfer!CF227,Transfer!CS227,Transfer!DF227,Transfer!DS227,Transfer!EF227)</f>
        <v>-9999</v>
      </c>
      <c r="AI227" s="1081">
        <f>CHOOSE(Tables!$U$2,Transfer!CG227,Transfer!CT227,Transfer!DG227,Transfer!DT227,Transfer!EG227)</f>
        <v>-9999</v>
      </c>
      <c r="AJ227" s="1081">
        <f>CHOOSE(Tables!$U$2,Transfer!CH227,Transfer!CU227,Transfer!DH227,Transfer!DU227,Transfer!EH227)</f>
        <v>-9999</v>
      </c>
      <c r="AK227" s="1081">
        <f>CHOOSE(Tables!$U$2,Transfer!CI227,Transfer!CV227,Transfer!DI227,Transfer!DV227,Transfer!EI227)</f>
        <v>-9999</v>
      </c>
      <c r="AL227" s="1081">
        <f>CHOOSE(Tables!$U$2,Transfer!CJ227,Transfer!CW227,Transfer!DJ227,Transfer!DW227,Transfer!EJ227)</f>
        <v>-9999</v>
      </c>
      <c r="AM227" s="1081">
        <f>CHOOSE(Tables!$U$2,Transfer!CK227,Transfer!CX227,Transfer!DK227,Transfer!DX227,Transfer!EK227)</f>
        <v>-9999</v>
      </c>
      <c r="AN227" s="1081">
        <f>CHOOSE(Tables!$U$2,Transfer!CL227,Transfer!CY227,Transfer!DL227,Transfer!DY227,Transfer!EL227)</f>
        <v>-9999</v>
      </c>
      <c r="AO227" s="1081">
        <f>CHOOSE(Tables!$U$2,Transfer!CM227,Transfer!CZ227,Transfer!DM227,Transfer!DZ227,Transfer!EM227)</f>
        <v>-9999</v>
      </c>
      <c r="AR227" s="22">
        <v>127</v>
      </c>
      <c r="AS227" s="1" t="s">
        <v>2594</v>
      </c>
      <c r="AT227" s="24">
        <f t="shared" ca="1" si="22"/>
        <v>0</v>
      </c>
      <c r="AU227" s="24">
        <f t="shared" ca="1" si="23"/>
        <v>0</v>
      </c>
      <c r="AV227" s="24">
        <f t="shared" ca="1" si="24"/>
        <v>0</v>
      </c>
      <c r="AW227" s="24">
        <f t="shared" ca="1" si="25"/>
        <v>0</v>
      </c>
      <c r="AX227" s="24">
        <f t="shared" ca="1" si="26"/>
        <v>0</v>
      </c>
      <c r="AY227" s="25">
        <f t="shared" si="27"/>
        <v>0</v>
      </c>
      <c r="AZ227" s="25">
        <f t="shared" si="28"/>
        <v>0</v>
      </c>
      <c r="BA227" s="25">
        <f t="shared" si="29"/>
        <v>0</v>
      </c>
      <c r="BB227" s="25">
        <f t="shared" si="30"/>
        <v>0</v>
      </c>
      <c r="BC227" s="25">
        <f t="shared" si="21"/>
        <v>0</v>
      </c>
      <c r="BD227" s="25">
        <f t="shared" si="21"/>
        <v>0</v>
      </c>
      <c r="BE227" s="25">
        <f t="shared" si="21"/>
        <v>0</v>
      </c>
      <c r="BF227" s="25">
        <f t="shared" si="21"/>
        <v>0</v>
      </c>
      <c r="CA227" s="16">
        <v>5.2461000000000002</v>
      </c>
      <c r="CB227" s="16">
        <v>4.6873000000000005</v>
      </c>
      <c r="CC227" s="16">
        <v>4.3071999999999999</v>
      </c>
      <c r="CD227" s="16">
        <v>3.8738627361122964</v>
      </c>
      <c r="CE227" s="16">
        <v>3.8482905818873321</v>
      </c>
      <c r="CF227" s="16">
        <v>-9999</v>
      </c>
      <c r="CG227" s="16">
        <v>-9999</v>
      </c>
      <c r="CH227" s="16">
        <v>-9999</v>
      </c>
      <c r="CI227" s="16">
        <v>-9999</v>
      </c>
      <c r="CJ227" s="16">
        <v>-9999</v>
      </c>
      <c r="CK227" s="16">
        <v>-9999</v>
      </c>
      <c r="CL227" s="16">
        <v>-9999</v>
      </c>
      <c r="CM227" s="16">
        <v>-9999</v>
      </c>
      <c r="CN227" s="16">
        <v>5.1733000000000002</v>
      </c>
      <c r="CO227" s="16">
        <v>4.5671999999999997</v>
      </c>
      <c r="CP227" s="16">
        <v>3.85250940992707</v>
      </c>
      <c r="CQ227" s="16">
        <v>3.4709851485020162</v>
      </c>
      <c r="CR227" s="16">
        <v>3.4463320152533048</v>
      </c>
      <c r="CS227" s="16">
        <v>-9999</v>
      </c>
      <c r="CT227" s="16">
        <v>-9999</v>
      </c>
      <c r="CU227" s="16">
        <v>-9999</v>
      </c>
      <c r="CV227" s="16">
        <v>-9999</v>
      </c>
      <c r="CW227" s="16">
        <v>-9999</v>
      </c>
      <c r="CX227" s="16">
        <v>-9999</v>
      </c>
      <c r="CY227" s="16">
        <v>-9999</v>
      </c>
      <c r="CZ227" s="16">
        <v>-9999</v>
      </c>
      <c r="DA227" s="16">
        <v>5.2461000000000002</v>
      </c>
      <c r="DB227" s="16">
        <v>4.6873000000000005</v>
      </c>
      <c r="DC227" s="16">
        <v>4.3071999999999999</v>
      </c>
      <c r="DD227" s="16">
        <v>3.8738627361122964</v>
      </c>
      <c r="DE227" s="16">
        <v>3.8482905818873321</v>
      </c>
      <c r="DF227" s="16">
        <v>-9999</v>
      </c>
      <c r="DG227" s="16">
        <v>-9999</v>
      </c>
      <c r="DH227" s="16">
        <v>-9999</v>
      </c>
      <c r="DI227" s="16">
        <v>-9999</v>
      </c>
      <c r="DJ227" s="16">
        <v>-9999</v>
      </c>
      <c r="DK227" s="16">
        <v>-9999</v>
      </c>
      <c r="DL227" s="16">
        <v>-9999</v>
      </c>
      <c r="DM227" s="16">
        <v>-9999</v>
      </c>
      <c r="DN227" s="16">
        <v>5.2461000000000002</v>
      </c>
      <c r="DO227" s="16">
        <v>4.6873000000000005</v>
      </c>
      <c r="DP227" s="16">
        <v>4.3071999999999999</v>
      </c>
      <c r="DQ227" s="16">
        <v>3.8738627361122964</v>
      </c>
      <c r="DR227" s="16">
        <v>3.8482905818873321</v>
      </c>
      <c r="DS227" s="16">
        <v>-9999</v>
      </c>
      <c r="DT227" s="16">
        <v>-9999</v>
      </c>
      <c r="DU227" s="16">
        <v>-9999</v>
      </c>
      <c r="DV227" s="16">
        <v>-9999</v>
      </c>
      <c r="DW227" s="16">
        <v>-9999</v>
      </c>
      <c r="DX227" s="16">
        <v>-9999</v>
      </c>
      <c r="DY227" s="16">
        <v>-9999</v>
      </c>
      <c r="DZ227" s="16">
        <v>-9999</v>
      </c>
      <c r="EA227" s="2106">
        <v>5.2461000000000002</v>
      </c>
      <c r="EB227" s="2106">
        <v>4.6873000000000005</v>
      </c>
      <c r="EC227" s="2106">
        <v>4.3071999999999999</v>
      </c>
      <c r="ED227" s="2106">
        <v>3.8738627361122964</v>
      </c>
      <c r="EE227" s="2106">
        <v>3.8482905818873321</v>
      </c>
      <c r="EF227" s="2107">
        <v>-9999</v>
      </c>
      <c r="EG227" s="2107">
        <v>-9999</v>
      </c>
      <c r="EH227" s="2107">
        <v>-9999</v>
      </c>
      <c r="EI227" s="2107">
        <v>-9999</v>
      </c>
      <c r="EJ227" s="2107">
        <v>-9999</v>
      </c>
      <c r="EK227" s="2107">
        <v>-9999</v>
      </c>
      <c r="EL227" s="2107">
        <v>-9999</v>
      </c>
      <c r="EM227" s="2107">
        <v>-9999</v>
      </c>
    </row>
    <row r="228" spans="1:143">
      <c r="A228" s="22">
        <v>128</v>
      </c>
      <c r="B228" s="29" t="s">
        <v>1568</v>
      </c>
      <c r="C228" s="24">
        <f ca="1">OFFSET(Sector1!F936,0,Last_forecast_year - 3-InputY!$G$3)</f>
        <v>435.31235900000001</v>
      </c>
      <c r="D228" s="24">
        <f ca="1">OFFSET(Sector1!G936,0,Last_forecast_year - 3-InputY!$G$3)</f>
        <v>448.16092609999998</v>
      </c>
      <c r="E228" s="24">
        <f ca="1">OFFSET(Sector1!H936,0,Last_forecast_year - 3-InputY!$G$3)</f>
        <v>452.17036289999999</v>
      </c>
      <c r="F228" s="24">
        <f ca="1">OFFSET(Sector1!I936,0,Last_forecast_year - 3-InputY!$G$3)</f>
        <v>460.39291977571952</v>
      </c>
      <c r="G228" s="24">
        <f ca="1">OFFSET(Sector1!J936,0,Last_forecast_year - 3-InputY!$G$3)</f>
        <v>469.91404459935643</v>
      </c>
      <c r="H228" s="25">
        <v>-9999</v>
      </c>
      <c r="I228" s="25">
        <v>-9999</v>
      </c>
      <c r="J228" s="25">
        <v>-9999</v>
      </c>
      <c r="K228" s="25">
        <v>-9999</v>
      </c>
      <c r="L228" s="25">
        <v>-9999</v>
      </c>
      <c r="M228" s="25">
        <v>-9999</v>
      </c>
      <c r="N228" s="25">
        <v>-9999</v>
      </c>
      <c r="O228" s="25">
        <v>-9999</v>
      </c>
      <c r="P228"/>
      <c r="Q228"/>
      <c r="AA228" s="22">
        <v>128</v>
      </c>
      <c r="AB228" s="1081" t="str">
        <f t="shared" si="8"/>
        <v>GG GEN. GVMNT CONSOLIDATED GROSS DEBT</v>
      </c>
      <c r="AC228" s="1081">
        <f>CHOOSE(Tables!$U$2,Transfer!CA228,Transfer!CN228,Transfer!DA228,Transfer!DN228,Transfer!EA228)</f>
        <v>435.31235900000001</v>
      </c>
      <c r="AD228" s="1081">
        <f>CHOOSE(Tables!$U$2,Transfer!CB228,Transfer!CO228,Transfer!DB228,Transfer!DO228,Transfer!EB228)</f>
        <v>448.16092609999998</v>
      </c>
      <c r="AE228" s="1081">
        <f>CHOOSE(Tables!$U$2,Transfer!CC228,Transfer!CP228,Transfer!DC228,Transfer!DP228,Transfer!EC228)</f>
        <v>452.17036289999999</v>
      </c>
      <c r="AF228" s="1081">
        <f>CHOOSE(Tables!$U$2,Transfer!CD228,Transfer!CQ228,Transfer!DD228,Transfer!DQ228,Transfer!ED228)</f>
        <v>460.46325628051369</v>
      </c>
      <c r="AG228" s="1081">
        <f>CHOOSE(Tables!$U$2,Transfer!CE228,Transfer!CR228,Transfer!DE228,Transfer!DR228,Transfer!EE228)</f>
        <v>470.30800075943262</v>
      </c>
      <c r="AH228" s="1081">
        <f>CHOOSE(Tables!$U$2,Transfer!CF228,Transfer!CS228,Transfer!DF228,Transfer!DS228,Transfer!EF228)</f>
        <v>-9999</v>
      </c>
      <c r="AI228" s="1081">
        <f>CHOOSE(Tables!$U$2,Transfer!CG228,Transfer!CT228,Transfer!DG228,Transfer!DT228,Transfer!EG228)</f>
        <v>-9999</v>
      </c>
      <c r="AJ228" s="1081">
        <f>CHOOSE(Tables!$U$2,Transfer!CH228,Transfer!CU228,Transfer!DH228,Transfer!DU228,Transfer!EH228)</f>
        <v>-9999</v>
      </c>
      <c r="AK228" s="1081">
        <f>CHOOSE(Tables!$U$2,Transfer!CI228,Transfer!CV228,Transfer!DI228,Transfer!DV228,Transfer!EI228)</f>
        <v>-9999</v>
      </c>
      <c r="AL228" s="1081">
        <f>CHOOSE(Tables!$U$2,Transfer!CJ228,Transfer!CW228,Transfer!DJ228,Transfer!DW228,Transfer!EJ228)</f>
        <v>-9999</v>
      </c>
      <c r="AM228" s="1081">
        <f>CHOOSE(Tables!$U$2,Transfer!CK228,Transfer!CX228,Transfer!DK228,Transfer!DX228,Transfer!EK228)</f>
        <v>-9999</v>
      </c>
      <c r="AN228" s="1081">
        <f>CHOOSE(Tables!$U$2,Transfer!CL228,Transfer!CY228,Transfer!DL228,Transfer!DY228,Transfer!EL228)</f>
        <v>-9999</v>
      </c>
      <c r="AO228" s="1081">
        <f>CHOOSE(Tables!$U$2,Transfer!CM228,Transfer!CZ228,Transfer!DM228,Transfer!DZ228,Transfer!EM228)</f>
        <v>-9999</v>
      </c>
      <c r="AR228" s="22">
        <v>128</v>
      </c>
      <c r="AS228" s="29" t="s">
        <v>1568</v>
      </c>
      <c r="AT228" s="24">
        <f t="shared" ca="1" si="22"/>
        <v>0</v>
      </c>
      <c r="AU228" s="24">
        <f t="shared" ca="1" si="23"/>
        <v>0</v>
      </c>
      <c r="AV228" s="24">
        <f t="shared" ca="1" si="24"/>
        <v>0</v>
      </c>
      <c r="AW228" s="24">
        <f t="shared" ca="1" si="25"/>
        <v>-7.0336504794170196E-2</v>
      </c>
      <c r="AX228" s="24">
        <f t="shared" ca="1" si="26"/>
        <v>-0.39395616007618628</v>
      </c>
      <c r="AY228" s="25">
        <f t="shared" si="27"/>
        <v>0</v>
      </c>
      <c r="AZ228" s="25">
        <f t="shared" si="28"/>
        <v>0</v>
      </c>
      <c r="BA228" s="25">
        <f t="shared" si="29"/>
        <v>0</v>
      </c>
      <c r="BB228" s="25">
        <f t="shared" si="30"/>
        <v>0</v>
      </c>
      <c r="BC228" s="25">
        <f t="shared" si="21"/>
        <v>0</v>
      </c>
      <c r="BD228" s="25">
        <f t="shared" si="21"/>
        <v>0</v>
      </c>
      <c r="BE228" s="25">
        <f t="shared" si="21"/>
        <v>0</v>
      </c>
      <c r="BF228" s="25">
        <f t="shared" si="21"/>
        <v>0</v>
      </c>
      <c r="CA228" s="16">
        <v>435.31235900000001</v>
      </c>
      <c r="CB228" s="16">
        <v>448.16092609999998</v>
      </c>
      <c r="CC228" s="16">
        <v>452.17036289999999</v>
      </c>
      <c r="CD228" s="16">
        <v>460.46325628051369</v>
      </c>
      <c r="CE228" s="16">
        <v>470.30800075943262</v>
      </c>
      <c r="CF228" s="16">
        <v>-9999</v>
      </c>
      <c r="CG228" s="16">
        <v>-9999</v>
      </c>
      <c r="CH228" s="16">
        <v>-9999</v>
      </c>
      <c r="CI228" s="16">
        <v>-9999</v>
      </c>
      <c r="CJ228" s="16">
        <v>-9999</v>
      </c>
      <c r="CK228" s="16">
        <v>-9999</v>
      </c>
      <c r="CL228" s="16">
        <v>-9999</v>
      </c>
      <c r="CM228" s="16">
        <v>-9999</v>
      </c>
      <c r="CN228" s="16">
        <v>434.89782929999996</v>
      </c>
      <c r="CO228" s="16">
        <v>447.21600000000001</v>
      </c>
      <c r="CP228" s="16">
        <v>453.0619019498946</v>
      </c>
      <c r="CQ228" s="16">
        <v>461.86718043505391</v>
      </c>
      <c r="CR228" s="16">
        <v>470.38492804284829</v>
      </c>
      <c r="CS228" s="16">
        <v>-9999</v>
      </c>
      <c r="CT228" s="16">
        <v>-9999</v>
      </c>
      <c r="CU228" s="16">
        <v>-9999</v>
      </c>
      <c r="CV228" s="16">
        <v>-9999</v>
      </c>
      <c r="CW228" s="16">
        <v>-9999</v>
      </c>
      <c r="CX228" s="16">
        <v>-9999</v>
      </c>
      <c r="CY228" s="16">
        <v>-9999</v>
      </c>
      <c r="CZ228" s="16">
        <v>-9999</v>
      </c>
      <c r="DA228" s="16">
        <v>435.31235900000001</v>
      </c>
      <c r="DB228" s="16">
        <v>448.16092609999998</v>
      </c>
      <c r="DC228" s="16">
        <v>452.17036289999999</v>
      </c>
      <c r="DD228" s="16">
        <v>460.46325628051369</v>
      </c>
      <c r="DE228" s="16">
        <v>470.30800075943262</v>
      </c>
      <c r="DF228" s="16">
        <v>-9999</v>
      </c>
      <c r="DG228" s="16">
        <v>-9999</v>
      </c>
      <c r="DH228" s="16">
        <v>-9999</v>
      </c>
      <c r="DI228" s="16">
        <v>-9999</v>
      </c>
      <c r="DJ228" s="16">
        <v>-9999</v>
      </c>
      <c r="DK228" s="16">
        <v>-9999</v>
      </c>
      <c r="DL228" s="16">
        <v>-9999</v>
      </c>
      <c r="DM228" s="16">
        <v>-9999</v>
      </c>
      <c r="DN228" s="16">
        <v>435.31235900000001</v>
      </c>
      <c r="DO228" s="16">
        <v>448.16092609999998</v>
      </c>
      <c r="DP228" s="16">
        <v>452.17036289999999</v>
      </c>
      <c r="DQ228" s="16">
        <v>460.46325628051369</v>
      </c>
      <c r="DR228" s="16">
        <v>470.30800075943262</v>
      </c>
      <c r="DS228" s="16">
        <v>-9999</v>
      </c>
      <c r="DT228" s="16">
        <v>-9999</v>
      </c>
      <c r="DU228" s="16">
        <v>-9999</v>
      </c>
      <c r="DV228" s="16">
        <v>-9999</v>
      </c>
      <c r="DW228" s="16">
        <v>-9999</v>
      </c>
      <c r="DX228" s="16">
        <v>-9999</v>
      </c>
      <c r="DY228" s="16">
        <v>-9999</v>
      </c>
      <c r="DZ228" s="16">
        <v>-9999</v>
      </c>
      <c r="EA228" s="2106">
        <v>435.31235900000001</v>
      </c>
      <c r="EB228" s="2106">
        <v>448.16092609999998</v>
      </c>
      <c r="EC228" s="2106">
        <v>452.17036289999999</v>
      </c>
      <c r="ED228" s="2106">
        <v>460.39291977571952</v>
      </c>
      <c r="EE228" s="2106">
        <v>469.91404459935643</v>
      </c>
      <c r="EF228" s="2107">
        <v>-9999</v>
      </c>
      <c r="EG228" s="2107">
        <v>-9999</v>
      </c>
      <c r="EH228" s="2107">
        <v>-9999</v>
      </c>
      <c r="EI228" s="2107">
        <v>-9999</v>
      </c>
      <c r="EJ228" s="2107">
        <v>-9999</v>
      </c>
      <c r="EK228" s="2107">
        <v>-9999</v>
      </c>
      <c r="EL228" s="2107">
        <v>-9999</v>
      </c>
      <c r="EM228" s="2107">
        <v>-9999</v>
      </c>
    </row>
    <row r="229" spans="1:143">
      <c r="A229" s="22">
        <v>129</v>
      </c>
      <c r="B229" s="1" t="s">
        <v>233</v>
      </c>
      <c r="C229" s="24">
        <f ca="1">OFFSET(Sector1!F1003,0,Last_forecast_year - 3-InputY!$G$3)</f>
        <v>220.92260000000002</v>
      </c>
      <c r="D229" s="24">
        <f ca="1">OFFSET(Sector1!G1003,0,Last_forecast_year - 3-InputY!$G$3)</f>
        <v>225.24799999999999</v>
      </c>
      <c r="E229" s="24">
        <f ca="1">OFFSET(Sector1!H1003,0,Last_forecast_year - 3-InputY!$G$3)</f>
        <v>228.9761</v>
      </c>
      <c r="F229" s="24">
        <f ca="1">OFFSET(Sector1!I1003,0,Last_forecast_year - 3-InputY!$G$3)</f>
        <v>234.62924064118494</v>
      </c>
      <c r="G229" s="24">
        <f ca="1">OFFSET(Sector1!J1003,0,Last_forecast_year - 3-InputY!$G$3)</f>
        <v>242.75679352518011</v>
      </c>
      <c r="H229" s="25">
        <v>-9999</v>
      </c>
      <c r="I229" s="25">
        <v>-9999</v>
      </c>
      <c r="J229" s="25">
        <v>-9999</v>
      </c>
      <c r="K229" s="25">
        <v>-9999</v>
      </c>
      <c r="L229" s="25">
        <v>-9999</v>
      </c>
      <c r="M229" s="25">
        <v>-9999</v>
      </c>
      <c r="N229" s="25">
        <v>-9999</v>
      </c>
      <c r="O229" s="25">
        <v>-9999</v>
      </c>
      <c r="P229"/>
      <c r="Q229"/>
      <c r="AA229" s="22">
        <v>129</v>
      </c>
      <c r="AB229" s="1081" t="str">
        <f t="shared" si="8"/>
        <v>GG TOTAL GOVERNMENT EXPENDITURE</v>
      </c>
      <c r="AC229" s="1081">
        <f>CHOOSE(Tables!$U$2,Transfer!CA229,Transfer!CN229,Transfer!DA229,Transfer!DN229,Transfer!EA229)</f>
        <v>220.92260000000002</v>
      </c>
      <c r="AD229" s="1081">
        <f>CHOOSE(Tables!$U$2,Transfer!CB229,Transfer!CO229,Transfer!DB229,Transfer!DO229,Transfer!EB229)</f>
        <v>225.24799999999999</v>
      </c>
      <c r="AE229" s="1081">
        <f>CHOOSE(Tables!$U$2,Transfer!CC229,Transfer!CP229,Transfer!DC229,Transfer!DP229,Transfer!EC229)</f>
        <v>228.9761</v>
      </c>
      <c r="AF229" s="1081">
        <f>CHOOSE(Tables!$U$2,Transfer!CD229,Transfer!CQ229,Transfer!DD229,Transfer!DQ229,Transfer!ED229)</f>
        <v>234.32836704118495</v>
      </c>
      <c r="AG229" s="1081">
        <f>CHOOSE(Tables!$U$2,Transfer!CE229,Transfer!CR229,Transfer!DE229,Transfer!DR229,Transfer!EE229)</f>
        <v>242.44331332134013</v>
      </c>
      <c r="AH229" s="1081">
        <f>CHOOSE(Tables!$U$2,Transfer!CF229,Transfer!CS229,Transfer!DF229,Transfer!DS229,Transfer!EF229)</f>
        <v>-9999</v>
      </c>
      <c r="AI229" s="1081">
        <f>CHOOSE(Tables!$U$2,Transfer!CG229,Transfer!CT229,Transfer!DG229,Transfer!DT229,Transfer!EG229)</f>
        <v>-9999</v>
      </c>
      <c r="AJ229" s="1081">
        <f>CHOOSE(Tables!$U$2,Transfer!CH229,Transfer!CU229,Transfer!DH229,Transfer!DU229,Transfer!EH229)</f>
        <v>-9999</v>
      </c>
      <c r="AK229" s="1081">
        <f>CHOOSE(Tables!$U$2,Transfer!CI229,Transfer!CV229,Transfer!DI229,Transfer!DV229,Transfer!EI229)</f>
        <v>-9999</v>
      </c>
      <c r="AL229" s="1081">
        <f>CHOOSE(Tables!$U$2,Transfer!CJ229,Transfer!CW229,Transfer!DJ229,Transfer!DW229,Transfer!EJ229)</f>
        <v>-9999</v>
      </c>
      <c r="AM229" s="1081">
        <f>CHOOSE(Tables!$U$2,Transfer!CK229,Transfer!CX229,Transfer!DK229,Transfer!DX229,Transfer!EK229)</f>
        <v>-9999</v>
      </c>
      <c r="AN229" s="1081">
        <f>CHOOSE(Tables!$U$2,Transfer!CL229,Transfer!CY229,Transfer!DL229,Transfer!DY229,Transfer!EL229)</f>
        <v>-9999</v>
      </c>
      <c r="AO229" s="1081">
        <f>CHOOSE(Tables!$U$2,Transfer!CM229,Transfer!CZ229,Transfer!DM229,Transfer!DZ229,Transfer!EM229)</f>
        <v>-9999</v>
      </c>
      <c r="AR229" s="22">
        <v>129</v>
      </c>
      <c r="AS229" s="1" t="s">
        <v>233</v>
      </c>
      <c r="AT229" s="24">
        <f t="shared" ca="1" si="22"/>
        <v>0</v>
      </c>
      <c r="AU229" s="24">
        <f t="shared" ca="1" si="23"/>
        <v>0</v>
      </c>
      <c r="AV229" s="24">
        <f t="shared" ca="1" si="24"/>
        <v>0</v>
      </c>
      <c r="AW229" s="24">
        <f t="shared" ca="1" si="25"/>
        <v>0.30087359999998853</v>
      </c>
      <c r="AX229" s="24">
        <f t="shared" ca="1" si="26"/>
        <v>0.31348020383998687</v>
      </c>
      <c r="AY229" s="25">
        <f t="shared" si="27"/>
        <v>0</v>
      </c>
      <c r="AZ229" s="25">
        <f t="shared" si="28"/>
        <v>0</v>
      </c>
      <c r="BA229" s="25">
        <f t="shared" si="29"/>
        <v>0</v>
      </c>
      <c r="BB229" s="25">
        <f t="shared" si="30"/>
        <v>0</v>
      </c>
      <c r="BC229" s="25">
        <f t="shared" si="21"/>
        <v>0</v>
      </c>
      <c r="BD229" s="25">
        <f t="shared" si="21"/>
        <v>0</v>
      </c>
      <c r="BE229" s="25">
        <f t="shared" si="21"/>
        <v>0</v>
      </c>
      <c r="BF229" s="25">
        <f t="shared" si="21"/>
        <v>0</v>
      </c>
      <c r="CA229" s="16">
        <v>220.92260000000002</v>
      </c>
      <c r="CB229" s="16">
        <v>225.24799999999999</v>
      </c>
      <c r="CC229" s="16">
        <v>228.9761</v>
      </c>
      <c r="CD229" s="16">
        <v>234.32836704118495</v>
      </c>
      <c r="CE229" s="16">
        <v>242.44331332134013</v>
      </c>
      <c r="CF229" s="16">
        <v>-9999</v>
      </c>
      <c r="CG229" s="16">
        <v>-9999</v>
      </c>
      <c r="CH229" s="16">
        <v>-9999</v>
      </c>
      <c r="CI229" s="16">
        <v>-9999</v>
      </c>
      <c r="CJ229" s="16">
        <v>-9999</v>
      </c>
      <c r="CK229" s="16">
        <v>-9999</v>
      </c>
      <c r="CL229" s="16">
        <v>-9999</v>
      </c>
      <c r="CM229" s="16">
        <v>-9999</v>
      </c>
      <c r="CN229" s="16">
        <v>220.8586</v>
      </c>
      <c r="CO229" s="16">
        <v>225.1011</v>
      </c>
      <c r="CP229" s="16">
        <v>229.26551134631237</v>
      </c>
      <c r="CQ229" s="16">
        <v>235.51504240729201</v>
      </c>
      <c r="CR229" s="16">
        <v>242.37139441973278</v>
      </c>
      <c r="CS229" s="16">
        <v>-9999</v>
      </c>
      <c r="CT229" s="16">
        <v>-9999</v>
      </c>
      <c r="CU229" s="16">
        <v>-9999</v>
      </c>
      <c r="CV229" s="16">
        <v>-9999</v>
      </c>
      <c r="CW229" s="16">
        <v>-9999</v>
      </c>
      <c r="CX229" s="16">
        <v>-9999</v>
      </c>
      <c r="CY229" s="16">
        <v>-9999</v>
      </c>
      <c r="CZ229" s="16">
        <v>-9999</v>
      </c>
      <c r="DA229" s="16">
        <v>220.92260000000002</v>
      </c>
      <c r="DB229" s="16">
        <v>225.24799999999999</v>
      </c>
      <c r="DC229" s="16">
        <v>228.9761</v>
      </c>
      <c r="DD229" s="16">
        <v>234.32836704118495</v>
      </c>
      <c r="DE229" s="16">
        <v>242.44331332134013</v>
      </c>
      <c r="DF229" s="16">
        <v>-9999</v>
      </c>
      <c r="DG229" s="16">
        <v>-9999</v>
      </c>
      <c r="DH229" s="16">
        <v>-9999</v>
      </c>
      <c r="DI229" s="16">
        <v>-9999</v>
      </c>
      <c r="DJ229" s="16">
        <v>-9999</v>
      </c>
      <c r="DK229" s="16">
        <v>-9999</v>
      </c>
      <c r="DL229" s="16">
        <v>-9999</v>
      </c>
      <c r="DM229" s="16">
        <v>-9999</v>
      </c>
      <c r="DN229" s="16">
        <v>220.92260000000002</v>
      </c>
      <c r="DO229" s="16">
        <v>225.24799999999999</v>
      </c>
      <c r="DP229" s="16">
        <v>228.9761</v>
      </c>
      <c r="DQ229" s="16">
        <v>234.32836704118495</v>
      </c>
      <c r="DR229" s="16">
        <v>242.44331332134013</v>
      </c>
      <c r="DS229" s="16">
        <v>-9999</v>
      </c>
      <c r="DT229" s="16">
        <v>-9999</v>
      </c>
      <c r="DU229" s="16">
        <v>-9999</v>
      </c>
      <c r="DV229" s="16">
        <v>-9999</v>
      </c>
      <c r="DW229" s="16">
        <v>-9999</v>
      </c>
      <c r="DX229" s="16">
        <v>-9999</v>
      </c>
      <c r="DY229" s="16">
        <v>-9999</v>
      </c>
      <c r="DZ229" s="16">
        <v>-9999</v>
      </c>
      <c r="EA229" s="2106">
        <v>220.92260000000002</v>
      </c>
      <c r="EB229" s="2106">
        <v>225.24799999999999</v>
      </c>
      <c r="EC229" s="2106">
        <v>228.9761</v>
      </c>
      <c r="ED229" s="2106">
        <v>234.62924064118494</v>
      </c>
      <c r="EE229" s="2106">
        <v>242.75679352518011</v>
      </c>
      <c r="EF229" s="2107">
        <v>-9999</v>
      </c>
      <c r="EG229" s="2107">
        <v>-9999</v>
      </c>
      <c r="EH229" s="2107">
        <v>-9999</v>
      </c>
      <c r="EI229" s="2107">
        <v>-9999</v>
      </c>
      <c r="EJ229" s="2107">
        <v>-9999</v>
      </c>
      <c r="EK229" s="2107">
        <v>-9999</v>
      </c>
      <c r="EL229" s="2107">
        <v>-9999</v>
      </c>
      <c r="EM229" s="2107">
        <v>-9999</v>
      </c>
    </row>
    <row r="230" spans="1:143">
      <c r="A230" s="22">
        <v>130</v>
      </c>
      <c r="B230" s="1" t="s">
        <v>2000</v>
      </c>
      <c r="C230" s="24">
        <f ca="1">OFFSET(Sector1!F788,0,Last_forecast_year - 3-InputY!$G$3)</f>
        <v>3.6375000000000002</v>
      </c>
      <c r="D230" s="24">
        <f ca="1">OFFSET(Sector1!G788,0,Last_forecast_year - 3-InputY!$G$3)</f>
        <v>3.3464999999999998</v>
      </c>
      <c r="E230" s="24">
        <f ca="1">OFFSET(Sector1!H788,0,Last_forecast_year - 3-InputY!$G$3)</f>
        <v>3.6185</v>
      </c>
      <c r="F230" s="24">
        <f ca="1">OFFSET(Sector1!I788,0,Last_forecast_year - 3-InputY!$G$3)</f>
        <v>3.8460691613307296</v>
      </c>
      <c r="G230" s="24">
        <f ca="1">OFFSET(Sector1!J788,0,Last_forecast_year - 3-InputY!$G$3)</f>
        <v>4.1226336221253046</v>
      </c>
      <c r="H230" s="25">
        <v>-9999</v>
      </c>
      <c r="I230" s="25">
        <v>-9999</v>
      </c>
      <c r="J230" s="25">
        <v>-9999</v>
      </c>
      <c r="K230" s="25">
        <v>-9999</v>
      </c>
      <c r="L230" s="25">
        <v>-9999</v>
      </c>
      <c r="M230" s="25">
        <v>-9999</v>
      </c>
      <c r="N230" s="25">
        <v>-9999</v>
      </c>
      <c r="O230" s="25">
        <v>-9999</v>
      </c>
      <c r="P230"/>
      <c r="Q230"/>
      <c r="AA230" s="22">
        <v>130</v>
      </c>
      <c r="AB230" s="1081" t="str">
        <f t="shared" ref="AB230:AB280" si="31">+B230</f>
        <v>GG CAPITAL TAXES</v>
      </c>
      <c r="AC230" s="1081">
        <f>CHOOSE(Tables!$U$2,Transfer!CA230,Transfer!CN230,Transfer!DA230,Transfer!DN230,Transfer!EA230)</f>
        <v>3.6375000000000002</v>
      </c>
      <c r="AD230" s="1081">
        <f>CHOOSE(Tables!$U$2,Transfer!CB230,Transfer!CO230,Transfer!DB230,Transfer!DO230,Transfer!EB230)</f>
        <v>3.3464999999999998</v>
      </c>
      <c r="AE230" s="1081">
        <f>CHOOSE(Tables!$U$2,Transfer!CC230,Transfer!CP230,Transfer!DC230,Transfer!DP230,Transfer!EC230)</f>
        <v>3.6185</v>
      </c>
      <c r="AF230" s="1081">
        <f>CHOOSE(Tables!$U$2,Transfer!CD230,Transfer!CQ230,Transfer!DD230,Transfer!DQ230,Transfer!ED230)</f>
        <v>3.8460691613307296</v>
      </c>
      <c r="AG230" s="1081">
        <f>CHOOSE(Tables!$U$2,Transfer!CE230,Transfer!CR230,Transfer!DE230,Transfer!DR230,Transfer!EE230)</f>
        <v>4.1226336221253046</v>
      </c>
      <c r="AH230" s="1081">
        <f>CHOOSE(Tables!$U$2,Transfer!CF230,Transfer!CS230,Transfer!DF230,Transfer!DS230,Transfer!EF230)</f>
        <v>-9999</v>
      </c>
      <c r="AI230" s="1081">
        <f>CHOOSE(Tables!$U$2,Transfer!CG230,Transfer!CT230,Transfer!DG230,Transfer!DT230,Transfer!EG230)</f>
        <v>-9999</v>
      </c>
      <c r="AJ230" s="1081">
        <f>CHOOSE(Tables!$U$2,Transfer!CH230,Transfer!CU230,Transfer!DH230,Transfer!DU230,Transfer!EH230)</f>
        <v>-9999</v>
      </c>
      <c r="AK230" s="1081">
        <f>CHOOSE(Tables!$U$2,Transfer!CI230,Transfer!CV230,Transfer!DI230,Transfer!DV230,Transfer!EI230)</f>
        <v>-9999</v>
      </c>
      <c r="AL230" s="1081">
        <f>CHOOSE(Tables!$U$2,Transfer!CJ230,Transfer!CW230,Transfer!DJ230,Transfer!DW230,Transfer!EJ230)</f>
        <v>-9999</v>
      </c>
      <c r="AM230" s="1081">
        <f>CHOOSE(Tables!$U$2,Transfer!CK230,Transfer!CX230,Transfer!DK230,Transfer!DX230,Transfer!EK230)</f>
        <v>-9999</v>
      </c>
      <c r="AN230" s="1081">
        <f>CHOOSE(Tables!$U$2,Transfer!CL230,Transfer!CY230,Transfer!DL230,Transfer!DY230,Transfer!EL230)</f>
        <v>-9999</v>
      </c>
      <c r="AO230" s="1081">
        <f>CHOOSE(Tables!$U$2,Transfer!CM230,Transfer!CZ230,Transfer!DM230,Transfer!DZ230,Transfer!EM230)</f>
        <v>-9999</v>
      </c>
      <c r="AR230" s="22">
        <v>130</v>
      </c>
      <c r="AS230" s="1" t="s">
        <v>2000</v>
      </c>
      <c r="AT230" s="24">
        <f t="shared" ca="1" si="22"/>
        <v>0</v>
      </c>
      <c r="AU230" s="24">
        <f t="shared" ca="1" si="23"/>
        <v>0</v>
      </c>
      <c r="AV230" s="24">
        <f t="shared" ca="1" si="24"/>
        <v>0</v>
      </c>
      <c r="AW230" s="24">
        <f t="shared" ca="1" si="25"/>
        <v>0</v>
      </c>
      <c r="AX230" s="24">
        <f t="shared" ca="1" si="26"/>
        <v>0</v>
      </c>
      <c r="AY230" s="25">
        <f t="shared" si="27"/>
        <v>0</v>
      </c>
      <c r="AZ230" s="25">
        <f t="shared" si="28"/>
        <v>0</v>
      </c>
      <c r="BA230" s="25">
        <f t="shared" si="29"/>
        <v>0</v>
      </c>
      <c r="BB230" s="25">
        <f t="shared" si="30"/>
        <v>0</v>
      </c>
      <c r="BC230" s="25">
        <f t="shared" si="21"/>
        <v>0</v>
      </c>
      <c r="BD230" s="25">
        <f t="shared" si="21"/>
        <v>0</v>
      </c>
      <c r="BE230" s="25">
        <f t="shared" si="21"/>
        <v>0</v>
      </c>
      <c r="BF230" s="25">
        <f t="shared" si="21"/>
        <v>0</v>
      </c>
      <c r="CA230" s="16">
        <v>3.6375000000000002</v>
      </c>
      <c r="CB230" s="16">
        <v>3.3464999999999998</v>
      </c>
      <c r="CC230" s="16">
        <v>3.6185</v>
      </c>
      <c r="CD230" s="16">
        <v>3.8460691613307296</v>
      </c>
      <c r="CE230" s="16">
        <v>4.1226336221253046</v>
      </c>
      <c r="CF230" s="16">
        <v>-9999</v>
      </c>
      <c r="CG230" s="16">
        <v>-9999</v>
      </c>
      <c r="CH230" s="16">
        <v>-9999</v>
      </c>
      <c r="CI230" s="16">
        <v>-9999</v>
      </c>
      <c r="CJ230" s="16">
        <v>-9999</v>
      </c>
      <c r="CK230" s="16">
        <v>-9999</v>
      </c>
      <c r="CL230" s="16">
        <v>-9999</v>
      </c>
      <c r="CM230" s="16">
        <v>-9999</v>
      </c>
      <c r="CN230" s="16">
        <v>3.6375000000000002</v>
      </c>
      <c r="CO230" s="16">
        <v>3.3464999999999998</v>
      </c>
      <c r="CP230" s="16">
        <v>3.3217648276252598</v>
      </c>
      <c r="CQ230" s="16">
        <v>3.3085802854283344</v>
      </c>
      <c r="CR230" s="16">
        <v>3.1635107394251087</v>
      </c>
      <c r="CS230" s="16">
        <v>-9999</v>
      </c>
      <c r="CT230" s="16">
        <v>-9999</v>
      </c>
      <c r="CU230" s="16">
        <v>-9999</v>
      </c>
      <c r="CV230" s="16">
        <v>-9999</v>
      </c>
      <c r="CW230" s="16">
        <v>-9999</v>
      </c>
      <c r="CX230" s="16">
        <v>-9999</v>
      </c>
      <c r="CY230" s="16">
        <v>-9999</v>
      </c>
      <c r="CZ230" s="16">
        <v>-9999</v>
      </c>
      <c r="DA230" s="16">
        <v>3.6375000000000002</v>
      </c>
      <c r="DB230" s="16">
        <v>3.3464999999999998</v>
      </c>
      <c r="DC230" s="16">
        <v>3.6185</v>
      </c>
      <c r="DD230" s="16">
        <v>3.8460691613307296</v>
      </c>
      <c r="DE230" s="16">
        <v>4.1226336221253046</v>
      </c>
      <c r="DF230" s="16">
        <v>-9999</v>
      </c>
      <c r="DG230" s="16">
        <v>-9999</v>
      </c>
      <c r="DH230" s="16">
        <v>-9999</v>
      </c>
      <c r="DI230" s="16">
        <v>-9999</v>
      </c>
      <c r="DJ230" s="16">
        <v>-9999</v>
      </c>
      <c r="DK230" s="16">
        <v>-9999</v>
      </c>
      <c r="DL230" s="16">
        <v>-9999</v>
      </c>
      <c r="DM230" s="16">
        <v>-9999</v>
      </c>
      <c r="DN230" s="16">
        <v>3.6375000000000002</v>
      </c>
      <c r="DO230" s="16">
        <v>3.3464999999999998</v>
      </c>
      <c r="DP230" s="16">
        <v>3.6185</v>
      </c>
      <c r="DQ230" s="16">
        <v>3.8460691613307296</v>
      </c>
      <c r="DR230" s="16">
        <v>4.1226336221253046</v>
      </c>
      <c r="DS230" s="16">
        <v>-9999</v>
      </c>
      <c r="DT230" s="16">
        <v>-9999</v>
      </c>
      <c r="DU230" s="16">
        <v>-9999</v>
      </c>
      <c r="DV230" s="16">
        <v>-9999</v>
      </c>
      <c r="DW230" s="16">
        <v>-9999</v>
      </c>
      <c r="DX230" s="16">
        <v>-9999</v>
      </c>
      <c r="DY230" s="16">
        <v>-9999</v>
      </c>
      <c r="DZ230" s="16">
        <v>-9999</v>
      </c>
      <c r="EA230" s="2106">
        <v>3.6375000000000002</v>
      </c>
      <c r="EB230" s="2106">
        <v>3.3464999999999998</v>
      </c>
      <c r="EC230" s="2106">
        <v>3.6185</v>
      </c>
      <c r="ED230" s="2106">
        <v>3.8460691613307296</v>
      </c>
      <c r="EE230" s="2106">
        <v>4.1226336221253046</v>
      </c>
      <c r="EF230" s="2107">
        <v>-9999</v>
      </c>
      <c r="EG230" s="2107">
        <v>-9999</v>
      </c>
      <c r="EH230" s="2107">
        <v>-9999</v>
      </c>
      <c r="EI230" s="2107">
        <v>-9999</v>
      </c>
      <c r="EJ230" s="2107">
        <v>-9999</v>
      </c>
      <c r="EK230" s="2107">
        <v>-9999</v>
      </c>
      <c r="EL230" s="2107">
        <v>-9999</v>
      </c>
      <c r="EM230" s="2107">
        <v>-9999</v>
      </c>
    </row>
    <row r="231" spans="1:143">
      <c r="A231" s="22">
        <v>131</v>
      </c>
      <c r="B231" s="29" t="s">
        <v>2001</v>
      </c>
      <c r="C231" s="24">
        <f ca="1">OFFSET(Sector1!F31,0,Last_forecast_year - 3-InputY!$G$3)</f>
        <v>1.6069</v>
      </c>
      <c r="D231" s="24">
        <f ca="1">OFFSET(Sector1!G31,0,Last_forecast_year - 3-InputY!$G$3)</f>
        <v>1.8540999999999999</v>
      </c>
      <c r="E231" s="24">
        <f ca="1">OFFSET(Sector1!H31,0,Last_forecast_year - 3-InputY!$G$3)</f>
        <v>1.9132457899999999</v>
      </c>
      <c r="F231" s="24">
        <f ca="1">OFFSET(Sector1!I31,0,Last_forecast_year - 3-InputY!$G$3)</f>
        <v>1.9821226384399999</v>
      </c>
      <c r="G231" s="35">
        <f ca="1">OFFSET(Sector1!J31,0,Last_forecast_year - 3-InputY!$G$3)</f>
        <v>2.0713181571697996</v>
      </c>
      <c r="H231" s="25">
        <v>-9999</v>
      </c>
      <c r="I231" s="25">
        <v>-9999</v>
      </c>
      <c r="J231" s="25">
        <v>-9999</v>
      </c>
      <c r="K231" s="25">
        <v>-9999</v>
      </c>
      <c r="L231" s="25">
        <v>-9999</v>
      </c>
      <c r="M231" s="25">
        <v>-9999</v>
      </c>
      <c r="N231" s="25">
        <v>-9999</v>
      </c>
      <c r="O231" s="25">
        <v>-9999</v>
      </c>
      <c r="P231"/>
      <c r="Q231"/>
      <c r="AA231" s="22">
        <v>131</v>
      </c>
      <c r="AB231" s="1081" t="str">
        <f t="shared" si="31"/>
        <v>GG TAXES TO EU</v>
      </c>
      <c r="AC231" s="1081">
        <f>CHOOSE(Tables!$U$2,Transfer!CA231,Transfer!CN231,Transfer!DA231,Transfer!DN231,Transfer!EA231)</f>
        <v>1.6069</v>
      </c>
      <c r="AD231" s="1081">
        <f>CHOOSE(Tables!$U$2,Transfer!CB231,Transfer!CO231,Transfer!DB231,Transfer!DO231,Transfer!EB231)</f>
        <v>1.8540999999999999</v>
      </c>
      <c r="AE231" s="1081">
        <f>CHOOSE(Tables!$U$2,Transfer!CC231,Transfer!CP231,Transfer!DC231,Transfer!DP231,Transfer!EC231)</f>
        <v>1.9132457899999999</v>
      </c>
      <c r="AF231" s="1081">
        <f>CHOOSE(Tables!$U$2,Transfer!CD231,Transfer!CQ231,Transfer!DD231,Transfer!DQ231,Transfer!ED231)</f>
        <v>1.9821226384399999</v>
      </c>
      <c r="AG231" s="1081">
        <f>CHOOSE(Tables!$U$2,Transfer!CE231,Transfer!CR231,Transfer!DE231,Transfer!DR231,Transfer!EE231)</f>
        <v>2.0713181571697996</v>
      </c>
      <c r="AH231" s="1081">
        <f>CHOOSE(Tables!$U$2,Transfer!CF231,Transfer!CS231,Transfer!DF231,Transfer!DS231,Transfer!EF231)</f>
        <v>-9999</v>
      </c>
      <c r="AI231" s="1081">
        <f>CHOOSE(Tables!$U$2,Transfer!CG231,Transfer!CT231,Transfer!DG231,Transfer!DT231,Transfer!EG231)</f>
        <v>-9999</v>
      </c>
      <c r="AJ231" s="1081">
        <f>CHOOSE(Tables!$U$2,Transfer!CH231,Transfer!CU231,Transfer!DH231,Transfer!DU231,Transfer!EH231)</f>
        <v>-9999</v>
      </c>
      <c r="AK231" s="1081">
        <f>CHOOSE(Tables!$U$2,Transfer!CI231,Transfer!CV231,Transfer!DI231,Transfer!DV231,Transfer!EI231)</f>
        <v>-9999</v>
      </c>
      <c r="AL231" s="1081">
        <f>CHOOSE(Tables!$U$2,Transfer!CJ231,Transfer!CW231,Transfer!DJ231,Transfer!DW231,Transfer!EJ231)</f>
        <v>-9999</v>
      </c>
      <c r="AM231" s="1081">
        <f>CHOOSE(Tables!$U$2,Transfer!CK231,Transfer!CX231,Transfer!DK231,Transfer!DX231,Transfer!EK231)</f>
        <v>-9999</v>
      </c>
      <c r="AN231" s="1081">
        <f>CHOOSE(Tables!$U$2,Transfer!CL231,Transfer!CY231,Transfer!DL231,Transfer!DY231,Transfer!EL231)</f>
        <v>-9999</v>
      </c>
      <c r="AO231" s="1081">
        <f>CHOOSE(Tables!$U$2,Transfer!CM231,Transfer!CZ231,Transfer!DM231,Transfer!DZ231,Transfer!EM231)</f>
        <v>-9999</v>
      </c>
      <c r="AR231" s="22">
        <v>131</v>
      </c>
      <c r="AS231" s="29" t="s">
        <v>2001</v>
      </c>
      <c r="AT231" s="24">
        <f t="shared" ca="1" si="22"/>
        <v>0</v>
      </c>
      <c r="AU231" s="24">
        <f t="shared" ca="1" si="23"/>
        <v>0</v>
      </c>
      <c r="AV231" s="24">
        <f t="shared" ca="1" si="24"/>
        <v>0</v>
      </c>
      <c r="AW231" s="24">
        <f t="shared" ca="1" si="25"/>
        <v>0</v>
      </c>
      <c r="AX231" s="24">
        <f t="shared" ca="1" si="26"/>
        <v>0</v>
      </c>
      <c r="AY231" s="25">
        <f t="shared" si="27"/>
        <v>0</v>
      </c>
      <c r="AZ231" s="25">
        <f t="shared" si="28"/>
        <v>0</v>
      </c>
      <c r="BA231" s="25">
        <f t="shared" si="29"/>
        <v>0</v>
      </c>
      <c r="BB231" s="25">
        <f t="shared" si="30"/>
        <v>0</v>
      </c>
      <c r="BC231" s="25">
        <f t="shared" si="21"/>
        <v>0</v>
      </c>
      <c r="BD231" s="25">
        <f t="shared" si="21"/>
        <v>0</v>
      </c>
      <c r="BE231" s="25">
        <f t="shared" si="21"/>
        <v>0</v>
      </c>
      <c r="BF231" s="25">
        <f t="shared" si="21"/>
        <v>0</v>
      </c>
      <c r="CA231" s="16">
        <v>1.6069</v>
      </c>
      <c r="CB231" s="16">
        <v>1.8540999999999999</v>
      </c>
      <c r="CC231" s="16">
        <v>1.9132457899999999</v>
      </c>
      <c r="CD231" s="16">
        <v>1.9821226384399999</v>
      </c>
      <c r="CE231" s="16">
        <v>2.0713181571697996</v>
      </c>
      <c r="CF231" s="16">
        <v>-9999</v>
      </c>
      <c r="CG231" s="16">
        <v>-9999</v>
      </c>
      <c r="CH231" s="16">
        <v>-9999</v>
      </c>
      <c r="CI231" s="16">
        <v>-9999</v>
      </c>
      <c r="CJ231" s="16">
        <v>-9999</v>
      </c>
      <c r="CK231" s="16">
        <v>-9999</v>
      </c>
      <c r="CL231" s="16">
        <v>-9999</v>
      </c>
      <c r="CM231" s="16">
        <v>-9999</v>
      </c>
      <c r="CN231" s="16">
        <v>1.6069</v>
      </c>
      <c r="CO231" s="16">
        <v>1.8540999999999999</v>
      </c>
      <c r="CP231" s="16">
        <v>1.9069799958005147</v>
      </c>
      <c r="CQ231" s="16">
        <v>1.9622450131204452</v>
      </c>
      <c r="CR231" s="16">
        <v>2.0332526404552076</v>
      </c>
      <c r="CS231" s="16">
        <v>-9999</v>
      </c>
      <c r="CT231" s="16">
        <v>-9999</v>
      </c>
      <c r="CU231" s="16">
        <v>-9999</v>
      </c>
      <c r="CV231" s="16">
        <v>-9999</v>
      </c>
      <c r="CW231" s="16">
        <v>-9999</v>
      </c>
      <c r="CX231" s="16">
        <v>-9999</v>
      </c>
      <c r="CY231" s="16">
        <v>-9999</v>
      </c>
      <c r="CZ231" s="16">
        <v>-9999</v>
      </c>
      <c r="DA231" s="16">
        <v>1.6069</v>
      </c>
      <c r="DB231" s="16">
        <v>1.8540999999999999</v>
      </c>
      <c r="DC231" s="16">
        <v>1.9132457899999999</v>
      </c>
      <c r="DD231" s="16">
        <v>1.9821226384399999</v>
      </c>
      <c r="DE231" s="16">
        <v>2.0713181571697996</v>
      </c>
      <c r="DF231" s="16">
        <v>-9999</v>
      </c>
      <c r="DG231" s="16">
        <v>-9999</v>
      </c>
      <c r="DH231" s="16">
        <v>-9999</v>
      </c>
      <c r="DI231" s="16">
        <v>-9999</v>
      </c>
      <c r="DJ231" s="16">
        <v>-9999</v>
      </c>
      <c r="DK231" s="16">
        <v>-9999</v>
      </c>
      <c r="DL231" s="16">
        <v>-9999</v>
      </c>
      <c r="DM231" s="16">
        <v>-9999</v>
      </c>
      <c r="DN231" s="16">
        <v>1.6069</v>
      </c>
      <c r="DO231" s="16">
        <v>1.8540999999999999</v>
      </c>
      <c r="DP231" s="16">
        <v>1.9132457899999999</v>
      </c>
      <c r="DQ231" s="16">
        <v>1.9821226384399999</v>
      </c>
      <c r="DR231" s="16">
        <v>2.0713181571697996</v>
      </c>
      <c r="DS231" s="16">
        <v>-9999</v>
      </c>
      <c r="DT231" s="16">
        <v>-9999</v>
      </c>
      <c r="DU231" s="16">
        <v>-9999</v>
      </c>
      <c r="DV231" s="16">
        <v>-9999</v>
      </c>
      <c r="DW231" s="16">
        <v>-9999</v>
      </c>
      <c r="DX231" s="16">
        <v>-9999</v>
      </c>
      <c r="DY231" s="16">
        <v>-9999</v>
      </c>
      <c r="DZ231" s="16">
        <v>-9999</v>
      </c>
      <c r="EA231" s="2106">
        <v>1.6069</v>
      </c>
      <c r="EB231" s="2106">
        <v>1.8540999999999999</v>
      </c>
      <c r="EC231" s="2106">
        <v>1.9132457899999999</v>
      </c>
      <c r="ED231" s="2106">
        <v>1.9821226384399999</v>
      </c>
      <c r="EE231" s="2106">
        <v>2.0713181571697996</v>
      </c>
      <c r="EF231" s="2107">
        <v>-9999</v>
      </c>
      <c r="EG231" s="2107">
        <v>-9999</v>
      </c>
      <c r="EH231" s="2107">
        <v>-9999</v>
      </c>
      <c r="EI231" s="2107">
        <v>-9999</v>
      </c>
      <c r="EJ231" s="2107">
        <v>-9999</v>
      </c>
      <c r="EK231" s="2107">
        <v>-9999</v>
      </c>
      <c r="EL231" s="2107">
        <v>-9999</v>
      </c>
      <c r="EM231" s="2107">
        <v>-9999</v>
      </c>
    </row>
    <row r="232" spans="1:143">
      <c r="A232" s="22">
        <v>132</v>
      </c>
      <c r="B232" s="29" t="s">
        <v>2002</v>
      </c>
      <c r="C232" s="24">
        <f ca="1">OFFSET(Sector1!F257,0,Last_forecast_year - 3-InputY!$G$3)</f>
        <v>12.417399999999999</v>
      </c>
      <c r="D232" s="24">
        <f ca="1">OFFSET(Sector1!G257,0,Last_forecast_year - 3-InputY!$G$3)</f>
        <v>12.116200000000001</v>
      </c>
      <c r="E232" s="24">
        <f ca="1">OFFSET(Sector1!H257,0,Last_forecast_year - 3-InputY!$G$3)</f>
        <v>10.7761</v>
      </c>
      <c r="F232" s="24">
        <f ca="1">OFFSET(Sector1!I257,0,Last_forecast_year - 3-InputY!$G$3)</f>
        <v>10.213587579999999</v>
      </c>
      <c r="G232" s="24">
        <f ca="1">OFFSET(Sector1!J257,0,Last_forecast_year - 3-InputY!$G$3)</f>
        <v>10.148220619487999</v>
      </c>
      <c r="H232" s="25">
        <v>-9999</v>
      </c>
      <c r="I232" s="25">
        <v>-9999</v>
      </c>
      <c r="J232" s="25">
        <v>-9999</v>
      </c>
      <c r="K232" s="25">
        <v>-9999</v>
      </c>
      <c r="L232" s="25">
        <v>-9999</v>
      </c>
      <c r="M232" s="25">
        <v>-9999</v>
      </c>
      <c r="N232" s="25">
        <v>-9999</v>
      </c>
      <c r="O232" s="25">
        <v>-9999</v>
      </c>
      <c r="P232"/>
      <c r="Q232"/>
      <c r="AA232" s="22">
        <v>132</v>
      </c>
      <c r="AB232" s="1081" t="str">
        <f t="shared" si="31"/>
        <v>GG INTEREST incl. SWAPS</v>
      </c>
      <c r="AC232" s="1081">
        <f>CHOOSE(Tables!$U$2,Transfer!CA232,Transfer!CN232,Transfer!DA232,Transfer!DN232,Transfer!EA232)</f>
        <v>12.417399999999999</v>
      </c>
      <c r="AD232" s="1081">
        <f>CHOOSE(Tables!$U$2,Transfer!CB232,Transfer!CO232,Transfer!DB232,Transfer!DO232,Transfer!EB232)</f>
        <v>12.116200000000001</v>
      </c>
      <c r="AE232" s="1081">
        <f>CHOOSE(Tables!$U$2,Transfer!CC232,Transfer!CP232,Transfer!DC232,Transfer!DP232,Transfer!EC232)</f>
        <v>10.7761</v>
      </c>
      <c r="AF232" s="1081">
        <f>CHOOSE(Tables!$U$2,Transfer!CD232,Transfer!CQ232,Transfer!DD232,Transfer!DQ232,Transfer!ED232)</f>
        <v>10.213587579999999</v>
      </c>
      <c r="AG232" s="1081">
        <f>CHOOSE(Tables!$U$2,Transfer!CE232,Transfer!CR232,Transfer!DE232,Transfer!DR232,Transfer!EE232)</f>
        <v>10.148220619487999</v>
      </c>
      <c r="AH232" s="1081">
        <f>CHOOSE(Tables!$U$2,Transfer!CF232,Transfer!CS232,Transfer!DF232,Transfer!DS232,Transfer!EF232)</f>
        <v>-9999</v>
      </c>
      <c r="AI232" s="1081">
        <f>CHOOSE(Tables!$U$2,Transfer!CG232,Transfer!CT232,Transfer!DG232,Transfer!DT232,Transfer!EG232)</f>
        <v>-9999</v>
      </c>
      <c r="AJ232" s="1081">
        <f>CHOOSE(Tables!$U$2,Transfer!CH232,Transfer!CU232,Transfer!DH232,Transfer!DU232,Transfer!EH232)</f>
        <v>-9999</v>
      </c>
      <c r="AK232" s="1081">
        <f>CHOOSE(Tables!$U$2,Transfer!CI232,Transfer!CV232,Transfer!DI232,Transfer!DV232,Transfer!EI232)</f>
        <v>-9999</v>
      </c>
      <c r="AL232" s="1081">
        <f>CHOOSE(Tables!$U$2,Transfer!CJ232,Transfer!CW232,Transfer!DJ232,Transfer!DW232,Transfer!EJ232)</f>
        <v>-9999</v>
      </c>
      <c r="AM232" s="1081">
        <f>CHOOSE(Tables!$U$2,Transfer!CK232,Transfer!CX232,Transfer!DK232,Transfer!DX232,Transfer!EK232)</f>
        <v>-9999</v>
      </c>
      <c r="AN232" s="1081">
        <f>CHOOSE(Tables!$U$2,Transfer!CL232,Transfer!CY232,Transfer!DL232,Transfer!DY232,Transfer!EL232)</f>
        <v>-9999</v>
      </c>
      <c r="AO232" s="1081">
        <f>CHOOSE(Tables!$U$2,Transfer!CM232,Transfer!CZ232,Transfer!DM232,Transfer!DZ232,Transfer!EM232)</f>
        <v>-9999</v>
      </c>
      <c r="AR232" s="22">
        <v>132</v>
      </c>
      <c r="AS232" s="29" t="s">
        <v>2002</v>
      </c>
      <c r="AT232" s="24">
        <f t="shared" ca="1" si="22"/>
        <v>0</v>
      </c>
      <c r="AU232" s="24">
        <f t="shared" ca="1" si="23"/>
        <v>0</v>
      </c>
      <c r="AV232" s="24">
        <f t="shared" ca="1" si="24"/>
        <v>0</v>
      </c>
      <c r="AW232" s="24">
        <f t="shared" ca="1" si="25"/>
        <v>0</v>
      </c>
      <c r="AX232" s="24">
        <f t="shared" ca="1" si="26"/>
        <v>0</v>
      </c>
      <c r="AY232" s="25">
        <f t="shared" si="27"/>
        <v>0</v>
      </c>
      <c r="AZ232" s="25">
        <f t="shared" si="28"/>
        <v>0</v>
      </c>
      <c r="BA232" s="25">
        <f t="shared" si="29"/>
        <v>0</v>
      </c>
      <c r="BB232" s="25">
        <f t="shared" si="30"/>
        <v>0</v>
      </c>
      <c r="BC232" s="25">
        <f t="shared" si="21"/>
        <v>0</v>
      </c>
      <c r="BD232" s="25">
        <f t="shared" si="21"/>
        <v>0</v>
      </c>
      <c r="BE232" s="25">
        <f t="shared" si="21"/>
        <v>0</v>
      </c>
      <c r="BF232" s="25">
        <f t="shared" si="21"/>
        <v>0</v>
      </c>
      <c r="CA232" s="16">
        <v>12.417399999999999</v>
      </c>
      <c r="CB232" s="16">
        <v>12.116200000000001</v>
      </c>
      <c r="CC232" s="16">
        <v>10.7761</v>
      </c>
      <c r="CD232" s="16">
        <v>10.213587579999999</v>
      </c>
      <c r="CE232" s="16">
        <v>10.148220619487999</v>
      </c>
      <c r="CF232" s="16">
        <v>-9999</v>
      </c>
      <c r="CG232" s="16">
        <v>-9999</v>
      </c>
      <c r="CH232" s="16">
        <v>-9999</v>
      </c>
      <c r="CI232" s="16">
        <v>-9999</v>
      </c>
      <c r="CJ232" s="16">
        <v>-9999</v>
      </c>
      <c r="CK232" s="16">
        <v>-9999</v>
      </c>
      <c r="CL232" s="16">
        <v>-9999</v>
      </c>
      <c r="CM232" s="16">
        <v>-9999</v>
      </c>
      <c r="CN232" s="16">
        <v>12.420299999999999</v>
      </c>
      <c r="CO232" s="16">
        <v>12.1388</v>
      </c>
      <c r="CP232" s="16">
        <v>11.413148200024851</v>
      </c>
      <c r="CQ232" s="16">
        <v>11.155025337524851</v>
      </c>
      <c r="CR232" s="16">
        <v>11.071694053074925</v>
      </c>
      <c r="CS232" s="16">
        <v>-9999</v>
      </c>
      <c r="CT232" s="16">
        <v>-9999</v>
      </c>
      <c r="CU232" s="16">
        <v>-9999</v>
      </c>
      <c r="CV232" s="16">
        <v>-9999</v>
      </c>
      <c r="CW232" s="16">
        <v>-9999</v>
      </c>
      <c r="CX232" s="16">
        <v>-9999</v>
      </c>
      <c r="CY232" s="16">
        <v>-9999</v>
      </c>
      <c r="CZ232" s="16">
        <v>-9999</v>
      </c>
      <c r="DA232" s="16">
        <v>12.417399999999999</v>
      </c>
      <c r="DB232" s="16">
        <v>12.116200000000001</v>
      </c>
      <c r="DC232" s="16">
        <v>10.7761</v>
      </c>
      <c r="DD232" s="16">
        <v>10.213587579999999</v>
      </c>
      <c r="DE232" s="16">
        <v>10.148220619487999</v>
      </c>
      <c r="DF232" s="16">
        <v>-9999</v>
      </c>
      <c r="DG232" s="16">
        <v>-9999</v>
      </c>
      <c r="DH232" s="16">
        <v>-9999</v>
      </c>
      <c r="DI232" s="16">
        <v>-9999</v>
      </c>
      <c r="DJ232" s="16">
        <v>-9999</v>
      </c>
      <c r="DK232" s="16">
        <v>-9999</v>
      </c>
      <c r="DL232" s="16">
        <v>-9999</v>
      </c>
      <c r="DM232" s="16">
        <v>-9999</v>
      </c>
      <c r="DN232" s="16">
        <v>12.417399999999999</v>
      </c>
      <c r="DO232" s="16">
        <v>12.116200000000001</v>
      </c>
      <c r="DP232" s="16">
        <v>10.7761</v>
      </c>
      <c r="DQ232" s="16">
        <v>10.213587579999999</v>
      </c>
      <c r="DR232" s="16">
        <v>10.148220619487999</v>
      </c>
      <c r="DS232" s="16">
        <v>-9999</v>
      </c>
      <c r="DT232" s="16">
        <v>-9999</v>
      </c>
      <c r="DU232" s="16">
        <v>-9999</v>
      </c>
      <c r="DV232" s="16">
        <v>-9999</v>
      </c>
      <c r="DW232" s="16">
        <v>-9999</v>
      </c>
      <c r="DX232" s="16">
        <v>-9999</v>
      </c>
      <c r="DY232" s="16">
        <v>-9999</v>
      </c>
      <c r="DZ232" s="16">
        <v>-9999</v>
      </c>
      <c r="EA232" s="2106">
        <v>12.417399999999999</v>
      </c>
      <c r="EB232" s="2106">
        <v>12.116200000000001</v>
      </c>
      <c r="EC232" s="2106">
        <v>10.7761</v>
      </c>
      <c r="ED232" s="2106">
        <v>10.213587579999999</v>
      </c>
      <c r="EE232" s="2106">
        <v>10.148220619487999</v>
      </c>
      <c r="EF232" s="2107">
        <v>-9999</v>
      </c>
      <c r="EG232" s="2107">
        <v>-9999</v>
      </c>
      <c r="EH232" s="2107">
        <v>-9999</v>
      </c>
      <c r="EI232" s="2107">
        <v>-9999</v>
      </c>
      <c r="EJ232" s="2107">
        <v>-9999</v>
      </c>
      <c r="EK232" s="2107">
        <v>-9999</v>
      </c>
      <c r="EL232" s="2107">
        <v>-9999</v>
      </c>
      <c r="EM232" s="2107">
        <v>-9999</v>
      </c>
    </row>
    <row r="233" spans="1:143">
      <c r="A233" s="22">
        <v>133</v>
      </c>
      <c r="B233" s="1" t="s">
        <v>2003</v>
      </c>
      <c r="C233" s="24">
        <f ca="1">OFFSET(Sector1!F140,0,Last_forecast_year - 3-InputY!$G$3)</f>
        <v>0.93070000000000008</v>
      </c>
      <c r="D233" s="24">
        <f ca="1">OFFSET(Sector1!G140,0,Last_forecast_year - 3-InputY!$G$3)</f>
        <v>0.75009999999999999</v>
      </c>
      <c r="E233" s="24">
        <f ca="1">OFFSET(Sector1!H140,0,Last_forecast_year - 3-InputY!$G$3)</f>
        <v>0.75009999999999999</v>
      </c>
      <c r="F233" s="24">
        <f ca="1">OFFSET(Sector1!I140,0,Last_forecast_year - 3-InputY!$G$3)</f>
        <v>0.75009999999999999</v>
      </c>
      <c r="G233" s="24">
        <f ca="1">OFFSET(Sector1!J140,0,Last_forecast_year - 3-InputY!$G$3)</f>
        <v>0.75009999999999999</v>
      </c>
      <c r="H233" s="25">
        <v>-9999</v>
      </c>
      <c r="I233" s="25">
        <v>-9999</v>
      </c>
      <c r="J233" s="25">
        <v>-9999</v>
      </c>
      <c r="K233" s="25">
        <v>-9999</v>
      </c>
      <c r="L233" s="25">
        <v>-9999</v>
      </c>
      <c r="M233" s="25">
        <v>-9999</v>
      </c>
      <c r="N233" s="25">
        <v>-9999</v>
      </c>
      <c r="O233" s="25">
        <v>-9999</v>
      </c>
      <c r="P233"/>
      <c r="Q233"/>
      <c r="AA233" s="22">
        <v>133</v>
      </c>
      <c r="AB233" s="1081" t="str">
        <f t="shared" si="31"/>
        <v>GG SUBSIDIES FROM EU</v>
      </c>
      <c r="AC233" s="1081">
        <f>CHOOSE(Tables!$U$2,Transfer!CA233,Transfer!CN233,Transfer!DA233,Transfer!DN233,Transfer!EA233)</f>
        <v>0.93070000000000008</v>
      </c>
      <c r="AD233" s="1081">
        <f>CHOOSE(Tables!$U$2,Transfer!CB233,Transfer!CO233,Transfer!DB233,Transfer!DO233,Transfer!EB233)</f>
        <v>0.75009999999999999</v>
      </c>
      <c r="AE233" s="1081">
        <f>CHOOSE(Tables!$U$2,Transfer!CC233,Transfer!CP233,Transfer!DC233,Transfer!DP233,Transfer!EC233)</f>
        <v>0.75009999999999999</v>
      </c>
      <c r="AF233" s="1081">
        <f>CHOOSE(Tables!$U$2,Transfer!CD233,Transfer!CQ233,Transfer!DD233,Transfer!DQ233,Transfer!ED233)</f>
        <v>0.75009999999999999</v>
      </c>
      <c r="AG233" s="1081">
        <f>CHOOSE(Tables!$U$2,Transfer!CE233,Transfer!CR233,Transfer!DE233,Transfer!DR233,Transfer!EE233)</f>
        <v>0.75009999999999999</v>
      </c>
      <c r="AH233" s="1081">
        <f>CHOOSE(Tables!$U$2,Transfer!CF233,Transfer!CS233,Transfer!DF233,Transfer!DS233,Transfer!EF233)</f>
        <v>-9999</v>
      </c>
      <c r="AI233" s="1081">
        <f>CHOOSE(Tables!$U$2,Transfer!CG233,Transfer!CT233,Transfer!DG233,Transfer!DT233,Transfer!EG233)</f>
        <v>-9999</v>
      </c>
      <c r="AJ233" s="1081">
        <f>CHOOSE(Tables!$U$2,Transfer!CH233,Transfer!CU233,Transfer!DH233,Transfer!DU233,Transfer!EH233)</f>
        <v>-9999</v>
      </c>
      <c r="AK233" s="1081">
        <f>CHOOSE(Tables!$U$2,Transfer!CI233,Transfer!CV233,Transfer!DI233,Transfer!DV233,Transfer!EI233)</f>
        <v>-9999</v>
      </c>
      <c r="AL233" s="1081">
        <f>CHOOSE(Tables!$U$2,Transfer!CJ233,Transfer!CW233,Transfer!DJ233,Transfer!DW233,Transfer!EJ233)</f>
        <v>-9999</v>
      </c>
      <c r="AM233" s="1081">
        <f>CHOOSE(Tables!$U$2,Transfer!CK233,Transfer!CX233,Transfer!DK233,Transfer!DX233,Transfer!EK233)</f>
        <v>-9999</v>
      </c>
      <c r="AN233" s="1081">
        <f>CHOOSE(Tables!$U$2,Transfer!CL233,Transfer!CY233,Transfer!DL233,Transfer!DY233,Transfer!EL233)</f>
        <v>-9999</v>
      </c>
      <c r="AO233" s="1081">
        <f>CHOOSE(Tables!$U$2,Transfer!CM233,Transfer!CZ233,Transfer!DM233,Transfer!DZ233,Transfer!EM233)</f>
        <v>-9999</v>
      </c>
      <c r="AR233" s="22">
        <v>133</v>
      </c>
      <c r="AS233" s="1" t="s">
        <v>2003</v>
      </c>
      <c r="AT233" s="24">
        <f t="shared" ca="1" si="22"/>
        <v>0</v>
      </c>
      <c r="AU233" s="24">
        <f t="shared" ca="1" si="23"/>
        <v>0</v>
      </c>
      <c r="AV233" s="24">
        <f t="shared" ca="1" si="24"/>
        <v>0</v>
      </c>
      <c r="AW233" s="24">
        <f t="shared" ca="1" si="25"/>
        <v>0</v>
      </c>
      <c r="AX233" s="24">
        <f t="shared" ca="1" si="26"/>
        <v>0</v>
      </c>
      <c r="AY233" s="25">
        <f t="shared" si="27"/>
        <v>0</v>
      </c>
      <c r="AZ233" s="25">
        <f t="shared" si="28"/>
        <v>0</v>
      </c>
      <c r="BA233" s="25">
        <f t="shared" si="29"/>
        <v>0</v>
      </c>
      <c r="BB233" s="25">
        <f t="shared" si="30"/>
        <v>0</v>
      </c>
      <c r="BC233" s="25">
        <f t="shared" si="21"/>
        <v>0</v>
      </c>
      <c r="BD233" s="25">
        <f t="shared" si="21"/>
        <v>0</v>
      </c>
      <c r="BE233" s="25">
        <f t="shared" si="21"/>
        <v>0</v>
      </c>
      <c r="BF233" s="25">
        <f t="shared" si="21"/>
        <v>0</v>
      </c>
      <c r="CA233" s="16">
        <v>0.93070000000000008</v>
      </c>
      <c r="CB233" s="16">
        <v>0.75009999999999999</v>
      </c>
      <c r="CC233" s="16">
        <v>0.75009999999999999</v>
      </c>
      <c r="CD233" s="16">
        <v>0.75009999999999999</v>
      </c>
      <c r="CE233" s="16">
        <v>0.75009999999999999</v>
      </c>
      <c r="CF233" s="16">
        <v>-9999</v>
      </c>
      <c r="CG233" s="16">
        <v>-9999</v>
      </c>
      <c r="CH233" s="16">
        <v>-9999</v>
      </c>
      <c r="CI233" s="16">
        <v>-9999</v>
      </c>
      <c r="CJ233" s="16">
        <v>-9999</v>
      </c>
      <c r="CK233" s="16">
        <v>-9999</v>
      </c>
      <c r="CL233" s="16">
        <v>-9999</v>
      </c>
      <c r="CM233" s="16">
        <v>-9999</v>
      </c>
      <c r="CN233" s="16">
        <v>0.93070000000000008</v>
      </c>
      <c r="CO233" s="16">
        <v>0.75009999999999999</v>
      </c>
      <c r="CP233" s="16">
        <v>0.75009999999999999</v>
      </c>
      <c r="CQ233" s="16">
        <v>0.75009999999999999</v>
      </c>
      <c r="CR233" s="16">
        <v>0.75009999999999999</v>
      </c>
      <c r="CS233" s="16">
        <v>-9999</v>
      </c>
      <c r="CT233" s="16">
        <v>-9999</v>
      </c>
      <c r="CU233" s="16">
        <v>-9999</v>
      </c>
      <c r="CV233" s="16">
        <v>-9999</v>
      </c>
      <c r="CW233" s="16">
        <v>-9999</v>
      </c>
      <c r="CX233" s="16">
        <v>-9999</v>
      </c>
      <c r="CY233" s="16">
        <v>-9999</v>
      </c>
      <c r="CZ233" s="16">
        <v>-9999</v>
      </c>
      <c r="DA233" s="16">
        <v>0.93070000000000008</v>
      </c>
      <c r="DB233" s="16">
        <v>0.75009999999999999</v>
      </c>
      <c r="DC233" s="16">
        <v>0.75009999999999999</v>
      </c>
      <c r="DD233" s="16">
        <v>0.75009999999999999</v>
      </c>
      <c r="DE233" s="16">
        <v>0.75009999999999999</v>
      </c>
      <c r="DF233" s="16">
        <v>-9999</v>
      </c>
      <c r="DG233" s="16">
        <v>-9999</v>
      </c>
      <c r="DH233" s="16">
        <v>-9999</v>
      </c>
      <c r="DI233" s="16">
        <v>-9999</v>
      </c>
      <c r="DJ233" s="16">
        <v>-9999</v>
      </c>
      <c r="DK233" s="16">
        <v>-9999</v>
      </c>
      <c r="DL233" s="16">
        <v>-9999</v>
      </c>
      <c r="DM233" s="16">
        <v>-9999</v>
      </c>
      <c r="DN233" s="16">
        <v>0.93070000000000008</v>
      </c>
      <c r="DO233" s="16">
        <v>0.75009999999999999</v>
      </c>
      <c r="DP233" s="16">
        <v>0.75009999999999999</v>
      </c>
      <c r="DQ233" s="16">
        <v>0.75009999999999999</v>
      </c>
      <c r="DR233" s="16">
        <v>0.75009999999999999</v>
      </c>
      <c r="DS233" s="16">
        <v>-9999</v>
      </c>
      <c r="DT233" s="16">
        <v>-9999</v>
      </c>
      <c r="DU233" s="16">
        <v>-9999</v>
      </c>
      <c r="DV233" s="16">
        <v>-9999</v>
      </c>
      <c r="DW233" s="16">
        <v>-9999</v>
      </c>
      <c r="DX233" s="16">
        <v>-9999</v>
      </c>
      <c r="DY233" s="16">
        <v>-9999</v>
      </c>
      <c r="DZ233" s="16">
        <v>-9999</v>
      </c>
      <c r="EA233" s="2106">
        <v>0.93070000000000008</v>
      </c>
      <c r="EB233" s="2106">
        <v>0.75009999999999999</v>
      </c>
      <c r="EC233" s="2106">
        <v>0.75009999999999999</v>
      </c>
      <c r="ED233" s="2106">
        <v>0.75009999999999999</v>
      </c>
      <c r="EE233" s="2106">
        <v>0.75009999999999999</v>
      </c>
      <c r="EF233" s="2107">
        <v>-9999</v>
      </c>
      <c r="EG233" s="2107">
        <v>-9999</v>
      </c>
      <c r="EH233" s="2107">
        <v>-9999</v>
      </c>
      <c r="EI233" s="2107">
        <v>-9999</v>
      </c>
      <c r="EJ233" s="2107">
        <v>-9999</v>
      </c>
      <c r="EK233" s="2107">
        <v>-9999</v>
      </c>
      <c r="EL233" s="2107">
        <v>-9999</v>
      </c>
      <c r="EM233" s="2107">
        <v>-9999</v>
      </c>
    </row>
    <row r="234" spans="1:143">
      <c r="A234" s="22">
        <v>134</v>
      </c>
      <c r="B234" s="30" t="s">
        <v>1998</v>
      </c>
      <c r="C234" s="25">
        <v>-9999</v>
      </c>
      <c r="D234" s="25">
        <v>-9999</v>
      </c>
      <c r="E234" s="25">
        <v>-9999</v>
      </c>
      <c r="F234" s="25">
        <v>-9999</v>
      </c>
      <c r="G234" s="25">
        <v>-9999</v>
      </c>
      <c r="H234" s="25">
        <v>-9999</v>
      </c>
      <c r="I234" s="25">
        <v>-9999</v>
      </c>
      <c r="J234" s="25">
        <v>-9999</v>
      </c>
      <c r="K234" s="25">
        <v>-9999</v>
      </c>
      <c r="L234" s="25">
        <v>-9999</v>
      </c>
      <c r="M234" s="25">
        <v>-9999</v>
      </c>
      <c r="N234" s="25">
        <v>-9999</v>
      </c>
      <c r="O234" s="25">
        <v>-9999</v>
      </c>
      <c r="P234" s="26"/>
      <c r="Q234"/>
      <c r="AA234" s="22">
        <v>134</v>
      </c>
      <c r="AB234" s="1081" t="str">
        <f>+B238</f>
        <v>GG ONE-OFF MEASURES (REVENUE SIDE)</v>
      </c>
      <c r="AC234" s="1081">
        <f>CHOOSE(Tables!$U$2,Transfer!CA234,Transfer!CN234,Transfer!DA234,Transfer!DN234,Transfer!EA234)</f>
        <v>-9999</v>
      </c>
      <c r="AD234" s="1081">
        <f>CHOOSE(Tables!$U$2,Transfer!CB234,Transfer!CO234,Transfer!DB234,Transfer!DO234,Transfer!EB234)</f>
        <v>-9999</v>
      </c>
      <c r="AE234" s="1081">
        <f>CHOOSE(Tables!$U$2,Transfer!CC234,Transfer!CP234,Transfer!DC234,Transfer!DP234,Transfer!EC234)</f>
        <v>-9999</v>
      </c>
      <c r="AF234" s="1081">
        <f>CHOOSE(Tables!$U$2,Transfer!CD234,Transfer!CQ234,Transfer!DD234,Transfer!DQ234,Transfer!ED234)</f>
        <v>-9999</v>
      </c>
      <c r="AG234" s="1081">
        <f>CHOOSE(Tables!$U$2,Transfer!CE234,Transfer!CR234,Transfer!DE234,Transfer!DR234,Transfer!EE234)</f>
        <v>-9999</v>
      </c>
      <c r="AH234" s="1081">
        <f>CHOOSE(Tables!$U$2,Transfer!CF234,Transfer!CS234,Transfer!DF234,Transfer!DS234,Transfer!EF234)</f>
        <v>-9999</v>
      </c>
      <c r="AI234" s="1081">
        <f>CHOOSE(Tables!$U$2,Transfer!CG234,Transfer!CT234,Transfer!DG234,Transfer!DT234,Transfer!EG234)</f>
        <v>-9999</v>
      </c>
      <c r="AJ234" s="1081">
        <f>CHOOSE(Tables!$U$2,Transfer!CH234,Transfer!CU234,Transfer!DH234,Transfer!DU234,Transfer!EH234)</f>
        <v>-9999</v>
      </c>
      <c r="AK234" s="1081">
        <f>CHOOSE(Tables!$U$2,Transfer!CI234,Transfer!CV234,Transfer!DI234,Transfer!DV234,Transfer!EI234)</f>
        <v>-9999</v>
      </c>
      <c r="AL234" s="1081">
        <f>CHOOSE(Tables!$U$2,Transfer!CJ234,Transfer!CW234,Transfer!DJ234,Transfer!DW234,Transfer!EJ234)</f>
        <v>-9999</v>
      </c>
      <c r="AM234" s="1081">
        <f>CHOOSE(Tables!$U$2,Transfer!CK234,Transfer!CX234,Transfer!DK234,Transfer!DX234,Transfer!EK234)</f>
        <v>-9999</v>
      </c>
      <c r="AN234" s="1081">
        <f>CHOOSE(Tables!$U$2,Transfer!CL234,Transfer!CY234,Transfer!DL234,Transfer!DY234,Transfer!EL234)</f>
        <v>-9999</v>
      </c>
      <c r="AO234" s="1081">
        <f>CHOOSE(Tables!$U$2,Transfer!CM234,Transfer!CZ234,Transfer!DM234,Transfer!DZ234,Transfer!EM234)</f>
        <v>-9999</v>
      </c>
      <c r="AR234" s="22">
        <v>134</v>
      </c>
      <c r="AS234" s="1" t="s">
        <v>2004</v>
      </c>
      <c r="AT234" s="1778">
        <f>C238-AC234</f>
        <v>0</v>
      </c>
      <c r="AU234" s="1778">
        <f t="shared" si="23"/>
        <v>0</v>
      </c>
      <c r="AV234" s="1778">
        <f t="shared" si="24"/>
        <v>0</v>
      </c>
      <c r="AW234" s="1778">
        <f t="shared" si="25"/>
        <v>0</v>
      </c>
      <c r="AX234" s="1778">
        <f t="shared" si="26"/>
        <v>0</v>
      </c>
      <c r="AY234" s="25">
        <f t="shared" si="27"/>
        <v>0</v>
      </c>
      <c r="AZ234" s="25">
        <f t="shared" si="28"/>
        <v>0</v>
      </c>
      <c r="BA234" s="25">
        <f t="shared" si="29"/>
        <v>0</v>
      </c>
      <c r="BB234" s="25">
        <f t="shared" si="30"/>
        <v>0</v>
      </c>
      <c r="BC234" s="25">
        <f t="shared" si="21"/>
        <v>0</v>
      </c>
      <c r="BD234" s="25">
        <f t="shared" si="21"/>
        <v>0</v>
      </c>
      <c r="BE234" s="25">
        <f t="shared" si="21"/>
        <v>0</v>
      </c>
      <c r="BF234" s="25">
        <f t="shared" si="21"/>
        <v>0</v>
      </c>
      <c r="CA234" s="16">
        <v>-9999</v>
      </c>
      <c r="CB234" s="16">
        <v>-9999</v>
      </c>
      <c r="CC234" s="16">
        <v>-9999</v>
      </c>
      <c r="CD234" s="16">
        <v>-9999</v>
      </c>
      <c r="CE234" s="16">
        <v>-9999</v>
      </c>
      <c r="CF234" s="16">
        <v>-9999</v>
      </c>
      <c r="CG234" s="16">
        <v>-9999</v>
      </c>
      <c r="CH234" s="16">
        <v>-9999</v>
      </c>
      <c r="CI234" s="16">
        <v>-9999</v>
      </c>
      <c r="CJ234" s="16">
        <v>-9999</v>
      </c>
      <c r="CK234" s="16">
        <v>-9999</v>
      </c>
      <c r="CL234" s="16">
        <v>-9999</v>
      </c>
      <c r="CM234" s="16">
        <v>-9999</v>
      </c>
      <c r="CN234" s="16">
        <v>-9999</v>
      </c>
      <c r="CO234" s="16">
        <v>-9999</v>
      </c>
      <c r="CP234" s="16">
        <v>-9999</v>
      </c>
      <c r="CQ234" s="16">
        <v>-9999</v>
      </c>
      <c r="CR234" s="16">
        <v>-9999</v>
      </c>
      <c r="CS234" s="16">
        <v>-9999</v>
      </c>
      <c r="CT234" s="16">
        <v>-9999</v>
      </c>
      <c r="CU234" s="16">
        <v>-9999</v>
      </c>
      <c r="CV234" s="16">
        <v>-9999</v>
      </c>
      <c r="CW234" s="16">
        <v>-9999</v>
      </c>
      <c r="CX234" s="16">
        <v>-9999</v>
      </c>
      <c r="CY234" s="16">
        <v>-9999</v>
      </c>
      <c r="CZ234" s="16">
        <v>-9999</v>
      </c>
      <c r="DA234" s="16">
        <v>-9999</v>
      </c>
      <c r="DB234" s="16">
        <v>-9999</v>
      </c>
      <c r="DC234" s="16">
        <v>-9999</v>
      </c>
      <c r="DD234" s="16">
        <v>-9999</v>
      </c>
      <c r="DE234" s="16">
        <v>-9999</v>
      </c>
      <c r="DF234" s="16">
        <v>-9999</v>
      </c>
      <c r="DG234" s="16">
        <v>-9999</v>
      </c>
      <c r="DH234" s="16">
        <v>-9999</v>
      </c>
      <c r="DI234" s="16">
        <v>-9999</v>
      </c>
      <c r="DJ234" s="16">
        <v>-9999</v>
      </c>
      <c r="DK234" s="16">
        <v>-9999</v>
      </c>
      <c r="DL234" s="16">
        <v>-9999</v>
      </c>
      <c r="DM234" s="16">
        <v>-9999</v>
      </c>
      <c r="DN234" s="16">
        <v>-9999</v>
      </c>
      <c r="DO234" s="16">
        <v>-9999</v>
      </c>
      <c r="DP234" s="16">
        <v>-9999</v>
      </c>
      <c r="DQ234" s="16">
        <v>-9999</v>
      </c>
      <c r="DR234" s="16">
        <v>-9999</v>
      </c>
      <c r="DS234" s="16">
        <v>-9999</v>
      </c>
      <c r="DT234" s="16">
        <v>-9999</v>
      </c>
      <c r="DU234" s="16">
        <v>-9999</v>
      </c>
      <c r="DV234" s="16">
        <v>-9999</v>
      </c>
      <c r="DW234" s="16">
        <v>-9999</v>
      </c>
      <c r="DX234" s="16">
        <v>-9999</v>
      </c>
      <c r="DY234" s="16">
        <v>-9999</v>
      </c>
      <c r="DZ234" s="16">
        <v>-9999</v>
      </c>
      <c r="EA234" s="2106">
        <v>-9999</v>
      </c>
      <c r="EB234" s="2106">
        <v>-9999</v>
      </c>
      <c r="EC234" s="2106">
        <v>-9999</v>
      </c>
      <c r="ED234" s="2106">
        <v>-9999</v>
      </c>
      <c r="EE234" s="2106">
        <v>-9999</v>
      </c>
      <c r="EF234" s="2107">
        <v>-9999</v>
      </c>
      <c r="EG234" s="2107">
        <v>-9999</v>
      </c>
      <c r="EH234" s="2107">
        <v>-9999</v>
      </c>
      <c r="EI234" s="2107">
        <v>-9999</v>
      </c>
      <c r="EJ234" s="2107">
        <v>-9999</v>
      </c>
      <c r="EK234" s="2107">
        <v>-9999</v>
      </c>
      <c r="EL234" s="2107">
        <v>-9999</v>
      </c>
      <c r="EM234" s="2107">
        <v>-9999</v>
      </c>
    </row>
    <row r="235" spans="1:143">
      <c r="A235" s="22">
        <v>135</v>
      </c>
      <c r="B235" s="30" t="s">
        <v>1998</v>
      </c>
      <c r="C235" s="25">
        <v>-9999</v>
      </c>
      <c r="D235" s="25">
        <v>-9999</v>
      </c>
      <c r="E235" s="25">
        <v>-9999</v>
      </c>
      <c r="F235" s="25">
        <v>-9999</v>
      </c>
      <c r="G235" s="25">
        <v>-9999</v>
      </c>
      <c r="H235" s="25">
        <v>-9999</v>
      </c>
      <c r="I235" s="25">
        <v>-9999</v>
      </c>
      <c r="J235" s="25">
        <v>-9999</v>
      </c>
      <c r="K235" s="25">
        <v>-9999</v>
      </c>
      <c r="L235" s="25">
        <v>-9999</v>
      </c>
      <c r="M235" s="25">
        <v>-9999</v>
      </c>
      <c r="N235" s="25">
        <v>-9999</v>
      </c>
      <c r="O235" s="25">
        <v>-9999</v>
      </c>
      <c r="P235" s="26"/>
      <c r="Q235"/>
      <c r="AA235" s="22">
        <v>135</v>
      </c>
      <c r="AB235" s="1081" t="str">
        <f>+B239</f>
        <v>GG ONE-OFF MEASURES (EXPENDITURE SIDE)</v>
      </c>
      <c r="AC235" s="1081">
        <f>CHOOSE(Tables!$U$2,Transfer!CA235,Transfer!CN235,Transfer!DA235,Transfer!DN235,Transfer!EA235)</f>
        <v>-9999</v>
      </c>
      <c r="AD235" s="1081">
        <f>CHOOSE(Tables!$U$2,Transfer!CB235,Transfer!CO235,Transfer!DB235,Transfer!DO235,Transfer!EB235)</f>
        <v>-9999</v>
      </c>
      <c r="AE235" s="1081">
        <f>CHOOSE(Tables!$U$2,Transfer!CC235,Transfer!CP235,Transfer!DC235,Transfer!DP235,Transfer!EC235)</f>
        <v>-9999</v>
      </c>
      <c r="AF235" s="1081">
        <f>CHOOSE(Tables!$U$2,Transfer!CD235,Transfer!CQ235,Transfer!DD235,Transfer!DQ235,Transfer!ED235)</f>
        <v>-9999</v>
      </c>
      <c r="AG235" s="1081">
        <f>CHOOSE(Tables!$U$2,Transfer!CE235,Transfer!CR235,Transfer!DE235,Transfer!DR235,Transfer!EE235)</f>
        <v>-9999</v>
      </c>
      <c r="AH235" s="1081">
        <f>CHOOSE(Tables!$U$2,Transfer!CF235,Transfer!CS235,Transfer!DF235,Transfer!DS235,Transfer!EF235)</f>
        <v>-9999</v>
      </c>
      <c r="AI235" s="1081">
        <f>CHOOSE(Tables!$U$2,Transfer!CG235,Transfer!CT235,Transfer!DG235,Transfer!DT235,Transfer!EG235)</f>
        <v>-9999</v>
      </c>
      <c r="AJ235" s="1081">
        <f>CHOOSE(Tables!$U$2,Transfer!CH235,Transfer!CU235,Transfer!DH235,Transfer!DU235,Transfer!EH235)</f>
        <v>-9999</v>
      </c>
      <c r="AK235" s="1081">
        <f>CHOOSE(Tables!$U$2,Transfer!CI235,Transfer!CV235,Transfer!DI235,Transfer!DV235,Transfer!EI235)</f>
        <v>-9999</v>
      </c>
      <c r="AL235" s="1081">
        <f>CHOOSE(Tables!$U$2,Transfer!CJ235,Transfer!CW235,Transfer!DJ235,Transfer!DW235,Transfer!EJ235)</f>
        <v>-9999</v>
      </c>
      <c r="AM235" s="1081">
        <f>CHOOSE(Tables!$U$2,Transfer!CK235,Transfer!CX235,Transfer!DK235,Transfer!DX235,Transfer!EK235)</f>
        <v>-9999</v>
      </c>
      <c r="AN235" s="1081">
        <f>CHOOSE(Tables!$U$2,Transfer!CL235,Transfer!CY235,Transfer!DL235,Transfer!DY235,Transfer!EL235)</f>
        <v>-9999</v>
      </c>
      <c r="AO235" s="1081">
        <f>CHOOSE(Tables!$U$2,Transfer!CM235,Transfer!CZ235,Transfer!DM235,Transfer!DZ235,Transfer!EM235)</f>
        <v>-9999</v>
      </c>
      <c r="AR235" s="22">
        <v>135</v>
      </c>
      <c r="AS235" s="1" t="s">
        <v>2005</v>
      </c>
      <c r="AT235" s="1778">
        <f>C239-AC235</f>
        <v>0</v>
      </c>
      <c r="AU235" s="1778">
        <f t="shared" si="23"/>
        <v>0</v>
      </c>
      <c r="AV235" s="1778">
        <f t="shared" si="24"/>
        <v>0</v>
      </c>
      <c r="AW235" s="1778">
        <f t="shared" si="25"/>
        <v>0</v>
      </c>
      <c r="AX235" s="1778">
        <f t="shared" si="26"/>
        <v>0</v>
      </c>
      <c r="AY235" s="25">
        <f t="shared" si="27"/>
        <v>0</v>
      </c>
      <c r="AZ235" s="25">
        <f t="shared" si="28"/>
        <v>0</v>
      </c>
      <c r="BA235" s="25">
        <f t="shared" si="29"/>
        <v>0</v>
      </c>
      <c r="BB235" s="25">
        <f t="shared" si="30"/>
        <v>0</v>
      </c>
      <c r="BC235" s="25">
        <f>L235-AL235</f>
        <v>0</v>
      </c>
      <c r="BD235" s="25">
        <f t="shared" si="21"/>
        <v>0</v>
      </c>
      <c r="BE235" s="25">
        <f t="shared" si="21"/>
        <v>0</v>
      </c>
      <c r="BF235" s="25">
        <f t="shared" si="21"/>
        <v>0</v>
      </c>
      <c r="CA235" s="16">
        <v>-9999</v>
      </c>
      <c r="CB235" s="16">
        <v>-9999</v>
      </c>
      <c r="CC235" s="16">
        <v>-9999</v>
      </c>
      <c r="CD235" s="16">
        <v>-9999</v>
      </c>
      <c r="CE235" s="16">
        <v>-9999</v>
      </c>
      <c r="CF235" s="16">
        <v>-9999</v>
      </c>
      <c r="CG235" s="16">
        <v>-9999</v>
      </c>
      <c r="CH235" s="16">
        <v>-9999</v>
      </c>
      <c r="CI235" s="16">
        <v>-9999</v>
      </c>
      <c r="CJ235" s="16">
        <v>-9999</v>
      </c>
      <c r="CK235" s="16">
        <v>-9999</v>
      </c>
      <c r="CL235" s="16">
        <v>-9999</v>
      </c>
      <c r="CM235" s="16">
        <v>-9999</v>
      </c>
      <c r="CN235" s="16">
        <v>-9999</v>
      </c>
      <c r="CO235" s="16">
        <v>-9999</v>
      </c>
      <c r="CP235" s="16">
        <v>-9999</v>
      </c>
      <c r="CQ235" s="16">
        <v>-9999</v>
      </c>
      <c r="CR235" s="16">
        <v>-9999</v>
      </c>
      <c r="CS235" s="16">
        <v>-9999</v>
      </c>
      <c r="CT235" s="16">
        <v>-9999</v>
      </c>
      <c r="CU235" s="16">
        <v>-9999</v>
      </c>
      <c r="CV235" s="16">
        <v>-9999</v>
      </c>
      <c r="CW235" s="16">
        <v>-9999</v>
      </c>
      <c r="CX235" s="16">
        <v>-9999</v>
      </c>
      <c r="CY235" s="16">
        <v>-9999</v>
      </c>
      <c r="CZ235" s="16">
        <v>-9999</v>
      </c>
      <c r="DA235" s="16">
        <v>-9999</v>
      </c>
      <c r="DB235" s="16">
        <v>-9999</v>
      </c>
      <c r="DC235" s="16">
        <v>-9999</v>
      </c>
      <c r="DD235" s="16">
        <v>-9999</v>
      </c>
      <c r="DE235" s="16">
        <v>-9999</v>
      </c>
      <c r="DF235" s="16">
        <v>-9999</v>
      </c>
      <c r="DG235" s="16">
        <v>-9999</v>
      </c>
      <c r="DH235" s="16">
        <v>-9999</v>
      </c>
      <c r="DI235" s="16">
        <v>-9999</v>
      </c>
      <c r="DJ235" s="16">
        <v>-9999</v>
      </c>
      <c r="DK235" s="16">
        <v>-9999</v>
      </c>
      <c r="DL235" s="16">
        <v>-9999</v>
      </c>
      <c r="DM235" s="16">
        <v>-9999</v>
      </c>
      <c r="DN235" s="16">
        <v>-9999</v>
      </c>
      <c r="DO235" s="16">
        <v>-9999</v>
      </c>
      <c r="DP235" s="16">
        <v>-9999</v>
      </c>
      <c r="DQ235" s="16">
        <v>-9999</v>
      </c>
      <c r="DR235" s="16">
        <v>-9999</v>
      </c>
      <c r="DS235" s="16">
        <v>-9999</v>
      </c>
      <c r="DT235" s="16">
        <v>-9999</v>
      </c>
      <c r="DU235" s="16">
        <v>-9999</v>
      </c>
      <c r="DV235" s="16">
        <v>-9999</v>
      </c>
      <c r="DW235" s="16">
        <v>-9999</v>
      </c>
      <c r="DX235" s="16">
        <v>-9999</v>
      </c>
      <c r="DY235" s="16">
        <v>-9999</v>
      </c>
      <c r="DZ235" s="16">
        <v>-9999</v>
      </c>
      <c r="EA235" s="2106">
        <v>-9999</v>
      </c>
      <c r="EB235" s="2106">
        <v>-9999</v>
      </c>
      <c r="EC235" s="2106">
        <v>-9999</v>
      </c>
      <c r="ED235" s="2106">
        <v>-9999</v>
      </c>
      <c r="EE235" s="2106">
        <v>-9999</v>
      </c>
      <c r="EF235" s="2107">
        <v>-9999</v>
      </c>
      <c r="EG235" s="2107">
        <v>-9999</v>
      </c>
      <c r="EH235" s="2107">
        <v>-9999</v>
      </c>
      <c r="EI235" s="2107">
        <v>-9999</v>
      </c>
      <c r="EJ235" s="2107">
        <v>-9999</v>
      </c>
      <c r="EK235" s="2107">
        <v>-9999</v>
      </c>
      <c r="EL235" s="2107">
        <v>-9999</v>
      </c>
      <c r="EM235" s="2107">
        <v>-9999</v>
      </c>
    </row>
    <row r="236" spans="1:143">
      <c r="A236" s="22">
        <v>136</v>
      </c>
      <c r="B236" s="33" t="s">
        <v>775</v>
      </c>
      <c r="C236" s="2915">
        <v>-9999</v>
      </c>
      <c r="D236" s="2915">
        <v>-9999</v>
      </c>
      <c r="E236" s="2915">
        <v>-9999</v>
      </c>
      <c r="F236" s="2915">
        <v>-9999</v>
      </c>
      <c r="G236" s="2915">
        <v>-9999</v>
      </c>
      <c r="H236" s="25">
        <v>-9999</v>
      </c>
      <c r="I236" s="25">
        <v>-9999</v>
      </c>
      <c r="J236" s="25">
        <v>-9999</v>
      </c>
      <c r="K236" s="25">
        <v>-9999</v>
      </c>
      <c r="L236" s="25">
        <v>-9999</v>
      </c>
      <c r="M236" s="25">
        <v>-9999</v>
      </c>
      <c r="N236" s="25">
        <v>-9999</v>
      </c>
      <c r="O236" s="25">
        <v>-9999</v>
      </c>
      <c r="P236" s="26"/>
      <c r="Q236"/>
      <c r="AA236" s="22">
        <v>136</v>
      </c>
      <c r="AB236" s="1081" t="str">
        <f t="shared" si="31"/>
        <v>GG NOTIFIED GDP FOR PUBLIC FINANCE</v>
      </c>
      <c r="AC236" s="1081">
        <f>CHOOSE(Tables!$U$2,Transfer!CA236,Transfer!CN236,Transfer!DA236,Transfer!DN236,Transfer!EA236)</f>
        <v>-9999</v>
      </c>
      <c r="AD236" s="1081">
        <f>CHOOSE(Tables!$U$2,Transfer!CB236,Transfer!CO236,Transfer!DB236,Transfer!DO236,Transfer!EB236)</f>
        <v>-9999</v>
      </c>
      <c r="AE236" s="1081">
        <f>CHOOSE(Tables!$U$2,Transfer!CC236,Transfer!CP236,Transfer!DC236,Transfer!DP236,Transfer!EC236)</f>
        <v>-9999</v>
      </c>
      <c r="AF236" s="1081">
        <f>CHOOSE(Tables!$U$2,Transfer!CD236,Transfer!CQ236,Transfer!DD236,Transfer!DQ236,Transfer!ED236)</f>
        <v>-9999</v>
      </c>
      <c r="AG236" s="1081">
        <f>CHOOSE(Tables!$U$2,Transfer!CE236,Transfer!CR236,Transfer!DE236,Transfer!DR236,Transfer!EE236)</f>
        <v>-9999</v>
      </c>
      <c r="AH236" s="1081">
        <f>CHOOSE(Tables!$U$2,Transfer!CF236,Transfer!CS236,Transfer!DF236,Transfer!DS236,Transfer!EF236)</f>
        <v>-9999</v>
      </c>
      <c r="AI236" s="1081">
        <f>CHOOSE(Tables!$U$2,Transfer!CG236,Transfer!CT236,Transfer!DG236,Transfer!DT236,Transfer!EG236)</f>
        <v>-9999</v>
      </c>
      <c r="AJ236" s="1081">
        <f>CHOOSE(Tables!$U$2,Transfer!CH236,Transfer!CU236,Transfer!DH236,Transfer!DU236,Transfer!EH236)</f>
        <v>-9999</v>
      </c>
      <c r="AK236" s="1081">
        <f>CHOOSE(Tables!$U$2,Transfer!CI236,Transfer!CV236,Transfer!DI236,Transfer!DV236,Transfer!EI236)</f>
        <v>-9999</v>
      </c>
      <c r="AL236" s="1081">
        <f>CHOOSE(Tables!$U$2,Transfer!CJ236,Transfer!CW236,Transfer!DJ236,Transfer!DW236,Transfer!EJ236)</f>
        <v>-9999</v>
      </c>
      <c r="AM236" s="1081">
        <f>CHOOSE(Tables!$U$2,Transfer!CK236,Transfer!CX236,Transfer!DK236,Transfer!DX236,Transfer!EK236)</f>
        <v>-9999</v>
      </c>
      <c r="AN236" s="1081">
        <f>CHOOSE(Tables!$U$2,Transfer!CL236,Transfer!CY236,Transfer!DL236,Transfer!DY236,Transfer!EL236)</f>
        <v>-9999</v>
      </c>
      <c r="AO236" s="1081">
        <f>CHOOSE(Tables!$U$2,Transfer!CM236,Transfer!CZ236,Transfer!DM236,Transfer!DZ236,Transfer!EM236)</f>
        <v>-9999</v>
      </c>
      <c r="AR236" s="22">
        <v>136</v>
      </c>
      <c r="AS236" s="33" t="s">
        <v>775</v>
      </c>
      <c r="AT236" s="1286">
        <f t="shared" si="22"/>
        <v>0</v>
      </c>
      <c r="AU236" s="1286">
        <f t="shared" si="23"/>
        <v>0</v>
      </c>
      <c r="AV236" s="1286">
        <f t="shared" si="24"/>
        <v>0</v>
      </c>
      <c r="AW236" s="1286">
        <f t="shared" si="25"/>
        <v>0</v>
      </c>
      <c r="AX236" s="1286">
        <f t="shared" si="26"/>
        <v>0</v>
      </c>
      <c r="AY236" s="25">
        <f t="shared" si="27"/>
        <v>0</v>
      </c>
      <c r="AZ236" s="25">
        <f t="shared" si="28"/>
        <v>0</v>
      </c>
      <c r="BA236" s="25">
        <f t="shared" si="29"/>
        <v>0</v>
      </c>
      <c r="BB236" s="25">
        <f t="shared" si="30"/>
        <v>0</v>
      </c>
      <c r="BC236" s="25">
        <f t="shared" si="21"/>
        <v>0</v>
      </c>
      <c r="BD236" s="25">
        <f t="shared" si="21"/>
        <v>0</v>
      </c>
      <c r="BE236" s="25">
        <f t="shared" si="21"/>
        <v>0</v>
      </c>
      <c r="BF236" s="25">
        <f t="shared" si="21"/>
        <v>0</v>
      </c>
      <c r="CA236" s="16">
        <v>-9999</v>
      </c>
      <c r="CB236" s="16">
        <v>-9999</v>
      </c>
      <c r="CC236" s="16">
        <v>-9999</v>
      </c>
      <c r="CD236" s="16">
        <v>-9999</v>
      </c>
      <c r="CE236" s="16">
        <v>-9999</v>
      </c>
      <c r="CF236" s="16">
        <v>-9999</v>
      </c>
      <c r="CG236" s="16">
        <v>-9999</v>
      </c>
      <c r="CH236" s="16">
        <v>-9999</v>
      </c>
      <c r="CI236" s="16">
        <v>-9999</v>
      </c>
      <c r="CJ236" s="16">
        <v>-9999</v>
      </c>
      <c r="CK236" s="16">
        <v>-9999</v>
      </c>
      <c r="CL236" s="16">
        <v>-9999</v>
      </c>
      <c r="CM236" s="16">
        <v>-9999</v>
      </c>
      <c r="CN236" s="16">
        <v>-9999</v>
      </c>
      <c r="CO236" s="16">
        <v>-9999</v>
      </c>
      <c r="CP236" s="16">
        <v>-9999</v>
      </c>
      <c r="CQ236" s="16">
        <v>-9999</v>
      </c>
      <c r="CR236" s="16">
        <v>-9999</v>
      </c>
      <c r="CS236" s="16">
        <v>-9999</v>
      </c>
      <c r="CT236" s="16">
        <v>-9999</v>
      </c>
      <c r="CU236" s="16">
        <v>-9999</v>
      </c>
      <c r="CV236" s="16">
        <v>-9999</v>
      </c>
      <c r="CW236" s="16">
        <v>-9999</v>
      </c>
      <c r="CX236" s="16">
        <v>-9999</v>
      </c>
      <c r="CY236" s="16">
        <v>-9999</v>
      </c>
      <c r="CZ236" s="16">
        <v>-9999</v>
      </c>
      <c r="DA236" s="16">
        <v>-9999</v>
      </c>
      <c r="DB236" s="16">
        <v>-9999</v>
      </c>
      <c r="DC236" s="16">
        <v>-9999</v>
      </c>
      <c r="DD236" s="16">
        <v>-9999</v>
      </c>
      <c r="DE236" s="16">
        <v>-9999</v>
      </c>
      <c r="DF236" s="16">
        <v>-9999</v>
      </c>
      <c r="DG236" s="16">
        <v>-9999</v>
      </c>
      <c r="DH236" s="16">
        <v>-9999</v>
      </c>
      <c r="DI236" s="16">
        <v>-9999</v>
      </c>
      <c r="DJ236" s="16">
        <v>-9999</v>
      </c>
      <c r="DK236" s="16">
        <v>-9999</v>
      </c>
      <c r="DL236" s="16">
        <v>-9999</v>
      </c>
      <c r="DM236" s="16">
        <v>-9999</v>
      </c>
      <c r="DN236" s="16">
        <v>-9999</v>
      </c>
      <c r="DO236" s="16">
        <v>-9999</v>
      </c>
      <c r="DP236" s="16">
        <v>-9999</v>
      </c>
      <c r="DQ236" s="16">
        <v>-9999</v>
      </c>
      <c r="DR236" s="16">
        <v>-9999</v>
      </c>
      <c r="DS236" s="16">
        <v>-9999</v>
      </c>
      <c r="DT236" s="16">
        <v>-9999</v>
      </c>
      <c r="DU236" s="16">
        <v>-9999</v>
      </c>
      <c r="DV236" s="16">
        <v>-9999</v>
      </c>
      <c r="DW236" s="16">
        <v>-9999</v>
      </c>
      <c r="DX236" s="16">
        <v>-9999</v>
      </c>
      <c r="DY236" s="16">
        <v>-9999</v>
      </c>
      <c r="DZ236" s="16">
        <v>-9999</v>
      </c>
      <c r="EA236" s="2106">
        <v>-9999</v>
      </c>
      <c r="EB236" s="2106">
        <v>-9999</v>
      </c>
      <c r="EC236" s="2106">
        <v>-9999</v>
      </c>
      <c r="ED236" s="2106">
        <v>-9999</v>
      </c>
      <c r="EE236" s="2106">
        <v>-9999</v>
      </c>
      <c r="EF236" s="2107">
        <v>-9999</v>
      </c>
      <c r="EG236" s="2107">
        <v>-9999</v>
      </c>
      <c r="EH236" s="2107">
        <v>-9999</v>
      </c>
      <c r="EI236" s="2107">
        <v>-9999</v>
      </c>
      <c r="EJ236" s="2107">
        <v>-9999</v>
      </c>
      <c r="EK236" s="2107">
        <v>-9999</v>
      </c>
      <c r="EL236" s="2107">
        <v>-9999</v>
      </c>
      <c r="EM236" s="2107">
        <v>-9999</v>
      </c>
    </row>
    <row r="237" spans="1:143">
      <c r="A237" s="22">
        <v>137</v>
      </c>
      <c r="B237" s="33" t="s">
        <v>735</v>
      </c>
      <c r="C237" s="24">
        <f ca="1">OFFSET(Sector1!F898,0,Last_forecast_year - 3-InputY!$G$3)</f>
        <v>-10.179399999999992</v>
      </c>
      <c r="D237" s="24">
        <f ca="1">OFFSET(Sector1!G898,0,Last_forecast_year - 3-InputY!$G$3)</f>
        <v>-10.492300000000027</v>
      </c>
      <c r="E237" s="24">
        <f ca="1">OFFSET(Sector1!H898,0,Last_forecast_year - 3-InputY!$G$3)</f>
        <v>-4.5226000000000059</v>
      </c>
      <c r="F237" s="24">
        <f ca="1">OFFSET(Sector1!I898,0,Last_forecast_year - 3-InputY!$G$3)</f>
        <v>-4.9425568757195668</v>
      </c>
      <c r="G237" s="24">
        <f ca="1">OFFSET(Sector1!J898,0,Last_forecast_year - 3-InputY!$G$3)</f>
        <v>-6.281124823636886</v>
      </c>
      <c r="H237" s="25">
        <v>-9999</v>
      </c>
      <c r="I237" s="25">
        <v>-9999</v>
      </c>
      <c r="J237" s="25">
        <v>-9999</v>
      </c>
      <c r="K237" s="25">
        <v>-9999</v>
      </c>
      <c r="L237" s="25">
        <v>-9999</v>
      </c>
      <c r="M237" s="25">
        <v>-9999</v>
      </c>
      <c r="N237" s="25">
        <v>-9999</v>
      </c>
      <c r="O237" s="25">
        <v>-9999</v>
      </c>
      <c r="P237"/>
      <c r="Q237"/>
      <c r="AA237" s="22">
        <v>137</v>
      </c>
      <c r="AB237" s="1081" t="str">
        <f t="shared" si="31"/>
        <v>GG EDP REPORTED DEFICIT / SURPLUS</v>
      </c>
      <c r="AC237" s="1081">
        <f>CHOOSE(Tables!$U$2,Transfer!CA237,Transfer!CN237,Transfer!DA237,Transfer!DN237,Transfer!EA237)</f>
        <v>-10.179399999999992</v>
      </c>
      <c r="AD237" s="1081">
        <f>CHOOSE(Tables!$U$2,Transfer!CB237,Transfer!CO237,Transfer!DB237,Transfer!DO237,Transfer!EB237)</f>
        <v>-10.492300000000027</v>
      </c>
      <c r="AE237" s="1081">
        <f>CHOOSE(Tables!$U$2,Transfer!CC237,Transfer!CP237,Transfer!DC237,Transfer!DP237,Transfer!EC237)</f>
        <v>-4.5226000000000059</v>
      </c>
      <c r="AF237" s="1081">
        <f>CHOOSE(Tables!$U$2,Transfer!CD237,Transfer!CQ237,Transfer!DD237,Transfer!DQ237,Transfer!ED237)</f>
        <v>-5.012893380513737</v>
      </c>
      <c r="AG237" s="1081">
        <f>CHOOSE(Tables!$U$2,Transfer!CE237,Transfer!CR237,Transfer!DE237,Transfer!DR237,Transfer!EE237)</f>
        <v>-6.604744478918902</v>
      </c>
      <c r="AH237" s="1081">
        <f>CHOOSE(Tables!$U$2,Transfer!CF237,Transfer!CS237,Transfer!DF237,Transfer!DS237,Transfer!EF237)</f>
        <v>-9999</v>
      </c>
      <c r="AI237" s="1081">
        <f>CHOOSE(Tables!$U$2,Transfer!CG237,Transfer!CT237,Transfer!DG237,Transfer!DT237,Transfer!EG237)</f>
        <v>-9999</v>
      </c>
      <c r="AJ237" s="1081">
        <f>CHOOSE(Tables!$U$2,Transfer!CH237,Transfer!CU237,Transfer!DH237,Transfer!DU237,Transfer!EH237)</f>
        <v>-9999</v>
      </c>
      <c r="AK237" s="1081">
        <f>CHOOSE(Tables!$U$2,Transfer!CI237,Transfer!CV237,Transfer!DI237,Transfer!DV237,Transfer!EI237)</f>
        <v>-9999</v>
      </c>
      <c r="AL237" s="1081">
        <f>CHOOSE(Tables!$U$2,Transfer!CJ237,Transfer!CW237,Transfer!DJ237,Transfer!DW237,Transfer!EJ237)</f>
        <v>-9999</v>
      </c>
      <c r="AM237" s="1081">
        <f>CHOOSE(Tables!$U$2,Transfer!CK237,Transfer!CX237,Transfer!DK237,Transfer!DX237,Transfer!EK237)</f>
        <v>-9999</v>
      </c>
      <c r="AN237" s="1081">
        <f>CHOOSE(Tables!$U$2,Transfer!CL237,Transfer!CY237,Transfer!DL237,Transfer!DY237,Transfer!EL237)</f>
        <v>-9999</v>
      </c>
      <c r="AO237" s="1081">
        <f>CHOOSE(Tables!$U$2,Transfer!CM237,Transfer!CZ237,Transfer!DM237,Transfer!DZ237,Transfer!EM237)</f>
        <v>-9999</v>
      </c>
      <c r="AR237" s="22">
        <v>137</v>
      </c>
      <c r="AS237" s="33" t="s">
        <v>735</v>
      </c>
      <c r="AT237" s="24">
        <f t="shared" ca="1" si="22"/>
        <v>0</v>
      </c>
      <c r="AU237" s="24">
        <f t="shared" ca="1" si="23"/>
        <v>0</v>
      </c>
      <c r="AV237" s="24">
        <f t="shared" ca="1" si="24"/>
        <v>0</v>
      </c>
      <c r="AW237" s="24">
        <f t="shared" ca="1" si="25"/>
        <v>7.0336504794170196E-2</v>
      </c>
      <c r="AX237" s="24">
        <f t="shared" ca="1" si="26"/>
        <v>0.32361965528201608</v>
      </c>
      <c r="AY237" s="25">
        <f t="shared" si="27"/>
        <v>0</v>
      </c>
      <c r="AZ237" s="25">
        <f t="shared" si="28"/>
        <v>0</v>
      </c>
      <c r="BA237" s="25">
        <f t="shared" si="29"/>
        <v>0</v>
      </c>
      <c r="BB237" s="25">
        <f t="shared" si="30"/>
        <v>0</v>
      </c>
      <c r="BC237" s="25">
        <f t="shared" si="21"/>
        <v>0</v>
      </c>
      <c r="BD237" s="25">
        <f t="shared" si="21"/>
        <v>0</v>
      </c>
      <c r="BE237" s="25">
        <f t="shared" si="21"/>
        <v>0</v>
      </c>
      <c r="BF237" s="25">
        <f t="shared" si="21"/>
        <v>0</v>
      </c>
      <c r="CA237" s="16">
        <v>-10.179399999999992</v>
      </c>
      <c r="CB237" s="16">
        <v>-10.492300000000027</v>
      </c>
      <c r="CC237" s="16">
        <v>-4.5226000000000059</v>
      </c>
      <c r="CD237" s="16">
        <v>-5.012893380513737</v>
      </c>
      <c r="CE237" s="16">
        <v>-6.604744478918902</v>
      </c>
      <c r="CF237" s="16">
        <v>-9999</v>
      </c>
      <c r="CG237" s="16">
        <v>-9999</v>
      </c>
      <c r="CH237" s="16">
        <v>-9999</v>
      </c>
      <c r="CI237" s="16">
        <v>-9999</v>
      </c>
      <c r="CJ237" s="16">
        <v>-9999</v>
      </c>
      <c r="CK237" s="16">
        <v>-9999</v>
      </c>
      <c r="CL237" s="16">
        <v>-9999</v>
      </c>
      <c r="CM237" s="16">
        <v>-9999</v>
      </c>
      <c r="CN237" s="16">
        <v>-10.144500000000001</v>
      </c>
      <c r="CO237" s="16">
        <v>-10.532000000000004</v>
      </c>
      <c r="CP237" s="16">
        <v>-4.7566199498945814</v>
      </c>
      <c r="CQ237" s="16">
        <v>-5.5212784851593266</v>
      </c>
      <c r="CR237" s="16">
        <v>-5.273747607794351</v>
      </c>
      <c r="CS237" s="16">
        <v>-9999</v>
      </c>
      <c r="CT237" s="16">
        <v>-9999</v>
      </c>
      <c r="CU237" s="16">
        <v>-9999</v>
      </c>
      <c r="CV237" s="16">
        <v>-9999</v>
      </c>
      <c r="CW237" s="16">
        <v>-9999</v>
      </c>
      <c r="CX237" s="16">
        <v>-9999</v>
      </c>
      <c r="CY237" s="16">
        <v>-9999</v>
      </c>
      <c r="CZ237" s="16">
        <v>-9999</v>
      </c>
      <c r="DA237" s="16">
        <v>-10.179399999999992</v>
      </c>
      <c r="DB237" s="16">
        <v>-10.492300000000027</v>
      </c>
      <c r="DC237" s="16">
        <v>-4.5226000000000059</v>
      </c>
      <c r="DD237" s="16">
        <v>-5.012893380513737</v>
      </c>
      <c r="DE237" s="16">
        <v>-6.604744478918902</v>
      </c>
      <c r="DF237" s="16">
        <v>-9999</v>
      </c>
      <c r="DG237" s="16">
        <v>-9999</v>
      </c>
      <c r="DH237" s="16">
        <v>-9999</v>
      </c>
      <c r="DI237" s="16">
        <v>-9999</v>
      </c>
      <c r="DJ237" s="16">
        <v>-9999</v>
      </c>
      <c r="DK237" s="16">
        <v>-9999</v>
      </c>
      <c r="DL237" s="16">
        <v>-9999</v>
      </c>
      <c r="DM237" s="16">
        <v>-9999</v>
      </c>
      <c r="DN237" s="16">
        <v>-10.179399999999992</v>
      </c>
      <c r="DO237" s="16">
        <v>-10.492300000000027</v>
      </c>
      <c r="DP237" s="16">
        <v>-4.5226000000000059</v>
      </c>
      <c r="DQ237" s="16">
        <v>-5.012893380513737</v>
      </c>
      <c r="DR237" s="16">
        <v>-6.604744478918902</v>
      </c>
      <c r="DS237" s="16">
        <v>-9999</v>
      </c>
      <c r="DT237" s="16">
        <v>-9999</v>
      </c>
      <c r="DU237" s="16">
        <v>-9999</v>
      </c>
      <c r="DV237" s="16">
        <v>-9999</v>
      </c>
      <c r="DW237" s="16">
        <v>-9999</v>
      </c>
      <c r="DX237" s="16">
        <v>-9999</v>
      </c>
      <c r="DY237" s="16">
        <v>-9999</v>
      </c>
      <c r="DZ237" s="16">
        <v>-9999</v>
      </c>
      <c r="EA237" s="2106">
        <v>-10.179399999999992</v>
      </c>
      <c r="EB237" s="2106">
        <v>-10.492300000000027</v>
      </c>
      <c r="EC237" s="2106">
        <v>-4.5226000000000059</v>
      </c>
      <c r="ED237" s="2106">
        <v>-4.9425568757195668</v>
      </c>
      <c r="EE237" s="2106">
        <v>-6.281124823636886</v>
      </c>
      <c r="EF237" s="2107">
        <v>-9999</v>
      </c>
      <c r="EG237" s="2107">
        <v>-9999</v>
      </c>
      <c r="EH237" s="2107">
        <v>-9999</v>
      </c>
      <c r="EI237" s="2107">
        <v>-9999</v>
      </c>
      <c r="EJ237" s="2107">
        <v>-9999</v>
      </c>
      <c r="EK237" s="2107">
        <v>-9999</v>
      </c>
      <c r="EL237" s="2107">
        <v>-9999</v>
      </c>
      <c r="EM237" s="2107">
        <v>-9999</v>
      </c>
    </row>
    <row r="238" spans="1:143">
      <c r="A238" s="22">
        <v>138</v>
      </c>
      <c r="B238" s="29" t="s">
        <v>1833</v>
      </c>
      <c r="C238" s="24">
        <f>IF(ISNUMBER(HLOOKUP(C$100,InputDFM!$2:$8,MATCH(Transfer!$A238&amp;" "&amp;Transfer!$B238,InputDFM!$AB$3:$AB$8,0)+1,FALSE)),HLOOKUP(C$100,InputDFM!$2:$8,MATCH(Transfer!$A238&amp;" "&amp;Transfer!$B238,InputDFM!$AB$3:$AB$8,0)+1,FALSE),-9999)</f>
        <v>-9999</v>
      </c>
      <c r="D238" s="24">
        <f>IF(ISNUMBER(HLOOKUP(D$100,InputDFM!$2:$8,MATCH(Transfer!$A238&amp;" "&amp;Transfer!$B238,InputDFM!$AB$3:$AB$8,0)+1,FALSE)),HLOOKUP(D$100,InputDFM!$2:$8,MATCH(Transfer!$A238&amp;" "&amp;Transfer!$B238,InputDFM!$AB$3:$AB$8,0)+1,FALSE),-9999)</f>
        <v>-9999</v>
      </c>
      <c r="E238" s="24">
        <f>IF(ISNUMBER(HLOOKUP(E$100,InputDFM!$2:$8,MATCH(Transfer!$A238&amp;" "&amp;Transfer!$B238,InputDFM!$AB$3:$AB$8,0)+1,FALSE)),HLOOKUP(E$100,InputDFM!$2:$8,MATCH(Transfer!$A238&amp;" "&amp;Transfer!$B238,InputDFM!$AB$3:$AB$8,0)+1,FALSE),-9999)</f>
        <v>-9999</v>
      </c>
      <c r="F238" s="24">
        <f>IF(ISNUMBER(HLOOKUP(F$100,InputDFM!$2:$8,MATCH(Transfer!$A238&amp;" "&amp;Transfer!$B238,InputDFM!$AB$3:$AB$8,0)+1,FALSE)),HLOOKUP(F$100,InputDFM!$2:$8,MATCH(Transfer!$A238&amp;" "&amp;Transfer!$B238,InputDFM!$AB$3:$AB$8,0)+1,FALSE),-9999)</f>
        <v>-9999</v>
      </c>
      <c r="G238" s="24">
        <f>IF(ISNUMBER(HLOOKUP(G$100,InputDFM!$2:$8,MATCH(Transfer!$A238&amp;" "&amp;Transfer!$B238,InputDFM!$AB$3:$AB$8,0)+1,FALSE)),HLOOKUP(G$100,InputDFM!$2:$8,MATCH(Transfer!$A238&amp;" "&amp;Transfer!$B238,InputDFM!$AB$3:$AB$8,0)+1,FALSE),-9999)</f>
        <v>-9999</v>
      </c>
      <c r="H238" s="25">
        <v>-9999</v>
      </c>
      <c r="I238" s="25">
        <v>-9999</v>
      </c>
      <c r="J238" s="25">
        <v>-9999</v>
      </c>
      <c r="K238" s="25">
        <v>-9999</v>
      </c>
      <c r="L238" s="25">
        <v>-9999</v>
      </c>
      <c r="M238" s="25">
        <v>-9999</v>
      </c>
      <c r="N238" s="25">
        <v>-9999</v>
      </c>
      <c r="O238" s="25">
        <v>-9999</v>
      </c>
      <c r="P238" s="26"/>
      <c r="Q238"/>
      <c r="AA238" s="22">
        <v>138</v>
      </c>
      <c r="AB238" s="1081" t="e">
        <f>+#REF!</f>
        <v>#REF!</v>
      </c>
      <c r="AC238" s="1081">
        <f>CHOOSE(Tables!$U$2,Transfer!CA238,Transfer!CN238,Transfer!DA238,Transfer!DN238,Transfer!EA238)</f>
        <v>-9999</v>
      </c>
      <c r="AD238" s="1081">
        <f>CHOOSE(Tables!$U$2,Transfer!CB238,Transfer!CO238,Transfer!DB238,Transfer!DO238,Transfer!EB238)</f>
        <v>-9999</v>
      </c>
      <c r="AE238" s="1081">
        <f>CHOOSE(Tables!$U$2,Transfer!CC238,Transfer!CP238,Transfer!DC238,Transfer!DP238,Transfer!EC238)</f>
        <v>-9999</v>
      </c>
      <c r="AF238" s="1081">
        <f>CHOOSE(Tables!$U$2,Transfer!CD238,Transfer!CQ238,Transfer!DD238,Transfer!DQ238,Transfer!ED238)</f>
        <v>-9999</v>
      </c>
      <c r="AG238" s="1081">
        <f>CHOOSE(Tables!$U$2,Transfer!CE238,Transfer!CR238,Transfer!DE238,Transfer!DR238,Transfer!EE238)</f>
        <v>-9999</v>
      </c>
      <c r="AH238" s="1081">
        <f>CHOOSE(Tables!$U$2,Transfer!CF238,Transfer!CS238,Transfer!DF238,Transfer!DS238,Transfer!EF238)</f>
        <v>-9999</v>
      </c>
      <c r="AI238" s="1081">
        <f>CHOOSE(Tables!$U$2,Transfer!CG238,Transfer!CT238,Transfer!DG238,Transfer!DT238,Transfer!EG238)</f>
        <v>-9999</v>
      </c>
      <c r="AJ238" s="1081">
        <f>CHOOSE(Tables!$U$2,Transfer!CH238,Transfer!CU238,Transfer!DH238,Transfer!DU238,Transfer!EH238)</f>
        <v>-9999</v>
      </c>
      <c r="AK238" s="1081">
        <f>CHOOSE(Tables!$U$2,Transfer!CI238,Transfer!CV238,Transfer!DI238,Transfer!DV238,Transfer!EI238)</f>
        <v>-9999</v>
      </c>
      <c r="AL238" s="1081">
        <f>CHOOSE(Tables!$U$2,Transfer!CJ238,Transfer!CW238,Transfer!DJ238,Transfer!DW238,Transfer!EJ238)</f>
        <v>-9999</v>
      </c>
      <c r="AM238" s="1081">
        <f>CHOOSE(Tables!$U$2,Transfer!CK238,Transfer!CX238,Transfer!DK238,Transfer!DX238,Transfer!EK238)</f>
        <v>-9999</v>
      </c>
      <c r="AN238" s="1081">
        <f>CHOOSE(Tables!$U$2,Transfer!CL238,Transfer!CY238,Transfer!DL238,Transfer!DY238,Transfer!EL238)</f>
        <v>-9999</v>
      </c>
      <c r="AO238" s="1081">
        <f>CHOOSE(Tables!$U$2,Transfer!CM238,Transfer!CZ238,Transfer!DM238,Transfer!DZ238,Transfer!EM238)</f>
        <v>-9999</v>
      </c>
      <c r="AR238" s="22">
        <v>138</v>
      </c>
      <c r="AS238" s="1" t="s">
        <v>2006</v>
      </c>
      <c r="AT238" s="1286" t="e">
        <f>#REF!-AC238</f>
        <v>#REF!</v>
      </c>
      <c r="AU238" s="1286">
        <f t="shared" si="23"/>
        <v>0</v>
      </c>
      <c r="AV238" s="1286">
        <f t="shared" si="24"/>
        <v>0</v>
      </c>
      <c r="AW238" s="1286">
        <f t="shared" si="25"/>
        <v>0</v>
      </c>
      <c r="AX238" s="1286">
        <f t="shared" si="26"/>
        <v>0</v>
      </c>
      <c r="AY238" s="25">
        <f t="shared" si="27"/>
        <v>0</v>
      </c>
      <c r="AZ238" s="25">
        <f t="shared" si="28"/>
        <v>0</v>
      </c>
      <c r="BA238" s="25">
        <f t="shared" si="29"/>
        <v>0</v>
      </c>
      <c r="BB238" s="25">
        <f t="shared" si="30"/>
        <v>0</v>
      </c>
      <c r="BC238" s="25">
        <f t="shared" si="21"/>
        <v>0</v>
      </c>
      <c r="BD238" s="25">
        <f t="shared" si="21"/>
        <v>0</v>
      </c>
      <c r="BE238" s="25">
        <f t="shared" si="21"/>
        <v>0</v>
      </c>
      <c r="BF238" s="25">
        <f t="shared" si="21"/>
        <v>0</v>
      </c>
      <c r="CA238" s="16">
        <v>-9999</v>
      </c>
      <c r="CB238" s="16">
        <v>-9999</v>
      </c>
      <c r="CC238" s="16">
        <v>-9999</v>
      </c>
      <c r="CD238" s="16">
        <v>-9999</v>
      </c>
      <c r="CE238" s="16">
        <v>-9999</v>
      </c>
      <c r="CF238" s="16">
        <v>-9999</v>
      </c>
      <c r="CG238" s="16">
        <v>-9999</v>
      </c>
      <c r="CH238" s="16">
        <v>-9999</v>
      </c>
      <c r="CI238" s="16">
        <v>-9999</v>
      </c>
      <c r="CJ238" s="16">
        <v>-9999</v>
      </c>
      <c r="CK238" s="16">
        <v>-9999</v>
      </c>
      <c r="CL238" s="16">
        <v>-9999</v>
      </c>
      <c r="CM238" s="16">
        <v>-9999</v>
      </c>
      <c r="CN238" s="16">
        <v>-9999</v>
      </c>
      <c r="CO238" s="16">
        <v>-9999</v>
      </c>
      <c r="CP238" s="16">
        <v>-9999</v>
      </c>
      <c r="CQ238" s="16">
        <v>-9999</v>
      </c>
      <c r="CR238" s="16">
        <v>-9999</v>
      </c>
      <c r="CS238" s="16">
        <v>-9999</v>
      </c>
      <c r="CT238" s="16">
        <v>-9999</v>
      </c>
      <c r="CU238" s="16">
        <v>-9999</v>
      </c>
      <c r="CV238" s="16">
        <v>-9999</v>
      </c>
      <c r="CW238" s="16">
        <v>-9999</v>
      </c>
      <c r="CX238" s="16">
        <v>-9999</v>
      </c>
      <c r="CY238" s="16">
        <v>-9999</v>
      </c>
      <c r="CZ238" s="16">
        <v>-9999</v>
      </c>
      <c r="DA238" s="16">
        <v>-9999</v>
      </c>
      <c r="DB238" s="16">
        <v>-9999</v>
      </c>
      <c r="DC238" s="16">
        <v>-9999</v>
      </c>
      <c r="DD238" s="16">
        <v>-9999</v>
      </c>
      <c r="DE238" s="16">
        <v>-9999</v>
      </c>
      <c r="DF238" s="16">
        <v>-9999</v>
      </c>
      <c r="DG238" s="16">
        <v>-9999</v>
      </c>
      <c r="DH238" s="16">
        <v>-9999</v>
      </c>
      <c r="DI238" s="16">
        <v>-9999</v>
      </c>
      <c r="DJ238" s="16">
        <v>-9999</v>
      </c>
      <c r="DK238" s="16">
        <v>-9999</v>
      </c>
      <c r="DL238" s="16">
        <v>-9999</v>
      </c>
      <c r="DM238" s="16">
        <v>-9999</v>
      </c>
      <c r="DN238" s="16">
        <v>-9999</v>
      </c>
      <c r="DO238" s="16">
        <v>-9999</v>
      </c>
      <c r="DP238" s="16">
        <v>-9999</v>
      </c>
      <c r="DQ238" s="16">
        <v>-9999</v>
      </c>
      <c r="DR238" s="16">
        <v>-9999</v>
      </c>
      <c r="DS238" s="16">
        <v>-9999</v>
      </c>
      <c r="DT238" s="16">
        <v>-9999</v>
      </c>
      <c r="DU238" s="16">
        <v>-9999</v>
      </c>
      <c r="DV238" s="16">
        <v>-9999</v>
      </c>
      <c r="DW238" s="16">
        <v>-9999</v>
      </c>
      <c r="DX238" s="16">
        <v>-9999</v>
      </c>
      <c r="DY238" s="16">
        <v>-9999</v>
      </c>
      <c r="DZ238" s="16">
        <v>-9999</v>
      </c>
      <c r="EA238" s="2106">
        <v>-9999</v>
      </c>
      <c r="EB238" s="2106">
        <v>-9999</v>
      </c>
      <c r="EC238" s="2106">
        <v>-9999</v>
      </c>
      <c r="ED238" s="2106">
        <v>-9999</v>
      </c>
      <c r="EE238" s="2106">
        <v>-9999</v>
      </c>
      <c r="EF238" s="2107">
        <v>-9999</v>
      </c>
      <c r="EG238" s="2107">
        <v>-9999</v>
      </c>
      <c r="EH238" s="2107">
        <v>-9999</v>
      </c>
      <c r="EI238" s="2107">
        <v>-9999</v>
      </c>
      <c r="EJ238" s="2107">
        <v>-9999</v>
      </c>
      <c r="EK238" s="2107">
        <v>-9999</v>
      </c>
      <c r="EL238" s="2107">
        <v>-9999</v>
      </c>
      <c r="EM238" s="2107">
        <v>-9999</v>
      </c>
    </row>
    <row r="239" spans="1:143">
      <c r="A239" s="22">
        <v>139</v>
      </c>
      <c r="B239" s="1" t="s">
        <v>746</v>
      </c>
      <c r="C239" s="24">
        <f>IF(ISNUMBER(HLOOKUP(C$100,InputDFM!$2:$8,MATCH(Transfer!$A239&amp;" "&amp;Transfer!$B239,InputDFM!$AB$3:$AB$8,0)+1,FALSE)),HLOOKUP(C$100,InputDFM!$2:$8,MATCH(Transfer!$A239&amp;" "&amp;Transfer!$B239,InputDFM!$AB$3:$AB$8,0)+1,FALSE),-9999)</f>
        <v>-9999</v>
      </c>
      <c r="D239" s="24">
        <f>IF(ISNUMBER(HLOOKUP(D$100,InputDFM!$2:$8,MATCH(Transfer!$A239&amp;" "&amp;Transfer!$B239,InputDFM!$AB$3:$AB$8,0)+1,FALSE)),HLOOKUP(D$100,InputDFM!$2:$8,MATCH(Transfer!$A239&amp;" "&amp;Transfer!$B239,InputDFM!$AB$3:$AB$8,0)+1,FALSE),-9999)</f>
        <v>-9999</v>
      </c>
      <c r="E239" s="24">
        <f>IF(ISNUMBER(HLOOKUP(E$100,InputDFM!$2:$8,MATCH(Transfer!$A239&amp;" "&amp;Transfer!$B239,InputDFM!$AB$3:$AB$8,0)+1,FALSE)),HLOOKUP(E$100,InputDFM!$2:$8,MATCH(Transfer!$A239&amp;" "&amp;Transfer!$B239,InputDFM!$AB$3:$AB$8,0)+1,FALSE),-9999)</f>
        <v>-9999</v>
      </c>
      <c r="F239" s="24">
        <f>IF(ISNUMBER(HLOOKUP(F$100,InputDFM!$2:$8,MATCH(Transfer!$A239&amp;" "&amp;Transfer!$B239,InputDFM!$AB$3:$AB$8,0)+1,FALSE)),HLOOKUP(F$100,InputDFM!$2:$8,MATCH(Transfer!$A239&amp;" "&amp;Transfer!$B239,InputDFM!$AB$3:$AB$8,0)+1,FALSE),-9999)</f>
        <v>-9999</v>
      </c>
      <c r="G239" s="24">
        <f>IF(ISNUMBER(HLOOKUP(G$100,InputDFM!$2:$8,MATCH(Transfer!$A239&amp;" "&amp;Transfer!$B239,InputDFM!$AB$3:$AB$8,0)+1,FALSE)),HLOOKUP(G$100,InputDFM!$2:$8,MATCH(Transfer!$A239&amp;" "&amp;Transfer!$B239,InputDFM!$AB$3:$AB$8,0)+1,FALSE),-9999)</f>
        <v>-9999</v>
      </c>
      <c r="H239" s="25">
        <v>-9999</v>
      </c>
      <c r="I239" s="25">
        <v>-9999</v>
      </c>
      <c r="J239" s="25">
        <v>-9999</v>
      </c>
      <c r="K239" s="25">
        <v>-9999</v>
      </c>
      <c r="L239" s="25">
        <v>-9999</v>
      </c>
      <c r="M239" s="25">
        <v>-9999</v>
      </c>
      <c r="N239" s="25">
        <v>-9999</v>
      </c>
      <c r="O239" s="25">
        <v>-9999</v>
      </c>
      <c r="P239" s="26"/>
      <c r="Q239"/>
      <c r="AA239" s="22">
        <v>139</v>
      </c>
      <c r="AB239" s="1081" t="e">
        <f>+#REF!</f>
        <v>#REF!</v>
      </c>
      <c r="AC239" s="1081">
        <f>CHOOSE(Tables!$U$2,Transfer!CA239,Transfer!CN239,Transfer!DA239,Transfer!DN239,Transfer!EA239)</f>
        <v>-9999</v>
      </c>
      <c r="AD239" s="1081">
        <f>CHOOSE(Tables!$U$2,Transfer!CB239,Transfer!CO239,Transfer!DB239,Transfer!DO239,Transfer!EB239)</f>
        <v>-9999</v>
      </c>
      <c r="AE239" s="1081">
        <f>CHOOSE(Tables!$U$2,Transfer!CC239,Transfer!CP239,Transfer!DC239,Transfer!DP239,Transfer!EC239)</f>
        <v>-9999</v>
      </c>
      <c r="AF239" s="1081">
        <f>CHOOSE(Tables!$U$2,Transfer!CD239,Transfer!CQ239,Transfer!DD239,Transfer!DQ239,Transfer!ED239)</f>
        <v>-9999</v>
      </c>
      <c r="AG239" s="1081">
        <f>CHOOSE(Tables!$U$2,Transfer!CE239,Transfer!CR239,Transfer!DE239,Transfer!DR239,Transfer!EE239)</f>
        <v>-9999</v>
      </c>
      <c r="AH239" s="1081">
        <f>CHOOSE(Tables!$U$2,Transfer!CF239,Transfer!CS239,Transfer!DF239,Transfer!DS239,Transfer!EF239)</f>
        <v>-9999</v>
      </c>
      <c r="AI239" s="1081">
        <f>CHOOSE(Tables!$U$2,Transfer!CG239,Transfer!CT239,Transfer!DG239,Transfer!DT239,Transfer!EG239)</f>
        <v>-9999</v>
      </c>
      <c r="AJ239" s="1081">
        <f>CHOOSE(Tables!$U$2,Transfer!CH239,Transfer!CU239,Transfer!DH239,Transfer!DU239,Transfer!EH239)</f>
        <v>-9999</v>
      </c>
      <c r="AK239" s="1081">
        <f>CHOOSE(Tables!$U$2,Transfer!CI239,Transfer!CV239,Transfer!DI239,Transfer!DV239,Transfer!EI239)</f>
        <v>-9999</v>
      </c>
      <c r="AL239" s="1081">
        <f>CHOOSE(Tables!$U$2,Transfer!CJ239,Transfer!CW239,Transfer!DJ239,Transfer!DW239,Transfer!EJ239)</f>
        <v>-9999</v>
      </c>
      <c r="AM239" s="1081">
        <f>CHOOSE(Tables!$U$2,Transfer!CK239,Transfer!CX239,Transfer!DK239,Transfer!DX239,Transfer!EK239)</f>
        <v>-9999</v>
      </c>
      <c r="AN239" s="1081">
        <f>CHOOSE(Tables!$U$2,Transfer!CL239,Transfer!CY239,Transfer!DL239,Transfer!DY239,Transfer!EL239)</f>
        <v>-9999</v>
      </c>
      <c r="AO239" s="1081">
        <f>CHOOSE(Tables!$U$2,Transfer!CM239,Transfer!CZ239,Transfer!DM239,Transfer!DZ239,Transfer!EM239)</f>
        <v>-9999</v>
      </c>
      <c r="AR239" s="22">
        <v>139</v>
      </c>
      <c r="AS239" s="1" t="s">
        <v>2008</v>
      </c>
      <c r="AT239" s="1286" t="e">
        <f>#REF!-AC239</f>
        <v>#REF!</v>
      </c>
      <c r="AU239" s="1286">
        <f t="shared" si="23"/>
        <v>0</v>
      </c>
      <c r="AV239" s="1286">
        <f t="shared" si="24"/>
        <v>0</v>
      </c>
      <c r="AW239" s="1286">
        <f t="shared" si="25"/>
        <v>0</v>
      </c>
      <c r="AX239" s="1286">
        <f t="shared" si="26"/>
        <v>0</v>
      </c>
      <c r="AY239" s="25">
        <f t="shared" si="27"/>
        <v>0</v>
      </c>
      <c r="AZ239" s="25">
        <f t="shared" si="28"/>
        <v>0</v>
      </c>
      <c r="BA239" s="25">
        <f t="shared" si="29"/>
        <v>0</v>
      </c>
      <c r="BB239" s="25">
        <f t="shared" si="30"/>
        <v>0</v>
      </c>
      <c r="BC239" s="25">
        <f t="shared" si="21"/>
        <v>0</v>
      </c>
      <c r="BD239" s="25">
        <f t="shared" si="21"/>
        <v>0</v>
      </c>
      <c r="BE239" s="25">
        <f t="shared" si="21"/>
        <v>0</v>
      </c>
      <c r="BF239" s="25">
        <f t="shared" si="21"/>
        <v>0</v>
      </c>
      <c r="CA239" s="16">
        <v>-9999</v>
      </c>
      <c r="CB239" s="16">
        <v>-9999</v>
      </c>
      <c r="CC239" s="16">
        <v>-9999</v>
      </c>
      <c r="CD239" s="16">
        <v>-9999</v>
      </c>
      <c r="CE239" s="16">
        <v>-9999</v>
      </c>
      <c r="CF239" s="16">
        <v>-9999</v>
      </c>
      <c r="CG239" s="16">
        <v>-9999</v>
      </c>
      <c r="CH239" s="16">
        <v>-9999</v>
      </c>
      <c r="CI239" s="16">
        <v>-9999</v>
      </c>
      <c r="CJ239" s="16">
        <v>-9999</v>
      </c>
      <c r="CK239" s="16">
        <v>-9999</v>
      </c>
      <c r="CL239" s="16">
        <v>-9999</v>
      </c>
      <c r="CM239" s="16">
        <v>-9999</v>
      </c>
      <c r="CN239" s="16">
        <v>-9999</v>
      </c>
      <c r="CO239" s="16">
        <v>-9999</v>
      </c>
      <c r="CP239" s="16">
        <v>-9999</v>
      </c>
      <c r="CQ239" s="16">
        <v>-9999</v>
      </c>
      <c r="CR239" s="16">
        <v>-9999</v>
      </c>
      <c r="CS239" s="16">
        <v>-9999</v>
      </c>
      <c r="CT239" s="16">
        <v>-9999</v>
      </c>
      <c r="CU239" s="16">
        <v>-9999</v>
      </c>
      <c r="CV239" s="16">
        <v>-9999</v>
      </c>
      <c r="CW239" s="16">
        <v>-9999</v>
      </c>
      <c r="CX239" s="16">
        <v>-9999</v>
      </c>
      <c r="CY239" s="16">
        <v>-9999</v>
      </c>
      <c r="CZ239" s="16">
        <v>-9999</v>
      </c>
      <c r="DA239" s="16">
        <v>-9999</v>
      </c>
      <c r="DB239" s="16">
        <v>-9999</v>
      </c>
      <c r="DC239" s="16">
        <v>-9999</v>
      </c>
      <c r="DD239" s="16">
        <v>-9999</v>
      </c>
      <c r="DE239" s="16">
        <v>-9999</v>
      </c>
      <c r="DF239" s="16">
        <v>-9999</v>
      </c>
      <c r="DG239" s="16">
        <v>-9999</v>
      </c>
      <c r="DH239" s="16">
        <v>-9999</v>
      </c>
      <c r="DI239" s="16">
        <v>-9999</v>
      </c>
      <c r="DJ239" s="16">
        <v>-9999</v>
      </c>
      <c r="DK239" s="16">
        <v>-9999</v>
      </c>
      <c r="DL239" s="16">
        <v>-9999</v>
      </c>
      <c r="DM239" s="16">
        <v>-9999</v>
      </c>
      <c r="DN239" s="16">
        <v>-9999</v>
      </c>
      <c r="DO239" s="16">
        <v>-9999</v>
      </c>
      <c r="DP239" s="16">
        <v>-9999</v>
      </c>
      <c r="DQ239" s="16">
        <v>-9999</v>
      </c>
      <c r="DR239" s="16">
        <v>-9999</v>
      </c>
      <c r="DS239" s="16">
        <v>-9999</v>
      </c>
      <c r="DT239" s="16">
        <v>-9999</v>
      </c>
      <c r="DU239" s="16">
        <v>-9999</v>
      </c>
      <c r="DV239" s="16">
        <v>-9999</v>
      </c>
      <c r="DW239" s="16">
        <v>-9999</v>
      </c>
      <c r="DX239" s="16">
        <v>-9999</v>
      </c>
      <c r="DY239" s="16">
        <v>-9999</v>
      </c>
      <c r="DZ239" s="16">
        <v>-9999</v>
      </c>
      <c r="EA239" s="2106">
        <v>-9999</v>
      </c>
      <c r="EB239" s="2106">
        <v>-9999</v>
      </c>
      <c r="EC239" s="2106">
        <v>-9999</v>
      </c>
      <c r="ED239" s="2106">
        <v>-9999</v>
      </c>
      <c r="EE239" s="2106">
        <v>-9999</v>
      </c>
      <c r="EF239" s="2107">
        <v>-9999</v>
      </c>
      <c r="EG239" s="2107">
        <v>-9999</v>
      </c>
      <c r="EH239" s="2107">
        <v>-9999</v>
      </c>
      <c r="EI239" s="2107">
        <v>-9999</v>
      </c>
      <c r="EJ239" s="2107">
        <v>-9999</v>
      </c>
      <c r="EK239" s="2107">
        <v>-9999</v>
      </c>
      <c r="EL239" s="2107">
        <v>-9999</v>
      </c>
      <c r="EM239" s="2107">
        <v>-9999</v>
      </c>
    </row>
    <row r="240" spans="1:143">
      <c r="A240" s="22">
        <v>140</v>
      </c>
      <c r="B240" s="1" t="s">
        <v>2010</v>
      </c>
      <c r="C240" s="24">
        <f ca="1">OFFSET(Sector1!F1123,0,Last_forecast_year - 3-InputY!$G$3)</f>
        <v>-0.93439999999999745</v>
      </c>
      <c r="D240" s="24">
        <f ca="1">OFFSET(Sector1!G1123,0,Last_forecast_year - 3-InputY!$G$3)</f>
        <v>2.692900000000003</v>
      </c>
      <c r="E240" s="24">
        <f ca="1">OFFSET(Sector1!H1123,0,Last_forecast_year - 3-InputY!$G$3)</f>
        <v>3.6839955277492145</v>
      </c>
      <c r="F240" s="24">
        <f ca="1">OFFSET(Sector1!I1123,0,Last_forecast_year - 3-InputY!$G$3)</f>
        <v>4.3135151179095921</v>
      </c>
      <c r="G240" s="24">
        <f ca="1">OFFSET(Sector1!J1123,0,Last_forecast_year - 3-InputY!$G$3)</f>
        <v>4.3841903318123805</v>
      </c>
      <c r="H240" s="25">
        <v>-9999</v>
      </c>
      <c r="I240" s="25">
        <v>-9999</v>
      </c>
      <c r="J240" s="25">
        <v>-9999</v>
      </c>
      <c r="K240" s="25">
        <v>-9999</v>
      </c>
      <c r="L240" s="25">
        <v>-9999</v>
      </c>
      <c r="M240" s="25">
        <v>-9999</v>
      </c>
      <c r="N240" s="25">
        <v>-9999</v>
      </c>
      <c r="O240" s="25">
        <v>-9999</v>
      </c>
      <c r="P240"/>
      <c r="Q240"/>
      <c r="AA240" s="22">
        <v>140</v>
      </c>
      <c r="AB240" s="1081" t="str">
        <f t="shared" si="31"/>
        <v>BALANCE OF PRIMARY INCOME</v>
      </c>
      <c r="AC240" s="1081">
        <f>CHOOSE(Tables!$U$2,Transfer!CA240,Transfer!CN240,Transfer!DA240,Transfer!DN240,Transfer!EA240)</f>
        <v>-0.93439999999999745</v>
      </c>
      <c r="AD240" s="1081">
        <f>CHOOSE(Tables!$U$2,Transfer!CB240,Transfer!CO240,Transfer!DB240,Transfer!DO240,Transfer!EB240)</f>
        <v>2.692900000000003</v>
      </c>
      <c r="AE240" s="1081">
        <f>CHOOSE(Tables!$U$2,Transfer!CC240,Transfer!CP240,Transfer!DC240,Transfer!DP240,Transfer!EC240)</f>
        <v>3.6839955277492145</v>
      </c>
      <c r="AF240" s="1081">
        <f>CHOOSE(Tables!$U$2,Transfer!CD240,Transfer!CQ240,Transfer!DD240,Transfer!DQ240,Transfer!ED240)</f>
        <v>4.3490657267776198</v>
      </c>
      <c r="AG240" s="1081">
        <f>CHOOSE(Tables!$U$2,Transfer!CE240,Transfer!CR240,Transfer!DE240,Transfer!DR240,Transfer!EE240)</f>
        <v>4.4889842090092031</v>
      </c>
      <c r="AH240" s="1081">
        <f>CHOOSE(Tables!$U$2,Transfer!CF240,Transfer!CS240,Transfer!DF240,Transfer!DS240,Transfer!EF240)</f>
        <v>-9999</v>
      </c>
      <c r="AI240" s="1081">
        <f>CHOOSE(Tables!$U$2,Transfer!CG240,Transfer!CT240,Transfer!DG240,Transfer!DT240,Transfer!EG240)</f>
        <v>-9999</v>
      </c>
      <c r="AJ240" s="1081">
        <f>CHOOSE(Tables!$U$2,Transfer!CH240,Transfer!CU240,Transfer!DH240,Transfer!DU240,Transfer!EH240)</f>
        <v>-9999</v>
      </c>
      <c r="AK240" s="1081">
        <f>CHOOSE(Tables!$U$2,Transfer!CI240,Transfer!CV240,Transfer!DI240,Transfer!DV240,Transfer!EI240)</f>
        <v>-9999</v>
      </c>
      <c r="AL240" s="1081">
        <f>CHOOSE(Tables!$U$2,Transfer!CJ240,Transfer!CW240,Transfer!DJ240,Transfer!DW240,Transfer!EJ240)</f>
        <v>-9999</v>
      </c>
      <c r="AM240" s="1081">
        <f>CHOOSE(Tables!$U$2,Transfer!CK240,Transfer!CX240,Transfer!DK240,Transfer!DX240,Transfer!EK240)</f>
        <v>-9999</v>
      </c>
      <c r="AN240" s="1081">
        <f>CHOOSE(Tables!$U$2,Transfer!CL240,Transfer!CY240,Transfer!DL240,Transfer!DY240,Transfer!EL240)</f>
        <v>-9999</v>
      </c>
      <c r="AO240" s="1081">
        <f>CHOOSE(Tables!$U$2,Transfer!CM240,Transfer!CZ240,Transfer!DM240,Transfer!DZ240,Transfer!EM240)</f>
        <v>-9999</v>
      </c>
      <c r="AR240" s="22">
        <v>140</v>
      </c>
      <c r="AS240" s="1" t="s">
        <v>2010</v>
      </c>
      <c r="AT240" s="24">
        <f t="shared" ca="1" si="22"/>
        <v>0</v>
      </c>
      <c r="AU240" s="24">
        <f t="shared" ca="1" si="23"/>
        <v>0</v>
      </c>
      <c r="AV240" s="24">
        <f t="shared" ca="1" si="24"/>
        <v>0</v>
      </c>
      <c r="AW240" s="24">
        <f t="shared" ca="1" si="25"/>
        <v>-3.5550608868027744E-2</v>
      </c>
      <c r="AX240" s="24">
        <f t="shared" ca="1" si="26"/>
        <v>-0.10479387719682265</v>
      </c>
      <c r="AY240" s="25">
        <f t="shared" si="27"/>
        <v>0</v>
      </c>
      <c r="AZ240" s="25">
        <f t="shared" si="28"/>
        <v>0</v>
      </c>
      <c r="BA240" s="25">
        <f t="shared" si="29"/>
        <v>0</v>
      </c>
      <c r="BB240" s="25">
        <f t="shared" si="30"/>
        <v>0</v>
      </c>
      <c r="BC240" s="25">
        <f t="shared" si="21"/>
        <v>0</v>
      </c>
      <c r="BD240" s="25">
        <f t="shared" si="21"/>
        <v>0</v>
      </c>
      <c r="BE240" s="25">
        <f t="shared" si="21"/>
        <v>0</v>
      </c>
      <c r="BF240" s="25">
        <f t="shared" si="21"/>
        <v>0</v>
      </c>
      <c r="CA240" s="16">
        <v>-0.93439999999999745</v>
      </c>
      <c r="CB240" s="16">
        <v>2.692900000000003</v>
      </c>
      <c r="CC240" s="16">
        <v>3.6839955277492145</v>
      </c>
      <c r="CD240" s="16">
        <v>4.3490657267776198</v>
      </c>
      <c r="CE240" s="16">
        <v>4.4889842090092031</v>
      </c>
      <c r="CF240" s="16">
        <v>-9999</v>
      </c>
      <c r="CG240" s="16">
        <v>-9999</v>
      </c>
      <c r="CH240" s="16">
        <v>-9999</v>
      </c>
      <c r="CI240" s="16">
        <v>-9999</v>
      </c>
      <c r="CJ240" s="16">
        <v>-9999</v>
      </c>
      <c r="CK240" s="16">
        <v>-9999</v>
      </c>
      <c r="CL240" s="16">
        <v>-9999</v>
      </c>
      <c r="CM240" s="16">
        <v>-9999</v>
      </c>
      <c r="CN240" s="16">
        <v>-0.93439999999999745</v>
      </c>
      <c r="CO240" s="16">
        <v>2.692900000000003</v>
      </c>
      <c r="CP240" s="16">
        <v>3.0001665938031321</v>
      </c>
      <c r="CQ240" s="16">
        <v>3.1879112310482922</v>
      </c>
      <c r="CR240" s="16">
        <v>3.3663859056158962</v>
      </c>
      <c r="CS240" s="16">
        <v>-9999</v>
      </c>
      <c r="CT240" s="16">
        <v>-9999</v>
      </c>
      <c r="CU240" s="16">
        <v>-9999</v>
      </c>
      <c r="CV240" s="16">
        <v>-9999</v>
      </c>
      <c r="CW240" s="16">
        <v>-9999</v>
      </c>
      <c r="CX240" s="16">
        <v>-9999</v>
      </c>
      <c r="CY240" s="16">
        <v>-9999</v>
      </c>
      <c r="CZ240" s="16">
        <v>-9999</v>
      </c>
      <c r="DA240" s="16">
        <v>-0.93439999999999745</v>
      </c>
      <c r="DB240" s="16">
        <v>2.692900000000003</v>
      </c>
      <c r="DC240" s="16">
        <v>3.6839955277492145</v>
      </c>
      <c r="DD240" s="16">
        <v>4.3490657267776198</v>
      </c>
      <c r="DE240" s="16">
        <v>4.4889842090092031</v>
      </c>
      <c r="DF240" s="16">
        <v>-9999</v>
      </c>
      <c r="DG240" s="16">
        <v>-9999</v>
      </c>
      <c r="DH240" s="16">
        <v>-9999</v>
      </c>
      <c r="DI240" s="16">
        <v>-9999</v>
      </c>
      <c r="DJ240" s="16">
        <v>-9999</v>
      </c>
      <c r="DK240" s="16">
        <v>-9999</v>
      </c>
      <c r="DL240" s="16">
        <v>-9999</v>
      </c>
      <c r="DM240" s="16">
        <v>-9999</v>
      </c>
      <c r="DN240" s="16">
        <v>-0.93439999999999745</v>
      </c>
      <c r="DO240" s="16">
        <v>2.692900000000003</v>
      </c>
      <c r="DP240" s="16">
        <v>3.6839955277492145</v>
      </c>
      <c r="DQ240" s="16">
        <v>4.3490657267776198</v>
      </c>
      <c r="DR240" s="16">
        <v>4.4889842090092031</v>
      </c>
      <c r="DS240" s="16">
        <v>-9999</v>
      </c>
      <c r="DT240" s="16">
        <v>-9999</v>
      </c>
      <c r="DU240" s="16">
        <v>-9999</v>
      </c>
      <c r="DV240" s="16">
        <v>-9999</v>
      </c>
      <c r="DW240" s="16">
        <v>-9999</v>
      </c>
      <c r="DX240" s="16">
        <v>-9999</v>
      </c>
      <c r="DY240" s="16">
        <v>-9999</v>
      </c>
      <c r="DZ240" s="16">
        <v>-9999</v>
      </c>
      <c r="EA240" s="2106">
        <v>-0.93439999999999745</v>
      </c>
      <c r="EB240" s="2106">
        <v>2.692900000000003</v>
      </c>
      <c r="EC240" s="2106">
        <v>3.6839955277492145</v>
      </c>
      <c r="ED240" s="2106">
        <v>4.3135151179095921</v>
      </c>
      <c r="EE240" s="2106">
        <v>4.3841903318123805</v>
      </c>
      <c r="EF240" s="2107">
        <v>-9999</v>
      </c>
      <c r="EG240" s="2107">
        <v>-9999</v>
      </c>
      <c r="EH240" s="2107">
        <v>-9999</v>
      </c>
      <c r="EI240" s="2107">
        <v>-9999</v>
      </c>
      <c r="EJ240" s="2107">
        <v>-9999</v>
      </c>
      <c r="EK240" s="2107">
        <v>-9999</v>
      </c>
      <c r="EL240" s="2107">
        <v>-9999</v>
      </c>
      <c r="EM240" s="2107">
        <v>-9999</v>
      </c>
    </row>
    <row r="241" spans="1:143">
      <c r="A241" s="22">
        <v>141</v>
      </c>
      <c r="B241" s="1" t="s">
        <v>738</v>
      </c>
      <c r="C241" s="24">
        <f ca="1">OFFSET(Sector1!F1133,0,Last_forecast_year - 3-InputY!$G$3)</f>
        <v>-6.4360999999999997</v>
      </c>
      <c r="D241" s="24">
        <f ca="1">OFFSET(Sector1!G1133,0,Last_forecast_year - 3-InputY!$G$3)</f>
        <v>-7.910099999999999</v>
      </c>
      <c r="E241" s="24">
        <f ca="1">OFFSET(Sector1!H1133,0,Last_forecast_year - 3-InputY!$G$3)</f>
        <v>-6.5699095200000004</v>
      </c>
      <c r="F241" s="24">
        <f ca="1">OFFSET(Sector1!I1133,0,Last_forecast_year - 3-InputY!$G$3)</f>
        <v>-7.7370682408529987</v>
      </c>
      <c r="G241" s="24">
        <f ca="1">OFFSET(Sector1!J1133,0,Last_forecast_year - 3-InputY!$G$3)</f>
        <v>-8.4389951706667645</v>
      </c>
      <c r="H241" s="25">
        <v>-9999</v>
      </c>
      <c r="I241" s="25">
        <v>-9999</v>
      </c>
      <c r="J241" s="25">
        <v>-9999</v>
      </c>
      <c r="K241" s="25">
        <v>-9999</v>
      </c>
      <c r="L241" s="25">
        <v>-9999</v>
      </c>
      <c r="M241" s="25">
        <v>-9999</v>
      </c>
      <c r="N241" s="25">
        <v>-9999</v>
      </c>
      <c r="O241" s="25">
        <v>-9999</v>
      </c>
      <c r="P241"/>
      <c r="Q241"/>
      <c r="AA241" s="22">
        <v>141</v>
      </c>
      <c r="AB241" s="1081" t="str">
        <f t="shared" si="31"/>
        <v>NET CURRENT TRANSFERS</v>
      </c>
      <c r="AC241" s="1081">
        <f>CHOOSE(Tables!$U$2,Transfer!CA241,Transfer!CN241,Transfer!DA241,Transfer!DN241,Transfer!EA241)</f>
        <v>-6.4360999999999997</v>
      </c>
      <c r="AD241" s="1081">
        <f>CHOOSE(Tables!$U$2,Transfer!CB241,Transfer!CO241,Transfer!DB241,Transfer!DO241,Transfer!EB241)</f>
        <v>-7.910099999999999</v>
      </c>
      <c r="AE241" s="1081">
        <f>CHOOSE(Tables!$U$2,Transfer!CC241,Transfer!CP241,Transfer!DC241,Transfer!DP241,Transfer!EC241)</f>
        <v>-6.5699095200000004</v>
      </c>
      <c r="AF241" s="1081">
        <f>CHOOSE(Tables!$U$2,Transfer!CD241,Transfer!CQ241,Transfer!DD241,Transfer!DQ241,Transfer!ED241)</f>
        <v>-7.5701868968730022</v>
      </c>
      <c r="AG241" s="1081">
        <f>CHOOSE(Tables!$U$2,Transfer!CE241,Transfer!CR241,Transfer!DE241,Transfer!DR241,Transfer!EE241)</f>
        <v>-7.9830275622566544</v>
      </c>
      <c r="AH241" s="1081">
        <f>CHOOSE(Tables!$U$2,Transfer!CF241,Transfer!CS241,Transfer!DF241,Transfer!DS241,Transfer!EF241)</f>
        <v>-9999</v>
      </c>
      <c r="AI241" s="1081">
        <f>CHOOSE(Tables!$U$2,Transfer!CG241,Transfer!CT241,Transfer!DG241,Transfer!DT241,Transfer!EG241)</f>
        <v>-9999</v>
      </c>
      <c r="AJ241" s="1081">
        <f>CHOOSE(Tables!$U$2,Transfer!CH241,Transfer!CU241,Transfer!DH241,Transfer!DU241,Transfer!EH241)</f>
        <v>-9999</v>
      </c>
      <c r="AK241" s="1081">
        <f>CHOOSE(Tables!$U$2,Transfer!CI241,Transfer!CV241,Transfer!DI241,Transfer!DV241,Transfer!EI241)</f>
        <v>-9999</v>
      </c>
      <c r="AL241" s="1081">
        <f>CHOOSE(Tables!$U$2,Transfer!CJ241,Transfer!CW241,Transfer!DJ241,Transfer!DW241,Transfer!EJ241)</f>
        <v>-9999</v>
      </c>
      <c r="AM241" s="1081">
        <f>CHOOSE(Tables!$U$2,Transfer!CK241,Transfer!CX241,Transfer!DK241,Transfer!DX241,Transfer!EK241)</f>
        <v>-9999</v>
      </c>
      <c r="AN241" s="1081">
        <f>CHOOSE(Tables!$U$2,Transfer!CL241,Transfer!CY241,Transfer!DL241,Transfer!DY241,Transfer!EL241)</f>
        <v>-9999</v>
      </c>
      <c r="AO241" s="1081">
        <f>CHOOSE(Tables!$U$2,Transfer!CM241,Transfer!CZ241,Transfer!DM241,Transfer!DZ241,Transfer!EM241)</f>
        <v>-9999</v>
      </c>
      <c r="AR241" s="22">
        <v>141</v>
      </c>
      <c r="AS241" s="1" t="s">
        <v>738</v>
      </c>
      <c r="AT241" s="24">
        <f t="shared" ca="1" si="22"/>
        <v>0</v>
      </c>
      <c r="AU241" s="24">
        <f t="shared" ca="1" si="23"/>
        <v>0</v>
      </c>
      <c r="AV241" s="24">
        <f t="shared" ca="1" si="24"/>
        <v>0</v>
      </c>
      <c r="AW241" s="24">
        <f t="shared" ca="1" si="25"/>
        <v>-0.16688134397999654</v>
      </c>
      <c r="AX241" s="24">
        <f t="shared" ca="1" si="26"/>
        <v>-0.45596760841011008</v>
      </c>
      <c r="AY241" s="25">
        <f t="shared" si="27"/>
        <v>0</v>
      </c>
      <c r="AZ241" s="25">
        <f t="shared" si="28"/>
        <v>0</v>
      </c>
      <c r="BA241" s="25">
        <f t="shared" si="29"/>
        <v>0</v>
      </c>
      <c r="BB241" s="25">
        <f t="shared" si="30"/>
        <v>0</v>
      </c>
      <c r="BC241" s="25">
        <f t="shared" si="21"/>
        <v>0</v>
      </c>
      <c r="BD241" s="25">
        <f t="shared" si="21"/>
        <v>0</v>
      </c>
      <c r="BE241" s="25">
        <f t="shared" si="21"/>
        <v>0</v>
      </c>
      <c r="BF241" s="25">
        <f t="shared" si="21"/>
        <v>0</v>
      </c>
      <c r="CA241" s="16">
        <v>-6.4360999999999997</v>
      </c>
      <c r="CB241" s="16">
        <v>-7.910099999999999</v>
      </c>
      <c r="CC241" s="16">
        <v>-6.5699095200000004</v>
      </c>
      <c r="CD241" s="16">
        <v>-7.5701868968730022</v>
      </c>
      <c r="CE241" s="16">
        <v>-7.9830275622566544</v>
      </c>
      <c r="CF241" s="16">
        <v>-9999</v>
      </c>
      <c r="CG241" s="16">
        <v>-9999</v>
      </c>
      <c r="CH241" s="16">
        <v>-9999</v>
      </c>
      <c r="CI241" s="16">
        <v>-9999</v>
      </c>
      <c r="CJ241" s="16">
        <v>-9999</v>
      </c>
      <c r="CK241" s="16">
        <v>-9999</v>
      </c>
      <c r="CL241" s="16">
        <v>-9999</v>
      </c>
      <c r="CM241" s="16">
        <v>-9999</v>
      </c>
      <c r="CN241" s="16">
        <v>-6.4360999999999997</v>
      </c>
      <c r="CO241" s="16">
        <v>-7.9101000000000008</v>
      </c>
      <c r="CP241" s="16">
        <v>-6.9534410171975818</v>
      </c>
      <c r="CQ241" s="16">
        <v>-8.0623109252860985</v>
      </c>
      <c r="CR241" s="16">
        <v>-8.5263765194528798</v>
      </c>
      <c r="CS241" s="16">
        <v>-9999</v>
      </c>
      <c r="CT241" s="16">
        <v>-9999</v>
      </c>
      <c r="CU241" s="16">
        <v>-9999</v>
      </c>
      <c r="CV241" s="16">
        <v>-9999</v>
      </c>
      <c r="CW241" s="16">
        <v>-9999</v>
      </c>
      <c r="CX241" s="16">
        <v>-9999</v>
      </c>
      <c r="CY241" s="16">
        <v>-9999</v>
      </c>
      <c r="CZ241" s="16">
        <v>-9999</v>
      </c>
      <c r="DA241" s="16">
        <v>-6.4360999999999997</v>
      </c>
      <c r="DB241" s="16">
        <v>-7.910099999999999</v>
      </c>
      <c r="DC241" s="16">
        <v>-6.5699095200000004</v>
      </c>
      <c r="DD241" s="16">
        <v>-7.5701868968730022</v>
      </c>
      <c r="DE241" s="16">
        <v>-7.9830275622566544</v>
      </c>
      <c r="DF241" s="16">
        <v>-9999</v>
      </c>
      <c r="DG241" s="16">
        <v>-9999</v>
      </c>
      <c r="DH241" s="16">
        <v>-9999</v>
      </c>
      <c r="DI241" s="16">
        <v>-9999</v>
      </c>
      <c r="DJ241" s="16">
        <v>-9999</v>
      </c>
      <c r="DK241" s="16">
        <v>-9999</v>
      </c>
      <c r="DL241" s="16">
        <v>-9999</v>
      </c>
      <c r="DM241" s="16">
        <v>-9999</v>
      </c>
      <c r="DN241" s="16">
        <v>-6.4360999999999997</v>
      </c>
      <c r="DO241" s="16">
        <v>-7.910099999999999</v>
      </c>
      <c r="DP241" s="16">
        <v>-6.5699095200000004</v>
      </c>
      <c r="DQ241" s="16">
        <v>-7.5701868968730022</v>
      </c>
      <c r="DR241" s="16">
        <v>-7.9830275622566544</v>
      </c>
      <c r="DS241" s="16">
        <v>-9999</v>
      </c>
      <c r="DT241" s="16">
        <v>-9999</v>
      </c>
      <c r="DU241" s="16">
        <v>-9999</v>
      </c>
      <c r="DV241" s="16">
        <v>-9999</v>
      </c>
      <c r="DW241" s="16">
        <v>-9999</v>
      </c>
      <c r="DX241" s="16">
        <v>-9999</v>
      </c>
      <c r="DY241" s="16">
        <v>-9999</v>
      </c>
      <c r="DZ241" s="16">
        <v>-9999</v>
      </c>
      <c r="EA241" s="2106">
        <v>-6.4360999999999997</v>
      </c>
      <c r="EB241" s="2106">
        <v>-7.910099999999999</v>
      </c>
      <c r="EC241" s="2106">
        <v>-6.5699095200000004</v>
      </c>
      <c r="ED241" s="2106">
        <v>-7.7370682408529987</v>
      </c>
      <c r="EE241" s="2106">
        <v>-8.4389951706667645</v>
      </c>
      <c r="EF241" s="2107">
        <v>-9999</v>
      </c>
      <c r="EG241" s="2107">
        <v>-9999</v>
      </c>
      <c r="EH241" s="2107">
        <v>-9999</v>
      </c>
      <c r="EI241" s="2107">
        <v>-9999</v>
      </c>
      <c r="EJ241" s="2107">
        <v>-9999</v>
      </c>
      <c r="EK241" s="2107">
        <v>-9999</v>
      </c>
      <c r="EL241" s="2107">
        <v>-9999</v>
      </c>
      <c r="EM241" s="2107">
        <v>-9999</v>
      </c>
    </row>
    <row r="242" spans="1:143">
      <c r="A242" s="22">
        <v>142</v>
      </c>
      <c r="B242" s="1" t="s">
        <v>686</v>
      </c>
      <c r="C242" s="24">
        <f ca="1">OFFSET(Sector1!F1140,0,Last_forecast_year - 3-InputY!$G$3)</f>
        <v>0.11130000000000001</v>
      </c>
      <c r="D242" s="24">
        <f ca="1">OFFSET(Sector1!G1140,0,Last_forecast_year - 3-InputY!$G$3)</f>
        <v>0.46399999999999997</v>
      </c>
      <c r="E242" s="24">
        <f ca="1">OFFSET(Sector1!H1140,0,Last_forecast_year - 3-InputY!$G$3)</f>
        <v>0.56721299999999986</v>
      </c>
      <c r="F242" s="24">
        <f ca="1">OFFSET(Sector1!I1140,0,Last_forecast_year - 3-InputY!$G$3)</f>
        <v>0.89636012950414701</v>
      </c>
      <c r="G242" s="24">
        <f ca="1">OFFSET(Sector1!J1140,0,Last_forecast_year - 3-InputY!$G$3)</f>
        <v>0.98471769722368596</v>
      </c>
      <c r="H242" s="25">
        <v>-9999</v>
      </c>
      <c r="I242" s="25">
        <v>-9999</v>
      </c>
      <c r="J242" s="25">
        <v>-9999</v>
      </c>
      <c r="K242" s="25">
        <v>-9999</v>
      </c>
      <c r="L242" s="25">
        <v>-9999</v>
      </c>
      <c r="M242" s="25">
        <v>-9999</v>
      </c>
      <c r="N242" s="25">
        <v>-9999</v>
      </c>
      <c r="O242" s="25">
        <v>-9999</v>
      </c>
      <c r="P242"/>
      <c r="Q242"/>
      <c r="AA242" s="22">
        <v>142</v>
      </c>
      <c r="AB242" s="1081" t="str">
        <f t="shared" si="31"/>
        <v>NET CAPITAL TRANSACTIONS (RECEIV - PAYED)</v>
      </c>
      <c r="AC242" s="1081">
        <f>CHOOSE(Tables!$U$2,Transfer!CA242,Transfer!CN242,Transfer!DA242,Transfer!DN242,Transfer!EA242)</f>
        <v>0.11130000000000001</v>
      </c>
      <c r="AD242" s="1081">
        <f>CHOOSE(Tables!$U$2,Transfer!CB242,Transfer!CO242,Transfer!DB242,Transfer!DO242,Transfer!EB242)</f>
        <v>0.46399999999999997</v>
      </c>
      <c r="AE242" s="1081">
        <f>CHOOSE(Tables!$U$2,Transfer!CC242,Transfer!CP242,Transfer!DC242,Transfer!DP242,Transfer!EC242)</f>
        <v>0.56721299999999986</v>
      </c>
      <c r="AF242" s="1081">
        <f>CHOOSE(Tables!$U$2,Transfer!CD242,Transfer!CQ242,Transfer!DD242,Transfer!DQ242,Transfer!ED242)</f>
        <v>0.89636012950414701</v>
      </c>
      <c r="AG242" s="1081">
        <f>CHOOSE(Tables!$U$2,Transfer!CE242,Transfer!CR242,Transfer!DE242,Transfer!DR242,Transfer!EE242)</f>
        <v>0.98471769722368596</v>
      </c>
      <c r="AH242" s="1081">
        <f>CHOOSE(Tables!$U$2,Transfer!CF242,Transfer!CS242,Transfer!DF242,Transfer!DS242,Transfer!EF242)</f>
        <v>-9999</v>
      </c>
      <c r="AI242" s="1081">
        <f>CHOOSE(Tables!$U$2,Transfer!CG242,Transfer!CT242,Transfer!DG242,Transfer!DT242,Transfer!EG242)</f>
        <v>-9999</v>
      </c>
      <c r="AJ242" s="1081">
        <f>CHOOSE(Tables!$U$2,Transfer!CH242,Transfer!CU242,Transfer!DH242,Transfer!DU242,Transfer!EH242)</f>
        <v>-9999</v>
      </c>
      <c r="AK242" s="1081">
        <f>CHOOSE(Tables!$U$2,Transfer!CI242,Transfer!CV242,Transfer!DI242,Transfer!DV242,Transfer!EI242)</f>
        <v>-9999</v>
      </c>
      <c r="AL242" s="1081">
        <f>CHOOSE(Tables!$U$2,Transfer!CJ242,Transfer!CW242,Transfer!DJ242,Transfer!DW242,Transfer!EJ242)</f>
        <v>-9999</v>
      </c>
      <c r="AM242" s="1081">
        <f>CHOOSE(Tables!$U$2,Transfer!CK242,Transfer!CX242,Transfer!DK242,Transfer!DX242,Transfer!EK242)</f>
        <v>-9999</v>
      </c>
      <c r="AN242" s="1081">
        <f>CHOOSE(Tables!$U$2,Transfer!CL242,Transfer!CY242,Transfer!DL242,Transfer!DY242,Transfer!EL242)</f>
        <v>-9999</v>
      </c>
      <c r="AO242" s="1081">
        <f>CHOOSE(Tables!$U$2,Transfer!CM242,Transfer!CZ242,Transfer!DM242,Transfer!DZ242,Transfer!EM242)</f>
        <v>-9999</v>
      </c>
      <c r="AR242" s="22">
        <v>142</v>
      </c>
      <c r="AS242" s="1" t="s">
        <v>686</v>
      </c>
      <c r="AT242" s="24">
        <f t="shared" ca="1" si="22"/>
        <v>0</v>
      </c>
      <c r="AU242" s="24">
        <f t="shared" ca="1" si="23"/>
        <v>0</v>
      </c>
      <c r="AV242" s="24">
        <f t="shared" ca="1" si="24"/>
        <v>0</v>
      </c>
      <c r="AW242" s="24">
        <f t="shared" ca="1" si="25"/>
        <v>0</v>
      </c>
      <c r="AX242" s="24">
        <f t="shared" ca="1" si="26"/>
        <v>0</v>
      </c>
      <c r="AY242" s="25">
        <f t="shared" si="27"/>
        <v>0</v>
      </c>
      <c r="AZ242" s="25">
        <f t="shared" si="28"/>
        <v>0</v>
      </c>
      <c r="BA242" s="25">
        <f t="shared" si="29"/>
        <v>0</v>
      </c>
      <c r="BB242" s="25">
        <f t="shared" si="30"/>
        <v>0</v>
      </c>
      <c r="BC242" s="25">
        <f t="shared" si="21"/>
        <v>0</v>
      </c>
      <c r="BD242" s="25">
        <f t="shared" si="21"/>
        <v>0</v>
      </c>
      <c r="BE242" s="25">
        <f t="shared" si="21"/>
        <v>0</v>
      </c>
      <c r="BF242" s="25">
        <f t="shared" si="21"/>
        <v>0</v>
      </c>
      <c r="CA242" s="16">
        <v>0.11130000000000001</v>
      </c>
      <c r="CB242" s="16">
        <v>0.46399999999999997</v>
      </c>
      <c r="CC242" s="16">
        <v>0.56721299999999986</v>
      </c>
      <c r="CD242" s="16">
        <v>0.89636012950414701</v>
      </c>
      <c r="CE242" s="16">
        <v>0.98471769722368596</v>
      </c>
      <c r="CF242" s="16">
        <v>-9999</v>
      </c>
      <c r="CG242" s="16">
        <v>-9999</v>
      </c>
      <c r="CH242" s="16">
        <v>-9999</v>
      </c>
      <c r="CI242" s="16">
        <v>-9999</v>
      </c>
      <c r="CJ242" s="16">
        <v>-9999</v>
      </c>
      <c r="CK242" s="16">
        <v>-9999</v>
      </c>
      <c r="CL242" s="16">
        <v>-9999</v>
      </c>
      <c r="CM242" s="16">
        <v>-9999</v>
      </c>
      <c r="CN242" s="16">
        <v>0.11120000000000001</v>
      </c>
      <c r="CO242" s="16">
        <v>0.46900000000000053</v>
      </c>
      <c r="CP242" s="16">
        <v>0.94446841769819034</v>
      </c>
      <c r="CQ242" s="16">
        <v>0.72421312692631834</v>
      </c>
      <c r="CR242" s="16">
        <v>0.39001766687180361</v>
      </c>
      <c r="CS242" s="16">
        <v>-9999</v>
      </c>
      <c r="CT242" s="16">
        <v>-9999</v>
      </c>
      <c r="CU242" s="16">
        <v>-9999</v>
      </c>
      <c r="CV242" s="16">
        <v>-9999</v>
      </c>
      <c r="CW242" s="16">
        <v>-9999</v>
      </c>
      <c r="CX242" s="16">
        <v>-9999</v>
      </c>
      <c r="CY242" s="16">
        <v>-9999</v>
      </c>
      <c r="CZ242" s="16">
        <v>-9999</v>
      </c>
      <c r="DA242" s="16">
        <v>0.11130000000000001</v>
      </c>
      <c r="DB242" s="16">
        <v>0.46399999999999997</v>
      </c>
      <c r="DC242" s="16">
        <v>0.56721299999999986</v>
      </c>
      <c r="DD242" s="16">
        <v>0.89636012950414701</v>
      </c>
      <c r="DE242" s="16">
        <v>0.98471769722368596</v>
      </c>
      <c r="DF242" s="16">
        <v>-9999</v>
      </c>
      <c r="DG242" s="16">
        <v>-9999</v>
      </c>
      <c r="DH242" s="16">
        <v>-9999</v>
      </c>
      <c r="DI242" s="16">
        <v>-9999</v>
      </c>
      <c r="DJ242" s="16">
        <v>-9999</v>
      </c>
      <c r="DK242" s="16">
        <v>-9999</v>
      </c>
      <c r="DL242" s="16">
        <v>-9999</v>
      </c>
      <c r="DM242" s="16">
        <v>-9999</v>
      </c>
      <c r="DN242" s="16">
        <v>0.11130000000000001</v>
      </c>
      <c r="DO242" s="16">
        <v>0.46399999999999997</v>
      </c>
      <c r="DP242" s="16">
        <v>0.56721299999999986</v>
      </c>
      <c r="DQ242" s="16">
        <v>0.89636012950414701</v>
      </c>
      <c r="DR242" s="16">
        <v>0.98471769722368596</v>
      </c>
      <c r="DS242" s="16">
        <v>-9999</v>
      </c>
      <c r="DT242" s="16">
        <v>-9999</v>
      </c>
      <c r="DU242" s="16">
        <v>-9999</v>
      </c>
      <c r="DV242" s="16">
        <v>-9999</v>
      </c>
      <c r="DW242" s="16">
        <v>-9999</v>
      </c>
      <c r="DX242" s="16">
        <v>-9999</v>
      </c>
      <c r="DY242" s="16">
        <v>-9999</v>
      </c>
      <c r="DZ242" s="16">
        <v>-9999</v>
      </c>
      <c r="EA242" s="2106">
        <v>0.11130000000000001</v>
      </c>
      <c r="EB242" s="2106">
        <v>0.46399999999999997</v>
      </c>
      <c r="EC242" s="2106">
        <v>0.56721299999999986</v>
      </c>
      <c r="ED242" s="2106">
        <v>0.89636012950414701</v>
      </c>
      <c r="EE242" s="2106">
        <v>0.98471769722368596</v>
      </c>
      <c r="EF242" s="2107">
        <v>-9999</v>
      </c>
      <c r="EG242" s="2107">
        <v>-9999</v>
      </c>
      <c r="EH242" s="2107">
        <v>-9999</v>
      </c>
      <c r="EI242" s="2107">
        <v>-9999</v>
      </c>
      <c r="EJ242" s="2107">
        <v>-9999</v>
      </c>
      <c r="EK242" s="2107">
        <v>-9999</v>
      </c>
      <c r="EL242" s="2107">
        <v>-9999</v>
      </c>
      <c r="EM242" s="2107">
        <v>-9999</v>
      </c>
    </row>
    <row r="243" spans="1:143">
      <c r="A243" s="22">
        <v>143</v>
      </c>
      <c r="B243" s="33" t="s">
        <v>1603</v>
      </c>
      <c r="C243" s="24">
        <f ca="1">OFFSET(Sector1!F696,0,Last_forecast_year - 3-InputY!$G$3)</f>
        <v>11.216099999999999</v>
      </c>
      <c r="D243" s="24">
        <f ca="1">OFFSET(Sector1!G696,0,Last_forecast_year - 3-InputY!$G$3)</f>
        <v>12.3329</v>
      </c>
      <c r="E243" s="24">
        <f ca="1">OFFSET(Sector1!H696,0,Last_forecast_year - 3-InputY!$G$3)</f>
        <v>12.8691</v>
      </c>
      <c r="F243" s="24">
        <f ca="1">OFFSET(Sector1!I696,0,Last_forecast_year - 3-InputY!$G$3)</f>
        <v>13.633550880058674</v>
      </c>
      <c r="G243" s="24">
        <f ca="1">OFFSET(Sector1!J696,0,Last_forecast_year - 3-InputY!$G$3)</f>
        <v>14.242970604397296</v>
      </c>
      <c r="H243" s="25">
        <v>-9999</v>
      </c>
      <c r="I243" s="25">
        <v>-9999</v>
      </c>
      <c r="J243" s="25">
        <v>-9999</v>
      </c>
      <c r="K243" s="25">
        <v>-9999</v>
      </c>
      <c r="L243" s="25">
        <v>-9999</v>
      </c>
      <c r="M243" s="25">
        <v>-9999</v>
      </c>
      <c r="N243" s="25">
        <v>-9999</v>
      </c>
      <c r="O243" s="25">
        <v>-9999</v>
      </c>
      <c r="P243" s="26"/>
      <c r="Q243"/>
      <c r="AA243" s="22">
        <v>143</v>
      </c>
      <c r="AB243" s="1081" t="str">
        <f t="shared" si="31"/>
        <v>GG SALES</v>
      </c>
      <c r="AC243" s="1081">
        <f>CHOOSE(Tables!$U$2,Transfer!CA243,Transfer!CN243,Transfer!DA243,Transfer!DN243,Transfer!EA243)</f>
        <v>11.216099999999999</v>
      </c>
      <c r="AD243" s="1081">
        <f>CHOOSE(Tables!$U$2,Transfer!CB243,Transfer!CO243,Transfer!DB243,Transfer!DO243,Transfer!EB243)</f>
        <v>12.3329</v>
      </c>
      <c r="AE243" s="1081">
        <f>CHOOSE(Tables!$U$2,Transfer!CC243,Transfer!CP243,Transfer!DC243,Transfer!DP243,Transfer!EC243)</f>
        <v>12.8691</v>
      </c>
      <c r="AF243" s="1081">
        <f>CHOOSE(Tables!$U$2,Transfer!CD243,Transfer!CQ243,Transfer!DD243,Transfer!DQ243,Transfer!ED243)</f>
        <v>13.633550880058674</v>
      </c>
      <c r="AG243" s="1081">
        <f>CHOOSE(Tables!$U$2,Transfer!CE243,Transfer!CR243,Transfer!DE243,Transfer!DR243,Transfer!EE243)</f>
        <v>14.242970604397296</v>
      </c>
      <c r="AH243" s="1081">
        <f>CHOOSE(Tables!$U$2,Transfer!CF243,Transfer!CS243,Transfer!DF243,Transfer!DS243,Transfer!EF243)</f>
        <v>-9999</v>
      </c>
      <c r="AI243" s="1081">
        <f>CHOOSE(Tables!$U$2,Transfer!CG243,Transfer!CT243,Transfer!DG243,Transfer!DT243,Transfer!EG243)</f>
        <v>-9999</v>
      </c>
      <c r="AJ243" s="1081">
        <f>CHOOSE(Tables!$U$2,Transfer!CH243,Transfer!CU243,Transfer!DH243,Transfer!DU243,Transfer!EH243)</f>
        <v>-9999</v>
      </c>
      <c r="AK243" s="1081">
        <f>CHOOSE(Tables!$U$2,Transfer!CI243,Transfer!CV243,Transfer!DI243,Transfer!DV243,Transfer!EI243)</f>
        <v>-9999</v>
      </c>
      <c r="AL243" s="1081">
        <f>CHOOSE(Tables!$U$2,Transfer!CJ243,Transfer!CW243,Transfer!DJ243,Transfer!DW243,Transfer!EJ243)</f>
        <v>-9999</v>
      </c>
      <c r="AM243" s="1081">
        <f>CHOOSE(Tables!$U$2,Transfer!CK243,Transfer!CX243,Transfer!DK243,Transfer!DX243,Transfer!EK243)</f>
        <v>-9999</v>
      </c>
      <c r="AN243" s="1081">
        <f>CHOOSE(Tables!$U$2,Transfer!CL243,Transfer!CY243,Transfer!DL243,Transfer!DY243,Transfer!EL243)</f>
        <v>-9999</v>
      </c>
      <c r="AO243" s="1081">
        <f>CHOOSE(Tables!$U$2,Transfer!CM243,Transfer!CZ243,Transfer!DM243,Transfer!DZ243,Transfer!EM243)</f>
        <v>-9999</v>
      </c>
      <c r="AR243" s="22">
        <v>143</v>
      </c>
      <c r="AS243" s="30" t="s">
        <v>1998</v>
      </c>
      <c r="AT243" s="25">
        <f t="shared" ca="1" si="22"/>
        <v>0</v>
      </c>
      <c r="AU243" s="25">
        <f t="shared" ca="1" si="23"/>
        <v>0</v>
      </c>
      <c r="AV243" s="25">
        <f t="shared" ca="1" si="24"/>
        <v>0</v>
      </c>
      <c r="AW243" s="25">
        <f t="shared" ca="1" si="25"/>
        <v>0</v>
      </c>
      <c r="AX243" s="25">
        <f t="shared" ca="1" si="26"/>
        <v>0</v>
      </c>
      <c r="AY243" s="25">
        <f t="shared" si="27"/>
        <v>0</v>
      </c>
      <c r="AZ243" s="25">
        <f t="shared" si="28"/>
        <v>0</v>
      </c>
      <c r="BA243" s="25">
        <f t="shared" si="29"/>
        <v>0</v>
      </c>
      <c r="BB243" s="25">
        <f t="shared" si="30"/>
        <v>0</v>
      </c>
      <c r="BC243" s="25">
        <f t="shared" si="21"/>
        <v>0</v>
      </c>
      <c r="BD243" s="25">
        <f t="shared" si="21"/>
        <v>0</v>
      </c>
      <c r="BE243" s="25">
        <f t="shared" si="21"/>
        <v>0</v>
      </c>
      <c r="BF243" s="25">
        <f t="shared" si="21"/>
        <v>0</v>
      </c>
      <c r="CA243" s="16">
        <v>11.216099999999999</v>
      </c>
      <c r="CB243" s="16">
        <v>12.3329</v>
      </c>
      <c r="CC243" s="16">
        <v>12.8691</v>
      </c>
      <c r="CD243" s="16">
        <v>13.633550880058674</v>
      </c>
      <c r="CE243" s="16">
        <v>14.242970604397296</v>
      </c>
      <c r="CF243" s="16">
        <v>-9999</v>
      </c>
      <c r="CG243" s="16">
        <v>-9999</v>
      </c>
      <c r="CH243" s="16">
        <v>-9999</v>
      </c>
      <c r="CI243" s="16">
        <v>-9999</v>
      </c>
      <c r="CJ243" s="16">
        <v>-9999</v>
      </c>
      <c r="CK243" s="16">
        <v>-9999</v>
      </c>
      <c r="CL243" s="16">
        <v>-9999</v>
      </c>
      <c r="CM243" s="16">
        <v>-9999</v>
      </c>
      <c r="CN243" s="16">
        <v>11.190799999999999</v>
      </c>
      <c r="CO243" s="16">
        <v>12.374799999999999</v>
      </c>
      <c r="CP243" s="16">
        <v>13.072161485091172</v>
      </c>
      <c r="CQ243" s="16">
        <v>13.625859159719916</v>
      </c>
      <c r="CR243" s="16">
        <v>14.225754684382776</v>
      </c>
      <c r="CS243" s="16">
        <v>-9999</v>
      </c>
      <c r="CT243" s="16">
        <v>-9999</v>
      </c>
      <c r="CU243" s="16">
        <v>-9999</v>
      </c>
      <c r="CV243" s="16">
        <v>-9999</v>
      </c>
      <c r="CW243" s="16">
        <v>-9999</v>
      </c>
      <c r="CX243" s="16">
        <v>-9999</v>
      </c>
      <c r="CY243" s="16">
        <v>-9999</v>
      </c>
      <c r="CZ243" s="16">
        <v>-9999</v>
      </c>
      <c r="DA243" s="16">
        <v>11.216099999999999</v>
      </c>
      <c r="DB243" s="16">
        <v>12.3329</v>
      </c>
      <c r="DC243" s="16">
        <v>12.8691</v>
      </c>
      <c r="DD243" s="16">
        <v>13.633550880058674</v>
      </c>
      <c r="DE243" s="16">
        <v>14.242970604397296</v>
      </c>
      <c r="DF243" s="16">
        <v>-9999</v>
      </c>
      <c r="DG243" s="16">
        <v>-9999</v>
      </c>
      <c r="DH243" s="16">
        <v>-9999</v>
      </c>
      <c r="DI243" s="16">
        <v>-9999</v>
      </c>
      <c r="DJ243" s="16">
        <v>-9999</v>
      </c>
      <c r="DK243" s="16">
        <v>-9999</v>
      </c>
      <c r="DL243" s="16">
        <v>-9999</v>
      </c>
      <c r="DM243" s="16">
        <v>-9999</v>
      </c>
      <c r="DN243" s="16">
        <v>11.216099999999999</v>
      </c>
      <c r="DO243" s="16">
        <v>12.3329</v>
      </c>
      <c r="DP243" s="16">
        <v>12.8691</v>
      </c>
      <c r="DQ243" s="16">
        <v>13.633550880058674</v>
      </c>
      <c r="DR243" s="16">
        <v>14.242970604397296</v>
      </c>
      <c r="DS243" s="16">
        <v>-9999</v>
      </c>
      <c r="DT243" s="16">
        <v>-9999</v>
      </c>
      <c r="DU243" s="16">
        <v>-9999</v>
      </c>
      <c r="DV243" s="16">
        <v>-9999</v>
      </c>
      <c r="DW243" s="16">
        <v>-9999</v>
      </c>
      <c r="DX243" s="16">
        <v>-9999</v>
      </c>
      <c r="DY243" s="16">
        <v>-9999</v>
      </c>
      <c r="DZ243" s="16">
        <v>-9999</v>
      </c>
      <c r="EA243" s="2107">
        <v>11.216099999999999</v>
      </c>
      <c r="EB243" s="2107">
        <v>12.3329</v>
      </c>
      <c r="EC243" s="2107">
        <v>12.8691</v>
      </c>
      <c r="ED243" s="2107">
        <v>13.633550880058674</v>
      </c>
      <c r="EE243" s="2107">
        <v>14.242970604397296</v>
      </c>
      <c r="EF243" s="2107">
        <v>-9999</v>
      </c>
      <c r="EG243" s="2107">
        <v>-9999</v>
      </c>
      <c r="EH243" s="2107">
        <v>-9999</v>
      </c>
      <c r="EI243" s="2107">
        <v>-9999</v>
      </c>
      <c r="EJ243" s="2107">
        <v>-9999</v>
      </c>
      <c r="EK243" s="2107">
        <v>-9999</v>
      </c>
      <c r="EL243" s="2107">
        <v>-9999</v>
      </c>
      <c r="EM243" s="2107">
        <v>-9999</v>
      </c>
    </row>
    <row r="244" spans="1:143">
      <c r="A244" s="22">
        <v>144</v>
      </c>
      <c r="B244" s="33" t="s">
        <v>111</v>
      </c>
      <c r="C244" s="24">
        <f ca="1">OFFSET(Sector1!F692,0,Last_forecast_year - 3-InputY!$G$3)</f>
        <v>9.1327000000000016</v>
      </c>
      <c r="D244" s="24">
        <f ca="1">OFFSET(Sector1!G692,0,Last_forecast_year - 3-InputY!$G$3)</f>
        <v>9.2668999999999997</v>
      </c>
      <c r="E244" s="24">
        <f ca="1">OFFSET(Sector1!H692,0,Last_forecast_year - 3-InputY!$G$3)</f>
        <v>9.5069999999999997</v>
      </c>
      <c r="F244" s="24">
        <f ca="1">OFFSET(Sector1!I692,0,Last_forecast_year - 3-InputY!$G$3)</f>
        <v>9.4971738518000048</v>
      </c>
      <c r="G244" s="24">
        <f ca="1">OFFSET(Sector1!J692,0,Last_forecast_year - 3-InputY!$G$3)</f>
        <v>9.6196873944882242</v>
      </c>
      <c r="H244" s="25">
        <v>-9999</v>
      </c>
      <c r="I244" s="25">
        <v>-9999</v>
      </c>
      <c r="J244" s="25">
        <v>-9999</v>
      </c>
      <c r="K244" s="25">
        <v>-9999</v>
      </c>
      <c r="L244" s="25">
        <v>-9999</v>
      </c>
      <c r="M244" s="25">
        <v>-9999</v>
      </c>
      <c r="N244" s="25">
        <v>-9999</v>
      </c>
      <c r="O244" s="25">
        <v>-9999</v>
      </c>
      <c r="P244" s="26"/>
      <c r="Q244"/>
      <c r="AA244" s="22">
        <v>144</v>
      </c>
      <c r="AB244" s="1081" t="str">
        <f t="shared" si="31"/>
        <v>GG CONSUMPTION OF FIXED CAPITAL</v>
      </c>
      <c r="AC244" s="1081">
        <f>CHOOSE(Tables!$U$2,Transfer!CA244,Transfer!CN244,Transfer!DA244,Transfer!DN244,Transfer!EA244)</f>
        <v>9.1327000000000016</v>
      </c>
      <c r="AD244" s="1081">
        <f>CHOOSE(Tables!$U$2,Transfer!CB244,Transfer!CO244,Transfer!DB244,Transfer!DO244,Transfer!EB244)</f>
        <v>9.2668999999999997</v>
      </c>
      <c r="AE244" s="1081">
        <f>CHOOSE(Tables!$U$2,Transfer!CC244,Transfer!CP244,Transfer!DC244,Transfer!DP244,Transfer!EC244)</f>
        <v>9.5069999999999997</v>
      </c>
      <c r="AF244" s="1081">
        <f>CHOOSE(Tables!$U$2,Transfer!CD244,Transfer!CQ244,Transfer!DD244,Transfer!DQ244,Transfer!ED244)</f>
        <v>9.4971738518000048</v>
      </c>
      <c r="AG244" s="1081">
        <f>CHOOSE(Tables!$U$2,Transfer!CE244,Transfer!CR244,Transfer!DE244,Transfer!DR244,Transfer!EE244)</f>
        <v>9.6196873944882242</v>
      </c>
      <c r="AH244" s="1081">
        <f>CHOOSE(Tables!$U$2,Transfer!CF244,Transfer!CS244,Transfer!DF244,Transfer!DS244,Transfer!EF244)</f>
        <v>-9999</v>
      </c>
      <c r="AI244" s="1081">
        <f>CHOOSE(Tables!$U$2,Transfer!CG244,Transfer!CT244,Transfer!DG244,Transfer!DT244,Transfer!EG244)</f>
        <v>-9999</v>
      </c>
      <c r="AJ244" s="1081">
        <f>CHOOSE(Tables!$U$2,Transfer!CH244,Transfer!CU244,Transfer!DH244,Transfer!DU244,Transfer!EH244)</f>
        <v>-9999</v>
      </c>
      <c r="AK244" s="1081">
        <f>CHOOSE(Tables!$U$2,Transfer!CI244,Transfer!CV244,Transfer!DI244,Transfer!DV244,Transfer!EI244)</f>
        <v>-9999</v>
      </c>
      <c r="AL244" s="1081">
        <f>CHOOSE(Tables!$U$2,Transfer!CJ244,Transfer!CW244,Transfer!DJ244,Transfer!DW244,Transfer!EJ244)</f>
        <v>-9999</v>
      </c>
      <c r="AM244" s="1081">
        <f>CHOOSE(Tables!$U$2,Transfer!CK244,Transfer!CX244,Transfer!DK244,Transfer!DX244,Transfer!EK244)</f>
        <v>-9999</v>
      </c>
      <c r="AN244" s="1081">
        <f>CHOOSE(Tables!$U$2,Transfer!CL244,Transfer!CY244,Transfer!DL244,Transfer!DY244,Transfer!EL244)</f>
        <v>-9999</v>
      </c>
      <c r="AO244" s="1081">
        <f>CHOOSE(Tables!$U$2,Transfer!CM244,Transfer!CZ244,Transfer!DM244,Transfer!DZ244,Transfer!EM244)</f>
        <v>-9999</v>
      </c>
      <c r="AR244" s="22">
        <v>144</v>
      </c>
      <c r="AS244" s="30" t="s">
        <v>1998</v>
      </c>
      <c r="AT244" s="25">
        <f t="shared" ca="1" si="22"/>
        <v>0</v>
      </c>
      <c r="AU244" s="25">
        <f t="shared" ca="1" si="23"/>
        <v>0</v>
      </c>
      <c r="AV244" s="25">
        <f t="shared" ca="1" si="24"/>
        <v>0</v>
      </c>
      <c r="AW244" s="25">
        <f t="shared" ca="1" si="25"/>
        <v>0</v>
      </c>
      <c r="AX244" s="25">
        <f t="shared" ca="1" si="26"/>
        <v>0</v>
      </c>
      <c r="AY244" s="25">
        <f t="shared" si="27"/>
        <v>0</v>
      </c>
      <c r="AZ244" s="25">
        <f t="shared" si="28"/>
        <v>0</v>
      </c>
      <c r="BA244" s="25">
        <f t="shared" si="29"/>
        <v>0</v>
      </c>
      <c r="BB244" s="25">
        <f t="shared" si="30"/>
        <v>0</v>
      </c>
      <c r="BC244" s="25">
        <f t="shared" si="21"/>
        <v>0</v>
      </c>
      <c r="BD244" s="25">
        <f t="shared" si="21"/>
        <v>0</v>
      </c>
      <c r="BE244" s="25">
        <f t="shared" si="21"/>
        <v>0</v>
      </c>
      <c r="BF244" s="25">
        <f t="shared" si="21"/>
        <v>0</v>
      </c>
      <c r="CA244" s="16">
        <v>9.1327000000000016</v>
      </c>
      <c r="CB244" s="16">
        <v>9.2668999999999997</v>
      </c>
      <c r="CC244" s="16">
        <v>9.5069999999999997</v>
      </c>
      <c r="CD244" s="16">
        <v>9.4971738518000048</v>
      </c>
      <c r="CE244" s="16">
        <v>9.6196873944882242</v>
      </c>
      <c r="CF244" s="16">
        <v>-9999</v>
      </c>
      <c r="CG244" s="16">
        <v>-9999</v>
      </c>
      <c r="CH244" s="16">
        <v>-9999</v>
      </c>
      <c r="CI244" s="16">
        <v>-9999</v>
      </c>
      <c r="CJ244" s="16">
        <v>-9999</v>
      </c>
      <c r="CK244" s="16">
        <v>-9999</v>
      </c>
      <c r="CL244" s="16">
        <v>-9999</v>
      </c>
      <c r="CM244" s="16">
        <v>-9999</v>
      </c>
      <c r="CN244" s="16">
        <v>9.1404999999999994</v>
      </c>
      <c r="CO244" s="16">
        <v>9.2910000000000004</v>
      </c>
      <c r="CP244" s="16">
        <v>9.3930400620173238</v>
      </c>
      <c r="CQ244" s="16">
        <v>9.4971738518000048</v>
      </c>
      <c r="CR244" s="16">
        <v>9.5921455903180046</v>
      </c>
      <c r="CS244" s="16">
        <v>-9999</v>
      </c>
      <c r="CT244" s="16">
        <v>-9999</v>
      </c>
      <c r="CU244" s="16">
        <v>-9999</v>
      </c>
      <c r="CV244" s="16">
        <v>-9999</v>
      </c>
      <c r="CW244" s="16">
        <v>-9999</v>
      </c>
      <c r="CX244" s="16">
        <v>-9999</v>
      </c>
      <c r="CY244" s="16">
        <v>-9999</v>
      </c>
      <c r="CZ244" s="16">
        <v>-9999</v>
      </c>
      <c r="DA244" s="16">
        <v>9.1327000000000016</v>
      </c>
      <c r="DB244" s="16">
        <v>9.2668999999999997</v>
      </c>
      <c r="DC244" s="16">
        <v>9.5069999999999997</v>
      </c>
      <c r="DD244" s="16">
        <v>9.4971738518000048</v>
      </c>
      <c r="DE244" s="16">
        <v>9.6196873944882242</v>
      </c>
      <c r="DF244" s="16">
        <v>-9999</v>
      </c>
      <c r="DG244" s="16">
        <v>-9999</v>
      </c>
      <c r="DH244" s="16">
        <v>-9999</v>
      </c>
      <c r="DI244" s="16">
        <v>-9999</v>
      </c>
      <c r="DJ244" s="16">
        <v>-9999</v>
      </c>
      <c r="DK244" s="16">
        <v>-9999</v>
      </c>
      <c r="DL244" s="16">
        <v>-9999</v>
      </c>
      <c r="DM244" s="16">
        <v>-9999</v>
      </c>
      <c r="DN244" s="16">
        <v>9.1327000000000016</v>
      </c>
      <c r="DO244" s="16">
        <v>9.2668999999999997</v>
      </c>
      <c r="DP244" s="16">
        <v>9.5069999999999997</v>
      </c>
      <c r="DQ244" s="16">
        <v>9.4971738518000048</v>
      </c>
      <c r="DR244" s="16">
        <v>9.6196873944882242</v>
      </c>
      <c r="DS244" s="16">
        <v>-9999</v>
      </c>
      <c r="DT244" s="16">
        <v>-9999</v>
      </c>
      <c r="DU244" s="16">
        <v>-9999</v>
      </c>
      <c r="DV244" s="16">
        <v>-9999</v>
      </c>
      <c r="DW244" s="16">
        <v>-9999</v>
      </c>
      <c r="DX244" s="16">
        <v>-9999</v>
      </c>
      <c r="DY244" s="16">
        <v>-9999</v>
      </c>
      <c r="DZ244" s="16">
        <v>-9999</v>
      </c>
      <c r="EA244" s="2107">
        <v>9.1327000000000016</v>
      </c>
      <c r="EB244" s="2107">
        <v>9.2668999999999997</v>
      </c>
      <c r="EC244" s="2107">
        <v>9.5069999999999997</v>
      </c>
      <c r="ED244" s="2107">
        <v>9.4971738518000048</v>
      </c>
      <c r="EE244" s="2107">
        <v>9.6196873944882242</v>
      </c>
      <c r="EF244" s="2107">
        <v>-9999</v>
      </c>
      <c r="EG244" s="2107">
        <v>-9999</v>
      </c>
      <c r="EH244" s="2107">
        <v>-9999</v>
      </c>
      <c r="EI244" s="2107">
        <v>-9999</v>
      </c>
      <c r="EJ244" s="2107">
        <v>-9999</v>
      </c>
      <c r="EK244" s="2107">
        <v>-9999</v>
      </c>
      <c r="EL244" s="2107">
        <v>-9999</v>
      </c>
      <c r="EM244" s="2107">
        <v>-9999</v>
      </c>
    </row>
    <row r="245" spans="1:143">
      <c r="A245" s="22">
        <v>145</v>
      </c>
      <c r="B245" s="33" t="s">
        <v>2080</v>
      </c>
      <c r="C245" s="24">
        <f ca="1">OFFSET(Sector1!F689,0,Last_forecast_year - 3-InputY!$G$3)</f>
        <v>16.693099999999998</v>
      </c>
      <c r="D245" s="24">
        <f ca="1">OFFSET(Sector1!G689,0,Last_forecast_year - 3-InputY!$G$3)</f>
        <v>16.758700000000001</v>
      </c>
      <c r="E245" s="24">
        <f ca="1">OFFSET(Sector1!H689,0,Last_forecast_year - 3-InputY!$G$3)</f>
        <v>17.622599999999998</v>
      </c>
      <c r="F245" s="24">
        <f ca="1">OFFSET(Sector1!I689,0,Last_forecast_year - 3-InputY!$G$3)</f>
        <v>18.253139009967271</v>
      </c>
      <c r="G245" s="24">
        <f ca="1">OFFSET(Sector1!J689,0,Last_forecast_year - 3-InputY!$G$3)</f>
        <v>19.283382982206994</v>
      </c>
      <c r="H245" s="25">
        <v>-9999</v>
      </c>
      <c r="I245" s="25">
        <v>-9999</v>
      </c>
      <c r="J245" s="25">
        <v>-9999</v>
      </c>
      <c r="K245" s="25">
        <v>-9999</v>
      </c>
      <c r="L245" s="25">
        <v>-9999</v>
      </c>
      <c r="M245" s="25">
        <v>-9999</v>
      </c>
      <c r="N245" s="25">
        <v>-9999</v>
      </c>
      <c r="O245" s="25">
        <v>-9999</v>
      </c>
      <c r="P245" s="26"/>
      <c r="Q245"/>
      <c r="AA245" s="22">
        <v>145</v>
      </c>
      <c r="AB245" s="1081" t="str">
        <f t="shared" si="31"/>
        <v>GG INTERMEDIATE CONSUMPTION</v>
      </c>
      <c r="AC245" s="1081">
        <f>CHOOSE(Tables!$U$2,Transfer!CA245,Transfer!CN245,Transfer!DA245,Transfer!DN245,Transfer!EA245)</f>
        <v>16.693099999999998</v>
      </c>
      <c r="AD245" s="1081">
        <f>CHOOSE(Tables!$U$2,Transfer!CB245,Transfer!CO245,Transfer!DB245,Transfer!DO245,Transfer!EB245)</f>
        <v>16.758700000000001</v>
      </c>
      <c r="AE245" s="1081">
        <f>CHOOSE(Tables!$U$2,Transfer!CC245,Transfer!CP245,Transfer!DC245,Transfer!DP245,Transfer!EC245)</f>
        <v>17.622599999999998</v>
      </c>
      <c r="AF245" s="1081">
        <f>CHOOSE(Tables!$U$2,Transfer!CD245,Transfer!CQ245,Transfer!DD245,Transfer!DQ245,Transfer!ED245)</f>
        <v>18.263491532065871</v>
      </c>
      <c r="AG245" s="1081">
        <f>CHOOSE(Tables!$U$2,Transfer!CE245,Transfer!CR245,Transfer!DE245,Transfer!DR245,Transfer!EE245)</f>
        <v>19.293934652582479</v>
      </c>
      <c r="AH245" s="1081">
        <f>CHOOSE(Tables!$U$2,Transfer!CF245,Transfer!CS245,Transfer!DF245,Transfer!DS245,Transfer!EF245)</f>
        <v>-9999</v>
      </c>
      <c r="AI245" s="1081">
        <f>CHOOSE(Tables!$U$2,Transfer!CG245,Transfer!CT245,Transfer!DG245,Transfer!DT245,Transfer!EG245)</f>
        <v>-9999</v>
      </c>
      <c r="AJ245" s="1081">
        <f>CHOOSE(Tables!$U$2,Transfer!CH245,Transfer!CU245,Transfer!DH245,Transfer!DU245,Transfer!EH245)</f>
        <v>-9999</v>
      </c>
      <c r="AK245" s="1081">
        <f>CHOOSE(Tables!$U$2,Transfer!CI245,Transfer!CV245,Transfer!DI245,Transfer!DV245,Transfer!EI245)</f>
        <v>-9999</v>
      </c>
      <c r="AL245" s="1081">
        <f>CHOOSE(Tables!$U$2,Transfer!CJ245,Transfer!CW245,Transfer!DJ245,Transfer!DW245,Transfer!EJ245)</f>
        <v>-9999</v>
      </c>
      <c r="AM245" s="1081">
        <f>CHOOSE(Tables!$U$2,Transfer!CK245,Transfer!CX245,Transfer!DK245,Transfer!DX245,Transfer!EK245)</f>
        <v>-9999</v>
      </c>
      <c r="AN245" s="1081">
        <f>CHOOSE(Tables!$U$2,Transfer!CL245,Transfer!CY245,Transfer!DL245,Transfer!DY245,Transfer!EL245)</f>
        <v>-9999</v>
      </c>
      <c r="AO245" s="1081">
        <f>CHOOSE(Tables!$U$2,Transfer!CM245,Transfer!CZ245,Transfer!DM245,Transfer!DZ245,Transfer!EM245)</f>
        <v>-9999</v>
      </c>
      <c r="AR245" s="22">
        <v>145</v>
      </c>
      <c r="AS245" s="30" t="s">
        <v>1998</v>
      </c>
      <c r="AT245" s="25">
        <f t="shared" ca="1" si="22"/>
        <v>0</v>
      </c>
      <c r="AU245" s="25">
        <f t="shared" ca="1" si="23"/>
        <v>0</v>
      </c>
      <c r="AV245" s="25">
        <f t="shared" ca="1" si="24"/>
        <v>0</v>
      </c>
      <c r="AW245" s="25">
        <f t="shared" ca="1" si="25"/>
        <v>-1.0352522098600048E-2</v>
      </c>
      <c r="AX245" s="25">
        <f t="shared" ca="1" si="26"/>
        <v>-1.0551670375484434E-2</v>
      </c>
      <c r="AY245" s="25">
        <f t="shared" si="27"/>
        <v>0</v>
      </c>
      <c r="AZ245" s="25">
        <f t="shared" si="28"/>
        <v>0</v>
      </c>
      <c r="BA245" s="25">
        <f t="shared" si="29"/>
        <v>0</v>
      </c>
      <c r="BB245" s="25">
        <f t="shared" si="30"/>
        <v>0</v>
      </c>
      <c r="BC245" s="25">
        <f t="shared" si="21"/>
        <v>0</v>
      </c>
      <c r="BD245" s="25">
        <f t="shared" si="21"/>
        <v>0</v>
      </c>
      <c r="BE245" s="25">
        <f t="shared" si="21"/>
        <v>0</v>
      </c>
      <c r="BF245" s="25">
        <f t="shared" si="21"/>
        <v>0</v>
      </c>
      <c r="CA245" s="16">
        <v>16.693099999999998</v>
      </c>
      <c r="CB245" s="16">
        <v>16.758700000000001</v>
      </c>
      <c r="CC245" s="16">
        <v>17.622599999999998</v>
      </c>
      <c r="CD245" s="16">
        <v>18.263491532065871</v>
      </c>
      <c r="CE245" s="16">
        <v>19.293934652582479</v>
      </c>
      <c r="CF245" s="16">
        <v>-9999</v>
      </c>
      <c r="CG245" s="16">
        <v>-9999</v>
      </c>
      <c r="CH245" s="16">
        <v>-9999</v>
      </c>
      <c r="CI245" s="16">
        <v>-9999</v>
      </c>
      <c r="CJ245" s="16">
        <v>-9999</v>
      </c>
      <c r="CK245" s="16">
        <v>-9999</v>
      </c>
      <c r="CL245" s="16">
        <v>-9999</v>
      </c>
      <c r="CM245" s="16">
        <v>-9999</v>
      </c>
      <c r="CN245" s="16">
        <v>16.704499999999999</v>
      </c>
      <c r="CO245" s="16">
        <v>16.8232</v>
      </c>
      <c r="CP245" s="16">
        <v>17.54437020411644</v>
      </c>
      <c r="CQ245" s="16">
        <v>18.374388808356834</v>
      </c>
      <c r="CR245" s="16">
        <v>19.781242886829844</v>
      </c>
      <c r="CS245" s="16">
        <v>-9999</v>
      </c>
      <c r="CT245" s="16">
        <v>-9999</v>
      </c>
      <c r="CU245" s="16">
        <v>-9999</v>
      </c>
      <c r="CV245" s="16">
        <v>-9999</v>
      </c>
      <c r="CW245" s="16">
        <v>-9999</v>
      </c>
      <c r="CX245" s="16">
        <v>-9999</v>
      </c>
      <c r="CY245" s="16">
        <v>-9999</v>
      </c>
      <c r="CZ245" s="16">
        <v>-9999</v>
      </c>
      <c r="DA245" s="16">
        <v>16.693099999999998</v>
      </c>
      <c r="DB245" s="16">
        <v>16.758700000000001</v>
      </c>
      <c r="DC245" s="16">
        <v>17.622599999999998</v>
      </c>
      <c r="DD245" s="16">
        <v>18.263491532065871</v>
      </c>
      <c r="DE245" s="16">
        <v>19.293934652582479</v>
      </c>
      <c r="DF245" s="16">
        <v>-9999</v>
      </c>
      <c r="DG245" s="16">
        <v>-9999</v>
      </c>
      <c r="DH245" s="16">
        <v>-9999</v>
      </c>
      <c r="DI245" s="16">
        <v>-9999</v>
      </c>
      <c r="DJ245" s="16">
        <v>-9999</v>
      </c>
      <c r="DK245" s="16">
        <v>-9999</v>
      </c>
      <c r="DL245" s="16">
        <v>-9999</v>
      </c>
      <c r="DM245" s="16">
        <v>-9999</v>
      </c>
      <c r="DN245" s="16">
        <v>16.693099999999998</v>
      </c>
      <c r="DO245" s="16">
        <v>16.758700000000001</v>
      </c>
      <c r="DP245" s="16">
        <v>17.622599999999998</v>
      </c>
      <c r="DQ245" s="16">
        <v>18.263491532065871</v>
      </c>
      <c r="DR245" s="16">
        <v>19.293934652582479</v>
      </c>
      <c r="DS245" s="16">
        <v>-9999</v>
      </c>
      <c r="DT245" s="16">
        <v>-9999</v>
      </c>
      <c r="DU245" s="16">
        <v>-9999</v>
      </c>
      <c r="DV245" s="16">
        <v>-9999</v>
      </c>
      <c r="DW245" s="16">
        <v>-9999</v>
      </c>
      <c r="DX245" s="16">
        <v>-9999</v>
      </c>
      <c r="DY245" s="16">
        <v>-9999</v>
      </c>
      <c r="DZ245" s="16">
        <v>-9999</v>
      </c>
      <c r="EA245" s="2107">
        <v>16.693099999999998</v>
      </c>
      <c r="EB245" s="2107">
        <v>16.758700000000001</v>
      </c>
      <c r="EC245" s="2107">
        <v>17.622599999999998</v>
      </c>
      <c r="ED245" s="2107">
        <v>18.253139009967271</v>
      </c>
      <c r="EE245" s="2107">
        <v>19.283382982206994</v>
      </c>
      <c r="EF245" s="2107">
        <v>-9999</v>
      </c>
      <c r="EG245" s="2107">
        <v>-9999</v>
      </c>
      <c r="EH245" s="2107">
        <v>-9999</v>
      </c>
      <c r="EI245" s="2107">
        <v>-9999</v>
      </c>
      <c r="EJ245" s="2107">
        <v>-9999</v>
      </c>
      <c r="EK245" s="2107">
        <v>-9999</v>
      </c>
      <c r="EL245" s="2107">
        <v>-9999</v>
      </c>
      <c r="EM245" s="2107">
        <v>-9999</v>
      </c>
    </row>
    <row r="246" spans="1:143">
      <c r="A246" s="22">
        <v>146</v>
      </c>
      <c r="B246" s="33" t="s">
        <v>123</v>
      </c>
      <c r="C246" s="24">
        <f ca="1">OFFSET(Sector1!F690,0,Last_forecast_year - 3-InputY!$G$3)</f>
        <v>32.8825</v>
      </c>
      <c r="D246" s="24">
        <f ca="1">OFFSET(Sector1!G690,0,Last_forecast_year - 3-InputY!$G$3)</f>
        <v>33.738</v>
      </c>
      <c r="E246" s="24">
        <f ca="1">OFFSET(Sector1!H690,0,Last_forecast_year - 3-InputY!$G$3)</f>
        <v>34.874199999999995</v>
      </c>
      <c r="F246" s="24">
        <f ca="1">OFFSET(Sector1!I690,0,Last_forecast_year - 3-InputY!$G$3)</f>
        <v>36.23080637999999</v>
      </c>
      <c r="G246" s="24">
        <f ca="1">OFFSET(Sector1!J690,0,Last_forecast_year - 3-InputY!$G$3)</f>
        <v>37.596707780525989</v>
      </c>
      <c r="H246" s="25">
        <v>-9999</v>
      </c>
      <c r="I246" s="25">
        <v>-9999</v>
      </c>
      <c r="J246" s="25">
        <v>-9999</v>
      </c>
      <c r="K246" s="25">
        <v>-9999</v>
      </c>
      <c r="L246" s="25">
        <v>-9999</v>
      </c>
      <c r="M246" s="25">
        <v>-9999</v>
      </c>
      <c r="N246" s="25">
        <v>-9999</v>
      </c>
      <c r="O246" s="25">
        <v>-9999</v>
      </c>
      <c r="P246" s="26"/>
      <c r="Q246"/>
      <c r="AA246" s="22">
        <v>146</v>
      </c>
      <c r="AB246" s="1081" t="str">
        <f t="shared" si="31"/>
        <v>GG SOC TRANSF IN KIND VIA MARKET PRODUCERS</v>
      </c>
      <c r="AC246" s="1081">
        <f>CHOOSE(Tables!$U$2,Transfer!CA246,Transfer!CN246,Transfer!DA246,Transfer!DN246,Transfer!EA246)</f>
        <v>32.8825</v>
      </c>
      <c r="AD246" s="1081">
        <f>CHOOSE(Tables!$U$2,Transfer!CB246,Transfer!CO246,Transfer!DB246,Transfer!DO246,Transfer!EB246)</f>
        <v>33.738</v>
      </c>
      <c r="AE246" s="1081">
        <f>CHOOSE(Tables!$U$2,Transfer!CC246,Transfer!CP246,Transfer!DC246,Transfer!DP246,Transfer!EC246)</f>
        <v>34.874199999999995</v>
      </c>
      <c r="AF246" s="1081">
        <f>CHOOSE(Tables!$U$2,Transfer!CD246,Transfer!CQ246,Transfer!DD246,Transfer!DQ246,Transfer!ED246)</f>
        <v>36.23080637999999</v>
      </c>
      <c r="AG246" s="1081">
        <f>CHOOSE(Tables!$U$2,Transfer!CE246,Transfer!CR246,Transfer!DE246,Transfer!DR246,Transfer!EE246)</f>
        <v>37.596707780525989</v>
      </c>
      <c r="AH246" s="1081">
        <f>CHOOSE(Tables!$U$2,Transfer!CF246,Transfer!CS246,Transfer!DF246,Transfer!DS246,Transfer!EF246)</f>
        <v>-9999</v>
      </c>
      <c r="AI246" s="1081">
        <f>CHOOSE(Tables!$U$2,Transfer!CG246,Transfer!CT246,Transfer!DG246,Transfer!DT246,Transfer!EG246)</f>
        <v>-9999</v>
      </c>
      <c r="AJ246" s="1081">
        <f>CHOOSE(Tables!$U$2,Transfer!CH246,Transfer!CU246,Transfer!DH246,Transfer!DU246,Transfer!EH246)</f>
        <v>-9999</v>
      </c>
      <c r="AK246" s="1081">
        <f>CHOOSE(Tables!$U$2,Transfer!CI246,Transfer!CV246,Transfer!DI246,Transfer!DV246,Transfer!EI246)</f>
        <v>-9999</v>
      </c>
      <c r="AL246" s="1081">
        <f>CHOOSE(Tables!$U$2,Transfer!CJ246,Transfer!CW246,Transfer!DJ246,Transfer!DW246,Transfer!EJ246)</f>
        <v>-9999</v>
      </c>
      <c r="AM246" s="1081">
        <f>CHOOSE(Tables!$U$2,Transfer!CK246,Transfer!CX246,Transfer!DK246,Transfer!DX246,Transfer!EK246)</f>
        <v>-9999</v>
      </c>
      <c r="AN246" s="1081">
        <f>CHOOSE(Tables!$U$2,Transfer!CL246,Transfer!CY246,Transfer!DL246,Transfer!DY246,Transfer!EL246)</f>
        <v>-9999</v>
      </c>
      <c r="AO246" s="1081">
        <f>CHOOSE(Tables!$U$2,Transfer!CM246,Transfer!CZ246,Transfer!DM246,Transfer!DZ246,Transfer!EM246)</f>
        <v>-9999</v>
      </c>
      <c r="AR246" s="22">
        <v>146</v>
      </c>
      <c r="AS246" s="30" t="s">
        <v>1998</v>
      </c>
      <c r="AT246" s="25">
        <f t="shared" ref="AT246:AT256" ca="1" si="32">C246-AC246</f>
        <v>0</v>
      </c>
      <c r="AU246" s="25">
        <f t="shared" ref="AU246:AU256" ca="1" si="33">D246-AD246</f>
        <v>0</v>
      </c>
      <c r="AV246" s="25">
        <f t="shared" ref="AV246:AV256" ca="1" si="34">E246-AE246</f>
        <v>0</v>
      </c>
      <c r="AW246" s="25">
        <f t="shared" ref="AW246:AW256" ca="1" si="35">F246-AF246</f>
        <v>0</v>
      </c>
      <c r="AX246" s="25">
        <f t="shared" ref="AX246:AX256" ca="1" si="36">G246-AG246</f>
        <v>0</v>
      </c>
      <c r="AY246" s="25">
        <f t="shared" ref="AY246:AY256" si="37">H246-AH246</f>
        <v>0</v>
      </c>
      <c r="AZ246" s="25">
        <f t="shared" ref="AZ246:AZ256" si="38">I246-AI246</f>
        <v>0</v>
      </c>
      <c r="BA246" s="25">
        <f t="shared" ref="BA246:BA256" si="39">J246-AJ246</f>
        <v>0</v>
      </c>
      <c r="BB246" s="25">
        <f t="shared" ref="BB246:BB256" si="40">K246-AK246</f>
        <v>0</v>
      </c>
      <c r="BC246" s="25">
        <f t="shared" si="21"/>
        <v>0</v>
      </c>
      <c r="BD246" s="25">
        <f t="shared" si="21"/>
        <v>0</v>
      </c>
      <c r="BE246" s="25">
        <f t="shared" si="21"/>
        <v>0</v>
      </c>
      <c r="BF246" s="25">
        <f t="shared" si="21"/>
        <v>0</v>
      </c>
      <c r="CA246" s="16">
        <v>32.8825</v>
      </c>
      <c r="CB246" s="16">
        <v>33.738</v>
      </c>
      <c r="CC246" s="16">
        <v>34.874199999999995</v>
      </c>
      <c r="CD246" s="16">
        <v>36.23080637999999</v>
      </c>
      <c r="CE246" s="16">
        <v>37.596707780525989</v>
      </c>
      <c r="CF246" s="16">
        <v>-9999</v>
      </c>
      <c r="CG246" s="16">
        <v>-9999</v>
      </c>
      <c r="CH246" s="16">
        <v>-9999</v>
      </c>
      <c r="CI246" s="16">
        <v>-9999</v>
      </c>
      <c r="CJ246" s="16">
        <v>-9999</v>
      </c>
      <c r="CK246" s="16">
        <v>-9999</v>
      </c>
      <c r="CL246" s="16">
        <v>-9999</v>
      </c>
      <c r="CM246" s="16">
        <v>-9999</v>
      </c>
      <c r="CN246" s="16">
        <v>32.883000000000003</v>
      </c>
      <c r="CO246" s="16">
        <v>33.844699999999996</v>
      </c>
      <c r="CP246" s="16">
        <v>34.918006305381539</v>
      </c>
      <c r="CQ246" s="16">
        <v>35.965546494542984</v>
      </c>
      <c r="CR246" s="16">
        <v>36.325201959488417</v>
      </c>
      <c r="CS246" s="16">
        <v>-9999</v>
      </c>
      <c r="CT246" s="16">
        <v>-9999</v>
      </c>
      <c r="CU246" s="16">
        <v>-9999</v>
      </c>
      <c r="CV246" s="16">
        <v>-9999</v>
      </c>
      <c r="CW246" s="16">
        <v>-9999</v>
      </c>
      <c r="CX246" s="16">
        <v>-9999</v>
      </c>
      <c r="CY246" s="16">
        <v>-9999</v>
      </c>
      <c r="CZ246" s="16">
        <v>-9999</v>
      </c>
      <c r="DA246" s="16">
        <v>32.8825</v>
      </c>
      <c r="DB246" s="16">
        <v>33.738</v>
      </c>
      <c r="DC246" s="16">
        <v>34.874199999999995</v>
      </c>
      <c r="DD246" s="16">
        <v>36.23080637999999</v>
      </c>
      <c r="DE246" s="16">
        <v>37.596707780525989</v>
      </c>
      <c r="DF246" s="16">
        <v>-9999</v>
      </c>
      <c r="DG246" s="16">
        <v>-9999</v>
      </c>
      <c r="DH246" s="16">
        <v>-9999</v>
      </c>
      <c r="DI246" s="16">
        <v>-9999</v>
      </c>
      <c r="DJ246" s="16">
        <v>-9999</v>
      </c>
      <c r="DK246" s="16">
        <v>-9999</v>
      </c>
      <c r="DL246" s="16">
        <v>-9999</v>
      </c>
      <c r="DM246" s="16">
        <v>-9999</v>
      </c>
      <c r="DN246" s="16">
        <v>32.8825</v>
      </c>
      <c r="DO246" s="16">
        <v>33.738</v>
      </c>
      <c r="DP246" s="16">
        <v>34.874199999999995</v>
      </c>
      <c r="DQ246" s="16">
        <v>36.23080637999999</v>
      </c>
      <c r="DR246" s="16">
        <v>37.596707780525989</v>
      </c>
      <c r="DS246" s="16">
        <v>-9999</v>
      </c>
      <c r="DT246" s="16">
        <v>-9999</v>
      </c>
      <c r="DU246" s="16">
        <v>-9999</v>
      </c>
      <c r="DV246" s="16">
        <v>-9999</v>
      </c>
      <c r="DW246" s="16">
        <v>-9999</v>
      </c>
      <c r="DX246" s="16">
        <v>-9999</v>
      </c>
      <c r="DY246" s="16">
        <v>-9999</v>
      </c>
      <c r="DZ246" s="16">
        <v>-9999</v>
      </c>
      <c r="EA246" s="2107">
        <v>32.8825</v>
      </c>
      <c r="EB246" s="2107">
        <v>33.738</v>
      </c>
      <c r="EC246" s="2107">
        <v>34.874199999999995</v>
      </c>
      <c r="ED246" s="2107">
        <v>36.23080637999999</v>
      </c>
      <c r="EE246" s="2107">
        <v>37.596707780525989</v>
      </c>
      <c r="EF246" s="2107">
        <v>-9999</v>
      </c>
      <c r="EG246" s="2107">
        <v>-9999</v>
      </c>
      <c r="EH246" s="2107">
        <v>-9999</v>
      </c>
      <c r="EI246" s="2107">
        <v>-9999</v>
      </c>
      <c r="EJ246" s="2107">
        <v>-9999</v>
      </c>
      <c r="EK246" s="2107">
        <v>-9999</v>
      </c>
      <c r="EL246" s="2107">
        <v>-9999</v>
      </c>
      <c r="EM246" s="2107">
        <v>-9999</v>
      </c>
    </row>
    <row r="247" spans="1:143">
      <c r="A247" s="22">
        <v>147</v>
      </c>
      <c r="B247" s="29" t="s">
        <v>687</v>
      </c>
      <c r="C247" s="1286">
        <f ca="1">OFFSET('VVP2'!F302,0,Last_forecast_year - 3-InputY!$G$3)</f>
        <v>256.49360000000001</v>
      </c>
      <c r="D247" s="1286">
        <f ca="1">OFFSET('VVP2'!G302,0,Last_forecast_year - 3-InputY!$G$3)</f>
        <v>258.77640000000002</v>
      </c>
      <c r="E247" s="1286">
        <f ca="1">OFFSET('VVP2'!H302,0,Last_forecast_year - 3-InputY!$G$3)</f>
        <v>274.46430000000004</v>
      </c>
      <c r="F247" s="1286">
        <f ca="1">OFFSET('VVP2'!I302,0,Last_forecast_year - 3-InputY!$G$3)</f>
        <v>293.98497058950005</v>
      </c>
      <c r="G247" s="1286">
        <f ca="1">OFFSET('VVP2'!J302,0,Last_forecast_year - 3-InputY!$G$3)</f>
        <v>312.72172305725604</v>
      </c>
      <c r="H247" s="25">
        <v>-9999</v>
      </c>
      <c r="I247" s="25">
        <v>-9999</v>
      </c>
      <c r="J247" s="25">
        <v>-9999</v>
      </c>
      <c r="K247" s="25">
        <v>-9999</v>
      </c>
      <c r="L247" s="25">
        <v>-9999</v>
      </c>
      <c r="M247" s="25">
        <v>-9999</v>
      </c>
      <c r="N247" s="25">
        <v>-9999</v>
      </c>
      <c r="O247" s="25">
        <v>-9999</v>
      </c>
      <c r="P247" s="26"/>
      <c r="Q247"/>
      <c r="AA247" s="22">
        <v>147</v>
      </c>
      <c r="AB247" s="1081" t="str">
        <f t="shared" si="31"/>
        <v>EXPORTS OF GOODS INTRA-EU (FOB)</v>
      </c>
      <c r="AC247" s="1081">
        <f>CHOOSE(Tables!$U$2,Transfer!CA247,Transfer!CN247,Transfer!DA247,Transfer!DN247,Transfer!EA247)</f>
        <v>256.49360000000001</v>
      </c>
      <c r="AD247" s="1081">
        <f>CHOOSE(Tables!$U$2,Transfer!CB247,Transfer!CO247,Transfer!DB247,Transfer!DO247,Transfer!EB247)</f>
        <v>258.77640000000002</v>
      </c>
      <c r="AE247" s="1081">
        <f>CHOOSE(Tables!$U$2,Transfer!CC247,Transfer!CP247,Transfer!DC247,Transfer!DP247,Transfer!EC247)</f>
        <v>274.46430000000004</v>
      </c>
      <c r="AF247" s="1081">
        <f>CHOOSE(Tables!$U$2,Transfer!CD247,Transfer!CQ247,Transfer!DD247,Transfer!DQ247,Transfer!ED247)</f>
        <v>293.45218958950005</v>
      </c>
      <c r="AG247" s="1081">
        <f>CHOOSE(Tables!$U$2,Transfer!CE247,Transfer!CR247,Transfer!DE247,Transfer!DR247,Transfer!EE247)</f>
        <v>311.6108746722561</v>
      </c>
      <c r="AH247" s="1081">
        <f>CHOOSE(Tables!$U$2,Transfer!CF247,Transfer!CS247,Transfer!DF247,Transfer!DS247,Transfer!EF247)</f>
        <v>-9999</v>
      </c>
      <c r="AI247" s="1081">
        <f>CHOOSE(Tables!$U$2,Transfer!CG247,Transfer!CT247,Transfer!DG247,Transfer!DT247,Transfer!EG247)</f>
        <v>-9999</v>
      </c>
      <c r="AJ247" s="1081">
        <f>CHOOSE(Tables!$U$2,Transfer!CH247,Transfer!CU247,Transfer!DH247,Transfer!DU247,Transfer!EH247)</f>
        <v>-9999</v>
      </c>
      <c r="AK247" s="1081">
        <f>CHOOSE(Tables!$U$2,Transfer!CI247,Transfer!CV247,Transfer!DI247,Transfer!DV247,Transfer!EI247)</f>
        <v>-9999</v>
      </c>
      <c r="AL247" s="1081">
        <f>CHOOSE(Tables!$U$2,Transfer!CJ247,Transfer!CW247,Transfer!DJ247,Transfer!DW247,Transfer!EJ247)</f>
        <v>-9999</v>
      </c>
      <c r="AM247" s="1081">
        <f>CHOOSE(Tables!$U$2,Transfer!CK247,Transfer!CX247,Transfer!DK247,Transfer!DX247,Transfer!EK247)</f>
        <v>-9999</v>
      </c>
      <c r="AN247" s="1081">
        <f>CHOOSE(Tables!$U$2,Transfer!CL247,Transfer!CY247,Transfer!DL247,Transfer!DY247,Transfer!EL247)</f>
        <v>-9999</v>
      </c>
      <c r="AO247" s="1081">
        <f>CHOOSE(Tables!$U$2,Transfer!CM247,Transfer!CZ247,Transfer!DM247,Transfer!DZ247,Transfer!EM247)</f>
        <v>-9999</v>
      </c>
      <c r="AR247" s="22">
        <v>147</v>
      </c>
      <c r="AS247" s="29" t="s">
        <v>687</v>
      </c>
      <c r="AT247" s="1286">
        <f t="shared" ca="1" si="32"/>
        <v>0</v>
      </c>
      <c r="AU247" s="1286">
        <f t="shared" ca="1" si="33"/>
        <v>0</v>
      </c>
      <c r="AV247" s="1286">
        <f t="shared" ca="1" si="34"/>
        <v>0</v>
      </c>
      <c r="AW247" s="1286">
        <f t="shared" ca="1" si="35"/>
        <v>0.53278099999999995</v>
      </c>
      <c r="AX247" s="1286">
        <f t="shared" ca="1" si="36"/>
        <v>1.1108483849999402</v>
      </c>
      <c r="AY247" s="25">
        <f t="shared" si="37"/>
        <v>0</v>
      </c>
      <c r="AZ247" s="25">
        <f t="shared" si="38"/>
        <v>0</v>
      </c>
      <c r="BA247" s="25">
        <f t="shared" si="39"/>
        <v>0</v>
      </c>
      <c r="BB247" s="25">
        <f t="shared" si="40"/>
        <v>0</v>
      </c>
      <c r="BC247" s="25">
        <f t="shared" si="21"/>
        <v>0</v>
      </c>
      <c r="BD247" s="25">
        <f t="shared" si="21"/>
        <v>0</v>
      </c>
      <c r="BE247" s="25">
        <f t="shared" si="21"/>
        <v>0</v>
      </c>
      <c r="BF247" s="25">
        <f t="shared" si="21"/>
        <v>0</v>
      </c>
      <c r="CA247" s="16">
        <v>256.49360000000001</v>
      </c>
      <c r="CB247" s="16">
        <v>258.77640000000002</v>
      </c>
      <c r="CC247" s="16">
        <v>274.46430000000004</v>
      </c>
      <c r="CD247" s="16">
        <v>293.45218958950005</v>
      </c>
      <c r="CE247" s="16">
        <v>311.6108746722561</v>
      </c>
      <c r="CF247" s="16">
        <v>-9999</v>
      </c>
      <c r="CG247" s="16">
        <v>-9999</v>
      </c>
      <c r="CH247" s="16">
        <v>-9999</v>
      </c>
      <c r="CI247" s="16">
        <v>-9999</v>
      </c>
      <c r="CJ247" s="16">
        <v>-9999</v>
      </c>
      <c r="CK247" s="16">
        <v>-9999</v>
      </c>
      <c r="CL247" s="16">
        <v>-9999</v>
      </c>
      <c r="CM247" s="16">
        <v>-9999</v>
      </c>
      <c r="CN247" s="16">
        <v>257.08800000000002</v>
      </c>
      <c r="CO247" s="16">
        <v>260.13129999999995</v>
      </c>
      <c r="CP247" s="16">
        <v>279.63769961499986</v>
      </c>
      <c r="CQ247" s="16">
        <v>294.17052029702813</v>
      </c>
      <c r="CR247" s="16">
        <v>315.46981093921391</v>
      </c>
      <c r="CS247" s="16">
        <v>-9999</v>
      </c>
      <c r="CT247" s="16">
        <v>-9999</v>
      </c>
      <c r="CU247" s="16">
        <v>-9999</v>
      </c>
      <c r="CV247" s="16">
        <v>-9999</v>
      </c>
      <c r="CW247" s="16">
        <v>-9999</v>
      </c>
      <c r="CX247" s="16">
        <v>-9999</v>
      </c>
      <c r="CY247" s="16">
        <v>-9999</v>
      </c>
      <c r="CZ247" s="16">
        <v>-9999</v>
      </c>
      <c r="DA247" s="16">
        <v>256.49360000000001</v>
      </c>
      <c r="DB247" s="16">
        <v>258.77640000000002</v>
      </c>
      <c r="DC247" s="16">
        <v>274.46430000000004</v>
      </c>
      <c r="DD247" s="16">
        <v>293.45218958950005</v>
      </c>
      <c r="DE247" s="16">
        <v>311.6108746722561</v>
      </c>
      <c r="DF247" s="16">
        <v>-9999</v>
      </c>
      <c r="DG247" s="16">
        <v>-9999</v>
      </c>
      <c r="DH247" s="16">
        <v>-9999</v>
      </c>
      <c r="DI247" s="16">
        <v>-9999</v>
      </c>
      <c r="DJ247" s="16">
        <v>-9999</v>
      </c>
      <c r="DK247" s="16">
        <v>-9999</v>
      </c>
      <c r="DL247" s="16">
        <v>-9999</v>
      </c>
      <c r="DM247" s="16">
        <v>-9999</v>
      </c>
      <c r="DN247" s="16">
        <v>256.49360000000001</v>
      </c>
      <c r="DO247" s="16">
        <v>258.77640000000002</v>
      </c>
      <c r="DP247" s="16">
        <v>274.46430000000004</v>
      </c>
      <c r="DQ247" s="16">
        <v>293.45218958950005</v>
      </c>
      <c r="DR247" s="16">
        <v>311.6108746722561</v>
      </c>
      <c r="DS247" s="16">
        <v>-9999</v>
      </c>
      <c r="DT247" s="16">
        <v>-9999</v>
      </c>
      <c r="DU247" s="16">
        <v>-9999</v>
      </c>
      <c r="DV247" s="16">
        <v>-9999</v>
      </c>
      <c r="DW247" s="16">
        <v>-9999</v>
      </c>
      <c r="DX247" s="16">
        <v>-9999</v>
      </c>
      <c r="DY247" s="16">
        <v>-9999</v>
      </c>
      <c r="DZ247" s="16">
        <v>-9999</v>
      </c>
      <c r="EA247" s="2106">
        <v>256.49360000000001</v>
      </c>
      <c r="EB247" s="2106">
        <v>258.77640000000002</v>
      </c>
      <c r="EC247" s="2106">
        <v>274.46430000000004</v>
      </c>
      <c r="ED247" s="2106">
        <v>293.98497058950005</v>
      </c>
      <c r="EE247" s="2106">
        <v>312.72172305725604</v>
      </c>
      <c r="EF247" s="2107">
        <v>-9999</v>
      </c>
      <c r="EG247" s="2107">
        <v>-9999</v>
      </c>
      <c r="EH247" s="2107">
        <v>-9999</v>
      </c>
      <c r="EI247" s="2107">
        <v>-9999</v>
      </c>
      <c r="EJ247" s="2107">
        <v>-9999</v>
      </c>
      <c r="EK247" s="2107">
        <v>-9999</v>
      </c>
      <c r="EL247" s="2107">
        <v>-9999</v>
      </c>
      <c r="EM247" s="2107">
        <v>-9999</v>
      </c>
    </row>
    <row r="248" spans="1:143">
      <c r="A248" s="22">
        <v>148</v>
      </c>
      <c r="B248" s="33" t="s">
        <v>1962</v>
      </c>
      <c r="C248" s="24">
        <f ca="1">OFFSET(Sector1!F789,0,Last_forecast_year - 3-InputY!$G$3)</f>
        <v>0</v>
      </c>
      <c r="D248" s="24">
        <f ca="1">OFFSET(Sector1!G789,0,Last_forecast_year - 3-InputY!$G$3)</f>
        <v>0</v>
      </c>
      <c r="E248" s="24">
        <f ca="1">OFFSET(Sector1!H789,0,Last_forecast_year - 3-InputY!$G$3)</f>
        <v>0</v>
      </c>
      <c r="F248" s="24">
        <f ca="1">OFFSET(Sector1!I789,0,Last_forecast_year - 3-InputY!$G$3)</f>
        <v>0</v>
      </c>
      <c r="G248" s="24">
        <f ca="1">OFFSET(Sector1!J789,0,Last_forecast_year - 3-InputY!$G$3)</f>
        <v>0</v>
      </c>
      <c r="H248" s="25">
        <v>-9999</v>
      </c>
      <c r="I248" s="25">
        <v>-9999</v>
      </c>
      <c r="J248" s="25">
        <v>-9999</v>
      </c>
      <c r="K248" s="25">
        <v>-9999</v>
      </c>
      <c r="L248" s="25">
        <v>-9999</v>
      </c>
      <c r="M248" s="25">
        <v>-9999</v>
      </c>
      <c r="N248" s="25">
        <v>-9999</v>
      </c>
      <c r="O248" s="25">
        <v>-9999</v>
      </c>
      <c r="P248" s="26"/>
      <c r="Q248"/>
      <c r="AA248" s="22">
        <v>148</v>
      </c>
      <c r="AB248" s="1081" t="str">
        <f t="shared" si="31"/>
        <v>GG UNPAID TAXES</v>
      </c>
      <c r="AC248" s="1081">
        <f>CHOOSE(Tables!$U$2,Transfer!CA248,Transfer!CN248,Transfer!DA248,Transfer!DN248,Transfer!EA248)</f>
        <v>0</v>
      </c>
      <c r="AD248" s="1081">
        <f>CHOOSE(Tables!$U$2,Transfer!CB248,Transfer!CO248,Transfer!DB248,Transfer!DO248,Transfer!EB248)</f>
        <v>0</v>
      </c>
      <c r="AE248" s="1081">
        <f>CHOOSE(Tables!$U$2,Transfer!CC248,Transfer!CP248,Transfer!DC248,Transfer!DP248,Transfer!EC248)</f>
        <v>0</v>
      </c>
      <c r="AF248" s="1081">
        <f>CHOOSE(Tables!$U$2,Transfer!CD248,Transfer!CQ248,Transfer!DD248,Transfer!DQ248,Transfer!ED248)</f>
        <v>0</v>
      </c>
      <c r="AG248" s="1081">
        <f>CHOOSE(Tables!$U$2,Transfer!CE248,Transfer!CR248,Transfer!DE248,Transfer!DR248,Transfer!EE248)</f>
        <v>0</v>
      </c>
      <c r="AH248" s="1081">
        <f>CHOOSE(Tables!$U$2,Transfer!CF248,Transfer!CS248,Transfer!DF248,Transfer!DS248,Transfer!EF248)</f>
        <v>-9999</v>
      </c>
      <c r="AI248" s="1081">
        <f>CHOOSE(Tables!$U$2,Transfer!CG248,Transfer!CT248,Transfer!DG248,Transfer!DT248,Transfer!EG248)</f>
        <v>-9999</v>
      </c>
      <c r="AJ248" s="1081">
        <f>CHOOSE(Tables!$U$2,Transfer!CH248,Transfer!CU248,Transfer!DH248,Transfer!DU248,Transfer!EH248)</f>
        <v>-9999</v>
      </c>
      <c r="AK248" s="1081">
        <f>CHOOSE(Tables!$U$2,Transfer!CI248,Transfer!CV248,Transfer!DI248,Transfer!DV248,Transfer!EI248)</f>
        <v>-9999</v>
      </c>
      <c r="AL248" s="1081">
        <f>CHOOSE(Tables!$U$2,Transfer!CJ248,Transfer!CW248,Transfer!DJ248,Transfer!DW248,Transfer!EJ248)</f>
        <v>-9999</v>
      </c>
      <c r="AM248" s="1081">
        <f>CHOOSE(Tables!$U$2,Transfer!CK248,Transfer!CX248,Transfer!DK248,Transfer!DX248,Transfer!EK248)</f>
        <v>-9999</v>
      </c>
      <c r="AN248" s="1081">
        <f>CHOOSE(Tables!$U$2,Transfer!CL248,Transfer!CY248,Transfer!DL248,Transfer!DY248,Transfer!EL248)</f>
        <v>-9999</v>
      </c>
      <c r="AO248" s="1081">
        <f>CHOOSE(Tables!$U$2,Transfer!CM248,Transfer!CZ248,Transfer!DM248,Transfer!DZ248,Transfer!EM248)</f>
        <v>-9999</v>
      </c>
      <c r="AR248" s="22">
        <v>148</v>
      </c>
      <c r="AS248" s="30" t="s">
        <v>1998</v>
      </c>
      <c r="AT248" s="25">
        <f t="shared" ca="1" si="32"/>
        <v>0</v>
      </c>
      <c r="AU248" s="25">
        <f t="shared" ca="1" si="33"/>
        <v>0</v>
      </c>
      <c r="AV248" s="25">
        <f t="shared" ca="1" si="34"/>
        <v>0</v>
      </c>
      <c r="AW248" s="25">
        <f t="shared" ca="1" si="35"/>
        <v>0</v>
      </c>
      <c r="AX248" s="25">
        <f t="shared" ca="1" si="36"/>
        <v>0</v>
      </c>
      <c r="AY248" s="25">
        <f t="shared" si="37"/>
        <v>0</v>
      </c>
      <c r="AZ248" s="25">
        <f t="shared" si="38"/>
        <v>0</v>
      </c>
      <c r="BA248" s="25">
        <f t="shared" si="39"/>
        <v>0</v>
      </c>
      <c r="BB248" s="25">
        <f t="shared" si="40"/>
        <v>0</v>
      </c>
      <c r="BC248" s="25">
        <f t="shared" si="21"/>
        <v>0</v>
      </c>
      <c r="BD248" s="25">
        <f t="shared" si="21"/>
        <v>0</v>
      </c>
      <c r="BE248" s="25">
        <f t="shared" si="21"/>
        <v>0</v>
      </c>
      <c r="BF248" s="25">
        <f t="shared" si="21"/>
        <v>0</v>
      </c>
      <c r="CA248" s="16">
        <v>0</v>
      </c>
      <c r="CB248" s="16">
        <v>0</v>
      </c>
      <c r="CC248" s="16">
        <v>0</v>
      </c>
      <c r="CD248" s="16">
        <v>0</v>
      </c>
      <c r="CE248" s="16">
        <v>0</v>
      </c>
      <c r="CF248" s="16">
        <v>-9999</v>
      </c>
      <c r="CG248" s="16">
        <v>-9999</v>
      </c>
      <c r="CH248" s="16">
        <v>-9999</v>
      </c>
      <c r="CI248" s="16">
        <v>-9999</v>
      </c>
      <c r="CJ248" s="16">
        <v>-9999</v>
      </c>
      <c r="CK248" s="16">
        <v>-9999</v>
      </c>
      <c r="CL248" s="16">
        <v>-9999</v>
      </c>
      <c r="CM248" s="16">
        <v>-9999</v>
      </c>
      <c r="CN248" s="16">
        <v>0</v>
      </c>
      <c r="CO248" s="16">
        <v>0</v>
      </c>
      <c r="CP248" s="16">
        <v>0</v>
      </c>
      <c r="CQ248" s="16">
        <v>0</v>
      </c>
      <c r="CR248" s="16">
        <v>0</v>
      </c>
      <c r="CS248" s="16">
        <v>-9999</v>
      </c>
      <c r="CT248" s="16">
        <v>-9999</v>
      </c>
      <c r="CU248" s="16">
        <v>-9999</v>
      </c>
      <c r="CV248" s="16">
        <v>-9999</v>
      </c>
      <c r="CW248" s="16">
        <v>-9999</v>
      </c>
      <c r="CX248" s="16">
        <v>-9999</v>
      </c>
      <c r="CY248" s="16">
        <v>-9999</v>
      </c>
      <c r="CZ248" s="16">
        <v>-9999</v>
      </c>
      <c r="DA248" s="16">
        <v>0</v>
      </c>
      <c r="DB248" s="16">
        <v>0</v>
      </c>
      <c r="DC248" s="16">
        <v>0</v>
      </c>
      <c r="DD248" s="16">
        <v>0</v>
      </c>
      <c r="DE248" s="16">
        <v>0</v>
      </c>
      <c r="DF248" s="16">
        <v>-9999</v>
      </c>
      <c r="DG248" s="16">
        <v>-9999</v>
      </c>
      <c r="DH248" s="16">
        <v>-9999</v>
      </c>
      <c r="DI248" s="16">
        <v>-9999</v>
      </c>
      <c r="DJ248" s="16">
        <v>-9999</v>
      </c>
      <c r="DK248" s="16">
        <v>-9999</v>
      </c>
      <c r="DL248" s="16">
        <v>-9999</v>
      </c>
      <c r="DM248" s="16">
        <v>-9999</v>
      </c>
      <c r="DN248" s="16">
        <v>0</v>
      </c>
      <c r="DO248" s="16">
        <v>0</v>
      </c>
      <c r="DP248" s="16">
        <v>0</v>
      </c>
      <c r="DQ248" s="16">
        <v>0</v>
      </c>
      <c r="DR248" s="16">
        <v>0</v>
      </c>
      <c r="DS248" s="16">
        <v>-9999</v>
      </c>
      <c r="DT248" s="16">
        <v>-9999</v>
      </c>
      <c r="DU248" s="16">
        <v>-9999</v>
      </c>
      <c r="DV248" s="16">
        <v>-9999</v>
      </c>
      <c r="DW248" s="16">
        <v>-9999</v>
      </c>
      <c r="DX248" s="16">
        <v>-9999</v>
      </c>
      <c r="DY248" s="16">
        <v>-9999</v>
      </c>
      <c r="DZ248" s="16">
        <v>-9999</v>
      </c>
      <c r="EA248" s="2107">
        <v>0</v>
      </c>
      <c r="EB248" s="2107">
        <v>0</v>
      </c>
      <c r="EC248" s="2107">
        <v>0</v>
      </c>
      <c r="ED248" s="2107">
        <v>0</v>
      </c>
      <c r="EE248" s="2107">
        <v>0</v>
      </c>
      <c r="EF248" s="2107">
        <v>-9999</v>
      </c>
      <c r="EG248" s="2107">
        <v>-9999</v>
      </c>
      <c r="EH248" s="2107">
        <v>-9999</v>
      </c>
      <c r="EI248" s="2107">
        <v>-9999</v>
      </c>
      <c r="EJ248" s="2107">
        <v>-9999</v>
      </c>
      <c r="EK248" s="2107">
        <v>-9999</v>
      </c>
      <c r="EL248" s="2107">
        <v>-9999</v>
      </c>
      <c r="EM248" s="2107">
        <v>-9999</v>
      </c>
    </row>
    <row r="249" spans="1:143">
      <c r="A249" s="22">
        <v>149</v>
      </c>
      <c r="B249" s="29" t="s">
        <v>1736</v>
      </c>
      <c r="C249" s="1286">
        <f ca="1">OFFSET('VVP2'!F303,0,Last_forecast_year - 3-InputY!$G$3)</f>
        <v>101.25980000000003</v>
      </c>
      <c r="D249" s="1286">
        <f ca="1">OFFSET('VVP2'!G303,0,Last_forecast_year - 3-InputY!$G$3)</f>
        <v>100.76729999999998</v>
      </c>
      <c r="E249" s="1286">
        <f ca="1">OFFSET('VVP2'!H303,0,Last_forecast_year - 3-InputY!$G$3)</f>
        <v>106.55620000000005</v>
      </c>
      <c r="F249" s="1286">
        <f ca="1">OFFSET('VVP2'!I303,0,Last_forecast_year - 3-InputY!$G$3)</f>
        <v>110.81844800000005</v>
      </c>
      <c r="G249" s="1286">
        <f ca="1">OFFSET('VVP2'!J303,0,Last_forecast_year - 3-InputY!$G$3)</f>
        <v>115.25118592000005</v>
      </c>
      <c r="H249" s="25">
        <v>-9999</v>
      </c>
      <c r="I249" s="25">
        <v>-9999</v>
      </c>
      <c r="J249" s="25">
        <v>-9999</v>
      </c>
      <c r="K249" s="25">
        <v>-9999</v>
      </c>
      <c r="L249" s="25">
        <v>-9999</v>
      </c>
      <c r="M249" s="25">
        <v>-9999</v>
      </c>
      <c r="N249" s="25">
        <v>-9999</v>
      </c>
      <c r="O249" s="25">
        <v>-9999</v>
      </c>
      <c r="P249" s="26"/>
      <c r="Q249"/>
      <c r="AA249" s="22">
        <v>149</v>
      </c>
      <c r="AB249" s="1081" t="str">
        <f t="shared" si="31"/>
        <v>EXPORTS OF GOODS EXTRA-EU (FOB)</v>
      </c>
      <c r="AC249" s="1081">
        <f>CHOOSE(Tables!$U$2,Transfer!CA249,Transfer!CN249,Transfer!DA249,Transfer!DN249,Transfer!EA249)</f>
        <v>101.25980000000003</v>
      </c>
      <c r="AD249" s="1081">
        <f>CHOOSE(Tables!$U$2,Transfer!CB249,Transfer!CO249,Transfer!DB249,Transfer!DO249,Transfer!EB249)</f>
        <v>100.76729999999998</v>
      </c>
      <c r="AE249" s="1081">
        <f>CHOOSE(Tables!$U$2,Transfer!CC249,Transfer!CP249,Transfer!DC249,Transfer!DP249,Transfer!EC249)</f>
        <v>106.55620000000005</v>
      </c>
      <c r="AF249" s="1081">
        <f>CHOOSE(Tables!$U$2,Transfer!CD249,Transfer!CQ249,Transfer!DD249,Transfer!DQ249,Transfer!ED249)</f>
        <v>111.35122900000005</v>
      </c>
      <c r="AG249" s="1081">
        <f>CHOOSE(Tables!$U$2,Transfer!CE249,Transfer!CR249,Transfer!DE249,Transfer!DR249,Transfer!EE249)</f>
        <v>116.36203430500004</v>
      </c>
      <c r="AH249" s="1081">
        <f>CHOOSE(Tables!$U$2,Transfer!CF249,Transfer!CS249,Transfer!DF249,Transfer!DS249,Transfer!EF249)</f>
        <v>-9999</v>
      </c>
      <c r="AI249" s="1081">
        <f>CHOOSE(Tables!$U$2,Transfer!CG249,Transfer!CT249,Transfer!DG249,Transfer!DT249,Transfer!EG249)</f>
        <v>-9999</v>
      </c>
      <c r="AJ249" s="1081">
        <f>CHOOSE(Tables!$U$2,Transfer!CH249,Transfer!CU249,Transfer!DH249,Transfer!DU249,Transfer!EH249)</f>
        <v>-9999</v>
      </c>
      <c r="AK249" s="1081">
        <f>CHOOSE(Tables!$U$2,Transfer!CI249,Transfer!CV249,Transfer!DI249,Transfer!DV249,Transfer!EI249)</f>
        <v>-9999</v>
      </c>
      <c r="AL249" s="1081">
        <f>CHOOSE(Tables!$U$2,Transfer!CJ249,Transfer!CW249,Transfer!DJ249,Transfer!DW249,Transfer!EJ249)</f>
        <v>-9999</v>
      </c>
      <c r="AM249" s="1081">
        <f>CHOOSE(Tables!$U$2,Transfer!CK249,Transfer!CX249,Transfer!DK249,Transfer!DX249,Transfer!EK249)</f>
        <v>-9999</v>
      </c>
      <c r="AN249" s="1081">
        <f>CHOOSE(Tables!$U$2,Transfer!CL249,Transfer!CY249,Transfer!DL249,Transfer!DY249,Transfer!EL249)</f>
        <v>-9999</v>
      </c>
      <c r="AO249" s="1081">
        <f>CHOOSE(Tables!$U$2,Transfer!CM249,Transfer!CZ249,Transfer!DM249,Transfer!DZ249,Transfer!EM249)</f>
        <v>-9999</v>
      </c>
      <c r="AR249" s="22">
        <v>149</v>
      </c>
      <c r="AS249" s="29" t="s">
        <v>1736</v>
      </c>
      <c r="AT249" s="1286">
        <f t="shared" ca="1" si="32"/>
        <v>0</v>
      </c>
      <c r="AU249" s="1286">
        <f t="shared" ca="1" si="33"/>
        <v>0</v>
      </c>
      <c r="AV249" s="1286">
        <f t="shared" ca="1" si="34"/>
        <v>0</v>
      </c>
      <c r="AW249" s="1286">
        <f t="shared" ca="1" si="35"/>
        <v>-0.53278099999999995</v>
      </c>
      <c r="AX249" s="1286">
        <f t="shared" ca="1" si="36"/>
        <v>-1.1108483849999828</v>
      </c>
      <c r="AY249" s="25">
        <f t="shared" si="37"/>
        <v>0</v>
      </c>
      <c r="AZ249" s="25">
        <f t="shared" si="38"/>
        <v>0</v>
      </c>
      <c r="BA249" s="25">
        <f t="shared" si="39"/>
        <v>0</v>
      </c>
      <c r="BB249" s="25">
        <f t="shared" si="40"/>
        <v>0</v>
      </c>
      <c r="BC249" s="25">
        <f t="shared" si="21"/>
        <v>0</v>
      </c>
      <c r="BD249" s="25">
        <f t="shared" si="21"/>
        <v>0</v>
      </c>
      <c r="BE249" s="25">
        <f t="shared" si="21"/>
        <v>0</v>
      </c>
      <c r="BF249" s="25">
        <f t="shared" si="21"/>
        <v>0</v>
      </c>
      <c r="CA249" s="16">
        <v>101.25980000000003</v>
      </c>
      <c r="CB249" s="16">
        <v>100.76729999999998</v>
      </c>
      <c r="CC249" s="16">
        <v>106.55620000000005</v>
      </c>
      <c r="CD249" s="16">
        <v>111.35122900000005</v>
      </c>
      <c r="CE249" s="16">
        <v>116.36203430500004</v>
      </c>
      <c r="CF249" s="16">
        <v>-9999</v>
      </c>
      <c r="CG249" s="16">
        <v>-9999</v>
      </c>
      <c r="CH249" s="16">
        <v>-9999</v>
      </c>
      <c r="CI249" s="16">
        <v>-9999</v>
      </c>
      <c r="CJ249" s="16">
        <v>-9999</v>
      </c>
      <c r="CK249" s="16">
        <v>-9999</v>
      </c>
      <c r="CL249" s="16">
        <v>-9999</v>
      </c>
      <c r="CM249" s="16">
        <v>-9999</v>
      </c>
      <c r="CN249" s="16">
        <v>100.64909999999996</v>
      </c>
      <c r="CO249" s="16">
        <v>99.461800000000025</v>
      </c>
      <c r="CP249" s="16">
        <v>102.84350120000003</v>
      </c>
      <c r="CQ249" s="16">
        <v>107.47145875400003</v>
      </c>
      <c r="CR249" s="16">
        <v>112.30767439793001</v>
      </c>
      <c r="CS249" s="16">
        <v>-9999</v>
      </c>
      <c r="CT249" s="16">
        <v>-9999</v>
      </c>
      <c r="CU249" s="16">
        <v>-9999</v>
      </c>
      <c r="CV249" s="16">
        <v>-9999</v>
      </c>
      <c r="CW249" s="16">
        <v>-9999</v>
      </c>
      <c r="CX249" s="16">
        <v>-9999</v>
      </c>
      <c r="CY249" s="16">
        <v>-9999</v>
      </c>
      <c r="CZ249" s="16">
        <v>-9999</v>
      </c>
      <c r="DA249" s="16">
        <v>101.25980000000003</v>
      </c>
      <c r="DB249" s="16">
        <v>100.76729999999998</v>
      </c>
      <c r="DC249" s="16">
        <v>106.55620000000005</v>
      </c>
      <c r="DD249" s="16">
        <v>111.35122900000005</v>
      </c>
      <c r="DE249" s="16">
        <v>116.36203430500004</v>
      </c>
      <c r="DF249" s="16">
        <v>-9999</v>
      </c>
      <c r="DG249" s="16">
        <v>-9999</v>
      </c>
      <c r="DH249" s="16">
        <v>-9999</v>
      </c>
      <c r="DI249" s="16">
        <v>-9999</v>
      </c>
      <c r="DJ249" s="16">
        <v>-9999</v>
      </c>
      <c r="DK249" s="16">
        <v>-9999</v>
      </c>
      <c r="DL249" s="16">
        <v>-9999</v>
      </c>
      <c r="DM249" s="16">
        <v>-9999</v>
      </c>
      <c r="DN249" s="16">
        <v>101.25980000000003</v>
      </c>
      <c r="DO249" s="16">
        <v>100.76729999999998</v>
      </c>
      <c r="DP249" s="16">
        <v>106.55620000000005</v>
      </c>
      <c r="DQ249" s="16">
        <v>111.35122900000005</v>
      </c>
      <c r="DR249" s="16">
        <v>116.36203430500004</v>
      </c>
      <c r="DS249" s="16">
        <v>-9999</v>
      </c>
      <c r="DT249" s="16">
        <v>-9999</v>
      </c>
      <c r="DU249" s="16">
        <v>-9999</v>
      </c>
      <c r="DV249" s="16">
        <v>-9999</v>
      </c>
      <c r="DW249" s="16">
        <v>-9999</v>
      </c>
      <c r="DX249" s="16">
        <v>-9999</v>
      </c>
      <c r="DY249" s="16">
        <v>-9999</v>
      </c>
      <c r="DZ249" s="16">
        <v>-9999</v>
      </c>
      <c r="EA249" s="2106">
        <v>101.25980000000003</v>
      </c>
      <c r="EB249" s="2106">
        <v>100.76729999999998</v>
      </c>
      <c r="EC249" s="2106">
        <v>106.55620000000005</v>
      </c>
      <c r="ED249" s="2106">
        <v>110.81844800000005</v>
      </c>
      <c r="EE249" s="2106">
        <v>115.25118592000005</v>
      </c>
      <c r="EF249" s="2107">
        <v>-9999</v>
      </c>
      <c r="EG249" s="2107">
        <v>-9999</v>
      </c>
      <c r="EH249" s="2107">
        <v>-9999</v>
      </c>
      <c r="EI249" s="2107">
        <v>-9999</v>
      </c>
      <c r="EJ249" s="2107">
        <v>-9999</v>
      </c>
      <c r="EK249" s="2107">
        <v>-9999</v>
      </c>
      <c r="EL249" s="2107">
        <v>-9999</v>
      </c>
      <c r="EM249" s="2107">
        <v>-9999</v>
      </c>
    </row>
    <row r="250" spans="1:143">
      <c r="A250" s="22">
        <v>150</v>
      </c>
      <c r="B250" s="29" t="s">
        <v>1738</v>
      </c>
      <c r="C250" s="1286">
        <f ca="1">OFFSET('VVP2'!F334,0,Last_forecast_year - 3-InputY!$G$3)</f>
        <v>212.56850000000003</v>
      </c>
      <c r="D250" s="1286">
        <f ca="1">OFFSET('VVP2'!G334,0,Last_forecast_year - 3-InputY!$G$3)</f>
        <v>218.50980000000001</v>
      </c>
      <c r="E250" s="1286">
        <f ca="1">OFFSET('VVP2'!H334,0,Last_forecast_year - 3-InputY!$G$3)</f>
        <v>231.54430000000002</v>
      </c>
      <c r="F250" s="1286">
        <f ca="1">OFFSET('VVP2'!I334,0,Last_forecast_year - 3-InputY!$G$3)</f>
        <v>247.63087470000005</v>
      </c>
      <c r="G250" s="1286">
        <f ca="1">OFFSET('VVP2'!J334,0,Last_forecast_year - 3-InputY!$G$3)</f>
        <v>262.97241452700905</v>
      </c>
      <c r="H250" s="25">
        <v>-9999</v>
      </c>
      <c r="I250" s="25">
        <v>-9999</v>
      </c>
      <c r="J250" s="25">
        <v>-9999</v>
      </c>
      <c r="K250" s="25">
        <v>-9999</v>
      </c>
      <c r="L250" s="25">
        <v>-9999</v>
      </c>
      <c r="M250" s="25">
        <v>-9999</v>
      </c>
      <c r="N250" s="25">
        <v>-9999</v>
      </c>
      <c r="O250" s="25">
        <v>-9999</v>
      </c>
      <c r="P250" s="26"/>
      <c r="Q250"/>
      <c r="AA250" s="22">
        <v>150</v>
      </c>
      <c r="AB250" s="1081" t="str">
        <f t="shared" si="31"/>
        <v>IMPORTS OF GOODS INTRA-EU (CIF)</v>
      </c>
      <c r="AC250" s="1081">
        <f>CHOOSE(Tables!$U$2,Transfer!CA250,Transfer!CN250,Transfer!DA250,Transfer!DN250,Transfer!EA250)</f>
        <v>212.56850000000003</v>
      </c>
      <c r="AD250" s="1081">
        <f>CHOOSE(Tables!$U$2,Transfer!CB250,Transfer!CO250,Transfer!DB250,Transfer!DO250,Transfer!EB250)</f>
        <v>218.50980000000001</v>
      </c>
      <c r="AE250" s="1081">
        <f>CHOOSE(Tables!$U$2,Transfer!CC250,Transfer!CP250,Transfer!DC250,Transfer!DP250,Transfer!EC250)</f>
        <v>231.54430000000002</v>
      </c>
      <c r="AF250" s="1081">
        <f>CHOOSE(Tables!$U$2,Transfer!CD250,Transfer!CQ250,Transfer!DD250,Transfer!DQ250,Transfer!ED250)</f>
        <v>245.05831070000005</v>
      </c>
      <c r="AG250" s="1081">
        <f>CHOOSE(Tables!$U$2,Transfer!CE250,Transfer!CR250,Transfer!DE250,Transfer!DR250,Transfer!EE250)</f>
        <v>257.59580578682164</v>
      </c>
      <c r="AH250" s="1081">
        <f>CHOOSE(Tables!$U$2,Transfer!CF250,Transfer!CS250,Transfer!DF250,Transfer!DS250,Transfer!EF250)</f>
        <v>-9999</v>
      </c>
      <c r="AI250" s="1081">
        <f>CHOOSE(Tables!$U$2,Transfer!CG250,Transfer!CT250,Transfer!DG250,Transfer!DT250,Transfer!EG250)</f>
        <v>-9999</v>
      </c>
      <c r="AJ250" s="1081">
        <f>CHOOSE(Tables!$U$2,Transfer!CH250,Transfer!CU250,Transfer!DH250,Transfer!DU250,Transfer!EH250)</f>
        <v>-9999</v>
      </c>
      <c r="AK250" s="1081">
        <f>CHOOSE(Tables!$U$2,Transfer!CI250,Transfer!CV250,Transfer!DI250,Transfer!DV250,Transfer!EI250)</f>
        <v>-9999</v>
      </c>
      <c r="AL250" s="1081">
        <f>CHOOSE(Tables!$U$2,Transfer!CJ250,Transfer!CW250,Transfer!DJ250,Transfer!DW250,Transfer!EJ250)</f>
        <v>-9999</v>
      </c>
      <c r="AM250" s="1081">
        <f>CHOOSE(Tables!$U$2,Transfer!CK250,Transfer!CX250,Transfer!DK250,Transfer!DX250,Transfer!EK250)</f>
        <v>-9999</v>
      </c>
      <c r="AN250" s="1081">
        <f>CHOOSE(Tables!$U$2,Transfer!CL250,Transfer!CY250,Transfer!DL250,Transfer!DY250,Transfer!EL250)</f>
        <v>-9999</v>
      </c>
      <c r="AO250" s="1081">
        <f>CHOOSE(Tables!$U$2,Transfer!CM250,Transfer!CZ250,Transfer!DM250,Transfer!DZ250,Transfer!EM250)</f>
        <v>-9999</v>
      </c>
      <c r="AR250" s="22">
        <v>150</v>
      </c>
      <c r="AS250" s="29" t="s">
        <v>1738</v>
      </c>
      <c r="AT250" s="1286">
        <f t="shared" ca="1" si="32"/>
        <v>0</v>
      </c>
      <c r="AU250" s="1286">
        <f t="shared" ca="1" si="33"/>
        <v>0</v>
      </c>
      <c r="AV250" s="1286">
        <f t="shared" ca="1" si="34"/>
        <v>0</v>
      </c>
      <c r="AW250" s="1286">
        <f t="shared" ca="1" si="35"/>
        <v>2.5725639999999999</v>
      </c>
      <c r="AX250" s="1286">
        <f t="shared" ca="1" si="36"/>
        <v>5.3766087401874074</v>
      </c>
      <c r="AY250" s="25">
        <f t="shared" si="37"/>
        <v>0</v>
      </c>
      <c r="AZ250" s="25">
        <f t="shared" si="38"/>
        <v>0</v>
      </c>
      <c r="BA250" s="25">
        <f t="shared" si="39"/>
        <v>0</v>
      </c>
      <c r="BB250" s="25">
        <f t="shared" si="40"/>
        <v>0</v>
      </c>
      <c r="BC250" s="25">
        <f t="shared" si="21"/>
        <v>0</v>
      </c>
      <c r="BD250" s="25">
        <f t="shared" si="21"/>
        <v>0</v>
      </c>
      <c r="BE250" s="25">
        <f t="shared" si="21"/>
        <v>0</v>
      </c>
      <c r="BF250" s="25">
        <f t="shared" si="21"/>
        <v>0</v>
      </c>
      <c r="CA250" s="16">
        <v>212.56850000000003</v>
      </c>
      <c r="CB250" s="16">
        <v>218.50980000000001</v>
      </c>
      <c r="CC250" s="16">
        <v>231.54430000000002</v>
      </c>
      <c r="CD250" s="16">
        <v>245.05831070000005</v>
      </c>
      <c r="CE250" s="16">
        <v>257.59580578682164</v>
      </c>
      <c r="CF250" s="16">
        <v>-9999</v>
      </c>
      <c r="CG250" s="16">
        <v>-9999</v>
      </c>
      <c r="CH250" s="16">
        <v>-9999</v>
      </c>
      <c r="CI250" s="16">
        <v>-9999</v>
      </c>
      <c r="CJ250" s="16">
        <v>-9999</v>
      </c>
      <c r="CK250" s="16">
        <v>-9999</v>
      </c>
      <c r="CL250" s="16">
        <v>-9999</v>
      </c>
      <c r="CM250" s="16">
        <v>-9999</v>
      </c>
      <c r="CN250" s="16">
        <v>212.31410000000002</v>
      </c>
      <c r="CO250" s="16">
        <v>213.57379999999998</v>
      </c>
      <c r="CP250" s="16">
        <v>221.39280430063994</v>
      </c>
      <c r="CQ250" s="16">
        <v>232.36102885210221</v>
      </c>
      <c r="CR250" s="16">
        <v>247.23603044720664</v>
      </c>
      <c r="CS250" s="16">
        <v>-9999</v>
      </c>
      <c r="CT250" s="16">
        <v>-9999</v>
      </c>
      <c r="CU250" s="16">
        <v>-9999</v>
      </c>
      <c r="CV250" s="16">
        <v>-9999</v>
      </c>
      <c r="CW250" s="16">
        <v>-9999</v>
      </c>
      <c r="CX250" s="16">
        <v>-9999</v>
      </c>
      <c r="CY250" s="16">
        <v>-9999</v>
      </c>
      <c r="CZ250" s="16">
        <v>-9999</v>
      </c>
      <c r="DA250" s="16">
        <v>212.56850000000003</v>
      </c>
      <c r="DB250" s="16">
        <v>218.50980000000001</v>
      </c>
      <c r="DC250" s="16">
        <v>231.54430000000002</v>
      </c>
      <c r="DD250" s="16">
        <v>245.05831070000005</v>
      </c>
      <c r="DE250" s="16">
        <v>257.59580578682164</v>
      </c>
      <c r="DF250" s="16">
        <v>-9999</v>
      </c>
      <c r="DG250" s="16">
        <v>-9999</v>
      </c>
      <c r="DH250" s="16">
        <v>-9999</v>
      </c>
      <c r="DI250" s="16">
        <v>-9999</v>
      </c>
      <c r="DJ250" s="16">
        <v>-9999</v>
      </c>
      <c r="DK250" s="16">
        <v>-9999</v>
      </c>
      <c r="DL250" s="16">
        <v>-9999</v>
      </c>
      <c r="DM250" s="16">
        <v>-9999</v>
      </c>
      <c r="DN250" s="16">
        <v>212.56850000000003</v>
      </c>
      <c r="DO250" s="16">
        <v>218.50980000000001</v>
      </c>
      <c r="DP250" s="16">
        <v>231.54430000000002</v>
      </c>
      <c r="DQ250" s="16">
        <v>245.05831070000005</v>
      </c>
      <c r="DR250" s="16">
        <v>257.59580578682164</v>
      </c>
      <c r="DS250" s="16">
        <v>-9999</v>
      </c>
      <c r="DT250" s="16">
        <v>-9999</v>
      </c>
      <c r="DU250" s="16">
        <v>-9999</v>
      </c>
      <c r="DV250" s="16">
        <v>-9999</v>
      </c>
      <c r="DW250" s="16">
        <v>-9999</v>
      </c>
      <c r="DX250" s="16">
        <v>-9999</v>
      </c>
      <c r="DY250" s="16">
        <v>-9999</v>
      </c>
      <c r="DZ250" s="16">
        <v>-9999</v>
      </c>
      <c r="EA250" s="2106">
        <v>212.56850000000003</v>
      </c>
      <c r="EB250" s="2106">
        <v>218.50980000000001</v>
      </c>
      <c r="EC250" s="2106">
        <v>231.54430000000002</v>
      </c>
      <c r="ED250" s="2106">
        <v>247.63087470000005</v>
      </c>
      <c r="EE250" s="2106">
        <v>262.97241452700905</v>
      </c>
      <c r="EF250" s="2107">
        <v>-9999</v>
      </c>
      <c r="EG250" s="2107">
        <v>-9999</v>
      </c>
      <c r="EH250" s="2107">
        <v>-9999</v>
      </c>
      <c r="EI250" s="2107">
        <v>-9999</v>
      </c>
      <c r="EJ250" s="2107">
        <v>-9999</v>
      </c>
      <c r="EK250" s="2107">
        <v>-9999</v>
      </c>
      <c r="EL250" s="2107">
        <v>-9999</v>
      </c>
      <c r="EM250" s="2107">
        <v>-9999</v>
      </c>
    </row>
    <row r="251" spans="1:143">
      <c r="A251" s="22">
        <v>151</v>
      </c>
      <c r="B251" s="29" t="s">
        <v>2605</v>
      </c>
      <c r="C251" s="24">
        <f ca="1">OFFSET(Sector1!F1148,0,Last_forecast_year - 3-InputY!$G$3)</f>
        <v>-0.58399999999999996</v>
      </c>
      <c r="D251" s="24">
        <f ca="1">OFFSET(Sector1!G1148,0,Last_forecast_year - 3-InputY!$G$3)</f>
        <v>0.40899999999999997</v>
      </c>
      <c r="E251" s="24">
        <f ca="1">OFFSET(Sector1!H1148,0,Last_forecast_year - 3-InputY!$G$3)</f>
        <v>0.82468043496222088</v>
      </c>
      <c r="F251" s="24">
        <f ca="1">OFFSET(Sector1!I1148,0,Last_forecast_year - 3-InputY!$G$3)</f>
        <v>0.27825307292875373</v>
      </c>
      <c r="G251" s="24">
        <f ca="1">OFFSET(Sector1!J1148,0,Last_forecast_year - 3-InputY!$G$3)</f>
        <v>0.91473961145302873</v>
      </c>
      <c r="H251" s="25">
        <v>-9999</v>
      </c>
      <c r="I251" s="25">
        <v>-9999</v>
      </c>
      <c r="J251" s="25">
        <v>-9999</v>
      </c>
      <c r="K251" s="25">
        <v>-9999</v>
      </c>
      <c r="L251" s="25">
        <v>-9999</v>
      </c>
      <c r="M251" s="25">
        <v>-9999</v>
      </c>
      <c r="N251" s="25">
        <v>-9999</v>
      </c>
      <c r="O251" s="25">
        <v>-9999</v>
      </c>
      <c r="P251" s="26"/>
      <c r="Q251"/>
      <c r="AA251" s="22">
        <v>151</v>
      </c>
      <c r="AB251" s="1081" t="str">
        <f t="shared" si="31"/>
        <v>Current external balance BPM6</v>
      </c>
      <c r="AC251" s="1081">
        <f>CHOOSE(Tables!$U$2,Transfer!CA251,Transfer!CN251,Transfer!DA251,Transfer!DN251,Transfer!EA251)</f>
        <v>-0.58399999999999996</v>
      </c>
      <c r="AD251" s="1081">
        <f>CHOOSE(Tables!$U$2,Transfer!CB251,Transfer!CO251,Transfer!DB251,Transfer!DO251,Transfer!EB251)</f>
        <v>0.40899999999999997</v>
      </c>
      <c r="AE251" s="1081">
        <f>CHOOSE(Tables!$U$2,Transfer!CC251,Transfer!CP251,Transfer!DC251,Transfer!DP251,Transfer!EC251)</f>
        <v>0.82468043496222088</v>
      </c>
      <c r="AF251" s="1081">
        <f>CHOOSE(Tables!$U$2,Transfer!CD251,Transfer!CQ251,Transfer!DD251,Transfer!DQ251,Transfer!ED251)</f>
        <v>0.48068502577677913</v>
      </c>
      <c r="AG251" s="1081">
        <f>CHOOSE(Tables!$U$2,Transfer!CE251,Transfer!CR251,Transfer!DE251,Transfer!DR251,Transfer!EE251)</f>
        <v>1.5286485958959606</v>
      </c>
      <c r="AH251" s="1081">
        <f>CHOOSE(Tables!$U$2,Transfer!CF251,Transfer!CS251,Transfer!DF251,Transfer!DS251,Transfer!EF251)</f>
        <v>-9999</v>
      </c>
      <c r="AI251" s="1081">
        <f>CHOOSE(Tables!$U$2,Transfer!CG251,Transfer!CT251,Transfer!DG251,Transfer!DT251,Transfer!EG251)</f>
        <v>-9999</v>
      </c>
      <c r="AJ251" s="1081">
        <f>CHOOSE(Tables!$U$2,Transfer!CH251,Transfer!CU251,Transfer!DH251,Transfer!DU251,Transfer!EH251)</f>
        <v>-9999</v>
      </c>
      <c r="AK251" s="1081">
        <f>CHOOSE(Tables!$U$2,Transfer!CI251,Transfer!CV251,Transfer!DI251,Transfer!DV251,Transfer!EI251)</f>
        <v>-9999</v>
      </c>
      <c r="AL251" s="1081">
        <f>CHOOSE(Tables!$U$2,Transfer!CJ251,Transfer!CW251,Transfer!DJ251,Transfer!DW251,Transfer!EJ251)</f>
        <v>-9999</v>
      </c>
      <c r="AM251" s="1081">
        <f>CHOOSE(Tables!$U$2,Transfer!CK251,Transfer!CX251,Transfer!DK251,Transfer!DX251,Transfer!EK251)</f>
        <v>-9999</v>
      </c>
      <c r="AN251" s="1081">
        <f>CHOOSE(Tables!$U$2,Transfer!CL251,Transfer!CY251,Transfer!DL251,Transfer!DY251,Transfer!EL251)</f>
        <v>-9999</v>
      </c>
      <c r="AO251" s="1081">
        <f>CHOOSE(Tables!$U$2,Transfer!CM251,Transfer!CZ251,Transfer!DM251,Transfer!DZ251,Transfer!EM251)</f>
        <v>-9999</v>
      </c>
      <c r="AR251" s="22">
        <v>151</v>
      </c>
      <c r="AS251" s="30" t="s">
        <v>1998</v>
      </c>
      <c r="AT251" s="4003">
        <f ca="1">C251-AC251</f>
        <v>0</v>
      </c>
      <c r="AU251" s="25">
        <f t="shared" ca="1" si="33"/>
        <v>0</v>
      </c>
      <c r="AV251" s="25">
        <f t="shared" ca="1" si="34"/>
        <v>0</v>
      </c>
      <c r="AW251" s="25">
        <f t="shared" ca="1" si="35"/>
        <v>-0.2024319528480254</v>
      </c>
      <c r="AX251" s="25">
        <f t="shared" ca="1" si="36"/>
        <v>-0.61390898444293185</v>
      </c>
      <c r="AY251" s="25">
        <f t="shared" si="37"/>
        <v>0</v>
      </c>
      <c r="AZ251" s="25">
        <f t="shared" si="38"/>
        <v>0</v>
      </c>
      <c r="BA251" s="25">
        <f t="shared" si="39"/>
        <v>0</v>
      </c>
      <c r="BB251" s="25">
        <f t="shared" si="40"/>
        <v>0</v>
      </c>
      <c r="BC251" s="25">
        <f t="shared" si="21"/>
        <v>0</v>
      </c>
      <c r="BD251" s="25">
        <f t="shared" si="21"/>
        <v>0</v>
      </c>
      <c r="BE251" s="25">
        <f t="shared" si="21"/>
        <v>0</v>
      </c>
      <c r="BF251" s="25">
        <f t="shared" si="21"/>
        <v>0</v>
      </c>
      <c r="CA251" s="16">
        <v>-0.58399999999999996</v>
      </c>
      <c r="CB251" s="16">
        <v>0.40899999999999997</v>
      </c>
      <c r="CC251" s="16">
        <v>0.82468043496222088</v>
      </c>
      <c r="CD251" s="16">
        <v>0.48068502577677913</v>
      </c>
      <c r="CE251" s="16">
        <v>1.5286485958959606</v>
      </c>
      <c r="CF251" s="16">
        <v>-9999</v>
      </c>
      <c r="CG251" s="16">
        <v>-9999</v>
      </c>
      <c r="CH251" s="16">
        <v>-9999</v>
      </c>
      <c r="CI251" s="16">
        <v>-9999</v>
      </c>
      <c r="CJ251" s="16">
        <v>-9999</v>
      </c>
      <c r="CK251" s="16">
        <v>-9999</v>
      </c>
      <c r="CL251" s="16">
        <v>-9999</v>
      </c>
      <c r="CM251" s="16">
        <v>-9999</v>
      </c>
      <c r="CN251" s="16">
        <v>-0.58399999999999996</v>
      </c>
      <c r="CO251" s="16">
        <v>0.40899999999999997</v>
      </c>
      <c r="CP251" s="16">
        <v>-0.79254593550755092</v>
      </c>
      <c r="CQ251" s="16">
        <v>-2.7571953025704699</v>
      </c>
      <c r="CR251" s="16">
        <v>-2.6040818057222275</v>
      </c>
      <c r="CS251" s="16">
        <v>-9999</v>
      </c>
      <c r="CT251" s="16">
        <v>-9999</v>
      </c>
      <c r="CU251" s="16">
        <v>-9999</v>
      </c>
      <c r="CV251" s="16">
        <v>-9999</v>
      </c>
      <c r="CW251" s="16">
        <v>-9999</v>
      </c>
      <c r="CX251" s="16">
        <v>-9999</v>
      </c>
      <c r="CY251" s="16">
        <v>-9999</v>
      </c>
      <c r="CZ251" s="16">
        <v>-9999</v>
      </c>
      <c r="DA251" s="16">
        <v>-0.58399999999999996</v>
      </c>
      <c r="DB251" s="16">
        <v>0.40899999999999997</v>
      </c>
      <c r="DC251" s="16">
        <v>0.82468043496222088</v>
      </c>
      <c r="DD251" s="16">
        <v>0.48068502577677913</v>
      </c>
      <c r="DE251" s="16">
        <v>1.5286485958959606</v>
      </c>
      <c r="DF251" s="16">
        <v>-9999</v>
      </c>
      <c r="DG251" s="16">
        <v>-9999</v>
      </c>
      <c r="DH251" s="16">
        <v>-9999</v>
      </c>
      <c r="DI251" s="16">
        <v>-9999</v>
      </c>
      <c r="DJ251" s="16">
        <v>-9999</v>
      </c>
      <c r="DK251" s="16">
        <v>-9999</v>
      </c>
      <c r="DL251" s="16">
        <v>-9999</v>
      </c>
      <c r="DM251" s="16">
        <v>-9999</v>
      </c>
      <c r="DN251" s="16">
        <v>-0.58399999999999996</v>
      </c>
      <c r="DO251" s="16">
        <v>0.40899999999999997</v>
      </c>
      <c r="DP251" s="16">
        <v>0.82468043496222088</v>
      </c>
      <c r="DQ251" s="16">
        <v>0.48068502577677913</v>
      </c>
      <c r="DR251" s="16">
        <v>1.5286485958959606</v>
      </c>
      <c r="DS251" s="16">
        <v>-9999</v>
      </c>
      <c r="DT251" s="16">
        <v>-9999</v>
      </c>
      <c r="DU251" s="16">
        <v>-9999</v>
      </c>
      <c r="DV251" s="16">
        <v>-9999</v>
      </c>
      <c r="DW251" s="16">
        <v>-9999</v>
      </c>
      <c r="DX251" s="16">
        <v>-9999</v>
      </c>
      <c r="DY251" s="16">
        <v>-9999</v>
      </c>
      <c r="DZ251" s="16">
        <v>-9999</v>
      </c>
      <c r="EA251" s="2107">
        <v>-0.58399999999999996</v>
      </c>
      <c r="EB251" s="2107">
        <v>0.40899999999999997</v>
      </c>
      <c r="EC251" s="2107">
        <v>0.82468043496222088</v>
      </c>
      <c r="ED251" s="2107">
        <v>0.27825307292875373</v>
      </c>
      <c r="EE251" s="2107">
        <v>0.91473961145302873</v>
      </c>
      <c r="EF251" s="2107">
        <v>-9999</v>
      </c>
      <c r="EG251" s="2107">
        <v>-9999</v>
      </c>
      <c r="EH251" s="2107">
        <v>-9999</v>
      </c>
      <c r="EI251" s="2107">
        <v>-9999</v>
      </c>
      <c r="EJ251" s="2107">
        <v>-9999</v>
      </c>
      <c r="EK251" s="2107">
        <v>-9999</v>
      </c>
      <c r="EL251" s="2107">
        <v>-9999</v>
      </c>
      <c r="EM251" s="2107">
        <v>-9999</v>
      </c>
    </row>
    <row r="252" spans="1:143">
      <c r="A252" s="22">
        <v>152</v>
      </c>
      <c r="B252" s="29" t="s">
        <v>1114</v>
      </c>
      <c r="C252" s="1286">
        <f ca="1">OFFSET('VVP2'!F335,0,Last_forecast_year - 3-InputY!$G$3)</f>
        <v>126.00220000000003</v>
      </c>
      <c r="D252" s="1286">
        <f ca="1">OFFSET('VVP2'!G335,0,Last_forecast_year - 3-InputY!$G$3)</f>
        <v>123.97069999999999</v>
      </c>
      <c r="E252" s="1286">
        <f ca="1">OFFSET('VVP2'!H335,0,Last_forecast_year - 3-InputY!$G$3)</f>
        <v>128.62820000000002</v>
      </c>
      <c r="F252" s="1286">
        <f ca="1">OFFSET('VVP2'!I335,0,Last_forecast_year - 3-InputY!$G$3)</f>
        <v>135.05961000000002</v>
      </c>
      <c r="G252" s="1286">
        <f ca="1">OFFSET('VVP2'!J335,0,Last_forecast_year - 3-InputY!$G$3)</f>
        <v>141.81259050000003</v>
      </c>
      <c r="H252" s="25">
        <v>-9999</v>
      </c>
      <c r="I252" s="25">
        <v>-9999</v>
      </c>
      <c r="J252" s="25">
        <v>-9999</v>
      </c>
      <c r="K252" s="25">
        <v>-9999</v>
      </c>
      <c r="L252" s="25">
        <v>-9999</v>
      </c>
      <c r="M252" s="25">
        <v>-9999</v>
      </c>
      <c r="N252" s="25">
        <v>-9999</v>
      </c>
      <c r="O252" s="25">
        <v>-9999</v>
      </c>
      <c r="P252" s="26"/>
      <c r="Q252"/>
      <c r="AA252" s="22">
        <v>152</v>
      </c>
      <c r="AB252" s="1081" t="str">
        <f t="shared" si="31"/>
        <v>IMPORTS OF GOODS EXTRA-EU (CIF)</v>
      </c>
      <c r="AC252" s="1081">
        <f>CHOOSE(Tables!$U$2,Transfer!CA252,Transfer!CN252,Transfer!DA252,Transfer!DN252,Transfer!EA252)</f>
        <v>126.00220000000003</v>
      </c>
      <c r="AD252" s="1081">
        <f>CHOOSE(Tables!$U$2,Transfer!CB252,Transfer!CO252,Transfer!DB252,Transfer!DO252,Transfer!EB252)</f>
        <v>123.97069999999999</v>
      </c>
      <c r="AE252" s="1081">
        <f>CHOOSE(Tables!$U$2,Transfer!CC252,Transfer!CP252,Transfer!DC252,Transfer!DP252,Transfer!EC252)</f>
        <v>128.62820000000002</v>
      </c>
      <c r="AF252" s="1081">
        <f>CHOOSE(Tables!$U$2,Transfer!CD252,Transfer!CQ252,Transfer!DD252,Transfer!DQ252,Transfer!ED252)</f>
        <v>137.63217400000002</v>
      </c>
      <c r="AG252" s="1081">
        <f>CHOOSE(Tables!$U$2,Transfer!CE252,Transfer!CR252,Transfer!DE252,Transfer!DR252,Transfer!EE252)</f>
        <v>147.26642618000002</v>
      </c>
      <c r="AH252" s="1081">
        <f>CHOOSE(Tables!$U$2,Transfer!CF252,Transfer!CS252,Transfer!DF252,Transfer!DS252,Transfer!EF252)</f>
        <v>-9999</v>
      </c>
      <c r="AI252" s="1081">
        <f>CHOOSE(Tables!$U$2,Transfer!CG252,Transfer!CT252,Transfer!DG252,Transfer!DT252,Transfer!EG252)</f>
        <v>-9999</v>
      </c>
      <c r="AJ252" s="1081">
        <f>CHOOSE(Tables!$U$2,Transfer!CH252,Transfer!CU252,Transfer!DH252,Transfer!DU252,Transfer!EH252)</f>
        <v>-9999</v>
      </c>
      <c r="AK252" s="1081">
        <f>CHOOSE(Tables!$U$2,Transfer!CI252,Transfer!CV252,Transfer!DI252,Transfer!DV252,Transfer!EI252)</f>
        <v>-9999</v>
      </c>
      <c r="AL252" s="1081">
        <f>CHOOSE(Tables!$U$2,Transfer!CJ252,Transfer!CW252,Transfer!DJ252,Transfer!DW252,Transfer!EJ252)</f>
        <v>-9999</v>
      </c>
      <c r="AM252" s="1081">
        <f>CHOOSE(Tables!$U$2,Transfer!CK252,Transfer!CX252,Transfer!DK252,Transfer!DX252,Transfer!EK252)</f>
        <v>-9999</v>
      </c>
      <c r="AN252" s="1081">
        <f>CHOOSE(Tables!$U$2,Transfer!CL252,Transfer!CY252,Transfer!DL252,Transfer!DY252,Transfer!EL252)</f>
        <v>-9999</v>
      </c>
      <c r="AO252" s="1081">
        <f>CHOOSE(Tables!$U$2,Transfer!CM252,Transfer!CZ252,Transfer!DM252,Transfer!DZ252,Transfer!EM252)</f>
        <v>-9999</v>
      </c>
      <c r="AR252" s="22">
        <v>152</v>
      </c>
      <c r="AS252" s="29" t="s">
        <v>1114</v>
      </c>
      <c r="AT252" s="1286">
        <f t="shared" ca="1" si="32"/>
        <v>0</v>
      </c>
      <c r="AU252" s="1286">
        <f t="shared" ca="1" si="33"/>
        <v>0</v>
      </c>
      <c r="AV252" s="1286">
        <f t="shared" ca="1" si="34"/>
        <v>0</v>
      </c>
      <c r="AW252" s="1286">
        <f t="shared" ca="1" si="35"/>
        <v>-2.5725639999999999</v>
      </c>
      <c r="AX252" s="1286">
        <f t="shared" ca="1" si="36"/>
        <v>-5.4538356799999974</v>
      </c>
      <c r="AY252" s="25">
        <f t="shared" si="37"/>
        <v>0</v>
      </c>
      <c r="AZ252" s="25">
        <f t="shared" si="38"/>
        <v>0</v>
      </c>
      <c r="BA252" s="25">
        <f t="shared" si="39"/>
        <v>0</v>
      </c>
      <c r="BB252" s="25">
        <f t="shared" si="40"/>
        <v>0</v>
      </c>
      <c r="BC252" s="25">
        <f t="shared" si="21"/>
        <v>0</v>
      </c>
      <c r="BD252" s="25">
        <f t="shared" si="21"/>
        <v>0</v>
      </c>
      <c r="BE252" s="25">
        <f t="shared" si="21"/>
        <v>0</v>
      </c>
      <c r="BF252" s="25">
        <f t="shared" si="21"/>
        <v>0</v>
      </c>
      <c r="CA252" s="16">
        <v>126.00220000000003</v>
      </c>
      <c r="CB252" s="16">
        <v>123.97069999999999</v>
      </c>
      <c r="CC252" s="16">
        <v>128.62820000000002</v>
      </c>
      <c r="CD252" s="16">
        <v>137.63217400000002</v>
      </c>
      <c r="CE252" s="16">
        <v>147.26642618000002</v>
      </c>
      <c r="CF252" s="16">
        <v>-9999</v>
      </c>
      <c r="CG252" s="16">
        <v>-9999</v>
      </c>
      <c r="CH252" s="16">
        <v>-9999</v>
      </c>
      <c r="CI252" s="16">
        <v>-9999</v>
      </c>
      <c r="CJ252" s="16">
        <v>-9999</v>
      </c>
      <c r="CK252" s="16">
        <v>-9999</v>
      </c>
      <c r="CL252" s="16">
        <v>-9999</v>
      </c>
      <c r="CM252" s="16">
        <v>-9999</v>
      </c>
      <c r="CN252" s="16">
        <v>125.81099999999998</v>
      </c>
      <c r="CO252" s="16">
        <v>123.07600000000001</v>
      </c>
      <c r="CP252" s="16">
        <v>137.84512000000001</v>
      </c>
      <c r="CQ252" s="16">
        <v>147.49427840000001</v>
      </c>
      <c r="CR252" s="16">
        <v>157.81887788800003</v>
      </c>
      <c r="CS252" s="16">
        <v>-9999</v>
      </c>
      <c r="CT252" s="16">
        <v>-9999</v>
      </c>
      <c r="CU252" s="16">
        <v>-9999</v>
      </c>
      <c r="CV252" s="16">
        <v>-9999</v>
      </c>
      <c r="CW252" s="16">
        <v>-9999</v>
      </c>
      <c r="CX252" s="16">
        <v>-9999</v>
      </c>
      <c r="CY252" s="16">
        <v>-9999</v>
      </c>
      <c r="CZ252" s="16">
        <v>-9999</v>
      </c>
      <c r="DA252" s="16">
        <v>126.00220000000003</v>
      </c>
      <c r="DB252" s="16">
        <v>123.97069999999999</v>
      </c>
      <c r="DC252" s="16">
        <v>128.62820000000002</v>
      </c>
      <c r="DD252" s="16">
        <v>137.63217400000002</v>
      </c>
      <c r="DE252" s="16">
        <v>147.26642618000002</v>
      </c>
      <c r="DF252" s="16">
        <v>-9999</v>
      </c>
      <c r="DG252" s="16">
        <v>-9999</v>
      </c>
      <c r="DH252" s="16">
        <v>-9999</v>
      </c>
      <c r="DI252" s="16">
        <v>-9999</v>
      </c>
      <c r="DJ252" s="16">
        <v>-9999</v>
      </c>
      <c r="DK252" s="16">
        <v>-9999</v>
      </c>
      <c r="DL252" s="16">
        <v>-9999</v>
      </c>
      <c r="DM252" s="16">
        <v>-9999</v>
      </c>
      <c r="DN252" s="16">
        <v>126.00220000000003</v>
      </c>
      <c r="DO252" s="16">
        <v>123.97069999999999</v>
      </c>
      <c r="DP252" s="16">
        <v>128.62820000000002</v>
      </c>
      <c r="DQ252" s="16">
        <v>137.63217400000002</v>
      </c>
      <c r="DR252" s="16">
        <v>147.26642618000002</v>
      </c>
      <c r="DS252" s="16">
        <v>-9999</v>
      </c>
      <c r="DT252" s="16">
        <v>-9999</v>
      </c>
      <c r="DU252" s="16">
        <v>-9999</v>
      </c>
      <c r="DV252" s="16">
        <v>-9999</v>
      </c>
      <c r="DW252" s="16">
        <v>-9999</v>
      </c>
      <c r="DX252" s="16">
        <v>-9999</v>
      </c>
      <c r="DY252" s="16">
        <v>-9999</v>
      </c>
      <c r="DZ252" s="16">
        <v>-9999</v>
      </c>
      <c r="EA252" s="2106">
        <v>126.00220000000003</v>
      </c>
      <c r="EB252" s="2106">
        <v>123.97069999999999</v>
      </c>
      <c r="EC252" s="2106">
        <v>128.62820000000002</v>
      </c>
      <c r="ED252" s="2106">
        <v>135.05961000000002</v>
      </c>
      <c r="EE252" s="2106">
        <v>141.81259050000003</v>
      </c>
      <c r="EF252" s="2107">
        <v>-9999</v>
      </c>
      <c r="EG252" s="2107">
        <v>-9999</v>
      </c>
      <c r="EH252" s="2107">
        <v>-9999</v>
      </c>
      <c r="EI252" s="2107">
        <v>-9999</v>
      </c>
      <c r="EJ252" s="2107">
        <v>-9999</v>
      </c>
      <c r="EK252" s="2107">
        <v>-9999</v>
      </c>
      <c r="EL252" s="2107">
        <v>-9999</v>
      </c>
      <c r="EM252" s="2107">
        <v>-9999</v>
      </c>
    </row>
    <row r="253" spans="1:143">
      <c r="A253" s="22">
        <v>153</v>
      </c>
      <c r="B253" s="29" t="s">
        <v>1287</v>
      </c>
      <c r="C253" s="24">
        <f>IF(ISNUMBER(HLOOKUP(C$100,InputDFM!$2:$8,MATCH(Transfer!$A253&amp;" "&amp;Transfer!$B253,InputDFM!$AB$3:$AB$8,0)+1,FALSE)),HLOOKUP(C$100,InputDFM!$2:$8,MATCH(Transfer!$A253&amp;" "&amp;Transfer!$B253,InputDFM!$AB$3:$AB$8,0)+1,FALSE),-9999)</f>
        <v>-9999</v>
      </c>
      <c r="D253" s="24">
        <f>IF(ISNUMBER(HLOOKUP(D$100,InputDFM!$2:$8,MATCH(Transfer!$A253&amp;" "&amp;Transfer!$B253,InputDFM!$AB$3:$AB$8,0)+1,FALSE)),HLOOKUP(D$100,InputDFM!$2:$8,MATCH(Transfer!$A253&amp;" "&amp;Transfer!$B253,InputDFM!$AB$3:$AB$8,0)+1,FALSE),-9999)</f>
        <v>-9999</v>
      </c>
      <c r="E253" s="24">
        <f>IF(ISNUMBER(HLOOKUP(E$100,InputDFM!$2:$8,MATCH(Transfer!$A253&amp;" "&amp;Transfer!$B253,InputDFM!$AB$3:$AB$8,0)+1,FALSE)),HLOOKUP(E$100,InputDFM!$2:$8,MATCH(Transfer!$A253&amp;" "&amp;Transfer!$B253,InputDFM!$AB$3:$AB$8,0)+1,FALSE),-9999)</f>
        <v>-9999</v>
      </c>
      <c r="F253" s="24">
        <f>IF(ISNUMBER(HLOOKUP(F$100,InputDFM!$2:$8,MATCH(Transfer!$A253&amp;" "&amp;Transfer!$B253,InputDFM!$AB$3:$AB$8,0)+1,FALSE)),HLOOKUP(F$100,InputDFM!$2:$8,MATCH(Transfer!$A253&amp;" "&amp;Transfer!$B253,InputDFM!$AB$3:$AB$8,0)+1,FALSE),-9999)</f>
        <v>-9999</v>
      </c>
      <c r="G253" s="24">
        <f>IF(ISNUMBER(HLOOKUP(G$100,InputDFM!$2:$8,MATCH(Transfer!$A253&amp;" "&amp;Transfer!$B253,InputDFM!$AB$3:$AB$8,0)+1,FALSE)),HLOOKUP(G$100,InputDFM!$2:$8,MATCH(Transfer!$A253&amp;" "&amp;Transfer!$B253,InputDFM!$AB$3:$AB$8,0)+1,FALSE),-9999)</f>
        <v>-9999</v>
      </c>
      <c r="H253" s="25">
        <v>-9999</v>
      </c>
      <c r="I253" s="25">
        <v>-9999</v>
      </c>
      <c r="J253" s="25">
        <v>-9999</v>
      </c>
      <c r="K253" s="25">
        <v>-9999</v>
      </c>
      <c r="L253" s="25">
        <v>-9999</v>
      </c>
      <c r="M253" s="25">
        <v>-9999</v>
      </c>
      <c r="N253" s="25">
        <v>-9999</v>
      </c>
      <c r="O253" s="25">
        <v>-9999</v>
      </c>
      <c r="P253" s="26"/>
      <c r="Q253"/>
      <c r="AA253" s="22">
        <v>153</v>
      </c>
      <c r="AB253" s="1081" t="str">
        <f t="shared" si="31"/>
        <v>DISCRETIONARY MEASURES CURRENT EXPENDITURE</v>
      </c>
      <c r="AC253" s="1081">
        <f>CHOOSE(Tables!$U$2,Transfer!CA253,Transfer!CN253,Transfer!DA253,Transfer!DN253,Transfer!EA253)</f>
        <v>-9999</v>
      </c>
      <c r="AD253" s="1081">
        <f>CHOOSE(Tables!$U$2,Transfer!CB253,Transfer!CO253,Transfer!DB253,Transfer!DO253,Transfer!EB253)</f>
        <v>-9999</v>
      </c>
      <c r="AE253" s="1081">
        <f>CHOOSE(Tables!$U$2,Transfer!CC253,Transfer!CP253,Transfer!DC253,Transfer!DP253,Transfer!EC253)</f>
        <v>-9999</v>
      </c>
      <c r="AF253" s="1081">
        <f>CHOOSE(Tables!$U$2,Transfer!CD253,Transfer!CQ253,Transfer!DD253,Transfer!DQ253,Transfer!ED253)</f>
        <v>-9999</v>
      </c>
      <c r="AG253" s="1081">
        <f>CHOOSE(Tables!$U$2,Transfer!CE253,Transfer!CR253,Transfer!DE253,Transfer!DR253,Transfer!EE253)</f>
        <v>-9999</v>
      </c>
      <c r="AH253" s="1081">
        <f>CHOOSE(Tables!$U$2,Transfer!CF253,Transfer!CS253,Transfer!DF253,Transfer!DS253,Transfer!EF253)</f>
        <v>-9999</v>
      </c>
      <c r="AI253" s="1081">
        <f>CHOOSE(Tables!$U$2,Transfer!CG253,Transfer!CT253,Transfer!DG253,Transfer!DT253,Transfer!EG253)</f>
        <v>-9999</v>
      </c>
      <c r="AJ253" s="1081">
        <f>CHOOSE(Tables!$U$2,Transfer!CH253,Transfer!CU253,Transfer!DH253,Transfer!DU253,Transfer!EH253)</f>
        <v>-9999</v>
      </c>
      <c r="AK253" s="1081">
        <f>CHOOSE(Tables!$U$2,Transfer!CI253,Transfer!CV253,Transfer!DI253,Transfer!DV253,Transfer!EI253)</f>
        <v>-9999</v>
      </c>
      <c r="AL253" s="1081">
        <f>CHOOSE(Tables!$U$2,Transfer!CJ253,Transfer!CW253,Transfer!DJ253,Transfer!DW253,Transfer!EJ253)</f>
        <v>-9999</v>
      </c>
      <c r="AM253" s="1081">
        <f>CHOOSE(Tables!$U$2,Transfer!CK253,Transfer!CX253,Transfer!DK253,Transfer!DX253,Transfer!EK253)</f>
        <v>-9999</v>
      </c>
      <c r="AN253" s="1081">
        <f>CHOOSE(Tables!$U$2,Transfer!CL253,Transfer!CY253,Transfer!DL253,Transfer!DY253,Transfer!EL253)</f>
        <v>-9999</v>
      </c>
      <c r="AO253" s="1081">
        <f>CHOOSE(Tables!$U$2,Transfer!CM253,Transfer!CZ253,Transfer!DM253,Transfer!DZ253,Transfer!EM253)</f>
        <v>-9999</v>
      </c>
      <c r="AR253" s="22">
        <v>153</v>
      </c>
      <c r="AS253" s="30" t="s">
        <v>1998</v>
      </c>
      <c r="AT253" s="25">
        <f t="shared" si="32"/>
        <v>0</v>
      </c>
      <c r="AU253" s="25">
        <f t="shared" si="33"/>
        <v>0</v>
      </c>
      <c r="AV253" s="25">
        <f t="shared" si="34"/>
        <v>0</v>
      </c>
      <c r="AW253" s="25">
        <f t="shared" si="35"/>
        <v>0</v>
      </c>
      <c r="AX253" s="25">
        <f t="shared" si="36"/>
        <v>0</v>
      </c>
      <c r="AY253" s="25">
        <f t="shared" si="37"/>
        <v>0</v>
      </c>
      <c r="AZ253" s="25">
        <f t="shared" si="38"/>
        <v>0</v>
      </c>
      <c r="BA253" s="25">
        <f t="shared" si="39"/>
        <v>0</v>
      </c>
      <c r="BB253" s="25">
        <f t="shared" si="40"/>
        <v>0</v>
      </c>
      <c r="BC253" s="25">
        <f t="shared" si="21"/>
        <v>0</v>
      </c>
      <c r="BD253" s="25">
        <f t="shared" si="21"/>
        <v>0</v>
      </c>
      <c r="BE253" s="25">
        <f t="shared" si="21"/>
        <v>0</v>
      </c>
      <c r="BF253" s="25">
        <f t="shared" si="21"/>
        <v>0</v>
      </c>
      <c r="CA253" s="16">
        <v>-9999</v>
      </c>
      <c r="CB253" s="16">
        <v>-9999</v>
      </c>
      <c r="CC253" s="16">
        <v>-9999</v>
      </c>
      <c r="CD253" s="16">
        <v>-9999</v>
      </c>
      <c r="CE253" s="16">
        <v>-9999</v>
      </c>
      <c r="CF253" s="16">
        <v>-9999</v>
      </c>
      <c r="CG253" s="16">
        <v>-9999</v>
      </c>
      <c r="CH253" s="16">
        <v>-9999</v>
      </c>
      <c r="CI253" s="16">
        <v>-9999</v>
      </c>
      <c r="CJ253" s="16">
        <v>-9999</v>
      </c>
      <c r="CK253" s="16">
        <v>-9999</v>
      </c>
      <c r="CL253" s="16">
        <v>-9999</v>
      </c>
      <c r="CM253" s="16">
        <v>-9999</v>
      </c>
      <c r="CN253" s="16">
        <v>-9999</v>
      </c>
      <c r="CO253" s="16">
        <v>-9999</v>
      </c>
      <c r="CP253" s="16">
        <v>-9999</v>
      </c>
      <c r="CQ253" s="16">
        <v>-9999</v>
      </c>
      <c r="CR253" s="16">
        <v>-9999</v>
      </c>
      <c r="CS253" s="16">
        <v>-9999</v>
      </c>
      <c r="CT253" s="16">
        <v>-9999</v>
      </c>
      <c r="CU253" s="16">
        <v>-9999</v>
      </c>
      <c r="CV253" s="16">
        <v>-9999</v>
      </c>
      <c r="CW253" s="16">
        <v>-9999</v>
      </c>
      <c r="CX253" s="16">
        <v>-9999</v>
      </c>
      <c r="CY253" s="16">
        <v>-9999</v>
      </c>
      <c r="CZ253" s="16">
        <v>-9999</v>
      </c>
      <c r="DA253" s="16">
        <v>-9999</v>
      </c>
      <c r="DB253" s="16">
        <v>-9999</v>
      </c>
      <c r="DC253" s="16">
        <v>-9999</v>
      </c>
      <c r="DD253" s="16">
        <v>-9999</v>
      </c>
      <c r="DE253" s="16">
        <v>-9999</v>
      </c>
      <c r="DF253" s="16">
        <v>-9999</v>
      </c>
      <c r="DG253" s="16">
        <v>-9999</v>
      </c>
      <c r="DH253" s="16">
        <v>-9999</v>
      </c>
      <c r="DI253" s="16">
        <v>-9999</v>
      </c>
      <c r="DJ253" s="16">
        <v>-9999</v>
      </c>
      <c r="DK253" s="16">
        <v>-9999</v>
      </c>
      <c r="DL253" s="16">
        <v>-9999</v>
      </c>
      <c r="DM253" s="16">
        <v>-9999</v>
      </c>
      <c r="DN253" s="16">
        <v>-9999</v>
      </c>
      <c r="DO253" s="16">
        <v>-9999</v>
      </c>
      <c r="DP253" s="16">
        <v>-9999</v>
      </c>
      <c r="DQ253" s="16">
        <v>-9999</v>
      </c>
      <c r="DR253" s="16">
        <v>-9999</v>
      </c>
      <c r="DS253" s="16">
        <v>-9999</v>
      </c>
      <c r="DT253" s="16">
        <v>-9999</v>
      </c>
      <c r="DU253" s="16">
        <v>-9999</v>
      </c>
      <c r="DV253" s="16">
        <v>-9999</v>
      </c>
      <c r="DW253" s="16">
        <v>-9999</v>
      </c>
      <c r="DX253" s="16">
        <v>-9999</v>
      </c>
      <c r="DY253" s="16">
        <v>-9999</v>
      </c>
      <c r="DZ253" s="16">
        <v>-9999</v>
      </c>
      <c r="EA253" s="2107">
        <v>-9999</v>
      </c>
      <c r="EB253" s="2107">
        <v>-9999</v>
      </c>
      <c r="EC253" s="2107">
        <v>-9999</v>
      </c>
      <c r="ED253" s="2107">
        <v>-9999</v>
      </c>
      <c r="EE253" s="2107">
        <v>-9999</v>
      </c>
      <c r="EF253" s="2107">
        <v>-9999</v>
      </c>
      <c r="EG253" s="2107">
        <v>-9999</v>
      </c>
      <c r="EH253" s="2107">
        <v>-9999</v>
      </c>
      <c r="EI253" s="2107">
        <v>-9999</v>
      </c>
      <c r="EJ253" s="2107">
        <v>-9999</v>
      </c>
      <c r="EK253" s="2107">
        <v>-9999</v>
      </c>
      <c r="EL253" s="2107">
        <v>-9999</v>
      </c>
      <c r="EM253" s="2107">
        <v>-9999</v>
      </c>
    </row>
    <row r="254" spans="1:143">
      <c r="A254" s="22">
        <v>154</v>
      </c>
      <c r="B254" s="29" t="s">
        <v>1288</v>
      </c>
      <c r="C254" s="24">
        <f>IF(ISNUMBER(HLOOKUP(C$100,InputDFM!$2:$8,MATCH(Transfer!$A254&amp;" "&amp;Transfer!$B254,InputDFM!$AB$3:$AB$8,0)+1,FALSE)),HLOOKUP(C$100,InputDFM!$2:$8,MATCH(Transfer!$A254&amp;" "&amp;Transfer!$B254,InputDFM!$AB$3:$AB$8,0)+1,FALSE),-9999)</f>
        <v>-9999</v>
      </c>
      <c r="D254" s="24">
        <f>IF(ISNUMBER(HLOOKUP(D$100,InputDFM!$2:$8,MATCH(Transfer!$A254&amp;" "&amp;Transfer!$B254,InputDFM!$AB$3:$AB$8,0)+1,FALSE)),HLOOKUP(D$100,InputDFM!$2:$8,MATCH(Transfer!$A254&amp;" "&amp;Transfer!$B254,InputDFM!$AB$3:$AB$8,0)+1,FALSE),-9999)</f>
        <v>-9999</v>
      </c>
      <c r="E254" s="24">
        <f>IF(ISNUMBER(HLOOKUP(E$100,InputDFM!$2:$8,MATCH(Transfer!$A254&amp;" "&amp;Transfer!$B254,InputDFM!$AB$3:$AB$8,0)+1,FALSE)),HLOOKUP(E$100,InputDFM!$2:$8,MATCH(Transfer!$A254&amp;" "&amp;Transfer!$B254,InputDFM!$AB$3:$AB$8,0)+1,FALSE),-9999)</f>
        <v>-9999</v>
      </c>
      <c r="F254" s="24">
        <f>IF(ISNUMBER(HLOOKUP(F$100,InputDFM!$2:$8,MATCH(Transfer!$A254&amp;" "&amp;Transfer!$B254,InputDFM!$AB$3:$AB$8,0)+1,FALSE)),HLOOKUP(F$100,InputDFM!$2:$8,MATCH(Transfer!$A254&amp;" "&amp;Transfer!$B254,InputDFM!$AB$3:$AB$8,0)+1,FALSE),-9999)</f>
        <v>-9999</v>
      </c>
      <c r="G254" s="24">
        <f>IF(ISNUMBER(HLOOKUP(G$100,InputDFM!$2:$8,MATCH(Transfer!$A254&amp;" "&amp;Transfer!$B254,InputDFM!$AB$3:$AB$8,0)+1,FALSE)),HLOOKUP(G$100,InputDFM!$2:$8,MATCH(Transfer!$A254&amp;" "&amp;Transfer!$B254,InputDFM!$AB$3:$AB$8,0)+1,FALSE),-9999)</f>
        <v>-9999</v>
      </c>
      <c r="H254" s="25">
        <v>-9999</v>
      </c>
      <c r="I254" s="25">
        <v>-9999</v>
      </c>
      <c r="J254" s="25">
        <v>-9999</v>
      </c>
      <c r="K254" s="25">
        <v>-9999</v>
      </c>
      <c r="L254" s="25">
        <v>-9999</v>
      </c>
      <c r="M254" s="25">
        <v>-9999</v>
      </c>
      <c r="N254" s="25">
        <v>-9999</v>
      </c>
      <c r="O254" s="25">
        <v>-9999</v>
      </c>
      <c r="P254" s="26"/>
      <c r="Q254"/>
      <c r="AA254" s="22">
        <v>154</v>
      </c>
      <c r="AB254" s="1081" t="str">
        <f t="shared" si="31"/>
        <v>DISCRETIONARY MEASURES CURRENT REVENUE</v>
      </c>
      <c r="AC254" s="1081">
        <f>CHOOSE(Tables!$U$2,Transfer!CA254,Transfer!CN254,Transfer!DA254,Transfer!DN254,Transfer!EA254)</f>
        <v>-9999</v>
      </c>
      <c r="AD254" s="1081">
        <f>CHOOSE(Tables!$U$2,Transfer!CB254,Transfer!CO254,Transfer!DB254,Transfer!DO254,Transfer!EB254)</f>
        <v>-9999</v>
      </c>
      <c r="AE254" s="1081">
        <f>CHOOSE(Tables!$U$2,Transfer!CC254,Transfer!CP254,Transfer!DC254,Transfer!DP254,Transfer!EC254)</f>
        <v>-9999</v>
      </c>
      <c r="AF254" s="1081">
        <f>CHOOSE(Tables!$U$2,Transfer!CD254,Transfer!CQ254,Transfer!DD254,Transfer!DQ254,Transfer!ED254)</f>
        <v>-9999</v>
      </c>
      <c r="AG254" s="1081">
        <f>CHOOSE(Tables!$U$2,Transfer!CE254,Transfer!CR254,Transfer!DE254,Transfer!DR254,Transfer!EE254)</f>
        <v>-9999</v>
      </c>
      <c r="AH254" s="1081">
        <f>CHOOSE(Tables!$U$2,Transfer!CF254,Transfer!CS254,Transfer!DF254,Transfer!DS254,Transfer!EF254)</f>
        <v>-9999</v>
      </c>
      <c r="AI254" s="1081">
        <f>CHOOSE(Tables!$U$2,Transfer!CG254,Transfer!CT254,Transfer!DG254,Transfer!DT254,Transfer!EG254)</f>
        <v>-9999</v>
      </c>
      <c r="AJ254" s="1081">
        <f>CHOOSE(Tables!$U$2,Transfer!CH254,Transfer!CU254,Transfer!DH254,Transfer!DU254,Transfer!EH254)</f>
        <v>-9999</v>
      </c>
      <c r="AK254" s="1081">
        <f>CHOOSE(Tables!$U$2,Transfer!CI254,Transfer!CV254,Transfer!DI254,Transfer!DV254,Transfer!EI254)</f>
        <v>-9999</v>
      </c>
      <c r="AL254" s="1081">
        <f>CHOOSE(Tables!$U$2,Transfer!CJ254,Transfer!CW254,Transfer!DJ254,Transfer!DW254,Transfer!EJ254)</f>
        <v>-9999</v>
      </c>
      <c r="AM254" s="1081">
        <f>CHOOSE(Tables!$U$2,Transfer!CK254,Transfer!CX254,Transfer!DK254,Transfer!DX254,Transfer!EK254)</f>
        <v>-9999</v>
      </c>
      <c r="AN254" s="1081">
        <f>CHOOSE(Tables!$U$2,Transfer!CL254,Transfer!CY254,Transfer!DL254,Transfer!DY254,Transfer!EL254)</f>
        <v>-9999</v>
      </c>
      <c r="AO254" s="1081">
        <f>CHOOSE(Tables!$U$2,Transfer!CM254,Transfer!CZ254,Transfer!DM254,Transfer!DZ254,Transfer!EM254)</f>
        <v>-9999</v>
      </c>
      <c r="AR254" s="22">
        <v>154</v>
      </c>
      <c r="AS254" s="30" t="s">
        <v>1998</v>
      </c>
      <c r="AT254" s="25">
        <f t="shared" si="32"/>
        <v>0</v>
      </c>
      <c r="AU254" s="25">
        <f t="shared" si="33"/>
        <v>0</v>
      </c>
      <c r="AV254" s="25">
        <f t="shared" si="34"/>
        <v>0</v>
      </c>
      <c r="AW254" s="25">
        <f t="shared" si="35"/>
        <v>0</v>
      </c>
      <c r="AX254" s="25">
        <f t="shared" si="36"/>
        <v>0</v>
      </c>
      <c r="AY254" s="25">
        <f t="shared" si="37"/>
        <v>0</v>
      </c>
      <c r="AZ254" s="25">
        <f t="shared" si="38"/>
        <v>0</v>
      </c>
      <c r="BA254" s="25">
        <f t="shared" si="39"/>
        <v>0</v>
      </c>
      <c r="BB254" s="25">
        <f t="shared" si="40"/>
        <v>0</v>
      </c>
      <c r="BC254" s="25">
        <f t="shared" si="21"/>
        <v>0</v>
      </c>
      <c r="BD254" s="25">
        <f t="shared" si="21"/>
        <v>0</v>
      </c>
      <c r="BE254" s="25">
        <f t="shared" si="21"/>
        <v>0</v>
      </c>
      <c r="BF254" s="25">
        <f t="shared" si="21"/>
        <v>0</v>
      </c>
      <c r="CA254" s="16">
        <v>-9999</v>
      </c>
      <c r="CB254" s="16">
        <v>-9999</v>
      </c>
      <c r="CC254" s="16">
        <v>-9999</v>
      </c>
      <c r="CD254" s="16">
        <v>-9999</v>
      </c>
      <c r="CE254" s="16">
        <v>-9999</v>
      </c>
      <c r="CF254" s="16">
        <v>-9999</v>
      </c>
      <c r="CG254" s="16">
        <v>-9999</v>
      </c>
      <c r="CH254" s="16">
        <v>-9999</v>
      </c>
      <c r="CI254" s="16">
        <v>-9999</v>
      </c>
      <c r="CJ254" s="16">
        <v>-9999</v>
      </c>
      <c r="CK254" s="16">
        <v>-9999</v>
      </c>
      <c r="CL254" s="16">
        <v>-9999</v>
      </c>
      <c r="CM254" s="16">
        <v>-9999</v>
      </c>
      <c r="CN254" s="16">
        <v>-9999</v>
      </c>
      <c r="CO254" s="16">
        <v>-9999</v>
      </c>
      <c r="CP254" s="16">
        <v>-9999</v>
      </c>
      <c r="CQ254" s="16">
        <v>-9999</v>
      </c>
      <c r="CR254" s="16">
        <v>-9999</v>
      </c>
      <c r="CS254" s="16">
        <v>-9999</v>
      </c>
      <c r="CT254" s="16">
        <v>-9999</v>
      </c>
      <c r="CU254" s="16">
        <v>-9999</v>
      </c>
      <c r="CV254" s="16">
        <v>-9999</v>
      </c>
      <c r="CW254" s="16">
        <v>-9999</v>
      </c>
      <c r="CX254" s="16">
        <v>-9999</v>
      </c>
      <c r="CY254" s="16">
        <v>-9999</v>
      </c>
      <c r="CZ254" s="16">
        <v>-9999</v>
      </c>
      <c r="DA254" s="16">
        <v>-9999</v>
      </c>
      <c r="DB254" s="16">
        <v>-9999</v>
      </c>
      <c r="DC254" s="16">
        <v>-9999</v>
      </c>
      <c r="DD254" s="16">
        <v>-9999</v>
      </c>
      <c r="DE254" s="16">
        <v>-9999</v>
      </c>
      <c r="DF254" s="16">
        <v>-9999</v>
      </c>
      <c r="DG254" s="16">
        <v>-9999</v>
      </c>
      <c r="DH254" s="16">
        <v>-9999</v>
      </c>
      <c r="DI254" s="16">
        <v>-9999</v>
      </c>
      <c r="DJ254" s="16">
        <v>-9999</v>
      </c>
      <c r="DK254" s="16">
        <v>-9999</v>
      </c>
      <c r="DL254" s="16">
        <v>-9999</v>
      </c>
      <c r="DM254" s="16">
        <v>-9999</v>
      </c>
      <c r="DN254" s="16">
        <v>-9999</v>
      </c>
      <c r="DO254" s="16">
        <v>-9999</v>
      </c>
      <c r="DP254" s="16">
        <v>-9999</v>
      </c>
      <c r="DQ254" s="16">
        <v>-9999</v>
      </c>
      <c r="DR254" s="16">
        <v>-9999</v>
      </c>
      <c r="DS254" s="16">
        <v>-9999</v>
      </c>
      <c r="DT254" s="16">
        <v>-9999</v>
      </c>
      <c r="DU254" s="16">
        <v>-9999</v>
      </c>
      <c r="DV254" s="16">
        <v>-9999</v>
      </c>
      <c r="DW254" s="16">
        <v>-9999</v>
      </c>
      <c r="DX254" s="16">
        <v>-9999</v>
      </c>
      <c r="DY254" s="16">
        <v>-9999</v>
      </c>
      <c r="DZ254" s="16">
        <v>-9999</v>
      </c>
      <c r="EA254" s="2107">
        <v>-9999</v>
      </c>
      <c r="EB254" s="2107">
        <v>-9999</v>
      </c>
      <c r="EC254" s="2107">
        <v>-9999</v>
      </c>
      <c r="ED254" s="2107">
        <v>-9999</v>
      </c>
      <c r="EE254" s="2107">
        <v>-9999</v>
      </c>
      <c r="EF254" s="2107">
        <v>-9999</v>
      </c>
      <c r="EG254" s="2107">
        <v>-9999</v>
      </c>
      <c r="EH254" s="2107">
        <v>-9999</v>
      </c>
      <c r="EI254" s="2107">
        <v>-9999</v>
      </c>
      <c r="EJ254" s="2107">
        <v>-9999</v>
      </c>
      <c r="EK254" s="2107">
        <v>-9999</v>
      </c>
      <c r="EL254" s="2107">
        <v>-9999</v>
      </c>
      <c r="EM254" s="2107">
        <v>-9999</v>
      </c>
    </row>
    <row r="255" spans="1:143">
      <c r="A255" s="22">
        <v>155</v>
      </c>
      <c r="B255" s="29" t="s">
        <v>1289</v>
      </c>
      <c r="C255" s="24">
        <f>IF(ISNUMBER(HLOOKUP(C$100,InputDFM!$2:$8,MATCH(Transfer!$A255&amp;" "&amp;Transfer!$B255,InputDFM!$AB$3:$AB$8,0)+1,FALSE)),HLOOKUP(C$100,InputDFM!$2:$8,MATCH(Transfer!$A255&amp;" "&amp;Transfer!$B255,InputDFM!$AB$3:$AB$8,0)+1,FALSE),-9999)</f>
        <v>-9999</v>
      </c>
      <c r="D255" s="24">
        <f>IF(ISNUMBER(HLOOKUP(D$100,InputDFM!$2:$8,MATCH(Transfer!$A255&amp;" "&amp;Transfer!$B255,InputDFM!$AB$3:$AB$8,0)+1,FALSE)),HLOOKUP(D$100,InputDFM!$2:$8,MATCH(Transfer!$A255&amp;" "&amp;Transfer!$B255,InputDFM!$AB$3:$AB$8,0)+1,FALSE),-9999)</f>
        <v>-9999</v>
      </c>
      <c r="E255" s="24">
        <f>IF(ISNUMBER(HLOOKUP(E$100,InputDFM!$2:$8,MATCH(Transfer!$A255&amp;" "&amp;Transfer!$B255,InputDFM!$AB$3:$AB$8,0)+1,FALSE)),HLOOKUP(E$100,InputDFM!$2:$8,MATCH(Transfer!$A255&amp;" "&amp;Transfer!$B255,InputDFM!$AB$3:$AB$8,0)+1,FALSE),-9999)</f>
        <v>-9999</v>
      </c>
      <c r="F255" s="24">
        <f>IF(ISNUMBER(HLOOKUP(F$100,InputDFM!$2:$8,MATCH(Transfer!$A255&amp;" "&amp;Transfer!$B255,InputDFM!$AB$3:$AB$8,0)+1,FALSE)),HLOOKUP(F$100,InputDFM!$2:$8,MATCH(Transfer!$A255&amp;" "&amp;Transfer!$B255,InputDFM!$AB$3:$AB$8,0)+1,FALSE),-9999)</f>
        <v>-9999</v>
      </c>
      <c r="G255" s="24">
        <f>IF(ISNUMBER(HLOOKUP(G$100,InputDFM!$2:$8,MATCH(Transfer!$A255&amp;" "&amp;Transfer!$B255,InputDFM!$AB$3:$AB$8,0)+1,FALSE)),HLOOKUP(G$100,InputDFM!$2:$8,MATCH(Transfer!$A255&amp;" "&amp;Transfer!$B255,InputDFM!$AB$3:$AB$8,0)+1,FALSE),-9999)</f>
        <v>-9999</v>
      </c>
      <c r="H255" s="25">
        <v>-9999</v>
      </c>
      <c r="I255" s="25">
        <v>-9999</v>
      </c>
      <c r="J255" s="25">
        <v>-9999</v>
      </c>
      <c r="K255" s="25">
        <v>-9999</v>
      </c>
      <c r="L255" s="25">
        <v>-9999</v>
      </c>
      <c r="M255" s="25">
        <v>-9999</v>
      </c>
      <c r="N255" s="25">
        <v>-9999</v>
      </c>
      <c r="O255" s="25">
        <v>-9999</v>
      </c>
      <c r="P255" s="26"/>
      <c r="Q255"/>
      <c r="AA255" s="22">
        <v>155</v>
      </c>
      <c r="AB255" s="1081" t="str">
        <f t="shared" si="31"/>
        <v>DISCRETIONARY MEASURES CAPITAL EXPENDITURE</v>
      </c>
      <c r="AC255" s="1081">
        <f>CHOOSE(Tables!$U$2,Transfer!CA255,Transfer!CN255,Transfer!DA255,Transfer!DN255,Transfer!EA255)</f>
        <v>-9999</v>
      </c>
      <c r="AD255" s="1081">
        <f>CHOOSE(Tables!$U$2,Transfer!CB255,Transfer!CO255,Transfer!DB255,Transfer!DO255,Transfer!EB255)</f>
        <v>-9999</v>
      </c>
      <c r="AE255" s="1081">
        <f>CHOOSE(Tables!$U$2,Transfer!CC255,Transfer!CP255,Transfer!DC255,Transfer!DP255,Transfer!EC255)</f>
        <v>-9999</v>
      </c>
      <c r="AF255" s="1081">
        <f>CHOOSE(Tables!$U$2,Transfer!CD255,Transfer!CQ255,Transfer!DD255,Transfer!DQ255,Transfer!ED255)</f>
        <v>-9999</v>
      </c>
      <c r="AG255" s="1081">
        <f>CHOOSE(Tables!$U$2,Transfer!CE255,Transfer!CR255,Transfer!DE255,Transfer!DR255,Transfer!EE255)</f>
        <v>-9999</v>
      </c>
      <c r="AH255" s="1081">
        <f>CHOOSE(Tables!$U$2,Transfer!CF255,Transfer!CS255,Transfer!DF255,Transfer!DS255,Transfer!EF255)</f>
        <v>-9999</v>
      </c>
      <c r="AI255" s="1081">
        <f>CHOOSE(Tables!$U$2,Transfer!CG255,Transfer!CT255,Transfer!DG255,Transfer!DT255,Transfer!EG255)</f>
        <v>-9999</v>
      </c>
      <c r="AJ255" s="1081">
        <f>CHOOSE(Tables!$U$2,Transfer!CH255,Transfer!CU255,Transfer!DH255,Transfer!DU255,Transfer!EH255)</f>
        <v>-9999</v>
      </c>
      <c r="AK255" s="1081">
        <f>CHOOSE(Tables!$U$2,Transfer!CI255,Transfer!CV255,Transfer!DI255,Transfer!DV255,Transfer!EI255)</f>
        <v>-9999</v>
      </c>
      <c r="AL255" s="1081">
        <f>CHOOSE(Tables!$U$2,Transfer!CJ255,Transfer!CW255,Transfer!DJ255,Transfer!DW255,Transfer!EJ255)</f>
        <v>-9999</v>
      </c>
      <c r="AM255" s="1081">
        <f>CHOOSE(Tables!$U$2,Transfer!CK255,Transfer!CX255,Transfer!DK255,Transfer!DX255,Transfer!EK255)</f>
        <v>-9999</v>
      </c>
      <c r="AN255" s="1081">
        <f>CHOOSE(Tables!$U$2,Transfer!CL255,Transfer!CY255,Transfer!DL255,Transfer!DY255,Transfer!EL255)</f>
        <v>-9999</v>
      </c>
      <c r="AO255" s="1081">
        <f>CHOOSE(Tables!$U$2,Transfer!CM255,Transfer!CZ255,Transfer!DM255,Transfer!DZ255,Transfer!EM255)</f>
        <v>-9999</v>
      </c>
      <c r="AR255" s="22">
        <v>155</v>
      </c>
      <c r="AS255" s="1" t="s">
        <v>1116</v>
      </c>
      <c r="AT255" s="1889">
        <f t="shared" si="32"/>
        <v>0</v>
      </c>
      <c r="AU255" s="1889">
        <f t="shared" si="33"/>
        <v>0</v>
      </c>
      <c r="AV255" s="1889">
        <f t="shared" si="34"/>
        <v>0</v>
      </c>
      <c r="AW255" s="1889">
        <f t="shared" si="35"/>
        <v>0</v>
      </c>
      <c r="AX255" s="1889">
        <f t="shared" si="36"/>
        <v>0</v>
      </c>
      <c r="AY255" s="25">
        <f t="shared" si="37"/>
        <v>0</v>
      </c>
      <c r="AZ255" s="25">
        <f t="shared" si="38"/>
        <v>0</v>
      </c>
      <c r="BA255" s="25">
        <f t="shared" si="39"/>
        <v>0</v>
      </c>
      <c r="BB255" s="25">
        <f t="shared" si="40"/>
        <v>0</v>
      </c>
      <c r="BC255" s="25">
        <f t="shared" si="21"/>
        <v>0</v>
      </c>
      <c r="BD255" s="25">
        <f t="shared" si="21"/>
        <v>0</v>
      </c>
      <c r="BE255" s="25">
        <f t="shared" si="21"/>
        <v>0</v>
      </c>
      <c r="BF255" s="25">
        <f t="shared" si="21"/>
        <v>0</v>
      </c>
      <c r="CA255" s="16">
        <v>-9999</v>
      </c>
      <c r="CB255" s="16">
        <v>-9999</v>
      </c>
      <c r="CC255" s="16">
        <v>-9999</v>
      </c>
      <c r="CD255" s="16">
        <v>-9999</v>
      </c>
      <c r="CE255" s="16">
        <v>-9999</v>
      </c>
      <c r="CF255" s="16">
        <v>-9999</v>
      </c>
      <c r="CG255" s="16">
        <v>-9999</v>
      </c>
      <c r="CH255" s="16">
        <v>-9999</v>
      </c>
      <c r="CI255" s="16">
        <v>-9999</v>
      </c>
      <c r="CJ255" s="16">
        <v>-9999</v>
      </c>
      <c r="CK255" s="16">
        <v>-9999</v>
      </c>
      <c r="CL255" s="16">
        <v>-9999</v>
      </c>
      <c r="CM255" s="16">
        <v>-9999</v>
      </c>
      <c r="CN255" s="16">
        <v>-9999</v>
      </c>
      <c r="CO255" s="16">
        <v>-9999</v>
      </c>
      <c r="CP255" s="16">
        <v>-9999</v>
      </c>
      <c r="CQ255" s="16">
        <v>-9999</v>
      </c>
      <c r="CR255" s="16">
        <v>-9999</v>
      </c>
      <c r="CS255" s="16">
        <v>-9999</v>
      </c>
      <c r="CT255" s="16">
        <v>-9999</v>
      </c>
      <c r="CU255" s="16">
        <v>-9999</v>
      </c>
      <c r="CV255" s="16">
        <v>-9999</v>
      </c>
      <c r="CW255" s="16">
        <v>-9999</v>
      </c>
      <c r="CX255" s="16">
        <v>-9999</v>
      </c>
      <c r="CY255" s="16">
        <v>-9999</v>
      </c>
      <c r="CZ255" s="16">
        <v>-9999</v>
      </c>
      <c r="DA255" s="16">
        <v>-9999</v>
      </c>
      <c r="DB255" s="16">
        <v>-9999</v>
      </c>
      <c r="DC255" s="16">
        <v>-9999</v>
      </c>
      <c r="DD255" s="16">
        <v>-9999</v>
      </c>
      <c r="DE255" s="16">
        <v>-9999</v>
      </c>
      <c r="DF255" s="16">
        <v>-9999</v>
      </c>
      <c r="DG255" s="16">
        <v>-9999</v>
      </c>
      <c r="DH255" s="16">
        <v>-9999</v>
      </c>
      <c r="DI255" s="16">
        <v>-9999</v>
      </c>
      <c r="DJ255" s="16">
        <v>-9999</v>
      </c>
      <c r="DK255" s="16">
        <v>-9999</v>
      </c>
      <c r="DL255" s="16">
        <v>-9999</v>
      </c>
      <c r="DM255" s="16">
        <v>-9999</v>
      </c>
      <c r="DN255" s="16">
        <v>-9999</v>
      </c>
      <c r="DO255" s="16">
        <v>-9999</v>
      </c>
      <c r="DP255" s="16">
        <v>-9999</v>
      </c>
      <c r="DQ255" s="16">
        <v>-9999</v>
      </c>
      <c r="DR255" s="16">
        <v>-9999</v>
      </c>
      <c r="DS255" s="16">
        <v>-9999</v>
      </c>
      <c r="DT255" s="16">
        <v>-9999</v>
      </c>
      <c r="DU255" s="16">
        <v>-9999</v>
      </c>
      <c r="DV255" s="16">
        <v>-9999</v>
      </c>
      <c r="DW255" s="16">
        <v>-9999</v>
      </c>
      <c r="DX255" s="16">
        <v>-9999</v>
      </c>
      <c r="DY255" s="16">
        <v>-9999</v>
      </c>
      <c r="DZ255" s="16">
        <v>-9999</v>
      </c>
      <c r="EA255" s="2107">
        <v>-9999</v>
      </c>
      <c r="EB255" s="2107">
        <v>-9999</v>
      </c>
      <c r="EC255" s="2107">
        <v>-9999</v>
      </c>
      <c r="ED255" s="2107">
        <v>-9999</v>
      </c>
      <c r="EE255" s="2107">
        <v>-9999</v>
      </c>
      <c r="EF255" s="2107">
        <v>-9999</v>
      </c>
      <c r="EG255" s="2107">
        <v>-9999</v>
      </c>
      <c r="EH255" s="2107">
        <v>-9999</v>
      </c>
      <c r="EI255" s="2107">
        <v>-9999</v>
      </c>
      <c r="EJ255" s="2107">
        <v>-9999</v>
      </c>
      <c r="EK255" s="2107">
        <v>-9999</v>
      </c>
      <c r="EL255" s="2107">
        <v>-9999</v>
      </c>
      <c r="EM255" s="2107">
        <v>-9999</v>
      </c>
    </row>
    <row r="256" spans="1:143">
      <c r="A256" s="22">
        <v>156</v>
      </c>
      <c r="B256" s="29" t="s">
        <v>1290</v>
      </c>
      <c r="C256" s="24">
        <f>IF(ISNUMBER(HLOOKUP(C$100,InputDFM!$2:$8,MATCH(Transfer!$A256&amp;" "&amp;Transfer!$B256,InputDFM!$AB$3:$AB$8,0)+1,FALSE)),HLOOKUP(C$100,InputDFM!$2:$8,MATCH(Transfer!$A256&amp;" "&amp;Transfer!$B256,InputDFM!$AB$3:$AB$8,0)+1,FALSE),-9999)</f>
        <v>-9999</v>
      </c>
      <c r="D256" s="24">
        <f>IF(ISNUMBER(HLOOKUP(D$100,InputDFM!$2:$8,MATCH(Transfer!$A256&amp;" "&amp;Transfer!$B256,InputDFM!$AB$3:$AB$8,0)+1,FALSE)),HLOOKUP(D$100,InputDFM!$2:$8,MATCH(Transfer!$A256&amp;" "&amp;Transfer!$B256,InputDFM!$AB$3:$AB$8,0)+1,FALSE),-9999)</f>
        <v>-9999</v>
      </c>
      <c r="E256" s="24">
        <f>IF(ISNUMBER(HLOOKUP(E$100,InputDFM!$2:$8,MATCH(Transfer!$A256&amp;" "&amp;Transfer!$B256,InputDFM!$AB$3:$AB$8,0)+1,FALSE)),HLOOKUP(E$100,InputDFM!$2:$8,MATCH(Transfer!$A256&amp;" "&amp;Transfer!$B256,InputDFM!$AB$3:$AB$8,0)+1,FALSE),-9999)</f>
        <v>-9999</v>
      </c>
      <c r="F256" s="24">
        <f>IF(ISNUMBER(HLOOKUP(F$100,InputDFM!$2:$8,MATCH(Transfer!$A256&amp;" "&amp;Transfer!$B256,InputDFM!$AB$3:$AB$8,0)+1,FALSE)),HLOOKUP(F$100,InputDFM!$2:$8,MATCH(Transfer!$A256&amp;" "&amp;Transfer!$B256,InputDFM!$AB$3:$AB$8,0)+1,FALSE),-9999)</f>
        <v>-9999</v>
      </c>
      <c r="G256" s="24">
        <f>IF(ISNUMBER(HLOOKUP(G$100,InputDFM!$2:$8,MATCH(Transfer!$A256&amp;" "&amp;Transfer!$B256,InputDFM!$AB$3:$AB$8,0)+1,FALSE)),HLOOKUP(G$100,InputDFM!$2:$8,MATCH(Transfer!$A256&amp;" "&amp;Transfer!$B256,InputDFM!$AB$3:$AB$8,0)+1,FALSE),-9999)</f>
        <v>-9999</v>
      </c>
      <c r="H256" s="25">
        <v>-9999</v>
      </c>
      <c r="I256" s="25">
        <v>-9999</v>
      </c>
      <c r="J256" s="25">
        <v>-9999</v>
      </c>
      <c r="K256" s="25">
        <v>-9999</v>
      </c>
      <c r="L256" s="25">
        <v>-9999</v>
      </c>
      <c r="M256" s="25">
        <v>-9999</v>
      </c>
      <c r="N256" s="25">
        <v>-9999</v>
      </c>
      <c r="O256" s="25">
        <v>-9999</v>
      </c>
      <c r="P256" s="26"/>
      <c r="Q256"/>
      <c r="AA256" s="22">
        <v>156</v>
      </c>
      <c r="AB256" s="1081" t="str">
        <f t="shared" si="31"/>
        <v>DISCRETIONARY MEASURES CAPITAL TRANSFERS RECEIVED</v>
      </c>
      <c r="AC256" s="1081">
        <f>CHOOSE(Tables!$U$2,Transfer!CA256,Transfer!CN256,Transfer!DA256,Transfer!DN256,Transfer!EA256)</f>
        <v>-9999</v>
      </c>
      <c r="AD256" s="1081">
        <f>CHOOSE(Tables!$U$2,Transfer!CB256,Transfer!CO256,Transfer!DB256,Transfer!DO256,Transfer!EB256)</f>
        <v>-9999</v>
      </c>
      <c r="AE256" s="1081">
        <f>CHOOSE(Tables!$U$2,Transfer!CC256,Transfer!CP256,Transfer!DC256,Transfer!DP256,Transfer!EC256)</f>
        <v>-9999</v>
      </c>
      <c r="AF256" s="1081">
        <f>CHOOSE(Tables!$U$2,Transfer!CD256,Transfer!CQ256,Transfer!DD256,Transfer!DQ256,Transfer!ED256)</f>
        <v>-9999</v>
      </c>
      <c r="AG256" s="1081">
        <f>CHOOSE(Tables!$U$2,Transfer!CE256,Transfer!CR256,Transfer!DE256,Transfer!DR256,Transfer!EE256)</f>
        <v>-9999</v>
      </c>
      <c r="AH256" s="1081">
        <f>CHOOSE(Tables!$U$2,Transfer!CF256,Transfer!CS256,Transfer!DF256,Transfer!DS256,Transfer!EF256)</f>
        <v>-9999</v>
      </c>
      <c r="AI256" s="1081">
        <f>CHOOSE(Tables!$U$2,Transfer!CG256,Transfer!CT256,Transfer!DG256,Transfer!DT256,Transfer!EG256)</f>
        <v>-9999</v>
      </c>
      <c r="AJ256" s="1081">
        <f>CHOOSE(Tables!$U$2,Transfer!CH256,Transfer!CU256,Transfer!DH256,Transfer!DU256,Transfer!EH256)</f>
        <v>-9999</v>
      </c>
      <c r="AK256" s="1081">
        <f>CHOOSE(Tables!$U$2,Transfer!CI256,Transfer!CV256,Transfer!DI256,Transfer!DV256,Transfer!EI256)</f>
        <v>-9999</v>
      </c>
      <c r="AL256" s="1081">
        <f>CHOOSE(Tables!$U$2,Transfer!CJ256,Transfer!CW256,Transfer!DJ256,Transfer!DW256,Transfer!EJ256)</f>
        <v>-9999</v>
      </c>
      <c r="AM256" s="1081">
        <f>CHOOSE(Tables!$U$2,Transfer!CK256,Transfer!CX256,Transfer!DK256,Transfer!DX256,Transfer!EK256)</f>
        <v>-9999</v>
      </c>
      <c r="AN256" s="1081">
        <f>CHOOSE(Tables!$U$2,Transfer!CL256,Transfer!CY256,Transfer!DL256,Transfer!DY256,Transfer!EL256)</f>
        <v>-9999</v>
      </c>
      <c r="AO256" s="1081">
        <f>CHOOSE(Tables!$U$2,Transfer!CM256,Transfer!CZ256,Transfer!DM256,Transfer!DZ256,Transfer!EM256)</f>
        <v>-9999</v>
      </c>
      <c r="AR256" s="22">
        <v>156</v>
      </c>
      <c r="AS256" s="30" t="s">
        <v>1998</v>
      </c>
      <c r="AT256" s="25">
        <f t="shared" si="32"/>
        <v>0</v>
      </c>
      <c r="AU256" s="25">
        <f t="shared" si="33"/>
        <v>0</v>
      </c>
      <c r="AV256" s="25">
        <f t="shared" si="34"/>
        <v>0</v>
      </c>
      <c r="AW256" s="25">
        <f t="shared" si="35"/>
        <v>0</v>
      </c>
      <c r="AX256" s="25">
        <f t="shared" si="36"/>
        <v>0</v>
      </c>
      <c r="AY256" s="25">
        <f t="shared" si="37"/>
        <v>0</v>
      </c>
      <c r="AZ256" s="25">
        <f t="shared" si="38"/>
        <v>0</v>
      </c>
      <c r="BA256" s="25">
        <f t="shared" si="39"/>
        <v>0</v>
      </c>
      <c r="BB256" s="25">
        <f t="shared" si="40"/>
        <v>0</v>
      </c>
      <c r="BC256" s="25">
        <f t="shared" si="21"/>
        <v>0</v>
      </c>
      <c r="BD256" s="25">
        <f t="shared" si="21"/>
        <v>0</v>
      </c>
      <c r="BE256" s="25">
        <f t="shared" si="21"/>
        <v>0</v>
      </c>
      <c r="BF256" s="25">
        <f t="shared" si="21"/>
        <v>0</v>
      </c>
      <c r="CA256" s="16">
        <v>-9999</v>
      </c>
      <c r="CB256" s="16">
        <v>-9999</v>
      </c>
      <c r="CC256" s="16">
        <v>-9999</v>
      </c>
      <c r="CD256" s="16">
        <v>-9999</v>
      </c>
      <c r="CE256" s="16">
        <v>-9999</v>
      </c>
      <c r="CF256" s="16">
        <v>-9999</v>
      </c>
      <c r="CG256" s="16">
        <v>-9999</v>
      </c>
      <c r="CH256" s="16">
        <v>-9999</v>
      </c>
      <c r="CI256" s="16">
        <v>-9999</v>
      </c>
      <c r="CJ256" s="16">
        <v>-9999</v>
      </c>
      <c r="CK256" s="16">
        <v>-9999</v>
      </c>
      <c r="CL256" s="16">
        <v>-9999</v>
      </c>
      <c r="CM256" s="16">
        <v>-9999</v>
      </c>
      <c r="CN256" s="16">
        <v>-9999</v>
      </c>
      <c r="CO256" s="16">
        <v>-9999</v>
      </c>
      <c r="CP256" s="16">
        <v>-9999</v>
      </c>
      <c r="CQ256" s="16">
        <v>-9999</v>
      </c>
      <c r="CR256" s="16">
        <v>-9999</v>
      </c>
      <c r="CS256" s="16">
        <v>-9999</v>
      </c>
      <c r="CT256" s="16">
        <v>-9999</v>
      </c>
      <c r="CU256" s="16">
        <v>-9999</v>
      </c>
      <c r="CV256" s="16">
        <v>-9999</v>
      </c>
      <c r="CW256" s="16">
        <v>-9999</v>
      </c>
      <c r="CX256" s="16">
        <v>-9999</v>
      </c>
      <c r="CY256" s="16">
        <v>-9999</v>
      </c>
      <c r="CZ256" s="16">
        <v>-9999</v>
      </c>
      <c r="DA256" s="16">
        <v>-9999</v>
      </c>
      <c r="DB256" s="16">
        <v>-9999</v>
      </c>
      <c r="DC256" s="16">
        <v>-9999</v>
      </c>
      <c r="DD256" s="16">
        <v>-9999</v>
      </c>
      <c r="DE256" s="16">
        <v>-9999</v>
      </c>
      <c r="DF256" s="16">
        <v>-9999</v>
      </c>
      <c r="DG256" s="16">
        <v>-9999</v>
      </c>
      <c r="DH256" s="16">
        <v>-9999</v>
      </c>
      <c r="DI256" s="16">
        <v>-9999</v>
      </c>
      <c r="DJ256" s="16">
        <v>-9999</v>
      </c>
      <c r="DK256" s="16">
        <v>-9999</v>
      </c>
      <c r="DL256" s="16">
        <v>-9999</v>
      </c>
      <c r="DM256" s="16">
        <v>-9999</v>
      </c>
      <c r="DN256" s="16">
        <v>-9999</v>
      </c>
      <c r="DO256" s="16">
        <v>-9999</v>
      </c>
      <c r="DP256" s="16">
        <v>-9999</v>
      </c>
      <c r="DQ256" s="16">
        <v>-9999</v>
      </c>
      <c r="DR256" s="16">
        <v>-9999</v>
      </c>
      <c r="DS256" s="16">
        <v>-9999</v>
      </c>
      <c r="DT256" s="16">
        <v>-9999</v>
      </c>
      <c r="DU256" s="16">
        <v>-9999</v>
      </c>
      <c r="DV256" s="16">
        <v>-9999</v>
      </c>
      <c r="DW256" s="16">
        <v>-9999</v>
      </c>
      <c r="DX256" s="16">
        <v>-9999</v>
      </c>
      <c r="DY256" s="16">
        <v>-9999</v>
      </c>
      <c r="DZ256" s="16">
        <v>-9999</v>
      </c>
      <c r="EA256" s="2107">
        <v>-9999</v>
      </c>
      <c r="EB256" s="2107">
        <v>-9999</v>
      </c>
      <c r="EC256" s="2107">
        <v>-9999</v>
      </c>
      <c r="ED256" s="2107">
        <v>-9999</v>
      </c>
      <c r="EE256" s="2107">
        <v>-9999</v>
      </c>
      <c r="EF256" s="2107">
        <v>-9999</v>
      </c>
      <c r="EG256" s="2107">
        <v>-9999</v>
      </c>
      <c r="EH256" s="2107">
        <v>-9999</v>
      </c>
      <c r="EI256" s="2107">
        <v>-9999</v>
      </c>
      <c r="EJ256" s="2107">
        <v>-9999</v>
      </c>
      <c r="EK256" s="2107">
        <v>-9999</v>
      </c>
      <c r="EL256" s="2107">
        <v>-9999</v>
      </c>
      <c r="EM256" s="2107">
        <v>-9999</v>
      </c>
    </row>
    <row r="257" spans="1:143">
      <c r="A257" s="22">
        <v>157</v>
      </c>
      <c r="B257" s="30" t="s">
        <v>1998</v>
      </c>
      <c r="C257" s="25">
        <v>-9999</v>
      </c>
      <c r="D257" s="25">
        <v>-9999</v>
      </c>
      <c r="E257" s="25">
        <v>-9999</v>
      </c>
      <c r="F257" s="25">
        <v>-9999</v>
      </c>
      <c r="G257" s="25">
        <v>-9999</v>
      </c>
      <c r="H257" s="25">
        <v>-9999</v>
      </c>
      <c r="I257" s="25">
        <v>-9999</v>
      </c>
      <c r="J257" s="25">
        <v>-9999</v>
      </c>
      <c r="K257" s="25">
        <v>-9999</v>
      </c>
      <c r="L257" s="25">
        <v>-9999</v>
      </c>
      <c r="M257" s="25">
        <v>-9999</v>
      </c>
      <c r="N257" s="25">
        <v>-9999</v>
      </c>
      <c r="O257" s="25">
        <v>-9999</v>
      </c>
      <c r="P257" s="26"/>
      <c r="Q257"/>
      <c r="AA257" s="22">
        <v>157</v>
      </c>
      <c r="AB257" s="1081" t="str">
        <f t="shared" si="31"/>
        <v>FOR FUTURE USE</v>
      </c>
      <c r="AC257" s="1081">
        <f>CHOOSE(Tables!$U$2,Transfer!CA257,Transfer!CN257,Transfer!DA257,Transfer!DN257,Transfer!EA257)</f>
        <v>-9999</v>
      </c>
      <c r="AD257" s="1081">
        <f>CHOOSE(Tables!$U$2,Transfer!CB257,Transfer!CO257,Transfer!DB257,Transfer!DO257,Transfer!EB257)</f>
        <v>-9999</v>
      </c>
      <c r="AE257" s="1081">
        <f>CHOOSE(Tables!$U$2,Transfer!CC257,Transfer!CP257,Transfer!DC257,Transfer!DP257,Transfer!EC257)</f>
        <v>-9999</v>
      </c>
      <c r="AF257" s="1081">
        <f>CHOOSE(Tables!$U$2,Transfer!CD257,Transfer!CQ257,Transfer!DD257,Transfer!DQ257,Transfer!ED257)</f>
        <v>-9999</v>
      </c>
      <c r="AG257" s="1081">
        <f>CHOOSE(Tables!$U$2,Transfer!CE257,Transfer!CR257,Transfer!DE257,Transfer!DR257,Transfer!EE257)</f>
        <v>-9999</v>
      </c>
      <c r="AH257" s="1081">
        <f>CHOOSE(Tables!$U$2,Transfer!CF257,Transfer!CS257,Transfer!DF257,Transfer!DS257,Transfer!EF257)</f>
        <v>-9999</v>
      </c>
      <c r="AI257" s="1081">
        <f>CHOOSE(Tables!$U$2,Transfer!CG257,Transfer!CT257,Transfer!DG257,Transfer!DT257,Transfer!EG257)</f>
        <v>-9999</v>
      </c>
      <c r="AJ257" s="1081">
        <f>CHOOSE(Tables!$U$2,Transfer!CH257,Transfer!CU257,Transfer!DH257,Transfer!DU257,Transfer!EH257)</f>
        <v>-9999</v>
      </c>
      <c r="AK257" s="1081">
        <f>CHOOSE(Tables!$U$2,Transfer!CI257,Transfer!CV257,Transfer!DI257,Transfer!DV257,Transfer!EI257)</f>
        <v>-9999</v>
      </c>
      <c r="AL257" s="1081">
        <f>CHOOSE(Tables!$U$2,Transfer!CJ257,Transfer!CW257,Transfer!DJ257,Transfer!DW257,Transfer!EJ257)</f>
        <v>-9999</v>
      </c>
      <c r="AM257" s="1081">
        <f>CHOOSE(Tables!$U$2,Transfer!CK257,Transfer!CX257,Transfer!DK257,Transfer!DX257,Transfer!EK257)</f>
        <v>-9999</v>
      </c>
      <c r="AN257" s="1081">
        <f>CHOOSE(Tables!$U$2,Transfer!CL257,Transfer!CY257,Transfer!DL257,Transfer!DY257,Transfer!EL257)</f>
        <v>-9999</v>
      </c>
      <c r="AO257" s="1081">
        <f>CHOOSE(Tables!$U$2,Transfer!CM257,Transfer!CZ257,Transfer!DM257,Transfer!DZ257,Transfer!EM257)</f>
        <v>-9999</v>
      </c>
      <c r="AR257" s="22">
        <v>157</v>
      </c>
      <c r="AS257" s="30" t="s">
        <v>1998</v>
      </c>
      <c r="AT257" s="25">
        <f>C257-AC257</f>
        <v>0</v>
      </c>
      <c r="AU257" s="25">
        <f>D257-AD257</f>
        <v>0</v>
      </c>
      <c r="AV257" s="25">
        <f>E257-AE257</f>
        <v>0</v>
      </c>
      <c r="AW257" s="25">
        <f t="shared" ref="AW257:BF280" si="41">F257-AF257</f>
        <v>0</v>
      </c>
      <c r="AX257" s="25">
        <f t="shared" si="41"/>
        <v>0</v>
      </c>
      <c r="AY257" s="25">
        <f t="shared" si="41"/>
        <v>0</v>
      </c>
      <c r="AZ257" s="25">
        <f t="shared" si="41"/>
        <v>0</v>
      </c>
      <c r="BA257" s="25">
        <f t="shared" si="41"/>
        <v>0</v>
      </c>
      <c r="BB257" s="25">
        <f t="shared" si="41"/>
        <v>0</v>
      </c>
      <c r="BC257" s="25">
        <f t="shared" si="41"/>
        <v>0</v>
      </c>
      <c r="BD257" s="25">
        <f t="shared" si="41"/>
        <v>0</v>
      </c>
      <c r="BE257" s="25">
        <f t="shared" si="41"/>
        <v>0</v>
      </c>
      <c r="BF257" s="25">
        <f t="shared" si="21"/>
        <v>0</v>
      </c>
      <c r="CA257" s="16">
        <v>-9999</v>
      </c>
      <c r="CB257" s="16">
        <v>-9999</v>
      </c>
      <c r="CC257" s="16">
        <v>-9999</v>
      </c>
      <c r="CD257" s="16">
        <v>-9999</v>
      </c>
      <c r="CE257" s="16">
        <v>-9999</v>
      </c>
      <c r="CF257" s="16">
        <v>-9999</v>
      </c>
      <c r="CG257" s="16">
        <v>-9999</v>
      </c>
      <c r="CH257" s="16">
        <v>-9999</v>
      </c>
      <c r="CI257" s="16">
        <v>-9999</v>
      </c>
      <c r="CJ257" s="16">
        <v>-9999</v>
      </c>
      <c r="CK257" s="16">
        <v>-9999</v>
      </c>
      <c r="CL257" s="16">
        <v>-9999</v>
      </c>
      <c r="CM257" s="16">
        <v>-9999</v>
      </c>
      <c r="CN257" s="16">
        <v>-9999</v>
      </c>
      <c r="CO257" s="16">
        <v>-9999</v>
      </c>
      <c r="CP257" s="16">
        <v>-9999</v>
      </c>
      <c r="CQ257" s="16">
        <v>-9999</v>
      </c>
      <c r="CR257" s="16">
        <v>-9999</v>
      </c>
      <c r="CS257" s="16">
        <v>-9999</v>
      </c>
      <c r="CT257" s="16">
        <v>-9999</v>
      </c>
      <c r="CU257" s="16">
        <v>-9999</v>
      </c>
      <c r="CV257" s="16">
        <v>-9999</v>
      </c>
      <c r="CW257" s="16">
        <v>-9999</v>
      </c>
      <c r="CX257" s="16">
        <v>-9999</v>
      </c>
      <c r="CY257" s="16">
        <v>-9999</v>
      </c>
      <c r="CZ257" s="16">
        <v>-9999</v>
      </c>
      <c r="DA257" s="16">
        <v>-9999</v>
      </c>
      <c r="DB257" s="16">
        <v>-9999</v>
      </c>
      <c r="DC257" s="16">
        <v>-9999</v>
      </c>
      <c r="DD257" s="16">
        <v>-9999</v>
      </c>
      <c r="DE257" s="16">
        <v>-9999</v>
      </c>
      <c r="DF257" s="16">
        <v>-9999</v>
      </c>
      <c r="DG257" s="16">
        <v>-9999</v>
      </c>
      <c r="DH257" s="16">
        <v>-9999</v>
      </c>
      <c r="DI257" s="16">
        <v>-9999</v>
      </c>
      <c r="DJ257" s="16">
        <v>-9999</v>
      </c>
      <c r="DK257" s="16">
        <v>-9999</v>
      </c>
      <c r="DL257" s="16">
        <v>-9999</v>
      </c>
      <c r="DM257" s="16">
        <v>-9999</v>
      </c>
      <c r="DN257" s="16">
        <v>-9999</v>
      </c>
      <c r="DO257" s="16">
        <v>-9999</v>
      </c>
      <c r="DP257" s="16">
        <v>-9999</v>
      </c>
      <c r="DQ257" s="16">
        <v>-9999</v>
      </c>
      <c r="DR257" s="16">
        <v>-9999</v>
      </c>
      <c r="DS257" s="16">
        <v>-9999</v>
      </c>
      <c r="DT257" s="16">
        <v>-9999</v>
      </c>
      <c r="DU257" s="16">
        <v>-9999</v>
      </c>
      <c r="DV257" s="16">
        <v>-9999</v>
      </c>
      <c r="DW257" s="16">
        <v>-9999</v>
      </c>
      <c r="DX257" s="16">
        <v>-9999</v>
      </c>
      <c r="DY257" s="16">
        <v>-9999</v>
      </c>
      <c r="DZ257" s="16">
        <v>-9999</v>
      </c>
      <c r="EA257" s="2107">
        <v>-9999</v>
      </c>
      <c r="EB257" s="2107">
        <v>-9999</v>
      </c>
      <c r="EC257" s="2107">
        <v>-9999</v>
      </c>
      <c r="ED257" s="2107">
        <v>-9999</v>
      </c>
      <c r="EE257" s="2107">
        <v>-9999</v>
      </c>
      <c r="EF257" s="2107">
        <v>-9999</v>
      </c>
      <c r="EG257" s="2107">
        <v>-9999</v>
      </c>
      <c r="EH257" s="2107">
        <v>-9999</v>
      </c>
      <c r="EI257" s="2107">
        <v>-9999</v>
      </c>
      <c r="EJ257" s="2107">
        <v>-9999</v>
      </c>
      <c r="EK257" s="2107">
        <v>-9999</v>
      </c>
      <c r="EL257" s="2107">
        <v>-9999</v>
      </c>
      <c r="EM257" s="2107">
        <v>-9999</v>
      </c>
    </row>
    <row r="258" spans="1:143">
      <c r="A258" s="22">
        <v>158</v>
      </c>
      <c r="B258" s="33" t="s">
        <v>1602</v>
      </c>
      <c r="C258" s="1081">
        <f ca="1">+OFFSET(Sector1!G58,0,Last_forecast_year - 1998)*100</f>
        <v>25.947140308338142</v>
      </c>
      <c r="D258" s="25">
        <v>-9999</v>
      </c>
      <c r="E258" s="25">
        <v>-9999</v>
      </c>
      <c r="F258" s="25">
        <v>-9999</v>
      </c>
      <c r="G258" s="25">
        <v>-9999</v>
      </c>
      <c r="H258" s="25">
        <v>-9999</v>
      </c>
      <c r="I258" s="25">
        <v>-9999</v>
      </c>
      <c r="J258" s="25">
        <v>-9999</v>
      </c>
      <c r="K258" s="25">
        <v>-9999</v>
      </c>
      <c r="L258" s="25">
        <v>-9999</v>
      </c>
      <c r="M258" s="25">
        <v>-9999</v>
      </c>
      <c r="N258" s="25">
        <v>-9999</v>
      </c>
      <c r="O258" s="25">
        <v>-9999</v>
      </c>
      <c r="P258" s="26"/>
      <c r="Q258"/>
      <c r="AA258" s="22">
        <v>158</v>
      </c>
      <c r="AB258" s="1081" t="str">
        <f t="shared" si="31"/>
        <v>TAX RATE INDIRECT TAXES PAST 4-Y AVG (col 1)</v>
      </c>
      <c r="AC258" s="1081">
        <f>CHOOSE(Tables!$U$2,Transfer!CA258,Transfer!CN258,Transfer!DA258,Transfer!DN258,Transfer!EA258)</f>
        <v>25.947140308338142</v>
      </c>
      <c r="AD258" s="1081">
        <f>CHOOSE(Tables!$U$2,Transfer!CB258,Transfer!CO258,Transfer!DB258,Transfer!DO258,Transfer!EB258)</f>
        <v>-9999</v>
      </c>
      <c r="AE258" s="1081">
        <f>CHOOSE(Tables!$U$2,Transfer!CC258,Transfer!CP258,Transfer!DC258,Transfer!DP258,Transfer!EC258)</f>
        <v>-9999</v>
      </c>
      <c r="AF258" s="1081">
        <f>CHOOSE(Tables!$U$2,Transfer!CD258,Transfer!CQ258,Transfer!DD258,Transfer!DQ258,Transfer!ED258)</f>
        <v>-9999</v>
      </c>
      <c r="AG258" s="1081">
        <f>CHOOSE(Tables!$U$2,Transfer!CE258,Transfer!CR258,Transfer!DE258,Transfer!DR258,Transfer!EE258)</f>
        <v>-9999</v>
      </c>
      <c r="AH258" s="1081">
        <f>CHOOSE(Tables!$U$2,Transfer!CF258,Transfer!CS258,Transfer!DF258,Transfer!DS258,Transfer!EF258)</f>
        <v>-9999</v>
      </c>
      <c r="AI258" s="1081">
        <f>CHOOSE(Tables!$U$2,Transfer!CG258,Transfer!CT258,Transfer!DG258,Transfer!DT258,Transfer!EG258)</f>
        <v>-9999</v>
      </c>
      <c r="AJ258" s="1081">
        <f>CHOOSE(Tables!$U$2,Transfer!CH258,Transfer!CU258,Transfer!DH258,Transfer!DU258,Transfer!EH258)</f>
        <v>-9999</v>
      </c>
      <c r="AK258" s="1081">
        <f>CHOOSE(Tables!$U$2,Transfer!CI258,Transfer!CV258,Transfer!DI258,Transfer!DV258,Transfer!EI258)</f>
        <v>-9999</v>
      </c>
      <c r="AL258" s="1081">
        <f>CHOOSE(Tables!$U$2,Transfer!CJ258,Transfer!CW258,Transfer!DJ258,Transfer!DW258,Transfer!EJ258)</f>
        <v>-9999</v>
      </c>
      <c r="AM258" s="1081">
        <f>CHOOSE(Tables!$U$2,Transfer!CK258,Transfer!CX258,Transfer!DK258,Transfer!DX258,Transfer!EK258)</f>
        <v>-9999</v>
      </c>
      <c r="AN258" s="1081">
        <f>CHOOSE(Tables!$U$2,Transfer!CL258,Transfer!CY258,Transfer!DL258,Transfer!DY258,Transfer!EL258)</f>
        <v>-9999</v>
      </c>
      <c r="AO258" s="1081">
        <f>CHOOSE(Tables!$U$2,Transfer!CM258,Transfer!CZ258,Transfer!DM258,Transfer!DZ258,Transfer!EM258)</f>
        <v>-9999</v>
      </c>
      <c r="AR258" s="22">
        <v>158</v>
      </c>
      <c r="AS258" s="33" t="s">
        <v>1602</v>
      </c>
      <c r="AT258" s="1081">
        <f t="shared" ref="AT258:AV280" ca="1" si="42">C258-AC258</f>
        <v>0</v>
      </c>
      <c r="AU258" s="25">
        <f t="shared" si="42"/>
        <v>0</v>
      </c>
      <c r="AV258" s="25">
        <f t="shared" si="42"/>
        <v>0</v>
      </c>
      <c r="AW258" s="25">
        <f t="shared" si="41"/>
        <v>0</v>
      </c>
      <c r="AX258" s="25">
        <f t="shared" si="41"/>
        <v>0</v>
      </c>
      <c r="AY258" s="25">
        <f t="shared" si="41"/>
        <v>0</v>
      </c>
      <c r="AZ258" s="25">
        <f t="shared" si="41"/>
        <v>0</v>
      </c>
      <c r="BA258" s="25">
        <f t="shared" si="41"/>
        <v>0</v>
      </c>
      <c r="BB258" s="25">
        <f t="shared" si="41"/>
        <v>0</v>
      </c>
      <c r="BC258" s="25">
        <f t="shared" si="41"/>
        <v>0</v>
      </c>
      <c r="BD258" s="25">
        <f t="shared" si="41"/>
        <v>0</v>
      </c>
      <c r="BE258" s="25">
        <f t="shared" si="41"/>
        <v>0</v>
      </c>
      <c r="BF258" s="25">
        <f t="shared" si="21"/>
        <v>0</v>
      </c>
      <c r="CA258" s="16">
        <v>25.947140308338142</v>
      </c>
      <c r="CB258" s="16">
        <v>-9999</v>
      </c>
      <c r="CC258" s="16">
        <v>-9999</v>
      </c>
      <c r="CD258" s="16">
        <v>-9999</v>
      </c>
      <c r="CE258" s="16">
        <v>-9999</v>
      </c>
      <c r="CF258" s="16">
        <v>-9999</v>
      </c>
      <c r="CG258" s="16">
        <v>-9999</v>
      </c>
      <c r="CH258" s="16">
        <v>-9999</v>
      </c>
      <c r="CI258" s="16">
        <v>-9999</v>
      </c>
      <c r="CJ258" s="16">
        <v>-9999</v>
      </c>
      <c r="CK258" s="16">
        <v>-9999</v>
      </c>
      <c r="CL258" s="16">
        <v>-9999</v>
      </c>
      <c r="CM258" s="16">
        <v>-9999</v>
      </c>
      <c r="CN258" s="16">
        <v>25.9396493562842</v>
      </c>
      <c r="CO258" s="16">
        <v>-9999</v>
      </c>
      <c r="CP258" s="16">
        <v>-9999</v>
      </c>
      <c r="CQ258" s="16">
        <v>-9999</v>
      </c>
      <c r="CR258" s="16">
        <v>-9999</v>
      </c>
      <c r="CS258" s="16">
        <v>-9999</v>
      </c>
      <c r="CT258" s="16">
        <v>-9999</v>
      </c>
      <c r="CU258" s="16">
        <v>-9999</v>
      </c>
      <c r="CV258" s="16">
        <v>-9999</v>
      </c>
      <c r="CW258" s="16">
        <v>-9999</v>
      </c>
      <c r="CX258" s="16">
        <v>-9999</v>
      </c>
      <c r="CY258" s="16">
        <v>-9999</v>
      </c>
      <c r="CZ258" s="16">
        <v>-9999</v>
      </c>
      <c r="DA258" s="16">
        <v>25.947140308338142</v>
      </c>
      <c r="DB258" s="16">
        <v>-9999</v>
      </c>
      <c r="DC258" s="16">
        <v>-9999</v>
      </c>
      <c r="DD258" s="16">
        <v>-9999</v>
      </c>
      <c r="DE258" s="16">
        <v>-9999</v>
      </c>
      <c r="DF258" s="16">
        <v>-9999</v>
      </c>
      <c r="DG258" s="16">
        <v>-9999</v>
      </c>
      <c r="DH258" s="16">
        <v>-9999</v>
      </c>
      <c r="DI258" s="16">
        <v>-9999</v>
      </c>
      <c r="DJ258" s="16">
        <v>-9999</v>
      </c>
      <c r="DK258" s="16">
        <v>-9999</v>
      </c>
      <c r="DL258" s="16">
        <v>-9999</v>
      </c>
      <c r="DM258" s="16">
        <v>-9999</v>
      </c>
      <c r="DN258" s="16">
        <v>25.947140308338142</v>
      </c>
      <c r="DO258" s="16">
        <v>-9999</v>
      </c>
      <c r="DP258" s="16">
        <v>-9999</v>
      </c>
      <c r="DQ258" s="16">
        <v>-9999</v>
      </c>
      <c r="DR258" s="16">
        <v>-9999</v>
      </c>
      <c r="DS258" s="16">
        <v>-9999</v>
      </c>
      <c r="DT258" s="16">
        <v>-9999</v>
      </c>
      <c r="DU258" s="16">
        <v>-9999</v>
      </c>
      <c r="DV258" s="16">
        <v>-9999</v>
      </c>
      <c r="DW258" s="16">
        <v>-9999</v>
      </c>
      <c r="DX258" s="16">
        <v>-9999</v>
      </c>
      <c r="DY258" s="16">
        <v>-9999</v>
      </c>
      <c r="DZ258" s="16">
        <v>-9999</v>
      </c>
      <c r="EA258" s="2106">
        <v>25.947140308338142</v>
      </c>
      <c r="EB258" s="2107">
        <v>-9999</v>
      </c>
      <c r="EC258" s="2107">
        <v>-9999</v>
      </c>
      <c r="ED258" s="2107">
        <v>-9999</v>
      </c>
      <c r="EE258" s="2107">
        <v>-9999</v>
      </c>
      <c r="EF258" s="2107">
        <v>-9999</v>
      </c>
      <c r="EG258" s="2107">
        <v>-9999</v>
      </c>
      <c r="EH258" s="2107">
        <v>-9999</v>
      </c>
      <c r="EI258" s="2107">
        <v>-9999</v>
      </c>
      <c r="EJ258" s="2107">
        <v>-9999</v>
      </c>
      <c r="EK258" s="2107">
        <v>-9999</v>
      </c>
      <c r="EL258" s="2107">
        <v>-9999</v>
      </c>
      <c r="EM258" s="2107">
        <v>-9999</v>
      </c>
    </row>
    <row r="259" spans="1:143">
      <c r="A259" s="22">
        <v>159</v>
      </c>
      <c r="B259" s="33" t="s">
        <v>459</v>
      </c>
      <c r="C259" s="1081">
        <f ca="1">+OFFSET(Sector1!G361,0,Last_forecast_year - 1998)*100</f>
        <v>16.583807586516453</v>
      </c>
      <c r="D259" s="25">
        <v>-9999</v>
      </c>
      <c r="E259" s="25">
        <v>-9999</v>
      </c>
      <c r="F259" s="25">
        <v>-9999</v>
      </c>
      <c r="G259" s="25">
        <v>-9999</v>
      </c>
      <c r="H259" s="25">
        <v>-9999</v>
      </c>
      <c r="I259" s="25">
        <v>-9999</v>
      </c>
      <c r="J259" s="25">
        <v>-9999</v>
      </c>
      <c r="K259" s="25">
        <v>-9999</v>
      </c>
      <c r="L259" s="25">
        <v>-9999</v>
      </c>
      <c r="M259" s="25">
        <v>-9999</v>
      </c>
      <c r="N259" s="25">
        <v>-9999</v>
      </c>
      <c r="O259" s="25">
        <v>-9999</v>
      </c>
      <c r="P259" s="26"/>
      <c r="Q259"/>
      <c r="AA259" s="22">
        <v>159</v>
      </c>
      <c r="AB259" s="1081" t="str">
        <f t="shared" si="31"/>
        <v xml:space="preserve">TAX RATE DIRECT TAXES PAST 4-Y AVG (col 1) </v>
      </c>
      <c r="AC259" s="1081">
        <f>CHOOSE(Tables!$U$2,Transfer!CA259,Transfer!CN259,Transfer!DA259,Transfer!DN259,Transfer!EA259)</f>
        <v>16.583807586516453</v>
      </c>
      <c r="AD259" s="1081">
        <f>CHOOSE(Tables!$U$2,Transfer!CB259,Transfer!CO259,Transfer!DB259,Transfer!DO259,Transfer!EB259)</f>
        <v>-9999</v>
      </c>
      <c r="AE259" s="1081">
        <f>CHOOSE(Tables!$U$2,Transfer!CC259,Transfer!CP259,Transfer!DC259,Transfer!DP259,Transfer!EC259)</f>
        <v>-9999</v>
      </c>
      <c r="AF259" s="1081">
        <f>CHOOSE(Tables!$U$2,Transfer!CD259,Transfer!CQ259,Transfer!DD259,Transfer!DQ259,Transfer!ED259)</f>
        <v>-9999</v>
      </c>
      <c r="AG259" s="1081">
        <f>CHOOSE(Tables!$U$2,Transfer!CE259,Transfer!CR259,Transfer!DE259,Transfer!DR259,Transfer!EE259)</f>
        <v>-9999</v>
      </c>
      <c r="AH259" s="1081">
        <f>CHOOSE(Tables!$U$2,Transfer!CF259,Transfer!CS259,Transfer!DF259,Transfer!DS259,Transfer!EF259)</f>
        <v>-9999</v>
      </c>
      <c r="AI259" s="1081">
        <f>CHOOSE(Tables!$U$2,Transfer!CG259,Transfer!CT259,Transfer!DG259,Transfer!DT259,Transfer!EG259)</f>
        <v>-9999</v>
      </c>
      <c r="AJ259" s="1081">
        <f>CHOOSE(Tables!$U$2,Transfer!CH259,Transfer!CU259,Transfer!DH259,Transfer!DU259,Transfer!EH259)</f>
        <v>-9999</v>
      </c>
      <c r="AK259" s="1081">
        <f>CHOOSE(Tables!$U$2,Transfer!CI259,Transfer!CV259,Transfer!DI259,Transfer!DV259,Transfer!EI259)</f>
        <v>-9999</v>
      </c>
      <c r="AL259" s="1081">
        <f>CHOOSE(Tables!$U$2,Transfer!CJ259,Transfer!CW259,Transfer!DJ259,Transfer!DW259,Transfer!EJ259)</f>
        <v>-9999</v>
      </c>
      <c r="AM259" s="1081">
        <f>CHOOSE(Tables!$U$2,Transfer!CK259,Transfer!CX259,Transfer!DK259,Transfer!DX259,Transfer!EK259)</f>
        <v>-9999</v>
      </c>
      <c r="AN259" s="1081">
        <f>CHOOSE(Tables!$U$2,Transfer!CL259,Transfer!CY259,Transfer!DL259,Transfer!DY259,Transfer!EL259)</f>
        <v>-9999</v>
      </c>
      <c r="AO259" s="1081">
        <f>CHOOSE(Tables!$U$2,Transfer!CM259,Transfer!CZ259,Transfer!DM259,Transfer!DZ259,Transfer!EM259)</f>
        <v>-9999</v>
      </c>
      <c r="AR259" s="22">
        <v>159</v>
      </c>
      <c r="AS259" s="33" t="s">
        <v>459</v>
      </c>
      <c r="AT259" s="1081">
        <f t="shared" ca="1" si="42"/>
        <v>0</v>
      </c>
      <c r="AU259" s="25">
        <f t="shared" si="42"/>
        <v>0</v>
      </c>
      <c r="AV259" s="25">
        <f t="shared" si="42"/>
        <v>0</v>
      </c>
      <c r="AW259" s="25">
        <f t="shared" si="41"/>
        <v>0</v>
      </c>
      <c r="AX259" s="25">
        <f t="shared" si="41"/>
        <v>0</v>
      </c>
      <c r="AY259" s="25">
        <f t="shared" si="41"/>
        <v>0</v>
      </c>
      <c r="AZ259" s="25">
        <f t="shared" si="41"/>
        <v>0</v>
      </c>
      <c r="BA259" s="25">
        <f t="shared" si="41"/>
        <v>0</v>
      </c>
      <c r="BB259" s="25">
        <f t="shared" si="41"/>
        <v>0</v>
      </c>
      <c r="BC259" s="25">
        <f t="shared" si="41"/>
        <v>0</v>
      </c>
      <c r="BD259" s="25">
        <f t="shared" si="41"/>
        <v>0</v>
      </c>
      <c r="BE259" s="25">
        <f t="shared" si="41"/>
        <v>0</v>
      </c>
      <c r="BF259" s="25">
        <f t="shared" si="21"/>
        <v>0</v>
      </c>
      <c r="CA259" s="16">
        <v>16.583807586516453</v>
      </c>
      <c r="CB259" s="16">
        <v>-9999</v>
      </c>
      <c r="CC259" s="16">
        <v>-9999</v>
      </c>
      <c r="CD259" s="16">
        <v>-9999</v>
      </c>
      <c r="CE259" s="16">
        <v>-9999</v>
      </c>
      <c r="CF259" s="16">
        <v>-9999</v>
      </c>
      <c r="CG259" s="16">
        <v>-9999</v>
      </c>
      <c r="CH259" s="16">
        <v>-9999</v>
      </c>
      <c r="CI259" s="16">
        <v>-9999</v>
      </c>
      <c r="CJ259" s="16">
        <v>-9999</v>
      </c>
      <c r="CK259" s="16">
        <v>-9999</v>
      </c>
      <c r="CL259" s="16">
        <v>-9999</v>
      </c>
      <c r="CM259" s="16">
        <v>-9999</v>
      </c>
      <c r="CN259" s="16">
        <v>16.580188199209701</v>
      </c>
      <c r="CO259" s="16">
        <v>-9999</v>
      </c>
      <c r="CP259" s="16">
        <v>-9999</v>
      </c>
      <c r="CQ259" s="16">
        <v>-9999</v>
      </c>
      <c r="CR259" s="16">
        <v>-9999</v>
      </c>
      <c r="CS259" s="16">
        <v>-9999</v>
      </c>
      <c r="CT259" s="16">
        <v>-9999</v>
      </c>
      <c r="CU259" s="16">
        <v>-9999</v>
      </c>
      <c r="CV259" s="16">
        <v>-9999</v>
      </c>
      <c r="CW259" s="16">
        <v>-9999</v>
      </c>
      <c r="CX259" s="16">
        <v>-9999</v>
      </c>
      <c r="CY259" s="16">
        <v>-9999</v>
      </c>
      <c r="CZ259" s="16">
        <v>-9999</v>
      </c>
      <c r="DA259" s="16">
        <v>16.583807586516453</v>
      </c>
      <c r="DB259" s="16">
        <v>-9999</v>
      </c>
      <c r="DC259" s="16">
        <v>-9999</v>
      </c>
      <c r="DD259" s="16">
        <v>-9999</v>
      </c>
      <c r="DE259" s="16">
        <v>-9999</v>
      </c>
      <c r="DF259" s="16">
        <v>-9999</v>
      </c>
      <c r="DG259" s="16">
        <v>-9999</v>
      </c>
      <c r="DH259" s="16">
        <v>-9999</v>
      </c>
      <c r="DI259" s="16">
        <v>-9999</v>
      </c>
      <c r="DJ259" s="16">
        <v>-9999</v>
      </c>
      <c r="DK259" s="16">
        <v>-9999</v>
      </c>
      <c r="DL259" s="16">
        <v>-9999</v>
      </c>
      <c r="DM259" s="16">
        <v>-9999</v>
      </c>
      <c r="DN259" s="16">
        <v>16.583807586516453</v>
      </c>
      <c r="DO259" s="16">
        <v>-9999</v>
      </c>
      <c r="DP259" s="16">
        <v>-9999</v>
      </c>
      <c r="DQ259" s="16">
        <v>-9999</v>
      </c>
      <c r="DR259" s="16">
        <v>-9999</v>
      </c>
      <c r="DS259" s="16">
        <v>-9999</v>
      </c>
      <c r="DT259" s="16">
        <v>-9999</v>
      </c>
      <c r="DU259" s="16">
        <v>-9999</v>
      </c>
      <c r="DV259" s="16">
        <v>-9999</v>
      </c>
      <c r="DW259" s="16">
        <v>-9999</v>
      </c>
      <c r="DX259" s="16">
        <v>-9999</v>
      </c>
      <c r="DY259" s="16">
        <v>-9999</v>
      </c>
      <c r="DZ259" s="16">
        <v>-9999</v>
      </c>
      <c r="EA259" s="2106">
        <v>16.583807586516453</v>
      </c>
      <c r="EB259" s="2107">
        <v>-9999</v>
      </c>
      <c r="EC259" s="2107">
        <v>-9999</v>
      </c>
      <c r="ED259" s="2107">
        <v>-9999</v>
      </c>
      <c r="EE259" s="2107">
        <v>-9999</v>
      </c>
      <c r="EF259" s="2107">
        <v>-9999</v>
      </c>
      <c r="EG259" s="2107">
        <v>-9999</v>
      </c>
      <c r="EH259" s="2107">
        <v>-9999</v>
      </c>
      <c r="EI259" s="2107">
        <v>-9999</v>
      </c>
      <c r="EJ259" s="2107">
        <v>-9999</v>
      </c>
      <c r="EK259" s="2107">
        <v>-9999</v>
      </c>
      <c r="EL259" s="2107">
        <v>-9999</v>
      </c>
      <c r="EM259" s="2107">
        <v>-9999</v>
      </c>
    </row>
    <row r="260" spans="1:143">
      <c r="A260" s="22">
        <v>160</v>
      </c>
      <c r="B260" s="33" t="s">
        <v>492</v>
      </c>
      <c r="C260" s="1081">
        <f ca="1">+OFFSET(Sector1!G512,0,Last_forecast_year - 1998)*100</f>
        <v>32.601066279216212</v>
      </c>
      <c r="D260" s="25">
        <v>-9999</v>
      </c>
      <c r="E260" s="25">
        <v>-9999</v>
      </c>
      <c r="F260" s="25">
        <v>-9999</v>
      </c>
      <c r="G260" s="25">
        <v>-9999</v>
      </c>
      <c r="H260" s="25">
        <v>-9999</v>
      </c>
      <c r="I260" s="25">
        <v>-9999</v>
      </c>
      <c r="J260" s="25">
        <v>-9999</v>
      </c>
      <c r="K260" s="25">
        <v>-9999</v>
      </c>
      <c r="L260" s="25">
        <v>-9999</v>
      </c>
      <c r="M260" s="25">
        <v>-9999</v>
      </c>
      <c r="N260" s="25">
        <v>-9999</v>
      </c>
      <c r="O260" s="25">
        <v>-9999</v>
      </c>
      <c r="P260" s="26"/>
      <c r="Q260"/>
      <c r="AA260" s="22">
        <v>160</v>
      </c>
      <c r="AB260" s="1081" t="str">
        <f t="shared" si="31"/>
        <v>TAX RATE SOCIAL CONTR. PAST 4-Y AVG (col 1)</v>
      </c>
      <c r="AC260" s="1081">
        <f>CHOOSE(Tables!$U$2,Transfer!CA260,Transfer!CN260,Transfer!DA260,Transfer!DN260,Transfer!EA260)</f>
        <v>32.601066279216212</v>
      </c>
      <c r="AD260" s="1081">
        <f>CHOOSE(Tables!$U$2,Transfer!CB260,Transfer!CO260,Transfer!DB260,Transfer!DO260,Transfer!EB260)</f>
        <v>-9999</v>
      </c>
      <c r="AE260" s="1081">
        <f>CHOOSE(Tables!$U$2,Transfer!CC260,Transfer!CP260,Transfer!DC260,Transfer!DP260,Transfer!EC260)</f>
        <v>-9999</v>
      </c>
      <c r="AF260" s="1081">
        <f>CHOOSE(Tables!$U$2,Transfer!CD260,Transfer!CQ260,Transfer!DD260,Transfer!DQ260,Transfer!ED260)</f>
        <v>-9999</v>
      </c>
      <c r="AG260" s="1081">
        <f>CHOOSE(Tables!$U$2,Transfer!CE260,Transfer!CR260,Transfer!DE260,Transfer!DR260,Transfer!EE260)</f>
        <v>-9999</v>
      </c>
      <c r="AH260" s="1081">
        <f>CHOOSE(Tables!$U$2,Transfer!CF260,Transfer!CS260,Transfer!DF260,Transfer!DS260,Transfer!EF260)</f>
        <v>-9999</v>
      </c>
      <c r="AI260" s="1081">
        <f>CHOOSE(Tables!$U$2,Transfer!CG260,Transfer!CT260,Transfer!DG260,Transfer!DT260,Transfer!EG260)</f>
        <v>-9999</v>
      </c>
      <c r="AJ260" s="1081">
        <f>CHOOSE(Tables!$U$2,Transfer!CH260,Transfer!CU260,Transfer!DH260,Transfer!DU260,Transfer!EH260)</f>
        <v>-9999</v>
      </c>
      <c r="AK260" s="1081">
        <f>CHOOSE(Tables!$U$2,Transfer!CI260,Transfer!CV260,Transfer!DI260,Transfer!DV260,Transfer!EI260)</f>
        <v>-9999</v>
      </c>
      <c r="AL260" s="1081">
        <f>CHOOSE(Tables!$U$2,Transfer!CJ260,Transfer!CW260,Transfer!DJ260,Transfer!DW260,Transfer!EJ260)</f>
        <v>-9999</v>
      </c>
      <c r="AM260" s="1081">
        <f>CHOOSE(Tables!$U$2,Transfer!CK260,Transfer!CX260,Transfer!DK260,Transfer!DX260,Transfer!EK260)</f>
        <v>-9999</v>
      </c>
      <c r="AN260" s="1081">
        <f>CHOOSE(Tables!$U$2,Transfer!CL260,Transfer!CY260,Transfer!DL260,Transfer!DY260,Transfer!EL260)</f>
        <v>-9999</v>
      </c>
      <c r="AO260" s="1081">
        <f>CHOOSE(Tables!$U$2,Transfer!CM260,Transfer!CZ260,Transfer!DM260,Transfer!DZ260,Transfer!EM260)</f>
        <v>-9999</v>
      </c>
      <c r="AR260" s="22">
        <v>160</v>
      </c>
      <c r="AS260" s="33" t="s">
        <v>492</v>
      </c>
      <c r="AT260" s="1081">
        <f t="shared" ca="1" si="42"/>
        <v>0</v>
      </c>
      <c r="AU260" s="25">
        <f t="shared" si="42"/>
        <v>0</v>
      </c>
      <c r="AV260" s="25">
        <f t="shared" si="42"/>
        <v>0</v>
      </c>
      <c r="AW260" s="25">
        <f t="shared" si="41"/>
        <v>0</v>
      </c>
      <c r="AX260" s="25">
        <f t="shared" si="41"/>
        <v>0</v>
      </c>
      <c r="AY260" s="25">
        <f t="shared" si="41"/>
        <v>0</v>
      </c>
      <c r="AZ260" s="25">
        <f t="shared" si="41"/>
        <v>0</v>
      </c>
      <c r="BA260" s="25">
        <f t="shared" si="41"/>
        <v>0</v>
      </c>
      <c r="BB260" s="25">
        <f t="shared" si="41"/>
        <v>0</v>
      </c>
      <c r="BC260" s="25">
        <f t="shared" si="41"/>
        <v>0</v>
      </c>
      <c r="BD260" s="25">
        <f t="shared" si="41"/>
        <v>0</v>
      </c>
      <c r="BE260" s="25">
        <f t="shared" si="41"/>
        <v>0</v>
      </c>
      <c r="BF260" s="25">
        <f t="shared" si="21"/>
        <v>0</v>
      </c>
      <c r="CA260" s="16">
        <v>32.601066279216212</v>
      </c>
      <c r="CB260" s="16">
        <v>-9999</v>
      </c>
      <c r="CC260" s="16">
        <v>-9999</v>
      </c>
      <c r="CD260" s="16">
        <v>-9999</v>
      </c>
      <c r="CE260" s="16">
        <v>-9999</v>
      </c>
      <c r="CF260" s="16">
        <v>-9999</v>
      </c>
      <c r="CG260" s="16">
        <v>-9999</v>
      </c>
      <c r="CH260" s="16">
        <v>-9999</v>
      </c>
      <c r="CI260" s="16">
        <v>-9999</v>
      </c>
      <c r="CJ260" s="16">
        <v>-9999</v>
      </c>
      <c r="CK260" s="16">
        <v>-9999</v>
      </c>
      <c r="CL260" s="16">
        <v>-9999</v>
      </c>
      <c r="CM260" s="16">
        <v>-9999</v>
      </c>
      <c r="CN260" s="16">
        <v>32.590339382612562</v>
      </c>
      <c r="CO260" s="16">
        <v>-9999</v>
      </c>
      <c r="CP260" s="16">
        <v>-9999</v>
      </c>
      <c r="CQ260" s="16">
        <v>-9999</v>
      </c>
      <c r="CR260" s="16">
        <v>-9999</v>
      </c>
      <c r="CS260" s="16">
        <v>-9999</v>
      </c>
      <c r="CT260" s="16">
        <v>-9999</v>
      </c>
      <c r="CU260" s="16">
        <v>-9999</v>
      </c>
      <c r="CV260" s="16">
        <v>-9999</v>
      </c>
      <c r="CW260" s="16">
        <v>-9999</v>
      </c>
      <c r="CX260" s="16">
        <v>-9999</v>
      </c>
      <c r="CY260" s="16">
        <v>-9999</v>
      </c>
      <c r="CZ260" s="16">
        <v>-9999</v>
      </c>
      <c r="DA260" s="16">
        <v>32.601066279216212</v>
      </c>
      <c r="DB260" s="16">
        <v>-9999</v>
      </c>
      <c r="DC260" s="16">
        <v>-9999</v>
      </c>
      <c r="DD260" s="16">
        <v>-9999</v>
      </c>
      <c r="DE260" s="16">
        <v>-9999</v>
      </c>
      <c r="DF260" s="16">
        <v>-9999</v>
      </c>
      <c r="DG260" s="16">
        <v>-9999</v>
      </c>
      <c r="DH260" s="16">
        <v>-9999</v>
      </c>
      <c r="DI260" s="16">
        <v>-9999</v>
      </c>
      <c r="DJ260" s="16">
        <v>-9999</v>
      </c>
      <c r="DK260" s="16">
        <v>-9999</v>
      </c>
      <c r="DL260" s="16">
        <v>-9999</v>
      </c>
      <c r="DM260" s="16">
        <v>-9999</v>
      </c>
      <c r="DN260" s="16">
        <v>32.601066279216212</v>
      </c>
      <c r="DO260" s="16">
        <v>-9999</v>
      </c>
      <c r="DP260" s="16">
        <v>-9999</v>
      </c>
      <c r="DQ260" s="16">
        <v>-9999</v>
      </c>
      <c r="DR260" s="16">
        <v>-9999</v>
      </c>
      <c r="DS260" s="16">
        <v>-9999</v>
      </c>
      <c r="DT260" s="16">
        <v>-9999</v>
      </c>
      <c r="DU260" s="16">
        <v>-9999</v>
      </c>
      <c r="DV260" s="16">
        <v>-9999</v>
      </c>
      <c r="DW260" s="16">
        <v>-9999</v>
      </c>
      <c r="DX260" s="16">
        <v>-9999</v>
      </c>
      <c r="DY260" s="16">
        <v>-9999</v>
      </c>
      <c r="DZ260" s="16">
        <v>-9999</v>
      </c>
      <c r="EA260" s="2106">
        <v>32.601066279216212</v>
      </c>
      <c r="EB260" s="2107">
        <v>-9999</v>
      </c>
      <c r="EC260" s="2107">
        <v>-9999</v>
      </c>
      <c r="ED260" s="2107">
        <v>-9999</v>
      </c>
      <c r="EE260" s="2107">
        <v>-9999</v>
      </c>
      <c r="EF260" s="2107">
        <v>-9999</v>
      </c>
      <c r="EG260" s="2107">
        <v>-9999</v>
      </c>
      <c r="EH260" s="2107">
        <v>-9999</v>
      </c>
      <c r="EI260" s="2107">
        <v>-9999</v>
      </c>
      <c r="EJ260" s="2107">
        <v>-9999</v>
      </c>
      <c r="EK260" s="2107">
        <v>-9999</v>
      </c>
      <c r="EL260" s="2107">
        <v>-9999</v>
      </c>
      <c r="EM260" s="2107">
        <v>-9999</v>
      </c>
    </row>
    <row r="261" spans="1:143">
      <c r="A261" s="22">
        <v>161</v>
      </c>
      <c r="B261" s="33" t="s">
        <v>747</v>
      </c>
      <c r="C261" s="24">
        <f ca="1">OFFSET('VVP2'!F385,0,Last_forecast_year - 3-InputY!$G$3)</f>
        <v>274.16000000000003</v>
      </c>
      <c r="D261" s="24">
        <f ca="1">OFFSET('VVP2'!G385,0,Last_forecast_year - 3-InputY!$G$3)</f>
        <v>275.66000000000003</v>
      </c>
      <c r="E261" s="24">
        <f ca="1">OFFSET('VVP2'!H385,0,Last_forecast_year - 3-InputY!$G$3)</f>
        <v>272.94</v>
      </c>
      <c r="F261" s="24">
        <f ca="1">OFFSET('VVP2'!I385,0,Last_forecast_year - 3-InputY!$G$3)</f>
        <v>272.94</v>
      </c>
      <c r="G261" s="24">
        <f ca="1">OFFSET('VVP2'!J385,0,Last_forecast_year - 3-InputY!$G$3)</f>
        <v>272.94</v>
      </c>
      <c r="H261" s="25">
        <v>-9999</v>
      </c>
      <c r="I261" s="25">
        <v>-9999</v>
      </c>
      <c r="J261" s="25">
        <v>-9999</v>
      </c>
      <c r="K261" s="25">
        <v>-9999</v>
      </c>
      <c r="L261" s="25">
        <v>-9999</v>
      </c>
      <c r="M261" s="25">
        <v>-9999</v>
      </c>
      <c r="N261" s="25">
        <v>-9999</v>
      </c>
      <c r="O261" s="25">
        <v>-9999</v>
      </c>
      <c r="P261" s="26"/>
      <c r="Q261"/>
      <c r="AA261" s="22">
        <v>161</v>
      </c>
      <c r="AB261" s="1081" t="str">
        <f t="shared" si="31"/>
        <v>HICP Y WEIGHT NON-ENERGY INDUSTRIAL GOODS</v>
      </c>
      <c r="AC261" s="1081">
        <f>CHOOSE(Tables!$U$2,Transfer!CA261,Transfer!CN261,Transfer!DA261,Transfer!DN261,Transfer!EA261)</f>
        <v>274.16000000000003</v>
      </c>
      <c r="AD261" s="1081">
        <f>CHOOSE(Tables!$U$2,Transfer!CB261,Transfer!CO261,Transfer!DB261,Transfer!DO261,Transfer!EB261)</f>
        <v>275.66000000000003</v>
      </c>
      <c r="AE261" s="1081">
        <f>CHOOSE(Tables!$U$2,Transfer!CC261,Transfer!CP261,Transfer!DC261,Transfer!DP261,Transfer!EC261)</f>
        <v>272.94</v>
      </c>
      <c r="AF261" s="1081">
        <f>CHOOSE(Tables!$U$2,Transfer!CD261,Transfer!CQ261,Transfer!DD261,Transfer!DQ261,Transfer!ED261)</f>
        <v>272.94</v>
      </c>
      <c r="AG261" s="1081">
        <f>CHOOSE(Tables!$U$2,Transfer!CE261,Transfer!CR261,Transfer!DE261,Transfer!DR261,Transfer!EE261)</f>
        <v>272.94</v>
      </c>
      <c r="AH261" s="1081">
        <f>CHOOSE(Tables!$U$2,Transfer!CF261,Transfer!CS261,Transfer!DF261,Transfer!DS261,Transfer!EF261)</f>
        <v>-9999</v>
      </c>
      <c r="AI261" s="1081">
        <f>CHOOSE(Tables!$U$2,Transfer!CG261,Transfer!CT261,Transfer!DG261,Transfer!DT261,Transfer!EG261)</f>
        <v>-9999</v>
      </c>
      <c r="AJ261" s="1081">
        <f>CHOOSE(Tables!$U$2,Transfer!CH261,Transfer!CU261,Transfer!DH261,Transfer!DU261,Transfer!EH261)</f>
        <v>-9999</v>
      </c>
      <c r="AK261" s="1081">
        <f>CHOOSE(Tables!$U$2,Transfer!CI261,Transfer!CV261,Transfer!DI261,Transfer!DV261,Transfer!EI261)</f>
        <v>-9999</v>
      </c>
      <c r="AL261" s="1081">
        <f>CHOOSE(Tables!$U$2,Transfer!CJ261,Transfer!CW261,Transfer!DJ261,Transfer!DW261,Transfer!EJ261)</f>
        <v>-9999</v>
      </c>
      <c r="AM261" s="1081">
        <f>CHOOSE(Tables!$U$2,Transfer!CK261,Transfer!CX261,Transfer!DK261,Transfer!DX261,Transfer!EK261)</f>
        <v>-9999</v>
      </c>
      <c r="AN261" s="1081">
        <f>CHOOSE(Tables!$U$2,Transfer!CL261,Transfer!CY261,Transfer!DL261,Transfer!DY261,Transfer!EL261)</f>
        <v>-9999</v>
      </c>
      <c r="AO261" s="1081">
        <f>CHOOSE(Tables!$U$2,Transfer!CM261,Transfer!CZ261,Transfer!DM261,Transfer!DZ261,Transfer!EM261)</f>
        <v>-9999</v>
      </c>
      <c r="AR261" s="22">
        <v>161</v>
      </c>
      <c r="AS261" s="37" t="s">
        <v>1998</v>
      </c>
      <c r="AT261" s="25">
        <f t="shared" ca="1" si="42"/>
        <v>0</v>
      </c>
      <c r="AU261" s="25">
        <f t="shared" ca="1" si="42"/>
        <v>0</v>
      </c>
      <c r="AV261" s="25">
        <f t="shared" ca="1" si="42"/>
        <v>0</v>
      </c>
      <c r="AW261" s="25">
        <f t="shared" ca="1" si="41"/>
        <v>0</v>
      </c>
      <c r="AX261" s="25">
        <f t="shared" ca="1" si="41"/>
        <v>0</v>
      </c>
      <c r="AY261" s="25">
        <f t="shared" si="41"/>
        <v>0</v>
      </c>
      <c r="AZ261" s="25">
        <f t="shared" si="41"/>
        <v>0</v>
      </c>
      <c r="BA261" s="25">
        <f t="shared" si="41"/>
        <v>0</v>
      </c>
      <c r="BB261" s="25">
        <f t="shared" si="41"/>
        <v>0</v>
      </c>
      <c r="BC261" s="25">
        <f t="shared" si="41"/>
        <v>0</v>
      </c>
      <c r="BD261" s="25">
        <f t="shared" si="41"/>
        <v>0</v>
      </c>
      <c r="BE261" s="25">
        <f t="shared" si="41"/>
        <v>0</v>
      </c>
      <c r="BF261" s="25">
        <f t="shared" si="21"/>
        <v>0</v>
      </c>
      <c r="CA261" s="16">
        <v>274.16000000000003</v>
      </c>
      <c r="CB261" s="16">
        <v>275.66000000000003</v>
      </c>
      <c r="CC261" s="16">
        <v>272.94</v>
      </c>
      <c r="CD261" s="16">
        <v>272.94</v>
      </c>
      <c r="CE261" s="16">
        <v>272.94</v>
      </c>
      <c r="CF261" s="16">
        <v>-9999</v>
      </c>
      <c r="CG261" s="16">
        <v>-9999</v>
      </c>
      <c r="CH261" s="16">
        <v>-9999</v>
      </c>
      <c r="CI261" s="16">
        <v>-9999</v>
      </c>
      <c r="CJ261" s="16">
        <v>-9999</v>
      </c>
      <c r="CK261" s="16">
        <v>-9999</v>
      </c>
      <c r="CL261" s="16">
        <v>-9999</v>
      </c>
      <c r="CM261" s="16">
        <v>-9999</v>
      </c>
      <c r="CN261" s="16">
        <v>274.16000000000003</v>
      </c>
      <c r="CO261" s="16">
        <v>275.66000000000003</v>
      </c>
      <c r="CP261" s="16">
        <v>272.94</v>
      </c>
      <c r="CQ261" s="16">
        <v>272.94</v>
      </c>
      <c r="CR261" s="16">
        <v>272.94</v>
      </c>
      <c r="CS261" s="16">
        <v>-9999</v>
      </c>
      <c r="CT261" s="16">
        <v>-9999</v>
      </c>
      <c r="CU261" s="16">
        <v>-9999</v>
      </c>
      <c r="CV261" s="16">
        <v>-9999</v>
      </c>
      <c r="CW261" s="16">
        <v>-9999</v>
      </c>
      <c r="CX261" s="16">
        <v>-9999</v>
      </c>
      <c r="CY261" s="16">
        <v>-9999</v>
      </c>
      <c r="CZ261" s="16">
        <v>-9999</v>
      </c>
      <c r="DA261" s="16">
        <v>274.16000000000003</v>
      </c>
      <c r="DB261" s="16">
        <v>275.66000000000003</v>
      </c>
      <c r="DC261" s="16">
        <v>272.94</v>
      </c>
      <c r="DD261" s="16">
        <v>272.94</v>
      </c>
      <c r="DE261" s="16">
        <v>272.94</v>
      </c>
      <c r="DF261" s="16">
        <v>-9999</v>
      </c>
      <c r="DG261" s="16">
        <v>-9999</v>
      </c>
      <c r="DH261" s="16">
        <v>-9999</v>
      </c>
      <c r="DI261" s="16">
        <v>-9999</v>
      </c>
      <c r="DJ261" s="16">
        <v>-9999</v>
      </c>
      <c r="DK261" s="16">
        <v>-9999</v>
      </c>
      <c r="DL261" s="16">
        <v>-9999</v>
      </c>
      <c r="DM261" s="16">
        <v>-9999</v>
      </c>
      <c r="DN261" s="16">
        <v>274.16000000000003</v>
      </c>
      <c r="DO261" s="16">
        <v>275.66000000000003</v>
      </c>
      <c r="DP261" s="16">
        <v>272.94</v>
      </c>
      <c r="DQ261" s="16">
        <v>272.94</v>
      </c>
      <c r="DR261" s="16">
        <v>272.94</v>
      </c>
      <c r="DS261" s="16">
        <v>-9999</v>
      </c>
      <c r="DT261" s="16">
        <v>-9999</v>
      </c>
      <c r="DU261" s="16">
        <v>-9999</v>
      </c>
      <c r="DV261" s="16">
        <v>-9999</v>
      </c>
      <c r="DW261" s="16">
        <v>-9999</v>
      </c>
      <c r="DX261" s="16">
        <v>-9999</v>
      </c>
      <c r="DY261" s="16">
        <v>-9999</v>
      </c>
      <c r="DZ261" s="16">
        <v>-9999</v>
      </c>
      <c r="EA261" s="2107">
        <v>274.16000000000003</v>
      </c>
      <c r="EB261" s="2107">
        <v>275.66000000000003</v>
      </c>
      <c r="EC261" s="2107">
        <v>272.94</v>
      </c>
      <c r="ED261" s="2107">
        <v>272.94</v>
      </c>
      <c r="EE261" s="2107">
        <v>272.94</v>
      </c>
      <c r="EF261" s="2107">
        <v>-9999</v>
      </c>
      <c r="EG261" s="2107">
        <v>-9999</v>
      </c>
      <c r="EH261" s="2107">
        <v>-9999</v>
      </c>
      <c r="EI261" s="2107">
        <v>-9999</v>
      </c>
      <c r="EJ261" s="2107">
        <v>-9999</v>
      </c>
      <c r="EK261" s="2107">
        <v>-9999</v>
      </c>
      <c r="EL261" s="2107">
        <v>-9999</v>
      </c>
      <c r="EM261" s="2107">
        <v>-9999</v>
      </c>
    </row>
    <row r="262" spans="1:143">
      <c r="A262" s="22">
        <v>162</v>
      </c>
      <c r="B262" s="33" t="s">
        <v>748</v>
      </c>
      <c r="C262" s="24">
        <f ca="1">OFFSET('VVP2'!F386,0,Last_forecast_year - 3-InputY!$G$3)</f>
        <v>110.21</v>
      </c>
      <c r="D262" s="24">
        <f ca="1">OFFSET('VVP2'!G386,0,Last_forecast_year - 3-InputY!$G$3)</f>
        <v>92.18</v>
      </c>
      <c r="E262" s="24">
        <f ca="1">OFFSET('VVP2'!H386,0,Last_forecast_year - 3-InputY!$G$3)</f>
        <v>90.37</v>
      </c>
      <c r="F262" s="24">
        <f ca="1">OFFSET('VVP2'!I386,0,Last_forecast_year - 3-InputY!$G$3)</f>
        <v>90.37</v>
      </c>
      <c r="G262" s="24">
        <f ca="1">OFFSET('VVP2'!J386,0,Last_forecast_year - 3-InputY!$G$3)</f>
        <v>90.37</v>
      </c>
      <c r="H262" s="25">
        <v>-9999</v>
      </c>
      <c r="I262" s="25">
        <v>-9999</v>
      </c>
      <c r="J262" s="25">
        <v>-9999</v>
      </c>
      <c r="K262" s="25">
        <v>-9999</v>
      </c>
      <c r="L262" s="25">
        <v>-9999</v>
      </c>
      <c r="M262" s="25">
        <v>-9999</v>
      </c>
      <c r="N262" s="25">
        <v>-9999</v>
      </c>
      <c r="O262" s="25">
        <v>-9999</v>
      </c>
      <c r="P262" s="26"/>
      <c r="Q262"/>
      <c r="AA262" s="22">
        <v>162</v>
      </c>
      <c r="AB262" s="1081" t="str">
        <f t="shared" si="31"/>
        <v>HICP Y WEIGHT ENERGY</v>
      </c>
      <c r="AC262" s="1081">
        <f>CHOOSE(Tables!$U$2,Transfer!CA262,Transfer!CN262,Transfer!DA262,Transfer!DN262,Transfer!EA262)</f>
        <v>110.21</v>
      </c>
      <c r="AD262" s="1081">
        <f>CHOOSE(Tables!$U$2,Transfer!CB262,Transfer!CO262,Transfer!DB262,Transfer!DO262,Transfer!EB262)</f>
        <v>92.18</v>
      </c>
      <c r="AE262" s="1081">
        <f>CHOOSE(Tables!$U$2,Transfer!CC262,Transfer!CP262,Transfer!DC262,Transfer!DP262,Transfer!EC262)</f>
        <v>90.37</v>
      </c>
      <c r="AF262" s="1081">
        <f>CHOOSE(Tables!$U$2,Transfer!CD262,Transfer!CQ262,Transfer!DD262,Transfer!DQ262,Transfer!ED262)</f>
        <v>90.37</v>
      </c>
      <c r="AG262" s="1081">
        <f>CHOOSE(Tables!$U$2,Transfer!CE262,Transfer!CR262,Transfer!DE262,Transfer!DR262,Transfer!EE262)</f>
        <v>90.37</v>
      </c>
      <c r="AH262" s="1081">
        <f>CHOOSE(Tables!$U$2,Transfer!CF262,Transfer!CS262,Transfer!DF262,Transfer!DS262,Transfer!EF262)</f>
        <v>-9999</v>
      </c>
      <c r="AI262" s="1081">
        <f>CHOOSE(Tables!$U$2,Transfer!CG262,Transfer!CT262,Transfer!DG262,Transfer!DT262,Transfer!EG262)</f>
        <v>-9999</v>
      </c>
      <c r="AJ262" s="1081">
        <f>CHOOSE(Tables!$U$2,Transfer!CH262,Transfer!CU262,Transfer!DH262,Transfer!DU262,Transfer!EH262)</f>
        <v>-9999</v>
      </c>
      <c r="AK262" s="1081">
        <f>CHOOSE(Tables!$U$2,Transfer!CI262,Transfer!CV262,Transfer!DI262,Transfer!DV262,Transfer!EI262)</f>
        <v>-9999</v>
      </c>
      <c r="AL262" s="1081">
        <f>CHOOSE(Tables!$U$2,Transfer!CJ262,Transfer!CW262,Transfer!DJ262,Transfer!DW262,Transfer!EJ262)</f>
        <v>-9999</v>
      </c>
      <c r="AM262" s="1081">
        <f>CHOOSE(Tables!$U$2,Transfer!CK262,Transfer!CX262,Transfer!DK262,Transfer!DX262,Transfer!EK262)</f>
        <v>-9999</v>
      </c>
      <c r="AN262" s="1081">
        <f>CHOOSE(Tables!$U$2,Transfer!CL262,Transfer!CY262,Transfer!DL262,Transfer!DY262,Transfer!EL262)</f>
        <v>-9999</v>
      </c>
      <c r="AO262" s="1081">
        <f>CHOOSE(Tables!$U$2,Transfer!CM262,Transfer!CZ262,Transfer!DM262,Transfer!DZ262,Transfer!EM262)</f>
        <v>-9999</v>
      </c>
      <c r="AR262" s="22">
        <v>162</v>
      </c>
      <c r="AS262" s="33" t="s">
        <v>493</v>
      </c>
      <c r="AT262" s="35">
        <f t="shared" ca="1" si="42"/>
        <v>0</v>
      </c>
      <c r="AU262" s="25">
        <f t="shared" ca="1" si="42"/>
        <v>0</v>
      </c>
      <c r="AV262" s="25">
        <f t="shared" ca="1" si="42"/>
        <v>0</v>
      </c>
      <c r="AW262" s="25">
        <f t="shared" ca="1" si="41"/>
        <v>0</v>
      </c>
      <c r="AX262" s="25">
        <f t="shared" ca="1" si="41"/>
        <v>0</v>
      </c>
      <c r="AY262" s="25">
        <f t="shared" si="41"/>
        <v>0</v>
      </c>
      <c r="AZ262" s="25">
        <f t="shared" si="41"/>
        <v>0</v>
      </c>
      <c r="BA262" s="25">
        <f t="shared" si="41"/>
        <v>0</v>
      </c>
      <c r="BB262" s="25">
        <f t="shared" si="41"/>
        <v>0</v>
      </c>
      <c r="BC262" s="25">
        <f t="shared" si="41"/>
        <v>0</v>
      </c>
      <c r="BD262" s="25">
        <f t="shared" si="41"/>
        <v>0</v>
      </c>
      <c r="BE262" s="25">
        <f t="shared" si="41"/>
        <v>0</v>
      </c>
      <c r="BF262" s="25">
        <f t="shared" si="21"/>
        <v>0</v>
      </c>
      <c r="CA262" s="16">
        <v>110.21</v>
      </c>
      <c r="CB262" s="16">
        <v>92.18</v>
      </c>
      <c r="CC262" s="16">
        <v>90.37</v>
      </c>
      <c r="CD262" s="16">
        <v>90.37</v>
      </c>
      <c r="CE262" s="16">
        <v>90.37</v>
      </c>
      <c r="CF262" s="16">
        <v>-9999</v>
      </c>
      <c r="CG262" s="16">
        <v>-9999</v>
      </c>
      <c r="CH262" s="16">
        <v>-9999</v>
      </c>
      <c r="CI262" s="16">
        <v>-9999</v>
      </c>
      <c r="CJ262" s="16">
        <v>-9999</v>
      </c>
      <c r="CK262" s="16">
        <v>-9999</v>
      </c>
      <c r="CL262" s="16">
        <v>-9999</v>
      </c>
      <c r="CM262" s="16">
        <v>-9999</v>
      </c>
      <c r="CN262" s="16">
        <v>110.21</v>
      </c>
      <c r="CO262" s="16">
        <v>92.18</v>
      </c>
      <c r="CP262" s="16">
        <v>90.37</v>
      </c>
      <c r="CQ262" s="16">
        <v>90.37</v>
      </c>
      <c r="CR262" s="16">
        <v>90.37</v>
      </c>
      <c r="CS262" s="16">
        <v>-9999</v>
      </c>
      <c r="CT262" s="16">
        <v>-9999</v>
      </c>
      <c r="CU262" s="16">
        <v>-9999</v>
      </c>
      <c r="CV262" s="16">
        <v>-9999</v>
      </c>
      <c r="CW262" s="16">
        <v>-9999</v>
      </c>
      <c r="CX262" s="16">
        <v>-9999</v>
      </c>
      <c r="CY262" s="16">
        <v>-9999</v>
      </c>
      <c r="CZ262" s="16">
        <v>-9999</v>
      </c>
      <c r="DA262" s="16">
        <v>110.21</v>
      </c>
      <c r="DB262" s="16">
        <v>92.18</v>
      </c>
      <c r="DC262" s="16">
        <v>90.37</v>
      </c>
      <c r="DD262" s="16">
        <v>90.37</v>
      </c>
      <c r="DE262" s="16">
        <v>90.37</v>
      </c>
      <c r="DF262" s="16">
        <v>-9999</v>
      </c>
      <c r="DG262" s="16">
        <v>-9999</v>
      </c>
      <c r="DH262" s="16">
        <v>-9999</v>
      </c>
      <c r="DI262" s="16">
        <v>-9999</v>
      </c>
      <c r="DJ262" s="16">
        <v>-9999</v>
      </c>
      <c r="DK262" s="16">
        <v>-9999</v>
      </c>
      <c r="DL262" s="16">
        <v>-9999</v>
      </c>
      <c r="DM262" s="16">
        <v>-9999</v>
      </c>
      <c r="DN262" s="16">
        <v>110.21</v>
      </c>
      <c r="DO262" s="16">
        <v>92.18</v>
      </c>
      <c r="DP262" s="16">
        <v>90.37</v>
      </c>
      <c r="DQ262" s="16">
        <v>90.37</v>
      </c>
      <c r="DR262" s="16">
        <v>90.37</v>
      </c>
      <c r="DS262" s="16">
        <v>-9999</v>
      </c>
      <c r="DT262" s="16">
        <v>-9999</v>
      </c>
      <c r="DU262" s="16">
        <v>-9999</v>
      </c>
      <c r="DV262" s="16">
        <v>-9999</v>
      </c>
      <c r="DW262" s="16">
        <v>-9999</v>
      </c>
      <c r="DX262" s="16">
        <v>-9999</v>
      </c>
      <c r="DY262" s="16">
        <v>-9999</v>
      </c>
      <c r="DZ262" s="16">
        <v>-9999</v>
      </c>
      <c r="EA262" s="2106">
        <v>110.21</v>
      </c>
      <c r="EB262" s="2107">
        <v>92.18</v>
      </c>
      <c r="EC262" s="2107">
        <v>90.37</v>
      </c>
      <c r="ED262" s="2107">
        <v>90.37</v>
      </c>
      <c r="EE262" s="2107">
        <v>90.37</v>
      </c>
      <c r="EF262" s="2107">
        <v>-9999</v>
      </c>
      <c r="EG262" s="2107">
        <v>-9999</v>
      </c>
      <c r="EH262" s="2107">
        <v>-9999</v>
      </c>
      <c r="EI262" s="2107">
        <v>-9999</v>
      </c>
      <c r="EJ262" s="2107">
        <v>-9999</v>
      </c>
      <c r="EK262" s="2107">
        <v>-9999</v>
      </c>
      <c r="EL262" s="2107">
        <v>-9999</v>
      </c>
      <c r="EM262" s="2107">
        <v>-9999</v>
      </c>
    </row>
    <row r="263" spans="1:143">
      <c r="A263" s="22">
        <v>163</v>
      </c>
      <c r="B263" s="33" t="s">
        <v>749</v>
      </c>
      <c r="C263" s="24">
        <f ca="1">OFFSET('VVP2'!F388,0,Last_forecast_year - 3-InputY!$G$3)</f>
        <v>131.02000000000001</v>
      </c>
      <c r="D263" s="24">
        <f ca="1">OFFSET('VVP2'!G388,0,Last_forecast_year - 3-InputY!$G$3)</f>
        <v>131.13</v>
      </c>
      <c r="E263" s="24">
        <f ca="1">OFFSET('VVP2'!H388,0,Last_forecast_year - 3-InputY!$G$3)</f>
        <v>134.72</v>
      </c>
      <c r="F263" s="24">
        <f ca="1">OFFSET('VVP2'!I388,0,Last_forecast_year - 3-InputY!$G$3)</f>
        <v>134.72</v>
      </c>
      <c r="G263" s="24">
        <f ca="1">OFFSET('VVP2'!J388,0,Last_forecast_year - 3-InputY!$G$3)</f>
        <v>134.72</v>
      </c>
      <c r="H263" s="25">
        <v>-9999</v>
      </c>
      <c r="I263" s="25">
        <v>-9999</v>
      </c>
      <c r="J263" s="25">
        <v>-9999</v>
      </c>
      <c r="K263" s="25">
        <v>-9999</v>
      </c>
      <c r="L263" s="25">
        <v>-9999</v>
      </c>
      <c r="M263" s="25">
        <v>-9999</v>
      </c>
      <c r="N263" s="25">
        <v>-9999</v>
      </c>
      <c r="O263" s="25">
        <v>-9999</v>
      </c>
      <c r="P263" s="26"/>
      <c r="Q263"/>
      <c r="AA263" s="22">
        <v>163</v>
      </c>
      <c r="AB263" s="1081" t="str">
        <f t="shared" si="31"/>
        <v>HICP Y WEIGHT PROCESSED FOOD INCL. ALCOHOL AND TOBACCO</v>
      </c>
      <c r="AC263" s="1081">
        <f>CHOOSE(Tables!$U$2,Transfer!CA263,Transfer!CN263,Transfer!DA263,Transfer!DN263,Transfer!EA263)</f>
        <v>131.02000000000001</v>
      </c>
      <c r="AD263" s="1081">
        <f>CHOOSE(Tables!$U$2,Transfer!CB263,Transfer!CO263,Transfer!DB263,Transfer!DO263,Transfer!EB263)</f>
        <v>131.13</v>
      </c>
      <c r="AE263" s="1081">
        <f>CHOOSE(Tables!$U$2,Transfer!CC263,Transfer!CP263,Transfer!DC263,Transfer!DP263,Transfer!EC263)</f>
        <v>134.72</v>
      </c>
      <c r="AF263" s="1081">
        <f>CHOOSE(Tables!$U$2,Transfer!CD263,Transfer!CQ263,Transfer!DD263,Transfer!DQ263,Transfer!ED263)</f>
        <v>134.72</v>
      </c>
      <c r="AG263" s="1081">
        <f>CHOOSE(Tables!$U$2,Transfer!CE263,Transfer!CR263,Transfer!DE263,Transfer!DR263,Transfer!EE263)</f>
        <v>134.72</v>
      </c>
      <c r="AH263" s="1081">
        <f>CHOOSE(Tables!$U$2,Transfer!CF263,Transfer!CS263,Transfer!DF263,Transfer!DS263,Transfer!EF263)</f>
        <v>-9999</v>
      </c>
      <c r="AI263" s="1081">
        <f>CHOOSE(Tables!$U$2,Transfer!CG263,Transfer!CT263,Transfer!DG263,Transfer!DT263,Transfer!EG263)</f>
        <v>-9999</v>
      </c>
      <c r="AJ263" s="1081">
        <f>CHOOSE(Tables!$U$2,Transfer!CH263,Transfer!CU263,Transfer!DH263,Transfer!DU263,Transfer!EH263)</f>
        <v>-9999</v>
      </c>
      <c r="AK263" s="1081">
        <f>CHOOSE(Tables!$U$2,Transfer!CI263,Transfer!CV263,Transfer!DI263,Transfer!DV263,Transfer!EI263)</f>
        <v>-9999</v>
      </c>
      <c r="AL263" s="1081">
        <f>CHOOSE(Tables!$U$2,Transfer!CJ263,Transfer!CW263,Transfer!DJ263,Transfer!DW263,Transfer!EJ263)</f>
        <v>-9999</v>
      </c>
      <c r="AM263" s="1081">
        <f>CHOOSE(Tables!$U$2,Transfer!CK263,Transfer!CX263,Transfer!DK263,Transfer!DX263,Transfer!EK263)</f>
        <v>-9999</v>
      </c>
      <c r="AN263" s="1081">
        <f>CHOOSE(Tables!$U$2,Transfer!CL263,Transfer!CY263,Transfer!DL263,Transfer!DY263,Transfer!EL263)</f>
        <v>-9999</v>
      </c>
      <c r="AO263" s="1081">
        <f>CHOOSE(Tables!$U$2,Transfer!CM263,Transfer!CZ263,Transfer!DM263,Transfer!DZ263,Transfer!EM263)</f>
        <v>-9999</v>
      </c>
      <c r="AR263" s="22">
        <v>163</v>
      </c>
      <c r="AS263" s="33" t="s">
        <v>495</v>
      </c>
      <c r="AT263" s="35">
        <f t="shared" ca="1" si="42"/>
        <v>0</v>
      </c>
      <c r="AU263" s="25">
        <f t="shared" ca="1" si="42"/>
        <v>0</v>
      </c>
      <c r="AV263" s="25">
        <f t="shared" ca="1" si="42"/>
        <v>0</v>
      </c>
      <c r="AW263" s="25">
        <f t="shared" ca="1" si="41"/>
        <v>0</v>
      </c>
      <c r="AX263" s="25">
        <f t="shared" ca="1" si="41"/>
        <v>0</v>
      </c>
      <c r="AY263" s="25">
        <f t="shared" si="41"/>
        <v>0</v>
      </c>
      <c r="AZ263" s="25">
        <f t="shared" si="41"/>
        <v>0</v>
      </c>
      <c r="BA263" s="25">
        <f t="shared" si="41"/>
        <v>0</v>
      </c>
      <c r="BB263" s="25">
        <f t="shared" si="41"/>
        <v>0</v>
      </c>
      <c r="BC263" s="25">
        <f t="shared" si="41"/>
        <v>0</v>
      </c>
      <c r="BD263" s="25">
        <f t="shared" si="41"/>
        <v>0</v>
      </c>
      <c r="BE263" s="25">
        <f t="shared" si="41"/>
        <v>0</v>
      </c>
      <c r="BF263" s="25">
        <f t="shared" si="21"/>
        <v>0</v>
      </c>
      <c r="CA263" s="16">
        <v>131.02000000000001</v>
      </c>
      <c r="CB263" s="16">
        <v>131.13</v>
      </c>
      <c r="CC263" s="16">
        <v>134.72</v>
      </c>
      <c r="CD263" s="16">
        <v>134.72</v>
      </c>
      <c r="CE263" s="16">
        <v>134.72</v>
      </c>
      <c r="CF263" s="16">
        <v>-9999</v>
      </c>
      <c r="CG263" s="16">
        <v>-9999</v>
      </c>
      <c r="CH263" s="16">
        <v>-9999</v>
      </c>
      <c r="CI263" s="16">
        <v>-9999</v>
      </c>
      <c r="CJ263" s="16">
        <v>-9999</v>
      </c>
      <c r="CK263" s="16">
        <v>-9999</v>
      </c>
      <c r="CL263" s="16">
        <v>-9999</v>
      </c>
      <c r="CM263" s="16">
        <v>-9999</v>
      </c>
      <c r="CN263" s="16">
        <v>131.02000000000001</v>
      </c>
      <c r="CO263" s="16">
        <v>131.13</v>
      </c>
      <c r="CP263" s="16">
        <v>134.72</v>
      </c>
      <c r="CQ263" s="16">
        <v>134.72</v>
      </c>
      <c r="CR263" s="16">
        <v>134.72</v>
      </c>
      <c r="CS263" s="16">
        <v>-9999</v>
      </c>
      <c r="CT263" s="16">
        <v>-9999</v>
      </c>
      <c r="CU263" s="16">
        <v>-9999</v>
      </c>
      <c r="CV263" s="16">
        <v>-9999</v>
      </c>
      <c r="CW263" s="16">
        <v>-9999</v>
      </c>
      <c r="CX263" s="16">
        <v>-9999</v>
      </c>
      <c r="CY263" s="16">
        <v>-9999</v>
      </c>
      <c r="CZ263" s="16">
        <v>-9999</v>
      </c>
      <c r="DA263" s="16">
        <v>131.02000000000001</v>
      </c>
      <c r="DB263" s="16">
        <v>131.13</v>
      </c>
      <c r="DC263" s="16">
        <v>134.72</v>
      </c>
      <c r="DD263" s="16">
        <v>134.72</v>
      </c>
      <c r="DE263" s="16">
        <v>134.72</v>
      </c>
      <c r="DF263" s="16">
        <v>-9999</v>
      </c>
      <c r="DG263" s="16">
        <v>-9999</v>
      </c>
      <c r="DH263" s="16">
        <v>-9999</v>
      </c>
      <c r="DI263" s="16">
        <v>-9999</v>
      </c>
      <c r="DJ263" s="16">
        <v>-9999</v>
      </c>
      <c r="DK263" s="16">
        <v>-9999</v>
      </c>
      <c r="DL263" s="16">
        <v>-9999</v>
      </c>
      <c r="DM263" s="16">
        <v>-9999</v>
      </c>
      <c r="DN263" s="16">
        <v>131.02000000000001</v>
      </c>
      <c r="DO263" s="16">
        <v>131.13</v>
      </c>
      <c r="DP263" s="16">
        <v>134.72</v>
      </c>
      <c r="DQ263" s="16">
        <v>134.72</v>
      </c>
      <c r="DR263" s="16">
        <v>134.72</v>
      </c>
      <c r="DS263" s="16">
        <v>-9999</v>
      </c>
      <c r="DT263" s="16">
        <v>-9999</v>
      </c>
      <c r="DU263" s="16">
        <v>-9999</v>
      </c>
      <c r="DV263" s="16">
        <v>-9999</v>
      </c>
      <c r="DW263" s="16">
        <v>-9999</v>
      </c>
      <c r="DX263" s="16">
        <v>-9999</v>
      </c>
      <c r="DY263" s="16">
        <v>-9999</v>
      </c>
      <c r="DZ263" s="16">
        <v>-9999</v>
      </c>
      <c r="EA263" s="2106">
        <v>131.02000000000001</v>
      </c>
      <c r="EB263" s="2107">
        <v>131.13</v>
      </c>
      <c r="EC263" s="2107">
        <v>134.72</v>
      </c>
      <c r="ED263" s="2107">
        <v>134.72</v>
      </c>
      <c r="EE263" s="2107">
        <v>134.72</v>
      </c>
      <c r="EF263" s="2107">
        <v>-9999</v>
      </c>
      <c r="EG263" s="2107">
        <v>-9999</v>
      </c>
      <c r="EH263" s="2107">
        <v>-9999</v>
      </c>
      <c r="EI263" s="2107">
        <v>-9999</v>
      </c>
      <c r="EJ263" s="2107">
        <v>-9999</v>
      </c>
      <c r="EK263" s="2107">
        <v>-9999</v>
      </c>
      <c r="EL263" s="2107">
        <v>-9999</v>
      </c>
      <c r="EM263" s="2107">
        <v>-9999</v>
      </c>
    </row>
    <row r="264" spans="1:143">
      <c r="A264" s="22">
        <v>164</v>
      </c>
      <c r="B264" s="33" t="s">
        <v>750</v>
      </c>
      <c r="C264" s="24">
        <f ca="1">OFFSET('VVP2'!F387,0,Last_forecast_year - 3-InputY!$G$3)</f>
        <v>76.42</v>
      </c>
      <c r="D264" s="24">
        <f ca="1">OFFSET('VVP2'!G387,0,Last_forecast_year - 3-InputY!$G$3)</f>
        <v>76.900000000000006</v>
      </c>
      <c r="E264" s="24">
        <f ca="1">OFFSET('VVP2'!H387,0,Last_forecast_year - 3-InputY!$G$3)</f>
        <v>79.38</v>
      </c>
      <c r="F264" s="24">
        <f ca="1">OFFSET('VVP2'!I387,0,Last_forecast_year - 3-InputY!$G$3)</f>
        <v>79.38</v>
      </c>
      <c r="G264" s="24">
        <f ca="1">OFFSET('VVP2'!J387,0,Last_forecast_year - 3-InputY!$G$3)</f>
        <v>79.38</v>
      </c>
      <c r="H264" s="25">
        <v>-9999</v>
      </c>
      <c r="I264" s="25">
        <v>-9999</v>
      </c>
      <c r="J264" s="25">
        <v>-9999</v>
      </c>
      <c r="K264" s="25">
        <v>-9999</v>
      </c>
      <c r="L264" s="25">
        <v>-9999</v>
      </c>
      <c r="M264" s="25">
        <v>-9999</v>
      </c>
      <c r="N264" s="25">
        <v>-9999</v>
      </c>
      <c r="O264" s="25">
        <v>-9999</v>
      </c>
      <c r="P264" s="26"/>
      <c r="Q264"/>
      <c r="AA264" s="22">
        <v>164</v>
      </c>
      <c r="AB264" s="1081" t="str">
        <f t="shared" si="31"/>
        <v>HICP Y WEIGHT UNPROCESSED FOOD</v>
      </c>
      <c r="AC264" s="1081">
        <f>CHOOSE(Tables!$U$2,Transfer!CA264,Transfer!CN264,Transfer!DA264,Transfer!DN264,Transfer!EA264)</f>
        <v>76.42</v>
      </c>
      <c r="AD264" s="1081">
        <f>CHOOSE(Tables!$U$2,Transfer!CB264,Transfer!CO264,Transfer!DB264,Transfer!DO264,Transfer!EB264)</f>
        <v>76.900000000000006</v>
      </c>
      <c r="AE264" s="1081">
        <f>CHOOSE(Tables!$U$2,Transfer!CC264,Transfer!CP264,Transfer!DC264,Transfer!DP264,Transfer!EC264)</f>
        <v>79.38</v>
      </c>
      <c r="AF264" s="1081">
        <f>CHOOSE(Tables!$U$2,Transfer!CD264,Transfer!CQ264,Transfer!DD264,Transfer!DQ264,Transfer!ED264)</f>
        <v>79.38</v>
      </c>
      <c r="AG264" s="1081">
        <f>CHOOSE(Tables!$U$2,Transfer!CE264,Transfer!CR264,Transfer!DE264,Transfer!DR264,Transfer!EE264)</f>
        <v>79.38</v>
      </c>
      <c r="AH264" s="1081">
        <f>CHOOSE(Tables!$U$2,Transfer!CF264,Transfer!CS264,Transfer!DF264,Transfer!DS264,Transfer!EF264)</f>
        <v>-9999</v>
      </c>
      <c r="AI264" s="1081">
        <f>CHOOSE(Tables!$U$2,Transfer!CG264,Transfer!CT264,Transfer!DG264,Transfer!DT264,Transfer!EG264)</f>
        <v>-9999</v>
      </c>
      <c r="AJ264" s="1081">
        <f>CHOOSE(Tables!$U$2,Transfer!CH264,Transfer!CU264,Transfer!DH264,Transfer!DU264,Transfer!EH264)</f>
        <v>-9999</v>
      </c>
      <c r="AK264" s="1081">
        <f>CHOOSE(Tables!$U$2,Transfer!CI264,Transfer!CV264,Transfer!DI264,Transfer!DV264,Transfer!EI264)</f>
        <v>-9999</v>
      </c>
      <c r="AL264" s="1081">
        <f>CHOOSE(Tables!$U$2,Transfer!CJ264,Transfer!CW264,Transfer!DJ264,Transfer!DW264,Transfer!EJ264)</f>
        <v>-9999</v>
      </c>
      <c r="AM264" s="1081">
        <f>CHOOSE(Tables!$U$2,Transfer!CK264,Transfer!CX264,Transfer!DK264,Transfer!DX264,Transfer!EK264)</f>
        <v>-9999</v>
      </c>
      <c r="AN264" s="1081">
        <f>CHOOSE(Tables!$U$2,Transfer!CL264,Transfer!CY264,Transfer!DL264,Transfer!DY264,Transfer!EL264)</f>
        <v>-9999</v>
      </c>
      <c r="AO264" s="1081">
        <f>CHOOSE(Tables!$U$2,Transfer!CM264,Transfer!CZ264,Transfer!DM264,Transfer!DZ264,Transfer!EM264)</f>
        <v>-9999</v>
      </c>
      <c r="AR264" s="22">
        <v>164</v>
      </c>
      <c r="AS264" s="33" t="s">
        <v>81</v>
      </c>
      <c r="AT264" s="35">
        <f t="shared" ca="1" si="42"/>
        <v>0</v>
      </c>
      <c r="AU264" s="25">
        <f t="shared" ca="1" si="42"/>
        <v>0</v>
      </c>
      <c r="AV264" s="25">
        <f t="shared" ca="1" si="42"/>
        <v>0</v>
      </c>
      <c r="AW264" s="25">
        <f t="shared" ca="1" si="41"/>
        <v>0</v>
      </c>
      <c r="AX264" s="25">
        <f t="shared" ca="1" si="41"/>
        <v>0</v>
      </c>
      <c r="AY264" s="25">
        <f t="shared" si="41"/>
        <v>0</v>
      </c>
      <c r="AZ264" s="25">
        <f t="shared" si="41"/>
        <v>0</v>
      </c>
      <c r="BA264" s="25">
        <f t="shared" si="41"/>
        <v>0</v>
      </c>
      <c r="BB264" s="25">
        <f t="shared" si="41"/>
        <v>0</v>
      </c>
      <c r="BC264" s="25">
        <f t="shared" si="41"/>
        <v>0</v>
      </c>
      <c r="BD264" s="25">
        <f t="shared" si="41"/>
        <v>0</v>
      </c>
      <c r="BE264" s="25">
        <f t="shared" si="41"/>
        <v>0</v>
      </c>
      <c r="BF264" s="25">
        <f t="shared" si="21"/>
        <v>0</v>
      </c>
      <c r="CA264" s="16">
        <v>76.42</v>
      </c>
      <c r="CB264" s="16">
        <v>76.900000000000006</v>
      </c>
      <c r="CC264" s="16">
        <v>79.38</v>
      </c>
      <c r="CD264" s="16">
        <v>79.38</v>
      </c>
      <c r="CE264" s="16">
        <v>79.38</v>
      </c>
      <c r="CF264" s="16">
        <v>-9999</v>
      </c>
      <c r="CG264" s="16">
        <v>-9999</v>
      </c>
      <c r="CH264" s="16">
        <v>-9999</v>
      </c>
      <c r="CI264" s="16">
        <v>-9999</v>
      </c>
      <c r="CJ264" s="16">
        <v>-9999</v>
      </c>
      <c r="CK264" s="16">
        <v>-9999</v>
      </c>
      <c r="CL264" s="16">
        <v>-9999</v>
      </c>
      <c r="CM264" s="16">
        <v>-9999</v>
      </c>
      <c r="CN264" s="16">
        <v>76.42</v>
      </c>
      <c r="CO264" s="16">
        <v>76.900000000000006</v>
      </c>
      <c r="CP264" s="16">
        <v>79.38</v>
      </c>
      <c r="CQ264" s="16">
        <v>79.38</v>
      </c>
      <c r="CR264" s="16">
        <v>79.38</v>
      </c>
      <c r="CS264" s="16">
        <v>-9999</v>
      </c>
      <c r="CT264" s="16">
        <v>-9999</v>
      </c>
      <c r="CU264" s="16">
        <v>-9999</v>
      </c>
      <c r="CV264" s="16">
        <v>-9999</v>
      </c>
      <c r="CW264" s="16">
        <v>-9999</v>
      </c>
      <c r="CX264" s="16">
        <v>-9999</v>
      </c>
      <c r="CY264" s="16">
        <v>-9999</v>
      </c>
      <c r="CZ264" s="16">
        <v>-9999</v>
      </c>
      <c r="DA264" s="16">
        <v>76.42</v>
      </c>
      <c r="DB264" s="16">
        <v>76.900000000000006</v>
      </c>
      <c r="DC264" s="16">
        <v>79.38</v>
      </c>
      <c r="DD264" s="16">
        <v>79.38</v>
      </c>
      <c r="DE264" s="16">
        <v>79.38</v>
      </c>
      <c r="DF264" s="16">
        <v>-9999</v>
      </c>
      <c r="DG264" s="16">
        <v>-9999</v>
      </c>
      <c r="DH264" s="16">
        <v>-9999</v>
      </c>
      <c r="DI264" s="16">
        <v>-9999</v>
      </c>
      <c r="DJ264" s="16">
        <v>-9999</v>
      </c>
      <c r="DK264" s="16">
        <v>-9999</v>
      </c>
      <c r="DL264" s="16">
        <v>-9999</v>
      </c>
      <c r="DM264" s="16">
        <v>-9999</v>
      </c>
      <c r="DN264" s="16">
        <v>76.42</v>
      </c>
      <c r="DO264" s="16">
        <v>76.900000000000006</v>
      </c>
      <c r="DP264" s="16">
        <v>79.38</v>
      </c>
      <c r="DQ264" s="16">
        <v>79.38</v>
      </c>
      <c r="DR264" s="16">
        <v>79.38</v>
      </c>
      <c r="DS264" s="16">
        <v>-9999</v>
      </c>
      <c r="DT264" s="16">
        <v>-9999</v>
      </c>
      <c r="DU264" s="16">
        <v>-9999</v>
      </c>
      <c r="DV264" s="16">
        <v>-9999</v>
      </c>
      <c r="DW264" s="16">
        <v>-9999</v>
      </c>
      <c r="DX264" s="16">
        <v>-9999</v>
      </c>
      <c r="DY264" s="16">
        <v>-9999</v>
      </c>
      <c r="DZ264" s="16">
        <v>-9999</v>
      </c>
      <c r="EA264" s="2106">
        <v>76.42</v>
      </c>
      <c r="EB264" s="2107">
        <v>76.900000000000006</v>
      </c>
      <c r="EC264" s="2107">
        <v>79.38</v>
      </c>
      <c r="ED264" s="2107">
        <v>79.38</v>
      </c>
      <c r="EE264" s="2107">
        <v>79.38</v>
      </c>
      <c r="EF264" s="2107">
        <v>-9999</v>
      </c>
      <c r="EG264" s="2107">
        <v>-9999</v>
      </c>
      <c r="EH264" s="2107">
        <v>-9999</v>
      </c>
      <c r="EI264" s="2107">
        <v>-9999</v>
      </c>
      <c r="EJ264" s="2107">
        <v>-9999</v>
      </c>
      <c r="EK264" s="2107">
        <v>-9999</v>
      </c>
      <c r="EL264" s="2107">
        <v>-9999</v>
      </c>
      <c r="EM264" s="2107">
        <v>-9999</v>
      </c>
    </row>
    <row r="265" spans="1:143">
      <c r="A265" s="22">
        <v>165</v>
      </c>
      <c r="B265" s="33" t="s">
        <v>751</v>
      </c>
      <c r="C265" s="24">
        <f ca="1">OFFSET('VVP2'!F389,0,Last_forecast_year - 3-InputY!$G$3)</f>
        <v>408.18</v>
      </c>
      <c r="D265" s="24">
        <f ca="1">OFFSET('VVP2'!G389,0,Last_forecast_year - 3-InputY!$G$3)</f>
        <v>424.13</v>
      </c>
      <c r="E265" s="24">
        <f ca="1">OFFSET('VVP2'!H389,0,Last_forecast_year - 3-InputY!$G$3)</f>
        <v>422.6</v>
      </c>
      <c r="F265" s="24">
        <f ca="1">OFFSET('VVP2'!I389,0,Last_forecast_year - 3-InputY!$G$3)</f>
        <v>422.6</v>
      </c>
      <c r="G265" s="24">
        <f ca="1">OFFSET('VVP2'!J389,0,Last_forecast_year - 3-InputY!$G$3)</f>
        <v>422.6</v>
      </c>
      <c r="H265" s="25">
        <v>-9999</v>
      </c>
      <c r="I265" s="25">
        <v>-9999</v>
      </c>
      <c r="J265" s="25">
        <v>-9999</v>
      </c>
      <c r="K265" s="25">
        <v>-9999</v>
      </c>
      <c r="L265" s="25">
        <v>-9999</v>
      </c>
      <c r="M265" s="25">
        <v>-9999</v>
      </c>
      <c r="N265" s="25">
        <v>-9999</v>
      </c>
      <c r="O265" s="25">
        <v>-9999</v>
      </c>
      <c r="P265" s="26"/>
      <c r="Q265"/>
      <c r="AA265" s="22">
        <v>165</v>
      </c>
      <c r="AB265" s="1081" t="str">
        <f t="shared" si="31"/>
        <v>HICP Y WEIGHT SERVICES</v>
      </c>
      <c r="AC265" s="1081">
        <f>CHOOSE(Tables!$U$2,Transfer!CA265,Transfer!CN265,Transfer!DA265,Transfer!DN265,Transfer!EA265)</f>
        <v>408.18</v>
      </c>
      <c r="AD265" s="1081">
        <f>CHOOSE(Tables!$U$2,Transfer!CB265,Transfer!CO265,Transfer!DB265,Transfer!DO265,Transfer!EB265)</f>
        <v>424.13</v>
      </c>
      <c r="AE265" s="1081">
        <f>CHOOSE(Tables!$U$2,Transfer!CC265,Transfer!CP265,Transfer!DC265,Transfer!DP265,Transfer!EC265)</f>
        <v>422.6</v>
      </c>
      <c r="AF265" s="1081">
        <f>CHOOSE(Tables!$U$2,Transfer!CD265,Transfer!CQ265,Transfer!DD265,Transfer!DQ265,Transfer!ED265)</f>
        <v>422.6</v>
      </c>
      <c r="AG265" s="1081">
        <f>CHOOSE(Tables!$U$2,Transfer!CE265,Transfer!CR265,Transfer!DE265,Transfer!DR265,Transfer!EE265)</f>
        <v>422.6</v>
      </c>
      <c r="AH265" s="1081">
        <f>CHOOSE(Tables!$U$2,Transfer!CF265,Transfer!CS265,Transfer!DF265,Transfer!DS265,Transfer!EF265)</f>
        <v>-9999</v>
      </c>
      <c r="AI265" s="1081">
        <f>CHOOSE(Tables!$U$2,Transfer!CG265,Transfer!CT265,Transfer!DG265,Transfer!DT265,Transfer!EG265)</f>
        <v>-9999</v>
      </c>
      <c r="AJ265" s="1081">
        <f>CHOOSE(Tables!$U$2,Transfer!CH265,Transfer!CU265,Transfer!DH265,Transfer!DU265,Transfer!EH265)</f>
        <v>-9999</v>
      </c>
      <c r="AK265" s="1081">
        <f>CHOOSE(Tables!$U$2,Transfer!CI265,Transfer!CV265,Transfer!DI265,Transfer!DV265,Transfer!EI265)</f>
        <v>-9999</v>
      </c>
      <c r="AL265" s="1081">
        <f>CHOOSE(Tables!$U$2,Transfer!CJ265,Transfer!CW265,Transfer!DJ265,Transfer!DW265,Transfer!EJ265)</f>
        <v>-9999</v>
      </c>
      <c r="AM265" s="1081">
        <f>CHOOSE(Tables!$U$2,Transfer!CK265,Transfer!CX265,Transfer!DK265,Transfer!DX265,Transfer!EK265)</f>
        <v>-9999</v>
      </c>
      <c r="AN265" s="1081">
        <f>CHOOSE(Tables!$U$2,Transfer!CL265,Transfer!CY265,Transfer!DL265,Transfer!DY265,Transfer!EL265)</f>
        <v>-9999</v>
      </c>
      <c r="AO265" s="1081">
        <f>CHOOSE(Tables!$U$2,Transfer!CM265,Transfer!CZ265,Transfer!DM265,Transfer!DZ265,Transfer!EM265)</f>
        <v>-9999</v>
      </c>
      <c r="AR265" s="22">
        <v>165</v>
      </c>
      <c r="AS265" s="30" t="s">
        <v>1998</v>
      </c>
      <c r="AT265" s="25">
        <f t="shared" ca="1" si="42"/>
        <v>0</v>
      </c>
      <c r="AU265" s="25">
        <f t="shared" ca="1" si="42"/>
        <v>0</v>
      </c>
      <c r="AV265" s="25">
        <f t="shared" ca="1" si="42"/>
        <v>0</v>
      </c>
      <c r="AW265" s="25">
        <f t="shared" ca="1" si="41"/>
        <v>0</v>
      </c>
      <c r="AX265" s="25">
        <f t="shared" ca="1" si="41"/>
        <v>0</v>
      </c>
      <c r="AY265" s="25">
        <f t="shared" si="41"/>
        <v>0</v>
      </c>
      <c r="AZ265" s="25">
        <f t="shared" si="41"/>
        <v>0</v>
      </c>
      <c r="BA265" s="25">
        <f t="shared" si="41"/>
        <v>0</v>
      </c>
      <c r="BB265" s="25">
        <f t="shared" si="41"/>
        <v>0</v>
      </c>
      <c r="BC265" s="25">
        <f t="shared" si="41"/>
        <v>0</v>
      </c>
      <c r="BD265" s="25">
        <f t="shared" si="41"/>
        <v>0</v>
      </c>
      <c r="BE265" s="25">
        <f t="shared" si="41"/>
        <v>0</v>
      </c>
      <c r="BF265" s="25">
        <f t="shared" si="21"/>
        <v>0</v>
      </c>
      <c r="CA265" s="16">
        <v>408.18</v>
      </c>
      <c r="CB265" s="16">
        <v>424.13</v>
      </c>
      <c r="CC265" s="16">
        <v>422.6</v>
      </c>
      <c r="CD265" s="16">
        <v>422.6</v>
      </c>
      <c r="CE265" s="16">
        <v>422.6</v>
      </c>
      <c r="CF265" s="16">
        <v>-9999</v>
      </c>
      <c r="CG265" s="16">
        <v>-9999</v>
      </c>
      <c r="CH265" s="16">
        <v>-9999</v>
      </c>
      <c r="CI265" s="16">
        <v>-9999</v>
      </c>
      <c r="CJ265" s="16">
        <v>-9999</v>
      </c>
      <c r="CK265" s="16">
        <v>-9999</v>
      </c>
      <c r="CL265" s="16">
        <v>-9999</v>
      </c>
      <c r="CM265" s="16">
        <v>-9999</v>
      </c>
      <c r="CN265" s="16">
        <v>408.18</v>
      </c>
      <c r="CO265" s="16">
        <v>424.13</v>
      </c>
      <c r="CP265" s="16">
        <v>422.6</v>
      </c>
      <c r="CQ265" s="16">
        <v>422.6</v>
      </c>
      <c r="CR265" s="16">
        <v>422.6</v>
      </c>
      <c r="CS265" s="16">
        <v>-9999</v>
      </c>
      <c r="CT265" s="16">
        <v>-9999</v>
      </c>
      <c r="CU265" s="16">
        <v>-9999</v>
      </c>
      <c r="CV265" s="16">
        <v>-9999</v>
      </c>
      <c r="CW265" s="16">
        <v>-9999</v>
      </c>
      <c r="CX265" s="16">
        <v>-9999</v>
      </c>
      <c r="CY265" s="16">
        <v>-9999</v>
      </c>
      <c r="CZ265" s="16">
        <v>-9999</v>
      </c>
      <c r="DA265" s="16">
        <v>408.18</v>
      </c>
      <c r="DB265" s="16">
        <v>424.13</v>
      </c>
      <c r="DC265" s="16">
        <v>422.6</v>
      </c>
      <c r="DD265" s="16">
        <v>422.6</v>
      </c>
      <c r="DE265" s="16">
        <v>422.6</v>
      </c>
      <c r="DF265" s="16">
        <v>-9999</v>
      </c>
      <c r="DG265" s="16">
        <v>-9999</v>
      </c>
      <c r="DH265" s="16">
        <v>-9999</v>
      </c>
      <c r="DI265" s="16">
        <v>-9999</v>
      </c>
      <c r="DJ265" s="16">
        <v>-9999</v>
      </c>
      <c r="DK265" s="16">
        <v>-9999</v>
      </c>
      <c r="DL265" s="16">
        <v>-9999</v>
      </c>
      <c r="DM265" s="16">
        <v>-9999</v>
      </c>
      <c r="DN265" s="16">
        <v>408.18</v>
      </c>
      <c r="DO265" s="16">
        <v>424.13</v>
      </c>
      <c r="DP265" s="16">
        <v>422.6</v>
      </c>
      <c r="DQ265" s="16">
        <v>422.6</v>
      </c>
      <c r="DR265" s="16">
        <v>422.6</v>
      </c>
      <c r="DS265" s="16">
        <v>-9999</v>
      </c>
      <c r="DT265" s="16">
        <v>-9999</v>
      </c>
      <c r="DU265" s="16">
        <v>-9999</v>
      </c>
      <c r="DV265" s="16">
        <v>-9999</v>
      </c>
      <c r="DW265" s="16">
        <v>-9999</v>
      </c>
      <c r="DX265" s="16">
        <v>-9999</v>
      </c>
      <c r="DY265" s="16">
        <v>-9999</v>
      </c>
      <c r="DZ265" s="16">
        <v>-9999</v>
      </c>
      <c r="EA265" s="2107">
        <v>408.18</v>
      </c>
      <c r="EB265" s="2107">
        <v>424.13</v>
      </c>
      <c r="EC265" s="2107">
        <v>422.6</v>
      </c>
      <c r="ED265" s="2107">
        <v>422.6</v>
      </c>
      <c r="EE265" s="2107">
        <v>422.6</v>
      </c>
      <c r="EF265" s="2107">
        <v>-9999</v>
      </c>
      <c r="EG265" s="2107">
        <v>-9999</v>
      </c>
      <c r="EH265" s="2107">
        <v>-9999</v>
      </c>
      <c r="EI265" s="2107">
        <v>-9999</v>
      </c>
      <c r="EJ265" s="2107">
        <v>-9999</v>
      </c>
      <c r="EK265" s="2107">
        <v>-9999</v>
      </c>
      <c r="EL265" s="2107">
        <v>-9999</v>
      </c>
      <c r="EM265" s="2107">
        <v>-9999</v>
      </c>
    </row>
    <row r="266" spans="1:143">
      <c r="A266" s="22">
        <v>166</v>
      </c>
      <c r="B266" s="33" t="s">
        <v>752</v>
      </c>
      <c r="C266" s="25">
        <v>-9999</v>
      </c>
      <c r="D266" s="1081">
        <f ca="1">OFFSET('Q1'!G289,0,(Last_forecast_year - 3-InputY!$G$3)*4+4)</f>
        <v>1.4395052352356998</v>
      </c>
      <c r="E266" s="1081">
        <f ca="1">OFFSET('Q1'!H289,0,(Last_forecast_year - 3-InputY!$G$3)*4+4)</f>
        <v>1.5615705973159919</v>
      </c>
      <c r="F266" s="1081">
        <f ca="1">OFFSET('Q1'!I289,0,(Last_forecast_year - 3-InputY!$G$3)*4+4)</f>
        <v>1.7084574371841939</v>
      </c>
      <c r="G266" s="1081">
        <f ca="1">OFFSET('Q1'!J289,0,(Last_forecast_year - 3-InputY!$G$3)*4+4)</f>
        <v>1.6406021858922344</v>
      </c>
      <c r="H266" s="1081">
        <f ca="1">OFFSET('Q1'!K289,0,(Last_forecast_year - 3-InputY!$G$3)*4+4)</f>
        <v>1.6848453001645538</v>
      </c>
      <c r="I266" s="1081">
        <f ca="1">OFFSET('Q1'!L289,0,(Last_forecast_year - 3-InputY!$G$3)*4+4)</f>
        <v>1.7133598893297659</v>
      </c>
      <c r="J266" s="1081">
        <f ca="1">OFFSET('Q1'!M289,0,(Last_forecast_year - 3-InputY!$G$3)*4+4)</f>
        <v>1.9609571574295899</v>
      </c>
      <c r="K266" s="1081">
        <f ca="1">OFFSET('Q1'!N289,0,(Last_forecast_year - 3-InputY!$G$3)*4+4)</f>
        <v>1.8652948619909182</v>
      </c>
      <c r="L266" s="1081">
        <f ca="1">OFFSET('Q1'!O289,0,(Last_forecast_year - 3-InputY!$G$3)*4+4)</f>
        <v>1.5370953444884918</v>
      </c>
      <c r="M266" s="1081">
        <f ca="1">OFFSET('Q1'!P289,0,(Last_forecast_year - 3-InputY!$G$3)*4+4)</f>
        <v>1.8320859713326598</v>
      </c>
      <c r="N266" s="1081">
        <f ca="1">OFFSET('Q1'!Q289,0,(Last_forecast_year - 3-InputY!$G$3)*4+4)</f>
        <v>2.2613979957664156</v>
      </c>
      <c r="O266" s="1081">
        <f ca="1">OFFSET('Q1'!R289,0,(Last_forecast_year - 3-InputY!$G$3)*4+4)</f>
        <v>1.843533274049733</v>
      </c>
      <c r="P266" s="26"/>
      <c r="Q266"/>
      <c r="AA266" s="22">
        <v>166</v>
      </c>
      <c r="AB266" s="1081" t="str">
        <f t="shared" si="31"/>
        <v>HICP Q EXCL. ENERGY AND UNPROCESSED FOOD</v>
      </c>
      <c r="AC266" s="1081">
        <f>CHOOSE(Tables!$U$2,Transfer!CA266,Transfer!CN266,Transfer!DA266,Transfer!DN266,Transfer!EA266)</f>
        <v>-9999</v>
      </c>
      <c r="AD266" s="1081">
        <f>CHOOSE(Tables!$U$2,Transfer!CB266,Transfer!CO266,Transfer!DB266,Transfer!DO266,Transfer!EB266)</f>
        <v>1.4395052352356998</v>
      </c>
      <c r="AE266" s="1081">
        <f>CHOOSE(Tables!$U$2,Transfer!CC266,Transfer!CP266,Transfer!DC266,Transfer!DP266,Transfer!EC266)</f>
        <v>1.5615705973159919</v>
      </c>
      <c r="AF266" s="1081">
        <f>CHOOSE(Tables!$U$2,Transfer!CD266,Transfer!CQ266,Transfer!DD266,Transfer!DQ266,Transfer!ED266)</f>
        <v>1.7084574371841939</v>
      </c>
      <c r="AG266" s="1081">
        <f>CHOOSE(Tables!$U$2,Transfer!CE266,Transfer!CR266,Transfer!DE266,Transfer!DR266,Transfer!EE266)</f>
        <v>1.6406021858922344</v>
      </c>
      <c r="AH266" s="1081">
        <f>CHOOSE(Tables!$U$2,Transfer!CF266,Transfer!CS266,Transfer!DF266,Transfer!DS266,Transfer!EF266)</f>
        <v>1.6848453001645538</v>
      </c>
      <c r="AI266" s="1081">
        <f>CHOOSE(Tables!$U$2,Transfer!CG266,Transfer!CT266,Transfer!DG266,Transfer!DT266,Transfer!EG266)</f>
        <v>1.7133598893297659</v>
      </c>
      <c r="AJ266" s="1081">
        <f>CHOOSE(Tables!$U$2,Transfer!CH266,Transfer!CU266,Transfer!DH266,Transfer!DU266,Transfer!EH266)</f>
        <v>1.9609571574295899</v>
      </c>
      <c r="AK266" s="1081">
        <f>CHOOSE(Tables!$U$2,Transfer!CI266,Transfer!CV266,Transfer!DI266,Transfer!DV266,Transfer!EI266)</f>
        <v>1.8652948619909182</v>
      </c>
      <c r="AL266" s="1081">
        <f>CHOOSE(Tables!$U$2,Transfer!CJ266,Transfer!CW266,Transfer!DJ266,Transfer!DW266,Transfer!EJ266)</f>
        <v>1.5370953444884918</v>
      </c>
      <c r="AM266" s="1081">
        <f>CHOOSE(Tables!$U$2,Transfer!CK266,Transfer!CX266,Transfer!DK266,Transfer!DX266,Transfer!EK266)</f>
        <v>1.8320859713326598</v>
      </c>
      <c r="AN266" s="1081">
        <f>CHOOSE(Tables!$U$2,Transfer!CL266,Transfer!CY266,Transfer!DL266,Transfer!DY266,Transfer!EL266)</f>
        <v>2.2613979957664156</v>
      </c>
      <c r="AO266" s="1081">
        <f>CHOOSE(Tables!$U$2,Transfer!CM266,Transfer!CZ266,Transfer!DM266,Transfer!DZ266,Transfer!EM266)</f>
        <v>1.843533274049733</v>
      </c>
      <c r="AR266" s="22">
        <v>166</v>
      </c>
      <c r="AS266" s="33" t="s">
        <v>710</v>
      </c>
      <c r="AT266" s="24">
        <f t="shared" si="42"/>
        <v>0</v>
      </c>
      <c r="AU266" s="24">
        <f t="shared" ca="1" si="42"/>
        <v>0</v>
      </c>
      <c r="AV266" s="24">
        <f t="shared" ca="1" si="42"/>
        <v>0</v>
      </c>
      <c r="AW266" s="24">
        <f t="shared" ca="1" si="41"/>
        <v>0</v>
      </c>
      <c r="AX266" s="24">
        <f t="shared" ca="1" si="41"/>
        <v>0</v>
      </c>
      <c r="AY266" s="25">
        <f t="shared" ca="1" si="41"/>
        <v>0</v>
      </c>
      <c r="AZ266" s="25">
        <f t="shared" ca="1" si="41"/>
        <v>0</v>
      </c>
      <c r="BA266" s="25">
        <f t="shared" ca="1" si="41"/>
        <v>0</v>
      </c>
      <c r="BB266" s="25">
        <f t="shared" ca="1" si="41"/>
        <v>0</v>
      </c>
      <c r="BC266" s="25">
        <f t="shared" ca="1" si="41"/>
        <v>0</v>
      </c>
      <c r="BD266" s="25">
        <f t="shared" ca="1" si="41"/>
        <v>0</v>
      </c>
      <c r="BE266" s="25">
        <f t="shared" ca="1" si="41"/>
        <v>0</v>
      </c>
      <c r="BF266" s="25">
        <f t="shared" ca="1" si="21"/>
        <v>0</v>
      </c>
      <c r="CA266" s="16">
        <v>-9999</v>
      </c>
      <c r="CB266" s="16">
        <v>1.4395052352356998</v>
      </c>
      <c r="CC266" s="16">
        <v>1.5615705973159919</v>
      </c>
      <c r="CD266" s="16">
        <v>1.7084574371841939</v>
      </c>
      <c r="CE266" s="16">
        <v>1.6406021858922344</v>
      </c>
      <c r="CF266" s="16">
        <v>1.6848453001645538</v>
      </c>
      <c r="CG266" s="16">
        <v>1.7133598893297659</v>
      </c>
      <c r="CH266" s="16">
        <v>1.9609571574295899</v>
      </c>
      <c r="CI266" s="16">
        <v>1.8652948619909182</v>
      </c>
      <c r="CJ266" s="16">
        <v>1.5370953444884918</v>
      </c>
      <c r="CK266" s="16">
        <v>1.8320859713326598</v>
      </c>
      <c r="CL266" s="16">
        <v>2.2613979957664156</v>
      </c>
      <c r="CM266" s="16">
        <v>1.843533274049733</v>
      </c>
      <c r="CN266" s="16">
        <v>-9999</v>
      </c>
      <c r="CO266" s="16">
        <v>1.4395052352356998</v>
      </c>
      <c r="CP266" s="16">
        <v>1.5615705973159919</v>
      </c>
      <c r="CQ266" s="16">
        <v>1.7084574371841939</v>
      </c>
      <c r="CR266" s="16">
        <v>1.6406021858922344</v>
      </c>
      <c r="CS266" s="16">
        <v>1.5474983567892906</v>
      </c>
      <c r="CT266" s="16">
        <v>1.5131643391002285</v>
      </c>
      <c r="CU266" s="16">
        <v>1.6620076207972261</v>
      </c>
      <c r="CV266" s="16">
        <v>1.505490406968633</v>
      </c>
      <c r="CW266" s="16">
        <v>1.315297933768349</v>
      </c>
      <c r="CX266" s="16">
        <v>1.5487578909139046</v>
      </c>
      <c r="CY266" s="16">
        <v>1.8229440011418632</v>
      </c>
      <c r="CZ266" s="16">
        <v>1.5149980169914699</v>
      </c>
      <c r="DA266" s="16">
        <v>-9999</v>
      </c>
      <c r="DB266" s="16">
        <v>1.4395052352356998</v>
      </c>
      <c r="DC266" s="16">
        <v>1.5615705973159919</v>
      </c>
      <c r="DD266" s="16">
        <v>1.7084574371841939</v>
      </c>
      <c r="DE266" s="16">
        <v>1.6406021858922344</v>
      </c>
      <c r="DF266" s="16">
        <v>1.6848453001645538</v>
      </c>
      <c r="DG266" s="16">
        <v>1.7133598893297659</v>
      </c>
      <c r="DH266" s="16">
        <v>1.9609571574295899</v>
      </c>
      <c r="DI266" s="16">
        <v>1.8652948619909182</v>
      </c>
      <c r="DJ266" s="16">
        <v>1.5370953444884918</v>
      </c>
      <c r="DK266" s="16">
        <v>1.8320859713326598</v>
      </c>
      <c r="DL266" s="16">
        <v>2.2613979957664156</v>
      </c>
      <c r="DM266" s="16">
        <v>1.843533274049733</v>
      </c>
      <c r="DN266" s="16">
        <v>-9999</v>
      </c>
      <c r="DO266" s="16">
        <v>1.4395052352356998</v>
      </c>
      <c r="DP266" s="16">
        <v>1.5615705973159919</v>
      </c>
      <c r="DQ266" s="16">
        <v>1.7084574371841939</v>
      </c>
      <c r="DR266" s="16">
        <v>1.6406021858922344</v>
      </c>
      <c r="DS266" s="16">
        <v>1.6848453001645538</v>
      </c>
      <c r="DT266" s="16">
        <v>1.7133598893297659</v>
      </c>
      <c r="DU266" s="16">
        <v>1.9609571574295899</v>
      </c>
      <c r="DV266" s="16">
        <v>1.8652948619909182</v>
      </c>
      <c r="DW266" s="16">
        <v>1.5370953444884918</v>
      </c>
      <c r="DX266" s="16">
        <v>1.8320859713326598</v>
      </c>
      <c r="DY266" s="16">
        <v>2.2613979957664156</v>
      </c>
      <c r="DZ266" s="16">
        <v>1.843533274049733</v>
      </c>
      <c r="EA266" s="2106">
        <v>-9999</v>
      </c>
      <c r="EB266" s="2106">
        <v>1.4395052352356998</v>
      </c>
      <c r="EC266" s="2106">
        <v>1.5615705973159919</v>
      </c>
      <c r="ED266" s="2106">
        <v>1.7084574371841939</v>
      </c>
      <c r="EE266" s="2106">
        <v>1.6406021858922344</v>
      </c>
      <c r="EF266" s="2107">
        <v>1.6848453001645538</v>
      </c>
      <c r="EG266" s="2107">
        <v>1.7133598893297659</v>
      </c>
      <c r="EH266" s="2107">
        <v>1.9609571574295899</v>
      </c>
      <c r="EI266" s="2107">
        <v>1.8652948619909182</v>
      </c>
      <c r="EJ266" s="2107">
        <v>1.5370953444884918</v>
      </c>
      <c r="EK266" s="2107">
        <v>1.8320859713326598</v>
      </c>
      <c r="EL266" s="2107">
        <v>2.2613979957664156</v>
      </c>
      <c r="EM266" s="2107">
        <v>1.843533274049733</v>
      </c>
    </row>
    <row r="267" spans="1:143">
      <c r="A267" s="22">
        <v>167</v>
      </c>
      <c r="B267" s="33" t="s">
        <v>753</v>
      </c>
      <c r="C267" s="25">
        <v>-9999</v>
      </c>
      <c r="D267" s="1081">
        <f ca="1">OFFSET('Q1'!G280,0,(Last_forecast_year - 3-InputY!$G$3)*4+4)</f>
        <v>0.75636412101825101</v>
      </c>
      <c r="E267" s="1081">
        <f ca="1">OFFSET('Q1'!H280,0,(Last_forecast_year - 3-InputY!$G$3)*4+4)</f>
        <v>0.82160392798691362</v>
      </c>
      <c r="F267" s="1081">
        <f ca="1">OFFSET('Q1'!I280,0,(Last_forecast_year - 3-InputY!$G$3)*4+4)</f>
        <v>0.90963614554178207</v>
      </c>
      <c r="G267" s="1081">
        <f ca="1">OFFSET('Q1'!J280,0,(Last_forecast_year - 3-InputY!$G$3)*4+4)</f>
        <v>0.75075075075072562</v>
      </c>
      <c r="H267" s="1081">
        <f ca="1">OFFSET('Q1'!K280,0,(Last_forecast_year - 3-InputY!$G$3)*4+4)</f>
        <v>0.96564039816131597</v>
      </c>
      <c r="I267" s="1081">
        <f ca="1">OFFSET('Q1'!L280,0,(Last_forecast_year - 3-InputY!$G$3)*4+4)</f>
        <v>0.76496104497356665</v>
      </c>
      <c r="J267" s="1081">
        <f ca="1">OFFSET('Q1'!M280,0,(Last_forecast_year - 3-InputY!$G$3)*4+4)</f>
        <v>1.1742846240934801</v>
      </c>
      <c r="K267" s="1081">
        <f ca="1">OFFSET('Q1'!N280,0,(Last_forecast_year - 3-InputY!$G$3)*4+4)</f>
        <v>1.1235852011840519</v>
      </c>
      <c r="L267" s="1081">
        <f ca="1">OFFSET('Q1'!O280,0,(Last_forecast_year - 3-InputY!$G$3)*4+4)</f>
        <v>0.5924219234650252</v>
      </c>
      <c r="M267" s="1081">
        <f ca="1">OFFSET('Q1'!P280,0,(Last_forecast_year - 3-InputY!$G$3)*4+4)</f>
        <v>1.8657217999009212</v>
      </c>
      <c r="N267" s="1081">
        <f ca="1">OFFSET('Q1'!Q280,0,(Last_forecast_year - 3-InputY!$G$3)*4+4)</f>
        <v>1.4794241539144881</v>
      </c>
      <c r="O267" s="1081">
        <f ca="1">OFFSET('Q1'!R280,0,(Last_forecast_year - 3-InputY!$G$3)*4+4)</f>
        <v>0.29142197945466464</v>
      </c>
      <c r="P267" s="26"/>
      <c r="Q267"/>
      <c r="AA267" s="22">
        <v>167</v>
      </c>
      <c r="AB267" s="1081" t="str">
        <f>+B268</f>
        <v>HICP Q ENERGY</v>
      </c>
      <c r="AC267" s="1081">
        <f>CHOOSE(Tables!$U$2,Transfer!CA267,Transfer!CN267,Transfer!DA267,Transfer!DN267,Transfer!EA267)</f>
        <v>-9999</v>
      </c>
      <c r="AD267" s="1081">
        <f>CHOOSE(Tables!$U$2,Transfer!CB267,Transfer!CO267,Transfer!DB267,Transfer!DO267,Transfer!EB267)</f>
        <v>0.75636412101825101</v>
      </c>
      <c r="AE267" s="1081">
        <f>CHOOSE(Tables!$U$2,Transfer!CC267,Transfer!CP267,Transfer!DC267,Transfer!DP267,Transfer!EC267)</f>
        <v>0.82160392798691362</v>
      </c>
      <c r="AF267" s="1081">
        <f>CHOOSE(Tables!$U$2,Transfer!CD267,Transfer!CQ267,Transfer!DD267,Transfer!DQ267,Transfer!ED267)</f>
        <v>0.90963614554178207</v>
      </c>
      <c r="AG267" s="1081">
        <f>CHOOSE(Tables!$U$2,Transfer!CE267,Transfer!CR267,Transfer!DE267,Transfer!DR267,Transfer!EE267)</f>
        <v>0.75075075075072562</v>
      </c>
      <c r="AH267" s="1081">
        <f>CHOOSE(Tables!$U$2,Transfer!CF267,Transfer!CS267,Transfer!DF267,Transfer!DS267,Transfer!EF267)</f>
        <v>0.96564039816131597</v>
      </c>
      <c r="AI267" s="1081">
        <f>CHOOSE(Tables!$U$2,Transfer!CG267,Transfer!CT267,Transfer!DG267,Transfer!DT267,Transfer!EG267)</f>
        <v>0.76496104497356665</v>
      </c>
      <c r="AJ267" s="1081">
        <f>CHOOSE(Tables!$U$2,Transfer!CH267,Transfer!CU267,Transfer!DH267,Transfer!DU267,Transfer!EH267)</f>
        <v>1.1742846240934801</v>
      </c>
      <c r="AK267" s="1081">
        <f>CHOOSE(Tables!$U$2,Transfer!CI267,Transfer!CV267,Transfer!DI267,Transfer!DV267,Transfer!EI267)</f>
        <v>1.1235852011840519</v>
      </c>
      <c r="AL267" s="1081">
        <f>CHOOSE(Tables!$U$2,Transfer!CJ267,Transfer!CW267,Transfer!DJ267,Transfer!DW267,Transfer!EJ267)</f>
        <v>0.5924219234650252</v>
      </c>
      <c r="AM267" s="1081">
        <f>CHOOSE(Tables!$U$2,Transfer!CK267,Transfer!CX267,Transfer!DK267,Transfer!DX267,Transfer!EK267)</f>
        <v>1.8657217999009212</v>
      </c>
      <c r="AN267" s="1081">
        <f>CHOOSE(Tables!$U$2,Transfer!CL267,Transfer!CY267,Transfer!DL267,Transfer!DY267,Transfer!EL267)</f>
        <v>1.4794241539144881</v>
      </c>
      <c r="AO267" s="1081">
        <f>CHOOSE(Tables!$U$2,Transfer!CM267,Transfer!CZ267,Transfer!DM267,Transfer!DZ267,Transfer!EM267)</f>
        <v>0.29142197945466464</v>
      </c>
      <c r="AR267" s="22">
        <v>167</v>
      </c>
      <c r="AS267" s="30" t="s">
        <v>1998</v>
      </c>
      <c r="AT267" s="25">
        <f t="shared" si="42"/>
        <v>0</v>
      </c>
      <c r="AU267" s="25">
        <f t="shared" ca="1" si="42"/>
        <v>0</v>
      </c>
      <c r="AV267" s="25">
        <f t="shared" ca="1" si="42"/>
        <v>0</v>
      </c>
      <c r="AW267" s="25">
        <f t="shared" ca="1" si="41"/>
        <v>0</v>
      </c>
      <c r="AX267" s="25">
        <f t="shared" ca="1" si="41"/>
        <v>0</v>
      </c>
      <c r="AY267" s="25">
        <f t="shared" ca="1" si="41"/>
        <v>0</v>
      </c>
      <c r="AZ267" s="25">
        <f t="shared" ca="1" si="41"/>
        <v>0</v>
      </c>
      <c r="BA267" s="25">
        <f t="shared" ca="1" si="41"/>
        <v>0</v>
      </c>
      <c r="BB267" s="25">
        <f t="shared" ca="1" si="41"/>
        <v>0</v>
      </c>
      <c r="BC267" s="25">
        <f t="shared" ca="1" si="41"/>
        <v>0</v>
      </c>
      <c r="BD267" s="25">
        <f t="shared" ca="1" si="41"/>
        <v>0</v>
      </c>
      <c r="BE267" s="25">
        <f t="shared" ca="1" si="41"/>
        <v>0</v>
      </c>
      <c r="BF267" s="25">
        <f t="shared" ca="1" si="21"/>
        <v>0</v>
      </c>
      <c r="CA267" s="16">
        <v>-9999</v>
      </c>
      <c r="CB267" s="16">
        <v>0.75636412101825101</v>
      </c>
      <c r="CC267" s="16">
        <v>0.82160392798691362</v>
      </c>
      <c r="CD267" s="16">
        <v>0.90963614554178207</v>
      </c>
      <c r="CE267" s="16">
        <v>0.75075075075072562</v>
      </c>
      <c r="CF267" s="16">
        <v>0.96564039816131597</v>
      </c>
      <c r="CG267" s="16">
        <v>0.76496104497356665</v>
      </c>
      <c r="CH267" s="16">
        <v>1.1742846240934801</v>
      </c>
      <c r="CI267" s="16">
        <v>1.1235852011840519</v>
      </c>
      <c r="CJ267" s="16">
        <v>0.5924219234650252</v>
      </c>
      <c r="CK267" s="16">
        <v>1.8657217999009212</v>
      </c>
      <c r="CL267" s="16">
        <v>1.4794241539144881</v>
      </c>
      <c r="CM267" s="16">
        <v>0.29142197945466464</v>
      </c>
      <c r="CN267" s="16">
        <v>-9999</v>
      </c>
      <c r="CO267" s="16">
        <v>0.75636412101825101</v>
      </c>
      <c r="CP267" s="16">
        <v>0.82160392798691362</v>
      </c>
      <c r="CQ267" s="16">
        <v>0.90963614554178207</v>
      </c>
      <c r="CR267" s="16">
        <v>0.75075075075072562</v>
      </c>
      <c r="CS267" s="16">
        <v>0.90198572174615688</v>
      </c>
      <c r="CT267" s="16">
        <v>0.72291722378052814</v>
      </c>
      <c r="CU267" s="16">
        <v>0.79013824323119763</v>
      </c>
      <c r="CV267" s="16">
        <v>0.47198234346828016</v>
      </c>
      <c r="CW267" s="16">
        <v>7.292162141792069E-3</v>
      </c>
      <c r="CX267" s="16">
        <v>1.2515837521227091</v>
      </c>
      <c r="CY267" s="16">
        <v>1.5355931382055044</v>
      </c>
      <c r="CZ267" s="16">
        <v>0.87602576657181963</v>
      </c>
      <c r="DA267" s="16">
        <v>-9999</v>
      </c>
      <c r="DB267" s="16">
        <v>0.75636412101825101</v>
      </c>
      <c r="DC267" s="16">
        <v>0.82160392798691362</v>
      </c>
      <c r="DD267" s="16">
        <v>0.90963614554178207</v>
      </c>
      <c r="DE267" s="16">
        <v>0.75075075075072562</v>
      </c>
      <c r="DF267" s="16">
        <v>0.96564039816131597</v>
      </c>
      <c r="DG267" s="16">
        <v>0.76496104497356665</v>
      </c>
      <c r="DH267" s="16">
        <v>1.1742846240934801</v>
      </c>
      <c r="DI267" s="16">
        <v>1.1235852011840519</v>
      </c>
      <c r="DJ267" s="16">
        <v>0.5924219234650252</v>
      </c>
      <c r="DK267" s="16">
        <v>1.8657217999009212</v>
      </c>
      <c r="DL267" s="16">
        <v>1.4794241539144881</v>
      </c>
      <c r="DM267" s="16">
        <v>0.29142197945466464</v>
      </c>
      <c r="DN267" s="16">
        <v>-9999</v>
      </c>
      <c r="DO267" s="16">
        <v>0.75636412101825101</v>
      </c>
      <c r="DP267" s="16">
        <v>0.82160392798691362</v>
      </c>
      <c r="DQ267" s="16">
        <v>0.90963614554178207</v>
      </c>
      <c r="DR267" s="16">
        <v>0.75075075075072562</v>
      </c>
      <c r="DS267" s="16">
        <v>0.96564039816131597</v>
      </c>
      <c r="DT267" s="16">
        <v>0.76496104497356665</v>
      </c>
      <c r="DU267" s="16">
        <v>1.1742846240934801</v>
      </c>
      <c r="DV267" s="16">
        <v>1.1235852011840519</v>
      </c>
      <c r="DW267" s="16">
        <v>0.5924219234650252</v>
      </c>
      <c r="DX267" s="16">
        <v>1.8657217999009212</v>
      </c>
      <c r="DY267" s="16">
        <v>1.4794241539144881</v>
      </c>
      <c r="DZ267" s="16">
        <v>0.29142197945466464</v>
      </c>
      <c r="EA267" s="2107">
        <v>-9999</v>
      </c>
      <c r="EB267" s="2107">
        <v>0.75636412101825101</v>
      </c>
      <c r="EC267" s="2107">
        <v>0.82160392798691362</v>
      </c>
      <c r="ED267" s="2107">
        <v>0.90963614554178207</v>
      </c>
      <c r="EE267" s="2107">
        <v>0.75075075075072562</v>
      </c>
      <c r="EF267" s="2107">
        <v>0.96564039816131597</v>
      </c>
      <c r="EG267" s="2107">
        <v>0.76496104497356665</v>
      </c>
      <c r="EH267" s="2107">
        <v>1.1742846240934801</v>
      </c>
      <c r="EI267" s="2107">
        <v>1.1235852011840519</v>
      </c>
      <c r="EJ267" s="2107">
        <v>0.5924219234650252</v>
      </c>
      <c r="EK267" s="2107">
        <v>1.8657217999009212</v>
      </c>
      <c r="EL267" s="2107">
        <v>1.4794241539144881</v>
      </c>
      <c r="EM267" s="2107">
        <v>0.29142197945466464</v>
      </c>
    </row>
    <row r="268" spans="1:143">
      <c r="A268" s="22">
        <v>168</v>
      </c>
      <c r="B268" s="33" t="s">
        <v>313</v>
      </c>
      <c r="C268" s="25">
        <v>-9999</v>
      </c>
      <c r="D268" s="1081">
        <f ca="1">OFFSET('Q1'!G281,0,(Last_forecast_year - 3-InputY!$G$3)*4+4)</f>
        <v>18.370629870594129</v>
      </c>
      <c r="E268" s="1081">
        <f ca="1">OFFSET('Q1'!H281,0,(Last_forecast_year - 3-InputY!$G$3)*4+4)</f>
        <v>9.2640751122969505</v>
      </c>
      <c r="F268" s="1081">
        <f ca="1">OFFSET('Q1'!I281,0,(Last_forecast_year - 3-InputY!$G$3)*4+4)</f>
        <v>5.7628906765132513</v>
      </c>
      <c r="G268" s="1081">
        <f ca="1">OFFSET('Q1'!J281,0,(Last_forecast_year - 3-InputY!$G$3)*4+4)</f>
        <v>6.7620990881846552</v>
      </c>
      <c r="H268" s="1081">
        <f ca="1">OFFSET('Q1'!K281,0,(Last_forecast_year - 3-InputY!$G$3)*4+4)</f>
        <v>1.7304381964787341</v>
      </c>
      <c r="I268" s="1081">
        <f ca="1">OFFSET('Q1'!L281,0,(Last_forecast_year - 3-InputY!$G$3)*4+4)</f>
        <v>0.13007861342182458</v>
      </c>
      <c r="J268" s="1081">
        <f ca="1">OFFSET('Q1'!M281,0,(Last_forecast_year - 3-InputY!$G$3)*4+4)</f>
        <v>-1.9249093038805176</v>
      </c>
      <c r="K268" s="1081">
        <f ca="1">OFFSET('Q1'!N281,0,(Last_forecast_year - 3-InputY!$G$3)*4+4)</f>
        <v>-5.4490584306764127</v>
      </c>
      <c r="L268" s="1081">
        <f ca="1">OFFSET('Q1'!O281,0,(Last_forecast_year - 3-InputY!$G$3)*4+4)</f>
        <v>-4.2077538445164482</v>
      </c>
      <c r="M268" s="1081">
        <f ca="1">OFFSET('Q1'!P281,0,(Last_forecast_year - 3-InputY!$G$3)*4+4)</f>
        <v>-0.89634502026068041</v>
      </c>
      <c r="N268" s="1081">
        <f ca="1">OFFSET('Q1'!Q281,0,(Last_forecast_year - 3-InputY!$G$3)*4+4)</f>
        <v>1.1288431863228254</v>
      </c>
      <c r="O268" s="1081">
        <f ca="1">OFFSET('Q1'!R281,0,(Last_forecast_year - 3-InputY!$G$3)*4+4)</f>
        <v>-1.1999866651059565</v>
      </c>
      <c r="P268" s="26"/>
      <c r="Q268"/>
      <c r="AA268" s="22">
        <v>168</v>
      </c>
      <c r="AB268" s="1081" t="e">
        <f>+#REF!</f>
        <v>#REF!</v>
      </c>
      <c r="AC268" s="1081">
        <f>CHOOSE(Tables!$U$2,Transfer!CA268,Transfer!CN268,Transfer!DA268,Transfer!DN268,Transfer!EA268)</f>
        <v>-9999</v>
      </c>
      <c r="AD268" s="1081">
        <f>CHOOSE(Tables!$U$2,Transfer!CB268,Transfer!CO268,Transfer!DB268,Transfer!DO268,Transfer!EB268)</f>
        <v>18.370629870594129</v>
      </c>
      <c r="AE268" s="1081">
        <f>CHOOSE(Tables!$U$2,Transfer!CC268,Transfer!CP268,Transfer!DC268,Transfer!DP268,Transfer!EC268)</f>
        <v>9.2640751122969505</v>
      </c>
      <c r="AF268" s="1081">
        <f>CHOOSE(Tables!$U$2,Transfer!CD268,Transfer!CQ268,Transfer!DD268,Transfer!DQ268,Transfer!ED268)</f>
        <v>5.7628906765132513</v>
      </c>
      <c r="AG268" s="1081">
        <f>CHOOSE(Tables!$U$2,Transfer!CE268,Transfer!CR268,Transfer!DE268,Transfer!DR268,Transfer!EE268)</f>
        <v>6.7620990881846552</v>
      </c>
      <c r="AH268" s="1081">
        <f>CHOOSE(Tables!$U$2,Transfer!CF268,Transfer!CS268,Transfer!DF268,Transfer!DS268,Transfer!EF268)</f>
        <v>1.7304381964787341</v>
      </c>
      <c r="AI268" s="1081">
        <f>CHOOSE(Tables!$U$2,Transfer!CG268,Transfer!CT268,Transfer!DG268,Transfer!DT268,Transfer!EG268)</f>
        <v>0.13007861342182458</v>
      </c>
      <c r="AJ268" s="1081">
        <f>CHOOSE(Tables!$U$2,Transfer!CH268,Transfer!CU268,Transfer!DH268,Transfer!DU268,Transfer!EH268)</f>
        <v>-1.9249093038805176</v>
      </c>
      <c r="AK268" s="1081">
        <f>CHOOSE(Tables!$U$2,Transfer!CI268,Transfer!CV268,Transfer!DI268,Transfer!DV268,Transfer!EI268)</f>
        <v>-5.4490584306764127</v>
      </c>
      <c r="AL268" s="1081">
        <f>CHOOSE(Tables!$U$2,Transfer!CJ268,Transfer!CW268,Transfer!DJ268,Transfer!DW268,Transfer!EJ268)</f>
        <v>-4.2077538445164482</v>
      </c>
      <c r="AM268" s="1081">
        <f>CHOOSE(Tables!$U$2,Transfer!CK268,Transfer!CX268,Transfer!DK268,Transfer!DX268,Transfer!EK268)</f>
        <v>-0.89634502026068041</v>
      </c>
      <c r="AN268" s="1081">
        <f>CHOOSE(Tables!$U$2,Transfer!CL268,Transfer!CY268,Transfer!DL268,Transfer!DY268,Transfer!EL268)</f>
        <v>1.1288431863228254</v>
      </c>
      <c r="AO268" s="1081">
        <f>CHOOSE(Tables!$U$2,Transfer!CM268,Transfer!CZ268,Transfer!DM268,Transfer!DZ268,Transfer!EM268)</f>
        <v>-1.1999866651059565</v>
      </c>
      <c r="AR268" s="22">
        <v>168</v>
      </c>
      <c r="AS268" s="30" t="s">
        <v>1998</v>
      </c>
      <c r="AT268" s="25">
        <f t="shared" si="42"/>
        <v>0</v>
      </c>
      <c r="AU268" s="25">
        <f t="shared" ca="1" si="42"/>
        <v>0</v>
      </c>
      <c r="AV268" s="25">
        <f t="shared" ca="1" si="42"/>
        <v>0</v>
      </c>
      <c r="AW268" s="25">
        <f t="shared" ca="1" si="41"/>
        <v>0</v>
      </c>
      <c r="AX268" s="25">
        <f t="shared" ca="1" si="41"/>
        <v>0</v>
      </c>
      <c r="AY268" s="25">
        <f t="shared" ca="1" si="41"/>
        <v>0</v>
      </c>
      <c r="AZ268" s="25">
        <f t="shared" ca="1" si="41"/>
        <v>0</v>
      </c>
      <c r="BA268" s="25">
        <f t="shared" ca="1" si="41"/>
        <v>0</v>
      </c>
      <c r="BB268" s="25">
        <f t="shared" ca="1" si="41"/>
        <v>0</v>
      </c>
      <c r="BC268" s="25">
        <f t="shared" ca="1" si="41"/>
        <v>0</v>
      </c>
      <c r="BD268" s="25">
        <f t="shared" ca="1" si="41"/>
        <v>0</v>
      </c>
      <c r="BE268" s="25">
        <f t="shared" ca="1" si="41"/>
        <v>0</v>
      </c>
      <c r="BF268" s="25">
        <f t="shared" ca="1" si="21"/>
        <v>0</v>
      </c>
      <c r="CA268" s="16">
        <v>-9999</v>
      </c>
      <c r="CB268" s="16">
        <v>18.370629870594129</v>
      </c>
      <c r="CC268" s="16">
        <v>9.2640751122969505</v>
      </c>
      <c r="CD268" s="16">
        <v>5.7628906765132513</v>
      </c>
      <c r="CE268" s="16">
        <v>6.7620990881846552</v>
      </c>
      <c r="CF268" s="16">
        <v>1.7304381964787341</v>
      </c>
      <c r="CG268" s="16">
        <v>0.13007861342182458</v>
      </c>
      <c r="CH268" s="16">
        <v>-1.9249093038805176</v>
      </c>
      <c r="CI268" s="16">
        <v>-5.4490584306764127</v>
      </c>
      <c r="CJ268" s="16">
        <v>-4.2077538445164482</v>
      </c>
      <c r="CK268" s="16">
        <v>-0.89634502026068041</v>
      </c>
      <c r="CL268" s="16">
        <v>1.1288431863228254</v>
      </c>
      <c r="CM268" s="16">
        <v>-1.1999866651059565</v>
      </c>
      <c r="CN268" s="16">
        <v>-9999</v>
      </c>
      <c r="CO268" s="16">
        <v>18.370629870594129</v>
      </c>
      <c r="CP268" s="16">
        <v>9.2640751122969505</v>
      </c>
      <c r="CQ268" s="16">
        <v>5.7628906765132513</v>
      </c>
      <c r="CR268" s="16">
        <v>6.7620990881846552</v>
      </c>
      <c r="CS268" s="16">
        <v>2.7579833773343276</v>
      </c>
      <c r="CT268" s="16">
        <v>2.081484368484432</v>
      </c>
      <c r="CU268" s="16">
        <v>0.18262853968957771</v>
      </c>
      <c r="CV268" s="16">
        <v>-1.8582353251781702</v>
      </c>
      <c r="CW268" s="16">
        <v>-0.46624801461891963</v>
      </c>
      <c r="CX268" s="16">
        <v>2.2320714315968049</v>
      </c>
      <c r="CY268" s="16">
        <v>3.5912718013528355</v>
      </c>
      <c r="CZ268" s="16">
        <v>1.6087167504555966</v>
      </c>
      <c r="DA268" s="16">
        <v>-9999</v>
      </c>
      <c r="DB268" s="16">
        <v>18.370629870594129</v>
      </c>
      <c r="DC268" s="16">
        <v>9.2640751122969505</v>
      </c>
      <c r="DD268" s="16">
        <v>5.7628906765132513</v>
      </c>
      <c r="DE268" s="16">
        <v>6.7620990881846552</v>
      </c>
      <c r="DF268" s="16">
        <v>1.7304381964787341</v>
      </c>
      <c r="DG268" s="16">
        <v>0.13007861342182458</v>
      </c>
      <c r="DH268" s="16">
        <v>-1.9249093038805176</v>
      </c>
      <c r="DI268" s="16">
        <v>-5.4490584306764127</v>
      </c>
      <c r="DJ268" s="16">
        <v>-4.2077538445164482</v>
      </c>
      <c r="DK268" s="16">
        <v>-0.89634502026068041</v>
      </c>
      <c r="DL268" s="16">
        <v>1.1288431863228254</v>
      </c>
      <c r="DM268" s="16">
        <v>-1.1999866651059565</v>
      </c>
      <c r="DN268" s="16">
        <v>-9999</v>
      </c>
      <c r="DO268" s="16">
        <v>18.370629870594129</v>
      </c>
      <c r="DP268" s="16">
        <v>9.2640751122969505</v>
      </c>
      <c r="DQ268" s="16">
        <v>5.7628906765132513</v>
      </c>
      <c r="DR268" s="16">
        <v>6.7620990881846552</v>
      </c>
      <c r="DS268" s="16">
        <v>1.7304381964787341</v>
      </c>
      <c r="DT268" s="16">
        <v>0.13007861342182458</v>
      </c>
      <c r="DU268" s="16">
        <v>-1.9249093038805176</v>
      </c>
      <c r="DV268" s="16">
        <v>-5.4490584306764127</v>
      </c>
      <c r="DW268" s="16">
        <v>-4.2077538445164482</v>
      </c>
      <c r="DX268" s="16">
        <v>-0.89634502026068041</v>
      </c>
      <c r="DY268" s="16">
        <v>1.1288431863228254</v>
      </c>
      <c r="DZ268" s="16">
        <v>-1.1999866651059565</v>
      </c>
      <c r="EA268" s="2107">
        <v>-9999</v>
      </c>
      <c r="EB268" s="2107">
        <v>18.370629870594129</v>
      </c>
      <c r="EC268" s="2107">
        <v>9.2640751122969505</v>
      </c>
      <c r="ED268" s="2107">
        <v>5.7628906765132513</v>
      </c>
      <c r="EE268" s="2107">
        <v>6.7620990881846552</v>
      </c>
      <c r="EF268" s="2107">
        <v>1.7304381964787341</v>
      </c>
      <c r="EG268" s="2107">
        <v>0.13007861342182458</v>
      </c>
      <c r="EH268" s="2107">
        <v>-1.9249093038805176</v>
      </c>
      <c r="EI268" s="2107">
        <v>-5.4490584306764127</v>
      </c>
      <c r="EJ268" s="2107">
        <v>-4.2077538445164482</v>
      </c>
      <c r="EK268" s="2107">
        <v>-0.89634502026068041</v>
      </c>
      <c r="EL268" s="2107">
        <v>1.1288431863228254</v>
      </c>
      <c r="EM268" s="2107">
        <v>-1.1999866651059565</v>
      </c>
    </row>
    <row r="269" spans="1:143">
      <c r="A269" s="22">
        <v>169</v>
      </c>
      <c r="B269" s="33" t="s">
        <v>314</v>
      </c>
      <c r="C269" s="25">
        <v>-9999</v>
      </c>
      <c r="D269" s="1081">
        <f ca="1">OFFSET('Q1'!G283,0,(Last_forecast_year - 3-InputY!$G$3)*4+4)</f>
        <v>1.5577840521857809</v>
      </c>
      <c r="E269" s="1081">
        <f ca="1">OFFSET('Q1'!H283,0,(Last_forecast_year - 3-InputY!$G$3)*4+4)</f>
        <v>1.8752207558680851</v>
      </c>
      <c r="F269" s="1081">
        <f ca="1">OFFSET('Q1'!I283,0,(Last_forecast_year - 3-InputY!$G$3)*4+4)</f>
        <v>2.501768602482457</v>
      </c>
      <c r="G269" s="1081">
        <f ca="1">OFFSET('Q1'!J283,0,(Last_forecast_year - 3-InputY!$G$3)*4+4)</f>
        <v>2.6344570252187367</v>
      </c>
      <c r="H269" s="1081">
        <f ca="1">OFFSET('Q1'!K283,0,(Last_forecast_year - 3-InputY!$G$3)*4+4)</f>
        <v>3.611031221039851</v>
      </c>
      <c r="I269" s="1081">
        <f ca="1">OFFSET('Q1'!L283,0,(Last_forecast_year - 3-InputY!$G$3)*4+4)</f>
        <v>3.1336468333002854</v>
      </c>
      <c r="J269" s="1081">
        <f ca="1">OFFSET('Q1'!M283,0,(Last_forecast_year - 3-InputY!$G$3)*4+4)</f>
        <v>3.0001773619390937</v>
      </c>
      <c r="K269" s="1081">
        <f ca="1">OFFSET('Q1'!N283,0,(Last_forecast_year - 3-InputY!$G$3)*4+4)</f>
        <v>2.0427162558244172</v>
      </c>
      <c r="L269" s="1081">
        <f ca="1">OFFSET('Q1'!O283,0,(Last_forecast_year - 3-InputY!$G$3)*4+4)</f>
        <v>0.99651927112034411</v>
      </c>
      <c r="M269" s="1081">
        <f ca="1">OFFSET('Q1'!P283,0,(Last_forecast_year - 3-InputY!$G$3)*4+4)</f>
        <v>1.1451718109163789</v>
      </c>
      <c r="N269" s="1081">
        <f ca="1">OFFSET('Q1'!Q283,0,(Last_forecast_year - 3-InputY!$G$3)*4+4)</f>
        <v>3.0747768766048234</v>
      </c>
      <c r="O269" s="1081">
        <f ca="1">OFFSET('Q1'!R283,0,(Last_forecast_year - 3-InputY!$G$3)*4+4)</f>
        <v>4.735378123645817</v>
      </c>
      <c r="P269" s="26"/>
      <c r="Q269"/>
      <c r="AA269" s="22">
        <v>169</v>
      </c>
      <c r="AB269" s="1081" t="str">
        <f t="shared" si="31"/>
        <v>HICP Q PROCESSED FOOD INCL. ALCOHOL AND TOBACCO</v>
      </c>
      <c r="AC269" s="1081">
        <f>CHOOSE(Tables!$U$2,Transfer!CA269,Transfer!CN269,Transfer!DA269,Transfer!DN269,Transfer!EA269)</f>
        <v>-9999</v>
      </c>
      <c r="AD269" s="1081">
        <f>CHOOSE(Tables!$U$2,Transfer!CB269,Transfer!CO269,Transfer!DB269,Transfer!DO269,Transfer!EB269)</f>
        <v>1.5577840521857809</v>
      </c>
      <c r="AE269" s="1081">
        <f>CHOOSE(Tables!$U$2,Transfer!CC269,Transfer!CP269,Transfer!DC269,Transfer!DP269,Transfer!EC269)</f>
        <v>1.8752207558680851</v>
      </c>
      <c r="AF269" s="1081">
        <f>CHOOSE(Tables!$U$2,Transfer!CD269,Transfer!CQ269,Transfer!DD269,Transfer!DQ269,Transfer!ED269)</f>
        <v>2.501768602482457</v>
      </c>
      <c r="AG269" s="1081">
        <f>CHOOSE(Tables!$U$2,Transfer!CE269,Transfer!CR269,Transfer!DE269,Transfer!DR269,Transfer!EE269)</f>
        <v>2.6344570252187367</v>
      </c>
      <c r="AH269" s="1081">
        <f>CHOOSE(Tables!$U$2,Transfer!CF269,Transfer!CS269,Transfer!DF269,Transfer!DS269,Transfer!EF269)</f>
        <v>3.611031221039851</v>
      </c>
      <c r="AI269" s="1081">
        <f>CHOOSE(Tables!$U$2,Transfer!CG269,Transfer!CT269,Transfer!DG269,Transfer!DT269,Transfer!EG269)</f>
        <v>3.1336468333002854</v>
      </c>
      <c r="AJ269" s="1081">
        <f>CHOOSE(Tables!$U$2,Transfer!CH269,Transfer!CU269,Transfer!DH269,Transfer!DU269,Transfer!EH269)</f>
        <v>3.0001773619390937</v>
      </c>
      <c r="AK269" s="1081">
        <f>CHOOSE(Tables!$U$2,Transfer!CI269,Transfer!CV269,Transfer!DI269,Transfer!DV269,Transfer!EI269)</f>
        <v>2.0427162558244172</v>
      </c>
      <c r="AL269" s="1081">
        <f>CHOOSE(Tables!$U$2,Transfer!CJ269,Transfer!CW269,Transfer!DJ269,Transfer!DW269,Transfer!EJ269)</f>
        <v>0.99651927112034411</v>
      </c>
      <c r="AM269" s="1081">
        <f>CHOOSE(Tables!$U$2,Transfer!CK269,Transfer!CX269,Transfer!DK269,Transfer!DX269,Transfer!EK269)</f>
        <v>1.1451718109163789</v>
      </c>
      <c r="AN269" s="1081">
        <f>CHOOSE(Tables!$U$2,Transfer!CL269,Transfer!CY269,Transfer!DL269,Transfer!DY269,Transfer!EL269)</f>
        <v>3.0747768766048234</v>
      </c>
      <c r="AO269" s="1081">
        <f>CHOOSE(Tables!$U$2,Transfer!CM269,Transfer!CZ269,Transfer!DM269,Transfer!DZ269,Transfer!EM269)</f>
        <v>4.735378123645817</v>
      </c>
      <c r="AR269" s="22">
        <v>169</v>
      </c>
      <c r="AS269" s="30" t="s">
        <v>1998</v>
      </c>
      <c r="AT269" s="25">
        <f t="shared" si="42"/>
        <v>0</v>
      </c>
      <c r="AU269" s="25">
        <f t="shared" ca="1" si="42"/>
        <v>0</v>
      </c>
      <c r="AV269" s="25">
        <f t="shared" ca="1" si="42"/>
        <v>0</v>
      </c>
      <c r="AW269" s="25">
        <f t="shared" ca="1" si="41"/>
        <v>0</v>
      </c>
      <c r="AX269" s="25">
        <f t="shared" ca="1" si="41"/>
        <v>0</v>
      </c>
      <c r="AY269" s="25">
        <f t="shared" ca="1" si="41"/>
        <v>0</v>
      </c>
      <c r="AZ269" s="25">
        <f t="shared" ca="1" si="41"/>
        <v>0</v>
      </c>
      <c r="BA269" s="25">
        <f t="shared" ca="1" si="41"/>
        <v>0</v>
      </c>
      <c r="BB269" s="25">
        <f t="shared" ca="1" si="41"/>
        <v>0</v>
      </c>
      <c r="BC269" s="25">
        <f t="shared" ca="1" si="41"/>
        <v>0</v>
      </c>
      <c r="BD269" s="25">
        <f t="shared" ca="1" si="41"/>
        <v>0</v>
      </c>
      <c r="BE269" s="25">
        <f t="shared" ca="1" si="41"/>
        <v>0</v>
      </c>
      <c r="BF269" s="25">
        <f t="shared" ca="1" si="21"/>
        <v>0</v>
      </c>
      <c r="CA269" s="16">
        <v>-9999</v>
      </c>
      <c r="CB269" s="16">
        <v>1.5577840521857809</v>
      </c>
      <c r="CC269" s="16">
        <v>1.8752207558680851</v>
      </c>
      <c r="CD269" s="16">
        <v>2.501768602482457</v>
      </c>
      <c r="CE269" s="16">
        <v>2.6344570252187367</v>
      </c>
      <c r="CF269" s="16">
        <v>3.611031221039851</v>
      </c>
      <c r="CG269" s="16">
        <v>3.1336468333002854</v>
      </c>
      <c r="CH269" s="16">
        <v>3.0001773619390937</v>
      </c>
      <c r="CI269" s="16">
        <v>2.0427162558244172</v>
      </c>
      <c r="CJ269" s="16">
        <v>0.99651927112034411</v>
      </c>
      <c r="CK269" s="16">
        <v>1.1451718109163789</v>
      </c>
      <c r="CL269" s="16">
        <v>3.0747768766048234</v>
      </c>
      <c r="CM269" s="16">
        <v>4.735378123645817</v>
      </c>
      <c r="CN269" s="16">
        <v>-9999</v>
      </c>
      <c r="CO269" s="16">
        <v>1.5577840521857809</v>
      </c>
      <c r="CP269" s="16">
        <v>1.8752207558680851</v>
      </c>
      <c r="CQ269" s="16">
        <v>2.501768602482457</v>
      </c>
      <c r="CR269" s="16">
        <v>2.6344570252187367</v>
      </c>
      <c r="CS269" s="16">
        <v>2.4625874312785845</v>
      </c>
      <c r="CT269" s="16">
        <v>1.7263031869062972</v>
      </c>
      <c r="CU269" s="16">
        <v>2.2025372140934252</v>
      </c>
      <c r="CV269" s="16">
        <v>1.4202486083543242</v>
      </c>
      <c r="CW269" s="16">
        <v>1.505539630262942</v>
      </c>
      <c r="CX269" s="16">
        <v>1.5805618031706548</v>
      </c>
      <c r="CY269" s="16">
        <v>1.0437600748282483</v>
      </c>
      <c r="CZ269" s="16">
        <v>2.1646195918673783</v>
      </c>
      <c r="DA269" s="16">
        <v>-9999</v>
      </c>
      <c r="DB269" s="16">
        <v>1.5577840521857809</v>
      </c>
      <c r="DC269" s="16">
        <v>1.8752207558680851</v>
      </c>
      <c r="DD269" s="16">
        <v>2.501768602482457</v>
      </c>
      <c r="DE269" s="16">
        <v>2.6344570252187367</v>
      </c>
      <c r="DF269" s="16">
        <v>3.611031221039851</v>
      </c>
      <c r="DG269" s="16">
        <v>3.1336468333002854</v>
      </c>
      <c r="DH269" s="16">
        <v>3.0001773619390937</v>
      </c>
      <c r="DI269" s="16">
        <v>2.0427162558244172</v>
      </c>
      <c r="DJ269" s="16">
        <v>0.99651927112034411</v>
      </c>
      <c r="DK269" s="16">
        <v>1.1451718109163789</v>
      </c>
      <c r="DL269" s="16">
        <v>3.0747768766048234</v>
      </c>
      <c r="DM269" s="16">
        <v>4.735378123645817</v>
      </c>
      <c r="DN269" s="16">
        <v>-9999</v>
      </c>
      <c r="DO269" s="16">
        <v>1.5577840521857809</v>
      </c>
      <c r="DP269" s="16">
        <v>1.8752207558680851</v>
      </c>
      <c r="DQ269" s="16">
        <v>2.501768602482457</v>
      </c>
      <c r="DR269" s="16">
        <v>2.6344570252187367</v>
      </c>
      <c r="DS269" s="16">
        <v>3.611031221039851</v>
      </c>
      <c r="DT269" s="16">
        <v>3.1336468333002854</v>
      </c>
      <c r="DU269" s="16">
        <v>3.0001773619390937</v>
      </c>
      <c r="DV269" s="16">
        <v>2.0427162558244172</v>
      </c>
      <c r="DW269" s="16">
        <v>0.99651927112034411</v>
      </c>
      <c r="DX269" s="16">
        <v>1.1451718109163789</v>
      </c>
      <c r="DY269" s="16">
        <v>3.0747768766048234</v>
      </c>
      <c r="DZ269" s="16">
        <v>4.735378123645817</v>
      </c>
      <c r="EA269" s="2107">
        <v>-9999</v>
      </c>
      <c r="EB269" s="2107">
        <v>1.5577840521857809</v>
      </c>
      <c r="EC269" s="2107">
        <v>1.8752207558680851</v>
      </c>
      <c r="ED269" s="2107">
        <v>2.501768602482457</v>
      </c>
      <c r="EE269" s="2107">
        <v>2.6344570252187367</v>
      </c>
      <c r="EF269" s="2107">
        <v>3.611031221039851</v>
      </c>
      <c r="EG269" s="2107">
        <v>3.1336468333002854</v>
      </c>
      <c r="EH269" s="2107">
        <v>3.0001773619390937</v>
      </c>
      <c r="EI269" s="2107">
        <v>2.0427162558244172</v>
      </c>
      <c r="EJ269" s="2107">
        <v>0.99651927112034411</v>
      </c>
      <c r="EK269" s="2107">
        <v>1.1451718109163789</v>
      </c>
      <c r="EL269" s="2107">
        <v>3.0747768766048234</v>
      </c>
      <c r="EM269" s="2107">
        <v>4.735378123645817</v>
      </c>
    </row>
    <row r="270" spans="1:143">
      <c r="A270" s="22">
        <v>170</v>
      </c>
      <c r="B270" s="33" t="s">
        <v>754</v>
      </c>
      <c r="C270" s="25">
        <v>-9999</v>
      </c>
      <c r="D270" s="1081">
        <f ca="1">OFFSET('Q1'!G282,0,(Last_forecast_year - 3-InputY!$G$3)*4+4)</f>
        <v>2.054501824397633</v>
      </c>
      <c r="E270" s="1081">
        <f ca="1">OFFSET('Q1'!H282,0,(Last_forecast_year - 3-InputY!$G$3)*4+4)</f>
        <v>-1.3791342101902728</v>
      </c>
      <c r="F270" s="1081">
        <f ca="1">OFFSET('Q1'!I282,0,(Last_forecast_year - 3-InputY!$G$3)*4+4)</f>
        <v>-0.49895643099398512</v>
      </c>
      <c r="G270" s="1081">
        <f ca="1">OFFSET('Q1'!J282,0,(Last_forecast_year - 3-InputY!$G$3)*4+4)</f>
        <v>0.14673753546159674</v>
      </c>
      <c r="H270" s="1081">
        <f ca="1">OFFSET('Q1'!K282,0,(Last_forecast_year - 3-InputY!$G$3)*4+4)</f>
        <v>0.25446112220575134</v>
      </c>
      <c r="I270" s="1081">
        <f ca="1">OFFSET('Q1'!L282,0,(Last_forecast_year - 3-InputY!$G$3)*4+4)</f>
        <v>2.3614868748692786</v>
      </c>
      <c r="J270" s="1081">
        <f ca="1">OFFSET('Q1'!M282,0,(Last_forecast_year - 3-InputY!$G$3)*4+4)</f>
        <v>3.1234856439323444</v>
      </c>
      <c r="K270" s="1081">
        <f ca="1">OFFSET('Q1'!N282,0,(Last_forecast_year - 3-InputY!$G$3)*4+4)</f>
        <v>3.5405963267577167</v>
      </c>
      <c r="L270" s="1081">
        <f ca="1">OFFSET('Q1'!O282,0,(Last_forecast_year - 3-InputY!$G$3)*4+4)</f>
        <v>4.1746929072765004</v>
      </c>
      <c r="M270" s="1081">
        <f ca="1">OFFSET('Q1'!P282,0,(Last_forecast_year - 3-InputY!$G$3)*4+4)</f>
        <v>2.364587672006957</v>
      </c>
      <c r="N270" s="1081">
        <f ca="1">OFFSET('Q1'!Q282,0,(Last_forecast_year - 3-InputY!$G$3)*4+4)</f>
        <v>1.7122183679792791</v>
      </c>
      <c r="O270" s="1081">
        <f ca="1">OFFSET('Q1'!R282,0,(Last_forecast_year - 3-InputY!$G$3)*4+4)</f>
        <v>1.4775282669199807</v>
      </c>
      <c r="P270" s="26"/>
      <c r="Q270"/>
      <c r="AA270" s="22">
        <v>170</v>
      </c>
      <c r="AB270" s="1081" t="e">
        <f>+#REF!</f>
        <v>#REF!</v>
      </c>
      <c r="AC270" s="1081">
        <f>CHOOSE(Tables!$U$2,Transfer!CA270,Transfer!CN270,Transfer!DA270,Transfer!DN270,Transfer!EA270)</f>
        <v>-9999</v>
      </c>
      <c r="AD270" s="1081">
        <f>CHOOSE(Tables!$U$2,Transfer!CB270,Transfer!CO270,Transfer!DB270,Transfer!DO270,Transfer!EB270)</f>
        <v>2.054501824397633</v>
      </c>
      <c r="AE270" s="1081">
        <f>CHOOSE(Tables!$U$2,Transfer!CC270,Transfer!CP270,Transfer!DC270,Transfer!DP270,Transfer!EC270)</f>
        <v>-1.3791342101902728</v>
      </c>
      <c r="AF270" s="1081">
        <f>CHOOSE(Tables!$U$2,Transfer!CD270,Transfer!CQ270,Transfer!DD270,Transfer!DQ270,Transfer!ED270)</f>
        <v>-0.49895643099398512</v>
      </c>
      <c r="AG270" s="1081">
        <f>CHOOSE(Tables!$U$2,Transfer!CE270,Transfer!CR270,Transfer!DE270,Transfer!DR270,Transfer!EE270)</f>
        <v>0.14673753546159674</v>
      </c>
      <c r="AH270" s="1081">
        <f>CHOOSE(Tables!$U$2,Transfer!CF270,Transfer!CS270,Transfer!DF270,Transfer!DS270,Transfer!EF270)</f>
        <v>0.25446112220575134</v>
      </c>
      <c r="AI270" s="1081">
        <f>CHOOSE(Tables!$U$2,Transfer!CG270,Transfer!CT270,Transfer!DG270,Transfer!DT270,Transfer!EG270)</f>
        <v>2.3614868748692786</v>
      </c>
      <c r="AJ270" s="1081">
        <f>CHOOSE(Tables!$U$2,Transfer!CH270,Transfer!CU270,Transfer!DH270,Transfer!DU270,Transfer!EH270)</f>
        <v>3.1234856439323444</v>
      </c>
      <c r="AK270" s="1081">
        <f>CHOOSE(Tables!$U$2,Transfer!CI270,Transfer!CV270,Transfer!DI270,Transfer!DV270,Transfer!EI270)</f>
        <v>3.5405963267577167</v>
      </c>
      <c r="AL270" s="1081">
        <f>CHOOSE(Tables!$U$2,Transfer!CJ270,Transfer!CW270,Transfer!DJ270,Transfer!DW270,Transfer!EJ270)</f>
        <v>4.1746929072765004</v>
      </c>
      <c r="AM270" s="1081">
        <f>CHOOSE(Tables!$U$2,Transfer!CK270,Transfer!CX270,Transfer!DK270,Transfer!DX270,Transfer!EK270)</f>
        <v>2.364587672006957</v>
      </c>
      <c r="AN270" s="1081">
        <f>CHOOSE(Tables!$U$2,Transfer!CL270,Transfer!CY270,Transfer!DL270,Transfer!DY270,Transfer!EL270)</f>
        <v>1.7122183679792791</v>
      </c>
      <c r="AO270" s="1081">
        <f>CHOOSE(Tables!$U$2,Transfer!CM270,Transfer!CZ270,Transfer!DM270,Transfer!DZ270,Transfer!EM270)</f>
        <v>1.4775282669199807</v>
      </c>
      <c r="AR270" s="22">
        <v>170</v>
      </c>
      <c r="AS270" s="30" t="s">
        <v>1998</v>
      </c>
      <c r="AT270" s="25">
        <f t="shared" si="42"/>
        <v>0</v>
      </c>
      <c r="AU270" s="25">
        <f t="shared" ca="1" si="42"/>
        <v>0</v>
      </c>
      <c r="AV270" s="25">
        <f t="shared" ca="1" si="42"/>
        <v>0</v>
      </c>
      <c r="AW270" s="25">
        <f t="shared" ca="1" si="41"/>
        <v>0</v>
      </c>
      <c r="AX270" s="25">
        <f t="shared" ca="1" si="41"/>
        <v>0</v>
      </c>
      <c r="AY270" s="25">
        <f t="shared" ca="1" si="41"/>
        <v>0</v>
      </c>
      <c r="AZ270" s="25">
        <f t="shared" ca="1" si="41"/>
        <v>0</v>
      </c>
      <c r="BA270" s="25">
        <f t="shared" ca="1" si="41"/>
        <v>0</v>
      </c>
      <c r="BB270" s="25">
        <f t="shared" ca="1" si="41"/>
        <v>0</v>
      </c>
      <c r="BC270" s="25">
        <f t="shared" ca="1" si="41"/>
        <v>0</v>
      </c>
      <c r="BD270" s="25">
        <f t="shared" ca="1" si="41"/>
        <v>0</v>
      </c>
      <c r="BE270" s="25">
        <f t="shared" ca="1" si="41"/>
        <v>0</v>
      </c>
      <c r="BF270" s="25">
        <f t="shared" ca="1" si="21"/>
        <v>0</v>
      </c>
      <c r="CA270" s="16">
        <v>-9999</v>
      </c>
      <c r="CB270" s="16">
        <v>2.054501824397633</v>
      </c>
      <c r="CC270" s="16">
        <v>-1.3791342101902728</v>
      </c>
      <c r="CD270" s="16">
        <v>-0.49895643099398512</v>
      </c>
      <c r="CE270" s="16">
        <v>0.14673753546159674</v>
      </c>
      <c r="CF270" s="16">
        <v>0.25446112220575134</v>
      </c>
      <c r="CG270" s="16">
        <v>2.3614868748692786</v>
      </c>
      <c r="CH270" s="16">
        <v>3.1234856439323444</v>
      </c>
      <c r="CI270" s="16">
        <v>3.5405963267577167</v>
      </c>
      <c r="CJ270" s="16">
        <v>4.1746929072765004</v>
      </c>
      <c r="CK270" s="16">
        <v>2.364587672006957</v>
      </c>
      <c r="CL270" s="16">
        <v>1.7122183679792791</v>
      </c>
      <c r="CM270" s="16">
        <v>1.4775282669199807</v>
      </c>
      <c r="CN270" s="16">
        <v>-9999</v>
      </c>
      <c r="CO270" s="16">
        <v>2.054501824397633</v>
      </c>
      <c r="CP270" s="16">
        <v>-1.3791342101902728</v>
      </c>
      <c r="CQ270" s="16">
        <v>-0.49895643099398512</v>
      </c>
      <c r="CR270" s="16">
        <v>0.14673753546159674</v>
      </c>
      <c r="CS270" s="16">
        <v>-7.3433268235723048E-3</v>
      </c>
      <c r="CT270" s="16">
        <v>1.4569348650253167</v>
      </c>
      <c r="CU270" s="16">
        <v>2.312129123456752</v>
      </c>
      <c r="CV270" s="16">
        <v>2.7259580565414554</v>
      </c>
      <c r="CW270" s="16">
        <v>3.6256737142768447</v>
      </c>
      <c r="CX270" s="16">
        <v>1.7846382177117537</v>
      </c>
      <c r="CY270" s="16">
        <v>1.2662049981706058</v>
      </c>
      <c r="CZ270" s="16">
        <v>1.266204998170628</v>
      </c>
      <c r="DA270" s="16">
        <v>-9999</v>
      </c>
      <c r="DB270" s="16">
        <v>2.054501824397633</v>
      </c>
      <c r="DC270" s="16">
        <v>-1.3791342101902728</v>
      </c>
      <c r="DD270" s="16">
        <v>-0.49895643099398512</v>
      </c>
      <c r="DE270" s="16">
        <v>0.14673753546159674</v>
      </c>
      <c r="DF270" s="16">
        <v>0.25446112220575134</v>
      </c>
      <c r="DG270" s="16">
        <v>2.3614868748692786</v>
      </c>
      <c r="DH270" s="16">
        <v>3.1234856439323444</v>
      </c>
      <c r="DI270" s="16">
        <v>3.5405963267577167</v>
      </c>
      <c r="DJ270" s="16">
        <v>4.1746929072765004</v>
      </c>
      <c r="DK270" s="16">
        <v>2.364587672006957</v>
      </c>
      <c r="DL270" s="16">
        <v>1.7122183679792791</v>
      </c>
      <c r="DM270" s="16">
        <v>1.4775282669199807</v>
      </c>
      <c r="DN270" s="16">
        <v>-9999</v>
      </c>
      <c r="DO270" s="16">
        <v>2.054501824397633</v>
      </c>
      <c r="DP270" s="16">
        <v>-1.3791342101902728</v>
      </c>
      <c r="DQ270" s="16">
        <v>-0.49895643099398512</v>
      </c>
      <c r="DR270" s="16">
        <v>0.14673753546159674</v>
      </c>
      <c r="DS270" s="16">
        <v>0.25446112220575134</v>
      </c>
      <c r="DT270" s="16">
        <v>2.3614868748692786</v>
      </c>
      <c r="DU270" s="16">
        <v>3.1234856439323444</v>
      </c>
      <c r="DV270" s="16">
        <v>3.5405963267577167</v>
      </c>
      <c r="DW270" s="16">
        <v>4.1746929072765004</v>
      </c>
      <c r="DX270" s="16">
        <v>2.364587672006957</v>
      </c>
      <c r="DY270" s="16">
        <v>1.7122183679792791</v>
      </c>
      <c r="DZ270" s="16">
        <v>1.4775282669199807</v>
      </c>
      <c r="EA270" s="2107">
        <v>-9999</v>
      </c>
      <c r="EB270" s="2107">
        <v>2.054501824397633</v>
      </c>
      <c r="EC270" s="2107">
        <v>-1.3791342101902728</v>
      </c>
      <c r="ED270" s="2107">
        <v>-0.49895643099398512</v>
      </c>
      <c r="EE270" s="2107">
        <v>0.14673753546159674</v>
      </c>
      <c r="EF270" s="2107">
        <v>0.25446112220575134</v>
      </c>
      <c r="EG270" s="2107">
        <v>2.3614868748692786</v>
      </c>
      <c r="EH270" s="2107">
        <v>3.1234856439323444</v>
      </c>
      <c r="EI270" s="2107">
        <v>3.5405963267577167</v>
      </c>
      <c r="EJ270" s="2107">
        <v>4.1746929072765004</v>
      </c>
      <c r="EK270" s="2107">
        <v>2.364587672006957</v>
      </c>
      <c r="EL270" s="2107">
        <v>1.7122183679792791</v>
      </c>
      <c r="EM270" s="2107">
        <v>1.4775282669199807</v>
      </c>
    </row>
    <row r="271" spans="1:143">
      <c r="A271" s="22">
        <v>171</v>
      </c>
      <c r="B271" s="33" t="s">
        <v>755</v>
      </c>
      <c r="C271" s="25">
        <v>-9999</v>
      </c>
      <c r="D271" s="1081">
        <f ca="1">OFFSET('Q1'!G284,0,(Last_forecast_year - 3-InputY!$G$3)*4+4)</f>
        <v>1.8346210751274015</v>
      </c>
      <c r="E271" s="1081">
        <f ca="1">OFFSET('Q1'!H284,0,(Last_forecast_year - 3-InputY!$G$3)*4+4)</f>
        <v>1.9341980592674872</v>
      </c>
      <c r="F271" s="1081">
        <f ca="1">OFFSET('Q1'!I284,0,(Last_forecast_year - 3-InputY!$G$3)*4+4)</f>
        <v>1.9601500840988706</v>
      </c>
      <c r="G271" s="1081">
        <f ca="1">OFFSET('Q1'!J284,0,(Last_forecast_year - 3-InputY!$G$3)*4+4)</f>
        <v>1.8998048145738551</v>
      </c>
      <c r="H271" s="1081">
        <f ca="1">OFFSET('Q1'!K284,0,(Last_forecast_year - 3-InputY!$G$3)*4+4)</f>
        <v>1.5400510121718725</v>
      </c>
      <c r="I271" s="1081">
        <f ca="1">OFFSET('Q1'!L284,0,(Last_forecast_year - 3-InputY!$G$3)*4+4)</f>
        <v>1.8747309115925814</v>
      </c>
      <c r="J271" s="1081">
        <f ca="1">OFFSET('Q1'!M284,0,(Last_forecast_year - 3-InputY!$G$3)*4+4)</f>
        <v>2.1264844220681312</v>
      </c>
      <c r="K271" s="1081">
        <f ca="1">OFFSET('Q1'!N284,0,(Last_forecast_year - 3-InputY!$G$3)*4+4)</f>
        <v>2.2877748067220427</v>
      </c>
      <c r="L271" s="1081">
        <f ca="1">OFFSET('Q1'!O284,0,(Last_forecast_year - 3-InputY!$G$3)*4+4)</f>
        <v>2.3224132077018345</v>
      </c>
      <c r="M271" s="1081">
        <f ca="1">OFFSET('Q1'!P284,0,(Last_forecast_year - 3-InputY!$G$3)*4+4)</f>
        <v>2.0317586021648237</v>
      </c>
      <c r="N271" s="1081">
        <f ca="1">OFFSET('Q1'!Q284,0,(Last_forecast_year - 3-InputY!$G$3)*4+4)</f>
        <v>2.5058534559383672</v>
      </c>
      <c r="O271" s="1081">
        <f ca="1">OFFSET('Q1'!R284,0,(Last_forecast_year - 3-InputY!$G$3)*4+4)</f>
        <v>1.9240915291590444</v>
      </c>
      <c r="P271" s="26"/>
      <c r="Q271"/>
      <c r="AA271" s="22">
        <v>171</v>
      </c>
      <c r="AB271" s="1081" t="str">
        <f t="shared" si="31"/>
        <v>HICP Q SERVICES</v>
      </c>
      <c r="AC271" s="1081">
        <f>CHOOSE(Tables!$U$2,Transfer!CA271,Transfer!CN271,Transfer!DA271,Transfer!DN271,Transfer!EA271)</f>
        <v>-9999</v>
      </c>
      <c r="AD271" s="1081">
        <f>CHOOSE(Tables!$U$2,Transfer!CB271,Transfer!CO271,Transfer!DB271,Transfer!DO271,Transfer!EB271)</f>
        <v>1.8346210751274015</v>
      </c>
      <c r="AE271" s="1081">
        <f>CHOOSE(Tables!$U$2,Transfer!CC271,Transfer!CP271,Transfer!DC271,Transfer!DP271,Transfer!EC271)</f>
        <v>1.9341980592674872</v>
      </c>
      <c r="AF271" s="1081">
        <f>CHOOSE(Tables!$U$2,Transfer!CD271,Transfer!CQ271,Transfer!DD271,Transfer!DQ271,Transfer!ED271)</f>
        <v>1.9601500840988706</v>
      </c>
      <c r="AG271" s="1081">
        <f>CHOOSE(Tables!$U$2,Transfer!CE271,Transfer!CR271,Transfer!DE271,Transfer!DR271,Transfer!EE271)</f>
        <v>1.8998048145738551</v>
      </c>
      <c r="AH271" s="1081">
        <f>CHOOSE(Tables!$U$2,Transfer!CF271,Transfer!CS271,Transfer!DF271,Transfer!DS271,Transfer!EF271)</f>
        <v>1.5400510121718725</v>
      </c>
      <c r="AI271" s="1081">
        <f>CHOOSE(Tables!$U$2,Transfer!CG271,Transfer!CT271,Transfer!DG271,Transfer!DT271,Transfer!EG271)</f>
        <v>1.8747309115925814</v>
      </c>
      <c r="AJ271" s="1081">
        <f>CHOOSE(Tables!$U$2,Transfer!CH271,Transfer!CU271,Transfer!DH271,Transfer!DU271,Transfer!EH271)</f>
        <v>2.1264844220681312</v>
      </c>
      <c r="AK271" s="1081">
        <f>CHOOSE(Tables!$U$2,Transfer!CI271,Transfer!CV271,Transfer!DI271,Transfer!DV271,Transfer!EI271)</f>
        <v>2.2877748067220427</v>
      </c>
      <c r="AL271" s="1081">
        <f>CHOOSE(Tables!$U$2,Transfer!CJ271,Transfer!CW271,Transfer!DJ271,Transfer!DW271,Transfer!EJ271)</f>
        <v>2.3224132077018345</v>
      </c>
      <c r="AM271" s="1081">
        <f>CHOOSE(Tables!$U$2,Transfer!CK271,Transfer!CX271,Transfer!DK271,Transfer!DX271,Transfer!EK271)</f>
        <v>2.0317586021648237</v>
      </c>
      <c r="AN271" s="1081">
        <f>CHOOSE(Tables!$U$2,Transfer!CL271,Transfer!CY271,Transfer!DL271,Transfer!DY271,Transfer!EL271)</f>
        <v>2.5058534559383672</v>
      </c>
      <c r="AO271" s="1081">
        <f>CHOOSE(Tables!$U$2,Transfer!CM271,Transfer!CZ271,Transfer!DM271,Transfer!DZ271,Transfer!EM271)</f>
        <v>1.9240915291590444</v>
      </c>
      <c r="AR271" s="22">
        <v>171</v>
      </c>
      <c r="AS271" s="30" t="s">
        <v>1998</v>
      </c>
      <c r="AT271" s="25">
        <f t="shared" si="42"/>
        <v>0</v>
      </c>
      <c r="AU271" s="25">
        <f t="shared" ca="1" si="42"/>
        <v>0</v>
      </c>
      <c r="AV271" s="25">
        <f t="shared" ca="1" si="42"/>
        <v>0</v>
      </c>
      <c r="AW271" s="25">
        <f t="shared" ca="1" si="41"/>
        <v>0</v>
      </c>
      <c r="AX271" s="25">
        <f t="shared" ca="1" si="41"/>
        <v>0</v>
      </c>
      <c r="AY271" s="25">
        <f t="shared" ca="1" si="41"/>
        <v>0</v>
      </c>
      <c r="AZ271" s="25">
        <f t="shared" ca="1" si="41"/>
        <v>0</v>
      </c>
      <c r="BA271" s="25">
        <f t="shared" ca="1" si="41"/>
        <v>0</v>
      </c>
      <c r="BB271" s="25">
        <f t="shared" ca="1" si="41"/>
        <v>0</v>
      </c>
      <c r="BC271" s="25">
        <f t="shared" ca="1" si="41"/>
        <v>0</v>
      </c>
      <c r="BD271" s="25">
        <f t="shared" ca="1" si="41"/>
        <v>0</v>
      </c>
      <c r="BE271" s="25">
        <f t="shared" ca="1" si="41"/>
        <v>0</v>
      </c>
      <c r="BF271" s="25">
        <f t="shared" ca="1" si="41"/>
        <v>0</v>
      </c>
      <c r="CA271" s="16">
        <v>-9999</v>
      </c>
      <c r="CB271" s="16">
        <v>1.8346210751274015</v>
      </c>
      <c r="CC271" s="16">
        <v>1.9341980592674872</v>
      </c>
      <c r="CD271" s="16">
        <v>1.9601500840988706</v>
      </c>
      <c r="CE271" s="16">
        <v>1.8998048145738551</v>
      </c>
      <c r="CF271" s="16">
        <v>1.5400510121718725</v>
      </c>
      <c r="CG271" s="16">
        <v>1.8747309115925814</v>
      </c>
      <c r="CH271" s="16">
        <v>2.1264844220681312</v>
      </c>
      <c r="CI271" s="16">
        <v>2.2877748067220427</v>
      </c>
      <c r="CJ271" s="16">
        <v>2.3224132077018345</v>
      </c>
      <c r="CK271" s="16">
        <v>2.0317586021648237</v>
      </c>
      <c r="CL271" s="16">
        <v>2.5058534559383672</v>
      </c>
      <c r="CM271" s="16">
        <v>1.9240915291590444</v>
      </c>
      <c r="CN271" s="16">
        <v>-9999</v>
      </c>
      <c r="CO271" s="16">
        <v>1.8346210751274015</v>
      </c>
      <c r="CP271" s="16">
        <v>1.9341980592674872</v>
      </c>
      <c r="CQ271" s="16">
        <v>1.9601500840988706</v>
      </c>
      <c r="CR271" s="16">
        <v>1.8998048145738551</v>
      </c>
      <c r="CS271" s="16">
        <v>1.6752480167011141</v>
      </c>
      <c r="CT271" s="16">
        <v>1.9563860010275658</v>
      </c>
      <c r="CU271" s="16">
        <v>2.0390127207858821</v>
      </c>
      <c r="CV271" s="16">
        <v>2.2001649596451456</v>
      </c>
      <c r="CW271" s="16">
        <v>2.0988326900411636</v>
      </c>
      <c r="CX271" s="16">
        <v>1.7271778991331477</v>
      </c>
      <c r="CY271" s="16">
        <v>2.2672185811104084</v>
      </c>
      <c r="CZ271" s="16">
        <v>1.720592118889841</v>
      </c>
      <c r="DA271" s="16">
        <v>-9999</v>
      </c>
      <c r="DB271" s="16">
        <v>1.8346210751274015</v>
      </c>
      <c r="DC271" s="16">
        <v>1.9341980592674872</v>
      </c>
      <c r="DD271" s="16">
        <v>1.9601500840988706</v>
      </c>
      <c r="DE271" s="16">
        <v>1.8998048145738551</v>
      </c>
      <c r="DF271" s="16">
        <v>1.5400510121718725</v>
      </c>
      <c r="DG271" s="16">
        <v>1.8747309115925814</v>
      </c>
      <c r="DH271" s="16">
        <v>2.1264844220681312</v>
      </c>
      <c r="DI271" s="16">
        <v>2.2877748067220427</v>
      </c>
      <c r="DJ271" s="16">
        <v>2.3224132077018345</v>
      </c>
      <c r="DK271" s="16">
        <v>2.0317586021648237</v>
      </c>
      <c r="DL271" s="16">
        <v>2.5058534559383672</v>
      </c>
      <c r="DM271" s="16">
        <v>1.9240915291590444</v>
      </c>
      <c r="DN271" s="16">
        <v>-9999</v>
      </c>
      <c r="DO271" s="16">
        <v>1.8346210751274015</v>
      </c>
      <c r="DP271" s="16">
        <v>1.9341980592674872</v>
      </c>
      <c r="DQ271" s="16">
        <v>1.9601500840988706</v>
      </c>
      <c r="DR271" s="16">
        <v>1.8998048145738551</v>
      </c>
      <c r="DS271" s="16">
        <v>1.5400510121718725</v>
      </c>
      <c r="DT271" s="16">
        <v>1.8747309115925814</v>
      </c>
      <c r="DU271" s="16">
        <v>2.1264844220681312</v>
      </c>
      <c r="DV271" s="16">
        <v>2.2877748067220427</v>
      </c>
      <c r="DW271" s="16">
        <v>2.3224132077018345</v>
      </c>
      <c r="DX271" s="16">
        <v>2.0317586021648237</v>
      </c>
      <c r="DY271" s="16">
        <v>2.5058534559383672</v>
      </c>
      <c r="DZ271" s="16">
        <v>1.9240915291590444</v>
      </c>
      <c r="EA271" s="2107">
        <v>-9999</v>
      </c>
      <c r="EB271" s="2107">
        <v>1.8346210751274015</v>
      </c>
      <c r="EC271" s="2107">
        <v>1.9341980592674872</v>
      </c>
      <c r="ED271" s="2107">
        <v>1.9601500840988706</v>
      </c>
      <c r="EE271" s="2107">
        <v>1.8998048145738551</v>
      </c>
      <c r="EF271" s="2107">
        <v>1.5400510121718725</v>
      </c>
      <c r="EG271" s="2107">
        <v>1.8747309115925814</v>
      </c>
      <c r="EH271" s="2107">
        <v>2.1264844220681312</v>
      </c>
      <c r="EI271" s="2107">
        <v>2.2877748067220427</v>
      </c>
      <c r="EJ271" s="2107">
        <v>2.3224132077018345</v>
      </c>
      <c r="EK271" s="2107">
        <v>2.0317586021648237</v>
      </c>
      <c r="EL271" s="2107">
        <v>2.5058534559383672</v>
      </c>
      <c r="EM271" s="2107">
        <v>1.9240915291590444</v>
      </c>
    </row>
    <row r="272" spans="1:143">
      <c r="A272" s="22">
        <v>172</v>
      </c>
      <c r="B272" s="33" t="s">
        <v>255</v>
      </c>
      <c r="C272" s="24">
        <f ca="1">OFFSET('VVP2'!F392,0,Last_forecast_year - 3-InputY!$G$3)</f>
        <v>99.999166666666667</v>
      </c>
      <c r="D272" s="24">
        <f ca="1">OFFSET('VVP2'!G392,0,Last_forecast_year - 3-InputY!$G$3)</f>
        <v>101.00833333333334</v>
      </c>
      <c r="E272" s="24">
        <f ca="1">OFFSET('VVP2'!H392,0,Last_forecast_year - 3-InputY!$G$3)</f>
        <v>101.82583333333334</v>
      </c>
      <c r="F272" s="24">
        <f ca="1">OFFSET('VVP2'!I392,0,Last_forecast_year - 3-InputY!$G$3)</f>
        <v>102.85087796505539</v>
      </c>
      <c r="G272" s="24">
        <f ca="1">OFFSET('VVP2'!J392,0,Last_forecast_year - 3-InputY!$G$3)</f>
        <v>103.93770724032156</v>
      </c>
      <c r="H272" s="25">
        <v>-9999</v>
      </c>
      <c r="I272" s="25">
        <v>-9999</v>
      </c>
      <c r="J272" s="25">
        <v>-9999</v>
      </c>
      <c r="K272" s="25">
        <v>-9999</v>
      </c>
      <c r="L272" s="25">
        <v>-9999</v>
      </c>
      <c r="M272" s="25">
        <v>-9999</v>
      </c>
      <c r="N272" s="25">
        <v>-9999</v>
      </c>
      <c r="O272" s="25">
        <v>-9999</v>
      </c>
      <c r="P272" s="26"/>
      <c r="Q272"/>
      <c r="AA272" s="22">
        <v>172</v>
      </c>
      <c r="AB272" s="1081" t="str">
        <f t="shared" si="31"/>
        <v>HICP Y INDEX NON-ENERGY INDUSTRIAL GOODS</v>
      </c>
      <c r="AC272" s="1081">
        <f>CHOOSE(Tables!$U$2,Transfer!CA272,Transfer!CN272,Transfer!DA272,Transfer!DN272,Transfer!EA272)</f>
        <v>99.999166666666667</v>
      </c>
      <c r="AD272" s="1081">
        <f>CHOOSE(Tables!$U$2,Transfer!CB272,Transfer!CO272,Transfer!DB272,Transfer!DO272,Transfer!EB272)</f>
        <v>101.00833333333334</v>
      </c>
      <c r="AE272" s="1081">
        <f>CHOOSE(Tables!$U$2,Transfer!CC272,Transfer!CP272,Transfer!DC272,Transfer!DP272,Transfer!EC272)</f>
        <v>101.82583333333334</v>
      </c>
      <c r="AF272" s="1081">
        <f>CHOOSE(Tables!$U$2,Transfer!CD272,Transfer!CQ272,Transfer!DD272,Transfer!DQ272,Transfer!ED272)</f>
        <v>102.85087796505539</v>
      </c>
      <c r="AG272" s="1081">
        <f>CHOOSE(Tables!$U$2,Transfer!CE272,Transfer!CR272,Transfer!DE272,Transfer!DR272,Transfer!EE272)</f>
        <v>103.93770724032156</v>
      </c>
      <c r="AH272" s="1081">
        <f>CHOOSE(Tables!$U$2,Transfer!CF272,Transfer!CS272,Transfer!DF272,Transfer!DS272,Transfer!EF272)</f>
        <v>-9999</v>
      </c>
      <c r="AI272" s="1081">
        <f>CHOOSE(Tables!$U$2,Transfer!CG272,Transfer!CT272,Transfer!DG272,Transfer!DT272,Transfer!EG272)</f>
        <v>-9999</v>
      </c>
      <c r="AJ272" s="1081">
        <f>CHOOSE(Tables!$U$2,Transfer!CH272,Transfer!CU272,Transfer!DH272,Transfer!DU272,Transfer!EH272)</f>
        <v>-9999</v>
      </c>
      <c r="AK272" s="1081">
        <f>CHOOSE(Tables!$U$2,Transfer!CI272,Transfer!CV272,Transfer!DI272,Transfer!DV272,Transfer!EI272)</f>
        <v>-9999</v>
      </c>
      <c r="AL272" s="1081">
        <f>CHOOSE(Tables!$U$2,Transfer!CJ272,Transfer!CW272,Transfer!DJ272,Transfer!DW272,Transfer!EJ272)</f>
        <v>-9999</v>
      </c>
      <c r="AM272" s="1081">
        <f>CHOOSE(Tables!$U$2,Transfer!CK272,Transfer!CX272,Transfer!DK272,Transfer!DX272,Transfer!EK272)</f>
        <v>-9999</v>
      </c>
      <c r="AN272" s="1081">
        <f>CHOOSE(Tables!$U$2,Transfer!CL272,Transfer!CY272,Transfer!DL272,Transfer!DY272,Transfer!EL272)</f>
        <v>-9999</v>
      </c>
      <c r="AO272" s="1081">
        <f>CHOOSE(Tables!$U$2,Transfer!CM272,Transfer!CZ272,Transfer!DM272,Transfer!DZ272,Transfer!EM272)</f>
        <v>-9999</v>
      </c>
      <c r="AR272" s="22">
        <v>172</v>
      </c>
      <c r="AS272" s="30" t="s">
        <v>1998</v>
      </c>
      <c r="AT272" s="25">
        <f t="shared" ca="1" si="42"/>
        <v>0</v>
      </c>
      <c r="AU272" s="25">
        <f t="shared" ca="1" si="42"/>
        <v>0</v>
      </c>
      <c r="AV272" s="25">
        <f t="shared" ca="1" si="42"/>
        <v>0</v>
      </c>
      <c r="AW272" s="25">
        <f t="shared" ca="1" si="41"/>
        <v>0</v>
      </c>
      <c r="AX272" s="25">
        <f t="shared" ca="1" si="41"/>
        <v>0</v>
      </c>
      <c r="AY272" s="25">
        <f t="shared" si="41"/>
        <v>0</v>
      </c>
      <c r="AZ272" s="25">
        <f t="shared" si="41"/>
        <v>0</v>
      </c>
      <c r="BA272" s="25">
        <f t="shared" si="41"/>
        <v>0</v>
      </c>
      <c r="BB272" s="25">
        <f t="shared" si="41"/>
        <v>0</v>
      </c>
      <c r="BC272" s="25">
        <f t="shared" si="41"/>
        <v>0</v>
      </c>
      <c r="BD272" s="25">
        <f t="shared" si="41"/>
        <v>0</v>
      </c>
      <c r="BE272" s="25">
        <f t="shared" si="41"/>
        <v>0</v>
      </c>
      <c r="BF272" s="25">
        <f t="shared" si="41"/>
        <v>0</v>
      </c>
      <c r="CA272" s="16">
        <v>99.999166666666667</v>
      </c>
      <c r="CB272" s="16">
        <v>101.00833333333334</v>
      </c>
      <c r="CC272" s="16">
        <v>101.82583333333334</v>
      </c>
      <c r="CD272" s="16">
        <v>102.85087796505539</v>
      </c>
      <c r="CE272" s="16">
        <v>103.93770724032156</v>
      </c>
      <c r="CF272" s="16">
        <v>-9999</v>
      </c>
      <c r="CG272" s="16">
        <v>-9999</v>
      </c>
      <c r="CH272" s="16">
        <v>-9999</v>
      </c>
      <c r="CI272" s="16">
        <v>-9999</v>
      </c>
      <c r="CJ272" s="16">
        <v>-9999</v>
      </c>
      <c r="CK272" s="16">
        <v>-9999</v>
      </c>
      <c r="CL272" s="16">
        <v>-9999</v>
      </c>
      <c r="CM272" s="16">
        <v>-9999</v>
      </c>
      <c r="CN272" s="16">
        <v>99.999166666666667</v>
      </c>
      <c r="CO272" s="16">
        <v>101.00833333333334</v>
      </c>
      <c r="CP272" s="16">
        <v>101.82583333333334</v>
      </c>
      <c r="CQ272" s="16">
        <v>102.55949386132745</v>
      </c>
      <c r="CR272" s="16">
        <v>103.50192003302767</v>
      </c>
      <c r="CS272" s="16">
        <v>-9999</v>
      </c>
      <c r="CT272" s="16">
        <v>-9999</v>
      </c>
      <c r="CU272" s="16">
        <v>-9999</v>
      </c>
      <c r="CV272" s="16">
        <v>-9999</v>
      </c>
      <c r="CW272" s="16">
        <v>-9999</v>
      </c>
      <c r="CX272" s="16">
        <v>-9999</v>
      </c>
      <c r="CY272" s="16">
        <v>-9999</v>
      </c>
      <c r="CZ272" s="16">
        <v>-9999</v>
      </c>
      <c r="DA272" s="16">
        <v>99.999166666666667</v>
      </c>
      <c r="DB272" s="16">
        <v>101.00833333333334</v>
      </c>
      <c r="DC272" s="16">
        <v>101.82583333333334</v>
      </c>
      <c r="DD272" s="16">
        <v>102.85087796505539</v>
      </c>
      <c r="DE272" s="16">
        <v>103.93770724032156</v>
      </c>
      <c r="DF272" s="16">
        <v>-9999</v>
      </c>
      <c r="DG272" s="16">
        <v>-9999</v>
      </c>
      <c r="DH272" s="16">
        <v>-9999</v>
      </c>
      <c r="DI272" s="16">
        <v>-9999</v>
      </c>
      <c r="DJ272" s="16">
        <v>-9999</v>
      </c>
      <c r="DK272" s="16">
        <v>-9999</v>
      </c>
      <c r="DL272" s="16">
        <v>-9999</v>
      </c>
      <c r="DM272" s="16">
        <v>-9999</v>
      </c>
      <c r="DN272" s="16">
        <v>99.999166666666667</v>
      </c>
      <c r="DO272" s="16">
        <v>101.00833333333334</v>
      </c>
      <c r="DP272" s="16">
        <v>101.82583333333334</v>
      </c>
      <c r="DQ272" s="16">
        <v>102.85087796505539</v>
      </c>
      <c r="DR272" s="16">
        <v>103.93770724032156</v>
      </c>
      <c r="DS272" s="16">
        <v>-9999</v>
      </c>
      <c r="DT272" s="16">
        <v>-9999</v>
      </c>
      <c r="DU272" s="16">
        <v>-9999</v>
      </c>
      <c r="DV272" s="16">
        <v>-9999</v>
      </c>
      <c r="DW272" s="16">
        <v>-9999</v>
      </c>
      <c r="DX272" s="16">
        <v>-9999</v>
      </c>
      <c r="DY272" s="16">
        <v>-9999</v>
      </c>
      <c r="DZ272" s="16">
        <v>-9999</v>
      </c>
      <c r="EA272" s="2107">
        <v>99.999166666666667</v>
      </c>
      <c r="EB272" s="2107">
        <v>101.00833333333334</v>
      </c>
      <c r="EC272" s="2107">
        <v>101.82583333333334</v>
      </c>
      <c r="ED272" s="2107">
        <v>102.85087796505539</v>
      </c>
      <c r="EE272" s="2107">
        <v>103.93770724032156</v>
      </c>
      <c r="EF272" s="2107">
        <v>-9999</v>
      </c>
      <c r="EG272" s="2107">
        <v>-9999</v>
      </c>
      <c r="EH272" s="2107">
        <v>-9999</v>
      </c>
      <c r="EI272" s="2107">
        <v>-9999</v>
      </c>
      <c r="EJ272" s="2107">
        <v>-9999</v>
      </c>
      <c r="EK272" s="2107">
        <v>-9999</v>
      </c>
      <c r="EL272" s="2107">
        <v>-9999</v>
      </c>
      <c r="EM272" s="2107">
        <v>-9999</v>
      </c>
    </row>
    <row r="273" spans="1:144">
      <c r="A273" s="22">
        <v>173</v>
      </c>
      <c r="B273" s="33" t="s">
        <v>256</v>
      </c>
      <c r="C273" s="24">
        <f ca="1">OFFSET('VVP2'!F393,0,Last_forecast_year - 3-InputY!$G$3)</f>
        <v>99.999166666666667</v>
      </c>
      <c r="D273" s="24">
        <f ca="1">OFFSET('VVP2'!G393,0,Last_forecast_year - 3-InputY!$G$3)</f>
        <v>99.400833333333338</v>
      </c>
      <c r="E273" s="24">
        <f ca="1">OFFSET('VVP2'!H393,0,Last_forecast_year - 3-InputY!$G$3)</f>
        <v>109.19333333333333</v>
      </c>
      <c r="F273" s="24">
        <f ca="1">OFFSET('VVP2'!I393,0,Last_forecast_year - 3-InputY!$G$3)</f>
        <v>107.67070494304062</v>
      </c>
      <c r="G273" s="24">
        <f ca="1">OFFSET('VVP2'!J393,0,Last_forecast_year - 3-InputY!$G$3)</f>
        <v>106.22689860195854</v>
      </c>
      <c r="H273" s="25">
        <v>-9999</v>
      </c>
      <c r="I273" s="25">
        <v>-9999</v>
      </c>
      <c r="J273" s="25">
        <v>-9999</v>
      </c>
      <c r="K273" s="25">
        <v>-9999</v>
      </c>
      <c r="L273" s="25">
        <v>-9999</v>
      </c>
      <c r="M273" s="25">
        <v>-9999</v>
      </c>
      <c r="N273" s="25">
        <v>-9999</v>
      </c>
      <c r="O273" s="25">
        <v>-9999</v>
      </c>
      <c r="P273" s="26"/>
      <c r="Q273"/>
      <c r="AA273" s="22">
        <v>173</v>
      </c>
      <c r="AB273" s="1081" t="str">
        <f t="shared" si="31"/>
        <v>HICP Y INDEX ENERGY</v>
      </c>
      <c r="AC273" s="1081">
        <f>CHOOSE(Tables!$U$2,Transfer!CA273,Transfer!CN273,Transfer!DA273,Transfer!DN273,Transfer!EA273)</f>
        <v>99.999166666666667</v>
      </c>
      <c r="AD273" s="1081">
        <f>CHOOSE(Tables!$U$2,Transfer!CB273,Transfer!CO273,Transfer!DB273,Transfer!DO273,Transfer!EB273)</f>
        <v>99.400833333333338</v>
      </c>
      <c r="AE273" s="1081">
        <f>CHOOSE(Tables!$U$2,Transfer!CC273,Transfer!CP273,Transfer!DC273,Transfer!DP273,Transfer!EC273)</f>
        <v>109.19333333333333</v>
      </c>
      <c r="AF273" s="1081">
        <f>CHOOSE(Tables!$U$2,Transfer!CD273,Transfer!CQ273,Transfer!DD273,Transfer!DQ273,Transfer!ED273)</f>
        <v>107.67070494304062</v>
      </c>
      <c r="AG273" s="1081">
        <f>CHOOSE(Tables!$U$2,Transfer!CE273,Transfer!CR273,Transfer!DE273,Transfer!DR273,Transfer!EE273)</f>
        <v>106.22689860195854</v>
      </c>
      <c r="AH273" s="1081">
        <f>CHOOSE(Tables!$U$2,Transfer!CF273,Transfer!CS273,Transfer!DF273,Transfer!DS273,Transfer!EF273)</f>
        <v>-9999</v>
      </c>
      <c r="AI273" s="1081">
        <f>CHOOSE(Tables!$U$2,Transfer!CG273,Transfer!CT273,Transfer!DG273,Transfer!DT273,Transfer!EG273)</f>
        <v>-9999</v>
      </c>
      <c r="AJ273" s="1081">
        <f>CHOOSE(Tables!$U$2,Transfer!CH273,Transfer!CU273,Transfer!DH273,Transfer!DU273,Transfer!EH273)</f>
        <v>-9999</v>
      </c>
      <c r="AK273" s="1081">
        <f>CHOOSE(Tables!$U$2,Transfer!CI273,Transfer!CV273,Transfer!DI273,Transfer!DV273,Transfer!EI273)</f>
        <v>-9999</v>
      </c>
      <c r="AL273" s="1081">
        <f>CHOOSE(Tables!$U$2,Transfer!CJ273,Transfer!CW273,Transfer!DJ273,Transfer!DW273,Transfer!EJ273)</f>
        <v>-9999</v>
      </c>
      <c r="AM273" s="1081">
        <f>CHOOSE(Tables!$U$2,Transfer!CK273,Transfer!CX273,Transfer!DK273,Transfer!DX273,Transfer!EK273)</f>
        <v>-9999</v>
      </c>
      <c r="AN273" s="1081">
        <f>CHOOSE(Tables!$U$2,Transfer!CL273,Transfer!CY273,Transfer!DL273,Transfer!DY273,Transfer!EL273)</f>
        <v>-9999</v>
      </c>
      <c r="AO273" s="1081">
        <f>CHOOSE(Tables!$U$2,Transfer!CM273,Transfer!CZ273,Transfer!DM273,Transfer!DZ273,Transfer!EM273)</f>
        <v>-9999</v>
      </c>
      <c r="AR273" s="22">
        <v>173</v>
      </c>
      <c r="AS273" s="30" t="s">
        <v>1998</v>
      </c>
      <c r="AT273" s="25">
        <f t="shared" ca="1" si="42"/>
        <v>0</v>
      </c>
      <c r="AU273" s="25">
        <f t="shared" ca="1" si="42"/>
        <v>0</v>
      </c>
      <c r="AV273" s="25">
        <f t="shared" ca="1" si="42"/>
        <v>0</v>
      </c>
      <c r="AW273" s="25">
        <f t="shared" ca="1" si="41"/>
        <v>0</v>
      </c>
      <c r="AX273" s="25">
        <f t="shared" ca="1" si="41"/>
        <v>0</v>
      </c>
      <c r="AY273" s="25">
        <f t="shared" si="41"/>
        <v>0</v>
      </c>
      <c r="AZ273" s="25">
        <f t="shared" si="41"/>
        <v>0</v>
      </c>
      <c r="BA273" s="25">
        <f t="shared" si="41"/>
        <v>0</v>
      </c>
      <c r="BB273" s="25">
        <f t="shared" si="41"/>
        <v>0</v>
      </c>
      <c r="BC273" s="25">
        <f t="shared" si="41"/>
        <v>0</v>
      </c>
      <c r="BD273" s="25">
        <f t="shared" si="41"/>
        <v>0</v>
      </c>
      <c r="BE273" s="25">
        <f t="shared" si="41"/>
        <v>0</v>
      </c>
      <c r="BF273" s="25">
        <f t="shared" si="41"/>
        <v>0</v>
      </c>
      <c r="CA273" s="16">
        <v>99.999166666666667</v>
      </c>
      <c r="CB273" s="16">
        <v>99.400833333333338</v>
      </c>
      <c r="CC273" s="16">
        <v>109.19333333333333</v>
      </c>
      <c r="CD273" s="16">
        <v>107.67070494304062</v>
      </c>
      <c r="CE273" s="16">
        <v>106.22689860195854</v>
      </c>
      <c r="CF273" s="16">
        <v>-9999</v>
      </c>
      <c r="CG273" s="16">
        <v>-9999</v>
      </c>
      <c r="CH273" s="16">
        <v>-9999</v>
      </c>
      <c r="CI273" s="16">
        <v>-9999</v>
      </c>
      <c r="CJ273" s="16">
        <v>-9999</v>
      </c>
      <c r="CK273" s="16">
        <v>-9999</v>
      </c>
      <c r="CL273" s="16">
        <v>-9999</v>
      </c>
      <c r="CM273" s="16">
        <v>-9999</v>
      </c>
      <c r="CN273" s="16">
        <v>99.999166666666667</v>
      </c>
      <c r="CO273" s="16">
        <v>99.400833333333338</v>
      </c>
      <c r="CP273" s="16">
        <v>109.19333333333333</v>
      </c>
      <c r="CQ273" s="16">
        <v>110.04581069234901</v>
      </c>
      <c r="CR273" s="16">
        <v>111.93030095953682</v>
      </c>
      <c r="CS273" s="16">
        <v>-9999</v>
      </c>
      <c r="CT273" s="16">
        <v>-9999</v>
      </c>
      <c r="CU273" s="16">
        <v>-9999</v>
      </c>
      <c r="CV273" s="16">
        <v>-9999</v>
      </c>
      <c r="CW273" s="16">
        <v>-9999</v>
      </c>
      <c r="CX273" s="16">
        <v>-9999</v>
      </c>
      <c r="CY273" s="16">
        <v>-9999</v>
      </c>
      <c r="CZ273" s="16">
        <v>-9999</v>
      </c>
      <c r="DA273" s="16">
        <v>99.999166666666667</v>
      </c>
      <c r="DB273" s="16">
        <v>99.400833333333338</v>
      </c>
      <c r="DC273" s="16">
        <v>109.19333333333333</v>
      </c>
      <c r="DD273" s="16">
        <v>107.67070494304062</v>
      </c>
      <c r="DE273" s="16">
        <v>106.22689860195854</v>
      </c>
      <c r="DF273" s="16">
        <v>-9999</v>
      </c>
      <c r="DG273" s="16">
        <v>-9999</v>
      </c>
      <c r="DH273" s="16">
        <v>-9999</v>
      </c>
      <c r="DI273" s="16">
        <v>-9999</v>
      </c>
      <c r="DJ273" s="16">
        <v>-9999</v>
      </c>
      <c r="DK273" s="16">
        <v>-9999</v>
      </c>
      <c r="DL273" s="16">
        <v>-9999</v>
      </c>
      <c r="DM273" s="16">
        <v>-9999</v>
      </c>
      <c r="DN273" s="16">
        <v>99.999166666666667</v>
      </c>
      <c r="DO273" s="16">
        <v>99.400833333333338</v>
      </c>
      <c r="DP273" s="16">
        <v>109.19333333333333</v>
      </c>
      <c r="DQ273" s="16">
        <v>107.67070494304062</v>
      </c>
      <c r="DR273" s="16">
        <v>106.22689860195854</v>
      </c>
      <c r="DS273" s="16">
        <v>-9999</v>
      </c>
      <c r="DT273" s="16">
        <v>-9999</v>
      </c>
      <c r="DU273" s="16">
        <v>-9999</v>
      </c>
      <c r="DV273" s="16">
        <v>-9999</v>
      </c>
      <c r="DW273" s="16">
        <v>-9999</v>
      </c>
      <c r="DX273" s="16">
        <v>-9999</v>
      </c>
      <c r="DY273" s="16">
        <v>-9999</v>
      </c>
      <c r="DZ273" s="16">
        <v>-9999</v>
      </c>
      <c r="EA273" s="2107">
        <v>99.999166666666667</v>
      </c>
      <c r="EB273" s="2107">
        <v>99.400833333333338</v>
      </c>
      <c r="EC273" s="2107">
        <v>109.19333333333333</v>
      </c>
      <c r="ED273" s="2107">
        <v>107.67070494304062</v>
      </c>
      <c r="EE273" s="2107">
        <v>106.22689860195854</v>
      </c>
      <c r="EF273" s="2107">
        <v>-9999</v>
      </c>
      <c r="EG273" s="2107">
        <v>-9999</v>
      </c>
      <c r="EH273" s="2107">
        <v>-9999</v>
      </c>
      <c r="EI273" s="2107">
        <v>-9999</v>
      </c>
      <c r="EJ273" s="2107">
        <v>-9999</v>
      </c>
      <c r="EK273" s="2107">
        <v>-9999</v>
      </c>
      <c r="EL273" s="2107">
        <v>-9999</v>
      </c>
      <c r="EM273" s="2107">
        <v>-9999</v>
      </c>
    </row>
    <row r="274" spans="1:144">
      <c r="A274" s="22">
        <v>174</v>
      </c>
      <c r="B274" s="33" t="s">
        <v>257</v>
      </c>
      <c r="C274" s="24">
        <f ca="1">OFFSET('VVP2'!F395,0,Last_forecast_year - 3-InputY!$G$3)</f>
        <v>99.999166666666667</v>
      </c>
      <c r="D274" s="24">
        <f ca="1">OFFSET('VVP2'!G395,0,Last_forecast_year - 3-InputY!$G$3)</f>
        <v>103.45166666666667</v>
      </c>
      <c r="E274" s="24">
        <f ca="1">OFFSET('VVP2'!H395,0,Last_forecast_year - 3-InputY!$G$3)</f>
        <v>105.66916666666667</v>
      </c>
      <c r="F274" s="24">
        <f ca="1">OFFSET('VVP2'!I395,0,Last_forecast_year - 3-InputY!$G$3)</f>
        <v>108.77943178536566</v>
      </c>
      <c r="G274" s="24">
        <f ca="1">OFFSET('VVP2'!J395,0,Last_forecast_year - 3-InputY!$G$3)</f>
        <v>111.48702968513636</v>
      </c>
      <c r="H274" s="25">
        <v>-9999</v>
      </c>
      <c r="I274" s="25">
        <v>-9999</v>
      </c>
      <c r="J274" s="25">
        <v>-9999</v>
      </c>
      <c r="K274" s="25">
        <v>-9999</v>
      </c>
      <c r="L274" s="25">
        <v>-9999</v>
      </c>
      <c r="M274" s="25">
        <v>-9999</v>
      </c>
      <c r="N274" s="25">
        <v>-9999</v>
      </c>
      <c r="O274" s="25">
        <v>-9999</v>
      </c>
      <c r="P274" s="26"/>
      <c r="Q274"/>
      <c r="AA274" s="22">
        <v>174</v>
      </c>
      <c r="AB274" s="1081" t="str">
        <f t="shared" si="31"/>
        <v>HICP Y INDEX PROCESSED FOOD INCL. ALCOHOL AND TOBACCO</v>
      </c>
      <c r="AC274" s="1081">
        <f>CHOOSE(Tables!$U$2,Transfer!CA274,Transfer!CN274,Transfer!DA274,Transfer!DN274,Transfer!EA274)</f>
        <v>99.999166666666667</v>
      </c>
      <c r="AD274" s="1081">
        <f>CHOOSE(Tables!$U$2,Transfer!CB274,Transfer!CO274,Transfer!DB274,Transfer!DO274,Transfer!EB274)</f>
        <v>103.45166666666667</v>
      </c>
      <c r="AE274" s="1081">
        <f>CHOOSE(Tables!$U$2,Transfer!CC274,Transfer!CP274,Transfer!DC274,Transfer!DP274,Transfer!EC274)</f>
        <v>105.66916666666667</v>
      </c>
      <c r="AF274" s="1081">
        <f>CHOOSE(Tables!$U$2,Transfer!CD274,Transfer!CQ274,Transfer!DD274,Transfer!DQ274,Transfer!ED274)</f>
        <v>108.77943178536566</v>
      </c>
      <c r="AG274" s="1081">
        <f>CHOOSE(Tables!$U$2,Transfer!CE274,Transfer!CR274,Transfer!DE274,Transfer!DR274,Transfer!EE274)</f>
        <v>111.48702968513636</v>
      </c>
      <c r="AH274" s="1081">
        <f>CHOOSE(Tables!$U$2,Transfer!CF274,Transfer!CS274,Transfer!DF274,Transfer!DS274,Transfer!EF274)</f>
        <v>-9999</v>
      </c>
      <c r="AI274" s="1081">
        <f>CHOOSE(Tables!$U$2,Transfer!CG274,Transfer!CT274,Transfer!DG274,Transfer!DT274,Transfer!EG274)</f>
        <v>-9999</v>
      </c>
      <c r="AJ274" s="1081">
        <f>CHOOSE(Tables!$U$2,Transfer!CH274,Transfer!CU274,Transfer!DH274,Transfer!DU274,Transfer!EH274)</f>
        <v>-9999</v>
      </c>
      <c r="AK274" s="1081">
        <f>CHOOSE(Tables!$U$2,Transfer!CI274,Transfer!CV274,Transfer!DI274,Transfer!DV274,Transfer!EI274)</f>
        <v>-9999</v>
      </c>
      <c r="AL274" s="1081">
        <f>CHOOSE(Tables!$U$2,Transfer!CJ274,Transfer!CW274,Transfer!DJ274,Transfer!DW274,Transfer!EJ274)</f>
        <v>-9999</v>
      </c>
      <c r="AM274" s="1081">
        <f>CHOOSE(Tables!$U$2,Transfer!CK274,Transfer!CX274,Transfer!DK274,Transfer!DX274,Transfer!EK274)</f>
        <v>-9999</v>
      </c>
      <c r="AN274" s="1081">
        <f>CHOOSE(Tables!$U$2,Transfer!CL274,Transfer!CY274,Transfer!DL274,Transfer!DY274,Transfer!EL274)</f>
        <v>-9999</v>
      </c>
      <c r="AO274" s="1081">
        <f>CHOOSE(Tables!$U$2,Transfer!CM274,Transfer!CZ274,Transfer!DM274,Transfer!DZ274,Transfer!EM274)</f>
        <v>-9999</v>
      </c>
      <c r="AR274" s="22">
        <v>174</v>
      </c>
      <c r="AS274" s="30" t="s">
        <v>1998</v>
      </c>
      <c r="AT274" s="25">
        <f t="shared" ca="1" si="42"/>
        <v>0</v>
      </c>
      <c r="AU274" s="25">
        <f t="shared" ca="1" si="42"/>
        <v>0</v>
      </c>
      <c r="AV274" s="25">
        <f t="shared" ca="1" si="42"/>
        <v>0</v>
      </c>
      <c r="AW274" s="25">
        <f t="shared" ca="1" si="41"/>
        <v>0</v>
      </c>
      <c r="AX274" s="25">
        <f t="shared" ca="1" si="41"/>
        <v>0</v>
      </c>
      <c r="AY274" s="25">
        <f t="shared" si="41"/>
        <v>0</v>
      </c>
      <c r="AZ274" s="25">
        <f t="shared" si="41"/>
        <v>0</v>
      </c>
      <c r="BA274" s="25">
        <f t="shared" si="41"/>
        <v>0</v>
      </c>
      <c r="BB274" s="25">
        <f t="shared" si="41"/>
        <v>0</v>
      </c>
      <c r="BC274" s="25">
        <f t="shared" si="41"/>
        <v>0</v>
      </c>
      <c r="BD274" s="25">
        <f t="shared" si="41"/>
        <v>0</v>
      </c>
      <c r="BE274" s="25">
        <f t="shared" si="41"/>
        <v>0</v>
      </c>
      <c r="BF274" s="25">
        <f t="shared" si="41"/>
        <v>0</v>
      </c>
      <c r="CA274" s="16">
        <v>99.999166666666667</v>
      </c>
      <c r="CB274" s="16">
        <v>103.45166666666667</v>
      </c>
      <c r="CC274" s="16">
        <v>105.66916666666667</v>
      </c>
      <c r="CD274" s="16">
        <v>108.77943178536566</v>
      </c>
      <c r="CE274" s="16">
        <v>111.48702968513636</v>
      </c>
      <c r="CF274" s="16">
        <v>-9999</v>
      </c>
      <c r="CG274" s="16">
        <v>-9999</v>
      </c>
      <c r="CH274" s="16">
        <v>-9999</v>
      </c>
      <c r="CI274" s="16">
        <v>-9999</v>
      </c>
      <c r="CJ274" s="16">
        <v>-9999</v>
      </c>
      <c r="CK274" s="16">
        <v>-9999</v>
      </c>
      <c r="CL274" s="16">
        <v>-9999</v>
      </c>
      <c r="CM274" s="16">
        <v>-9999</v>
      </c>
      <c r="CN274" s="16">
        <v>99.999166666666667</v>
      </c>
      <c r="CO274" s="16">
        <v>103.45166666666667</v>
      </c>
      <c r="CP274" s="16">
        <v>105.66916666666667</v>
      </c>
      <c r="CQ274" s="16">
        <v>107.73046765234317</v>
      </c>
      <c r="CR274" s="16">
        <v>109.42493719469648</v>
      </c>
      <c r="CS274" s="16">
        <v>-9999</v>
      </c>
      <c r="CT274" s="16">
        <v>-9999</v>
      </c>
      <c r="CU274" s="16">
        <v>-9999</v>
      </c>
      <c r="CV274" s="16">
        <v>-9999</v>
      </c>
      <c r="CW274" s="16">
        <v>-9999</v>
      </c>
      <c r="CX274" s="16">
        <v>-9999</v>
      </c>
      <c r="CY274" s="16">
        <v>-9999</v>
      </c>
      <c r="CZ274" s="16">
        <v>-9999</v>
      </c>
      <c r="DA274" s="16">
        <v>99.999166666666667</v>
      </c>
      <c r="DB274" s="16">
        <v>103.45166666666667</v>
      </c>
      <c r="DC274" s="16">
        <v>105.66916666666667</v>
      </c>
      <c r="DD274" s="16">
        <v>108.77943178536566</v>
      </c>
      <c r="DE274" s="16">
        <v>111.48702968513636</v>
      </c>
      <c r="DF274" s="16">
        <v>-9999</v>
      </c>
      <c r="DG274" s="16">
        <v>-9999</v>
      </c>
      <c r="DH274" s="16">
        <v>-9999</v>
      </c>
      <c r="DI274" s="16">
        <v>-9999</v>
      </c>
      <c r="DJ274" s="16">
        <v>-9999</v>
      </c>
      <c r="DK274" s="16">
        <v>-9999</v>
      </c>
      <c r="DL274" s="16">
        <v>-9999</v>
      </c>
      <c r="DM274" s="16">
        <v>-9999</v>
      </c>
      <c r="DN274" s="16">
        <v>99.999166666666667</v>
      </c>
      <c r="DO274" s="16">
        <v>103.45166666666667</v>
      </c>
      <c r="DP274" s="16">
        <v>105.66916666666667</v>
      </c>
      <c r="DQ274" s="16">
        <v>108.77943178536566</v>
      </c>
      <c r="DR274" s="16">
        <v>111.48702968513636</v>
      </c>
      <c r="DS274" s="16">
        <v>-9999</v>
      </c>
      <c r="DT274" s="16">
        <v>-9999</v>
      </c>
      <c r="DU274" s="16">
        <v>-9999</v>
      </c>
      <c r="DV274" s="16">
        <v>-9999</v>
      </c>
      <c r="DW274" s="16">
        <v>-9999</v>
      </c>
      <c r="DX274" s="16">
        <v>-9999</v>
      </c>
      <c r="DY274" s="16">
        <v>-9999</v>
      </c>
      <c r="DZ274" s="16">
        <v>-9999</v>
      </c>
      <c r="EA274" s="2107">
        <v>99.999166666666667</v>
      </c>
      <c r="EB274" s="2107">
        <v>103.45166666666667</v>
      </c>
      <c r="EC274" s="2107">
        <v>105.66916666666667</v>
      </c>
      <c r="ED274" s="2107">
        <v>108.77943178536566</v>
      </c>
      <c r="EE274" s="2107">
        <v>111.48702968513636</v>
      </c>
      <c r="EF274" s="2107">
        <v>-9999</v>
      </c>
      <c r="EG274" s="2107">
        <v>-9999</v>
      </c>
      <c r="EH274" s="2107">
        <v>-9999</v>
      </c>
      <c r="EI274" s="2107">
        <v>-9999</v>
      </c>
      <c r="EJ274" s="2107">
        <v>-9999</v>
      </c>
      <c r="EK274" s="2107">
        <v>-9999</v>
      </c>
      <c r="EL274" s="2107">
        <v>-9999</v>
      </c>
      <c r="EM274" s="2107">
        <v>-9999</v>
      </c>
    </row>
    <row r="275" spans="1:144">
      <c r="A275" s="22">
        <v>175</v>
      </c>
      <c r="B275" s="33" t="s">
        <v>18</v>
      </c>
      <c r="C275" s="24">
        <f ca="1">OFFSET('VVP2'!F394,0,Last_forecast_year - 3-InputY!$G$3)</f>
        <v>100.00083333333333</v>
      </c>
      <c r="D275" s="24">
        <f ca="1">OFFSET('VVP2'!G394,0,Last_forecast_year - 3-InputY!$G$3)</f>
        <v>102.56333333333332</v>
      </c>
      <c r="E275" s="24">
        <f ca="1">OFFSET('VVP2'!H394,0,Last_forecast_year - 3-InputY!$G$3)</f>
        <v>102.63416666666667</v>
      </c>
      <c r="F275" s="24">
        <f ca="1">OFFSET('VVP2'!I394,0,Last_forecast_year - 3-InputY!$G$3)</f>
        <v>105.0082543117322</v>
      </c>
      <c r="G275" s="24">
        <f ca="1">OFFSET('VVP2'!J394,0,Last_forecast_year - 3-InputY!$G$3)</f>
        <v>107.55464510727879</v>
      </c>
      <c r="H275" s="25">
        <v>-9999</v>
      </c>
      <c r="I275" s="25">
        <v>-9999</v>
      </c>
      <c r="J275" s="25">
        <v>-9999</v>
      </c>
      <c r="K275" s="25">
        <v>-9999</v>
      </c>
      <c r="L275" s="25">
        <v>-9999</v>
      </c>
      <c r="M275" s="25">
        <v>-9999</v>
      </c>
      <c r="N275" s="25">
        <v>-9999</v>
      </c>
      <c r="O275" s="25">
        <v>-9999</v>
      </c>
      <c r="P275" s="26"/>
      <c r="Q275"/>
      <c r="AA275" s="22">
        <v>175</v>
      </c>
      <c r="AB275" s="1081" t="str">
        <f t="shared" si="31"/>
        <v>HICP Y INDEX UNPROCESSED FOOD</v>
      </c>
      <c r="AC275" s="1081">
        <f>CHOOSE(Tables!$U$2,Transfer!CA275,Transfer!CN275,Transfer!DA275,Transfer!DN275,Transfer!EA275)</f>
        <v>100.00083333333333</v>
      </c>
      <c r="AD275" s="1081">
        <f>CHOOSE(Tables!$U$2,Transfer!CB275,Transfer!CO275,Transfer!DB275,Transfer!DO275,Transfer!EB275)</f>
        <v>102.56333333333332</v>
      </c>
      <c r="AE275" s="1081">
        <f>CHOOSE(Tables!$U$2,Transfer!CC275,Transfer!CP275,Transfer!DC275,Transfer!DP275,Transfer!EC275)</f>
        <v>102.63416666666667</v>
      </c>
      <c r="AF275" s="1081">
        <f>CHOOSE(Tables!$U$2,Transfer!CD275,Transfer!CQ275,Transfer!DD275,Transfer!DQ275,Transfer!ED275)</f>
        <v>105.0082543117322</v>
      </c>
      <c r="AG275" s="1081">
        <f>CHOOSE(Tables!$U$2,Transfer!CE275,Transfer!CR275,Transfer!DE275,Transfer!DR275,Transfer!EE275)</f>
        <v>107.55464510727879</v>
      </c>
      <c r="AH275" s="1081">
        <f>CHOOSE(Tables!$U$2,Transfer!CF275,Transfer!CS275,Transfer!DF275,Transfer!DS275,Transfer!EF275)</f>
        <v>-9999</v>
      </c>
      <c r="AI275" s="1081">
        <f>CHOOSE(Tables!$U$2,Transfer!CG275,Transfer!CT275,Transfer!DG275,Transfer!DT275,Transfer!EG275)</f>
        <v>-9999</v>
      </c>
      <c r="AJ275" s="1081">
        <f>CHOOSE(Tables!$U$2,Transfer!CH275,Transfer!CU275,Transfer!DH275,Transfer!DU275,Transfer!EH275)</f>
        <v>-9999</v>
      </c>
      <c r="AK275" s="1081">
        <f>CHOOSE(Tables!$U$2,Transfer!CI275,Transfer!CV275,Transfer!DI275,Transfer!DV275,Transfer!EI275)</f>
        <v>-9999</v>
      </c>
      <c r="AL275" s="1081">
        <f>CHOOSE(Tables!$U$2,Transfer!CJ275,Transfer!CW275,Transfer!DJ275,Transfer!DW275,Transfer!EJ275)</f>
        <v>-9999</v>
      </c>
      <c r="AM275" s="1081">
        <f>CHOOSE(Tables!$U$2,Transfer!CK275,Transfer!CX275,Transfer!DK275,Transfer!DX275,Transfer!EK275)</f>
        <v>-9999</v>
      </c>
      <c r="AN275" s="1081">
        <f>CHOOSE(Tables!$U$2,Transfer!CL275,Transfer!CY275,Transfer!DL275,Transfer!DY275,Transfer!EL275)</f>
        <v>-9999</v>
      </c>
      <c r="AO275" s="1081">
        <f>CHOOSE(Tables!$U$2,Transfer!CM275,Transfer!CZ275,Transfer!DM275,Transfer!DZ275,Transfer!EM275)</f>
        <v>-9999</v>
      </c>
      <c r="AR275" s="22">
        <v>175</v>
      </c>
      <c r="AS275" s="30" t="s">
        <v>1998</v>
      </c>
      <c r="AT275" s="25">
        <f t="shared" ca="1" si="42"/>
        <v>0</v>
      </c>
      <c r="AU275" s="25">
        <f t="shared" ca="1" si="42"/>
        <v>0</v>
      </c>
      <c r="AV275" s="25">
        <f t="shared" ca="1" si="42"/>
        <v>0</v>
      </c>
      <c r="AW275" s="25">
        <f t="shared" ca="1" si="41"/>
        <v>0</v>
      </c>
      <c r="AX275" s="25">
        <f t="shared" ca="1" si="41"/>
        <v>0</v>
      </c>
      <c r="AY275" s="25">
        <f t="shared" si="41"/>
        <v>0</v>
      </c>
      <c r="AZ275" s="25">
        <f t="shared" si="41"/>
        <v>0</v>
      </c>
      <c r="BA275" s="25">
        <f t="shared" si="41"/>
        <v>0</v>
      </c>
      <c r="BB275" s="25">
        <f t="shared" si="41"/>
        <v>0</v>
      </c>
      <c r="BC275" s="25">
        <f t="shared" si="41"/>
        <v>0</v>
      </c>
      <c r="BD275" s="25">
        <f t="shared" si="41"/>
        <v>0</v>
      </c>
      <c r="BE275" s="25">
        <f t="shared" si="41"/>
        <v>0</v>
      </c>
      <c r="BF275" s="25">
        <f t="shared" si="41"/>
        <v>0</v>
      </c>
      <c r="CA275" s="16">
        <v>100.00083333333333</v>
      </c>
      <c r="CB275" s="16">
        <v>102.56333333333332</v>
      </c>
      <c r="CC275" s="16">
        <v>102.63416666666667</v>
      </c>
      <c r="CD275" s="16">
        <v>105.0082543117322</v>
      </c>
      <c r="CE275" s="16">
        <v>107.55464510727879</v>
      </c>
      <c r="CF275" s="16">
        <v>-9999</v>
      </c>
      <c r="CG275" s="16">
        <v>-9999</v>
      </c>
      <c r="CH275" s="16">
        <v>-9999</v>
      </c>
      <c r="CI275" s="16">
        <v>-9999</v>
      </c>
      <c r="CJ275" s="16">
        <v>-9999</v>
      </c>
      <c r="CK275" s="16">
        <v>-9999</v>
      </c>
      <c r="CL275" s="16">
        <v>-9999</v>
      </c>
      <c r="CM275" s="16">
        <v>-9999</v>
      </c>
      <c r="CN275" s="16">
        <v>100.00083333333333</v>
      </c>
      <c r="CO275" s="16">
        <v>102.56333333333332</v>
      </c>
      <c r="CP275" s="16">
        <v>102.63416666666667</v>
      </c>
      <c r="CQ275" s="16">
        <v>104.29287205370073</v>
      </c>
      <c r="CR275" s="16">
        <v>106.35922911366826</v>
      </c>
      <c r="CS275" s="16">
        <v>-9999</v>
      </c>
      <c r="CT275" s="16">
        <v>-9999</v>
      </c>
      <c r="CU275" s="16">
        <v>-9999</v>
      </c>
      <c r="CV275" s="16">
        <v>-9999</v>
      </c>
      <c r="CW275" s="16">
        <v>-9999</v>
      </c>
      <c r="CX275" s="16">
        <v>-9999</v>
      </c>
      <c r="CY275" s="16">
        <v>-9999</v>
      </c>
      <c r="CZ275" s="16">
        <v>-9999</v>
      </c>
      <c r="DA275" s="16">
        <v>100.00083333333333</v>
      </c>
      <c r="DB275" s="16">
        <v>102.56333333333332</v>
      </c>
      <c r="DC275" s="16">
        <v>102.63416666666667</v>
      </c>
      <c r="DD275" s="16">
        <v>105.0082543117322</v>
      </c>
      <c r="DE275" s="16">
        <v>107.55464510727879</v>
      </c>
      <c r="DF275" s="16">
        <v>-9999</v>
      </c>
      <c r="DG275" s="16">
        <v>-9999</v>
      </c>
      <c r="DH275" s="16">
        <v>-9999</v>
      </c>
      <c r="DI275" s="16">
        <v>-9999</v>
      </c>
      <c r="DJ275" s="16">
        <v>-9999</v>
      </c>
      <c r="DK275" s="16">
        <v>-9999</v>
      </c>
      <c r="DL275" s="16">
        <v>-9999</v>
      </c>
      <c r="DM275" s="16">
        <v>-9999</v>
      </c>
      <c r="DN275" s="16">
        <v>100.00083333333333</v>
      </c>
      <c r="DO275" s="16">
        <v>102.56333333333332</v>
      </c>
      <c r="DP275" s="16">
        <v>102.63416666666667</v>
      </c>
      <c r="DQ275" s="16">
        <v>105.0082543117322</v>
      </c>
      <c r="DR275" s="16">
        <v>107.55464510727879</v>
      </c>
      <c r="DS275" s="16">
        <v>-9999</v>
      </c>
      <c r="DT275" s="16">
        <v>-9999</v>
      </c>
      <c r="DU275" s="16">
        <v>-9999</v>
      </c>
      <c r="DV275" s="16">
        <v>-9999</v>
      </c>
      <c r="DW275" s="16">
        <v>-9999</v>
      </c>
      <c r="DX275" s="16">
        <v>-9999</v>
      </c>
      <c r="DY275" s="16">
        <v>-9999</v>
      </c>
      <c r="DZ275" s="16">
        <v>-9999</v>
      </c>
      <c r="EA275" s="2107">
        <v>100.00083333333333</v>
      </c>
      <c r="EB275" s="2107">
        <v>102.56333333333332</v>
      </c>
      <c r="EC275" s="2107">
        <v>102.63416666666667</v>
      </c>
      <c r="ED275" s="2107">
        <v>105.0082543117322</v>
      </c>
      <c r="EE275" s="2107">
        <v>107.55464510727879</v>
      </c>
      <c r="EF275" s="2107">
        <v>-9999</v>
      </c>
      <c r="EG275" s="2107">
        <v>-9999</v>
      </c>
      <c r="EH275" s="2107">
        <v>-9999</v>
      </c>
      <c r="EI275" s="2107">
        <v>-9999</v>
      </c>
      <c r="EJ275" s="2107">
        <v>-9999</v>
      </c>
      <c r="EK275" s="2107">
        <v>-9999</v>
      </c>
      <c r="EL275" s="2107">
        <v>-9999</v>
      </c>
      <c r="EM275" s="2107">
        <v>-9999</v>
      </c>
    </row>
    <row r="276" spans="1:144">
      <c r="A276" s="22">
        <v>176</v>
      </c>
      <c r="B276" s="33" t="s">
        <v>290</v>
      </c>
      <c r="C276" s="24">
        <f ca="1">OFFSET('VVP2'!F396,0,Last_forecast_year - 3-InputY!$G$3)</f>
        <v>100</v>
      </c>
      <c r="D276" s="24">
        <f ca="1">OFFSET('VVP2'!G396,0,Last_forecast_year - 3-InputY!$G$3)</f>
        <v>102.23166666666665</v>
      </c>
      <c r="E276" s="24">
        <f ca="1">OFFSET('VVP2'!H396,0,Last_forecast_year - 3-InputY!$G$3)</f>
        <v>104.18166666666667</v>
      </c>
      <c r="F276" s="24">
        <f ca="1">OFFSET('VVP2'!I396,0,Last_forecast_year - 3-InputY!$G$3)</f>
        <v>106.22235858090809</v>
      </c>
      <c r="G276" s="24">
        <f ca="1">OFFSET('VVP2'!J396,0,Last_forecast_year - 3-InputY!$G$3)</f>
        <v>108.55515362208634</v>
      </c>
      <c r="H276" s="25">
        <v>-9999</v>
      </c>
      <c r="I276" s="25">
        <v>-9999</v>
      </c>
      <c r="J276" s="25">
        <v>-9999</v>
      </c>
      <c r="K276" s="25">
        <v>-9999</v>
      </c>
      <c r="L276" s="25">
        <v>-9999</v>
      </c>
      <c r="M276" s="25">
        <v>-9999</v>
      </c>
      <c r="N276" s="25">
        <v>-9999</v>
      </c>
      <c r="O276" s="25">
        <v>-9999</v>
      </c>
      <c r="P276" s="26"/>
      <c r="Q276"/>
      <c r="AA276" s="22">
        <v>176</v>
      </c>
      <c r="AB276" s="1081" t="str">
        <f t="shared" si="31"/>
        <v>HICP Y INDEX SERVICES</v>
      </c>
      <c r="AC276" s="1081">
        <f>CHOOSE(Tables!$U$2,Transfer!CA276,Transfer!CN276,Transfer!DA276,Transfer!DN276,Transfer!EA276)</f>
        <v>100</v>
      </c>
      <c r="AD276" s="1081">
        <f>CHOOSE(Tables!$U$2,Transfer!CB276,Transfer!CO276,Transfer!DB276,Transfer!DO276,Transfer!EB276)</f>
        <v>102.23166666666665</v>
      </c>
      <c r="AE276" s="1081">
        <f>CHOOSE(Tables!$U$2,Transfer!CC276,Transfer!CP276,Transfer!DC276,Transfer!DP276,Transfer!EC276)</f>
        <v>104.18166666666667</v>
      </c>
      <c r="AF276" s="1081">
        <f>CHOOSE(Tables!$U$2,Transfer!CD276,Transfer!CQ276,Transfer!DD276,Transfer!DQ276,Transfer!ED276)</f>
        <v>106.22235858090809</v>
      </c>
      <c r="AG276" s="1081">
        <f>CHOOSE(Tables!$U$2,Transfer!CE276,Transfer!CR276,Transfer!DE276,Transfer!DR276,Transfer!EE276)</f>
        <v>108.55515362208634</v>
      </c>
      <c r="AH276" s="1081">
        <f>CHOOSE(Tables!$U$2,Transfer!CF276,Transfer!CS276,Transfer!DF276,Transfer!DS276,Transfer!EF276)</f>
        <v>-9999</v>
      </c>
      <c r="AI276" s="1081">
        <f>CHOOSE(Tables!$U$2,Transfer!CG276,Transfer!CT276,Transfer!DG276,Transfer!DT276,Transfer!EG276)</f>
        <v>-9999</v>
      </c>
      <c r="AJ276" s="1081">
        <f>CHOOSE(Tables!$U$2,Transfer!CH276,Transfer!CU276,Transfer!DH276,Transfer!DU276,Transfer!EH276)</f>
        <v>-9999</v>
      </c>
      <c r="AK276" s="1081">
        <f>CHOOSE(Tables!$U$2,Transfer!CI276,Transfer!CV276,Transfer!DI276,Transfer!DV276,Transfer!EI276)</f>
        <v>-9999</v>
      </c>
      <c r="AL276" s="1081">
        <f>CHOOSE(Tables!$U$2,Transfer!CJ276,Transfer!CW276,Transfer!DJ276,Transfer!DW276,Transfer!EJ276)</f>
        <v>-9999</v>
      </c>
      <c r="AM276" s="1081">
        <f>CHOOSE(Tables!$U$2,Transfer!CK276,Transfer!CX276,Transfer!DK276,Transfer!DX276,Transfer!EK276)</f>
        <v>-9999</v>
      </c>
      <c r="AN276" s="1081">
        <f>CHOOSE(Tables!$U$2,Transfer!CL276,Transfer!CY276,Transfer!DL276,Transfer!DY276,Transfer!EL276)</f>
        <v>-9999</v>
      </c>
      <c r="AO276" s="1081">
        <f>CHOOSE(Tables!$U$2,Transfer!CM276,Transfer!CZ276,Transfer!DM276,Transfer!DZ276,Transfer!EM276)</f>
        <v>-9999</v>
      </c>
      <c r="AR276" s="22">
        <v>176</v>
      </c>
      <c r="AS276" s="30" t="s">
        <v>1998</v>
      </c>
      <c r="AT276" s="25">
        <f t="shared" ca="1" si="42"/>
        <v>0</v>
      </c>
      <c r="AU276" s="25">
        <f t="shared" ca="1" si="42"/>
        <v>0</v>
      </c>
      <c r="AV276" s="25">
        <f t="shared" ca="1" si="42"/>
        <v>0</v>
      </c>
      <c r="AW276" s="25">
        <f t="shared" ca="1" si="41"/>
        <v>0</v>
      </c>
      <c r="AX276" s="25">
        <f t="shared" ca="1" si="41"/>
        <v>0</v>
      </c>
      <c r="AY276" s="25">
        <f t="shared" si="41"/>
        <v>0</v>
      </c>
      <c r="AZ276" s="25">
        <f t="shared" si="41"/>
        <v>0</v>
      </c>
      <c r="BA276" s="25">
        <f t="shared" si="41"/>
        <v>0</v>
      </c>
      <c r="BB276" s="25">
        <f t="shared" si="41"/>
        <v>0</v>
      </c>
      <c r="BC276" s="25">
        <f t="shared" si="41"/>
        <v>0</v>
      </c>
      <c r="BD276" s="25">
        <f t="shared" si="41"/>
        <v>0</v>
      </c>
      <c r="BE276" s="25">
        <f t="shared" si="41"/>
        <v>0</v>
      </c>
      <c r="BF276" s="25">
        <f t="shared" si="41"/>
        <v>0</v>
      </c>
      <c r="CA276" s="16">
        <v>100</v>
      </c>
      <c r="CB276" s="16">
        <v>102.23166666666665</v>
      </c>
      <c r="CC276" s="16">
        <v>104.18166666666667</v>
      </c>
      <c r="CD276" s="16">
        <v>106.22235858090809</v>
      </c>
      <c r="CE276" s="16">
        <v>108.55515362208634</v>
      </c>
      <c r="CF276" s="16">
        <v>-9999</v>
      </c>
      <c r="CG276" s="16">
        <v>-9999</v>
      </c>
      <c r="CH276" s="16">
        <v>-9999</v>
      </c>
      <c r="CI276" s="16">
        <v>-9999</v>
      </c>
      <c r="CJ276" s="16">
        <v>-9999</v>
      </c>
      <c r="CK276" s="16">
        <v>-9999</v>
      </c>
      <c r="CL276" s="16">
        <v>-9999</v>
      </c>
      <c r="CM276" s="16">
        <v>-9999</v>
      </c>
      <c r="CN276" s="16">
        <v>100</v>
      </c>
      <c r="CO276" s="16">
        <v>102.23166666666665</v>
      </c>
      <c r="CP276" s="16">
        <v>104.18166666666667</v>
      </c>
      <c r="CQ276" s="16">
        <v>106.23263724873233</v>
      </c>
      <c r="CR276" s="16">
        <v>108.30799339025359</v>
      </c>
      <c r="CS276" s="16">
        <v>-9999</v>
      </c>
      <c r="CT276" s="16">
        <v>-9999</v>
      </c>
      <c r="CU276" s="16">
        <v>-9999</v>
      </c>
      <c r="CV276" s="16">
        <v>-9999</v>
      </c>
      <c r="CW276" s="16">
        <v>-9999</v>
      </c>
      <c r="CX276" s="16">
        <v>-9999</v>
      </c>
      <c r="CY276" s="16">
        <v>-9999</v>
      </c>
      <c r="CZ276" s="16">
        <v>-9999</v>
      </c>
      <c r="DA276" s="16">
        <v>100</v>
      </c>
      <c r="DB276" s="16">
        <v>102.23166666666665</v>
      </c>
      <c r="DC276" s="16">
        <v>104.18166666666667</v>
      </c>
      <c r="DD276" s="16">
        <v>106.22235858090809</v>
      </c>
      <c r="DE276" s="16">
        <v>108.55515362208634</v>
      </c>
      <c r="DF276" s="16">
        <v>-9999</v>
      </c>
      <c r="DG276" s="16">
        <v>-9999</v>
      </c>
      <c r="DH276" s="16">
        <v>-9999</v>
      </c>
      <c r="DI276" s="16">
        <v>-9999</v>
      </c>
      <c r="DJ276" s="16">
        <v>-9999</v>
      </c>
      <c r="DK276" s="16">
        <v>-9999</v>
      </c>
      <c r="DL276" s="16">
        <v>-9999</v>
      </c>
      <c r="DM276" s="16">
        <v>-9999</v>
      </c>
      <c r="DN276" s="16">
        <v>100</v>
      </c>
      <c r="DO276" s="16">
        <v>102.23166666666665</v>
      </c>
      <c r="DP276" s="16">
        <v>104.18166666666667</v>
      </c>
      <c r="DQ276" s="16">
        <v>106.22235858090809</v>
      </c>
      <c r="DR276" s="16">
        <v>108.55515362208634</v>
      </c>
      <c r="DS276" s="16">
        <v>-9999</v>
      </c>
      <c r="DT276" s="16">
        <v>-9999</v>
      </c>
      <c r="DU276" s="16">
        <v>-9999</v>
      </c>
      <c r="DV276" s="16">
        <v>-9999</v>
      </c>
      <c r="DW276" s="16">
        <v>-9999</v>
      </c>
      <c r="DX276" s="16">
        <v>-9999</v>
      </c>
      <c r="DY276" s="16">
        <v>-9999</v>
      </c>
      <c r="DZ276" s="16">
        <v>-9999</v>
      </c>
      <c r="EA276" s="2107">
        <v>100</v>
      </c>
      <c r="EB276" s="2107">
        <v>102.23166666666665</v>
      </c>
      <c r="EC276" s="2107">
        <v>104.18166666666667</v>
      </c>
      <c r="ED276" s="2107">
        <v>106.22235858090809</v>
      </c>
      <c r="EE276" s="2107">
        <v>108.55515362208634</v>
      </c>
      <c r="EF276" s="2107">
        <v>-9999</v>
      </c>
      <c r="EG276" s="2107">
        <v>-9999</v>
      </c>
      <c r="EH276" s="2107">
        <v>-9999</v>
      </c>
      <c r="EI276" s="2107">
        <v>-9999</v>
      </c>
      <c r="EJ276" s="2107">
        <v>-9999</v>
      </c>
      <c r="EK276" s="2107">
        <v>-9999</v>
      </c>
      <c r="EL276" s="2107">
        <v>-9999</v>
      </c>
      <c r="EM276" s="2107">
        <v>-9999</v>
      </c>
    </row>
    <row r="277" spans="1:144">
      <c r="A277" s="22">
        <v>177</v>
      </c>
      <c r="B277" s="33" t="s">
        <v>756</v>
      </c>
      <c r="C277" s="24">
        <f ca="1">OFFSET('VVP2'!F398,0,Last_forecast_year - 3-InputY!$G$3)</f>
        <v>100.00708265702174</v>
      </c>
      <c r="D277" s="24">
        <f ca="1">OFFSET('VVP2'!G398,0,Last_forecast_year - 3-InputY!$G$3)</f>
        <v>102.02900166525791</v>
      </c>
      <c r="E277" s="24">
        <f ca="1">OFFSET('VVP2'!H398,0,Last_forecast_year - 3-InputY!$G$3)</f>
        <v>103.64917402484051</v>
      </c>
      <c r="F277" s="24">
        <f ca="1">OFFSET('VVP2'!I398,0,Last_forecast_year - 3-InputY!$G$3)</f>
        <v>105.52166758961401</v>
      </c>
      <c r="G277" s="24">
        <f ca="1">OFFSET('VVP2'!J398,0,Last_forecast_year - 3-InputY!$G$3)</f>
        <v>107.49474248580444</v>
      </c>
      <c r="H277" s="25">
        <v>-9999</v>
      </c>
      <c r="I277" s="25">
        <v>-9999</v>
      </c>
      <c r="J277" s="25">
        <v>-9999</v>
      </c>
      <c r="K277" s="25">
        <v>-9999</v>
      </c>
      <c r="L277" s="25">
        <v>-9999</v>
      </c>
      <c r="M277" s="25">
        <v>-9999</v>
      </c>
      <c r="N277" s="25">
        <v>-9999</v>
      </c>
      <c r="O277" s="25">
        <v>-9999</v>
      </c>
      <c r="P277" s="26"/>
      <c r="Q277"/>
      <c r="AA277" s="22">
        <v>177</v>
      </c>
      <c r="AB277" s="1081" t="str">
        <f t="shared" si="31"/>
        <v>HICP Y INDEX EXCL. ENERGY AND UNPROCESSED FOOD</v>
      </c>
      <c r="AC277" s="1081">
        <f>CHOOSE(Tables!$U$2,Transfer!CA277,Transfer!CN277,Transfer!DA277,Transfer!DN277,Transfer!EA277)</f>
        <v>100.00708265702174</v>
      </c>
      <c r="AD277" s="1081">
        <f>CHOOSE(Tables!$U$2,Transfer!CB277,Transfer!CO277,Transfer!DB277,Transfer!DO277,Transfer!EB277)</f>
        <v>102.02900166525791</v>
      </c>
      <c r="AE277" s="1081">
        <f>CHOOSE(Tables!$U$2,Transfer!CC277,Transfer!CP277,Transfer!DC277,Transfer!DP277,Transfer!EC277)</f>
        <v>103.64917402484051</v>
      </c>
      <c r="AF277" s="1081">
        <f>CHOOSE(Tables!$U$2,Transfer!CD277,Transfer!CQ277,Transfer!DD277,Transfer!DQ277,Transfer!ED277)</f>
        <v>105.52166758961401</v>
      </c>
      <c r="AG277" s="1081">
        <f>CHOOSE(Tables!$U$2,Transfer!CE277,Transfer!CR277,Transfer!DE277,Transfer!DR277,Transfer!EE277)</f>
        <v>107.49474248580444</v>
      </c>
      <c r="AH277" s="1081">
        <f>CHOOSE(Tables!$U$2,Transfer!CF277,Transfer!CS277,Transfer!DF277,Transfer!DS277,Transfer!EF277)</f>
        <v>-9999</v>
      </c>
      <c r="AI277" s="1081">
        <f>CHOOSE(Tables!$U$2,Transfer!CG277,Transfer!CT277,Transfer!DG277,Transfer!DT277,Transfer!EG277)</f>
        <v>-9999</v>
      </c>
      <c r="AJ277" s="1081">
        <f>CHOOSE(Tables!$U$2,Transfer!CH277,Transfer!CU277,Transfer!DH277,Transfer!DU277,Transfer!EH277)</f>
        <v>-9999</v>
      </c>
      <c r="AK277" s="1081">
        <f>CHOOSE(Tables!$U$2,Transfer!CI277,Transfer!CV277,Transfer!DI277,Transfer!DV277,Transfer!EI277)</f>
        <v>-9999</v>
      </c>
      <c r="AL277" s="1081">
        <f>CHOOSE(Tables!$U$2,Transfer!CJ277,Transfer!CW277,Transfer!DJ277,Transfer!DW277,Transfer!EJ277)</f>
        <v>-9999</v>
      </c>
      <c r="AM277" s="1081">
        <f>CHOOSE(Tables!$U$2,Transfer!CK277,Transfer!CX277,Transfer!DK277,Transfer!DX277,Transfer!EK277)</f>
        <v>-9999</v>
      </c>
      <c r="AN277" s="1081">
        <f>CHOOSE(Tables!$U$2,Transfer!CL277,Transfer!CY277,Transfer!DL277,Transfer!DY277,Transfer!EL277)</f>
        <v>-9999</v>
      </c>
      <c r="AO277" s="1081">
        <f>CHOOSE(Tables!$U$2,Transfer!CM277,Transfer!CZ277,Transfer!DM277,Transfer!DZ277,Transfer!EM277)</f>
        <v>-9999</v>
      </c>
      <c r="AR277" s="22">
        <v>177</v>
      </c>
      <c r="AS277" s="30" t="s">
        <v>1998</v>
      </c>
      <c r="AT277" s="25">
        <f t="shared" ca="1" si="42"/>
        <v>0</v>
      </c>
      <c r="AU277" s="25">
        <f t="shared" ca="1" si="42"/>
        <v>0</v>
      </c>
      <c r="AV277" s="25">
        <f t="shared" ca="1" si="42"/>
        <v>0</v>
      </c>
      <c r="AW277" s="25">
        <f t="shared" ca="1" si="41"/>
        <v>0</v>
      </c>
      <c r="AX277" s="25">
        <f t="shared" ca="1" si="41"/>
        <v>0</v>
      </c>
      <c r="AY277" s="25">
        <f t="shared" si="41"/>
        <v>0</v>
      </c>
      <c r="AZ277" s="25">
        <f t="shared" si="41"/>
        <v>0</v>
      </c>
      <c r="BA277" s="25">
        <f t="shared" si="41"/>
        <v>0</v>
      </c>
      <c r="BB277" s="25">
        <f t="shared" si="41"/>
        <v>0</v>
      </c>
      <c r="BC277" s="25">
        <f t="shared" si="41"/>
        <v>0</v>
      </c>
      <c r="BD277" s="25">
        <f t="shared" si="41"/>
        <v>0</v>
      </c>
      <c r="BE277" s="25">
        <f t="shared" si="41"/>
        <v>0</v>
      </c>
      <c r="BF277" s="25">
        <f t="shared" si="41"/>
        <v>0</v>
      </c>
      <c r="CA277" s="16">
        <v>100.00708265702174</v>
      </c>
      <c r="CB277" s="16">
        <v>102.02900166525791</v>
      </c>
      <c r="CC277" s="16">
        <v>103.64917402484051</v>
      </c>
      <c r="CD277" s="16">
        <v>105.52166758961401</v>
      </c>
      <c r="CE277" s="16">
        <v>107.49474248580444</v>
      </c>
      <c r="CF277" s="16">
        <v>-9999</v>
      </c>
      <c r="CG277" s="16">
        <v>-9999</v>
      </c>
      <c r="CH277" s="16">
        <v>-9999</v>
      </c>
      <c r="CI277" s="16">
        <v>-9999</v>
      </c>
      <c r="CJ277" s="16">
        <v>-9999</v>
      </c>
      <c r="CK277" s="16">
        <v>-9999</v>
      </c>
      <c r="CL277" s="16">
        <v>-9999</v>
      </c>
      <c r="CM277" s="16">
        <v>-9999</v>
      </c>
      <c r="CN277" s="16">
        <v>100.00708265702174</v>
      </c>
      <c r="CO277" s="16">
        <v>102.02900166525791</v>
      </c>
      <c r="CP277" s="16">
        <v>103.64917402484051</v>
      </c>
      <c r="CQ277" s="16">
        <v>105.26303911774991</v>
      </c>
      <c r="CR277" s="16">
        <v>106.89599014336977</v>
      </c>
      <c r="CS277" s="16">
        <v>-9999</v>
      </c>
      <c r="CT277" s="16">
        <v>-9999</v>
      </c>
      <c r="CU277" s="16">
        <v>-9999</v>
      </c>
      <c r="CV277" s="16">
        <v>-9999</v>
      </c>
      <c r="CW277" s="16">
        <v>-9999</v>
      </c>
      <c r="CX277" s="16">
        <v>-9999</v>
      </c>
      <c r="CY277" s="16">
        <v>-9999</v>
      </c>
      <c r="CZ277" s="16">
        <v>-9999</v>
      </c>
      <c r="DA277" s="16">
        <v>100.00708265702174</v>
      </c>
      <c r="DB277" s="16">
        <v>102.02900166525791</v>
      </c>
      <c r="DC277" s="16">
        <v>103.64917402484051</v>
      </c>
      <c r="DD277" s="16">
        <v>105.52166758961401</v>
      </c>
      <c r="DE277" s="16">
        <v>107.49474248580444</v>
      </c>
      <c r="DF277" s="16">
        <v>-9999</v>
      </c>
      <c r="DG277" s="16">
        <v>-9999</v>
      </c>
      <c r="DH277" s="16">
        <v>-9999</v>
      </c>
      <c r="DI277" s="16">
        <v>-9999</v>
      </c>
      <c r="DJ277" s="16">
        <v>-9999</v>
      </c>
      <c r="DK277" s="16">
        <v>-9999</v>
      </c>
      <c r="DL277" s="16">
        <v>-9999</v>
      </c>
      <c r="DM277" s="16">
        <v>-9999</v>
      </c>
      <c r="DN277" s="16">
        <v>100.00708265702174</v>
      </c>
      <c r="DO277" s="16">
        <v>102.02900166525791</v>
      </c>
      <c r="DP277" s="16">
        <v>103.64917402484051</v>
      </c>
      <c r="DQ277" s="16">
        <v>105.52166758961401</v>
      </c>
      <c r="DR277" s="16">
        <v>107.49474248580444</v>
      </c>
      <c r="DS277" s="16">
        <v>-9999</v>
      </c>
      <c r="DT277" s="16">
        <v>-9999</v>
      </c>
      <c r="DU277" s="16">
        <v>-9999</v>
      </c>
      <c r="DV277" s="16">
        <v>-9999</v>
      </c>
      <c r="DW277" s="16">
        <v>-9999</v>
      </c>
      <c r="DX277" s="16">
        <v>-9999</v>
      </c>
      <c r="DY277" s="16">
        <v>-9999</v>
      </c>
      <c r="DZ277" s="16">
        <v>-9999</v>
      </c>
      <c r="EA277" s="2107">
        <v>100.00708265702174</v>
      </c>
      <c r="EB277" s="2107">
        <v>102.02900166525791</v>
      </c>
      <c r="EC277" s="2107">
        <v>103.64917402484051</v>
      </c>
      <c r="ED277" s="2107">
        <v>105.52166758961401</v>
      </c>
      <c r="EE277" s="2107">
        <v>107.49474248580444</v>
      </c>
      <c r="EF277" s="2107">
        <v>-9999</v>
      </c>
      <c r="EG277" s="2107">
        <v>-9999</v>
      </c>
      <c r="EH277" s="2107">
        <v>-9999</v>
      </c>
      <c r="EI277" s="2107">
        <v>-9999</v>
      </c>
      <c r="EJ277" s="2107">
        <v>-9999</v>
      </c>
      <c r="EK277" s="2107">
        <v>-9999</v>
      </c>
      <c r="EL277" s="2107">
        <v>-9999</v>
      </c>
      <c r="EM277" s="2107">
        <v>-9999</v>
      </c>
    </row>
    <row r="278" spans="1:144">
      <c r="A278" s="22">
        <v>178</v>
      </c>
      <c r="B278" s="30" t="s">
        <v>1998</v>
      </c>
      <c r="C278" s="25">
        <v>-9999</v>
      </c>
      <c r="D278" s="25">
        <v>-9999</v>
      </c>
      <c r="E278" s="25">
        <v>-9999</v>
      </c>
      <c r="F278" s="25">
        <v>-9999</v>
      </c>
      <c r="G278" s="25">
        <v>-9999</v>
      </c>
      <c r="H278" s="25">
        <v>-9999</v>
      </c>
      <c r="I278" s="25">
        <v>-9999</v>
      </c>
      <c r="J278" s="25">
        <v>-9999</v>
      </c>
      <c r="K278" s="25">
        <v>-9999</v>
      </c>
      <c r="L278" s="25">
        <v>-9999</v>
      </c>
      <c r="M278" s="25">
        <v>-9999</v>
      </c>
      <c r="N278" s="25">
        <v>-9999</v>
      </c>
      <c r="O278" s="25">
        <v>-9999</v>
      </c>
      <c r="P278" s="26"/>
      <c r="Q278"/>
      <c r="AA278" s="22">
        <v>178</v>
      </c>
      <c r="AB278" s="1081" t="str">
        <f t="shared" si="31"/>
        <v>FOR FUTURE USE</v>
      </c>
      <c r="AC278" s="1081">
        <f>CHOOSE(Tables!$U$2,Transfer!CA278,Transfer!CN278,Transfer!DA278,Transfer!DN278,Transfer!EA278)</f>
        <v>-9999</v>
      </c>
      <c r="AD278" s="1081">
        <f>CHOOSE(Tables!$U$2,Transfer!CB278,Transfer!CO278,Transfer!DB278,Transfer!DO278,Transfer!EB278)</f>
        <v>-9999</v>
      </c>
      <c r="AE278" s="1081">
        <f>CHOOSE(Tables!$U$2,Transfer!CC278,Transfer!CP278,Transfer!DC278,Transfer!DP278,Transfer!EC278)</f>
        <v>-9999</v>
      </c>
      <c r="AF278" s="1081">
        <f>CHOOSE(Tables!$U$2,Transfer!CD278,Transfer!CQ278,Transfer!DD278,Transfer!DQ278,Transfer!ED278)</f>
        <v>-9999</v>
      </c>
      <c r="AG278" s="1081">
        <f>CHOOSE(Tables!$U$2,Transfer!CE278,Transfer!CR278,Transfer!DE278,Transfer!DR278,Transfer!EE278)</f>
        <v>-9999</v>
      </c>
      <c r="AH278" s="1081">
        <f>CHOOSE(Tables!$U$2,Transfer!CF278,Transfer!CS278,Transfer!DF278,Transfer!DS278,Transfer!EF278)</f>
        <v>-9999</v>
      </c>
      <c r="AI278" s="1081">
        <f>CHOOSE(Tables!$U$2,Transfer!CG278,Transfer!CT278,Transfer!DG278,Transfer!DT278,Transfer!EG278)</f>
        <v>-9999</v>
      </c>
      <c r="AJ278" s="1081">
        <f>CHOOSE(Tables!$U$2,Transfer!CH278,Transfer!CU278,Transfer!DH278,Transfer!DU278,Transfer!EH278)</f>
        <v>-9999</v>
      </c>
      <c r="AK278" s="1081">
        <f>CHOOSE(Tables!$U$2,Transfer!CI278,Transfer!CV278,Transfer!DI278,Transfer!DV278,Transfer!EI278)</f>
        <v>-9999</v>
      </c>
      <c r="AL278" s="1081">
        <f>CHOOSE(Tables!$U$2,Transfer!CJ278,Transfer!CW278,Transfer!DJ278,Transfer!DW278,Transfer!EJ278)</f>
        <v>-9999</v>
      </c>
      <c r="AM278" s="1081">
        <f>CHOOSE(Tables!$U$2,Transfer!CK278,Transfer!CX278,Transfer!DK278,Transfer!DX278,Transfer!EK278)</f>
        <v>-9999</v>
      </c>
      <c r="AN278" s="1081">
        <f>CHOOSE(Tables!$U$2,Transfer!CL278,Transfer!CY278,Transfer!DL278,Transfer!DY278,Transfer!EL278)</f>
        <v>-9999</v>
      </c>
      <c r="AO278" s="1081">
        <f>CHOOSE(Tables!$U$2,Transfer!CM278,Transfer!CZ278,Transfer!DM278,Transfer!DZ278,Transfer!EM278)</f>
        <v>-9999</v>
      </c>
      <c r="AR278" s="22">
        <v>178</v>
      </c>
      <c r="AS278" s="30" t="s">
        <v>1998</v>
      </c>
      <c r="AT278" s="25">
        <f t="shared" si="42"/>
        <v>0</v>
      </c>
      <c r="AU278" s="25">
        <f t="shared" si="42"/>
        <v>0</v>
      </c>
      <c r="AV278" s="25">
        <f t="shared" si="42"/>
        <v>0</v>
      </c>
      <c r="AW278" s="25">
        <f t="shared" si="41"/>
        <v>0</v>
      </c>
      <c r="AX278" s="25">
        <f t="shared" si="41"/>
        <v>0</v>
      </c>
      <c r="AY278" s="25">
        <f t="shared" si="41"/>
        <v>0</v>
      </c>
      <c r="AZ278" s="25">
        <f t="shared" si="41"/>
        <v>0</v>
      </c>
      <c r="BA278" s="25">
        <f t="shared" si="41"/>
        <v>0</v>
      </c>
      <c r="BB278" s="25">
        <f t="shared" si="41"/>
        <v>0</v>
      </c>
      <c r="BC278" s="25">
        <f t="shared" si="41"/>
        <v>0</v>
      </c>
      <c r="BD278" s="25">
        <f t="shared" si="41"/>
        <v>0</v>
      </c>
      <c r="BE278" s="25">
        <f t="shared" si="41"/>
        <v>0</v>
      </c>
      <c r="BF278" s="25">
        <f t="shared" si="41"/>
        <v>0</v>
      </c>
      <c r="CA278" s="16">
        <v>-9999</v>
      </c>
      <c r="CB278" s="16">
        <v>-9999</v>
      </c>
      <c r="CC278" s="16">
        <v>-9999</v>
      </c>
      <c r="CD278" s="16">
        <v>-9999</v>
      </c>
      <c r="CE278" s="16">
        <v>-9999</v>
      </c>
      <c r="CF278" s="16">
        <v>-9999</v>
      </c>
      <c r="CG278" s="16">
        <v>-9999</v>
      </c>
      <c r="CH278" s="16">
        <v>-9999</v>
      </c>
      <c r="CI278" s="16">
        <v>-9999</v>
      </c>
      <c r="CJ278" s="16">
        <v>-9999</v>
      </c>
      <c r="CK278" s="16">
        <v>-9999</v>
      </c>
      <c r="CL278" s="16">
        <v>-9999</v>
      </c>
      <c r="CM278" s="16">
        <v>-9999</v>
      </c>
      <c r="CN278" s="16">
        <v>-9999</v>
      </c>
      <c r="CO278" s="16">
        <v>-9999</v>
      </c>
      <c r="CP278" s="16">
        <v>-9999</v>
      </c>
      <c r="CQ278" s="16">
        <v>-9999</v>
      </c>
      <c r="CR278" s="16">
        <v>-9999</v>
      </c>
      <c r="CS278" s="16">
        <v>-9999</v>
      </c>
      <c r="CT278" s="16">
        <v>-9999</v>
      </c>
      <c r="CU278" s="16">
        <v>-9999</v>
      </c>
      <c r="CV278" s="16">
        <v>-9999</v>
      </c>
      <c r="CW278" s="16">
        <v>-9999</v>
      </c>
      <c r="CX278" s="16">
        <v>-9999</v>
      </c>
      <c r="CY278" s="16">
        <v>-9999</v>
      </c>
      <c r="CZ278" s="16">
        <v>-9999</v>
      </c>
      <c r="DA278" s="16">
        <v>-9999</v>
      </c>
      <c r="DB278" s="16">
        <v>-9999</v>
      </c>
      <c r="DC278" s="16">
        <v>-9999</v>
      </c>
      <c r="DD278" s="16">
        <v>-9999</v>
      </c>
      <c r="DE278" s="16">
        <v>-9999</v>
      </c>
      <c r="DF278" s="16">
        <v>-9999</v>
      </c>
      <c r="DG278" s="16">
        <v>-9999</v>
      </c>
      <c r="DH278" s="16">
        <v>-9999</v>
      </c>
      <c r="DI278" s="16">
        <v>-9999</v>
      </c>
      <c r="DJ278" s="16">
        <v>-9999</v>
      </c>
      <c r="DK278" s="16">
        <v>-9999</v>
      </c>
      <c r="DL278" s="16">
        <v>-9999</v>
      </c>
      <c r="DM278" s="16">
        <v>-9999</v>
      </c>
      <c r="DN278" s="16">
        <v>-9999</v>
      </c>
      <c r="DO278" s="16">
        <v>-9999</v>
      </c>
      <c r="DP278" s="16">
        <v>-9999</v>
      </c>
      <c r="DQ278" s="16">
        <v>-9999</v>
      </c>
      <c r="DR278" s="16">
        <v>-9999</v>
      </c>
      <c r="DS278" s="16">
        <v>-9999</v>
      </c>
      <c r="DT278" s="16">
        <v>-9999</v>
      </c>
      <c r="DU278" s="16">
        <v>-9999</v>
      </c>
      <c r="DV278" s="16">
        <v>-9999</v>
      </c>
      <c r="DW278" s="16">
        <v>-9999</v>
      </c>
      <c r="DX278" s="16">
        <v>-9999</v>
      </c>
      <c r="DY278" s="16">
        <v>-9999</v>
      </c>
      <c r="DZ278" s="16">
        <v>-9999</v>
      </c>
      <c r="EA278" s="2107">
        <v>-9999</v>
      </c>
      <c r="EB278" s="2107">
        <v>-9999</v>
      </c>
      <c r="EC278" s="2107">
        <v>-9999</v>
      </c>
      <c r="ED278" s="2107">
        <v>-9999</v>
      </c>
      <c r="EE278" s="2107">
        <v>-9999</v>
      </c>
      <c r="EF278" s="2107">
        <v>-9999</v>
      </c>
      <c r="EG278" s="2107">
        <v>-9999</v>
      </c>
      <c r="EH278" s="2107">
        <v>-9999</v>
      </c>
      <c r="EI278" s="2107">
        <v>-9999</v>
      </c>
      <c r="EJ278" s="2107">
        <v>-9999</v>
      </c>
      <c r="EK278" s="2107">
        <v>-9999</v>
      </c>
      <c r="EL278" s="2107">
        <v>-9999</v>
      </c>
      <c r="EM278" s="2107">
        <v>-9999</v>
      </c>
    </row>
    <row r="279" spans="1:144">
      <c r="A279" s="22">
        <v>179</v>
      </c>
      <c r="B279" s="30" t="s">
        <v>1998</v>
      </c>
      <c r="C279" s="25">
        <v>-9999</v>
      </c>
      <c r="D279" s="25">
        <v>-9999</v>
      </c>
      <c r="E279" s="25">
        <v>-9999</v>
      </c>
      <c r="F279" s="25">
        <v>-9999</v>
      </c>
      <c r="G279" s="25">
        <v>-9999</v>
      </c>
      <c r="H279" s="25">
        <v>-9999</v>
      </c>
      <c r="I279" s="25">
        <v>-9999</v>
      </c>
      <c r="J279" s="25">
        <v>-9999</v>
      </c>
      <c r="K279" s="25">
        <v>-9999</v>
      </c>
      <c r="L279" s="25">
        <v>-9999</v>
      </c>
      <c r="M279" s="25">
        <v>-9999</v>
      </c>
      <c r="N279" s="25">
        <v>-9999</v>
      </c>
      <c r="O279" s="25">
        <v>-9999</v>
      </c>
      <c r="P279" s="26"/>
      <c r="Q279"/>
      <c r="AA279" s="22">
        <v>179</v>
      </c>
      <c r="AB279" s="1081" t="str">
        <f t="shared" si="31"/>
        <v>FOR FUTURE USE</v>
      </c>
      <c r="AC279" s="1081">
        <f>CHOOSE(Tables!$U$2,Transfer!CA279,Transfer!CN279,Transfer!DA279,Transfer!DN279,Transfer!EA279)</f>
        <v>-9999</v>
      </c>
      <c r="AD279" s="1081">
        <f>CHOOSE(Tables!$U$2,Transfer!CB279,Transfer!CO279,Transfer!DB279,Transfer!DO279,Transfer!EB279)</f>
        <v>-9999</v>
      </c>
      <c r="AE279" s="1081">
        <f>CHOOSE(Tables!$U$2,Transfer!CC279,Transfer!CP279,Transfer!DC279,Transfer!DP279,Transfer!EC279)</f>
        <v>-9999</v>
      </c>
      <c r="AF279" s="1081">
        <f>CHOOSE(Tables!$U$2,Transfer!CD279,Transfer!CQ279,Transfer!DD279,Transfer!DQ279,Transfer!ED279)</f>
        <v>-9999</v>
      </c>
      <c r="AG279" s="1081">
        <f>CHOOSE(Tables!$U$2,Transfer!CE279,Transfer!CR279,Transfer!DE279,Transfer!DR279,Transfer!EE279)</f>
        <v>-9999</v>
      </c>
      <c r="AH279" s="1081">
        <f>CHOOSE(Tables!$U$2,Transfer!CF279,Transfer!CS279,Transfer!DF279,Transfer!DS279,Transfer!EF279)</f>
        <v>-9999</v>
      </c>
      <c r="AI279" s="1081">
        <f>CHOOSE(Tables!$U$2,Transfer!CG279,Transfer!CT279,Transfer!DG279,Transfer!DT279,Transfer!EG279)</f>
        <v>-9999</v>
      </c>
      <c r="AJ279" s="1081">
        <f>CHOOSE(Tables!$U$2,Transfer!CH279,Transfer!CU279,Transfer!DH279,Transfer!DU279,Transfer!EH279)</f>
        <v>-9999</v>
      </c>
      <c r="AK279" s="1081">
        <f>CHOOSE(Tables!$U$2,Transfer!CI279,Transfer!CV279,Transfer!DI279,Transfer!DV279,Transfer!EI279)</f>
        <v>-9999</v>
      </c>
      <c r="AL279" s="1081">
        <f>CHOOSE(Tables!$U$2,Transfer!CJ279,Transfer!CW279,Transfer!DJ279,Transfer!DW279,Transfer!EJ279)</f>
        <v>-9999</v>
      </c>
      <c r="AM279" s="1081">
        <f>CHOOSE(Tables!$U$2,Transfer!CK279,Transfer!CX279,Transfer!DK279,Transfer!DX279,Transfer!EK279)</f>
        <v>-9999</v>
      </c>
      <c r="AN279" s="1081">
        <f>CHOOSE(Tables!$U$2,Transfer!CL279,Transfer!CY279,Transfer!DL279,Transfer!DY279,Transfer!EL279)</f>
        <v>-9999</v>
      </c>
      <c r="AO279" s="1081">
        <f>CHOOSE(Tables!$U$2,Transfer!CM279,Transfer!CZ279,Transfer!DM279,Transfer!DZ279,Transfer!EM279)</f>
        <v>-9999</v>
      </c>
      <c r="AR279" s="22">
        <v>179</v>
      </c>
      <c r="AS279" s="30" t="s">
        <v>1998</v>
      </c>
      <c r="AT279" s="25">
        <f t="shared" si="42"/>
        <v>0</v>
      </c>
      <c r="AU279" s="25">
        <f t="shared" si="42"/>
        <v>0</v>
      </c>
      <c r="AV279" s="25">
        <f t="shared" si="42"/>
        <v>0</v>
      </c>
      <c r="AW279" s="25">
        <f t="shared" si="41"/>
        <v>0</v>
      </c>
      <c r="AX279" s="25">
        <f t="shared" si="41"/>
        <v>0</v>
      </c>
      <c r="AY279" s="25">
        <f t="shared" si="41"/>
        <v>0</v>
      </c>
      <c r="AZ279" s="25">
        <f t="shared" si="41"/>
        <v>0</v>
      </c>
      <c r="BA279" s="25">
        <f t="shared" si="41"/>
        <v>0</v>
      </c>
      <c r="BB279" s="25">
        <f t="shared" si="41"/>
        <v>0</v>
      </c>
      <c r="BC279" s="25">
        <f t="shared" si="41"/>
        <v>0</v>
      </c>
      <c r="BD279" s="25">
        <f t="shared" si="41"/>
        <v>0</v>
      </c>
      <c r="BE279" s="25">
        <f t="shared" si="41"/>
        <v>0</v>
      </c>
      <c r="BF279" s="25">
        <f t="shared" si="41"/>
        <v>0</v>
      </c>
      <c r="CA279" s="16">
        <v>-9999</v>
      </c>
      <c r="CB279" s="16">
        <v>-9999</v>
      </c>
      <c r="CC279" s="16">
        <v>-9999</v>
      </c>
      <c r="CD279" s="16">
        <v>-9999</v>
      </c>
      <c r="CE279" s="16">
        <v>-9999</v>
      </c>
      <c r="CF279" s="16">
        <v>-9999</v>
      </c>
      <c r="CG279" s="16">
        <v>-9999</v>
      </c>
      <c r="CH279" s="16">
        <v>-9999</v>
      </c>
      <c r="CI279" s="16">
        <v>-9999</v>
      </c>
      <c r="CJ279" s="16">
        <v>-9999</v>
      </c>
      <c r="CK279" s="16">
        <v>-9999</v>
      </c>
      <c r="CL279" s="16">
        <v>-9999</v>
      </c>
      <c r="CM279" s="16">
        <v>-9999</v>
      </c>
      <c r="CN279" s="16">
        <v>-9999</v>
      </c>
      <c r="CO279" s="16">
        <v>-9999</v>
      </c>
      <c r="CP279" s="16">
        <v>-9999</v>
      </c>
      <c r="CQ279" s="16">
        <v>-9999</v>
      </c>
      <c r="CR279" s="16">
        <v>-9999</v>
      </c>
      <c r="CS279" s="16">
        <v>-9999</v>
      </c>
      <c r="CT279" s="16">
        <v>-9999</v>
      </c>
      <c r="CU279" s="16">
        <v>-9999</v>
      </c>
      <c r="CV279" s="16">
        <v>-9999</v>
      </c>
      <c r="CW279" s="16">
        <v>-9999</v>
      </c>
      <c r="CX279" s="16">
        <v>-9999</v>
      </c>
      <c r="CY279" s="16">
        <v>-9999</v>
      </c>
      <c r="CZ279" s="16">
        <v>-9999</v>
      </c>
      <c r="DA279" s="16">
        <v>-9999</v>
      </c>
      <c r="DB279" s="16">
        <v>-9999</v>
      </c>
      <c r="DC279" s="16">
        <v>-9999</v>
      </c>
      <c r="DD279" s="16">
        <v>-9999</v>
      </c>
      <c r="DE279" s="16">
        <v>-9999</v>
      </c>
      <c r="DF279" s="16">
        <v>-9999</v>
      </c>
      <c r="DG279" s="16">
        <v>-9999</v>
      </c>
      <c r="DH279" s="16">
        <v>-9999</v>
      </c>
      <c r="DI279" s="16">
        <v>-9999</v>
      </c>
      <c r="DJ279" s="16">
        <v>-9999</v>
      </c>
      <c r="DK279" s="16">
        <v>-9999</v>
      </c>
      <c r="DL279" s="16">
        <v>-9999</v>
      </c>
      <c r="DM279" s="16">
        <v>-9999</v>
      </c>
      <c r="DN279" s="16">
        <v>-9999</v>
      </c>
      <c r="DO279" s="16">
        <v>-9999</v>
      </c>
      <c r="DP279" s="16">
        <v>-9999</v>
      </c>
      <c r="DQ279" s="16">
        <v>-9999</v>
      </c>
      <c r="DR279" s="16">
        <v>-9999</v>
      </c>
      <c r="DS279" s="16">
        <v>-9999</v>
      </c>
      <c r="DT279" s="16">
        <v>-9999</v>
      </c>
      <c r="DU279" s="16">
        <v>-9999</v>
      </c>
      <c r="DV279" s="16">
        <v>-9999</v>
      </c>
      <c r="DW279" s="16">
        <v>-9999</v>
      </c>
      <c r="DX279" s="16">
        <v>-9999</v>
      </c>
      <c r="DY279" s="16">
        <v>-9999</v>
      </c>
      <c r="DZ279" s="16">
        <v>-9999</v>
      </c>
      <c r="EA279" s="2107">
        <v>-9999</v>
      </c>
      <c r="EB279" s="2107">
        <v>-9999</v>
      </c>
      <c r="EC279" s="2107">
        <v>-9999</v>
      </c>
      <c r="ED279" s="2107">
        <v>-9999</v>
      </c>
      <c r="EE279" s="2107">
        <v>-9999</v>
      </c>
      <c r="EF279" s="2107">
        <v>-9999</v>
      </c>
      <c r="EG279" s="2107">
        <v>-9999</v>
      </c>
      <c r="EH279" s="2107">
        <v>-9999</v>
      </c>
      <c r="EI279" s="2107">
        <v>-9999</v>
      </c>
      <c r="EJ279" s="2107">
        <v>-9999</v>
      </c>
      <c r="EK279" s="2107">
        <v>-9999</v>
      </c>
      <c r="EL279" s="2107">
        <v>-9999</v>
      </c>
      <c r="EM279" s="2107">
        <v>-9999</v>
      </c>
    </row>
    <row r="280" spans="1:144">
      <c r="A280" s="22">
        <v>180</v>
      </c>
      <c r="B280" s="33" t="s">
        <v>712</v>
      </c>
      <c r="C280" s="35">
        <f>IF('VVP1'!F3="N",0,1)</f>
        <v>1</v>
      </c>
      <c r="D280" s="25">
        <v>-9999</v>
      </c>
      <c r="E280" s="25">
        <v>-9999</v>
      </c>
      <c r="F280" s="25">
        <v>-9999</v>
      </c>
      <c r="G280" s="25">
        <v>-9999</v>
      </c>
      <c r="H280" s="25">
        <v>-9999</v>
      </c>
      <c r="I280" s="25">
        <v>-9999</v>
      </c>
      <c r="J280" s="25">
        <v>-9999</v>
      </c>
      <c r="K280" s="25">
        <v>-9999</v>
      </c>
      <c r="L280" s="25">
        <v>-9999</v>
      </c>
      <c r="M280" s="25">
        <v>-9999</v>
      </c>
      <c r="N280" s="25">
        <v>-9999</v>
      </c>
      <c r="O280" s="25">
        <v>-9999</v>
      </c>
      <c r="P280" s="26"/>
      <c r="Q280"/>
      <c r="AA280" s="22">
        <v>180</v>
      </c>
      <c r="AB280" s="1081" t="str">
        <f t="shared" si="31"/>
        <v>INDICATOR CHAINED INDEX (col 1)</v>
      </c>
      <c r="AC280" s="1081">
        <f>CHOOSE(Tables!$U$2,Transfer!CA280,Transfer!CN280,Transfer!DA280,Transfer!DN280,Transfer!EA280)</f>
        <v>1</v>
      </c>
      <c r="AD280" s="1081">
        <f>CHOOSE(Tables!$U$2,Transfer!CB280,Transfer!CO280,Transfer!DB280,Transfer!DO280,Transfer!EB280)</f>
        <v>-9999</v>
      </c>
      <c r="AE280" s="1081">
        <f>CHOOSE(Tables!$U$2,Transfer!CC280,Transfer!CP280,Transfer!DC280,Transfer!DP280,Transfer!EC280)</f>
        <v>-9999</v>
      </c>
      <c r="AF280" s="1081">
        <f>CHOOSE(Tables!$U$2,Transfer!CD280,Transfer!CQ280,Transfer!DD280,Transfer!DQ280,Transfer!ED280)</f>
        <v>-9999</v>
      </c>
      <c r="AG280" s="1081">
        <f>CHOOSE(Tables!$U$2,Transfer!CE280,Transfer!CR280,Transfer!DE280,Transfer!DR280,Transfer!EE280)</f>
        <v>-9999</v>
      </c>
      <c r="AH280" s="1081">
        <f>CHOOSE(Tables!$U$2,Transfer!CF280,Transfer!CS280,Transfer!DF280,Transfer!DS280,Transfer!EF280)</f>
        <v>-9999</v>
      </c>
      <c r="AI280" s="1081">
        <f>CHOOSE(Tables!$U$2,Transfer!CG280,Transfer!CT280,Transfer!DG280,Transfer!DT280,Transfer!EG280)</f>
        <v>-9999</v>
      </c>
      <c r="AJ280" s="1081">
        <f>CHOOSE(Tables!$U$2,Transfer!CH280,Transfer!CU280,Transfer!DH280,Transfer!DU280,Transfer!EH280)</f>
        <v>-9999</v>
      </c>
      <c r="AK280" s="1081">
        <f>CHOOSE(Tables!$U$2,Transfer!CI280,Transfer!CV280,Transfer!DI280,Transfer!DV280,Transfer!EI280)</f>
        <v>-9999</v>
      </c>
      <c r="AL280" s="1081">
        <f>CHOOSE(Tables!$U$2,Transfer!CJ280,Transfer!CW280,Transfer!DJ280,Transfer!DW280,Transfer!EJ280)</f>
        <v>-9999</v>
      </c>
      <c r="AM280" s="1081">
        <f>CHOOSE(Tables!$U$2,Transfer!CK280,Transfer!CX280,Transfer!DK280,Transfer!DX280,Transfer!EK280)</f>
        <v>-9999</v>
      </c>
      <c r="AN280" s="1081">
        <f>CHOOSE(Tables!$U$2,Transfer!CL280,Transfer!CY280,Transfer!DL280,Transfer!DY280,Transfer!EL280)</f>
        <v>-9999</v>
      </c>
      <c r="AO280" s="1081">
        <f>CHOOSE(Tables!$U$2,Transfer!CM280,Transfer!CZ280,Transfer!DM280,Transfer!DZ280,Transfer!EM280)</f>
        <v>-9999</v>
      </c>
      <c r="AR280" s="22">
        <v>180</v>
      </c>
      <c r="AS280" s="33" t="s">
        <v>712</v>
      </c>
      <c r="AT280" s="34">
        <f t="shared" si="42"/>
        <v>0</v>
      </c>
      <c r="AU280" s="25">
        <f t="shared" si="42"/>
        <v>0</v>
      </c>
      <c r="AV280" s="25">
        <f t="shared" si="42"/>
        <v>0</v>
      </c>
      <c r="AW280" s="25">
        <f t="shared" si="41"/>
        <v>0</v>
      </c>
      <c r="AX280" s="25">
        <f t="shared" si="41"/>
        <v>0</v>
      </c>
      <c r="AY280" s="25">
        <f t="shared" si="41"/>
        <v>0</v>
      </c>
      <c r="AZ280" s="25">
        <f t="shared" si="41"/>
        <v>0</v>
      </c>
      <c r="BA280" s="25">
        <f t="shared" si="41"/>
        <v>0</v>
      </c>
      <c r="BB280" s="25">
        <f t="shared" si="41"/>
        <v>0</v>
      </c>
      <c r="BC280" s="25">
        <f t="shared" si="41"/>
        <v>0</v>
      </c>
      <c r="BD280" s="25">
        <f t="shared" si="41"/>
        <v>0</v>
      </c>
      <c r="BE280" s="25">
        <f t="shared" si="41"/>
        <v>0</v>
      </c>
      <c r="BF280" s="25">
        <f t="shared" si="41"/>
        <v>0</v>
      </c>
      <c r="CA280" s="16">
        <v>1</v>
      </c>
      <c r="CB280" s="16">
        <v>-9999</v>
      </c>
      <c r="CC280" s="16">
        <v>-9999</v>
      </c>
      <c r="CD280" s="16">
        <v>-9999</v>
      </c>
      <c r="CE280" s="16">
        <v>-9999</v>
      </c>
      <c r="CF280" s="16">
        <v>-9999</v>
      </c>
      <c r="CG280" s="16">
        <v>-9999</v>
      </c>
      <c r="CH280" s="16">
        <v>-9999</v>
      </c>
      <c r="CI280" s="16">
        <v>-9999</v>
      </c>
      <c r="CJ280" s="16">
        <v>-9999</v>
      </c>
      <c r="CK280" s="16">
        <v>-9999</v>
      </c>
      <c r="CL280" s="16">
        <v>-9999</v>
      </c>
      <c r="CM280" s="16">
        <v>-9999</v>
      </c>
      <c r="CN280" s="16">
        <v>1</v>
      </c>
      <c r="CO280" s="16">
        <v>-9999</v>
      </c>
      <c r="CP280" s="16">
        <v>-9999</v>
      </c>
      <c r="CQ280" s="16">
        <v>-9999</v>
      </c>
      <c r="CR280" s="16">
        <v>-9999</v>
      </c>
      <c r="CS280" s="16">
        <v>-9999</v>
      </c>
      <c r="CT280" s="16">
        <v>-9999</v>
      </c>
      <c r="CU280" s="16">
        <v>-9999</v>
      </c>
      <c r="CV280" s="16">
        <v>-9999</v>
      </c>
      <c r="CW280" s="16">
        <v>-9999</v>
      </c>
      <c r="CX280" s="16">
        <v>-9999</v>
      </c>
      <c r="CY280" s="16">
        <v>-9999</v>
      </c>
      <c r="CZ280" s="16">
        <v>-9999</v>
      </c>
      <c r="DA280" s="16">
        <v>1</v>
      </c>
      <c r="DB280" s="16">
        <v>-9999</v>
      </c>
      <c r="DC280" s="16">
        <v>-9999</v>
      </c>
      <c r="DD280" s="16">
        <v>-9999</v>
      </c>
      <c r="DE280" s="16">
        <v>-9999</v>
      </c>
      <c r="DF280" s="16">
        <v>-9999</v>
      </c>
      <c r="DG280" s="16">
        <v>-9999</v>
      </c>
      <c r="DH280" s="16">
        <v>-9999</v>
      </c>
      <c r="DI280" s="16">
        <v>-9999</v>
      </c>
      <c r="DJ280" s="16">
        <v>-9999</v>
      </c>
      <c r="DK280" s="16">
        <v>-9999</v>
      </c>
      <c r="DL280" s="16">
        <v>-9999</v>
      </c>
      <c r="DM280" s="16">
        <v>-9999</v>
      </c>
      <c r="DN280" s="16">
        <v>1</v>
      </c>
      <c r="DO280" s="16">
        <v>-9999</v>
      </c>
      <c r="DP280" s="16">
        <v>-9999</v>
      </c>
      <c r="DQ280" s="16">
        <v>-9999</v>
      </c>
      <c r="DR280" s="16">
        <v>-9999</v>
      </c>
      <c r="DS280" s="16">
        <v>-9999</v>
      </c>
      <c r="DT280" s="16">
        <v>-9999</v>
      </c>
      <c r="DU280" s="16">
        <v>-9999</v>
      </c>
      <c r="DV280" s="16">
        <v>-9999</v>
      </c>
      <c r="DW280" s="16">
        <v>-9999</v>
      </c>
      <c r="DX280" s="16">
        <v>-9999</v>
      </c>
      <c r="DY280" s="16">
        <v>-9999</v>
      </c>
      <c r="DZ280" s="16">
        <v>-9999</v>
      </c>
      <c r="EA280" s="2106">
        <v>1</v>
      </c>
      <c r="EB280" s="2107">
        <v>-9999</v>
      </c>
      <c r="EC280" s="2107">
        <v>-9999</v>
      </c>
      <c r="ED280" s="2107">
        <v>-9999</v>
      </c>
      <c r="EE280" s="2107">
        <v>-9999</v>
      </c>
      <c r="EF280" s="2107">
        <v>-9999</v>
      </c>
      <c r="EG280" s="2107">
        <v>-9999</v>
      </c>
      <c r="EH280" s="2107">
        <v>-9999</v>
      </c>
      <c r="EI280" s="2107">
        <v>-9999</v>
      </c>
      <c r="EJ280" s="2107">
        <v>-9999</v>
      </c>
      <c r="EK280" s="2107">
        <v>-9999</v>
      </c>
      <c r="EL280" s="2107">
        <v>-9999</v>
      </c>
      <c r="EM280" s="2107">
        <v>-9999</v>
      </c>
    </row>
    <row r="281" spans="1:144" customFormat="1">
      <c r="A281" s="16"/>
      <c r="B281" s="21"/>
      <c r="C281" s="2908"/>
      <c r="D281" s="2908"/>
      <c r="E281" s="2908"/>
      <c r="F281" s="2908"/>
      <c r="G281" s="2908"/>
      <c r="H281" s="38"/>
      <c r="I281" s="38"/>
      <c r="J281" s="38"/>
      <c r="K281" s="38"/>
      <c r="L281" s="38"/>
      <c r="M281" s="38"/>
      <c r="N281" s="38"/>
      <c r="O281" s="38"/>
      <c r="R281" s="16"/>
      <c r="S281" s="16"/>
      <c r="T281" s="16"/>
      <c r="U281" s="16"/>
      <c r="V281" s="16"/>
      <c r="W281" s="16"/>
      <c r="X281" s="16"/>
      <c r="Y281" s="16"/>
      <c r="Z281" s="16"/>
      <c r="AA281" s="16"/>
      <c r="AB281" s="16"/>
      <c r="AC281" s="16"/>
      <c r="AD281" s="16"/>
      <c r="AE281" s="16"/>
      <c r="AF281" s="16"/>
      <c r="AG281" s="16"/>
      <c r="AH281" s="16"/>
      <c r="AI281" s="16"/>
      <c r="AJ281" s="16"/>
      <c r="AK281" s="16"/>
      <c r="AL281" s="16"/>
      <c r="AM281" s="16"/>
      <c r="AN281" s="16"/>
      <c r="AO281" s="16"/>
      <c r="AP281" s="16"/>
      <c r="AQ281" s="16"/>
      <c r="AR281" s="16"/>
      <c r="AS281" s="16"/>
      <c r="AT281" s="16"/>
      <c r="AU281" s="16"/>
      <c r="AV281" s="16"/>
      <c r="AW281" s="16"/>
      <c r="AX281" s="16"/>
      <c r="AY281" s="16"/>
      <c r="AZ281" s="16"/>
    </row>
    <row r="282" spans="1:144" customFormat="1">
      <c r="A282" s="16"/>
      <c r="B282" s="2017" t="s">
        <v>461</v>
      </c>
      <c r="C282" s="25"/>
      <c r="D282" s="25"/>
      <c r="E282" s="25"/>
      <c r="F282" s="25"/>
      <c r="G282" s="25"/>
      <c r="H282" s="38"/>
      <c r="I282" s="38"/>
      <c r="J282" s="38"/>
      <c r="K282" s="38"/>
      <c r="L282" s="38"/>
      <c r="M282" s="38"/>
      <c r="N282" s="38"/>
      <c r="O282" s="38"/>
      <c r="R282" s="16"/>
      <c r="S282" s="16"/>
      <c r="T282" s="16"/>
      <c r="U282" s="16"/>
      <c r="V282" s="16"/>
      <c r="W282" s="16"/>
      <c r="X282" s="16"/>
      <c r="Y282" s="16"/>
      <c r="Z282" s="16"/>
      <c r="AA282" s="16"/>
      <c r="AB282" s="2017" t="s">
        <v>461</v>
      </c>
      <c r="AC282" s="25"/>
      <c r="AD282" s="25"/>
      <c r="AE282" s="25"/>
      <c r="AF282" s="25"/>
      <c r="AG282" s="25"/>
      <c r="AH282" s="16"/>
      <c r="AI282" s="16"/>
      <c r="AJ282" s="16"/>
      <c r="AK282" s="16"/>
      <c r="AL282" s="16"/>
      <c r="AM282" s="16"/>
      <c r="AN282" s="16"/>
      <c r="AO282" s="16"/>
      <c r="AP282" s="16"/>
      <c r="AQ282" s="16"/>
      <c r="AR282" s="16"/>
      <c r="AS282" s="16"/>
      <c r="AT282" s="16"/>
      <c r="AU282" s="16"/>
      <c r="AV282" s="16"/>
      <c r="AW282" s="16"/>
      <c r="AX282" s="16"/>
      <c r="AY282" s="16"/>
      <c r="AZ282" s="16"/>
      <c r="BA282" s="16"/>
      <c r="BB282" s="16"/>
      <c r="BC282" s="16"/>
      <c r="BD282" s="16"/>
      <c r="BE282" s="16"/>
      <c r="BF282" s="16"/>
      <c r="BG282" s="16"/>
      <c r="BH282" s="16"/>
      <c r="BI282" s="16"/>
      <c r="BJ282" s="16"/>
      <c r="BK282" s="16"/>
      <c r="BL282" s="16"/>
      <c r="BM282" s="16"/>
      <c r="BN282" s="16"/>
      <c r="BO282" s="16"/>
      <c r="BP282" s="16"/>
      <c r="BQ282" s="16"/>
      <c r="BR282" s="16"/>
      <c r="BS282" s="16"/>
      <c r="BT282" s="16"/>
      <c r="BU282" s="16"/>
      <c r="BV282" s="16"/>
      <c r="BW282" s="16"/>
      <c r="BX282" s="16"/>
      <c r="BY282" s="16"/>
      <c r="BZ282" s="16"/>
      <c r="CA282" s="16"/>
      <c r="CB282" s="16"/>
      <c r="CC282" s="16"/>
      <c r="CD282" s="16"/>
      <c r="CE282" s="16"/>
      <c r="CF282" s="16"/>
      <c r="CG282" s="16"/>
      <c r="CH282" s="16"/>
      <c r="CI282" s="16"/>
      <c r="CJ282" s="16"/>
      <c r="CK282" s="16"/>
      <c r="CL282" s="16"/>
      <c r="CM282" s="16"/>
      <c r="CN282" s="16"/>
      <c r="CO282" s="16"/>
      <c r="CP282" s="16"/>
      <c r="CQ282" s="16"/>
      <c r="CR282" s="16"/>
      <c r="CS282" s="16"/>
      <c r="CT282" s="16"/>
      <c r="CU282" s="16"/>
      <c r="CV282" s="16"/>
      <c r="CW282" s="16"/>
      <c r="CX282" s="16"/>
      <c r="CY282" s="16"/>
      <c r="CZ282" s="16"/>
      <c r="DA282" s="16"/>
      <c r="DB282" s="16"/>
      <c r="DC282" s="16"/>
      <c r="DD282" s="16"/>
      <c r="DE282" s="16"/>
      <c r="DF282" s="16"/>
      <c r="DG282" s="16"/>
      <c r="DH282" s="16"/>
      <c r="DI282" s="16"/>
      <c r="DJ282" s="16"/>
      <c r="DK282" s="16"/>
      <c r="DL282" s="16"/>
      <c r="DM282" s="16"/>
      <c r="DN282" s="16"/>
      <c r="DO282" s="16"/>
      <c r="DP282" s="16"/>
      <c r="DQ282" s="16"/>
      <c r="DR282" s="16"/>
      <c r="DS282" s="16"/>
      <c r="DT282" s="16"/>
      <c r="DU282" s="16"/>
      <c r="DV282" s="16"/>
      <c r="DW282" s="16"/>
      <c r="DX282" s="16"/>
      <c r="DY282" s="16"/>
      <c r="DZ282" s="16"/>
      <c r="EA282" s="16"/>
      <c r="EB282" s="16"/>
      <c r="EC282" s="16"/>
      <c r="ED282" s="16"/>
      <c r="EE282" s="16"/>
      <c r="EF282" s="16"/>
      <c r="EG282" s="16"/>
      <c r="EH282" s="16"/>
      <c r="EI282" s="16"/>
      <c r="EJ282" s="16"/>
      <c r="EK282" s="16"/>
      <c r="EL282" s="16"/>
      <c r="EM282" s="16"/>
      <c r="EN282" s="16"/>
    </row>
    <row r="283" spans="1:144">
      <c r="B283" s="2018" t="s">
        <v>460</v>
      </c>
      <c r="C283" s="2018"/>
      <c r="D283" s="2018"/>
      <c r="E283" s="2018"/>
      <c r="F283" s="2018"/>
      <c r="G283" s="2018"/>
      <c r="P283"/>
      <c r="Q283"/>
      <c r="AA283" s="15"/>
      <c r="AB283" s="2018" t="s">
        <v>460</v>
      </c>
      <c r="AC283" s="2018"/>
      <c r="AD283" s="2018"/>
      <c r="AE283" s="2018"/>
      <c r="AF283" s="2018"/>
      <c r="AG283" s="2018"/>
    </row>
    <row r="284" spans="1:144">
      <c r="A284" s="2016">
        <v>1</v>
      </c>
      <c r="B284" s="2019" t="str">
        <f t="shared" ref="B284:B295" si="43">+B101</f>
        <v>VOL. PRIVATE CONSUMPTION EXPEND.</v>
      </c>
      <c r="C284" s="2020">
        <f t="shared" ref="C284:C295" ca="1" si="44">IF($C$280=1,D284/(D101/C136),C101)</f>
        <v>209.88810000000001</v>
      </c>
      <c r="D284" s="2020">
        <f t="shared" ref="D284:D295" ca="1" si="45">+D101</f>
        <v>213.36539725760269</v>
      </c>
      <c r="E284" s="2020">
        <f t="shared" ref="E284:G295" ca="1" si="46">IF($C$280=1,D284*E101/D136,E101)</f>
        <v>215.76829347808581</v>
      </c>
      <c r="F284" s="2020">
        <f t="shared" ca="1" si="46"/>
        <v>219.32847032047422</v>
      </c>
      <c r="G284" s="2020">
        <f t="shared" ca="1" si="46"/>
        <v>223.18865139811462</v>
      </c>
      <c r="I284" s="16"/>
      <c r="P284"/>
      <c r="Q284"/>
      <c r="AA284" s="2016">
        <v>1</v>
      </c>
      <c r="AB284" s="2019" t="str">
        <f t="shared" ref="AB284:AB295" si="47">+AB101</f>
        <v>VOL. PRIVATE CONSUMPTION EXPEND.</v>
      </c>
      <c r="AC284" s="2020">
        <f t="shared" ref="AC284:AC295" si="48">IF($C$280=1,AD284/(AD101/AC136),AC101)</f>
        <v>209.88810000000001</v>
      </c>
      <c r="AD284" s="2020">
        <f t="shared" ref="AD284:AD295" si="49">+AD101</f>
        <v>213.36539725760269</v>
      </c>
      <c r="AE284" s="2020">
        <f t="shared" ref="AE284:AG295" si="50">IF($C$280=1,AD284*AE101/AD136,AE101)</f>
        <v>215.76829347808581</v>
      </c>
      <c r="AF284" s="2020">
        <f t="shared" si="50"/>
        <v>219.32847032047422</v>
      </c>
      <c r="AG284" s="2020">
        <f t="shared" si="50"/>
        <v>223.18865139811462</v>
      </c>
    </row>
    <row r="285" spans="1:144">
      <c r="A285" s="2016">
        <v>2</v>
      </c>
      <c r="B285" s="2019" t="str">
        <f t="shared" si="43"/>
        <v xml:space="preserve">VOL. GOVERNMENT CONSUMPTION EXPEND. </v>
      </c>
      <c r="C285" s="2020">
        <f t="shared" ca="1" si="44"/>
        <v>98.209500000000006</v>
      </c>
      <c r="D285" s="2020">
        <f t="shared" ca="1" si="45"/>
        <v>98.724598591313452</v>
      </c>
      <c r="E285" s="2020">
        <f t="shared" ca="1" si="46"/>
        <v>99.770200489155215</v>
      </c>
      <c r="F285" s="2020">
        <f t="shared" ca="1" si="46"/>
        <v>99.959763870084615</v>
      </c>
      <c r="G285" s="2020">
        <f t="shared" ca="1" si="46"/>
        <v>100.95936150878545</v>
      </c>
      <c r="I285" s="16"/>
      <c r="P285"/>
      <c r="Q285"/>
      <c r="AA285" s="2016">
        <v>2</v>
      </c>
      <c r="AB285" s="2019" t="str">
        <f t="shared" si="47"/>
        <v xml:space="preserve">VOL. GOVERNMENT CONSUMPTION EXPEND. </v>
      </c>
      <c r="AC285" s="2020">
        <f t="shared" si="48"/>
        <v>98.209500000000006</v>
      </c>
      <c r="AD285" s="2020">
        <f t="shared" si="49"/>
        <v>98.724598591313452</v>
      </c>
      <c r="AE285" s="2020">
        <f t="shared" si="50"/>
        <v>99.770200489155215</v>
      </c>
      <c r="AF285" s="2020">
        <f t="shared" si="50"/>
        <v>99.959763870084615</v>
      </c>
      <c r="AG285" s="2020">
        <f t="shared" si="50"/>
        <v>100.95936150878545</v>
      </c>
    </row>
    <row r="286" spans="1:144">
      <c r="A286" s="2016">
        <v>3</v>
      </c>
      <c r="B286" s="2019" t="str">
        <f t="shared" si="43"/>
        <v>VOL. G.F.C.F. TOTAL</v>
      </c>
      <c r="C286" s="2020">
        <f t="shared" ca="1" si="44"/>
        <v>95.18610000000001</v>
      </c>
      <c r="D286" s="2020">
        <f t="shared" ca="1" si="45"/>
        <v>98.614897514226556</v>
      </c>
      <c r="E286" s="2020">
        <f t="shared" ca="1" si="46"/>
        <v>99.590295671843606</v>
      </c>
      <c r="F286" s="2020">
        <f t="shared" ca="1" si="46"/>
        <v>103.55581250738254</v>
      </c>
      <c r="G286" s="2020">
        <f t="shared" ca="1" si="46"/>
        <v>106.38864253120612</v>
      </c>
      <c r="I286" s="16"/>
      <c r="P286"/>
      <c r="Q286"/>
      <c r="AA286" s="2016">
        <v>3</v>
      </c>
      <c r="AB286" s="2019" t="str">
        <f t="shared" si="47"/>
        <v>VOL. G.F.C.F. TOTAL</v>
      </c>
      <c r="AC286" s="2020">
        <f t="shared" si="48"/>
        <v>95.18610000000001</v>
      </c>
      <c r="AD286" s="2020">
        <f t="shared" si="49"/>
        <v>98.614897514226556</v>
      </c>
      <c r="AE286" s="2020">
        <f t="shared" si="50"/>
        <v>99.590295671843606</v>
      </c>
      <c r="AF286" s="2020">
        <f t="shared" si="50"/>
        <v>103.55581250738254</v>
      </c>
      <c r="AG286" s="2020">
        <f t="shared" si="50"/>
        <v>106.38864253120612</v>
      </c>
    </row>
    <row r="287" spans="1:144">
      <c r="A287" s="2016">
        <v>4</v>
      </c>
      <c r="B287" s="2019" t="str">
        <f t="shared" si="43"/>
        <v>VOL. G.F.C.F. CONSTRUCTION</v>
      </c>
      <c r="C287" s="2020">
        <f t="shared" ca="1" si="44"/>
        <v>44.231200000000008</v>
      </c>
      <c r="D287" s="2020">
        <f t="shared" ca="1" si="45"/>
        <v>45.310897255886609</v>
      </c>
      <c r="E287" s="2020">
        <f t="shared" ca="1" si="46"/>
        <v>46.394460996117409</v>
      </c>
      <c r="F287" s="2020">
        <f t="shared" ca="1" si="46"/>
        <v>47.488786634240768</v>
      </c>
      <c r="G287" s="2020">
        <f t="shared" ca="1" si="46"/>
        <v>48.476584367725764</v>
      </c>
      <c r="I287" s="16"/>
      <c r="P287"/>
      <c r="Q287"/>
      <c r="AA287" s="2016">
        <v>4</v>
      </c>
      <c r="AB287" s="2019" t="str">
        <f t="shared" si="47"/>
        <v>VOL. G.F.C.F. CONSTRUCTION</v>
      </c>
      <c r="AC287" s="2020">
        <f t="shared" si="48"/>
        <v>44.231200000000008</v>
      </c>
      <c r="AD287" s="2020">
        <f t="shared" si="49"/>
        <v>45.310897255886609</v>
      </c>
      <c r="AE287" s="2020">
        <f t="shared" si="50"/>
        <v>46.394460996117409</v>
      </c>
      <c r="AF287" s="2020">
        <f t="shared" si="50"/>
        <v>47.488786634240768</v>
      </c>
      <c r="AG287" s="2020">
        <f t="shared" si="50"/>
        <v>48.476584367725764</v>
      </c>
    </row>
    <row r="288" spans="1:144">
      <c r="A288" s="2016">
        <v>5</v>
      </c>
      <c r="B288" s="2019" t="str">
        <f t="shared" si="43"/>
        <v>VOL. G.F.C.F. EQUIPMENT</v>
      </c>
      <c r="C288" s="2020">
        <f t="shared" ca="1" si="44"/>
        <v>31.181299999999997</v>
      </c>
      <c r="D288" s="2020">
        <f t="shared" ca="1" si="45"/>
        <v>35.261298291256736</v>
      </c>
      <c r="E288" s="2020">
        <f t="shared" ca="1" si="46"/>
        <v>34.84699792809716</v>
      </c>
      <c r="F288" s="2020">
        <f t="shared" ca="1" si="46"/>
        <v>36.798429812070601</v>
      </c>
      <c r="G288" s="2020">
        <f t="shared" ca="1" si="46"/>
        <v>38.12317328530515</v>
      </c>
      <c r="I288" s="16"/>
      <c r="P288"/>
      <c r="Q288"/>
      <c r="AA288" s="2016">
        <v>5</v>
      </c>
      <c r="AB288" s="2019" t="str">
        <f t="shared" si="47"/>
        <v>VOL. G.F.C.F. EQUIPMENT</v>
      </c>
      <c r="AC288" s="2020">
        <f t="shared" si="48"/>
        <v>31.181299999999997</v>
      </c>
      <c r="AD288" s="2020">
        <f t="shared" si="49"/>
        <v>35.261298291256736</v>
      </c>
      <c r="AE288" s="2020">
        <f t="shared" si="50"/>
        <v>34.84699792809716</v>
      </c>
      <c r="AF288" s="2020">
        <f t="shared" si="50"/>
        <v>36.798429812070601</v>
      </c>
      <c r="AG288" s="2020">
        <f t="shared" si="50"/>
        <v>38.12317328530515</v>
      </c>
    </row>
    <row r="289" spans="1:33">
      <c r="A289" s="2016">
        <v>6</v>
      </c>
      <c r="B289" s="2019" t="str">
        <f t="shared" si="43"/>
        <v>VOL. G.F.C.F. OTHER</v>
      </c>
      <c r="C289" s="2020">
        <f t="shared" ca="1" si="44"/>
        <v>19.773599999999998</v>
      </c>
      <c r="D289" s="2020">
        <f t="shared" ca="1" si="45"/>
        <v>18.042690567760516</v>
      </c>
      <c r="E289" s="2020">
        <f t="shared" ca="1" si="46"/>
        <v>18.34828570197098</v>
      </c>
      <c r="F289" s="2020">
        <f t="shared" ca="1" si="46"/>
        <v>19.265699987069528</v>
      </c>
      <c r="G289" s="2020">
        <f t="shared" ca="1" si="46"/>
        <v>19.785873886720402</v>
      </c>
      <c r="I289" s="16"/>
      <c r="P289"/>
      <c r="Q289"/>
      <c r="AA289" s="2016">
        <v>6</v>
      </c>
      <c r="AB289" s="2019" t="str">
        <f t="shared" si="47"/>
        <v>VOL. G.F.C.F. OTHER</v>
      </c>
      <c r="AC289" s="2020">
        <f t="shared" si="48"/>
        <v>19.773599999999998</v>
      </c>
      <c r="AD289" s="2020">
        <f t="shared" si="49"/>
        <v>18.042690567760516</v>
      </c>
      <c r="AE289" s="2020">
        <f t="shared" si="50"/>
        <v>18.34828570197098</v>
      </c>
      <c r="AF289" s="2020">
        <f t="shared" si="50"/>
        <v>19.265699987069528</v>
      </c>
      <c r="AG289" s="2020">
        <f t="shared" si="50"/>
        <v>19.785873886720402</v>
      </c>
    </row>
    <row r="290" spans="1:33">
      <c r="A290" s="2016">
        <v>7</v>
      </c>
      <c r="B290" s="2019" t="str">
        <f t="shared" si="43"/>
        <v>VOL. CHANGE IN INVENTORIES</v>
      </c>
      <c r="C290" s="2020">
        <f t="shared" ca="1" si="44"/>
        <v>1.5740000000000001</v>
      </c>
      <c r="D290" s="2020">
        <f t="shared" ca="1" si="45"/>
        <v>2.5111001590912565</v>
      </c>
      <c r="E290" s="2020">
        <f t="shared" ca="1" si="46"/>
        <v>3.7246303776594467</v>
      </c>
      <c r="F290" s="2020">
        <f t="shared" ca="1" si="46"/>
        <v>3.7246303776594467</v>
      </c>
      <c r="G290" s="2020">
        <f t="shared" ca="1" si="46"/>
        <v>3.7246303776594467</v>
      </c>
      <c r="I290" s="16"/>
      <c r="P290"/>
      <c r="Q290"/>
      <c r="AA290" s="2016">
        <v>7</v>
      </c>
      <c r="AB290" s="2019" t="str">
        <f t="shared" si="47"/>
        <v>VOL. CHANGE IN INVENTORIES</v>
      </c>
      <c r="AC290" s="2020">
        <f t="shared" si="48"/>
        <v>1.5740000000000001</v>
      </c>
      <c r="AD290" s="2020">
        <f t="shared" si="49"/>
        <v>2.5111001590912565</v>
      </c>
      <c r="AE290" s="2020">
        <f t="shared" si="50"/>
        <v>3.7246303776594467</v>
      </c>
      <c r="AF290" s="2020">
        <f t="shared" si="50"/>
        <v>3.7246303776594467</v>
      </c>
      <c r="AG290" s="2020">
        <f t="shared" si="50"/>
        <v>3.7246303776594467</v>
      </c>
    </row>
    <row r="291" spans="1:33">
      <c r="A291" s="2016">
        <v>8</v>
      </c>
      <c r="B291" s="2019" t="str">
        <f t="shared" si="43"/>
        <v>VOL. EXPORTS OF GOODS (FOB)</v>
      </c>
      <c r="C291" s="2020">
        <f t="shared" ca="1" si="44"/>
        <v>229.92160000000001</v>
      </c>
      <c r="D291" s="2020">
        <f t="shared" ca="1" si="45"/>
        <v>254.62749845929025</v>
      </c>
      <c r="E291" s="2020">
        <f t="shared" ca="1" si="46"/>
        <v>271.78029033221515</v>
      </c>
      <c r="F291" s="2020">
        <f t="shared" ca="1" si="46"/>
        <v>285.88568740045713</v>
      </c>
      <c r="G291" s="2020">
        <f t="shared" ca="1" si="46"/>
        <v>298.66477762725754</v>
      </c>
      <c r="I291" s="16"/>
      <c r="P291"/>
      <c r="Q291"/>
      <c r="AA291" s="2016">
        <v>8</v>
      </c>
      <c r="AB291" s="2019" t="str">
        <f t="shared" si="47"/>
        <v>VOL. EXPORTS OF GOODS (FOB)</v>
      </c>
      <c r="AC291" s="2020">
        <f t="shared" si="48"/>
        <v>229.92160000000001</v>
      </c>
      <c r="AD291" s="2020">
        <f t="shared" si="49"/>
        <v>254.62749845929025</v>
      </c>
      <c r="AE291" s="2020">
        <f t="shared" si="50"/>
        <v>271.78029033221515</v>
      </c>
      <c r="AF291" s="2020">
        <f t="shared" si="50"/>
        <v>285.88568740045713</v>
      </c>
      <c r="AG291" s="2020">
        <f t="shared" si="50"/>
        <v>298.66477762725754</v>
      </c>
    </row>
    <row r="292" spans="1:33">
      <c r="A292" s="2016">
        <v>9</v>
      </c>
      <c r="B292" s="2019" t="str">
        <f t="shared" si="43"/>
        <v>VOL. EXPORTS OF SERVICES</v>
      </c>
      <c r="C292" s="2020">
        <f t="shared" ca="1" si="44"/>
        <v>101.57</v>
      </c>
      <c r="D292" s="2020">
        <f t="shared" ca="1" si="45"/>
        <v>101.78299912533554</v>
      </c>
      <c r="E292" s="2020">
        <f t="shared" ca="1" si="46"/>
        <v>100.8812017165187</v>
      </c>
      <c r="F292" s="2020">
        <f t="shared" ca="1" si="46"/>
        <v>105.31997459204554</v>
      </c>
      <c r="G292" s="2020">
        <f t="shared" ca="1" si="46"/>
        <v>109.74341352491146</v>
      </c>
      <c r="I292" s="16"/>
      <c r="P292"/>
      <c r="Q292"/>
      <c r="AA292" s="2016">
        <v>9</v>
      </c>
      <c r="AB292" s="2019" t="str">
        <f t="shared" si="47"/>
        <v>VOL. EXPORTS OF SERVICES</v>
      </c>
      <c r="AC292" s="2020">
        <f t="shared" si="48"/>
        <v>101.57</v>
      </c>
      <c r="AD292" s="2020">
        <f t="shared" si="49"/>
        <v>101.78299912533554</v>
      </c>
      <c r="AE292" s="2020">
        <f t="shared" si="50"/>
        <v>100.8812017165187</v>
      </c>
      <c r="AF292" s="2020">
        <f t="shared" si="50"/>
        <v>105.31997459204554</v>
      </c>
      <c r="AG292" s="2020">
        <f t="shared" si="50"/>
        <v>109.8487334995035</v>
      </c>
    </row>
    <row r="293" spans="1:33">
      <c r="A293" s="2016">
        <v>10</v>
      </c>
      <c r="B293" s="2019" t="str">
        <f t="shared" si="43"/>
        <v>VOL. IMPORTS OF GOODS (FOB)</v>
      </c>
      <c r="C293" s="2020">
        <f t="shared" ca="1" si="44"/>
        <v>229.63220000000001</v>
      </c>
      <c r="D293" s="2020">
        <f t="shared" ca="1" si="45"/>
        <v>255.2001013892507</v>
      </c>
      <c r="E293" s="2020">
        <f t="shared" ca="1" si="46"/>
        <v>268.21770144466473</v>
      </c>
      <c r="F293" s="2020">
        <f t="shared" ca="1" si="46"/>
        <v>282.16502191978731</v>
      </c>
      <c r="G293" s="2020">
        <f t="shared" ca="1" si="46"/>
        <v>295.79359247851306</v>
      </c>
      <c r="I293" s="16"/>
      <c r="P293"/>
      <c r="Q293"/>
      <c r="AA293" s="2016">
        <v>10</v>
      </c>
      <c r="AB293" s="2019" t="str">
        <f t="shared" si="47"/>
        <v>VOL. IMPORTS OF GOODS (FOB)</v>
      </c>
      <c r="AC293" s="2020">
        <f t="shared" si="48"/>
        <v>229.63220000000001</v>
      </c>
      <c r="AD293" s="2020">
        <f t="shared" si="49"/>
        <v>255.2001013892507</v>
      </c>
      <c r="AE293" s="2020">
        <f t="shared" si="50"/>
        <v>268.21770144466473</v>
      </c>
      <c r="AF293" s="2020">
        <f t="shared" si="50"/>
        <v>282.16502191978731</v>
      </c>
      <c r="AG293" s="2020">
        <f t="shared" si="50"/>
        <v>295.85002548289702</v>
      </c>
    </row>
    <row r="294" spans="1:33">
      <c r="A294" s="2016">
        <v>11</v>
      </c>
      <c r="B294" s="2019" t="str">
        <f t="shared" si="43"/>
        <v>VOL. IMPORTS OF SERVICES</v>
      </c>
      <c r="C294" s="2020">
        <f t="shared" ca="1" si="44"/>
        <v>96.281899999999993</v>
      </c>
      <c r="D294" s="2020">
        <f t="shared" ca="1" si="45"/>
        <v>97.97420407382883</v>
      </c>
      <c r="E294" s="2020">
        <f t="shared" ca="1" si="46"/>
        <v>99.483301606124215</v>
      </c>
      <c r="F294" s="2020">
        <f t="shared" ca="1" si="46"/>
        <v>104.10927513080898</v>
      </c>
      <c r="G294" s="2020">
        <f t="shared" ca="1" si="46"/>
        <v>107.90926367308352</v>
      </c>
      <c r="I294" s="16"/>
      <c r="P294"/>
      <c r="Q294"/>
      <c r="AA294" s="2016">
        <v>11</v>
      </c>
      <c r="AB294" s="2019" t="str">
        <f t="shared" si="47"/>
        <v>VOL. IMPORTS OF SERVICES</v>
      </c>
      <c r="AC294" s="2020">
        <f t="shared" si="48"/>
        <v>96.281899999999993</v>
      </c>
      <c r="AD294" s="2020">
        <f t="shared" si="49"/>
        <v>97.97420407382883</v>
      </c>
      <c r="AE294" s="2020">
        <f t="shared" si="50"/>
        <v>99.483301606124215</v>
      </c>
      <c r="AF294" s="2020">
        <f t="shared" si="50"/>
        <v>104.10927513080898</v>
      </c>
      <c r="AG294" s="2020">
        <f t="shared" si="50"/>
        <v>107.90926367308352</v>
      </c>
    </row>
    <row r="295" spans="1:33">
      <c r="A295" s="2016">
        <v>12</v>
      </c>
      <c r="B295" s="2019" t="str">
        <f t="shared" si="43"/>
        <v>VOL. GROSS DOMESTIC PRODUCT</v>
      </c>
      <c r="C295" s="2020">
        <f t="shared" ca="1" si="44"/>
        <v>410.43520000000001</v>
      </c>
      <c r="D295" s="2020">
        <f t="shared" ca="1" si="45"/>
        <v>416.45220113357516</v>
      </c>
      <c r="E295" s="2020">
        <f t="shared" ca="1" si="46"/>
        <v>423.47569996310392</v>
      </c>
      <c r="F295" s="2020">
        <f t="shared" ca="1" si="46"/>
        <v>431.13353748253456</v>
      </c>
      <c r="G295" s="2020">
        <f t="shared" ca="1" si="46"/>
        <v>438.60476472665783</v>
      </c>
      <c r="I295" s="16"/>
      <c r="P295"/>
      <c r="Q295"/>
      <c r="AA295" s="2016">
        <v>12</v>
      </c>
      <c r="AB295" s="2019" t="str">
        <f t="shared" si="47"/>
        <v>VOL. GROSS DOMESTIC PRODUCT</v>
      </c>
      <c r="AC295" s="2020">
        <f t="shared" si="48"/>
        <v>410.43520000000001</v>
      </c>
      <c r="AD295" s="2020">
        <f t="shared" si="49"/>
        <v>416.45220113357516</v>
      </c>
      <c r="AE295" s="2020">
        <f t="shared" si="50"/>
        <v>423.47569996310392</v>
      </c>
      <c r="AF295" s="2020">
        <f t="shared" si="50"/>
        <v>431.13353748253456</v>
      </c>
      <c r="AG295" s="2020">
        <f t="shared" si="50"/>
        <v>438.65456956513384</v>
      </c>
    </row>
    <row r="296" spans="1:33">
      <c r="A296" s="2016">
        <v>28</v>
      </c>
      <c r="B296" s="2070" t="str">
        <f>+B128</f>
        <v xml:space="preserve">VOL. FIXED INVESTMENT GOVERNMENT  </v>
      </c>
      <c r="C296" s="2071">
        <f ca="1">IF($C$280=1,D296/(D128/C226),C128)</f>
        <v>9.4318999999999988</v>
      </c>
      <c r="D296" s="2071">
        <f ca="1">+D128</f>
        <v>9.1993135450966541</v>
      </c>
      <c r="E296" s="2071">
        <f ca="1">IF($C$280=1,D296*E128/D226,E128)</f>
        <v>9.4522946675868127</v>
      </c>
      <c r="F296" s="2071">
        <f ca="1">IF($C$280=1,E296*F128/E226,F128)</f>
        <v>10.42210010048122</v>
      </c>
      <c r="G296" s="2071">
        <f ca="1">IF($C$280=1,F296*G128/F226,G128)</f>
        <v>10.995315606007686</v>
      </c>
      <c r="I296" s="16"/>
      <c r="P296"/>
      <c r="Q296"/>
      <c r="AA296" s="2016">
        <v>28</v>
      </c>
      <c r="AB296" s="2070" t="str">
        <f>+AB128</f>
        <v xml:space="preserve">VOL. FIXED INVESTMENT GOVERNMENT  </v>
      </c>
      <c r="AC296" s="2071">
        <f>IF($C$280=1,AD296/(AD128/AC226),AC128)</f>
        <v>9.4318999999999988</v>
      </c>
      <c r="AD296" s="2071">
        <f>+AD128</f>
        <v>9.1993135450966541</v>
      </c>
      <c r="AE296" s="2071">
        <f>IF($C$280=1,AD296*AE128/AD226,AE128)</f>
        <v>9.4522946675868127</v>
      </c>
      <c r="AF296" s="2071">
        <f>IF($C$280=1,AE296*AF128/AE226,AF128)</f>
        <v>10.42210010048122</v>
      </c>
      <c r="AG296" s="2071">
        <f>IF($C$280=1,AF296*AG128/AF226,AG128)</f>
        <v>10.995315606007686</v>
      </c>
    </row>
    <row r="297" spans="1:33">
      <c r="A297" s="2016">
        <v>29</v>
      </c>
      <c r="B297" s="2070" t="str">
        <f>+B129</f>
        <v>FOR FUTURE USE</v>
      </c>
      <c r="C297" s="2072">
        <f>IF(C129=-9999,-9999,IF($C$280=1,D297/(D129/C209),C129))</f>
        <v>-9999</v>
      </c>
      <c r="D297" s="2072">
        <f>+D129</f>
        <v>-9999</v>
      </c>
      <c r="E297" s="2072">
        <f>IF(E129=-9999,-9999,IF($C$280=1,D297*E129/D209,E129))</f>
        <v>-9999</v>
      </c>
      <c r="F297" s="2072">
        <f>IF(F129=-9999,-9999,IF($C$280=1,E297*F129/E209,F129))</f>
        <v>-9999</v>
      </c>
      <c r="G297" s="2072">
        <f>IF(G129=-9999,-9999,IF($C$280=1,F297*G129/F209,G129))</f>
        <v>-9999</v>
      </c>
      <c r="I297" s="16"/>
      <c r="P297"/>
      <c r="Q297"/>
      <c r="AA297" s="2016">
        <v>29</v>
      </c>
      <c r="AB297" s="2070" t="str">
        <f>+AB129</f>
        <v>FOR FUTURE USE</v>
      </c>
      <c r="AC297" s="2072">
        <f>IF(AC129=-9999,-9999,IF($C$280=1,AD297/(AD129/AC209),AC129))</f>
        <v>-9999</v>
      </c>
      <c r="AD297" s="2072">
        <f>+AD129</f>
        <v>-9999</v>
      </c>
      <c r="AE297" s="2072">
        <f>IF(AE129=-9999,-9999,IF($C$280=1,AD297*AE129/AD209,AE129))</f>
        <v>-9999</v>
      </c>
      <c r="AF297" s="2072">
        <f>IF(AF129=-9999,-9999,IF($C$280=1,AE297*AF129/AE209,AF129))</f>
        <v>-9999</v>
      </c>
      <c r="AG297" s="2072">
        <f>IF(AG129=-9999,-9999,IF($C$280=1,AF297*AG129/AF209,AG129))</f>
        <v>-9999</v>
      </c>
    </row>
    <row r="298" spans="1:33">
      <c r="A298" s="2016">
        <v>30</v>
      </c>
      <c r="B298" s="2070" t="str">
        <f>+B130</f>
        <v>FOR FUTURE USE</v>
      </c>
      <c r="C298" s="2072">
        <f>IF(C130=-9999,-9999,IF($C$280=1,D298/(D130/C196),C130))</f>
        <v>-9999</v>
      </c>
      <c r="D298" s="2072">
        <f>+D130</f>
        <v>-9999</v>
      </c>
      <c r="E298" s="2072">
        <f>IF(E130=-9999,-9999,IF($C$280=1,D298*E130/D196,E130))</f>
        <v>-9999</v>
      </c>
      <c r="F298" s="2072">
        <f>IF(F130=-9999,-9999,IF($C$280=1,E298*F130/E196,F130))</f>
        <v>-9999</v>
      </c>
      <c r="G298" s="2072">
        <f>IF(G130=-9999,-9999,IF($C$280=1,F298*G130/F196,G130))</f>
        <v>-9999</v>
      </c>
      <c r="I298" s="16"/>
      <c r="P298"/>
      <c r="Q298"/>
      <c r="AA298" s="2016">
        <v>30</v>
      </c>
      <c r="AB298" s="2070" t="str">
        <f>+AB130</f>
        <v>FOR FUTURE USE</v>
      </c>
      <c r="AC298" s="2072">
        <f>IF(AC130=-9999,-9999,IF($C$280=1,AD298/(AD130/AC196),AC130))</f>
        <v>-9999</v>
      </c>
      <c r="AD298" s="2072">
        <f>+AD130</f>
        <v>-9999</v>
      </c>
      <c r="AE298" s="2072">
        <f>IF(AE130=-9999,-9999,IF($C$280=1,AD298*AE130/AD196,AE130))</f>
        <v>-9999</v>
      </c>
      <c r="AF298" s="2072">
        <f>IF(AF130=-9999,-9999,IF($C$280=1,AE298*AF130/AE196,AF130))</f>
        <v>-9999</v>
      </c>
      <c r="AG298" s="2072">
        <f>IF(AG130=-9999,-9999,IF($C$280=1,AF298*AG130/AF196,AG130))</f>
        <v>-9999</v>
      </c>
    </row>
    <row r="299" spans="1:33">
      <c r="A299" s="2016">
        <v>31</v>
      </c>
      <c r="B299" s="2070" t="str">
        <f>+B131</f>
        <v>VOL. FIXED INVESTMENT HOUSING</v>
      </c>
      <c r="C299" s="2071">
        <f ca="1">IF($C$280=1,D299/(D131/C133),C131)</f>
        <v>23.9801</v>
      </c>
      <c r="D299" s="2071">
        <f ca="1">+D131</f>
        <v>24.719898297884487</v>
      </c>
      <c r="E299" s="2071">
        <f t="shared" ref="E299:G300" ca="1" si="51">IF($C$280=1,D299*E131/D133,E131)</f>
        <v>24.832195030234718</v>
      </c>
      <c r="F299" s="2071">
        <f t="shared" ca="1" si="51"/>
        <v>25.006020395446356</v>
      </c>
      <c r="G299" s="2071">
        <f t="shared" ca="1" si="51"/>
        <v>25.181062538214476</v>
      </c>
      <c r="I299" s="16"/>
      <c r="P299"/>
      <c r="Q299"/>
      <c r="AA299" s="2016">
        <v>31</v>
      </c>
      <c r="AB299" s="2070" t="str">
        <f>+AB131</f>
        <v>VOL. FIXED INVESTMENT HOUSING</v>
      </c>
      <c r="AC299" s="2071">
        <f>IF($C$280=1,AD299/(AD131/AC133),AC131)</f>
        <v>23.9801</v>
      </c>
      <c r="AD299" s="2071">
        <f>+AD131</f>
        <v>24.719898297884487</v>
      </c>
      <c r="AE299" s="2071">
        <f t="shared" ref="AE299:AG300" si="52">IF($C$280=1,AD299*AE131/AD133,AE131)</f>
        <v>24.832195030234718</v>
      </c>
      <c r="AF299" s="2071">
        <f t="shared" si="52"/>
        <v>25.006020395446356</v>
      </c>
      <c r="AG299" s="2071">
        <f t="shared" si="52"/>
        <v>25.181062538214476</v>
      </c>
    </row>
    <row r="300" spans="1:33">
      <c r="A300" s="2016">
        <v>32</v>
      </c>
      <c r="B300" s="2070" t="str">
        <f>+B132</f>
        <v>FOR FUTURE USE</v>
      </c>
      <c r="C300" s="2071">
        <f>IF($C$280=1,D300/(D132/C134),C132)</f>
        <v>-9999</v>
      </c>
      <c r="D300" s="2071">
        <f>+D132</f>
        <v>-9999</v>
      </c>
      <c r="E300" s="2071">
        <f t="shared" si="51"/>
        <v>-9999</v>
      </c>
      <c r="F300" s="2071">
        <f t="shared" si="51"/>
        <v>-9999</v>
      </c>
      <c r="G300" s="2071">
        <f t="shared" si="51"/>
        <v>-9999</v>
      </c>
      <c r="I300" s="16"/>
      <c r="P300"/>
      <c r="Q300"/>
      <c r="AA300" s="2016">
        <v>32</v>
      </c>
      <c r="AB300" s="2070" t="str">
        <f>+AB132</f>
        <v>FOR FUTURE USE</v>
      </c>
      <c r="AC300" s="2071">
        <f>IF($C$280=1,AD300/(AD132/AC134),AC132)</f>
        <v>-9999</v>
      </c>
      <c r="AD300" s="2071">
        <f>+AD132</f>
        <v>-9999</v>
      </c>
      <c r="AE300" s="2071">
        <f t="shared" si="52"/>
        <v>-9999</v>
      </c>
      <c r="AF300" s="2071">
        <f t="shared" si="52"/>
        <v>-9999</v>
      </c>
      <c r="AG300" s="2071">
        <f t="shared" si="52"/>
        <v>-9999</v>
      </c>
    </row>
    <row r="301" spans="1:33">
      <c r="A301" s="2016">
        <v>58</v>
      </c>
      <c r="B301" s="2019" t="str">
        <f>+B158</f>
        <v>VOL GROSS VALUE ADDED</v>
      </c>
      <c r="C301" s="2020">
        <f ca="1">IF($C$280=1,D301/(D158/C157),C158)</f>
        <v>367.47159999999997</v>
      </c>
      <c r="D301" s="2020">
        <f ca="1">+D158</f>
        <v>371.92980227062822</v>
      </c>
      <c r="E301" s="2020">
        <f ca="1">IF($C$280=1,D301*E158/D157,E158)</f>
        <v>378.07249437689779</v>
      </c>
      <c r="F301" s="2020">
        <f ca="1">IF($C$280=1,E301*F158/E157,F158)</f>
        <v>385.10257895501348</v>
      </c>
      <c r="G301" s="2020">
        <f ca="1">IF($C$280=1,F301*G158/F157,G158)</f>
        <v>391.71152527961698</v>
      </c>
      <c r="I301" s="16"/>
      <c r="P301"/>
      <c r="Q301"/>
      <c r="AA301" s="2016">
        <v>58</v>
      </c>
      <c r="AB301" s="2019" t="str">
        <f>+AB158</f>
        <v>VOL GROSS VALUE ADDED</v>
      </c>
      <c r="AC301" s="2020">
        <f>IF($C$280=1,AD301/(AD158/AC157),AC158)</f>
        <v>367.47159999999997</v>
      </c>
      <c r="AD301" s="2020">
        <f>+AD158</f>
        <v>371.92980227062822</v>
      </c>
      <c r="AE301" s="2020">
        <f>IF($C$280=1,AD301*AE158/AD157,AE158)</f>
        <v>378.07249437689779</v>
      </c>
      <c r="AF301" s="2020">
        <f>IF($C$280=1,AE301*AF158/AE157,AF158)</f>
        <v>384.86039892239688</v>
      </c>
      <c r="AG301" s="2020">
        <f>IF($C$280=1,AF301*AG158/AF157,AG158)</f>
        <v>391.32705177550139</v>
      </c>
    </row>
    <row r="302" spans="1:33">
      <c r="A302" s="2016">
        <v>66</v>
      </c>
      <c r="B302" s="2019" t="str">
        <f>+B166</f>
        <v>FOR FUTURE USE</v>
      </c>
      <c r="C302" s="2020">
        <f>IF($C$280=1,D302/(D166/C165),C166)</f>
        <v>-9999</v>
      </c>
      <c r="D302" s="2020">
        <f>+D166</f>
        <v>-9999</v>
      </c>
      <c r="E302" s="2020">
        <f>IF($C$280=1,D302*E166/D165,E166)</f>
        <v>-9999</v>
      </c>
      <c r="F302" s="2020">
        <f>IF($C$280=1,E302*F166/E165,F166)</f>
        <v>-9999</v>
      </c>
      <c r="G302" s="2020">
        <f>IF($C$280=1,F302*G166/F165,G166)</f>
        <v>-9999</v>
      </c>
      <c r="I302" s="16"/>
      <c r="P302"/>
      <c r="Q302"/>
      <c r="AA302" s="2016">
        <v>66</v>
      </c>
      <c r="AB302" s="2019" t="str">
        <f>+AB166</f>
        <v>FOR FUTURE USE</v>
      </c>
      <c r="AC302" s="2020">
        <f>IF($C$280=1,AD302/(AD166/AC165),AC166)</f>
        <v>-9999</v>
      </c>
      <c r="AD302" s="2020">
        <f>+AD166</f>
        <v>-9999</v>
      </c>
      <c r="AE302" s="2020">
        <f>IF($C$280=1,AD302*AE166/AD165,AE166)</f>
        <v>-9999</v>
      </c>
      <c r="AF302" s="2020">
        <f>IF($C$280=1,AE302*AF166/AE165,AF166)</f>
        <v>-9999</v>
      </c>
      <c r="AG302" s="2020">
        <f>IF($C$280=1,AF302*AG166/AF165,AG166)</f>
        <v>-9999</v>
      </c>
    </row>
    <row r="303" spans="1:33">
      <c r="B303" s="2017" t="s">
        <v>1663</v>
      </c>
      <c r="C303" s="25"/>
      <c r="D303" s="25"/>
      <c r="E303" s="25"/>
      <c r="F303" s="25"/>
      <c r="G303" s="25"/>
      <c r="P303"/>
      <c r="Q303"/>
      <c r="AA303" s="15"/>
      <c r="AB303" s="2017" t="s">
        <v>1663</v>
      </c>
      <c r="AC303" s="25"/>
      <c r="AD303" s="25"/>
      <c r="AE303" s="25"/>
      <c r="AF303" s="25"/>
      <c r="AG303" s="25"/>
    </row>
    <row r="304" spans="1:33">
      <c r="B304" s="2018" t="s">
        <v>460</v>
      </c>
      <c r="C304" s="2018"/>
      <c r="D304" s="2018"/>
      <c r="E304" s="2018"/>
      <c r="F304" s="2018"/>
      <c r="G304" s="2018"/>
      <c r="P304"/>
      <c r="Q304"/>
      <c r="AA304" s="15"/>
      <c r="AB304" s="2018" t="s">
        <v>460</v>
      </c>
      <c r="AC304" s="2018"/>
      <c r="AD304" s="2018"/>
      <c r="AE304" s="2018"/>
      <c r="AF304" s="2018"/>
      <c r="AG304" s="2018"/>
    </row>
    <row r="305" spans="2:33">
      <c r="B305" s="2019" t="s">
        <v>1031</v>
      </c>
      <c r="C305" s="2020">
        <f ca="1">+C136+C137+C138</f>
        <v>403.28370000000001</v>
      </c>
      <c r="D305" s="2020">
        <f ca="1">+D136+D137+D138</f>
        <v>415.44140000000004</v>
      </c>
      <c r="E305" s="2020">
        <f ca="1">+E136+E137+E138</f>
        <v>427.21160000000003</v>
      </c>
      <c r="F305" s="2020">
        <f ca="1">+F136+F137+F138</f>
        <v>442.04162254278998</v>
      </c>
      <c r="G305" s="2020">
        <f ca="1">+G136+G137+G138</f>
        <v>456.37123156565286</v>
      </c>
      <c r="P305"/>
      <c r="Q305"/>
      <c r="AA305" s="15"/>
      <c r="AB305" s="2019" t="s">
        <v>1031</v>
      </c>
      <c r="AC305" s="2020">
        <f>+AC136+AC137+AC138</f>
        <v>403.28370000000001</v>
      </c>
      <c r="AD305" s="2020">
        <f>+AD136+AD137+AD138</f>
        <v>415.44140000000004</v>
      </c>
      <c r="AE305" s="2020">
        <f>+AE136+AE137+AE138</f>
        <v>427.21160000000003</v>
      </c>
      <c r="AF305" s="2020">
        <f>+AF136+AF137+AF138</f>
        <v>442.04162254278998</v>
      </c>
      <c r="AG305" s="2020">
        <f>+AG136+AG137+AG138</f>
        <v>456.37123156565286</v>
      </c>
    </row>
    <row r="306" spans="2:33">
      <c r="B306" s="2019" t="s">
        <v>1032</v>
      </c>
      <c r="C306" s="2020">
        <f ca="1">+C101+C102+C103</f>
        <v>401.39064726918485</v>
      </c>
      <c r="D306" s="2020">
        <f ca="1">+D101+D102+D103</f>
        <v>410.70489336314267</v>
      </c>
      <c r="E306" s="2020">
        <f ca="1">+E101+E102+E103</f>
        <v>419.91723641260478</v>
      </c>
      <c r="F306" s="2020">
        <f ca="1">+F101+F102+F103</f>
        <v>435.13939200000004</v>
      </c>
      <c r="G306" s="2020">
        <f ca="1">+G101+G102+G103</f>
        <v>450.06947807685827</v>
      </c>
      <c r="P306"/>
      <c r="Q306"/>
      <c r="AA306" s="15"/>
      <c r="AB306" s="2019" t="s">
        <v>1032</v>
      </c>
      <c r="AC306" s="2020">
        <f>+AC101+AC102+AC103</f>
        <v>401.39064726918485</v>
      </c>
      <c r="AD306" s="2020">
        <f>+AD101+AD102+AD103</f>
        <v>410.70489336314267</v>
      </c>
      <c r="AE306" s="2020">
        <f>+AE101+AE102+AE103</f>
        <v>419.91723641260478</v>
      </c>
      <c r="AF306" s="2020">
        <f>+AF101+AF102+AF103</f>
        <v>435.13939200000004</v>
      </c>
      <c r="AG306" s="2020">
        <f>+AG101+AG102+AG103</f>
        <v>450.06947807685827</v>
      </c>
    </row>
    <row r="307" spans="2:33">
      <c r="B307" s="2019" t="s">
        <v>1354</v>
      </c>
      <c r="C307" s="2020">
        <f ca="1">IF($C$280=1,D307/(D306/C305),C306)</f>
        <v>403.28369999999995</v>
      </c>
      <c r="D307" s="2020">
        <f ca="1">+D306</f>
        <v>410.70489336314267</v>
      </c>
      <c r="E307" s="2020">
        <f ca="1">IF($C$280=1,D307*E306/D305,E306)</f>
        <v>415.12970012662294</v>
      </c>
      <c r="F307" s="2020">
        <f ca="1">IF($C$280=1,E307*F306/E305,F306)</f>
        <v>422.83328756578948</v>
      </c>
      <c r="G307" s="2020">
        <f ca="1">IF($C$280=1,F307*G306/F305,G306)</f>
        <v>430.51230323867384</v>
      </c>
      <c r="P307"/>
      <c r="Q307"/>
      <c r="AA307" s="15"/>
      <c r="AB307" s="2019" t="s">
        <v>1354</v>
      </c>
      <c r="AC307" s="2020">
        <f>IF($C$280=1,AD307/(AD306/AC305),AC306)</f>
        <v>403.28369999999995</v>
      </c>
      <c r="AD307" s="2020">
        <f>+AD306</f>
        <v>410.70489336314267</v>
      </c>
      <c r="AE307" s="2020">
        <f>IF($C$280=1,AD307*AE306/AD305,AE306)</f>
        <v>415.12970012662294</v>
      </c>
      <c r="AF307" s="2020">
        <f>IF($C$280=1,AE307*AF306/AE305,AF306)</f>
        <v>422.83328756578948</v>
      </c>
      <c r="AG307" s="2020">
        <f>IF($C$280=1,AF307*AG306/AF305,AG306)</f>
        <v>430.51230323867384</v>
      </c>
    </row>
    <row r="308" spans="2:33">
      <c r="B308" s="2070" t="s">
        <v>1659</v>
      </c>
      <c r="C308" s="2071">
        <f ca="1">+C136+C137+C138+C142</f>
        <v>404.85770000000002</v>
      </c>
      <c r="D308" s="2071">
        <f ca="1">+D136+D137+D138+D142</f>
        <v>417.42320000000007</v>
      </c>
      <c r="E308" s="2071">
        <f ca="1">+E136+E137+E138+E142</f>
        <v>432.79670000000004</v>
      </c>
      <c r="F308" s="2071">
        <f ca="1">+F136+F137+F138+F142</f>
        <v>447.62672254278999</v>
      </c>
      <c r="G308" s="2071">
        <f ca="1">+G136+G137+G138+G142</f>
        <v>461.95633156565287</v>
      </c>
      <c r="P308"/>
      <c r="Q308"/>
      <c r="AA308" s="15"/>
      <c r="AB308" s="2070" t="s">
        <v>1659</v>
      </c>
      <c r="AC308" s="2071">
        <f>+AC136+AC137+AC138+AC142</f>
        <v>404.85770000000002</v>
      </c>
      <c r="AD308" s="2071">
        <f>+AD136+AD137+AD138+AD142</f>
        <v>417.42320000000007</v>
      </c>
      <c r="AE308" s="2071">
        <f>+AE136+AE137+AE138+AE142</f>
        <v>432.79670000000004</v>
      </c>
      <c r="AF308" s="2071">
        <f>+AF136+AF137+AF138+AF142</f>
        <v>447.62672254278999</v>
      </c>
      <c r="AG308" s="2071">
        <f>+AG136+AG137+AG138+AG142</f>
        <v>461.95633156565287</v>
      </c>
    </row>
    <row r="309" spans="2:33">
      <c r="B309" s="2070" t="s">
        <v>1660</v>
      </c>
      <c r="C309" s="2071">
        <f ca="1">+C101+C102+C103+C107</f>
        <v>403.2797750341748</v>
      </c>
      <c r="D309" s="2071">
        <f ca="1">+D101+D102+D103+D107</f>
        <v>413.21599352223393</v>
      </c>
      <c r="E309" s="2071">
        <f ca="1">+E101+E102+E103+E107</f>
        <v>422.8567736730846</v>
      </c>
      <c r="F309" s="2071">
        <f ca="1">+F101+F102+F103+F107</f>
        <v>440.72449200000005</v>
      </c>
      <c r="G309" s="2071">
        <f ca="1">+G101+G102+G103+G107</f>
        <v>455.65457807685829</v>
      </c>
      <c r="P309"/>
      <c r="Q309"/>
      <c r="AA309" s="15"/>
      <c r="AB309" s="2070" t="s">
        <v>1660</v>
      </c>
      <c r="AC309" s="2071">
        <f>+AC101+AC102+AC103+AC107</f>
        <v>403.2797750341748</v>
      </c>
      <c r="AD309" s="2071">
        <f>+AD101+AD102+AD103+AD107</f>
        <v>413.21599352223393</v>
      </c>
      <c r="AE309" s="2071">
        <f>+AE101+AE102+AE103+AE107</f>
        <v>422.8567736730846</v>
      </c>
      <c r="AF309" s="2071">
        <f>+AF101+AF102+AF103+AF107</f>
        <v>440.72449200000005</v>
      </c>
      <c r="AG309" s="2071">
        <f>+AG101+AG102+AG103+AG107</f>
        <v>455.65457807685829</v>
      </c>
    </row>
    <row r="310" spans="2:33">
      <c r="B310" s="2070" t="s">
        <v>1661</v>
      </c>
      <c r="C310" s="2071">
        <f ca="1">IF($C$280=1,D310/(D309/C308),C309)</f>
        <v>404.85770000000002</v>
      </c>
      <c r="D310" s="2071">
        <f ca="1">+D309</f>
        <v>413.21599352223393</v>
      </c>
      <c r="E310" s="2071">
        <f ca="1">IF($C$280=1,D310*E309/D308,E309)</f>
        <v>418.59480223171602</v>
      </c>
      <c r="F310" s="2071">
        <f ca="1">IF($C$280=1,E310*F309/E308,F309)</f>
        <v>426.26244970771148</v>
      </c>
      <c r="G310" s="2071">
        <f ca="1">IF($C$280=1,F310*G309/F308,G309)</f>
        <v>433.90715274602138</v>
      </c>
      <c r="P310"/>
      <c r="Q310"/>
      <c r="AA310" s="15"/>
      <c r="AB310" s="2070" t="s">
        <v>1661</v>
      </c>
      <c r="AC310" s="2071">
        <f>IF($C$280=1,AD310/(AD309/AC308),AC309)</f>
        <v>404.85770000000002</v>
      </c>
      <c r="AD310" s="2071">
        <f>+AD309</f>
        <v>413.21599352223393</v>
      </c>
      <c r="AE310" s="2071">
        <f>IF($C$280=1,AD310*AE309/AD308,AE309)</f>
        <v>418.59480223171602</v>
      </c>
      <c r="AF310" s="2071">
        <f>IF($C$280=1,AE310*AF309/AE308,AF309)</f>
        <v>426.26244970771148</v>
      </c>
      <c r="AG310" s="2071">
        <f>IF($C$280=1,AF310*AG309/AF308,AG309)</f>
        <v>433.90715274602138</v>
      </c>
    </row>
    <row r="311" spans="2:33">
      <c r="B311" s="2019" t="s">
        <v>1030</v>
      </c>
      <c r="C311" s="2020">
        <f ca="1">+C143+C144</f>
        <v>331.49160000000001</v>
      </c>
      <c r="D311" s="2020">
        <f ca="1">+D143+D144</f>
        <v>350.55939999999998</v>
      </c>
      <c r="E311" s="2020">
        <f ca="1">+E143+E144</f>
        <v>371.38579999999996</v>
      </c>
      <c r="F311" s="2020">
        <f ca="1">+F143+F144</f>
        <v>393.74565522390003</v>
      </c>
      <c r="G311" s="2020">
        <f ca="1">+G143+G144</f>
        <v>416.21183193735681</v>
      </c>
      <c r="P311"/>
      <c r="Q311"/>
      <c r="AA311" s="15"/>
      <c r="AB311" s="2019" t="s">
        <v>1030</v>
      </c>
      <c r="AC311" s="2020">
        <f>+AC143+AC144</f>
        <v>331.49160000000001</v>
      </c>
      <c r="AD311" s="2020">
        <f>+AD143+AD144</f>
        <v>350.55939999999998</v>
      </c>
      <c r="AE311" s="2020">
        <f>+AE143+AE144</f>
        <v>371.38579999999996</v>
      </c>
      <c r="AF311" s="2020">
        <f>+AF143+AF144</f>
        <v>393.74565522390003</v>
      </c>
      <c r="AG311" s="2020">
        <f>+AG143+AG144</f>
        <v>416.32193805503294</v>
      </c>
    </row>
    <row r="312" spans="2:33">
      <c r="B312" s="2019" t="s">
        <v>462</v>
      </c>
      <c r="C312" s="2020">
        <f ca="1">+C108+C109</f>
        <v>341.58919203542837</v>
      </c>
      <c r="D312" s="2020">
        <f ca="1">+D108+D109</f>
        <v>356.41049758462577</v>
      </c>
      <c r="E312" s="2020">
        <f ca="1">+E108+E109</f>
        <v>366.36964367694623</v>
      </c>
      <c r="F312" s="2020">
        <f ca="1">+F108+F109</f>
        <v>389.84718339</v>
      </c>
      <c r="G312" s="2020">
        <f ca="1">+G108+G109</f>
        <v>411.05290404226469</v>
      </c>
      <c r="P312"/>
      <c r="Q312"/>
      <c r="AA312" s="15"/>
      <c r="AB312" s="2019" t="s">
        <v>462</v>
      </c>
      <c r="AC312" s="2020">
        <f>+AC108+AC109</f>
        <v>341.58919203542837</v>
      </c>
      <c r="AD312" s="2020">
        <f>+AD108+AD109</f>
        <v>356.41049758462577</v>
      </c>
      <c r="AE312" s="2020">
        <f>+AE108+AE109</f>
        <v>366.36964367694623</v>
      </c>
      <c r="AF312" s="2020">
        <f>+AF108+AF109</f>
        <v>389.84718339</v>
      </c>
      <c r="AG312" s="2020">
        <f>+AG108+AG109</f>
        <v>411.16148995713269</v>
      </c>
    </row>
    <row r="313" spans="2:33">
      <c r="B313" s="2019" t="s">
        <v>463</v>
      </c>
      <c r="C313" s="2020">
        <f ca="1">IF($C$280=1,D313/(D312/C311),C312)</f>
        <v>331.49160000000001</v>
      </c>
      <c r="D313" s="2020">
        <f ca="1">+D312</f>
        <v>356.41049758462577</v>
      </c>
      <c r="E313" s="2020">
        <f ca="1">IF($C$280=1,D313*E312/D311,E312)</f>
        <v>372.48462600860927</v>
      </c>
      <c r="F313" s="2020">
        <f ca="1">IF($C$280=1,E313*F312/E311,F312)</f>
        <v>391.0006314337648</v>
      </c>
      <c r="G313" s="2020">
        <f ca="1">IF($C$280=1,F313*G312/F311,G312)</f>
        <v>408.18722162614114</v>
      </c>
      <c r="P313"/>
      <c r="Q313"/>
      <c r="AA313" s="15"/>
      <c r="AB313" s="2019" t="s">
        <v>463</v>
      </c>
      <c r="AC313" s="2020">
        <f>IF($C$280=1,AD313/(AD312/AC311),AC312)</f>
        <v>331.49160000000001</v>
      </c>
      <c r="AD313" s="2020">
        <f>+AD312</f>
        <v>356.41049758462577</v>
      </c>
      <c r="AE313" s="2020">
        <f>IF($C$280=1,AD313*AE312/AD311,AE312)</f>
        <v>372.48462600860927</v>
      </c>
      <c r="AF313" s="2020">
        <f>IF($C$280=1,AE313*AF312/AE311,AF312)</f>
        <v>391.0006314337648</v>
      </c>
      <c r="AG313" s="2020">
        <f>IF($C$280=1,AF313*AG312/AF311,AG312)</f>
        <v>408.29505052714592</v>
      </c>
    </row>
    <row r="314" spans="2:33">
      <c r="B314" s="2070" t="s">
        <v>1662</v>
      </c>
      <c r="C314" s="2071">
        <f ca="1">+C136+C137+C138+C142+C143+C144</f>
        <v>736.34930000000008</v>
      </c>
      <c r="D314" s="2071">
        <f ca="1">+D136+D137+D138+D142+D143+D144</f>
        <v>767.98260000000016</v>
      </c>
      <c r="E314" s="2071">
        <f ca="1">+E136+E137+E138+E142+E143+E144</f>
        <v>804.1825</v>
      </c>
      <c r="F314" s="2071">
        <f ca="1">+F136+F137+F138+F142+F143+F144</f>
        <v>841.37237776668997</v>
      </c>
      <c r="G314" s="2071">
        <f ca="1">+G136+G137+G138+G142+G143+G144</f>
        <v>878.16816350300962</v>
      </c>
      <c r="P314"/>
      <c r="Q314"/>
      <c r="AA314" s="15"/>
      <c r="AB314" s="2070" t="s">
        <v>1662</v>
      </c>
      <c r="AC314" s="2071">
        <f>+AC136+AC137+AC138+AC142+AC143+AC144</f>
        <v>736.34930000000008</v>
      </c>
      <c r="AD314" s="2071">
        <f>+AD136+AD137+AD138+AD142+AD143+AD144</f>
        <v>767.98260000000016</v>
      </c>
      <c r="AE314" s="2071">
        <f>+AE136+AE137+AE138+AE142+AE143+AE144</f>
        <v>804.1825</v>
      </c>
      <c r="AF314" s="2071">
        <f>+AF136+AF137+AF138+AF142+AF143+AF144</f>
        <v>841.37237776668997</v>
      </c>
      <c r="AG314" s="2071">
        <f>+AG136+AG137+AG138+AG142+AG143+AG144</f>
        <v>878.27826962068582</v>
      </c>
    </row>
    <row r="315" spans="2:33">
      <c r="B315" s="2070" t="s">
        <v>1664</v>
      </c>
      <c r="C315" s="2071">
        <f ca="1">+C101+C102+C103+C107+C108+C109</f>
        <v>744.86896706960317</v>
      </c>
      <c r="D315" s="2071">
        <f ca="1">+D101+D102+D103+D107+D108+D109</f>
        <v>769.6264911068597</v>
      </c>
      <c r="E315" s="2071">
        <f ca="1">+E101+E102+E103+E107+E108+E109</f>
        <v>789.22641735003083</v>
      </c>
      <c r="F315" s="2071">
        <f ca="1">+F101+F102+F103+F107+F108+F109</f>
        <v>830.57167539</v>
      </c>
      <c r="G315" s="2071">
        <f ca="1">+G101+G102+G103+G107+G108+G109</f>
        <v>866.70748211912303</v>
      </c>
      <c r="P315"/>
      <c r="Q315"/>
      <c r="AA315" s="15"/>
      <c r="AB315" s="2070" t="s">
        <v>1664</v>
      </c>
      <c r="AC315" s="2071">
        <f>+AC101+AC102+AC103+AC107+AC108+AC109</f>
        <v>744.86896706960317</v>
      </c>
      <c r="AD315" s="2071">
        <f>+AD101+AD102+AD103+AD107+AD108+AD109</f>
        <v>769.6264911068597</v>
      </c>
      <c r="AE315" s="2071">
        <f>+AE101+AE102+AE103+AE107+AE108+AE109</f>
        <v>789.22641735003083</v>
      </c>
      <c r="AF315" s="2071">
        <f>+AF101+AF102+AF103+AF107+AF108+AF109</f>
        <v>830.57167539</v>
      </c>
      <c r="AG315" s="2071">
        <f>+AG101+AG102+AG103+AG107+AG108+AG109</f>
        <v>866.81606803399109</v>
      </c>
    </row>
    <row r="316" spans="2:33">
      <c r="B316" s="2070" t="s">
        <v>1665</v>
      </c>
      <c r="C316" s="2071">
        <f ca="1">IF($C$280=1,D316/(D315/C314),C315)</f>
        <v>736.3493000000002</v>
      </c>
      <c r="D316" s="2071">
        <f ca="1">+D315</f>
        <v>769.6264911068597</v>
      </c>
      <c r="E316" s="2071">
        <f ca="1">IF($C$280=1,D316*E315/D314,E315)</f>
        <v>790.91578152153716</v>
      </c>
      <c r="F316" s="2071">
        <f ca="1">IF($C$280=1,E316*F315/E314,F315)</f>
        <v>816.86961075469105</v>
      </c>
      <c r="G316" s="2071">
        <f ca="1">IF($C$280=1,F316*G315/F314,G315)</f>
        <v>841.46689654357658</v>
      </c>
      <c r="P316"/>
      <c r="Q316"/>
      <c r="AA316" s="15"/>
      <c r="AB316" s="2070" t="s">
        <v>1665</v>
      </c>
      <c r="AC316" s="2071">
        <f>IF($C$280=1,AD316/(AD315/AC314),AC315)</f>
        <v>736.3493000000002</v>
      </c>
      <c r="AD316" s="2071">
        <f>+AD315</f>
        <v>769.6264911068597</v>
      </c>
      <c r="AE316" s="2071">
        <f>IF($C$280=1,AD316*AE315/AD314,AE315)</f>
        <v>790.91578152153716</v>
      </c>
      <c r="AF316" s="2071">
        <f>IF($C$280=1,AE316*AF315/AE314,AF315)</f>
        <v>816.86961075469105</v>
      </c>
      <c r="AG316" s="2071">
        <f>IF($C$280=1,AF316*AG315/AF314,AG315)</f>
        <v>841.57232017805245</v>
      </c>
    </row>
    <row r="317" spans="2:33">
      <c r="B317" s="2019" t="s">
        <v>1666</v>
      </c>
      <c r="C317" s="2020">
        <f ca="1">+C145+C146</f>
        <v>325.91410000000002</v>
      </c>
      <c r="D317" s="2020">
        <f ca="1">+D145+D146</f>
        <v>344.93420000000003</v>
      </c>
      <c r="E317" s="2020">
        <f ca="1">+E145+E146</f>
        <v>365.69800000000004</v>
      </c>
      <c r="F317" s="2020">
        <f ca="1">+F145+F146</f>
        <v>387.99940572450004</v>
      </c>
      <c r="G317" s="2020">
        <f ca="1">+G145+G146</f>
        <v>409.12719078989943</v>
      </c>
      <c r="P317"/>
      <c r="Q317"/>
      <c r="AA317" s="15"/>
      <c r="AB317" s="2019" t="s">
        <v>1666</v>
      </c>
      <c r="AC317" s="2020">
        <f>+AC145+AC146</f>
        <v>325.91410000000002</v>
      </c>
      <c r="AD317" s="2020">
        <f>+AD145+AD146</f>
        <v>344.93420000000003</v>
      </c>
      <c r="AE317" s="2020">
        <f>+AE145+AE146</f>
        <v>365.69800000000004</v>
      </c>
      <c r="AF317" s="2020">
        <f>+AF145+AF146</f>
        <v>387.99940572450004</v>
      </c>
      <c r="AG317" s="2020">
        <f>+AG145+AG146</f>
        <v>409.18390865939358</v>
      </c>
    </row>
    <row r="318" spans="2:33">
      <c r="B318" s="2019" t="s">
        <v>1667</v>
      </c>
      <c r="C318" s="2020">
        <f ca="1">+C110+C111</f>
        <v>338.95877601947063</v>
      </c>
      <c r="D318" s="2020">
        <f ca="1">+D110+D111</f>
        <v>353.17430546307952</v>
      </c>
      <c r="E318" s="2020">
        <f ca="1">+E110+E111</f>
        <v>359.04319921606765</v>
      </c>
      <c r="F318" s="2020">
        <f ca="1">+F110+F111</f>
        <v>384.15782745000001</v>
      </c>
      <c r="G318" s="2020">
        <f ca="1">+G110+G111</f>
        <v>405.4778897818627</v>
      </c>
      <c r="P318"/>
      <c r="Q318"/>
      <c r="AA318" s="15"/>
      <c r="AB318" s="2019" t="s">
        <v>1667</v>
      </c>
      <c r="AC318" s="2020">
        <f>+AC110+AC111</f>
        <v>338.95877601947063</v>
      </c>
      <c r="AD318" s="2020">
        <f>+AD110+AD111</f>
        <v>353.17430546307952</v>
      </c>
      <c r="AE318" s="2020">
        <f>+AE110+AE111</f>
        <v>359.04319921606765</v>
      </c>
      <c r="AF318" s="2020">
        <f>+AF110+AF111</f>
        <v>384.15782745000001</v>
      </c>
      <c r="AG318" s="2020">
        <f>+AG110+AG111</f>
        <v>405.53410174370026</v>
      </c>
    </row>
    <row r="319" spans="2:33">
      <c r="B319" s="2019" t="s">
        <v>1029</v>
      </c>
      <c r="C319" s="2020">
        <f ca="1">IF($C$280=1,D319/(D318/C317),C318)</f>
        <v>325.91410000000002</v>
      </c>
      <c r="D319" s="2020">
        <f ca="1">+D318</f>
        <v>353.17430546307952</v>
      </c>
      <c r="E319" s="2020">
        <f ca="1">IF($C$280=1,D319*E318/D317,E318)</f>
        <v>367.62035343081891</v>
      </c>
      <c r="F319" s="2020">
        <f ca="1">IF($C$280=1,E319*F318/E317,F318)</f>
        <v>386.17721808810694</v>
      </c>
      <c r="G319" s="2020">
        <f ca="1">IF($C$280=1,F319*G318/F317,G318)</f>
        <v>403.57361676832124</v>
      </c>
      <c r="P319"/>
      <c r="Q319"/>
      <c r="AA319" s="15"/>
      <c r="AB319" s="2019" t="s">
        <v>1029</v>
      </c>
      <c r="AC319" s="2020">
        <f>IF($C$280=1,AD319/(AD318/AC317),AC318)</f>
        <v>325.91410000000002</v>
      </c>
      <c r="AD319" s="2020">
        <f>+AD318</f>
        <v>353.17430546307952</v>
      </c>
      <c r="AE319" s="2020">
        <f>IF($C$280=1,AD319*AE318/AD317,AE318)</f>
        <v>367.62035343081891</v>
      </c>
      <c r="AF319" s="2020">
        <f>IF($C$280=1,AE319*AF318/AE317,AF318)</f>
        <v>386.17721808810694</v>
      </c>
      <c r="AG319" s="2020">
        <f>IF($C$280=1,AF319*AG318/AF317,AG318)</f>
        <v>403.62956473815171</v>
      </c>
    </row>
    <row r="320" spans="2:33">
      <c r="B320" s="2070" t="s">
        <v>174</v>
      </c>
      <c r="C320" s="2071">
        <f ca="1">+C138-C226</f>
        <v>85.754200000000012</v>
      </c>
      <c r="D320" s="2071">
        <f ca="1">+D138-D226</f>
        <v>89.803300000000007</v>
      </c>
      <c r="E320" s="2071">
        <f ca="1">+E138-E226</f>
        <v>92.20750000000001</v>
      </c>
      <c r="F320" s="2071">
        <f ca="1">+F138-F226</f>
        <v>96.158271190139999</v>
      </c>
      <c r="G320" s="2071">
        <f ca="1">+G138-G226</f>
        <v>99.578303965837463</v>
      </c>
      <c r="P320"/>
      <c r="Q320"/>
      <c r="AA320" s="15"/>
      <c r="AB320" s="2070" t="s">
        <v>174</v>
      </c>
      <c r="AC320" s="2071">
        <f>+AC138-AC226</f>
        <v>85.754200000000012</v>
      </c>
      <c r="AD320" s="2071">
        <f>+AD138-AD226</f>
        <v>89.803300000000007</v>
      </c>
      <c r="AE320" s="2071">
        <f>+AE138-AE226</f>
        <v>92.20750000000001</v>
      </c>
      <c r="AF320" s="2071">
        <f>+AF138-AF226</f>
        <v>96.158271190139999</v>
      </c>
      <c r="AG320" s="2071">
        <f>+AG138-AG226</f>
        <v>99.578303965837463</v>
      </c>
    </row>
    <row r="321" spans="1:33">
      <c r="B321" s="2070" t="s">
        <v>175</v>
      </c>
      <c r="C321" s="2071">
        <f ca="1">+C103-C128</f>
        <v>85.361656257567404</v>
      </c>
      <c r="D321" s="2071">
        <f ca="1">+D103-D128</f>
        <v>89.415583969129898</v>
      </c>
      <c r="E321" s="2071">
        <f ca="1">+E103-E128</f>
        <v>90.526893204105448</v>
      </c>
      <c r="F321" s="2071">
        <f ca="1">+F103-F128</f>
        <v>95.269775190000004</v>
      </c>
      <c r="G321" s="2071">
        <f ca="1">+G103-G128</f>
        <v>98.488200985579184</v>
      </c>
      <c r="P321"/>
      <c r="Q321"/>
      <c r="AA321" s="15"/>
      <c r="AB321" s="2070" t="s">
        <v>175</v>
      </c>
      <c r="AC321" s="2071">
        <f>+AC103-AC128</f>
        <v>85.361656257567404</v>
      </c>
      <c r="AD321" s="2071">
        <f>+AD103-AD128</f>
        <v>89.415583969129898</v>
      </c>
      <c r="AE321" s="2071">
        <f>+AE103-AE128</f>
        <v>90.526893204105448</v>
      </c>
      <c r="AF321" s="2071">
        <f>+AF103-AF128</f>
        <v>95.269775190000004</v>
      </c>
      <c r="AG321" s="2071">
        <f>+AG103-AG128</f>
        <v>98.488200985579184</v>
      </c>
    </row>
    <row r="322" spans="1:33">
      <c r="B322" s="2070" t="s">
        <v>176</v>
      </c>
      <c r="C322" s="2071">
        <f ca="1">IF($C$280=1,D322/(D321/C320),C321)</f>
        <v>85.754200000000012</v>
      </c>
      <c r="D322" s="2071">
        <f ca="1">+D321</f>
        <v>89.415583969129898</v>
      </c>
      <c r="E322" s="2071">
        <f ca="1">IF($C$280=1,D322*E321/D320,E321)</f>
        <v>90.136053137870718</v>
      </c>
      <c r="F322" s="2071">
        <f ca="1">IF($C$280=1,E322*F321/E320,F321)</f>
        <v>93.129534137232184</v>
      </c>
      <c r="G322" s="2071">
        <f ca="1">IF($C$280=1,F322*G321/F320,G321)</f>
        <v>95.386077165056065</v>
      </c>
      <c r="P322"/>
      <c r="Q322"/>
      <c r="AA322" s="15"/>
      <c r="AB322" s="2070" t="s">
        <v>176</v>
      </c>
      <c r="AC322" s="2071">
        <f>IF($C$280=1,AD322/(AD321/AC320),AC321)</f>
        <v>85.754200000000012</v>
      </c>
      <c r="AD322" s="2071">
        <f>+AD321</f>
        <v>89.415583969129898</v>
      </c>
      <c r="AE322" s="2071">
        <f>IF($C$280=1,AD322*AE321/AD320,AE321)</f>
        <v>90.136053137870718</v>
      </c>
      <c r="AF322" s="2071">
        <f>IF($C$280=1,AE322*AF321/AE320,AF321)</f>
        <v>93.129534137232184</v>
      </c>
      <c r="AG322" s="2071">
        <f>IF($C$280=1,AF322*AG321/AF320,AG321)</f>
        <v>95.386077165056065</v>
      </c>
    </row>
    <row r="323" spans="1:33">
      <c r="B323" s="2019" t="s">
        <v>525</v>
      </c>
      <c r="C323" s="2020">
        <f t="shared" ref="C323:G324" ca="1" si="53">+C157-C165</f>
        <v>10366.471600000001</v>
      </c>
      <c r="D323" s="2020">
        <f t="shared" ca="1" si="53"/>
        <v>10376.6356</v>
      </c>
      <c r="E323" s="2020">
        <f t="shared" ca="1" si="53"/>
        <v>10389.746300000001</v>
      </c>
      <c r="F323" s="2020">
        <f t="shared" ca="1" si="53"/>
        <v>10403.216638942189</v>
      </c>
      <c r="G323" s="2020">
        <f t="shared" ca="1" si="53"/>
        <v>10417.11690562576</v>
      </c>
      <c r="P323"/>
      <c r="Q323"/>
      <c r="AA323" s="15"/>
      <c r="AB323" s="2019" t="s">
        <v>525</v>
      </c>
      <c r="AC323" s="2020">
        <f t="shared" ref="AC323:AG324" si="54">+AC157-AC165</f>
        <v>10366.471600000001</v>
      </c>
      <c r="AD323" s="2020">
        <f t="shared" si="54"/>
        <v>10376.6356</v>
      </c>
      <c r="AE323" s="2020">
        <f t="shared" si="54"/>
        <v>10389.746300000001</v>
      </c>
      <c r="AF323" s="2020">
        <f t="shared" si="54"/>
        <v>10402.962438622189</v>
      </c>
      <c r="AG323" s="2020">
        <f t="shared" si="54"/>
        <v>10416.706628004375</v>
      </c>
    </row>
    <row r="324" spans="1:33">
      <c r="B324" s="2019" t="s">
        <v>526</v>
      </c>
      <c r="C324" s="2020">
        <f t="shared" ca="1" si="53"/>
        <v>10362.706256911075</v>
      </c>
      <c r="D324" s="2020">
        <f t="shared" ca="1" si="53"/>
        <v>10370.929802270628</v>
      </c>
      <c r="E324" s="2020">
        <f t="shared" ca="1" si="53"/>
        <v>10382.872527519668</v>
      </c>
      <c r="F324" s="2020">
        <f t="shared" ca="1" si="53"/>
        <v>10397.012048179098</v>
      </c>
      <c r="G324" s="2020">
        <f t="shared" ca="1" si="53"/>
        <v>10410.153611624974</v>
      </c>
      <c r="P324"/>
      <c r="Q324"/>
      <c r="AA324" s="15"/>
      <c r="AB324" s="2019" t="s">
        <v>526</v>
      </c>
      <c r="AC324" s="2020">
        <f t="shared" si="54"/>
        <v>10362.706256911075</v>
      </c>
      <c r="AD324" s="2020">
        <f t="shared" si="54"/>
        <v>10370.929802270628</v>
      </c>
      <c r="AE324" s="2020">
        <f t="shared" si="54"/>
        <v>10382.872527519668</v>
      </c>
      <c r="AF324" s="2020">
        <f t="shared" si="54"/>
        <v>10396.761749749336</v>
      </c>
      <c r="AG324" s="2020">
        <f t="shared" si="54"/>
        <v>10409.750055284174</v>
      </c>
    </row>
    <row r="325" spans="1:33">
      <c r="B325" s="2019" t="s">
        <v>527</v>
      </c>
      <c r="C325" s="2020">
        <f ca="1">IF($C$280=1,D325/(D324/C323),C324)</f>
        <v>10366.471600000001</v>
      </c>
      <c r="D325" s="2020">
        <f ca="1">+D324</f>
        <v>10370.929802270628</v>
      </c>
      <c r="E325" s="2020">
        <f ca="1">IF($C$280=1,D325*E324/D323,E324)</f>
        <v>10377.163300292697</v>
      </c>
      <c r="F325" s="2020">
        <f ca="1">IF($C$280=1,E325*F324/E323,F324)</f>
        <v>10384.420248939585</v>
      </c>
      <c r="G325" s="2020">
        <f ca="1">IF($C$280=1,F325*G324/F323,G324)</f>
        <v>10391.344687994693</v>
      </c>
      <c r="P325"/>
      <c r="Q325"/>
      <c r="AA325" s="15"/>
      <c r="AB325" s="2019" t="s">
        <v>527</v>
      </c>
      <c r="AC325" s="2020">
        <f>IF($C$280=1,AD325/(AD324/AC323),AC324)</f>
        <v>10366.471600000001</v>
      </c>
      <c r="AD325" s="2020">
        <f>+AD324</f>
        <v>10370.929802270628</v>
      </c>
      <c r="AE325" s="2020">
        <f>IF($C$280=1,AD325*AE324/AD323,AE324)</f>
        <v>10377.163300292697</v>
      </c>
      <c r="AF325" s="2020">
        <f>IF($C$280=1,AE325*AF324/AE323,AF324)</f>
        <v>10384.170253645721</v>
      </c>
      <c r="AG325" s="2020">
        <f>IF($C$280=1,AF325*AG324/AF323,AG324)</f>
        <v>10390.945608978434</v>
      </c>
    </row>
    <row r="326" spans="1:33">
      <c r="A326" s="16"/>
      <c r="I326" s="16"/>
      <c r="J326" s="16"/>
      <c r="K326" s="16"/>
    </row>
    <row r="327" spans="1:33">
      <c r="A327" s="16"/>
      <c r="I327" s="16"/>
      <c r="J327" s="16"/>
      <c r="K327" s="16"/>
    </row>
    <row r="328" spans="1:33">
      <c r="A328" s="16"/>
      <c r="I328" s="16"/>
      <c r="J328" s="16"/>
      <c r="K328" s="16"/>
    </row>
    <row r="329" spans="1:33">
      <c r="A329" s="16"/>
      <c r="I329" s="16"/>
      <c r="J329" s="16"/>
      <c r="K329" s="16"/>
    </row>
    <row r="330" spans="1:33">
      <c r="A330" s="16"/>
      <c r="I330" s="16"/>
      <c r="J330" s="16"/>
      <c r="K330" s="16"/>
    </row>
    <row r="331" spans="1:33">
      <c r="A331" s="16"/>
      <c r="I331" s="16"/>
      <c r="J331" s="16"/>
      <c r="K331" s="16"/>
    </row>
    <row r="332" spans="1:33">
      <c r="A332" s="16"/>
      <c r="I332" s="16"/>
      <c r="J332" s="16"/>
      <c r="K332" s="16"/>
    </row>
    <row r="333" spans="1:33">
      <c r="A333" s="16"/>
      <c r="I333" s="16"/>
      <c r="J333" s="16"/>
      <c r="K333" s="16"/>
    </row>
    <row r="334" spans="1:33">
      <c r="A334" s="16"/>
      <c r="I334" s="16"/>
      <c r="J334" s="16"/>
      <c r="K334" s="16"/>
    </row>
    <row r="335" spans="1:33">
      <c r="A335" s="16"/>
      <c r="I335" s="16"/>
      <c r="J335" s="16"/>
      <c r="K335" s="16"/>
    </row>
    <row r="336" spans="1:33">
      <c r="A336" s="16"/>
      <c r="I336" s="16"/>
      <c r="J336" s="16"/>
      <c r="K336" s="16"/>
    </row>
    <row r="337" spans="1:11">
      <c r="A337" s="16"/>
      <c r="I337" s="16"/>
      <c r="J337" s="16"/>
      <c r="K337" s="16"/>
    </row>
    <row r="338" spans="1:11">
      <c r="A338" s="16"/>
      <c r="I338" s="16"/>
      <c r="J338" s="16"/>
      <c r="K338" s="16"/>
    </row>
    <row r="339" spans="1:11">
      <c r="A339" s="16"/>
      <c r="I339" s="16"/>
      <c r="J339" s="16"/>
      <c r="K339" s="16"/>
    </row>
    <row r="340" spans="1:11">
      <c r="A340" s="16"/>
      <c r="I340" s="16"/>
      <c r="J340" s="16"/>
      <c r="K340" s="16"/>
    </row>
    <row r="341" spans="1:11">
      <c r="A341" s="16"/>
      <c r="I341" s="16"/>
      <c r="J341" s="16"/>
      <c r="K341" s="16"/>
    </row>
    <row r="342" spans="1:11">
      <c r="A342" s="16"/>
      <c r="I342" s="16"/>
      <c r="J342" s="16"/>
      <c r="K342" s="16"/>
    </row>
    <row r="343" spans="1:11">
      <c r="A343" s="16"/>
      <c r="I343" s="16"/>
      <c r="J343" s="16"/>
      <c r="K343" s="16"/>
    </row>
    <row r="344" spans="1:11">
      <c r="A344" s="16"/>
      <c r="I344" s="16"/>
      <c r="J344" s="16"/>
      <c r="K344" s="16"/>
    </row>
    <row r="345" spans="1:11">
      <c r="A345" s="16"/>
      <c r="I345" s="16"/>
      <c r="J345" s="16"/>
      <c r="K345" s="16"/>
    </row>
    <row r="346" spans="1:11">
      <c r="A346" s="16"/>
      <c r="I346" s="16"/>
      <c r="J346" s="16"/>
      <c r="K346" s="16"/>
    </row>
    <row r="347" spans="1:11">
      <c r="A347" s="16"/>
      <c r="I347" s="16"/>
      <c r="J347" s="16"/>
      <c r="K347" s="16"/>
    </row>
    <row r="348" spans="1:11">
      <c r="A348" s="16"/>
      <c r="I348" s="16"/>
      <c r="J348" s="16"/>
      <c r="K348" s="16"/>
    </row>
    <row r="349" spans="1:11">
      <c r="A349" s="16"/>
      <c r="I349" s="16"/>
      <c r="J349" s="16"/>
      <c r="K349" s="16"/>
    </row>
    <row r="350" spans="1:11">
      <c r="A350" s="16"/>
      <c r="I350" s="16"/>
      <c r="J350" s="16"/>
      <c r="K350" s="16"/>
    </row>
  </sheetData>
  <protectedRanges>
    <protectedRange sqref="H94:H95 E94:E95" name="Range1"/>
  </protectedRanges>
  <phoneticPr fontId="0" type="noConversion"/>
  <conditionalFormatting sqref="AC303:AG303 C303:G303 C160:G160 C164:G164 AC282:AG282 C281:O282">
    <cfRule type="cellIs" dxfId="1" priority="1" stopIfTrue="1" operator="equal">
      <formula>-9999</formula>
    </cfRule>
  </conditionalFormatting>
  <conditionalFormatting sqref="AT101:BF280">
    <cfRule type="cellIs" dxfId="0" priority="2" stopIfTrue="1" operator="notEqual">
      <formula>0</formula>
    </cfRule>
  </conditionalFormatting>
  <pageMargins left="0.75" right="0.75" top="1" bottom="1" header="0.5" footer="0.5"/>
  <pageSetup paperSize="9" scale="22" orientation="portrait" horizontalDpi="400" verticalDpi="4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TransferMatrixMacroFDMS.Transfer_forecast">
                <anchor moveWithCells="1" sizeWithCells="1">
                  <from>
                    <xdr:col>8</xdr:col>
                    <xdr:colOff>99060</xdr:colOff>
                    <xdr:row>92</xdr:row>
                    <xdr:rowOff>0</xdr:rowOff>
                  </from>
                  <to>
                    <xdr:col>9</xdr:col>
                    <xdr:colOff>289560</xdr:colOff>
                    <xdr:row>95</xdr:row>
                    <xdr:rowOff>7620</xdr:rowOff>
                  </to>
                </anchor>
              </controlPr>
            </control>
          </mc:Choice>
        </mc:AlternateContent>
        <mc:AlternateContent xmlns:mc="http://schemas.openxmlformats.org/markup-compatibility/2006">
          <mc:Choice Requires="x14">
            <control shapeId="17416" r:id="rId5" name="Button 8">
              <controlPr defaultSize="0" print="0" autoFill="0" autoPict="0" macro="[0]!Save_Values">
                <anchor moveWithCells="1" sizeWithCells="1">
                  <from>
                    <xdr:col>9</xdr:col>
                    <xdr:colOff>350520</xdr:colOff>
                    <xdr:row>92</xdr:row>
                    <xdr:rowOff>0</xdr:rowOff>
                  </from>
                  <to>
                    <xdr:col>10</xdr:col>
                    <xdr:colOff>541020</xdr:colOff>
                    <xdr:row>95</xdr:row>
                    <xdr:rowOff>7620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5" tint="0.39997558519241921"/>
    <pageSetUpPr autoPageBreaks="0" fitToPage="1"/>
  </sheetPr>
  <dimension ref="A2:AJ173"/>
  <sheetViews>
    <sheetView showGridLines="0" zoomScaleNormal="100" workbookViewId="0">
      <pane xSplit="7" ySplit="11" topLeftCell="H145" activePane="bottomRight" state="frozen"/>
      <selection pane="topRight" activeCell="H1" sqref="H1"/>
      <selection pane="bottomLeft" activeCell="A12" sqref="A12"/>
      <selection pane="bottomRight" activeCell="H12" sqref="H12"/>
    </sheetView>
  </sheetViews>
  <sheetFormatPr defaultColWidth="9.109375" defaultRowHeight="13.2"/>
  <cols>
    <col min="1" max="1" width="42.109375" style="3989" bestFit="1" customWidth="1"/>
    <col min="2" max="2" width="9.109375" style="3989"/>
    <col min="3" max="3" width="11.88671875" style="3989" customWidth="1"/>
    <col min="4" max="4" width="12.33203125" style="3990" bestFit="1" customWidth="1"/>
    <col min="5" max="5" width="9.109375" style="3989"/>
    <col min="6" max="6" width="9" style="3995" customWidth="1"/>
    <col min="7" max="7" width="41.109375" style="3989" customWidth="1"/>
    <col min="8" max="12" width="10" style="3989" customWidth="1"/>
    <col min="13" max="13" width="10.109375" style="3989" customWidth="1"/>
    <col min="14" max="16" width="10.109375" style="3996" customWidth="1"/>
    <col min="17" max="29" width="8.44140625" style="3989" customWidth="1"/>
    <col min="30" max="16384" width="9.109375" style="3989"/>
  </cols>
  <sheetData>
    <row r="2" spans="1:31" s="3960" customFormat="1" ht="15.75" customHeight="1">
      <c r="D2" s="3961"/>
      <c r="F2" s="3962"/>
      <c r="N2" s="3963"/>
      <c r="O2" s="3963"/>
      <c r="P2" s="3963"/>
    </row>
    <row r="3" spans="1:31" s="3960" customFormat="1" ht="15.6">
      <c r="D3" s="3961"/>
      <c r="F3" s="3962"/>
      <c r="G3" s="3964" t="s">
        <v>2093</v>
      </c>
      <c r="N3" s="3963"/>
      <c r="O3" s="3963"/>
      <c r="P3" s="3963"/>
    </row>
    <row r="4" spans="1:31" s="3974" customFormat="1" ht="15.6">
      <c r="A4" s="3965" t="s">
        <v>2157</v>
      </c>
      <c r="B4" s="3966"/>
      <c r="C4" s="3967" t="s">
        <v>2544</v>
      </c>
      <c r="D4" s="3968"/>
      <c r="E4" s="3967" t="s">
        <v>2203</v>
      </c>
      <c r="F4" s="3966"/>
      <c r="G4" s="3969" t="s">
        <v>1226</v>
      </c>
      <c r="H4" s="3970" t="s">
        <v>2108</v>
      </c>
      <c r="I4" s="3971"/>
      <c r="J4" s="3971"/>
      <c r="K4" s="3971"/>
      <c r="L4" s="3971"/>
      <c r="M4" s="3972"/>
      <c r="N4" s="3973"/>
      <c r="O4" s="3973"/>
      <c r="P4" s="3973"/>
    </row>
    <row r="5" spans="1:31" s="3974" customFormat="1" ht="15.6">
      <c r="A5" s="3966"/>
      <c r="B5" s="3966"/>
      <c r="C5" s="3966"/>
      <c r="D5" s="3968"/>
      <c r="E5" s="3967" t="s">
        <v>2492</v>
      </c>
      <c r="F5" s="3966"/>
      <c r="G5" s="3969" t="s">
        <v>732</v>
      </c>
      <c r="H5" s="3975" t="s">
        <v>2109</v>
      </c>
      <c r="I5" s="3976"/>
      <c r="J5" s="3977" t="str">
        <f>Country</f>
        <v>Belgium</v>
      </c>
      <c r="K5" s="3971"/>
      <c r="L5" s="3971"/>
      <c r="M5" s="3972"/>
      <c r="N5" s="3973"/>
      <c r="O5" s="3973"/>
      <c r="P5" s="3973"/>
    </row>
    <row r="6" spans="1:31" s="3974" customFormat="1" ht="15.6">
      <c r="A6" s="3966"/>
      <c r="B6" s="3966"/>
      <c r="C6" s="3966"/>
      <c r="D6" s="3968"/>
      <c r="E6" s="3967"/>
      <c r="F6" s="3966"/>
      <c r="G6" s="3969" t="s">
        <v>733</v>
      </c>
      <c r="H6" s="3978" t="s">
        <v>2081</v>
      </c>
      <c r="I6" s="3979"/>
      <c r="J6" s="3980" t="str">
        <f>Transfer!E95</f>
        <v>BEL</v>
      </c>
      <c r="K6" s="3971"/>
      <c r="L6" s="3971"/>
      <c r="M6" s="3972"/>
      <c r="N6" s="3973"/>
      <c r="O6" s="3973"/>
      <c r="P6" s="3973"/>
    </row>
    <row r="7" spans="1:31" s="3960" customFormat="1" ht="14.25" customHeight="1">
      <c r="A7" s="3965"/>
      <c r="B7" s="3965"/>
      <c r="C7" s="3965"/>
      <c r="D7" s="3981"/>
      <c r="E7" s="3965"/>
      <c r="F7" s="3982" t="s">
        <v>2158</v>
      </c>
      <c r="I7" s="3960" t="s">
        <v>2157</v>
      </c>
      <c r="J7" s="3980" t="s">
        <v>2158</v>
      </c>
      <c r="N7" s="3963"/>
      <c r="O7" s="3963"/>
      <c r="P7" s="3963"/>
      <c r="Q7" s="3963"/>
      <c r="R7" s="3963"/>
      <c r="S7" s="3963"/>
      <c r="T7" s="3963"/>
      <c r="U7" s="3963"/>
      <c r="V7" s="3963"/>
      <c r="W7" s="3963"/>
      <c r="X7" s="3963"/>
      <c r="Y7" s="3963"/>
      <c r="Z7" s="3963"/>
      <c r="AA7" s="3963"/>
      <c r="AB7" s="3963"/>
      <c r="AC7" s="3963"/>
    </row>
    <row r="8" spans="1:31" s="3960" customFormat="1" ht="15" customHeight="1">
      <c r="D8" s="3961"/>
      <c r="F8" s="3983"/>
      <c r="L8" s="3984"/>
      <c r="N8" s="3963"/>
      <c r="O8" s="3963"/>
      <c r="P8" s="3963"/>
      <c r="Q8" s="3963"/>
      <c r="R8" s="3963"/>
      <c r="S8" s="3963"/>
      <c r="T8" s="3963"/>
      <c r="U8" s="3963"/>
      <c r="V8" s="3963"/>
      <c r="W8" s="3963"/>
      <c r="X8" s="3963"/>
      <c r="Y8" s="3963"/>
      <c r="Z8" s="3963"/>
      <c r="AA8" s="3963"/>
      <c r="AB8" s="3963"/>
      <c r="AC8" s="3963"/>
    </row>
    <row r="9" spans="1:31" s="3985" customFormat="1">
      <c r="D9" s="3986"/>
      <c r="G9" s="3987"/>
      <c r="H9" s="3988">
        <v>1</v>
      </c>
      <c r="I9" s="3988">
        <f t="shared" ref="I9:AE9" si="0">H9+1</f>
        <v>2</v>
      </c>
      <c r="J9" s="3988">
        <f t="shared" si="0"/>
        <v>3</v>
      </c>
      <c r="K9" s="3988">
        <f t="shared" si="0"/>
        <v>4</v>
      </c>
      <c r="L9" s="3988">
        <f t="shared" si="0"/>
        <v>5</v>
      </c>
      <c r="M9" s="3988">
        <f t="shared" si="0"/>
        <v>6</v>
      </c>
      <c r="N9" s="3988">
        <f t="shared" si="0"/>
        <v>7</v>
      </c>
      <c r="O9" s="3988">
        <f t="shared" si="0"/>
        <v>8</v>
      </c>
      <c r="P9" s="3988">
        <f t="shared" si="0"/>
        <v>9</v>
      </c>
      <c r="Q9" s="3988">
        <f t="shared" si="0"/>
        <v>10</v>
      </c>
      <c r="R9" s="3988">
        <f t="shared" si="0"/>
        <v>11</v>
      </c>
      <c r="S9" s="3988">
        <f t="shared" si="0"/>
        <v>12</v>
      </c>
      <c r="T9" s="3988">
        <f t="shared" si="0"/>
        <v>13</v>
      </c>
      <c r="U9" s="3988">
        <f t="shared" si="0"/>
        <v>14</v>
      </c>
      <c r="V9" s="3988">
        <f t="shared" si="0"/>
        <v>15</v>
      </c>
      <c r="W9" s="3988">
        <f t="shared" si="0"/>
        <v>16</v>
      </c>
      <c r="X9" s="3988">
        <f t="shared" si="0"/>
        <v>17</v>
      </c>
      <c r="Y9" s="3988">
        <f t="shared" si="0"/>
        <v>18</v>
      </c>
      <c r="Z9" s="3988">
        <f t="shared" si="0"/>
        <v>19</v>
      </c>
      <c r="AA9" s="3988">
        <f t="shared" si="0"/>
        <v>20</v>
      </c>
      <c r="AB9" s="3988">
        <f t="shared" si="0"/>
        <v>21</v>
      </c>
      <c r="AC9" s="3988">
        <f t="shared" si="0"/>
        <v>22</v>
      </c>
      <c r="AD9" s="3988">
        <f t="shared" si="0"/>
        <v>23</v>
      </c>
      <c r="AE9" s="3988">
        <f t="shared" si="0"/>
        <v>24</v>
      </c>
    </row>
    <row r="10" spans="1:31">
      <c r="D10" s="3990" t="s">
        <v>2159</v>
      </c>
      <c r="E10" s="3990" t="s">
        <v>2160</v>
      </c>
      <c r="F10" s="3991" t="s">
        <v>2161</v>
      </c>
      <c r="I10" s="3990"/>
      <c r="J10" s="3990"/>
      <c r="K10" s="3990"/>
      <c r="L10" s="3990"/>
      <c r="M10" s="3990"/>
      <c r="N10" s="3990"/>
      <c r="O10" s="3990"/>
      <c r="P10" s="3990"/>
      <c r="Q10" s="3990"/>
      <c r="R10" s="3990"/>
      <c r="S10" s="3990"/>
      <c r="T10" s="3990"/>
      <c r="U10" s="3990"/>
      <c r="V10" s="3990"/>
      <c r="W10" s="3990"/>
      <c r="X10" s="3990"/>
      <c r="Y10" s="3990"/>
      <c r="Z10" s="3990"/>
      <c r="AA10" s="3990"/>
      <c r="AB10" s="3990"/>
      <c r="AC10" s="3990"/>
      <c r="AD10" s="3990"/>
      <c r="AE10" s="3990"/>
    </row>
    <row r="11" spans="1:31">
      <c r="A11" s="3992" t="s">
        <v>2162</v>
      </c>
      <c r="B11" s="3992" t="s">
        <v>2163</v>
      </c>
      <c r="C11" s="3992" t="s">
        <v>2164</v>
      </c>
      <c r="D11" s="3992" t="s">
        <v>2165</v>
      </c>
      <c r="E11" s="3992" t="s">
        <v>2491</v>
      </c>
      <c r="F11" s="3992"/>
      <c r="G11" s="3992" t="s">
        <v>2652</v>
      </c>
      <c r="H11" s="3992">
        <v>1996</v>
      </c>
      <c r="I11" s="3992">
        <f>H11+1</f>
        <v>1997</v>
      </c>
      <c r="J11" s="3992">
        <f>I11+1</f>
        <v>1998</v>
      </c>
      <c r="K11" s="3992">
        <f>J11+1</f>
        <v>1999</v>
      </c>
      <c r="L11" s="3992">
        <f>K11+1</f>
        <v>2000</v>
      </c>
      <c r="M11" s="3992">
        <f t="shared" ref="M11:AE11" si="1">L11+1</f>
        <v>2001</v>
      </c>
      <c r="N11" s="3992">
        <f t="shared" si="1"/>
        <v>2002</v>
      </c>
      <c r="O11" s="3992">
        <f t="shared" si="1"/>
        <v>2003</v>
      </c>
      <c r="P11" s="3992">
        <f t="shared" si="1"/>
        <v>2004</v>
      </c>
      <c r="Q11" s="3992">
        <f t="shared" si="1"/>
        <v>2005</v>
      </c>
      <c r="R11" s="3992">
        <f t="shared" si="1"/>
        <v>2006</v>
      </c>
      <c r="S11" s="3992">
        <f t="shared" si="1"/>
        <v>2007</v>
      </c>
      <c r="T11" s="3992">
        <f t="shared" si="1"/>
        <v>2008</v>
      </c>
      <c r="U11" s="3992">
        <f t="shared" si="1"/>
        <v>2009</v>
      </c>
      <c r="V11" s="3992">
        <f t="shared" si="1"/>
        <v>2010</v>
      </c>
      <c r="W11" s="3992">
        <f t="shared" si="1"/>
        <v>2011</v>
      </c>
      <c r="X11" s="3992">
        <f t="shared" si="1"/>
        <v>2012</v>
      </c>
      <c r="Y11" s="3992">
        <f t="shared" si="1"/>
        <v>2013</v>
      </c>
      <c r="Z11" s="3992">
        <f t="shared" si="1"/>
        <v>2014</v>
      </c>
      <c r="AA11" s="3992">
        <f t="shared" si="1"/>
        <v>2015</v>
      </c>
      <c r="AB11" s="3992">
        <f t="shared" si="1"/>
        <v>2016</v>
      </c>
      <c r="AC11" s="3992">
        <f t="shared" si="1"/>
        <v>2017</v>
      </c>
      <c r="AD11" s="3992">
        <f t="shared" si="1"/>
        <v>2018</v>
      </c>
      <c r="AE11" s="3992">
        <f t="shared" si="1"/>
        <v>2019</v>
      </c>
    </row>
    <row r="12" spans="1:31">
      <c r="A12" s="3992" t="str">
        <f>CONCATENATE($I$7,$J$7)</f>
        <v>\\DG ECFIN\Forecast\Country databases\Desk transfer databases\BE</v>
      </c>
      <c r="B12" s="3992" t="str">
        <f>$J$7</f>
        <v>BE</v>
      </c>
      <c r="C12" s="3992" t="s">
        <v>2166</v>
      </c>
      <c r="D12" s="3992" t="s">
        <v>2167</v>
      </c>
      <c r="E12" s="3992" t="s">
        <v>2168</v>
      </c>
      <c r="F12" s="3992">
        <v>1</v>
      </c>
      <c r="G12" s="3992" t="s">
        <v>510</v>
      </c>
      <c r="H12" s="3992">
        <f ca="1">IF(ISNUMBER('VVP2'!H172),'VVP2'!H172,"n.a.")</f>
        <v>110.61433046591593</v>
      </c>
      <c r="I12" s="3992">
        <f ca="1">IF(ISNUMBER('VVP2'!I172),'VVP2'!I172,"n.a.")</f>
        <v>118.69056475135531</v>
      </c>
      <c r="J12" s="3992">
        <f ca="1">IF(ISNUMBER('VVP2'!J172),'VVP2'!J172,"n.a.")</f>
        <v>123.76913146065976</v>
      </c>
      <c r="K12" s="3992">
        <f ca="1">IF(ISNUMBER('VVP2'!K172),'VVP2'!K172,"n.a.")</f>
        <v>127.35609923420672</v>
      </c>
      <c r="L12" s="3992">
        <f ca="1">IF(ISNUMBER('VVP2'!L172),'VVP2'!L172,"n.a.")</f>
        <v>131.86902159491171</v>
      </c>
      <c r="M12" s="3992">
        <f ca="1">IF(ISNUMBER('VVP2'!M172),'VVP2'!M172,"n.a.")</f>
        <v>137.48289753695289</v>
      </c>
      <c r="N12" s="3992">
        <f ca="1">IF(ISNUMBER('VVP2'!N172),'VVP2'!N172,"n.a.")</f>
        <v>140.84874367351023</v>
      </c>
      <c r="O12" s="3992">
        <f ca="1">IF(ISNUMBER('VVP2'!O172),'VVP2'!O172,"n.a.")</f>
        <v>143.53651860994145</v>
      </c>
      <c r="P12" s="3992">
        <f ca="1">IF(ISNUMBER('VVP2'!P172),'VVP2'!P172,"n.a.")</f>
        <v>148.07499914146322</v>
      </c>
      <c r="Q12" s="3992">
        <f ca="1">IF(ISNUMBER('VVP2'!Q172),'VVP2'!Q172,"n.a.")</f>
        <v>153.51422222319997</v>
      </c>
      <c r="R12" s="3992">
        <f ca="1">IF(ISNUMBER('VVP2'!R172),'VVP2'!R172,"n.a.")</f>
        <v>159.97977675910357</v>
      </c>
      <c r="S12" s="3992">
        <f ca="1">IF(ISNUMBER('VVP2'!S172),'VVP2'!S172,"n.a.")</f>
        <v>168.00584685996895</v>
      </c>
      <c r="T12" s="3992">
        <f ca="1">IF(ISNUMBER('VVP2'!T172),'VVP2'!T172,"n.a.")</f>
        <v>175.79646238351805</v>
      </c>
      <c r="U12" s="3992">
        <f ca="1">IF(ISNUMBER('VVP2'!U172),'VVP2'!U172,"n.a.")</f>
        <v>182.28640649842589</v>
      </c>
      <c r="V12" s="3992">
        <f ca="1">IF(ISNUMBER('VVP2'!V172),'VVP2'!V172,"n.a.")</f>
        <v>186.45849008345601</v>
      </c>
      <c r="W12" s="3992">
        <f ca="1">IF(ISNUMBER('VVP2'!W172),'VVP2'!W172,"n.a.")</f>
        <v>190.34564</v>
      </c>
      <c r="X12" s="3992">
        <f ca="1">IF(ISNUMBER('VVP2'!X172),'VVP2'!X172,"n.a.")</f>
        <v>197.21501818634775</v>
      </c>
      <c r="Y12" s="3992">
        <f ca="1">IF(ISNUMBER('VVP2'!Y172),'VVP2'!Y172,"n.a.")</f>
        <v>202.68356903313685</v>
      </c>
      <c r="Z12" s="3992">
        <f ca="1">IF(ISNUMBER('VVP2'!Z172),'VVP2'!Z172,"n.a.")</f>
        <v>205.6330630087148</v>
      </c>
      <c r="AA12" s="3992">
        <f ca="1">IF(ISNUMBER('VVP2'!AA172),'VVP2'!AA172,"n.a.")</f>
        <v>208.73982457178622</v>
      </c>
      <c r="AB12" s="3992">
        <f ca="1">IF(ISNUMBER('VVP2'!AB172),'VVP2'!AB172,"n.a.")</f>
        <v>213.36539725760269</v>
      </c>
      <c r="AC12" s="3992">
        <f ca="1">IF(ISNUMBER('VVP2'!AC172),'VVP2'!AC172,"n.a.")</f>
        <v>219.01333450893432</v>
      </c>
      <c r="AD12" s="3992">
        <f ca="1">IF(ISNUMBER('VVP2'!AD172),'VVP2'!AD172,"n.a.")</f>
        <v>226.3979295</v>
      </c>
      <c r="AE12" s="3992">
        <f ca="1">IF(ISNUMBER('VVP2'!AE172),'VVP2'!AE172,"n.a.")</f>
        <v>234.2990361212064</v>
      </c>
    </row>
    <row r="13" spans="1:31">
      <c r="A13" s="3992" t="str">
        <f t="shared" ref="A13:A76" si="2">CONCATENATE($I$7,$J$7)</f>
        <v>\\DG ECFIN\Forecast\Country databases\Desk transfer databases\BE</v>
      </c>
      <c r="B13" s="3992" t="str">
        <f t="shared" ref="B13:B76" si="3">$J$7</f>
        <v>BE</v>
      </c>
      <c r="C13" s="3992" t="s">
        <v>2166</v>
      </c>
      <c r="D13" s="3992" t="s">
        <v>2169</v>
      </c>
      <c r="E13" s="3992" t="s">
        <v>2168</v>
      </c>
      <c r="F13" s="3992">
        <v>2</v>
      </c>
      <c r="G13" s="3992" t="s">
        <v>38</v>
      </c>
      <c r="H13" s="3992">
        <f ca="1">IF('VVP2'!H173&lt;&gt;"",'VVP2'!H173,"n.a.")</f>
        <v>42.825266873676568</v>
      </c>
      <c r="I13" s="3992">
        <f ca="1">IF('VVP2'!I173&lt;&gt;"",'VVP2'!I173,"n.a.")</f>
        <v>46.735883486040429</v>
      </c>
      <c r="J13" s="3992">
        <f ca="1">IF('VVP2'!J173&lt;&gt;"",'VVP2'!J173,"n.a.")</f>
        <v>48.228596228327852</v>
      </c>
      <c r="K13" s="3992">
        <f ca="1">IF('VVP2'!K173&lt;&gt;"",'VVP2'!K173,"n.a.")</f>
        <v>50.216919513570794</v>
      </c>
      <c r="L13" s="3992">
        <f ca="1">IF('VVP2'!L173&lt;&gt;"",'VVP2'!L173,"n.a.")</f>
        <v>52.857869722592504</v>
      </c>
      <c r="M13" s="3992">
        <f ca="1">IF('VVP2'!M173&lt;&gt;"",'VVP2'!M173,"n.a.")</f>
        <v>54.443823082162758</v>
      </c>
      <c r="N13" s="3992">
        <f ca="1">IF('VVP2'!N173&lt;&gt;"",'VVP2'!N173,"n.a.")</f>
        <v>58.063570009641687</v>
      </c>
      <c r="O13" s="3992">
        <f ca="1">IF('VVP2'!O173&lt;&gt;"",'VVP2'!O173,"n.a.")</f>
        <v>61.126032371350462</v>
      </c>
      <c r="P13" s="3992">
        <f ca="1">IF('VVP2'!P173&lt;&gt;"",'VVP2'!P173,"n.a.")</f>
        <v>64.18080025396857</v>
      </c>
      <c r="Q13" s="3992">
        <f ca="1">IF('VVP2'!Q173&lt;&gt;"",'VVP2'!Q173,"n.a.")</f>
        <v>66.247024752592537</v>
      </c>
      <c r="R13" s="3992">
        <f ca="1">IF('VVP2'!R173&lt;&gt;"",'VVP2'!R173,"n.a.")</f>
        <v>69.516540609949033</v>
      </c>
      <c r="S13" s="3992">
        <f ca="1">IF('VVP2'!S173&lt;&gt;"",'VVP2'!S173,"n.a.")</f>
        <v>72.887947499996258</v>
      </c>
      <c r="T13" s="3992">
        <f ca="1">IF('VVP2'!T173&lt;&gt;"",'VVP2'!T173,"n.a.")</f>
        <v>76.540701777582342</v>
      </c>
      <c r="U13" s="3992">
        <f ca="1">IF('VVP2'!U173&lt;&gt;"",'VVP2'!U173,"n.a.")</f>
        <v>80.750018768651998</v>
      </c>
      <c r="V13" s="3992">
        <f ca="1">IF('VVP2'!V173&lt;&gt;"",'VVP2'!V173,"n.a.")</f>
        <v>84.585301795908208</v>
      </c>
      <c r="W13" s="3992">
        <f ca="1">IF('VVP2'!W173&lt;&gt;"",'VVP2'!W173,"n.a.")</f>
        <v>87.059899999999999</v>
      </c>
      <c r="X13" s="3992">
        <f ca="1">IF('VVP2'!X173&lt;&gt;"",'VVP2'!X173,"n.a.")</f>
        <v>91.398665683052712</v>
      </c>
      <c r="Y13" s="3992">
        <f ca="1">IF('VVP2'!Y173&lt;&gt;"",'VVP2'!Y173,"n.a.")</f>
        <v>94.305938427461115</v>
      </c>
      <c r="Z13" s="3992">
        <f ca="1">IF('VVP2'!Z173&lt;&gt;"",'VVP2'!Z173,"n.a.")</f>
        <v>96.722077648287424</v>
      </c>
      <c r="AA13" s="3992">
        <f ca="1">IF('VVP2'!AA173&lt;&gt;"",'VVP2'!AA173,"n.a.")</f>
        <v>97.865674072015125</v>
      </c>
      <c r="AB13" s="3992">
        <f ca="1">IF('VVP2'!AB173&lt;&gt;"",'VVP2'!AB173,"n.a.")</f>
        <v>98.724598591313452</v>
      </c>
      <c r="AC13" s="3992">
        <f ca="1">IF('VVP2'!AC173&lt;&gt;"",'VVP2'!AC173,"n.a.")</f>
        <v>100.76957544956498</v>
      </c>
      <c r="AD13" s="3992">
        <f ca="1">IF('VVP2'!AD173&lt;&gt;"",'VVP2'!AD173,"n.a.")</f>
        <v>102.77139534999999</v>
      </c>
      <c r="AE13" s="3992">
        <f ca="1">IF('VVP2'!AE173&lt;&gt;"",'VVP2'!AE173,"n.a.")</f>
        <v>105.8128120239879</v>
      </c>
    </row>
    <row r="14" spans="1:31">
      <c r="A14" s="3992" t="str">
        <f t="shared" si="2"/>
        <v>\\DG ECFIN\Forecast\Country databases\Desk transfer databases\BE</v>
      </c>
      <c r="B14" s="3992" t="str">
        <f t="shared" si="3"/>
        <v>BE</v>
      </c>
      <c r="C14" s="3992" t="s">
        <v>2166</v>
      </c>
      <c r="D14" s="3992" t="s">
        <v>2170</v>
      </c>
      <c r="E14" s="3992" t="s">
        <v>2168</v>
      </c>
      <c r="F14" s="3992">
        <v>3</v>
      </c>
      <c r="G14" s="3992" t="s">
        <v>40</v>
      </c>
      <c r="H14" s="3992">
        <f ca="1">IF('VVP2'!H174&lt;&gt;"",'VVP2'!H174,"n.a.")</f>
        <v>42.194338146601183</v>
      </c>
      <c r="I14" s="3992">
        <f ca="1">IF('VVP2'!I174&lt;&gt;"",'VVP2'!I174,"n.a.")</f>
        <v>49.04869055869986</v>
      </c>
      <c r="J14" s="3992">
        <f ca="1">IF('VVP2'!J174&lt;&gt;"",'VVP2'!J174,"n.a.")</f>
        <v>50.819924028433192</v>
      </c>
      <c r="K14" s="3992">
        <f ca="1">IF('VVP2'!K174&lt;&gt;"",'VVP2'!K174,"n.a.")</f>
        <v>53.378550122209425</v>
      </c>
      <c r="L14" s="3992">
        <f ca="1">IF('VVP2'!L174&lt;&gt;"",'VVP2'!L174,"n.a.")</f>
        <v>56.740661755861403</v>
      </c>
      <c r="M14" s="3992">
        <f ca="1">IF('VVP2'!M174&lt;&gt;"",'VVP2'!M174,"n.a.")</f>
        <v>59.020790749432472</v>
      </c>
      <c r="N14" s="3992">
        <f ca="1">IF('VVP2'!N174&lt;&gt;"",'VVP2'!N174,"n.a.")</f>
        <v>57.007481495771003</v>
      </c>
      <c r="O14" s="3992">
        <f ca="1">IF('VVP2'!O174&lt;&gt;"",'VVP2'!O174,"n.a.")</f>
        <v>56.603668987498793</v>
      </c>
      <c r="P14" s="3992">
        <f ca="1">IF('VVP2'!P174&lt;&gt;"",'VVP2'!P174,"n.a.")</f>
        <v>62.900772152687431</v>
      </c>
      <c r="Q14" s="3992">
        <f ca="1">IF('VVP2'!Q174&lt;&gt;"",'VVP2'!Q174,"n.a.")</f>
        <v>67.6522609154881</v>
      </c>
      <c r="R14" s="3992">
        <f ca="1">IF('VVP2'!R174&lt;&gt;"",'VVP2'!R174,"n.a.")</f>
        <v>70.366918722766627</v>
      </c>
      <c r="S14" s="3992">
        <f ca="1">IF('VVP2'!S174&lt;&gt;"",'VVP2'!S174,"n.a.")</f>
        <v>77.923544550494427</v>
      </c>
      <c r="T14" s="3992">
        <f ca="1">IF('VVP2'!T174&lt;&gt;"",'VVP2'!T174,"n.a.")</f>
        <v>81.609938523311541</v>
      </c>
      <c r="U14" s="3992">
        <f ca="1">IF('VVP2'!U174&lt;&gt;"",'VVP2'!U174,"n.a.")</f>
        <v>79.257637267397683</v>
      </c>
      <c r="V14" s="3992">
        <f ca="1">IF('VVP2'!V174&lt;&gt;"",'VVP2'!V174,"n.a.")</f>
        <v>78.127152225276546</v>
      </c>
      <c r="W14" s="3992">
        <f ca="1">IF('VVP2'!W174&lt;&gt;"",'VVP2'!W174,"n.a.")</f>
        <v>83.022019999999998</v>
      </c>
      <c r="X14" s="3992">
        <f ca="1">IF('VVP2'!X174&lt;&gt;"",'VVP2'!X174,"n.a.")</f>
        <v>85.777851111933927</v>
      </c>
      <c r="Y14" s="3992">
        <f ca="1">IF('VVP2'!Y174&lt;&gt;"",'VVP2'!Y174,"n.a.")</f>
        <v>86.366451537445641</v>
      </c>
      <c r="Z14" s="3992">
        <f ca="1">IF('VVP2'!Z174&lt;&gt;"",'VVP2'!Z174,"n.a.")</f>
        <v>92.12814278047118</v>
      </c>
      <c r="AA14" s="3992">
        <f ca="1">IF('VVP2'!AA174&lt;&gt;"",'VVP2'!AA174,"n.a.")</f>
        <v>94.785148625383499</v>
      </c>
      <c r="AB14" s="3992">
        <f ca="1">IF('VVP2'!AB174&lt;&gt;"",'VVP2'!AB174,"n.a.")</f>
        <v>98.614897514226556</v>
      </c>
      <c r="AC14" s="3992">
        <f ca="1">IF('VVP2'!AC174&lt;&gt;"",'VVP2'!AC174,"n.a.")</f>
        <v>100.13432645410545</v>
      </c>
      <c r="AD14" s="3992">
        <f ca="1">IF('VVP2'!AD174&lt;&gt;"",'VVP2'!AD174,"n.a.")</f>
        <v>105.97006715000001</v>
      </c>
      <c r="AE14" s="3992">
        <f ca="1">IF('VVP2'!AE174&lt;&gt;"",'VVP2'!AE174,"n.a.")</f>
        <v>109.95762993166399</v>
      </c>
    </row>
    <row r="15" spans="1:31">
      <c r="A15" s="3992" t="str">
        <f t="shared" si="2"/>
        <v>\\DG ECFIN\Forecast\Country databases\Desk transfer databases\BE</v>
      </c>
      <c r="B15" s="3992" t="str">
        <f t="shared" si="3"/>
        <v>BE</v>
      </c>
      <c r="C15" s="3992" t="s">
        <v>2166</v>
      </c>
      <c r="D15" s="3992" t="s">
        <v>2171</v>
      </c>
      <c r="E15" s="3992" t="s">
        <v>2168</v>
      </c>
      <c r="F15" s="3992">
        <v>4</v>
      </c>
      <c r="G15" s="3992" t="s">
        <v>41</v>
      </c>
      <c r="H15" s="3992">
        <f ca="1">IF('VVP2'!H175&lt;&gt;"",'VVP2'!H175,"n.a.")</f>
        <v>20.658568567776705</v>
      </c>
      <c r="I15" s="3992">
        <f ca="1">IF('VVP2'!I175&lt;&gt;"",'VVP2'!I175,"n.a.")</f>
        <v>23.542915993466863</v>
      </c>
      <c r="J15" s="3992">
        <f ca="1">IF('VVP2'!J175&lt;&gt;"",'VVP2'!J175,"n.a.")</f>
        <v>23.767048589118183</v>
      </c>
      <c r="K15" s="3992">
        <f ca="1">IF('VVP2'!K175&lt;&gt;"",'VVP2'!K175,"n.a.")</f>
        <v>24.011361081788035</v>
      </c>
      <c r="L15" s="3992">
        <f ca="1">IF('VVP2'!L175&lt;&gt;"",'VVP2'!L175,"n.a.")</f>
        <v>24.445102000179599</v>
      </c>
      <c r="M15" s="3992">
        <f ca="1">IF('VVP2'!M175&lt;&gt;"",'VVP2'!M175,"n.a.")</f>
        <v>24.672162999431492</v>
      </c>
      <c r="N15" s="3992">
        <f ca="1">IF('VVP2'!N175&lt;&gt;"",'VVP2'!N175,"n.a.")</f>
        <v>23.720795258393949</v>
      </c>
      <c r="O15" s="3992">
        <f ca="1">IF('VVP2'!O175&lt;&gt;"",'VVP2'!O175,"n.a.")</f>
        <v>24.425119341482876</v>
      </c>
      <c r="P15" s="3992">
        <f ca="1">IF('VVP2'!P175&lt;&gt;"",'VVP2'!P175,"n.a.")</f>
        <v>27.346050362596984</v>
      </c>
      <c r="Q15" s="3992">
        <f ca="1">IF('VVP2'!Q175&lt;&gt;"",'VVP2'!Q175,"n.a.")</f>
        <v>29.885741189761752</v>
      </c>
      <c r="R15" s="3992">
        <f ca="1">IF('VVP2'!R175&lt;&gt;"",'VVP2'!R175,"n.a.")</f>
        <v>32.023523665213517</v>
      </c>
      <c r="S15" s="3992">
        <f ca="1">IF('VVP2'!S175&lt;&gt;"",'VVP2'!S175,"n.a.")</f>
        <v>35.38272606831454</v>
      </c>
      <c r="T15" s="3992">
        <f ca="1">IF('VVP2'!T175&lt;&gt;"",'VVP2'!T175,"n.a.")</f>
        <v>37.359499083171258</v>
      </c>
      <c r="U15" s="3992">
        <f ca="1">IF('VVP2'!U175&lt;&gt;"",'VVP2'!U175,"n.a.")</f>
        <v>38.796106996746246</v>
      </c>
      <c r="V15" s="3992">
        <f ca="1">IF('VVP2'!V175&lt;&gt;"",'VVP2'!V175,"n.a.")</f>
        <v>38.081253754220704</v>
      </c>
      <c r="W15" s="3992">
        <f ca="1">IF('VVP2'!W175&lt;&gt;"",'VVP2'!W175,"n.a.")</f>
        <v>40.677790000000002</v>
      </c>
      <c r="X15" s="3992">
        <f ca="1">IF('VVP2'!X175&lt;&gt;"",'VVP2'!X175,"n.a.")</f>
        <v>43.274337930801096</v>
      </c>
      <c r="Y15" s="3992">
        <f ca="1">IF('VVP2'!Y175&lt;&gt;"",'VVP2'!Y175,"n.a.")</f>
        <v>43.224101072362636</v>
      </c>
      <c r="Z15" s="3992">
        <f ca="1">IF('VVP2'!Z175&lt;&gt;"",'VVP2'!Z175,"n.a.")</f>
        <v>44.562216420750474</v>
      </c>
      <c r="AA15" s="3992">
        <f ca="1">IF('VVP2'!AA175&lt;&gt;"",'VVP2'!AA175,"n.a.")</f>
        <v>44.467771853352787</v>
      </c>
      <c r="AB15" s="3992">
        <f ca="1">IF('VVP2'!AB175&lt;&gt;"",'VVP2'!AB175,"n.a.")</f>
        <v>45.310897255886609</v>
      </c>
      <c r="AC15" s="3992">
        <f ca="1">IF('VVP2'!AC175&lt;&gt;"",'VVP2'!AC175,"n.a.")</f>
        <v>46.601806386130733</v>
      </c>
      <c r="AD15" s="3992">
        <f ca="1">IF('VVP2'!AD175&lt;&gt;"",'VVP2'!AD175,"n.a.")</f>
        <v>48.488666749999993</v>
      </c>
      <c r="AE15" s="3992">
        <f ca="1">IF('VVP2'!AE175&lt;&gt;"",'VVP2'!AE175,"n.a.")</f>
        <v>49.992235268419989</v>
      </c>
    </row>
    <row r="16" spans="1:31">
      <c r="A16" s="3992" t="str">
        <f t="shared" si="2"/>
        <v>\\DG ECFIN\Forecast\Country databases\Desk transfer databases\BE</v>
      </c>
      <c r="B16" s="3992" t="str">
        <f t="shared" si="3"/>
        <v>BE</v>
      </c>
      <c r="C16" s="3992" t="s">
        <v>2166</v>
      </c>
      <c r="D16" s="3992" t="s">
        <v>2172</v>
      </c>
      <c r="E16" s="3992" t="s">
        <v>2168</v>
      </c>
      <c r="F16" s="3992">
        <v>5</v>
      </c>
      <c r="G16" s="3992" t="s">
        <v>43</v>
      </c>
      <c r="H16" s="3992">
        <f ca="1">IF('VVP2'!H176&lt;&gt;"",'VVP2'!H176,"n.a.")</f>
        <v>16.512936141655512</v>
      </c>
      <c r="I16" s="3992">
        <f ca="1">IF('VVP2'!I176&lt;&gt;"",'VVP2'!I176,"n.a.")</f>
        <v>19.502016595959244</v>
      </c>
      <c r="J16" s="3992">
        <f ca="1">IF('VVP2'!J176&lt;&gt;"",'VVP2'!J176,"n.a.")</f>
        <v>20.261552893111475</v>
      </c>
      <c r="K16" s="3992">
        <f ca="1">IF('VVP2'!K176&lt;&gt;"",'VVP2'!K176,"n.a.")</f>
        <v>22.155752768180598</v>
      </c>
      <c r="L16" s="3992">
        <f ca="1">IF('VVP2'!L176&lt;&gt;"",'VVP2'!L176,"n.a.")</f>
        <v>25.109936483290415</v>
      </c>
      <c r="M16" s="3992">
        <f ca="1">IF('VVP2'!M176&lt;&gt;"",'VVP2'!M176,"n.a.")</f>
        <v>26.236365181589449</v>
      </c>
      <c r="N16" s="3992">
        <f ca="1">IF('VVP2'!N176&lt;&gt;"",'VVP2'!N176,"n.a.")</f>
        <v>24.791473075327232</v>
      </c>
      <c r="O16" s="3992">
        <f ca="1">IF('VVP2'!O176&lt;&gt;"",'VVP2'!O176,"n.a.")</f>
        <v>23.197751879281245</v>
      </c>
      <c r="P16" s="3992">
        <f ca="1">IF('VVP2'!P176&lt;&gt;"",'VVP2'!P176,"n.a.")</f>
        <v>25.994584146513493</v>
      </c>
      <c r="Q16" s="3992">
        <f ca="1">IF('VVP2'!Q176&lt;&gt;"",'VVP2'!Q176,"n.a.")</f>
        <v>27.855567986054236</v>
      </c>
      <c r="R16" s="3992">
        <f ca="1">IF('VVP2'!R176&lt;&gt;"",'VVP2'!R176,"n.a.")</f>
        <v>28.251063115087465</v>
      </c>
      <c r="S16" s="3992">
        <f ca="1">IF('VVP2'!S176&lt;&gt;"",'VVP2'!S176,"n.a.")</f>
        <v>31.770036062142868</v>
      </c>
      <c r="T16" s="3992">
        <f ca="1">IF('VVP2'!T176&lt;&gt;"",'VVP2'!T176,"n.a.")</f>
        <v>32.674641853873602</v>
      </c>
      <c r="U16" s="3992">
        <f ca="1">IF('VVP2'!U176&lt;&gt;"",'VVP2'!U176,"n.a.")</f>
        <v>27.859631614901247</v>
      </c>
      <c r="V16" s="3992">
        <f ca="1">IF('VVP2'!V176&lt;&gt;"",'VVP2'!V176,"n.a.")</f>
        <v>26.990429874072912</v>
      </c>
      <c r="W16" s="3992">
        <f ca="1">IF('VVP2'!W176&lt;&gt;"",'VVP2'!W176,"n.a.")</f>
        <v>28.27488</v>
      </c>
      <c r="X16" s="3992">
        <f ca="1">IF('VVP2'!X176&lt;&gt;"",'VVP2'!X176,"n.a.")</f>
        <v>27.818432718759546</v>
      </c>
      <c r="Y16" s="3992">
        <f ca="1">IF('VVP2'!Y176&lt;&gt;"",'VVP2'!Y176,"n.a.")</f>
        <v>27.913115522596648</v>
      </c>
      <c r="Z16" s="3992">
        <f ca="1">IF('VVP2'!Z176&lt;&gt;"",'VVP2'!Z176,"n.a.")</f>
        <v>30.155504756985547</v>
      </c>
      <c r="AA16" s="3992">
        <f ca="1">IF('VVP2'!AA176&lt;&gt;"",'VVP2'!AA176,"n.a.")</f>
        <v>30.669041633971883</v>
      </c>
      <c r="AB16" s="3992">
        <f ca="1">IF('VVP2'!AB176&lt;&gt;"",'VVP2'!AB176,"n.a.")</f>
        <v>35.261298291256736</v>
      </c>
      <c r="AC16" s="3992">
        <f ca="1">IF('VVP2'!AC176&lt;&gt;"",'VVP2'!AC176,"n.a.")</f>
        <v>35.006305607700526</v>
      </c>
      <c r="AD16" s="3992">
        <f ca="1">IF('VVP2'!AD176&lt;&gt;"",'VVP2'!AD176,"n.a.")</f>
        <v>37.586630400000004</v>
      </c>
      <c r="AE16" s="3992">
        <f ca="1">IF('VVP2'!AE176&lt;&gt;"",'VVP2'!AE176,"n.a.")</f>
        <v>39.329146585344006</v>
      </c>
    </row>
    <row r="17" spans="1:31">
      <c r="A17" s="3992" t="str">
        <f t="shared" si="2"/>
        <v>\\DG ECFIN\Forecast\Country databases\Desk transfer databases\BE</v>
      </c>
      <c r="B17" s="3992" t="str">
        <f t="shared" si="3"/>
        <v>BE</v>
      </c>
      <c r="C17" s="3992" t="s">
        <v>2166</v>
      </c>
      <c r="D17" s="3992" t="s">
        <v>2173</v>
      </c>
      <c r="E17" s="3992" t="s">
        <v>2168</v>
      </c>
      <c r="F17" s="3992">
        <v>6</v>
      </c>
      <c r="G17" s="3992" t="s">
        <v>2051</v>
      </c>
      <c r="H17" s="3992">
        <f ca="1">IF('VVP2'!H177&lt;&gt;"",'VVP2'!H177,"n.a.")</f>
        <v>5.0566008350511424</v>
      </c>
      <c r="I17" s="3992">
        <f ca="1">IF('VVP2'!I177&lt;&gt;"",'VVP2'!I177,"n.a.")</f>
        <v>6.0036815392255365</v>
      </c>
      <c r="J17" s="3992">
        <f ca="1">IF('VVP2'!J177&lt;&gt;"",'VVP2'!J177,"n.a.")</f>
        <v>6.7913507555839683</v>
      </c>
      <c r="K17" s="3992">
        <f ca="1">IF('VVP2'!K177&lt;&gt;"",'VVP2'!K177,"n.a.")</f>
        <v>7.2118516843669571</v>
      </c>
      <c r="L17" s="3992">
        <f ca="1">IF('VVP2'!L177&lt;&gt;"",'VVP2'!L177,"n.a.")</f>
        <v>7.1863935757090047</v>
      </c>
      <c r="M17" s="3992">
        <f ca="1">IF('VVP2'!M177&lt;&gt;"",'VVP2'!M177,"n.a.")</f>
        <v>8.1138839050989517</v>
      </c>
      <c r="N17" s="3992">
        <f ca="1">IF('VVP2'!N177&lt;&gt;"",'VVP2'!N177,"n.a.")</f>
        <v>8.4966304619690494</v>
      </c>
      <c r="O17" s="3992">
        <f ca="1">IF('VVP2'!O177&lt;&gt;"",'VVP2'!O177,"n.a.")</f>
        <v>8.9819697812170887</v>
      </c>
      <c r="P17" s="3992">
        <f ca="1">IF('VVP2'!P177&lt;&gt;"",'VVP2'!P177,"n.a.")</f>
        <v>9.5609908786432225</v>
      </c>
      <c r="Q17" s="3992">
        <f ca="1">IF('VVP2'!Q177&lt;&gt;"",'VVP2'!Q177,"n.a.")</f>
        <v>9.9126243990778757</v>
      </c>
      <c r="R17" s="3992">
        <f ca="1">IF('VVP2'!R177&lt;&gt;"",'VVP2'!R177,"n.a.")</f>
        <v>10.093562531772623</v>
      </c>
      <c r="S17" s="3992">
        <f ca="1">IF('VVP2'!S177&lt;&gt;"",'VVP2'!S177,"n.a.")</f>
        <v>10.771811575639061</v>
      </c>
      <c r="T17" s="3992">
        <f ca="1">IF('VVP2'!T177&lt;&gt;"",'VVP2'!T177,"n.a.")</f>
        <v>11.580171474219002</v>
      </c>
      <c r="U17" s="3992">
        <f ca="1">IF('VVP2'!U177&lt;&gt;"",'VVP2'!U177,"n.a.")</f>
        <v>12.601979121711425</v>
      </c>
      <c r="V17" s="3992">
        <f ca="1">IF('VVP2'!V177&lt;&gt;"",'VVP2'!V177,"n.a.")</f>
        <v>13.055198938956892</v>
      </c>
      <c r="W17" s="3992">
        <f ca="1">IF('VVP2'!W177&lt;&gt;"",'VVP2'!W177,"n.a.")</f>
        <v>14.070049999999998</v>
      </c>
      <c r="X17" s="3992">
        <f ca="1">IF('VVP2'!X177&lt;&gt;"",'VVP2'!X177,"n.a.")</f>
        <v>14.685240596119634</v>
      </c>
      <c r="Y17" s="3992">
        <f ca="1">IF('VVP2'!Y177&lt;&gt;"",'VVP2'!Y177,"n.a.")</f>
        <v>15.229144186330922</v>
      </c>
      <c r="Z17" s="3992">
        <f ca="1">IF('VVP2'!Z177&lt;&gt;"",'VVP2'!Z177,"n.a.")</f>
        <v>17.410424140965439</v>
      </c>
      <c r="AA17" s="3992">
        <f ca="1">IF('VVP2'!AA177&lt;&gt;"",'VVP2'!AA177,"n.a.")</f>
        <v>19.648197200479437</v>
      </c>
      <c r="AB17" s="3992">
        <f ca="1">IF('VVP2'!AB177&lt;&gt;"",'VVP2'!AB177,"n.a.")</f>
        <v>18.042690567760516</v>
      </c>
      <c r="AC17" s="3992">
        <f ca="1">IF('VVP2'!AC177&lt;&gt;"",'VVP2'!AC177,"n.a.")</f>
        <v>18.526157634244431</v>
      </c>
      <c r="AD17" s="3992">
        <f ca="1">IF('VVP2'!AD177&lt;&gt;"",'VVP2'!AD177,"n.a.")</f>
        <v>19.894770000000001</v>
      </c>
      <c r="AE17" s="3992">
        <f ca="1">IF('VVP2'!AE177&lt;&gt;"",'VVP2'!AE177,"n.a.")</f>
        <v>20.636248077899999</v>
      </c>
    </row>
    <row r="18" spans="1:31">
      <c r="A18" s="3992" t="str">
        <f t="shared" si="2"/>
        <v>\\DG ECFIN\Forecast\Country databases\Desk transfer databases\BE</v>
      </c>
      <c r="B18" s="3992" t="str">
        <f t="shared" si="3"/>
        <v>BE</v>
      </c>
      <c r="C18" s="3992" t="s">
        <v>2166</v>
      </c>
      <c r="D18" s="3992" t="s">
        <v>2174</v>
      </c>
      <c r="E18" s="3992" t="s">
        <v>2168</v>
      </c>
      <c r="F18" s="3992">
        <v>7</v>
      </c>
      <c r="G18" s="3992" t="s">
        <v>1674</v>
      </c>
      <c r="H18" s="3992">
        <f ca="1">IF('VVP2'!H178&lt;&gt;"",'VVP2'!H178,"n.a.")</f>
        <v>0.66288725188985609</v>
      </c>
      <c r="I18" s="3992">
        <f ca="1">IF('VVP2'!I178&lt;&gt;"",'VVP2'!I178,"n.a.")</f>
        <v>1.3071415746913146</v>
      </c>
      <c r="J18" s="3992">
        <f ca="1">IF('VVP2'!J178&lt;&gt;"",'VVP2'!J178,"n.a.")</f>
        <v>0.51707363997624611</v>
      </c>
      <c r="K18" s="3992">
        <f ca="1">IF('VVP2'!K178&lt;&gt;"",'VVP2'!K178,"n.a.")</f>
        <v>1.2932864264945607</v>
      </c>
      <c r="L18" s="3992">
        <f ca="1">IF('VVP2'!L178&lt;&gt;"",'VVP2'!L178,"n.a.")</f>
        <v>2.2709420292360676</v>
      </c>
      <c r="M18" s="3992">
        <f ca="1">IF('VVP2'!M178&lt;&gt;"",'VVP2'!M178,"n.a.")</f>
        <v>0.70512905696361372</v>
      </c>
      <c r="N18" s="3992">
        <f ca="1">IF('VVP2'!N178&lt;&gt;"",'VVP2'!N178,"n.a.")</f>
        <v>0.45759604705000356</v>
      </c>
      <c r="O18" s="3992">
        <f ca="1">IF('VVP2'!O178&lt;&gt;"",'VVP2'!O178,"n.a.")</f>
        <v>0.40841144903149029</v>
      </c>
      <c r="P18" s="3992">
        <f ca="1">IF('VVP2'!P178&lt;&gt;"",'VVP2'!P178,"n.a.")</f>
        <v>2.2745729481036108</v>
      </c>
      <c r="Q18" s="3992">
        <f ca="1">IF('VVP2'!Q178&lt;&gt;"",'VVP2'!Q178,"n.a.")</f>
        <v>5.083987399457385</v>
      </c>
      <c r="R18" s="3992">
        <f ca="1">IF('VVP2'!R178&lt;&gt;"",'VVP2'!R178,"n.a.")</f>
        <v>5.9329220479785647</v>
      </c>
      <c r="S18" s="3992">
        <f ca="1">IF('VVP2'!S178&lt;&gt;"",'VVP2'!S178,"n.a.")</f>
        <v>6.6082193853503384</v>
      </c>
      <c r="T18" s="3992">
        <f ca="1">IF('VVP2'!T178&lt;&gt;"",'VVP2'!T178,"n.a.")</f>
        <v>4.7647266470289935</v>
      </c>
      <c r="U18" s="3992">
        <f ca="1">IF('VVP2'!U178&lt;&gt;"",'VVP2'!U178,"n.a.")</f>
        <v>3.1221119758342297</v>
      </c>
      <c r="V18" s="3992">
        <f ca="1">IF('VVP2'!V178&lt;&gt;"",'VVP2'!V178,"n.a.")</f>
        <v>-1.1824922545947629</v>
      </c>
      <c r="W18" s="3992">
        <f ca="1">IF('VVP2'!W178&lt;&gt;"",'VVP2'!W178,"n.a.")</f>
        <v>5.8537199999999245</v>
      </c>
      <c r="X18" s="3992">
        <f ca="1">IF('VVP2'!X178&lt;&gt;"",'VVP2'!X178,"n.a.")</f>
        <v>2.8911301105376879</v>
      </c>
      <c r="Y18" s="3992">
        <f ca="1">IF('VVP2'!Y178&lt;&gt;"",'VVP2'!Y178,"n.a.")</f>
        <v>0.78068598300706071</v>
      </c>
      <c r="Z18" s="3992">
        <f ca="1">IF('VVP2'!Z178&lt;&gt;"",'VVP2'!Z178,"n.a.")</f>
        <v>1.2575133298691128</v>
      </c>
      <c r="AA18" s="3992">
        <f ca="1">IF('VVP2'!AA178&lt;&gt;"",'VVP2'!AA178,"n.a.")</f>
        <v>1.8891277649899791</v>
      </c>
      <c r="AB18" s="3992">
        <f ca="1">IF('VVP2'!AB178&lt;&gt;"",'VVP2'!AB178,"n.a.")</f>
        <v>2.5111001590912565</v>
      </c>
      <c r="AC18" s="3992">
        <f ca="1">IF('VVP2'!AC178&lt;&gt;"",'VVP2'!AC178,"n.a.")</f>
        <v>2.9395372604797956</v>
      </c>
      <c r="AD18" s="3992">
        <f ca="1">IF('VVP2'!AD178&lt;&gt;"",'VVP2'!AD178,"n.a.")</f>
        <v>5.5851000000000006</v>
      </c>
      <c r="AE18" s="3992">
        <f ca="1">IF('VVP2'!AE178&lt;&gt;"",'VVP2'!AE178,"n.a.")</f>
        <v>5.5851000000000006</v>
      </c>
    </row>
    <row r="19" spans="1:31">
      <c r="A19" s="3992" t="str">
        <f t="shared" si="2"/>
        <v>\\DG ECFIN\Forecast\Country databases\Desk transfer databases\BE</v>
      </c>
      <c r="B19" s="3992" t="str">
        <f t="shared" si="3"/>
        <v>BE</v>
      </c>
      <c r="C19" s="3992" t="s">
        <v>2166</v>
      </c>
      <c r="D19" s="3992" t="s">
        <v>2175</v>
      </c>
      <c r="E19" s="3992" t="s">
        <v>2168</v>
      </c>
      <c r="F19" s="3992">
        <v>8</v>
      </c>
      <c r="G19" s="3992" t="s">
        <v>858</v>
      </c>
      <c r="H19" s="3992">
        <f ca="1">IF('VVP2'!H179&lt;&gt;"",'VVP2'!H179,"n.a.")</f>
        <v>105.94600805726344</v>
      </c>
      <c r="I19" s="3992">
        <f ca="1">IF('VVP2'!I179&lt;&gt;"",'VVP2'!I179,"n.a.")</f>
        <v>114.00864768240838</v>
      </c>
      <c r="J19" s="3992">
        <f ca="1">IF('VVP2'!J179&lt;&gt;"",'VVP2'!J179,"n.a.")</f>
        <v>119.40812522465124</v>
      </c>
      <c r="K19" s="3992">
        <f ca="1">IF('VVP2'!K179&lt;&gt;"",'VVP2'!K179,"n.a.")</f>
        <v>122.98781776873439</v>
      </c>
      <c r="L19" s="3992">
        <f ca="1">IF('VVP2'!L179&lt;&gt;"",'VVP2'!L179,"n.a.")</f>
        <v>138.5222330751163</v>
      </c>
      <c r="M19" s="3992">
        <f ca="1">IF('VVP2'!M179&lt;&gt;"",'VVP2'!M179,"n.a.")</f>
        <v>144.04825731262639</v>
      </c>
      <c r="N19" s="3992">
        <f ca="1">IF('VVP2'!N179&lt;&gt;"",'VVP2'!N179,"n.a.")</f>
        <v>153.76687471936629</v>
      </c>
      <c r="O19" s="3992">
        <f ca="1">IF('VVP2'!O179&lt;&gt;"",'VVP2'!O179,"n.a.")</f>
        <v>155.20271185475437</v>
      </c>
      <c r="P19" s="3992">
        <f ca="1">IF('VVP2'!P179&lt;&gt;"",'VVP2'!P179,"n.a.")</f>
        <v>163.44747433331332</v>
      </c>
      <c r="Q19" s="3992">
        <f ca="1">IF('VVP2'!Q179&lt;&gt;"",'VVP2'!Q179,"n.a.")</f>
        <v>173.73656652790152</v>
      </c>
      <c r="R19" s="3992">
        <f ca="1">IF('VVP2'!R179&lt;&gt;"",'VVP2'!R179,"n.a.")</f>
        <v>192.5781055923562</v>
      </c>
      <c r="S19" s="3992">
        <f ca="1">IF('VVP2'!S179&lt;&gt;"",'VVP2'!S179,"n.a.")</f>
        <v>207.76724128568307</v>
      </c>
      <c r="T19" s="3992">
        <f ca="1">IF('VVP2'!T179&lt;&gt;"",'VVP2'!T179,"n.a.")</f>
        <v>208.96680151897334</v>
      </c>
      <c r="U19" s="3992">
        <f ca="1">IF('VVP2'!U179&lt;&gt;"",'VVP2'!U179,"n.a.")</f>
        <v>188.43845844181811</v>
      </c>
      <c r="V19" s="3992">
        <f ca="1">IF('VVP2'!V179&lt;&gt;"",'VVP2'!V179,"n.a.")</f>
        <v>195.0203237306394</v>
      </c>
      <c r="W19" s="3992">
        <f ca="1">IF('VVP2'!W179&lt;&gt;"",'VVP2'!W179,"n.a.")</f>
        <v>223.31570999999997</v>
      </c>
      <c r="X19" s="3992">
        <f ca="1">IF('VVP2'!X179&lt;&gt;"",'VVP2'!X179,"n.a.")</f>
        <v>228.40597672781738</v>
      </c>
      <c r="Y19" s="3992">
        <f ca="1">IF('VVP2'!Y179&lt;&gt;"",'VVP2'!Y179,"n.a.")</f>
        <v>236.39311894696903</v>
      </c>
      <c r="Z19" s="3992">
        <f ca="1">IF('VVP2'!Z179&lt;&gt;"",'VVP2'!Z179,"n.a.")</f>
        <v>243.00464165699702</v>
      </c>
      <c r="AA19" s="3992">
        <f ca="1">IF('VVP2'!AA179&lt;&gt;"",'VVP2'!AA179,"n.a.")</f>
        <v>238.75308456211337</v>
      </c>
      <c r="AB19" s="3992">
        <f ca="1">IF('VVP2'!AB179&lt;&gt;"",'VVP2'!AB179,"n.a.")</f>
        <v>254.62749845929025</v>
      </c>
      <c r="AC19" s="3992">
        <f ca="1">IF('VVP2'!AC179&lt;&gt;"",'VVP2'!AC179,"n.a.")</f>
        <v>264.88255721173221</v>
      </c>
      <c r="AD19" s="3992">
        <f ca="1">IF('VVP2'!AD179&lt;&gt;"",'VVP2'!AD179,"n.a.")</f>
        <v>282.33637658999999</v>
      </c>
      <c r="AE19" s="3992">
        <f ca="1">IF('VVP2'!AE179&lt;&gt;"",'VVP2'!AE179,"n.a.")</f>
        <v>297.9063807498087</v>
      </c>
    </row>
    <row r="20" spans="1:31">
      <c r="A20" s="3992" t="str">
        <f t="shared" si="2"/>
        <v>\\DG ECFIN\Forecast\Country databases\Desk transfer databases\BE</v>
      </c>
      <c r="B20" s="3992" t="str">
        <f t="shared" si="3"/>
        <v>BE</v>
      </c>
      <c r="C20" s="3992" t="s">
        <v>2166</v>
      </c>
      <c r="D20" s="3992" t="s">
        <v>2176</v>
      </c>
      <c r="E20" s="3992" t="s">
        <v>2168</v>
      </c>
      <c r="F20" s="3992">
        <v>9</v>
      </c>
      <c r="G20" s="3992" t="s">
        <v>859</v>
      </c>
      <c r="H20" s="3992">
        <f ca="1">IF('VVP2'!H180&lt;&gt;"",'VVP2'!H180,"n.a.")</f>
        <v>26.258745233315835</v>
      </c>
      <c r="I20" s="3992">
        <f ca="1">IF('VVP2'!I180&lt;&gt;"",'VVP2'!I180,"n.a.")</f>
        <v>28.808466408527199</v>
      </c>
      <c r="J20" s="3992">
        <f ca="1">IF('VVP2'!J180&lt;&gt;"",'VVP2'!J180,"n.a.")</f>
        <v>31.155114461340109</v>
      </c>
      <c r="K20" s="3992">
        <f ca="1">IF('VVP2'!K180&lt;&gt;"",'VVP2'!K180,"n.a.")</f>
        <v>33.10454858267326</v>
      </c>
      <c r="L20" s="3992">
        <f ca="1">IF('VVP2'!L180&lt;&gt;"",'VVP2'!L180,"n.a.")</f>
        <v>36.898713130414968</v>
      </c>
      <c r="M20" s="3992">
        <f ca="1">IF('VVP2'!M180&lt;&gt;"",'VVP2'!M180,"n.a.")</f>
        <v>42.130117897755873</v>
      </c>
      <c r="N20" s="3992">
        <f ca="1">IF('VVP2'!N180&lt;&gt;"",'VVP2'!N180,"n.a.")</f>
        <v>41.887194512320541</v>
      </c>
      <c r="O20" s="3992">
        <f ca="1">IF('VVP2'!O180&lt;&gt;"",'VVP2'!O180,"n.a.")</f>
        <v>41.224219495136175</v>
      </c>
      <c r="P20" s="3992">
        <f ca="1">IF('VVP2'!P180&lt;&gt;"",'VVP2'!P180,"n.a.")</f>
        <v>42.457718851551682</v>
      </c>
      <c r="Q20" s="3992">
        <f ca="1">IF('VVP2'!Q180&lt;&gt;"",'VVP2'!Q180,"n.a.")</f>
        <v>47.069364684663789</v>
      </c>
      <c r="R20" s="3992">
        <f ca="1">IF('VVP2'!R180&lt;&gt;"",'VVP2'!R180,"n.a.")</f>
        <v>48.507221493960159</v>
      </c>
      <c r="S20" s="3992">
        <f ca="1">IF('VVP2'!S180&lt;&gt;"",'VVP2'!S180,"n.a.")</f>
        <v>53.64175492988587</v>
      </c>
      <c r="T20" s="3992">
        <f ca="1">IF('VVP2'!T180&lt;&gt;"",'VVP2'!T180,"n.a.")</f>
        <v>62.723674626972318</v>
      </c>
      <c r="U20" s="3992">
        <f ca="1">IF('VVP2'!U180&lt;&gt;"",'VVP2'!U180,"n.a.")</f>
        <v>67.131827980069914</v>
      </c>
      <c r="V20" s="3992">
        <f ca="1">IF('VVP2'!V180&lt;&gt;"",'VVP2'!V180,"n.a.")</f>
        <v>71.698166066440308</v>
      </c>
      <c r="W20" s="3992">
        <f ca="1">IF('VVP2'!W180&lt;&gt;"",'VVP2'!W180,"n.a.")</f>
        <v>74.54871</v>
      </c>
      <c r="X20" s="3992">
        <f ca="1">IF('VVP2'!X180&lt;&gt;"",'VVP2'!X180,"n.a.")</f>
        <v>82.125341593234793</v>
      </c>
      <c r="Y20" s="3992">
        <f ca="1">IF('VVP2'!Y180&lt;&gt;"",'VVP2'!Y180,"n.a.")</f>
        <v>85.377026523281558</v>
      </c>
      <c r="Z20" s="3992">
        <f ca="1">IF('VVP2'!Z180&lt;&gt;"",'VVP2'!Z180,"n.a.")</f>
        <v>94.28031663675209</v>
      </c>
      <c r="AA20" s="3992">
        <f ca="1">IF('VVP2'!AA180&lt;&gt;"",'VVP2'!AA180,"n.a.")</f>
        <v>102.836107473315</v>
      </c>
      <c r="AB20" s="3992">
        <f ca="1">IF('VVP2'!AB180&lt;&gt;"",'VVP2'!AB180,"n.a.")</f>
        <v>101.78299912533554</v>
      </c>
      <c r="AC20" s="3992">
        <f ca="1">IF('VVP2'!AC180&lt;&gt;"",'VVP2'!AC180,"n.a.")</f>
        <v>101.48708646521402</v>
      </c>
      <c r="AD20" s="3992">
        <f ca="1">IF('VVP2'!AD180&lt;&gt;"",'VVP2'!AD180,"n.a.")</f>
        <v>107.5108068</v>
      </c>
      <c r="AE20" s="3992">
        <f ca="1">IF('VVP2'!AE180&lt;&gt;"",'VVP2'!AE180,"n.a.")</f>
        <v>113.14652329245601</v>
      </c>
    </row>
    <row r="21" spans="1:31">
      <c r="A21" s="3992" t="str">
        <f t="shared" si="2"/>
        <v>\\DG ECFIN\Forecast\Country databases\Desk transfer databases\BE</v>
      </c>
      <c r="B21" s="3992" t="str">
        <f t="shared" si="3"/>
        <v>BE</v>
      </c>
      <c r="C21" s="3992" t="s">
        <v>2166</v>
      </c>
      <c r="D21" s="3992" t="s">
        <v>2177</v>
      </c>
      <c r="E21" s="3992" t="s">
        <v>2168</v>
      </c>
      <c r="F21" s="3992">
        <v>10</v>
      </c>
      <c r="G21" s="3992" t="s">
        <v>222</v>
      </c>
      <c r="H21" s="3992">
        <f ca="1">IF('VVP2'!H181&lt;&gt;"",'VVP2'!H181,"n.a.")</f>
        <v>100.59548174035191</v>
      </c>
      <c r="I21" s="3992">
        <f ca="1">IF('VVP2'!I181&lt;&gt;"",'VVP2'!I181,"n.a.")</f>
        <v>107.98570758533567</v>
      </c>
      <c r="J21" s="3992">
        <f ca="1">IF('VVP2'!J181&lt;&gt;"",'VVP2'!J181,"n.a.")</f>
        <v>114.69448496949653</v>
      </c>
      <c r="K21" s="3992">
        <f ca="1">IF('VVP2'!K181&lt;&gt;"",'VVP2'!K181,"n.a.")</f>
        <v>113.59657909734078</v>
      </c>
      <c r="L21" s="3992">
        <f ca="1">IF('VVP2'!L181&lt;&gt;"",'VVP2'!L181,"n.a.")</f>
        <v>130.7266344997665</v>
      </c>
      <c r="M21" s="3992">
        <f ca="1">IF('VVP2'!M181&lt;&gt;"",'VVP2'!M181,"n.a.")</f>
        <v>137.30723208446096</v>
      </c>
      <c r="N21" s="3992">
        <f ca="1">IF('VVP2'!N181&lt;&gt;"",'VVP2'!N181,"n.a.")</f>
        <v>141.56656822528527</v>
      </c>
      <c r="O21" s="3992">
        <f ca="1">IF('VVP2'!O181&lt;&gt;"",'VVP2'!O181,"n.a.")</f>
        <v>141.16491985368043</v>
      </c>
      <c r="P21" s="3992">
        <f ca="1">IF('VVP2'!P181&lt;&gt;"",'VVP2'!P181,"n.a.")</f>
        <v>150.66043388141867</v>
      </c>
      <c r="Q21" s="3992">
        <f ca="1">IF('VVP2'!Q181&lt;&gt;"",'VVP2'!Q181,"n.a.")</f>
        <v>167.04297843995391</v>
      </c>
      <c r="R21" s="3992">
        <f ca="1">IF('VVP2'!R181&lt;&gt;"",'VVP2'!R181,"n.a.")</f>
        <v>184.24221783541211</v>
      </c>
      <c r="S21" s="3992">
        <f ca="1">IF('VVP2'!S181&lt;&gt;"",'VVP2'!S181,"n.a.")</f>
        <v>200.76595515846228</v>
      </c>
      <c r="T21" s="3992">
        <f ca="1">IF('VVP2'!T181&lt;&gt;"",'VVP2'!T181,"n.a.")</f>
        <v>206.87717362483048</v>
      </c>
      <c r="U21" s="3992">
        <f ca="1">IF('VVP2'!U181&lt;&gt;"",'VVP2'!U181,"n.a.")</f>
        <v>194.45700500875779</v>
      </c>
      <c r="V21" s="3992">
        <f ca="1">IF('VVP2'!V181&lt;&gt;"",'VVP2'!V181,"n.a.")</f>
        <v>192.68668409008131</v>
      </c>
      <c r="W21" s="3992">
        <f ca="1">IF('VVP2'!W181&lt;&gt;"",'VVP2'!W181,"n.a.")</f>
        <v>224.11451</v>
      </c>
      <c r="X21" s="3992">
        <f ca="1">IF('VVP2'!X181&lt;&gt;"",'VVP2'!X181,"n.a.")</f>
        <v>231.87233783229831</v>
      </c>
      <c r="Y21" s="3992">
        <f ca="1">IF('VVP2'!Y181&lt;&gt;"",'VVP2'!Y181,"n.a.")</f>
        <v>239.00370214349385</v>
      </c>
      <c r="Z21" s="3992">
        <f ca="1">IF('VVP2'!Z181&lt;&gt;"",'VVP2'!Z181,"n.a.")</f>
        <v>246.69048873296228</v>
      </c>
      <c r="AA21" s="3992">
        <f ca="1">IF('VVP2'!AA181&lt;&gt;"",'VVP2'!AA181,"n.a.")</f>
        <v>242.76138902943111</v>
      </c>
      <c r="AB21" s="3992">
        <f ca="1">IF('VVP2'!AB181&lt;&gt;"",'VVP2'!AB181,"n.a.")</f>
        <v>255.2001013892507</v>
      </c>
      <c r="AC21" s="3992">
        <f ca="1">IF('VVP2'!AC181&lt;&gt;"",'VVP2'!AC181,"n.a.")</f>
        <v>259.63473694827366</v>
      </c>
      <c r="AD21" s="3992">
        <f ca="1">IF('VVP2'!AD181&lt;&gt;"",'VVP2'!AD181,"n.a.")</f>
        <v>278.27703880000001</v>
      </c>
      <c r="AE21" s="3992">
        <f ca="1">IF('VVP2'!AE181&lt;&gt;"",'VVP2'!AE181,"n.a.")</f>
        <v>294.63499797178042</v>
      </c>
    </row>
    <row r="22" spans="1:31">
      <c r="A22" s="3992" t="str">
        <f t="shared" si="2"/>
        <v>\\DG ECFIN\Forecast\Country databases\Desk transfer databases\BE</v>
      </c>
      <c r="B22" s="3992" t="str">
        <f t="shared" si="3"/>
        <v>BE</v>
      </c>
      <c r="C22" s="3992" t="s">
        <v>2166</v>
      </c>
      <c r="D22" s="3992" t="s">
        <v>2178</v>
      </c>
      <c r="E22" s="3992" t="s">
        <v>2168</v>
      </c>
      <c r="F22" s="3992">
        <v>11</v>
      </c>
      <c r="G22" s="3992" t="s">
        <v>1995</v>
      </c>
      <c r="H22" s="3992">
        <f ca="1">IF('VVP2'!H182&lt;&gt;"",'VVP2'!H182,"n.a.")</f>
        <v>24.426733987832783</v>
      </c>
      <c r="I22" s="3992">
        <f ca="1">IF('VVP2'!I182&lt;&gt;"",'VVP2'!I182,"n.a.")</f>
        <v>26.658944536507857</v>
      </c>
      <c r="J22" s="3992">
        <f ca="1">IF('VVP2'!J182&lt;&gt;"",'VVP2'!J182,"n.a.")</f>
        <v>28.771225527583464</v>
      </c>
      <c r="K22" s="3992">
        <f ca="1">IF('VVP2'!K182&lt;&gt;"",'VVP2'!K182,"n.a.")</f>
        <v>31.895488801331702</v>
      </c>
      <c r="L22" s="3992">
        <f ca="1">IF('VVP2'!L182&lt;&gt;"",'VVP2'!L182,"n.a.")</f>
        <v>35.33248088710922</v>
      </c>
      <c r="M22" s="3992">
        <f ca="1">IF('VVP2'!M182&lt;&gt;"",'VVP2'!M182,"n.a.")</f>
        <v>40.206195931784436</v>
      </c>
      <c r="N22" s="3992">
        <f ca="1">IF('VVP2'!N182&lt;&gt;"",'VVP2'!N182,"n.a.")</f>
        <v>39.944166417464331</v>
      </c>
      <c r="O22" s="3992">
        <f ca="1">IF('VVP2'!O182&lt;&gt;"",'VVP2'!O182,"n.a.")</f>
        <v>39.741291174976176</v>
      </c>
      <c r="P22" s="3992">
        <f ca="1">IF('VVP2'!P182&lt;&gt;"",'VVP2'!P182,"n.a.")</f>
        <v>39.765933411136196</v>
      </c>
      <c r="Q22" s="3992">
        <f ca="1">IF('VVP2'!Q182&lt;&gt;"",'VVP2'!Q182,"n.a.")</f>
        <v>41.29410076343413</v>
      </c>
      <c r="R22" s="3992">
        <f ca="1">IF('VVP2'!R182&lt;&gt;"",'VVP2'!R182,"n.a.")</f>
        <v>43.352158514668552</v>
      </c>
      <c r="S22" s="3992">
        <f ca="1">IF('VVP2'!S182&lt;&gt;"",'VVP2'!S182,"n.a.")</f>
        <v>48.140154719873337</v>
      </c>
      <c r="T22" s="3992">
        <f ca="1">IF('VVP2'!T182&lt;&gt;"",'VVP2'!T182,"n.a.")</f>
        <v>56.112829030231993</v>
      </c>
      <c r="U22" s="3992">
        <f ca="1">IF('VVP2'!U182&lt;&gt;"",'VVP2'!U182,"n.a.")</f>
        <v>60.441396229194751</v>
      </c>
      <c r="V22" s="3992">
        <f ca="1">IF('VVP2'!V182&lt;&gt;"",'VVP2'!V182,"n.a.")</f>
        <v>63.667621204243808</v>
      </c>
      <c r="W22" s="3992">
        <f ca="1">IF('VVP2'!W182&lt;&gt;"",'VVP2'!W182,"n.a.")</f>
        <v>68.365110000000001</v>
      </c>
      <c r="X22" s="3992">
        <f ca="1">IF('VVP2'!X182&lt;&gt;"",'VVP2'!X182,"n.a.")</f>
        <v>75.945344417115692</v>
      </c>
      <c r="Y22" s="3992">
        <f ca="1">IF('VVP2'!Y182&lt;&gt;"",'VVP2'!Y182,"n.a.")</f>
        <v>78.625346304678388</v>
      </c>
      <c r="Z22" s="3992">
        <f ca="1">IF('VVP2'!Z182&lt;&gt;"",'VVP2'!Z182,"n.a.")</f>
        <v>88.693264063103058</v>
      </c>
      <c r="AA22" s="3992">
        <f ca="1">IF('VVP2'!AA182&lt;&gt;"",'VVP2'!AA182,"n.a.")</f>
        <v>96.197386990039504</v>
      </c>
      <c r="AB22" s="3992">
        <f ca="1">IF('VVP2'!AB182&lt;&gt;"",'VVP2'!AB182,"n.a.")</f>
        <v>97.97420407382883</v>
      </c>
      <c r="AC22" s="3992">
        <f ca="1">IF('VVP2'!AC182&lt;&gt;"",'VVP2'!AC182,"n.a.")</f>
        <v>99.408462267794008</v>
      </c>
      <c r="AD22" s="3992">
        <f ca="1">IF('VVP2'!AD182&lt;&gt;"",'VVP2'!AD182,"n.a.")</f>
        <v>105.88078865</v>
      </c>
      <c r="AE22" s="3992">
        <f ca="1">IF('VVP2'!AE182&lt;&gt;"",'VVP2'!AE182,"n.a.")</f>
        <v>110.84289181008225</v>
      </c>
    </row>
    <row r="23" spans="1:31">
      <c r="A23" s="3992" t="str">
        <f t="shared" si="2"/>
        <v>\\DG ECFIN\Forecast\Country databases\Desk transfer databases\BE</v>
      </c>
      <c r="B23" s="3992" t="str">
        <f t="shared" si="3"/>
        <v>BE</v>
      </c>
      <c r="C23" s="3992" t="s">
        <v>2166</v>
      </c>
      <c r="D23" s="3992" t="s">
        <v>2179</v>
      </c>
      <c r="E23" s="3992" t="s">
        <v>2168</v>
      </c>
      <c r="F23" s="3992">
        <v>12</v>
      </c>
      <c r="G23" s="3992" t="s">
        <v>1997</v>
      </c>
      <c r="H23" s="3992">
        <f ca="1">IF('VVP2'!H183&lt;&gt;"",'VVP2'!H183,"n.a.")</f>
        <v>203.21269044101032</v>
      </c>
      <c r="I23" s="3992">
        <f ca="1">IF('VVP2'!I183&lt;&gt;"",'VVP2'!I183,"n.a.")</f>
        <v>223.95483085013774</v>
      </c>
      <c r="J23" s="3992">
        <f ca="1">IF('VVP2'!J183&lt;&gt;"",'VVP2'!J183,"n.a.")</f>
        <v>230.43219639859669</v>
      </c>
      <c r="K23" s="3992">
        <f ca="1">IF('VVP2'!K183&lt;&gt;"",'VVP2'!K183,"n.a.")</f>
        <v>242.84519359742927</v>
      </c>
      <c r="L23" s="3992">
        <f ca="1">IF('VVP2'!L183&lt;&gt;"",'VVP2'!L183,"n.a.")</f>
        <v>253.10032478295696</v>
      </c>
      <c r="M23" s="3992">
        <f ca="1">IF('VVP2'!M183&lt;&gt;"",'VVP2'!M183,"n.a.")</f>
        <v>260.31758912503886</v>
      </c>
      <c r="N23" s="3992">
        <f ca="1">IF('VVP2'!N183&lt;&gt;"",'VVP2'!N183,"n.a.")</f>
        <v>270.52077820608196</v>
      </c>
      <c r="O23" s="3992">
        <f ca="1">IF('VVP2'!O183&lt;&gt;"",'VVP2'!O183,"n.a.")</f>
        <v>277.19520878776041</v>
      </c>
      <c r="P23" s="3992">
        <f ca="1">IF('VVP2'!P183&lt;&gt;"",'VVP2'!P183,"n.a.")</f>
        <v>292.90991631793946</v>
      </c>
      <c r="Q23" s="3992">
        <f ca="1">IF('VVP2'!Q183&lt;&gt;"",'VVP2'!Q183,"n.a.")</f>
        <v>304.96661302528372</v>
      </c>
      <c r="R23" s="3992">
        <f ca="1">IF('VVP2'!R183&lt;&gt;"",'VVP2'!R183,"n.a.")</f>
        <v>319.28694943802981</v>
      </c>
      <c r="S23" s="3992">
        <f ca="1">IF('VVP2'!S183&lt;&gt;"",'VVP2'!S183,"n.a.")</f>
        <v>337.92858974795155</v>
      </c>
      <c r="T23" s="3992">
        <f ca="1">IF('VVP2'!T183&lt;&gt;"",'VVP2'!T183,"n.a.")</f>
        <v>347.41219180320513</v>
      </c>
      <c r="U23" s="3992">
        <f ca="1">IF('VVP2'!U183&lt;&gt;"",'VVP2'!U183,"n.a.")</f>
        <v>346.08818150138626</v>
      </c>
      <c r="V23" s="3992">
        <f ca="1">IF('VVP2'!V183&lt;&gt;"",'VVP2'!V183,"n.a.")</f>
        <v>358.3523937062489</v>
      </c>
      <c r="W23" s="3992">
        <f ca="1">IF('VVP2'!W183&lt;&gt;"",'VVP2'!W183,"n.a.")</f>
        <v>371.66611</v>
      </c>
      <c r="X23" s="3992">
        <f ca="1">IF('VVP2'!X183&lt;&gt;"",'VVP2'!X183,"n.a.")</f>
        <v>379.99642932537216</v>
      </c>
      <c r="Y23" s="3992">
        <f ca="1">IF('VVP2'!Y183&lt;&gt;"",'VVP2'!Y183,"n.a.")</f>
        <v>388.27761994711852</v>
      </c>
      <c r="Z23" s="3992">
        <f ca="1">IF('VVP2'!Z183&lt;&gt;"",'VVP2'!Z183,"n.a.")</f>
        <v>397.64201600664813</v>
      </c>
      <c r="AA23" s="3992">
        <f ca="1">IF('VVP2'!AA183&lt;&gt;"",'VVP2'!AA183,"n.a.")</f>
        <v>405.91022792599148</v>
      </c>
      <c r="AB23" s="3992">
        <f ca="1">IF('VVP2'!AB183&lt;&gt;"",'VVP2'!AB183,"n.a.")</f>
        <v>416.45220113357516</v>
      </c>
      <c r="AC23" s="3992">
        <f ca="1">IF('VVP2'!AC183&lt;&gt;"",'VVP2'!AC183,"n.a.")</f>
        <v>430.18314423750496</v>
      </c>
      <c r="AD23" s="3992">
        <f ca="1">IF('VVP2'!AD183&lt;&gt;"",'VVP2'!AD183,"n.a.")</f>
        <v>446.4138479400001</v>
      </c>
      <c r="AE23" s="3992">
        <f ca="1">IF('VVP2'!AE183&lt;&gt;"",'VVP2'!AE183,"n.a.")</f>
        <v>461.22959233726021</v>
      </c>
    </row>
    <row r="24" spans="1:31">
      <c r="A24" s="3992" t="str">
        <f t="shared" si="2"/>
        <v>\\DG ECFIN\Forecast\Country databases\Desk transfer databases\BE</v>
      </c>
      <c r="B24" s="3992" t="str">
        <f t="shared" si="3"/>
        <v>BE</v>
      </c>
      <c r="C24" s="3992" t="s">
        <v>2166</v>
      </c>
      <c r="D24" s="3992" t="s">
        <v>2180</v>
      </c>
      <c r="E24" s="3992" t="s">
        <v>2168</v>
      </c>
      <c r="F24" s="3992">
        <v>28</v>
      </c>
      <c r="G24" s="3992" t="s">
        <v>1947</v>
      </c>
      <c r="H24" s="3992">
        <f ca="1">IF('VVP2'!H184&lt;&gt;"",'VVP2'!H184,"n.a.")</f>
        <v>4.4982980810410149</v>
      </c>
      <c r="I24" s="3992">
        <f ca="1">IF('VVP2'!I184&lt;&gt;"",'VVP2'!I184,"n.a.")</f>
        <v>4.9722</v>
      </c>
      <c r="J24" s="3992">
        <f ca="1">IF('VVP2'!J184&lt;&gt;"",'VVP2'!J184,"n.a.")</f>
        <v>5.0324000000000009</v>
      </c>
      <c r="K24" s="3992">
        <f ca="1">IF('VVP2'!K184&lt;&gt;"",'VVP2'!K184,"n.a.")</f>
        <v>5.9561999999999999</v>
      </c>
      <c r="L24" s="3992">
        <f ca="1">IF('VVP2'!L184&lt;&gt;"",'VVP2'!L184,"n.a.")</f>
        <v>6.2696999999999994</v>
      </c>
      <c r="M24" s="3992">
        <f ca="1">IF('VVP2'!M184&lt;&gt;"",'VVP2'!M184,"n.a.")</f>
        <v>5.7919999999999998</v>
      </c>
      <c r="N24" s="3992">
        <f ca="1">IF('VVP2'!N184&lt;&gt;"",'VVP2'!N184,"n.a.")</f>
        <v>5.8331</v>
      </c>
      <c r="O24" s="3992">
        <f ca="1">IF('VVP2'!O184&lt;&gt;"",'VVP2'!O184,"n.a.")</f>
        <v>6.0922999999999998</v>
      </c>
      <c r="P24" s="3992">
        <f ca="1">IF('VVP2'!P184&lt;&gt;"",'VVP2'!P184,"n.a.")</f>
        <v>6.1935000000000002</v>
      </c>
      <c r="Q24" s="3992">
        <f ca="1">IF('VVP2'!Q184&lt;&gt;"",'VVP2'!Q184,"n.a.")</f>
        <v>6.624200000000001</v>
      </c>
      <c r="R24" s="3992">
        <f ca="1">IF('VVP2'!R184&lt;&gt;"",'VVP2'!R184,"n.a.")</f>
        <v>6.4175000000000004</v>
      </c>
      <c r="S24" s="3992">
        <f ca="1">IF('VVP2'!S184&lt;&gt;"",'VVP2'!S184,"n.a.")</f>
        <v>7.0301000000000009</v>
      </c>
      <c r="T24" s="3992">
        <f ca="1">IF('VVP2'!T184&lt;&gt;"",'VVP2'!T184,"n.a.")</f>
        <v>7.4166999999999996</v>
      </c>
      <c r="U24" s="3992">
        <f ca="1">IF('VVP2'!U184&lt;&gt;"",'VVP2'!U184,"n.a.")</f>
        <v>8.1306000000000012</v>
      </c>
      <c r="V24" s="3992">
        <f ca="1">IF('VVP2'!V184&lt;&gt;"",'VVP2'!V184,"n.a.")</f>
        <v>8.3940000000000001</v>
      </c>
      <c r="W24" s="3992">
        <f ca="1">IF('VVP2'!W184&lt;&gt;"",'VVP2'!W184,"n.a.")</f>
        <v>9.2747000000000011</v>
      </c>
      <c r="X24" s="3992">
        <f ca="1">IF('VVP2'!X184&lt;&gt;"",'VVP2'!X184,"n.a.")</f>
        <v>9.6434999999999995</v>
      </c>
      <c r="Y24" s="3992">
        <f ca="1">IF('VVP2'!Y184&lt;&gt;"",'VVP2'!Y184,"n.a.")</f>
        <v>9.2502999999999993</v>
      </c>
      <c r="Z24" s="3992">
        <f ca="1">IF('VVP2'!Z184&lt;&gt;"",'VVP2'!Z184,"n.a.")</f>
        <v>9.57</v>
      </c>
      <c r="AA24" s="3992">
        <f ca="1">IF('VVP2'!AA184&lt;&gt;"",'VVP2'!AA184,"n.a.")</f>
        <v>9.4234923678160918</v>
      </c>
      <c r="AB24" s="3992">
        <f ca="1">IF('VVP2'!AB184&lt;&gt;"",'VVP2'!AB184,"n.a.")</f>
        <v>9.1993135450966541</v>
      </c>
      <c r="AC24" s="3992">
        <f ca="1">IF('VVP2'!AC184&lt;&gt;"",'VVP2'!AC184,"n.a.")</f>
        <v>9.6074332499999997</v>
      </c>
      <c r="AD24" s="3992">
        <f ca="1">IF('VVP2'!AD184&lt;&gt;"",'VVP2'!AD184,"n.a.")</f>
        <v>10.700291960000001</v>
      </c>
      <c r="AE24" s="3992">
        <f ca="1">IF('VVP2'!AE184&lt;&gt;"",'VVP2'!AE184,"n.a.")</f>
        <v>11.4694289460848</v>
      </c>
    </row>
    <row r="25" spans="1:31">
      <c r="A25" s="3992" t="str">
        <f t="shared" si="2"/>
        <v>\\DG ECFIN\Forecast\Country databases\Desk transfer databases\BE</v>
      </c>
      <c r="B25" s="3992" t="str">
        <f t="shared" si="3"/>
        <v>BE</v>
      </c>
      <c r="C25" s="3992" t="s">
        <v>2166</v>
      </c>
      <c r="D25" s="3992" t="s">
        <v>2181</v>
      </c>
      <c r="E25" s="3992" t="s">
        <v>2168</v>
      </c>
      <c r="F25" s="3992">
        <v>31</v>
      </c>
      <c r="G25" s="3992" t="s">
        <v>715</v>
      </c>
      <c r="H25" s="3992">
        <f ca="1">IF('VVP2'!H185&lt;&gt;"",'VVP2'!H185,"n.a.")</f>
        <v>10.760395508690213</v>
      </c>
      <c r="I25" s="3992">
        <f ca="1">IF('VVP2'!I185&lt;&gt;"",'VVP2'!I185,"n.a.")</f>
        <v>12.652803936617079</v>
      </c>
      <c r="J25" s="3992">
        <f ca="1">IF('VVP2'!J185&lt;&gt;"",'VVP2'!J185,"n.a.")</f>
        <v>12.221694109067879</v>
      </c>
      <c r="K25" s="3992">
        <f ca="1">IF('VVP2'!K185&lt;&gt;"",'VVP2'!K185,"n.a.")</f>
        <v>12.682892868231651</v>
      </c>
      <c r="L25" s="3992">
        <f ca="1">IF('VVP2'!L185&lt;&gt;"",'VVP2'!L185,"n.a.")</f>
        <v>12.926913154246622</v>
      </c>
      <c r="M25" s="3992">
        <f ca="1">IF('VVP2'!M185&lt;&gt;"",'VVP2'!M185,"n.a.")</f>
        <v>13.027045737078055</v>
      </c>
      <c r="N25" s="3992">
        <f ca="1">IF('VVP2'!N185&lt;&gt;"",'VVP2'!N185,"n.a.")</f>
        <v>12.729289700623347</v>
      </c>
      <c r="O25" s="3992">
        <f ca="1">IF('VVP2'!O185&lt;&gt;"",'VVP2'!O185,"n.a.")</f>
        <v>13.431249534057526</v>
      </c>
      <c r="P25" s="3992">
        <f ca="1">IF('VVP2'!P185&lt;&gt;"",'VVP2'!P185,"n.a.")</f>
        <v>14.80540191782373</v>
      </c>
      <c r="Q25" s="3992">
        <f ca="1">IF('VVP2'!Q185&lt;&gt;"",'VVP2'!Q185,"n.a.")</f>
        <v>17.149358087323929</v>
      </c>
      <c r="R25" s="3992">
        <f ca="1">IF('VVP2'!R185&lt;&gt;"",'VVP2'!R185,"n.a.")</f>
        <v>19.195519094549347</v>
      </c>
      <c r="S25" s="3992">
        <f ca="1">IF('VVP2'!S185&lt;&gt;"",'VVP2'!S185,"n.a.")</f>
        <v>20.875904014249183</v>
      </c>
      <c r="T25" s="3992">
        <f ca="1">IF('VVP2'!T185&lt;&gt;"",'VVP2'!T185,"n.a.")</f>
        <v>21.500936795136912</v>
      </c>
      <c r="U25" s="3992">
        <f ca="1">IF('VVP2'!U185&lt;&gt;"",'VVP2'!U185,"n.a.")</f>
        <v>21.167268403498714</v>
      </c>
      <c r="V25" s="3992">
        <f ca="1">IF('VVP2'!V185&lt;&gt;"",'VVP2'!V185,"n.a.")</f>
        <v>21.995653623745781</v>
      </c>
      <c r="W25" s="3992">
        <f ca="1">IF('VVP2'!W185&lt;&gt;"",'VVP2'!W185,"n.a.")</f>
        <v>21.812339999999999</v>
      </c>
      <c r="X25" s="3992">
        <f ca="1">IF('VVP2'!X185&lt;&gt;"",'VVP2'!X185,"n.a.")</f>
        <v>22.186612602224248</v>
      </c>
      <c r="Y25" s="3992">
        <f ca="1">IF('VVP2'!Y185&lt;&gt;"",'VVP2'!Y185,"n.a.")</f>
        <v>22.090692609894582</v>
      </c>
      <c r="Z25" s="3992">
        <f ca="1">IF('VVP2'!Z185&lt;&gt;"",'VVP2'!Z185,"n.a.")</f>
        <v>23.69975592632381</v>
      </c>
      <c r="AA25" s="3992">
        <f ca="1">IF('VVP2'!AA185&lt;&gt;"",'VVP2'!AA185,"n.a.")</f>
        <v>23.91927310440213</v>
      </c>
      <c r="AB25" s="3992">
        <f ca="1">IF('VVP2'!AB185&lt;&gt;"",'VVP2'!AB185,"n.a.")</f>
        <v>24.719898297884487</v>
      </c>
      <c r="AC25" s="3992">
        <f ca="1">IF('VVP2'!AC185&lt;&gt;"",'VVP2'!AC185,"n.a.")</f>
        <v>24.89879792551887</v>
      </c>
      <c r="AD25" s="3992">
        <f ca="1">IF('VVP2'!AD185&lt;&gt;"",'VVP2'!AD185,"n.a.")</f>
        <v>25.413658999999996</v>
      </c>
      <c r="AE25" s="3992">
        <f ca="1">IF('VVP2'!AE185&lt;&gt;"",'VVP2'!AE185,"n.a.")</f>
        <v>25.847470159129994</v>
      </c>
    </row>
    <row r="26" spans="1:31">
      <c r="A26" s="3992" t="str">
        <f t="shared" si="2"/>
        <v>\\DG ECFIN\Forecast\Country databases\Desk transfer databases\BE</v>
      </c>
      <c r="B26" s="3992" t="str">
        <f t="shared" si="3"/>
        <v>BE</v>
      </c>
      <c r="C26" s="3992" t="s">
        <v>2166</v>
      </c>
      <c r="D26" s="3992" t="s">
        <v>2182</v>
      </c>
      <c r="E26" s="3992" t="s">
        <v>2168</v>
      </c>
      <c r="F26" s="3992">
        <v>33</v>
      </c>
      <c r="G26" s="3992" t="s">
        <v>1799</v>
      </c>
      <c r="H26" s="3992">
        <f>IF('VVP2'!H213&lt;&gt;"",'VVP2'!H213,"n.a.")</f>
        <v>11.7471</v>
      </c>
      <c r="I26" s="3992">
        <f>IF('VVP2'!I213&lt;&gt;"",'VVP2'!I213,"n.a.")</f>
        <v>12.8086</v>
      </c>
      <c r="J26" s="3992">
        <f>IF('VVP2'!J213&lt;&gt;"",'VVP2'!J213,"n.a.")</f>
        <v>12.363200000000001</v>
      </c>
      <c r="K26" s="3992">
        <f>IF('VVP2'!K213&lt;&gt;"",'VVP2'!K213,"n.a.")</f>
        <v>12.9214</v>
      </c>
      <c r="L26" s="3992">
        <f>IF('VVP2'!L213&lt;&gt;"",'VVP2'!L213,"n.a.")</f>
        <v>13.3124</v>
      </c>
      <c r="M26" s="3992">
        <f>IF('VVP2'!M213&lt;&gt;"",'VVP2'!M213,"n.a.")</f>
        <v>13.389200000000001</v>
      </c>
      <c r="N26" s="3992">
        <f>IF('VVP2'!N213&lt;&gt;"",'VVP2'!N213,"n.a.")</f>
        <v>13.0046</v>
      </c>
      <c r="O26" s="3992">
        <f>IF('VVP2'!O213&lt;&gt;"",'VVP2'!O213,"n.a.")</f>
        <v>13.775499999999999</v>
      </c>
      <c r="P26" s="3992">
        <f>IF('VVP2'!P213&lt;&gt;"",'VVP2'!P213,"n.a.")</f>
        <v>15.5686</v>
      </c>
      <c r="Q26" s="3992">
        <f>IF('VVP2'!Q213&lt;&gt;"",'VVP2'!Q213,"n.a.")</f>
        <v>17.950800000000001</v>
      </c>
      <c r="R26" s="3992">
        <f>IF('VVP2'!R213&lt;&gt;"",'VVP2'!R213,"n.a.")</f>
        <v>20.279400000000003</v>
      </c>
      <c r="S26" s="3992">
        <f>IF('VVP2'!S213&lt;&gt;"",'VVP2'!S213,"n.a.")</f>
        <v>21.810299999999998</v>
      </c>
      <c r="T26" s="3992">
        <f>IF('VVP2'!T213&lt;&gt;"",'VVP2'!T213,"n.a.")</f>
        <v>23.168700000000001</v>
      </c>
      <c r="U26" s="3992">
        <f>IF('VVP2'!U213&lt;&gt;"",'VVP2'!U213,"n.a.")</f>
        <v>21.4297</v>
      </c>
      <c r="V26" s="3992">
        <f>IF('VVP2'!V213&lt;&gt;"",'VVP2'!V213,"n.a.")</f>
        <v>22.3383</v>
      </c>
      <c r="W26" s="3992">
        <f>IF('VVP2'!W213&lt;&gt;"",'VVP2'!W213,"n.a.")</f>
        <v>22.138200000000001</v>
      </c>
      <c r="X26" s="3992">
        <f>IF('VVP2'!X213&lt;&gt;"",'VVP2'!X213,"n.a.")</f>
        <v>22.8536</v>
      </c>
      <c r="Y26" s="3992">
        <f>IF('VVP2'!Y213&lt;&gt;"",'VVP2'!Y213,"n.a.")</f>
        <v>22.451499999999999</v>
      </c>
      <c r="Z26" s="3992">
        <f>IF('VVP2'!Z213&lt;&gt;"",'VVP2'!Z213,"n.a.")</f>
        <v>23.790099999999999</v>
      </c>
      <c r="AA26" s="3992">
        <f>IF('VVP2'!AA213&lt;&gt;"",'VVP2'!AA213,"n.a.")</f>
        <v>23.9801</v>
      </c>
      <c r="AB26" s="3992">
        <f>IF('VVP2'!AB213&lt;&gt;"",'VVP2'!AB213,"n.a.")</f>
        <v>24.786200000000001</v>
      </c>
      <c r="AC26" s="3992">
        <f>IF('VVP2'!AC213&lt;&gt;"",'VVP2'!AC213,"n.a.")</f>
        <v>25.236999999999998</v>
      </c>
      <c r="AD26" s="3992">
        <f ca="1">IF('VVP2'!AD213&lt;&gt;"",'VVP2'!AD213,"n.a.")</f>
        <v>25.667795589999997</v>
      </c>
      <c r="AE26" s="3992">
        <f ca="1">IF('VVP2'!AE213&lt;&gt;"",'VVP2'!AE213,"n.a.")</f>
        <v>26.157639801039554</v>
      </c>
    </row>
    <row r="27" spans="1:31">
      <c r="A27" s="3992" t="str">
        <f t="shared" si="2"/>
        <v>\\DG ECFIN\Forecast\Country databases\Desk transfer databases\BE</v>
      </c>
      <c r="B27" s="3992" t="str">
        <f t="shared" si="3"/>
        <v>BE</v>
      </c>
      <c r="C27" s="3992" t="s">
        <v>2166</v>
      </c>
      <c r="D27" s="3992" t="s">
        <v>2183</v>
      </c>
      <c r="E27" s="3992" t="s">
        <v>2168</v>
      </c>
      <c r="F27" s="3992">
        <v>36</v>
      </c>
      <c r="G27" s="3992" t="s">
        <v>875</v>
      </c>
      <c r="H27" s="3992">
        <f>IF('VVP2'!H192&lt;&gt;"",'VVP2'!H192,"n.a.")</f>
        <v>116.6069</v>
      </c>
      <c r="I27" s="3992">
        <f>IF('VVP2'!I192&lt;&gt;"",'VVP2'!I192,"n.a.")</f>
        <v>120.49119999999999</v>
      </c>
      <c r="J27" s="3992">
        <f>IF('VVP2'!J192&lt;&gt;"",'VVP2'!J192,"n.a.")</f>
        <v>125.2568</v>
      </c>
      <c r="K27" s="3992">
        <f>IF('VVP2'!K192&lt;&gt;"",'VVP2'!K192,"n.a.")</f>
        <v>128.14839999999998</v>
      </c>
      <c r="L27" s="3992">
        <f>IF('VVP2'!L192&lt;&gt;"",'VVP2'!L192,"n.a.")</f>
        <v>136.1028</v>
      </c>
      <c r="M27" s="3992">
        <f>IF('VVP2'!M192&lt;&gt;"",'VVP2'!M192,"n.a.")</f>
        <v>140.29089999999999</v>
      </c>
      <c r="N27" s="3992">
        <f>IF('VVP2'!N192&lt;&gt;"",'VVP2'!N192,"n.a.")</f>
        <v>142.79829999999998</v>
      </c>
      <c r="O27" s="3992">
        <f>IF('VVP2'!O192&lt;&gt;"",'VVP2'!O192,"n.a.")</f>
        <v>145.8004</v>
      </c>
      <c r="P27" s="3992">
        <f>IF('VVP2'!P192&lt;&gt;"",'VVP2'!P192,"n.a.")</f>
        <v>151.649</v>
      </c>
      <c r="Q27" s="3992">
        <f>IF('VVP2'!Q192&lt;&gt;"",'VVP2'!Q192,"n.a.")</f>
        <v>157.66120000000001</v>
      </c>
      <c r="R27" s="3992">
        <f>IF('VVP2'!R192&lt;&gt;"",'VVP2'!R192,"n.a.")</f>
        <v>164.9487</v>
      </c>
      <c r="S27" s="3992">
        <f>IF('VVP2'!S192&lt;&gt;"",'VVP2'!S192,"n.a.")</f>
        <v>172.86610000000002</v>
      </c>
      <c r="T27" s="3992">
        <f>IF('VVP2'!T192&lt;&gt;"",'VVP2'!T192,"n.a.")</f>
        <v>181.39229999999998</v>
      </c>
      <c r="U27" s="3992">
        <f>IF('VVP2'!U192&lt;&gt;"",'VVP2'!U192,"n.a.")</f>
        <v>181.54570000000001</v>
      </c>
      <c r="V27" s="3992">
        <f>IF('VVP2'!V192&lt;&gt;"",'VVP2'!V192,"n.a.")</f>
        <v>189.69289999999998</v>
      </c>
      <c r="W27" s="3992">
        <f>IF('VVP2'!W192&lt;&gt;"",'VVP2'!W192,"n.a.")</f>
        <v>196.06920000000002</v>
      </c>
      <c r="X27" s="3992">
        <f>IF('VVP2'!X192&lt;&gt;"",'VVP2'!X192,"n.a.")</f>
        <v>201.18220000000002</v>
      </c>
      <c r="Y27" s="3992">
        <f>IF('VVP2'!Y192&lt;&gt;"",'VVP2'!Y192,"n.a.")</f>
        <v>204.38479999999998</v>
      </c>
      <c r="Z27" s="3992">
        <f>IF('VVP2'!Z192&lt;&gt;"",'VVP2'!Z192,"n.a.")</f>
        <v>206.88900000000001</v>
      </c>
      <c r="AA27" s="3992">
        <f>IF('VVP2'!AA192&lt;&gt;"",'VVP2'!AA192,"n.a.")</f>
        <v>209.88810000000001</v>
      </c>
      <c r="AB27" s="3992">
        <f>IF('VVP2'!AB192&lt;&gt;"",'VVP2'!AB192,"n.a.")</f>
        <v>216.57429999999999</v>
      </c>
      <c r="AC27" s="3992">
        <f>IF('VVP2'!AC192&lt;&gt;"",'VVP2'!AC192,"n.a.")</f>
        <v>222.72300000000001</v>
      </c>
      <c r="AD27" s="3992">
        <f ca="1">IF('VVP2'!AD192&lt;&gt;"",'VVP2'!AD192,"n.a.")</f>
        <v>230.24669430149996</v>
      </c>
      <c r="AE27" s="3992">
        <f ca="1">IF('VVP2'!AE192&lt;&gt;"",'VVP2'!AE192,"n.a.")</f>
        <v>237.344923590782</v>
      </c>
    </row>
    <row r="28" spans="1:31">
      <c r="A28" s="3992" t="str">
        <f t="shared" si="2"/>
        <v>\\DG ECFIN\Forecast\Country databases\Desk transfer databases\BE</v>
      </c>
      <c r="B28" s="3992" t="str">
        <f t="shared" si="3"/>
        <v>BE</v>
      </c>
      <c r="C28" s="3992" t="s">
        <v>2166</v>
      </c>
      <c r="D28" s="3992" t="s">
        <v>2184</v>
      </c>
      <c r="E28" s="3992" t="s">
        <v>2168</v>
      </c>
      <c r="F28" s="3992">
        <v>37</v>
      </c>
      <c r="G28" s="3992" t="s">
        <v>1381</v>
      </c>
      <c r="H28" s="3992">
        <f>IF('VVP2'!H200&lt;&gt;"",'VVP2'!H200,"n.a.")</f>
        <v>46.438000000000002</v>
      </c>
      <c r="I28" s="3992">
        <f>IF('VVP2'!I200&lt;&gt;"",'VVP2'!I200,"n.a.")</f>
        <v>47.353499999999997</v>
      </c>
      <c r="J28" s="3992">
        <f>IF('VVP2'!J200&lt;&gt;"",'VVP2'!J200,"n.a.")</f>
        <v>48.906800000000004</v>
      </c>
      <c r="K28" s="3992">
        <f>IF('VVP2'!K200&lt;&gt;"",'VVP2'!K200,"n.a.")</f>
        <v>51.3262</v>
      </c>
      <c r="L28" s="3992">
        <f>IF('VVP2'!L200&lt;&gt;"",'VVP2'!L200,"n.a.")</f>
        <v>53.902300000000004</v>
      </c>
      <c r="M28" s="3992">
        <f>IF('VVP2'!M200&lt;&gt;"",'VVP2'!M200,"n.a.")</f>
        <v>56.5563</v>
      </c>
      <c r="N28" s="3992">
        <f>IF('VVP2'!N200&lt;&gt;"",'VVP2'!N200,"n.a.")</f>
        <v>60.284300000000002</v>
      </c>
      <c r="O28" s="3992">
        <f>IF('VVP2'!O200&lt;&gt;"",'VVP2'!O200,"n.a.")</f>
        <v>63.1738</v>
      </c>
      <c r="P28" s="3992">
        <f>IF('VVP2'!P200&lt;&gt;"",'VVP2'!P200,"n.a.")</f>
        <v>65.821699999999993</v>
      </c>
      <c r="Q28" s="3992">
        <f>IF('VVP2'!Q200&lt;&gt;"",'VVP2'!Q200,"n.a.")</f>
        <v>68.861699999999999</v>
      </c>
      <c r="R28" s="3992">
        <f>IF('VVP2'!R200&lt;&gt;"",'VVP2'!R200,"n.a.")</f>
        <v>71.5137</v>
      </c>
      <c r="S28" s="3992">
        <f>IF('VVP2'!S200&lt;&gt;"",'VVP2'!S200,"n.a.")</f>
        <v>74.411699999999996</v>
      </c>
      <c r="T28" s="3992">
        <f>IF('VVP2'!T200&lt;&gt;"",'VVP2'!T200,"n.a.")</f>
        <v>79.857399999999998</v>
      </c>
      <c r="U28" s="3992">
        <f>IF('VVP2'!U200&lt;&gt;"",'VVP2'!U200,"n.a.")</f>
        <v>83.781800000000004</v>
      </c>
      <c r="V28" s="3992">
        <f>IF('VVP2'!V200&lt;&gt;"",'VVP2'!V200,"n.a.")</f>
        <v>85.998899999999992</v>
      </c>
      <c r="W28" s="3992">
        <f>IF('VVP2'!W200&lt;&gt;"",'VVP2'!W200,"n.a.")</f>
        <v>90.127499999999998</v>
      </c>
      <c r="X28" s="3992">
        <f>IF('VVP2'!X200&lt;&gt;"",'VVP2'!X200,"n.a.")</f>
        <v>94.010600000000011</v>
      </c>
      <c r="Y28" s="3992">
        <f>IF('VVP2'!Y200&lt;&gt;"",'VVP2'!Y200,"n.a.")</f>
        <v>96.087100000000007</v>
      </c>
      <c r="Z28" s="3992">
        <f>IF('VVP2'!Z200&lt;&gt;"",'VVP2'!Z200,"n.a.")</f>
        <v>97.404200000000003</v>
      </c>
      <c r="AA28" s="3992">
        <f>IF('VVP2'!AA200&lt;&gt;"",'VVP2'!AA200,"n.a.")</f>
        <v>98.209500000000006</v>
      </c>
      <c r="AB28" s="3992">
        <f>IF('VVP2'!AB200&lt;&gt;"",'VVP2'!AB200,"n.a.")</f>
        <v>99.713499999999996</v>
      </c>
      <c r="AC28" s="3992">
        <f>IF('VVP2'!AC200&lt;&gt;"",'VVP2'!AC200,"n.a.")</f>
        <v>102.5765</v>
      </c>
      <c r="AD28" s="3992">
        <f ca="1">IF('VVP2'!AD200&lt;&gt;"",'VVP2'!AD200,"n.a.")</f>
        <v>104.76516041979002</v>
      </c>
      <c r="AE28" s="3992">
        <f ca="1">IF('VVP2'!AE200&lt;&gt;"",'VVP2'!AE200,"n.a.")</f>
        <v>107.74918648402686</v>
      </c>
    </row>
    <row r="29" spans="1:31">
      <c r="A29" s="3992" t="str">
        <f t="shared" si="2"/>
        <v>\\DG ECFIN\Forecast\Country databases\Desk transfer databases\BE</v>
      </c>
      <c r="B29" s="3992" t="str">
        <f t="shared" si="3"/>
        <v>BE</v>
      </c>
      <c r="C29" s="3992" t="s">
        <v>2166</v>
      </c>
      <c r="D29" s="3992" t="s">
        <v>2185</v>
      </c>
      <c r="E29" s="3992" t="s">
        <v>2168</v>
      </c>
      <c r="F29" s="3992">
        <v>38</v>
      </c>
      <c r="G29" s="3992" t="s">
        <v>1383</v>
      </c>
      <c r="H29" s="3992">
        <f>IF('VVP2'!H220&lt;&gt;"",'VVP2'!H220,"n.a.")</f>
        <v>45.993000000000002</v>
      </c>
      <c r="I29" s="3992">
        <f>IF('VVP2'!I220&lt;&gt;"",'VVP2'!I220,"n.a.")</f>
        <v>49.601900000000001</v>
      </c>
      <c r="J29" s="3992">
        <f>IF('VVP2'!J220&lt;&gt;"",'VVP2'!J220,"n.a.")</f>
        <v>51.438199999999995</v>
      </c>
      <c r="K29" s="3992">
        <f>IF('VVP2'!K220&lt;&gt;"",'VVP2'!K220,"n.a.")</f>
        <v>54.368199999999995</v>
      </c>
      <c r="L29" s="3992">
        <f>IF('VVP2'!L220&lt;&gt;"",'VVP2'!L220,"n.a.")</f>
        <v>58.074199999999998</v>
      </c>
      <c r="M29" s="3992">
        <f>IF('VVP2'!M220&lt;&gt;"",'VVP2'!M220,"n.a.")</f>
        <v>59.577199999999998</v>
      </c>
      <c r="N29" s="3992">
        <f>IF('VVP2'!N220&lt;&gt;"",'VVP2'!N220,"n.a.")</f>
        <v>56.832900000000002</v>
      </c>
      <c r="O29" s="3992">
        <f>IF('VVP2'!O220&lt;&gt;"",'VVP2'!O220,"n.a.")</f>
        <v>57.769500000000001</v>
      </c>
      <c r="P29" s="3992">
        <f>IF('VVP2'!P220&lt;&gt;"",'VVP2'!P220,"n.a.")</f>
        <v>63.780500000000004</v>
      </c>
      <c r="Q29" s="3992">
        <f>IF('VVP2'!Q220&lt;&gt;"",'VVP2'!Q220,"n.a.")</f>
        <v>69.016300000000001</v>
      </c>
      <c r="R29" s="3992">
        <f>IF('VVP2'!R220&lt;&gt;"",'VVP2'!R220,"n.a.")</f>
        <v>72.992899999999992</v>
      </c>
      <c r="S29" s="3992">
        <f>IF('VVP2'!S220&lt;&gt;"",'VVP2'!S220,"n.a.")</f>
        <v>80.094200000000001</v>
      </c>
      <c r="T29" s="3992">
        <f>IF('VVP2'!T220&lt;&gt;"",'VVP2'!T220,"n.a.")</f>
        <v>84.885800000000003</v>
      </c>
      <c r="U29" s="3992">
        <f>IF('VVP2'!U220&lt;&gt;"",'VVP2'!U220,"n.a.")</f>
        <v>78.780299999999997</v>
      </c>
      <c r="V29" s="3992">
        <f>IF('VVP2'!V220&lt;&gt;"",'VVP2'!V220,"n.a.")</f>
        <v>79.660899999999998</v>
      </c>
      <c r="W29" s="3992">
        <f>IF('VVP2'!W220&lt;&gt;"",'VVP2'!W220,"n.a.")</f>
        <v>85.609399999999994</v>
      </c>
      <c r="X29" s="3992">
        <f>IF('VVP2'!X220&lt;&gt;"",'VVP2'!X220,"n.a.")</f>
        <v>87.671800000000005</v>
      </c>
      <c r="Y29" s="3992">
        <f>IF('VVP2'!Y220&lt;&gt;"",'VVP2'!Y220,"n.a.")</f>
        <v>86.943699999999993</v>
      </c>
      <c r="Z29" s="3992">
        <f>IF('VVP2'!Z220&lt;&gt;"",'VVP2'!Z220,"n.a.")</f>
        <v>92.314399999999992</v>
      </c>
      <c r="AA29" s="3992">
        <f>IF('VVP2'!AA220&lt;&gt;"",'VVP2'!AA220,"n.a.")</f>
        <v>95.18610000000001</v>
      </c>
      <c r="AB29" s="3992">
        <f>IF('VVP2'!AB220&lt;&gt;"",'VVP2'!AB220,"n.a.")</f>
        <v>99.153600000000012</v>
      </c>
      <c r="AC29" s="3992">
        <f>IF('VVP2'!AC220&lt;&gt;"",'VVP2'!AC220,"n.a.")</f>
        <v>101.91210000000001</v>
      </c>
      <c r="AD29" s="3992">
        <f ca="1">IF('VVP2'!AD220&lt;&gt;"",'VVP2'!AD220,"n.a.")</f>
        <v>107.0297678215</v>
      </c>
      <c r="AE29" s="3992">
        <f ca="1">IF('VVP2'!AE220&lt;&gt;"",'VVP2'!AE220,"n.a.")</f>
        <v>111.27712149084397</v>
      </c>
    </row>
    <row r="30" spans="1:31">
      <c r="A30" s="3992" t="str">
        <f t="shared" si="2"/>
        <v>\\DG ECFIN\Forecast\Country databases\Desk transfer databases\BE</v>
      </c>
      <c r="B30" s="3992" t="str">
        <f t="shared" si="3"/>
        <v>BE</v>
      </c>
      <c r="C30" s="3992" t="s">
        <v>2166</v>
      </c>
      <c r="D30" s="3992" t="s">
        <v>2186</v>
      </c>
      <c r="E30" s="3992" t="s">
        <v>2168</v>
      </c>
      <c r="F30" s="3992">
        <v>39</v>
      </c>
      <c r="G30" s="3992" t="s">
        <v>1346</v>
      </c>
      <c r="H30" s="3992">
        <f>IF('VVP2'!H214&lt;&gt;"",'VVP2'!H214,"n.a.")</f>
        <v>22.664899999999999</v>
      </c>
      <c r="I30" s="3992">
        <f>IF('VVP2'!I214&lt;&gt;"",'VVP2'!I214,"n.a.")</f>
        <v>23.845700000000001</v>
      </c>
      <c r="J30" s="3992">
        <f>IF('VVP2'!J214&lt;&gt;"",'VVP2'!J214,"n.a.")</f>
        <v>24.117400000000004</v>
      </c>
      <c r="K30" s="3992">
        <f>IF('VVP2'!K214&lt;&gt;"",'VVP2'!K214,"n.a.")</f>
        <v>24.6111</v>
      </c>
      <c r="L30" s="3992">
        <f>IF('VVP2'!L214&lt;&gt;"",'VVP2'!L214,"n.a.")</f>
        <v>24.9862</v>
      </c>
      <c r="M30" s="3992">
        <f>IF('VVP2'!M214&lt;&gt;"",'VVP2'!M214,"n.a.")</f>
        <v>25.079599999999999</v>
      </c>
      <c r="N30" s="3992">
        <f>IF('VVP2'!N214&lt;&gt;"",'VVP2'!N214,"n.a.")</f>
        <v>23.989599999999999</v>
      </c>
      <c r="O30" s="3992">
        <f>IF('VVP2'!O214&lt;&gt;"",'VVP2'!O214,"n.a.")</f>
        <v>25.1572</v>
      </c>
      <c r="P30" s="3992">
        <f>IF('VVP2'!P214&lt;&gt;"",'VVP2'!P214,"n.a.")</f>
        <v>28.346800000000002</v>
      </c>
      <c r="Q30" s="3992">
        <f>IF('VVP2'!Q214&lt;&gt;"",'VVP2'!Q214,"n.a.")</f>
        <v>30.914400000000001</v>
      </c>
      <c r="R30" s="3992">
        <f>IF('VVP2'!R214&lt;&gt;"",'VVP2'!R214,"n.a.")</f>
        <v>33.770500000000006</v>
      </c>
      <c r="S30" s="3992">
        <f>IF('VVP2'!S214&lt;&gt;"",'VVP2'!S214,"n.a.")</f>
        <v>36.8155</v>
      </c>
      <c r="T30" s="3992">
        <f>IF('VVP2'!T214&lt;&gt;"",'VVP2'!T214,"n.a.")</f>
        <v>39.494100000000003</v>
      </c>
      <c r="U30" s="3992">
        <f>IF('VVP2'!U214&lt;&gt;"",'VVP2'!U214,"n.a.")</f>
        <v>38.521299999999997</v>
      </c>
      <c r="V30" s="3992">
        <f>IF('VVP2'!V214&lt;&gt;"",'VVP2'!V214,"n.a.")</f>
        <v>39.0152</v>
      </c>
      <c r="W30" s="3992">
        <f>IF('VVP2'!W214&lt;&gt;"",'VVP2'!W214,"n.a.")</f>
        <v>41.841700000000003</v>
      </c>
      <c r="X30" s="3992">
        <f>IF('VVP2'!X214&lt;&gt;"",'VVP2'!X214,"n.a.")</f>
        <v>44.1708</v>
      </c>
      <c r="Y30" s="3992">
        <f>IF('VVP2'!Y214&lt;&gt;"",'VVP2'!Y214,"n.a.")</f>
        <v>43.493700000000004</v>
      </c>
      <c r="Z30" s="3992">
        <f>IF('VVP2'!Z214&lt;&gt;"",'VVP2'!Z214,"n.a.")</f>
        <v>44.636200000000002</v>
      </c>
      <c r="AA30" s="3992">
        <f>IF('VVP2'!AA214&lt;&gt;"",'VVP2'!AA214,"n.a.")</f>
        <v>44.231200000000001</v>
      </c>
      <c r="AB30" s="3992">
        <f>IF('VVP2'!AB214&lt;&gt;"",'VVP2'!AB214,"n.a.")</f>
        <v>45.513400000000004</v>
      </c>
      <c r="AC30" s="3992">
        <f>IF('VVP2'!AC214&lt;&gt;"",'VVP2'!AC214,"n.a.")</f>
        <v>47.371299999999998</v>
      </c>
      <c r="AD30" s="3992">
        <f ca="1">IF('VVP2'!AD214&lt;&gt;"",'VVP2'!AD214,"n.a.")</f>
        <v>48.9735534175</v>
      </c>
      <c r="AE30" s="3992">
        <f ca="1">IF('VVP2'!AE214&lt;&gt;"",'VVP2'!AE214,"n.a.")</f>
        <v>50.59214209164103</v>
      </c>
    </row>
    <row r="31" spans="1:31">
      <c r="A31" s="3992" t="str">
        <f t="shared" si="2"/>
        <v>\\DG ECFIN\Forecast\Country databases\Desk transfer databases\BE</v>
      </c>
      <c r="B31" s="3992" t="str">
        <f t="shared" si="3"/>
        <v>BE</v>
      </c>
      <c r="C31" s="3992" t="s">
        <v>2166</v>
      </c>
      <c r="D31" s="3992" t="s">
        <v>2187</v>
      </c>
      <c r="E31" s="3992" t="s">
        <v>2168</v>
      </c>
      <c r="F31" s="3992">
        <v>40</v>
      </c>
      <c r="G31" s="3992" t="s">
        <v>1405</v>
      </c>
      <c r="H31" s="3992">
        <f>IF('VVP2'!H218&lt;&gt;"",'VVP2'!H218,"n.a.")</f>
        <v>17.6906</v>
      </c>
      <c r="I31" s="3992">
        <f>IF('VVP2'!I218&lt;&gt;"",'VVP2'!I218,"n.a.")</f>
        <v>19.615099999999998</v>
      </c>
      <c r="J31" s="3992">
        <f>IF('VVP2'!J218&lt;&gt;"",'VVP2'!J218,"n.a.")</f>
        <v>20.436299999999999</v>
      </c>
      <c r="K31" s="3992">
        <f>IF('VVP2'!K218&lt;&gt;"",'VVP2'!K218,"n.a.")</f>
        <v>22.426500000000001</v>
      </c>
      <c r="L31" s="3992">
        <f>IF('VVP2'!L218&lt;&gt;"",'VVP2'!L218,"n.a.")</f>
        <v>25.736499999999999</v>
      </c>
      <c r="M31" s="3992">
        <f>IF('VVP2'!M218&lt;&gt;"",'VVP2'!M218,"n.a.")</f>
        <v>26.244799999999998</v>
      </c>
      <c r="N31" s="3992">
        <f>IF('VVP2'!N218&lt;&gt;"",'VVP2'!N218,"n.a.")</f>
        <v>24.270199999999999</v>
      </c>
      <c r="O31" s="3992">
        <f>IF('VVP2'!O218&lt;&gt;"",'VVP2'!O218,"n.a.")</f>
        <v>23.807099999999998</v>
      </c>
      <c r="P31" s="3992">
        <f>IF('VVP2'!P218&lt;&gt;"",'VVP2'!P218,"n.a.")</f>
        <v>25.936199999999999</v>
      </c>
      <c r="Q31" s="3992">
        <f>IF('VVP2'!Q218&lt;&gt;"",'VVP2'!Q218,"n.a.")</f>
        <v>28.057200000000002</v>
      </c>
      <c r="R31" s="3992">
        <f>IF('VVP2'!R218&lt;&gt;"",'VVP2'!R218,"n.a.")</f>
        <v>28.896799999999999</v>
      </c>
      <c r="S31" s="3992">
        <f>IF('VVP2'!S218&lt;&gt;"",'VVP2'!S218,"n.a.")</f>
        <v>32.214400000000005</v>
      </c>
      <c r="T31" s="3992">
        <f>IF('VVP2'!T218&lt;&gt;"",'VVP2'!T218,"n.a.")</f>
        <v>33.444300000000005</v>
      </c>
      <c r="U31" s="3992">
        <f>IF('VVP2'!U218&lt;&gt;"",'VVP2'!U218,"n.a.")</f>
        <v>27.434799999999999</v>
      </c>
      <c r="V31" s="3992">
        <f>IF('VVP2'!V218&lt;&gt;"",'VVP2'!V218,"n.a.")</f>
        <v>27.3093</v>
      </c>
      <c r="W31" s="3992">
        <f>IF('VVP2'!W218&lt;&gt;"",'VVP2'!W218,"n.a.")</f>
        <v>29.220299999999998</v>
      </c>
      <c r="X31" s="3992">
        <f>IF('VVP2'!X218&lt;&gt;"",'VVP2'!X218,"n.a.")</f>
        <v>28.369799999999998</v>
      </c>
      <c r="Y31" s="3992">
        <f>IF('VVP2'!Y218&lt;&gt;"",'VVP2'!Y218,"n.a.")</f>
        <v>27.9376</v>
      </c>
      <c r="Z31" s="3992">
        <f>IF('VVP2'!Z218&lt;&gt;"",'VVP2'!Z218,"n.a.")</f>
        <v>30.180299999999999</v>
      </c>
      <c r="AA31" s="3992">
        <f>IF('VVP2'!AA218&lt;&gt;"",'VVP2'!AA218,"n.a.")</f>
        <v>31.1813</v>
      </c>
      <c r="AB31" s="3992">
        <f>IF('VVP2'!AB218&lt;&gt;"",'VVP2'!AB218,"n.a.")</f>
        <v>35.422499999999999</v>
      </c>
      <c r="AC31" s="3992">
        <f>IF('VVP2'!AC218&lt;&gt;"",'VVP2'!AC218,"n.a.")</f>
        <v>35.593400000000003</v>
      </c>
      <c r="AD31" s="3992">
        <f ca="1">IF('VVP2'!AD218&lt;&gt;"",'VVP2'!AD218,"n.a.")</f>
        <v>37.962496704000003</v>
      </c>
      <c r="AE31" s="3992">
        <f ca="1">IF('VVP2'!AE218&lt;&gt;"",'VVP2'!AE218,"n.a.")</f>
        <v>39.801096344368133</v>
      </c>
    </row>
    <row r="32" spans="1:31">
      <c r="A32" s="3992" t="str">
        <f t="shared" si="2"/>
        <v>\\DG ECFIN\Forecast\Country databases\Desk transfer databases\BE</v>
      </c>
      <c r="B32" s="3992" t="str">
        <f t="shared" si="3"/>
        <v>BE</v>
      </c>
      <c r="C32" s="3992" t="s">
        <v>2166</v>
      </c>
      <c r="D32" s="3992" t="s">
        <v>2188</v>
      </c>
      <c r="E32" s="3992" t="s">
        <v>2168</v>
      </c>
      <c r="F32" s="3992">
        <v>41</v>
      </c>
      <c r="G32" s="3992" t="s">
        <v>1093</v>
      </c>
      <c r="H32" s="3992">
        <f>IF('VVP2'!H219&lt;&gt;"",'VVP2'!H219,"n.a.")</f>
        <v>5.6375000000000002</v>
      </c>
      <c r="I32" s="3992">
        <f>IF('VVP2'!I219&lt;&gt;"",'VVP2'!I219,"n.a.")</f>
        <v>6.1411000000000007</v>
      </c>
      <c r="J32" s="3992">
        <f>IF('VVP2'!J219&lt;&gt;"",'VVP2'!J219,"n.a.")</f>
        <v>6.8843999999999994</v>
      </c>
      <c r="K32" s="3992">
        <f>IF('VVP2'!K219&lt;&gt;"",'VVP2'!K219,"n.a.")</f>
        <v>7.3304999999999998</v>
      </c>
      <c r="L32" s="3992">
        <f>IF('VVP2'!L219&lt;&gt;"",'VVP2'!L219,"n.a.")</f>
        <v>7.3514999999999997</v>
      </c>
      <c r="M32" s="3992">
        <f>IF('VVP2'!M219&lt;&gt;"",'VVP2'!M219,"n.a.")</f>
        <v>8.2527999999999988</v>
      </c>
      <c r="N32" s="3992">
        <f>IF('VVP2'!N219&lt;&gt;"",'VVP2'!N219,"n.a.")</f>
        <v>8.5730000000000004</v>
      </c>
      <c r="O32" s="3992">
        <f>IF('VVP2'!O219&lt;&gt;"",'VVP2'!O219,"n.a.")</f>
        <v>8.8050999999999995</v>
      </c>
      <c r="P32" s="3992">
        <f>IF('VVP2'!P219&lt;&gt;"",'VVP2'!P219,"n.a.")</f>
        <v>9.4976000000000003</v>
      </c>
      <c r="Q32" s="3992">
        <f>IF('VVP2'!Q219&lt;&gt;"",'VVP2'!Q219,"n.a.")</f>
        <v>10.044600000000001</v>
      </c>
      <c r="R32" s="3992">
        <f>IF('VVP2'!R219&lt;&gt;"",'VVP2'!R219,"n.a.")</f>
        <v>10.3256</v>
      </c>
      <c r="S32" s="3992">
        <f>IF('VVP2'!S219&lt;&gt;"",'VVP2'!S219,"n.a.")</f>
        <v>11.064200000000001</v>
      </c>
      <c r="T32" s="3992">
        <f>IF('VVP2'!T219&lt;&gt;"",'VVP2'!T219,"n.a.")</f>
        <v>11.9476</v>
      </c>
      <c r="U32" s="3992">
        <f>IF('VVP2'!U219&lt;&gt;"",'VVP2'!U219,"n.a.")</f>
        <v>12.8241</v>
      </c>
      <c r="V32" s="3992">
        <f>IF('VVP2'!V219&lt;&gt;"",'VVP2'!V219,"n.a.")</f>
        <v>13.336499999999999</v>
      </c>
      <c r="W32" s="3992">
        <f>IF('VVP2'!W219&lt;&gt;"",'VVP2'!W219,"n.a.")</f>
        <v>14.5473</v>
      </c>
      <c r="X32" s="3992">
        <f>IF('VVP2'!X219&lt;&gt;"",'VVP2'!X219,"n.a.")</f>
        <v>15.131500000000001</v>
      </c>
      <c r="Y32" s="3992">
        <f>IF('VVP2'!Y219&lt;&gt;"",'VVP2'!Y219,"n.a.")</f>
        <v>15.5124</v>
      </c>
      <c r="Z32" s="3992">
        <f>IF('VVP2'!Z219&lt;&gt;"",'VVP2'!Z219,"n.a.")</f>
        <v>17.497900000000001</v>
      </c>
      <c r="AA32" s="3992">
        <f>IF('VVP2'!AA219&lt;&gt;"",'VVP2'!AA219,"n.a.")</f>
        <v>19.773599999999998</v>
      </c>
      <c r="AB32" s="3992">
        <f>IF('VVP2'!AB219&lt;&gt;"",'VVP2'!AB219,"n.a.")</f>
        <v>18.217599999999997</v>
      </c>
      <c r="AC32" s="3992">
        <f>IF('VVP2'!AC219&lt;&gt;"",'VVP2'!AC219,"n.a.")</f>
        <v>18.947400000000002</v>
      </c>
      <c r="AD32" s="3992">
        <f ca="1">IF('VVP2'!AD219&lt;&gt;"",'VVP2'!AD219,"n.a.")</f>
        <v>20.093717700000003</v>
      </c>
      <c r="AE32" s="3992">
        <f ca="1">IF('VVP2'!AE219&lt;&gt;"",'VVP2'!AE219,"n.a.")</f>
        <v>20.883883054834801</v>
      </c>
    </row>
    <row r="33" spans="1:31">
      <c r="A33" s="3992" t="str">
        <f t="shared" si="2"/>
        <v>\\DG ECFIN\Forecast\Country databases\Desk transfer databases\BE</v>
      </c>
      <c r="B33" s="3992" t="str">
        <f t="shared" si="3"/>
        <v>BE</v>
      </c>
      <c r="C33" s="3992" t="s">
        <v>2166</v>
      </c>
      <c r="D33" s="3992" t="s">
        <v>2189</v>
      </c>
      <c r="E33" s="3992" t="s">
        <v>2168</v>
      </c>
      <c r="F33" s="3992">
        <v>42</v>
      </c>
      <c r="G33" s="3992" t="s">
        <v>1099</v>
      </c>
      <c r="H33" s="3992">
        <f>IF('VVP2'!H274&lt;&gt;"",'VVP2'!H274,"n.a.")</f>
        <v>0.80310000000000004</v>
      </c>
      <c r="I33" s="3992">
        <f>IF('VVP2'!I274&lt;&gt;"",'VVP2'!I274,"n.a.")</f>
        <v>0.77849999999999997</v>
      </c>
      <c r="J33" s="3992">
        <f>IF('VVP2'!J274&lt;&gt;"",'VVP2'!J274,"n.a.")</f>
        <v>1.1260999999999999</v>
      </c>
      <c r="K33" s="3992">
        <f>IF('VVP2'!K274&lt;&gt;"",'VVP2'!K274,"n.a.")</f>
        <v>1.1020999999999999</v>
      </c>
      <c r="L33" s="3992">
        <f>IF('VVP2'!L274&lt;&gt;"",'VVP2'!L274,"n.a.")</f>
        <v>3.3356999999999997</v>
      </c>
      <c r="M33" s="3992">
        <f>IF('VVP2'!M274&lt;&gt;"",'VVP2'!M274,"n.a.")</f>
        <v>0.47</v>
      </c>
      <c r="N33" s="3992">
        <f>IF('VVP2'!N274&lt;&gt;"",'VVP2'!N274,"n.a.")</f>
        <v>8.199999999999999E-3</v>
      </c>
      <c r="O33" s="3992">
        <f>IF('VVP2'!O274&lt;&gt;"",'VVP2'!O274,"n.a.")</f>
        <v>1.1904000000000001</v>
      </c>
      <c r="P33" s="3992">
        <f>IF('VVP2'!P274&lt;&gt;"",'VVP2'!P274,"n.a.")</f>
        <v>3.4138999999999999</v>
      </c>
      <c r="Q33" s="3992">
        <f>IF('VVP2'!Q274&lt;&gt;"",'VVP2'!Q274,"n.a.")</f>
        <v>4.5220000000000002</v>
      </c>
      <c r="R33" s="3992">
        <f>IF('VVP2'!R274&lt;&gt;"",'VVP2'!R274,"n.a.")</f>
        <v>5.0276000000000005</v>
      </c>
      <c r="S33" s="3992">
        <f>IF('VVP2'!S274&lt;&gt;"",'VVP2'!S274,"n.a.")</f>
        <v>4.1791999999999998</v>
      </c>
      <c r="T33" s="3992">
        <f>IF('VVP2'!T274&lt;&gt;"",'VVP2'!T274,"n.a.")</f>
        <v>6.2169999999999996</v>
      </c>
      <c r="U33" s="3992">
        <f>IF('VVP2'!U274&lt;&gt;"",'VVP2'!U274,"n.a.")</f>
        <v>-3.2189000000000001</v>
      </c>
      <c r="V33" s="3992">
        <f>IF('VVP2'!V274&lt;&gt;"",'VVP2'!V274,"n.a.")</f>
        <v>3.1879</v>
      </c>
      <c r="W33" s="3992">
        <f>IF('VVP2'!W274&lt;&gt;"",'VVP2'!W274,"n.a.")</f>
        <v>5.3386000000000005</v>
      </c>
      <c r="X33" s="3992">
        <f>IF('VVP2'!X274&lt;&gt;"",'VVP2'!X274,"n.a.")</f>
        <v>2.2458</v>
      </c>
      <c r="Y33" s="3992">
        <f>IF('VVP2'!Y274&lt;&gt;"",'VVP2'!Y274,"n.a.")</f>
        <v>5.1499999999999997E-2</v>
      </c>
      <c r="Z33" s="3992">
        <f>IF('VVP2'!Z274&lt;&gt;"",'VVP2'!Z274,"n.a.")</f>
        <v>1.1437999999999999</v>
      </c>
      <c r="AA33" s="3992">
        <f>IF('VVP2'!AA274&lt;&gt;"",'VVP2'!AA274,"n.a.")</f>
        <v>1.5740000000000001</v>
      </c>
      <c r="AB33" s="3992">
        <f>IF('VVP2'!AB274&lt;&gt;"",'VVP2'!AB274,"n.a.")</f>
        <v>1.9818</v>
      </c>
      <c r="AC33" s="3992">
        <f>IF('VVP2'!AC274&lt;&gt;"",'VVP2'!AC274,"n.a.")</f>
        <v>5.5851000000000006</v>
      </c>
      <c r="AD33" s="3992">
        <f ca="1">IF('VVP2'!AD274&lt;&gt;"",'VVP2'!AD274,"n.a.")</f>
        <v>5.5851000000000006</v>
      </c>
      <c r="AE33" s="3992">
        <f ca="1">IF('VVP2'!AE274&lt;&gt;"",'VVP2'!AE274,"n.a.")</f>
        <v>5.5851000000000006</v>
      </c>
    </row>
    <row r="34" spans="1:31">
      <c r="A34" s="3992" t="str">
        <f t="shared" si="2"/>
        <v>\\DG ECFIN\Forecast\Country databases\Desk transfer databases\BE</v>
      </c>
      <c r="B34" s="3992" t="str">
        <f t="shared" si="3"/>
        <v>BE</v>
      </c>
      <c r="C34" s="3992" t="s">
        <v>2166</v>
      </c>
      <c r="D34" s="3992" t="s">
        <v>2190</v>
      </c>
      <c r="E34" s="3992" t="s">
        <v>2168</v>
      </c>
      <c r="F34" s="3992">
        <v>43</v>
      </c>
      <c r="G34" s="3992" t="s">
        <v>1318</v>
      </c>
      <c r="H34" s="3992">
        <f>IF('VVP2'!H292&lt;&gt;"",'VVP2'!H292,"n.a.")</f>
        <v>103.97930000000001</v>
      </c>
      <c r="I34" s="3992">
        <f>IF('VVP2'!I292&lt;&gt;"",'VVP2'!I292,"n.a.")</f>
        <v>115.25489999999999</v>
      </c>
      <c r="J34" s="3992">
        <f>IF('VVP2'!J292&lt;&gt;"",'VVP2'!J292,"n.a.")</f>
        <v>117.9727</v>
      </c>
      <c r="K34" s="3992">
        <f>IF('VVP2'!K292&lt;&gt;"",'VVP2'!K292,"n.a.")</f>
        <v>122.99789999999999</v>
      </c>
      <c r="L34" s="3992">
        <f>IF('VVP2'!L292&lt;&gt;"",'VVP2'!L292,"n.a.")</f>
        <v>145.59820000000002</v>
      </c>
      <c r="M34" s="3992">
        <f>IF('VVP2'!M292&lt;&gt;"",'VVP2'!M292,"n.a.")</f>
        <v>145.84879999999998</v>
      </c>
      <c r="N34" s="3992">
        <f>IF('VVP2'!N292&lt;&gt;"",'VVP2'!N292,"n.a.")</f>
        <v>151.32210000000001</v>
      </c>
      <c r="O34" s="3992">
        <f>IF('VVP2'!O292&lt;&gt;"",'VVP2'!O292,"n.a.")</f>
        <v>152.124</v>
      </c>
      <c r="P34" s="3992">
        <f>IF('VVP2'!P292&lt;&gt;"",'VVP2'!P292,"n.a.")</f>
        <v>165.74629999999999</v>
      </c>
      <c r="Q34" s="3992">
        <f>IF('VVP2'!Q292&lt;&gt;"",'VVP2'!Q292,"n.a.")</f>
        <v>181.83229999999998</v>
      </c>
      <c r="R34" s="3992">
        <f>IF('VVP2'!R292&lt;&gt;"",'VVP2'!R292,"n.a.")</f>
        <v>198.4495</v>
      </c>
      <c r="S34" s="3992">
        <f>IF('VVP2'!S292&lt;&gt;"",'VVP2'!S292,"n.a.")</f>
        <v>211.48489999999998</v>
      </c>
      <c r="T34" s="3992">
        <f>IF('VVP2'!T292&lt;&gt;"",'VVP2'!T292,"n.a.")</f>
        <v>216.3663</v>
      </c>
      <c r="U34" s="3992">
        <f>IF('VVP2'!U292&lt;&gt;"",'VVP2'!U292,"n.a.")</f>
        <v>175.66239999999999</v>
      </c>
      <c r="V34" s="3992">
        <f>IF('VVP2'!V292&lt;&gt;"",'VVP2'!V292,"n.a.")</f>
        <v>204.54929999999999</v>
      </c>
      <c r="W34" s="3992">
        <f>IF('VVP2'!W292&lt;&gt;"",'VVP2'!W292,"n.a.")</f>
        <v>233.47660000000002</v>
      </c>
      <c r="X34" s="3992">
        <f>IF('VVP2'!X292&lt;&gt;"",'VVP2'!X292,"n.a.")</f>
        <v>234.92779999999999</v>
      </c>
      <c r="Y34" s="3992">
        <f>IF('VVP2'!Y292&lt;&gt;"",'VVP2'!Y292,"n.a.")</f>
        <v>234.66829999999999</v>
      </c>
      <c r="Z34" s="3992">
        <f>IF('VVP2'!Z292&lt;&gt;"",'VVP2'!Z292,"n.a.")</f>
        <v>236.33960000000002</v>
      </c>
      <c r="AA34" s="3992">
        <f>IF('VVP2'!AA292&lt;&gt;"",'VVP2'!AA292,"n.a.")</f>
        <v>229.92160000000001</v>
      </c>
      <c r="AB34" s="3992">
        <f>IF('VVP2'!AB292&lt;&gt;"",'VVP2'!AB292,"n.a.")</f>
        <v>248.1651</v>
      </c>
      <c r="AC34" s="3992">
        <f>IF('VVP2'!AC292&lt;&gt;"",'VVP2'!AC292,"n.a.")</f>
        <v>268.40609999999998</v>
      </c>
      <c r="AD34" s="3992">
        <f ca="1">IF('VVP2'!AD292&lt;&gt;"",'VVP2'!AD292,"n.a.")</f>
        <v>285.1597403559</v>
      </c>
      <c r="AE34" s="3992">
        <f ca="1">IF('VVP2'!AE292&lt;&gt;"",'VVP2'!AE292,"n.a.")</f>
        <v>301.4812573188064</v>
      </c>
    </row>
    <row r="35" spans="1:31">
      <c r="A35" s="3992" t="str">
        <f t="shared" si="2"/>
        <v>\\DG ECFIN\Forecast\Country databases\Desk transfer databases\BE</v>
      </c>
      <c r="B35" s="3992" t="str">
        <f t="shared" si="3"/>
        <v>BE</v>
      </c>
      <c r="C35" s="3992" t="s">
        <v>2166</v>
      </c>
      <c r="D35" s="3992" t="s">
        <v>2191</v>
      </c>
      <c r="E35" s="3992" t="s">
        <v>2168</v>
      </c>
      <c r="F35" s="3992">
        <v>44</v>
      </c>
      <c r="G35" s="3992" t="s">
        <v>1319</v>
      </c>
      <c r="H35" s="3992">
        <f>IF('VVP2'!H291&lt;&gt;"",'VVP2'!H291,"n.a.")</f>
        <v>26.542300000000001</v>
      </c>
      <c r="I35" s="3992">
        <f>IF('VVP2'!I291&lt;&gt;"",'VVP2'!I291,"n.a.")</f>
        <v>29.131799999999998</v>
      </c>
      <c r="J35" s="3992">
        <f>IF('VVP2'!J291&lt;&gt;"",'VVP2'!J291,"n.a.")</f>
        <v>30.6873</v>
      </c>
      <c r="K35" s="3992">
        <f>IF('VVP2'!K291&lt;&gt;"",'VVP2'!K291,"n.a.")</f>
        <v>33.059400000000004</v>
      </c>
      <c r="L35" s="3992">
        <f>IF('VVP2'!L291&lt;&gt;"",'VVP2'!L291,"n.a.")</f>
        <v>39.953900000000004</v>
      </c>
      <c r="M35" s="3992">
        <f>IF('VVP2'!M291&lt;&gt;"",'VVP2'!M291,"n.a.")</f>
        <v>42.915099999999995</v>
      </c>
      <c r="N35" s="3992">
        <f>IF('VVP2'!N291&lt;&gt;"",'VVP2'!N291,"n.a.")</f>
        <v>42.089300000000001</v>
      </c>
      <c r="O35" s="3992">
        <f>IF('VVP2'!O291&lt;&gt;"",'VVP2'!O291,"n.a.")</f>
        <v>41.753599999999999</v>
      </c>
      <c r="P35" s="3992">
        <f>IF('VVP2'!P291&lt;&gt;"",'VVP2'!P291,"n.a.")</f>
        <v>44.456400000000002</v>
      </c>
      <c r="Q35" s="3992">
        <f>IF('VVP2'!Q291&lt;&gt;"",'VVP2'!Q291,"n.a.")</f>
        <v>47.172199999999997</v>
      </c>
      <c r="R35" s="3992">
        <f>IF('VVP2'!R291&lt;&gt;"",'VVP2'!R291,"n.a.")</f>
        <v>48.870100000000001</v>
      </c>
      <c r="S35" s="3992">
        <f>IF('VVP2'!S291&lt;&gt;"",'VVP2'!S291,"n.a.")</f>
        <v>55.6357</v>
      </c>
      <c r="T35" s="3992">
        <f>IF('VVP2'!T291&lt;&gt;"",'VVP2'!T291,"n.a.")</f>
        <v>65.81</v>
      </c>
      <c r="U35" s="3992">
        <f>IF('VVP2'!U291&lt;&gt;"",'VVP2'!U291,"n.a.")</f>
        <v>66.076999999999998</v>
      </c>
      <c r="V35" s="3992">
        <f>IF('VVP2'!V291&lt;&gt;"",'VVP2'!V291,"n.a.")</f>
        <v>74.564399999999992</v>
      </c>
      <c r="W35" s="3992">
        <f>IF('VVP2'!W291&lt;&gt;"",'VVP2'!W291,"n.a.")</f>
        <v>76.008899999999997</v>
      </c>
      <c r="X35" s="3992">
        <f>IF('VVP2'!X291&lt;&gt;"",'VVP2'!X291,"n.a.")</f>
        <v>84.00739999999999</v>
      </c>
      <c r="Y35" s="3992">
        <f>IF('VVP2'!Y291&lt;&gt;"",'VVP2'!Y291,"n.a.")</f>
        <v>85.992199999999997</v>
      </c>
      <c r="Z35" s="3992">
        <f>IF('VVP2'!Z291&lt;&gt;"",'VVP2'!Z291,"n.a.")</f>
        <v>94.396899999999988</v>
      </c>
      <c r="AA35" s="3992">
        <f>IF('VVP2'!AA291&lt;&gt;"",'VVP2'!AA291,"n.a.")</f>
        <v>101.57</v>
      </c>
      <c r="AB35" s="3992">
        <f>IF('VVP2'!AB291&lt;&gt;"",'VVP2'!AB291,"n.a.")</f>
        <v>102.3943</v>
      </c>
      <c r="AC35" s="3992">
        <f>IF('VVP2'!AC291&lt;&gt;"",'VVP2'!AC291,"n.a.")</f>
        <v>102.97969999999999</v>
      </c>
      <c r="AD35" s="3992">
        <f ca="1">IF('VVP2'!AD291&lt;&gt;"",'VVP2'!AD291,"n.a.")</f>
        <v>108.585914868</v>
      </c>
      <c r="AE35" s="3992">
        <f ca="1">IF('VVP2'!AE291&lt;&gt;"",'VVP2'!AE291,"n.a.")</f>
        <v>114.73057461855039</v>
      </c>
    </row>
    <row r="36" spans="1:31">
      <c r="A36" s="3992" t="str">
        <f t="shared" si="2"/>
        <v>\\DG ECFIN\Forecast\Country databases\Desk transfer databases\BE</v>
      </c>
      <c r="B36" s="3992" t="str">
        <f t="shared" si="3"/>
        <v>BE</v>
      </c>
      <c r="C36" s="3992" t="s">
        <v>2166</v>
      </c>
      <c r="D36" s="3992" t="s">
        <v>2192</v>
      </c>
      <c r="E36" s="3992" t="s">
        <v>2168</v>
      </c>
      <c r="F36" s="3992">
        <v>45</v>
      </c>
      <c r="G36" s="3992" t="s">
        <v>1321</v>
      </c>
      <c r="H36" s="3992">
        <f>IF('VVP2'!H324&lt;&gt;"",'VVP2'!H324,"n.a.")</f>
        <v>99.795299999999997</v>
      </c>
      <c r="I36" s="3992">
        <f>IF('VVP2'!I324&lt;&gt;"",'VVP2'!I324,"n.a.")</f>
        <v>109.77189999999999</v>
      </c>
      <c r="J36" s="3992">
        <f>IF('VVP2'!J324&lt;&gt;"",'VVP2'!J324,"n.a.")</f>
        <v>112.0051</v>
      </c>
      <c r="K36" s="3992">
        <f>IF('VVP2'!K324&lt;&gt;"",'VVP2'!K324,"n.a.")</f>
        <v>115.4868</v>
      </c>
      <c r="L36" s="3992">
        <f>IF('VVP2'!L324&lt;&gt;"",'VVP2'!L324,"n.a.")</f>
        <v>141.16879999999998</v>
      </c>
      <c r="M36" s="3992">
        <f>IF('VVP2'!M324&lt;&gt;"",'VVP2'!M324,"n.a.")</f>
        <v>139.50409999999999</v>
      </c>
      <c r="N36" s="3992">
        <f>IF('VVP2'!N324&lt;&gt;"",'VVP2'!N324,"n.a.")</f>
        <v>137.59899999999999</v>
      </c>
      <c r="O36" s="3992">
        <f>IF('VVP2'!O324&lt;&gt;"",'VVP2'!O324,"n.a.")</f>
        <v>139.40029999999999</v>
      </c>
      <c r="P36" s="3992">
        <f>IF('VVP2'!P324&lt;&gt;"",'VVP2'!P324,"n.a.")</f>
        <v>155.38159999999999</v>
      </c>
      <c r="Q36" s="3992">
        <f>IF('VVP2'!Q324&lt;&gt;"",'VVP2'!Q324,"n.a.")</f>
        <v>175.2329</v>
      </c>
      <c r="R36" s="3992">
        <f>IF('VVP2'!R324&lt;&gt;"",'VVP2'!R324,"n.a.")</f>
        <v>190.90549999999999</v>
      </c>
      <c r="S36" s="3992">
        <f>IF('VVP2'!S324&lt;&gt;"",'VVP2'!S324,"n.a.")</f>
        <v>203.797</v>
      </c>
      <c r="T36" s="3992">
        <f>IF('VVP2'!T324&lt;&gt;"",'VVP2'!T324,"n.a.")</f>
        <v>220.7877</v>
      </c>
      <c r="U36" s="3992">
        <f>IF('VVP2'!U324&lt;&gt;"",'VVP2'!U324,"n.a.")</f>
        <v>175.78910000000002</v>
      </c>
      <c r="V36" s="3992">
        <f>IF('VVP2'!V324&lt;&gt;"",'VVP2'!V324,"n.a.")</f>
        <v>206.66070000000002</v>
      </c>
      <c r="W36" s="3992">
        <f>IF('VVP2'!W324&lt;&gt;"",'VVP2'!W324,"n.a.")</f>
        <v>239.184</v>
      </c>
      <c r="X36" s="3992">
        <f>IF('VVP2'!X324&lt;&gt;"",'VVP2'!X324,"n.a.")</f>
        <v>239.84899999999999</v>
      </c>
      <c r="Y36" s="3992">
        <f>IF('VVP2'!Y324&lt;&gt;"",'VVP2'!Y324,"n.a.")</f>
        <v>237.33539999999999</v>
      </c>
      <c r="Z36" s="3992">
        <f>IF('VVP2'!Z324&lt;&gt;"",'VVP2'!Z324,"n.a.")</f>
        <v>239.4187</v>
      </c>
      <c r="AA36" s="3992">
        <f>IF('VVP2'!AA324&lt;&gt;"",'VVP2'!AA324,"n.a.")</f>
        <v>229.63220000000001</v>
      </c>
      <c r="AB36" s="3992">
        <f>IF('VVP2'!AB324&lt;&gt;"",'VVP2'!AB324,"n.a.")</f>
        <v>247.03370000000001</v>
      </c>
      <c r="AC36" s="3992">
        <f>IF('VVP2'!AC324&lt;&gt;"",'VVP2'!AC324,"n.a.")</f>
        <v>264.52190000000002</v>
      </c>
      <c r="AD36" s="3992">
        <f ca="1">IF('VVP2'!AD324&lt;&gt;"",'VVP2'!AD324,"n.a.")</f>
        <v>281.05980918800003</v>
      </c>
      <c r="AE36" s="3992">
        <f ca="1">IF('VVP2'!AE324&lt;&gt;"",'VVP2'!AE324,"n.a.")</f>
        <v>297.28671295352643</v>
      </c>
    </row>
    <row r="37" spans="1:31" ht="12" customHeight="1">
      <c r="A37" s="3992" t="str">
        <f t="shared" si="2"/>
        <v>\\DG ECFIN\Forecast\Country databases\Desk transfer databases\BE</v>
      </c>
      <c r="B37" s="3992" t="str">
        <f t="shared" si="3"/>
        <v>BE</v>
      </c>
      <c r="C37" s="3992" t="s">
        <v>2166</v>
      </c>
      <c r="D37" s="3992" t="s">
        <v>2193</v>
      </c>
      <c r="E37" s="3992" t="s">
        <v>2168</v>
      </c>
      <c r="F37" s="3992">
        <v>46</v>
      </c>
      <c r="G37" s="3992" t="s">
        <v>1322</v>
      </c>
      <c r="H37" s="3992">
        <f>IF('VVP2'!H323&lt;&gt;"",'VVP2'!H323,"n.a.")</f>
        <v>24.6249</v>
      </c>
      <c r="I37" s="3992">
        <f>IF('VVP2'!I323&lt;&gt;"",'VVP2'!I323,"n.a.")</f>
        <v>26.871200000000002</v>
      </c>
      <c r="J37" s="3992">
        <f>IF('VVP2'!J323&lt;&gt;"",'VVP2'!J323,"n.a.")</f>
        <v>28.8932</v>
      </c>
      <c r="K37" s="3992">
        <f>IF('VVP2'!K323&lt;&gt;"",'VVP2'!K323,"n.a.")</f>
        <v>31.289400000000001</v>
      </c>
      <c r="L37" s="3992">
        <f>IF('VVP2'!L323&lt;&gt;"",'VVP2'!L323,"n.a.")</f>
        <v>37.576300000000003</v>
      </c>
      <c r="M37" s="3992">
        <f>IF('VVP2'!M323&lt;&gt;"",'VVP2'!M323,"n.a.")</f>
        <v>40.3658</v>
      </c>
      <c r="N37" s="3992">
        <f>IF('VVP2'!N323&lt;&gt;"",'VVP2'!N323,"n.a.")</f>
        <v>40.670999999999999</v>
      </c>
      <c r="O37" s="3992">
        <f>IF('VVP2'!O323&lt;&gt;"",'VVP2'!O323,"n.a.")</f>
        <v>39.774900000000002</v>
      </c>
      <c r="P37" s="3992">
        <f>IF('VVP2'!P323&lt;&gt;"",'VVP2'!P323,"n.a.")</f>
        <v>40.775400000000005</v>
      </c>
      <c r="Q37" s="3992">
        <f>IF('VVP2'!Q323&lt;&gt;"",'VVP2'!Q323,"n.a.")</f>
        <v>42.351999999999997</v>
      </c>
      <c r="R37" s="3992">
        <f>IF('VVP2'!R323&lt;&gt;"",'VVP2'!R323,"n.a.")</f>
        <v>44.234900000000003</v>
      </c>
      <c r="S37" s="3992">
        <f>IF('VVP2'!S323&lt;&gt;"",'VVP2'!S323,"n.a.")</f>
        <v>50.162300000000002</v>
      </c>
      <c r="T37" s="3992">
        <f>IF('VVP2'!T323&lt;&gt;"",'VVP2'!T323,"n.a.")</f>
        <v>59.675199999999997</v>
      </c>
      <c r="U37" s="3992">
        <f>IF('VVP2'!U323&lt;&gt;"",'VVP2'!U323,"n.a.")</f>
        <v>58.058099999999996</v>
      </c>
      <c r="V37" s="3992">
        <f>IF('VVP2'!V323&lt;&gt;"",'VVP2'!V323,"n.a.")</f>
        <v>65.893100000000004</v>
      </c>
      <c r="W37" s="3992">
        <f>IF('VVP2'!W323&lt;&gt;"",'VVP2'!W323,"n.a.")</f>
        <v>68.3399</v>
      </c>
      <c r="X37" s="3992">
        <f>IF('VVP2'!X323&lt;&gt;"",'VVP2'!X323,"n.a.")</f>
        <v>76.6965</v>
      </c>
      <c r="Y37" s="3992">
        <f>IF('VVP2'!Y323&lt;&gt;"",'VVP2'!Y323,"n.a.")</f>
        <v>78.452399999999997</v>
      </c>
      <c r="Z37" s="3992">
        <f>IF('VVP2'!Z323&lt;&gt;"",'VVP2'!Z323,"n.a.")</f>
        <v>88.781000000000006</v>
      </c>
      <c r="AA37" s="3992">
        <f>IF('VVP2'!AA323&lt;&gt;"",'VVP2'!AA323,"n.a.")</f>
        <v>96.281899999999993</v>
      </c>
      <c r="AB37" s="3992">
        <f>IF('VVP2'!AB323&lt;&gt;"",'VVP2'!AB323,"n.a.")</f>
        <v>97.900499999999994</v>
      </c>
      <c r="AC37" s="3992">
        <f>IF('VVP2'!AC323&lt;&gt;"",'VVP2'!AC323,"n.a.")</f>
        <v>101.17610000000001</v>
      </c>
      <c r="AD37" s="3992">
        <f ca="1">IF('VVP2'!AD323&lt;&gt;"",'VVP2'!AD323,"n.a.")</f>
        <v>106.93959653650001</v>
      </c>
      <c r="AE37" s="3992">
        <f ca="1">IF('VVP2'!AE323&lt;&gt;"",'VVP2'!AE323,"n.a.")</f>
        <v>111.84047783637298</v>
      </c>
    </row>
    <row r="38" spans="1:31">
      <c r="A38" s="3992" t="str">
        <f t="shared" si="2"/>
        <v>\\DG ECFIN\Forecast\Country databases\Desk transfer databases\BE</v>
      </c>
      <c r="B38" s="3992" t="str">
        <f t="shared" si="3"/>
        <v>BE</v>
      </c>
      <c r="C38" s="3992" t="s">
        <v>2166</v>
      </c>
      <c r="D38" s="3992" t="s">
        <v>2194</v>
      </c>
      <c r="E38" s="3992" t="s">
        <v>2168</v>
      </c>
      <c r="F38" s="3992">
        <v>47</v>
      </c>
      <c r="G38" s="3992" t="s">
        <v>1555</v>
      </c>
      <c r="H38" s="3992">
        <f>IF('VVP2'!H355&lt;&gt;"",'VVP2'!H355,"n.a.")</f>
        <v>215.94239999999999</v>
      </c>
      <c r="I38" s="3992">
        <f>IF('VVP2'!I355&lt;&gt;"",'VVP2'!I355,"n.a.")</f>
        <v>225.96870000000001</v>
      </c>
      <c r="J38" s="3992">
        <f>IF('VVP2'!J355&lt;&gt;"",'VVP2'!J355,"n.a.")</f>
        <v>234.4896</v>
      </c>
      <c r="K38" s="3992">
        <f>IF('VVP2'!K355&lt;&gt;"",'VVP2'!K355,"n.a.")</f>
        <v>244.226</v>
      </c>
      <c r="L38" s="3992">
        <f>IF('VVP2'!L355&lt;&gt;"",'VVP2'!L355,"n.a.")</f>
        <v>258.22199999999998</v>
      </c>
      <c r="M38" s="3992">
        <f>IF('VVP2'!M355&lt;&gt;"",'VVP2'!M355,"n.a.")</f>
        <v>265.78840000000002</v>
      </c>
      <c r="N38" s="3992">
        <f>IF('VVP2'!N355&lt;&gt;"",'VVP2'!N355,"n.a.")</f>
        <v>275.06509999999997</v>
      </c>
      <c r="O38" s="3992">
        <f>IF('VVP2'!O355&lt;&gt;"",'VVP2'!O355,"n.a.")</f>
        <v>282.63650000000001</v>
      </c>
      <c r="P38" s="3992">
        <f>IF('VVP2'!P355&lt;&gt;"",'VVP2'!P355,"n.a.")</f>
        <v>298.71080000000001</v>
      </c>
      <c r="Q38" s="3992">
        <f>IF('VVP2'!Q355&lt;&gt;"",'VVP2'!Q355,"n.a.")</f>
        <v>311.48079999999999</v>
      </c>
      <c r="R38" s="3992">
        <f>IF('VVP2'!R355&lt;&gt;"",'VVP2'!R355,"n.a.")</f>
        <v>326.66209999999995</v>
      </c>
      <c r="S38" s="3992">
        <f>IF('VVP2'!S355&lt;&gt;"",'VVP2'!S355,"n.a.")</f>
        <v>344.71249999999998</v>
      </c>
      <c r="T38" s="3992">
        <f>IF('VVP2'!T355&lt;&gt;"",'VVP2'!T355,"n.a.")</f>
        <v>354.0659</v>
      </c>
      <c r="U38" s="3992">
        <f>IF('VVP2'!U355&lt;&gt;"",'VVP2'!U355,"n.a.")</f>
        <v>348.78109999999998</v>
      </c>
      <c r="V38" s="3992">
        <f>IF('VVP2'!V355&lt;&gt;"",'VVP2'!V355,"n.a.")</f>
        <v>365.10050000000001</v>
      </c>
      <c r="W38" s="3992">
        <f>IF('VVP2'!W355&lt;&gt;"",'VVP2'!W355,"n.a.")</f>
        <v>379.10629999999998</v>
      </c>
      <c r="X38" s="3992">
        <f>IF('VVP2'!X355&lt;&gt;"",'VVP2'!X355,"n.a.")</f>
        <v>387.50009999999997</v>
      </c>
      <c r="Y38" s="3992">
        <f>IF('VVP2'!Y355&lt;&gt;"",'VVP2'!Y355,"n.a.")</f>
        <v>392.33979999999997</v>
      </c>
      <c r="Z38" s="3992">
        <f>IF('VVP2'!Z355&lt;&gt;"",'VVP2'!Z355,"n.a.")</f>
        <v>400.28820000000002</v>
      </c>
      <c r="AA38" s="3992">
        <f>IF('VVP2'!AA355&lt;&gt;"",'VVP2'!AA355,"n.a.")</f>
        <v>410.43520000000001</v>
      </c>
      <c r="AB38" s="3992">
        <f>IF('VVP2'!AB355&lt;&gt;"",'VVP2'!AB355,"n.a.")</f>
        <v>423.04840000000002</v>
      </c>
      <c r="AC38" s="3992">
        <f>IF('VVP2'!AC355&lt;&gt;"",'VVP2'!AC355,"n.a.")</f>
        <v>438.4846</v>
      </c>
      <c r="AD38" s="3992">
        <f ca="1">IF('VVP2'!AD355&lt;&gt;"",'VVP2'!AD355,"n.a.")</f>
        <v>453.37297204218987</v>
      </c>
      <c r="AE38" s="3992">
        <f ca="1">IF('VVP2'!AE355&lt;&gt;"",'VVP2'!AE355,"n.a.")</f>
        <v>469.04097271311014</v>
      </c>
    </row>
    <row r="39" spans="1:31">
      <c r="A39" s="3992" t="str">
        <f t="shared" si="2"/>
        <v>\\DG ECFIN\Forecast\Country databases\Desk transfer databases\BE</v>
      </c>
      <c r="B39" s="3992" t="str">
        <f t="shared" si="3"/>
        <v>BE</v>
      </c>
      <c r="C39" s="3992" t="s">
        <v>2166</v>
      </c>
      <c r="D39" s="3992" t="s">
        <v>2195</v>
      </c>
      <c r="E39" s="3992" t="s">
        <v>2168</v>
      </c>
      <c r="F39" s="3992">
        <v>50</v>
      </c>
      <c r="G39" s="3992" t="s">
        <v>484</v>
      </c>
      <c r="H39" s="3992">
        <f>IF(Sector1!H8&lt;&gt;"",Sector1!H8,"n.a.")</f>
        <v>23.991299999999999</v>
      </c>
      <c r="I39" s="3992">
        <f>IF(Sector1!I8&lt;&gt;"",Sector1!I8,"n.a.")</f>
        <v>25.373799999999999</v>
      </c>
      <c r="J39" s="3992">
        <f>IF(Sector1!J8&lt;&gt;"",Sector1!J8,"n.a.")</f>
        <v>26.328599999999998</v>
      </c>
      <c r="K39" s="3992">
        <f>IF(Sector1!K8&lt;&gt;"",Sector1!K8,"n.a.")</f>
        <v>28.1768</v>
      </c>
      <c r="L39" s="3992">
        <f>IF(Sector1!L8&lt;&gt;"",Sector1!L8,"n.a.")</f>
        <v>29.686599999999999</v>
      </c>
      <c r="M39" s="3992">
        <f>IF(Sector1!M8&lt;&gt;"",Sector1!M8,"n.a.")</f>
        <v>29.2758</v>
      </c>
      <c r="N39" s="3992">
        <f>IF(Sector1!N8&lt;&gt;"",Sector1!N8,"n.a.")</f>
        <v>30.504999999999999</v>
      </c>
      <c r="O39" s="3992">
        <f>IF(Sector1!O8&lt;&gt;"",Sector1!O8,"n.a.")</f>
        <v>31.297999999999998</v>
      </c>
      <c r="P39" s="3992">
        <f>IF(Sector1!P8&lt;&gt;"",Sector1!P8,"n.a.")</f>
        <v>33.624699999999997</v>
      </c>
      <c r="Q39" s="3992">
        <f>IF(Sector1!Q8&lt;&gt;"",Sector1!Q8,"n.a.")</f>
        <v>35.670300000000005</v>
      </c>
      <c r="R39" s="3992">
        <f>IF(Sector1!R8&lt;&gt;"",Sector1!R8,"n.a.")</f>
        <v>37.2408</v>
      </c>
      <c r="S39" s="3992">
        <f>IF(Sector1!S8&lt;&gt;"",Sector1!S8,"n.a.")</f>
        <v>39.244399999999999</v>
      </c>
      <c r="T39" s="3992">
        <f>IF(Sector1!T8&lt;&gt;"",Sector1!T8,"n.a.")</f>
        <v>39.414199999999994</v>
      </c>
      <c r="U39" s="3992">
        <f>IF(Sector1!U8&lt;&gt;"",Sector1!U8,"n.a.")</f>
        <v>38.091900000000003</v>
      </c>
      <c r="V39" s="3992">
        <f>IF(Sector1!V8&lt;&gt;"",Sector1!V8,"n.a.")</f>
        <v>40.911499999999997</v>
      </c>
      <c r="W39" s="3992">
        <f>IF(Sector1!W8&lt;&gt;"",Sector1!W8,"n.a.")</f>
        <v>41.971699999999998</v>
      </c>
      <c r="X39" s="3992">
        <f>IF(Sector1!X8&lt;&gt;"",Sector1!X8,"n.a.")</f>
        <v>42.977199999999996</v>
      </c>
      <c r="Y39" s="3992">
        <f>IF(Sector1!Y8&lt;&gt;"",Sector1!Y8,"n.a.")</f>
        <v>43.547599999999996</v>
      </c>
      <c r="Z39" s="3992">
        <f>IF(Sector1!Z8&lt;&gt;"",Sector1!Z8,"n.a.")</f>
        <v>44.171500000000002</v>
      </c>
      <c r="AA39" s="3992">
        <f>IF(Sector1!AA8&lt;&gt;"",Sector1!AA8,"n.a.")</f>
        <v>45.102699999999999</v>
      </c>
      <c r="AB39" s="3992">
        <f>IF(Sector1!AB8&lt;&gt;"",Sector1!AB8,"n.a.")</f>
        <v>47.467699999999994</v>
      </c>
      <c r="AC39" s="3992">
        <f>IF(Sector1!AC8&lt;&gt;"",Sector1!AC8,"n.a.")</f>
        <v>49.843199999999996</v>
      </c>
      <c r="AD39" s="3992">
        <f>IF(Sector1!AD8&lt;&gt;"",Sector1!AD8,"n.a.")</f>
        <v>51.238809599999996</v>
      </c>
      <c r="AE39" s="3992">
        <f>IF(Sector1!AE8&lt;&gt;"",Sector1!AE8,"n.a.")</f>
        <v>52.9809291264</v>
      </c>
    </row>
    <row r="40" spans="1:31">
      <c r="A40" s="3992" t="str">
        <f t="shared" si="2"/>
        <v>\\DG ECFIN\Forecast\Country databases\Desk transfer databases\BE</v>
      </c>
      <c r="B40" s="3992" t="str">
        <f t="shared" si="3"/>
        <v>BE</v>
      </c>
      <c r="C40" s="3992" t="s">
        <v>2166</v>
      </c>
      <c r="D40" s="3992" t="s">
        <v>2196</v>
      </c>
      <c r="E40" s="3992" t="s">
        <v>2168</v>
      </c>
      <c r="F40" s="3992">
        <v>51</v>
      </c>
      <c r="G40" s="3992" t="s">
        <v>486</v>
      </c>
      <c r="H40" s="3992">
        <f>IF(Sector1!H132&lt;&gt;"",Sector1!H132,"n.a.")</f>
        <v>2.0954999999999999</v>
      </c>
      <c r="I40" s="3992">
        <f>IF(Sector1!I132&lt;&gt;"",Sector1!I132,"n.a.")</f>
        <v>1.9287000000000001</v>
      </c>
      <c r="J40" s="3992">
        <f>IF(Sector1!J132&lt;&gt;"",Sector1!J132,"n.a.")</f>
        <v>1.9761</v>
      </c>
      <c r="K40" s="3992">
        <f>IF(Sector1!K132&lt;&gt;"",Sector1!K132,"n.a.")</f>
        <v>2.0933999999999999</v>
      </c>
      <c r="L40" s="3992">
        <f>IF(Sector1!L132&lt;&gt;"",Sector1!L132,"n.a.")</f>
        <v>1.9535</v>
      </c>
      <c r="M40" s="3992">
        <f>IF(Sector1!M132&lt;&gt;"",Sector1!M132,"n.a.")</f>
        <v>2.0861000000000001</v>
      </c>
      <c r="N40" s="3992">
        <f>IF(Sector1!N132&lt;&gt;"",Sector1!N132,"n.a.")</f>
        <v>2.0305</v>
      </c>
      <c r="O40" s="3992">
        <f>IF(Sector1!O132&lt;&gt;"",Sector1!O132,"n.a.")</f>
        <v>2.4741999999999997</v>
      </c>
      <c r="P40" s="3992">
        <f>IF(Sector1!P132&lt;&gt;"",Sector1!P132,"n.a.")</f>
        <v>1.9581</v>
      </c>
      <c r="Q40" s="3992">
        <f>IF(Sector1!Q132&lt;&gt;"",Sector1!Q132,"n.a.")</f>
        <v>2.6843000000000004</v>
      </c>
      <c r="R40" s="3992">
        <f>IF(Sector1!R132&lt;&gt;"",Sector1!R132,"n.a.")</f>
        <v>2.4045000000000001</v>
      </c>
      <c r="S40" s="3992">
        <f>IF(Sector1!S132&lt;&gt;"",Sector1!S132,"n.a.")</f>
        <v>2.4918</v>
      </c>
      <c r="T40" s="3992">
        <f>IF(Sector1!T132&lt;&gt;"",Sector1!T132,"n.a.")</f>
        <v>2.3571</v>
      </c>
      <c r="U40" s="3992">
        <f>IF(Sector1!U132&lt;&gt;"",Sector1!U132,"n.a.")</f>
        <v>1.9072</v>
      </c>
      <c r="V40" s="3992">
        <f>IF(Sector1!V132&lt;&gt;"",Sector1!V132,"n.a.")</f>
        <v>2.3447</v>
      </c>
      <c r="W40" s="3992">
        <f>IF(Sector1!W132&lt;&gt;"",Sector1!W132,"n.a.")</f>
        <v>2.5096999999999996</v>
      </c>
      <c r="X40" s="3992">
        <f>IF(Sector1!X132&lt;&gt;"",Sector1!X132,"n.a.")</f>
        <v>2.1755</v>
      </c>
      <c r="Y40" s="3992">
        <f>IF(Sector1!Y132&lt;&gt;"",Sector1!Y132,"n.a.")</f>
        <v>2.0844</v>
      </c>
      <c r="Z40" s="3992">
        <f>IF(Sector1!Z132&lt;&gt;"",Sector1!Z132,"n.a.")</f>
        <v>1.9342999999999999</v>
      </c>
      <c r="AA40" s="3992">
        <f>IF(Sector1!AA132&lt;&gt;"",Sector1!AA132,"n.a.")</f>
        <v>2.1391</v>
      </c>
      <c r="AB40" s="3992">
        <f>IF(Sector1!AB132&lt;&gt;"",Sector1!AB132,"n.a.")</f>
        <v>2.0548999999999999</v>
      </c>
      <c r="AC40" s="3992">
        <f>IF(Sector1!AC132&lt;&gt;"",Sector1!AC132,"n.a.")</f>
        <v>2.105</v>
      </c>
      <c r="AD40" s="3992">
        <f>IF(Sector1!AD132&lt;&gt;"",Sector1!AD132,"n.a.")</f>
        <v>2.0824764999999998</v>
      </c>
      <c r="AE40" s="3992">
        <f>IF(Sector1!AE132&lt;&gt;"",Sector1!AE132,"n.a.")</f>
        <v>2.0568620390499999</v>
      </c>
    </row>
    <row r="41" spans="1:31">
      <c r="A41" s="3992" t="str">
        <f t="shared" si="2"/>
        <v>\\DG ECFIN\Forecast\Country databases\Desk transfer databases\BE</v>
      </c>
      <c r="B41" s="3992" t="str">
        <f t="shared" si="3"/>
        <v>BE</v>
      </c>
      <c r="C41" s="3992" t="s">
        <v>2166</v>
      </c>
      <c r="D41" s="3992" t="s">
        <v>2197</v>
      </c>
      <c r="E41" s="3992" t="s">
        <v>2492</v>
      </c>
      <c r="F41" s="3992">
        <v>54</v>
      </c>
      <c r="G41" s="3992" t="s">
        <v>1138</v>
      </c>
      <c r="H41" s="3992">
        <f ca="1">IF('VVP2'!H377&lt;&gt;"",'VVP2'!H377,"n.a.")</f>
        <v>85.254166666666663</v>
      </c>
      <c r="I41" s="3992">
        <f ca="1">IF('VVP2'!I377&lt;&gt;"",'VVP2'!I377,"n.a.")</f>
        <v>86.53083333333332</v>
      </c>
      <c r="J41" s="3992">
        <f ca="1">IF('VVP2'!J377&lt;&gt;"",'VVP2'!J377,"n.a.")</f>
        <v>87.32</v>
      </c>
      <c r="K41" s="3992">
        <f ca="1">IF('VVP2'!K377&lt;&gt;"",'VVP2'!K377,"n.a.")</f>
        <v>88.306666666666672</v>
      </c>
      <c r="L41" s="3992">
        <f ca="1">IF('VVP2'!L377&lt;&gt;"",'VVP2'!L377,"n.a.")</f>
        <v>90.671666666666667</v>
      </c>
      <c r="M41" s="3992">
        <f ca="1">IF('VVP2'!M377&lt;&gt;"",'VVP2'!M377,"n.a.")</f>
        <v>92.881666666666675</v>
      </c>
      <c r="N41" s="3992">
        <f ca="1">IF('VVP2'!N377&lt;&gt;"",'VVP2'!N377,"n.a.")</f>
        <v>94.32416666666667</v>
      </c>
      <c r="O41" s="3992">
        <f ca="1">IF('VVP2'!O377&lt;&gt;"",'VVP2'!O377,"n.a.")</f>
        <v>95.746666666666655</v>
      </c>
      <c r="P41" s="3992">
        <f ca="1">IF('VVP2'!P377&lt;&gt;"",'VVP2'!P377,"n.a.")</f>
        <v>97.527500000000018</v>
      </c>
      <c r="Q41" s="3992">
        <f ca="1">IF('VVP2'!Q377&lt;&gt;"",'VVP2'!Q377,"n.a.")</f>
        <v>99.999166666666667</v>
      </c>
      <c r="R41" s="3992">
        <f ca="1">IF('VVP2'!R377&lt;&gt;"",'VVP2'!R377,"n.a.")</f>
        <v>84.594999999999999</v>
      </c>
      <c r="S41" s="3992">
        <f ca="1">IF('VVP2'!S377&lt;&gt;"",'VVP2'!S377,"n.a.")</f>
        <v>86.131666666666661</v>
      </c>
      <c r="T41" s="3992">
        <f ca="1">IF('VVP2'!T377&lt;&gt;"",'VVP2'!T377,"n.a.")</f>
        <v>89.998333333333335</v>
      </c>
      <c r="U41" s="3992">
        <f ca="1">IF('VVP2'!U377&lt;&gt;"",'VVP2'!U377,"n.a.")</f>
        <v>89.992499999999993</v>
      </c>
      <c r="V41" s="3992">
        <f ca="1">IF('VVP2'!V377&lt;&gt;"",'VVP2'!V377,"n.a.")</f>
        <v>92.092499999999987</v>
      </c>
      <c r="W41" s="3992">
        <f ca="1">IF('VVP2'!W377&lt;&gt;"",'VVP2'!W377,"n.a.")</f>
        <v>95.18</v>
      </c>
      <c r="X41" s="3992">
        <f ca="1">IF('VVP2'!X377&lt;&gt;"",'VVP2'!X377,"n.a.")</f>
        <v>97.679166666666674</v>
      </c>
      <c r="Y41" s="3992">
        <f ca="1">IF('VVP2'!Y377&lt;&gt;"",'VVP2'!Y377,"n.a.")</f>
        <v>98.898333333333312</v>
      </c>
      <c r="Z41" s="3992">
        <f ca="1">IF('VVP2'!Z377&lt;&gt;"",'VVP2'!Z377,"n.a.")</f>
        <v>99.38333333333334</v>
      </c>
      <c r="AA41" s="3992">
        <f>IF('VVP2'!AA377&lt;&gt;"",'VVP2'!AA377,"n.a.")</f>
        <v>99.999166666666696</v>
      </c>
      <c r="AB41" s="3992">
        <f>IF('VVP2'!AB377&lt;&gt;"",'VVP2'!AB377,"n.a.")</f>
        <v>101.769166666667</v>
      </c>
      <c r="AC41" s="3992">
        <f>IF('VVP2'!AC377&lt;&gt;"",'VVP2'!AC377,"n.a.")</f>
        <v>104.0325</v>
      </c>
      <c r="AD41" s="3992">
        <f ca="1">IF('VVP2'!AD377&lt;&gt;"",'VVP2'!AD377,"n.a.")</f>
        <v>105.66628471259277</v>
      </c>
      <c r="AE41" s="3992">
        <f ca="1">IF('VVP2'!AE377&lt;&gt;"",'VVP2'!AE377,"n.a.")</f>
        <v>107.3931473183689</v>
      </c>
    </row>
    <row r="42" spans="1:31">
      <c r="A42" s="3992" t="str">
        <f t="shared" si="2"/>
        <v>\\DG ECFIN\Forecast\Country databases\Desk transfer databases\BE</v>
      </c>
      <c r="B42" s="3992" t="str">
        <f t="shared" si="3"/>
        <v>BE</v>
      </c>
      <c r="C42" s="3992" t="s">
        <v>2166</v>
      </c>
      <c r="D42" s="3992" t="s">
        <v>2198</v>
      </c>
      <c r="E42" s="3992" t="s">
        <v>2492</v>
      </c>
      <c r="F42" s="3992">
        <v>55</v>
      </c>
      <c r="G42" s="3992" t="s">
        <v>1140</v>
      </c>
      <c r="H42" s="3992">
        <f ca="1">IF('VVP2'!H376&lt;&gt;"",'VVP2'!H376,"n.a.")</f>
        <v>87.012175249999999</v>
      </c>
      <c r="I42" s="3992">
        <f ca="1">IF('VVP2'!I376&lt;&gt;"",'VVP2'!I376,"n.a.")</f>
        <v>88.428263000000001</v>
      </c>
      <c r="J42" s="3992">
        <f ca="1">IF('VVP2'!J376&lt;&gt;"",'VVP2'!J376,"n.a.")</f>
        <v>89.271534916666667</v>
      </c>
      <c r="K42" s="3992">
        <f ca="1">IF('VVP2'!K376&lt;&gt;"",'VVP2'!K376,"n.a.")</f>
        <v>90.270699749999991</v>
      </c>
      <c r="L42" s="3992">
        <f ca="1">IF('VVP2'!L376&lt;&gt;"",'VVP2'!L376,"n.a.")</f>
        <v>92.569213916666669</v>
      </c>
      <c r="M42" s="3992">
        <f ca="1">IF('VVP2'!M376&lt;&gt;"",'VVP2'!M376,"n.a.")</f>
        <v>94.856851833333323</v>
      </c>
      <c r="N42" s="3992">
        <f ca="1">IF('VVP2'!N376&lt;&gt;"",'VVP2'!N376,"n.a.")</f>
        <v>96.415780999999981</v>
      </c>
      <c r="O42" s="3992">
        <f ca="1">IF('VVP2'!O376&lt;&gt;"",'VVP2'!O376,"n.a.")</f>
        <v>97.950057333333334</v>
      </c>
      <c r="P42" s="3992">
        <f ca="1">IF('VVP2'!P376&lt;&gt;"",'VVP2'!P376,"n.a.")</f>
        <v>100.00349333333332</v>
      </c>
      <c r="Q42" s="3992">
        <f ca="1">IF('VVP2'!Q376&lt;&gt;"",'VVP2'!Q376,"n.a.")</f>
        <v>102.78583333333334</v>
      </c>
      <c r="R42" s="3992">
        <f ca="1">IF('VVP2'!R376&lt;&gt;"",'VVP2'!R376,"n.a.")</f>
        <v>85.479166666666671</v>
      </c>
      <c r="S42" s="3992">
        <f ca="1">IF('VVP2'!S376&lt;&gt;"",'VVP2'!S376,"n.a.")</f>
        <v>87.03749999999998</v>
      </c>
      <c r="T42" s="3992">
        <f ca="1">IF('VVP2'!T376&lt;&gt;"",'VVP2'!T376,"n.a.")</f>
        <v>90.945000000000007</v>
      </c>
      <c r="U42" s="3992">
        <f ca="1">IF('VVP2'!U376&lt;&gt;"",'VVP2'!U376,"n.a.")</f>
        <v>90.89666666666669</v>
      </c>
      <c r="V42" s="3992">
        <f ca="1">IF('VVP2'!V376&lt;&gt;"",'VVP2'!V376,"n.a.")</f>
        <v>92.88666666666667</v>
      </c>
      <c r="W42" s="3992">
        <f ca="1">IF('VVP2'!W376&lt;&gt;"",'VVP2'!W376,"n.a.")</f>
        <v>96.167500000000004</v>
      </c>
      <c r="X42" s="3992">
        <f ca="1">IF('VVP2'!X376&lt;&gt;"",'VVP2'!X376,"n.a.")</f>
        <v>98.898333333333355</v>
      </c>
      <c r="Y42" s="3992">
        <f ca="1">IF('VVP2'!Y376&lt;&gt;"",'VVP2'!Y376,"n.a.")</f>
        <v>99.999166666666667</v>
      </c>
      <c r="Z42" s="3992">
        <f ca="1">IF('VVP2'!Z376&lt;&gt;"",'VVP2'!Z376,"n.a.")</f>
        <v>100.33916666666666</v>
      </c>
      <c r="AA42" s="3992">
        <f ca="1">IF('VVP2'!AA376&lt;&gt;"",'VVP2'!AA376,"n.a.")</f>
        <v>100.90249999999999</v>
      </c>
      <c r="AB42" s="3992">
        <f ca="1">IF('VVP2'!AB376&lt;&gt;"",'VVP2'!AB376,"n.a.")</f>
        <v>102.89416666666665</v>
      </c>
      <c r="AC42" s="3992">
        <f ca="1">IF('VVP2'!AC376&lt;&gt;"",'VVP2'!AC376,"n.a.")</f>
        <v>105.08166666666666</v>
      </c>
      <c r="AD42" s="3992">
        <f ca="1">IF('VVP2'!AD376&lt;&gt;"",'VVP2'!AD376,"n.a.")</f>
        <v>106.73192808087634</v>
      </c>
      <c r="AE42" s="3992">
        <f ca="1">IF('VVP2'!AE376&lt;&gt;"",'VVP2'!AE376,"n.a.")</f>
        <v>108.4762060778417</v>
      </c>
    </row>
    <row r="43" spans="1:31">
      <c r="A43" s="3992" t="str">
        <f t="shared" si="2"/>
        <v>\\DG ECFIN\Forecast\Country databases\Desk transfer databases\BE</v>
      </c>
      <c r="B43" s="3992" t="str">
        <f t="shared" si="3"/>
        <v>BE</v>
      </c>
      <c r="C43" s="3992" t="s">
        <v>2166</v>
      </c>
      <c r="D43" s="3992" t="s">
        <v>2200</v>
      </c>
      <c r="E43" s="3992" t="s">
        <v>2168</v>
      </c>
      <c r="F43" s="3992">
        <v>57</v>
      </c>
      <c r="G43" s="3992" t="s">
        <v>912</v>
      </c>
      <c r="H43" s="3992">
        <f>IF(Sector1!H179&lt;&gt;"",Sector1!H179,"n.a.")</f>
        <v>194.04660000000001</v>
      </c>
      <c r="I43" s="3992">
        <f>IF(Sector1!I179&lt;&gt;"",Sector1!I179,"n.a.")</f>
        <v>202.52360000000002</v>
      </c>
      <c r="J43" s="3992">
        <f>IF(Sector1!J179&lt;&gt;"",Sector1!J179,"n.a.")</f>
        <v>210.1371</v>
      </c>
      <c r="K43" s="3992">
        <f>IF(Sector1!K179&lt;&gt;"",Sector1!K179,"n.a.")</f>
        <v>218.14260000000002</v>
      </c>
      <c r="L43" s="3992">
        <f>IF(Sector1!L179&lt;&gt;"",Sector1!L179,"n.a.")</f>
        <v>230.4889</v>
      </c>
      <c r="M43" s="3992">
        <f>IF(Sector1!M179&lt;&gt;"",Sector1!M179,"n.a.")</f>
        <v>238.59870000000001</v>
      </c>
      <c r="N43" s="3992">
        <f>IF(Sector1!N179&lt;&gt;"",Sector1!N179,"n.a.")</f>
        <v>246.59059999999999</v>
      </c>
      <c r="O43" s="3992">
        <f>IF(Sector1!O179&lt;&gt;"",Sector1!O179,"n.a.")</f>
        <v>253.81270000000001</v>
      </c>
      <c r="P43" s="3992">
        <f>IF(Sector1!P179&lt;&gt;"",Sector1!P179,"n.a.")</f>
        <v>267.04419999999999</v>
      </c>
      <c r="Q43" s="3992">
        <f>IF(Sector1!Q179&lt;&gt;"",Sector1!Q179,"n.a.")</f>
        <v>278.4948</v>
      </c>
      <c r="R43" s="3992">
        <f>IF(Sector1!R179&lt;&gt;"",Sector1!R179,"n.a.")</f>
        <v>291.82580000000002</v>
      </c>
      <c r="S43" s="3992">
        <f>IF(Sector1!S179&lt;&gt;"",Sector1!S179,"n.a.")</f>
        <v>307.9599</v>
      </c>
      <c r="T43" s="3992">
        <f>IF(Sector1!T179&lt;&gt;"",Sector1!T179,"n.a.")</f>
        <v>317.00880000000001</v>
      </c>
      <c r="U43" s="3992">
        <f>IF(Sector1!U179&lt;&gt;"",Sector1!U179,"n.a.")</f>
        <v>312.59640000000002</v>
      </c>
      <c r="V43" s="3992">
        <f>IF(Sector1!V179&lt;&gt;"",Sector1!V179,"n.a.")</f>
        <v>326.53370000000001</v>
      </c>
      <c r="W43" s="3992">
        <f>IF(Sector1!W179&lt;&gt;"",Sector1!W179,"n.a.")</f>
        <v>339.64429999999999</v>
      </c>
      <c r="X43" s="3992">
        <f>IF(Sector1!X179&lt;&gt;"",Sector1!X179,"n.a.")</f>
        <v>346.69840000000005</v>
      </c>
      <c r="Y43" s="3992">
        <f>IF(Sector1!Y179&lt;&gt;"",Sector1!Y179,"n.a.")</f>
        <v>350.8766</v>
      </c>
      <c r="Z43" s="3992">
        <f>IF(Sector1!Z179&lt;&gt;"",Sector1!Z179,"n.a.")</f>
        <v>358.05099999999999</v>
      </c>
      <c r="AA43" s="3992">
        <f>IF(Sector1!AA179&lt;&gt;"",Sector1!AA179,"n.a.")</f>
        <v>367.47159999999997</v>
      </c>
      <c r="AB43" s="3992">
        <f>IF(Sector1!AB179&lt;&gt;"",Sector1!AB179,"n.a.")</f>
        <v>377.63559999999995</v>
      </c>
      <c r="AC43" s="3992">
        <f>IF(Sector1!AC179&lt;&gt;"",Sector1!AC179,"n.a.")</f>
        <v>390.74629999999996</v>
      </c>
      <c r="AD43" s="3992">
        <f ca="1">IF(Sector1!AD179&lt;&gt;"",Sector1!AD179,"n.a.")</f>
        <v>404.21663894218989</v>
      </c>
      <c r="AE43" s="3992">
        <f ca="1">IF(Sector1!AE179&lt;&gt;"",Sector1!AE179,"n.a.")</f>
        <v>418.11690562576013</v>
      </c>
    </row>
    <row r="44" spans="1:31">
      <c r="A44" s="3992" t="str">
        <f t="shared" si="2"/>
        <v>\\DG ECFIN\Forecast\Country databases\Desk transfer databases\BE</v>
      </c>
      <c r="B44" s="3992" t="str">
        <f t="shared" si="3"/>
        <v>BE</v>
      </c>
      <c r="C44" s="3992" t="s">
        <v>2166</v>
      </c>
      <c r="D44" s="3992" t="s">
        <v>2201</v>
      </c>
      <c r="E44" s="3992" t="s">
        <v>2168</v>
      </c>
      <c r="F44" s="3992">
        <v>58</v>
      </c>
      <c r="G44" s="3992" t="s">
        <v>913</v>
      </c>
      <c r="H44" s="3992">
        <f ca="1">IF('VVP2'!H186&lt;&gt;"",'VVP2'!H186,"n.a.")</f>
        <v>183.00010683627613</v>
      </c>
      <c r="I44" s="3992">
        <f ca="1">IF('VVP2'!I186&lt;&gt;"",'VVP2'!I186,"n.a.")</f>
        <v>200.81723125844201</v>
      </c>
      <c r="J44" s="3992">
        <f ca="1">IF('VVP2'!J186&lt;&gt;"",'VVP2'!J186,"n.a.")</f>
        <v>206.45114579885671</v>
      </c>
      <c r="K44" s="3992">
        <f ca="1">IF('VVP2'!K186&lt;&gt;"",'VVP2'!K186,"n.a.")</f>
        <v>217.0641220347654</v>
      </c>
      <c r="L44" s="3992">
        <f ca="1">IF('VVP2'!L186&lt;&gt;"",'VVP2'!L186,"n.a.")</f>
        <v>225.73440130490732</v>
      </c>
      <c r="M44" s="3992">
        <f ca="1">IF('VVP2'!M186&lt;&gt;"",'VVP2'!M186,"n.a.")</f>
        <v>233.55889537612552</v>
      </c>
      <c r="N44" s="3992">
        <f ca="1">IF('VVP2'!N186&lt;&gt;"",'VVP2'!N186,"n.a.")</f>
        <v>242.56173930922799</v>
      </c>
      <c r="O44" s="3992">
        <f ca="1">IF('VVP2'!O186&lt;&gt;"",'VVP2'!O186,"n.a.")</f>
        <v>248.88976685689457</v>
      </c>
      <c r="P44" s="3992">
        <f ca="1">IF('VVP2'!P186&lt;&gt;"",'VVP2'!P186,"n.a.")</f>
        <v>261.82431778793591</v>
      </c>
      <c r="Q44" s="3992">
        <f ca="1">IF('VVP2'!Q186&lt;&gt;"",'VVP2'!Q186,"n.a.")</f>
        <v>272.7962415673548</v>
      </c>
      <c r="R44" s="3992">
        <f ca="1">IF('VVP2'!R186&lt;&gt;"",'VVP2'!R186,"n.a.")</f>
        <v>285.23384635136716</v>
      </c>
      <c r="S44" s="3992">
        <f ca="1">IF('VVP2'!S186&lt;&gt;"",'VVP2'!S186,"n.a.")</f>
        <v>301.93187579747638</v>
      </c>
      <c r="T44" s="3992">
        <f ca="1">IF('VVP2'!T186&lt;&gt;"",'VVP2'!T186,"n.a.")</f>
        <v>311.92703675462076</v>
      </c>
      <c r="U44" s="3992">
        <f ca="1">IF('VVP2'!U186&lt;&gt;"",'VVP2'!U186,"n.a.")</f>
        <v>309.86725695041935</v>
      </c>
      <c r="V44" s="3992">
        <f ca="1">IF('VVP2'!V186&lt;&gt;"",'VVP2'!V186,"n.a.")</f>
        <v>320.61583884861665</v>
      </c>
      <c r="W44" s="3992">
        <f ca="1">IF('VVP2'!W186&lt;&gt;"",'VVP2'!W186,"n.a.")</f>
        <v>333.53847999999999</v>
      </c>
      <c r="X44" s="3992">
        <f ca="1">IF('VVP2'!X186&lt;&gt;"",'VVP2'!X186,"n.a.")</f>
        <v>340.30599536462483</v>
      </c>
      <c r="Y44" s="3992">
        <f ca="1">IF('VVP2'!Y186&lt;&gt;"",'VVP2'!Y186,"n.a.")</f>
        <v>347.26560685481854</v>
      </c>
      <c r="Z44" s="3992">
        <f ca="1">IF('VVP2'!Z186&lt;&gt;"",'VVP2'!Z186,"n.a.")</f>
        <v>355.61504545824926</v>
      </c>
      <c r="AA44" s="3992">
        <f ca="1">IF('VVP2'!AA186&lt;&gt;"",'VVP2'!AA186,"n.a.")</f>
        <v>363.70625691107489</v>
      </c>
      <c r="AB44" s="3992">
        <f ca="1">IF('VVP2'!AB186&lt;&gt;"",'VVP2'!AB186,"n.a.")</f>
        <v>371.92980227062822</v>
      </c>
      <c r="AC44" s="3992">
        <f ca="1">IF('VVP2'!AC186&lt;&gt;"",'VVP2'!AC186,"n.a.")</f>
        <v>383.87252751966798</v>
      </c>
      <c r="AD44" s="3992">
        <f ca="1">IF('VVP2'!AD186&lt;&gt;"",'VVP2'!AD186,"n.a.")</f>
        <v>398.01204817909735</v>
      </c>
      <c r="AE44" s="3992">
        <f ca="1">IF('VVP2'!AE186&lt;&gt;"",'VVP2'!AE186,"n.a.")</f>
        <v>411.15361162497379</v>
      </c>
    </row>
    <row r="45" spans="1:31">
      <c r="A45" s="3992" t="str">
        <f t="shared" si="2"/>
        <v>\\DG ECFIN\Forecast\Country databases\Desk transfer databases\BE</v>
      </c>
      <c r="B45" s="3992" t="str">
        <f t="shared" si="3"/>
        <v>BE</v>
      </c>
      <c r="C45" s="3992" t="s">
        <v>2166</v>
      </c>
      <c r="D45" s="3992" t="s">
        <v>2202</v>
      </c>
      <c r="E45" s="3992" t="s">
        <v>2203</v>
      </c>
      <c r="F45" s="3992">
        <v>59</v>
      </c>
      <c r="G45" s="3992" t="s">
        <v>931</v>
      </c>
      <c r="H45" s="3992">
        <f>IF(Labour1!H32&lt;&gt;"",Labour1!H32,"n.a.")</f>
        <v>3878.1</v>
      </c>
      <c r="I45" s="3992">
        <f>IF(Labour1!I32&lt;&gt;"",Labour1!I32,"n.a.")</f>
        <v>3904.5</v>
      </c>
      <c r="J45" s="3992">
        <f>IF(Labour1!J32&lt;&gt;"",Labour1!J32,"n.a.")</f>
        <v>3973</v>
      </c>
      <c r="K45" s="3992">
        <f>IF(Labour1!K32&lt;&gt;"",Labour1!K32,"n.a.")</f>
        <v>4027.8</v>
      </c>
      <c r="L45" s="3992">
        <f>IF(Labour1!L32&lt;&gt;"",Labour1!L32,"n.a.")</f>
        <v>4108.8999999999996</v>
      </c>
      <c r="M45" s="3992">
        <f>IF(Labour1!M32&lt;&gt;"",Labour1!M32,"n.a.")</f>
        <v>4165.2</v>
      </c>
      <c r="N45" s="3992">
        <f>IF(Labour1!N32&lt;&gt;"",Labour1!N32,"n.a.")</f>
        <v>4157.3</v>
      </c>
      <c r="O45" s="3992">
        <f>IF(Labour1!O32&lt;&gt;"",Labour1!O32,"n.a.")</f>
        <v>4153.8999999999996</v>
      </c>
      <c r="P45" s="3992">
        <f>IF(Labour1!P32&lt;&gt;"",Labour1!P32,"n.a.")</f>
        <v>4194.7</v>
      </c>
      <c r="Q45" s="3992">
        <f>IF(Labour1!Q32&lt;&gt;"",Labour1!Q32,"n.a.")</f>
        <v>4255.2</v>
      </c>
      <c r="R45" s="3992">
        <f>IF(Labour1!R32&lt;&gt;"",Labour1!R32,"n.a.")</f>
        <v>4302.8999999999996</v>
      </c>
      <c r="S45" s="3992">
        <f>IF(Labour1!S32&lt;&gt;"",Labour1!S32,"n.a.")</f>
        <v>4373.8999999999996</v>
      </c>
      <c r="T45" s="3992">
        <f>IF(Labour1!T32&lt;&gt;"",Labour1!T32,"n.a.")</f>
        <v>4452.8999999999996</v>
      </c>
      <c r="U45" s="3992">
        <f>IF(Labour1!U32&lt;&gt;"",Labour1!U32,"n.a.")</f>
        <v>4445.5</v>
      </c>
      <c r="V45" s="3992">
        <f>IF(Labour1!V32&lt;&gt;"",Labour1!V32,"n.a.")</f>
        <v>4474</v>
      </c>
      <c r="W45" s="3992">
        <f>IF(Labour1!W32&lt;&gt;"",Labour1!W32,"n.a.")</f>
        <v>4535.3</v>
      </c>
      <c r="X45" s="3992">
        <f>IF(Labour1!X32&lt;&gt;"",Labour1!X32,"n.a.")</f>
        <v>4555</v>
      </c>
      <c r="Y45" s="3992">
        <f>IF(Labour1!Y32&lt;&gt;"",Labour1!Y32,"n.a.")</f>
        <v>4540.1000000000004</v>
      </c>
      <c r="Z45" s="3992">
        <f>IF(Labour1!Z32&lt;&gt;"",Labour1!Z32,"n.a.")</f>
        <v>4559.8999999999996</v>
      </c>
      <c r="AA45" s="3992">
        <f>IF(Labour1!AA32&lt;&gt;"",Labour1!AA32,"n.a.")</f>
        <v>4600.3999999999996</v>
      </c>
      <c r="AB45" s="3992">
        <f>IF(Labour1!AB32&lt;&gt;"",Labour1!AB32,"n.a.")</f>
        <v>4658.1000000000004</v>
      </c>
      <c r="AC45" s="3992">
        <f>IF(Labour1!AC32&lt;&gt;"",Labour1!AC32,"n.a.")</f>
        <v>4723.7</v>
      </c>
      <c r="AD45" s="3992">
        <f>IF(Labour1!AD32&lt;&gt;"",Labour1!AD32,"n.a.")</f>
        <v>4782.3744499999993</v>
      </c>
      <c r="AE45" s="3992">
        <f>IF(Labour1!AE32&lt;&gt;"",Labour1!AE32,"n.a.")</f>
        <v>4832.4420419199987</v>
      </c>
    </row>
    <row r="46" spans="1:31">
      <c r="A46" s="3992" t="str">
        <f t="shared" si="2"/>
        <v>\\DG ECFIN\Forecast\Country databases\Desk transfer databases\BE</v>
      </c>
      <c r="B46" s="3992" t="str">
        <f t="shared" si="3"/>
        <v>BE</v>
      </c>
      <c r="C46" s="3992" t="s">
        <v>2166</v>
      </c>
      <c r="D46" s="3992" t="s">
        <v>2204</v>
      </c>
      <c r="E46" s="3992" t="s">
        <v>2203</v>
      </c>
      <c r="F46" s="3992">
        <v>60</v>
      </c>
      <c r="G46" s="3992" t="s">
        <v>2139</v>
      </c>
      <c r="H46" s="3992" t="s">
        <v>2199</v>
      </c>
      <c r="I46" s="3992" t="s">
        <v>2199</v>
      </c>
      <c r="J46" s="3992" t="s">
        <v>2199</v>
      </c>
      <c r="K46" s="3992" t="s">
        <v>2199</v>
      </c>
      <c r="L46" s="3992" t="s">
        <v>2199</v>
      </c>
      <c r="M46" s="3992" t="s">
        <v>2199</v>
      </c>
      <c r="N46" s="3992" t="s">
        <v>2199</v>
      </c>
      <c r="O46" s="3992" t="s">
        <v>2199</v>
      </c>
      <c r="P46" s="3992" t="s">
        <v>2199</v>
      </c>
      <c r="Q46" s="3992" t="s">
        <v>2199</v>
      </c>
      <c r="R46" s="3992" t="s">
        <v>2199</v>
      </c>
      <c r="S46" s="3992" t="s">
        <v>2199</v>
      </c>
      <c r="T46" s="3992" t="s">
        <v>2199</v>
      </c>
      <c r="U46" s="3992" t="s">
        <v>2199</v>
      </c>
      <c r="V46" s="3992" t="s">
        <v>2199</v>
      </c>
      <c r="W46" s="3992" t="s">
        <v>2199</v>
      </c>
      <c r="X46" s="3992" t="s">
        <v>2199</v>
      </c>
      <c r="Y46" s="3992" t="s">
        <v>2199</v>
      </c>
      <c r="Z46" s="3992" t="s">
        <v>2199</v>
      </c>
      <c r="AA46" s="3992" t="s">
        <v>2199</v>
      </c>
      <c r="AB46" s="3992" t="s">
        <v>2199</v>
      </c>
      <c r="AC46" s="3992" t="s">
        <v>2199</v>
      </c>
      <c r="AD46" s="3992" t="s">
        <v>2199</v>
      </c>
      <c r="AE46" s="3992" t="s">
        <v>2199</v>
      </c>
    </row>
    <row r="47" spans="1:31">
      <c r="A47" s="3992" t="str">
        <f t="shared" si="2"/>
        <v>\\DG ECFIN\Forecast\Country databases\Desk transfer databases\BE</v>
      </c>
      <c r="B47" s="3992" t="str">
        <f t="shared" si="3"/>
        <v>BE</v>
      </c>
      <c r="C47" s="3992" t="s">
        <v>2166</v>
      </c>
      <c r="D47" s="3992" t="s">
        <v>2205</v>
      </c>
      <c r="E47" s="3992" t="s">
        <v>2168</v>
      </c>
      <c r="F47" s="3992">
        <v>61</v>
      </c>
      <c r="G47" s="3992" t="s">
        <v>933</v>
      </c>
      <c r="H47" s="3992">
        <f>IF(Labour1!H214&lt;&gt;"",Labour1!H214,"n.a.")</f>
        <v>108.639</v>
      </c>
      <c r="I47" s="3992">
        <f>IF(Labour1!I214&lt;&gt;"",Labour1!I214,"n.a.")</f>
        <v>112.863</v>
      </c>
      <c r="J47" s="3992">
        <f>IF(Labour1!J214&lt;&gt;"",Labour1!J214,"n.a.")</f>
        <v>116.876</v>
      </c>
      <c r="K47" s="3992">
        <f>IF(Labour1!K214&lt;&gt;"",Labour1!K214,"n.a.")</f>
        <v>122.96380000000001</v>
      </c>
      <c r="L47" s="3992">
        <f>IF(Labour1!L214&lt;&gt;"",Labour1!L214,"n.a.")</f>
        <v>128.5214</v>
      </c>
      <c r="M47" s="3992">
        <f>IF(Labour1!M214&lt;&gt;"",Labour1!M214,"n.a.")</f>
        <v>135.66420000000002</v>
      </c>
      <c r="N47" s="3992">
        <f>IF(Labour1!N214&lt;&gt;"",Labour1!N214,"n.a.")</f>
        <v>140.91249999999999</v>
      </c>
      <c r="O47" s="3992">
        <f>IF(Labour1!O214&lt;&gt;"",Labour1!O214,"n.a.")</f>
        <v>143.56739999999999</v>
      </c>
      <c r="P47" s="3992">
        <f>IF(Labour1!P214&lt;&gt;"",Labour1!P214,"n.a.")</f>
        <v>147.73400000000001</v>
      </c>
      <c r="Q47" s="3992">
        <f>IF(Labour1!Q214&lt;&gt;"",Labour1!Q214,"n.a.")</f>
        <v>152.8537</v>
      </c>
      <c r="R47" s="3992">
        <f>IF(Labour1!R214&lt;&gt;"",Labour1!R214,"n.a.")</f>
        <v>160.24</v>
      </c>
      <c r="S47" s="3992">
        <f>IF(Labour1!S214&lt;&gt;"",Labour1!S214,"n.a.")</f>
        <v>168.89520000000002</v>
      </c>
      <c r="T47" s="3992">
        <f>IF(Labour1!T214&lt;&gt;"",Labour1!T214,"n.a.")</f>
        <v>178.3613</v>
      </c>
      <c r="U47" s="3992">
        <f>IF(Labour1!U214&lt;&gt;"",Labour1!U214,"n.a.")</f>
        <v>179.6233</v>
      </c>
      <c r="V47" s="3992">
        <f>IF(Labour1!V214&lt;&gt;"",Labour1!V214,"n.a.")</f>
        <v>183.22900000000001</v>
      </c>
      <c r="W47" s="3992">
        <f>IF(Labour1!W214&lt;&gt;"",Labour1!W214,"n.a.")</f>
        <v>191.62610000000001</v>
      </c>
      <c r="X47" s="3992">
        <f>IF(Labour1!X214&lt;&gt;"",Labour1!X214,"n.a.")</f>
        <v>198.30549999999999</v>
      </c>
      <c r="Y47" s="3992">
        <f>IF(Labour1!Y214&lt;&gt;"",Labour1!Y214,"n.a.")</f>
        <v>202.2714</v>
      </c>
      <c r="Z47" s="3992">
        <f>IF(Labour1!Z214&lt;&gt;"",Labour1!Z214,"n.a.")</f>
        <v>204.84970000000001</v>
      </c>
      <c r="AA47" s="3992">
        <f>IF(Labour1!AA214&lt;&gt;"",Labour1!AA214,"n.a.")</f>
        <v>206.54179999999999</v>
      </c>
      <c r="AB47" s="3992">
        <f>IF(Labour1!AB214&lt;&gt;"",Labour1!AB214,"n.a.")</f>
        <v>209.14500000000001</v>
      </c>
      <c r="AC47" s="3992">
        <f>IF(Labour1!AC214&lt;&gt;"",Labour1!AC214,"n.a.")</f>
        <v>215.74179999999998</v>
      </c>
      <c r="AD47" s="3992">
        <f>IF(Labour1!AD214&lt;&gt;"",Labour1!AD214,"n.a.")</f>
        <v>222.85392806550556</v>
      </c>
      <c r="AE47" s="3992">
        <f>IF(Labour1!AE214&lt;&gt;"",Labour1!AE214,"n.a.")</f>
        <v>229.99237146146336</v>
      </c>
    </row>
    <row r="48" spans="1:31">
      <c r="A48" s="3992" t="str">
        <f t="shared" si="2"/>
        <v>\\DG ECFIN\Forecast\Country databases\Desk transfer databases\BE</v>
      </c>
      <c r="B48" s="3992" t="str">
        <f t="shared" si="3"/>
        <v>BE</v>
      </c>
      <c r="C48" s="3992" t="s">
        <v>2166</v>
      </c>
      <c r="D48" s="3992" t="s">
        <v>2206</v>
      </c>
      <c r="E48" s="3992" t="s">
        <v>2168</v>
      </c>
      <c r="F48" s="3992">
        <v>62</v>
      </c>
      <c r="G48" s="3992" t="s">
        <v>934</v>
      </c>
      <c r="H48" s="3992">
        <f>IF(Labour1!H135&lt;&gt;"",Labour1!H135,"n.a.")</f>
        <v>80.232399999999998</v>
      </c>
      <c r="I48" s="3992">
        <f>IF(Labour1!I135&lt;&gt;"",Labour1!I135,"n.a.")</f>
        <v>83.0839</v>
      </c>
      <c r="J48" s="3992">
        <f>IF(Labour1!J135&lt;&gt;"",Labour1!J135,"n.a.")</f>
        <v>85.514800000000008</v>
      </c>
      <c r="K48" s="3992">
        <f>IF(Labour1!K135&lt;&gt;"",Labour1!K135,"n.a.")</f>
        <v>90.406000000000006</v>
      </c>
      <c r="L48" s="3992">
        <f>IF(Labour1!L135&lt;&gt;"",Labour1!L135,"n.a.")</f>
        <v>95.308499999999995</v>
      </c>
      <c r="M48" s="3992">
        <f>IF(Labour1!M135&lt;&gt;"",Labour1!M135,"n.a.")</f>
        <v>100.70110000000001</v>
      </c>
      <c r="N48" s="3992">
        <f>IF(Labour1!N135&lt;&gt;"",Labour1!N135,"n.a.")</f>
        <v>103.7089</v>
      </c>
      <c r="O48" s="3992">
        <f>IF(Labour1!O135&lt;&gt;"",Labour1!O135,"n.a.")</f>
        <v>105.3905</v>
      </c>
      <c r="P48" s="3992">
        <f>IF(Labour1!P135&lt;&gt;"",Labour1!P135,"n.a.")</f>
        <v>108.57769999999999</v>
      </c>
      <c r="Q48" s="3992">
        <f>IF(Labour1!Q135&lt;&gt;"",Labour1!Q135,"n.a.")</f>
        <v>112.64619999999999</v>
      </c>
      <c r="R48" s="3992">
        <f>IF(Labour1!R135&lt;&gt;"",Labour1!R135,"n.a.")</f>
        <v>118.00619999999999</v>
      </c>
      <c r="S48" s="3992">
        <f>IF(Labour1!S135&lt;&gt;"",Labour1!S135,"n.a.")</f>
        <v>123.50389999999999</v>
      </c>
      <c r="T48" s="3992">
        <f>IF(Labour1!T135&lt;&gt;"",Labour1!T135,"n.a.")</f>
        <v>130.16389999999998</v>
      </c>
      <c r="U48" s="3992">
        <f>IF(Labour1!U135&lt;&gt;"",Labour1!U135,"n.a.")</f>
        <v>130.24520000000001</v>
      </c>
      <c r="V48" s="3992">
        <f>IF(Labour1!V135&lt;&gt;"",Labour1!V135,"n.a.")</f>
        <v>132.6114</v>
      </c>
      <c r="W48" s="3992">
        <f>IF(Labour1!W135&lt;&gt;"",Labour1!W135,"n.a.")</f>
        <v>138.88890000000001</v>
      </c>
      <c r="X48" s="3992">
        <f>IF(Labour1!X135&lt;&gt;"",Labour1!X135,"n.a.")</f>
        <v>143.36060000000001</v>
      </c>
      <c r="Y48" s="3992">
        <f>IF(Labour1!Y135&lt;&gt;"",Labour1!Y135,"n.a.")</f>
        <v>146.0214</v>
      </c>
      <c r="Z48" s="3992">
        <f>IF(Labour1!Z135&lt;&gt;"",Labour1!Z135,"n.a.")</f>
        <v>148.1163</v>
      </c>
      <c r="AA48" s="3992">
        <f>IF(Labour1!AA135&lt;&gt;"",Labour1!AA135,"n.a.")</f>
        <v>149.10410000000002</v>
      </c>
      <c r="AB48" s="3992">
        <f>IF(Labour1!AB135&lt;&gt;"",Labour1!AB135,"n.a.")</f>
        <v>152.82429999999999</v>
      </c>
      <c r="AC48" s="3992">
        <f>IF(Labour1!AC135&lt;&gt;"",Labour1!AC135,"n.a.")</f>
        <v>157.89510000000001</v>
      </c>
      <c r="AD48" s="3992">
        <f>IF(Labour1!AD135&lt;&gt;"",Labour1!AD135,"n.a.")</f>
        <v>163.44911996871582</v>
      </c>
      <c r="AE48" s="3992">
        <f>IF(Labour1!AE135&lt;&gt;"",Labour1!AE135,"n.a.")</f>
        <v>168.64815252048436</v>
      </c>
    </row>
    <row r="49" spans="1:31">
      <c r="A49" s="3992" t="str">
        <f t="shared" si="2"/>
        <v>\\DG ECFIN\Forecast\Country databases\Desk transfer databases\BE</v>
      </c>
      <c r="B49" s="3992" t="str">
        <f t="shared" si="3"/>
        <v>BE</v>
      </c>
      <c r="C49" s="3992" t="s">
        <v>2166</v>
      </c>
      <c r="D49" s="3992" t="s">
        <v>2207</v>
      </c>
      <c r="E49" s="3992" t="s">
        <v>2203</v>
      </c>
      <c r="F49" s="3992">
        <v>63</v>
      </c>
      <c r="G49" s="3992" t="s">
        <v>935</v>
      </c>
      <c r="H49" s="3992">
        <f>IF(Labour1!H30&lt;&gt;"",Labour1!H30,"n.a.")</f>
        <v>3173.7</v>
      </c>
      <c r="I49" s="3992">
        <f>IF(Labour1!I30&lt;&gt;"",Labour1!I30,"n.a.")</f>
        <v>3198.8</v>
      </c>
      <c r="J49" s="3992">
        <f>IF(Labour1!J30&lt;&gt;"",Labour1!J30,"n.a.")</f>
        <v>3268.1</v>
      </c>
      <c r="K49" s="3992">
        <f>IF(Labour1!K30&lt;&gt;"",Labour1!K30,"n.a.")</f>
        <v>3322.8</v>
      </c>
      <c r="L49" s="3992">
        <f>IF(Labour1!L30&lt;&gt;"",Labour1!L30,"n.a.")</f>
        <v>3407.1</v>
      </c>
      <c r="M49" s="3992">
        <f>IF(Labour1!M30&lt;&gt;"",Labour1!M30,"n.a.")</f>
        <v>3469.4</v>
      </c>
      <c r="N49" s="3992">
        <f>IF(Labour1!N30&lt;&gt;"",Labour1!N30,"n.a.")</f>
        <v>3468.2</v>
      </c>
      <c r="O49" s="3992">
        <f>IF(Labour1!O30&lt;&gt;"",Labour1!O30,"n.a.")</f>
        <v>3465.1</v>
      </c>
      <c r="P49" s="3992">
        <f>IF(Labour1!P30&lt;&gt;"",Labour1!P30,"n.a.")</f>
        <v>3503</v>
      </c>
      <c r="Q49" s="3992">
        <f>IF(Labour1!Q30&lt;&gt;"",Labour1!Q30,"n.a.")</f>
        <v>3560.6</v>
      </c>
      <c r="R49" s="3992">
        <f>IF(Labour1!R30&lt;&gt;"",Labour1!R30,"n.a.")</f>
        <v>3603.8</v>
      </c>
      <c r="S49" s="3992">
        <f>IF(Labour1!S30&lt;&gt;"",Labour1!S30,"n.a.")</f>
        <v>3668.3</v>
      </c>
      <c r="T49" s="3992">
        <f>IF(Labour1!T30&lt;&gt;"",Labour1!T30,"n.a.")</f>
        <v>3737.3</v>
      </c>
      <c r="U49" s="3992">
        <f>IF(Labour1!U30&lt;&gt;"",Labour1!U30,"n.a.")</f>
        <v>3723.9</v>
      </c>
      <c r="V49" s="3992">
        <f>IF(Labour1!V30&lt;&gt;"",Labour1!V30,"n.a.")</f>
        <v>3747.1</v>
      </c>
      <c r="W49" s="3992">
        <f>IF(Labour1!W30&lt;&gt;"",Labour1!W30,"n.a.")</f>
        <v>3800.4</v>
      </c>
      <c r="X49" s="3992">
        <f>IF(Labour1!X30&lt;&gt;"",Labour1!X30,"n.a.")</f>
        <v>3812.3</v>
      </c>
      <c r="Y49" s="3992">
        <f>IF(Labour1!Y30&lt;&gt;"",Labour1!Y30,"n.a.")</f>
        <v>3791.5</v>
      </c>
      <c r="Z49" s="3992">
        <f>IF(Labour1!Z30&lt;&gt;"",Labour1!Z30,"n.a.")</f>
        <v>3805.2</v>
      </c>
      <c r="AA49" s="3992">
        <f>IF(Labour1!AA30&lt;&gt;"",Labour1!AA30,"n.a.")</f>
        <v>3835.3</v>
      </c>
      <c r="AB49" s="3992">
        <f>IF(Labour1!AB30&lt;&gt;"",Labour1!AB30,"n.a.")</f>
        <v>3879.8</v>
      </c>
      <c r="AC49" s="3992">
        <f>IF(Labour1!AC30&lt;&gt;"",Labour1!AC30,"n.a.")</f>
        <v>3934.5</v>
      </c>
      <c r="AD49" s="3992">
        <f>IF(Labour1!AD30&lt;&gt;"",Labour1!AD30,"n.a.")</f>
        <v>3982.9148500000001</v>
      </c>
      <c r="AE49" s="3992">
        <f>IF(Labour1!AE30&lt;&gt;"",Labour1!AE30,"n.a.")</f>
        <v>4022.5894671199994</v>
      </c>
    </row>
    <row r="50" spans="1:31">
      <c r="A50" s="3992" t="str">
        <f t="shared" si="2"/>
        <v>\\DG ECFIN\Forecast\Country databases\Desk transfer databases\BE</v>
      </c>
      <c r="B50" s="3992" t="str">
        <f t="shared" si="3"/>
        <v>BE</v>
      </c>
      <c r="C50" s="3992" t="s">
        <v>2166</v>
      </c>
      <c r="D50" s="3992" t="s">
        <v>2208</v>
      </c>
      <c r="E50" s="3992" t="s">
        <v>2203</v>
      </c>
      <c r="F50" s="3992">
        <v>64</v>
      </c>
      <c r="G50" s="3992" t="s">
        <v>117</v>
      </c>
      <c r="H50" s="3992" t="s">
        <v>2199</v>
      </c>
      <c r="I50" s="3992" t="s">
        <v>2199</v>
      </c>
      <c r="J50" s="3992" t="s">
        <v>2199</v>
      </c>
      <c r="K50" s="3992" t="s">
        <v>2199</v>
      </c>
      <c r="L50" s="3992" t="s">
        <v>2199</v>
      </c>
      <c r="M50" s="3992" t="s">
        <v>2199</v>
      </c>
      <c r="N50" s="3992" t="s">
        <v>2199</v>
      </c>
      <c r="O50" s="3992" t="s">
        <v>2199</v>
      </c>
      <c r="P50" s="3992" t="s">
        <v>2199</v>
      </c>
      <c r="Q50" s="3992" t="s">
        <v>2199</v>
      </c>
      <c r="R50" s="3992" t="s">
        <v>2199</v>
      </c>
      <c r="S50" s="3992" t="s">
        <v>2199</v>
      </c>
      <c r="T50" s="3992" t="s">
        <v>2199</v>
      </c>
      <c r="U50" s="3992" t="s">
        <v>2199</v>
      </c>
      <c r="V50" s="3992" t="s">
        <v>2199</v>
      </c>
      <c r="W50" s="3992" t="s">
        <v>2199</v>
      </c>
      <c r="X50" s="3992" t="s">
        <v>2199</v>
      </c>
      <c r="Y50" s="3992" t="s">
        <v>2199</v>
      </c>
      <c r="Z50" s="3992" t="s">
        <v>2199</v>
      </c>
      <c r="AA50" s="3992" t="s">
        <v>2199</v>
      </c>
      <c r="AB50" s="3992" t="s">
        <v>2199</v>
      </c>
      <c r="AC50" s="3992" t="s">
        <v>2199</v>
      </c>
      <c r="AD50" s="3992" t="s">
        <v>2199</v>
      </c>
      <c r="AE50" s="3992" t="s">
        <v>2199</v>
      </c>
    </row>
    <row r="51" spans="1:31">
      <c r="A51" s="3992" t="str">
        <f t="shared" si="2"/>
        <v>\\DG ECFIN\Forecast\Country databases\Desk transfer databases\BE</v>
      </c>
      <c r="B51" s="3992" t="str">
        <f t="shared" si="3"/>
        <v>BE</v>
      </c>
      <c r="C51" s="3992" t="s">
        <v>2166</v>
      </c>
      <c r="D51" s="3992" t="s">
        <v>2209</v>
      </c>
      <c r="E51" s="3992" t="s">
        <v>2203</v>
      </c>
      <c r="F51" s="3992">
        <v>75</v>
      </c>
      <c r="G51" s="3992" t="s">
        <v>193</v>
      </c>
      <c r="H51" s="3992">
        <f>IF(Labour1!H5&lt;&gt;"",Labour1!H5,"n.a.")</f>
        <v>10157</v>
      </c>
      <c r="I51" s="3992">
        <f>IF(Labour1!I5&lt;&gt;"",Labour1!I5,"n.a.")</f>
        <v>10181</v>
      </c>
      <c r="J51" s="3992">
        <f>IF(Labour1!J5&lt;&gt;"",Labour1!J5,"n.a.")</f>
        <v>10203</v>
      </c>
      <c r="K51" s="3992">
        <f>IF(Labour1!K5&lt;&gt;"",Labour1!K5,"n.a.")</f>
        <v>10226</v>
      </c>
      <c r="L51" s="3992">
        <f>IF(Labour1!L5&lt;&gt;"",Labour1!L5,"n.a.")</f>
        <v>10251</v>
      </c>
      <c r="M51" s="3992">
        <f>IF(Labour1!M5&lt;&gt;"",Labour1!M5,"n.a.")</f>
        <v>10287</v>
      </c>
      <c r="N51" s="3992">
        <f>IF(Labour1!N5&lt;&gt;"",Labour1!N5,"n.a.")</f>
        <v>10333</v>
      </c>
      <c r="O51" s="3992">
        <f>IF(Labour1!O5&lt;&gt;"",Labour1!O5,"n.a.")</f>
        <v>10376</v>
      </c>
      <c r="P51" s="3992">
        <f>IF(Labour1!P5&lt;&gt;"",Labour1!P5,"n.a.")</f>
        <v>10421</v>
      </c>
      <c r="Q51" s="3992">
        <f>IF(Labour1!Q5&lt;&gt;"",Labour1!Q5,"n.a.")</f>
        <v>10479</v>
      </c>
      <c r="R51" s="3992">
        <f>IF(Labour1!R5&lt;&gt;"",Labour1!R5,"n.a.")</f>
        <v>10548</v>
      </c>
      <c r="S51" s="3992">
        <f>IF(Labour1!S5&lt;&gt;"",Labour1!S5,"n.a.")</f>
        <v>10626</v>
      </c>
      <c r="T51" s="3992">
        <f>IF(Labour1!T5&lt;&gt;"",Labour1!T5,"n.a.")</f>
        <v>10710</v>
      </c>
      <c r="U51" s="3992">
        <f>IF(Labour1!U5&lt;&gt;"",Labour1!U5,"n.a.")</f>
        <v>10796</v>
      </c>
      <c r="V51" s="3992">
        <f>IF(Labour1!V5&lt;&gt;"",Labour1!V5,"n.a.")</f>
        <v>10896</v>
      </c>
      <c r="W51" s="3992">
        <f>IF(Labour1!W5&lt;&gt;"",Labour1!W5,"n.a.")</f>
        <v>10994</v>
      </c>
      <c r="X51" s="3992">
        <f>IF(Labour1!X5&lt;&gt;"",Labour1!X5,"n.a.")</f>
        <v>11068</v>
      </c>
      <c r="Y51" s="3992">
        <f>IF(Labour1!Y5&lt;&gt;"",Labour1!Y5,"n.a.")</f>
        <v>11125</v>
      </c>
      <c r="Z51" s="3992">
        <f>IF(Labour1!Z5&lt;&gt;"",Labour1!Z5,"n.a.")</f>
        <v>11180</v>
      </c>
      <c r="AA51" s="3992">
        <f>IF(Labour1!AA5&lt;&gt;"",Labour1!AA5,"n.a.")</f>
        <v>11238</v>
      </c>
      <c r="AB51" s="3992">
        <f>IF(Labour1!AB5&lt;&gt;"",Labour1!AB5,"n.a.")</f>
        <v>11295</v>
      </c>
      <c r="AC51" s="3992">
        <f>IF(Labour1!AC5&lt;&gt;"",Labour1!AC5,"n.a.")</f>
        <v>11348</v>
      </c>
      <c r="AD51" s="3992">
        <f>IF(Labour1!AD5&lt;&gt;"",Labour1!AD5,"n.a.")</f>
        <v>11406.019729489513</v>
      </c>
      <c r="AE51" s="3992">
        <f>IF(Labour1!AE5&lt;&gt;"",Labour1!AE5,"n.a.")</f>
        <v>11464.336100590768</v>
      </c>
    </row>
    <row r="52" spans="1:31">
      <c r="A52" s="3992" t="str">
        <f t="shared" si="2"/>
        <v>\\DG ECFIN\Forecast\Country databases\Desk transfer databases\BE</v>
      </c>
      <c r="B52" s="3992" t="str">
        <f t="shared" si="3"/>
        <v>BE</v>
      </c>
      <c r="C52" s="3992" t="s">
        <v>2166</v>
      </c>
      <c r="D52" s="3992" t="s">
        <v>2210</v>
      </c>
      <c r="E52" s="3992" t="s">
        <v>2203</v>
      </c>
      <c r="F52" s="3992">
        <v>76</v>
      </c>
      <c r="G52" s="3992" t="s">
        <v>194</v>
      </c>
      <c r="H52" s="3992">
        <f>IF(Labour1!H7&lt;&gt;"",Labour1!H7,"n.a.")</f>
        <v>6703.1814999999997</v>
      </c>
      <c r="I52" s="3992">
        <f>IF(Labour1!I7&lt;&gt;"",Labour1!I7,"n.a.")</f>
        <v>6706.1490000000003</v>
      </c>
      <c r="J52" s="3992">
        <f>IF(Labour1!J7&lt;&gt;"",Labour1!J7,"n.a.")</f>
        <v>6708.7094999999999</v>
      </c>
      <c r="K52" s="3992">
        <f>IF(Labour1!K7&lt;&gt;"",Labour1!K7,"n.a.")</f>
        <v>6715.1279999999997</v>
      </c>
      <c r="L52" s="3992">
        <f>IF(Labour1!L7&lt;&gt;"",Labour1!L7,"n.a.")</f>
        <v>6723.8980000000001</v>
      </c>
      <c r="M52" s="3992">
        <f>IF(Labour1!M7&lt;&gt;"",Labour1!M7,"n.a.")</f>
        <v>6743.3384999999998</v>
      </c>
      <c r="N52" s="3992">
        <f>IF(Labour1!N7&lt;&gt;"",Labour1!N7,"n.a.")</f>
        <v>6774.4215000000004</v>
      </c>
      <c r="O52" s="3992">
        <f>IF(Labour1!O7&lt;&gt;"",Labour1!O7,"n.a.")</f>
        <v>6804.8085000000001</v>
      </c>
      <c r="P52" s="3992">
        <f>IF(Labour1!P7&lt;&gt;"",Labour1!P7,"n.a.")</f>
        <v>6835.1779999999999</v>
      </c>
      <c r="Q52" s="3992">
        <f>IF(Labour1!Q7&lt;&gt;"",Labour1!Q7,"n.a.")</f>
        <v>6878.8784999999998</v>
      </c>
      <c r="R52" s="3992">
        <f>IF(Labour1!R7&lt;&gt;"",Labour1!R7,"n.a.")</f>
        <v>6941.5029999999997</v>
      </c>
      <c r="S52" s="3992">
        <f>IF(Labour1!S7&lt;&gt;"",Labour1!S7,"n.a.")</f>
        <v>7011.7139999999999</v>
      </c>
      <c r="T52" s="3992">
        <f>IF(Labour1!T7&lt;&gt;"",Labour1!T7,"n.a.")</f>
        <v>7074.0555000000004</v>
      </c>
      <c r="U52" s="3992">
        <f>IF(Labour1!U7&lt;&gt;"",Labour1!U7,"n.a.")</f>
        <v>7124.4690000000001</v>
      </c>
      <c r="V52" s="3992">
        <f>IF(Labour1!V7&lt;&gt;"",Labour1!V7,"n.a.")</f>
        <v>7198.8355000000001</v>
      </c>
      <c r="W52" s="3992">
        <f>IF(Labour1!W7&lt;&gt;"",Labour1!W7,"n.a.")</f>
        <v>7260.2195000000002</v>
      </c>
      <c r="X52" s="3992">
        <f>IF(Labour1!X7&lt;&gt;"",Labour1!X7,"n.a.")</f>
        <v>7278.5910000000003</v>
      </c>
      <c r="Y52" s="3992">
        <f>IF(Labour1!Y7&lt;&gt;"",Labour1!Y7,"n.a.")</f>
        <v>7286.6260000000002</v>
      </c>
      <c r="Z52" s="3992">
        <f>IF(Labour1!Z7&lt;&gt;"",Labour1!Z7,"n.a.")</f>
        <v>7290.9669999999996</v>
      </c>
      <c r="AA52" s="3992">
        <f>IF(Labour1!AA7&lt;&gt;"",Labour1!AA7,"n.a.")</f>
        <v>7311.2285000000002</v>
      </c>
      <c r="AB52" s="3992">
        <f>IF(Labour1!AB7&lt;&gt;"",Labour1!AB7,"n.a.")</f>
        <v>7327.7685000000001</v>
      </c>
      <c r="AC52" s="3992">
        <f>IF(Labour1!AC7&lt;&gt;"",Labour1!AC7,"n.a.")</f>
        <v>7344.9227372409168</v>
      </c>
      <c r="AD52" s="3992">
        <f>IF(Labour1!AD7&lt;&gt;"",Labour1!AD7,"n.a.")</f>
        <v>7353.0484285655621</v>
      </c>
      <c r="AE52" s="3992">
        <f>IF(Labour1!AE7&lt;&gt;"",Labour1!AE7,"n.a.")</f>
        <v>7356.6598469320697</v>
      </c>
    </row>
    <row r="53" spans="1:31">
      <c r="A53" s="3992" t="str">
        <f t="shared" si="2"/>
        <v>\\DG ECFIN\Forecast\Country databases\Desk transfer databases\BE</v>
      </c>
      <c r="B53" s="3992" t="str">
        <f t="shared" si="3"/>
        <v>BE</v>
      </c>
      <c r="C53" s="3992" t="s">
        <v>2166</v>
      </c>
      <c r="D53" s="3992" t="s">
        <v>2211</v>
      </c>
      <c r="E53" s="3992" t="s">
        <v>2203</v>
      </c>
      <c r="F53" s="3992">
        <v>77</v>
      </c>
      <c r="G53" s="3992" t="s">
        <v>2153</v>
      </c>
      <c r="H53" s="3992">
        <f>IF(Labour1!H8&lt;&gt;"",Labour1!H8,"n.a.")</f>
        <v>7684.2855</v>
      </c>
      <c r="I53" s="3992">
        <f>IF(Labour1!I8&lt;&gt;"",Labour1!I8,"n.a.")</f>
        <v>7691.1674999999996</v>
      </c>
      <c r="J53" s="3992">
        <f>IF(Labour1!J8&lt;&gt;"",Labour1!J8,"n.a.")</f>
        <v>7693.7815000000001</v>
      </c>
      <c r="K53" s="3992">
        <f>IF(Labour1!K8&lt;&gt;"",Labour1!K8,"n.a.")</f>
        <v>7696.3125</v>
      </c>
      <c r="L53" s="3992">
        <f>IF(Labour1!L8&lt;&gt;"",Labour1!L8,"n.a.")</f>
        <v>7699.7219999999998</v>
      </c>
      <c r="M53" s="3992">
        <f>IF(Labour1!M8&lt;&gt;"",Labour1!M8,"n.a.")</f>
        <v>7713.5135</v>
      </c>
      <c r="N53" s="3992">
        <f>IF(Labour1!N8&lt;&gt;"",Labour1!N8,"n.a.")</f>
        <v>7741.5375000000004</v>
      </c>
      <c r="O53" s="3992">
        <f>IF(Labour1!O8&lt;&gt;"",Labour1!O8,"n.a.")</f>
        <v>7771.5225</v>
      </c>
      <c r="P53" s="3992">
        <f>IF(Labour1!P8&lt;&gt;"",Labour1!P8,"n.a.")</f>
        <v>7801.6135000000004</v>
      </c>
      <c r="Q53" s="3992">
        <f>IF(Labour1!Q8&lt;&gt;"",Labour1!Q8,"n.a.")</f>
        <v>7836.9844999999996</v>
      </c>
      <c r="R53" s="3992">
        <f>IF(Labour1!R8&lt;&gt;"",Labour1!R8,"n.a.")</f>
        <v>7880.1895000000004</v>
      </c>
      <c r="S53" s="3992">
        <f>IF(Labour1!S8&lt;&gt;"",Labour1!S8,"n.a.")</f>
        <v>7931.2439999999997</v>
      </c>
      <c r="T53" s="3992">
        <f>IF(Labour1!T8&lt;&gt;"",Labour1!T8,"n.a.")</f>
        <v>7986.5704999999998</v>
      </c>
      <c r="U53" s="3992">
        <f>IF(Labour1!U8&lt;&gt;"",Labour1!U8,"n.a.")</f>
        <v>8040.6215000000002</v>
      </c>
      <c r="V53" s="3992">
        <f>IF(Labour1!V8&lt;&gt;"",Labour1!V8,"n.a.")</f>
        <v>8122.8389999999999</v>
      </c>
      <c r="W53" s="3992">
        <f>IF(Labour1!W8&lt;&gt;"",Labour1!W8,"n.a.")</f>
        <v>8202.2945</v>
      </c>
      <c r="X53" s="3992">
        <f>IF(Labour1!X8&lt;&gt;"",Labour1!X8,"n.a.")</f>
        <v>8245.86</v>
      </c>
      <c r="Y53" s="3992">
        <f>IF(Labour1!Y8&lt;&gt;"",Labour1!Y8,"n.a.")</f>
        <v>8276.3130000000001</v>
      </c>
      <c r="Z53" s="3992">
        <f>IF(Labour1!Z8&lt;&gt;"",Labour1!Z8,"n.a.")</f>
        <v>8302.3369999999995</v>
      </c>
      <c r="AA53" s="3992">
        <f>IF(Labour1!AA8&lt;&gt;"",Labour1!AA8,"n.a.")</f>
        <v>8348.2209999999995</v>
      </c>
      <c r="AB53" s="3992">
        <f>IF(Labour1!AB8&lt;&gt;"",Labour1!AB8,"n.a.")</f>
        <v>8397.6054999999997</v>
      </c>
      <c r="AC53" s="3992">
        <f>IF(Labour1!AC8&lt;&gt;"",Labour1!AC8,"n.a.")</f>
        <v>8451.3041006134317</v>
      </c>
      <c r="AD53" s="3992">
        <f>IF(Labour1!AD8&lt;&gt;"",Labour1!AD8,"n.a.")</f>
        <v>8490.1476459761216</v>
      </c>
      <c r="AE53" s="3992">
        <f>IF(Labour1!AE8&lt;&gt;"",Labour1!AE8,"n.a.")</f>
        <v>8518.9472707934674</v>
      </c>
    </row>
    <row r="54" spans="1:31">
      <c r="A54" s="3992" t="str">
        <f t="shared" si="2"/>
        <v>\\DG ECFIN\Forecast\Country databases\Desk transfer databases\BE</v>
      </c>
      <c r="B54" s="3992" t="str">
        <f t="shared" si="3"/>
        <v>BE</v>
      </c>
      <c r="C54" s="3992" t="s">
        <v>2166</v>
      </c>
      <c r="D54" s="3992" t="s">
        <v>2212</v>
      </c>
      <c r="E54" s="3992" t="s">
        <v>2203</v>
      </c>
      <c r="F54" s="3992">
        <v>78</v>
      </c>
      <c r="G54" s="3992" t="s">
        <v>195</v>
      </c>
      <c r="H54" s="3992">
        <f>IF(Labour1!H36&lt;&gt;"",Labour1!H36,"n.a.")</f>
        <v>400.70000000000005</v>
      </c>
      <c r="I54" s="3992">
        <f>IF(Labour1!I36&lt;&gt;"",Labour1!I36,"n.a.")</f>
        <v>390.1</v>
      </c>
      <c r="J54" s="3992">
        <f>IF(Labour1!J36&lt;&gt;"",Labour1!J36,"n.a.")</f>
        <v>399.70000000000005</v>
      </c>
      <c r="K54" s="3992">
        <f>IF(Labour1!K36&lt;&gt;"",Labour1!K36,"n.a.")</f>
        <v>367</v>
      </c>
      <c r="L54" s="3992">
        <f>IF(Labour1!L36&lt;&gt;"",Labour1!L36,"n.a.")</f>
        <v>301.90000000000003</v>
      </c>
      <c r="M54" s="3992">
        <f>IF(Labour1!M36&lt;&gt;"",Labour1!M36,"n.a.")</f>
        <v>285.60000000000002</v>
      </c>
      <c r="N54" s="3992">
        <f>IF(Labour1!N36&lt;&gt;"",Labour1!N36,"n.a.")</f>
        <v>330.6</v>
      </c>
      <c r="O54" s="3992">
        <f>IF(Labour1!O36&lt;&gt;"",Labour1!O36,"n.a.")</f>
        <v>362.3</v>
      </c>
      <c r="P54" s="3992">
        <f>IF(Labour1!P36&lt;&gt;"",Labour1!P36,"n.a.")</f>
        <v>379.1</v>
      </c>
      <c r="Q54" s="3992">
        <f>IF(Labour1!Q36&lt;&gt;"",Labour1!Q36,"n.a.")</f>
        <v>390.40000000000003</v>
      </c>
      <c r="R54" s="3992">
        <f>IF(Labour1!R36&lt;&gt;"",Labour1!R36,"n.a.")</f>
        <v>383.20000000000005</v>
      </c>
      <c r="S54" s="3992">
        <f>IF(Labour1!S36&lt;&gt;"",Labour1!S36,"n.a.")</f>
        <v>353</v>
      </c>
      <c r="T54" s="3992">
        <f>IF(Labour1!T36&lt;&gt;"",Labour1!T36,"n.a.")</f>
        <v>333.40000000000003</v>
      </c>
      <c r="U54" s="3992">
        <f>IF(Labour1!U36&lt;&gt;"",Labour1!U36,"n.a.")</f>
        <v>379.6</v>
      </c>
      <c r="V54" s="3992">
        <f>IF(Labour1!V36&lt;&gt;"",Labour1!V36,"n.a.")</f>
        <v>405.90000000000003</v>
      </c>
      <c r="W54" s="3992">
        <f>IF(Labour1!W36&lt;&gt;"",Labour1!W36,"n.a.")</f>
        <v>347</v>
      </c>
      <c r="X54" s="3992">
        <f>IF(Labour1!X36&lt;&gt;"",Labour1!X36,"n.a.")</f>
        <v>369</v>
      </c>
      <c r="Y54" s="3992">
        <f>IF(Labour1!Y36&lt;&gt;"",Labour1!Y36,"n.a.")</f>
        <v>417</v>
      </c>
      <c r="Z54" s="3992">
        <f>IF(Labour1!Z36&lt;&gt;"",Labour1!Z36,"n.a.")</f>
        <v>423</v>
      </c>
      <c r="AA54" s="3992">
        <f>IF(Labour1!AA36&lt;&gt;"",Labour1!AA36,"n.a.")</f>
        <v>422</v>
      </c>
      <c r="AB54" s="3992">
        <f>IF(Labour1!AB36&lt;&gt;"",Labour1!AB36,"n.a.")</f>
        <v>390</v>
      </c>
      <c r="AC54" s="3992">
        <f>IF(Labour1!AC36&lt;&gt;"",Labour1!AC36,"n.a.")</f>
        <v>354</v>
      </c>
      <c r="AD54" s="3992">
        <f>IF(Labour1!AD36&lt;&gt;"",Labour1!AD36,"n.a.")</f>
        <v>323.54905000000053</v>
      </c>
      <c r="AE54" s="3992">
        <f>IF(Labour1!AE36&lt;&gt;"",Labour1!AE36,"n.a.")</f>
        <v>302.23791288000211</v>
      </c>
    </row>
    <row r="55" spans="1:31">
      <c r="A55" s="3992" t="str">
        <f t="shared" si="2"/>
        <v>\\DG ECFIN\Forecast\Country databases\Desk transfer databases\BE</v>
      </c>
      <c r="B55" s="3992" t="str">
        <f t="shared" si="3"/>
        <v>BE</v>
      </c>
      <c r="C55" s="3992" t="s">
        <v>2166</v>
      </c>
      <c r="D55" s="3992" t="s">
        <v>2213</v>
      </c>
      <c r="E55" s="3992" t="s">
        <v>2203</v>
      </c>
      <c r="F55" s="3992">
        <v>79</v>
      </c>
      <c r="G55" s="3992" t="s">
        <v>2655</v>
      </c>
      <c r="H55" s="3992">
        <f>IF(Labour1!H34&lt;&gt;"",Labour1!H34,"n.a.")</f>
        <v>3939.7</v>
      </c>
      <c r="I55" s="3992">
        <f>IF(Labour1!I34&lt;&gt;"",Labour1!I34,"n.a.")</f>
        <v>3966.4</v>
      </c>
      <c r="J55" s="3992">
        <f>IF(Labour1!J34&lt;&gt;"",Labour1!J34,"n.a.")</f>
        <v>4035.7</v>
      </c>
      <c r="K55" s="3992">
        <f>IF(Labour1!K34&lt;&gt;"",Labour1!K34,"n.a.")</f>
        <v>4090.4</v>
      </c>
      <c r="L55" s="3992">
        <f>IF(Labour1!L34&lt;&gt;"",Labour1!L34,"n.a.")</f>
        <v>4172.5</v>
      </c>
      <c r="M55" s="3992">
        <f>IF(Labour1!M34&lt;&gt;"",Labour1!M34,"n.a.")</f>
        <v>4230.8999999999996</v>
      </c>
      <c r="N55" s="3992">
        <f>IF(Labour1!N34&lt;&gt;"",Labour1!N34,"n.a.")</f>
        <v>4224.1000000000004</v>
      </c>
      <c r="O55" s="3992">
        <f>IF(Labour1!O34&lt;&gt;"",Labour1!O34,"n.a.")</f>
        <v>4223.3</v>
      </c>
      <c r="P55" s="3992">
        <f>IF(Labour1!P34&lt;&gt;"",Labour1!P34,"n.a.")</f>
        <v>4266.3</v>
      </c>
      <c r="Q55" s="3992">
        <f>IF(Labour1!Q34&lt;&gt;"",Labour1!Q34,"n.a.")</f>
        <v>4328.3</v>
      </c>
      <c r="R55" s="3992">
        <f>IF(Labour1!R34&lt;&gt;"",Labour1!R34,"n.a.")</f>
        <v>4378.1000000000004</v>
      </c>
      <c r="S55" s="3992">
        <f>IF(Labour1!S34&lt;&gt;"",Labour1!S34,"n.a.")</f>
        <v>4451</v>
      </c>
      <c r="T55" s="3992">
        <f>IF(Labour1!T34&lt;&gt;"",Labour1!T34,"n.a.")</f>
        <v>4530.5</v>
      </c>
      <c r="U55" s="3992">
        <f>IF(Labour1!U34&lt;&gt;"",Labour1!U34,"n.a.")</f>
        <v>4524</v>
      </c>
      <c r="V55" s="3992">
        <f>IF(Labour1!V34&lt;&gt;"",Labour1!V34,"n.a.")</f>
        <v>4553.2</v>
      </c>
      <c r="W55" s="3992">
        <f>IF(Labour1!W34&lt;&gt;"",Labour1!W34,"n.a.")</f>
        <v>4614.3</v>
      </c>
      <c r="X55" s="3992">
        <f>IF(Labour1!X34&lt;&gt;"",Labour1!X34,"n.a.")</f>
        <v>4634.6000000000004</v>
      </c>
      <c r="Y55" s="3992">
        <f>IF(Labour1!Y34&lt;&gt;"",Labour1!Y34,"n.a.")</f>
        <v>4618.8999999999996</v>
      </c>
      <c r="Z55" s="3992">
        <f>IF(Labour1!Z34&lt;&gt;"",Labour1!Z34,"n.a.")</f>
        <v>4637.8999999999996</v>
      </c>
      <c r="AA55" s="3992">
        <f>IF(Labour1!AA34&lt;&gt;"",Labour1!AA34,"n.a.")</f>
        <v>4677.7</v>
      </c>
      <c r="AB55" s="3992">
        <f>IF(Labour1!AB34&lt;&gt;"",Labour1!AB34,"n.a.")</f>
        <v>4735.3999999999996</v>
      </c>
      <c r="AC55" s="3992">
        <f>IF(Labour1!AC34&lt;&gt;"",Labour1!AC34,"n.a.")</f>
        <v>4801</v>
      </c>
      <c r="AD55" s="3992">
        <f>IF(Labour1!AD34&lt;&gt;"",Labour1!AD34,"n.a.")</f>
        <v>4859.2879499999999</v>
      </c>
      <c r="AE55" s="3992">
        <f>IF(Labour1!AE34&lt;&gt;"",Labour1!AE34,"n.a.")</f>
        <v>4908.5864069199988</v>
      </c>
    </row>
    <row r="56" spans="1:31">
      <c r="A56" s="3992" t="str">
        <f t="shared" si="2"/>
        <v>\\DG ECFIN\Forecast\Country databases\Desk transfer databases\BE</v>
      </c>
      <c r="B56" s="3992" t="str">
        <f t="shared" si="3"/>
        <v>BE</v>
      </c>
      <c r="C56" s="3992" t="s">
        <v>2166</v>
      </c>
      <c r="D56" s="3992" t="s">
        <v>2214</v>
      </c>
      <c r="E56" s="3992" t="s">
        <v>2203</v>
      </c>
      <c r="F56" s="3992">
        <v>83</v>
      </c>
      <c r="G56" s="3992" t="s">
        <v>278</v>
      </c>
      <c r="H56" s="3992">
        <f>IF(Labour1!H78&lt;&gt;"",Labour1!H78,"n.a.")</f>
        <v>3235.2999999999997</v>
      </c>
      <c r="I56" s="3992">
        <f>IF(Labour1!I78&lt;&gt;"",Labour1!I78,"n.a.")</f>
        <v>3260.7000000000003</v>
      </c>
      <c r="J56" s="3992">
        <f>IF(Labour1!J78&lt;&gt;"",Labour1!J78,"n.a.")</f>
        <v>3330.7999999999997</v>
      </c>
      <c r="K56" s="3992">
        <f>IF(Labour1!K78&lt;&gt;"",Labour1!K78,"n.a.")</f>
        <v>3385.4</v>
      </c>
      <c r="L56" s="3992">
        <f>IF(Labour1!L78&lt;&gt;"",Labour1!L78,"n.a.")</f>
        <v>3470.7000000000003</v>
      </c>
      <c r="M56" s="3992">
        <f>IF(Labour1!M78&lt;&gt;"",Labour1!M78,"n.a.")</f>
        <v>3535.1</v>
      </c>
      <c r="N56" s="3992">
        <f>IF(Labour1!N78&lt;&gt;"",Labour1!N78,"n.a.")</f>
        <v>3535</v>
      </c>
      <c r="O56" s="3992">
        <f>IF(Labour1!O78&lt;&gt;"",Labour1!O78,"n.a.")</f>
        <v>3534.5000000000005</v>
      </c>
      <c r="P56" s="3992">
        <f>IF(Labour1!P78&lt;&gt;"",Labour1!P78,"n.a.")</f>
        <v>3574.6000000000004</v>
      </c>
      <c r="Q56" s="3992">
        <f>IF(Labour1!Q78&lt;&gt;"",Labour1!Q78,"n.a.")</f>
        <v>3633.7000000000003</v>
      </c>
      <c r="R56" s="3992">
        <f>IF(Labour1!R78&lt;&gt;"",Labour1!R78,"n.a.")</f>
        <v>3679.0000000000009</v>
      </c>
      <c r="S56" s="3992">
        <f>IF(Labour1!S78&lt;&gt;"",Labour1!S78,"n.a.")</f>
        <v>3745.4000000000005</v>
      </c>
      <c r="T56" s="3992">
        <f>IF(Labour1!T78&lt;&gt;"",Labour1!T78,"n.a.")</f>
        <v>3814.9000000000005</v>
      </c>
      <c r="U56" s="3992">
        <f>IF(Labour1!U78&lt;&gt;"",Labour1!U78,"n.a.")</f>
        <v>3802.4</v>
      </c>
      <c r="V56" s="3992">
        <f>IF(Labour1!V78&lt;&gt;"",Labour1!V78,"n.a.")</f>
        <v>3826.2999999999997</v>
      </c>
      <c r="W56" s="3992">
        <f>IF(Labour1!W78&lt;&gt;"",Labour1!W78,"n.a.")</f>
        <v>3879.4</v>
      </c>
      <c r="X56" s="3992">
        <f>IF(Labour1!X78&lt;&gt;"",Labour1!X78,"n.a.")</f>
        <v>3891.9000000000005</v>
      </c>
      <c r="Y56" s="3992">
        <f>IF(Labour1!Y78&lt;&gt;"",Labour1!Y78,"n.a.")</f>
        <v>3870.2999999999993</v>
      </c>
      <c r="Z56" s="3992">
        <f>IF(Labour1!Z78&lt;&gt;"",Labour1!Z78,"n.a.")</f>
        <v>3883.2</v>
      </c>
      <c r="AA56" s="3992">
        <f>IF(Labour1!AA78&lt;&gt;"",Labour1!AA78,"n.a.")</f>
        <v>3912.6000000000004</v>
      </c>
      <c r="AB56" s="3992">
        <f>IF(Labour1!AB78&lt;&gt;"",Labour1!AB78,"n.a.")</f>
        <v>3957.0999999999995</v>
      </c>
      <c r="AC56" s="3992">
        <f>IF(Labour1!AC78&lt;&gt;"",Labour1!AC78,"n.a.")</f>
        <v>4011.8</v>
      </c>
      <c r="AD56" s="3992">
        <f>IF(Labour1!AD78&lt;&gt;"",Labour1!AD78,"n.a.")</f>
        <v>4059.8283500000002</v>
      </c>
      <c r="AE56" s="3992">
        <f>IF(Labour1!AE78&lt;&gt;"",Labour1!AE78,"n.a.")</f>
        <v>4098.7338321199995</v>
      </c>
    </row>
    <row r="57" spans="1:31">
      <c r="A57" s="3992" t="str">
        <f t="shared" si="2"/>
        <v>\\DG ECFIN\Forecast\Country databases\Desk transfer databases\BE</v>
      </c>
      <c r="B57" s="3992" t="str">
        <f t="shared" si="3"/>
        <v>BE</v>
      </c>
      <c r="C57" s="3992" t="s">
        <v>2166</v>
      </c>
      <c r="D57" s="3992" t="s">
        <v>2215</v>
      </c>
      <c r="E57" s="3992" t="s">
        <v>2492</v>
      </c>
      <c r="F57" s="3992">
        <v>85</v>
      </c>
      <c r="G57" s="3992" t="s">
        <v>122</v>
      </c>
      <c r="H57" s="3992">
        <f>IF(Labour1!H89&lt;&gt;"",Labour1!H89,"n.a.")</f>
        <v>1559.4836782399757</v>
      </c>
      <c r="I57" s="3992">
        <f>IF(Labour1!I89&lt;&gt;"",Labour1!I89,"n.a.")</f>
        <v>1572.4877114534327</v>
      </c>
      <c r="J57" s="3992">
        <f>IF(Labour1!J89&lt;&gt;"",Labour1!J89,"n.a.")</f>
        <v>1583.4911242111666</v>
      </c>
      <c r="K57" s="3992">
        <f>IF(Labour1!K89&lt;&gt;"",Labour1!K89,"n.a.")</f>
        <v>1582.4908138437856</v>
      </c>
      <c r="L57" s="3992">
        <f>IF(Labour1!L89&lt;&gt;"",Labour1!L89,"n.a.")</f>
        <v>1594.8504222541314</v>
      </c>
      <c r="M57" s="3992">
        <f>IF(Labour1!M89&lt;&gt;"",Labour1!M89,"n.a.")</f>
        <v>1588.3749159704219</v>
      </c>
      <c r="N57" s="3992">
        <f>IF(Labour1!N89&lt;&gt;"",Labour1!N89,"n.a.")</f>
        <v>1582.7155365261106</v>
      </c>
      <c r="O57" s="3992">
        <f>IF(Labour1!O89&lt;&gt;"",Labour1!O89,"n.a.")</f>
        <v>1577.7916656635932</v>
      </c>
      <c r="P57" s="3992">
        <f>IF(Labour1!P89&lt;&gt;"",Labour1!P89,"n.a.")</f>
        <v>1572.9612367988177</v>
      </c>
      <c r="Q57" s="3992">
        <f>IF(Labour1!Q89&lt;&gt;"",Labour1!Q89,"n.a.")</f>
        <v>1565.4303910509498</v>
      </c>
      <c r="R57" s="3992">
        <f>IF(Labour1!R89&lt;&gt;"",Labour1!R89,"n.a.")</f>
        <v>1572.2457877245581</v>
      </c>
      <c r="S57" s="3992">
        <f>IF(Labour1!S89&lt;&gt;"",Labour1!S89,"n.a.")</f>
        <v>1576.6563936075358</v>
      </c>
      <c r="T57" s="3992">
        <f>IF(Labour1!T89&lt;&gt;"",Labour1!T89,"n.a.")</f>
        <v>1569.9796761660944</v>
      </c>
      <c r="U57" s="3992">
        <f>IF(Labour1!U89&lt;&gt;"",Labour1!U89,"n.a.")</f>
        <v>1548.1160499381397</v>
      </c>
      <c r="V57" s="3992">
        <f>IF(Labour1!V89&lt;&gt;"",Labour1!V89,"n.a.")</f>
        <v>1545.848033080018</v>
      </c>
      <c r="W57" s="3992">
        <f>IF(Labour1!W89&lt;&gt;"",Labour1!W89,"n.a.")</f>
        <v>1559.6238617070533</v>
      </c>
      <c r="X57" s="3992">
        <f>IF(Labour1!X89&lt;&gt;"",Labour1!X89,"n.a.")</f>
        <v>1559.9050713501645</v>
      </c>
      <c r="Y57" s="3992">
        <f>IF(Labour1!Y89&lt;&gt;"",Labour1!Y89,"n.a.")</f>
        <v>1558.0079513667099</v>
      </c>
      <c r="Z57" s="3992">
        <f>IF(Labour1!Z89&lt;&gt;"",Labour1!Z89,"n.a.")</f>
        <v>1555.2024386499704</v>
      </c>
      <c r="AA57" s="3992">
        <f>IF(Labour1!AA89&lt;&gt;"",Labour1!AA89,"n.a.")</f>
        <v>1544.6099252238939</v>
      </c>
      <c r="AB57" s="3992">
        <f>IF(Labour1!AB89&lt;&gt;"",Labour1!AB89,"n.a.")</f>
        <v>1545.8149889439901</v>
      </c>
      <c r="AC57" s="3992">
        <f>IF(Labour1!AC89&lt;&gt;"",Labour1!AC89,"n.a.")</f>
        <v>1545.8149889439901</v>
      </c>
      <c r="AD57" s="3992">
        <f>IF(Labour1!AD89&lt;&gt;"",Labour1!AD89,"n.a.")</f>
        <v>1545.8149889439901</v>
      </c>
      <c r="AE57" s="3992">
        <f>IF(Labour1!AE89&lt;&gt;"",Labour1!AE89,"n.a.")</f>
        <v>1545.8149889439901</v>
      </c>
    </row>
    <row r="58" spans="1:31">
      <c r="A58" s="3992" t="str">
        <f t="shared" si="2"/>
        <v>\\DG ECFIN\Forecast\Country databases\Desk transfer databases\BE</v>
      </c>
      <c r="B58" s="3992" t="str">
        <f t="shared" si="3"/>
        <v>BE</v>
      </c>
      <c r="C58" s="3992" t="s">
        <v>2166</v>
      </c>
      <c r="D58" s="3992" t="s">
        <v>2216</v>
      </c>
      <c r="E58" s="3992" t="s">
        <v>2168</v>
      </c>
      <c r="F58" s="3992">
        <v>87</v>
      </c>
      <c r="G58" s="3992" t="s">
        <v>784</v>
      </c>
      <c r="H58" s="3992">
        <f>IF(Labour1!H217&lt;&gt;"",Labour1!H217,"n.a.")</f>
        <v>110.9706</v>
      </c>
      <c r="I58" s="3992">
        <f>IF(Labour1!I217&lt;&gt;"",Labour1!I217,"n.a.")</f>
        <v>115.187</v>
      </c>
      <c r="J58" s="3992">
        <f>IF(Labour1!J217&lt;&gt;"",Labour1!J217,"n.a.")</f>
        <v>119.3878</v>
      </c>
      <c r="K58" s="3992">
        <f>IF(Labour1!K217&lt;&gt;"",Labour1!K217,"n.a.")</f>
        <v>125.6863</v>
      </c>
      <c r="L58" s="3992">
        <f>IF(Labour1!L217&lt;&gt;"",Labour1!L217,"n.a.")</f>
        <v>131.40450000000001</v>
      </c>
      <c r="M58" s="3992">
        <f>IF(Labour1!M217&lt;&gt;"",Labour1!M217,"n.a.")</f>
        <v>138.8134</v>
      </c>
      <c r="N58" s="3992">
        <f>IF(Labour1!N217&lt;&gt;"",Labour1!N217,"n.a.")</f>
        <v>144.3655</v>
      </c>
      <c r="O58" s="3992">
        <f>IF(Labour1!O217&lt;&gt;"",Labour1!O217,"n.a.")</f>
        <v>147.3194</v>
      </c>
      <c r="P58" s="3992">
        <f>IF(Labour1!P217&lt;&gt;"",Labour1!P217,"n.a.")</f>
        <v>151.81570000000002</v>
      </c>
      <c r="Q58" s="3992">
        <f>IF(Labour1!Q217&lt;&gt;"",Labour1!Q217,"n.a.")</f>
        <v>157.095</v>
      </c>
      <c r="R58" s="3992">
        <f>IF(Labour1!R217&lt;&gt;"",Labour1!R217,"n.a.")</f>
        <v>164.73150000000001</v>
      </c>
      <c r="S58" s="3992">
        <f>IF(Labour1!S217&lt;&gt;"",Labour1!S217,"n.a.")</f>
        <v>173.56210000000002</v>
      </c>
      <c r="T58" s="3992">
        <f>IF(Labour1!T217&lt;&gt;"",Labour1!T217,"n.a.")</f>
        <v>183.1001</v>
      </c>
      <c r="U58" s="3992">
        <f>IF(Labour1!U217&lt;&gt;"",Labour1!U217,"n.a.")</f>
        <v>184.52510000000001</v>
      </c>
      <c r="V58" s="3992">
        <f>IF(Labour1!V217&lt;&gt;"",Labour1!V217,"n.a.")</f>
        <v>188.399</v>
      </c>
      <c r="W58" s="3992">
        <f>IF(Labour1!W217&lt;&gt;"",Labour1!W217,"n.a.")</f>
        <v>196.85599999999999</v>
      </c>
      <c r="X58" s="3992">
        <f>IF(Labour1!X217&lt;&gt;"",Labour1!X217,"n.a.")</f>
        <v>203.66159999999999</v>
      </c>
      <c r="Y58" s="3992">
        <f>IF(Labour1!Y217&lt;&gt;"",Labour1!Y217,"n.a.")</f>
        <v>207.7114</v>
      </c>
      <c r="Z58" s="3992">
        <f>IF(Labour1!Z217&lt;&gt;"",Labour1!Z217,"n.a.")</f>
        <v>210.5333</v>
      </c>
      <c r="AA58" s="3992">
        <f>IF(Labour1!AA217&lt;&gt;"",Labour1!AA217,"n.a.")</f>
        <v>212.48429999999999</v>
      </c>
      <c r="AB58" s="3992">
        <f>IF(Labour1!AB217&lt;&gt;"",Labour1!AB217,"n.a.")</f>
        <v>215.2261</v>
      </c>
      <c r="AC58" s="3992">
        <f>IF(Labour1!AC217&lt;&gt;"",Labour1!AC217,"n.a.")</f>
        <v>221.9462129577492</v>
      </c>
      <c r="AD58" s="3992">
        <f>IF(Labour1!AD217&lt;&gt;"",Labour1!AD217,"n.a.")</f>
        <v>229.16863166024314</v>
      </c>
      <c r="AE58" s="3992">
        <f>IF(Labour1!AE217&lt;&gt;"",Labour1!AE217,"n.a.")</f>
        <v>236.38772170747959</v>
      </c>
    </row>
    <row r="59" spans="1:31">
      <c r="A59" s="3992" t="str">
        <f t="shared" si="2"/>
        <v>\\DG ECFIN\Forecast\Country databases\Desk transfer databases\BE</v>
      </c>
      <c r="B59" s="3992" t="str">
        <f t="shared" si="3"/>
        <v>BE</v>
      </c>
      <c r="C59" s="3992" t="s">
        <v>2166</v>
      </c>
      <c r="D59" s="3992" t="s">
        <v>2217</v>
      </c>
      <c r="E59" s="3992" t="s">
        <v>2168</v>
      </c>
      <c r="F59" s="3992">
        <v>88</v>
      </c>
      <c r="G59" s="3992" t="s">
        <v>216</v>
      </c>
      <c r="H59" s="3992">
        <f>IF(Labour1!H137&lt;&gt;"",Labour1!H137,"n.a.")</f>
        <v>82.33</v>
      </c>
      <c r="I59" s="3992">
        <f>IF(Labour1!I137&lt;&gt;"",Labour1!I137,"n.a.")</f>
        <v>85.183800000000005</v>
      </c>
      <c r="J59" s="3992">
        <f>IF(Labour1!J137&lt;&gt;"",Labour1!J137,"n.a.")</f>
        <v>87.7453</v>
      </c>
      <c r="K59" s="3992">
        <f>IF(Labour1!K137&lt;&gt;"",Labour1!K137,"n.a.")</f>
        <v>92.834299999999999</v>
      </c>
      <c r="L59" s="3992">
        <f>IF(Labour1!L137&lt;&gt;"",Labour1!L137,"n.a.")</f>
        <v>97.885300000000001</v>
      </c>
      <c r="M59" s="3992">
        <f>IF(Labour1!M137&lt;&gt;"",Labour1!M137,"n.a.")</f>
        <v>103.5061</v>
      </c>
      <c r="N59" s="3992">
        <f>IF(Labour1!N137&lt;&gt;"",Labour1!N137,"n.a.")</f>
        <v>106.7933</v>
      </c>
      <c r="O59" s="3992">
        <f>IF(Labour1!O137&lt;&gt;"",Labour1!O137,"n.a.")</f>
        <v>108.7283</v>
      </c>
      <c r="P59" s="3992">
        <f>IF(Labour1!P137&lt;&gt;"",Labour1!P137,"n.a.")</f>
        <v>112.2076</v>
      </c>
      <c r="Q59" s="3992">
        <f>IF(Labour1!Q137&lt;&gt;"",Labour1!Q137,"n.a.")</f>
        <v>116.42160000000001</v>
      </c>
      <c r="R59" s="3992">
        <f>IF(Labour1!R137&lt;&gt;"",Labour1!R137,"n.a.")</f>
        <v>122.0068</v>
      </c>
      <c r="S59" s="3992">
        <f>IF(Labour1!S137&lt;&gt;"",Labour1!S137,"n.a.")</f>
        <v>127.6332</v>
      </c>
      <c r="T59" s="3992">
        <f>IF(Labour1!T137&lt;&gt;"",Labour1!T137,"n.a.")</f>
        <v>134.3725</v>
      </c>
      <c r="U59" s="3992">
        <f>IF(Labour1!U137&lt;&gt;"",Labour1!U137,"n.a.")</f>
        <v>134.5641</v>
      </c>
      <c r="V59" s="3992">
        <f>IF(Labour1!V137&lt;&gt;"",Labour1!V137,"n.a.")</f>
        <v>137.19279999999998</v>
      </c>
      <c r="W59" s="3992">
        <f>IF(Labour1!W137&lt;&gt;"",Labour1!W137,"n.a.")</f>
        <v>143.4821</v>
      </c>
      <c r="X59" s="3992">
        <f>IF(Labour1!X137&lt;&gt;"",Labour1!X137,"n.a.")</f>
        <v>148.08250000000001</v>
      </c>
      <c r="Y59" s="3992">
        <f>IF(Labour1!Y137&lt;&gt;"",Labour1!Y137,"n.a.")</f>
        <v>150.81729999999999</v>
      </c>
      <c r="Z59" s="3992">
        <f>IF(Labour1!Z137&lt;&gt;"",Labour1!Z137,"n.a.")</f>
        <v>153.09179999999998</v>
      </c>
      <c r="AA59" s="3992">
        <f>IF(Labour1!AA137&lt;&gt;"",Labour1!AA137,"n.a.")</f>
        <v>154.3331</v>
      </c>
      <c r="AB59" s="3992">
        <f>IF(Labour1!AB137&lt;&gt;"",Labour1!AB137,"n.a.")</f>
        <v>158.15299999999999</v>
      </c>
      <c r="AC59" s="3992">
        <f>IF(Labour1!AC137&lt;&gt;"",Labour1!AC137,"n.a.")</f>
        <v>163.33582695774922</v>
      </c>
      <c r="AD59" s="3992">
        <f>IF(Labour1!AD137&lt;&gt;"",Labour1!AD137,"n.a.")</f>
        <v>168.99635731775342</v>
      </c>
      <c r="AE59" s="3992">
        <f>IF(Labour1!AE137&lt;&gt;"",Labour1!AE137,"n.a.")</f>
        <v>174.27611326742513</v>
      </c>
    </row>
    <row r="60" spans="1:31">
      <c r="A60" s="3992" t="str">
        <f t="shared" si="2"/>
        <v>\\DG ECFIN\Forecast\Country databases\Desk transfer databases\BE</v>
      </c>
      <c r="B60" s="3992" t="str">
        <f t="shared" si="3"/>
        <v>BE</v>
      </c>
      <c r="C60" s="3992" t="s">
        <v>2166</v>
      </c>
      <c r="D60" s="3992" t="s">
        <v>2218</v>
      </c>
      <c r="E60" s="3992" t="s">
        <v>2168</v>
      </c>
      <c r="F60" s="3992">
        <v>89</v>
      </c>
      <c r="G60" s="3992" t="s">
        <v>142</v>
      </c>
      <c r="H60" s="3992">
        <f>IF(Sector1!H198&lt;&gt;"",Sector1!H198,"n.a.")</f>
        <v>32.923400000000001</v>
      </c>
      <c r="I60" s="3992">
        <f>IF(Sector1!I198&lt;&gt;"",Sector1!I198,"n.a.")</f>
        <v>34.245799999999996</v>
      </c>
      <c r="J60" s="3992">
        <f>IF(Sector1!J198&lt;&gt;"",Sector1!J198,"n.a.")</f>
        <v>35.330199999999991</v>
      </c>
      <c r="K60" s="3992">
        <f>IF(Sector1!K198&lt;&gt;"",Sector1!K198,"n.a.")</f>
        <v>36.043500000000009</v>
      </c>
      <c r="L60" s="3992">
        <f>IF(Sector1!L198&lt;&gt;"",Sector1!L198,"n.a.")</f>
        <v>37.926000000000002</v>
      </c>
      <c r="M60" s="3992">
        <f>IF(Sector1!M198&lt;&gt;"",Sector1!M198,"n.a.")</f>
        <v>38.894799999999996</v>
      </c>
      <c r="N60" s="3992">
        <f>IF(Sector1!N198&lt;&gt;"",Sector1!N198,"n.a.")</f>
        <v>38.306799999999996</v>
      </c>
      <c r="O60" s="3992">
        <f>IF(Sector1!O198&lt;&gt;"",Sector1!O198,"n.a.")</f>
        <v>38.942299999999996</v>
      </c>
      <c r="P60" s="3992">
        <f>IF(Sector1!P198&lt;&gt;"",Sector1!P198,"n.a.")</f>
        <v>39.564999999999998</v>
      </c>
      <c r="Q60" s="3992">
        <f>IF(Sector1!Q198&lt;&gt;"",Sector1!Q198,"n.a.")</f>
        <v>41.386400000000002</v>
      </c>
      <c r="R60" s="3992">
        <f>IF(Sector1!R198&lt;&gt;"",Sector1!R198,"n.a.")</f>
        <v>43.739100000000001</v>
      </c>
      <c r="S60" s="3992">
        <f>IF(Sector1!S198&lt;&gt;"",Sector1!S198,"n.a.")</f>
        <v>45.7</v>
      </c>
      <c r="T60" s="3992">
        <f>IF(Sector1!T198&lt;&gt;"",Sector1!T198,"n.a.")</f>
        <v>46.819700000000005</v>
      </c>
      <c r="U60" s="3992">
        <f>IF(Sector1!U198&lt;&gt;"",Sector1!U198,"n.a.")</f>
        <v>45.276699999999991</v>
      </c>
      <c r="V60" s="3992">
        <f>IF(Sector1!V198&lt;&gt;"",Sector1!V198,"n.a.")</f>
        <v>45.916699999999999</v>
      </c>
      <c r="W60" s="3992">
        <f>IF(Sector1!W198&lt;&gt;"",Sector1!W198,"n.a.")</f>
        <v>46.823</v>
      </c>
      <c r="X60" s="3992">
        <f>IF(Sector1!X198&lt;&gt;"",Sector1!X198,"n.a.")</f>
        <v>47.414400000000001</v>
      </c>
      <c r="Y60" s="3992">
        <f>IF(Sector1!Y198&lt;&gt;"",Sector1!Y198,"n.a.")</f>
        <v>47.344499999999996</v>
      </c>
      <c r="Z60" s="3992">
        <f>IF(Sector1!Z198&lt;&gt;"",Sector1!Z198,"n.a.")</f>
        <v>48.919699999999999</v>
      </c>
      <c r="AA60" s="3992">
        <f>IF(Sector1!AA198&lt;&gt;"",Sector1!AA198,"n.a.")</f>
        <v>49.655200000000008</v>
      </c>
      <c r="AB60" s="3992">
        <f>IF(Sector1!AB198&lt;&gt;"",Sector1!AB198,"n.a.")</f>
        <v>50.114100000000008</v>
      </c>
      <c r="AC60" s="3992">
        <f>IF(Sector1!AC198&lt;&gt;"",Sector1!AC198,"n.a.")</f>
        <v>51.116382000000009</v>
      </c>
      <c r="AD60" s="3992">
        <f>IF(Sector1!AD198&lt;&gt;"",Sector1!AD198,"n.a.")</f>
        <v>52.138709640000009</v>
      </c>
      <c r="AE60" s="3992">
        <f>IF(Sector1!AE198&lt;&gt;"",Sector1!AE198,"n.a.")</f>
        <v>53.181483832800012</v>
      </c>
    </row>
    <row r="61" spans="1:31">
      <c r="A61" s="3992" t="str">
        <f t="shared" si="2"/>
        <v>\\DG ECFIN\Forecast\Country databases\Desk transfer databases\BE</v>
      </c>
      <c r="B61" s="3992" t="str">
        <f t="shared" si="3"/>
        <v>BE</v>
      </c>
      <c r="C61" s="3992" t="s">
        <v>2166</v>
      </c>
      <c r="D61" s="3992" t="s">
        <v>2219</v>
      </c>
      <c r="E61" s="3992" t="s">
        <v>2168</v>
      </c>
      <c r="F61" s="3992">
        <v>90</v>
      </c>
      <c r="G61" s="3992" t="s">
        <v>1701</v>
      </c>
      <c r="H61" s="3992">
        <f>IF(Sector1!H235&lt;&gt;"",Sector1!H235,"n.a.")</f>
        <v>26.4252</v>
      </c>
      <c r="I61" s="3992">
        <f>IF(Sector1!I235&lt;&gt;"",Sector1!I235,"n.a.")</f>
        <v>26.2392</v>
      </c>
      <c r="J61" s="3992">
        <f>IF(Sector1!J235&lt;&gt;"",Sector1!J235,"n.a.")</f>
        <v>27.758900000000001</v>
      </c>
      <c r="K61" s="3992">
        <f>IF(Sector1!K235&lt;&gt;"",Sector1!K235,"n.a.")</f>
        <v>26.402200000000001</v>
      </c>
      <c r="L61" s="3992">
        <f>IF(Sector1!L235&lt;&gt;"",Sector1!L235,"n.a.")</f>
        <v>29.269400000000001</v>
      </c>
      <c r="M61" s="3992">
        <f>IF(Sector1!M235&lt;&gt;"",Sector1!M235,"n.a.")</f>
        <v>30.322999999999997</v>
      </c>
      <c r="N61" s="3992">
        <f>IF(Sector1!N235&lt;&gt;"",Sector1!N235,"n.a.")</f>
        <v>27.9695</v>
      </c>
      <c r="O61" s="3992">
        <f>IF(Sector1!O235&lt;&gt;"",Sector1!O235,"n.a.")</f>
        <v>26.7182</v>
      </c>
      <c r="P61" s="3992">
        <f>IF(Sector1!P235&lt;&gt;"",Sector1!P235,"n.a.")</f>
        <v>27.025400000000001</v>
      </c>
      <c r="Q61" s="3992">
        <f>IF(Sector1!Q235&lt;&gt;"",Sector1!Q235,"n.a.")</f>
        <v>27.3645</v>
      </c>
      <c r="R61" s="3992">
        <f>IF(Sector1!R235&lt;&gt;"",Sector1!R235,"n.a.")</f>
        <v>28.338799999999999</v>
      </c>
      <c r="S61" s="3992">
        <f>IF(Sector1!S235&lt;&gt;"",Sector1!S235,"n.a.")</f>
        <v>30.265999999999998</v>
      </c>
      <c r="T61" s="3992">
        <f>IF(Sector1!T235&lt;&gt;"",Sector1!T235,"n.a.")</f>
        <v>33.9726</v>
      </c>
      <c r="U61" s="3992">
        <f>IF(Sector1!U235&lt;&gt;"",Sector1!U235,"n.a.")</f>
        <v>32.634999999999998</v>
      </c>
      <c r="V61" s="3992">
        <f>IF(Sector1!V235&lt;&gt;"",Sector1!V235,"n.a.")</f>
        <v>32.867199999999997</v>
      </c>
      <c r="W61" s="3992">
        <f>IF(Sector1!W235&lt;&gt;"",Sector1!W235,"n.a.")</f>
        <v>30.845899999999997</v>
      </c>
      <c r="X61" s="3992">
        <f>IF(Sector1!X235&lt;&gt;"",Sector1!X235,"n.a.")</f>
        <v>29.168800000000001</v>
      </c>
      <c r="Y61" s="3992">
        <f>IF(Sector1!Y235&lt;&gt;"",Sector1!Y235,"n.a.")</f>
        <v>29.2273</v>
      </c>
      <c r="Z61" s="3992">
        <f>IF(Sector1!Z235&lt;&gt;"",Sector1!Z235,"n.a.")</f>
        <v>27.744499999999999</v>
      </c>
      <c r="AA61" s="3992">
        <f>IF(Sector1!AA235&lt;&gt;"",Sector1!AA235,"n.a.")</f>
        <v>27.055499999999999</v>
      </c>
      <c r="AB61" s="3992">
        <f>IF(Sector1!AB235&lt;&gt;"",Sector1!AB235,"n.a.")</f>
        <v>26.257699999999996</v>
      </c>
      <c r="AC61" s="3992">
        <f>IF(Sector1!AC235&lt;&gt;"",Sector1!AC235,"n.a.")</f>
        <v>26.257693360000008</v>
      </c>
      <c r="AD61" s="3992">
        <f>IF(Sector1!AD235&lt;&gt;"",Sector1!AD235,"n.a.")</f>
        <v>26.838321886612004</v>
      </c>
      <c r="AE61" s="3992">
        <f>IF(Sector1!AE235&lt;&gt;"",Sector1!AE235,"n.a.")</f>
        <v>27.369804339694966</v>
      </c>
    </row>
    <row r="62" spans="1:31">
      <c r="A62" s="3992" t="str">
        <f t="shared" si="2"/>
        <v>\\DG ECFIN\Forecast\Country databases\Desk transfer databases\BE</v>
      </c>
      <c r="B62" s="3992" t="str">
        <f t="shared" si="3"/>
        <v>BE</v>
      </c>
      <c r="C62" s="3992" t="s">
        <v>2166</v>
      </c>
      <c r="D62" s="3992" t="s">
        <v>2220</v>
      </c>
      <c r="E62" s="3992" t="s">
        <v>2168</v>
      </c>
      <c r="F62" s="3992">
        <v>91</v>
      </c>
      <c r="G62" s="3992" t="s">
        <v>1916</v>
      </c>
      <c r="H62" s="3992">
        <f>IF(Sector1!H1060&lt;&gt;"",Sector1!H1060,"n.a.")</f>
        <v>47.323800000000006</v>
      </c>
      <c r="I62" s="3992">
        <f>IF(Sector1!I1060&lt;&gt;"",Sector1!I1060,"n.a.")</f>
        <v>49.024899999999988</v>
      </c>
      <c r="J62" s="3992">
        <f>IF(Sector1!J1060&lt;&gt;"",Sector1!J1060,"n.a.")</f>
        <v>50.43</v>
      </c>
      <c r="K62" s="3992">
        <f>IF(Sector1!K1060&lt;&gt;"",Sector1!K1060,"n.a.")</f>
        <v>51.385400000000004</v>
      </c>
      <c r="L62" s="3992">
        <f>IF(Sector1!L1060&lt;&gt;"",Sector1!L1060,"n.a.")</f>
        <v>52.995600000000003</v>
      </c>
      <c r="M62" s="3992">
        <f>IF(Sector1!M1060&lt;&gt;"",Sector1!M1060,"n.a.")</f>
        <v>55.912199999999999</v>
      </c>
      <c r="N62" s="3992">
        <f>IF(Sector1!N1060&lt;&gt;"",Sector1!N1060,"n.a.")</f>
        <v>58.659299999999995</v>
      </c>
      <c r="O62" s="3992">
        <f>IF(Sector1!O1060&lt;&gt;"",Sector1!O1060,"n.a.")</f>
        <v>60.946599999999989</v>
      </c>
      <c r="P62" s="3992">
        <f>IF(Sector1!P1060&lt;&gt;"",Sector1!P1060,"n.a.")</f>
        <v>63.216299999999997</v>
      </c>
      <c r="Q62" s="3992">
        <f>IF(Sector1!Q1060&lt;&gt;"",Sector1!Q1060,"n.a.")</f>
        <v>66.204599999999999</v>
      </c>
      <c r="R62" s="3992">
        <f>IF(Sector1!R1060&lt;&gt;"",Sector1!R1060,"n.a.")</f>
        <v>67.690399999999997</v>
      </c>
      <c r="S62" s="3992">
        <f>IF(Sector1!S1060&lt;&gt;"",Sector1!S1060,"n.a.")</f>
        <v>69.563400000000001</v>
      </c>
      <c r="T62" s="3992">
        <f>IF(Sector1!T1060&lt;&gt;"",Sector1!T1060,"n.a.")</f>
        <v>73.566299999999998</v>
      </c>
      <c r="U62" s="3992">
        <f>IF(Sector1!U1060&lt;&gt;"",Sector1!U1060,"n.a.")</f>
        <v>79.884499999999989</v>
      </c>
      <c r="V62" s="3992">
        <f>IF(Sector1!V1060&lt;&gt;"",Sector1!V1060,"n.a.")</f>
        <v>80.787099999999981</v>
      </c>
      <c r="W62" s="3992">
        <f>IF(Sector1!W1060&lt;&gt;"",Sector1!W1060,"n.a.")</f>
        <v>83.311599999999984</v>
      </c>
      <c r="X62" s="3992">
        <f>IF(Sector1!X1060&lt;&gt;"",Sector1!X1060,"n.a.")</f>
        <v>87.637000000000015</v>
      </c>
      <c r="Y62" s="3992">
        <f>IF(Sector1!Y1060&lt;&gt;"",Sector1!Y1060,"n.a.")</f>
        <v>90.642499999999984</v>
      </c>
      <c r="Z62" s="3992">
        <f>IF(Sector1!Z1060&lt;&gt;"",Sector1!Z1060,"n.a.")</f>
        <v>92.118899999999996</v>
      </c>
      <c r="AA62" s="3992">
        <f>IF(Sector1!AA1060&lt;&gt;"",Sector1!AA1060,"n.a.")</f>
        <v>93.658300000000011</v>
      </c>
      <c r="AB62" s="3992">
        <f>IF(Sector1!AB1060&lt;&gt;"",Sector1!AB1060,"n.a.")</f>
        <v>95.86160000000001</v>
      </c>
      <c r="AC62" s="3992">
        <f>IF(Sector1!AC1060&lt;&gt;"",Sector1!AC1060,"n.a.")</f>
        <v>99.077317849999986</v>
      </c>
      <c r="AD62" s="3992">
        <f>IF(Sector1!AD1060&lt;&gt;"",Sector1!AD1060,"n.a.")</f>
        <v>102.03267093340899</v>
      </c>
      <c r="AE62" s="3992">
        <f>IF(Sector1!AE1060&lt;&gt;"",Sector1!AE1060,"n.a.")</f>
        <v>106.25695643505354</v>
      </c>
    </row>
    <row r="63" spans="1:31">
      <c r="A63" s="3992" t="str">
        <f t="shared" si="2"/>
        <v>\\DG ECFIN\Forecast\Country databases\Desk transfer databases\BE</v>
      </c>
      <c r="B63" s="3992" t="str">
        <f t="shared" si="3"/>
        <v>BE</v>
      </c>
      <c r="C63" s="3992" t="s">
        <v>2166</v>
      </c>
      <c r="D63" s="3992" t="s">
        <v>2221</v>
      </c>
      <c r="E63" s="3992" t="s">
        <v>2168</v>
      </c>
      <c r="F63" s="3992">
        <v>92</v>
      </c>
      <c r="G63" s="3992" t="s">
        <v>300</v>
      </c>
      <c r="H63" s="3992">
        <f>IF(Sector1!H296&lt;&gt;"",Sector1!H296,"n.a.")</f>
        <v>28.4252</v>
      </c>
      <c r="I63" s="3992">
        <f>IF(Sector1!I296&lt;&gt;"",Sector1!I296,"n.a.")</f>
        <v>30.247299999999999</v>
      </c>
      <c r="J63" s="3992">
        <f>IF(Sector1!J296&lt;&gt;"",Sector1!J296,"n.a.")</f>
        <v>31.3674</v>
      </c>
      <c r="K63" s="3992">
        <f>IF(Sector1!K296&lt;&gt;"",Sector1!K296,"n.a.")</f>
        <v>31.906200000000002</v>
      </c>
      <c r="L63" s="3992">
        <f>IF(Sector1!L296&lt;&gt;"",Sector1!L296,"n.a.")</f>
        <v>34.104800000000004</v>
      </c>
      <c r="M63" s="3992">
        <f>IF(Sector1!M296&lt;&gt;"",Sector1!M296,"n.a.")</f>
        <v>35.866800000000005</v>
      </c>
      <c r="N63" s="3992">
        <f>IF(Sector1!N296&lt;&gt;"",Sector1!N296,"n.a.")</f>
        <v>37.0441</v>
      </c>
      <c r="O63" s="3992">
        <f>IF(Sector1!O296&lt;&gt;"",Sector1!O296,"n.a.")</f>
        <v>37.001599999999996</v>
      </c>
      <c r="P63" s="3992">
        <f>IF(Sector1!P296&lt;&gt;"",Sector1!P296,"n.a.")</f>
        <v>38.584499999999998</v>
      </c>
      <c r="Q63" s="3992">
        <f>IF(Sector1!Q296&lt;&gt;"",Sector1!Q296,"n.a.")</f>
        <v>40.154199999999996</v>
      </c>
      <c r="R63" s="3992">
        <f>IF(Sector1!R296&lt;&gt;"",Sector1!R296,"n.a.")</f>
        <v>40.509599999999999</v>
      </c>
      <c r="S63" s="3992">
        <f>IF(Sector1!S296&lt;&gt;"",Sector1!S296,"n.a.")</f>
        <v>42.131500000000003</v>
      </c>
      <c r="T63" s="3992">
        <f>IF(Sector1!T296&lt;&gt;"",Sector1!T296,"n.a.")</f>
        <v>44.778400000000005</v>
      </c>
      <c r="U63" s="3992">
        <f>IF(Sector1!U296&lt;&gt;"",Sector1!U296,"n.a.")</f>
        <v>43.255000000000003</v>
      </c>
      <c r="V63" s="3992">
        <f>IF(Sector1!V296&lt;&gt;"",Sector1!V296,"n.a.")</f>
        <v>45.653599999999997</v>
      </c>
      <c r="W63" s="3992">
        <f>IF(Sector1!W296&lt;&gt;"",Sector1!W296,"n.a.")</f>
        <v>48.298999999999999</v>
      </c>
      <c r="X63" s="3992">
        <f>IF(Sector1!X296&lt;&gt;"",Sector1!X296,"n.a.")</f>
        <v>50.078400000000002</v>
      </c>
      <c r="Y63" s="3992">
        <f>IF(Sector1!Y296&lt;&gt;"",Sector1!Y296,"n.a.")</f>
        <v>52.613199999999999</v>
      </c>
      <c r="Z63" s="3992">
        <f>IF(Sector1!Z296&lt;&gt;"",Sector1!Z296,"n.a.")</f>
        <v>53.6203</v>
      </c>
      <c r="AA63" s="3992">
        <f>IF(Sector1!AA296&lt;&gt;"",Sector1!AA296,"n.a.")</f>
        <v>53.569800000000001</v>
      </c>
      <c r="AB63" s="3992">
        <f>IF(Sector1!AB296&lt;&gt;"",Sector1!AB296,"n.a.")</f>
        <v>53.116099999999996</v>
      </c>
      <c r="AC63" s="3992">
        <f>IF(Sector1!AC296&lt;&gt;"",Sector1!AC296,"n.a.")</f>
        <v>54.922047399999997</v>
      </c>
      <c r="AD63" s="3992">
        <f>IF(Sector1!AD296&lt;&gt;"",Sector1!AD296,"n.a.")</f>
        <v>56.498310160379994</v>
      </c>
      <c r="AE63" s="3992">
        <f>IF(Sector1!AE296&lt;&gt;"",Sector1!AE296,"n.a.")</f>
        <v>57.340134981769651</v>
      </c>
    </row>
    <row r="64" spans="1:31">
      <c r="A64" s="3992" t="str">
        <f t="shared" si="2"/>
        <v>\\DG ECFIN\Forecast\Country databases\Desk transfer databases\BE</v>
      </c>
      <c r="B64" s="3992" t="str">
        <f t="shared" si="3"/>
        <v>BE</v>
      </c>
      <c r="C64" s="3992" t="s">
        <v>2166</v>
      </c>
      <c r="D64" s="3992" t="s">
        <v>2222</v>
      </c>
      <c r="E64" s="3992" t="s">
        <v>2168</v>
      </c>
      <c r="F64" s="3992">
        <v>93</v>
      </c>
      <c r="G64" s="3992" t="s">
        <v>372</v>
      </c>
      <c r="H64" s="3992">
        <f>IF(Sector1!H1066&lt;&gt;"",Sector1!H1066,"n.a.")</f>
        <v>48.948399999999999</v>
      </c>
      <c r="I64" s="3992">
        <f>IF(Sector1!I1066&lt;&gt;"",Sector1!I1066,"n.a.")</f>
        <v>50.889099999999992</v>
      </c>
      <c r="J64" s="3992">
        <f>IF(Sector1!J1066&lt;&gt;"",Sector1!J1066,"n.a.")</f>
        <v>53.269300000000001</v>
      </c>
      <c r="K64" s="3992">
        <f>IF(Sector1!K1066&lt;&gt;"",Sector1!K1066,"n.a.")</f>
        <v>55.254399999999997</v>
      </c>
      <c r="L64" s="3992">
        <f>IF(Sector1!L1066&lt;&gt;"",Sector1!L1066,"n.a.")</f>
        <v>57.128599999999999</v>
      </c>
      <c r="M64" s="3992">
        <f>IF(Sector1!M1066&lt;&gt;"",Sector1!M1066,"n.a.")</f>
        <v>59.923999999999999</v>
      </c>
      <c r="N64" s="3992">
        <f>IF(Sector1!N1066&lt;&gt;"",Sector1!N1066,"n.a.")</f>
        <v>62.526799999999994</v>
      </c>
      <c r="O64" s="3992">
        <f>IF(Sector1!O1066&lt;&gt;"",Sector1!O1066,"n.a.")</f>
        <v>64.3048</v>
      </c>
      <c r="P64" s="3992">
        <f>IF(Sector1!P1066&lt;&gt;"",Sector1!P1066,"n.a.")</f>
        <v>66.380899999999997</v>
      </c>
      <c r="Q64" s="3992">
        <f>IF(Sector1!Q1066&lt;&gt;"",Sector1!Q1066,"n.a.")</f>
        <v>68.688099999999991</v>
      </c>
      <c r="R64" s="3992">
        <f>IF(Sector1!R1066&lt;&gt;"",Sector1!R1066,"n.a.")</f>
        <v>70.804599999999994</v>
      </c>
      <c r="S64" s="3992">
        <f>IF(Sector1!S1066&lt;&gt;"",Sector1!S1066,"n.a.")</f>
        <v>74.064800000000005</v>
      </c>
      <c r="T64" s="3992">
        <f>IF(Sector1!T1066&lt;&gt;"",Sector1!T1066,"n.a.")</f>
        <v>78.3249</v>
      </c>
      <c r="U64" s="3992">
        <f>IF(Sector1!U1066&lt;&gt;"",Sector1!U1066,"n.a.")</f>
        <v>81.147300000000001</v>
      </c>
      <c r="V64" s="3992">
        <f>IF(Sector1!V1066&lt;&gt;"",Sector1!V1066,"n.a.")</f>
        <v>82.884099999999989</v>
      </c>
      <c r="W64" s="3992">
        <f>IF(Sector1!W1066&lt;&gt;"",Sector1!W1066,"n.a.")</f>
        <v>85.715699999999998</v>
      </c>
      <c r="X64" s="3992">
        <f>IF(Sector1!X1066&lt;&gt;"",Sector1!X1066,"n.a.")</f>
        <v>89.640500000000003</v>
      </c>
      <c r="Y64" s="3992">
        <f>IF(Sector1!Y1066&lt;&gt;"",Sector1!Y1066,"n.a.")</f>
        <v>91.513899999999992</v>
      </c>
      <c r="Z64" s="3992">
        <f>IF(Sector1!Z1066&lt;&gt;"",Sector1!Z1066,"n.a.")</f>
        <v>92.335100000000011</v>
      </c>
      <c r="AA64" s="3992">
        <f>IF(Sector1!AA1066&lt;&gt;"",Sector1!AA1066,"n.a.")</f>
        <v>93.903199999999998</v>
      </c>
      <c r="AB64" s="3992">
        <f>IF(Sector1!AB1066&lt;&gt;"",Sector1!AB1066,"n.a.")</f>
        <v>93.319600000000008</v>
      </c>
      <c r="AC64" s="3992">
        <f>IF(Sector1!AC1066&lt;&gt;"",Sector1!AC1066,"n.a.")</f>
        <v>95.897094139999993</v>
      </c>
      <c r="AD64" s="3992">
        <f>IF(Sector1!AD1066&lt;&gt;"",Sector1!AD1066,"n.a.")</f>
        <v>98.80443494776398</v>
      </c>
      <c r="AE64" s="3992">
        <f>IF(Sector1!AE1066&lt;&gt;"",Sector1!AE1066,"n.a.")</f>
        <v>101.87186151694843</v>
      </c>
    </row>
    <row r="65" spans="1:31">
      <c r="A65" s="3992" t="str">
        <f t="shared" si="2"/>
        <v>\\DG ECFIN\Forecast\Country databases\Desk transfer databases\BE</v>
      </c>
      <c r="B65" s="3992" t="str">
        <f t="shared" si="3"/>
        <v>BE</v>
      </c>
      <c r="C65" s="3992" t="s">
        <v>2166</v>
      </c>
      <c r="D65" s="3992" t="s">
        <v>2223</v>
      </c>
      <c r="E65" s="3992" t="s">
        <v>2168</v>
      </c>
      <c r="F65" s="3992">
        <v>94</v>
      </c>
      <c r="G65" s="3992" t="s">
        <v>374</v>
      </c>
      <c r="H65" s="3992">
        <f>IF(Sector1!H666&lt;&gt;"",Sector1!H666,"n.a.")</f>
        <v>1.33</v>
      </c>
      <c r="I65" s="3992">
        <f>IF(Sector1!I666&lt;&gt;"",Sector1!I666,"n.a.")</f>
        <v>1.4627000000000001</v>
      </c>
      <c r="J65" s="3992">
        <f>IF(Sector1!J666&lt;&gt;"",Sector1!J666,"n.a.")</f>
        <v>1.4350000000000001</v>
      </c>
      <c r="K65" s="3992">
        <f>IF(Sector1!K666&lt;&gt;"",Sector1!K666,"n.a.")</f>
        <v>1.4472</v>
      </c>
      <c r="L65" s="3992">
        <f>IF(Sector1!L666&lt;&gt;"",Sector1!L666,"n.a.")</f>
        <v>1.3915</v>
      </c>
      <c r="M65" s="3992">
        <f>IF(Sector1!M666&lt;&gt;"",Sector1!M666,"n.a.")</f>
        <v>1.3982000000000001</v>
      </c>
      <c r="N65" s="3992">
        <f>IF(Sector1!N666&lt;&gt;"",Sector1!N666,"n.a.")</f>
        <v>1.4002999999999999</v>
      </c>
      <c r="O65" s="3992">
        <f>IF(Sector1!O666&lt;&gt;"",Sector1!O666,"n.a.")</f>
        <v>1.5860999999999998</v>
      </c>
      <c r="P65" s="3992">
        <f>IF(Sector1!P666&lt;&gt;"",Sector1!P666,"n.a.")</f>
        <v>1.7039000000000002</v>
      </c>
      <c r="Q65" s="3992">
        <f>IF(Sector1!Q666&lt;&gt;"",Sector1!Q666,"n.a.")</f>
        <v>1.7681</v>
      </c>
      <c r="R65" s="3992">
        <f>IF(Sector1!R666&lt;&gt;"",Sector1!R666,"n.a.")</f>
        <v>1.8597999999999999</v>
      </c>
      <c r="S65" s="3992">
        <f>IF(Sector1!S666&lt;&gt;"",Sector1!S666,"n.a.")</f>
        <v>2.2318000000000002</v>
      </c>
      <c r="T65" s="3992">
        <f>IF(Sector1!T666&lt;&gt;"",Sector1!T666,"n.a.")</f>
        <v>2.6881999999999997</v>
      </c>
      <c r="U65" s="3992">
        <f>IF(Sector1!U666&lt;&gt;"",Sector1!U666,"n.a.")</f>
        <v>2.6683000000000003</v>
      </c>
      <c r="V65" s="3992">
        <f>IF(Sector1!V666&lt;&gt;"",Sector1!V666,"n.a.")</f>
        <v>3.3869999999999996</v>
      </c>
      <c r="W65" s="3992">
        <f>IF(Sector1!W666&lt;&gt;"",Sector1!W666,"n.a.")</f>
        <v>2.9038999999999997</v>
      </c>
      <c r="X65" s="3992">
        <f>IF(Sector1!X666&lt;&gt;"",Sector1!X666,"n.a.")</f>
        <v>2.8317999999999999</v>
      </c>
      <c r="Y65" s="3992">
        <f>IF(Sector1!Y666&lt;&gt;"",Sector1!Y666,"n.a.")</f>
        <v>2.8161999999999998</v>
      </c>
      <c r="Z65" s="3992">
        <f>IF(Sector1!Z666&lt;&gt;"",Sector1!Z666,"n.a.")</f>
        <v>2.6561999999999997</v>
      </c>
      <c r="AA65" s="3992">
        <f>IF(Sector1!AA666&lt;&gt;"",Sector1!AA666,"n.a.")</f>
        <v>2.7558999999999996</v>
      </c>
      <c r="AB65" s="3992">
        <f>IF(Sector1!AB666&lt;&gt;"",Sector1!AB666,"n.a.")</f>
        <v>2.8010000000000002</v>
      </c>
      <c r="AC65" s="3992">
        <f>IF(Sector1!AC666&lt;&gt;"",Sector1!AC666,"n.a.")</f>
        <v>2.9410500000000002</v>
      </c>
      <c r="AD65" s="3992">
        <f>IF(Sector1!AD666&lt;&gt;"",Sector1!AD666,"n.a.")</f>
        <v>3.0881025000000002</v>
      </c>
      <c r="AE65" s="3992">
        <f>IF(Sector1!AE666&lt;&gt;"",Sector1!AE666,"n.a.")</f>
        <v>3.2425076250000004</v>
      </c>
    </row>
    <row r="66" spans="1:31">
      <c r="A66" s="3992" t="str">
        <f t="shared" si="2"/>
        <v>\\DG ECFIN\Forecast\Country databases\Desk transfer databases\BE</v>
      </c>
      <c r="B66" s="3992" t="str">
        <f t="shared" si="3"/>
        <v>BE</v>
      </c>
      <c r="C66" s="3992" t="s">
        <v>2166</v>
      </c>
      <c r="D66" s="3992" t="s">
        <v>2224</v>
      </c>
      <c r="E66" s="3992" t="s">
        <v>2168</v>
      </c>
      <c r="F66" s="3992">
        <v>95</v>
      </c>
      <c r="G66" s="3992" t="s">
        <v>375</v>
      </c>
      <c r="H66" s="3992">
        <f>IF('VVP2'!H192&lt;&gt;"",'VVP2'!H192,"n.a.")</f>
        <v>116.6069</v>
      </c>
      <c r="I66" s="3992">
        <f>IF('VVP2'!I192&lt;&gt;"",'VVP2'!I192,"n.a.")</f>
        <v>120.49119999999999</v>
      </c>
      <c r="J66" s="3992">
        <f>IF('VVP2'!J192&lt;&gt;"",'VVP2'!J192,"n.a.")</f>
        <v>125.2568</v>
      </c>
      <c r="K66" s="3992">
        <f>IF('VVP2'!K192&lt;&gt;"",'VVP2'!K192,"n.a.")</f>
        <v>128.14839999999998</v>
      </c>
      <c r="L66" s="3992">
        <f>IF('VVP2'!L192&lt;&gt;"",'VVP2'!L192,"n.a.")</f>
        <v>136.1028</v>
      </c>
      <c r="M66" s="3992">
        <f>IF('VVP2'!M192&lt;&gt;"",'VVP2'!M192,"n.a.")</f>
        <v>140.29089999999999</v>
      </c>
      <c r="N66" s="3992">
        <f>IF('VVP2'!N192&lt;&gt;"",'VVP2'!N192,"n.a.")</f>
        <v>142.79829999999998</v>
      </c>
      <c r="O66" s="3992">
        <f>IF('VVP2'!O192&lt;&gt;"",'VVP2'!O192,"n.a.")</f>
        <v>145.8004</v>
      </c>
      <c r="P66" s="3992">
        <f>IF('VVP2'!P192&lt;&gt;"",'VVP2'!P192,"n.a.")</f>
        <v>151.649</v>
      </c>
      <c r="Q66" s="3992">
        <f>IF('VVP2'!Q192&lt;&gt;"",'VVP2'!Q192,"n.a.")</f>
        <v>157.66120000000001</v>
      </c>
      <c r="R66" s="3992">
        <f>IF('VVP2'!R192&lt;&gt;"",'VVP2'!R192,"n.a.")</f>
        <v>164.9487</v>
      </c>
      <c r="S66" s="3992">
        <f>IF('VVP2'!S192&lt;&gt;"",'VVP2'!S192,"n.a.")</f>
        <v>172.86610000000002</v>
      </c>
      <c r="T66" s="3992">
        <f>IF('VVP2'!T192&lt;&gt;"",'VVP2'!T192,"n.a.")</f>
        <v>181.39229999999998</v>
      </c>
      <c r="U66" s="3992">
        <f>IF('VVP2'!U192&lt;&gt;"",'VVP2'!U192,"n.a.")</f>
        <v>181.54570000000001</v>
      </c>
      <c r="V66" s="3992">
        <f>IF('VVP2'!V192&lt;&gt;"",'VVP2'!V192,"n.a.")</f>
        <v>189.69289999999998</v>
      </c>
      <c r="W66" s="3992">
        <f>IF('VVP2'!W192&lt;&gt;"",'VVP2'!W192,"n.a.")</f>
        <v>196.06920000000002</v>
      </c>
      <c r="X66" s="3992">
        <f>IF('VVP2'!X192&lt;&gt;"",'VVP2'!X192,"n.a.")</f>
        <v>201.18220000000002</v>
      </c>
      <c r="Y66" s="3992">
        <f>IF('VVP2'!Y192&lt;&gt;"",'VVP2'!Y192,"n.a.")</f>
        <v>204.38479999999998</v>
      </c>
      <c r="Z66" s="3992">
        <f>IF('VVP2'!Z192&lt;&gt;"",'VVP2'!Z192,"n.a.")</f>
        <v>206.88900000000001</v>
      </c>
      <c r="AA66" s="3992">
        <f>IF('VVP2'!AA192&lt;&gt;"",'VVP2'!AA192,"n.a.")</f>
        <v>209.88810000000001</v>
      </c>
      <c r="AB66" s="3992">
        <f>IF('VVP2'!AB192&lt;&gt;"",'VVP2'!AB192,"n.a.")</f>
        <v>216.57429999999999</v>
      </c>
      <c r="AC66" s="3992">
        <f>IF('VVP2'!AC192&lt;&gt;"",'VVP2'!AC192,"n.a.")</f>
        <v>222.72300000000001</v>
      </c>
      <c r="AD66" s="3992">
        <f ca="1">IF('VVP2'!AD192&lt;&gt;"",'VVP2'!AD192,"n.a.")</f>
        <v>230.24669430149996</v>
      </c>
      <c r="AE66" s="3992">
        <f ca="1">IF('VVP2'!AE192&lt;&gt;"",'VVP2'!AE192,"n.a.")</f>
        <v>237.344923590782</v>
      </c>
    </row>
    <row r="67" spans="1:31">
      <c r="A67" s="3992" t="str">
        <f t="shared" si="2"/>
        <v>\\DG ECFIN\Forecast\Country databases\Desk transfer databases\BE</v>
      </c>
      <c r="B67" s="3992" t="str">
        <f t="shared" si="3"/>
        <v>BE</v>
      </c>
      <c r="C67" s="3992" t="s">
        <v>2166</v>
      </c>
      <c r="D67" s="3992" t="s">
        <v>2225</v>
      </c>
      <c r="E67" s="3992" t="s">
        <v>2168</v>
      </c>
      <c r="F67" s="3992">
        <v>96</v>
      </c>
      <c r="G67" s="3992" t="s">
        <v>376</v>
      </c>
      <c r="H67" s="3992">
        <f>IF(Sector1!H1071&lt;&gt;"",Sector1!H1071,"n.a.")</f>
        <v>13.4445</v>
      </c>
      <c r="I67" s="3992">
        <f>IF(Sector1!I1071&lt;&gt;"",Sector1!I1071,"n.a.")</f>
        <v>14.857399999999998</v>
      </c>
      <c r="J67" s="3992">
        <f>IF(Sector1!J1071&lt;&gt;"",Sector1!J1071,"n.a.")</f>
        <v>14.4343</v>
      </c>
      <c r="K67" s="3992">
        <f>IF(Sector1!K1071&lt;&gt;"",Sector1!K1071,"n.a.")</f>
        <v>14.964300000000001</v>
      </c>
      <c r="L67" s="3992">
        <f>IF(Sector1!L1071&lt;&gt;"",Sector1!L1071,"n.a.")</f>
        <v>15.114899999999999</v>
      </c>
      <c r="M67" s="3992">
        <f>IF(Sector1!M1071&lt;&gt;"",Sector1!M1071,"n.a.")</f>
        <v>14.492099999999999</v>
      </c>
      <c r="N67" s="3992">
        <f>IF(Sector1!N1071&lt;&gt;"",Sector1!N1071,"n.a.")</f>
        <v>14.318200000000001</v>
      </c>
      <c r="O67" s="3992">
        <f>IF(Sector1!O1071&lt;&gt;"",Sector1!O1071,"n.a.")</f>
        <v>14.885899999999999</v>
      </c>
      <c r="P67" s="3992">
        <f>IF(Sector1!P1071&lt;&gt;"",Sector1!P1071,"n.a.")</f>
        <v>16.363099999999999</v>
      </c>
      <c r="Q67" s="3992">
        <f>IF(Sector1!Q1071&lt;&gt;"",Sector1!Q1071,"n.a.")</f>
        <v>19.118300000000001</v>
      </c>
      <c r="R67" s="3992">
        <f>IF(Sector1!R1071&lt;&gt;"",Sector1!R1071,"n.a.")</f>
        <v>21.154100000000003</v>
      </c>
      <c r="S67" s="3992">
        <f>IF(Sector1!S1071&lt;&gt;"",Sector1!S1071,"n.a.")</f>
        <v>22.988599999999998</v>
      </c>
      <c r="T67" s="3992">
        <f>IF(Sector1!T1071&lt;&gt;"",Sector1!T1071,"n.a.")</f>
        <v>24.038399999999999</v>
      </c>
      <c r="U67" s="3992">
        <f>IF(Sector1!U1071&lt;&gt;"",Sector1!U1071,"n.a.")</f>
        <v>21.821100000000001</v>
      </c>
      <c r="V67" s="3992">
        <f>IF(Sector1!V1071&lt;&gt;"",Sector1!V1071,"n.a.")</f>
        <v>22.460899999999999</v>
      </c>
      <c r="W67" s="3992">
        <f>IF(Sector1!W1071&lt;&gt;"",Sector1!W1071,"n.a.")</f>
        <v>22.559099999999997</v>
      </c>
      <c r="X67" s="3992">
        <f>IF(Sector1!X1071&lt;&gt;"",Sector1!X1071,"n.a.")</f>
        <v>22.871100000000002</v>
      </c>
      <c r="Y67" s="3992">
        <f>IF(Sector1!Y1071&lt;&gt;"",Sector1!Y1071,"n.a.")</f>
        <v>22.304899999999996</v>
      </c>
      <c r="Z67" s="3992">
        <f>IF(Sector1!Z1071&lt;&gt;"",Sector1!Z1071,"n.a.")</f>
        <v>23.547600000000003</v>
      </c>
      <c r="AA67" s="3992">
        <f>IF(Sector1!AA1071&lt;&gt;"",Sector1!AA1071,"n.a.")</f>
        <v>23.722200000000004</v>
      </c>
      <c r="AB67" s="3992">
        <f>IF(Sector1!AB1071&lt;&gt;"",Sector1!AB1071,"n.a.")</f>
        <v>24.465100000000003</v>
      </c>
      <c r="AC67" s="3992">
        <f ca="1">IF(Sector1!AC1071&lt;&gt;"",Sector1!AC1071,"n.a.")</f>
        <v>24.910316425268899</v>
      </c>
      <c r="AD67" s="3992">
        <f ca="1">IF(Sector1!AD1071&lt;&gt;"",Sector1!AD1071,"n.a.")</f>
        <v>25.335776213648238</v>
      </c>
      <c r="AE67" s="3992">
        <f ca="1">IF(Sector1!AE1071&lt;&gt;"",Sector1!AE1071,"n.a.")</f>
        <v>25.819553251309497</v>
      </c>
    </row>
    <row r="68" spans="1:31">
      <c r="A68" s="3992" t="str">
        <f t="shared" si="2"/>
        <v>\\DG ECFIN\Forecast\Country databases\Desk transfer databases\BE</v>
      </c>
      <c r="B68" s="3992" t="str">
        <f t="shared" si="3"/>
        <v>BE</v>
      </c>
      <c r="C68" s="3992" t="s">
        <v>2166</v>
      </c>
      <c r="D68" s="3992" t="s">
        <v>2226</v>
      </c>
      <c r="E68" s="3992" t="s">
        <v>2168</v>
      </c>
      <c r="F68" s="3992">
        <v>97</v>
      </c>
      <c r="G68" s="3992" t="s">
        <v>520</v>
      </c>
      <c r="H68" s="3992">
        <f>IF(Sector1!H1076&lt;&gt;"",Sector1!H1076,"n.a.")</f>
        <v>-0.28320000000000012</v>
      </c>
      <c r="I68" s="3992">
        <f>IF(Sector1!I1076&lt;&gt;"",Sector1!I1076,"n.a.")</f>
        <v>-0.17730000000000007</v>
      </c>
      <c r="J68" s="3992">
        <f>IF(Sector1!J1076&lt;&gt;"",Sector1!J1076,"n.a.")</f>
        <v>-2.5700000000000056E-2</v>
      </c>
      <c r="K68" s="3992">
        <f>IF(Sector1!K1076&lt;&gt;"",Sector1!K1076,"n.a.")</f>
        <v>-0.10869999999999981</v>
      </c>
      <c r="L68" s="3992">
        <f>IF(Sector1!L1076&lt;&gt;"",Sector1!L1076,"n.a.")</f>
        <v>8.0700000000000022E-2</v>
      </c>
      <c r="M68" s="3992">
        <f>IF(Sector1!M1076&lt;&gt;"",Sector1!M1076,"n.a.")</f>
        <v>0.63069999999999993</v>
      </c>
      <c r="N68" s="3992">
        <f>IF(Sector1!N1076&lt;&gt;"",Sector1!N1076,"n.a.")</f>
        <v>0.33030000000000004</v>
      </c>
      <c r="O68" s="3992">
        <f>IF(Sector1!O1076&lt;&gt;"",Sector1!O1076,"n.a.")</f>
        <v>0.74659999999999993</v>
      </c>
      <c r="P68" s="3992">
        <f>IF(Sector1!P1076&lt;&gt;"",Sector1!P1076,"n.a.")</f>
        <v>0.98210000000000008</v>
      </c>
      <c r="Q68" s="3992">
        <f>IF(Sector1!Q1076&lt;&gt;"",Sector1!Q1076,"n.a.")</f>
        <v>1.1940999999999999</v>
      </c>
      <c r="R68" s="3992">
        <f>IF(Sector1!R1076&lt;&gt;"",Sector1!R1076,"n.a.")</f>
        <v>1.3280999999999998</v>
      </c>
      <c r="S68" s="3992">
        <f>IF(Sector1!S1076&lt;&gt;"",Sector1!S1076,"n.a.")</f>
        <v>1.1039999999999999</v>
      </c>
      <c r="T68" s="3992">
        <f>IF(Sector1!T1076&lt;&gt;"",Sector1!T1076,"n.a.")</f>
        <v>1.1938999999999997</v>
      </c>
      <c r="U68" s="3992">
        <f>IF(Sector1!U1076&lt;&gt;"",Sector1!U1076,"n.a.")</f>
        <v>0.87570000000000014</v>
      </c>
      <c r="V68" s="3992">
        <f>IF(Sector1!V1076&lt;&gt;"",Sector1!V1076,"n.a.")</f>
        <v>1.0582</v>
      </c>
      <c r="W68" s="3992">
        <f>IF(Sector1!W1076&lt;&gt;"",Sector1!W1076,"n.a.")</f>
        <v>0.34800000000000009</v>
      </c>
      <c r="X68" s="3992">
        <f>IF(Sector1!X1076&lt;&gt;"",Sector1!X1076,"n.a.")</f>
        <v>0.88360000000000016</v>
      </c>
      <c r="Y68" s="3992">
        <f>IF(Sector1!Y1076&lt;&gt;"",Sector1!Y1076,"n.a.")</f>
        <v>1.5873999999999997</v>
      </c>
      <c r="Z68" s="3992">
        <f>IF(Sector1!Z1076&lt;&gt;"",Sector1!Z1076,"n.a.")</f>
        <v>2.1025</v>
      </c>
      <c r="AA68" s="3992">
        <f>IF(Sector1!AA1076&lt;&gt;"",Sector1!AA1076,"n.a.")</f>
        <v>2.5240999999999998</v>
      </c>
      <c r="AB68" s="3992">
        <f>IF(Sector1!AB1076&lt;&gt;"",Sector1!AB1076,"n.a.")</f>
        <v>2.145</v>
      </c>
      <c r="AC68" s="3992">
        <f>IF(Sector1!AC1076&lt;&gt;"",Sector1!AC1076,"n.a.")</f>
        <v>2.285625</v>
      </c>
      <c r="AD68" s="3992">
        <f>IF(Sector1!AD1076&lt;&gt;"",Sector1!AD1076,"n.a.")</f>
        <v>2.4332812500000003</v>
      </c>
      <c r="AE68" s="3992">
        <f>IF(Sector1!AE1076&lt;&gt;"",Sector1!AE1076,"n.a.")</f>
        <v>2.5883203125000005</v>
      </c>
    </row>
    <row r="69" spans="1:31">
      <c r="A69" s="3992" t="str">
        <f t="shared" si="2"/>
        <v>\\DG ECFIN\Forecast\Country databases\Desk transfer databases\BE</v>
      </c>
      <c r="B69" s="3992" t="str">
        <f t="shared" si="3"/>
        <v>BE</v>
      </c>
      <c r="C69" s="3992" t="s">
        <v>2166</v>
      </c>
      <c r="D69" s="3992" t="s">
        <v>2227</v>
      </c>
      <c r="E69" s="3992" t="s">
        <v>2168</v>
      </c>
      <c r="F69" s="3992">
        <v>100</v>
      </c>
      <c r="G69" s="3992" t="s">
        <v>1349</v>
      </c>
      <c r="H69" s="3992">
        <f>IF(Sector1!H169&lt;&gt;"",Sector1!H169,"n.a.")</f>
        <v>125.80589999999999</v>
      </c>
      <c r="I69" s="3992">
        <f>IF(Sector1!I169&lt;&gt;"",Sector1!I169,"n.a.")</f>
        <v>131.94170000000003</v>
      </c>
      <c r="J69" s="3992">
        <f>IF(Sector1!J169&lt;&gt;"",Sector1!J169,"n.a.")</f>
        <v>137.5197</v>
      </c>
      <c r="K69" s="3992">
        <f>IF(Sector1!K169&lt;&gt;"",Sector1!K169,"n.a.")</f>
        <v>143.27079999999998</v>
      </c>
      <c r="L69" s="3992">
        <f>IF(Sector1!L169&lt;&gt;"",Sector1!L169,"n.a.")</f>
        <v>152.41800000000001</v>
      </c>
      <c r="M69" s="3992">
        <f>IF(Sector1!M169&lt;&gt;"",Sector1!M169,"n.a.")</f>
        <v>157.89570000000001</v>
      </c>
      <c r="N69" s="3992">
        <f>IF(Sector1!N169&lt;&gt;"",Sector1!N169,"n.a.")</f>
        <v>163.6788</v>
      </c>
      <c r="O69" s="3992">
        <f>IF(Sector1!O169&lt;&gt;"",Sector1!O169,"n.a.")</f>
        <v>168.5035</v>
      </c>
      <c r="P69" s="3992">
        <f>IF(Sector1!P169&lt;&gt;"",Sector1!P169,"n.a.")</f>
        <v>179.851</v>
      </c>
      <c r="Q69" s="3992">
        <f>IF(Sector1!Q169&lt;&gt;"",Sector1!Q169,"n.a.")</f>
        <v>187.38939999999999</v>
      </c>
      <c r="R69" s="3992">
        <f>IF(Sector1!R169&lt;&gt;"",Sector1!R169,"n.a.")</f>
        <v>196.27670000000001</v>
      </c>
      <c r="S69" s="3992">
        <f>IF(Sector1!S169&lt;&gt;"",Sector1!S169,"n.a.")</f>
        <v>208.3862</v>
      </c>
      <c r="T69" s="3992">
        <f>IF(Sector1!T169&lt;&gt;"",Sector1!T169,"n.a.")</f>
        <v>213.5257</v>
      </c>
      <c r="U69" s="3992">
        <f>IF(Sector1!U169&lt;&gt;"",Sector1!U169,"n.a.")</f>
        <v>208.8938</v>
      </c>
      <c r="V69" s="3992">
        <f>IF(Sector1!V169&lt;&gt;"",Sector1!V169,"n.a.")</f>
        <v>220.5377</v>
      </c>
      <c r="W69" s="3992">
        <f>IF(Sector1!W169&lt;&gt;"",Sector1!W169,"n.a.")</f>
        <v>230.0515</v>
      </c>
      <c r="X69" s="3992">
        <f>IF(Sector1!X169&lt;&gt;"",Sector1!X169,"n.a.")</f>
        <v>234.21439999999998</v>
      </c>
      <c r="Y69" s="3992">
        <f>IF(Sector1!Y169&lt;&gt;"",Sector1!Y169,"n.a.")</f>
        <v>236.7003</v>
      </c>
      <c r="Z69" s="3992">
        <f>IF(Sector1!Z169&lt;&gt;"",Sector1!Z169,"n.a.")</f>
        <v>241.48009999999999</v>
      </c>
      <c r="AA69" s="3992">
        <f>IF(Sector1!AA169&lt;&gt;"",Sector1!AA169,"n.a.")</f>
        <v>249.8425</v>
      </c>
      <c r="AB69" s="3992">
        <f>IF(Sector1!AB169&lt;&gt;"",Sector1!AB169,"n.a.")</f>
        <v>257.62099999999998</v>
      </c>
      <c r="AC69" s="3992">
        <f>IF(Sector1!AC169&lt;&gt;"",Sector1!AC169,"n.a.")</f>
        <v>268.26206499999995</v>
      </c>
      <c r="AD69" s="3992">
        <f ca="1">IF(Sector1!AD169&lt;&gt;"",Sector1!AD169,"n.a.")</f>
        <v>279.56150323352051</v>
      </c>
      <c r="AE69" s="3992">
        <f ca="1">IF(Sector1!AE169&lt;&gt;"",Sector1!AE169,"n.a.")</f>
        <v>291.01575720878168</v>
      </c>
    </row>
    <row r="70" spans="1:31">
      <c r="A70" s="3992" t="str">
        <f t="shared" si="2"/>
        <v>\\DG ECFIN\Forecast\Country databases\Desk transfer databases\BE</v>
      </c>
      <c r="B70" s="3992" t="str">
        <f t="shared" si="3"/>
        <v>BE</v>
      </c>
      <c r="C70" s="3992" t="s">
        <v>2166</v>
      </c>
      <c r="D70" s="3992" t="s">
        <v>2228</v>
      </c>
      <c r="E70" s="3992" t="s">
        <v>2168</v>
      </c>
      <c r="F70" s="3992">
        <v>101</v>
      </c>
      <c r="G70" s="3992" t="s">
        <v>1350</v>
      </c>
      <c r="H70" s="3992">
        <f>IF(Sector1!H134&lt;&gt;"",Sector1!H134,"n.a.")</f>
        <v>2.5741000000000001</v>
      </c>
      <c r="I70" s="3992">
        <f>IF(Sector1!I134&lt;&gt;"",Sector1!I134,"n.a.")</f>
        <v>2.3380000000000001</v>
      </c>
      <c r="J70" s="3992">
        <f>IF(Sector1!J134&lt;&gt;"",Sector1!J134,"n.a.")</f>
        <v>2.5038</v>
      </c>
      <c r="K70" s="3992">
        <f>IF(Sector1!K134&lt;&gt;"",Sector1!K134,"n.a.")</f>
        <v>2.6751999999999998</v>
      </c>
      <c r="L70" s="3992">
        <f>IF(Sector1!L134&lt;&gt;"",Sector1!L134,"n.a.")</f>
        <v>2.6964999999999999</v>
      </c>
      <c r="M70" s="3992">
        <f>IF(Sector1!M134&lt;&gt;"",Sector1!M134,"n.a.")</f>
        <v>2.8229000000000002</v>
      </c>
      <c r="N70" s="3992">
        <f>IF(Sector1!N134&lt;&gt;"",Sector1!N134,"n.a.")</f>
        <v>2.9326999999999996</v>
      </c>
      <c r="O70" s="3992">
        <f>IF(Sector1!O134&lt;&gt;"",Sector1!O134,"n.a.")</f>
        <v>3.1064000000000003</v>
      </c>
      <c r="P70" s="3992">
        <f>IF(Sector1!P134&lt;&gt;"",Sector1!P134,"n.a.")</f>
        <v>3.4746999999999999</v>
      </c>
      <c r="Q70" s="3992">
        <f>IF(Sector1!Q134&lt;&gt;"",Sector1!Q134,"n.a.")</f>
        <v>4.18</v>
      </c>
      <c r="R70" s="3992">
        <f>IF(Sector1!R134&lt;&gt;"",Sector1!R134,"n.a.")</f>
        <v>5.4753999999999996</v>
      </c>
      <c r="S70" s="3992">
        <f>IF(Sector1!S134&lt;&gt;"",Sector1!S134,"n.a.")</f>
        <v>6.4878999999999998</v>
      </c>
      <c r="T70" s="3992">
        <f>IF(Sector1!T134&lt;&gt;"",Sector1!T134,"n.a.")</f>
        <v>7.5359999999999996</v>
      </c>
      <c r="U70" s="3992">
        <f>IF(Sector1!U134&lt;&gt;"",Sector1!U134,"n.a.")</f>
        <v>8.2514000000000003</v>
      </c>
      <c r="V70" s="3992">
        <f>IF(Sector1!V134&lt;&gt;"",Sector1!V134,"n.a.")</f>
        <v>9.4933999999999994</v>
      </c>
      <c r="W70" s="3992">
        <f>IF(Sector1!W134&lt;&gt;"",Sector1!W134,"n.a.")</f>
        <v>10.234500000000001</v>
      </c>
      <c r="X70" s="3992">
        <f>IF(Sector1!X134&lt;&gt;"",Sector1!X134,"n.a.")</f>
        <v>10.495799999999999</v>
      </c>
      <c r="Y70" s="3992">
        <f>IF(Sector1!Y134&lt;&gt;"",Sector1!Y134,"n.a.")</f>
        <v>10.824200000000001</v>
      </c>
      <c r="Z70" s="3992">
        <f>IF(Sector1!Z134&lt;&gt;"",Sector1!Z134,"n.a.")</f>
        <v>11.172700000000001</v>
      </c>
      <c r="AA70" s="3992">
        <f>IF(Sector1!AA134&lt;&gt;"",Sector1!AA134,"n.a.")</f>
        <v>11.317200000000001</v>
      </c>
      <c r="AB70" s="3992">
        <f>IF(Sector1!AB134&lt;&gt;"",Sector1!AB134,"n.a.")</f>
        <v>11.2653</v>
      </c>
      <c r="AC70" s="3992">
        <f>IF(Sector1!AC134&lt;&gt;"",Sector1!AC134,"n.a.")</f>
        <v>11.62353654</v>
      </c>
      <c r="AD70" s="3992">
        <f>IF(Sector1!AD134&lt;&gt;"",Sector1!AD134,"n.a.")</f>
        <v>11.616562418075999</v>
      </c>
      <c r="AE70" s="3992">
        <f>IF(Sector1!AE134&lt;&gt;"",Sector1!AE134,"n.a.")</f>
        <v>11.91626972846236</v>
      </c>
    </row>
    <row r="71" spans="1:31">
      <c r="A71" s="3992" t="str">
        <f t="shared" si="2"/>
        <v>\\DG ECFIN\Forecast\Country databases\Desk transfer databases\BE</v>
      </c>
      <c r="B71" s="3992" t="str">
        <f t="shared" si="3"/>
        <v>BE</v>
      </c>
      <c r="C71" s="3992" t="s">
        <v>2166</v>
      </c>
      <c r="D71" s="3992" t="s">
        <v>2229</v>
      </c>
      <c r="E71" s="3992" t="s">
        <v>2168</v>
      </c>
      <c r="F71" s="3992">
        <v>102</v>
      </c>
      <c r="G71" s="3992" t="s">
        <v>1351</v>
      </c>
      <c r="H71" s="3992">
        <f>IF(Sector1!H24&lt;&gt;"",Sector1!H24,"n.a.")</f>
        <v>2.3355000000000001</v>
      </c>
      <c r="I71" s="3992">
        <f>IF(Sector1!I24&lt;&gt;"",Sector1!I24,"n.a.")</f>
        <v>2.6396999999999999</v>
      </c>
      <c r="J71" s="3992">
        <f>IF(Sector1!J24&lt;&gt;"",Sector1!J24,"n.a.")</f>
        <v>2.657</v>
      </c>
      <c r="K71" s="3992">
        <f>IF(Sector1!K24&lt;&gt;"",Sector1!K24,"n.a.")</f>
        <v>2.8576999999999999</v>
      </c>
      <c r="L71" s="3992">
        <f>IF(Sector1!L24&lt;&gt;"",Sector1!L24,"n.a.")</f>
        <v>2.8219000000000003</v>
      </c>
      <c r="M71" s="3992">
        <f>IF(Sector1!M24&lt;&gt;"",Sector1!M24,"n.a.")</f>
        <v>2.8891</v>
      </c>
      <c r="N71" s="3992">
        <f>IF(Sector1!N24&lt;&gt;"",Sector1!N24,"n.a.")</f>
        <v>2.6896999999999998</v>
      </c>
      <c r="O71" s="3992">
        <f>IF(Sector1!O24&lt;&gt;"",Sector1!O24,"n.a.")</f>
        <v>2.8895999999999997</v>
      </c>
      <c r="P71" s="3992">
        <f>IF(Sector1!P24&lt;&gt;"",Sector1!P24,"n.a.")</f>
        <v>2.9779</v>
      </c>
      <c r="Q71" s="3992">
        <f>IF(Sector1!Q24&lt;&gt;"",Sector1!Q24,"n.a.")</f>
        <v>2.9115000000000002</v>
      </c>
      <c r="R71" s="3992">
        <f>IF(Sector1!R24&lt;&gt;"",Sector1!R24,"n.a.")</f>
        <v>3.1516999999999999</v>
      </c>
      <c r="S71" s="3992">
        <f>IF(Sector1!S24&lt;&gt;"",Sector1!S24,"n.a.")</f>
        <v>3.1391</v>
      </c>
      <c r="T71" s="3992">
        <f>IF(Sector1!T24&lt;&gt;"",Sector1!T24,"n.a.")</f>
        <v>3.5399000000000003</v>
      </c>
      <c r="U71" s="3992">
        <f>IF(Sector1!U24&lt;&gt;"",Sector1!U24,"n.a.")</f>
        <v>3.6158999999999999</v>
      </c>
      <c r="V71" s="3992">
        <f>IF(Sector1!V24&lt;&gt;"",Sector1!V24,"n.a.")</f>
        <v>3.8463000000000003</v>
      </c>
      <c r="W71" s="3992">
        <f>IF(Sector1!W24&lt;&gt;"",Sector1!W24,"n.a.")</f>
        <v>4.2101999999999995</v>
      </c>
      <c r="X71" s="3992">
        <f>IF(Sector1!X24&lt;&gt;"",Sector1!X24,"n.a.")</f>
        <v>5.6295999999999999</v>
      </c>
      <c r="Y71" s="3992">
        <f>IF(Sector1!Y24&lt;&gt;"",Sector1!Y24,"n.a.")</f>
        <v>5.3436000000000003</v>
      </c>
      <c r="Z71" s="3992">
        <f>IF(Sector1!Z24&lt;&gt;"",Sector1!Z24,"n.a.")</f>
        <v>5.5346000000000002</v>
      </c>
      <c r="AA71" s="3992">
        <f>IF(Sector1!AA24&lt;&gt;"",Sector1!AA24,"n.a.")</f>
        <v>5.6438000000000006</v>
      </c>
      <c r="AB71" s="3992">
        <f>IF(Sector1!AB24&lt;&gt;"",Sector1!AB24,"n.a.")</f>
        <v>5.8630000000000004</v>
      </c>
      <c r="AC71" s="3992">
        <f>IF(Sector1!AC24&lt;&gt;"",Sector1!AC24,"n.a.")</f>
        <v>5.8067709327159749</v>
      </c>
      <c r="AD71" s="3992">
        <f>IF(Sector1!AD24&lt;&gt;"",Sector1!AD24,"n.a.")</f>
        <v>5.9229063513702949</v>
      </c>
      <c r="AE71" s="3992">
        <f>IF(Sector1!AE24&lt;&gt;"",Sector1!AE24,"n.a.")</f>
        <v>6.0668329757085928</v>
      </c>
    </row>
    <row r="72" spans="1:31">
      <c r="A72" s="3992" t="str">
        <f t="shared" si="2"/>
        <v>\\DG ECFIN\Forecast\Country databases\Desk transfer databases\BE</v>
      </c>
      <c r="B72" s="3992" t="str">
        <f t="shared" si="3"/>
        <v>BE</v>
      </c>
      <c r="C72" s="3992" t="s">
        <v>2166</v>
      </c>
      <c r="D72" s="3992" t="s">
        <v>2230</v>
      </c>
      <c r="E72" s="3992" t="s">
        <v>2168</v>
      </c>
      <c r="F72" s="3992">
        <v>103</v>
      </c>
      <c r="G72" s="3992" t="s">
        <v>1467</v>
      </c>
      <c r="H72" s="3992">
        <f>IF(Labour1!H210&lt;&gt;"",Labour1!H210,"n.a.")</f>
        <v>79.593600000000009</v>
      </c>
      <c r="I72" s="3992">
        <f>IF(Labour1!I210&lt;&gt;"",Labour1!I210,"n.a.")</f>
        <v>82.994</v>
      </c>
      <c r="J72" s="3992">
        <f>IF(Labour1!J210&lt;&gt;"",Labour1!J210,"n.a.")</f>
        <v>86.278800000000004</v>
      </c>
      <c r="K72" s="3992">
        <f>IF(Labour1!K210&lt;&gt;"",Labour1!K210,"n.a.")</f>
        <v>91.028300000000002</v>
      </c>
      <c r="L72" s="3992">
        <f>IF(Labour1!L210&lt;&gt;"",Labour1!L210,"n.a.")</f>
        <v>95.554199999999994</v>
      </c>
      <c r="M72" s="3992">
        <f>IF(Labour1!M210&lt;&gt;"",Labour1!M210,"n.a.")</f>
        <v>101.3082</v>
      </c>
      <c r="N72" s="3992">
        <f>IF(Labour1!N210&lt;&gt;"",Labour1!N210,"n.a.")</f>
        <v>104.13200000000001</v>
      </c>
      <c r="O72" s="3992">
        <f>IF(Labour1!O210&lt;&gt;"",Labour1!O210,"n.a.")</f>
        <v>105.36</v>
      </c>
      <c r="P72" s="3992">
        <f>IF(Labour1!P210&lt;&gt;"",Labour1!P210,"n.a.")</f>
        <v>108.3762</v>
      </c>
      <c r="Q72" s="3992">
        <f>IF(Labour1!Q210&lt;&gt;"",Labour1!Q210,"n.a.")</f>
        <v>111.6694</v>
      </c>
      <c r="R72" s="3992">
        <f>IF(Labour1!R210&lt;&gt;"",Labour1!R210,"n.a.")</f>
        <v>117.42230000000001</v>
      </c>
      <c r="S72" s="3992">
        <f>IF(Labour1!S210&lt;&gt;"",Labour1!S210,"n.a.")</f>
        <v>124.37480000000001</v>
      </c>
      <c r="T72" s="3992">
        <f>IF(Labour1!T210&lt;&gt;"",Labour1!T210,"n.a.")</f>
        <v>131.40810000000002</v>
      </c>
      <c r="U72" s="3992">
        <f>IF(Labour1!U210&lt;&gt;"",Labour1!U210,"n.a.")</f>
        <v>130.78980000000001</v>
      </c>
      <c r="V72" s="3992">
        <f>IF(Labour1!V210&lt;&gt;"",Labour1!V210,"n.a.")</f>
        <v>133.20660000000001</v>
      </c>
      <c r="W72" s="3992">
        <f>IF(Labour1!W210&lt;&gt;"",Labour1!W210,"n.a.")</f>
        <v>139.57389999999998</v>
      </c>
      <c r="X72" s="3992">
        <f>IF(Labour1!X210&lt;&gt;"",Labour1!X210,"n.a.")</f>
        <v>144.22560000000001</v>
      </c>
      <c r="Y72" s="3992">
        <f>IF(Labour1!Y210&lt;&gt;"",Labour1!Y210,"n.a.")</f>
        <v>146.68020000000001</v>
      </c>
      <c r="Z72" s="3992">
        <f>IF(Labour1!Z210&lt;&gt;"",Labour1!Z210,"n.a.")</f>
        <v>148.65279999999998</v>
      </c>
      <c r="AA72" s="3992">
        <f>IF(Labour1!AA210&lt;&gt;"",Labour1!AA210,"n.a.")</f>
        <v>150.15020000000001</v>
      </c>
      <c r="AB72" s="3992">
        <f>IF(Labour1!AB210&lt;&gt;"",Labour1!AB210,"n.a.")</f>
        <v>151.2167</v>
      </c>
      <c r="AC72" s="3992">
        <f>IF(Labour1!AC210&lt;&gt;"",Labour1!AC210,"n.a.")</f>
        <v>156.53889599999997</v>
      </c>
      <c r="AD72" s="3992">
        <f>IF(Labour1!AD210&lt;&gt;"",Labour1!AD210,"n.a.")</f>
        <v>162.57168400583615</v>
      </c>
      <c r="AE72" s="3992">
        <f>IF(Labour1!AE210&lt;&gt;"",Labour1!AE210,"n.a.")</f>
        <v>168.52508755156842</v>
      </c>
    </row>
    <row r="73" spans="1:31">
      <c r="A73" s="3992" t="str">
        <f t="shared" si="2"/>
        <v>\\DG ECFIN\Forecast\Country databases\Desk transfer databases\BE</v>
      </c>
      <c r="B73" s="3992" t="str">
        <f t="shared" si="3"/>
        <v>BE</v>
      </c>
      <c r="C73" s="3992" t="s">
        <v>2166</v>
      </c>
      <c r="D73" s="3992" t="s">
        <v>2231</v>
      </c>
      <c r="E73" s="3992" t="s">
        <v>2168</v>
      </c>
      <c r="F73" s="3992">
        <v>104</v>
      </c>
      <c r="G73" s="3992" t="s">
        <v>1469</v>
      </c>
      <c r="H73" s="3992">
        <f>IF(Sector1!H199&lt;&gt;"",Sector1!H199,"n.a.")</f>
        <v>46.450899999999983</v>
      </c>
      <c r="I73" s="3992">
        <f>IF(Sector1!I199&lt;&gt;"",Sector1!I199,"n.a.")</f>
        <v>48.646000000000029</v>
      </c>
      <c r="J73" s="3992">
        <f>IF(Sector1!J199&lt;&gt;"",Sector1!J199,"n.a.")</f>
        <v>51.087699999999998</v>
      </c>
      <c r="K73" s="3992">
        <f>IF(Sector1!K199&lt;&gt;"",Sector1!K199,"n.a.")</f>
        <v>52.059999999999974</v>
      </c>
      <c r="L73" s="3992">
        <f>IF(Sector1!L199&lt;&gt;"",Sector1!L199,"n.a.")</f>
        <v>56.738400000000013</v>
      </c>
      <c r="M73" s="3992">
        <f>IF(Sector1!M199&lt;&gt;"",Sector1!M199,"n.a.")</f>
        <v>56.521300000000004</v>
      </c>
      <c r="N73" s="3992">
        <f>IF(Sector1!N199&lt;&gt;"",Sector1!N199,"n.a.")</f>
        <v>59.789799999999985</v>
      </c>
      <c r="O73" s="3992">
        <f>IF(Sector1!O199&lt;&gt;"",Sector1!O199,"n.a.")</f>
        <v>63.360300000000002</v>
      </c>
      <c r="P73" s="3992">
        <f>IF(Sector1!P199&lt;&gt;"",Sector1!P199,"n.a.")</f>
        <v>71.971599999999995</v>
      </c>
      <c r="Q73" s="3992">
        <f>IF(Sector1!Q199&lt;&gt;"",Sector1!Q199,"n.a.")</f>
        <v>76.988499999999988</v>
      </c>
      <c r="R73" s="3992">
        <f>IF(Sector1!R199&lt;&gt;"",Sector1!R199,"n.a.")</f>
        <v>81.178099999999986</v>
      </c>
      <c r="S73" s="3992">
        <f>IF(Sector1!S199&lt;&gt;"",Sector1!S199,"n.a.")</f>
        <v>87.360199999999992</v>
      </c>
      <c r="T73" s="3992">
        <f>IF(Sector1!T199&lt;&gt;"",Sector1!T199,"n.a.")</f>
        <v>86.11369999999998</v>
      </c>
      <c r="U73" s="3992">
        <f>IF(Sector1!U199&lt;&gt;"",Sector1!U199,"n.a.")</f>
        <v>82.739499999999992</v>
      </c>
      <c r="V73" s="3992">
        <f>IF(Sector1!V199&lt;&gt;"",Sector1!V199,"n.a.")</f>
        <v>92.978199999999987</v>
      </c>
      <c r="W73" s="3992">
        <f>IF(Sector1!W199&lt;&gt;"",Sector1!W199,"n.a.")</f>
        <v>96.50190000000002</v>
      </c>
      <c r="X73" s="3992">
        <f>IF(Sector1!X199&lt;&gt;"",Sector1!X199,"n.a.")</f>
        <v>94.854999999999976</v>
      </c>
      <c r="Y73" s="3992">
        <f>IF(Sector1!Y199&lt;&gt;"",Sector1!Y199,"n.a.")</f>
        <v>95.500699999999995</v>
      </c>
      <c r="Z73" s="3992">
        <f>IF(Sector1!Z199&lt;&gt;"",Sector1!Z199,"n.a.")</f>
        <v>98.465400000000017</v>
      </c>
      <c r="AA73" s="3992">
        <f>IF(Sector1!AA199&lt;&gt;"",Sector1!AA199,"n.a.")</f>
        <v>105.36569999999999</v>
      </c>
      <c r="AB73" s="3992">
        <f>IF(Sector1!AB199&lt;&gt;"",Sector1!AB199,"n.a.")</f>
        <v>111.80659999999997</v>
      </c>
      <c r="AC73" s="3992">
        <f>IF(Sector1!AC199&lt;&gt;"",Sector1!AC199,"n.a.")</f>
        <v>117.53993460728401</v>
      </c>
      <c r="AD73" s="3992">
        <f ca="1">IF(Sector1!AD199&lt;&gt;"",Sector1!AD199,"n.a.")</f>
        <v>122.68347529439006</v>
      </c>
      <c r="AE73" s="3992">
        <f ca="1">IF(Sector1!AE199&lt;&gt;"",Sector1!AE199,"n.a.")</f>
        <v>128.34010640996704</v>
      </c>
    </row>
    <row r="74" spans="1:31">
      <c r="A74" s="3992" t="str">
        <f t="shared" si="2"/>
        <v>\\DG ECFIN\Forecast\Country databases\Desk transfer databases\BE</v>
      </c>
      <c r="B74" s="3992" t="str">
        <f t="shared" si="3"/>
        <v>BE</v>
      </c>
      <c r="C74" s="3992" t="s">
        <v>2166</v>
      </c>
      <c r="D74" s="3992" t="s">
        <v>2232</v>
      </c>
      <c r="E74" s="3992" t="s">
        <v>2168</v>
      </c>
      <c r="F74" s="3992">
        <v>105</v>
      </c>
      <c r="G74" s="3992" t="s">
        <v>1471</v>
      </c>
      <c r="H74" s="3992">
        <f>IF(Sector1!H227&lt;&gt;"",Sector1!H227,"n.a.")</f>
        <v>-8.3201999999999963</v>
      </c>
      <c r="I74" s="3992">
        <f>IF(Sector1!I227&lt;&gt;"",Sector1!I227,"n.a.")</f>
        <v>-8.1920000000000002</v>
      </c>
      <c r="J74" s="3992">
        <f>IF(Sector1!J227&lt;&gt;"",Sector1!J227,"n.a.")</f>
        <v>-9.7158000000000033</v>
      </c>
      <c r="K74" s="3992">
        <f>IF(Sector1!K227&lt;&gt;"",Sector1!K227,"n.a.")</f>
        <v>-9.0643999999999938</v>
      </c>
      <c r="L74" s="3992">
        <f>IF(Sector1!L227&lt;&gt;"",Sector1!L227,"n.a.")</f>
        <v>-10.998800000000003</v>
      </c>
      <c r="M74" s="3992">
        <f>IF(Sector1!M227&lt;&gt;"",Sector1!M227,"n.a.")</f>
        <v>-14.465599999999991</v>
      </c>
      <c r="N74" s="3992">
        <f>IF(Sector1!N227&lt;&gt;"",Sector1!N227,"n.a.")</f>
        <v>-13.648300000000003</v>
      </c>
      <c r="O74" s="3992">
        <f>IF(Sector1!O227&lt;&gt;"",Sector1!O227,"n.a.")</f>
        <v>-12.681599999999998</v>
      </c>
      <c r="P74" s="3992">
        <f>IF(Sector1!P227&lt;&gt;"",Sector1!P227,"n.a.")</f>
        <v>-14.666199999999996</v>
      </c>
      <c r="Q74" s="3992">
        <f>IF(Sector1!Q227&lt;&gt;"",Sector1!Q227,"n.a.")</f>
        <v>-16.526499999999999</v>
      </c>
      <c r="R74" s="3992">
        <f>IF(Sector1!R227&lt;&gt;"",Sector1!R227,"n.a.")</f>
        <v>-17.310500000000001</v>
      </c>
      <c r="S74" s="3992">
        <f>IF(Sector1!S227&lt;&gt;"",Sector1!S227,"n.a.")</f>
        <v>-19.014899999999994</v>
      </c>
      <c r="T74" s="3992">
        <f>IF(Sector1!T227&lt;&gt;"",Sector1!T227,"n.a.")</f>
        <v>-19.10090000000001</v>
      </c>
      <c r="U74" s="3992">
        <f>IF(Sector1!U227&lt;&gt;"",Sector1!U227,"n.a.")</f>
        <v>-26.343199999999996</v>
      </c>
      <c r="V74" s="3992">
        <f>IF(Sector1!V227&lt;&gt;"",Sector1!V227,"n.a.")</f>
        <v>-16.514600000000005</v>
      </c>
      <c r="W74" s="3992">
        <f>IF(Sector1!W227&lt;&gt;"",Sector1!W227,"n.a.")</f>
        <v>-22.603400000000008</v>
      </c>
      <c r="X74" s="3992">
        <f>IF(Sector1!X227&lt;&gt;"",Sector1!X227,"n.a.")</f>
        <v>-15.163600000000006</v>
      </c>
      <c r="Y74" s="3992">
        <f>IF(Sector1!Y227&lt;&gt;"",Sector1!Y227,"n.a.")</f>
        <v>-19.773</v>
      </c>
      <c r="Z74" s="3992">
        <f>IF(Sector1!Z227&lt;&gt;"",Sector1!Z227,"n.a.")</f>
        <v>-21.024100000000004</v>
      </c>
      <c r="AA74" s="3992">
        <f>IF(Sector1!AA227&lt;&gt;"",Sector1!AA227,"n.a.")</f>
        <v>-24.469400000000007</v>
      </c>
      <c r="AB74" s="3992">
        <f>IF(Sector1!AB227&lt;&gt;"",Sector1!AB227,"n.a.")</f>
        <v>-20.186600000000006</v>
      </c>
      <c r="AC74" s="3992">
        <f>IF(Sector1!AC227&lt;&gt;"",Sector1!AC227,"n.a.")</f>
        <v>-20.691265000000005</v>
      </c>
      <c r="AD74" s="3992">
        <f>IF(Sector1!AD227&lt;&gt;"",Sector1!AD227,"n.a.")</f>
        <v>-21.208546625000004</v>
      </c>
      <c r="AE74" s="3992">
        <f>IF(Sector1!AE227&lt;&gt;"",Sector1!AE227,"n.a.")</f>
        <v>-21.738760290625002</v>
      </c>
    </row>
    <row r="75" spans="1:31">
      <c r="A75" s="3992" t="str">
        <f t="shared" si="2"/>
        <v>\\DG ECFIN\Forecast\Country databases\Desk transfer databases\BE</v>
      </c>
      <c r="B75" s="3992" t="str">
        <f t="shared" si="3"/>
        <v>BE</v>
      </c>
      <c r="C75" s="3992" t="s">
        <v>2166</v>
      </c>
      <c r="D75" s="3992" t="s">
        <v>2233</v>
      </c>
      <c r="E75" s="3992" t="s">
        <v>2168</v>
      </c>
      <c r="F75" s="3992">
        <v>106</v>
      </c>
      <c r="G75" s="3992" t="s">
        <v>1769</v>
      </c>
      <c r="H75" s="3992">
        <f>IF(Sector1!H1083&lt;&gt;"",Sector1!H1083,"n.a.")</f>
        <v>1.2254000000000005</v>
      </c>
      <c r="I75" s="3992">
        <f>IF(Sector1!I1083&lt;&gt;"",Sector1!I1083,"n.a.")</f>
        <v>1.6404999999999985</v>
      </c>
      <c r="J75" s="3992">
        <f>IF(Sector1!J1083&lt;&gt;"",Sector1!J1083,"n.a.")</f>
        <v>1.4929999999999994</v>
      </c>
      <c r="K75" s="3992">
        <f>IF(Sector1!K1083&lt;&gt;"",Sector1!K1083,"n.a.")</f>
        <v>1.6852999999999998</v>
      </c>
      <c r="L75" s="3992">
        <f>IF(Sector1!L1083&lt;&gt;"",Sector1!L1083,"n.a.")</f>
        <v>1.8633999999999986</v>
      </c>
      <c r="M75" s="3992">
        <f>IF(Sector1!M1083&lt;&gt;"",Sector1!M1083,"n.a.")</f>
        <v>1.8600999999999992</v>
      </c>
      <c r="N75" s="3992">
        <f>IF(Sector1!N1083&lt;&gt;"",Sector1!N1083,"n.a.")</f>
        <v>1.7369000000000003</v>
      </c>
      <c r="O75" s="3992">
        <f>IF(Sector1!O1083&lt;&gt;"",Sector1!O1083,"n.a.")</f>
        <v>1.8770999999999969</v>
      </c>
      <c r="P75" s="3992">
        <f>IF(Sector1!P1083&lt;&gt;"",Sector1!P1083,"n.a.")</f>
        <v>1.5319999999999983</v>
      </c>
      <c r="Q75" s="3992">
        <f>IF(Sector1!Q1083&lt;&gt;"",Sector1!Q1083,"n.a.")</f>
        <v>1.4385999999999992</v>
      </c>
      <c r="R75" s="3992">
        <f>IF(Sector1!R1083&lt;&gt;"",Sector1!R1083,"n.a.")</f>
        <v>1.4081999999999972</v>
      </c>
      <c r="S75" s="3992">
        <f>IF(Sector1!S1083&lt;&gt;"",Sector1!S1083,"n.a.")</f>
        <v>2.4392999999999994</v>
      </c>
      <c r="T75" s="3992">
        <f>IF(Sector1!T1083&lt;&gt;"",Sector1!T1083,"n.a.")</f>
        <v>2.0075999999999983</v>
      </c>
      <c r="U75" s="3992">
        <f>IF(Sector1!U1083&lt;&gt;"",Sector1!U1083,"n.a.")</f>
        <v>1.9139000000000017</v>
      </c>
      <c r="V75" s="3992">
        <f>IF(Sector1!V1083&lt;&gt;"",Sector1!V1083,"n.a.")</f>
        <v>3.1402000000000054</v>
      </c>
      <c r="W75" s="3992">
        <f>IF(Sector1!W1083&lt;&gt;"",Sector1!W1083,"n.a.")</f>
        <v>2.6510000000000034</v>
      </c>
      <c r="X75" s="3992">
        <f>IF(Sector1!X1083&lt;&gt;"",Sector1!X1083,"n.a.")</f>
        <v>1.6912999999999982</v>
      </c>
      <c r="Y75" s="3992">
        <f>IF(Sector1!Y1083&lt;&gt;"",Sector1!Y1083,"n.a.")</f>
        <v>1.4584999999999972</v>
      </c>
      <c r="Z75" s="3992">
        <f>IF(Sector1!Z1083&lt;&gt;"",Sector1!Z1083,"n.a.")</f>
        <v>1.1442000000000014</v>
      </c>
      <c r="AA75" s="3992">
        <f>IF(Sector1!AA1083&lt;&gt;"",Sector1!AA1083,"n.a.")</f>
        <v>1.6861999999999995</v>
      </c>
      <c r="AB75" s="3992">
        <f>IF(Sector1!AB1083&lt;&gt;"",Sector1!AB1083,"n.a.")</f>
        <v>0.97049999999999947</v>
      </c>
      <c r="AC75" s="3992">
        <f>IF(Sector1!AC1083&lt;&gt;"",Sector1!AC1083,"n.a.")</f>
        <v>0.68490266999999605</v>
      </c>
      <c r="AD75" s="3992">
        <f>IF(Sector1!AD1083&lt;&gt;"",Sector1!AD1083,"n.a.")</f>
        <v>0.43253438047199566</v>
      </c>
      <c r="AE75" s="3992">
        <f>IF(Sector1!AE1083&lt;&gt;"",Sector1!AE1083,"n.a.")</f>
        <v>7.8867071806651978E-3</v>
      </c>
    </row>
    <row r="76" spans="1:31">
      <c r="A76" s="3992" t="str">
        <f t="shared" si="2"/>
        <v>\\DG ECFIN\Forecast\Country databases\Desk transfer databases\BE</v>
      </c>
      <c r="B76" s="3992" t="str">
        <f t="shared" si="3"/>
        <v>BE</v>
      </c>
      <c r="C76" s="3992" t="s">
        <v>2166</v>
      </c>
      <c r="D76" s="3992" t="s">
        <v>2234</v>
      </c>
      <c r="E76" s="3992" t="s">
        <v>2168</v>
      </c>
      <c r="F76" s="3992">
        <v>107</v>
      </c>
      <c r="G76" s="3992" t="s">
        <v>1770</v>
      </c>
      <c r="H76" s="3992">
        <f>IF(Sector1!H310&lt;&gt;"",Sector1!H310,"n.a.")</f>
        <v>5.7726000000000006</v>
      </c>
      <c r="I76" s="3992">
        <f>IF(Sector1!I310&lt;&gt;"",Sector1!I310,"n.a.")</f>
        <v>6.4838000000000005</v>
      </c>
      <c r="J76" s="3992">
        <f>IF(Sector1!J310&lt;&gt;"",Sector1!J310,"n.a.")</f>
        <v>7.9874000000000001</v>
      </c>
      <c r="K76" s="3992">
        <f>IF(Sector1!K310&lt;&gt;"",Sector1!K310,"n.a.")</f>
        <v>7.9116999999999997</v>
      </c>
      <c r="L76" s="3992">
        <f>IF(Sector1!L310&lt;&gt;"",Sector1!L310,"n.a.")</f>
        <v>8.2652000000000001</v>
      </c>
      <c r="M76" s="3992">
        <f>IF(Sector1!M310&lt;&gt;"",Sector1!M310,"n.a.")</f>
        <v>8.2675999999999998</v>
      </c>
      <c r="N76" s="3992">
        <f>IF(Sector1!N310&lt;&gt;"",Sector1!N310,"n.a.")</f>
        <v>8.34</v>
      </c>
      <c r="O76" s="3992">
        <f>IF(Sector1!O310&lt;&gt;"",Sector1!O310,"n.a.")</f>
        <v>8.1067</v>
      </c>
      <c r="P76" s="3992">
        <f>IF(Sector1!P310&lt;&gt;"",Sector1!P310,"n.a.")</f>
        <v>9.216899999999999</v>
      </c>
      <c r="Q76" s="3992">
        <f>IF(Sector1!Q310&lt;&gt;"",Sector1!Q310,"n.a.")</f>
        <v>10.039999999999999</v>
      </c>
      <c r="R76" s="3992">
        <f>IF(Sector1!R310&lt;&gt;"",Sector1!R310,"n.a.")</f>
        <v>11.6854</v>
      </c>
      <c r="S76" s="3992">
        <f>IF(Sector1!S310&lt;&gt;"",Sector1!S310,"n.a.")</f>
        <v>11.9809</v>
      </c>
      <c r="T76" s="3992">
        <f>IF(Sector1!T310&lt;&gt;"",Sector1!T310,"n.a.")</f>
        <v>11.869899999999999</v>
      </c>
      <c r="U76" s="3992">
        <f>IF(Sector1!U310&lt;&gt;"",Sector1!U310,"n.a.")</f>
        <v>8.3765000000000001</v>
      </c>
      <c r="V76" s="3992">
        <f>IF(Sector1!V310&lt;&gt;"",Sector1!V310,"n.a.")</f>
        <v>9.5425000000000004</v>
      </c>
      <c r="W76" s="3992">
        <f>IF(Sector1!W310&lt;&gt;"",Sector1!W310,"n.a.")</f>
        <v>10.9603</v>
      </c>
      <c r="X76" s="3992">
        <f>IF(Sector1!X310&lt;&gt;"",Sector1!X310,"n.a.")</f>
        <v>11.9415</v>
      </c>
      <c r="Y76" s="3992">
        <f>IF(Sector1!Y310&lt;&gt;"",Sector1!Y310,"n.a.")</f>
        <v>12.5015</v>
      </c>
      <c r="Z76" s="3992">
        <f>IF(Sector1!Z310&lt;&gt;"",Sector1!Z310,"n.a.")</f>
        <v>12.892700000000001</v>
      </c>
      <c r="AA76" s="3992">
        <f>IF(Sector1!AA310&lt;&gt;"",Sector1!AA310,"n.a.")</f>
        <v>13.8781</v>
      </c>
      <c r="AB76" s="3992">
        <f>IF(Sector1!AB310&lt;&gt;"",Sector1!AB310,"n.a.")</f>
        <v>14.945499999999999</v>
      </c>
      <c r="AC76" s="3992">
        <f>IF(Sector1!AC310&lt;&gt;"",Sector1!AC310,"n.a.")</f>
        <v>17.882290749999996</v>
      </c>
      <c r="AD76" s="3992">
        <f>IF(Sector1!AD310&lt;&gt;"",Sector1!AD310,"n.a.")</f>
        <v>17.077587666249997</v>
      </c>
      <c r="AE76" s="3992">
        <f>IF(Sector1!AE310&lt;&gt;"",Sector1!AE310,"n.a.")</f>
        <v>18.016854987893744</v>
      </c>
    </row>
    <row r="77" spans="1:31">
      <c r="A77" s="3992" t="str">
        <f t="shared" ref="A77:A135" si="4">CONCATENATE($I$7,$J$7)</f>
        <v>\\DG ECFIN\Forecast\Country databases\Desk transfer databases\BE</v>
      </c>
      <c r="B77" s="3992" t="str">
        <f t="shared" ref="B77:B135" si="5">$J$7</f>
        <v>BE</v>
      </c>
      <c r="C77" s="3992" t="s">
        <v>2166</v>
      </c>
      <c r="D77" s="3992" t="s">
        <v>2235</v>
      </c>
      <c r="E77" s="3992" t="s">
        <v>2168</v>
      </c>
      <c r="F77" s="3992">
        <v>108</v>
      </c>
      <c r="G77" s="3992" t="s">
        <v>427</v>
      </c>
      <c r="H77" s="3992">
        <f>IF(Sector1!H667&lt;&gt;"",Sector1!H667,"n.a.")</f>
        <v>1.3286</v>
      </c>
      <c r="I77" s="3992">
        <f>IF(Sector1!I667&lt;&gt;"",Sector1!I667,"n.a.")</f>
        <v>1.4609000000000001</v>
      </c>
      <c r="J77" s="3992">
        <f>IF(Sector1!J667&lt;&gt;"",Sector1!J667,"n.a.")</f>
        <v>1.4325999999999999</v>
      </c>
      <c r="K77" s="3992">
        <f>IF(Sector1!K667&lt;&gt;"",Sector1!K667,"n.a.")</f>
        <v>1.4438</v>
      </c>
      <c r="L77" s="3992">
        <f>IF(Sector1!L667&lt;&gt;"",Sector1!L667,"n.a.")</f>
        <v>1.3895</v>
      </c>
      <c r="M77" s="3992">
        <f>IF(Sector1!M667&lt;&gt;"",Sector1!M667,"n.a.")</f>
        <v>1.3974000000000002</v>
      </c>
      <c r="N77" s="3992">
        <f>IF(Sector1!N667&lt;&gt;"",Sector1!N667,"n.a.")</f>
        <v>1.3992</v>
      </c>
      <c r="O77" s="3992">
        <f>IF(Sector1!O667&lt;&gt;"",Sector1!O667,"n.a.")</f>
        <v>1.5906</v>
      </c>
      <c r="P77" s="3992">
        <f>IF(Sector1!P667&lt;&gt;"",Sector1!P667,"n.a.")</f>
        <v>1.7</v>
      </c>
      <c r="Q77" s="3992">
        <f>IF(Sector1!Q667&lt;&gt;"",Sector1!Q667,"n.a.")</f>
        <v>1.7670999999999999</v>
      </c>
      <c r="R77" s="3992">
        <f>IF(Sector1!R667&lt;&gt;"",Sector1!R667,"n.a.")</f>
        <v>1.8569</v>
      </c>
      <c r="S77" s="3992">
        <f>IF(Sector1!S667&lt;&gt;"",Sector1!S667,"n.a.")</f>
        <v>2.2330000000000001</v>
      </c>
      <c r="T77" s="3992">
        <f>IF(Sector1!T667&lt;&gt;"",Sector1!T667,"n.a.")</f>
        <v>2.6844999999999999</v>
      </c>
      <c r="U77" s="3992">
        <f>IF(Sector1!U667&lt;&gt;"",Sector1!U667,"n.a.")</f>
        <v>2.6743000000000001</v>
      </c>
      <c r="V77" s="3992">
        <f>IF(Sector1!V667&lt;&gt;"",Sector1!V667,"n.a.")</f>
        <v>3.3941999999999997</v>
      </c>
      <c r="W77" s="3992">
        <f>IF(Sector1!W667&lt;&gt;"",Sector1!W667,"n.a.")</f>
        <v>2.9131999999999998</v>
      </c>
      <c r="X77" s="3992">
        <f>IF(Sector1!X667&lt;&gt;"",Sector1!X667,"n.a.")</f>
        <v>2.8687</v>
      </c>
      <c r="Y77" s="3992">
        <f>IF(Sector1!Y667&lt;&gt;"",Sector1!Y667,"n.a.")</f>
        <v>2.8555999999999999</v>
      </c>
      <c r="Z77" s="3992">
        <f>IF(Sector1!Z667&lt;&gt;"",Sector1!Z667,"n.a.")</f>
        <v>2.6986999999999997</v>
      </c>
      <c r="AA77" s="3992">
        <f>IF(Sector1!AA667&lt;&gt;"",Sector1!AA667,"n.a.")</f>
        <v>2.8030999999999997</v>
      </c>
      <c r="AB77" s="3992">
        <f>IF(Sector1!AB667&lt;&gt;"",Sector1!AB667,"n.a.")</f>
        <v>2.8010000000000002</v>
      </c>
      <c r="AC77" s="3992">
        <f>IF(Sector1!AC667&lt;&gt;"",Sector1!AC667,"n.a.")</f>
        <v>2.9410500000000002</v>
      </c>
      <c r="AD77" s="3992">
        <f>IF(Sector1!AD667&lt;&gt;"",Sector1!AD667,"n.a.")</f>
        <v>3.0881025000000002</v>
      </c>
      <c r="AE77" s="3992">
        <f>IF(Sector1!AE667&lt;&gt;"",Sector1!AE667,"n.a.")</f>
        <v>3.2425076250000004</v>
      </c>
    </row>
    <row r="78" spans="1:31">
      <c r="A78" s="3992" t="str">
        <f t="shared" si="4"/>
        <v>\\DG ECFIN\Forecast\Country databases\Desk transfer databases\BE</v>
      </c>
      <c r="B78" s="3992" t="str">
        <f t="shared" si="5"/>
        <v>BE</v>
      </c>
      <c r="C78" s="3992" t="s">
        <v>2166</v>
      </c>
      <c r="D78" s="3992" t="s">
        <v>2236</v>
      </c>
      <c r="E78" s="3992" t="s">
        <v>2168</v>
      </c>
      <c r="F78" s="3992">
        <v>109</v>
      </c>
      <c r="G78" s="3992" t="s">
        <v>428</v>
      </c>
      <c r="H78" s="3992">
        <f>IF(Sector1!H1088&lt;&gt;"",Sector1!H1088,"n.a.")</f>
        <v>28.7699</v>
      </c>
      <c r="I78" s="3992">
        <f>IF(Sector1!I1088&lt;&gt;"",Sector1!I1088,"n.a.")</f>
        <v>30.663600000000002</v>
      </c>
      <c r="J78" s="3992">
        <f>IF(Sector1!J1088&lt;&gt;"",Sector1!J1088,"n.a.")</f>
        <v>33.1753</v>
      </c>
      <c r="K78" s="3992">
        <f>IF(Sector1!K1088&lt;&gt;"",Sector1!K1088,"n.a.")</f>
        <v>34.607299999999995</v>
      </c>
      <c r="L78" s="3992">
        <f>IF(Sector1!L1088&lt;&gt;"",Sector1!L1088,"n.a.")</f>
        <v>40.064900000000002</v>
      </c>
      <c r="M78" s="3992">
        <f>IF(Sector1!M1088&lt;&gt;"",Sector1!M1088,"n.a.")</f>
        <v>39.809699999999999</v>
      </c>
      <c r="N78" s="3992">
        <f>IF(Sector1!N1088&lt;&gt;"",Sector1!N1088,"n.a.")</f>
        <v>36.730699999999999</v>
      </c>
      <c r="O78" s="3992">
        <f>IF(Sector1!O1088&lt;&gt;"",Sector1!O1088,"n.a.")</f>
        <v>38.0456</v>
      </c>
      <c r="P78" s="3992">
        <f>IF(Sector1!P1088&lt;&gt;"",Sector1!P1088,"n.a.")</f>
        <v>44.691200000000002</v>
      </c>
      <c r="Q78" s="3992">
        <f>IF(Sector1!Q1088&lt;&gt;"",Sector1!Q1088,"n.a.")</f>
        <v>47.854500000000002</v>
      </c>
      <c r="R78" s="3992">
        <f>IF(Sector1!R1088&lt;&gt;"",Sector1!R1088,"n.a.")</f>
        <v>50.470599999999997</v>
      </c>
      <c r="S78" s="3992">
        <f>IF(Sector1!S1088&lt;&gt;"",Sector1!S1088,"n.a.")</f>
        <v>54.307000000000002</v>
      </c>
      <c r="T78" s="3992">
        <f>IF(Sector1!T1088&lt;&gt;"",Sector1!T1088,"n.a.")</f>
        <v>59.400999999999996</v>
      </c>
      <c r="U78" s="3992">
        <f>IF(Sector1!U1088&lt;&gt;"",Sector1!U1088,"n.a.")</f>
        <v>45.241600000000005</v>
      </c>
      <c r="V78" s="3992">
        <f>IF(Sector1!V1088&lt;&gt;"",Sector1!V1088,"n.a.")</f>
        <v>51.654200000000003</v>
      </c>
      <c r="W78" s="3992">
        <f>IF(Sector1!W1088&lt;&gt;"",Sector1!W1088,"n.a.")</f>
        <v>58.541399999999996</v>
      </c>
      <c r="X78" s="3992">
        <f>IF(Sector1!X1088&lt;&gt;"",Sector1!X1088,"n.a.")</f>
        <v>56.866599999999998</v>
      </c>
      <c r="Y78" s="3992">
        <f>IF(Sector1!Y1088&lt;&gt;"",Sector1!Y1088,"n.a.")</f>
        <v>55.198399999999992</v>
      </c>
      <c r="Z78" s="3992">
        <f>IF(Sector1!Z1088&lt;&gt;"",Sector1!Z1088,"n.a.")</f>
        <v>60.475300000000004</v>
      </c>
      <c r="AA78" s="3992">
        <f>IF(Sector1!AA1088&lt;&gt;"",Sector1!AA1088,"n.a.")</f>
        <v>63.492399999999996</v>
      </c>
      <c r="AB78" s="3992">
        <f>IF(Sector1!AB1088&lt;&gt;"",Sector1!AB1088,"n.a.")</f>
        <v>67.327600000000004</v>
      </c>
      <c r="AC78" s="3992">
        <f ca="1">IF(Sector1!AC1088&lt;&gt;"",Sector1!AC1088,"n.a.")</f>
        <v>72.966083574731115</v>
      </c>
      <c r="AD78" s="3992">
        <f ca="1">IF(Sector1!AD1088&lt;&gt;"",Sector1!AD1088,"n.a.")</f>
        <v>76.491594976491768</v>
      </c>
      <c r="AE78" s="3992">
        <f ca="1">IF(Sector1!AE1088&lt;&gt;"",Sector1!AE1088,"n.a.")</f>
        <v>79.427850714527978</v>
      </c>
    </row>
    <row r="79" spans="1:31">
      <c r="A79" s="3992" t="str">
        <f t="shared" si="4"/>
        <v>\\DG ECFIN\Forecast\Country databases\Desk transfer databases\BE</v>
      </c>
      <c r="B79" s="3992" t="str">
        <f t="shared" si="5"/>
        <v>BE</v>
      </c>
      <c r="C79" s="3992" t="s">
        <v>2166</v>
      </c>
      <c r="D79" s="3992" t="s">
        <v>2237</v>
      </c>
      <c r="E79" s="3992" t="s">
        <v>2168</v>
      </c>
      <c r="F79" s="3992">
        <v>110</v>
      </c>
      <c r="G79" s="3992" t="s">
        <v>429</v>
      </c>
      <c r="H79" s="3992">
        <f>IF(Sector1!H1093&lt;&gt;"",Sector1!H1093,"n.a.")</f>
        <v>-1.2132999999999998</v>
      </c>
      <c r="I79" s="3992">
        <f>IF(Sector1!I1093&lt;&gt;"",Sector1!I1093,"n.a.")</f>
        <v>-2.125</v>
      </c>
      <c r="J79" s="3992">
        <f>IF(Sector1!J1093&lt;&gt;"",Sector1!J1093,"n.a.")</f>
        <v>-2.0293999999999999</v>
      </c>
      <c r="K79" s="3992">
        <f>IF(Sector1!K1093&lt;&gt;"",Sector1!K1093,"n.a.")</f>
        <v>-1.5590000000000002</v>
      </c>
      <c r="L79" s="3992">
        <f>IF(Sector1!L1093&lt;&gt;"",Sector1!L1093,"n.a.")</f>
        <v>-1.7847000000000002</v>
      </c>
      <c r="M79" s="3992">
        <f>IF(Sector1!M1093&lt;&gt;"",Sector1!M1093,"n.a.")</f>
        <v>-1.4837</v>
      </c>
      <c r="N79" s="3992">
        <f>IF(Sector1!N1093&lt;&gt;"",Sector1!N1093,"n.a.")</f>
        <v>-0.86239999999999983</v>
      </c>
      <c r="O79" s="3992">
        <f>IF(Sector1!O1093&lt;&gt;"",Sector1!O1093,"n.a.")</f>
        <v>-3.1903000000000001</v>
      </c>
      <c r="P79" s="3992">
        <f>IF(Sector1!P1093&lt;&gt;"",Sector1!P1093,"n.a.")</f>
        <v>-1.2922000000000002</v>
      </c>
      <c r="Q79" s="3992">
        <f>IF(Sector1!Q1093&lt;&gt;"",Sector1!Q1093,"n.a.")</f>
        <v>-9.5946000000000016</v>
      </c>
      <c r="R79" s="3992">
        <f>IF(Sector1!R1093&lt;&gt;"",Sector1!R1093,"n.a.")</f>
        <v>-2.4098000000000002</v>
      </c>
      <c r="S79" s="3992">
        <f>IF(Sector1!S1093&lt;&gt;"",Sector1!S1093,"n.a.")</f>
        <v>-2.0888</v>
      </c>
      <c r="T79" s="3992">
        <f>IF(Sector1!T1093&lt;&gt;"",Sector1!T1093,"n.a.")</f>
        <v>-1.9111000000000002</v>
      </c>
      <c r="U79" s="3992">
        <f>IF(Sector1!U1093&lt;&gt;"",Sector1!U1093,"n.a.")</f>
        <v>-2.9549999999999996</v>
      </c>
      <c r="V79" s="3992">
        <f>IF(Sector1!V1093&lt;&gt;"",Sector1!V1093,"n.a.")</f>
        <v>-3.1822000000000004</v>
      </c>
      <c r="W79" s="3992">
        <f>IF(Sector1!W1093&lt;&gt;"",Sector1!W1093,"n.a.")</f>
        <v>-4.2618</v>
      </c>
      <c r="X79" s="3992">
        <f>IF(Sector1!X1093&lt;&gt;"",Sector1!X1093,"n.a.")</f>
        <v>-9.1589000000000009</v>
      </c>
      <c r="Y79" s="3992">
        <f>IF(Sector1!Y1093&lt;&gt;"",Sector1!Y1093,"n.a.")</f>
        <v>-4.6584000000000003</v>
      </c>
      <c r="Z79" s="3992">
        <f>IF(Sector1!Z1093&lt;&gt;"",Sector1!Z1093,"n.a.")</f>
        <v>-4.2975999999999992</v>
      </c>
      <c r="AA79" s="3992">
        <f>IF(Sector1!AA1093&lt;&gt;"",Sector1!AA1093,"n.a.")</f>
        <v>-4.0590999999999999</v>
      </c>
      <c r="AB79" s="3992">
        <f>IF(Sector1!AB1093&lt;&gt;"",Sector1!AB1093,"n.a.")</f>
        <v>-3.2523</v>
      </c>
      <c r="AC79" s="3992">
        <f>IF(Sector1!AC1093&lt;&gt;"",Sector1!AC1093,"n.a.")</f>
        <v>-3.191138</v>
      </c>
      <c r="AD79" s="3992">
        <f>IF(Sector1!AD1093&lt;&gt;"",Sector1!AD1093,"n.a.")</f>
        <v>-3.1311992399999999</v>
      </c>
      <c r="AE79" s="3992">
        <f>IF(Sector1!AE1093&lt;&gt;"",Sector1!AE1093,"n.a.")</f>
        <v>-3.0724592552000001</v>
      </c>
    </row>
    <row r="80" spans="1:31">
      <c r="A80" s="3992" t="str">
        <f t="shared" si="4"/>
        <v>\\DG ECFIN\Forecast\Country databases\Desk transfer databases\BE</v>
      </c>
      <c r="B80" s="3992" t="str">
        <f t="shared" si="5"/>
        <v>BE</v>
      </c>
      <c r="C80" s="3992" t="s">
        <v>2166</v>
      </c>
      <c r="D80" s="3992" t="s">
        <v>2238</v>
      </c>
      <c r="E80" s="3992" t="s">
        <v>2168</v>
      </c>
      <c r="F80" s="3992">
        <v>113</v>
      </c>
      <c r="G80" s="3992" t="s">
        <v>431</v>
      </c>
      <c r="H80" s="3992">
        <f>IF(Sector1!H32&lt;&gt;"",Sector1!H32,"n.a.")</f>
        <v>27.295300000000001</v>
      </c>
      <c r="I80" s="3992">
        <f>IF(Sector1!I32&lt;&gt;"",Sector1!I32,"n.a.")</f>
        <v>28.959299999999999</v>
      </c>
      <c r="J80" s="3992">
        <f>IF(Sector1!J32&lt;&gt;"",Sector1!J32,"n.a.")</f>
        <v>29.978200000000001</v>
      </c>
      <c r="K80" s="3992">
        <f>IF(Sector1!K32&lt;&gt;"",Sector1!K32,"n.a.")</f>
        <v>32.108699999999999</v>
      </c>
      <c r="L80" s="3992">
        <f>IF(Sector1!L32&lt;&gt;"",Sector1!L32,"n.a.")</f>
        <v>33.5182</v>
      </c>
      <c r="M80" s="3992">
        <f>IF(Sector1!M32&lt;&gt;"",Sector1!M32,"n.a.")</f>
        <v>33.305300000000003</v>
      </c>
      <c r="N80" s="3992">
        <f>IF(Sector1!N32&lt;&gt;"",Sector1!N32,"n.a.")</f>
        <v>34.563400000000001</v>
      </c>
      <c r="O80" s="3992">
        <f>IF(Sector1!O32&lt;&gt;"",Sector1!O32,"n.a.")</f>
        <v>35.598500000000001</v>
      </c>
      <c r="P80" s="3992">
        <f>IF(Sector1!P32&lt;&gt;"",Sector1!P32,"n.a.")</f>
        <v>38.029900000000005</v>
      </c>
      <c r="Q80" s="3992">
        <f>IF(Sector1!Q32&lt;&gt;"",Sector1!Q32,"n.a.")</f>
        <v>39.959499999999998</v>
      </c>
      <c r="R80" s="3992">
        <f>IF(Sector1!R32&lt;&gt;"",Sector1!R32,"n.a.")</f>
        <v>41.810099999999998</v>
      </c>
      <c r="S80" s="3992">
        <f>IF(Sector1!S32&lt;&gt;"",Sector1!S32,"n.a.")</f>
        <v>43.749699999999997</v>
      </c>
      <c r="T80" s="3992">
        <f>IF(Sector1!T32&lt;&gt;"",Sector1!T32,"n.a.")</f>
        <v>44.250300000000003</v>
      </c>
      <c r="U80" s="3992">
        <f>IF(Sector1!U32&lt;&gt;"",Sector1!U32,"n.a.")</f>
        <v>43.5304</v>
      </c>
      <c r="V80" s="3992">
        <f>IF(Sector1!V32&lt;&gt;"",Sector1!V32,"n.a.")</f>
        <v>46.652099999999997</v>
      </c>
      <c r="W80" s="3992">
        <f>IF(Sector1!W32&lt;&gt;"",Sector1!W32,"n.a.")</f>
        <v>48.230400000000003</v>
      </c>
      <c r="X80" s="3992">
        <f>IF(Sector1!X32&lt;&gt;"",Sector1!X32,"n.a.")</f>
        <v>50.688400000000001</v>
      </c>
      <c r="Y80" s="3992">
        <f>IF(Sector1!Y32&lt;&gt;"",Sector1!Y32,"n.a.")</f>
        <v>51.2592</v>
      </c>
      <c r="Z80" s="3992">
        <f>IF(Sector1!Z32&lt;&gt;"",Sector1!Z32,"n.a.")</f>
        <v>52.1006</v>
      </c>
      <c r="AA80" s="3992">
        <f>IF(Sector1!AA32&lt;&gt;"",Sector1!AA32,"n.a.")</f>
        <v>52.859300000000005</v>
      </c>
      <c r="AB80" s="3992">
        <f>IF(Sector1!AB32&lt;&gt;"",Sector1!AB32,"n.a.")</f>
        <v>55.320900000000002</v>
      </c>
      <c r="AC80" s="3992">
        <f>IF(Sector1!AC32&lt;&gt;"",Sector1!AC32,"n.a.")</f>
        <v>57.298099999999998</v>
      </c>
      <c r="AD80" s="3992">
        <f>IF(Sector1!AD32&lt;&gt;"",Sector1!AD32,"n.a.")</f>
        <v>59.120098280130293</v>
      </c>
      <c r="AE80" s="3992">
        <f>IF(Sector1!AE32&lt;&gt;"",Sector1!AE32,"n.a.")</f>
        <v>61.054472535494071</v>
      </c>
    </row>
    <row r="81" spans="1:36">
      <c r="A81" s="3992" t="str">
        <f t="shared" si="4"/>
        <v>\\DG ECFIN\Forecast\Country databases\Desk transfer databases\BE</v>
      </c>
      <c r="B81" s="3992" t="str">
        <f t="shared" si="5"/>
        <v>BE</v>
      </c>
      <c r="C81" s="3992" t="s">
        <v>2166</v>
      </c>
      <c r="D81" s="3992" t="s">
        <v>2239</v>
      </c>
      <c r="E81" s="3992" t="s">
        <v>2168</v>
      </c>
      <c r="F81" s="3992">
        <v>114</v>
      </c>
      <c r="G81" s="3992" t="s">
        <v>1538</v>
      </c>
      <c r="H81" s="3992">
        <f>IF(Sector1!H319&lt;&gt;"",Sector1!H319,"n.a.")</f>
        <v>34.418399999999998</v>
      </c>
      <c r="I81" s="3992">
        <f>IF(Sector1!I319&lt;&gt;"",Sector1!I319,"n.a.")</f>
        <v>36.979300000000002</v>
      </c>
      <c r="J81" s="3992">
        <f>IF(Sector1!J319&lt;&gt;"",Sector1!J319,"n.a.")</f>
        <v>39.622599999999998</v>
      </c>
      <c r="K81" s="3992">
        <f>IF(Sector1!K319&lt;&gt;"",Sector1!K319,"n.a.")</f>
        <v>40.1768</v>
      </c>
      <c r="L81" s="3992">
        <f>IF(Sector1!L319&lt;&gt;"",Sector1!L319,"n.a.")</f>
        <v>42.835300000000004</v>
      </c>
      <c r="M81" s="3992">
        <f>IF(Sector1!M319&lt;&gt;"",Sector1!M319,"n.a.")</f>
        <v>44.580800000000004</v>
      </c>
      <c r="N81" s="3992">
        <f>IF(Sector1!N319&lt;&gt;"",Sector1!N319,"n.a.")</f>
        <v>45.8964</v>
      </c>
      <c r="O81" s="3992">
        <f>IF(Sector1!O319&lt;&gt;"",Sector1!O319,"n.a.")</f>
        <v>45.6723</v>
      </c>
      <c r="P81" s="3992">
        <f>IF(Sector1!P319&lt;&gt;"",Sector1!P319,"n.a.")</f>
        <v>48.301099999999998</v>
      </c>
      <c r="Q81" s="3992">
        <f>IF(Sector1!Q319&lt;&gt;"",Sector1!Q319,"n.a.")</f>
        <v>50.676099999999998</v>
      </c>
      <c r="R81" s="3992">
        <f>IF(Sector1!R319&lt;&gt;"",Sector1!R319,"n.a.")</f>
        <v>52.663699999999999</v>
      </c>
      <c r="S81" s="3992">
        <f>IF(Sector1!S319&lt;&gt;"",Sector1!S319,"n.a.")</f>
        <v>54.700900000000004</v>
      </c>
      <c r="T81" s="3992">
        <f>IF(Sector1!T319&lt;&gt;"",Sector1!T319,"n.a.")</f>
        <v>57.118300000000005</v>
      </c>
      <c r="U81" s="3992">
        <f>IF(Sector1!U319&lt;&gt;"",Sector1!U319,"n.a.")</f>
        <v>52.131500000000003</v>
      </c>
      <c r="V81" s="3992">
        <f>IF(Sector1!V319&lt;&gt;"",Sector1!V319,"n.a.")</f>
        <v>55.681800000000003</v>
      </c>
      <c r="W81" s="3992">
        <f>IF(Sector1!W319&lt;&gt;"",Sector1!W319,"n.a.")</f>
        <v>59.729900000000001</v>
      </c>
      <c r="X81" s="3992">
        <f>IF(Sector1!X319&lt;&gt;"",Sector1!X319,"n.a.")</f>
        <v>62.513300000000001</v>
      </c>
      <c r="Y81" s="3992">
        <f>IF(Sector1!Y319&lt;&gt;"",Sector1!Y319,"n.a.")</f>
        <v>65.682199999999995</v>
      </c>
      <c r="Z81" s="3992">
        <f>IF(Sector1!Z319&lt;&gt;"",Sector1!Z319,"n.a.")</f>
        <v>67.108199999999997</v>
      </c>
      <c r="AA81" s="3992">
        <f>IF(Sector1!AA319&lt;&gt;"",Sector1!AA319,"n.a.")</f>
        <v>68.038699999999992</v>
      </c>
      <c r="AB81" s="3992">
        <f>IF(Sector1!AB319&lt;&gt;"",Sector1!AB319,"n.a.")</f>
        <v>68.753399999999999</v>
      </c>
      <c r="AC81" s="3992">
        <f>IF(Sector1!AC319&lt;&gt;"",Sector1!AC319,"n.a.")</f>
        <v>73.776699999999991</v>
      </c>
      <c r="AD81" s="3992">
        <f>IF(Sector1!AD319&lt;&gt;"",Sector1!AD319,"n.a.")</f>
        <v>74.224751359659976</v>
      </c>
      <c r="AE81" s="3992">
        <f>IF(Sector1!AE319&lt;&gt;"",Sector1!AE319,"n.a.")</f>
        <v>76.022804492324838</v>
      </c>
      <c r="AH81" s="3993"/>
    </row>
    <row r="82" spans="1:36">
      <c r="A82" s="3992" t="str">
        <f t="shared" si="4"/>
        <v>\\DG ECFIN\Forecast\Country databases\Desk transfer databases\BE</v>
      </c>
      <c r="B82" s="3992" t="str">
        <f t="shared" si="5"/>
        <v>BE</v>
      </c>
      <c r="C82" s="3992" t="s">
        <v>2166</v>
      </c>
      <c r="D82" s="3992" t="s">
        <v>2240</v>
      </c>
      <c r="E82" s="3992" t="s">
        <v>2168</v>
      </c>
      <c r="F82" s="3992">
        <v>115</v>
      </c>
      <c r="G82" s="3992" t="s">
        <v>1394</v>
      </c>
      <c r="H82" s="3992">
        <f>IF(Sector1!H473&lt;&gt;"",Sector1!H473,"n.a.")</f>
        <v>34.655699999999996</v>
      </c>
      <c r="I82" s="3992">
        <f>IF(Sector1!I473&lt;&gt;"",Sector1!I473,"n.a.")</f>
        <v>35.863399999999999</v>
      </c>
      <c r="J82" s="3992">
        <f>IF(Sector1!J473&lt;&gt;"",Sector1!J473,"n.a.")</f>
        <v>37.373399999999997</v>
      </c>
      <c r="K82" s="3992">
        <f>IF(Sector1!K473&lt;&gt;"",Sector1!K473,"n.a.")</f>
        <v>38.713899999999995</v>
      </c>
      <c r="L82" s="3992">
        <f>IF(Sector1!L473&lt;&gt;"",Sector1!L473,"n.a.")</f>
        <v>39.853200000000001</v>
      </c>
      <c r="M82" s="3992">
        <f>IF(Sector1!M473&lt;&gt;"",Sector1!M473,"n.a.")</f>
        <v>41.686999999999998</v>
      </c>
      <c r="N82" s="3992">
        <f>IF(Sector1!N473&lt;&gt;"",Sector1!N473,"n.a.")</f>
        <v>43.892199999999995</v>
      </c>
      <c r="O82" s="3992">
        <f>IF(Sector1!O473&lt;&gt;"",Sector1!O473,"n.a.")</f>
        <v>44.8384</v>
      </c>
      <c r="P82" s="3992">
        <f>IF(Sector1!P473&lt;&gt;"",Sector1!P473,"n.a.")</f>
        <v>46.319699999999997</v>
      </c>
      <c r="Q82" s="3992">
        <f>IF(Sector1!Q473&lt;&gt;"",Sector1!Q473,"n.a.")</f>
        <v>47.5501</v>
      </c>
      <c r="R82" s="3992">
        <f>IF(Sector1!R473&lt;&gt;"",Sector1!R473,"n.a.")</f>
        <v>49.774600000000007</v>
      </c>
      <c r="S82" s="3992">
        <f>IF(Sector1!S473&lt;&gt;"",Sector1!S473,"n.a.")</f>
        <v>52.850700000000003</v>
      </c>
      <c r="T82" s="3992">
        <f>IF(Sector1!T473&lt;&gt;"",Sector1!T473,"n.a.")</f>
        <v>55.912800000000004</v>
      </c>
      <c r="U82" s="3992">
        <f>IF(Sector1!U473&lt;&gt;"",Sector1!U473,"n.a.")</f>
        <v>57.320599999999999</v>
      </c>
      <c r="V82" s="3992">
        <f>IF(Sector1!V473&lt;&gt;"",Sector1!V473,"n.a.")</f>
        <v>58.714500000000001</v>
      </c>
      <c r="W82" s="3992">
        <f>IF(Sector1!W473&lt;&gt;"",Sector1!W473,"n.a.")</f>
        <v>61.775800000000004</v>
      </c>
      <c r="X82" s="3992">
        <f>IF(Sector1!X473&lt;&gt;"",Sector1!X473,"n.a.")</f>
        <v>64.338899999999995</v>
      </c>
      <c r="Y82" s="3992">
        <f>IF(Sector1!Y473&lt;&gt;"",Sector1!Y473,"n.a.")</f>
        <v>65.9893</v>
      </c>
      <c r="Z82" s="3992">
        <f>IF(Sector1!Z473&lt;&gt;"",Sector1!Z473,"n.a.")</f>
        <v>66.7727</v>
      </c>
      <c r="AA82" s="3992">
        <f>IF(Sector1!AA473&lt;&gt;"",Sector1!AA473,"n.a.")</f>
        <v>67.944400000000002</v>
      </c>
      <c r="AB82" s="3992">
        <f>IF(Sector1!AB473&lt;&gt;"",Sector1!AB473,"n.a.")</f>
        <v>67.528700000000001</v>
      </c>
      <c r="AC82" s="3992">
        <f>IF(Sector1!AC473&lt;&gt;"",Sector1!AC473,"n.a.")</f>
        <v>69.342799999999997</v>
      </c>
      <c r="AD82" s="3992">
        <f>IF(Sector1!AD473&lt;&gt;"",Sector1!AD473,"n.a.")</f>
        <v>71.271879679999998</v>
      </c>
      <c r="AE82" s="3992">
        <f>IF(Sector1!AE473&lt;&gt;"",Sector1!AE473,"n.a.")</f>
        <v>73.410592586023995</v>
      </c>
    </row>
    <row r="83" spans="1:36">
      <c r="A83" s="3992" t="str">
        <f t="shared" si="4"/>
        <v>\\DG ECFIN\Forecast\Country databases\Desk transfer databases\BE</v>
      </c>
      <c r="B83" s="3992" t="str">
        <f t="shared" si="5"/>
        <v>BE</v>
      </c>
      <c r="C83" s="3992" t="s">
        <v>2166</v>
      </c>
      <c r="D83" s="3992" t="s">
        <v>2241</v>
      </c>
      <c r="E83" s="3992" t="s">
        <v>2168</v>
      </c>
      <c r="F83" s="3992">
        <v>116</v>
      </c>
      <c r="G83" s="3992" t="s">
        <v>1489</v>
      </c>
      <c r="H83" s="3992">
        <f>IF(Sector1!H471&lt;&gt;"",Sector1!H471,"n.a.")</f>
        <v>30.284299999999998</v>
      </c>
      <c r="I83" s="3992">
        <f>IF(Sector1!I471&lt;&gt;"",Sector1!I471,"n.a.")</f>
        <v>31.27</v>
      </c>
      <c r="J83" s="3992">
        <f>IF(Sector1!J471&lt;&gt;"",Sector1!J471,"n.a.")</f>
        <v>32.577199999999998</v>
      </c>
      <c r="K83" s="3992">
        <f>IF(Sector1!K471&lt;&gt;"",Sector1!K471,"n.a.")</f>
        <v>33.784599999999998</v>
      </c>
      <c r="L83" s="3992">
        <f>IF(Sector1!L471&lt;&gt;"",Sector1!L471,"n.a.")</f>
        <v>34.69</v>
      </c>
      <c r="M83" s="3992">
        <f>IF(Sector1!M471&lt;&gt;"",Sector1!M471,"n.a.")</f>
        <v>36.236199999999997</v>
      </c>
      <c r="N83" s="3992">
        <f>IF(Sector1!N471&lt;&gt;"",Sector1!N471,"n.a.")</f>
        <v>38.064999999999998</v>
      </c>
      <c r="O83" s="3992">
        <f>IF(Sector1!O471&lt;&gt;"",Sector1!O471,"n.a.")</f>
        <v>38.9191</v>
      </c>
      <c r="P83" s="3992">
        <f>IF(Sector1!P471&lt;&gt;"",Sector1!P471,"n.a.")</f>
        <v>40.184899999999999</v>
      </c>
      <c r="Q83" s="3992">
        <f>IF(Sector1!Q471&lt;&gt;"",Sector1!Q471,"n.a.")</f>
        <v>41.271099999999997</v>
      </c>
      <c r="R83" s="3992">
        <f>IF(Sector1!R471&lt;&gt;"",Sector1!R471,"n.a.")</f>
        <v>42.990300000000005</v>
      </c>
      <c r="S83" s="3992">
        <f>IF(Sector1!S471&lt;&gt;"",Sector1!S471,"n.a.")</f>
        <v>45.7134</v>
      </c>
      <c r="T83" s="3992">
        <f>IF(Sector1!T471&lt;&gt;"",Sector1!T471,"n.a.")</f>
        <v>48.360500000000002</v>
      </c>
      <c r="U83" s="3992">
        <f>IF(Sector1!U471&lt;&gt;"",Sector1!U471,"n.a.")</f>
        <v>49.377099999999999</v>
      </c>
      <c r="V83" s="3992">
        <f>IF(Sector1!V471&lt;&gt;"",Sector1!V471,"n.a.")</f>
        <v>50.508699999999997</v>
      </c>
      <c r="W83" s="3992">
        <f>IF(Sector1!W471&lt;&gt;"",Sector1!W471,"n.a.")</f>
        <v>53.037300000000002</v>
      </c>
      <c r="X83" s="3992">
        <f>IF(Sector1!X471&lt;&gt;"",Sector1!X471,"n.a.")</f>
        <v>55.188400000000001</v>
      </c>
      <c r="Y83" s="3992">
        <f>IF(Sector1!Y471&lt;&gt;"",Sector1!Y471,"n.a.")</f>
        <v>56.429099999999998</v>
      </c>
      <c r="Z83" s="3992">
        <f>IF(Sector1!Z471&lt;&gt;"",Sector1!Z471,"n.a.")</f>
        <v>57.163499999999999</v>
      </c>
      <c r="AA83" s="3992">
        <f>IF(Sector1!AA471&lt;&gt;"",Sector1!AA471,"n.a.")</f>
        <v>58.699300000000001</v>
      </c>
      <c r="AB83" s="3992">
        <f>IF(Sector1!AB471&lt;&gt;"",Sector1!AB471,"n.a.")</f>
        <v>58.002699999999997</v>
      </c>
      <c r="AC83" s="3992">
        <f>IF(Sector1!AC471&lt;&gt;"",Sector1!AC471,"n.a.")</f>
        <v>59.502000000000002</v>
      </c>
      <c r="AD83" s="3992">
        <f>IF(Sector1!AD471&lt;&gt;"",Sector1!AD471,"n.a.")</f>
        <v>61.203757199999998</v>
      </c>
      <c r="AE83" s="3992">
        <f>IF(Sector1!AE471&lt;&gt;"",Sector1!AE471,"n.a.")</f>
        <v>63.082712546039993</v>
      </c>
      <c r="AH83" s="3993"/>
      <c r="AI83" s="3994"/>
    </row>
    <row r="84" spans="1:36">
      <c r="A84" s="3992" t="str">
        <f t="shared" si="4"/>
        <v>\\DG ECFIN\Forecast\Country databases\Desk transfer databases\BE</v>
      </c>
      <c r="B84" s="3992" t="str">
        <f t="shared" si="5"/>
        <v>BE</v>
      </c>
      <c r="C84" s="3992" t="s">
        <v>2166</v>
      </c>
      <c r="D84" s="3992" t="s">
        <v>2242</v>
      </c>
      <c r="E84" s="3992" t="s">
        <v>2168</v>
      </c>
      <c r="F84" s="3992">
        <v>117</v>
      </c>
      <c r="G84" s="3992" t="s">
        <v>1371</v>
      </c>
      <c r="H84" s="3992">
        <f>IF(Sector1!H1099&lt;&gt;"",Sector1!H1099,"n.a.")</f>
        <v>3.7919999999999998</v>
      </c>
      <c r="I84" s="3992">
        <f>IF(Sector1!I1099&lt;&gt;"",Sector1!I1099,"n.a.")</f>
        <v>3.5174999999999996</v>
      </c>
      <c r="J84" s="3992">
        <f>IF(Sector1!J1099&lt;&gt;"",Sector1!J1099,"n.a.")</f>
        <v>3.6922000000000006</v>
      </c>
      <c r="K84" s="3992">
        <f>IF(Sector1!K1099&lt;&gt;"",Sector1!K1099,"n.a.")</f>
        <v>3.552</v>
      </c>
      <c r="L84" s="3992">
        <f>IF(Sector1!L1099&lt;&gt;"",Sector1!L1099,"n.a.")</f>
        <v>4.0074999999999994</v>
      </c>
      <c r="M84" s="3992">
        <f>IF(Sector1!M1099&lt;&gt;"",Sector1!M1099,"n.a.")</f>
        <v>4.7571000000000003</v>
      </c>
      <c r="N84" s="3992">
        <f>IF(Sector1!N1099&lt;&gt;"",Sector1!N1099,"n.a.")</f>
        <v>4.3989999999999991</v>
      </c>
      <c r="O84" s="3992">
        <f>IF(Sector1!O1099&lt;&gt;"",Sector1!O1099,"n.a.")</f>
        <v>4.1474000000000002</v>
      </c>
      <c r="P84" s="3992">
        <f>IF(Sector1!P1099&lt;&gt;"",Sector1!P1099,"n.a.")</f>
        <v>3.84</v>
      </c>
      <c r="Q84" s="3992">
        <f>IF(Sector1!Q1099&lt;&gt;"",Sector1!Q1099,"n.a.")</f>
        <v>4.3809000000000005</v>
      </c>
      <c r="R84" s="3992">
        <f>IF(Sector1!R1099&lt;&gt;"",Sector1!R1099,"n.a.")</f>
        <v>4.6943999999999999</v>
      </c>
      <c r="S84" s="3992">
        <f>IF(Sector1!S1099&lt;&gt;"",Sector1!S1099,"n.a.")</f>
        <v>5.0069999999999997</v>
      </c>
      <c r="T84" s="3992">
        <f>IF(Sector1!T1099&lt;&gt;"",Sector1!T1099,"n.a.")</f>
        <v>5.8865000000000007</v>
      </c>
      <c r="U84" s="3992">
        <f>IF(Sector1!U1099&lt;&gt;"",Sector1!U1099,"n.a.")</f>
        <v>5.8295000000000012</v>
      </c>
      <c r="V84" s="3992">
        <f>IF(Sector1!V1099&lt;&gt;"",Sector1!V1099,"n.a.")</f>
        <v>6.9374000000000002</v>
      </c>
      <c r="W84" s="3992">
        <f>IF(Sector1!W1099&lt;&gt;"",Sector1!W1099,"n.a.")</f>
        <v>8.0603999999999996</v>
      </c>
      <c r="X84" s="3992">
        <f>IF(Sector1!X1099&lt;&gt;"",Sector1!X1099,"n.a.")</f>
        <v>8.5108999999999995</v>
      </c>
      <c r="Y84" s="3992">
        <f>IF(Sector1!Y1099&lt;&gt;"",Sector1!Y1099,"n.a.")</f>
        <v>8.5322999999999993</v>
      </c>
      <c r="Z84" s="3992">
        <f>IF(Sector1!Z1099&lt;&gt;"",Sector1!Z1099,"n.a.")</f>
        <v>7.5191999999999997</v>
      </c>
      <c r="AA84" s="3992">
        <f>IF(Sector1!AA1099&lt;&gt;"",Sector1!AA1099,"n.a.")</f>
        <v>6.8463999999999992</v>
      </c>
      <c r="AB84" s="3992">
        <f>IF(Sector1!AB1099&lt;&gt;"",Sector1!AB1099,"n.a.")</f>
        <v>6.8486000000000002</v>
      </c>
      <c r="AC84" s="3992">
        <f>IF(Sector1!AC1099&lt;&gt;"",Sector1!AC1099,"n.a.")</f>
        <v>7.1141000000000005</v>
      </c>
      <c r="AD84" s="3992">
        <f>IF(Sector1!AD1099&lt;&gt;"",Sector1!AD1099,"n.a.")</f>
        <v>7.2800986900000009</v>
      </c>
      <c r="AE84" s="3992">
        <f>IF(Sector1!AE1099&lt;&gt;"",Sector1!AE1099,"n.a.")</f>
        <v>7.3119591468920007</v>
      </c>
      <c r="AH84" s="3993"/>
    </row>
    <row r="85" spans="1:36">
      <c r="A85" s="3992" t="str">
        <f t="shared" si="4"/>
        <v>\\DG ECFIN\Forecast\Country databases\Desk transfer databases\BE</v>
      </c>
      <c r="B85" s="3992" t="str">
        <f t="shared" si="5"/>
        <v>BE</v>
      </c>
      <c r="C85" s="3992" t="s">
        <v>2166</v>
      </c>
      <c r="D85" s="3992" t="s">
        <v>2243</v>
      </c>
      <c r="E85" s="3992" t="s">
        <v>2168</v>
      </c>
      <c r="F85" s="3992">
        <v>118</v>
      </c>
      <c r="G85" s="3992" t="s">
        <v>258</v>
      </c>
      <c r="H85" s="3992">
        <f>IF('VVP2'!H199&lt;&gt;"",'VVP2'!H199,"n.a.")</f>
        <v>18.340450000000001</v>
      </c>
      <c r="I85" s="3992">
        <f>IF('VVP2'!I199&lt;&gt;"",'VVP2'!I199,"n.a.")</f>
        <v>18.756080000000001</v>
      </c>
      <c r="J85" s="3992">
        <f>IF('VVP2'!J199&lt;&gt;"",'VVP2'!J199,"n.a.")</f>
        <v>19.2194</v>
      </c>
      <c r="K85" s="3992">
        <f>IF('VVP2'!K199&lt;&gt;"",'VVP2'!K199,"n.a.")</f>
        <v>20.363259999999997</v>
      </c>
      <c r="L85" s="3992">
        <f>IF('VVP2'!L199&lt;&gt;"",'VVP2'!L199,"n.a.")</f>
        <v>21.579229999999999</v>
      </c>
      <c r="M85" s="3992">
        <f>IF('VVP2'!M199&lt;&gt;"",'VVP2'!M199,"n.a.")</f>
        <v>22.08963</v>
      </c>
      <c r="N85" s="3992">
        <f>IF('VVP2'!N199&lt;&gt;"",'VVP2'!N199,"n.a.")</f>
        <v>24.016029999999997</v>
      </c>
      <c r="O85" s="3992">
        <f>IF('VVP2'!O199&lt;&gt;"",'VVP2'!O199,"n.a.")</f>
        <v>24.54054</v>
      </c>
      <c r="P85" s="3992">
        <f>IF('VVP2'!P199&lt;&gt;"",'VVP2'!P199,"n.a.")</f>
        <v>25.191790000000001</v>
      </c>
      <c r="Q85" s="3992">
        <f>IF('VVP2'!Q199&lt;&gt;"",'VVP2'!Q199,"n.a.")</f>
        <v>26.31739</v>
      </c>
      <c r="R85" s="3992">
        <f>IF('VVP2'!R199&lt;&gt;"",'VVP2'!R199,"n.a.")</f>
        <v>27.374759999999998</v>
      </c>
      <c r="S85" s="3992">
        <f>IF('VVP2'!S199&lt;&gt;"",'VVP2'!S199,"n.a.")</f>
        <v>28.421060000000001</v>
      </c>
      <c r="T85" s="3992">
        <f>IF('VVP2'!T199&lt;&gt;"",'VVP2'!T199,"n.a.")</f>
        <v>30.12097</v>
      </c>
      <c r="U85" s="3992">
        <f>IF('VVP2'!U199&lt;&gt;"",'VVP2'!U199,"n.a.")</f>
        <v>31.222519999999999</v>
      </c>
      <c r="V85" s="3992">
        <f>IF('VVP2'!V199&lt;&gt;"",'VVP2'!V199,"n.a.")</f>
        <v>31.24568</v>
      </c>
      <c r="W85" s="3992">
        <f>IF('VVP2'!W199&lt;&gt;"",'VVP2'!W199,"n.a.")</f>
        <v>32.350720000000003</v>
      </c>
      <c r="X85" s="3992">
        <f>IF('VVP2'!X199&lt;&gt;"",'VVP2'!X199,"n.a.")</f>
        <v>33.70393</v>
      </c>
      <c r="Y85" s="3992">
        <f>IF('VVP2'!Y199&lt;&gt;"",'VVP2'!Y199,"n.a.")</f>
        <v>34.91019</v>
      </c>
      <c r="Z85" s="3992">
        <f>IF('VVP2'!Z199&lt;&gt;"",'VVP2'!Z199,"n.a.")</f>
        <v>34.472120000000004</v>
      </c>
      <c r="AA85" s="3992">
        <f>IF('VVP2'!AA199&lt;&gt;"",'VVP2'!AA199,"n.a.")</f>
        <v>34.003</v>
      </c>
      <c r="AB85" s="3992">
        <f>IF('VVP2'!AB199&lt;&gt;"",'VVP2'!AB199,"n.a.")</f>
        <v>33.262910000000005</v>
      </c>
      <c r="AC85" s="3992">
        <f>IF('VVP2'!AC199&lt;&gt;"",'VVP2'!AC199,"n.a.")</f>
        <v>34.146269999999994</v>
      </c>
      <c r="AD85" s="3992">
        <f ca="1">IF('VVP2'!AD199&lt;&gt;"",'VVP2'!AD199,"n.a.")</f>
        <v>34.972609733999995</v>
      </c>
      <c r="AE85" s="3992">
        <f ca="1">IF('VVP2'!AE199&lt;&gt;"",'VVP2'!AE199,"n.a.")</f>
        <v>36.126705855221992</v>
      </c>
      <c r="AH85" s="3993"/>
    </row>
    <row r="86" spans="1:36">
      <c r="A86" s="3992" t="str">
        <f t="shared" si="4"/>
        <v>\\DG ECFIN\Forecast\Country databases\Desk transfer databases\BE</v>
      </c>
      <c r="B86" s="3992" t="str">
        <f t="shared" si="5"/>
        <v>BE</v>
      </c>
      <c r="C86" s="3992" t="s">
        <v>2166</v>
      </c>
      <c r="D86" s="3992" t="s">
        <v>2244</v>
      </c>
      <c r="E86" s="3992" t="s">
        <v>2168</v>
      </c>
      <c r="F86" s="3992">
        <v>119</v>
      </c>
      <c r="G86" s="3992" t="s">
        <v>259</v>
      </c>
      <c r="H86" s="3992">
        <f>IF('VVP2'!H198&lt;&gt;"",'VVP2'!H198,"n.a.")</f>
        <v>28.097549999999998</v>
      </c>
      <c r="I86" s="3992">
        <f>IF('VVP2'!I198&lt;&gt;"",'VVP2'!I198,"n.a.")</f>
        <v>28.59742</v>
      </c>
      <c r="J86" s="3992">
        <f>IF('VVP2'!J198&lt;&gt;"",'VVP2'!J198,"n.a.")</f>
        <v>29.6874</v>
      </c>
      <c r="K86" s="3992">
        <f>IF('VVP2'!K198&lt;&gt;"",'VVP2'!K198,"n.a.")</f>
        <v>30.96294</v>
      </c>
      <c r="L86" s="3992">
        <f>IF('VVP2'!L198&lt;&gt;"",'VVP2'!L198,"n.a.")</f>
        <v>32.323070000000001</v>
      </c>
      <c r="M86" s="3992">
        <f>IF('VVP2'!M198&lt;&gt;"",'VVP2'!M198,"n.a.")</f>
        <v>34.466670000000001</v>
      </c>
      <c r="N86" s="3992">
        <f>IF('VVP2'!N198&lt;&gt;"",'VVP2'!N198,"n.a.")</f>
        <v>36.268269999999994</v>
      </c>
      <c r="O86" s="3992">
        <f>IF('VVP2'!O198&lt;&gt;"",'VVP2'!O198,"n.a.")</f>
        <v>38.63326</v>
      </c>
      <c r="P86" s="3992">
        <f>IF('VVP2'!P198&lt;&gt;"",'VVP2'!P198,"n.a.")</f>
        <v>40.629910000000002</v>
      </c>
      <c r="Q86" s="3992">
        <f>IF('VVP2'!Q198&lt;&gt;"",'VVP2'!Q198,"n.a.")</f>
        <v>42.544309999999996</v>
      </c>
      <c r="R86" s="3992">
        <f>IF('VVP2'!R198&lt;&gt;"",'VVP2'!R198,"n.a.")</f>
        <v>44.138940000000005</v>
      </c>
      <c r="S86" s="3992">
        <f>IF('VVP2'!S198&lt;&gt;"",'VVP2'!S198,"n.a.")</f>
        <v>45.990639999999999</v>
      </c>
      <c r="T86" s="3992">
        <f>IF('VVP2'!T198&lt;&gt;"",'VVP2'!T198,"n.a.")</f>
        <v>49.736429999999999</v>
      </c>
      <c r="U86" s="3992">
        <f>IF('VVP2'!U198&lt;&gt;"",'VVP2'!U198,"n.a.")</f>
        <v>52.559280000000001</v>
      </c>
      <c r="V86" s="3992">
        <f>IF('VVP2'!V198&lt;&gt;"",'VVP2'!V198,"n.a.")</f>
        <v>54.753219999999999</v>
      </c>
      <c r="W86" s="3992">
        <f>IF('VVP2'!W198&lt;&gt;"",'VVP2'!W198,"n.a.")</f>
        <v>57.776780000000002</v>
      </c>
      <c r="X86" s="3992">
        <f>IF('VVP2'!X198&lt;&gt;"",'VVP2'!X198,"n.a.")</f>
        <v>60.306669999999997</v>
      </c>
      <c r="Y86" s="3992">
        <f>IF('VVP2'!Y198&lt;&gt;"",'VVP2'!Y198,"n.a.")</f>
        <v>61.176910000000007</v>
      </c>
      <c r="Z86" s="3992">
        <f>IF('VVP2'!Z198&lt;&gt;"",'VVP2'!Z198,"n.a.")</f>
        <v>62.885580000000004</v>
      </c>
      <c r="AA86" s="3992">
        <f>IF('VVP2'!AA198&lt;&gt;"",'VVP2'!AA198,"n.a.")</f>
        <v>64.084599999999995</v>
      </c>
      <c r="AB86" s="3992">
        <f>IF('VVP2'!AB198&lt;&gt;"",'VVP2'!AB198,"n.a.")</f>
        <v>65.977190000000007</v>
      </c>
      <c r="AC86" s="3992">
        <f>IF('VVP2'!AC198&lt;&gt;"",'VVP2'!AC198,"n.a.")</f>
        <v>68.266030000000001</v>
      </c>
      <c r="AD86" s="3992">
        <f ca="1">IF('VVP2'!AD198&lt;&gt;"",'VVP2'!AD198,"n.a.")</f>
        <v>69.792550685790019</v>
      </c>
      <c r="AE86" s="3992">
        <f ca="1">IF('VVP2'!AE198&lt;&gt;"",'VVP2'!AE198,"n.a.")</f>
        <v>71.62248062880488</v>
      </c>
      <c r="AH86" s="3993"/>
    </row>
    <row r="87" spans="1:36">
      <c r="A87" s="3992" t="str">
        <f t="shared" si="4"/>
        <v>\\DG ECFIN\Forecast\Country databases\Desk transfer databases\BE</v>
      </c>
      <c r="B87" s="3992" t="str">
        <f t="shared" si="5"/>
        <v>BE</v>
      </c>
      <c r="C87" s="3992" t="s">
        <v>2166</v>
      </c>
      <c r="D87" s="3992" t="s">
        <v>2245</v>
      </c>
      <c r="E87" s="3992" t="s">
        <v>2168</v>
      </c>
      <c r="F87" s="3992">
        <v>120</v>
      </c>
      <c r="G87" s="3992" t="s">
        <v>260</v>
      </c>
      <c r="H87" s="3992">
        <f>IF(Labour1!H211&lt;&gt;"",Labour1!H211,"n.a.")</f>
        <v>24.9559</v>
      </c>
      <c r="I87" s="3992">
        <f>IF(Labour1!I211&lt;&gt;"",Labour1!I211,"n.a.")</f>
        <v>25.796200000000002</v>
      </c>
      <c r="J87" s="3992">
        <f>IF(Labour1!J211&lt;&gt;"",Labour1!J211,"n.a.")</f>
        <v>26.570900000000002</v>
      </c>
      <c r="K87" s="3992">
        <f>IF(Labour1!K211&lt;&gt;"",Labour1!K211,"n.a.")</f>
        <v>27.7728</v>
      </c>
      <c r="L87" s="3992">
        <f>IF(Labour1!L211&lt;&gt;"",Labour1!L211,"n.a.")</f>
        <v>28.776700000000002</v>
      </c>
      <c r="M87" s="3992">
        <f>IF(Labour1!M211&lt;&gt;"",Labour1!M211,"n.a.")</f>
        <v>30.060200000000002</v>
      </c>
      <c r="N87" s="3992">
        <f>IF(Labour1!N211&lt;&gt;"",Labour1!N211,"n.a.")</f>
        <v>32.275100000000002</v>
      </c>
      <c r="O87" s="3992">
        <f>IF(Labour1!O211&lt;&gt;"",Labour1!O211,"n.a.")</f>
        <v>33.604199999999999</v>
      </c>
      <c r="P87" s="3992">
        <f>IF(Labour1!P211&lt;&gt;"",Labour1!P211,"n.a.")</f>
        <v>34.612099999999998</v>
      </c>
      <c r="Q87" s="3992">
        <f>IF(Labour1!Q211&lt;&gt;"",Labour1!Q211,"n.a.")</f>
        <v>36.417699999999996</v>
      </c>
      <c r="R87" s="3992">
        <f>IF(Labour1!R211&lt;&gt;"",Labour1!R211,"n.a.")</f>
        <v>38.011800000000001</v>
      </c>
      <c r="S87" s="3992">
        <f>IF(Labour1!S211&lt;&gt;"",Labour1!S211,"n.a.")</f>
        <v>39.631699999999995</v>
      </c>
      <c r="T87" s="3992">
        <f>IF(Labour1!T211&lt;&gt;"",Labour1!T211,"n.a.")</f>
        <v>41.896599999999999</v>
      </c>
      <c r="U87" s="3992">
        <f>IF(Labour1!U211&lt;&gt;"",Labour1!U211,"n.a.")</f>
        <v>43.747800000000005</v>
      </c>
      <c r="V87" s="3992">
        <f>IF(Labour1!V211&lt;&gt;"",Labour1!V211,"n.a.")</f>
        <v>44.9086</v>
      </c>
      <c r="W87" s="3992">
        <f>IF(Labour1!W211&lt;&gt;"",Labour1!W211,"n.a.")</f>
        <v>46.770900000000005</v>
      </c>
      <c r="X87" s="3992">
        <f>IF(Labour1!X211&lt;&gt;"",Labour1!X211,"n.a.")</f>
        <v>48.655199999999994</v>
      </c>
      <c r="Y87" s="3992">
        <f>IF(Labour1!Y211&lt;&gt;"",Labour1!Y211,"n.a.")</f>
        <v>50.193599999999996</v>
      </c>
      <c r="Z87" s="3992">
        <f>IF(Labour1!Z211&lt;&gt;"",Labour1!Z211,"n.a.")</f>
        <v>50.880300000000005</v>
      </c>
      <c r="AA87" s="3992">
        <f>IF(Labour1!AA211&lt;&gt;"",Labour1!AA211,"n.a.")</f>
        <v>51.093000000000004</v>
      </c>
      <c r="AB87" s="3992">
        <f>IF(Labour1!AB211&lt;&gt;"",Labour1!AB211,"n.a.")</f>
        <v>52.288199999999996</v>
      </c>
      <c r="AC87" s="3992">
        <f>IF(Labour1!AC211&lt;&gt;"",Labour1!AC211,"n.a.")</f>
        <v>53.776300000000006</v>
      </c>
      <c r="AD87" s="3992">
        <f>IF(Labour1!AD211&lt;&gt;"",Labour1!AD211,"n.a.")</f>
        <v>54.768814395669409</v>
      </c>
      <c r="AE87" s="3992">
        <f>IF(Labour1!AE211&lt;&gt;"",Labour1!AE211,"n.a.")</f>
        <v>55.860125941606945</v>
      </c>
      <c r="AH87" s="3993"/>
      <c r="AI87" s="3993"/>
      <c r="AJ87" s="3993"/>
    </row>
    <row r="88" spans="1:36">
      <c r="A88" s="3992" t="str">
        <f t="shared" si="4"/>
        <v>\\DG ECFIN\Forecast\Country databases\Desk transfer databases\BE</v>
      </c>
      <c r="B88" s="3992" t="str">
        <f t="shared" si="5"/>
        <v>BE</v>
      </c>
      <c r="C88" s="3992" t="s">
        <v>2166</v>
      </c>
      <c r="D88" s="3992" t="s">
        <v>2246</v>
      </c>
      <c r="E88" s="3992" t="s">
        <v>2168</v>
      </c>
      <c r="F88" s="3992">
        <v>121</v>
      </c>
      <c r="G88" s="3992" t="s">
        <v>1924</v>
      </c>
      <c r="H88" s="3992">
        <f>IF(Sector1!H520&lt;&gt;"",Sector1!H520,"n.a.")</f>
        <v>33.900300000000001</v>
      </c>
      <c r="I88" s="3992">
        <f>IF(Sector1!I520&lt;&gt;"",Sector1!I520,"n.a.")</f>
        <v>34.947400000000002</v>
      </c>
      <c r="J88" s="3992">
        <f>IF(Sector1!J520&lt;&gt;"",Sector1!J520,"n.a.")</f>
        <v>35.640800000000006</v>
      </c>
      <c r="K88" s="3992">
        <f>IF(Sector1!K520&lt;&gt;"",Sector1!K520,"n.a.")</f>
        <v>36.285199999999996</v>
      </c>
      <c r="L88" s="3992">
        <f>IF(Sector1!L520&lt;&gt;"",Sector1!L520,"n.a.")</f>
        <v>37.241599999999998</v>
      </c>
      <c r="M88" s="3992">
        <f>IF(Sector1!M520&lt;&gt;"",Sector1!M520,"n.a.")</f>
        <v>38.791899999999998</v>
      </c>
      <c r="N88" s="3992">
        <f>IF(Sector1!N520&lt;&gt;"",Sector1!N520,"n.a.")</f>
        <v>41.471599999999995</v>
      </c>
      <c r="O88" s="3992">
        <f>IF(Sector1!O520&lt;&gt;"",Sector1!O520,"n.a.")</f>
        <v>43.290599999999998</v>
      </c>
      <c r="P88" s="3992">
        <f>IF(Sector1!P520&lt;&gt;"",Sector1!P520,"n.a.")</f>
        <v>45.0214</v>
      </c>
      <c r="Q88" s="3992">
        <f>IF(Sector1!Q520&lt;&gt;"",Sector1!Q520,"n.a.")</f>
        <v>46.677500000000002</v>
      </c>
      <c r="R88" s="3992">
        <f>IF(Sector1!R520&lt;&gt;"",Sector1!R520,"n.a.")</f>
        <v>48.273800000000001</v>
      </c>
      <c r="S88" s="3992">
        <f>IF(Sector1!S520&lt;&gt;"",Sector1!S520,"n.a.")</f>
        <v>50.788599999999995</v>
      </c>
      <c r="T88" s="3992">
        <f>IF(Sector1!T520&lt;&gt;"",Sector1!T520,"n.a.")</f>
        <v>54.066300000000005</v>
      </c>
      <c r="U88" s="3992">
        <f>IF(Sector1!U520&lt;&gt;"",Sector1!U520,"n.a.")</f>
        <v>58.194499999999998</v>
      </c>
      <c r="V88" s="3992">
        <f>IF(Sector1!V520&lt;&gt;"",Sector1!V520,"n.a.")</f>
        <v>59.719000000000001</v>
      </c>
      <c r="W88" s="3992">
        <f>IF(Sector1!W520&lt;&gt;"",Sector1!W520,"n.a.")</f>
        <v>62.197600000000001</v>
      </c>
      <c r="X88" s="3992">
        <f>IF(Sector1!X520&lt;&gt;"",Sector1!X520,"n.a.")</f>
        <v>65.408000000000001</v>
      </c>
      <c r="Y88" s="3992">
        <f>IF(Sector1!Y520&lt;&gt;"",Sector1!Y520,"n.a.")</f>
        <v>68.186899999999994</v>
      </c>
      <c r="Z88" s="3992">
        <f>IF(Sector1!Z520&lt;&gt;"",Sector1!Z520,"n.a.")</f>
        <v>69.181899999999999</v>
      </c>
      <c r="AA88" s="3992">
        <f>IF(Sector1!AA520&lt;&gt;"",Sector1!AA520,"n.a.")</f>
        <v>70.655699999999996</v>
      </c>
      <c r="AB88" s="3992">
        <f>IF(Sector1!AB520&lt;&gt;"",Sector1!AB520,"n.a.")</f>
        <v>72.838100000000011</v>
      </c>
      <c r="AC88" s="3992">
        <f>IF(Sector1!AC520&lt;&gt;"",Sector1!AC520,"n.a.")</f>
        <v>75.218399999999988</v>
      </c>
      <c r="AD88" s="3992">
        <f>IF(Sector1!AD520&lt;&gt;"",Sector1!AD520,"n.a.")</f>
        <v>77.422299119999991</v>
      </c>
      <c r="AE88" s="3992">
        <f>IF(Sector1!AE520&lt;&gt;"",Sector1!AE520,"n.a.")</f>
        <v>80.666293453127992</v>
      </c>
      <c r="AH88" s="3993"/>
      <c r="AI88" s="3993"/>
      <c r="AJ88" s="3993"/>
    </row>
    <row r="89" spans="1:36">
      <c r="A89" s="3992" t="str">
        <f t="shared" si="4"/>
        <v>\\DG ECFIN\Forecast\Country databases\Desk transfer databases\BE</v>
      </c>
      <c r="B89" s="3992" t="str">
        <f t="shared" si="5"/>
        <v>BE</v>
      </c>
      <c r="C89" s="3992" t="s">
        <v>2166</v>
      </c>
      <c r="D89" s="3992" t="s">
        <v>2247</v>
      </c>
      <c r="E89" s="3992" t="s">
        <v>2168</v>
      </c>
      <c r="F89" s="3992">
        <v>122</v>
      </c>
      <c r="G89" s="3992" t="s">
        <v>1926</v>
      </c>
      <c r="H89" s="3992">
        <f>IF(Sector1!H231&lt;&gt;"",Sector1!H231,"n.a.")</f>
        <v>18.371099999999998</v>
      </c>
      <c r="I89" s="3992">
        <f>IF(Sector1!I231&lt;&gt;"",Sector1!I231,"n.a.")</f>
        <v>17.513099999999998</v>
      </c>
      <c r="J89" s="3992">
        <f>IF(Sector1!J231&lt;&gt;"",Sector1!J231,"n.a.")</f>
        <v>17.3751</v>
      </c>
      <c r="K89" s="3992">
        <f>IF(Sector1!K231&lt;&gt;"",Sector1!K231,"n.a.")</f>
        <v>16.807099999999998</v>
      </c>
      <c r="L89" s="3992">
        <f>IF(Sector1!L231&lt;&gt;"",Sector1!L231,"n.a.")</f>
        <v>17.2136</v>
      </c>
      <c r="M89" s="3992">
        <f>IF(Sector1!M231&lt;&gt;"",Sector1!M231,"n.a.")</f>
        <v>17.370699999999999</v>
      </c>
      <c r="N89" s="3992">
        <f>IF(Sector1!N231&lt;&gt;"",Sector1!N231,"n.a.")</f>
        <v>15.9564</v>
      </c>
      <c r="O89" s="3992">
        <f>IF(Sector1!O231&lt;&gt;"",Sector1!O231,"n.a.")</f>
        <v>15.232200000000001</v>
      </c>
      <c r="P89" s="3992">
        <f>IF(Sector1!P231&lt;&gt;"",Sector1!P231,"n.a.")</f>
        <v>14.352799999999998</v>
      </c>
      <c r="Q89" s="3992">
        <f>IF(Sector1!Q231&lt;&gt;"",Sector1!Q231,"n.a.")</f>
        <v>13.5745</v>
      </c>
      <c r="R89" s="3992">
        <f>IF(Sector1!R231&lt;&gt;"",Sector1!R231,"n.a.")</f>
        <v>13.3719</v>
      </c>
      <c r="S89" s="3992">
        <f>IF(Sector1!S231&lt;&gt;"",Sector1!S231,"n.a.")</f>
        <v>13.7224</v>
      </c>
      <c r="T89" s="3992">
        <f>IF(Sector1!T231&lt;&gt;"",Sector1!T231,"n.a.")</f>
        <v>14.032299999999999</v>
      </c>
      <c r="U89" s="3992">
        <f>IF(Sector1!U231&lt;&gt;"",Sector1!U231,"n.a.")</f>
        <v>13.3378</v>
      </c>
      <c r="V89" s="3992">
        <f>IF(Sector1!V231&lt;&gt;"",Sector1!V231,"n.a.")</f>
        <v>13.1707</v>
      </c>
      <c r="W89" s="3992">
        <f>IF(Sector1!W231&lt;&gt;"",Sector1!W231,"n.a.")</f>
        <v>13.6379</v>
      </c>
      <c r="X89" s="3992">
        <f>IF(Sector1!X231&lt;&gt;"",Sector1!X231,"n.a.")</f>
        <v>13.969200000000001</v>
      </c>
      <c r="Y89" s="3992">
        <f>IF(Sector1!Y231&lt;&gt;"",Sector1!Y231,"n.a.")</f>
        <v>12.9718</v>
      </c>
      <c r="Z89" s="3992">
        <f>IF(Sector1!Z231&lt;&gt;"",Sector1!Z231,"n.a.")</f>
        <v>13.0557</v>
      </c>
      <c r="AA89" s="3992">
        <f>IF(Sector1!AA231&lt;&gt;"",Sector1!AA231,"n.a.")</f>
        <v>12.417399999999999</v>
      </c>
      <c r="AB89" s="3992">
        <f>IF(Sector1!AB231&lt;&gt;"",Sector1!AB231,"n.a.")</f>
        <v>12.116200000000001</v>
      </c>
      <c r="AC89" s="3992">
        <f>IF(Sector1!AC231&lt;&gt;"",Sector1!AC231,"n.a.")</f>
        <v>10.7761</v>
      </c>
      <c r="AD89" s="3992">
        <f>IF(Sector1!AD231&lt;&gt;"",Sector1!AD231,"n.a.")</f>
        <v>10.213587579999999</v>
      </c>
      <c r="AE89" s="3992">
        <f>IF(Sector1!AE231&lt;&gt;"",Sector1!AE231,"n.a.")</f>
        <v>10.148220619487999</v>
      </c>
    </row>
    <row r="90" spans="1:36">
      <c r="A90" s="3992" t="str">
        <f t="shared" si="4"/>
        <v>\\DG ECFIN\Forecast\Country databases\Desk transfer databases\BE</v>
      </c>
      <c r="B90" s="3992" t="str">
        <f t="shared" si="5"/>
        <v>BE</v>
      </c>
      <c r="C90" s="3992" t="s">
        <v>2166</v>
      </c>
      <c r="D90" s="3992" t="s">
        <v>2248</v>
      </c>
      <c r="E90" s="3992" t="s">
        <v>2168</v>
      </c>
      <c r="F90" s="3992">
        <v>123</v>
      </c>
      <c r="G90" s="3992" t="s">
        <v>630</v>
      </c>
      <c r="H90" s="3992">
        <f>IF(Sector1!H141&lt;&gt;"",Sector1!H141,"n.a.")</f>
        <v>4.2462</v>
      </c>
      <c r="I90" s="3992">
        <f>IF(Sector1!I141&lt;&gt;"",Sector1!I141,"n.a.")</f>
        <v>3.8410000000000002</v>
      </c>
      <c r="J90" s="3992">
        <f>IF(Sector1!J141&lt;&gt;"",Sector1!J141,"n.a.")</f>
        <v>4.1426999999999996</v>
      </c>
      <c r="K90" s="3992">
        <f>IF(Sector1!K141&lt;&gt;"",Sector1!K141,"n.a.")</f>
        <v>4.2998000000000003</v>
      </c>
      <c r="L90" s="3992">
        <f>IF(Sector1!L141&lt;&gt;"",Sector1!L141,"n.a.")</f>
        <v>4.3295000000000003</v>
      </c>
      <c r="M90" s="3992">
        <f>IF(Sector1!M141&lt;&gt;"",Sector1!M141,"n.a.")</f>
        <v>4.524</v>
      </c>
      <c r="N90" s="3992">
        <f>IF(Sector1!N141&lt;&gt;"",Sector1!N141,"n.a.")</f>
        <v>4.6268000000000002</v>
      </c>
      <c r="O90" s="3992">
        <f>IF(Sector1!O141&lt;&gt;"",Sector1!O141,"n.a.")</f>
        <v>5.1334999999999997</v>
      </c>
      <c r="P90" s="3992">
        <f>IF(Sector1!P141&lt;&gt;"",Sector1!P141,"n.a.")</f>
        <v>5.0979999999999999</v>
      </c>
      <c r="Q90" s="3992">
        <f>IF(Sector1!Q141&lt;&gt;"",Sector1!Q141,"n.a.")</f>
        <v>6.7347000000000001</v>
      </c>
      <c r="R90" s="3992">
        <f>IF(Sector1!R141&lt;&gt;"",Sector1!R141,"n.a.")</f>
        <v>7.9693000000000005</v>
      </c>
      <c r="S90" s="3992">
        <f>IF(Sector1!S141&lt;&gt;"",Sector1!S141,"n.a.")</f>
        <v>9.2723999999999993</v>
      </c>
      <c r="T90" s="3992">
        <f>IF(Sector1!T141&lt;&gt;"",Sector1!T141,"n.a.")</f>
        <v>10.2913</v>
      </c>
      <c r="U90" s="3992">
        <f>IF(Sector1!U141&lt;&gt;"",Sector1!U141,"n.a.")</f>
        <v>10.694900000000001</v>
      </c>
      <c r="V90" s="3992">
        <f>IF(Sector1!V141&lt;&gt;"",Sector1!V141,"n.a.")</f>
        <v>12.371499999999999</v>
      </c>
      <c r="W90" s="3992">
        <f>IF(Sector1!W141&lt;&gt;"",Sector1!W141,"n.a.")</f>
        <v>13.3751</v>
      </c>
      <c r="X90" s="3992">
        <f>IF(Sector1!X141&lt;&gt;"",Sector1!X141,"n.a.")</f>
        <v>13.308200000000001</v>
      </c>
      <c r="Y90" s="3992">
        <f>IF(Sector1!Y141&lt;&gt;"",Sector1!Y141,"n.a.")</f>
        <v>13.5905</v>
      </c>
      <c r="Z90" s="3992">
        <f>IF(Sector1!Z141&lt;&gt;"",Sector1!Z141,"n.a.")</f>
        <v>14.005100000000001</v>
      </c>
      <c r="AA90" s="3992">
        <f>IF(Sector1!AA141&lt;&gt;"",Sector1!AA141,"n.a.")</f>
        <v>14.058200000000001</v>
      </c>
      <c r="AB90" s="3992">
        <f>IF(Sector1!AB141&lt;&gt;"",Sector1!AB141,"n.a.")</f>
        <v>14.2582</v>
      </c>
      <c r="AC90" s="3992">
        <f>IF(Sector1!AC141&lt;&gt;"",Sector1!AC141,"n.a.")</f>
        <v>14.704700000000001</v>
      </c>
      <c r="AD90" s="3992">
        <f>IF(Sector1!AD141&lt;&gt;"",Sector1!AD141,"n.a.")</f>
        <v>14.200035728075999</v>
      </c>
      <c r="AE90" s="3992">
        <f>IF(Sector1!AE141&lt;&gt;"",Sector1!AE141,"n.a.")</f>
        <v>14.515967078272361</v>
      </c>
    </row>
    <row r="91" spans="1:36">
      <c r="A91" s="3992" t="str">
        <f t="shared" si="4"/>
        <v>\\DG ECFIN\Forecast\Country databases\Desk transfer databases\BE</v>
      </c>
      <c r="B91" s="3992" t="str">
        <f t="shared" si="5"/>
        <v>BE</v>
      </c>
      <c r="C91" s="3992" t="s">
        <v>2166</v>
      </c>
      <c r="D91" s="3992" t="s">
        <v>2249</v>
      </c>
      <c r="E91" s="3992" t="s">
        <v>2168</v>
      </c>
      <c r="F91" s="3992">
        <v>124</v>
      </c>
      <c r="G91" s="3992" t="s">
        <v>631</v>
      </c>
      <c r="H91" s="3992">
        <f>IF(Sector1!H1107&lt;&gt;"",Sector1!H1107,"n.a.")</f>
        <v>4.1439000000000012</v>
      </c>
      <c r="I91" s="3992">
        <f>IF(Sector1!I1107&lt;&gt;"",Sector1!I1107,"n.a.")</f>
        <v>4.3816000000000033</v>
      </c>
      <c r="J91" s="3992">
        <f>IF(Sector1!J1107&lt;&gt;"",Sector1!J1107,"n.a.")</f>
        <v>4.5325000000000006</v>
      </c>
      <c r="K91" s="3992">
        <f>IF(Sector1!K1107&lt;&gt;"",Sector1!K1107,"n.a.")</f>
        <v>4.6358000000000024</v>
      </c>
      <c r="L91" s="3992">
        <f>IF(Sector1!L1107&lt;&gt;"",Sector1!L1107,"n.a.")</f>
        <v>4.7740000000000018</v>
      </c>
      <c r="M91" s="3992">
        <f>IF(Sector1!M1107&lt;&gt;"",Sector1!M1107,"n.a.")</f>
        <v>4.9970999999999997</v>
      </c>
      <c r="N91" s="3992">
        <f>IF(Sector1!N1107&lt;&gt;"",Sector1!N1107,"n.a.")</f>
        <v>5.0760000000000014</v>
      </c>
      <c r="O91" s="3992">
        <f>IF(Sector1!O1107&lt;&gt;"",Sector1!O1107,"n.a.")</f>
        <v>5.556899999999998</v>
      </c>
      <c r="P91" s="3992">
        <f>IF(Sector1!P1107&lt;&gt;"",Sector1!P1107,"n.a.")</f>
        <v>5.9263000000000003</v>
      </c>
      <c r="Q91" s="3992">
        <f>IF(Sector1!Q1107&lt;&gt;"",Sector1!Q1107,"n.a.")</f>
        <v>6.3077000000000005</v>
      </c>
      <c r="R91" s="3992">
        <f>IF(Sector1!R1107&lt;&gt;"",Sector1!R1107,"n.a.")</f>
        <v>6.3802000000000012</v>
      </c>
      <c r="S91" s="3992">
        <f>IF(Sector1!S1107&lt;&gt;"",Sector1!S1107,"n.a.")</f>
        <v>6.0144999999999991</v>
      </c>
      <c r="T91" s="3992">
        <f>IF(Sector1!T1107&lt;&gt;"",Sector1!T1107,"n.a.")</f>
        <v>6.5327000000000011</v>
      </c>
      <c r="U91" s="3992">
        <f>IF(Sector1!U1107&lt;&gt;"",Sector1!U1107,"n.a.")</f>
        <v>7.7227000000000006</v>
      </c>
      <c r="V91" s="3992">
        <f>IF(Sector1!V1107&lt;&gt;"",Sector1!V1107,"n.a.")</f>
        <v>7.7113999999999985</v>
      </c>
      <c r="W91" s="3992">
        <f>IF(Sector1!W1107&lt;&gt;"",Sector1!W1107,"n.a.")</f>
        <v>8.0143000000000004</v>
      </c>
      <c r="X91" s="3992">
        <f>IF(Sector1!X1107&lt;&gt;"",Sector1!X1107,"n.a.")</f>
        <v>8.3078000000000003</v>
      </c>
      <c r="Y91" s="3992">
        <f>IF(Sector1!Y1107&lt;&gt;"",Sector1!Y1107,"n.a.")</f>
        <v>8.5198999999999998</v>
      </c>
      <c r="Z91" s="3992">
        <f>IF(Sector1!Z1107&lt;&gt;"",Sector1!Z1107,"n.a.")</f>
        <v>8.3724999999999987</v>
      </c>
      <c r="AA91" s="3992">
        <f>IF(Sector1!AA1107&lt;&gt;"",Sector1!AA1107,"n.a.")</f>
        <v>8.444700000000001</v>
      </c>
      <c r="AB91" s="3992">
        <f>IF(Sector1!AB1107&lt;&gt;"",Sector1!AB1107,"n.a.")</f>
        <v>9.2129999999999992</v>
      </c>
      <c r="AC91" s="3992">
        <f>IF(Sector1!AC1107&lt;&gt;"",Sector1!AC1107,"n.a.")</f>
        <v>7.992</v>
      </c>
      <c r="AD91" s="3992">
        <f>IF(Sector1!AD1107&lt;&gt;"",Sector1!AD1107,"n.a.")</f>
        <v>8.7951990599999998</v>
      </c>
      <c r="AE91" s="3992">
        <f>IF(Sector1!AE1107&lt;&gt;"",Sector1!AE1107,"n.a.")</f>
        <v>9.1389875630579986</v>
      </c>
    </row>
    <row r="92" spans="1:36">
      <c r="A92" s="3992" t="str">
        <f t="shared" si="4"/>
        <v>\\DG ECFIN\Forecast\Country databases\Desk transfer databases\BE</v>
      </c>
      <c r="B92" s="3992" t="str">
        <f t="shared" si="5"/>
        <v>BE</v>
      </c>
      <c r="C92" s="3992" t="s">
        <v>2166</v>
      </c>
      <c r="D92" s="3992" t="s">
        <v>2250</v>
      </c>
      <c r="E92" s="3992" t="s">
        <v>2168</v>
      </c>
      <c r="F92" s="3992">
        <v>125</v>
      </c>
      <c r="G92" s="3992" t="s">
        <v>705</v>
      </c>
      <c r="H92" s="3992">
        <f>IF(Sector1!H791&lt;&gt;"",Sector1!H791,"n.a.")</f>
        <v>0.98170000000000002</v>
      </c>
      <c r="I92" s="3992">
        <f>IF(Sector1!I791&lt;&gt;"",Sector1!I791,"n.a.")</f>
        <v>1.343</v>
      </c>
      <c r="J92" s="3992">
        <f>IF(Sector1!J791&lt;&gt;"",Sector1!J791,"n.a.")</f>
        <v>1.0617000000000001</v>
      </c>
      <c r="K92" s="3992">
        <f>IF(Sector1!K791&lt;&gt;"",Sector1!K791,"n.a.")</f>
        <v>1.5146999999999999</v>
      </c>
      <c r="L92" s="3992">
        <f>IF(Sector1!L791&lt;&gt;"",Sector1!L791,"n.a.")</f>
        <v>1.3299000000000001</v>
      </c>
      <c r="M92" s="3992">
        <f>IF(Sector1!M791&lt;&gt;"",Sector1!M791,"n.a.")</f>
        <v>1.4684999999999999</v>
      </c>
      <c r="N92" s="3992">
        <f>IF(Sector1!N791&lt;&gt;"",Sector1!N791,"n.a.")</f>
        <v>1.4493</v>
      </c>
      <c r="O92" s="3992">
        <f>IF(Sector1!O791&lt;&gt;"",Sector1!O791,"n.a.")</f>
        <v>1.6645000000000001</v>
      </c>
      <c r="P92" s="3992">
        <f>IF(Sector1!P791&lt;&gt;"",Sector1!P791,"n.a.")</f>
        <v>2.3925999999999998</v>
      </c>
      <c r="Q92" s="3992">
        <f>IF(Sector1!Q791&lt;&gt;"",Sector1!Q791,"n.a.")</f>
        <v>2.2986</v>
      </c>
      <c r="R92" s="3992">
        <f>IF(Sector1!R791&lt;&gt;"",Sector1!R791,"n.a.")</f>
        <v>2.4186000000000001</v>
      </c>
      <c r="S92" s="3992">
        <f>IF(Sector1!S791&lt;&gt;"",Sector1!S791,"n.a.")</f>
        <v>2.3709000000000002</v>
      </c>
      <c r="T92" s="3992">
        <f>IF(Sector1!T791&lt;&gt;"",Sector1!T791,"n.a.")</f>
        <v>2.5333000000000001</v>
      </c>
      <c r="U92" s="3992">
        <f>IF(Sector1!U791&lt;&gt;"",Sector1!U791,"n.a.")</f>
        <v>2.4221999999999997</v>
      </c>
      <c r="V92" s="3992">
        <f>IF(Sector1!V791&lt;&gt;"",Sector1!V791,"n.a.")</f>
        <v>2.8083</v>
      </c>
      <c r="W92" s="3992">
        <f>IF(Sector1!W791&lt;&gt;"",Sector1!W791,"n.a.")</f>
        <v>3.0455000000000001</v>
      </c>
      <c r="X92" s="3992">
        <f>IF(Sector1!X791&lt;&gt;"",Sector1!X791,"n.a.")</f>
        <v>3.8515000000000001</v>
      </c>
      <c r="Y92" s="3992">
        <f>IF(Sector1!Y791&lt;&gt;"",Sector1!Y791,"n.a.")</f>
        <v>4.4988999999999999</v>
      </c>
      <c r="Z92" s="3992">
        <f>IF(Sector1!Z791&lt;&gt;"",Sector1!Z791,"n.a.")</f>
        <v>4.1254</v>
      </c>
      <c r="AA92" s="3992">
        <f>IF(Sector1!AA791&lt;&gt;"",Sector1!AA791,"n.a.")</f>
        <v>3.8383000000000003</v>
      </c>
      <c r="AB92" s="3992">
        <f>IF(Sector1!AB791&lt;&gt;"",Sector1!AB791,"n.a.")</f>
        <v>3.9711999999999996</v>
      </c>
      <c r="AC92" s="3992">
        <f>IF(Sector1!AC791&lt;&gt;"",Sector1!AC791,"n.a.")</f>
        <v>4.0526999999999997</v>
      </c>
      <c r="AD92" s="3992">
        <f>IF(Sector1!AD791&lt;&gt;"",Sector1!AD791,"n.a.")</f>
        <v>4.1563048756164438</v>
      </c>
      <c r="AE92" s="3992">
        <f>IF(Sector1!AE791&lt;&gt;"",Sector1!AE791,"n.a.")</f>
        <v>4.4328693364110183</v>
      </c>
    </row>
    <row r="93" spans="1:36">
      <c r="A93" s="3992" t="str">
        <f t="shared" si="4"/>
        <v>\\DG ECFIN\Forecast\Country databases\Desk transfer databases\BE</v>
      </c>
      <c r="B93" s="3992" t="str">
        <f t="shared" si="5"/>
        <v>BE</v>
      </c>
      <c r="C93" s="3992" t="s">
        <v>2166</v>
      </c>
      <c r="D93" s="3992" t="s">
        <v>2251</v>
      </c>
      <c r="E93" s="3992" t="s">
        <v>2168</v>
      </c>
      <c r="F93" s="3992">
        <v>126</v>
      </c>
      <c r="G93" s="3992" t="s">
        <v>706</v>
      </c>
      <c r="H93" s="3992">
        <f>IF('VVP2'!H237&lt;&gt;"",'VVP2'!H237,"n.a.")</f>
        <v>4.6556000000000006</v>
      </c>
      <c r="I93" s="3992">
        <f>IF('VVP2'!I237&lt;&gt;"",'VVP2'!I237,"n.a.")</f>
        <v>4.9722</v>
      </c>
      <c r="J93" s="3992">
        <f>IF('VVP2'!J237&lt;&gt;"",'VVP2'!J237,"n.a.")</f>
        <v>5.0324</v>
      </c>
      <c r="K93" s="3992">
        <f>IF('VVP2'!K237&lt;&gt;"",'VVP2'!K237,"n.a.")</f>
        <v>5.9561999999999999</v>
      </c>
      <c r="L93" s="3992">
        <f>IF('VVP2'!L237&lt;&gt;"",'VVP2'!L237,"n.a.")</f>
        <v>6.2696999999999994</v>
      </c>
      <c r="M93" s="3992">
        <f>IF('VVP2'!M237&lt;&gt;"",'VVP2'!M237,"n.a.")</f>
        <v>5.7919999999999998</v>
      </c>
      <c r="N93" s="3992">
        <f>IF('VVP2'!N237&lt;&gt;"",'VVP2'!N237,"n.a.")</f>
        <v>5.8331</v>
      </c>
      <c r="O93" s="3992">
        <f>IF('VVP2'!O237&lt;&gt;"",'VVP2'!O237,"n.a.")</f>
        <v>6.0922999999999998</v>
      </c>
      <c r="P93" s="3992">
        <f>IF('VVP2'!P237&lt;&gt;"",'VVP2'!P237,"n.a.")</f>
        <v>6.1935000000000002</v>
      </c>
      <c r="Q93" s="3992">
        <f>IF('VVP2'!Q237&lt;&gt;"",'VVP2'!Q237,"n.a.")</f>
        <v>6.6242000000000001</v>
      </c>
      <c r="R93" s="3992">
        <f>IF('VVP2'!R237&lt;&gt;"",'VVP2'!R237,"n.a.")</f>
        <v>6.4175000000000004</v>
      </c>
      <c r="S93" s="3992">
        <f>IF('VVP2'!S237&lt;&gt;"",'VVP2'!S237,"n.a.")</f>
        <v>7.0301</v>
      </c>
      <c r="T93" s="3992">
        <f>IF('VVP2'!T237&lt;&gt;"",'VVP2'!T237,"n.a.")</f>
        <v>7.4166999999999996</v>
      </c>
      <c r="U93" s="3992">
        <f>IF('VVP2'!U237&lt;&gt;"",'VVP2'!U237,"n.a.")</f>
        <v>8.1306000000000012</v>
      </c>
      <c r="V93" s="3992">
        <f>IF('VVP2'!V237&lt;&gt;"",'VVP2'!V237,"n.a.")</f>
        <v>8.3940000000000001</v>
      </c>
      <c r="W93" s="3992">
        <f>IF('VVP2'!W237&lt;&gt;"",'VVP2'!W237,"n.a.")</f>
        <v>9.2747000000000011</v>
      </c>
      <c r="X93" s="3992">
        <f>IF('VVP2'!X237&lt;&gt;"",'VVP2'!X237,"n.a.")</f>
        <v>9.6434999999999995</v>
      </c>
      <c r="Y93" s="3992">
        <f>IF('VVP2'!Y237&lt;&gt;"",'VVP2'!Y237,"n.a.")</f>
        <v>9.2502999999999993</v>
      </c>
      <c r="Z93" s="3992">
        <f>IF('VVP2'!Z237&lt;&gt;"",'VVP2'!Z237,"n.a.")</f>
        <v>9.3675999999999995</v>
      </c>
      <c r="AA93" s="3992">
        <f>IF('VVP2'!AA237&lt;&gt;"",'VVP2'!AA237,"n.a.")</f>
        <v>9.4318999999999988</v>
      </c>
      <c r="AB93" s="3992">
        <f>IF('VVP2'!AB237&lt;&gt;"",'VVP2'!AB237,"n.a.")</f>
        <v>9.3502999999999989</v>
      </c>
      <c r="AC93" s="3992">
        <f>IF('VVP2'!AC237&lt;&gt;"",'VVP2'!AC237,"n.a.")</f>
        <v>9.704600000000001</v>
      </c>
      <c r="AD93" s="3992">
        <f ca="1">IF('VVP2'!AD237&lt;&gt;"",'VVP2'!AD237,"n.a.")</f>
        <v>10.871496631360001</v>
      </c>
      <c r="AE93" s="3992">
        <f ca="1">IF('VVP2'!AE237&lt;&gt;"",'VVP2'!AE237,"n.a.")</f>
        <v>11.698817525006499</v>
      </c>
    </row>
    <row r="94" spans="1:36">
      <c r="A94" s="3992" t="str">
        <f t="shared" si="4"/>
        <v>\\DG ECFIN\Forecast\Country databases\Desk transfer databases\BE</v>
      </c>
      <c r="B94" s="3992" t="str">
        <f t="shared" si="5"/>
        <v>BE</v>
      </c>
      <c r="C94" s="3992" t="s">
        <v>2166</v>
      </c>
      <c r="D94" s="3992" t="s">
        <v>2252</v>
      </c>
      <c r="E94" s="3992" t="s">
        <v>2168</v>
      </c>
      <c r="F94" s="3992">
        <v>127</v>
      </c>
      <c r="G94" s="3992" t="s">
        <v>482</v>
      </c>
      <c r="H94" s="3992">
        <f>IF(Sector1!H1113&lt;&gt;"",Sector1!H1113,"n.a.")</f>
        <v>2.5269999999999997</v>
      </c>
      <c r="I94" s="3992">
        <f>IF(Sector1!I1113&lt;&gt;"",Sector1!I1113,"n.a.")</f>
        <v>3.1915</v>
      </c>
      <c r="J94" s="3992">
        <f>IF(Sector1!J1113&lt;&gt;"",Sector1!J1113,"n.a.")</f>
        <v>3.1976</v>
      </c>
      <c r="K94" s="3992">
        <f>IF(Sector1!K1113&lt;&gt;"",Sector1!K1113,"n.a.")</f>
        <v>3.1328999999999998</v>
      </c>
      <c r="L94" s="3992">
        <f>IF(Sector1!L1113&lt;&gt;"",Sector1!L1113,"n.a.")</f>
        <v>3.2803999999999998</v>
      </c>
      <c r="M94" s="3992">
        <f>IF(Sector1!M1113&lt;&gt;"",Sector1!M1113,"n.a.")</f>
        <v>2.7313999999999998</v>
      </c>
      <c r="N94" s="3992">
        <f>IF(Sector1!N1113&lt;&gt;"",Sector1!N1113,"n.a.")</f>
        <v>2.3782999999999994</v>
      </c>
      <c r="O94" s="3992">
        <f>IF(Sector1!O1113&lt;&gt;"",Sector1!O1113,"n.a.")</f>
        <v>4.1710000000000003</v>
      </c>
      <c r="P94" s="3992">
        <f>IF(Sector1!P1113&lt;&gt;"",Sector1!P1113,"n.a.")</f>
        <v>2.7662</v>
      </c>
      <c r="Q94" s="3992">
        <f>IF(Sector1!Q1113&lt;&gt;"",Sector1!Q1113,"n.a.")</f>
        <v>10.956300000000001</v>
      </c>
      <c r="R94" s="3992">
        <f>IF(Sector1!R1113&lt;&gt;"",Sector1!R1113,"n.a.")</f>
        <v>3.4842</v>
      </c>
      <c r="S94" s="3992">
        <f>IF(Sector1!S1113&lt;&gt;"",Sector1!S1113,"n.a.")</f>
        <v>4.2848999999999995</v>
      </c>
      <c r="T94" s="3992">
        <f>IF(Sector1!T1113&lt;&gt;"",Sector1!T1113,"n.a.")</f>
        <v>4.8019999999999996</v>
      </c>
      <c r="U94" s="3992">
        <f>IF(Sector1!U1113&lt;&gt;"",Sector1!U1113,"n.a.")</f>
        <v>5.3352000000000004</v>
      </c>
      <c r="V94" s="3992">
        <f>IF(Sector1!V1113&lt;&gt;"",Sector1!V1113,"n.a.")</f>
        <v>5.5805999999999996</v>
      </c>
      <c r="W94" s="3992">
        <f>IF(Sector1!W1113&lt;&gt;"",Sector1!W1113,"n.a.")</f>
        <v>7.9075999999999995</v>
      </c>
      <c r="X94" s="3992">
        <f>IF(Sector1!X1113&lt;&gt;"",Sector1!X1113,"n.a.")</f>
        <v>9.9792000000000005</v>
      </c>
      <c r="Y94" s="3992">
        <f>IF(Sector1!Y1113&lt;&gt;"",Sector1!Y1113,"n.a.")</f>
        <v>8.0727999999999991</v>
      </c>
      <c r="Z94" s="3992">
        <f>IF(Sector1!Z1113&lt;&gt;"",Sector1!Z1113,"n.a.")</f>
        <v>7.0946999999999996</v>
      </c>
      <c r="AA94" s="3992">
        <f>IF(Sector1!AA1113&lt;&gt;"",Sector1!AA1113,"n.a.")</f>
        <v>5.2461000000000002</v>
      </c>
      <c r="AB94" s="3992">
        <f>IF(Sector1!AB1113&lt;&gt;"",Sector1!AB1113,"n.a.")</f>
        <v>4.6873000000000005</v>
      </c>
      <c r="AC94" s="3992">
        <f>IF(Sector1!AC1113&lt;&gt;"",Sector1!AC1113,"n.a.")</f>
        <v>4.3071999999999999</v>
      </c>
      <c r="AD94" s="3992">
        <f>IF(Sector1!AD1113&lt;&gt;"",Sector1!AD1113,"n.a.")</f>
        <v>3.8738627361122964</v>
      </c>
      <c r="AE94" s="3992">
        <f>IF(Sector1!AE1113&lt;&gt;"",Sector1!AE1113,"n.a.")</f>
        <v>3.8482905818873321</v>
      </c>
    </row>
    <row r="95" spans="1:36">
      <c r="A95" s="3992" t="str">
        <f t="shared" si="4"/>
        <v>\\DG ECFIN\Forecast\Country databases\Desk transfer databases\BE</v>
      </c>
      <c r="B95" s="3992" t="str">
        <f t="shared" si="5"/>
        <v>BE</v>
      </c>
      <c r="C95" s="3992" t="s">
        <v>2166</v>
      </c>
      <c r="D95" s="3992" t="s">
        <v>2253</v>
      </c>
      <c r="E95" s="3992" t="s">
        <v>2168</v>
      </c>
      <c r="F95" s="3992">
        <v>128</v>
      </c>
      <c r="G95" s="3992" t="s">
        <v>1568</v>
      </c>
      <c r="H95" s="3992">
        <f>IF(Sector1!H936&lt;&gt;"",Sector1!H936,"n.a.")</f>
        <v>276.34899999999999</v>
      </c>
      <c r="I95" s="3992">
        <f>IF(Sector1!I936&lt;&gt;"",Sector1!I936,"n.a.")</f>
        <v>278.40659999999997</v>
      </c>
      <c r="J95" s="3992">
        <f>IF(Sector1!J936&lt;&gt;"",Sector1!J936,"n.a.")</f>
        <v>277.15859999999998</v>
      </c>
      <c r="K95" s="3992">
        <f>IF(Sector1!K936&lt;&gt;"",Sector1!K936,"n.a.")</f>
        <v>279.43509999999998</v>
      </c>
      <c r="L95" s="3992">
        <f>IF(Sector1!L936&lt;&gt;"",Sector1!L936,"n.a.")</f>
        <v>280.87</v>
      </c>
      <c r="M95" s="3992">
        <f>IF(Sector1!M936&lt;&gt;"",Sector1!M936,"n.a.")</f>
        <v>285.97000000000003</v>
      </c>
      <c r="N95" s="3992">
        <f>IF(Sector1!N936&lt;&gt;"",Sector1!N936,"n.a.")</f>
        <v>288.02800000000002</v>
      </c>
      <c r="O95" s="3992">
        <f>IF(Sector1!O936&lt;&gt;"",Sector1!O936,"n.a.")</f>
        <v>285.78800000000001</v>
      </c>
      <c r="P95" s="3992">
        <f>IF(Sector1!P936&lt;&gt;"",Sector1!P936,"n.a.")</f>
        <v>288.33</v>
      </c>
      <c r="Q95" s="3992">
        <f>IF(Sector1!Q936&lt;&gt;"",Sector1!Q936,"n.a.")</f>
        <v>294.90499999999997</v>
      </c>
      <c r="R95" s="3992">
        <f>IF(Sector1!R936&lt;&gt;"",Sector1!R936,"n.a.")</f>
        <v>297.42700000000002</v>
      </c>
      <c r="S95" s="3992">
        <f>IF(Sector1!S936&lt;&gt;"",Sector1!S936,"n.a.")</f>
        <v>299.99799999999999</v>
      </c>
      <c r="T95" s="3992">
        <f>IF(Sector1!T936&lt;&gt;"",Sector1!T936,"n.a.")</f>
        <v>327.62799999999999</v>
      </c>
      <c r="U95" s="3992">
        <f>IF(Sector1!U936&lt;&gt;"",Sector1!U936,"n.a.")</f>
        <v>347.17099999999999</v>
      </c>
      <c r="V95" s="3992">
        <f>IF(Sector1!V936&lt;&gt;"",Sector1!V936,"n.a.")</f>
        <v>364.08300000000003</v>
      </c>
      <c r="W95" s="3992">
        <f>IF(Sector1!W936&lt;&gt;"",Sector1!W936,"n.a.")</f>
        <v>388.93799999999999</v>
      </c>
      <c r="X95" s="3992">
        <f>IF(Sector1!X936&lt;&gt;"",Sector1!X936,"n.a.")</f>
        <v>404.29300000000001</v>
      </c>
      <c r="Y95" s="3992">
        <f>IF(Sector1!Y936&lt;&gt;"",Sector1!Y936,"n.a.")</f>
        <v>413.733</v>
      </c>
      <c r="Z95" s="3992">
        <f>IF(Sector1!Z936&lt;&gt;"",Sector1!Z936,"n.a.")</f>
        <v>428.1224603</v>
      </c>
      <c r="AA95" s="3992">
        <f>IF(Sector1!AA936&lt;&gt;"",Sector1!AA936,"n.a.")</f>
        <v>435.31235900000001</v>
      </c>
      <c r="AB95" s="3992">
        <f>IF(Sector1!AB936&lt;&gt;"",Sector1!AB936,"n.a.")</f>
        <v>448.16092609999998</v>
      </c>
      <c r="AC95" s="3992">
        <f>IF(Sector1!AC936&lt;&gt;"",Sector1!AC936,"n.a.")</f>
        <v>452.17036289999999</v>
      </c>
      <c r="AD95" s="3992">
        <f ca="1">IF(Sector1!AD936&lt;&gt;"",Sector1!AD936,"n.a.")</f>
        <v>460.39291977571952</v>
      </c>
      <c r="AE95" s="3992">
        <f ca="1">IF(Sector1!AE936&lt;&gt;"",Sector1!AE936,"n.a.")</f>
        <v>469.91404459935643</v>
      </c>
    </row>
    <row r="96" spans="1:36">
      <c r="A96" s="3992" t="str">
        <f t="shared" si="4"/>
        <v>\\DG ECFIN\Forecast\Country databases\Desk transfer databases\BE</v>
      </c>
      <c r="B96" s="3992" t="str">
        <f t="shared" si="5"/>
        <v>BE</v>
      </c>
      <c r="C96" s="3992" t="s">
        <v>2166</v>
      </c>
      <c r="D96" s="3992" t="s">
        <v>2254</v>
      </c>
      <c r="E96" s="3992" t="s">
        <v>2168</v>
      </c>
      <c r="F96" s="3992">
        <v>129</v>
      </c>
      <c r="G96" s="3992" t="s">
        <v>233</v>
      </c>
      <c r="H96" s="3992">
        <f>IF(Sector1!H1003&lt;&gt;"",Sector1!H1003,"n.a.")</f>
        <v>113.7285</v>
      </c>
      <c r="I96" s="3992">
        <f>IF(Sector1!I1003&lt;&gt;"",Sector1!I1003,"n.a.")</f>
        <v>115.77849999999999</v>
      </c>
      <c r="J96" s="3992">
        <f>IF(Sector1!J1003&lt;&gt;"",Sector1!J1003,"n.a.")</f>
        <v>118.5582</v>
      </c>
      <c r="K96" s="3992">
        <f>IF(Sector1!K1003&lt;&gt;"",Sector1!K1003,"n.a.")</f>
        <v>122.2803</v>
      </c>
      <c r="L96" s="3992">
        <f>IF(Sector1!L1003&lt;&gt;"",Sector1!L1003,"n.a.")</f>
        <v>126.66369999999999</v>
      </c>
      <c r="M96" s="3992">
        <f>IF(Sector1!M1003&lt;&gt;"",Sector1!M1003,"n.a.")</f>
        <v>130.73589999999999</v>
      </c>
      <c r="N96" s="3992">
        <f>IF(Sector1!N1003&lt;&gt;"",Sector1!N1003,"n.a.")</f>
        <v>136.1754</v>
      </c>
      <c r="O96" s="3992">
        <f>IF(Sector1!O1003&lt;&gt;"",Sector1!O1003,"n.a.")</f>
        <v>143.33789999999999</v>
      </c>
      <c r="P96" s="3992">
        <f>IF(Sector1!P1003&lt;&gt;"",Sector1!P1003,"n.a.")</f>
        <v>146.1678</v>
      </c>
      <c r="Q96" s="3992">
        <f>IF(Sector1!Q1003&lt;&gt;"",Sector1!Q1003,"n.a.")</f>
        <v>160.8108</v>
      </c>
      <c r="R96" s="3992">
        <f>IF(Sector1!R1003&lt;&gt;"",Sector1!R1003,"n.a.")</f>
        <v>158.27089999999998</v>
      </c>
      <c r="S96" s="3992">
        <f>IF(Sector1!S1003&lt;&gt;"",Sector1!S1003,"n.a.")</f>
        <v>166.32029999999997</v>
      </c>
      <c r="T96" s="3992">
        <f>IF(Sector1!T1003&lt;&gt;"",Sector1!T1003,"n.a.")</f>
        <v>178.02689999999998</v>
      </c>
      <c r="U96" s="3992">
        <f>IF(Sector1!U1003&lt;&gt;"",Sector1!U1003,"n.a.")</f>
        <v>188.8655</v>
      </c>
      <c r="V96" s="3992">
        <f>IF(Sector1!V1003&lt;&gt;"",Sector1!V1003,"n.a.")</f>
        <v>194.7499</v>
      </c>
      <c r="W96" s="3992">
        <f>IF(Sector1!W1003&lt;&gt;"",Sector1!W1003,"n.a.")</f>
        <v>206.4332</v>
      </c>
      <c r="X96" s="3992">
        <f>IF(Sector1!X1003&lt;&gt;"",Sector1!X1003,"n.a.")</f>
        <v>216.47910000000002</v>
      </c>
      <c r="Y96" s="3992">
        <f>IF(Sector1!Y1003&lt;&gt;"",Sector1!Y1003,"n.a.")</f>
        <v>219.0624</v>
      </c>
      <c r="Z96" s="3992">
        <f>IF(Sector1!Z1003&lt;&gt;"",Sector1!Z1003,"n.a.")</f>
        <v>221.07249999999999</v>
      </c>
      <c r="AA96" s="3992">
        <f>IF(Sector1!AA1003&lt;&gt;"",Sector1!AA1003,"n.a.")</f>
        <v>220.92260000000002</v>
      </c>
      <c r="AB96" s="3992">
        <f>IF(Sector1!AB1003&lt;&gt;"",Sector1!AB1003,"n.a.")</f>
        <v>225.24799999999999</v>
      </c>
      <c r="AC96" s="3992">
        <f>IF(Sector1!AC1003&lt;&gt;"",Sector1!AC1003,"n.a.")</f>
        <v>228.9761</v>
      </c>
      <c r="AD96" s="3992">
        <f ca="1">IF(Sector1!AD1003&lt;&gt;"",Sector1!AD1003,"n.a.")</f>
        <v>234.62924064118494</v>
      </c>
      <c r="AE96" s="3992">
        <f ca="1">IF(Sector1!AE1003&lt;&gt;"",Sector1!AE1003,"n.a.")</f>
        <v>242.75679352518011</v>
      </c>
    </row>
    <row r="97" spans="1:31">
      <c r="A97" s="3992" t="str">
        <f t="shared" si="4"/>
        <v>\\DG ECFIN\Forecast\Country databases\Desk transfer databases\BE</v>
      </c>
      <c r="B97" s="3992" t="str">
        <f t="shared" si="5"/>
        <v>BE</v>
      </c>
      <c r="C97" s="3992" t="s">
        <v>2166</v>
      </c>
      <c r="D97" s="3992" t="s">
        <v>2255</v>
      </c>
      <c r="E97" s="3992" t="s">
        <v>2168</v>
      </c>
      <c r="F97" s="3992">
        <v>130</v>
      </c>
      <c r="G97" s="3992" t="s">
        <v>2000</v>
      </c>
      <c r="H97" s="3992">
        <f>IF(Sector1!H788&lt;&gt;"",Sector1!H788,"n.a.")</f>
        <v>0.83029999999999993</v>
      </c>
      <c r="I97" s="3992">
        <f>IF(Sector1!I788&lt;&gt;"",Sector1!I788,"n.a.")</f>
        <v>0.81599999999999995</v>
      </c>
      <c r="J97" s="3992">
        <f>IF(Sector1!J788&lt;&gt;"",Sector1!J788,"n.a.")</f>
        <v>0.95620000000000005</v>
      </c>
      <c r="K97" s="3992">
        <f>IF(Sector1!K788&lt;&gt;"",Sector1!K788,"n.a.")</f>
        <v>1.0222</v>
      </c>
      <c r="L97" s="3992">
        <f>IF(Sector1!L788&lt;&gt;"",Sector1!L788,"n.a.")</f>
        <v>1.1747999999999998</v>
      </c>
      <c r="M97" s="3992">
        <f>IF(Sector1!M788&lt;&gt;"",Sector1!M788,"n.a.")</f>
        <v>1.2061999999999999</v>
      </c>
      <c r="N97" s="3992">
        <f>IF(Sector1!N788&lt;&gt;"",Sector1!N788,"n.a.")</f>
        <v>1.2559</v>
      </c>
      <c r="O97" s="3992">
        <f>IF(Sector1!O788&lt;&gt;"",Sector1!O788,"n.a.")</f>
        <v>1.3904000000000001</v>
      </c>
      <c r="P97" s="3992">
        <f>IF(Sector1!P788&lt;&gt;"",Sector1!P788,"n.a.")</f>
        <v>2.1766000000000001</v>
      </c>
      <c r="Q97" s="3992">
        <f>IF(Sector1!Q788&lt;&gt;"",Sector1!Q788,"n.a.")</f>
        <v>1.8728</v>
      </c>
      <c r="R97" s="3992">
        <f>IF(Sector1!R788&lt;&gt;"",Sector1!R788,"n.a.")</f>
        <v>2.1533000000000002</v>
      </c>
      <c r="S97" s="3992">
        <f>IF(Sector1!S788&lt;&gt;"",Sector1!S788,"n.a.")</f>
        <v>2.2157</v>
      </c>
      <c r="T97" s="3992">
        <f>IF(Sector1!T788&lt;&gt;"",Sector1!T788,"n.a.")</f>
        <v>2.3700999999999999</v>
      </c>
      <c r="U97" s="3992">
        <f>IF(Sector1!U788&lt;&gt;"",Sector1!U788,"n.a.")</f>
        <v>2.2346999999999997</v>
      </c>
      <c r="V97" s="3992">
        <f>IF(Sector1!V788&lt;&gt;"",Sector1!V788,"n.a.")</f>
        <v>2.5963000000000003</v>
      </c>
      <c r="W97" s="3992">
        <f>IF(Sector1!W788&lt;&gt;"",Sector1!W788,"n.a.")</f>
        <v>2.7716999999999996</v>
      </c>
      <c r="X97" s="3992">
        <f>IF(Sector1!X788&lt;&gt;"",Sector1!X788,"n.a.")</f>
        <v>3.3180000000000001</v>
      </c>
      <c r="Y97" s="3992">
        <f>IF(Sector1!Y788&lt;&gt;"",Sector1!Y788,"n.a.")</f>
        <v>3.9729999999999999</v>
      </c>
      <c r="Z97" s="3992">
        <f>IF(Sector1!Z788&lt;&gt;"",Sector1!Z788,"n.a.")</f>
        <v>3.8996</v>
      </c>
      <c r="AA97" s="3992">
        <f>IF(Sector1!AA788&lt;&gt;"",Sector1!AA788,"n.a.")</f>
        <v>3.6375000000000002</v>
      </c>
      <c r="AB97" s="3992">
        <f>IF(Sector1!AB788&lt;&gt;"",Sector1!AB788,"n.a.")</f>
        <v>3.3464999999999998</v>
      </c>
      <c r="AC97" s="3992">
        <f>IF(Sector1!AC788&lt;&gt;"",Sector1!AC788,"n.a.")</f>
        <v>3.6185</v>
      </c>
      <c r="AD97" s="3992">
        <f>IF(Sector1!AD788&lt;&gt;"",Sector1!AD788,"n.a.")</f>
        <v>3.8460691613307296</v>
      </c>
      <c r="AE97" s="3992">
        <f>IF(Sector1!AE788&lt;&gt;"",Sector1!AE788,"n.a.")</f>
        <v>4.1226336221253046</v>
      </c>
    </row>
    <row r="98" spans="1:31">
      <c r="A98" s="3992" t="str">
        <f t="shared" si="4"/>
        <v>\\DG ECFIN\Forecast\Country databases\Desk transfer databases\BE</v>
      </c>
      <c r="B98" s="3992" t="str">
        <f t="shared" si="5"/>
        <v>BE</v>
      </c>
      <c r="C98" s="3992" t="s">
        <v>2166</v>
      </c>
      <c r="D98" s="3992" t="s">
        <v>2256</v>
      </c>
      <c r="E98" s="3992" t="s">
        <v>2168</v>
      </c>
      <c r="F98" s="3992">
        <v>131</v>
      </c>
      <c r="G98" s="3992" t="s">
        <v>2257</v>
      </c>
      <c r="H98" s="3992">
        <f>IF(Sector1!H31&lt;&gt;"",Sector1!H31,"n.a.")</f>
        <v>0.88479999999999992</v>
      </c>
      <c r="I98" s="3992">
        <f>IF(Sector1!I31&lt;&gt;"",Sector1!I31,"n.a.")</f>
        <v>0.99670000000000003</v>
      </c>
      <c r="J98" s="3992">
        <f>IF(Sector1!J31&lt;&gt;"",Sector1!J31,"n.a.")</f>
        <v>1.012</v>
      </c>
      <c r="K98" s="3992">
        <f>IF(Sector1!K31&lt;&gt;"",Sector1!K31,"n.a.")</f>
        <v>0.95420000000000005</v>
      </c>
      <c r="L98" s="3992">
        <f>IF(Sector1!L31&lt;&gt;"",Sector1!L31,"n.a.")</f>
        <v>1.0350999999999999</v>
      </c>
      <c r="M98" s="3992">
        <f>IF(Sector1!M31&lt;&gt;"",Sector1!M31,"n.a.")</f>
        <v>1.0107999999999999</v>
      </c>
      <c r="N98" s="3992">
        <f>IF(Sector1!N31&lt;&gt;"",Sector1!N31,"n.a.")</f>
        <v>1.0299</v>
      </c>
      <c r="O98" s="3992">
        <f>IF(Sector1!O31&lt;&gt;"",Sector1!O31,"n.a.")</f>
        <v>1.1445000000000001</v>
      </c>
      <c r="P98" s="3992">
        <f>IF(Sector1!P31&lt;&gt;"",Sector1!P31,"n.a.")</f>
        <v>1.1802999999999999</v>
      </c>
      <c r="Q98" s="3992">
        <f>IF(Sector1!Q31&lt;&gt;"",Sector1!Q31,"n.a.")</f>
        <v>1.2654000000000001</v>
      </c>
      <c r="R98" s="3992">
        <f>IF(Sector1!R31&lt;&gt;"",Sector1!R31,"n.a.")</f>
        <v>1.3003</v>
      </c>
      <c r="S98" s="3992">
        <f>IF(Sector1!S31&lt;&gt;"",Sector1!S31,"n.a.")</f>
        <v>1.4500999999999999</v>
      </c>
      <c r="T98" s="3992">
        <f>IF(Sector1!T31&lt;&gt;"",Sector1!T31,"n.a.")</f>
        <v>1.6195999999999999</v>
      </c>
      <c r="U98" s="3992">
        <f>IF(Sector1!U31&lt;&gt;"",Sector1!U31,"n.a.")</f>
        <v>1.2044000000000001</v>
      </c>
      <c r="V98" s="3992">
        <f>IF(Sector1!V31&lt;&gt;"",Sector1!V31,"n.a.")</f>
        <v>1.2749999999999999</v>
      </c>
      <c r="W98" s="3992">
        <f>IF(Sector1!W31&lt;&gt;"",Sector1!W31,"n.a.")</f>
        <v>1.2932999999999999</v>
      </c>
      <c r="X98" s="3992">
        <f>IF(Sector1!X31&lt;&gt;"",Sector1!X31,"n.a.")</f>
        <v>1.2555999999999998</v>
      </c>
      <c r="Y98" s="3992">
        <f>IF(Sector1!Y31&lt;&gt;"",Sector1!Y31,"n.a.")</f>
        <v>1.1778</v>
      </c>
      <c r="Z98" s="3992">
        <f>IF(Sector1!Z31&lt;&gt;"",Sector1!Z31,"n.a.")</f>
        <v>1.2410000000000001</v>
      </c>
      <c r="AA98" s="3992">
        <f>IF(Sector1!AA31&lt;&gt;"",Sector1!AA31,"n.a.")</f>
        <v>1.6069</v>
      </c>
      <c r="AB98" s="3992">
        <f>IF(Sector1!AB31&lt;&gt;"",Sector1!AB31,"n.a.")</f>
        <v>1.8540999999999999</v>
      </c>
      <c r="AC98" s="3992">
        <f>IF(Sector1!AC31&lt;&gt;"",Sector1!AC31,"n.a.")</f>
        <v>1.9132457899999999</v>
      </c>
      <c r="AD98" s="3992">
        <f>IF(Sector1!AD31&lt;&gt;"",Sector1!AD31,"n.a.")</f>
        <v>1.9821226384399999</v>
      </c>
      <c r="AE98" s="3992">
        <f>IF(Sector1!AE31&lt;&gt;"",Sector1!AE31,"n.a.")</f>
        <v>2.0713181571697996</v>
      </c>
    </row>
    <row r="99" spans="1:31">
      <c r="A99" s="3992" t="str">
        <f t="shared" si="4"/>
        <v>\\DG ECFIN\Forecast\Country databases\Desk transfer databases\BE</v>
      </c>
      <c r="B99" s="3992" t="str">
        <f t="shared" si="5"/>
        <v>BE</v>
      </c>
      <c r="C99" s="3992" t="s">
        <v>2166</v>
      </c>
      <c r="D99" s="3992" t="s">
        <v>2258</v>
      </c>
      <c r="E99" s="3992" t="s">
        <v>2168</v>
      </c>
      <c r="F99" s="3992">
        <v>132</v>
      </c>
      <c r="G99" s="3992" t="s">
        <v>2002</v>
      </c>
      <c r="H99" s="3992">
        <f>IF(Sector1!H257&lt;&gt;"",Sector1!H257,"n.a.")</f>
        <v>18.371099999999998</v>
      </c>
      <c r="I99" s="3992">
        <f>IF(Sector1!I257&lt;&gt;"",Sector1!I257,"n.a.")</f>
        <v>17.513099999999998</v>
      </c>
      <c r="J99" s="3992">
        <f>IF(Sector1!J257&lt;&gt;"",Sector1!J257,"n.a.")</f>
        <v>17.3751</v>
      </c>
      <c r="K99" s="3992">
        <f>IF(Sector1!K257&lt;&gt;"",Sector1!K257,"n.a.")</f>
        <v>16.807099999999998</v>
      </c>
      <c r="L99" s="3992">
        <f>IF(Sector1!L257&lt;&gt;"",Sector1!L257,"n.a.")</f>
        <v>17.2136</v>
      </c>
      <c r="M99" s="3992">
        <f>IF(Sector1!M257&lt;&gt;"",Sector1!M257,"n.a.")</f>
        <v>17.370699999999999</v>
      </c>
      <c r="N99" s="3992">
        <f>IF(Sector1!N257&lt;&gt;"",Sector1!N257,"n.a.")</f>
        <v>15.9564</v>
      </c>
      <c r="O99" s="3992">
        <f>IF(Sector1!O257&lt;&gt;"",Sector1!O257,"n.a.")</f>
        <v>15.232200000000001</v>
      </c>
      <c r="P99" s="3992">
        <f>IF(Sector1!P257&lt;&gt;"",Sector1!P257,"n.a.")</f>
        <v>14.352799999999998</v>
      </c>
      <c r="Q99" s="3992">
        <f>IF(Sector1!Q257&lt;&gt;"",Sector1!Q257,"n.a.")</f>
        <v>13.5745</v>
      </c>
      <c r="R99" s="3992">
        <f>IF(Sector1!R257&lt;&gt;"",Sector1!R257,"n.a.")</f>
        <v>13.3719</v>
      </c>
      <c r="S99" s="3992">
        <f>IF(Sector1!S257&lt;&gt;"",Sector1!S257,"n.a.")</f>
        <v>13.7224</v>
      </c>
      <c r="T99" s="3992">
        <f>IF(Sector1!T257&lt;&gt;"",Sector1!T257,"n.a.")</f>
        <v>14.032299999999999</v>
      </c>
      <c r="U99" s="3992">
        <f>IF(Sector1!U257&lt;&gt;"",Sector1!U257,"n.a.")</f>
        <v>13.3378</v>
      </c>
      <c r="V99" s="3992">
        <f>IF(Sector1!V257&lt;&gt;"",Sector1!V257,"n.a.")</f>
        <v>13.1707</v>
      </c>
      <c r="W99" s="3992">
        <f>IF(Sector1!W257&lt;&gt;"",Sector1!W257,"n.a.")</f>
        <v>13.6379</v>
      </c>
      <c r="X99" s="3992">
        <f>IF(Sector1!X257&lt;&gt;"",Sector1!X257,"n.a.")</f>
        <v>13.969200000000001</v>
      </c>
      <c r="Y99" s="3992">
        <f>IF(Sector1!Y257&lt;&gt;"",Sector1!Y257,"n.a.")</f>
        <v>12.9718</v>
      </c>
      <c r="Z99" s="3992">
        <f>IF(Sector1!Z257&lt;&gt;"",Sector1!Z257,"n.a.")</f>
        <v>13.0557</v>
      </c>
      <c r="AA99" s="3992">
        <f>IF(Sector1!AA257&lt;&gt;"",Sector1!AA257,"n.a.")</f>
        <v>12.417399999999999</v>
      </c>
      <c r="AB99" s="3992">
        <f>IF(Sector1!AB257&lt;&gt;"",Sector1!AB257,"n.a.")</f>
        <v>12.116200000000001</v>
      </c>
      <c r="AC99" s="3992">
        <f>IF(Sector1!AC257&lt;&gt;"",Sector1!AC257,"n.a.")</f>
        <v>10.7761</v>
      </c>
      <c r="AD99" s="3992">
        <f>IF(Sector1!AD257&lt;&gt;"",Sector1!AD257,"n.a.")</f>
        <v>10.213587579999999</v>
      </c>
      <c r="AE99" s="3992">
        <f>IF(Sector1!AE257&lt;&gt;"",Sector1!AE257,"n.a.")</f>
        <v>10.148220619487999</v>
      </c>
    </row>
    <row r="100" spans="1:31">
      <c r="A100" s="3992" t="str">
        <f t="shared" si="4"/>
        <v>\\DG ECFIN\Forecast\Country databases\Desk transfer databases\BE</v>
      </c>
      <c r="B100" s="3992" t="str">
        <f t="shared" si="5"/>
        <v>BE</v>
      </c>
      <c r="C100" s="3992" t="s">
        <v>2166</v>
      </c>
      <c r="D100" s="3992" t="s">
        <v>2259</v>
      </c>
      <c r="E100" s="3992" t="s">
        <v>2168</v>
      </c>
      <c r="F100" s="3992">
        <v>133</v>
      </c>
      <c r="G100" s="3992" t="s">
        <v>2260</v>
      </c>
      <c r="H100" s="3992">
        <f>IF(Sector1!H140&lt;&gt;"",Sector1!H140,"n.a.")</f>
        <v>0.84229999999999994</v>
      </c>
      <c r="I100" s="3992">
        <f>IF(Sector1!I140&lt;&gt;"",Sector1!I140,"n.a.")</f>
        <v>0.82810000000000006</v>
      </c>
      <c r="J100" s="3992">
        <f>IF(Sector1!J140&lt;&gt;"",Sector1!J140,"n.a.")</f>
        <v>0.74320000000000008</v>
      </c>
      <c r="K100" s="3992">
        <f>IF(Sector1!K140&lt;&gt;"",Sector1!K140,"n.a.")</f>
        <v>0.85760000000000003</v>
      </c>
      <c r="L100" s="3992">
        <f>IF(Sector1!L140&lt;&gt;"",Sector1!L140,"n.a.")</f>
        <v>0.69420000000000004</v>
      </c>
      <c r="M100" s="3992">
        <f>IF(Sector1!M140&lt;&gt;"",Sector1!M140,"n.a.")</f>
        <v>0.73360000000000003</v>
      </c>
      <c r="N100" s="3992">
        <f>IF(Sector1!N140&lt;&gt;"",Sector1!N140,"n.a.")</f>
        <v>0.71060000000000001</v>
      </c>
      <c r="O100" s="3992">
        <f>IF(Sector1!O140&lt;&gt;"",Sector1!O140,"n.a.")</f>
        <v>0.8657999999999999</v>
      </c>
      <c r="P100" s="3992">
        <f>IF(Sector1!P140&lt;&gt;"",Sector1!P140,"n.a.")</f>
        <v>0.8115</v>
      </c>
      <c r="Q100" s="3992">
        <f>IF(Sector1!Q140&lt;&gt;"",Sector1!Q140,"n.a.")</f>
        <v>0.89119999999999999</v>
      </c>
      <c r="R100" s="3992">
        <f>IF(Sector1!R140&lt;&gt;"",Sector1!R140,"n.a.")</f>
        <v>0.79239999999999999</v>
      </c>
      <c r="S100" s="3992">
        <f>IF(Sector1!S140&lt;&gt;"",Sector1!S140,"n.a.")</f>
        <v>0.67600000000000005</v>
      </c>
      <c r="T100" s="3992">
        <f>IF(Sector1!T140&lt;&gt;"",Sector1!T140,"n.a.")</f>
        <v>0.67179999999999995</v>
      </c>
      <c r="U100" s="3992">
        <f>IF(Sector1!U140&lt;&gt;"",Sector1!U140,"n.a.")</f>
        <v>0.63179999999999992</v>
      </c>
      <c r="V100" s="3992">
        <f>IF(Sector1!V140&lt;&gt;"",Sector1!V140,"n.a.")</f>
        <v>0.69210000000000005</v>
      </c>
      <c r="W100" s="3992">
        <f>IF(Sector1!W140&lt;&gt;"",Sector1!W140,"n.a.")</f>
        <v>0.62160000000000004</v>
      </c>
      <c r="X100" s="3992">
        <f>IF(Sector1!X140&lt;&gt;"",Sector1!X140,"n.a.")</f>
        <v>0.64260000000000006</v>
      </c>
      <c r="Y100" s="3992">
        <f>IF(Sector1!Y140&lt;&gt;"",Sector1!Y140,"n.a.")</f>
        <v>0.66489999999999994</v>
      </c>
      <c r="Z100" s="3992">
        <f>IF(Sector1!Z140&lt;&gt;"",Sector1!Z140,"n.a.")</f>
        <v>0.68379999999999996</v>
      </c>
      <c r="AA100" s="3992">
        <f>IF(Sector1!AA140&lt;&gt;"",Sector1!AA140,"n.a.")</f>
        <v>0.93070000000000008</v>
      </c>
      <c r="AB100" s="3992">
        <f>IF(Sector1!AB140&lt;&gt;"",Sector1!AB140,"n.a.")</f>
        <v>0.75009999999999999</v>
      </c>
      <c r="AC100" s="3992">
        <f>IF(Sector1!AC140&lt;&gt;"",Sector1!AC140,"n.a.")</f>
        <v>0.75009999999999999</v>
      </c>
      <c r="AD100" s="3992">
        <f>IF(Sector1!AD140&lt;&gt;"",Sector1!AD140,"n.a.")</f>
        <v>0.75009999999999999</v>
      </c>
      <c r="AE100" s="3992">
        <f>IF(Sector1!AE140&lt;&gt;"",Sector1!AE140,"n.a.")</f>
        <v>0.75009999999999999</v>
      </c>
    </row>
    <row r="101" spans="1:31">
      <c r="A101" s="3992" t="str">
        <f t="shared" si="4"/>
        <v>\\DG ECFIN\Forecast\Country databases\Desk transfer databases\BE</v>
      </c>
      <c r="B101" s="3992" t="str">
        <f t="shared" si="5"/>
        <v>BE</v>
      </c>
      <c r="C101" s="3992" t="s">
        <v>2166</v>
      </c>
      <c r="D101" s="3992" t="s">
        <v>2261</v>
      </c>
      <c r="E101" s="3992" t="s">
        <v>2168</v>
      </c>
      <c r="F101" s="3992">
        <v>136</v>
      </c>
      <c r="G101" s="3992" t="s">
        <v>775</v>
      </c>
      <c r="H101" s="3992" t="s">
        <v>2199</v>
      </c>
      <c r="I101" s="3992" t="s">
        <v>2199</v>
      </c>
      <c r="J101" s="3992" t="s">
        <v>2199</v>
      </c>
      <c r="K101" s="3992" t="s">
        <v>2199</v>
      </c>
      <c r="L101" s="3992" t="s">
        <v>2199</v>
      </c>
      <c r="M101" s="3992" t="s">
        <v>2199</v>
      </c>
      <c r="N101" s="3992" t="s">
        <v>2199</v>
      </c>
      <c r="O101" s="3992" t="s">
        <v>2199</v>
      </c>
      <c r="P101" s="3992" t="s">
        <v>2199</v>
      </c>
      <c r="Q101" s="3992" t="s">
        <v>2199</v>
      </c>
      <c r="R101" s="3992" t="s">
        <v>2199</v>
      </c>
      <c r="S101" s="3992" t="s">
        <v>2199</v>
      </c>
      <c r="T101" s="3992" t="s">
        <v>2199</v>
      </c>
      <c r="U101" s="3992" t="s">
        <v>2199</v>
      </c>
      <c r="V101" s="3992" t="s">
        <v>2199</v>
      </c>
      <c r="W101" s="3992" t="s">
        <v>2199</v>
      </c>
      <c r="X101" s="3992" t="s">
        <v>2199</v>
      </c>
      <c r="Y101" s="3992" t="s">
        <v>2199</v>
      </c>
      <c r="Z101" s="3992" t="s">
        <v>2199</v>
      </c>
      <c r="AA101" s="3992" t="s">
        <v>2199</v>
      </c>
      <c r="AB101" s="3992" t="s">
        <v>2199</v>
      </c>
      <c r="AC101" s="3992" t="s">
        <v>2199</v>
      </c>
      <c r="AD101" s="3992" t="s">
        <v>2199</v>
      </c>
      <c r="AE101" s="3992" t="s">
        <v>2199</v>
      </c>
    </row>
    <row r="102" spans="1:31">
      <c r="A102" s="3992" t="str">
        <f t="shared" si="4"/>
        <v>\\DG ECFIN\Forecast\Country databases\Desk transfer databases\BE</v>
      </c>
      <c r="B102" s="3992" t="str">
        <f t="shared" si="5"/>
        <v>BE</v>
      </c>
      <c r="C102" s="3992" t="s">
        <v>2166</v>
      </c>
      <c r="D102" s="3992" t="s">
        <v>2262</v>
      </c>
      <c r="E102" s="3992" t="s">
        <v>2168</v>
      </c>
      <c r="F102" s="3992">
        <v>137</v>
      </c>
      <c r="G102" s="3992" t="s">
        <v>735</v>
      </c>
      <c r="H102" s="3992">
        <f>IF(Sector1!H898&lt;&gt;"",Sector1!H898,"n.a.")</f>
        <v>-8.4894000000000069</v>
      </c>
      <c r="I102" s="3992">
        <f>IF(Sector1!I898&lt;&gt;"",Sector1!I898,"n.a.")</f>
        <v>-4.8017000000000154</v>
      </c>
      <c r="J102" s="3992">
        <f>IF(Sector1!J898&lt;&gt;"",Sector1!J898,"n.a.")</f>
        <v>-2.2229000000000005</v>
      </c>
      <c r="K102" s="3992">
        <f>IF(Sector1!K898&lt;&gt;"",Sector1!K898,"n.a.")</f>
        <v>-1.3454000000000077</v>
      </c>
      <c r="L102" s="3992">
        <f>IF(Sector1!L898&lt;&gt;"",Sector1!L898,"n.a.")</f>
        <v>-0.18569999999999087</v>
      </c>
      <c r="M102" s="3992">
        <f>IF(Sector1!M898&lt;&gt;"",Sector1!M898,"n.a.")</f>
        <v>0.45690000000001518</v>
      </c>
      <c r="N102" s="3992">
        <f>IF(Sector1!N898&lt;&gt;"",Sector1!N898,"n.a.")</f>
        <v>0.12460000000001958</v>
      </c>
      <c r="O102" s="3992">
        <f>IF(Sector1!O898&lt;&gt;"",Sector1!O898,"n.a.")</f>
        <v>-4.9773000000000165</v>
      </c>
      <c r="P102" s="3992">
        <f>IF(Sector1!P898&lt;&gt;"",Sector1!P898,"n.a.")</f>
        <v>-0.46859999999999857</v>
      </c>
      <c r="Q102" s="3992">
        <f>IF(Sector1!Q898&lt;&gt;"",Sector1!Q898,"n.a.")</f>
        <v>-8.6006000000000213</v>
      </c>
      <c r="R102" s="3992">
        <f>IF(Sector1!R898&lt;&gt;"",Sector1!R898,"n.a.")</f>
        <v>0.71650000000001768</v>
      </c>
      <c r="S102" s="3992">
        <f>IF(Sector1!S898&lt;&gt;"",Sector1!S898,"n.a.")</f>
        <v>0.22570000000000956</v>
      </c>
      <c r="T102" s="3992">
        <f>IF(Sector1!T898&lt;&gt;"",Sector1!T898,"n.a.")</f>
        <v>-3.9062000000000103</v>
      </c>
      <c r="U102" s="3992">
        <f>IF(Sector1!U898&lt;&gt;"",Sector1!U898,"n.a.")</f>
        <v>-18.775100000000027</v>
      </c>
      <c r="V102" s="3992">
        <f>IF(Sector1!V898&lt;&gt;"",Sector1!V898,"n.a.")</f>
        <v>-14.609099999999977</v>
      </c>
      <c r="W102" s="3992">
        <f>IF(Sector1!W898&lt;&gt;"",Sector1!W898,"n.a.")</f>
        <v>-15.651799999999987</v>
      </c>
      <c r="X102" s="3992">
        <f>IF(Sector1!X898&lt;&gt;"",Sector1!X898,"n.a.")</f>
        <v>-16.409399999999998</v>
      </c>
      <c r="Y102" s="3992">
        <f>IF(Sector1!Y898&lt;&gt;"",Sector1!Y898,"n.a.")</f>
        <v>-12.310200000000004</v>
      </c>
      <c r="Z102" s="3992">
        <f>IF(Sector1!Z898&lt;&gt;"",Sector1!Z898,"n.a.")</f>
        <v>-12.324699999999979</v>
      </c>
      <c r="AA102" s="3992">
        <f>IF(Sector1!AA898&lt;&gt;"",Sector1!AA898,"n.a.")</f>
        <v>-10.179399999999992</v>
      </c>
      <c r="AB102" s="3992">
        <f>IF(Sector1!AB898&lt;&gt;"",Sector1!AB898,"n.a.")</f>
        <v>-10.492300000000027</v>
      </c>
      <c r="AC102" s="3992">
        <f>IF(Sector1!AC898&lt;&gt;"",Sector1!AC898,"n.a.")</f>
        <v>-4.5226000000000059</v>
      </c>
      <c r="AD102" s="3992">
        <f ca="1">IF(Sector1!AD898&lt;&gt;"",Sector1!AD898,"n.a.")</f>
        <v>-4.9425568757195668</v>
      </c>
      <c r="AE102" s="3992">
        <f ca="1">IF(Sector1!AE898&lt;&gt;"",Sector1!AE898,"n.a.")</f>
        <v>-6.281124823636886</v>
      </c>
    </row>
    <row r="103" spans="1:31">
      <c r="A103" s="3992" t="str">
        <f t="shared" si="4"/>
        <v>\\DG ECFIN\Forecast\Country databases\Desk transfer databases\BE</v>
      </c>
      <c r="B103" s="3992" t="str">
        <f t="shared" si="5"/>
        <v>BE</v>
      </c>
      <c r="C103" s="3992" t="s">
        <v>2166</v>
      </c>
      <c r="D103" s="3992" t="s">
        <v>2263</v>
      </c>
      <c r="E103" s="3992" t="s">
        <v>2168</v>
      </c>
      <c r="F103" s="3992">
        <v>138</v>
      </c>
      <c r="G103" s="3992" t="s">
        <v>1833</v>
      </c>
      <c r="H103" s="3992" t="str">
        <f>IF(ISNA(VLOOKUP($D103&amp;".1.0.0.0",InputDFM!$A$3:$AN$8,MATCH(H$11,InputDFM!$2:$2,0),FALSE)),"n.a.",(VLOOKUP($D103&amp;".1.0.0.0",InputDFM!$A$3:$AN$8,MATCH(H$11,InputDFM!$2:$2,0),FALSE)))</f>
        <v>n.a.</v>
      </c>
      <c r="I103" s="3992" t="str">
        <f>IF(ISNA(VLOOKUP($D103&amp;".1.0.0.0",InputDFM!$A$3:$AN$8,MATCH(I$11,InputDFM!$2:$2,0),FALSE)),"n.a.",(VLOOKUP($D103&amp;".1.0.0.0",InputDFM!$A$3:$AN$8,MATCH(I$11,InputDFM!$2:$2,0),FALSE)))</f>
        <v>n.a.</v>
      </c>
      <c r="J103" s="3992" t="str">
        <f>IF(ISNA(VLOOKUP($D103&amp;".1.0.0.0",InputDFM!$A$3:$AN$8,MATCH(J$11,InputDFM!$2:$2,0),FALSE)),"n.a.",(VLOOKUP($D103&amp;".1.0.0.0",InputDFM!$A$3:$AN$8,MATCH(J$11,InputDFM!$2:$2,0),FALSE)))</f>
        <v>n.a.</v>
      </c>
      <c r="K103" s="3992" t="str">
        <f>IF(ISNA(VLOOKUP($D103&amp;".1.0.0.0",InputDFM!$A$3:$AN$8,MATCH(K$11,InputDFM!$2:$2,0),FALSE)),"n.a.",(VLOOKUP($D103&amp;".1.0.0.0",InputDFM!$A$3:$AN$8,MATCH(K$11,InputDFM!$2:$2,0),FALSE)))</f>
        <v>n.a.</v>
      </c>
      <c r="L103" s="3992" t="str">
        <f>IF(ISNA(VLOOKUP($D103&amp;".1.0.0.0",InputDFM!$A$3:$AN$8,MATCH(L$11,InputDFM!$2:$2,0),FALSE)),"n.a.",(VLOOKUP($D103&amp;".1.0.0.0",InputDFM!$A$3:$AN$8,MATCH(L$11,InputDFM!$2:$2,0),FALSE)))</f>
        <v>n.a.</v>
      </c>
      <c r="M103" s="3992" t="str">
        <f>IF(ISNA(VLOOKUP($D103&amp;".1.0.0.0",InputDFM!$A$3:$AN$8,MATCH(M$11,InputDFM!$2:$2,0),FALSE)),"n.a.",(VLOOKUP($D103&amp;".1.0.0.0",InputDFM!$A$3:$AN$8,MATCH(M$11,InputDFM!$2:$2,0),FALSE)))</f>
        <v>n.a.</v>
      </c>
      <c r="N103" s="3992" t="str">
        <f>IF(ISNA(VLOOKUP($D103&amp;".1.0.0.0",InputDFM!$A$3:$AN$8,MATCH(N$11,InputDFM!$2:$2,0),FALSE)),"n.a.",(VLOOKUP($D103&amp;".1.0.0.0",InputDFM!$A$3:$AN$8,MATCH(N$11,InputDFM!$2:$2,0),FALSE)))</f>
        <v>n.a.</v>
      </c>
      <c r="O103" s="3992" t="str">
        <f>IF(ISNA(VLOOKUP($D103&amp;".1.0.0.0",InputDFM!$A$3:$AN$8,MATCH(O$11,InputDFM!$2:$2,0),FALSE)),"n.a.",(VLOOKUP($D103&amp;".1.0.0.0",InputDFM!$A$3:$AN$8,MATCH(O$11,InputDFM!$2:$2,0),FALSE)))</f>
        <v>n.a.</v>
      </c>
      <c r="P103" s="3992" t="str">
        <f>IF(ISNA(VLOOKUP($D103&amp;".1.0.0.0",InputDFM!$A$3:$AN$8,MATCH(P$11,InputDFM!$2:$2,0),FALSE)),"n.a.",(VLOOKUP($D103&amp;".1.0.0.0",InputDFM!$A$3:$AN$8,MATCH(P$11,InputDFM!$2:$2,0),FALSE)))</f>
        <v>n.a.</v>
      </c>
      <c r="Q103" s="3992" t="str">
        <f>IF(ISNA(VLOOKUP($D103&amp;".1.0.0.0",InputDFM!$A$3:$AN$8,MATCH(Q$11,InputDFM!$2:$2,0),FALSE)),"n.a.",(VLOOKUP($D103&amp;".1.0.0.0",InputDFM!$A$3:$AN$8,MATCH(Q$11,InputDFM!$2:$2,0),FALSE)))</f>
        <v>n.a.</v>
      </c>
      <c r="R103" s="3992" t="str">
        <f>IF(ISNA(VLOOKUP($D103&amp;".1.0.0.0",InputDFM!$A$3:$AN$8,MATCH(R$11,InputDFM!$2:$2,0),FALSE)),"n.a.",(VLOOKUP($D103&amp;".1.0.0.0",InputDFM!$A$3:$AN$8,MATCH(R$11,InputDFM!$2:$2,0),FALSE)))</f>
        <v>n.a.</v>
      </c>
      <c r="S103" s="3992" t="str">
        <f>IF(ISNA(VLOOKUP($D103&amp;".1.0.0.0",InputDFM!$A$3:$AN$8,MATCH(S$11,InputDFM!$2:$2,0),FALSE)),"n.a.",(VLOOKUP($D103&amp;".1.0.0.0",InputDFM!$A$3:$AN$8,MATCH(S$11,InputDFM!$2:$2,0),FALSE)))</f>
        <v>n.a.</v>
      </c>
      <c r="T103" s="3992" t="str">
        <f>IF(ISNA(VLOOKUP($D103&amp;".1.0.0.0",InputDFM!$A$3:$AN$8,MATCH(T$11,InputDFM!$2:$2,0),FALSE)),"n.a.",(VLOOKUP($D103&amp;".1.0.0.0",InputDFM!$A$3:$AN$8,MATCH(T$11,InputDFM!$2:$2,0),FALSE)))</f>
        <v>n.a.</v>
      </c>
      <c r="U103" s="3992" t="str">
        <f>IF(ISNA(VLOOKUP($D103&amp;".1.0.0.0",InputDFM!$A$3:$AN$8,MATCH(U$11,InputDFM!$2:$2,0),FALSE)),"n.a.",(VLOOKUP($D103&amp;".1.0.0.0",InputDFM!$A$3:$AN$8,MATCH(U$11,InputDFM!$2:$2,0),FALSE)))</f>
        <v>n.a.</v>
      </c>
      <c r="V103" s="3992" t="str">
        <f>IF(ISNA(VLOOKUP($D103&amp;".1.0.0.0",InputDFM!$A$3:$AN$8,MATCH(V$11,InputDFM!$2:$2,0),FALSE)),"n.a.",(VLOOKUP($D103&amp;".1.0.0.0",InputDFM!$A$3:$AN$8,MATCH(V$11,InputDFM!$2:$2,0),FALSE)))</f>
        <v>n.a.</v>
      </c>
      <c r="W103" s="3992" t="str">
        <f>IF(ISNA(VLOOKUP($D103&amp;".1.0.0.0",InputDFM!$A$3:$AN$8,MATCH(W$11,InputDFM!$2:$2,0),FALSE)),"n.a.",(VLOOKUP($D103&amp;".1.0.0.0",InputDFM!$A$3:$AN$8,MATCH(W$11,InputDFM!$2:$2,0),FALSE)))</f>
        <v>n.a.</v>
      </c>
      <c r="X103" s="3992" t="str">
        <f>IF(ISNA(VLOOKUP($D103&amp;".1.0.0.0",InputDFM!$A$3:$AN$8,MATCH(X$11,InputDFM!$2:$2,0),FALSE)),"n.a.",(VLOOKUP($D103&amp;".1.0.0.0",InputDFM!$A$3:$AN$8,MATCH(X$11,InputDFM!$2:$2,0),FALSE)))</f>
        <v>n.a.</v>
      </c>
      <c r="Y103" s="3992" t="str">
        <f>IF(ISNA(VLOOKUP($D103&amp;".1.0.0.0",InputDFM!$A$3:$AN$8,MATCH(Y$11,InputDFM!$2:$2,0),FALSE)),"n.a.",(VLOOKUP($D103&amp;".1.0.0.0",InputDFM!$A$3:$AN$8,MATCH(Y$11,InputDFM!$2:$2,0),FALSE)))</f>
        <v>n.a.</v>
      </c>
      <c r="Z103" s="3992">
        <f>IF(ISNA(VLOOKUP($D103&amp;".1.0.0.0",InputDFM!$A$3:$AN$8,MATCH(Z$11,InputDFM!$2:$2,0),FALSE)),"n.a.",(VLOOKUP($D103&amp;".1.0.0.0",InputDFM!$A$3:$AN$8,MATCH(Z$11,InputDFM!$2:$2,0),FALSE)))</f>
        <v>1.86</v>
      </c>
      <c r="AA103" s="3992">
        <f>IF(ISNA(VLOOKUP($D103&amp;".1.0.0.0",InputDFM!$A$3:$AN$8,MATCH(AA$11,InputDFM!$2:$2,0),FALSE)),"n.a.",(VLOOKUP($D103&amp;".1.0.0.0",InputDFM!$A$3:$AN$8,MATCH(AA$11,InputDFM!$2:$2,0),FALSE)))</f>
        <v>0.64</v>
      </c>
      <c r="AB103" s="3992">
        <f>IF(ISNA(VLOOKUP($D103&amp;".1.0.0.0",InputDFM!$A$3:$AN$8,MATCH(AB$11,InputDFM!$2:$2,0),FALSE)),"n.a.",(VLOOKUP($D103&amp;".1.0.0.0",InputDFM!$A$3:$AN$8,MATCH(AB$11,InputDFM!$2:$2,0),FALSE)))</f>
        <v>0.79800000000000004</v>
      </c>
      <c r="AC103" s="3992">
        <f>IF(ISNA(VLOOKUP($D103&amp;".1.0.0.0",InputDFM!$A$3:$AN$8,MATCH(AC$11,InputDFM!$2:$2,0),FALSE)),"n.a.",(VLOOKUP($D103&amp;".1.0.0.0",InputDFM!$A$3:$AN$8,MATCH(AC$11,InputDFM!$2:$2,0),FALSE)))</f>
        <v>2.0019999999999998</v>
      </c>
      <c r="AD103" s="3992">
        <f>IF(ISNA(VLOOKUP($D103&amp;".1.0.0.0",InputDFM!$A$3:$AN$8,MATCH(AD$11,InputDFM!$2:$2,0),FALSE)),"n.a.",(VLOOKUP($D103&amp;".1.0.0.0",InputDFM!$A$3:$AN$8,MATCH(AD$11,InputDFM!$2:$2,0),FALSE)))</f>
        <v>0.98</v>
      </c>
      <c r="AE103" s="3992">
        <f>IF(ISNA(VLOOKUP($D103&amp;".1.0.0.0",InputDFM!$A$3:$AN$8,MATCH(AE$11,InputDFM!$2:$2,0),FALSE)),"n.a.",(VLOOKUP($D103&amp;".1.0.0.0",InputDFM!$A$3:$AN$8,MATCH(AE$11,InputDFM!$2:$2,0),FALSE)))</f>
        <v>0.46100000000000002</v>
      </c>
    </row>
    <row r="104" spans="1:31">
      <c r="A104" s="3992" t="str">
        <f t="shared" si="4"/>
        <v>\\DG ECFIN\Forecast\Country databases\Desk transfer databases\BE</v>
      </c>
      <c r="B104" s="3992" t="str">
        <f t="shared" si="5"/>
        <v>BE</v>
      </c>
      <c r="C104" s="3992" t="s">
        <v>2166</v>
      </c>
      <c r="D104" s="3992" t="s">
        <v>2264</v>
      </c>
      <c r="E104" s="3992" t="s">
        <v>2168</v>
      </c>
      <c r="F104" s="3992">
        <v>139</v>
      </c>
      <c r="G104" s="3992" t="s">
        <v>746</v>
      </c>
      <c r="H104" s="3992" t="str">
        <f>IF(ISNA(VLOOKUP($D104&amp;".1.0.0.0",InputDFM!$A$3:$AN$8,MATCH(H$11,InputDFM!$2:$2,0),FALSE)),"n.a.",(VLOOKUP($D104&amp;".1.0.0.0",InputDFM!$A$3:$AN$8,MATCH(H$11,InputDFM!$2:$2,0),FALSE)))</f>
        <v>n.a.</v>
      </c>
      <c r="I104" s="3992" t="str">
        <f>IF(ISNA(VLOOKUP($D104&amp;".1.0.0.0",InputDFM!$A$3:$AN$8,MATCH(I$11,InputDFM!$2:$2,0),FALSE)),"n.a.",(VLOOKUP($D104&amp;".1.0.0.0",InputDFM!$A$3:$AN$8,MATCH(I$11,InputDFM!$2:$2,0),FALSE)))</f>
        <v>n.a.</v>
      </c>
      <c r="J104" s="3992" t="str">
        <f>IF(ISNA(VLOOKUP($D104&amp;".1.0.0.0",InputDFM!$A$3:$AN$8,MATCH(J$11,InputDFM!$2:$2,0),FALSE)),"n.a.",(VLOOKUP($D104&amp;".1.0.0.0",InputDFM!$A$3:$AN$8,MATCH(J$11,InputDFM!$2:$2,0),FALSE)))</f>
        <v>n.a.</v>
      </c>
      <c r="K104" s="3992" t="str">
        <f>IF(ISNA(VLOOKUP($D104&amp;".1.0.0.0",InputDFM!$A$3:$AN$8,MATCH(K$11,InputDFM!$2:$2,0),FALSE)),"n.a.",(VLOOKUP($D104&amp;".1.0.0.0",InputDFM!$A$3:$AN$8,MATCH(K$11,InputDFM!$2:$2,0),FALSE)))</f>
        <v>n.a.</v>
      </c>
      <c r="L104" s="3992" t="str">
        <f>IF(ISNA(VLOOKUP($D104&amp;".1.0.0.0",InputDFM!$A$3:$AN$8,MATCH(L$11,InputDFM!$2:$2,0),FALSE)),"n.a.",(VLOOKUP($D104&amp;".1.0.0.0",InputDFM!$A$3:$AN$8,MATCH(L$11,InputDFM!$2:$2,0),FALSE)))</f>
        <v>n.a.</v>
      </c>
      <c r="M104" s="3992" t="str">
        <f>IF(ISNA(VLOOKUP($D104&amp;".1.0.0.0",InputDFM!$A$3:$AN$8,MATCH(M$11,InputDFM!$2:$2,0),FALSE)),"n.a.",(VLOOKUP($D104&amp;".1.0.0.0",InputDFM!$A$3:$AN$8,MATCH(M$11,InputDFM!$2:$2,0),FALSE)))</f>
        <v>n.a.</v>
      </c>
      <c r="N104" s="3992" t="str">
        <f>IF(ISNA(VLOOKUP($D104&amp;".1.0.0.0",InputDFM!$A$3:$AN$8,MATCH(N$11,InputDFM!$2:$2,0),FALSE)),"n.a.",(VLOOKUP($D104&amp;".1.0.0.0",InputDFM!$A$3:$AN$8,MATCH(N$11,InputDFM!$2:$2,0),FALSE)))</f>
        <v>n.a.</v>
      </c>
      <c r="O104" s="3992" t="str">
        <f>IF(ISNA(VLOOKUP($D104&amp;".1.0.0.0",InputDFM!$A$3:$AN$8,MATCH(O$11,InputDFM!$2:$2,0),FALSE)),"n.a.",(VLOOKUP($D104&amp;".1.0.0.0",InputDFM!$A$3:$AN$8,MATCH(O$11,InputDFM!$2:$2,0),FALSE)))</f>
        <v>n.a.</v>
      </c>
      <c r="P104" s="3992" t="str">
        <f>IF(ISNA(VLOOKUP($D104&amp;".1.0.0.0",InputDFM!$A$3:$AN$8,MATCH(P$11,InputDFM!$2:$2,0),FALSE)),"n.a.",(VLOOKUP($D104&amp;".1.0.0.0",InputDFM!$A$3:$AN$8,MATCH(P$11,InputDFM!$2:$2,0),FALSE)))</f>
        <v>n.a.</v>
      </c>
      <c r="Q104" s="3992" t="str">
        <f>IF(ISNA(VLOOKUP($D104&amp;".1.0.0.0",InputDFM!$A$3:$AN$8,MATCH(Q$11,InputDFM!$2:$2,0),FALSE)),"n.a.",(VLOOKUP($D104&amp;".1.0.0.0",InputDFM!$A$3:$AN$8,MATCH(Q$11,InputDFM!$2:$2,0),FALSE)))</f>
        <v>n.a.</v>
      </c>
      <c r="R104" s="3992" t="str">
        <f>IF(ISNA(VLOOKUP($D104&amp;".1.0.0.0",InputDFM!$A$3:$AN$8,MATCH(R$11,InputDFM!$2:$2,0),FALSE)),"n.a.",(VLOOKUP($D104&amp;".1.0.0.0",InputDFM!$A$3:$AN$8,MATCH(R$11,InputDFM!$2:$2,0),FALSE)))</f>
        <v>n.a.</v>
      </c>
      <c r="S104" s="3992" t="str">
        <f>IF(ISNA(VLOOKUP($D104&amp;".1.0.0.0",InputDFM!$A$3:$AN$8,MATCH(S$11,InputDFM!$2:$2,0),FALSE)),"n.a.",(VLOOKUP($D104&amp;".1.0.0.0",InputDFM!$A$3:$AN$8,MATCH(S$11,InputDFM!$2:$2,0),FALSE)))</f>
        <v>n.a.</v>
      </c>
      <c r="T104" s="3992" t="str">
        <f>IF(ISNA(VLOOKUP($D104&amp;".1.0.0.0",InputDFM!$A$3:$AN$8,MATCH(T$11,InputDFM!$2:$2,0),FALSE)),"n.a.",(VLOOKUP($D104&amp;".1.0.0.0",InputDFM!$A$3:$AN$8,MATCH(T$11,InputDFM!$2:$2,0),FALSE)))</f>
        <v>n.a.</v>
      </c>
      <c r="U104" s="3992" t="str">
        <f>IF(ISNA(VLOOKUP($D104&amp;".1.0.0.0",InputDFM!$A$3:$AN$8,MATCH(U$11,InputDFM!$2:$2,0),FALSE)),"n.a.",(VLOOKUP($D104&amp;".1.0.0.0",InputDFM!$A$3:$AN$8,MATCH(U$11,InputDFM!$2:$2,0),FALSE)))</f>
        <v>n.a.</v>
      </c>
      <c r="V104" s="3992" t="str">
        <f>IF(ISNA(VLOOKUP($D104&amp;".1.0.0.0",InputDFM!$A$3:$AN$8,MATCH(V$11,InputDFM!$2:$2,0),FALSE)),"n.a.",(VLOOKUP($D104&amp;".1.0.0.0",InputDFM!$A$3:$AN$8,MATCH(V$11,InputDFM!$2:$2,0),FALSE)))</f>
        <v>n.a.</v>
      </c>
      <c r="W104" s="3992" t="str">
        <f>IF(ISNA(VLOOKUP($D104&amp;".1.0.0.0",InputDFM!$A$3:$AN$8,MATCH(W$11,InputDFM!$2:$2,0),FALSE)),"n.a.",(VLOOKUP($D104&amp;".1.0.0.0",InputDFM!$A$3:$AN$8,MATCH(W$11,InputDFM!$2:$2,0),FALSE)))</f>
        <v>n.a.</v>
      </c>
      <c r="X104" s="3992" t="str">
        <f>IF(ISNA(VLOOKUP($D104&amp;".1.0.0.0",InputDFM!$A$3:$AN$8,MATCH(X$11,InputDFM!$2:$2,0),FALSE)),"n.a.",(VLOOKUP($D104&amp;".1.0.0.0",InputDFM!$A$3:$AN$8,MATCH(X$11,InputDFM!$2:$2,0),FALSE)))</f>
        <v>n.a.</v>
      </c>
      <c r="Y104" s="3992" t="str">
        <f>IF(ISNA(VLOOKUP($D104&amp;".1.0.0.0",InputDFM!$A$3:$AN$8,MATCH(Y$11,InputDFM!$2:$2,0),FALSE)),"n.a.",(VLOOKUP($D104&amp;".1.0.0.0",InputDFM!$A$3:$AN$8,MATCH(Y$11,InputDFM!$2:$2,0),FALSE)))</f>
        <v>n.a.</v>
      </c>
      <c r="Z104" s="3992">
        <f>IF(ISNA(VLOOKUP($D104&amp;".1.0.0.0",InputDFM!$A$3:$AN$8,MATCH(Z$11,InputDFM!$2:$2,0),FALSE)),"n.a.",(VLOOKUP($D104&amp;".1.0.0.0",InputDFM!$A$3:$AN$8,MATCH(Z$11,InputDFM!$2:$2,0),FALSE)))</f>
        <v>-0.51100000000000001</v>
      </c>
      <c r="AA104" s="3992">
        <f>IF(ISNA(VLOOKUP($D104&amp;".1.0.0.0",InputDFM!$A$3:$AN$8,MATCH(AA$11,InputDFM!$2:$2,0),FALSE)),"n.a.",(VLOOKUP($D104&amp;".1.0.0.0",InputDFM!$A$3:$AN$8,MATCH(AA$11,InputDFM!$2:$2,0),FALSE)))</f>
        <v>-0.21</v>
      </c>
      <c r="AB104" s="3992">
        <f>IF(ISNA(VLOOKUP($D104&amp;".1.0.0.0",InputDFM!$A$3:$AN$8,MATCH(AB$11,InputDFM!$2:$2,0),FALSE)),"n.a.",(VLOOKUP($D104&amp;".1.0.0.0",InputDFM!$A$3:$AN$8,MATCH(AB$11,InputDFM!$2:$2,0),FALSE)))</f>
        <v>-0.97319999999999995</v>
      </c>
      <c r="AC104" s="3992">
        <f>IF(ISNA(VLOOKUP($D104&amp;".1.0.0.0",InputDFM!$A$3:$AN$8,MATCH(AC$11,InputDFM!$2:$2,0),FALSE)),"n.a.",(VLOOKUP($D104&amp;".1.0.0.0",InputDFM!$A$3:$AN$8,MATCH(AC$11,InputDFM!$2:$2,0),FALSE)))</f>
        <v>-0.19600000000000001</v>
      </c>
      <c r="AD104" s="3992">
        <f>IF(ISNA(VLOOKUP($D104&amp;".1.0.0.0",InputDFM!$A$3:$AN$8,MATCH(AD$11,InputDFM!$2:$2,0),FALSE)),"n.a.",(VLOOKUP($D104&amp;".1.0.0.0",InputDFM!$A$3:$AN$8,MATCH(AD$11,InputDFM!$2:$2,0),FALSE)))</f>
        <v>0</v>
      </c>
      <c r="AE104" s="3992">
        <f>IF(ISNA(VLOOKUP($D104&amp;".1.0.0.0",InputDFM!$A$3:$AN$8,MATCH(AE$11,InputDFM!$2:$2,0),FALSE)),"n.a.",(VLOOKUP($D104&amp;".1.0.0.0",InputDFM!$A$3:$AN$8,MATCH(AE$11,InputDFM!$2:$2,0),FALSE)))</f>
        <v>0</v>
      </c>
    </row>
    <row r="105" spans="1:31">
      <c r="A105" s="3992" t="str">
        <f t="shared" si="4"/>
        <v>\\DG ECFIN\Forecast\Country databases\Desk transfer databases\BE</v>
      </c>
      <c r="B105" s="3992" t="str">
        <f t="shared" si="5"/>
        <v>BE</v>
      </c>
      <c r="C105" s="3992" t="s">
        <v>2166</v>
      </c>
      <c r="D105" s="3992" t="s">
        <v>2265</v>
      </c>
      <c r="E105" s="3992" t="s">
        <v>2168</v>
      </c>
      <c r="F105" s="3992">
        <v>140</v>
      </c>
      <c r="G105" s="3992" t="s">
        <v>2010</v>
      </c>
      <c r="H105" s="3992">
        <f>IF(Sector1!H1123&lt;&gt;"",Sector1!H1123,"n.a.")</f>
        <v>4.8831999999999995</v>
      </c>
      <c r="I105" s="3992">
        <f>IF(Sector1!I1123&lt;&gt;"",Sector1!I1123,"n.a.")</f>
        <v>5.3498000000000001</v>
      </c>
      <c r="J105" s="3992">
        <f>IF(Sector1!J1123&lt;&gt;"",Sector1!J1123,"n.a.")</f>
        <v>5.543099999999999</v>
      </c>
      <c r="K105" s="3992">
        <f>IF(Sector1!K1123&lt;&gt;"",Sector1!K1123,"n.a.")</f>
        <v>5.5335999999999981</v>
      </c>
      <c r="L105" s="3992">
        <f>IF(Sector1!L1123&lt;&gt;"",Sector1!L1123,"n.a.")</f>
        <v>6.4915000000000029</v>
      </c>
      <c r="M105" s="3992">
        <f>IF(Sector1!M1123&lt;&gt;"",Sector1!M1123,"n.a.")</f>
        <v>4.8237000000000005</v>
      </c>
      <c r="N105" s="3992">
        <f>IF(Sector1!N1123&lt;&gt;"",Sector1!N1123,"n.a.")</f>
        <v>4.5738000000000021</v>
      </c>
      <c r="O105" s="3992">
        <f>IF(Sector1!O1123&lt;&gt;"",Sector1!O1123,"n.a.")</f>
        <v>5.2130000000000019</v>
      </c>
      <c r="P105" s="3992">
        <f>IF(Sector1!P1123&lt;&gt;"",Sector1!P1123,"n.a.")</f>
        <v>3.9553000000000016</v>
      </c>
      <c r="Q105" s="3992">
        <f>IF(Sector1!Q1123&lt;&gt;"",Sector1!Q1123,"n.a.")</f>
        <v>3.6537000000000002</v>
      </c>
      <c r="R105" s="3992">
        <f>IF(Sector1!R1123&lt;&gt;"",Sector1!R1123,"n.a.")</f>
        <v>4.4317000000000055</v>
      </c>
      <c r="S105" s="3992">
        <f>IF(Sector1!S1123&lt;&gt;"",Sector1!S1123,"n.a.")</f>
        <v>4.5229000000000061</v>
      </c>
      <c r="T105" s="3992">
        <f>IF(Sector1!T1123&lt;&gt;"",Sector1!T1123,"n.a.")</f>
        <v>8.3006000000000064</v>
      </c>
      <c r="U105" s="3992">
        <f>IF(Sector1!U1123&lt;&gt;"",Sector1!U1123,"n.a.")</f>
        <v>0.42980000000000596</v>
      </c>
      <c r="V105" s="3992">
        <f>IF(Sector1!V1123&lt;&gt;"",Sector1!V1123,"n.a.")</f>
        <v>11.5076</v>
      </c>
      <c r="W105" s="3992">
        <f>IF(Sector1!W1123&lt;&gt;"",Sector1!W1123,"n.a.")</f>
        <v>3.8226999999999993</v>
      </c>
      <c r="X105" s="3992">
        <f>IF(Sector1!X1123&lt;&gt;"",Sector1!X1123,"n.a.")</f>
        <v>9.4824000000000019</v>
      </c>
      <c r="Y105" s="3992">
        <f>IF(Sector1!Y1123&lt;&gt;"",Sector1!Y1123,"n.a.")</f>
        <v>6.4682999999999966</v>
      </c>
      <c r="Z105" s="3992">
        <f>IF(Sector1!Z1123&lt;&gt;"",Sector1!Z1123,"n.a.")</f>
        <v>2.8231000000000046</v>
      </c>
      <c r="AA105" s="3992">
        <f>IF(Sector1!AA1123&lt;&gt;"",Sector1!AA1123,"n.a.")</f>
        <v>-0.93439999999999745</v>
      </c>
      <c r="AB105" s="3992">
        <f>IF(Sector1!AB1123&lt;&gt;"",Sector1!AB1123,"n.a.")</f>
        <v>2.692900000000003</v>
      </c>
      <c r="AC105" s="3992">
        <f>IF(Sector1!AC1123&lt;&gt;"",Sector1!AC1123,"n.a.")</f>
        <v>3.6839955277492145</v>
      </c>
      <c r="AD105" s="3992">
        <f>IF(Sector1!AD1123&lt;&gt;"",Sector1!AD1123,"n.a.")</f>
        <v>4.3135151179095921</v>
      </c>
      <c r="AE105" s="3992">
        <f>IF(Sector1!AE1123&lt;&gt;"",Sector1!AE1123,"n.a.")</f>
        <v>4.3841903318123805</v>
      </c>
    </row>
    <row r="106" spans="1:31">
      <c r="A106" s="3992" t="str">
        <f t="shared" si="4"/>
        <v>\\DG ECFIN\Forecast\Country databases\Desk transfer databases\BE</v>
      </c>
      <c r="B106" s="3992" t="str">
        <f t="shared" si="5"/>
        <v>BE</v>
      </c>
      <c r="C106" s="3992" t="s">
        <v>2166</v>
      </c>
      <c r="D106" s="3992" t="s">
        <v>2266</v>
      </c>
      <c r="E106" s="3992" t="s">
        <v>2168</v>
      </c>
      <c r="F106" s="3992">
        <v>141</v>
      </c>
      <c r="G106" s="3992" t="s">
        <v>738</v>
      </c>
      <c r="H106" s="3992">
        <f>IF(Sector1!H1133&lt;&gt;"",Sector1!H1133,"n.a.")</f>
        <v>-2.8219000000000003</v>
      </c>
      <c r="I106" s="3992">
        <f>IF(Sector1!I1133&lt;&gt;"",Sector1!I1133,"n.a.")</f>
        <v>-2.7729999999999997</v>
      </c>
      <c r="J106" s="3992">
        <f>IF(Sector1!J1133&lt;&gt;"",Sector1!J1133,"n.a.")</f>
        <v>-3.0305000000000004</v>
      </c>
      <c r="K106" s="3992">
        <f>IF(Sector1!K1133&lt;&gt;"",Sector1!K1133,"n.a.")</f>
        <v>-3.0750000000000006</v>
      </c>
      <c r="L106" s="3992">
        <f>IF(Sector1!L1133&lt;&gt;"",Sector1!L1133,"n.a.")</f>
        <v>-3.0747999999999998</v>
      </c>
      <c r="M106" s="3992">
        <f>IF(Sector1!M1133&lt;&gt;"",Sector1!M1133,"n.a.")</f>
        <v>-2.7425000000000002</v>
      </c>
      <c r="N106" s="3992">
        <f>IF(Sector1!N1133&lt;&gt;"",Sector1!N1133,"n.a.")</f>
        <v>-3.1981999999999999</v>
      </c>
      <c r="O106" s="3992">
        <f>IF(Sector1!O1133&lt;&gt;"",Sector1!O1133,"n.a.")</f>
        <v>-3.9895</v>
      </c>
      <c r="P106" s="3992">
        <f>IF(Sector1!P1133&lt;&gt;"",Sector1!P1133,"n.a.")</f>
        <v>-4.4682999999999993</v>
      </c>
      <c r="Q106" s="3992">
        <f>IF(Sector1!Q1133&lt;&gt;"",Sector1!Q1133,"n.a.")</f>
        <v>-4.5107000000000008</v>
      </c>
      <c r="R106" s="3992">
        <f>IF(Sector1!R1133&lt;&gt;"",Sector1!R1133,"n.a.")</f>
        <v>-4.589599999999999</v>
      </c>
      <c r="S106" s="3992">
        <f>IF(Sector1!S1133&lt;&gt;"",Sector1!S1133,"n.a.")</f>
        <v>-3.9444000000000004</v>
      </c>
      <c r="T106" s="3992">
        <f>IF(Sector1!T1133&lt;&gt;"",Sector1!T1133,"n.a.")</f>
        <v>-5.2087000000000012</v>
      </c>
      <c r="U106" s="3992">
        <f>IF(Sector1!U1133&lt;&gt;"",Sector1!U1133,"n.a.")</f>
        <v>-5.3022999999999998</v>
      </c>
      <c r="V106" s="3992">
        <f>IF(Sector1!V1133&lt;&gt;"",Sector1!V1133,"n.a.")</f>
        <v>-4.5507999999999988</v>
      </c>
      <c r="W106" s="3992">
        <f>IF(Sector1!W1133&lt;&gt;"",Sector1!W1133,"n.a.")</f>
        <v>-4.9037999999999995</v>
      </c>
      <c r="X106" s="3992">
        <f>IF(Sector1!X1133&lt;&gt;"",Sector1!X1133,"n.a.")</f>
        <v>-6.0112000000000005</v>
      </c>
      <c r="Y106" s="3992">
        <f>IF(Sector1!Y1133&lt;&gt;"",Sector1!Y1133,"n.a.")</f>
        <v>-6.7631000000000006</v>
      </c>
      <c r="Z106" s="3992">
        <f>IF(Sector1!Z1133&lt;&gt;"",Sector1!Z1133,"n.a.")</f>
        <v>-6.3844999999999992</v>
      </c>
      <c r="AA106" s="3992">
        <f>IF(Sector1!AA1133&lt;&gt;"",Sector1!AA1133,"n.a.")</f>
        <v>-6.4360999999999997</v>
      </c>
      <c r="AB106" s="3992">
        <f>IF(Sector1!AB1133&lt;&gt;"",Sector1!AB1133,"n.a.")</f>
        <v>-7.910099999999999</v>
      </c>
      <c r="AC106" s="3992">
        <f>IF(Sector1!AC1133&lt;&gt;"",Sector1!AC1133,"n.a.")</f>
        <v>-6.5699095200000004</v>
      </c>
      <c r="AD106" s="3992">
        <f>IF(Sector1!AD1133&lt;&gt;"",Sector1!AD1133,"n.a.")</f>
        <v>-7.7370682408529987</v>
      </c>
      <c r="AE106" s="3992">
        <f>IF(Sector1!AE1133&lt;&gt;"",Sector1!AE1133,"n.a.")</f>
        <v>-8.4389951706667645</v>
      </c>
    </row>
    <row r="107" spans="1:31">
      <c r="A107" s="3992" t="str">
        <f t="shared" si="4"/>
        <v>\\DG ECFIN\Forecast\Country databases\Desk transfer databases\BE</v>
      </c>
      <c r="B107" s="3992" t="str">
        <f t="shared" si="5"/>
        <v>BE</v>
      </c>
      <c r="C107" s="3992" t="s">
        <v>2166</v>
      </c>
      <c r="D107" s="3992" t="s">
        <v>2267</v>
      </c>
      <c r="E107" s="3992" t="s">
        <v>2168</v>
      </c>
      <c r="F107" s="3992">
        <v>142</v>
      </c>
      <c r="G107" s="3992" t="s">
        <v>686</v>
      </c>
      <c r="H107" s="3992">
        <f>IF(Sector1!H1140&lt;&gt;"",Sector1!H1140,"n.a.")</f>
        <v>-0.12269999999999999</v>
      </c>
      <c r="I107" s="3992">
        <f>IF(Sector1!I1140&lt;&gt;"",Sector1!I1140,"n.a.")</f>
        <v>0.34100000000000003</v>
      </c>
      <c r="J107" s="3992">
        <f>IF(Sector1!J1140&lt;&gt;"",Sector1!J1140,"n.a.")</f>
        <v>-0.1585</v>
      </c>
      <c r="K107" s="3992">
        <f>IF(Sector1!K1140&lt;&gt;"",Sector1!K1140,"n.a.")</f>
        <v>-8.0000000000000418E-3</v>
      </c>
      <c r="L107" s="3992">
        <f>IF(Sector1!L1140&lt;&gt;"",Sector1!L1140,"n.a.")</f>
        <v>-0.28609999999999997</v>
      </c>
      <c r="M107" s="3992">
        <f>IF(Sector1!M1140&lt;&gt;"",Sector1!M1140,"n.a.")</f>
        <v>-0.45649999999999996</v>
      </c>
      <c r="N107" s="3992">
        <f>IF(Sector1!N1140&lt;&gt;"",Sector1!N1140,"n.a.")</f>
        <v>-0.43780000000000002</v>
      </c>
      <c r="O107" s="3992">
        <f>IF(Sector1!O1140&lt;&gt;"",Sector1!O1140,"n.a.")</f>
        <v>-0.12670000000000001</v>
      </c>
      <c r="P107" s="3992">
        <f>IF(Sector1!P1140&lt;&gt;"",Sector1!P1140,"n.a.")</f>
        <v>-0.11689999999999996</v>
      </c>
      <c r="Q107" s="3992">
        <f>IF(Sector1!Q1140&lt;&gt;"",Sector1!Q1140,"n.a.")</f>
        <v>-0.31590000000000001</v>
      </c>
      <c r="R107" s="3992">
        <f>IF(Sector1!R1140&lt;&gt;"",Sector1!R1140,"n.a.")</f>
        <v>-5.5999999999999939E-3</v>
      </c>
      <c r="S107" s="3992">
        <f>IF(Sector1!S1140&lt;&gt;"",Sector1!S1140,"n.a.")</f>
        <v>-0.98150000000000004</v>
      </c>
      <c r="T107" s="3992">
        <f>IF(Sector1!T1140&lt;&gt;"",Sector1!T1140,"n.a.")</f>
        <v>-1.3048</v>
      </c>
      <c r="U107" s="3992">
        <f>IF(Sector1!U1140&lt;&gt;"",Sector1!U1140,"n.a.")</f>
        <v>-0.46559999999999996</v>
      </c>
      <c r="V107" s="3992">
        <f>IF(Sector1!V1140&lt;&gt;"",Sector1!V1140,"n.a.")</f>
        <v>-0.30860000000000004</v>
      </c>
      <c r="W107" s="3992">
        <f>IF(Sector1!W1140&lt;&gt;"",Sector1!W1140,"n.a.")</f>
        <v>-0.37550000000000011</v>
      </c>
      <c r="X107" s="3992">
        <f>IF(Sector1!X1140&lt;&gt;"",Sector1!X1140,"n.a.")</f>
        <v>2.6840000000000002</v>
      </c>
      <c r="Y107" s="3992">
        <f>IF(Sector1!Y1140&lt;&gt;"",Sector1!Y1140,"n.a.")</f>
        <v>-0.26129999999999998</v>
      </c>
      <c r="Z107" s="3992">
        <f>IF(Sector1!Z1140&lt;&gt;"",Sector1!Z1140,"n.a.")</f>
        <v>-0.91500000000000004</v>
      </c>
      <c r="AA107" s="3992">
        <f>IF(Sector1!AA1140&lt;&gt;"",Sector1!AA1140,"n.a.")</f>
        <v>0.11130000000000001</v>
      </c>
      <c r="AB107" s="3992">
        <f>IF(Sector1!AB1140&lt;&gt;"",Sector1!AB1140,"n.a.")</f>
        <v>0.46399999999999997</v>
      </c>
      <c r="AC107" s="3992">
        <f>IF(Sector1!AC1140&lt;&gt;"",Sector1!AC1140,"n.a.")</f>
        <v>0.56721299999999986</v>
      </c>
      <c r="AD107" s="3992">
        <f>IF(Sector1!AD1140&lt;&gt;"",Sector1!AD1140,"n.a.")</f>
        <v>0.89636012950414701</v>
      </c>
      <c r="AE107" s="3992">
        <f>IF(Sector1!AE1140&lt;&gt;"",Sector1!AE1140,"n.a.")</f>
        <v>0.98471769722368596</v>
      </c>
    </row>
    <row r="108" spans="1:31">
      <c r="A108" s="3992" t="str">
        <f t="shared" si="4"/>
        <v>\\DG ECFIN\Forecast\Country databases\Desk transfer databases\BE</v>
      </c>
      <c r="B108" s="3992" t="str">
        <f t="shared" si="5"/>
        <v>BE</v>
      </c>
      <c r="C108" s="3992" t="s">
        <v>2166</v>
      </c>
      <c r="D108" s="3992" t="s">
        <v>2268</v>
      </c>
      <c r="E108" s="3992" t="s">
        <v>2168</v>
      </c>
      <c r="F108" s="3992">
        <v>143</v>
      </c>
      <c r="G108" s="3992" t="s">
        <v>1603</v>
      </c>
      <c r="H108" s="3992">
        <f>IF(Sector1!H696&lt;&gt;"",Sector1!H696,"n.a.")</f>
        <v>4.0960000000000001</v>
      </c>
      <c r="I108" s="3992">
        <f>IF(Sector1!I696&lt;&gt;"",Sector1!I696,"n.a.")</f>
        <v>4.3142000000000005</v>
      </c>
      <c r="J108" s="3992">
        <f>IF(Sector1!J696&lt;&gt;"",Sector1!J696,"n.a.")</f>
        <v>4.6071999999999997</v>
      </c>
      <c r="K108" s="3992">
        <f>IF(Sector1!K696&lt;&gt;"",Sector1!K696,"n.a.")</f>
        <v>4.8688000000000002</v>
      </c>
      <c r="L108" s="3992">
        <f>IF(Sector1!L696&lt;&gt;"",Sector1!L696,"n.a.")</f>
        <v>4.9340000000000002</v>
      </c>
      <c r="M108" s="3992">
        <f>IF(Sector1!M696&lt;&gt;"",Sector1!M696,"n.a.")</f>
        <v>5.3940000000000001</v>
      </c>
      <c r="N108" s="3992">
        <f>IF(Sector1!N696&lt;&gt;"",Sector1!N696,"n.a.")</f>
        <v>6.0997000000000003</v>
      </c>
      <c r="O108" s="3992">
        <f>IF(Sector1!O696&lt;&gt;"",Sector1!O696,"n.a.")</f>
        <v>6.4394999999999998</v>
      </c>
      <c r="P108" s="3992">
        <f>IF(Sector1!P696&lt;&gt;"",Sector1!P696,"n.a.")</f>
        <v>6.8159000000000001</v>
      </c>
      <c r="Q108" s="3992">
        <f>IF(Sector1!Q696&lt;&gt;"",Sector1!Q696,"n.a.")</f>
        <v>7.3449999999999998</v>
      </c>
      <c r="R108" s="3992">
        <f>IF(Sector1!R696&lt;&gt;"",Sector1!R696,"n.a.")</f>
        <v>7.6260000000000003</v>
      </c>
      <c r="S108" s="3992">
        <f>IF(Sector1!S696&lt;&gt;"",Sector1!S696,"n.a.")</f>
        <v>7.8668000000000005</v>
      </c>
      <c r="T108" s="3992">
        <f>IF(Sector1!T696&lt;&gt;"",Sector1!T696,"n.a.")</f>
        <v>8.4194999999999993</v>
      </c>
      <c r="U108" s="3992">
        <f>IF(Sector1!U696&lt;&gt;"",Sector1!U696,"n.a.")</f>
        <v>8.8562000000000012</v>
      </c>
      <c r="V108" s="3992">
        <f>IF(Sector1!V696&lt;&gt;"",Sector1!V696,"n.a.")</f>
        <v>9.3468</v>
      </c>
      <c r="W108" s="3992">
        <f>IF(Sector1!W696&lt;&gt;"",Sector1!W696,"n.a.")</f>
        <v>9.9394000000000009</v>
      </c>
      <c r="X108" s="3992">
        <f>IF(Sector1!X696&lt;&gt;"",Sector1!X696,"n.a.")</f>
        <v>10.166599999999999</v>
      </c>
      <c r="Y108" s="3992">
        <f>IF(Sector1!Y696&lt;&gt;"",Sector1!Y696,"n.a.")</f>
        <v>10.790299999999998</v>
      </c>
      <c r="Z108" s="3992">
        <f>IF(Sector1!Z696&lt;&gt;"",Sector1!Z696,"n.a.")</f>
        <v>11.121600000000001</v>
      </c>
      <c r="AA108" s="3992">
        <f>IF(Sector1!AA696&lt;&gt;"",Sector1!AA696,"n.a.")</f>
        <v>11.216099999999999</v>
      </c>
      <c r="AB108" s="3992">
        <f>IF(Sector1!AB696&lt;&gt;"",Sector1!AB696,"n.a.")</f>
        <v>12.3329</v>
      </c>
      <c r="AC108" s="3992">
        <f>IF(Sector1!AC696&lt;&gt;"",Sector1!AC696,"n.a.")</f>
        <v>12.8691</v>
      </c>
      <c r="AD108" s="3992">
        <f>IF(Sector1!AD696&lt;&gt;"",Sector1!AD696,"n.a.")</f>
        <v>13.633550880058674</v>
      </c>
      <c r="AE108" s="3992">
        <f>IF(Sector1!AE696&lt;&gt;"",Sector1!AE696,"n.a.")</f>
        <v>14.242970604397296</v>
      </c>
    </row>
    <row r="109" spans="1:31">
      <c r="A109" s="3992" t="str">
        <f t="shared" si="4"/>
        <v>\\DG ECFIN\Forecast\Country databases\Desk transfer databases\BE</v>
      </c>
      <c r="B109" s="3992" t="str">
        <f t="shared" si="5"/>
        <v>BE</v>
      </c>
      <c r="C109" s="3992" t="s">
        <v>2166</v>
      </c>
      <c r="D109" s="3992" t="s">
        <v>2269</v>
      </c>
      <c r="E109" s="3992" t="s">
        <v>2168</v>
      </c>
      <c r="F109" s="3992">
        <v>144</v>
      </c>
      <c r="G109" s="3992" t="s">
        <v>111</v>
      </c>
      <c r="H109" s="3992">
        <f>IF(Sector1!H692&lt;&gt;"",Sector1!H692,"n.a.")</f>
        <v>4.8239000000000001</v>
      </c>
      <c r="I109" s="3992">
        <f>IF(Sector1!I692&lt;&gt;"",Sector1!I692,"n.a.")</f>
        <v>4.9175000000000004</v>
      </c>
      <c r="J109" s="3992">
        <f>IF(Sector1!J692&lt;&gt;"",Sector1!J692,"n.a.")</f>
        <v>5.0739000000000001</v>
      </c>
      <c r="K109" s="3992">
        <f>IF(Sector1!K692&lt;&gt;"",Sector1!K692,"n.a.")</f>
        <v>5.2344999999999997</v>
      </c>
      <c r="L109" s="3992">
        <f>IF(Sector1!L692&lt;&gt;"",Sector1!L692,"n.a.")</f>
        <v>5.4876000000000005</v>
      </c>
      <c r="M109" s="3992">
        <f>IF(Sector1!M692&lt;&gt;"",Sector1!M692,"n.a.")</f>
        <v>5.6321000000000003</v>
      </c>
      <c r="N109" s="3992">
        <f>IF(Sector1!N692&lt;&gt;"",Sector1!N692,"n.a.")</f>
        <v>5.7755000000000001</v>
      </c>
      <c r="O109" s="3992">
        <f>IF(Sector1!O692&lt;&gt;"",Sector1!O692,"n.a.")</f>
        <v>5.9971000000000005</v>
      </c>
      <c r="P109" s="3992">
        <f>IF(Sector1!P692&lt;&gt;"",Sector1!P692,"n.a.")</f>
        <v>6.1106000000000007</v>
      </c>
      <c r="Q109" s="3992">
        <f>IF(Sector1!Q692&lt;&gt;"",Sector1!Q692,"n.a.")</f>
        <v>6.6166999999999998</v>
      </c>
      <c r="R109" s="3992">
        <f>IF(Sector1!R692&lt;&gt;"",Sector1!R692,"n.a.")</f>
        <v>7.12</v>
      </c>
      <c r="S109" s="3992">
        <f>IF(Sector1!S692&lt;&gt;"",Sector1!S692,"n.a.")</f>
        <v>7.4703999999999997</v>
      </c>
      <c r="T109" s="3992">
        <f>IF(Sector1!T692&lt;&gt;"",Sector1!T692,"n.a.")</f>
        <v>7.8266999999999998</v>
      </c>
      <c r="U109" s="3992">
        <f>IF(Sector1!U692&lt;&gt;"",Sector1!U692,"n.a.")</f>
        <v>7.6950000000000003</v>
      </c>
      <c r="V109" s="3992">
        <f>IF(Sector1!V692&lt;&gt;"",Sector1!V692,"n.a.")</f>
        <v>8.0737000000000005</v>
      </c>
      <c r="W109" s="3992">
        <f>IF(Sector1!W692&lt;&gt;"",Sector1!W692,"n.a.")</f>
        <v>8.5851000000000006</v>
      </c>
      <c r="X109" s="3992">
        <f>IF(Sector1!X692&lt;&gt;"",Sector1!X692,"n.a.")</f>
        <v>8.8847999999999985</v>
      </c>
      <c r="Y109" s="3992">
        <f>IF(Sector1!Y692&lt;&gt;"",Sector1!Y692,"n.a.")</f>
        <v>8.9925999999999995</v>
      </c>
      <c r="Z109" s="3992">
        <f>IF(Sector1!Z692&lt;&gt;"",Sector1!Z692,"n.a.")</f>
        <v>9.0642000000000014</v>
      </c>
      <c r="AA109" s="3992">
        <f>IF(Sector1!AA692&lt;&gt;"",Sector1!AA692,"n.a.")</f>
        <v>9.1327000000000016</v>
      </c>
      <c r="AB109" s="3992">
        <f>IF(Sector1!AB692&lt;&gt;"",Sector1!AB692,"n.a.")</f>
        <v>9.2668999999999997</v>
      </c>
      <c r="AC109" s="3992">
        <f>IF(Sector1!AC692&lt;&gt;"",Sector1!AC692,"n.a.")</f>
        <v>9.5069999999999997</v>
      </c>
      <c r="AD109" s="3992">
        <f>IF(Sector1!AD692&lt;&gt;"",Sector1!AD692,"n.a.")</f>
        <v>9.4971738518000048</v>
      </c>
      <c r="AE109" s="3992">
        <f>IF(Sector1!AE692&lt;&gt;"",Sector1!AE692,"n.a.")</f>
        <v>9.6196873944882242</v>
      </c>
    </row>
    <row r="110" spans="1:31">
      <c r="A110" s="3992" t="str">
        <f t="shared" si="4"/>
        <v>\\DG ECFIN\Forecast\Country databases\Desk transfer databases\BE</v>
      </c>
      <c r="B110" s="3992" t="str">
        <f t="shared" si="5"/>
        <v>BE</v>
      </c>
      <c r="C110" s="3992" t="s">
        <v>2166</v>
      </c>
      <c r="D110" s="3992" t="s">
        <v>2270</v>
      </c>
      <c r="E110" s="3992" t="s">
        <v>2168</v>
      </c>
      <c r="F110" s="3992">
        <v>145</v>
      </c>
      <c r="G110" s="3992" t="s">
        <v>2080</v>
      </c>
      <c r="H110" s="3992">
        <f>IF(Sector1!H689&lt;&gt;"",Sector1!H689,"n.a.")</f>
        <v>7.9761000000000006</v>
      </c>
      <c r="I110" s="3992">
        <f>IF(Sector1!I689&lt;&gt;"",Sector1!I689,"n.a.")</f>
        <v>8.1880000000000006</v>
      </c>
      <c r="J110" s="3992">
        <f>IF(Sector1!J689&lt;&gt;"",Sector1!J689,"n.a.")</f>
        <v>8.5561000000000007</v>
      </c>
      <c r="K110" s="3992">
        <f>IF(Sector1!K689&lt;&gt;"",Sector1!K689,"n.a.")</f>
        <v>9.0108999999999995</v>
      </c>
      <c r="L110" s="3992">
        <f>IF(Sector1!L689&lt;&gt;"",Sector1!L689,"n.a.")</f>
        <v>9.4283999999999999</v>
      </c>
      <c r="M110" s="3992">
        <f>IF(Sector1!M689&lt;&gt;"",Sector1!M689,"n.a.")</f>
        <v>9.9881000000000011</v>
      </c>
      <c r="N110" s="3992">
        <f>IF(Sector1!N689&lt;&gt;"",Sector1!N689,"n.a.")</f>
        <v>11.4903</v>
      </c>
      <c r="O110" s="3992">
        <f>IF(Sector1!O689&lt;&gt;"",Sector1!O689,"n.a.")</f>
        <v>11.7447</v>
      </c>
      <c r="P110" s="3992">
        <f>IF(Sector1!P689&lt;&gt;"",Sector1!P689,"n.a.")</f>
        <v>12.1379</v>
      </c>
      <c r="Q110" s="3992">
        <f>IF(Sector1!Q689&lt;&gt;"",Sector1!Q689,"n.a.")</f>
        <v>12.4862</v>
      </c>
      <c r="R110" s="3992">
        <f>IF(Sector1!R689&lt;&gt;"",Sector1!R689,"n.a.")</f>
        <v>12.8621</v>
      </c>
      <c r="S110" s="3992">
        <f>IF(Sector1!S689&lt;&gt;"",Sector1!S689,"n.a.")</f>
        <v>12.9176</v>
      </c>
      <c r="T110" s="3992">
        <f>IF(Sector1!T689&lt;&gt;"",Sector1!T689,"n.a.")</f>
        <v>14.008799999999999</v>
      </c>
      <c r="U110" s="3992">
        <f>IF(Sector1!U689&lt;&gt;"",Sector1!U689,"n.a.")</f>
        <v>15.0093</v>
      </c>
      <c r="V110" s="3992">
        <f>IF(Sector1!V689&lt;&gt;"",Sector1!V689,"n.a.")</f>
        <v>15.165799999999999</v>
      </c>
      <c r="W110" s="3992">
        <f>IF(Sector1!W689&lt;&gt;"",Sector1!W689,"n.a.")</f>
        <v>15.870200000000001</v>
      </c>
      <c r="X110" s="3992">
        <f>IF(Sector1!X689&lt;&gt;"",Sector1!X689,"n.a.")</f>
        <v>16.4953</v>
      </c>
      <c r="Y110" s="3992">
        <f>IF(Sector1!Y689&lt;&gt;"",Sector1!Y689,"n.a.")</f>
        <v>17.093900000000001</v>
      </c>
      <c r="Z110" s="3992">
        <f>IF(Sector1!Z689&lt;&gt;"",Sector1!Z689,"n.a.")</f>
        <v>16.9955</v>
      </c>
      <c r="AA110" s="3992">
        <f>IF(Sector1!AA689&lt;&gt;"",Sector1!AA689,"n.a.")</f>
        <v>16.693099999999998</v>
      </c>
      <c r="AB110" s="3992">
        <f>IF(Sector1!AB689&lt;&gt;"",Sector1!AB689,"n.a.")</f>
        <v>16.758700000000001</v>
      </c>
      <c r="AC110" s="3992">
        <f>IF(Sector1!AC689&lt;&gt;"",Sector1!AC689,"n.a.")</f>
        <v>17.622599999999998</v>
      </c>
      <c r="AD110" s="3992">
        <f ca="1">IF(Sector1!AD689&lt;&gt;"",Sector1!AD689,"n.a.")</f>
        <v>18.253139009967271</v>
      </c>
      <c r="AE110" s="3992">
        <f ca="1">IF(Sector1!AE689&lt;&gt;"",Sector1!AE689,"n.a.")</f>
        <v>19.283382982206994</v>
      </c>
    </row>
    <row r="111" spans="1:31">
      <c r="A111" s="3992" t="str">
        <f t="shared" si="4"/>
        <v>\\DG ECFIN\Forecast\Country databases\Desk transfer databases\BE</v>
      </c>
      <c r="B111" s="3992" t="str">
        <f t="shared" si="5"/>
        <v>BE</v>
      </c>
      <c r="C111" s="3992" t="s">
        <v>2166</v>
      </c>
      <c r="D111" s="3992" t="s">
        <v>2271</v>
      </c>
      <c r="E111" s="3992" t="s">
        <v>2168</v>
      </c>
      <c r="F111" s="3992">
        <v>146</v>
      </c>
      <c r="G111" s="3992" t="s">
        <v>123</v>
      </c>
      <c r="H111" s="3992">
        <f>IF(Sector1!H690&lt;&gt;"",Sector1!H690,"n.a.")</f>
        <v>12.952399999999999</v>
      </c>
      <c r="I111" s="3992">
        <f>IF(Sector1!I690&lt;&gt;"",Sector1!I690,"n.a.")</f>
        <v>12.9475</v>
      </c>
      <c r="J111" s="3992">
        <f>IF(Sector1!J690&lt;&gt;"",Sector1!J690,"n.a.")</f>
        <v>13.5101</v>
      </c>
      <c r="K111" s="3992">
        <f>IF(Sector1!K690&lt;&gt;"",Sector1!K690,"n.a.")</f>
        <v>14.3796</v>
      </c>
      <c r="L111" s="3992">
        <f>IF(Sector1!L690&lt;&gt;"",Sector1!L690,"n.a.")</f>
        <v>15.3498</v>
      </c>
      <c r="M111" s="3992">
        <f>IF(Sector1!M690&lt;&gt;"",Sector1!M690,"n.a.")</f>
        <v>16.480499999999999</v>
      </c>
      <c r="N111" s="3992">
        <f>IF(Sector1!N690&lt;&gt;"",Sector1!N690,"n.a.")</f>
        <v>17.067799999999998</v>
      </c>
      <c r="O111" s="3992">
        <f>IF(Sector1!O690&lt;&gt;"",Sector1!O690,"n.a.")</f>
        <v>18.512499999999999</v>
      </c>
      <c r="P111" s="3992">
        <f>IF(Sector1!P690&lt;&gt;"",Sector1!P690,"n.a.")</f>
        <v>20.0596</v>
      </c>
      <c r="Q111" s="3992">
        <f>IF(Sector1!Q690&lt;&gt;"",Sector1!Q690,"n.a.")</f>
        <v>21.032</v>
      </c>
      <c r="R111" s="3992">
        <f>IF(Sector1!R690&lt;&gt;"",Sector1!R690,"n.a.")</f>
        <v>21.5001</v>
      </c>
      <c r="S111" s="3992">
        <f>IF(Sector1!S690&lt;&gt;"",Sector1!S690,"n.a.")</f>
        <v>22.658099999999997</v>
      </c>
      <c r="T111" s="3992">
        <f>IF(Sector1!T690&lt;&gt;"",Sector1!T690,"n.a.")</f>
        <v>24.9802</v>
      </c>
      <c r="U111" s="3992">
        <f>IF(Sector1!U690&lt;&gt;"",Sector1!U690,"n.a.")</f>
        <v>26.692700000000002</v>
      </c>
      <c r="V111" s="3992">
        <f>IF(Sector1!V690&lt;&gt;"",Sector1!V690,"n.a.")</f>
        <v>27.728300000000001</v>
      </c>
      <c r="W111" s="3992">
        <f>IF(Sector1!W690&lt;&gt;"",Sector1!W690,"n.a.")</f>
        <v>29.384900000000002</v>
      </c>
      <c r="X111" s="3992">
        <f>IF(Sector1!X690&lt;&gt;"",Sector1!X690,"n.a.")</f>
        <v>30.712700000000002</v>
      </c>
      <c r="Y111" s="3992">
        <f>IF(Sector1!Y690&lt;&gt;"",Sector1!Y690,"n.a.")</f>
        <v>31.182700000000001</v>
      </c>
      <c r="Z111" s="3992">
        <f>IF(Sector1!Z690&lt;&gt;"",Sector1!Z690,"n.a.")</f>
        <v>32.119199999999999</v>
      </c>
      <c r="AA111" s="3992">
        <f>IF(Sector1!AA690&lt;&gt;"",Sector1!AA690,"n.a.")</f>
        <v>32.8825</v>
      </c>
      <c r="AB111" s="3992">
        <f>IF(Sector1!AB690&lt;&gt;"",Sector1!AB690,"n.a.")</f>
        <v>33.738</v>
      </c>
      <c r="AC111" s="3992">
        <f>IF(Sector1!AC690&lt;&gt;"",Sector1!AC690,"n.a.")</f>
        <v>34.874199999999995</v>
      </c>
      <c r="AD111" s="3992">
        <f>IF(Sector1!AD690&lt;&gt;"",Sector1!AD690,"n.a.")</f>
        <v>36.23080637999999</v>
      </c>
      <c r="AE111" s="3992">
        <f>IF(Sector1!AE690&lt;&gt;"",Sector1!AE690,"n.a.")</f>
        <v>37.596707780525989</v>
      </c>
    </row>
    <row r="112" spans="1:31">
      <c r="A112" s="3992" t="str">
        <f t="shared" si="4"/>
        <v>\\DG ECFIN\Forecast\Country databases\Desk transfer databases\BE</v>
      </c>
      <c r="B112" s="3992" t="str">
        <f t="shared" si="5"/>
        <v>BE</v>
      </c>
      <c r="C112" s="3992" t="s">
        <v>2166</v>
      </c>
      <c r="D112" s="3992" t="s">
        <v>2272</v>
      </c>
      <c r="E112" s="3992" t="s">
        <v>2168</v>
      </c>
      <c r="F112" s="3992">
        <v>147</v>
      </c>
      <c r="G112" s="3992" t="s">
        <v>687</v>
      </c>
      <c r="H112" s="3992">
        <f ca="1">IF('VVP2'!H302&lt;&gt;"",'VVP2'!H302,"n.a.")</f>
        <v>105.7623</v>
      </c>
      <c r="I112" s="3992">
        <f ca="1">IF('VVP2'!I302&lt;&gt;"",'VVP2'!I302,"n.a.")</f>
        <v>117.24380000000001</v>
      </c>
      <c r="J112" s="3992">
        <f ca="1">IF('VVP2'!J302&lt;&gt;"",'VVP2'!J302,"n.a.")</f>
        <v>127.2176</v>
      </c>
      <c r="K112" s="3992">
        <f ca="1">IF('VVP2'!K302&lt;&gt;"",'VVP2'!K302,"n.a.")</f>
        <v>132.40679999999998</v>
      </c>
      <c r="L112" s="3992">
        <f>IF('VVP2'!L302&lt;&gt;"",'VVP2'!L302,"n.a.")</f>
        <v>156.69550000000001</v>
      </c>
      <c r="M112" s="3992">
        <f>IF('VVP2'!M302&lt;&gt;"",'VVP2'!M302,"n.a.")</f>
        <v>165.80600000000001</v>
      </c>
      <c r="N112" s="3992">
        <f>IF('VVP2'!N302&lt;&gt;"",'VVP2'!N302,"n.a.")</f>
        <v>172.62379999999999</v>
      </c>
      <c r="O112" s="3992">
        <f>IF('VVP2'!O302&lt;&gt;"",'VVP2'!O302,"n.a.")</f>
        <v>174.60470000000001</v>
      </c>
      <c r="P112" s="3992">
        <f>IF('VVP2'!P302&lt;&gt;"",'VVP2'!P302,"n.a.")</f>
        <v>190.27289999999999</v>
      </c>
      <c r="Q112" s="3992">
        <f>IF('VVP2'!Q302&lt;&gt;"",'VVP2'!Q302,"n.a.")</f>
        <v>206.45600000000002</v>
      </c>
      <c r="R112" s="3992">
        <f>IF('VVP2'!R302&lt;&gt;"",'VVP2'!R302,"n.a.")</f>
        <v>223.3871</v>
      </c>
      <c r="S112" s="3992">
        <f>IF('VVP2'!S302&lt;&gt;"",'VVP2'!S302,"n.a.")</f>
        <v>239.48610000000005</v>
      </c>
      <c r="T112" s="3992">
        <f>IF('VVP2'!T302&lt;&gt;"",'VVP2'!T302,"n.a.")</f>
        <v>246.84370000000001</v>
      </c>
      <c r="U112" s="3992">
        <f>IF('VVP2'!U302&lt;&gt;"",'VVP2'!U302,"n.a.")</f>
        <v>201.27879999999999</v>
      </c>
      <c r="V112" s="3992">
        <f>IF('VVP2'!V302&lt;&gt;"",'VVP2'!V302,"n.a.")</f>
        <v>224.59620000000004</v>
      </c>
      <c r="W112" s="3992">
        <f>IF('VVP2'!W302&lt;&gt;"",'VVP2'!W302,"n.a.")</f>
        <v>246.04180000000002</v>
      </c>
      <c r="X112" s="3992">
        <f>IF('VVP2'!X302&lt;&gt;"",'VVP2'!X302,"n.a.")</f>
        <v>243.05099999999996</v>
      </c>
      <c r="Y112" s="3992">
        <f>IF('VVP2'!Y302&lt;&gt;"",'VVP2'!Y302,"n.a.")</f>
        <v>247.57239999999996</v>
      </c>
      <c r="Z112" s="3992">
        <f>IF('VVP2'!Z302&lt;&gt;"",'VVP2'!Z302,"n.a.")</f>
        <v>250.59639999999996</v>
      </c>
      <c r="AA112" s="3992">
        <f>IF('VVP2'!AA302&lt;&gt;"",'VVP2'!AA302,"n.a.")</f>
        <v>256.49360000000001</v>
      </c>
      <c r="AB112" s="3992">
        <f>IF('VVP2'!AB302&lt;&gt;"",'VVP2'!AB302,"n.a.")</f>
        <v>258.77640000000002</v>
      </c>
      <c r="AC112" s="3992">
        <f>IF('VVP2'!AC302&lt;&gt;"",'VVP2'!AC302,"n.a.")</f>
        <v>274.46430000000004</v>
      </c>
      <c r="AD112" s="3992">
        <f ca="1">IF('VVP2'!AD302&lt;&gt;"",'VVP2'!AD302,"n.a.")</f>
        <v>293.98497058950005</v>
      </c>
      <c r="AE112" s="3992">
        <f ca="1">IF('VVP2'!AE302&lt;&gt;"",'VVP2'!AE302,"n.a.")</f>
        <v>312.72172305725604</v>
      </c>
    </row>
    <row r="113" spans="1:31">
      <c r="A113" s="3992" t="str">
        <f t="shared" si="4"/>
        <v>\\DG ECFIN\Forecast\Country databases\Desk transfer databases\BE</v>
      </c>
      <c r="B113" s="3992" t="str">
        <f t="shared" si="5"/>
        <v>BE</v>
      </c>
      <c r="C113" s="3992" t="s">
        <v>2166</v>
      </c>
      <c r="D113" s="3992" t="s">
        <v>2273</v>
      </c>
      <c r="E113" s="3992" t="s">
        <v>2168</v>
      </c>
      <c r="F113" s="3992">
        <v>148</v>
      </c>
      <c r="G113" s="3992" t="s">
        <v>1962</v>
      </c>
      <c r="H113" s="3992">
        <f>IF(Sector1!H789&lt;&gt;"",Sector1!H789,"n.a.")</f>
        <v>0</v>
      </c>
      <c r="I113" s="3992">
        <f>IF(Sector1!I789&lt;&gt;"",Sector1!I789,"n.a.")</f>
        <v>0</v>
      </c>
      <c r="J113" s="3992">
        <f>IF(Sector1!J789&lt;&gt;"",Sector1!J789,"n.a.")</f>
        <v>0</v>
      </c>
      <c r="K113" s="3992">
        <f>IF(Sector1!K789&lt;&gt;"",Sector1!K789,"n.a.")</f>
        <v>0</v>
      </c>
      <c r="L113" s="3992">
        <f>IF(Sector1!L789&lt;&gt;"",Sector1!L789,"n.a.")</f>
        <v>0</v>
      </c>
      <c r="M113" s="3992">
        <f>IF(Sector1!M789&lt;&gt;"",Sector1!M789,"n.a.")</f>
        <v>0</v>
      </c>
      <c r="N113" s="3992">
        <f>IF(Sector1!N789&lt;&gt;"",Sector1!N789,"n.a.")</f>
        <v>0</v>
      </c>
      <c r="O113" s="3992">
        <f>IF(Sector1!O789&lt;&gt;"",Sector1!O789,"n.a.")</f>
        <v>0</v>
      </c>
      <c r="P113" s="3992">
        <f>IF(Sector1!P789&lt;&gt;"",Sector1!P789,"n.a.")</f>
        <v>0</v>
      </c>
      <c r="Q113" s="3992">
        <f>IF(Sector1!Q789&lt;&gt;"",Sector1!Q789,"n.a.")</f>
        <v>0</v>
      </c>
      <c r="R113" s="3992">
        <f>IF(Sector1!R789&lt;&gt;"",Sector1!R789,"n.a.")</f>
        <v>0</v>
      </c>
      <c r="S113" s="3992">
        <f>IF(Sector1!S789&lt;&gt;"",Sector1!S789,"n.a.")</f>
        <v>0</v>
      </c>
      <c r="T113" s="3992">
        <f>IF(Sector1!T789&lt;&gt;"",Sector1!T789,"n.a.")</f>
        <v>0</v>
      </c>
      <c r="U113" s="3992">
        <f>IF(Sector1!U789&lt;&gt;"",Sector1!U789,"n.a.")</f>
        <v>0</v>
      </c>
      <c r="V113" s="3992">
        <f>IF(Sector1!V789&lt;&gt;"",Sector1!V789,"n.a.")</f>
        <v>0</v>
      </c>
      <c r="W113" s="3992">
        <f>IF(Sector1!W789&lt;&gt;"",Sector1!W789,"n.a.")</f>
        <v>0</v>
      </c>
      <c r="X113" s="3992">
        <f>IF(Sector1!X789&lt;&gt;"",Sector1!X789,"n.a.")</f>
        <v>0</v>
      </c>
      <c r="Y113" s="3992">
        <f>IF(Sector1!Y789&lt;&gt;"",Sector1!Y789,"n.a.")</f>
        <v>0</v>
      </c>
      <c r="Z113" s="3992">
        <f>IF(Sector1!Z789&lt;&gt;"",Sector1!Z789,"n.a.")</f>
        <v>0</v>
      </c>
      <c r="AA113" s="3992">
        <f>IF(Sector1!AA789&lt;&gt;"",Sector1!AA789,"n.a.")</f>
        <v>0</v>
      </c>
      <c r="AB113" s="3992">
        <f>IF(Sector1!AB789&lt;&gt;"",Sector1!AB789,"n.a.")</f>
        <v>0</v>
      </c>
      <c r="AC113" s="3992">
        <f>IF(Sector1!AC789&lt;&gt;"",Sector1!AC789,"n.a.")</f>
        <v>0</v>
      </c>
      <c r="AD113" s="3992">
        <f>IF(Sector1!AD789&lt;&gt;"",Sector1!AD789,"n.a.")</f>
        <v>0</v>
      </c>
      <c r="AE113" s="3992">
        <f>IF(Sector1!AE789&lt;&gt;"",Sector1!AE789,"n.a.")</f>
        <v>0</v>
      </c>
    </row>
    <row r="114" spans="1:31">
      <c r="A114" s="3992" t="str">
        <f t="shared" si="4"/>
        <v>\\DG ECFIN\Forecast\Country databases\Desk transfer databases\BE</v>
      </c>
      <c r="B114" s="3992" t="str">
        <f t="shared" si="5"/>
        <v>BE</v>
      </c>
      <c r="C114" s="3992" t="s">
        <v>2166</v>
      </c>
      <c r="D114" s="3992" t="s">
        <v>2274</v>
      </c>
      <c r="E114" s="3992" t="s">
        <v>2168</v>
      </c>
      <c r="F114" s="3992">
        <v>149</v>
      </c>
      <c r="G114" s="3992" t="s">
        <v>1736</v>
      </c>
      <c r="H114" s="3992">
        <f ca="1">IF('VVP2'!H303&lt;&gt;"",'VVP2'!H303,"n.a.")</f>
        <v>28.8492</v>
      </c>
      <c r="I114" s="3992">
        <f ca="1">IF('VVP2'!I303&lt;&gt;"",'VVP2'!I303,"n.a.")</f>
        <v>35.033499999999997</v>
      </c>
      <c r="J114" s="3992">
        <f ca="1">IF('VVP2'!J303&lt;&gt;"",'VVP2'!J303,"n.a.")</f>
        <v>33.698500000000003</v>
      </c>
      <c r="K114" s="3992">
        <f ca="1">IF('VVP2'!K303&lt;&gt;"",'VVP2'!K303,"n.a.")</f>
        <v>35.684400000000004</v>
      </c>
      <c r="L114" s="3992">
        <f>IF('VVP2'!L303&lt;&gt;"",'VVP2'!L303,"n.a.")</f>
        <v>47.257699999999993</v>
      </c>
      <c r="M114" s="3992">
        <f>IF('VVP2'!M303&lt;&gt;"",'VVP2'!M303,"n.a.")</f>
        <v>46.73149999999999</v>
      </c>
      <c r="N114" s="3992">
        <f>IF('VVP2'!N303&lt;&gt;"",'VVP2'!N303,"n.a.")</f>
        <v>55.937399999999997</v>
      </c>
      <c r="O114" s="3992">
        <f>IF('VVP2'!O303&lt;&gt;"",'VVP2'!O303,"n.a.")</f>
        <v>51.364900000000006</v>
      </c>
      <c r="P114" s="3992">
        <f>IF('VVP2'!P303&lt;&gt;"",'VVP2'!P303,"n.a.")</f>
        <v>56.42410000000001</v>
      </c>
      <c r="Q114" s="3992">
        <f>IF('VVP2'!Q303&lt;&gt;"",'VVP2'!Q303,"n.a.")</f>
        <v>62.332699999999988</v>
      </c>
      <c r="R114" s="3992">
        <f>IF('VVP2'!R303&lt;&gt;"",'VVP2'!R303,"n.a.")</f>
        <v>68.699999999999932</v>
      </c>
      <c r="S114" s="3992">
        <f>IF('VVP2'!S303&lt;&gt;"",'VVP2'!S303,"n.a.")</f>
        <v>74.962699999999984</v>
      </c>
      <c r="T114" s="3992">
        <f>IF('VVP2'!T303&lt;&gt;"",'VVP2'!T303,"n.a.")</f>
        <v>73.961300000000008</v>
      </c>
      <c r="U114" s="3992">
        <f>IF('VVP2'!U303&lt;&gt;"",'VVP2'!U303,"n.a.")</f>
        <v>64.7072</v>
      </c>
      <c r="V114" s="3992">
        <f>IF('VVP2'!V303&lt;&gt;"",'VVP2'!V303,"n.a.")</f>
        <v>82.933699999999988</v>
      </c>
      <c r="W114" s="3992">
        <f>IF('VVP2'!W303&lt;&gt;"",'VVP2'!W303,"n.a.")</f>
        <v>95.676299999999998</v>
      </c>
      <c r="X114" s="3992">
        <f>IF('VVP2'!X303&lt;&gt;"",'VVP2'!X303,"n.a.")</f>
        <v>104.03720000000006</v>
      </c>
      <c r="Y114" s="3992">
        <f>IF('VVP2'!Y303&lt;&gt;"",'VVP2'!Y303,"n.a.")</f>
        <v>105.38320000000003</v>
      </c>
      <c r="Z114" s="3992">
        <f>IF('VVP2'!Z303&lt;&gt;"",'VVP2'!Z303,"n.a.")</f>
        <v>104.69130000000006</v>
      </c>
      <c r="AA114" s="3992">
        <f>IF('VVP2'!AA303&lt;&gt;"",'VVP2'!AA303,"n.a.")</f>
        <v>101.25980000000003</v>
      </c>
      <c r="AB114" s="3992">
        <f>IF('VVP2'!AB303&lt;&gt;"",'VVP2'!AB303,"n.a.")</f>
        <v>100.76729999999998</v>
      </c>
      <c r="AC114" s="3992">
        <f>IF('VVP2'!AC303&lt;&gt;"",'VVP2'!AC303,"n.a.")</f>
        <v>106.55620000000005</v>
      </c>
      <c r="AD114" s="3992">
        <f ca="1">IF('VVP2'!AD303&lt;&gt;"",'VVP2'!AD303,"n.a.")</f>
        <v>110.81844800000005</v>
      </c>
      <c r="AE114" s="3992">
        <f ca="1">IF('VVP2'!AE303&lt;&gt;"",'VVP2'!AE303,"n.a.")</f>
        <v>115.25118592000005</v>
      </c>
    </row>
    <row r="115" spans="1:31">
      <c r="A115" s="3992" t="str">
        <f t="shared" si="4"/>
        <v>\\DG ECFIN\Forecast\Country databases\Desk transfer databases\BE</v>
      </c>
      <c r="B115" s="3992" t="str">
        <f t="shared" si="5"/>
        <v>BE</v>
      </c>
      <c r="C115" s="3992" t="s">
        <v>2166</v>
      </c>
      <c r="D115" s="3992" t="s">
        <v>2275</v>
      </c>
      <c r="E115" s="3992" t="s">
        <v>2168</v>
      </c>
      <c r="F115" s="3992">
        <v>150</v>
      </c>
      <c r="G115" s="3992" t="s">
        <v>1738</v>
      </c>
      <c r="H115" s="3992">
        <f ca="1">IF('VVP2'!H334&lt;&gt;"",'VVP2'!H334,"n.a.")</f>
        <v>92.838300000000004</v>
      </c>
      <c r="I115" s="3992">
        <f ca="1">IF('VVP2'!I334&lt;&gt;"",'VVP2'!I334,"n.a.")</f>
        <v>101.0364</v>
      </c>
      <c r="J115" s="3992">
        <f ca="1">IF('VVP2'!J334&lt;&gt;"",'VVP2'!J334,"n.a.")</f>
        <v>107.7954</v>
      </c>
      <c r="K115" s="3992">
        <f ca="1">IF('VVP2'!K334&lt;&gt;"",'VVP2'!K334,"n.a.")</f>
        <v>111.8467</v>
      </c>
      <c r="L115" s="3992">
        <f>IF('VVP2'!L334&lt;&gt;"",'VVP2'!L334,"n.a.")</f>
        <v>136.20339999999999</v>
      </c>
      <c r="M115" s="3992">
        <f>IF('VVP2'!M334&lt;&gt;"",'VVP2'!M334,"n.a.")</f>
        <v>143.63560000000001</v>
      </c>
      <c r="N115" s="3992">
        <f>IF('VVP2'!N334&lt;&gt;"",'VVP2'!N334,"n.a.")</f>
        <v>152.87910000000002</v>
      </c>
      <c r="O115" s="3992">
        <f>IF('VVP2'!O334&lt;&gt;"",'VVP2'!O334,"n.a.")</f>
        <v>152.8528</v>
      </c>
      <c r="P115" s="3992">
        <f>IF('VVP2'!P334&lt;&gt;"",'VVP2'!P334,"n.a.")</f>
        <v>167.285</v>
      </c>
      <c r="Q115" s="3992">
        <f>IF('VVP2'!Q334&lt;&gt;"",'VVP2'!Q334,"n.a.")</f>
        <v>184.72590000000002</v>
      </c>
      <c r="R115" s="3992">
        <f>IF('VVP2'!R334&lt;&gt;"",'VVP2'!R334,"n.a.")</f>
        <v>200.14849999999998</v>
      </c>
      <c r="S115" s="3992">
        <f>IF('VVP2'!S334&lt;&gt;"",'VVP2'!S334,"n.a.")</f>
        <v>211.94280000000001</v>
      </c>
      <c r="T115" s="3992">
        <f>IF('VVP2'!T334&lt;&gt;"",'VVP2'!T334,"n.a.")</f>
        <v>221.63839999999996</v>
      </c>
      <c r="U115" s="3992">
        <f>IF('VVP2'!U334&lt;&gt;"",'VVP2'!U334,"n.a.")</f>
        <v>178.9665</v>
      </c>
      <c r="V115" s="3992">
        <f>IF('VVP2'!V334&lt;&gt;"",'VVP2'!V334,"n.a.")</f>
        <v>203.95889999999997</v>
      </c>
      <c r="W115" s="3992">
        <f>IF('VVP2'!W334&lt;&gt;"",'VVP2'!W334,"n.a.")</f>
        <v>227.01139999999998</v>
      </c>
      <c r="X115" s="3992">
        <f>IF('VVP2'!X334&lt;&gt;"",'VVP2'!X334,"n.a.")</f>
        <v>230.94420000000002</v>
      </c>
      <c r="Y115" s="3992">
        <f>IF('VVP2'!Y334&lt;&gt;"",'VVP2'!Y334,"n.a.")</f>
        <v>225.90789999999996</v>
      </c>
      <c r="Z115" s="3992">
        <f>IF('VVP2'!Z334&lt;&gt;"",'VVP2'!Z334,"n.a.")</f>
        <v>221.79759999999999</v>
      </c>
      <c r="AA115" s="3992">
        <f>IF('VVP2'!AA334&lt;&gt;"",'VVP2'!AA334,"n.a.")</f>
        <v>212.56850000000003</v>
      </c>
      <c r="AB115" s="3992">
        <f>IF('VVP2'!AB334&lt;&gt;"",'VVP2'!AB334,"n.a.")</f>
        <v>218.50980000000001</v>
      </c>
      <c r="AC115" s="3992">
        <f>IF('VVP2'!AC334&lt;&gt;"",'VVP2'!AC334,"n.a.")</f>
        <v>231.54430000000002</v>
      </c>
      <c r="AD115" s="3992">
        <f ca="1">IF('VVP2'!AD334&lt;&gt;"",'VVP2'!AD334,"n.a.")</f>
        <v>247.63087470000005</v>
      </c>
      <c r="AE115" s="3992">
        <f ca="1">IF('VVP2'!AE334&lt;&gt;"",'VVP2'!AE334,"n.a.")</f>
        <v>262.97241452700905</v>
      </c>
    </row>
    <row r="116" spans="1:31">
      <c r="A116" s="3992" t="str">
        <f t="shared" si="4"/>
        <v>\\DG ECFIN\Forecast\Country databases\Desk transfer databases\BE</v>
      </c>
      <c r="B116" s="3992" t="str">
        <f t="shared" si="5"/>
        <v>BE</v>
      </c>
      <c r="C116" s="3992" t="s">
        <v>2166</v>
      </c>
      <c r="D116" s="3768" t="s">
        <v>2720</v>
      </c>
      <c r="E116" s="3992" t="s">
        <v>2168</v>
      </c>
      <c r="F116" s="3992">
        <v>151</v>
      </c>
      <c r="G116" s="3992" t="s">
        <v>2721</v>
      </c>
      <c r="H116" s="3992">
        <f>Sector1!H1145</f>
        <v>8.1627000000000116</v>
      </c>
      <c r="I116" s="3992">
        <f>Sector1!I1145</f>
        <v>10.320400000000015</v>
      </c>
      <c r="J116" s="3992">
        <f>Sector1!J1145</f>
        <v>10.274300000000018</v>
      </c>
      <c r="K116" s="3992">
        <f>Sector1!K1145</f>
        <v>11.739699999999978</v>
      </c>
      <c r="L116" s="3992">
        <f>Sector1!L1145</f>
        <v>10.22369999999999</v>
      </c>
      <c r="M116" s="3992">
        <f>Sector1!M1145</f>
        <v>10.975200000000006</v>
      </c>
      <c r="N116" s="3992">
        <f>Sector1!N1145</f>
        <v>16.516999999999978</v>
      </c>
      <c r="O116" s="3992">
        <f>Sector1!O1145</f>
        <v>15.925899999999984</v>
      </c>
      <c r="P116" s="3992">
        <f>Sector1!P1145</f>
        <v>13.532700000000013</v>
      </c>
      <c r="Q116" s="3992">
        <f>Sector1!Q1145</f>
        <v>10.562600000000003</v>
      </c>
      <c r="R116" s="3992">
        <f>Sector1!R1145</f>
        <v>12.021300000000016</v>
      </c>
      <c r="S116" s="3992">
        <f>Sector1!S1145</f>
        <v>13.73979999999999</v>
      </c>
      <c r="T116" s="3992">
        <f>Sector1!T1145</f>
        <v>4.8052999999999271</v>
      </c>
      <c r="U116" s="3992">
        <f>Sector1!U1145</f>
        <v>3.0196999999999798</v>
      </c>
      <c r="V116" s="3992">
        <f>Sector1!V1145</f>
        <v>13.516700000000029</v>
      </c>
      <c r="W116" s="3992">
        <f>Sector1!W1145</f>
        <v>0.88049999999997564</v>
      </c>
      <c r="X116" s="3992">
        <f>Sector1!X1145</f>
        <v>5.8609000000000062</v>
      </c>
      <c r="Y116" s="3992">
        <f>Sector1!Y1145</f>
        <v>4.5779000000000041</v>
      </c>
      <c r="Z116" s="3992">
        <f>Sector1!Z1145</f>
        <v>-1.0246000000000235</v>
      </c>
      <c r="AA116" s="3992">
        <f>Sector1!AA1145</f>
        <v>-1.7930000000000108</v>
      </c>
      <c r="AB116" s="3992">
        <f>Sector1!AB1145</f>
        <v>0.40800000000001102</v>
      </c>
      <c r="AC116" s="3992">
        <f>Sector1!AC1145</f>
        <v>2.8019860077492842</v>
      </c>
      <c r="AD116" s="3992">
        <f ca="1">Sector1!AD1145</f>
        <v>2.3226963764565305</v>
      </c>
      <c r="AE116" s="3992">
        <f ca="1">Sector1!AE1145</f>
        <v>3.0298363086029347</v>
      </c>
    </row>
    <row r="117" spans="1:31">
      <c r="A117" s="3992" t="str">
        <f t="shared" si="4"/>
        <v>\\DG ECFIN\Forecast\Country databases\Desk transfer databases\BE</v>
      </c>
      <c r="B117" s="3992" t="str">
        <f t="shared" si="5"/>
        <v>BE</v>
      </c>
      <c r="C117" s="3992" t="s">
        <v>2166</v>
      </c>
      <c r="D117" s="3992" t="s">
        <v>2276</v>
      </c>
      <c r="E117" s="3992" t="s">
        <v>2168</v>
      </c>
      <c r="F117" s="3992">
        <v>152</v>
      </c>
      <c r="G117" s="3992" t="s">
        <v>1114</v>
      </c>
      <c r="H117" s="3992">
        <f ca="1">IF('VVP2'!H335&lt;&gt;"",'VVP2'!H335,"n.a.")</f>
        <v>32.738799999999998</v>
      </c>
      <c r="I117" s="3992">
        <f ca="1">IF('VVP2'!I335&lt;&gt;"",'VVP2'!I335,"n.a.")</f>
        <v>38.259</v>
      </c>
      <c r="J117" s="3992">
        <f ca="1">IF('VVP2'!J335&lt;&gt;"",'VVP2'!J335,"n.a.")</f>
        <v>40.146000000000001</v>
      </c>
      <c r="K117" s="3992">
        <f ca="1">IF('VVP2'!K335&lt;&gt;"",'VVP2'!K335,"n.a.")</f>
        <v>42.788499999999999</v>
      </c>
      <c r="L117" s="3992">
        <f>IF('VVP2'!L335&lt;&gt;"",'VVP2'!L335,"n.a.")</f>
        <v>55.991499999999988</v>
      </c>
      <c r="M117" s="3992">
        <f>IF('VVP2'!M335&lt;&gt;"",'VVP2'!M335,"n.a.")</f>
        <v>55.855600000000031</v>
      </c>
      <c r="N117" s="3992">
        <f>IF('VVP2'!N335&lt;&gt;"",'VVP2'!N335,"n.a.")</f>
        <v>56.840799999999959</v>
      </c>
      <c r="O117" s="3992">
        <f>IF('VVP2'!O335&lt;&gt;"",'VVP2'!O335,"n.a.")</f>
        <v>54.842400000000012</v>
      </c>
      <c r="P117" s="3992">
        <f>IF('VVP2'!P335&lt;&gt;"",'VVP2'!P335,"n.a.")</f>
        <v>62.332100000000018</v>
      </c>
      <c r="Q117" s="3992">
        <f>IF('VVP2'!Q335&lt;&gt;"",'VVP2'!Q335,"n.a.")</f>
        <v>71.442999999999984</v>
      </c>
      <c r="R117" s="3992">
        <f>IF('VVP2'!R335&lt;&gt;"",'VVP2'!R335,"n.a.")</f>
        <v>79.904699999999991</v>
      </c>
      <c r="S117" s="3992">
        <f>IF('VVP2'!S335&lt;&gt;"",'VVP2'!S335,"n.a.")</f>
        <v>88.354799999999969</v>
      </c>
      <c r="T117" s="3992">
        <f>IF('VVP2'!T335&lt;&gt;"",'VVP2'!T335,"n.a.")</f>
        <v>95.405000000000044</v>
      </c>
      <c r="U117" s="3992">
        <f>IF('VVP2'!U335&lt;&gt;"",'VVP2'!U335,"n.a.")</f>
        <v>75.401000000000025</v>
      </c>
      <c r="V117" s="3992">
        <f>IF('VVP2'!V335&lt;&gt;"",'VVP2'!V335,"n.a.")</f>
        <v>91.113300000000024</v>
      </c>
      <c r="W117" s="3992">
        <f>IF('VVP2'!W335&lt;&gt;"",'VVP2'!W335,"n.a.")</f>
        <v>108.4361</v>
      </c>
      <c r="X117" s="3992">
        <f>IF('VVP2'!X335&lt;&gt;"",'VVP2'!X335,"n.a.")</f>
        <v>110.84309999999998</v>
      </c>
      <c r="Y117" s="3992">
        <f>IF('VVP2'!Y335&lt;&gt;"",'VVP2'!Y335,"n.a.")</f>
        <v>114.18510000000003</v>
      </c>
      <c r="Z117" s="3992">
        <f>IF('VVP2'!Z335&lt;&gt;"",'VVP2'!Z335,"n.a.")</f>
        <v>119.62920000000003</v>
      </c>
      <c r="AA117" s="3992">
        <f>IF('VVP2'!AA335&lt;&gt;"",'VVP2'!AA335,"n.a.")</f>
        <v>126.00220000000003</v>
      </c>
      <c r="AB117" s="3992">
        <f>IF('VVP2'!AB335&lt;&gt;"",'VVP2'!AB335,"n.a.")</f>
        <v>123.97069999999999</v>
      </c>
      <c r="AC117" s="3992">
        <f>IF('VVP2'!AC335&lt;&gt;"",'VVP2'!AC335,"n.a.")</f>
        <v>128.62820000000002</v>
      </c>
      <c r="AD117" s="3992">
        <f ca="1">IF('VVP2'!AD335&lt;&gt;"",'VVP2'!AD335,"n.a.")</f>
        <v>135.05961000000002</v>
      </c>
      <c r="AE117" s="3992">
        <f ca="1">IF('VVP2'!AE335&lt;&gt;"",'VVP2'!AE335,"n.a.")</f>
        <v>141.81259050000003</v>
      </c>
    </row>
    <row r="118" spans="1:31">
      <c r="A118" s="3992" t="str">
        <f t="shared" si="4"/>
        <v>\\DG ECFIN\Forecast\Country databases\Desk transfer databases\BE</v>
      </c>
      <c r="B118" s="3992" t="str">
        <f t="shared" si="5"/>
        <v>BE</v>
      </c>
      <c r="C118" s="3992" t="s">
        <v>2166</v>
      </c>
      <c r="D118" s="3992" t="s">
        <v>2277</v>
      </c>
      <c r="E118" s="3992" t="s">
        <v>2168</v>
      </c>
      <c r="F118" s="3992">
        <v>153</v>
      </c>
      <c r="G118" s="3992" t="s">
        <v>1287</v>
      </c>
      <c r="H118" s="3992" t="str">
        <f>IF(ISNA(VLOOKUP($D118&amp;".1.0.0.0",InputDFM!$A$3:$AN$8,MATCH(H$11,InputDFM!$2:$2,0),FALSE)),"n.a.",(VLOOKUP($D118&amp;".1.0.0.0",InputDFM!$A$3:$AN$8,MATCH(H$11,InputDFM!$2:$2,0),FALSE)))</f>
        <v>n.a.</v>
      </c>
      <c r="I118" s="3992" t="str">
        <f>IF(ISNA(VLOOKUP($D118&amp;".1.0.0.0",InputDFM!$A$3:$AN$8,MATCH(I$11,InputDFM!$2:$2,0),FALSE)),"n.a.",(VLOOKUP($D118&amp;".1.0.0.0",InputDFM!$A$3:$AN$8,MATCH(I$11,InputDFM!$2:$2,0),FALSE)))</f>
        <v>n.a.</v>
      </c>
      <c r="J118" s="3992" t="str">
        <f>IF(ISNA(VLOOKUP($D118&amp;".1.0.0.0",InputDFM!$A$3:$AN$8,MATCH(J$11,InputDFM!$2:$2,0),FALSE)),"n.a.",(VLOOKUP($D118&amp;".1.0.0.0",InputDFM!$A$3:$AN$8,MATCH(J$11,InputDFM!$2:$2,0),FALSE)))</f>
        <v>n.a.</v>
      </c>
      <c r="K118" s="3992" t="str">
        <f>IF(ISNA(VLOOKUP($D118&amp;".1.0.0.0",InputDFM!$A$3:$AN$8,MATCH(K$11,InputDFM!$2:$2,0),FALSE)),"n.a.",(VLOOKUP($D118&amp;".1.0.0.0",InputDFM!$A$3:$AN$8,MATCH(K$11,InputDFM!$2:$2,0),FALSE)))</f>
        <v>n.a.</v>
      </c>
      <c r="L118" s="3992" t="str">
        <f>IF(ISNA(VLOOKUP($D118&amp;".1.0.0.0",InputDFM!$A$3:$AN$8,MATCH(L$11,InputDFM!$2:$2,0),FALSE)),"n.a.",(VLOOKUP($D118&amp;".1.0.0.0",InputDFM!$A$3:$AN$8,MATCH(L$11,InputDFM!$2:$2,0),FALSE)))</f>
        <v>n.a.</v>
      </c>
      <c r="M118" s="3992" t="str">
        <f>IF(ISNA(VLOOKUP($D118&amp;".1.0.0.0",InputDFM!$A$3:$AN$8,MATCH(M$11,InputDFM!$2:$2,0),FALSE)),"n.a.",(VLOOKUP($D118&amp;".1.0.0.0",InputDFM!$A$3:$AN$8,MATCH(M$11,InputDFM!$2:$2,0),FALSE)))</f>
        <v>n.a.</v>
      </c>
      <c r="N118" s="3992" t="str">
        <f>IF(ISNA(VLOOKUP($D118&amp;".1.0.0.0",InputDFM!$A$3:$AN$8,MATCH(N$11,InputDFM!$2:$2,0),FALSE)),"n.a.",(VLOOKUP($D118&amp;".1.0.0.0",InputDFM!$A$3:$AN$8,MATCH(N$11,InputDFM!$2:$2,0),FALSE)))</f>
        <v>n.a.</v>
      </c>
      <c r="O118" s="3992" t="str">
        <f>IF(ISNA(VLOOKUP($D118&amp;".1.0.0.0",InputDFM!$A$3:$AN$8,MATCH(O$11,InputDFM!$2:$2,0),FALSE)),"n.a.",(VLOOKUP($D118&amp;".1.0.0.0",InputDFM!$A$3:$AN$8,MATCH(O$11,InputDFM!$2:$2,0),FALSE)))</f>
        <v>n.a.</v>
      </c>
      <c r="P118" s="3992" t="str">
        <f>IF(ISNA(VLOOKUP($D118&amp;".1.0.0.0",InputDFM!$A$3:$AN$8,MATCH(P$11,InputDFM!$2:$2,0),FALSE)),"n.a.",(VLOOKUP($D118&amp;".1.0.0.0",InputDFM!$A$3:$AN$8,MATCH(P$11,InputDFM!$2:$2,0),FALSE)))</f>
        <v>n.a.</v>
      </c>
      <c r="Q118" s="3992" t="str">
        <f>IF(ISNA(VLOOKUP($D118&amp;".1.0.0.0",InputDFM!$A$3:$AN$8,MATCH(Q$11,InputDFM!$2:$2,0),FALSE)),"n.a.",(VLOOKUP($D118&amp;".1.0.0.0",InputDFM!$A$3:$AN$8,MATCH(Q$11,InputDFM!$2:$2,0),FALSE)))</f>
        <v>n.a.</v>
      </c>
      <c r="R118" s="3992" t="str">
        <f>IF(ISNA(VLOOKUP($D118&amp;".1.0.0.0",InputDFM!$A$3:$AN$8,MATCH(R$11,InputDFM!$2:$2,0),FALSE)),"n.a.",(VLOOKUP($D118&amp;".1.0.0.0",InputDFM!$A$3:$AN$8,MATCH(R$11,InputDFM!$2:$2,0),FALSE)))</f>
        <v>n.a.</v>
      </c>
      <c r="S118" s="3992" t="str">
        <f>IF(ISNA(VLOOKUP($D118&amp;".1.0.0.0",InputDFM!$A$3:$AN$8,MATCH(S$11,InputDFM!$2:$2,0),FALSE)),"n.a.",(VLOOKUP($D118&amp;".1.0.0.0",InputDFM!$A$3:$AN$8,MATCH(S$11,InputDFM!$2:$2,0),FALSE)))</f>
        <v>n.a.</v>
      </c>
      <c r="T118" s="3992" t="str">
        <f>IF(ISNA(VLOOKUP($D118&amp;".1.0.0.0",InputDFM!$A$3:$AN$8,MATCH(T$11,InputDFM!$2:$2,0),FALSE)),"n.a.",(VLOOKUP($D118&amp;".1.0.0.0",InputDFM!$A$3:$AN$8,MATCH(T$11,InputDFM!$2:$2,0),FALSE)))</f>
        <v>n.a.</v>
      </c>
      <c r="U118" s="3992" t="str">
        <f>IF(ISNA(VLOOKUP($D118&amp;".1.0.0.0",InputDFM!$A$3:$AN$8,MATCH(U$11,InputDFM!$2:$2,0),FALSE)),"n.a.",(VLOOKUP($D118&amp;".1.0.0.0",InputDFM!$A$3:$AN$8,MATCH(U$11,InputDFM!$2:$2,0),FALSE)))</f>
        <v>n.a.</v>
      </c>
      <c r="V118" s="3992" t="str">
        <f>IF(ISNA(VLOOKUP($D118&amp;".1.0.0.0",InputDFM!$A$3:$AN$8,MATCH(V$11,InputDFM!$2:$2,0),FALSE)),"n.a.",(VLOOKUP($D118&amp;".1.0.0.0",InputDFM!$A$3:$AN$8,MATCH(V$11,InputDFM!$2:$2,0),FALSE)))</f>
        <v>n.a.</v>
      </c>
      <c r="W118" s="3992" t="str">
        <f>IF(ISNA(VLOOKUP($D118&amp;".1.0.0.0",InputDFM!$A$3:$AN$8,MATCH(W$11,InputDFM!$2:$2,0),FALSE)),"n.a.",(VLOOKUP($D118&amp;".1.0.0.0",InputDFM!$A$3:$AN$8,MATCH(W$11,InputDFM!$2:$2,0),FALSE)))</f>
        <v>n.a.</v>
      </c>
      <c r="X118" s="3992" t="str">
        <f>IF(ISNA(VLOOKUP($D118&amp;".1.0.0.0",InputDFM!$A$3:$AN$8,MATCH(X$11,InputDFM!$2:$2,0),FALSE)),"n.a.",(VLOOKUP($D118&amp;".1.0.0.0",InputDFM!$A$3:$AN$8,MATCH(X$11,InputDFM!$2:$2,0),FALSE)))</f>
        <v>n.a.</v>
      </c>
      <c r="Y118" s="3992" t="str">
        <f>IF(ISNA(VLOOKUP($D118&amp;".1.0.0.0",InputDFM!$A$3:$AN$8,MATCH(Y$11,InputDFM!$2:$2,0),FALSE)),"n.a.",(VLOOKUP($D118&amp;".1.0.0.0",InputDFM!$A$3:$AN$8,MATCH(Y$11,InputDFM!$2:$2,0),FALSE)))</f>
        <v>n.a.</v>
      </c>
      <c r="Z118" s="3992">
        <f>IF(ISNA(VLOOKUP($D118&amp;".1.0.0.0",InputDFM!$A$3:$AN$8,MATCH(Z$11,InputDFM!$2:$2,0),FALSE)),"n.a.",(VLOOKUP($D118&amp;".1.0.0.0",InputDFM!$A$3:$AN$8,MATCH(Z$11,InputDFM!$2:$2,0),FALSE)))</f>
        <v>-1.0654999999999999</v>
      </c>
      <c r="AA118" s="3992">
        <f>IF(ISNA(VLOOKUP($D118&amp;".1.0.0.0",InputDFM!$A$3:$AN$8,MATCH(AA$11,InputDFM!$2:$2,0),FALSE)),"n.a.",(VLOOKUP($D118&amp;".1.0.0.0",InputDFM!$A$3:$AN$8,MATCH(AA$11,InputDFM!$2:$2,0),FALSE)))</f>
        <v>-3.153</v>
      </c>
      <c r="AB118" s="3992">
        <f>IF(ISNA(VLOOKUP($D118&amp;".1.0.0.0",InputDFM!$A$3:$AN$8,MATCH(AB$11,InputDFM!$2:$2,0),FALSE)),"n.a.",(VLOOKUP($D118&amp;".1.0.0.0",InputDFM!$A$3:$AN$8,MATCH(AB$11,InputDFM!$2:$2,0),FALSE)))</f>
        <v>-0.31430000000000002</v>
      </c>
      <c r="AC118" s="3992">
        <f>IF(ISNA(VLOOKUP($D118&amp;".1.0.0.0",InputDFM!$A$3:$AN$8,MATCH(AC$11,InputDFM!$2:$2,0),FALSE)),"n.a.",(VLOOKUP($D118&amp;".1.0.0.0",InputDFM!$A$3:$AN$8,MATCH(AC$11,InputDFM!$2:$2,0),FALSE)))</f>
        <v>-2.5442999999999998</v>
      </c>
      <c r="AD118" s="3992">
        <f>IF(ISNA(VLOOKUP($D118&amp;".1.0.0.0",InputDFM!$A$3:$AN$8,MATCH(AD$11,InputDFM!$2:$2,0),FALSE)),"n.a.",(VLOOKUP($D118&amp;".1.0.0.0",InputDFM!$A$3:$AN$8,MATCH(AD$11,InputDFM!$2:$2,0),FALSE)))</f>
        <v>-2.6413000000000002</v>
      </c>
      <c r="AE118" s="3992">
        <f>IF(ISNA(VLOOKUP($D118&amp;".1.0.0.0",InputDFM!$A$3:$AN$8,MATCH(AE$11,InputDFM!$2:$2,0),FALSE)),"n.a.",(VLOOKUP($D118&amp;".1.0.0.0",InputDFM!$A$3:$AN$8,MATCH(AE$11,InputDFM!$2:$2,0),FALSE)))</f>
        <v>-0.38350000000000001</v>
      </c>
    </row>
    <row r="119" spans="1:31">
      <c r="A119" s="3992" t="str">
        <f t="shared" si="4"/>
        <v>\\DG ECFIN\Forecast\Country databases\Desk transfer databases\BE</v>
      </c>
      <c r="B119" s="3992" t="str">
        <f t="shared" si="5"/>
        <v>BE</v>
      </c>
      <c r="C119" s="3992" t="s">
        <v>2166</v>
      </c>
      <c r="D119" s="3992" t="s">
        <v>2278</v>
      </c>
      <c r="E119" s="3992" t="s">
        <v>2168</v>
      </c>
      <c r="F119" s="3992">
        <v>154</v>
      </c>
      <c r="G119" s="3992" t="s">
        <v>1288</v>
      </c>
      <c r="H119" s="3992" t="str">
        <f>IF(ISNA(VLOOKUP($D119&amp;".1.0.0.0",InputDFM!$A$3:$AN$8,MATCH(H$11,InputDFM!$2:$2,0),FALSE)),"n.a.",(VLOOKUP($D119&amp;".1.0.0.0",InputDFM!$A$3:$AN$8,MATCH(H$11,InputDFM!$2:$2,0),FALSE)))</f>
        <v>n.a.</v>
      </c>
      <c r="I119" s="3992" t="str">
        <f>IF(ISNA(VLOOKUP($D119&amp;".1.0.0.0",InputDFM!$A$3:$AN$8,MATCH(I$11,InputDFM!$2:$2,0),FALSE)),"n.a.",(VLOOKUP($D119&amp;".1.0.0.0",InputDFM!$A$3:$AN$8,MATCH(I$11,InputDFM!$2:$2,0),FALSE)))</f>
        <v>n.a.</v>
      </c>
      <c r="J119" s="3992" t="str">
        <f>IF(ISNA(VLOOKUP($D119&amp;".1.0.0.0",InputDFM!$A$3:$AN$8,MATCH(J$11,InputDFM!$2:$2,0),FALSE)),"n.a.",(VLOOKUP($D119&amp;".1.0.0.0",InputDFM!$A$3:$AN$8,MATCH(J$11,InputDFM!$2:$2,0),FALSE)))</f>
        <v>n.a.</v>
      </c>
      <c r="K119" s="3992" t="str">
        <f>IF(ISNA(VLOOKUP($D119&amp;".1.0.0.0",InputDFM!$A$3:$AN$8,MATCH(K$11,InputDFM!$2:$2,0),FALSE)),"n.a.",(VLOOKUP($D119&amp;".1.0.0.0",InputDFM!$A$3:$AN$8,MATCH(K$11,InputDFM!$2:$2,0),FALSE)))</f>
        <v>n.a.</v>
      </c>
      <c r="L119" s="3992" t="str">
        <f>IF(ISNA(VLOOKUP($D119&amp;".1.0.0.0",InputDFM!$A$3:$AN$8,MATCH(L$11,InputDFM!$2:$2,0),FALSE)),"n.a.",(VLOOKUP($D119&amp;".1.0.0.0",InputDFM!$A$3:$AN$8,MATCH(L$11,InputDFM!$2:$2,0),FALSE)))</f>
        <v>n.a.</v>
      </c>
      <c r="M119" s="3992" t="str">
        <f>IF(ISNA(VLOOKUP($D119&amp;".1.0.0.0",InputDFM!$A$3:$AN$8,MATCH(M$11,InputDFM!$2:$2,0),FALSE)),"n.a.",(VLOOKUP($D119&amp;".1.0.0.0",InputDFM!$A$3:$AN$8,MATCH(M$11,InputDFM!$2:$2,0),FALSE)))</f>
        <v>n.a.</v>
      </c>
      <c r="N119" s="3992" t="str">
        <f>IF(ISNA(VLOOKUP($D119&amp;".1.0.0.0",InputDFM!$A$3:$AN$8,MATCH(N$11,InputDFM!$2:$2,0),FALSE)),"n.a.",(VLOOKUP($D119&amp;".1.0.0.0",InputDFM!$A$3:$AN$8,MATCH(N$11,InputDFM!$2:$2,0),FALSE)))</f>
        <v>n.a.</v>
      </c>
      <c r="O119" s="3992" t="str">
        <f>IF(ISNA(VLOOKUP($D119&amp;".1.0.0.0",InputDFM!$A$3:$AN$8,MATCH(O$11,InputDFM!$2:$2,0),FALSE)),"n.a.",(VLOOKUP($D119&amp;".1.0.0.0",InputDFM!$A$3:$AN$8,MATCH(O$11,InputDFM!$2:$2,0),FALSE)))</f>
        <v>n.a.</v>
      </c>
      <c r="P119" s="3992" t="str">
        <f>IF(ISNA(VLOOKUP($D119&amp;".1.0.0.0",InputDFM!$A$3:$AN$8,MATCH(P$11,InputDFM!$2:$2,0),FALSE)),"n.a.",(VLOOKUP($D119&amp;".1.0.0.0",InputDFM!$A$3:$AN$8,MATCH(P$11,InputDFM!$2:$2,0),FALSE)))</f>
        <v>n.a.</v>
      </c>
      <c r="Q119" s="3992" t="str">
        <f>IF(ISNA(VLOOKUP($D119&amp;".1.0.0.0",InputDFM!$A$3:$AN$8,MATCH(Q$11,InputDFM!$2:$2,0),FALSE)),"n.a.",(VLOOKUP($D119&amp;".1.0.0.0",InputDFM!$A$3:$AN$8,MATCH(Q$11,InputDFM!$2:$2,0),FALSE)))</f>
        <v>n.a.</v>
      </c>
      <c r="R119" s="3992" t="str">
        <f>IF(ISNA(VLOOKUP($D119&amp;".1.0.0.0",InputDFM!$A$3:$AN$8,MATCH(R$11,InputDFM!$2:$2,0),FALSE)),"n.a.",(VLOOKUP($D119&amp;".1.0.0.0",InputDFM!$A$3:$AN$8,MATCH(R$11,InputDFM!$2:$2,0),FALSE)))</f>
        <v>n.a.</v>
      </c>
      <c r="S119" s="3992" t="str">
        <f>IF(ISNA(VLOOKUP($D119&amp;".1.0.0.0",InputDFM!$A$3:$AN$8,MATCH(S$11,InputDFM!$2:$2,0),FALSE)),"n.a.",(VLOOKUP($D119&amp;".1.0.0.0",InputDFM!$A$3:$AN$8,MATCH(S$11,InputDFM!$2:$2,0),FALSE)))</f>
        <v>n.a.</v>
      </c>
      <c r="T119" s="3992" t="str">
        <f>IF(ISNA(VLOOKUP($D119&amp;".1.0.0.0",InputDFM!$A$3:$AN$8,MATCH(T$11,InputDFM!$2:$2,0),FALSE)),"n.a.",(VLOOKUP($D119&amp;".1.0.0.0",InputDFM!$A$3:$AN$8,MATCH(T$11,InputDFM!$2:$2,0),FALSE)))</f>
        <v>n.a.</v>
      </c>
      <c r="U119" s="3992" t="str">
        <f>IF(ISNA(VLOOKUP($D119&amp;".1.0.0.0",InputDFM!$A$3:$AN$8,MATCH(U$11,InputDFM!$2:$2,0),FALSE)),"n.a.",(VLOOKUP($D119&amp;".1.0.0.0",InputDFM!$A$3:$AN$8,MATCH(U$11,InputDFM!$2:$2,0),FALSE)))</f>
        <v>n.a.</v>
      </c>
      <c r="V119" s="3992" t="str">
        <f>IF(ISNA(VLOOKUP($D119&amp;".1.0.0.0",InputDFM!$A$3:$AN$8,MATCH(V$11,InputDFM!$2:$2,0),FALSE)),"n.a.",(VLOOKUP($D119&amp;".1.0.0.0",InputDFM!$A$3:$AN$8,MATCH(V$11,InputDFM!$2:$2,0),FALSE)))</f>
        <v>n.a.</v>
      </c>
      <c r="W119" s="3992" t="str">
        <f>IF(ISNA(VLOOKUP($D119&amp;".1.0.0.0",InputDFM!$A$3:$AN$8,MATCH(W$11,InputDFM!$2:$2,0),FALSE)),"n.a.",(VLOOKUP($D119&amp;".1.0.0.0",InputDFM!$A$3:$AN$8,MATCH(W$11,InputDFM!$2:$2,0),FALSE)))</f>
        <v>n.a.</v>
      </c>
      <c r="X119" s="3992" t="str">
        <f>IF(ISNA(VLOOKUP($D119&amp;".1.0.0.0",InputDFM!$A$3:$AN$8,MATCH(X$11,InputDFM!$2:$2,0),FALSE)),"n.a.",(VLOOKUP($D119&amp;".1.0.0.0",InputDFM!$A$3:$AN$8,MATCH(X$11,InputDFM!$2:$2,0),FALSE)))</f>
        <v>n.a.</v>
      </c>
      <c r="Y119" s="3992" t="str">
        <f>IF(ISNA(VLOOKUP($D119&amp;".1.0.0.0",InputDFM!$A$3:$AN$8,MATCH(Y$11,InputDFM!$2:$2,0),FALSE)),"n.a.",(VLOOKUP($D119&amp;".1.0.0.0",InputDFM!$A$3:$AN$8,MATCH(Y$11,InputDFM!$2:$2,0),FALSE)))</f>
        <v>n.a.</v>
      </c>
      <c r="Z119" s="3992">
        <f>IF(ISNA(VLOOKUP($D119&amp;".1.0.0.0",InputDFM!$A$3:$AN$8,MATCH(Z$11,InputDFM!$2:$2,0),FALSE)),"n.a.",(VLOOKUP($D119&amp;".1.0.0.0",InputDFM!$A$3:$AN$8,MATCH(Z$11,InputDFM!$2:$2,0),FALSE)))</f>
        <v>-0.39100000000000001</v>
      </c>
      <c r="AA119" s="3992">
        <f>IF(ISNA(VLOOKUP($D119&amp;".1.0.0.0",InputDFM!$A$3:$AN$8,MATCH(AA$11,InputDFM!$2:$2,0),FALSE)),"n.a.",(VLOOKUP($D119&amp;".1.0.0.0",InputDFM!$A$3:$AN$8,MATCH(AA$11,InputDFM!$2:$2,0),FALSE)))</f>
        <v>-0.72099000000000002</v>
      </c>
      <c r="AB119" s="3992">
        <f>IF(ISNA(VLOOKUP($D119&amp;".1.0.0.0",InputDFM!$A$3:$AN$8,MATCH(AB$11,InputDFM!$2:$2,0),FALSE)),"n.a.",(VLOOKUP($D119&amp;".1.0.0.0",InputDFM!$A$3:$AN$8,MATCH(AB$11,InputDFM!$2:$2,0),FALSE)))</f>
        <v>-0.61909999999999998</v>
      </c>
      <c r="AC119" s="3992">
        <f>IF(ISNA(VLOOKUP($D119&amp;".1.0.0.0",InputDFM!$A$3:$AN$8,MATCH(AC$11,InputDFM!$2:$2,0),FALSE)),"n.a.",(VLOOKUP($D119&amp;".1.0.0.0",InputDFM!$A$3:$AN$8,MATCH(AC$11,InputDFM!$2:$2,0),FALSE)))</f>
        <v>5.4656000000000002</v>
      </c>
      <c r="AD119" s="3992">
        <f>IF(ISNA(VLOOKUP($D119&amp;".1.0.0.0",InputDFM!$A$3:$AN$8,MATCH(AD$11,InputDFM!$2:$2,0),FALSE)),"n.a.",(VLOOKUP($D119&amp;".1.0.0.0",InputDFM!$A$3:$AN$8,MATCH(AD$11,InputDFM!$2:$2,0),FALSE)))</f>
        <v>-2.2189999999999999</v>
      </c>
      <c r="AE119" s="3992">
        <f>IF(ISNA(VLOOKUP($D119&amp;".1.0.0.0",InputDFM!$A$3:$AN$8,MATCH(AE$11,InputDFM!$2:$2,0),FALSE)),"n.a.",(VLOOKUP($D119&amp;".1.0.0.0",InputDFM!$A$3:$AN$8,MATCH(AE$11,InputDFM!$2:$2,0),FALSE)))</f>
        <v>-2.5874999999999999</v>
      </c>
    </row>
    <row r="120" spans="1:31">
      <c r="A120" s="3992" t="str">
        <f t="shared" si="4"/>
        <v>\\DG ECFIN\Forecast\Country databases\Desk transfer databases\BE</v>
      </c>
      <c r="B120" s="3992" t="str">
        <f t="shared" si="5"/>
        <v>BE</v>
      </c>
      <c r="C120" s="3992" t="s">
        <v>2166</v>
      </c>
      <c r="D120" s="3992" t="s">
        <v>2279</v>
      </c>
      <c r="E120" s="3992" t="s">
        <v>2168</v>
      </c>
      <c r="F120" s="3992">
        <v>155</v>
      </c>
      <c r="G120" s="3992" t="s">
        <v>1289</v>
      </c>
      <c r="H120" s="3992" t="str">
        <f>IF(ISNA(VLOOKUP($D120&amp;".1.0.0.0",InputDFM!$A$3:$AN$8,MATCH(H$11,InputDFM!$2:$2,0),FALSE)),"n.a.",(VLOOKUP($D120&amp;".1.0.0.0",InputDFM!$A$3:$AN$8,MATCH(H$11,InputDFM!$2:$2,0),FALSE)))</f>
        <v>n.a.</v>
      </c>
      <c r="I120" s="3992" t="str">
        <f>IF(ISNA(VLOOKUP($D120&amp;".1.0.0.0",InputDFM!$A$3:$AN$8,MATCH(I$11,InputDFM!$2:$2,0),FALSE)),"n.a.",(VLOOKUP($D120&amp;".1.0.0.0",InputDFM!$A$3:$AN$8,MATCH(I$11,InputDFM!$2:$2,0),FALSE)))</f>
        <v>n.a.</v>
      </c>
      <c r="J120" s="3992" t="str">
        <f>IF(ISNA(VLOOKUP($D120&amp;".1.0.0.0",InputDFM!$A$3:$AN$8,MATCH(J$11,InputDFM!$2:$2,0),FALSE)),"n.a.",(VLOOKUP($D120&amp;".1.0.0.0",InputDFM!$A$3:$AN$8,MATCH(J$11,InputDFM!$2:$2,0),FALSE)))</f>
        <v>n.a.</v>
      </c>
      <c r="K120" s="3992" t="str">
        <f>IF(ISNA(VLOOKUP($D120&amp;".1.0.0.0",InputDFM!$A$3:$AN$8,MATCH(K$11,InputDFM!$2:$2,0),FALSE)),"n.a.",(VLOOKUP($D120&amp;".1.0.0.0",InputDFM!$A$3:$AN$8,MATCH(K$11,InputDFM!$2:$2,0),FALSE)))</f>
        <v>n.a.</v>
      </c>
      <c r="L120" s="3992" t="str">
        <f>IF(ISNA(VLOOKUP($D120&amp;".1.0.0.0",InputDFM!$A$3:$AN$8,MATCH(L$11,InputDFM!$2:$2,0),FALSE)),"n.a.",(VLOOKUP($D120&amp;".1.0.0.0",InputDFM!$A$3:$AN$8,MATCH(L$11,InputDFM!$2:$2,0),FALSE)))</f>
        <v>n.a.</v>
      </c>
      <c r="M120" s="3992" t="str">
        <f>IF(ISNA(VLOOKUP($D120&amp;".1.0.0.0",InputDFM!$A$3:$AN$8,MATCH(M$11,InputDFM!$2:$2,0),FALSE)),"n.a.",(VLOOKUP($D120&amp;".1.0.0.0",InputDFM!$A$3:$AN$8,MATCH(M$11,InputDFM!$2:$2,0),FALSE)))</f>
        <v>n.a.</v>
      </c>
      <c r="N120" s="3992" t="str">
        <f>IF(ISNA(VLOOKUP($D120&amp;".1.0.0.0",InputDFM!$A$3:$AN$8,MATCH(N$11,InputDFM!$2:$2,0),FALSE)),"n.a.",(VLOOKUP($D120&amp;".1.0.0.0",InputDFM!$A$3:$AN$8,MATCH(N$11,InputDFM!$2:$2,0),FALSE)))</f>
        <v>n.a.</v>
      </c>
      <c r="O120" s="3992" t="str">
        <f>IF(ISNA(VLOOKUP($D120&amp;".1.0.0.0",InputDFM!$A$3:$AN$8,MATCH(O$11,InputDFM!$2:$2,0),FALSE)),"n.a.",(VLOOKUP($D120&amp;".1.0.0.0",InputDFM!$A$3:$AN$8,MATCH(O$11,InputDFM!$2:$2,0),FALSE)))</f>
        <v>n.a.</v>
      </c>
      <c r="P120" s="3992" t="str">
        <f>IF(ISNA(VLOOKUP($D120&amp;".1.0.0.0",InputDFM!$A$3:$AN$8,MATCH(P$11,InputDFM!$2:$2,0),FALSE)),"n.a.",(VLOOKUP($D120&amp;".1.0.0.0",InputDFM!$A$3:$AN$8,MATCH(P$11,InputDFM!$2:$2,0),FALSE)))</f>
        <v>n.a.</v>
      </c>
      <c r="Q120" s="3992" t="str">
        <f>IF(ISNA(VLOOKUP($D120&amp;".1.0.0.0",InputDFM!$A$3:$AN$8,MATCH(Q$11,InputDFM!$2:$2,0),FALSE)),"n.a.",(VLOOKUP($D120&amp;".1.0.0.0",InputDFM!$A$3:$AN$8,MATCH(Q$11,InputDFM!$2:$2,0),FALSE)))</f>
        <v>n.a.</v>
      </c>
      <c r="R120" s="3992" t="str">
        <f>IF(ISNA(VLOOKUP($D120&amp;".1.0.0.0",InputDFM!$A$3:$AN$8,MATCH(R$11,InputDFM!$2:$2,0),FALSE)),"n.a.",(VLOOKUP($D120&amp;".1.0.0.0",InputDFM!$A$3:$AN$8,MATCH(R$11,InputDFM!$2:$2,0),FALSE)))</f>
        <v>n.a.</v>
      </c>
      <c r="S120" s="3992" t="str">
        <f>IF(ISNA(VLOOKUP($D120&amp;".1.0.0.0",InputDFM!$A$3:$AN$8,MATCH(S$11,InputDFM!$2:$2,0),FALSE)),"n.a.",(VLOOKUP($D120&amp;".1.0.0.0",InputDFM!$A$3:$AN$8,MATCH(S$11,InputDFM!$2:$2,0),FALSE)))</f>
        <v>n.a.</v>
      </c>
      <c r="T120" s="3992" t="str">
        <f>IF(ISNA(VLOOKUP($D120&amp;".1.0.0.0",InputDFM!$A$3:$AN$8,MATCH(T$11,InputDFM!$2:$2,0),FALSE)),"n.a.",(VLOOKUP($D120&amp;".1.0.0.0",InputDFM!$A$3:$AN$8,MATCH(T$11,InputDFM!$2:$2,0),FALSE)))</f>
        <v>n.a.</v>
      </c>
      <c r="U120" s="3992" t="str">
        <f>IF(ISNA(VLOOKUP($D120&amp;".1.0.0.0",InputDFM!$A$3:$AN$8,MATCH(U$11,InputDFM!$2:$2,0),FALSE)),"n.a.",(VLOOKUP($D120&amp;".1.0.0.0",InputDFM!$A$3:$AN$8,MATCH(U$11,InputDFM!$2:$2,0),FALSE)))</f>
        <v>n.a.</v>
      </c>
      <c r="V120" s="3992" t="str">
        <f>IF(ISNA(VLOOKUP($D120&amp;".1.0.0.0",InputDFM!$A$3:$AN$8,MATCH(V$11,InputDFM!$2:$2,0),FALSE)),"n.a.",(VLOOKUP($D120&amp;".1.0.0.0",InputDFM!$A$3:$AN$8,MATCH(V$11,InputDFM!$2:$2,0),FALSE)))</f>
        <v>n.a.</v>
      </c>
      <c r="W120" s="3992" t="str">
        <f>IF(ISNA(VLOOKUP($D120&amp;".1.0.0.0",InputDFM!$A$3:$AN$8,MATCH(W$11,InputDFM!$2:$2,0),FALSE)),"n.a.",(VLOOKUP($D120&amp;".1.0.0.0",InputDFM!$A$3:$AN$8,MATCH(W$11,InputDFM!$2:$2,0),FALSE)))</f>
        <v>n.a.</v>
      </c>
      <c r="X120" s="3992" t="str">
        <f>IF(ISNA(VLOOKUP($D120&amp;".1.0.0.0",InputDFM!$A$3:$AN$8,MATCH(X$11,InputDFM!$2:$2,0),FALSE)),"n.a.",(VLOOKUP($D120&amp;".1.0.0.0",InputDFM!$A$3:$AN$8,MATCH(X$11,InputDFM!$2:$2,0),FALSE)))</f>
        <v>n.a.</v>
      </c>
      <c r="Y120" s="3992" t="str">
        <f>IF(ISNA(VLOOKUP($D120&amp;".1.0.0.0",InputDFM!$A$3:$AN$8,MATCH(Y$11,InputDFM!$2:$2,0),FALSE)),"n.a.",(VLOOKUP($D120&amp;".1.0.0.0",InputDFM!$A$3:$AN$8,MATCH(Y$11,InputDFM!$2:$2,0),FALSE)))</f>
        <v>n.a.</v>
      </c>
      <c r="Z120" s="3992">
        <f>IF(ISNA(VLOOKUP($D120&amp;".1.0.0.0",InputDFM!$A$3:$AN$8,MATCH(Z$11,InputDFM!$2:$2,0),FALSE)),"n.a.",(VLOOKUP($D120&amp;".1.0.0.0",InputDFM!$A$3:$AN$8,MATCH(Z$11,InputDFM!$2:$2,0),FALSE)))</f>
        <v>-0.54500000000000004</v>
      </c>
      <c r="AA120" s="3992">
        <f>IF(ISNA(VLOOKUP($D120&amp;".1.0.0.0",InputDFM!$A$3:$AN$8,MATCH(AA$11,InputDFM!$2:$2,0),FALSE)),"n.a.",(VLOOKUP($D120&amp;".1.0.0.0",InputDFM!$A$3:$AN$8,MATCH(AA$11,InputDFM!$2:$2,0),FALSE)))</f>
        <v>-0.64700000000000002</v>
      </c>
      <c r="AB120" s="3992">
        <f>IF(ISNA(VLOOKUP($D120&amp;".1.0.0.0",InputDFM!$A$3:$AN$8,MATCH(AB$11,InputDFM!$2:$2,0),FALSE)),"n.a.",(VLOOKUP($D120&amp;".1.0.0.0",InputDFM!$A$3:$AN$8,MATCH(AB$11,InputDFM!$2:$2,0),FALSE)))</f>
        <v>0.56599999999999995</v>
      </c>
      <c r="AC120" s="3992">
        <f>IF(ISNA(VLOOKUP($D120&amp;".1.0.0.0",InputDFM!$A$3:$AN$8,MATCH(AC$11,InputDFM!$2:$2,0),FALSE)),"n.a.",(VLOOKUP($D120&amp;".1.0.0.0",InputDFM!$A$3:$AN$8,MATCH(AC$11,InputDFM!$2:$2,0),FALSE)))</f>
        <v>-0.627</v>
      </c>
      <c r="AD120" s="3992">
        <f>IF(ISNA(VLOOKUP($D120&amp;".1.0.0.0",InputDFM!$A$3:$AN$8,MATCH(AD$11,InputDFM!$2:$2,0),FALSE)),"n.a.",(VLOOKUP($D120&amp;".1.0.0.0",InputDFM!$A$3:$AN$8,MATCH(AD$11,InputDFM!$2:$2,0),FALSE)))</f>
        <v>-0.254</v>
      </c>
      <c r="AE120" s="3992">
        <f>IF(ISNA(VLOOKUP($D120&amp;".1.0.0.0",InputDFM!$A$3:$AN$8,MATCH(AE$11,InputDFM!$2:$2,0),FALSE)),"n.a.",(VLOOKUP($D120&amp;".1.0.0.0",InputDFM!$A$3:$AN$8,MATCH(AE$11,InputDFM!$2:$2,0),FALSE)))</f>
        <v>-5.7000000000000002E-2</v>
      </c>
    </row>
    <row r="121" spans="1:31">
      <c r="A121" s="3992" t="str">
        <f t="shared" si="4"/>
        <v>\\DG ECFIN\Forecast\Country databases\Desk transfer databases\BE</v>
      </c>
      <c r="B121" s="3992" t="str">
        <f t="shared" si="5"/>
        <v>BE</v>
      </c>
      <c r="C121" s="3992" t="s">
        <v>2166</v>
      </c>
      <c r="D121" s="3992" t="s">
        <v>2280</v>
      </c>
      <c r="E121" s="3992" t="s">
        <v>2168</v>
      </c>
      <c r="F121" s="3992">
        <v>156</v>
      </c>
      <c r="G121" s="3992" t="s">
        <v>1290</v>
      </c>
      <c r="H121" s="3992" t="str">
        <f>IF(ISNA(VLOOKUP($D121&amp;".1.0.0.0",InputDFM!$A$3:$AN$8,MATCH(H$11,InputDFM!$2:$2,0),FALSE)),"n.a.",(VLOOKUP($D121&amp;".1.0.0.0",InputDFM!$A$3:$AN$8,MATCH(H$11,InputDFM!$2:$2,0),FALSE)))</f>
        <v>n.a.</v>
      </c>
      <c r="I121" s="3992" t="str">
        <f>IF(ISNA(VLOOKUP($D121&amp;".1.0.0.0",InputDFM!$A$3:$AN$8,MATCH(I$11,InputDFM!$2:$2,0),FALSE)),"n.a.",(VLOOKUP($D121&amp;".1.0.0.0",InputDFM!$A$3:$AN$8,MATCH(I$11,InputDFM!$2:$2,0),FALSE)))</f>
        <v>n.a.</v>
      </c>
      <c r="J121" s="3992" t="str">
        <f>IF(ISNA(VLOOKUP($D121&amp;".1.0.0.0",InputDFM!$A$3:$AN$8,MATCH(J$11,InputDFM!$2:$2,0),FALSE)),"n.a.",(VLOOKUP($D121&amp;".1.0.0.0",InputDFM!$A$3:$AN$8,MATCH(J$11,InputDFM!$2:$2,0),FALSE)))</f>
        <v>n.a.</v>
      </c>
      <c r="K121" s="3992" t="str">
        <f>IF(ISNA(VLOOKUP($D121&amp;".1.0.0.0",InputDFM!$A$3:$AN$8,MATCH(K$11,InputDFM!$2:$2,0),FALSE)),"n.a.",(VLOOKUP($D121&amp;".1.0.0.0",InputDFM!$A$3:$AN$8,MATCH(K$11,InputDFM!$2:$2,0),FALSE)))</f>
        <v>n.a.</v>
      </c>
      <c r="L121" s="3992" t="str">
        <f>IF(ISNA(VLOOKUP($D121&amp;".1.0.0.0",InputDFM!$A$3:$AN$8,MATCH(L$11,InputDFM!$2:$2,0),FALSE)),"n.a.",(VLOOKUP($D121&amp;".1.0.0.0",InputDFM!$A$3:$AN$8,MATCH(L$11,InputDFM!$2:$2,0),FALSE)))</f>
        <v>n.a.</v>
      </c>
      <c r="M121" s="3992" t="str">
        <f>IF(ISNA(VLOOKUP($D121&amp;".1.0.0.0",InputDFM!$A$3:$AN$8,MATCH(M$11,InputDFM!$2:$2,0),FALSE)),"n.a.",(VLOOKUP($D121&amp;".1.0.0.0",InputDFM!$A$3:$AN$8,MATCH(M$11,InputDFM!$2:$2,0),FALSE)))</f>
        <v>n.a.</v>
      </c>
      <c r="N121" s="3992" t="str">
        <f>IF(ISNA(VLOOKUP($D121&amp;".1.0.0.0",InputDFM!$A$3:$AN$8,MATCH(N$11,InputDFM!$2:$2,0),FALSE)),"n.a.",(VLOOKUP($D121&amp;".1.0.0.0",InputDFM!$A$3:$AN$8,MATCH(N$11,InputDFM!$2:$2,0),FALSE)))</f>
        <v>n.a.</v>
      </c>
      <c r="O121" s="3992" t="str">
        <f>IF(ISNA(VLOOKUP($D121&amp;".1.0.0.0",InputDFM!$A$3:$AN$8,MATCH(O$11,InputDFM!$2:$2,0),FALSE)),"n.a.",(VLOOKUP($D121&amp;".1.0.0.0",InputDFM!$A$3:$AN$8,MATCH(O$11,InputDFM!$2:$2,0),FALSE)))</f>
        <v>n.a.</v>
      </c>
      <c r="P121" s="3992" t="str">
        <f>IF(ISNA(VLOOKUP($D121&amp;".1.0.0.0",InputDFM!$A$3:$AN$8,MATCH(P$11,InputDFM!$2:$2,0),FALSE)),"n.a.",(VLOOKUP($D121&amp;".1.0.0.0",InputDFM!$A$3:$AN$8,MATCH(P$11,InputDFM!$2:$2,0),FALSE)))</f>
        <v>n.a.</v>
      </c>
      <c r="Q121" s="3992" t="str">
        <f>IF(ISNA(VLOOKUP($D121&amp;".1.0.0.0",InputDFM!$A$3:$AN$8,MATCH(Q$11,InputDFM!$2:$2,0),FALSE)),"n.a.",(VLOOKUP($D121&amp;".1.0.0.0",InputDFM!$A$3:$AN$8,MATCH(Q$11,InputDFM!$2:$2,0),FALSE)))</f>
        <v>n.a.</v>
      </c>
      <c r="R121" s="3992" t="str">
        <f>IF(ISNA(VLOOKUP($D121&amp;".1.0.0.0",InputDFM!$A$3:$AN$8,MATCH(R$11,InputDFM!$2:$2,0),FALSE)),"n.a.",(VLOOKUP($D121&amp;".1.0.0.0",InputDFM!$A$3:$AN$8,MATCH(R$11,InputDFM!$2:$2,0),FALSE)))</f>
        <v>n.a.</v>
      </c>
      <c r="S121" s="3992" t="str">
        <f>IF(ISNA(VLOOKUP($D121&amp;".1.0.0.0",InputDFM!$A$3:$AN$8,MATCH(S$11,InputDFM!$2:$2,0),FALSE)),"n.a.",(VLOOKUP($D121&amp;".1.0.0.0",InputDFM!$A$3:$AN$8,MATCH(S$11,InputDFM!$2:$2,0),FALSE)))</f>
        <v>n.a.</v>
      </c>
      <c r="T121" s="3992" t="str">
        <f>IF(ISNA(VLOOKUP($D121&amp;".1.0.0.0",InputDFM!$A$3:$AN$8,MATCH(T$11,InputDFM!$2:$2,0),FALSE)),"n.a.",(VLOOKUP($D121&amp;".1.0.0.0",InputDFM!$A$3:$AN$8,MATCH(T$11,InputDFM!$2:$2,0),FALSE)))</f>
        <v>n.a.</v>
      </c>
      <c r="U121" s="3992" t="str">
        <f>IF(ISNA(VLOOKUP($D121&amp;".1.0.0.0",InputDFM!$A$3:$AN$8,MATCH(U$11,InputDFM!$2:$2,0),FALSE)),"n.a.",(VLOOKUP($D121&amp;".1.0.0.0",InputDFM!$A$3:$AN$8,MATCH(U$11,InputDFM!$2:$2,0),FALSE)))</f>
        <v>n.a.</v>
      </c>
      <c r="V121" s="3992" t="str">
        <f>IF(ISNA(VLOOKUP($D121&amp;".1.0.0.0",InputDFM!$A$3:$AN$8,MATCH(V$11,InputDFM!$2:$2,0),FALSE)),"n.a.",(VLOOKUP($D121&amp;".1.0.0.0",InputDFM!$A$3:$AN$8,MATCH(V$11,InputDFM!$2:$2,0),FALSE)))</f>
        <v>n.a.</v>
      </c>
      <c r="W121" s="3992" t="str">
        <f>IF(ISNA(VLOOKUP($D121&amp;".1.0.0.0",InputDFM!$A$3:$AN$8,MATCH(W$11,InputDFM!$2:$2,0),FALSE)),"n.a.",(VLOOKUP($D121&amp;".1.0.0.0",InputDFM!$A$3:$AN$8,MATCH(W$11,InputDFM!$2:$2,0),FALSE)))</f>
        <v>n.a.</v>
      </c>
      <c r="X121" s="3992" t="str">
        <f>IF(ISNA(VLOOKUP($D121&amp;".1.0.0.0",InputDFM!$A$3:$AN$8,MATCH(X$11,InputDFM!$2:$2,0),FALSE)),"n.a.",(VLOOKUP($D121&amp;".1.0.0.0",InputDFM!$A$3:$AN$8,MATCH(X$11,InputDFM!$2:$2,0),FALSE)))</f>
        <v>n.a.</v>
      </c>
      <c r="Y121" s="3992" t="str">
        <f>IF(ISNA(VLOOKUP($D121&amp;".1.0.0.0",InputDFM!$A$3:$AN$8,MATCH(Y$11,InputDFM!$2:$2,0),FALSE)),"n.a.",(VLOOKUP($D121&amp;".1.0.0.0",InputDFM!$A$3:$AN$8,MATCH(Y$11,InputDFM!$2:$2,0),FALSE)))</f>
        <v>n.a.</v>
      </c>
      <c r="Z121" s="3992">
        <f>IF(ISNA(VLOOKUP($D121&amp;".1.0.0.0",InputDFM!$A$3:$AN$8,MATCH(Z$11,InputDFM!$2:$2,0),FALSE)),"n.a.",(VLOOKUP($D121&amp;".1.0.0.0",InputDFM!$A$3:$AN$8,MATCH(Z$11,InputDFM!$2:$2,0),FALSE)))</f>
        <v>-8.6999999999999994E-2</v>
      </c>
      <c r="AA121" s="3992">
        <f>IF(ISNA(VLOOKUP($D121&amp;".1.0.0.0",InputDFM!$A$3:$AN$8,MATCH(AA$11,InputDFM!$2:$2,0),FALSE)),"n.a.",(VLOOKUP($D121&amp;".1.0.0.0",InputDFM!$A$3:$AN$8,MATCH(AA$11,InputDFM!$2:$2,0),FALSE)))</f>
        <v>-0.53</v>
      </c>
      <c r="AB121" s="3992">
        <f>IF(ISNA(VLOOKUP($D121&amp;".1.0.0.0",InputDFM!$A$3:$AN$8,MATCH(AB$11,InputDFM!$2:$2,0),FALSE)),"n.a.",(VLOOKUP($D121&amp;".1.0.0.0",InputDFM!$A$3:$AN$8,MATCH(AB$11,InputDFM!$2:$2,0),FALSE)))</f>
        <v>0.183</v>
      </c>
      <c r="AC121" s="3992">
        <f>IF(ISNA(VLOOKUP($D121&amp;".1.0.0.0",InputDFM!$A$3:$AN$8,MATCH(AC$11,InputDFM!$2:$2,0),FALSE)),"n.a.",(VLOOKUP($D121&amp;".1.0.0.0",InputDFM!$A$3:$AN$8,MATCH(AC$11,InputDFM!$2:$2,0),FALSE)))</f>
        <v>-8.5999999999999993E-2</v>
      </c>
      <c r="AD121" s="3992">
        <f>IF(ISNA(VLOOKUP($D121&amp;".1.0.0.0",InputDFM!$A$3:$AN$8,MATCH(AD$11,InputDFM!$2:$2,0),FALSE)),"n.a.",(VLOOKUP($D121&amp;".1.0.0.0",InputDFM!$A$3:$AN$8,MATCH(AD$11,InputDFM!$2:$2,0),FALSE)))</f>
        <v>-3.4500000000000003E-2</v>
      </c>
      <c r="AE121" s="3992">
        <f>IF(ISNA(VLOOKUP($D121&amp;".1.0.0.0",InputDFM!$A$3:$AN$8,MATCH(AE$11,InputDFM!$2:$2,0),FALSE)),"n.a.",(VLOOKUP($D121&amp;".1.0.0.0",InputDFM!$A$3:$AN$8,MATCH(AE$11,InputDFM!$2:$2,0),FALSE)))</f>
        <v>-8.8999999999999996E-2</v>
      </c>
    </row>
    <row r="122" spans="1:31">
      <c r="A122" s="3992" t="str">
        <f t="shared" si="4"/>
        <v>\\DG ECFIN\Forecast\Country databases\Desk transfer databases\BE</v>
      </c>
      <c r="B122" s="3992" t="str">
        <f t="shared" si="5"/>
        <v>BE</v>
      </c>
      <c r="C122" s="3992" t="s">
        <v>2166</v>
      </c>
      <c r="D122" s="3992" t="s">
        <v>2281</v>
      </c>
      <c r="E122" s="3992" t="s">
        <v>2492</v>
      </c>
      <c r="F122" s="3992">
        <v>158</v>
      </c>
      <c r="G122" s="3992" t="s">
        <v>2282</v>
      </c>
      <c r="H122" s="3992" t="str">
        <f>IF(Sector1!H58&lt;&gt;"",Sector1!H58,"n.a.")</f>
        <v>n.a.</v>
      </c>
      <c r="I122" s="3992" t="str">
        <f>IF(Sector1!I58&lt;&gt;"",Sector1!I58,"n.a.")</f>
        <v>n.a.</v>
      </c>
      <c r="J122" s="3992">
        <f ca="1">IF(Sector1!J58&lt;&gt;"",Sector1!J58,"n.a.")</f>
        <v>0.24346589647525235</v>
      </c>
      <c r="K122" s="3992">
        <f>IF(Sector1!K58&lt;&gt;"",Sector1!K58,"n.a.")</f>
        <v>0.24892531992102362</v>
      </c>
      <c r="L122" s="3992">
        <f>IF(Sector1!L58&lt;&gt;"",Sector1!L58,"n.a.")</f>
        <v>0.25197756104560853</v>
      </c>
      <c r="M122" s="3992">
        <f>IF(Sector1!M58&lt;&gt;"",Sector1!M58,"n.a.")</f>
        <v>0.25097532994444938</v>
      </c>
      <c r="N122" s="3992">
        <f>IF(Sector1!N58&lt;&gt;"",Sector1!N58,"n.a.")</f>
        <v>0.251435943535321</v>
      </c>
      <c r="O122" s="3992">
        <f>IF(Sector1!O58&lt;&gt;"",Sector1!O58,"n.a.")</f>
        <v>0.24993697574942003</v>
      </c>
      <c r="P122" s="3992">
        <f>IF(Sector1!P58&lt;&gt;"",Sector1!P58,"n.a.")</f>
        <v>0.25110758261418609</v>
      </c>
      <c r="Q122" s="3992">
        <f>IF(Sector1!Q58&lt;&gt;"",Sector1!Q58,"n.a.")</f>
        <v>0.25532534117988831</v>
      </c>
      <c r="R122" s="3992">
        <f>IF(Sector1!R58&lt;&gt;"",Sector1!R58,"n.a.")</f>
        <v>0.25835050146684785</v>
      </c>
      <c r="S122" s="3992">
        <f>IF(Sector1!S58&lt;&gt;"",Sector1!S58,"n.a.")</f>
        <v>0.26071649807148445</v>
      </c>
      <c r="T122" s="3992">
        <f>IF(Sector1!T58&lt;&gt;"",Sector1!T58,"n.a.")</f>
        <v>0.25929596478556705</v>
      </c>
      <c r="U122" s="3992">
        <f>IF(Sector1!U58&lt;&gt;"",Sector1!U58,"n.a.")</f>
        <v>0.25552919152910653</v>
      </c>
      <c r="V122" s="3992">
        <f>IF(Sector1!V58&lt;&gt;"",Sector1!V58,"n.a.")</f>
        <v>0.25335415589203708</v>
      </c>
      <c r="W122" s="3992">
        <f>IF(Sector1!W58&lt;&gt;"",Sector1!W58,"n.a.")</f>
        <v>0.25113162198342548</v>
      </c>
      <c r="X122" s="3992">
        <f>IF(Sector1!X58&lt;&gt;"",Sector1!X58,"n.a.")</f>
        <v>0.25246088209229522</v>
      </c>
      <c r="Y122" s="3992">
        <f>IF(Sector1!Y58&lt;&gt;"",Sector1!Y58,"n.a.")</f>
        <v>0.25499825493194594</v>
      </c>
      <c r="Z122" s="3992">
        <f>IF(Sector1!Z58&lt;&gt;"",Sector1!Z58,"n.a.")</f>
        <v>0.25629097417532209</v>
      </c>
      <c r="AA122" s="3992">
        <f>IF(Sector1!AA58&lt;&gt;"",Sector1!AA58,"n.a.")</f>
        <v>0.25802056732016365</v>
      </c>
      <c r="AB122" s="3992">
        <f>IF(Sector1!AB58&lt;&gt;"",Sector1!AB58,"n.a.")</f>
        <v>0.2594714030833814</v>
      </c>
      <c r="AC122" s="3992">
        <f>IF(Sector1!AC58&lt;&gt;"",Sector1!AC58,"n.a.")</f>
        <v>0.26179434906760879</v>
      </c>
      <c r="AD122" s="3992">
        <f ca="1">IF(Sector1!AD58&lt;&gt;"",Sector1!AD58,"n.a.")</f>
        <v>0.26368186075491062</v>
      </c>
      <c r="AE122" s="3992">
        <f ca="1">IF(Sector1!AE58&lt;&gt;"",Sector1!AE58,"n.a.")</f>
        <v>0.26529819386072973</v>
      </c>
    </row>
    <row r="123" spans="1:31">
      <c r="A123" s="3992" t="str">
        <f t="shared" si="4"/>
        <v>\\DG ECFIN\Forecast\Country databases\Desk transfer databases\BE</v>
      </c>
      <c r="B123" s="3992" t="str">
        <f t="shared" si="5"/>
        <v>BE</v>
      </c>
      <c r="C123" s="3992" t="s">
        <v>2166</v>
      </c>
      <c r="D123" s="3992" t="s">
        <v>2283</v>
      </c>
      <c r="E123" s="3992" t="s">
        <v>2492</v>
      </c>
      <c r="F123" s="3992">
        <v>159</v>
      </c>
      <c r="G123" s="3992" t="s">
        <v>2284</v>
      </c>
      <c r="H123" s="3992" t="str">
        <f>IF(Sector1!H361&lt;&gt;"",Sector1!H361,"n.a.")</f>
        <v>n.a.</v>
      </c>
      <c r="I123" s="3992" t="str">
        <f>IF(Sector1!I361&lt;&gt;"",Sector1!I361,"n.a.")</f>
        <v>n.a.</v>
      </c>
      <c r="J123" s="3992">
        <f ca="1">IF(Sector1!J361&lt;&gt;"",Sector1!J361,"n.a.")</f>
        <v>0.16288759243104006</v>
      </c>
      <c r="K123" s="3992">
        <f>IF(Sector1!K361&lt;&gt;"",Sector1!K361,"n.a.")</f>
        <v>0.16412882102411183</v>
      </c>
      <c r="L123" s="3992">
        <f>IF(Sector1!L361&lt;&gt;"",Sector1!L361,"n.a.")</f>
        <v>0.16575347307637928</v>
      </c>
      <c r="M123" s="3992">
        <f>IF(Sector1!M361&lt;&gt;"",Sector1!M361,"n.a.")</f>
        <v>0.16677410667430892</v>
      </c>
      <c r="N123" s="3992">
        <f>IF(Sector1!N361&lt;&gt;"",Sector1!N361,"n.a.")</f>
        <v>0.16624478049451819</v>
      </c>
      <c r="O123" s="3992">
        <f>IF(Sector1!O361&lt;&gt;"",Sector1!O361,"n.a.")</f>
        <v>0.16551656376882365</v>
      </c>
      <c r="P123" s="3992">
        <f>IF(Sector1!P361&lt;&gt;"",Sector1!P361,"n.a.")</f>
        <v>0.16446980960620519</v>
      </c>
      <c r="Q123" s="3992">
        <f>IF(Sector1!Q361&lt;&gt;"",Sector1!Q361,"n.a.")</f>
        <v>0.16321073886320375</v>
      </c>
      <c r="R123" s="3992">
        <f>IF(Sector1!R361&lt;&gt;"",Sector1!R361,"n.a.")</f>
        <v>0.16180102921437367</v>
      </c>
      <c r="S123" s="3992">
        <f>IF(Sector1!S361&lt;&gt;"",Sector1!S361,"n.a.")</f>
        <v>0.16107397739639914</v>
      </c>
      <c r="T123" s="3992">
        <f>IF(Sector1!T361&lt;&gt;"",Sector1!T361,"n.a.")</f>
        <v>0.16097961727398608</v>
      </c>
      <c r="U123" s="3992">
        <f>IF(Sector1!U361&lt;&gt;"",Sector1!U361,"n.a.")</f>
        <v>0.15767300165995207</v>
      </c>
      <c r="V123" s="3992">
        <f>IF(Sector1!V361&lt;&gt;"",Sector1!V361,"n.a.")</f>
        <v>0.15549630717722732</v>
      </c>
      <c r="W123" s="3992">
        <f>IF(Sector1!W361&lt;&gt;"",Sector1!W361,"n.a.")</f>
        <v>0.15521353701322446</v>
      </c>
      <c r="X123" s="3992">
        <f>IF(Sector1!X361&lt;&gt;"",Sector1!X361,"n.a.")</f>
        <v>0.15521441322065238</v>
      </c>
      <c r="Y123" s="3992">
        <f>IF(Sector1!Y361&lt;&gt;"",Sector1!Y361,"n.a.")</f>
        <v>0.15970037309369103</v>
      </c>
      <c r="Z123" s="3992">
        <f>IF(Sector1!Z361&lt;&gt;"",Sector1!Z361,"n.a.")</f>
        <v>0.16348507919259894</v>
      </c>
      <c r="AA123" s="3992">
        <f>IF(Sector1!AA361&lt;&gt;"",Sector1!AA361,"n.a.")</f>
        <v>0.16553947847278266</v>
      </c>
      <c r="AB123" s="3992">
        <f>IF(Sector1!AB361&lt;&gt;"",Sector1!AB361,"n.a.")</f>
        <v>0.16583807586516452</v>
      </c>
      <c r="AC123" s="3992">
        <f>IF(Sector1!AC361&lt;&gt;"",Sector1!AC361,"n.a.")</f>
        <v>0.16604864720530818</v>
      </c>
      <c r="AD123" s="3992">
        <f ca="1">IF(Sector1!AD361&lt;&gt;"",Sector1!AD361,"n.a.")</f>
        <v>0.16506540862313637</v>
      </c>
      <c r="AE123" s="3992">
        <f ca="1">IF(Sector1!AE361&lt;&gt;"",Sector1!AE361,"n.a.")</f>
        <v>0.16414272973863975</v>
      </c>
    </row>
    <row r="124" spans="1:31">
      <c r="A124" s="3992" t="str">
        <f t="shared" si="4"/>
        <v>\\DG ECFIN\Forecast\Country databases\Desk transfer databases\BE</v>
      </c>
      <c r="B124" s="3992" t="str">
        <f t="shared" si="5"/>
        <v>BE</v>
      </c>
      <c r="C124" s="3992" t="s">
        <v>2166</v>
      </c>
      <c r="D124" s="3992" t="s">
        <v>2285</v>
      </c>
      <c r="E124" s="3992" t="s">
        <v>2492</v>
      </c>
      <c r="F124" s="3992">
        <v>160</v>
      </c>
      <c r="G124" s="3992" t="s">
        <v>2286</v>
      </c>
      <c r="H124" s="3992" t="str">
        <f>IF(Sector1!H512&lt;&gt;"",Sector1!H512,"n.a.")</f>
        <v>n.a.</v>
      </c>
      <c r="I124" s="3992" t="str">
        <f>IF(Sector1!I512&lt;&gt;"",Sector1!I512,"n.a.")</f>
        <v>n.a.</v>
      </c>
      <c r="J124" s="3992">
        <f ca="1">IF(Sector1!J512&lt;&gt;"",Sector1!J512,"n.a.")</f>
        <v>0.31815466523257868</v>
      </c>
      <c r="K124" s="3992">
        <f>IF(Sector1!K512&lt;&gt;"",Sector1!K512,"n.a.")</f>
        <v>0.31784216446180796</v>
      </c>
      <c r="L124" s="3992">
        <f>IF(Sector1!L512&lt;&gt;"",Sector1!L512,"n.a.")</f>
        <v>0.31561498712966485</v>
      </c>
      <c r="M124" s="3992">
        <f>IF(Sector1!M512&lt;&gt;"",Sector1!M512,"n.a.")</f>
        <v>0.31299506226445961</v>
      </c>
      <c r="N124" s="3992">
        <f>IF(Sector1!N512&lt;&gt;"",Sector1!N512,"n.a.")</f>
        <v>0.31092401873913594</v>
      </c>
      <c r="O124" s="3992">
        <f>IF(Sector1!O512&lt;&gt;"",Sector1!O512,"n.a.")</f>
        <v>0.31029307187199862</v>
      </c>
      <c r="P124" s="3992">
        <f>IF(Sector1!P512&lt;&gt;"",Sector1!P512,"n.a.")</f>
        <v>0.3111541888193961</v>
      </c>
      <c r="Q124" s="3992">
        <f>IF(Sector1!Q512&lt;&gt;"",Sector1!Q512,"n.a.")</f>
        <v>0.31210460281573194</v>
      </c>
      <c r="R124" s="3992">
        <f>IF(Sector1!R512&lt;&gt;"",Sector1!R512,"n.a.")</f>
        <v>0.3118895567440606</v>
      </c>
      <c r="S124" s="3992">
        <f>IF(Sector1!S512&lt;&gt;"",Sector1!S512,"n.a.")</f>
        <v>0.31204057069663227</v>
      </c>
      <c r="T124" s="3992">
        <f>IF(Sector1!T512&lt;&gt;"",Sector1!T512,"n.a.")</f>
        <v>0.31202709526129174</v>
      </c>
      <c r="U124" s="3992">
        <f>IF(Sector1!U512&lt;&gt;"",Sector1!U512,"n.a.")</f>
        <v>0.31403539242717282</v>
      </c>
      <c r="V124" s="3992">
        <f>IF(Sector1!V512&lt;&gt;"",Sector1!V512,"n.a.")</f>
        <v>0.31648988202993417</v>
      </c>
      <c r="W124" s="3992">
        <f>IF(Sector1!W512&lt;&gt;"",Sector1!W512,"n.a.")</f>
        <v>0.31885404965329689</v>
      </c>
      <c r="X124" s="3992">
        <f>IF(Sector1!X512&lt;&gt;"",Sector1!X512,"n.a.")</f>
        <v>0.32159474650527453</v>
      </c>
      <c r="Y124" s="3992">
        <f>IF(Sector1!Y512&lt;&gt;"",Sector1!Y512,"n.a.")</f>
        <v>0.32337618671473051</v>
      </c>
      <c r="Z124" s="3992">
        <f>IF(Sector1!Z512&lt;&gt;"",Sector1!Z512,"n.a.")</f>
        <v>0.32475523704130305</v>
      </c>
      <c r="AA124" s="3992">
        <f>IF(Sector1!AA512&lt;&gt;"",Sector1!AA512,"n.a.")</f>
        <v>0.32640154429983492</v>
      </c>
      <c r="AB124" s="3992">
        <f>IF(Sector1!AB512&lt;&gt;"",Sector1!AB512,"n.a.")</f>
        <v>0.32601066279216212</v>
      </c>
      <c r="AC124" s="3992">
        <f>IF(Sector1!AC512&lt;&gt;"",Sector1!AC512,"n.a.")</f>
        <v>0.32480424169006522</v>
      </c>
      <c r="AD124" s="3992">
        <f>IF(Sector1!AD512&lt;&gt;"",Sector1!AD512,"n.a.")</f>
        <v>0.32326795623912696</v>
      </c>
      <c r="AE124" s="3992">
        <f>IF(Sector1!AE512&lt;&gt;"",Sector1!AE512,"n.a.")</f>
        <v>0.32082422965078577</v>
      </c>
    </row>
    <row r="125" spans="1:31">
      <c r="A125" s="3992" t="str">
        <f t="shared" si="4"/>
        <v>\\DG ECFIN\Forecast\Country databases\Desk transfer databases\BE</v>
      </c>
      <c r="B125" s="3992" t="str">
        <f t="shared" si="5"/>
        <v>BE</v>
      </c>
      <c r="C125" s="3992" t="s">
        <v>2166</v>
      </c>
      <c r="D125" s="3992" t="s">
        <v>2287</v>
      </c>
      <c r="E125" s="3992" t="s">
        <v>2492</v>
      </c>
      <c r="F125" s="3992">
        <v>161</v>
      </c>
      <c r="G125" s="3992" t="s">
        <v>747</v>
      </c>
      <c r="H125" s="3992">
        <f ca="1">IF('VVP2'!H385&lt;&gt;"",'VVP2'!H385,"n.a.")</f>
        <v>329.57</v>
      </c>
      <c r="I125" s="3992">
        <f ca="1">IF('VVP2'!I385&lt;&gt;"",'VVP2'!I385,"n.a.")</f>
        <v>327.76</v>
      </c>
      <c r="J125" s="3992">
        <f ca="1">IF('VVP2'!J385&lt;&gt;"",'VVP2'!J385,"n.a.")</f>
        <v>325.05</v>
      </c>
      <c r="K125" s="3992">
        <f ca="1">IF('VVP2'!K385&lt;&gt;"",'VVP2'!K385,"n.a.")</f>
        <v>347.22</v>
      </c>
      <c r="L125" s="3992">
        <f ca="1">IF('VVP2'!L385&lt;&gt;"",'VVP2'!L385,"n.a.")</f>
        <v>340.45</v>
      </c>
      <c r="M125" s="3992">
        <f ca="1">IF('VVP2'!M385&lt;&gt;"",'VVP2'!M385,"n.a.")</f>
        <v>322.93</v>
      </c>
      <c r="N125" s="3992">
        <f ca="1">IF('VVP2'!N385&lt;&gt;"",'VVP2'!N385,"n.a.")</f>
        <v>324.37</v>
      </c>
      <c r="O125" s="3992">
        <f ca="1">IF('VVP2'!O385&lt;&gt;"",'VVP2'!O385,"n.a.")</f>
        <v>323.68</v>
      </c>
      <c r="P125" s="3992">
        <f ca="1">IF('VVP2'!P385&lt;&gt;"",'VVP2'!P385,"n.a.")</f>
        <v>327.79</v>
      </c>
      <c r="Q125" s="3992">
        <f ca="1">IF('VVP2'!Q385&lt;&gt;"",'VVP2'!Q385,"n.a.")</f>
        <v>321.18</v>
      </c>
      <c r="R125" s="3992">
        <f ca="1">IF('VVP2'!R385&lt;&gt;"",'VVP2'!R385,"n.a.")</f>
        <v>322.2</v>
      </c>
      <c r="S125" s="3992">
        <f ca="1">IF('VVP2'!S385&lt;&gt;"",'VVP2'!S385,"n.a.")</f>
        <v>318.17</v>
      </c>
      <c r="T125" s="3992">
        <f ca="1">IF('VVP2'!T385&lt;&gt;"",'VVP2'!T385,"n.a.")</f>
        <v>312.81</v>
      </c>
      <c r="U125" s="3992">
        <f ca="1">IF('VVP2'!U385&lt;&gt;"",'VVP2'!U385,"n.a.")</f>
        <v>309.31</v>
      </c>
      <c r="V125" s="3992">
        <f ca="1">IF('VVP2'!V385&lt;&gt;"",'VVP2'!V385,"n.a.")</f>
        <v>300.01</v>
      </c>
      <c r="W125" s="3992">
        <f ca="1">IF('VVP2'!W385&lt;&gt;"",'VVP2'!W385,"n.a.")</f>
        <v>285.27</v>
      </c>
      <c r="X125" s="3992">
        <f ca="1">IF('VVP2'!X385&lt;&gt;"",'VVP2'!X385,"n.a.")</f>
        <v>280.51</v>
      </c>
      <c r="Y125" s="3992">
        <f ca="1">IF('VVP2'!Y385&lt;&gt;"",'VVP2'!Y385,"n.a.")</f>
        <v>279.17</v>
      </c>
      <c r="Z125" s="3992">
        <f ca="1">IF('VVP2'!Z385&lt;&gt;"",'VVP2'!Z385,"n.a.")</f>
        <v>278.89</v>
      </c>
      <c r="AA125" s="3992">
        <f ca="1">IF('VVP2'!AA385&lt;&gt;"",'VVP2'!AA385,"n.a.")</f>
        <v>274.16000000000003</v>
      </c>
      <c r="AB125" s="3992">
        <f ca="1">IF('VVP2'!AB385&lt;&gt;"",'VVP2'!AB385,"n.a.")</f>
        <v>275.66000000000003</v>
      </c>
      <c r="AC125" s="3992">
        <f ca="1">IF('VVP2'!AC385&lt;&gt;"",'VVP2'!AC385,"n.a.")</f>
        <v>272.94</v>
      </c>
      <c r="AD125" s="3992">
        <f ca="1">IF('VVP2'!AD385&lt;&gt;"",'VVP2'!AD385,"n.a.")</f>
        <v>272.94</v>
      </c>
      <c r="AE125" s="3992">
        <f ca="1">IF('VVP2'!AE385&lt;&gt;"",'VVP2'!AE385,"n.a.")</f>
        <v>272.94</v>
      </c>
    </row>
    <row r="126" spans="1:31">
      <c r="A126" s="3992" t="str">
        <f t="shared" si="4"/>
        <v>\\DG ECFIN\Forecast\Country databases\Desk transfer databases\BE</v>
      </c>
      <c r="B126" s="3992" t="str">
        <f t="shared" si="5"/>
        <v>BE</v>
      </c>
      <c r="C126" s="3992" t="s">
        <v>2166</v>
      </c>
      <c r="D126" s="3992" t="s">
        <v>2288</v>
      </c>
      <c r="E126" s="3992" t="s">
        <v>2492</v>
      </c>
      <c r="F126" s="3992">
        <v>162</v>
      </c>
      <c r="G126" s="3992" t="s">
        <v>748</v>
      </c>
      <c r="H126" s="3992">
        <f ca="1">IF('VVP2'!H386&lt;&gt;"",'VVP2'!H386,"n.a.")</f>
        <v>106.83</v>
      </c>
      <c r="I126" s="3992">
        <f ca="1">IF('VVP2'!I386&lt;&gt;"",'VVP2'!I386,"n.a.")</f>
        <v>109.39</v>
      </c>
      <c r="J126" s="3992">
        <f ca="1">IF('VVP2'!J386&lt;&gt;"",'VVP2'!J386,"n.a.")</f>
        <v>108.11</v>
      </c>
      <c r="K126" s="3992">
        <f ca="1">IF('VVP2'!K386&lt;&gt;"",'VVP2'!K386,"n.a.")</f>
        <v>100.72</v>
      </c>
      <c r="L126" s="3992">
        <f ca="1">IF('VVP2'!L386&lt;&gt;"",'VVP2'!L386,"n.a.")</f>
        <v>117.97</v>
      </c>
      <c r="M126" s="3992">
        <f ca="1">IF('VVP2'!M386&lt;&gt;"",'VVP2'!M386,"n.a.")</f>
        <v>109.95</v>
      </c>
      <c r="N126" s="3992">
        <f ca="1">IF('VVP2'!N386&lt;&gt;"",'VVP2'!N386,"n.a.")</f>
        <v>100.27</v>
      </c>
      <c r="O126" s="3992">
        <f ca="1">IF('VVP2'!O386&lt;&gt;"",'VVP2'!O386,"n.a.")</f>
        <v>100.02</v>
      </c>
      <c r="P126" s="3992">
        <f ca="1">IF('VVP2'!P386&lt;&gt;"",'VVP2'!P386,"n.a.")</f>
        <v>94.45</v>
      </c>
      <c r="Q126" s="3992">
        <f ca="1">IF('VVP2'!Q386&lt;&gt;"",'VVP2'!Q386,"n.a.")</f>
        <v>102.03</v>
      </c>
      <c r="R126" s="3992">
        <f ca="1">IF('VVP2'!R386&lt;&gt;"",'VVP2'!R386,"n.a.")</f>
        <v>101.74</v>
      </c>
      <c r="S126" s="3992">
        <f ca="1">IF('VVP2'!S386&lt;&gt;"",'VVP2'!S386,"n.a.")</f>
        <v>103.27</v>
      </c>
      <c r="T126" s="3992">
        <f ca="1">IF('VVP2'!T386&lt;&gt;"",'VVP2'!T386,"n.a.")</f>
        <v>108.69</v>
      </c>
      <c r="U126" s="3992">
        <f ca="1">IF('VVP2'!U386&lt;&gt;"",'VVP2'!U386,"n.a.")</f>
        <v>109.04</v>
      </c>
      <c r="V126" s="3992">
        <f ca="1">IF('VVP2'!V386&lt;&gt;"",'VVP2'!V386,"n.a.")</f>
        <v>112.37</v>
      </c>
      <c r="W126" s="3992">
        <f ca="1">IF('VVP2'!W386&lt;&gt;"",'VVP2'!W386,"n.a.")</f>
        <v>110.23</v>
      </c>
      <c r="X126" s="3992">
        <f ca="1">IF('VVP2'!X386&lt;&gt;"",'VVP2'!X386,"n.a.")</f>
        <v>117.07</v>
      </c>
      <c r="Y126" s="3992">
        <f ca="1">IF('VVP2'!Y386&lt;&gt;"",'VVP2'!Y386,"n.a.")</f>
        <v>112.92</v>
      </c>
      <c r="Z126" s="3992">
        <f ca="1">IF('VVP2'!Z386&lt;&gt;"",'VVP2'!Z386,"n.a.")</f>
        <v>109.15</v>
      </c>
      <c r="AA126" s="3992">
        <f ca="1">IF('VVP2'!AA386&lt;&gt;"",'VVP2'!AA386,"n.a.")</f>
        <v>110.21</v>
      </c>
      <c r="AB126" s="3992">
        <f ca="1">IF('VVP2'!AB386&lt;&gt;"",'VVP2'!AB386,"n.a.")</f>
        <v>92.18</v>
      </c>
      <c r="AC126" s="3992">
        <f ca="1">IF('VVP2'!AC386&lt;&gt;"",'VVP2'!AC386,"n.a.")</f>
        <v>90.37</v>
      </c>
      <c r="AD126" s="3992">
        <f ca="1">IF('VVP2'!AD386&lt;&gt;"",'VVP2'!AD386,"n.a.")</f>
        <v>90.37</v>
      </c>
      <c r="AE126" s="3992">
        <f ca="1">IF('VVP2'!AE386&lt;&gt;"",'VVP2'!AE386,"n.a.")</f>
        <v>90.37</v>
      </c>
    </row>
    <row r="127" spans="1:31">
      <c r="A127" s="3992" t="str">
        <f t="shared" si="4"/>
        <v>\\DG ECFIN\Forecast\Country databases\Desk transfer databases\BE</v>
      </c>
      <c r="B127" s="3992" t="str">
        <f t="shared" si="5"/>
        <v>BE</v>
      </c>
      <c r="C127" s="3992" t="s">
        <v>2166</v>
      </c>
      <c r="D127" s="3992" t="s">
        <v>2289</v>
      </c>
      <c r="E127" s="3992" t="s">
        <v>2492</v>
      </c>
      <c r="F127" s="3992">
        <v>163</v>
      </c>
      <c r="G127" s="3992" t="s">
        <v>749</v>
      </c>
      <c r="H127" s="3992">
        <f ca="1">IF('VVP2'!H388&lt;&gt;"",'VVP2'!H388,"n.a.")</f>
        <v>140.63</v>
      </c>
      <c r="I127" s="3992">
        <f ca="1">IF('VVP2'!I388&lt;&gt;"",'VVP2'!I388,"n.a.")</f>
        <v>140.75</v>
      </c>
      <c r="J127" s="3992">
        <f ca="1">IF('VVP2'!J388&lt;&gt;"",'VVP2'!J388,"n.a.")</f>
        <v>143</v>
      </c>
      <c r="K127" s="3992">
        <f ca="1">IF('VVP2'!K388&lt;&gt;"",'VVP2'!K388,"n.a.")</f>
        <v>142.37</v>
      </c>
      <c r="L127" s="3992">
        <f ca="1">IF('VVP2'!L388&lt;&gt;"",'VVP2'!L388,"n.a.")</f>
        <v>128.38</v>
      </c>
      <c r="M127" s="3992">
        <f ca="1">IF('VVP2'!M388&lt;&gt;"",'VVP2'!M388,"n.a.")</f>
        <v>118.77</v>
      </c>
      <c r="N127" s="3992">
        <f ca="1">IF('VVP2'!N388&lt;&gt;"",'VVP2'!N388,"n.a.")</f>
        <v>119.11</v>
      </c>
      <c r="O127" s="3992">
        <f ca="1">IF('VVP2'!O388&lt;&gt;"",'VVP2'!O388,"n.a.")</f>
        <v>119.27</v>
      </c>
      <c r="P127" s="3992">
        <f ca="1">IF('VVP2'!P388&lt;&gt;"",'VVP2'!P388,"n.a.")</f>
        <v>120.1</v>
      </c>
      <c r="Q127" s="3992">
        <f ca="1">IF('VVP2'!Q388&lt;&gt;"",'VVP2'!Q388,"n.a.")</f>
        <v>120.22</v>
      </c>
      <c r="R127" s="3992">
        <f ca="1">IF('VVP2'!R388&lt;&gt;"",'VVP2'!R388,"n.a.")</f>
        <v>117.69</v>
      </c>
      <c r="S127" s="3992">
        <f ca="1">IF('VVP2'!S388&lt;&gt;"",'VVP2'!S388,"n.a.")</f>
        <v>118.97</v>
      </c>
      <c r="T127" s="3992">
        <f ca="1">IF('VVP2'!T388&lt;&gt;"",'VVP2'!T388,"n.a.")</f>
        <v>124.06</v>
      </c>
      <c r="U127" s="3992">
        <f ca="1">IF('VVP2'!U388&lt;&gt;"",'VVP2'!U388,"n.a.")</f>
        <v>126.19</v>
      </c>
      <c r="V127" s="3992">
        <f ca="1">IF('VVP2'!V388&lt;&gt;"",'VVP2'!V388,"n.a.")</f>
        <v>130.6</v>
      </c>
      <c r="W127" s="3992">
        <f ca="1">IF('VVP2'!W388&lt;&gt;"",'VVP2'!W388,"n.a.")</f>
        <v>135.63</v>
      </c>
      <c r="X127" s="3992">
        <f ca="1">IF('VVP2'!X388&lt;&gt;"",'VVP2'!X388,"n.a.")</f>
        <v>131.79</v>
      </c>
      <c r="Y127" s="3992">
        <f ca="1">IF('VVP2'!Y388&lt;&gt;"",'VVP2'!Y388,"n.a.")</f>
        <v>131.94</v>
      </c>
      <c r="Z127" s="3992">
        <f ca="1">IF('VVP2'!Z388&lt;&gt;"",'VVP2'!Z388,"n.a.")</f>
        <v>134.52000000000001</v>
      </c>
      <c r="AA127" s="3992">
        <f ca="1">IF('VVP2'!AA388&lt;&gt;"",'VVP2'!AA388,"n.a.")</f>
        <v>131.02000000000001</v>
      </c>
      <c r="AB127" s="3992">
        <f ca="1">IF('VVP2'!AB388&lt;&gt;"",'VVP2'!AB388,"n.a.")</f>
        <v>131.13</v>
      </c>
      <c r="AC127" s="3992">
        <f ca="1">IF('VVP2'!AC388&lt;&gt;"",'VVP2'!AC388,"n.a.")</f>
        <v>134.72</v>
      </c>
      <c r="AD127" s="3992">
        <f ca="1">IF('VVP2'!AD388&lt;&gt;"",'VVP2'!AD388,"n.a.")</f>
        <v>134.72</v>
      </c>
      <c r="AE127" s="3992">
        <f ca="1">IF('VVP2'!AE388&lt;&gt;"",'VVP2'!AE388,"n.a.")</f>
        <v>134.72</v>
      </c>
    </row>
    <row r="128" spans="1:31">
      <c r="A128" s="3992" t="str">
        <f t="shared" si="4"/>
        <v>\\DG ECFIN\Forecast\Country databases\Desk transfer databases\BE</v>
      </c>
      <c r="B128" s="3992" t="str">
        <f t="shared" si="5"/>
        <v>BE</v>
      </c>
      <c r="C128" s="3992" t="s">
        <v>2166</v>
      </c>
      <c r="D128" s="3992" t="s">
        <v>2290</v>
      </c>
      <c r="E128" s="3992" t="s">
        <v>2492</v>
      </c>
      <c r="F128" s="3992">
        <v>164</v>
      </c>
      <c r="G128" s="3992" t="s">
        <v>750</v>
      </c>
      <c r="H128" s="3992">
        <f ca="1">IF('VVP2'!H387&lt;&gt;"",'VVP2'!H387,"n.a.")</f>
        <v>101.79</v>
      </c>
      <c r="I128" s="3992">
        <f ca="1">IF('VVP2'!I387&lt;&gt;"",'VVP2'!I387,"n.a.")</f>
        <v>99.97</v>
      </c>
      <c r="J128" s="3992">
        <f ca="1">IF('VVP2'!J387&lt;&gt;"",'VVP2'!J387,"n.a.")</f>
        <v>102.17</v>
      </c>
      <c r="K128" s="3992">
        <f ca="1">IF('VVP2'!K387&lt;&gt;"",'VVP2'!K387,"n.a.")</f>
        <v>104.03</v>
      </c>
      <c r="L128" s="3992">
        <f ca="1">IF('VVP2'!L387&lt;&gt;"",'VVP2'!L387,"n.a.")</f>
        <v>88.59</v>
      </c>
      <c r="M128" s="3992">
        <f ca="1">IF('VVP2'!M387&lt;&gt;"",'VVP2'!M387,"n.a.")</f>
        <v>79.22</v>
      </c>
      <c r="N128" s="3992">
        <f ca="1">IF('VVP2'!N387&lt;&gt;"",'VVP2'!N387,"n.a.")</f>
        <v>82.48</v>
      </c>
      <c r="O128" s="3992">
        <f ca="1">IF('VVP2'!O387&lt;&gt;"",'VVP2'!O387,"n.a.")</f>
        <v>81.84</v>
      </c>
      <c r="P128" s="3992">
        <f ca="1">IF('VVP2'!P387&lt;&gt;"",'VVP2'!P387,"n.a.")</f>
        <v>81.59</v>
      </c>
      <c r="Q128" s="3992">
        <f ca="1">IF('VVP2'!Q387&lt;&gt;"",'VVP2'!Q387,"n.a.")</f>
        <v>81.48</v>
      </c>
      <c r="R128" s="3992">
        <f ca="1">IF('VVP2'!R387&lt;&gt;"",'VVP2'!R387,"n.a.")</f>
        <v>80.819999999999993</v>
      </c>
      <c r="S128" s="3992">
        <f ca="1">IF('VVP2'!S387&lt;&gt;"",'VVP2'!S387,"n.a.")</f>
        <v>83.01</v>
      </c>
      <c r="T128" s="3992">
        <f ca="1">IF('VVP2'!T387&lt;&gt;"",'VVP2'!T387,"n.a.")</f>
        <v>82.57</v>
      </c>
      <c r="U128" s="3992">
        <f ca="1">IF('VVP2'!U387&lt;&gt;"",'VVP2'!U387,"n.a.")</f>
        <v>82.13</v>
      </c>
      <c r="V128" s="3992">
        <f ca="1">IF('VVP2'!V387&lt;&gt;"",'VVP2'!V387,"n.a.")</f>
        <v>77.95</v>
      </c>
      <c r="W128" s="3992">
        <f ca="1">IF('VVP2'!W387&lt;&gt;"",'VVP2'!W387,"n.a.")</f>
        <v>83.07</v>
      </c>
      <c r="X128" s="3992">
        <f ca="1">IF('VVP2'!X387&lt;&gt;"",'VVP2'!X387,"n.a.")</f>
        <v>78.78</v>
      </c>
      <c r="Y128" s="3992">
        <f ca="1">IF('VVP2'!Y387&lt;&gt;"",'VVP2'!Y387,"n.a.")</f>
        <v>80.5</v>
      </c>
      <c r="Z128" s="3992">
        <f ca="1">IF('VVP2'!Z387&lt;&gt;"",'VVP2'!Z387,"n.a.")</f>
        <v>82</v>
      </c>
      <c r="AA128" s="3992">
        <f ca="1">IF('VVP2'!AA387&lt;&gt;"",'VVP2'!AA387,"n.a.")</f>
        <v>76.42</v>
      </c>
      <c r="AB128" s="3992">
        <f ca="1">IF('VVP2'!AB387&lt;&gt;"",'VVP2'!AB387,"n.a.")</f>
        <v>76.900000000000006</v>
      </c>
      <c r="AC128" s="3992">
        <f ca="1">IF('VVP2'!AC387&lt;&gt;"",'VVP2'!AC387,"n.a.")</f>
        <v>79.38</v>
      </c>
      <c r="AD128" s="3992">
        <f ca="1">IF('VVP2'!AD387&lt;&gt;"",'VVP2'!AD387,"n.a.")</f>
        <v>79.38</v>
      </c>
      <c r="AE128" s="3992">
        <f ca="1">IF('VVP2'!AE387&lt;&gt;"",'VVP2'!AE387,"n.a.")</f>
        <v>79.38</v>
      </c>
    </row>
    <row r="129" spans="1:31">
      <c r="A129" s="3992" t="str">
        <f t="shared" si="4"/>
        <v>\\DG ECFIN\Forecast\Country databases\Desk transfer databases\BE</v>
      </c>
      <c r="B129" s="3992" t="str">
        <f t="shared" si="5"/>
        <v>BE</v>
      </c>
      <c r="C129" s="3992" t="s">
        <v>2166</v>
      </c>
      <c r="D129" s="3992" t="s">
        <v>2291</v>
      </c>
      <c r="E129" s="3992" t="s">
        <v>2492</v>
      </c>
      <c r="F129" s="3992">
        <v>165</v>
      </c>
      <c r="G129" s="3992" t="s">
        <v>751</v>
      </c>
      <c r="H129" s="3992">
        <f ca="1">IF('VVP2'!H389&lt;&gt;"",'VVP2'!H389,"n.a.")</f>
        <v>302.12</v>
      </c>
      <c r="I129" s="3992">
        <f ca="1">IF('VVP2'!I389&lt;&gt;"",'VVP2'!I389,"n.a.")</f>
        <v>303.13</v>
      </c>
      <c r="J129" s="3992">
        <f ca="1">IF('VVP2'!J389&lt;&gt;"",'VVP2'!J389,"n.a.")</f>
        <v>302.78000000000003</v>
      </c>
      <c r="K129" s="3992">
        <f ca="1">IF('VVP2'!K389&lt;&gt;"",'VVP2'!K389,"n.a.")</f>
        <v>305.66000000000003</v>
      </c>
      <c r="L129" s="3992">
        <f ca="1">IF('VVP2'!L389&lt;&gt;"",'VVP2'!L389,"n.a.")</f>
        <v>324.62</v>
      </c>
      <c r="M129" s="3992">
        <f ca="1">IF('VVP2'!M389&lt;&gt;"",'VVP2'!M389,"n.a.")</f>
        <v>369.13</v>
      </c>
      <c r="N129" s="3992">
        <f ca="1">IF('VVP2'!N389&lt;&gt;"",'VVP2'!N389,"n.a.")</f>
        <v>373.76</v>
      </c>
      <c r="O129" s="3992">
        <f ca="1">IF('VVP2'!O389&lt;&gt;"",'VVP2'!O389,"n.a.")</f>
        <v>375.19</v>
      </c>
      <c r="P129" s="3992">
        <f ca="1">IF('VVP2'!P389&lt;&gt;"",'VVP2'!P389,"n.a.")</f>
        <v>376.07</v>
      </c>
      <c r="Q129" s="3992">
        <f ca="1">IF('VVP2'!Q389&lt;&gt;"",'VVP2'!Q389,"n.a.")</f>
        <v>375.09</v>
      </c>
      <c r="R129" s="3992">
        <f ca="1">IF('VVP2'!R389&lt;&gt;"",'VVP2'!R389,"n.a.")</f>
        <v>377.54</v>
      </c>
      <c r="S129" s="3992">
        <f ca="1">IF('VVP2'!S389&lt;&gt;"",'VVP2'!S389,"n.a.")</f>
        <v>376.58</v>
      </c>
      <c r="T129" s="3992">
        <f ca="1">IF('VVP2'!T389&lt;&gt;"",'VVP2'!T389,"n.a.")</f>
        <v>371.87</v>
      </c>
      <c r="U129" s="3992">
        <f ca="1">IF('VVP2'!U389&lt;&gt;"",'VVP2'!U389,"n.a.")</f>
        <v>373.33</v>
      </c>
      <c r="V129" s="3992">
        <f ca="1">IF('VVP2'!V389&lt;&gt;"",'VVP2'!V389,"n.a.")</f>
        <v>379.08</v>
      </c>
      <c r="W129" s="3992">
        <f ca="1">IF('VVP2'!W389&lt;&gt;"",'VVP2'!W389,"n.a.")</f>
        <v>385.8</v>
      </c>
      <c r="X129" s="3992">
        <f ca="1">IF('VVP2'!X389&lt;&gt;"",'VVP2'!X389,"n.a.")</f>
        <v>391.84</v>
      </c>
      <c r="Y129" s="3992">
        <f ca="1">IF('VVP2'!Y389&lt;&gt;"",'VVP2'!Y389,"n.a.")</f>
        <v>395.47</v>
      </c>
      <c r="Z129" s="3992">
        <f ca="1">IF('VVP2'!Z389&lt;&gt;"",'VVP2'!Z389,"n.a.")</f>
        <v>395.44</v>
      </c>
      <c r="AA129" s="3992">
        <f ca="1">IF('VVP2'!AA389&lt;&gt;"",'VVP2'!AA389,"n.a.")</f>
        <v>408.18</v>
      </c>
      <c r="AB129" s="3992">
        <f ca="1">IF('VVP2'!AB389&lt;&gt;"",'VVP2'!AB389,"n.a.")</f>
        <v>424.13</v>
      </c>
      <c r="AC129" s="3992">
        <f ca="1">IF('VVP2'!AC389&lt;&gt;"",'VVP2'!AC389,"n.a.")</f>
        <v>422.6</v>
      </c>
      <c r="AD129" s="3992">
        <f ca="1">IF('VVP2'!AD389&lt;&gt;"",'VVP2'!AD389,"n.a.")</f>
        <v>422.6</v>
      </c>
      <c r="AE129" s="3992">
        <f ca="1">IF('VVP2'!AE389&lt;&gt;"",'VVP2'!AE389,"n.a.")</f>
        <v>422.6</v>
      </c>
    </row>
    <row r="130" spans="1:31">
      <c r="A130" s="3992" t="str">
        <f t="shared" si="4"/>
        <v>\\DG ECFIN\Forecast\Country databases\Desk transfer databases\BE</v>
      </c>
      <c r="B130" s="3992" t="str">
        <f t="shared" si="5"/>
        <v>BE</v>
      </c>
      <c r="C130" s="3992" t="s">
        <v>2166</v>
      </c>
      <c r="D130" s="3992" t="s">
        <v>2292</v>
      </c>
      <c r="E130" s="3992" t="s">
        <v>2492</v>
      </c>
      <c r="F130" s="3992">
        <v>172</v>
      </c>
      <c r="G130" s="3992" t="s">
        <v>255</v>
      </c>
      <c r="H130" s="3992">
        <f ca="1">IF('VVP2'!H392&lt;&gt;"",'VVP2'!H392,"n.a.")</f>
        <v>85.460000000000008</v>
      </c>
      <c r="I130" s="3992">
        <f ca="1">IF('VVP2'!I392&lt;&gt;"",'VVP2'!I392,"n.a.")</f>
        <v>85.563333333333347</v>
      </c>
      <c r="J130" s="3992">
        <f ca="1">IF('VVP2'!J392&lt;&gt;"",'VVP2'!J392,"n.a.")</f>
        <v>86.139166666666668</v>
      </c>
      <c r="K130" s="3992">
        <f ca="1">IF('VVP2'!K392&lt;&gt;"",'VVP2'!K392,"n.a.")</f>
        <v>86.84416666666668</v>
      </c>
      <c r="L130" s="3992">
        <f ca="1">IF('VVP2'!L392&lt;&gt;"",'VVP2'!L392,"n.a.")</f>
        <v>86.867499999999993</v>
      </c>
      <c r="M130" s="3992">
        <f ca="1">IF('VVP2'!M392&lt;&gt;"",'VVP2'!M392,"n.a.")</f>
        <v>88.589166666666671</v>
      </c>
      <c r="N130" s="3992">
        <f ca="1">IF('VVP2'!N392&lt;&gt;"",'VVP2'!N392,"n.a.")</f>
        <v>90.06</v>
      </c>
      <c r="O130" s="3992">
        <f ca="1">IF('VVP2'!O392&lt;&gt;"",'VVP2'!O392,"n.a.")</f>
        <v>90.953333333333319</v>
      </c>
      <c r="P130" s="3992">
        <f ca="1">IF('VVP2'!P392&lt;&gt;"",'VVP2'!P392,"n.a.")</f>
        <v>91.232500000000016</v>
      </c>
      <c r="Q130" s="3992">
        <f ca="1">IF('VVP2'!Q392&lt;&gt;"",'VVP2'!Q392,"n.a.")</f>
        <v>91.477499999999992</v>
      </c>
      <c r="R130" s="3992">
        <f ca="1">IF('VVP2'!R392&lt;&gt;"",'VVP2'!R392,"n.a.")</f>
        <v>92.31583333333333</v>
      </c>
      <c r="S130" s="3992">
        <f ca="1">IF('VVP2'!S392&lt;&gt;"",'VVP2'!S392,"n.a.")</f>
        <v>93.11666666666666</v>
      </c>
      <c r="T130" s="3992">
        <f ca="1">IF('VVP2'!T392&lt;&gt;"",'VVP2'!T392,"n.a.")</f>
        <v>94.330000000000013</v>
      </c>
      <c r="U130" s="3992">
        <f ca="1">IF('VVP2'!U392&lt;&gt;"",'VVP2'!U392,"n.a.")</f>
        <v>95.689166666666651</v>
      </c>
      <c r="V130" s="3992">
        <f ca="1">IF('VVP2'!V392&lt;&gt;"",'VVP2'!V392,"n.a.")</f>
        <v>96.45</v>
      </c>
      <c r="W130" s="3992">
        <f ca="1">IF('VVP2'!W392&lt;&gt;"",'VVP2'!W392,"n.a.")</f>
        <v>97.374166666666667</v>
      </c>
      <c r="X130" s="3992">
        <f ca="1">IF('VVP2'!X392&lt;&gt;"",'VVP2'!X392,"n.a.")</f>
        <v>98.243333333333325</v>
      </c>
      <c r="Y130" s="3992">
        <f ca="1">IF('VVP2'!Y392&lt;&gt;"",'VVP2'!Y392,"n.a.")</f>
        <v>99.20750000000001</v>
      </c>
      <c r="Z130" s="3992">
        <f ca="1">IF('VVP2'!Z392&lt;&gt;"",'VVP2'!Z392,"n.a.")</f>
        <v>99.54</v>
      </c>
      <c r="AA130" s="3992">
        <f ca="1">IF('VVP2'!AA392&lt;&gt;"",'VVP2'!AA392,"n.a.")</f>
        <v>99.999166666666667</v>
      </c>
      <c r="AB130" s="3992">
        <f ca="1">IF('VVP2'!AB392&lt;&gt;"",'VVP2'!AB392,"n.a.")</f>
        <v>101.00833333333334</v>
      </c>
      <c r="AC130" s="3992">
        <f ca="1">IF('VVP2'!AC392&lt;&gt;"",'VVP2'!AC392,"n.a.")</f>
        <v>101.82583333333334</v>
      </c>
      <c r="AD130" s="3992">
        <f ca="1">IF('VVP2'!AD392&lt;&gt;"",'VVP2'!AD392,"n.a.")</f>
        <v>102.85087796505539</v>
      </c>
      <c r="AE130" s="3992">
        <f ca="1">IF('VVP2'!AE392&lt;&gt;"",'VVP2'!AE392,"n.a.")</f>
        <v>103.93770724032156</v>
      </c>
    </row>
    <row r="131" spans="1:31">
      <c r="A131" s="3992" t="str">
        <f t="shared" si="4"/>
        <v>\\DG ECFIN\Forecast\Country databases\Desk transfer databases\BE</v>
      </c>
      <c r="B131" s="3992" t="str">
        <f t="shared" si="5"/>
        <v>BE</v>
      </c>
      <c r="C131" s="3992" t="s">
        <v>2166</v>
      </c>
      <c r="D131" s="3992" t="s">
        <v>2293</v>
      </c>
      <c r="E131" s="3992" t="s">
        <v>2492</v>
      </c>
      <c r="F131" s="3992">
        <v>173</v>
      </c>
      <c r="G131" s="3992" t="s">
        <v>256</v>
      </c>
      <c r="H131" s="3992">
        <f ca="1">IF('VVP2'!H393&lt;&gt;"",'VVP2'!H393,"n.a.")</f>
        <v>57.81583333333333</v>
      </c>
      <c r="I131" s="3992">
        <f ca="1">IF('VVP2'!I393&lt;&gt;"",'VVP2'!I393,"n.a.")</f>
        <v>59.640833333333333</v>
      </c>
      <c r="J131" s="3992">
        <f ca="1">IF('VVP2'!J393&lt;&gt;"",'VVP2'!J393,"n.a.")</f>
        <v>57.514166666666661</v>
      </c>
      <c r="K131" s="3992">
        <f ca="1">IF('VVP2'!K393&lt;&gt;"",'VVP2'!K393,"n.a.")</f>
        <v>58.657499999999999</v>
      </c>
      <c r="L131" s="3992">
        <f ca="1">IF('VVP2'!L393&lt;&gt;"",'VVP2'!L393,"n.a.")</f>
        <v>68.230833333333337</v>
      </c>
      <c r="M131" s="3992">
        <f ca="1">IF('VVP2'!M393&lt;&gt;"",'VVP2'!M393,"n.a.")</f>
        <v>69.169999999999987</v>
      </c>
      <c r="N131" s="3992">
        <f ca="1">IF('VVP2'!N393&lt;&gt;"",'VVP2'!N393,"n.a.")</f>
        <v>66.656666666666666</v>
      </c>
      <c r="O131" s="3992">
        <f ca="1">IF('VVP2'!O393&lt;&gt;"",'VVP2'!O393,"n.a.")</f>
        <v>66.774166666666659</v>
      </c>
      <c r="P131" s="3992">
        <f ca="1">IF('VVP2'!P393&lt;&gt;"",'VVP2'!P393,"n.a.")</f>
        <v>71.180000000000007</v>
      </c>
      <c r="Q131" s="3992">
        <f ca="1">IF('VVP2'!Q393&lt;&gt;"",'VVP2'!Q393,"n.a.")</f>
        <v>80.22</v>
      </c>
      <c r="R131" s="3992">
        <f ca="1">IF('VVP2'!R393&lt;&gt;"",'VVP2'!R393,"n.a.")</f>
        <v>86.054166666666674</v>
      </c>
      <c r="S131" s="3992">
        <f ca="1">IF('VVP2'!S393&lt;&gt;"",'VVP2'!S393,"n.a.")</f>
        <v>86.242499999999993</v>
      </c>
      <c r="T131" s="3992">
        <f ca="1">IF('VVP2'!T393&lt;&gt;"",'VVP2'!T393,"n.a.")</f>
        <v>103.35416666666667</v>
      </c>
      <c r="U131" s="3992">
        <f ca="1">IF('VVP2'!U393&lt;&gt;"",'VVP2'!U393,"n.a.")</f>
        <v>88.90583333333332</v>
      </c>
      <c r="V131" s="3992">
        <f ca="1">IF('VVP2'!V393&lt;&gt;"",'VVP2'!V393,"n.a.")</f>
        <v>97.773333333333326</v>
      </c>
      <c r="W131" s="3992">
        <f ca="1">IF('VVP2'!W393&lt;&gt;"",'VVP2'!W393,"n.a.")</f>
        <v>114.41250000000001</v>
      </c>
      <c r="X131" s="3992">
        <f ca="1">IF('VVP2'!X393&lt;&gt;"",'VVP2'!X393,"n.a.")</f>
        <v>121.27083333333334</v>
      </c>
      <c r="Y131" s="3992">
        <f ca="1">IF('VVP2'!Y393&lt;&gt;"",'VVP2'!Y393,"n.a.")</f>
        <v>115.69166666666666</v>
      </c>
      <c r="Z131" s="3992">
        <f ca="1">IF('VVP2'!Z393&lt;&gt;"",'VVP2'!Z393,"n.a.")</f>
        <v>108.69666666666666</v>
      </c>
      <c r="AA131" s="3992">
        <f ca="1">IF('VVP2'!AA393&lt;&gt;"",'VVP2'!AA393,"n.a.")</f>
        <v>99.999166666666667</v>
      </c>
      <c r="AB131" s="3992">
        <f ca="1">IF('VVP2'!AB393&lt;&gt;"",'VVP2'!AB393,"n.a.")</f>
        <v>99.400833333333338</v>
      </c>
      <c r="AC131" s="3992">
        <f ca="1">IF('VVP2'!AC393&lt;&gt;"",'VVP2'!AC393,"n.a.")</f>
        <v>109.19333333333333</v>
      </c>
      <c r="AD131" s="3992">
        <f ca="1">IF('VVP2'!AD393&lt;&gt;"",'VVP2'!AD393,"n.a.")</f>
        <v>107.67070494304062</v>
      </c>
      <c r="AE131" s="3992">
        <f ca="1">IF('VVP2'!AE393&lt;&gt;"",'VVP2'!AE393,"n.a.")</f>
        <v>106.22689860195854</v>
      </c>
    </row>
    <row r="132" spans="1:31">
      <c r="A132" s="3992" t="str">
        <f t="shared" si="4"/>
        <v>\\DG ECFIN\Forecast\Country databases\Desk transfer databases\BE</v>
      </c>
      <c r="B132" s="3992" t="str">
        <f t="shared" si="5"/>
        <v>BE</v>
      </c>
      <c r="C132" s="3992" t="s">
        <v>2166</v>
      </c>
      <c r="D132" s="3992" t="s">
        <v>2294</v>
      </c>
      <c r="E132" s="3992" t="s">
        <v>2492</v>
      </c>
      <c r="F132" s="3992">
        <v>174</v>
      </c>
      <c r="G132" s="3992" t="s">
        <v>257</v>
      </c>
      <c r="H132" s="3992">
        <f ca="1">IF('VVP2'!H395&lt;&gt;"",'VVP2'!H395,"n.a.")</f>
        <v>63.280833333333334</v>
      </c>
      <c r="I132" s="3992">
        <f ca="1">IF('VVP2'!I395&lt;&gt;"",'VVP2'!I395,"n.a.")</f>
        <v>64.704999999999998</v>
      </c>
      <c r="J132" s="3992">
        <f ca="1">IF('VVP2'!J395&lt;&gt;"",'VVP2'!J395,"n.a.")</f>
        <v>65.61333333333333</v>
      </c>
      <c r="K132" s="3992">
        <f ca="1">IF('VVP2'!K395&lt;&gt;"",'VVP2'!K395,"n.a.")</f>
        <v>66.025000000000006</v>
      </c>
      <c r="L132" s="3992">
        <f ca="1">IF('VVP2'!L395&lt;&gt;"",'VVP2'!L395,"n.a.")</f>
        <v>66.880833333333328</v>
      </c>
      <c r="M132" s="3992">
        <f ca="1">IF('VVP2'!M395&lt;&gt;"",'VVP2'!M395,"n.a.")</f>
        <v>68.331666666666678</v>
      </c>
      <c r="N132" s="3992">
        <f ca="1">IF('VVP2'!N395&lt;&gt;"",'VVP2'!N395,"n.a.")</f>
        <v>69.346666666666664</v>
      </c>
      <c r="O132" s="3992">
        <f ca="1">IF('VVP2'!O395&lt;&gt;"",'VVP2'!O395,"n.a.")</f>
        <v>71.254999999999995</v>
      </c>
      <c r="P132" s="3992">
        <f ca="1">IF('VVP2'!P395&lt;&gt;"",'VVP2'!P395,"n.a.")</f>
        <v>72.836666666666673</v>
      </c>
      <c r="Q132" s="3992">
        <f ca="1">IF('VVP2'!Q395&lt;&gt;"",'VVP2'!Q395,"n.a.")</f>
        <v>74.315000000000012</v>
      </c>
      <c r="R132" s="3992">
        <f ca="1">IF('VVP2'!R395&lt;&gt;"",'VVP2'!R395,"n.a.")</f>
        <v>75.84</v>
      </c>
      <c r="S132" s="3992">
        <f ca="1">IF('VVP2'!S395&lt;&gt;"",'VVP2'!S395,"n.a.")</f>
        <v>79.374166666666667</v>
      </c>
      <c r="T132" s="3992">
        <f ca="1">IF('VVP2'!T395&lt;&gt;"",'VVP2'!T395,"n.a.")</f>
        <v>85.537500000000009</v>
      </c>
      <c r="U132" s="3992">
        <f ca="1">IF('VVP2'!U395&lt;&gt;"",'VVP2'!U395,"n.a.")</f>
        <v>86.963333333333338</v>
      </c>
      <c r="V132" s="3992">
        <f ca="1">IF('VVP2'!V395&lt;&gt;"",'VVP2'!V395,"n.a.")</f>
        <v>87.870833333333337</v>
      </c>
      <c r="W132" s="3992">
        <f ca="1">IF('VVP2'!W395&lt;&gt;"",'VVP2'!W395,"n.a.")</f>
        <v>90.589166666666685</v>
      </c>
      <c r="X132" s="3992">
        <f ca="1">IF('VVP2'!X395&lt;&gt;"",'VVP2'!X395,"n.a.")</f>
        <v>93.366666666666674</v>
      </c>
      <c r="Y132" s="3992">
        <f ca="1">IF('VVP2'!Y395&lt;&gt;"",'VVP2'!Y395,"n.a.")</f>
        <v>96.367500000000007</v>
      </c>
      <c r="Z132" s="3992">
        <f ca="1">IF('VVP2'!Z395&lt;&gt;"",'VVP2'!Z395,"n.a.")</f>
        <v>98.431666666666672</v>
      </c>
      <c r="AA132" s="3992">
        <f ca="1">IF('VVP2'!AA395&lt;&gt;"",'VVP2'!AA395,"n.a.")</f>
        <v>99.999166666666667</v>
      </c>
      <c r="AB132" s="3992">
        <f ca="1">IF('VVP2'!AB395&lt;&gt;"",'VVP2'!AB395,"n.a.")</f>
        <v>103.45166666666667</v>
      </c>
      <c r="AC132" s="3992">
        <f ca="1">IF('VVP2'!AC395&lt;&gt;"",'VVP2'!AC395,"n.a.")</f>
        <v>105.66916666666667</v>
      </c>
      <c r="AD132" s="3992">
        <f ca="1">IF('VVP2'!AD395&lt;&gt;"",'VVP2'!AD395,"n.a.")</f>
        <v>108.77943178536566</v>
      </c>
      <c r="AE132" s="3992">
        <f ca="1">IF('VVP2'!AE395&lt;&gt;"",'VVP2'!AE395,"n.a.")</f>
        <v>111.48702968513636</v>
      </c>
    </row>
    <row r="133" spans="1:31">
      <c r="A133" s="3992" t="str">
        <f t="shared" si="4"/>
        <v>\\DG ECFIN\Forecast\Country databases\Desk transfer databases\BE</v>
      </c>
      <c r="B133" s="3992" t="str">
        <f t="shared" si="5"/>
        <v>BE</v>
      </c>
      <c r="C133" s="3992" t="s">
        <v>2166</v>
      </c>
      <c r="D133" s="3992" t="s">
        <v>2295</v>
      </c>
      <c r="E133" s="3992" t="s">
        <v>2492</v>
      </c>
      <c r="F133" s="3992">
        <v>175</v>
      </c>
      <c r="G133" s="3992" t="s">
        <v>18</v>
      </c>
      <c r="H133" s="3992">
        <f ca="1">IF('VVP2'!H394&lt;&gt;"",'VVP2'!H394,"n.a.")</f>
        <v>66.68416666666667</v>
      </c>
      <c r="I133" s="3992">
        <f ca="1">IF('VVP2'!I394&lt;&gt;"",'VVP2'!I394,"n.a.")</f>
        <v>68.476666666666659</v>
      </c>
      <c r="J133" s="3992">
        <f ca="1">IF('VVP2'!J394&lt;&gt;"",'VVP2'!J394,"n.a.")</f>
        <v>69.972500000000011</v>
      </c>
      <c r="K133" s="3992">
        <f ca="1">IF('VVP2'!K394&lt;&gt;"",'VVP2'!K394,"n.a.")</f>
        <v>69.990833333333342</v>
      </c>
      <c r="L133" s="3992">
        <f ca="1">IF('VVP2'!L394&lt;&gt;"",'VVP2'!L394,"n.a.")</f>
        <v>70.15666666666668</v>
      </c>
      <c r="M133" s="3992">
        <f ca="1">IF('VVP2'!M394&lt;&gt;"",'VVP2'!M394,"n.a.")</f>
        <v>75.017500000000013</v>
      </c>
      <c r="N133" s="3992">
        <f ca="1">IF('VVP2'!N394&lt;&gt;"",'VVP2'!N394,"n.a.")</f>
        <v>77.424999999999997</v>
      </c>
      <c r="O133" s="3992">
        <f ca="1">IF('VVP2'!O394&lt;&gt;"",'VVP2'!O394,"n.a.")</f>
        <v>78.75</v>
      </c>
      <c r="P133" s="3992">
        <f ca="1">IF('VVP2'!P394&lt;&gt;"",'VVP2'!P394,"n.a.")</f>
        <v>79.470833333333331</v>
      </c>
      <c r="Q133" s="3992">
        <f ca="1">IF('VVP2'!Q394&lt;&gt;"",'VVP2'!Q394,"n.a.")</f>
        <v>80.811666666666653</v>
      </c>
      <c r="R133" s="3992">
        <f ca="1">IF('VVP2'!R394&lt;&gt;"",'VVP2'!R394,"n.a.")</f>
        <v>83.431666666666658</v>
      </c>
      <c r="S133" s="3992">
        <f ca="1">IF('VVP2'!S394&lt;&gt;"",'VVP2'!S394,"n.a.")</f>
        <v>85.944166666666661</v>
      </c>
      <c r="T133" s="3992">
        <f ca="1">IF('VVP2'!T394&lt;&gt;"",'VVP2'!T394,"n.a.")</f>
        <v>88.325833333333321</v>
      </c>
      <c r="U133" s="3992">
        <f ca="1">IF('VVP2'!U394&lt;&gt;"",'VVP2'!U394,"n.a.")</f>
        <v>88.641666666666652</v>
      </c>
      <c r="V133" s="3992">
        <f ca="1">IF('VVP2'!V394&lt;&gt;"",'VVP2'!V394,"n.a.")</f>
        <v>91.767499999999998</v>
      </c>
      <c r="W133" s="3992">
        <f ca="1">IF('VVP2'!W394&lt;&gt;"",'VVP2'!W394,"n.a.")</f>
        <v>91.975833333333341</v>
      </c>
      <c r="X133" s="3992">
        <f ca="1">IF('VVP2'!X394&lt;&gt;"",'VVP2'!X394,"n.a.")</f>
        <v>95.099166666666676</v>
      </c>
      <c r="Y133" s="3992">
        <f ca="1">IF('VVP2'!Y394&lt;&gt;"",'VVP2'!Y394,"n.a.")</f>
        <v>99.246666666666655</v>
      </c>
      <c r="Z133" s="3992">
        <f ca="1">IF('VVP2'!Z394&lt;&gt;"",'VVP2'!Z394,"n.a.")</f>
        <v>97.932500000000005</v>
      </c>
      <c r="AA133" s="3992">
        <f ca="1">IF('VVP2'!AA394&lt;&gt;"",'VVP2'!AA394,"n.a.")</f>
        <v>100.00083333333333</v>
      </c>
      <c r="AB133" s="3992">
        <f ca="1">IF('VVP2'!AB394&lt;&gt;"",'VVP2'!AB394,"n.a.")</f>
        <v>102.56333333333332</v>
      </c>
      <c r="AC133" s="3992">
        <f ca="1">IF('VVP2'!AC394&lt;&gt;"",'VVP2'!AC394,"n.a.")</f>
        <v>102.63416666666667</v>
      </c>
      <c r="AD133" s="3992">
        <f ca="1">IF('VVP2'!AD394&lt;&gt;"",'VVP2'!AD394,"n.a.")</f>
        <v>105.0082543117322</v>
      </c>
      <c r="AE133" s="3992">
        <f ca="1">IF('VVP2'!AE394&lt;&gt;"",'VVP2'!AE394,"n.a.")</f>
        <v>107.55464510727879</v>
      </c>
    </row>
    <row r="134" spans="1:31">
      <c r="A134" s="3992" t="str">
        <f t="shared" si="4"/>
        <v>\\DG ECFIN\Forecast\Country databases\Desk transfer databases\BE</v>
      </c>
      <c r="B134" s="3992" t="str">
        <f t="shared" si="5"/>
        <v>BE</v>
      </c>
      <c r="C134" s="3992" t="s">
        <v>2166</v>
      </c>
      <c r="D134" s="3992" t="s">
        <v>2296</v>
      </c>
      <c r="E134" s="3992" t="s">
        <v>2492</v>
      </c>
      <c r="F134" s="3992">
        <v>176</v>
      </c>
      <c r="G134" s="3992" t="s">
        <v>290</v>
      </c>
      <c r="H134" s="3992">
        <f ca="1">IF('VVP2'!H396&lt;&gt;"",'VVP2'!H396,"n.a.")</f>
        <v>67.873333333333335</v>
      </c>
      <c r="I134" s="3992">
        <f ca="1">IF('VVP2'!I396&lt;&gt;"",'VVP2'!I396,"n.a.")</f>
        <v>69.010000000000005</v>
      </c>
      <c r="J134" s="3992">
        <f ca="1">IF('VVP2'!J396&lt;&gt;"",'VVP2'!J396,"n.a.")</f>
        <v>70.149166666666673</v>
      </c>
      <c r="K134" s="3992">
        <f ca="1">IF('VVP2'!K396&lt;&gt;"",'VVP2'!K396,"n.a.")</f>
        <v>71.216666666666669</v>
      </c>
      <c r="L134" s="3992">
        <f ca="1">IF('VVP2'!L396&lt;&gt;"",'VVP2'!L396,"n.a.")</f>
        <v>72.830833333333331</v>
      </c>
      <c r="M134" s="3992">
        <f ca="1">IF('VVP2'!M396&lt;&gt;"",'VVP2'!M396,"n.a.")</f>
        <v>74.323333333333323</v>
      </c>
      <c r="N134" s="3992">
        <f ca="1">IF('VVP2'!N396&lt;&gt;"",'VVP2'!N396,"n.a.")</f>
        <v>76.248333333333335</v>
      </c>
      <c r="O134" s="3992">
        <f ca="1">IF('VVP2'!O396&lt;&gt;"",'VVP2'!O396,"n.a.")</f>
        <v>77.691666666666663</v>
      </c>
      <c r="P134" s="3992">
        <f ca="1">IF('VVP2'!P396&lt;&gt;"",'VVP2'!P396,"n.a.")</f>
        <v>79.337500000000006</v>
      </c>
      <c r="Q134" s="3992">
        <f ca="1">IF('VVP2'!Q396&lt;&gt;"",'VVP2'!Q396,"n.a.")</f>
        <v>81.018333333333345</v>
      </c>
      <c r="R134" s="3992">
        <f ca="1">IF('VVP2'!R396&lt;&gt;"",'VVP2'!R396,"n.a.")</f>
        <v>82.69583333333334</v>
      </c>
      <c r="S134" s="3992">
        <f ca="1">IF('VVP2'!S396&lt;&gt;"",'VVP2'!S396,"n.a.")</f>
        <v>84.271666666666675</v>
      </c>
      <c r="T134" s="3992">
        <f ca="1">IF('VVP2'!T396&lt;&gt;"",'VVP2'!T396,"n.a.")</f>
        <v>86.17916666666666</v>
      </c>
      <c r="U134" s="3992">
        <f ca="1">IF('VVP2'!U396&lt;&gt;"",'VVP2'!U396,"n.a.")</f>
        <v>88.45</v>
      </c>
      <c r="V134" s="3992">
        <f ca="1">IF('VVP2'!V396&lt;&gt;"",'VVP2'!V396,"n.a.")</f>
        <v>89.685833333333349</v>
      </c>
      <c r="W134" s="3992">
        <f ca="1">IF('VVP2'!W396&lt;&gt;"",'VVP2'!W396,"n.a.")</f>
        <v>91.410833333333329</v>
      </c>
      <c r="X134" s="3992">
        <f ca="1">IF('VVP2'!X396&lt;&gt;"",'VVP2'!X396,"n.a.")</f>
        <v>93.730833333333322</v>
      </c>
      <c r="Y134" s="3992">
        <f ca="1">IF('VVP2'!Y396&lt;&gt;"",'VVP2'!Y396,"n.a.")</f>
        <v>95.493333333333325</v>
      </c>
      <c r="Z134" s="3992">
        <f ca="1">IF('VVP2'!Z396&lt;&gt;"",'VVP2'!Z396,"n.a.")</f>
        <v>97.64166666666668</v>
      </c>
      <c r="AA134" s="3992">
        <f ca="1">IF('VVP2'!AA396&lt;&gt;"",'VVP2'!AA396,"n.a.")</f>
        <v>100</v>
      </c>
      <c r="AB134" s="3992">
        <f ca="1">IF('VVP2'!AB396&lt;&gt;"",'VVP2'!AB396,"n.a.")</f>
        <v>102.23166666666665</v>
      </c>
      <c r="AC134" s="3992">
        <f ca="1">IF('VVP2'!AC396&lt;&gt;"",'VVP2'!AC396,"n.a.")</f>
        <v>104.18166666666667</v>
      </c>
      <c r="AD134" s="3992">
        <f ca="1">IF('VVP2'!AD396&lt;&gt;"",'VVP2'!AD396,"n.a.")</f>
        <v>106.22235858090809</v>
      </c>
      <c r="AE134" s="3992">
        <f ca="1">IF('VVP2'!AE396&lt;&gt;"",'VVP2'!AE396,"n.a.")</f>
        <v>108.55515362208634</v>
      </c>
    </row>
    <row r="135" spans="1:31">
      <c r="A135" s="3992" t="str">
        <f t="shared" si="4"/>
        <v>\\DG ECFIN\Forecast\Country databases\Desk transfer databases\BE</v>
      </c>
      <c r="B135" s="3992" t="str">
        <f t="shared" si="5"/>
        <v>BE</v>
      </c>
      <c r="C135" s="3992" t="s">
        <v>2166</v>
      </c>
      <c r="D135" s="3992" t="s">
        <v>2297</v>
      </c>
      <c r="E135" s="3992" t="s">
        <v>2492</v>
      </c>
      <c r="F135" s="3992">
        <v>177</v>
      </c>
      <c r="G135" s="3992" t="s">
        <v>756</v>
      </c>
      <c r="H135" s="3992">
        <f ca="1">IF('VVP2'!H398&lt;&gt;"",'VVP2'!H398,"n.a.")</f>
        <v>73.316666666666663</v>
      </c>
      <c r="I135" s="3992">
        <f ca="1">IF('VVP2'!I398&lt;&gt;"",'VVP2'!I398,"n.a.")</f>
        <v>74.138333333333335</v>
      </c>
      <c r="J135" s="3992">
        <f ca="1">IF('VVP2'!J398&lt;&gt;"",'VVP2'!J398,"n.a.")</f>
        <v>75.019166666666678</v>
      </c>
      <c r="K135" s="3992">
        <f ca="1">IF('VVP2'!K398&lt;&gt;"",'VVP2'!K398,"n.a.")</f>
        <v>75.807500000000005</v>
      </c>
      <c r="L135" s="3992">
        <f ca="1">IF('VVP2'!L398&lt;&gt;"",'VVP2'!L398,"n.a.")</f>
        <v>76.67</v>
      </c>
      <c r="M135" s="3992">
        <f ca="1">IF('VVP2'!M398&lt;&gt;"",'VVP2'!M398,"n.a.")</f>
        <v>78.260000000000005</v>
      </c>
      <c r="N135" s="3992">
        <f ca="1">IF('VVP2'!N398&lt;&gt;"",'VVP2'!N398,"n.a.")</f>
        <v>79.872500000000016</v>
      </c>
      <c r="O135" s="3992">
        <f ca="1">IF('VVP2'!O398&lt;&gt;"",'VVP2'!O398,"n.a.")</f>
        <v>81.2</v>
      </c>
      <c r="P135" s="3992">
        <f ca="1">IF('VVP2'!P398&lt;&gt;"",'VVP2'!P398,"n.a.")</f>
        <v>82.347499999999997</v>
      </c>
      <c r="Q135" s="3992">
        <f ca="1">IF('VVP2'!Q398&lt;&gt;"",'VVP2'!Q398,"n.a.")</f>
        <v>83.480833333333337</v>
      </c>
      <c r="R135" s="3992">
        <f ca="1">IF('VVP2'!R398&lt;&gt;"",'VVP2'!R398,"n.a.")</f>
        <v>84.827500000000001</v>
      </c>
      <c r="S135" s="3992">
        <f ca="1">IF('VVP2'!S398&lt;&gt;"",'VVP2'!S398,"n.a.")</f>
        <v>86.440833333333345</v>
      </c>
      <c r="T135" s="3992">
        <f ca="1">IF('VVP2'!T398&lt;&gt;"",'VVP2'!T398,"n.a.")</f>
        <v>88.787499999999994</v>
      </c>
      <c r="U135" s="3992">
        <f ca="1">IF('VVP2'!U398&lt;&gt;"",'VVP2'!U398,"n.a.")</f>
        <v>90.586666666666659</v>
      </c>
      <c r="V135" s="3992">
        <f ca="1">IF('VVP2'!V398&lt;&gt;"",'VVP2'!V398,"n.a.")</f>
        <v>91.616294665506075</v>
      </c>
      <c r="W135" s="3992">
        <f ca="1">IF('VVP2'!W398&lt;&gt;"",'VVP2'!W398,"n.a.")</f>
        <v>93.258054906776891</v>
      </c>
      <c r="X135" s="3992">
        <f ca="1">IF('VVP2'!X398&lt;&gt;"",'VVP2'!X398,"n.a.")</f>
        <v>95.183011608385485</v>
      </c>
      <c r="Y135" s="3992">
        <f ca="1">IF('VVP2'!Y398&lt;&gt;"",'VVP2'!Y398,"n.a.")</f>
        <v>96.885181272857466</v>
      </c>
      <c r="Z135" s="3992">
        <f ca="1">IF('VVP2'!Z398&lt;&gt;"",'VVP2'!Z398,"n.a.")</f>
        <v>98.406975892572191</v>
      </c>
      <c r="AA135" s="3992">
        <f ca="1">IF('VVP2'!AA398&lt;&gt;"",'VVP2'!AA398,"n.a.")</f>
        <v>100.00708265702174</v>
      </c>
      <c r="AB135" s="3992">
        <f ca="1">IF('VVP2'!AB398&lt;&gt;"",'VVP2'!AB398,"n.a.")</f>
        <v>102.02900166525791</v>
      </c>
      <c r="AC135" s="3992">
        <f ca="1">IF('VVP2'!AC398&lt;&gt;"",'VVP2'!AC398,"n.a.")</f>
        <v>103.64917402484051</v>
      </c>
      <c r="AD135" s="3992">
        <f ca="1">IF('VVP2'!AD398&lt;&gt;"",'VVP2'!AD398,"n.a.")</f>
        <v>105.52166758961401</v>
      </c>
      <c r="AE135" s="3992">
        <f ca="1">IF('VVP2'!AE398&lt;&gt;"",'VVP2'!AE398,"n.a.")</f>
        <v>107.49474248580444</v>
      </c>
    </row>
    <row r="136" spans="1:31">
      <c r="A136" s="3992" t="str">
        <f t="shared" ref="A136:A137" si="6">CONCATENATE($I$7,$J$7)</f>
        <v>\\DG ECFIN\Forecast\Country databases\Desk transfer databases\BE</v>
      </c>
      <c r="B136" s="3992" t="str">
        <f t="shared" ref="B136:B137" si="7">$J$7</f>
        <v>BE</v>
      </c>
      <c r="C136" s="3992" t="s">
        <v>2166</v>
      </c>
      <c r="D136" s="3992" t="s">
        <v>2622</v>
      </c>
      <c r="E136" s="3992" t="s">
        <v>2168</v>
      </c>
      <c r="F136" s="3992"/>
      <c r="G136" s="3992" t="s">
        <v>2623</v>
      </c>
      <c r="H136" s="3992">
        <f>IF(Sector1!H594&lt;&gt;"",Sector1!H594,"n.a.")</f>
        <v>0.1232</v>
      </c>
      <c r="I136" s="3992">
        <f>IF(Sector1!I594&lt;&gt;"",Sector1!I594,"n.a.")</f>
        <v>0.1026</v>
      </c>
      <c r="J136" s="3992">
        <f>IF(Sector1!J594&lt;&gt;"",Sector1!J594,"n.a.")</f>
        <v>0.1212</v>
      </c>
      <c r="K136" s="3992">
        <f>IF(Sector1!K594&lt;&gt;"",Sector1!K594,"n.a.")</f>
        <v>0.14730000000000001</v>
      </c>
      <c r="L136" s="3992">
        <f>IF(Sector1!L594&lt;&gt;"",Sector1!L594,"n.a.")</f>
        <v>9.4799999999999995E-2</v>
      </c>
      <c r="M136" s="3992">
        <f>IF(Sector1!M594&lt;&gt;"",Sector1!M594,"n.a.")</f>
        <v>0.1018</v>
      </c>
      <c r="N136" s="3992">
        <f>IF(Sector1!N594&lt;&gt;"",Sector1!N594,"n.a.")</f>
        <v>6.5500000000000003E-2</v>
      </c>
      <c r="O136" s="3992">
        <f>IF(Sector1!O594&lt;&gt;"",Sector1!O594,"n.a.")</f>
        <v>0.1062</v>
      </c>
      <c r="P136" s="3992">
        <f>IF(Sector1!P594&lt;&gt;"",Sector1!P594,"n.a.")</f>
        <v>5.5899999999999998E-2</v>
      </c>
      <c r="Q136" s="3992">
        <f>IF(Sector1!Q594&lt;&gt;"",Sector1!Q594,"n.a.")</f>
        <v>9.9199999999999997E-2</v>
      </c>
      <c r="R136" s="3992">
        <f>IF(Sector1!R594&lt;&gt;"",Sector1!R594,"n.a.")</f>
        <v>0.13919999999999999</v>
      </c>
      <c r="S136" s="3992">
        <f>IF(Sector1!S594&lt;&gt;"",Sector1!S594,"n.a.")</f>
        <v>7.6599999999999988E-2</v>
      </c>
      <c r="T136" s="3992">
        <f>IF(Sector1!T594&lt;&gt;"",Sector1!T594,"n.a.")</f>
        <v>0.14230000000000001</v>
      </c>
      <c r="U136" s="3992">
        <f>IF(Sector1!U594&lt;&gt;"",Sector1!U594,"n.a.")</f>
        <v>0.1003</v>
      </c>
      <c r="V136" s="3992">
        <f>IF(Sector1!V594&lt;&gt;"",Sector1!V594,"n.a.")</f>
        <v>0.2351</v>
      </c>
      <c r="W136" s="3992">
        <f>IF(Sector1!W594&lt;&gt;"",Sector1!W594,"n.a.")</f>
        <v>0.25140000000000001</v>
      </c>
      <c r="X136" s="3992">
        <f>IF(Sector1!X594&lt;&gt;"",Sector1!X594,"n.a.")</f>
        <v>0.2913</v>
      </c>
      <c r="Y136" s="3992">
        <f>IF(Sector1!Y594&lt;&gt;"",Sector1!Y594,"n.a.")</f>
        <v>0.2994</v>
      </c>
      <c r="Z136" s="3992">
        <f>IF(Sector1!Z594&lt;&gt;"",Sector1!Z594,"n.a.")</f>
        <v>0.3085</v>
      </c>
      <c r="AA136" s="3992">
        <f>IF(Sector1!AA594&lt;&gt;"",Sector1!AA594,"n.a.")</f>
        <v>0.3508</v>
      </c>
      <c r="AB136" s="3992">
        <f>IF(Sector1!AB594&lt;&gt;"",Sector1!AB594,"n.a.")</f>
        <v>0.37460000000000004</v>
      </c>
      <c r="AC136" s="3992">
        <f>IF(Sector1!AC594&lt;&gt;"",Sector1!AC594,"n.a.")</f>
        <v>0.35619999999999996</v>
      </c>
      <c r="AD136" s="3992">
        <f>IF(Sector1!AD594&lt;&gt;"",Sector1!AD594,"n.a.")</f>
        <v>0.36799021999999992</v>
      </c>
      <c r="AE136" s="3992">
        <f>IF(Sector1!AE594&lt;&gt;"",Sector1!AE594,"n.a.")</f>
        <v>0.38083307867799987</v>
      </c>
    </row>
    <row r="137" spans="1:31">
      <c r="A137" s="3992" t="str">
        <f t="shared" si="6"/>
        <v>\\DG ECFIN\Forecast\Country databases\Desk transfer databases\BE</v>
      </c>
      <c r="B137" s="3992" t="str">
        <f t="shared" si="7"/>
        <v>BE</v>
      </c>
      <c r="C137" s="3992" t="s">
        <v>2166</v>
      </c>
      <c r="D137" s="3992" t="s">
        <v>2624</v>
      </c>
      <c r="E137" s="3992" t="s">
        <v>2168</v>
      </c>
      <c r="F137" s="3992"/>
      <c r="G137" s="3992" t="s">
        <v>2625</v>
      </c>
      <c r="H137" s="3992">
        <f>IF(Sector1!H792&lt;&gt;"",Sector1!H792,"n.a.")</f>
        <v>1.03E-2</v>
      </c>
      <c r="I137" s="3992">
        <f>IF(Sector1!I792&lt;&gt;"",Sector1!I792,"n.a.")</f>
        <v>1.2500000000000001E-2</v>
      </c>
      <c r="J137" s="3992">
        <f>IF(Sector1!J792&lt;&gt;"",Sector1!J792,"n.a.")</f>
        <v>2.3999999999999998E-3</v>
      </c>
      <c r="K137" s="3992">
        <f>IF(Sector1!K792&lt;&gt;"",Sector1!K792,"n.a.")</f>
        <v>1.32E-2</v>
      </c>
      <c r="L137" s="3992">
        <f>IF(Sector1!L792&lt;&gt;"",Sector1!L792,"n.a.")</f>
        <v>1.9300000000000001E-2</v>
      </c>
      <c r="M137" s="3992">
        <f>IF(Sector1!M792&lt;&gt;"",Sector1!M792,"n.a.")</f>
        <v>1.2500000000000001E-2</v>
      </c>
      <c r="N137" s="3992">
        <f>IF(Sector1!N792&lt;&gt;"",Sector1!N792,"n.a.")</f>
        <v>1.7899999999999999E-2</v>
      </c>
      <c r="O137" s="3992">
        <f>IF(Sector1!O792&lt;&gt;"",Sector1!O792,"n.a.")</f>
        <v>1.1800000000000001E-2</v>
      </c>
      <c r="P137" s="3992">
        <f>IF(Sector1!P792&lt;&gt;"",Sector1!P792,"n.a.")</f>
        <v>5.7999999999999996E-3</v>
      </c>
      <c r="Q137" s="3992">
        <f>IF(Sector1!Q792&lt;&gt;"",Sector1!Q792,"n.a.")</f>
        <v>1.0699999999999999E-2</v>
      </c>
      <c r="R137" s="3992">
        <f>IF(Sector1!R792&lt;&gt;"",Sector1!R792,"n.a.")</f>
        <v>2.46E-2</v>
      </c>
      <c r="S137" s="3992">
        <f>IF(Sector1!S792&lt;&gt;"",Sector1!S792,"n.a.")</f>
        <v>1.4999999999999999E-2</v>
      </c>
      <c r="T137" s="3992">
        <f>IF(Sector1!T792&lt;&gt;"",Sector1!T792,"n.a.")</f>
        <v>1.2E-2</v>
      </c>
      <c r="U137" s="3992">
        <f>IF(Sector1!U792&lt;&gt;"",Sector1!U792,"n.a.")</f>
        <v>2.06E-2</v>
      </c>
      <c r="V137" s="3992">
        <f>IF(Sector1!V792&lt;&gt;"",Sector1!V792,"n.a.")</f>
        <v>5.9499999999999997E-2</v>
      </c>
      <c r="W137" s="3992">
        <f>IF(Sector1!W792&lt;&gt;"",Sector1!W792,"n.a.")</f>
        <v>2.9499999999999998E-2</v>
      </c>
      <c r="X137" s="3992">
        <f>IF(Sector1!X792&lt;&gt;"",Sector1!X792,"n.a.")</f>
        <v>3.7100000000000001E-2</v>
      </c>
      <c r="Y137" s="3992">
        <f>IF(Sector1!Y792&lt;&gt;"",Sector1!Y792,"n.a.")</f>
        <v>0.1709</v>
      </c>
      <c r="Z137" s="3992">
        <f>IF(Sector1!Z792&lt;&gt;"",Sector1!Z792,"n.a.")</f>
        <v>3.5299999999999998E-2</v>
      </c>
      <c r="AA137" s="3992">
        <f>IF(Sector1!AA792&lt;&gt;"",Sector1!AA792,"n.a.")</f>
        <v>2.4799999999999999E-2</v>
      </c>
      <c r="AB137" s="3992">
        <f>IF(Sector1!AB792&lt;&gt;"",Sector1!AB792,"n.a.")</f>
        <v>5.5399999999999998E-2</v>
      </c>
      <c r="AC137" s="3992">
        <f>IF(Sector1!AC792&lt;&gt;"",Sector1!AC792,"n.a.")</f>
        <v>5.1200000000000002E-2</v>
      </c>
      <c r="AD137" s="3992">
        <f>IF(Sector1!AD792&lt;&gt;"",Sector1!AD792,"n.a.")</f>
        <v>5.2893860209135758E-2</v>
      </c>
      <c r="AE137" s="3992">
        <f>IF(Sector1!AE792&lt;&gt;"",Sector1!AE792,"n.a.")</f>
        <v>5.4732201351003838E-2</v>
      </c>
    </row>
    <row r="138" spans="1:31" ht="14.4">
      <c r="A138" s="3997" t="s">
        <v>2662</v>
      </c>
      <c r="B138" s="3997" t="s">
        <v>2158</v>
      </c>
      <c r="C138" s="3997" t="s">
        <v>2166</v>
      </c>
      <c r="D138" s="4036" t="s">
        <v>2493</v>
      </c>
      <c r="E138" s="3997" t="s">
        <v>2168</v>
      </c>
      <c r="F138" s="3997" t="s">
        <v>2494</v>
      </c>
      <c r="G138" s="4036" t="s">
        <v>2495</v>
      </c>
      <c r="H138" s="4045" t="str">
        <f>IF(ISNUMBER([3]TransferFinA!H12),[3]TransferFinA!H12/1000,"n.a.")</f>
        <v>n.a.</v>
      </c>
      <c r="I138" s="4045" t="str">
        <f>IF(ISNUMBER([3]TransferFinA!I12),[3]TransferFinA!I12/1000,"n.a.")</f>
        <v>n.a.</v>
      </c>
      <c r="J138" s="4045" t="str">
        <f>IF(ISNUMBER([3]TransferFinA!J12),[3]TransferFinA!J12/1000,"n.a.")</f>
        <v>n.a.</v>
      </c>
      <c r="K138" s="4045">
        <f ca="1">IF(ISNUMBER([3]TransferFinA!K12),[3]TransferFinA!K12/1000,"n.a.")</f>
        <v>0</v>
      </c>
      <c r="L138" s="4045">
        <f ca="1">IF(ISNUMBER([3]TransferFinA!L12),[3]TransferFinA!L12/1000,"n.a.")</f>
        <v>0</v>
      </c>
      <c r="M138" s="4045">
        <f ca="1">IF(ISNUMBER([3]TransferFinA!M12),[3]TransferFinA!M12/1000,"n.a.")</f>
        <v>44.401635285717028</v>
      </c>
      <c r="N138" s="4045">
        <f ca="1">IF(ISNUMBER([3]TransferFinA!N12),[3]TransferFinA!N12/1000,"n.a.")</f>
        <v>22.321912717501981</v>
      </c>
      <c r="O138" s="4045">
        <f ca="1">IF(ISNUMBER([3]TransferFinA!O12),[3]TransferFinA!O12/1000,"n.a.")</f>
        <v>13.384575311073975</v>
      </c>
      <c r="P138" s="4045">
        <f ca="1">IF(ISNUMBER([3]TransferFinA!P12),[3]TransferFinA!P12/1000,"n.a.")</f>
        <v>9.4053373236259787</v>
      </c>
      <c r="Q138" s="4045">
        <f ca="1">IF(ISNUMBER([3]TransferFinA!Q12),[3]TransferFinA!Q12/1000,"n.a.")</f>
        <v>-6.5984948761149429</v>
      </c>
      <c r="R138" s="4045">
        <f ca="1">IF(ISNUMBER([3]TransferFinA!R12),[3]TransferFinA!R12/1000,"n.a.")</f>
        <v>-3.7710444506740894</v>
      </c>
      <c r="S138" s="4045">
        <f ca="1">IF(ISNUMBER([3]TransferFinA!S12),[3]TransferFinA!S12/1000,"n.a.")</f>
        <v>23.678004720365163</v>
      </c>
      <c r="T138" s="4045">
        <f ca="1">IF(ISNUMBER([3]TransferFinA!T12),[3]TransferFinA!T12/1000,"n.a.")</f>
        <v>1.085741353716934</v>
      </c>
      <c r="U138" s="4045">
        <f ca="1">IF(ISNUMBER([3]TransferFinA!U12),[3]TransferFinA!U12/1000,"n.a.")</f>
        <v>6.3402383893129297</v>
      </c>
      <c r="V138" s="4045">
        <f ca="1">IF(ISNUMBER([3]TransferFinA!V12),[3]TransferFinA!V12/1000,"n.a.")</f>
        <v>0.28810816632799108</v>
      </c>
      <c r="W138" s="4045">
        <f ca="1">IF(ISNUMBER([3]TransferFinA!W12),[3]TransferFinA!W12/1000,"n.a.")</f>
        <v>-3.0317278978119138</v>
      </c>
      <c r="X138" s="4045">
        <f ca="1">IF(ISNUMBER([3]TransferFinA!X12),[3]TransferFinA!X12/1000,"n.a.")</f>
        <v>-1.320989182424033</v>
      </c>
      <c r="Y138" s="4045">
        <f ca="1">IF(ISNUMBER([3]TransferFinA!Y12),[3]TransferFinA!Y12/1000,"n.a.")</f>
        <v>21.700644674296957</v>
      </c>
      <c r="Z138" s="4045">
        <f ca="1">IF(ISNUMBER([3]TransferFinA!Z12),[3]TransferFinA!Z12/1000,"n.a.")</f>
        <v>8.8581419455430588</v>
      </c>
      <c r="AA138" s="4045">
        <f ca="1">IF(ISNUMBER([3]TransferFinA!AA12),[3]TransferFinA!AA12/1000,"n.a.")</f>
        <v>2.6189561196959694</v>
      </c>
      <c r="AB138" s="4045">
        <f ca="1">IF(ISNUMBER([3]TransferFinA!AB12),[3]TransferFinA!AB12/1000,"n.a.")</f>
        <v>-6.5646590512599792</v>
      </c>
      <c r="AC138" s="4045">
        <f ca="1">IF(ISNUMBER([3]TransferFinA!AC12),[3]TransferFinA!AC12/1000,"n.a.")</f>
        <v>-22.561178720079013</v>
      </c>
      <c r="AD138" s="4045">
        <f ca="1">IF(ISNUMBER([3]TransferFinA!AD12),[3]TransferFinA!AD12/1000,"n.a.")</f>
        <v>-18.346723791753778</v>
      </c>
      <c r="AE138" s="4045">
        <f ca="1">IF(ISNUMBER([3]TransferFinA!AE12),[3]TransferFinA!AE12/1000,"n.a.")</f>
        <v>-21.269778319338482</v>
      </c>
    </row>
    <row r="139" spans="1:31" ht="14.4">
      <c r="A139" s="3997" t="s">
        <v>2662</v>
      </c>
      <c r="B139" s="3997" t="s">
        <v>2158</v>
      </c>
      <c r="C139" s="3997" t="s">
        <v>2166</v>
      </c>
      <c r="D139" s="4036" t="s">
        <v>2496</v>
      </c>
      <c r="E139" s="3997" t="s">
        <v>2168</v>
      </c>
      <c r="F139" s="3997" t="s">
        <v>2497</v>
      </c>
      <c r="G139" s="4036" t="s">
        <v>2498</v>
      </c>
      <c r="H139" s="4045" t="str">
        <f>IF(ISNUMBER([3]TransferFinA!H13),[3]TransferFinA!H13/1000,"n.a.")</f>
        <v>n.a.</v>
      </c>
      <c r="I139" s="4045" t="str">
        <f>IF(ISNUMBER([3]TransferFinA!I13),[3]TransferFinA!I13/1000,"n.a.")</f>
        <v>n.a.</v>
      </c>
      <c r="J139" s="4045" t="str">
        <f>IF(ISNUMBER([3]TransferFinA!J13),[3]TransferFinA!J13/1000,"n.a.")</f>
        <v>n.a.</v>
      </c>
      <c r="K139" s="4045" t="str">
        <f ca="1">IF(ISNUMBER([3]TransferFinA!K13),[3]TransferFinA!K13/1000,"n.a.")</f>
        <v>n.a.</v>
      </c>
      <c r="L139" s="4045" t="str">
        <f ca="1">IF(ISNUMBER([3]TransferFinA!L13),[3]TransferFinA!L13/1000,"n.a.")</f>
        <v>n.a.</v>
      </c>
      <c r="M139" s="4045" t="str">
        <f ca="1">IF(ISNUMBER([3]TransferFinA!M13),[3]TransferFinA!M13/1000,"n.a.")</f>
        <v>n.a.</v>
      </c>
      <c r="N139" s="4045">
        <f ca="1">IF(ISNUMBER([3]TransferFinA!N13),[3]TransferFinA!N13/1000,"n.a.")</f>
        <v>-8.9909999999999997</v>
      </c>
      <c r="O139" s="4045">
        <f ca="1">IF(ISNUMBER([3]TransferFinA!O13),[3]TransferFinA!O13/1000,"n.a.")</f>
        <v>-7.7619999999999996</v>
      </c>
      <c r="P139" s="4045">
        <f ca="1">IF(ISNUMBER([3]TransferFinA!P13),[3]TransferFinA!P13/1000,"n.a.")</f>
        <v>-4.0759999999999996</v>
      </c>
      <c r="Q139" s="4045">
        <f ca="1">IF(ISNUMBER([3]TransferFinA!Q13),[3]TransferFinA!Q13/1000,"n.a.")</f>
        <v>-1.897</v>
      </c>
      <c r="R139" s="4045">
        <f ca="1">IF(ISNUMBER([3]TransferFinA!R13),[3]TransferFinA!R13/1000,"n.a.")</f>
        <v>-4.95</v>
      </c>
      <c r="S139" s="4045">
        <f ca="1">IF(ISNUMBER([3]TransferFinA!S13),[3]TransferFinA!S13/1000,"n.a.")</f>
        <v>-16.46</v>
      </c>
      <c r="T139" s="4045">
        <f ca="1">IF(ISNUMBER([3]TransferFinA!T13),[3]TransferFinA!T13/1000,"n.a.")</f>
        <v>-6.9720000000000004</v>
      </c>
      <c r="U139" s="4045">
        <f ca="1">IF(ISNUMBER([3]TransferFinA!U13),[3]TransferFinA!U13/1000,"n.a.")</f>
        <v>6.3970000000000002</v>
      </c>
      <c r="V139" s="4045">
        <f ca="1">IF(ISNUMBER([3]TransferFinA!V13),[3]TransferFinA!V13/1000,"n.a.")</f>
        <v>6.7850000000000001</v>
      </c>
      <c r="W139" s="4045">
        <f ca="1">IF(ISNUMBER([3]TransferFinA!W13),[3]TransferFinA!W13/1000,"n.a.")</f>
        <v>11.061</v>
      </c>
      <c r="X139" s="4045">
        <f ca="1">IF(ISNUMBER([3]TransferFinA!X13),[3]TransferFinA!X13/1000,"n.a.")</f>
        <v>0.84199999999999997</v>
      </c>
      <c r="Y139" s="4045">
        <f ca="1">IF(ISNUMBER([3]TransferFinA!Y13),[3]TransferFinA!Y13/1000,"n.a.")</f>
        <v>-6.1379999999999999</v>
      </c>
      <c r="Z139" s="4045">
        <f ca="1">IF(ISNUMBER([3]TransferFinA!Z13),[3]TransferFinA!Z13/1000,"n.a.")</f>
        <v>-3.6579999999999999</v>
      </c>
      <c r="AA139" s="4045">
        <f ca="1">IF(ISNUMBER([3]TransferFinA!AA13),[3]TransferFinA!AA13/1000,"n.a.")</f>
        <v>8.0909999999999993</v>
      </c>
      <c r="AB139" s="4045">
        <f ca="1">IF(ISNUMBER([3]TransferFinA!AB13),[3]TransferFinA!AB13/1000,"n.a.")</f>
        <v>14.765000000000001</v>
      </c>
      <c r="AC139" s="4045">
        <f ca="1">IF(ISNUMBER([3]TransferFinA!AC13),[3]TransferFinA!AC13/1000,"n.a.")</f>
        <v>11.737</v>
      </c>
      <c r="AD139" s="4045">
        <f ca="1">IF(ISNUMBER([3]TransferFinA!AD13),[3]TransferFinA!AD13/1000,"n.a.")</f>
        <v>2.4712784378597834</v>
      </c>
      <c r="AE139" s="4045">
        <f ca="1">IF(ISNUMBER([3]TransferFinA!AE13),[3]TransferFinA!AE13/1000,"n.a.")</f>
        <v>3.140562411818443</v>
      </c>
    </row>
    <row r="140" spans="1:31">
      <c r="A140" s="3997" t="s">
        <v>2662</v>
      </c>
      <c r="B140" s="3997" t="s">
        <v>2158</v>
      </c>
      <c r="C140" s="3997" t="s">
        <v>2166</v>
      </c>
      <c r="D140" s="4033" t="s">
        <v>2499</v>
      </c>
      <c r="E140" s="3997" t="s">
        <v>2168</v>
      </c>
      <c r="F140" s="3997" t="s">
        <v>2500</v>
      </c>
      <c r="G140" s="4033" t="s">
        <v>2501</v>
      </c>
      <c r="H140" s="4045" t="str">
        <f>IF(ISNUMBER([3]TransferFinA!H14),[3]TransferFinA!H14/1000,"n.a.")</f>
        <v>n.a.</v>
      </c>
      <c r="I140" s="4045" t="str">
        <f>IF(ISNUMBER([3]TransferFinA!I14),[3]TransferFinA!I14/1000,"n.a.")</f>
        <v>n.a.</v>
      </c>
      <c r="J140" s="4045" t="str">
        <f>IF(ISNUMBER([3]TransferFinA!J14),[3]TransferFinA!J14/1000,"n.a.")</f>
        <v>n.a.</v>
      </c>
      <c r="K140" s="4045">
        <f ca="1">IF(ISNUMBER([3]TransferFinA!K14),[3]TransferFinA!K14/1000,"n.a.")</f>
        <v>0</v>
      </c>
      <c r="L140" s="4045">
        <f ca="1">IF(ISNUMBER([3]TransferFinA!L14),[3]TransferFinA!L14/1000,"n.a.")</f>
        <v>0</v>
      </c>
      <c r="M140" s="4045">
        <f ca="1">IF(ISNUMBER([3]TransferFinA!M14),[3]TransferFinA!M14/1000,"n.a.")</f>
        <v>0</v>
      </c>
      <c r="N140" s="4045">
        <f ca="1">IF(ISNUMBER([3]TransferFinA!N14),[3]TransferFinA!N14/1000,"n.a.")</f>
        <v>0</v>
      </c>
      <c r="O140" s="4045">
        <f ca="1">IF(ISNUMBER([3]TransferFinA!O14),[3]TransferFinA!O14/1000,"n.a.")</f>
        <v>6.6449999999999996</v>
      </c>
      <c r="P140" s="4045">
        <f ca="1">IF(ISNUMBER([3]TransferFinA!P14),[3]TransferFinA!P14/1000,"n.a.")</f>
        <v>4.6870000000000003</v>
      </c>
      <c r="Q140" s="4045">
        <f ca="1">IF(ISNUMBER([3]TransferFinA!Q14),[3]TransferFinA!Q14/1000,"n.a.")</f>
        <v>16.274000000000001</v>
      </c>
      <c r="R140" s="4045">
        <f ca="1">IF(ISNUMBER([3]TransferFinA!R14),[3]TransferFinA!R14/1000,"n.a.")</f>
        <v>39.207000000000001</v>
      </c>
      <c r="S140" s="4045">
        <f ca="1">IF(ISNUMBER([3]TransferFinA!S14),[3]TransferFinA!S14/1000,"n.a.")</f>
        <v>44.79</v>
      </c>
      <c r="T140" s="4045">
        <f ca="1">IF(ISNUMBER([3]TransferFinA!T14),[3]TransferFinA!T14/1000,"n.a.")</f>
        <v>22.088999999999999</v>
      </c>
      <c r="U140" s="4045">
        <f ca="1">IF(ISNUMBER([3]TransferFinA!U14),[3]TransferFinA!U14/1000,"n.a.")</f>
        <v>7.4889999999999999</v>
      </c>
      <c r="V140" s="4045">
        <f ca="1">IF(ISNUMBER([3]TransferFinA!V14),[3]TransferFinA!V14/1000,"n.a.")</f>
        <v>3.3650000000000002</v>
      </c>
      <c r="W140" s="4045">
        <f ca="1">IF(ISNUMBER([3]TransferFinA!W14),[3]TransferFinA!W14/1000,"n.a.")</f>
        <v>13.734999999999999</v>
      </c>
      <c r="X140" s="4045">
        <f ca="1">IF(ISNUMBER([3]TransferFinA!X14),[3]TransferFinA!X14/1000,"n.a.")</f>
        <v>5.843</v>
      </c>
      <c r="Y140" s="4045">
        <f ca="1">IF(ISNUMBER([3]TransferFinA!Y14),[3]TransferFinA!Y14/1000,"n.a.")</f>
        <v>7.3</v>
      </c>
      <c r="Z140" s="4045">
        <f ca="1">IF(ISNUMBER([3]TransferFinA!Z14),[3]TransferFinA!Z14/1000,"n.a.")</f>
        <v>18.649000000000001</v>
      </c>
      <c r="AA140" s="4045">
        <f ca="1">IF(ISNUMBER([3]TransferFinA!AA14),[3]TransferFinA!AA14/1000,"n.a.")</f>
        <v>12.958</v>
      </c>
      <c r="AB140" s="4045">
        <f ca="1">IF(ISNUMBER([3]TransferFinA!AB14),[3]TransferFinA!AB14/1000,"n.a.")</f>
        <v>19.824999999999999</v>
      </c>
      <c r="AC140" s="4045">
        <f ca="1">IF(ISNUMBER([3]TransferFinA!AC14),[3]TransferFinA!AC14/1000,"n.a.")</f>
        <v>18.516999999999999</v>
      </c>
      <c r="AD140" s="4045">
        <f ca="1">IF(ISNUMBER([3]TransferFinA!AD14),[3]TransferFinA!AD14/1000,"n.a.")</f>
        <v>21.690610804295329</v>
      </c>
      <c r="AE140" s="4045">
        <f ca="1">IF(ISNUMBER([3]TransferFinA!AE14),[3]TransferFinA!AE14/1000,"n.a.")</f>
        <v>24.50485664057399</v>
      </c>
    </row>
    <row r="141" spans="1:31" ht="14.4">
      <c r="A141" s="3997" t="s">
        <v>2662</v>
      </c>
      <c r="B141" s="3997" t="s">
        <v>2158</v>
      </c>
      <c r="C141" s="3997" t="s">
        <v>2166</v>
      </c>
      <c r="D141" s="4036" t="s">
        <v>2502</v>
      </c>
      <c r="E141" s="3997" t="s">
        <v>2168</v>
      </c>
      <c r="F141" s="3997" t="s">
        <v>2503</v>
      </c>
      <c r="G141" s="4036" t="s">
        <v>2504</v>
      </c>
      <c r="H141" s="4045" t="str">
        <f>IF(ISNUMBER([3]TransferFinA!H15),[3]TransferFinA!H15/1000,"n.a.")</f>
        <v>n.a.</v>
      </c>
      <c r="I141" s="4045" t="str">
        <f>IF(ISNUMBER([3]TransferFinA!I15),[3]TransferFinA!I15/1000,"n.a.")</f>
        <v>n.a.</v>
      </c>
      <c r="J141" s="4045" t="str">
        <f>IF(ISNUMBER([3]TransferFinA!J15),[3]TransferFinA!J15/1000,"n.a.")</f>
        <v>n.a.</v>
      </c>
      <c r="K141" s="4045">
        <f ca="1">IF(ISNUMBER([3]TransferFinA!K15),[3]TransferFinA!K15/1000,"n.a.")</f>
        <v>0</v>
      </c>
      <c r="L141" s="4045">
        <f ca="1">IF(ISNUMBER([3]TransferFinA!L15),[3]TransferFinA!L15/1000,"n.a.")</f>
        <v>0</v>
      </c>
      <c r="M141" s="4045">
        <f ca="1">IF(ISNUMBER([3]TransferFinA!M15),[3]TransferFinA!M15/1000,"n.a.")</f>
        <v>0</v>
      </c>
      <c r="N141" s="4045">
        <f ca="1">IF(ISNUMBER([3]TransferFinA!N15),[3]TransferFinA!N15/1000,"n.a.")</f>
        <v>0</v>
      </c>
      <c r="O141" s="4045">
        <f ca="1">IF(ISNUMBER([3]TransferFinA!O15),[3]TransferFinA!O15/1000,"n.a.")</f>
        <v>21.222999999999999</v>
      </c>
      <c r="P141" s="4045">
        <f ca="1">IF(ISNUMBER([3]TransferFinA!P15),[3]TransferFinA!P15/1000,"n.a.")</f>
        <v>25.306999999999999</v>
      </c>
      <c r="Q141" s="4045">
        <f ca="1">IF(ISNUMBER([3]TransferFinA!Q15),[3]TransferFinA!Q15/1000,"n.a.")</f>
        <v>18.952000000000002</v>
      </c>
      <c r="R141" s="4045">
        <f ca="1">IF(ISNUMBER([3]TransferFinA!R15),[3]TransferFinA!R15/1000,"n.a.")</f>
        <v>18.823</v>
      </c>
      <c r="S141" s="4045">
        <f ca="1">IF(ISNUMBER([3]TransferFinA!S15),[3]TransferFinA!S15/1000,"n.a.")</f>
        <v>12.074</v>
      </c>
      <c r="T141" s="4045">
        <f ca="1">IF(ISNUMBER([3]TransferFinA!T15),[3]TransferFinA!T15/1000,"n.a.")</f>
        <v>10.787000000000001</v>
      </c>
      <c r="U141" s="4045">
        <f ca="1">IF(ISNUMBER([3]TransferFinA!U15),[3]TransferFinA!U15/1000,"n.a.")</f>
        <v>11.6</v>
      </c>
      <c r="V141" s="4045">
        <f ca="1">IF(ISNUMBER([3]TransferFinA!V15),[3]TransferFinA!V15/1000,"n.a.")</f>
        <v>22.696999999999999</v>
      </c>
      <c r="W141" s="4045">
        <f ca="1">IF(ISNUMBER([3]TransferFinA!W15),[3]TransferFinA!W15/1000,"n.a.")</f>
        <v>11.635999999999999</v>
      </c>
      <c r="X141" s="4045">
        <f ca="1">IF(ISNUMBER([3]TransferFinA!X15),[3]TransferFinA!X15/1000,"n.a.")</f>
        <v>23.027000000000001</v>
      </c>
      <c r="Y141" s="4045">
        <f ca="1">IF(ISNUMBER([3]TransferFinA!Y15),[3]TransferFinA!Y15/1000,"n.a.")</f>
        <v>17.744</v>
      </c>
      <c r="Z141" s="4045">
        <f ca="1">IF(ISNUMBER([3]TransferFinA!Z15),[3]TransferFinA!Z15/1000,"n.a.")</f>
        <v>20.472000000000001</v>
      </c>
      <c r="AA141" s="4045">
        <f ca="1">IF(ISNUMBER([3]TransferFinA!AA15),[3]TransferFinA!AA15/1000,"n.a.")</f>
        <v>15.02</v>
      </c>
      <c r="AB141" s="4045">
        <f ca="1">IF(ISNUMBER([3]TransferFinA!AB15),[3]TransferFinA!AB15/1000,"n.a.")</f>
        <v>20.728000000000002</v>
      </c>
      <c r="AC141" s="4045">
        <f ca="1">IF(ISNUMBER([3]TransferFinA!AC15),[3]TransferFinA!AC15/1000,"n.a.")</f>
        <v>12.875</v>
      </c>
      <c r="AD141" s="4045">
        <f ca="1">IF(ISNUMBER([3]TransferFinA!AD15),[3]TransferFinA!AD15/1000,"n.a.")</f>
        <v>10.997344170480346</v>
      </c>
      <c r="AE141" s="4045">
        <f ca="1">IF(ISNUMBER([3]TransferFinA!AE15),[3]TransferFinA!AE15/1000,"n.a.")</f>
        <v>11.557819453132966</v>
      </c>
    </row>
    <row r="142" spans="1:31" ht="14.4">
      <c r="A142" s="3997" t="s">
        <v>2662</v>
      </c>
      <c r="B142" s="3997" t="s">
        <v>2158</v>
      </c>
      <c r="C142" s="3997" t="s">
        <v>2166</v>
      </c>
      <c r="D142" s="4036" t="s">
        <v>2505</v>
      </c>
      <c r="E142" s="3997" t="s">
        <v>2168</v>
      </c>
      <c r="F142" s="3997" t="s">
        <v>2506</v>
      </c>
      <c r="G142" s="4036" t="s">
        <v>2507</v>
      </c>
      <c r="H142" s="4045" t="str">
        <f>IF(ISNUMBER([3]TransferFinA!H16),[3]TransferFinA!H16/1000,"n.a.")</f>
        <v>n.a.</v>
      </c>
      <c r="I142" s="4045" t="str">
        <f>IF(ISNUMBER([3]TransferFinA!I16),[3]TransferFinA!I16/1000,"n.a.")</f>
        <v>n.a.</v>
      </c>
      <c r="J142" s="4045" t="str">
        <f>IF(ISNUMBER([3]TransferFinA!J16),[3]TransferFinA!J16/1000,"n.a.")</f>
        <v>n.a.</v>
      </c>
      <c r="K142" s="4045" t="str">
        <f ca="1">IF(ISNUMBER([3]TransferFinA!K16),[3]TransferFinA!K16/1000,"n.a.")</f>
        <v>n.a.</v>
      </c>
      <c r="L142" s="4045" t="str">
        <f ca="1">IF(ISNUMBER([3]TransferFinA!L16),[3]TransferFinA!L16/1000,"n.a.")</f>
        <v>n.a.</v>
      </c>
      <c r="M142" s="4045" t="str">
        <f ca="1">IF(ISNUMBER([3]TransferFinA!M16),[3]TransferFinA!M16/1000,"n.a.")</f>
        <v>n.a.</v>
      </c>
      <c r="N142" s="4045">
        <f ca="1">IF(ISNUMBER([3]TransferFinA!N16),[3]TransferFinA!N16/1000,"n.a.")</f>
        <v>-13.330912717501983</v>
      </c>
      <c r="O142" s="4045">
        <f ca="1">IF(ISNUMBER([3]TransferFinA!O16),[3]TransferFinA!O16/1000,"n.a.")</f>
        <v>8.9554246889260245</v>
      </c>
      <c r="P142" s="4045">
        <f ca="1">IF(ISNUMBER([3]TransferFinA!P16),[3]TransferFinA!P16/1000,"n.a.")</f>
        <v>15.290662676374021</v>
      </c>
      <c r="Q142" s="4045">
        <f ca="1">IF(ISNUMBER([3]TransferFinA!Q16),[3]TransferFinA!Q16/1000,"n.a.")</f>
        <v>11.173494876114942</v>
      </c>
      <c r="R142" s="4045">
        <f ca="1">IF(ISNUMBER([3]TransferFinA!R16),[3]TransferFinA!R16/1000,"n.a.")</f>
        <v>-11.662955549325911</v>
      </c>
      <c r="S142" s="4045">
        <f ca="1">IF(ISNUMBER([3]TransferFinA!S16),[3]TransferFinA!S16/1000,"n.a.")</f>
        <v>-39.934004720365166</v>
      </c>
      <c r="T142" s="4045">
        <f ca="1">IF(ISNUMBER([3]TransferFinA!T16),[3]TransferFinA!T16/1000,"n.a.")</f>
        <v>-5.4157413537169337</v>
      </c>
      <c r="U142" s="4045">
        <f ca="1">IF(ISNUMBER([3]TransferFinA!U16),[3]TransferFinA!U16/1000,"n.a.")</f>
        <v>-8.6262383893129293</v>
      </c>
      <c r="V142" s="4045">
        <f ca="1">IF(ISNUMBER([3]TransferFinA!V16),[3]TransferFinA!V16/1000,"n.a.")</f>
        <v>12.258891833672008</v>
      </c>
      <c r="W142" s="4045">
        <f ca="1">IF(ISNUMBER([3]TransferFinA!W16),[3]TransferFinA!W16/1000,"n.a.")</f>
        <v>-10.128272102188086</v>
      </c>
      <c r="X142" s="4045">
        <f ca="1">IF(ISNUMBER([3]TransferFinA!X16),[3]TransferFinA!X16/1000,"n.a.")</f>
        <v>17.662989182424035</v>
      </c>
      <c r="Y142" s="4045">
        <f ca="1">IF(ISNUMBER([3]TransferFinA!Y16),[3]TransferFinA!Y16/1000,"n.a.")</f>
        <v>-5.1186446742969567</v>
      </c>
      <c r="Z142" s="4045">
        <f ca="1">IF(ISNUMBER([3]TransferFinA!Z16),[3]TransferFinA!Z16/1000,"n.a.")</f>
        <v>-3.3771419455430585</v>
      </c>
      <c r="AA142" s="4045">
        <f ca="1">IF(ISNUMBER([3]TransferFinA!AA16),[3]TransferFinA!AA16/1000,"n.a.")</f>
        <v>-8.6479561196959693</v>
      </c>
      <c r="AB142" s="4045">
        <f ca="1">IF(ISNUMBER([3]TransferFinA!AB16),[3]TransferFinA!AB16/1000,"n.a.")</f>
        <v>-7.29734094874002</v>
      </c>
      <c r="AC142" s="4045">
        <f ca="1">IF(ISNUMBER([3]TransferFinA!AC16),[3]TransferFinA!AC16/1000,"n.a.")</f>
        <v>5.1821787200790128</v>
      </c>
      <c r="AD142" s="4045">
        <f ca="1">IF(ISNUMBER([3]TransferFinA!AD16),[3]TransferFinA!AD16/1000,"n.a.")</f>
        <v>5.1821787200790128</v>
      </c>
      <c r="AE142" s="4045">
        <f ca="1">IF(ISNUMBER([3]TransferFinA!AE16),[3]TransferFinA!AE16/1000,"n.a.")</f>
        <v>5.1821787200790128</v>
      </c>
    </row>
    <row r="143" spans="1:31" ht="14.4">
      <c r="A143" s="3997" t="s">
        <v>2662</v>
      </c>
      <c r="B143" s="3997" t="s">
        <v>2158</v>
      </c>
      <c r="C143" s="3997" t="s">
        <v>2166</v>
      </c>
      <c r="D143" s="4036" t="s">
        <v>2508</v>
      </c>
      <c r="E143" s="3997" t="s">
        <v>2168</v>
      </c>
      <c r="F143" s="3997" t="s">
        <v>2509</v>
      </c>
      <c r="G143" s="3997" t="s">
        <v>2510</v>
      </c>
      <c r="H143" s="4045" t="str">
        <f>IF(ISNUMBER([3]TransferFinA!H17),[3]TransferFinA!H17/1000,"n.a.")</f>
        <v>n.a.</v>
      </c>
      <c r="I143" s="4045" t="str">
        <f>IF(ISNUMBER([3]TransferFinA!I17),[3]TransferFinA!I17/1000,"n.a.")</f>
        <v>n.a.</v>
      </c>
      <c r="J143" s="4045" t="str">
        <f>IF(ISNUMBER([3]TransferFinA!J17),[3]TransferFinA!J17/1000,"n.a.")</f>
        <v>n.a.</v>
      </c>
      <c r="K143" s="4045" t="str">
        <f>IF(ISNUMBER([3]TransferFinA!K17),[3]TransferFinA!K17/1000,"n.a.")</f>
        <v>n.a.</v>
      </c>
      <c r="L143" s="4045" t="str">
        <f>IF(ISNUMBER([3]TransferFinA!L17),[3]TransferFinA!L17/1000,"n.a.")</f>
        <v>n.a.</v>
      </c>
      <c r="M143" s="4045" t="str">
        <f>IF(ISNUMBER([3]TransferFinA!M17),[3]TransferFinA!M17/1000,"n.a.")</f>
        <v>n.a.</v>
      </c>
      <c r="N143" s="4045" t="str">
        <f>IF(ISNUMBER([3]TransferFinA!N17),[3]TransferFinA!N17/1000,"n.a.")</f>
        <v>n.a.</v>
      </c>
      <c r="O143" s="4045" t="str">
        <f>IF(ISNUMBER([3]TransferFinA!O17),[3]TransferFinA!O17/1000,"n.a.")</f>
        <v>n.a.</v>
      </c>
      <c r="P143" s="4045" t="str">
        <f>IF(ISNUMBER([3]TransferFinA!P17),[3]TransferFinA!P17/1000,"n.a.")</f>
        <v>n.a.</v>
      </c>
      <c r="Q143" s="4045" t="str">
        <f>IF(ISNUMBER([3]TransferFinA!Q17),[3]TransferFinA!Q17/1000,"n.a.")</f>
        <v>n.a.</v>
      </c>
      <c r="R143" s="4045" t="str">
        <f>IF(ISNUMBER([3]TransferFinA!R17),[3]TransferFinA!R17/1000,"n.a.")</f>
        <v>n.a.</v>
      </c>
      <c r="S143" s="4045" t="str">
        <f>IF(ISNUMBER([3]TransferFinA!S17),[3]TransferFinA!S17/1000,"n.a.")</f>
        <v>n.a.</v>
      </c>
      <c r="T143" s="4045" t="str">
        <f>IF(ISNUMBER([3]TransferFinA!T17),[3]TransferFinA!T17/1000,"n.a.")</f>
        <v>n.a.</v>
      </c>
      <c r="U143" s="4045" t="str">
        <f>IF(ISNUMBER([3]TransferFinA!U17),[3]TransferFinA!U17/1000,"n.a.")</f>
        <v>n.a.</v>
      </c>
      <c r="V143" s="4045" t="str">
        <f>IF(ISNUMBER([3]TransferFinA!V17),[3]TransferFinA!V17/1000,"n.a.")</f>
        <v>n.a.</v>
      </c>
      <c r="W143" s="4045" t="str">
        <f>IF(ISNUMBER([3]TransferFinA!W17),[3]TransferFinA!W17/1000,"n.a.")</f>
        <v>n.a.</v>
      </c>
      <c r="X143" s="4045" t="str">
        <f>IF(ISNUMBER([3]TransferFinA!X17),[3]TransferFinA!X17/1000,"n.a.")</f>
        <v>n.a.</v>
      </c>
      <c r="Y143" s="4045" t="str">
        <f>IF(ISNUMBER([3]TransferFinA!Y17),[3]TransferFinA!Y17/1000,"n.a.")</f>
        <v>n.a.</v>
      </c>
      <c r="Z143" s="4045">
        <f>IF(ISNUMBER([3]TransferFinA!Z17),[3]TransferFinA!Z17/1000,"n.a.")</f>
        <v>46.305999999999997</v>
      </c>
      <c r="AA143" s="4045">
        <f>IF(ISNUMBER([3]TransferFinA!AA17),[3]TransferFinA!AA17/1000,"n.a.")</f>
        <v>-0.14899999999999999</v>
      </c>
      <c r="AB143" s="4045">
        <f>IF(ISNUMBER([3]TransferFinA!AB17),[3]TransferFinA!AB17/1000,"n.a.")</f>
        <v>13.029</v>
      </c>
      <c r="AC143" s="4045">
        <f>IF(ISNUMBER([3]TransferFinA!AC17),[3]TransferFinA!AC17/1000,"n.a.")</f>
        <v>-10.154</v>
      </c>
      <c r="AD143" s="4045">
        <f ca="1">IF(ISNUMBER([3]TransferFinA!AD17),[3]TransferFinA!AD17/1000,"n.a.")</f>
        <v>2.4712784378597834</v>
      </c>
      <c r="AE143" s="4045">
        <f ca="1">IF(ISNUMBER([3]TransferFinA!AE17),[3]TransferFinA!AE17/1000,"n.a.")</f>
        <v>3.140562411818443</v>
      </c>
    </row>
    <row r="144" spans="1:31" ht="14.4">
      <c r="A144" s="3997" t="s">
        <v>2662</v>
      </c>
      <c r="B144" s="3997" t="s">
        <v>2158</v>
      </c>
      <c r="C144" s="3997" t="s">
        <v>2166</v>
      </c>
      <c r="D144" s="4036" t="s">
        <v>2511</v>
      </c>
      <c r="E144" s="3997" t="s">
        <v>2168</v>
      </c>
      <c r="F144" s="3997" t="s">
        <v>2512</v>
      </c>
      <c r="G144" s="3997" t="s">
        <v>2513</v>
      </c>
      <c r="H144" s="4045" t="str">
        <f>IF(ISNUMBER([3]TransferFinA!H18),[3]TransferFinA!H18/1000,"n.a.")</f>
        <v>n.a.</v>
      </c>
      <c r="I144" s="4045" t="str">
        <f>IF(ISNUMBER([3]TransferFinA!I18),[3]TransferFinA!I18/1000,"n.a.")</f>
        <v>n.a.</v>
      </c>
      <c r="J144" s="4045" t="str">
        <f>IF(ISNUMBER([3]TransferFinA!J18),[3]TransferFinA!J18/1000,"n.a.")</f>
        <v>n.a.</v>
      </c>
      <c r="K144" s="4045" t="str">
        <f>IF(ISNUMBER([3]TransferFinA!K18),[3]TransferFinA!K18/1000,"n.a.")</f>
        <v>n.a.</v>
      </c>
      <c r="L144" s="4045" t="str">
        <f>IF(ISNUMBER([3]TransferFinA!L18),[3]TransferFinA!L18/1000,"n.a.")</f>
        <v>n.a.</v>
      </c>
      <c r="M144" s="4045" t="str">
        <f>IF(ISNUMBER([3]TransferFinA!M18),[3]TransferFinA!M18/1000,"n.a.")</f>
        <v>n.a.</v>
      </c>
      <c r="N144" s="4045" t="str">
        <f>IF(ISNUMBER([3]TransferFinA!N18),[3]TransferFinA!N18/1000,"n.a.")</f>
        <v>n.a.</v>
      </c>
      <c r="O144" s="4045" t="str">
        <f>IF(ISNUMBER([3]TransferFinA!O18),[3]TransferFinA!O18/1000,"n.a.")</f>
        <v>n.a.</v>
      </c>
      <c r="P144" s="4045" t="str">
        <f>IF(ISNUMBER([3]TransferFinA!P18),[3]TransferFinA!P18/1000,"n.a.")</f>
        <v>n.a.</v>
      </c>
      <c r="Q144" s="4045" t="str">
        <f>IF(ISNUMBER([3]TransferFinA!Q18),[3]TransferFinA!Q18/1000,"n.a.")</f>
        <v>n.a.</v>
      </c>
      <c r="R144" s="4045" t="str">
        <f>IF(ISNUMBER([3]TransferFinA!R18),[3]TransferFinA!R18/1000,"n.a.")</f>
        <v>n.a.</v>
      </c>
      <c r="S144" s="4045" t="str">
        <f>IF(ISNUMBER([3]TransferFinA!S18),[3]TransferFinA!S18/1000,"n.a.")</f>
        <v>n.a.</v>
      </c>
      <c r="T144" s="4045" t="str">
        <f>IF(ISNUMBER([3]TransferFinA!T18),[3]TransferFinA!T18/1000,"n.a.")</f>
        <v>n.a.</v>
      </c>
      <c r="U144" s="4045" t="str">
        <f>IF(ISNUMBER([3]TransferFinA!U18),[3]TransferFinA!U18/1000,"n.a.")</f>
        <v>n.a.</v>
      </c>
      <c r="V144" s="4045" t="str">
        <f>IF(ISNUMBER([3]TransferFinA!V18),[3]TransferFinA!V18/1000,"n.a.")</f>
        <v>n.a.</v>
      </c>
      <c r="W144" s="4045" t="str">
        <f>IF(ISNUMBER([3]TransferFinA!W18),[3]TransferFinA!W18/1000,"n.a.")</f>
        <v>n.a.</v>
      </c>
      <c r="X144" s="4045" t="str">
        <f>IF(ISNUMBER([3]TransferFinA!X18),[3]TransferFinA!X18/1000,"n.a.")</f>
        <v>n.a.</v>
      </c>
      <c r="Y144" s="4045" t="str">
        <f>IF(ISNUMBER([3]TransferFinA!Y18),[3]TransferFinA!Y18/1000,"n.a.")</f>
        <v>n.a.</v>
      </c>
      <c r="Z144" s="4045">
        <f>IF(ISNUMBER([3]TransferFinA!Z18),[3]TransferFinA!Z18/1000,"n.a.")</f>
        <v>-23.068000000000001</v>
      </c>
      <c r="AA144" s="4045">
        <f>IF(ISNUMBER([3]TransferFinA!AA18),[3]TransferFinA!AA18/1000,"n.a.")</f>
        <v>-13.117000000000001</v>
      </c>
      <c r="AB144" s="4045">
        <f>IF(ISNUMBER([3]TransferFinA!AB18),[3]TransferFinA!AB18/1000,"n.a.")</f>
        <v>-35.752000000000002</v>
      </c>
      <c r="AC144" s="4045">
        <f>IF(ISNUMBER([3]TransferFinA!AC18),[3]TransferFinA!AC18/1000,"n.a.")</f>
        <v>-17.158999999999999</v>
      </c>
      <c r="AD144" s="4045">
        <f ca="1">IF(ISNUMBER([3]TransferFinA!AD18),[3]TransferFinA!AD18/1000,"n.a.")</f>
        <v>-19.022583527907262</v>
      </c>
      <c r="AE144" s="4045">
        <f ca="1">IF(ISNUMBER([3]TransferFinA!AE18),[3]TransferFinA!AE18/1000,"n.a.")</f>
        <v>-23.415196228460452</v>
      </c>
    </row>
    <row r="145" spans="1:31" ht="14.4">
      <c r="A145" s="3997" t="s">
        <v>2662</v>
      </c>
      <c r="B145" s="3997" t="s">
        <v>2158</v>
      </c>
      <c r="C145" s="3997" t="s">
        <v>2166</v>
      </c>
      <c r="D145" s="4036" t="s">
        <v>2514</v>
      </c>
      <c r="E145" s="3997" t="s">
        <v>2168</v>
      </c>
      <c r="F145" s="3997" t="s">
        <v>2515</v>
      </c>
      <c r="G145" s="3997" t="s">
        <v>2516</v>
      </c>
      <c r="H145" s="4045" t="str">
        <f>IF(ISNUMBER([3]TransferFinA!H19),[3]TransferFinA!H19/1000,"n.a.")</f>
        <v>n.a.</v>
      </c>
      <c r="I145" s="4045" t="str">
        <f>IF(ISNUMBER([3]TransferFinA!I19),[3]TransferFinA!I19/1000,"n.a.")</f>
        <v>n.a.</v>
      </c>
      <c r="J145" s="4045" t="str">
        <f>IF(ISNUMBER([3]TransferFinA!J19),[3]TransferFinA!J19/1000,"n.a.")</f>
        <v>n.a.</v>
      </c>
      <c r="K145" s="4045" t="str">
        <f>IF(ISNUMBER([3]TransferFinA!K19),[3]TransferFinA!K19/1000,"n.a.")</f>
        <v>n.a.</v>
      </c>
      <c r="L145" s="4045" t="str">
        <f>IF(ISNUMBER([3]TransferFinA!L19),[3]TransferFinA!L19/1000,"n.a.")</f>
        <v>n.a.</v>
      </c>
      <c r="M145" s="4045" t="str">
        <f>IF(ISNUMBER([3]TransferFinA!M19),[3]TransferFinA!M19/1000,"n.a.")</f>
        <v>n.a.</v>
      </c>
      <c r="N145" s="4045" t="str">
        <f>IF(ISNUMBER([3]TransferFinA!N19),[3]TransferFinA!N19/1000,"n.a.")</f>
        <v>n.a.</v>
      </c>
      <c r="O145" s="4045" t="str">
        <f>IF(ISNUMBER([3]TransferFinA!O19),[3]TransferFinA!O19/1000,"n.a.")</f>
        <v>n.a.</v>
      </c>
      <c r="P145" s="4045" t="str">
        <f ca="1">IF(ISNUMBER([3]TransferFinA!P19),[3]TransferFinA!P19/1000,"n.a.")</f>
        <v>n.a.</v>
      </c>
      <c r="Q145" s="4045" t="str">
        <f ca="1">IF(ISNUMBER([3]TransferFinA!Q19),[3]TransferFinA!Q19/1000,"n.a.")</f>
        <v>n.a.</v>
      </c>
      <c r="R145" s="4045" t="str">
        <f ca="1">IF(ISNUMBER([3]TransferFinA!R19),[3]TransferFinA!R19/1000,"n.a.")</f>
        <v>n.a.</v>
      </c>
      <c r="S145" s="4045" t="str">
        <f ca="1">IF(ISNUMBER([3]TransferFinA!S19),[3]TransferFinA!S19/1000,"n.a.")</f>
        <v>n.a.</v>
      </c>
      <c r="T145" s="4045" t="str">
        <f ca="1">IF(ISNUMBER([3]TransferFinA!T19),[3]TransferFinA!T19/1000,"n.a.")</f>
        <v>n.a.</v>
      </c>
      <c r="U145" s="4045" t="str">
        <f ca="1">IF(ISNUMBER([3]TransferFinA!U19),[3]TransferFinA!U19/1000,"n.a.")</f>
        <v>n.a.</v>
      </c>
      <c r="V145" s="4045" t="str">
        <f ca="1">IF(ISNUMBER([3]TransferFinA!V19),[3]TransferFinA!V19/1000,"n.a.")</f>
        <v>n.a.</v>
      </c>
      <c r="W145" s="4045" t="str">
        <f ca="1">IF(ISNUMBER([3]TransferFinA!W19),[3]TransferFinA!W19/1000,"n.a.")</f>
        <v>n.a.</v>
      </c>
      <c r="X145" s="4045" t="str">
        <f ca="1">IF(ISNUMBER([3]TransferFinA!X19),[3]TransferFinA!X19/1000,"n.a.")</f>
        <v>n.a.</v>
      </c>
      <c r="Y145" s="4045" t="str">
        <f ca="1">IF(ISNUMBER([3]TransferFinA!Y19),[3]TransferFinA!Y19/1000,"n.a.")</f>
        <v>n.a.</v>
      </c>
      <c r="Z145" s="4045">
        <f ca="1">IF(ISNUMBER([3]TransferFinA!Z19),[3]TransferFinA!Z19/1000,"n.a.")</f>
        <v>-30.323300000000017</v>
      </c>
      <c r="AA145" s="4045">
        <f ca="1">IF(ISNUMBER([3]TransferFinA!AA19),[3]TransferFinA!AA19/1000,"n.a.")</f>
        <v>2.2373999999999925</v>
      </c>
      <c r="AB145" s="4045">
        <f ca="1">IF(ISNUMBER([3]TransferFinA!AB19),[3]TransferFinA!AB19/1000,"n.a.")</f>
        <v>-17.301699999999975</v>
      </c>
      <c r="AC145" s="4045">
        <f ca="1">IF(ISNUMBER([3]TransferFinA!AC19),[3]TransferFinA!AC19/1000,"n.a.")</f>
        <v>2.9396000000000058</v>
      </c>
      <c r="AD145" s="4045">
        <f ca="1">IF(ISNUMBER([3]TransferFinA!AD19),[3]TransferFinA!AD19/1000,"n.a.")</f>
        <v>2.9396000000000058</v>
      </c>
      <c r="AE145" s="4045">
        <f ca="1">IF(ISNUMBER([3]TransferFinA!AE19),[3]TransferFinA!AE19/1000,"n.a.")</f>
        <v>2.9396000000000058</v>
      </c>
    </row>
    <row r="146" spans="1:31" ht="14.4">
      <c r="A146" s="3997" t="s">
        <v>2662</v>
      </c>
      <c r="B146" s="3997" t="s">
        <v>2158</v>
      </c>
      <c r="C146" s="3997" t="s">
        <v>2166</v>
      </c>
      <c r="D146" s="4036" t="s">
        <v>2517</v>
      </c>
      <c r="E146" s="3997" t="s">
        <v>2168</v>
      </c>
      <c r="F146" s="3997" t="s">
        <v>2518</v>
      </c>
      <c r="G146" s="3997" t="s">
        <v>2519</v>
      </c>
      <c r="H146" s="4045" t="str">
        <f>IF(ISNUMBER([3]TransferFinA!H20),[3]TransferFinA!H20/1000,"n.a.")</f>
        <v>n.a.</v>
      </c>
      <c r="I146" s="4045" t="str">
        <f>IF(ISNUMBER([3]TransferFinA!I20),[3]TransferFinA!I20/1000,"n.a.")</f>
        <v>n.a.</v>
      </c>
      <c r="J146" s="4045" t="str">
        <f>IF(ISNUMBER([3]TransferFinA!J20),[3]TransferFinA!J20/1000,"n.a.")</f>
        <v>n.a.</v>
      </c>
      <c r="K146" s="4045" t="str">
        <f>IF(ISNUMBER([3]TransferFinA!K20),[3]TransferFinA!K20/1000,"n.a.")</f>
        <v>n.a.</v>
      </c>
      <c r="L146" s="4045" t="str">
        <f>IF(ISNUMBER([3]TransferFinA!L20),[3]TransferFinA!L20/1000,"n.a.")</f>
        <v>n.a.</v>
      </c>
      <c r="M146" s="4045" t="str">
        <f>IF(ISNUMBER([3]TransferFinA!M20),[3]TransferFinA!M20/1000,"n.a.")</f>
        <v>n.a.</v>
      </c>
      <c r="N146" s="4045" t="str">
        <f>IF(ISNUMBER([3]TransferFinA!N20),[3]TransferFinA!N20/1000,"n.a.")</f>
        <v>n.a.</v>
      </c>
      <c r="O146" s="4045" t="str">
        <f>IF(ISNUMBER([3]TransferFinA!O20),[3]TransferFinA!O20/1000,"n.a.")</f>
        <v>n.a.</v>
      </c>
      <c r="P146" s="4045">
        <f>IF(ISNUMBER([3]TransferFinA!P20),[3]TransferFinA!P20/1000,"n.a.")</f>
        <v>0</v>
      </c>
      <c r="Q146" s="4045">
        <f>IF(ISNUMBER([3]TransferFinA!Q20),[3]TransferFinA!Q20/1000,"n.a.")</f>
        <v>0</v>
      </c>
      <c r="R146" s="4045">
        <f>IF(ISNUMBER([3]TransferFinA!R20),[3]TransferFinA!R20/1000,"n.a.")</f>
        <v>0</v>
      </c>
      <c r="S146" s="4045">
        <f>IF(ISNUMBER([3]TransferFinA!S20),[3]TransferFinA!S20/1000,"n.a.")</f>
        <v>0</v>
      </c>
      <c r="T146" s="4045">
        <f>IF(ISNUMBER([3]TransferFinA!T20),[3]TransferFinA!T20/1000,"n.a.")</f>
        <v>0</v>
      </c>
      <c r="U146" s="4045">
        <f>IF(ISNUMBER([3]TransferFinA!U20),[3]TransferFinA!U20/1000,"n.a.")</f>
        <v>0</v>
      </c>
      <c r="V146" s="4045">
        <f>IF(ISNUMBER([3]TransferFinA!V20),[3]TransferFinA!V20/1000,"n.a.")</f>
        <v>0</v>
      </c>
      <c r="W146" s="4045">
        <f>IF(ISNUMBER([3]TransferFinA!W20),[3]TransferFinA!W20/1000,"n.a.")</f>
        <v>0</v>
      </c>
      <c r="X146" s="4045">
        <f>IF(ISNUMBER([3]TransferFinA!X20),[3]TransferFinA!X20/1000,"n.a.")</f>
        <v>0</v>
      </c>
      <c r="Y146" s="4045">
        <f>IF(ISNUMBER([3]TransferFinA!Y20),[3]TransferFinA!Y20/1000,"n.a.")</f>
        <v>0</v>
      </c>
      <c r="Z146" s="4045">
        <f>IF(ISNUMBER([3]TransferFinA!Z20),[3]TransferFinA!Z20/1000,"n.a.")</f>
        <v>0</v>
      </c>
      <c r="AA146" s="4045">
        <f>IF(ISNUMBER([3]TransferFinA!AA20),[3]TransferFinA!AA20/1000,"n.a.")</f>
        <v>0</v>
      </c>
      <c r="AB146" s="4045">
        <f>IF(ISNUMBER([3]TransferFinA!AB20),[3]TransferFinA!AB20/1000,"n.a.")</f>
        <v>0</v>
      </c>
      <c r="AC146" s="4045">
        <f>IF(ISNUMBER([3]TransferFinA!AC20),[3]TransferFinA!AC20/1000,"n.a.")</f>
        <v>1E-3</v>
      </c>
      <c r="AD146" s="4045">
        <f>IF(ISNUMBER([3]TransferFinA!AD20),[3]TransferFinA!AD20/1000,"n.a.")</f>
        <v>1E-3</v>
      </c>
      <c r="AE146" s="4045">
        <f>IF(ISNUMBER([3]TransferFinA!AE20),[3]TransferFinA!AE20/1000,"n.a.")</f>
        <v>1E-3</v>
      </c>
    </row>
    <row r="147" spans="1:31" ht="14.4">
      <c r="A147" s="3997" t="s">
        <v>2662</v>
      </c>
      <c r="B147" s="3997" t="s">
        <v>2158</v>
      </c>
      <c r="C147" s="3997" t="s">
        <v>2166</v>
      </c>
      <c r="D147" s="4036" t="s">
        <v>2520</v>
      </c>
      <c r="E147" s="3997" t="s">
        <v>2168</v>
      </c>
      <c r="F147" s="3997" t="s">
        <v>2521</v>
      </c>
      <c r="G147" s="3997" t="s">
        <v>2522</v>
      </c>
      <c r="H147" s="4045" t="str">
        <f>IF(ISNUMBER([3]TransferFinA!H21),[3]TransferFinA!H21/1000,"n.a.")</f>
        <v>n.a.</v>
      </c>
      <c r="I147" s="4045" t="str">
        <f>IF(ISNUMBER([3]TransferFinA!I21),[3]TransferFinA!I21/1000,"n.a.")</f>
        <v>n.a.</v>
      </c>
      <c r="J147" s="4045" t="str">
        <f>IF(ISNUMBER([3]TransferFinA!J21),[3]TransferFinA!J21/1000,"n.a.")</f>
        <v>n.a.</v>
      </c>
      <c r="K147" s="4045" t="str">
        <f>IF(ISNUMBER([3]TransferFinA!K21),[3]TransferFinA!K21/1000,"n.a.")</f>
        <v>n.a.</v>
      </c>
      <c r="L147" s="4045" t="str">
        <f>IF(ISNUMBER([3]TransferFinA!L21),[3]TransferFinA!L21/1000,"n.a.")</f>
        <v>n.a.</v>
      </c>
      <c r="M147" s="4045" t="str">
        <f>IF(ISNUMBER([3]TransferFinA!M21),[3]TransferFinA!M21/1000,"n.a.")</f>
        <v>n.a.</v>
      </c>
      <c r="N147" s="4045" t="str">
        <f>IF(ISNUMBER([3]TransferFinA!N21),[3]TransferFinA!N21/1000,"n.a.")</f>
        <v>n.a.</v>
      </c>
      <c r="O147" s="4045" t="str">
        <f>IF(ISNUMBER([3]TransferFinA!O21),[3]TransferFinA!O21/1000,"n.a.")</f>
        <v>n.a.</v>
      </c>
      <c r="P147" s="4045" t="str">
        <f ca="1">IF(ISNUMBER([3]TransferFinA!P21),[3]TransferFinA!P21/1000,"n.a.")</f>
        <v>n.a.</v>
      </c>
      <c r="Q147" s="4045" t="str">
        <f ca="1">IF(ISNUMBER([3]TransferFinA!Q21),[3]TransferFinA!Q21/1000,"n.a.")</f>
        <v>n.a.</v>
      </c>
      <c r="R147" s="4045" t="str">
        <f ca="1">IF(ISNUMBER([3]TransferFinA!R21),[3]TransferFinA!R21/1000,"n.a.")</f>
        <v>n.a.</v>
      </c>
      <c r="S147" s="4045" t="str">
        <f ca="1">IF(ISNUMBER([3]TransferFinA!S21),[3]TransferFinA!S21/1000,"n.a.")</f>
        <v>n.a.</v>
      </c>
      <c r="T147" s="4045" t="str">
        <f ca="1">IF(ISNUMBER([3]TransferFinA!T21),[3]TransferFinA!T21/1000,"n.a.")</f>
        <v>n.a.</v>
      </c>
      <c r="U147" s="4045" t="str">
        <f ca="1">IF(ISNUMBER([3]TransferFinA!U21),[3]TransferFinA!U21/1000,"n.a.")</f>
        <v>n.a.</v>
      </c>
      <c r="V147" s="4045" t="str">
        <f ca="1">IF(ISNUMBER([3]TransferFinA!V21),[3]TransferFinA!V21/1000,"n.a.")</f>
        <v>n.a.</v>
      </c>
      <c r="W147" s="4045" t="str">
        <f ca="1">IF(ISNUMBER([3]TransferFinA!W21),[3]TransferFinA!W21/1000,"n.a.")</f>
        <v>n.a.</v>
      </c>
      <c r="X147" s="4045" t="str">
        <f ca="1">IF(ISNUMBER([3]TransferFinA!X21),[3]TransferFinA!X21/1000,"n.a.")</f>
        <v>n.a.</v>
      </c>
      <c r="Y147" s="4045" t="str">
        <f ca="1">IF(ISNUMBER([3]TransferFinA!Y21),[3]TransferFinA!Y21/1000,"n.a.")</f>
        <v>n.a.</v>
      </c>
      <c r="Z147" s="4045">
        <f ca="1">IF(ISNUMBER([3]TransferFinA!Z21),[3]TransferFinA!Z21/1000,"n.a.")</f>
        <v>-15.726800000000035</v>
      </c>
      <c r="AA147" s="4045">
        <f ca="1">IF(ISNUMBER([3]TransferFinA!AA21),[3]TransferFinA!AA21/1000,"n.a.")</f>
        <v>8.9466000000000232</v>
      </c>
      <c r="AB147" s="4045">
        <f ca="1">IF(ISNUMBER([3]TransferFinA!AB21),[3]TransferFinA!AB21/1000,"n.a.")</f>
        <v>7.944200000000099</v>
      </c>
      <c r="AC147" s="4045">
        <f ca="1">IF(ISNUMBER([3]TransferFinA!AC21),[3]TransferFinA!AC21/1000,"n.a.")</f>
        <v>6.9207408449668257</v>
      </c>
      <c r="AD147" s="4045">
        <f ca="1">IF(ISNUMBER([3]TransferFinA!AD21),[3]TransferFinA!AD21/1000,"n.a.")</f>
        <v>6.9207408449668257</v>
      </c>
      <c r="AE147" s="4045">
        <f ca="1">IF(ISNUMBER([3]TransferFinA!AE21),[3]TransferFinA!AE21/1000,"n.a.")</f>
        <v>6.9207408449668257</v>
      </c>
    </row>
    <row r="148" spans="1:31" ht="14.4">
      <c r="A148" s="3997" t="s">
        <v>2662</v>
      </c>
      <c r="B148" s="3997" t="s">
        <v>2158</v>
      </c>
      <c r="C148" s="3997" t="s">
        <v>2166</v>
      </c>
      <c r="D148" s="4037" t="s">
        <v>2523</v>
      </c>
      <c r="E148" s="3997" t="s">
        <v>2168</v>
      </c>
      <c r="F148" s="4034" t="s">
        <v>2524</v>
      </c>
      <c r="G148" s="4038" t="s">
        <v>2525</v>
      </c>
      <c r="H148" s="4045" t="str">
        <f>IF(ISNUMBER([3]TransferFinA!H22),[3]TransferFinA!H22/1000,"n.a.")</f>
        <v>n.a.</v>
      </c>
      <c r="I148" s="4045" t="str">
        <f>IF(ISNUMBER([3]TransferFinA!I22),[3]TransferFinA!I22/1000,"n.a.")</f>
        <v>n.a.</v>
      </c>
      <c r="J148" s="4045" t="str">
        <f>IF(ISNUMBER([3]TransferFinA!J22),[3]TransferFinA!J22/1000,"n.a.")</f>
        <v>n.a.</v>
      </c>
      <c r="K148" s="4045" t="str">
        <f>IF(ISNUMBER([3]TransferFinA!K22),[3]TransferFinA!K22/1000,"n.a.")</f>
        <v>n.a.</v>
      </c>
      <c r="L148" s="4045" t="str">
        <f>IF(ISNUMBER([3]TransferFinA!L22),[3]TransferFinA!L22/1000,"n.a.")</f>
        <v>n.a.</v>
      </c>
      <c r="M148" s="4045">
        <f ca="1">IF(ISNUMBER([3]TransferFinA!M22),[3]TransferFinA!M22/1000,"n.a.")</f>
        <v>44.401635285717028</v>
      </c>
      <c r="N148" s="4045">
        <f ca="1">IF(ISNUMBER([3]TransferFinA!N22),[3]TransferFinA!N22/1000,"n.a.")</f>
        <v>66.723548003219008</v>
      </c>
      <c r="O148" s="4045">
        <f ca="1">IF(ISNUMBER([3]TransferFinA!O22),[3]TransferFinA!O22/1000,"n.a.")</f>
        <v>80.108123314292982</v>
      </c>
      <c r="P148" s="4045">
        <f ca="1">IF(ISNUMBER([3]TransferFinA!P22),[3]TransferFinA!P22/1000,"n.a.")</f>
        <v>89.513460637918968</v>
      </c>
      <c r="Q148" s="4045">
        <f ca="1">IF(ISNUMBER([3]TransferFinA!Q22),[3]TransferFinA!Q22/1000,"n.a.")</f>
        <v>82.914965761804027</v>
      </c>
      <c r="R148" s="4045">
        <f ca="1">IF(ISNUMBER([3]TransferFinA!R22),[3]TransferFinA!R22/1000,"n.a.")</f>
        <v>79.14392131112993</v>
      </c>
      <c r="S148" s="4045">
        <f ca="1">IF(ISNUMBER([3]TransferFinA!S22),[3]TransferFinA!S22/1000,"n.a.")</f>
        <v>102.8219260314951</v>
      </c>
      <c r="T148" s="4045">
        <f ca="1">IF(ISNUMBER([3]TransferFinA!T22),[3]TransferFinA!T22/1000,"n.a.")</f>
        <v>103.90766738521202</v>
      </c>
      <c r="U148" s="4045">
        <f ca="1">IF(ISNUMBER([3]TransferFinA!U22),[3]TransferFinA!U22/1000,"n.a.")</f>
        <v>110.24790577452497</v>
      </c>
      <c r="V148" s="4045">
        <f ca="1">IF(ISNUMBER([3]TransferFinA!V22),[3]TransferFinA!V22/1000,"n.a.")</f>
        <v>110.53601394085295</v>
      </c>
      <c r="W148" s="4045">
        <f ca="1">IF(ISNUMBER([3]TransferFinA!W22),[3]TransferFinA!W22/1000,"n.a.")</f>
        <v>107.50428604304103</v>
      </c>
      <c r="X148" s="4045">
        <f ca="1">IF(ISNUMBER([3]TransferFinA!X22),[3]TransferFinA!X22/1000,"n.a.")</f>
        <v>106.18329686061701</v>
      </c>
      <c r="Y148" s="4045">
        <f ca="1">IF(ISNUMBER([3]TransferFinA!Y22),[3]TransferFinA!Y22/1000,"n.a.")</f>
        <v>127.88394153491396</v>
      </c>
      <c r="Z148" s="4045">
        <f ca="1">IF(ISNUMBER([3]TransferFinA!Z22),[3]TransferFinA!Z22/1000,"n.a.")</f>
        <v>136.74208348045701</v>
      </c>
      <c r="AA148" s="4045">
        <f ca="1">IF(ISNUMBER([3]TransferFinA!AA22),[3]TransferFinA!AA22/1000,"n.a.")</f>
        <v>139.36103960015299</v>
      </c>
      <c r="AB148" s="4045">
        <f ca="1">IF(ISNUMBER([3]TransferFinA!AB22),[3]TransferFinA!AB22/1000,"n.a.")</f>
        <v>132.79638054889301</v>
      </c>
      <c r="AC148" s="4045">
        <f ca="1">IF(ISNUMBER([3]TransferFinA!AC22),[3]TransferFinA!AC22/1000,"n.a.")</f>
        <v>110.235201828814</v>
      </c>
      <c r="AD148" s="4045">
        <f ca="1">IF(ISNUMBER([3]TransferFinA!AD22),[3]TransferFinA!AD22/1000,"n.a.")</f>
        <v>91.88847803706021</v>
      </c>
      <c r="AE148" s="4045">
        <f ca="1">IF(ISNUMBER([3]TransferFinA!AE22),[3]TransferFinA!AE22/1000,"n.a.")</f>
        <v>70.618699717721725</v>
      </c>
    </row>
    <row r="149" spans="1:31" ht="14.4">
      <c r="A149" s="3997" t="s">
        <v>2662</v>
      </c>
      <c r="B149" s="3997" t="s">
        <v>2158</v>
      </c>
      <c r="C149" s="3997" t="s">
        <v>2166</v>
      </c>
      <c r="D149" s="4037" t="s">
        <v>2526</v>
      </c>
      <c r="E149" s="3997" t="s">
        <v>2168</v>
      </c>
      <c r="F149" s="4034" t="s">
        <v>2527</v>
      </c>
      <c r="G149" s="4038" t="s">
        <v>2528</v>
      </c>
      <c r="H149" s="4045" t="str">
        <f>IF(ISNUMBER([3]TransferFinA!H23),[3]TransferFinA!H23/1000,"n.a.")</f>
        <v>n.a.</v>
      </c>
      <c r="I149" s="4045" t="str">
        <f>IF(ISNUMBER([3]TransferFinA!I23),[3]TransferFinA!I23/1000,"n.a.")</f>
        <v>n.a.</v>
      </c>
      <c r="J149" s="4045" t="str">
        <f ca="1">IF(ISNUMBER([3]TransferFinA!J23),[3]TransferFinA!J23/1000,"n.a.")</f>
        <v>n.a.</v>
      </c>
      <c r="K149" s="4045" t="str">
        <f ca="1">IF(ISNUMBER([3]TransferFinA!K23),[3]TransferFinA!K23/1000,"n.a.")</f>
        <v>n.a.</v>
      </c>
      <c r="L149" s="4045" t="str">
        <f ca="1">IF(ISNUMBER([3]TransferFinA!L23),[3]TransferFinA!L23/1000,"n.a.")</f>
        <v>n.a.</v>
      </c>
      <c r="M149" s="4045">
        <f ca="1">IF(ISNUMBER([3]TransferFinA!M23),[3]TransferFinA!M23/1000,"n.a.")</f>
        <v>105.854</v>
      </c>
      <c r="N149" s="4045">
        <f ca="1">IF(ISNUMBER([3]TransferFinA!N23),[3]TransferFinA!N23/1000,"n.a.")</f>
        <v>96.298000000000002</v>
      </c>
      <c r="O149" s="4045">
        <f ca="1">IF(ISNUMBER([3]TransferFinA!O23),[3]TransferFinA!O23/1000,"n.a.")</f>
        <v>88.432000000000002</v>
      </c>
      <c r="P149" s="4045">
        <f ca="1">IF(ISNUMBER([3]TransferFinA!P23),[3]TransferFinA!P23/1000,"n.a.")</f>
        <v>84.129000000000005</v>
      </c>
      <c r="Q149" s="4045">
        <f ca="1">IF(ISNUMBER([3]TransferFinA!Q23),[3]TransferFinA!Q23/1000,"n.a.")</f>
        <v>81.569000000000003</v>
      </c>
      <c r="R149" s="4045">
        <f ca="1">IF(ISNUMBER([3]TransferFinA!R23),[3]TransferFinA!R23/1000,"n.a.")</f>
        <v>76.394000000000005</v>
      </c>
      <c r="S149" s="4045">
        <f ca="1">IF(ISNUMBER([3]TransferFinA!S23),[3]TransferFinA!S23/1000,"n.a.")</f>
        <v>59.125999999999998</v>
      </c>
      <c r="T149" s="4045">
        <f ca="1">IF(ISNUMBER([3]TransferFinA!T23),[3]TransferFinA!T23/1000,"n.a.")</f>
        <v>53.040999999999997</v>
      </c>
      <c r="U149" s="4045">
        <f ca="1">IF(ISNUMBER([3]TransferFinA!U23),[3]TransferFinA!U23/1000,"n.a.")</f>
        <v>59.622</v>
      </c>
      <c r="V149" s="4045">
        <f ca="1">IF(ISNUMBER([3]TransferFinA!V23),[3]TransferFinA!V23/1000,"n.a.")</f>
        <v>66.158000000000001</v>
      </c>
      <c r="W149" s="4045">
        <f ca="1">IF(ISNUMBER([3]TransferFinA!W23),[3]TransferFinA!W23/1000,"n.a.")</f>
        <v>77.863</v>
      </c>
      <c r="X149" s="4045">
        <f ca="1">IF(ISNUMBER([3]TransferFinA!X23),[3]TransferFinA!X23/1000,"n.a.")</f>
        <v>79.638000000000005</v>
      </c>
      <c r="Y149" s="4045">
        <f ca="1">IF(ISNUMBER([3]TransferFinA!Y23),[3]TransferFinA!Y23/1000,"n.a.")</f>
        <v>73.721999999999994</v>
      </c>
      <c r="Z149" s="4045">
        <f ca="1">IF(ISNUMBER([3]TransferFinA!Z23),[3]TransferFinA!Z23/1000,"n.a.")</f>
        <v>75.744</v>
      </c>
      <c r="AA149" s="4045">
        <f ca="1">IF(ISNUMBER([3]TransferFinA!AA23),[3]TransferFinA!AA23/1000,"n.a.")</f>
        <v>84.915999999999997</v>
      </c>
      <c r="AB149" s="4045">
        <f ca="1">IF(ISNUMBER([3]TransferFinA!AB23),[3]TransferFinA!AB23/1000,"n.a.")</f>
        <v>100.221</v>
      </c>
      <c r="AC149" s="4045">
        <f ca="1">IF(ISNUMBER([3]TransferFinA!AC23),[3]TransferFinA!AC23/1000,"n.a.")</f>
        <v>112.595</v>
      </c>
      <c r="AD149" s="4045">
        <f ca="1">IF(ISNUMBER([3]TransferFinA!AD23),[3]TransferFinA!AD23/1000,"n.a.")</f>
        <v>115.06627843785976</v>
      </c>
      <c r="AE149" s="4045">
        <f ca="1">IF(ISNUMBER([3]TransferFinA!AE23),[3]TransferFinA!AE23/1000,"n.a.")</f>
        <v>118.20684084967823</v>
      </c>
    </row>
    <row r="150" spans="1:31">
      <c r="A150" s="3997" t="s">
        <v>2662</v>
      </c>
      <c r="B150" s="3997" t="s">
        <v>2158</v>
      </c>
      <c r="C150" s="3997" t="s">
        <v>2166</v>
      </c>
      <c r="D150" s="4035" t="s">
        <v>2529</v>
      </c>
      <c r="E150" s="3997" t="s">
        <v>2168</v>
      </c>
      <c r="F150" s="4034" t="s">
        <v>2530</v>
      </c>
      <c r="G150" s="4034" t="s">
        <v>2531</v>
      </c>
      <c r="H150" s="4045" t="str">
        <f>IF(ISNUMBER([3]TransferFinA!H24),[3]TransferFinA!H24/1000,"n.a.")</f>
        <v>n.a.</v>
      </c>
      <c r="I150" s="4045" t="str">
        <f>IF(ISNUMBER([3]TransferFinA!I24),[3]TransferFinA!I24/1000,"n.a.")</f>
        <v>n.a.</v>
      </c>
      <c r="J150" s="4045">
        <f ca="1">IF(ISNUMBER([3]TransferFinA!J24),[3]TransferFinA!J24/1000,"n.a.")</f>
        <v>0</v>
      </c>
      <c r="K150" s="4045">
        <f ca="1">IF(ISNUMBER([3]TransferFinA!K24),[3]TransferFinA!K24/1000,"n.a.")</f>
        <v>0</v>
      </c>
      <c r="L150" s="4045">
        <f ca="1">IF(ISNUMBER([3]TransferFinA!L24),[3]TransferFinA!L24/1000,"n.a.")</f>
        <v>0</v>
      </c>
      <c r="M150" s="4045">
        <f ca="1">IF(ISNUMBER([3]TransferFinA!M24),[3]TransferFinA!M24/1000,"n.a.")</f>
        <v>0</v>
      </c>
      <c r="N150" s="4045">
        <f ca="1">IF(ISNUMBER([3]TransferFinA!N24),[3]TransferFinA!N24/1000,"n.a.")</f>
        <v>0</v>
      </c>
      <c r="O150" s="4045">
        <f ca="1">IF(ISNUMBER([3]TransferFinA!O24),[3]TransferFinA!O24/1000,"n.a.")</f>
        <v>203.792</v>
      </c>
      <c r="P150" s="4045">
        <f ca="1">IF(ISNUMBER([3]TransferFinA!P24),[3]TransferFinA!P24/1000,"n.a.")</f>
        <v>207.285</v>
      </c>
      <c r="Q150" s="4045">
        <f ca="1">IF(ISNUMBER([3]TransferFinA!Q24),[3]TransferFinA!Q24/1000,"n.a.")</f>
        <v>223.68</v>
      </c>
      <c r="R150" s="4045">
        <f ca="1">IF(ISNUMBER([3]TransferFinA!R24),[3]TransferFinA!R24/1000,"n.a.")</f>
        <v>261.49</v>
      </c>
      <c r="S150" s="4045">
        <f ca="1">IF(ISNUMBER([3]TransferFinA!S24),[3]TransferFinA!S24/1000,"n.a.")</f>
        <v>305.11599999999999</v>
      </c>
      <c r="T150" s="4045">
        <f ca="1">IF(ISNUMBER([3]TransferFinA!T24),[3]TransferFinA!T24/1000,"n.a.")</f>
        <v>325.19499999999999</v>
      </c>
      <c r="U150" s="4045">
        <f ca="1">IF(ISNUMBER([3]TransferFinA!U24),[3]TransferFinA!U24/1000,"n.a.")</f>
        <v>332.06</v>
      </c>
      <c r="V150" s="4045">
        <f ca="1">IF(ISNUMBER([3]TransferFinA!V24),[3]TransferFinA!V24/1000,"n.a.")</f>
        <v>336.15699999999998</v>
      </c>
      <c r="W150" s="4045">
        <f ca="1">IF(ISNUMBER([3]TransferFinA!W24),[3]TransferFinA!W24/1000,"n.a.")</f>
        <v>341.85700000000003</v>
      </c>
      <c r="X150" s="4045">
        <f ca="1">IF(ISNUMBER([3]TransferFinA!X24),[3]TransferFinA!X24/1000,"n.a.")</f>
        <v>346.71800000000002</v>
      </c>
      <c r="Y150" s="4045">
        <f ca="1">IF(ISNUMBER([3]TransferFinA!Y24),[3]TransferFinA!Y24/1000,"n.a.")</f>
        <v>353.26299999999998</v>
      </c>
      <c r="Z150" s="4045">
        <f ca="1">IF(ISNUMBER([3]TransferFinA!Z24),[3]TransferFinA!Z24/1000,"n.a.")</f>
        <v>363.73</v>
      </c>
      <c r="AA150" s="4045">
        <f ca="1">IF(ISNUMBER([3]TransferFinA!AA24),[3]TransferFinA!AA24/1000,"n.a.")</f>
        <v>376.94099999999997</v>
      </c>
      <c r="AB150" s="4045">
        <f ca="1">IF(ISNUMBER([3]TransferFinA!AB24),[3]TransferFinA!AB24/1000,"n.a.")</f>
        <v>397.01600000000002</v>
      </c>
      <c r="AC150" s="4045">
        <f ca="1">IF(ISNUMBER([3]TransferFinA!AC24),[3]TransferFinA!AC24/1000,"n.a.")</f>
        <v>414.40600000000001</v>
      </c>
      <c r="AD150" s="4045">
        <f ca="1">IF(ISNUMBER([3]TransferFinA!AD24),[3]TransferFinA!AD24/1000,"n.a.")</f>
        <v>436.09661080429532</v>
      </c>
      <c r="AE150" s="4045">
        <f ca="1">IF(ISNUMBER([3]TransferFinA!AE24),[3]TransferFinA!AE24/1000,"n.a.")</f>
        <v>460.60146744486934</v>
      </c>
    </row>
    <row r="151" spans="1:31" ht="14.4">
      <c r="A151" s="3997" t="s">
        <v>2662</v>
      </c>
      <c r="B151" s="3997" t="s">
        <v>2158</v>
      </c>
      <c r="C151" s="3997" t="s">
        <v>2166</v>
      </c>
      <c r="D151" s="4037" t="s">
        <v>2532</v>
      </c>
      <c r="E151" s="3997" t="s">
        <v>2168</v>
      </c>
      <c r="F151" s="4034" t="s">
        <v>2533</v>
      </c>
      <c r="G151" s="4038" t="s">
        <v>2534</v>
      </c>
      <c r="H151" s="4045" t="str">
        <f>IF(ISNUMBER([3]TransferFinA!H25),[3]TransferFinA!H25/1000,"n.a.")</f>
        <v>n.a.</v>
      </c>
      <c r="I151" s="4045" t="str">
        <f>IF(ISNUMBER([3]TransferFinA!I25),[3]TransferFinA!I25/1000,"n.a.")</f>
        <v>n.a.</v>
      </c>
      <c r="J151" s="4045" t="str">
        <f>IF(ISNUMBER([3]TransferFinA!J25),[3]TransferFinA!J25/1000,"n.a.")</f>
        <v>n.a.</v>
      </c>
      <c r="K151" s="4045" t="str">
        <f ca="1">IF(ISNUMBER([3]TransferFinA!K25),[3]TransferFinA!K25/1000,"n.a.")</f>
        <v>n.a.</v>
      </c>
      <c r="L151" s="4045">
        <f ca="1">IF(ISNUMBER([3]TransferFinA!L25),[3]TransferFinA!L25/1000,"n.a.")</f>
        <v>1.6679999999999999</v>
      </c>
      <c r="M151" s="4045">
        <f ca="1">IF(ISNUMBER([3]TransferFinA!M25),[3]TransferFinA!M25/1000,"n.a.")</f>
        <v>2.048</v>
      </c>
      <c r="N151" s="4045">
        <f ca="1">IF(ISNUMBER([3]TransferFinA!N25),[3]TransferFinA!N25/1000,"n.a.")</f>
        <v>1.95</v>
      </c>
      <c r="O151" s="4045">
        <f ca="1">IF(ISNUMBER([3]TransferFinA!O25),[3]TransferFinA!O25/1000,"n.a.")</f>
        <v>2.0419999999999998</v>
      </c>
      <c r="P151" s="4045">
        <f ca="1">IF(ISNUMBER([3]TransferFinA!P25),[3]TransferFinA!P25/1000,"n.a.")</f>
        <v>1.645</v>
      </c>
      <c r="Q151" s="4045">
        <f ca="1">IF(ISNUMBER([3]TransferFinA!Q25),[3]TransferFinA!Q25/1000,"n.a.")</f>
        <v>1.5680000000000001</v>
      </c>
      <c r="R151" s="4045">
        <f ca="1">IF(ISNUMBER([3]TransferFinA!R25),[3]TransferFinA!R25/1000,"n.a.")</f>
        <v>1.6040000000000001</v>
      </c>
      <c r="S151" s="4045">
        <f ca="1">IF(ISNUMBER([3]TransferFinA!S25),[3]TransferFinA!S25/1000,"n.a.")</f>
        <v>1.73</v>
      </c>
      <c r="T151" s="4045">
        <f ca="1">IF(ISNUMBER([3]TransferFinA!T25),[3]TransferFinA!T25/1000,"n.a.")</f>
        <v>1.9330000000000001</v>
      </c>
      <c r="U151" s="4045">
        <f ca="1">IF(ISNUMBER([3]TransferFinA!U25),[3]TransferFinA!U25/1000,"n.a.")</f>
        <v>1.9119999999999999</v>
      </c>
      <c r="V151" s="4045">
        <f ca="1">IF(ISNUMBER([3]TransferFinA!V25),[3]TransferFinA!V25/1000,"n.a.")</f>
        <v>1.79</v>
      </c>
      <c r="W151" s="4045">
        <f ca="1">IF(ISNUMBER([3]TransferFinA!W25),[3]TransferFinA!W25/1000,"n.a.")</f>
        <v>1.92</v>
      </c>
      <c r="X151" s="4045">
        <f ca="1">IF(ISNUMBER([3]TransferFinA!X25),[3]TransferFinA!X25/1000,"n.a.")</f>
        <v>2.032</v>
      </c>
      <c r="Y151" s="4045">
        <f ca="1">IF(ISNUMBER([3]TransferFinA!Y25),[3]TransferFinA!Y25/1000,"n.a.")</f>
        <v>2.1459999999999999</v>
      </c>
      <c r="Z151" s="4045">
        <f ca="1">IF(ISNUMBER([3]TransferFinA!Z25),[3]TransferFinA!Z25/1000,"n.a.")</f>
        <v>2.1960000000000002</v>
      </c>
      <c r="AA151" s="4045">
        <f ca="1">IF(ISNUMBER([3]TransferFinA!AA25),[3]TransferFinA!AA25/1000,"n.a.")</f>
        <v>2.06</v>
      </c>
      <c r="AB151" s="4045">
        <f ca="1">IF(ISNUMBER([3]TransferFinA!AB25),[3]TransferFinA!AB25/1000,"n.a.")</f>
        <v>2.1440000000000001</v>
      </c>
      <c r="AC151" s="4045">
        <f ca="1">IF(ISNUMBER([3]TransferFinA!AC25),[3]TransferFinA!AC25/1000,"n.a.")</f>
        <v>2.1869999999999998</v>
      </c>
      <c r="AD151" s="4045">
        <f ca="1">IF(ISNUMBER([3]TransferFinA!AD25),[3]TransferFinA!AD25/1000,"n.a.")</f>
        <v>2.2362799777499949</v>
      </c>
      <c r="AE151" s="4045">
        <f ca="1">IF(ISNUMBER([3]TransferFinA!AE25),[3]TransferFinA!AE25/1000,"n.a.")</f>
        <v>2.2880714900150854</v>
      </c>
    </row>
    <row r="152" spans="1:31" ht="14.4">
      <c r="A152" s="3997" t="s">
        <v>2662</v>
      </c>
      <c r="B152" s="3997" t="s">
        <v>2158</v>
      </c>
      <c r="C152" s="3997" t="s">
        <v>2166</v>
      </c>
      <c r="D152" s="4037" t="s">
        <v>2535</v>
      </c>
      <c r="E152" s="3997" t="s">
        <v>2168</v>
      </c>
      <c r="F152" s="4034" t="s">
        <v>2536</v>
      </c>
      <c r="G152" s="4038" t="s">
        <v>2537</v>
      </c>
      <c r="H152" s="4045" t="str">
        <f>IF(ISNUMBER([3]TransferFinA!H26),[3]TransferFinA!H26/1000,"n.a.")</f>
        <v>n.a.</v>
      </c>
      <c r="I152" s="4045" t="str">
        <f>IF(ISNUMBER([3]TransferFinA!I26),[3]TransferFinA!I26/1000,"n.a.")</f>
        <v>n.a.</v>
      </c>
      <c r="J152" s="4045" t="str">
        <f>IF(ISNUMBER([3]TransferFinA!J26),[3]TransferFinA!J26/1000,"n.a.")</f>
        <v>n.a.</v>
      </c>
      <c r="K152" s="4045">
        <f ca="1">IF(ISNUMBER([3]TransferFinA!K26),[3]TransferFinA!K26/1000,"n.a.")</f>
        <v>202.67599999999999</v>
      </c>
      <c r="L152" s="4045">
        <f ca="1">IF(ISNUMBER([3]TransferFinA!L26),[3]TransferFinA!L26/1000,"n.a.")</f>
        <v>202.08699999999999</v>
      </c>
      <c r="M152" s="4045">
        <f ca="1">IF(ISNUMBER([3]TransferFinA!M26),[3]TransferFinA!M26/1000,"n.a.")</f>
        <v>218.24700000000001</v>
      </c>
      <c r="N152" s="4045">
        <f ca="1">IF(ISNUMBER([3]TransferFinA!N26),[3]TransferFinA!N26/1000,"n.a.")</f>
        <v>228.67599999999999</v>
      </c>
      <c r="O152" s="4045">
        <f ca="1">IF(ISNUMBER([3]TransferFinA!O26),[3]TransferFinA!O26/1000,"n.a.")</f>
        <v>249.28899999999999</v>
      </c>
      <c r="P152" s="4045">
        <f ca="1">IF(ISNUMBER([3]TransferFinA!P26),[3]TransferFinA!P26/1000,"n.a.")</f>
        <v>274.55500000000001</v>
      </c>
      <c r="Q152" s="4045">
        <f ca="1">IF(ISNUMBER([3]TransferFinA!Q26),[3]TransferFinA!Q26/1000,"n.a.")</f>
        <v>293.97500000000002</v>
      </c>
      <c r="R152" s="4045">
        <f ca="1">IF(ISNUMBER([3]TransferFinA!R26),[3]TransferFinA!R26/1000,"n.a.")</f>
        <v>311.95999999999998</v>
      </c>
      <c r="S152" s="4045">
        <f ca="1">IF(ISNUMBER([3]TransferFinA!S26),[3]TransferFinA!S26/1000,"n.a.")</f>
        <v>322.77300000000002</v>
      </c>
      <c r="T152" s="4045">
        <f ca="1">IF(ISNUMBER([3]TransferFinA!T26),[3]TransferFinA!T26/1000,"n.a.")</f>
        <v>333.608</v>
      </c>
      <c r="U152" s="4045">
        <f ca="1">IF(ISNUMBER([3]TransferFinA!U26),[3]TransferFinA!U26/1000,"n.a.")</f>
        <v>345.11399999999998</v>
      </c>
      <c r="V152" s="4045">
        <f ca="1">IF(ISNUMBER([3]TransferFinA!V26),[3]TransferFinA!V26/1000,"n.a.")</f>
        <v>368.38900000000001</v>
      </c>
      <c r="W152" s="4045">
        <f ca="1">IF(ISNUMBER([3]TransferFinA!W26),[3]TransferFinA!W26/1000,"n.a.")</f>
        <v>380.142</v>
      </c>
      <c r="X152" s="4045">
        <f ca="1">IF(ISNUMBER([3]TransferFinA!X26),[3]TransferFinA!X26/1000,"n.a.")</f>
        <v>403.31799999999998</v>
      </c>
      <c r="Y152" s="4045">
        <f ca="1">IF(ISNUMBER([3]TransferFinA!Y26),[3]TransferFinA!Y26/1000,"n.a.")</f>
        <v>420.65899999999999</v>
      </c>
      <c r="Z152" s="4045">
        <f ca="1">IF(ISNUMBER([3]TransferFinA!Z26),[3]TransferFinA!Z26/1000,"n.a.")</f>
        <v>438.29</v>
      </c>
      <c r="AA152" s="4045">
        <f ca="1">IF(ISNUMBER([3]TransferFinA!AA26),[3]TransferFinA!AA26/1000,"n.a.")</f>
        <v>454.79399999999998</v>
      </c>
      <c r="AB152" s="4045">
        <f ca="1">IF(ISNUMBER([3]TransferFinA!AB26),[3]TransferFinA!AB26/1000,"n.a.")</f>
        <v>475.12599999999998</v>
      </c>
      <c r="AC152" s="4045">
        <f ca="1">IF(ISNUMBER([3]TransferFinA!AC26),[3]TransferFinA!AC26/1000,"n.a.")</f>
        <v>485.86500000000001</v>
      </c>
      <c r="AD152" s="4045">
        <f ca="1">IF(ISNUMBER([3]TransferFinA!AD26),[3]TransferFinA!AD26/1000,"n.a.")</f>
        <v>496.81306419273034</v>
      </c>
      <c r="AE152" s="4045">
        <f ca="1">IF(ISNUMBER([3]TransferFinA!AE26),[3]TransferFinA!AE26/1000,"n.a.")</f>
        <v>508.31909213359825</v>
      </c>
    </row>
    <row r="153" spans="1:31" ht="14.4">
      <c r="A153" s="3997" t="s">
        <v>2662</v>
      </c>
      <c r="B153" s="3997" t="s">
        <v>2158</v>
      </c>
      <c r="C153" s="3997" t="s">
        <v>2166</v>
      </c>
      <c r="D153" s="4037" t="s">
        <v>2538</v>
      </c>
      <c r="E153" s="3997" t="s">
        <v>2168</v>
      </c>
      <c r="F153" s="4034" t="s">
        <v>2539</v>
      </c>
      <c r="G153" s="4038" t="s">
        <v>2540</v>
      </c>
      <c r="H153" s="4045" t="str">
        <f>IF(ISNUMBER([3]TransferFinA!H27),[3]TransferFinA!H27/1000,"n.a.")</f>
        <v>n.a.</v>
      </c>
      <c r="I153" s="4045" t="str">
        <f>IF(ISNUMBER([3]TransferFinA!I27),[3]TransferFinA!I27/1000,"n.a.")</f>
        <v>n.a.</v>
      </c>
      <c r="J153" s="4045" t="str">
        <f>IF(ISNUMBER([3]TransferFinA!J27),[3]TransferFinA!J27/1000,"n.a.")</f>
        <v>n.a.</v>
      </c>
      <c r="K153" s="4045">
        <f ca="1">IF(ISNUMBER([3]TransferFinA!K27),[3]TransferFinA!K27/1000,"n.a.")</f>
        <v>202.67599999999999</v>
      </c>
      <c r="L153" s="4045">
        <f ca="1">IF(ISNUMBER([3]TransferFinA!L27),[3]TransferFinA!L27/1000,"n.a.")</f>
        <v>203.755</v>
      </c>
      <c r="M153" s="4045">
        <f ca="1">IF(ISNUMBER([3]TransferFinA!M27),[3]TransferFinA!M27/1000,"n.a.")</f>
        <v>220.29499999999999</v>
      </c>
      <c r="N153" s="4045">
        <f ca="1">IF(ISNUMBER([3]TransferFinA!N27),[3]TransferFinA!N27/1000,"n.a.")</f>
        <v>230.626</v>
      </c>
      <c r="O153" s="4045">
        <f ca="1">IF(ISNUMBER([3]TransferFinA!O27),[3]TransferFinA!O27/1000,"n.a.")</f>
        <v>251.33099999999999</v>
      </c>
      <c r="P153" s="4045">
        <f ca="1">IF(ISNUMBER([3]TransferFinA!P27),[3]TransferFinA!P27/1000,"n.a.")</f>
        <v>276.2</v>
      </c>
      <c r="Q153" s="4045">
        <f ca="1">IF(ISNUMBER([3]TransferFinA!Q27),[3]TransferFinA!Q27/1000,"n.a.")</f>
        <v>295.54300000000001</v>
      </c>
      <c r="R153" s="4045">
        <f ca="1">IF(ISNUMBER([3]TransferFinA!R27),[3]TransferFinA!R27/1000,"n.a.")</f>
        <v>313.56400000000002</v>
      </c>
      <c r="S153" s="4045">
        <f ca="1">IF(ISNUMBER([3]TransferFinA!S27),[3]TransferFinA!S27/1000,"n.a.")</f>
        <v>324.50299999999999</v>
      </c>
      <c r="T153" s="4045">
        <f ca="1">IF(ISNUMBER([3]TransferFinA!T27),[3]TransferFinA!T27/1000,"n.a.")</f>
        <v>335.541</v>
      </c>
      <c r="U153" s="4045">
        <f ca="1">IF(ISNUMBER([3]TransferFinA!U27),[3]TransferFinA!U27/1000,"n.a.")</f>
        <v>347.02600000000001</v>
      </c>
      <c r="V153" s="4045">
        <f ca="1">IF(ISNUMBER([3]TransferFinA!V27),[3]TransferFinA!V27/1000,"n.a.")</f>
        <v>370.17899999999997</v>
      </c>
      <c r="W153" s="4045">
        <f ca="1">IF(ISNUMBER([3]TransferFinA!W27),[3]TransferFinA!W27/1000,"n.a.")</f>
        <v>382.06200000000001</v>
      </c>
      <c r="X153" s="4045">
        <f ca="1">IF(ISNUMBER([3]TransferFinA!X27),[3]TransferFinA!X27/1000,"n.a.")</f>
        <v>405.35</v>
      </c>
      <c r="Y153" s="4045">
        <f ca="1">IF(ISNUMBER([3]TransferFinA!Y27),[3]TransferFinA!Y27/1000,"n.a.")</f>
        <v>422.80500000000001</v>
      </c>
      <c r="Z153" s="4045">
        <f ca="1">IF(ISNUMBER([3]TransferFinA!Z27),[3]TransferFinA!Z27/1000,"n.a.")</f>
        <v>440.48599999999999</v>
      </c>
      <c r="AA153" s="4045">
        <f ca="1">IF(ISNUMBER([3]TransferFinA!AA27),[3]TransferFinA!AA27/1000,"n.a.")</f>
        <v>456.85399999999998</v>
      </c>
      <c r="AB153" s="4045">
        <f ca="1">IF(ISNUMBER([3]TransferFinA!AB27),[3]TransferFinA!AB27/1000,"n.a.")</f>
        <v>477.27</v>
      </c>
      <c r="AC153" s="4045">
        <f ca="1">IF(ISNUMBER([3]TransferFinA!AC27),[3]TransferFinA!AC27/1000,"n.a.")</f>
        <v>488.05200000000002</v>
      </c>
      <c r="AD153" s="4045">
        <f ca="1">IF(ISNUMBER([3]TransferFinA!AD27),[3]TransferFinA!AD27/1000,"n.a.")</f>
        <v>499.04934417048031</v>
      </c>
      <c r="AE153" s="4045">
        <f ca="1">IF(ISNUMBER([3]TransferFinA!AE27),[3]TransferFinA!AE27/1000,"n.a.")</f>
        <v>510.6071636236133</v>
      </c>
    </row>
    <row r="154" spans="1:31" ht="14.4">
      <c r="A154" s="3997" t="s">
        <v>2662</v>
      </c>
      <c r="B154" s="3997" t="s">
        <v>2158</v>
      </c>
      <c r="C154" s="3997" t="s">
        <v>2166</v>
      </c>
      <c r="D154" s="4037" t="s">
        <v>2541</v>
      </c>
      <c r="E154" s="3997" t="s">
        <v>2168</v>
      </c>
      <c r="F154" s="4034" t="s">
        <v>2542</v>
      </c>
      <c r="G154" s="4038" t="s">
        <v>2543</v>
      </c>
      <c r="H154" s="4045" t="str">
        <f>IF(ISNUMBER([3]TransferFinA!H28),[3]TransferFinA!H28/1000,"n.a.")</f>
        <v>n.a.</v>
      </c>
      <c r="I154" s="4045" t="str">
        <f>IF(ISNUMBER([3]TransferFinA!I28),[3]TransferFinA!I28/1000,"n.a.")</f>
        <v>n.a.</v>
      </c>
      <c r="J154" s="4045" t="str">
        <f ca="1">IF(ISNUMBER([3]TransferFinA!J28),[3]TransferFinA!J28/1000,"n.a.")</f>
        <v>n.a.</v>
      </c>
      <c r="K154" s="4045" t="str">
        <f ca="1">IF(ISNUMBER([3]TransferFinA!K28),[3]TransferFinA!K28/1000,"n.a.")</f>
        <v>n.a.</v>
      </c>
      <c r="L154" s="4045" t="str">
        <f ca="1">IF(ISNUMBER([3]TransferFinA!L28),[3]TransferFinA!L28/1000,"n.a.")</f>
        <v>n.a.</v>
      </c>
      <c r="M154" s="4045">
        <f ca="1">IF(ISNUMBER([3]TransferFinA!M28),[3]TransferFinA!M28/1000,"n.a.")</f>
        <v>70.039364714282968</v>
      </c>
      <c r="N154" s="4045">
        <f ca="1">IF(ISNUMBER([3]TransferFinA!N28),[3]TransferFinA!N28/1000,"n.a.")</f>
        <v>67.604451996780995</v>
      </c>
      <c r="O154" s="4045">
        <f ca="1">IF(ISNUMBER([3]TransferFinA!O28),[3]TransferFinA!O28/1000,"n.a.")</f>
        <v>-121.00112331429298</v>
      </c>
      <c r="P154" s="4045">
        <f ca="1">IF(ISNUMBER([3]TransferFinA!P28),[3]TransferFinA!P28/1000,"n.a.")</f>
        <v>-104.72746063791897</v>
      </c>
      <c r="Q154" s="4045">
        <f ca="1">IF(ISNUMBER([3]TransferFinA!Q28),[3]TransferFinA!Q28/1000,"n.a.")</f>
        <v>-92.620965761804015</v>
      </c>
      <c r="R154" s="4045">
        <f ca="1">IF(ISNUMBER([3]TransferFinA!R28),[3]TransferFinA!R28/1000,"n.a.")</f>
        <v>-103.46392131112994</v>
      </c>
      <c r="S154" s="4045">
        <f ca="1">IF(ISNUMBER([3]TransferFinA!S28),[3]TransferFinA!S28/1000,"n.a.")</f>
        <v>-142.56092603149509</v>
      </c>
      <c r="T154" s="4045">
        <f ca="1">IF(ISNUMBER([3]TransferFinA!T28),[3]TransferFinA!T28/1000,"n.a.")</f>
        <v>-146.60266738521202</v>
      </c>
      <c r="U154" s="4045">
        <f ca="1">IF(ISNUMBER([3]TransferFinA!U28),[3]TransferFinA!U28/1000,"n.a.")</f>
        <v>-154.90390577452496</v>
      </c>
      <c r="V154" s="4045">
        <f ca="1">IF(ISNUMBER([3]TransferFinA!V28),[3]TransferFinA!V28/1000,"n.a.")</f>
        <v>-142.67201394085296</v>
      </c>
      <c r="W154" s="4045">
        <f ca="1">IF(ISNUMBER([3]TransferFinA!W28),[3]TransferFinA!W28/1000,"n.a.")</f>
        <v>-145.16228604304104</v>
      </c>
      <c r="X154" s="4045">
        <f ca="1">IF(ISNUMBER([3]TransferFinA!X28),[3]TransferFinA!X28/1000,"n.a.")</f>
        <v>-127.18929686061701</v>
      </c>
      <c r="Y154" s="4045">
        <f ca="1">IF(ISNUMBER([3]TransferFinA!Y28),[3]TransferFinA!Y28/1000,"n.a.")</f>
        <v>-132.06394153491397</v>
      </c>
      <c r="Z154" s="4045">
        <f ca="1">IF(ISNUMBER([3]TransferFinA!Z28),[3]TransferFinA!Z28/1000,"n.a.")</f>
        <v>-135.73008348045707</v>
      </c>
      <c r="AA154" s="4045">
        <f ca="1">IF(ISNUMBER([3]TransferFinA!AA28),[3]TransferFinA!AA28/1000,"n.a.")</f>
        <v>-144.36403960015298</v>
      </c>
      <c r="AB154" s="4045">
        <f ca="1">IF(ISNUMBER([3]TransferFinA!AB28),[3]TransferFinA!AB28/1000,"n.a.")</f>
        <v>-152.763380548893</v>
      </c>
      <c r="AC154" s="4045">
        <f ca="1">IF(ISNUMBER([3]TransferFinA!AC28),[3]TransferFinA!AC28/1000,"n.a.")</f>
        <v>-149.184201828814</v>
      </c>
      <c r="AD154" s="4045">
        <f ca="1">IF(ISNUMBER([3]TransferFinA!AD28),[3]TransferFinA!AD28/1000,"n.a.")</f>
        <v>-144.00202310873499</v>
      </c>
      <c r="AE154" s="4045">
        <f ca="1">IF(ISNUMBER([3]TransferFinA!AE28),[3]TransferFinA!AE28/1000,"n.a.")</f>
        <v>-138.81984438865598</v>
      </c>
    </row>
    <row r="155" spans="1:31" ht="14.4">
      <c r="A155" s="3997" t="s">
        <v>2662</v>
      </c>
      <c r="B155" s="3997" t="s">
        <v>2158</v>
      </c>
      <c r="C155" s="3997" t="s">
        <v>2166</v>
      </c>
      <c r="D155" s="4037" t="s">
        <v>2606</v>
      </c>
      <c r="E155" s="3997" t="s">
        <v>2168</v>
      </c>
      <c r="F155" s="4034" t="s">
        <v>2604</v>
      </c>
      <c r="G155" s="4034" t="s">
        <v>2607</v>
      </c>
      <c r="H155" s="4045" t="str">
        <f>IF(ISNUMBER([3]TransferFinA!H29),[3]TransferFinA!H29/1000,"n.a.")</f>
        <v>n.a.</v>
      </c>
      <c r="I155" s="4045" t="str">
        <f>IF(ISNUMBER([3]TransferFinA!I29),[3]TransferFinA!I29/1000,"n.a.")</f>
        <v>n.a.</v>
      </c>
      <c r="J155" s="4045">
        <f ca="1">IF(ISNUMBER([3]TransferFinA!J29),[3]TransferFinA!J29/1000,"n.a.")</f>
        <v>0</v>
      </c>
      <c r="K155" s="4045">
        <f ca="1">IF(ISNUMBER([3]TransferFinA!K29),[3]TransferFinA!K29/1000,"n.a.")</f>
        <v>0</v>
      </c>
      <c r="L155" s="4045">
        <f ca="1">IF(ISNUMBER([3]TransferFinA!L29),[3]TransferFinA!L29/1000,"n.a.")</f>
        <v>0</v>
      </c>
      <c r="M155" s="4045">
        <f ca="1">IF(ISNUMBER([3]TransferFinA!M29),[3]TransferFinA!M29/1000,"n.a.")</f>
        <v>0</v>
      </c>
      <c r="N155" s="4045">
        <f ca="1">IF(ISNUMBER([3]TransferFinA!N29),[3]TransferFinA!N29/1000,"n.a.")</f>
        <v>0</v>
      </c>
      <c r="O155" s="4045">
        <f ca="1">IF(ISNUMBER([3]TransferFinA!O29),[3]TransferFinA!O29/1000,"n.a.")</f>
        <v>91.338999999999999</v>
      </c>
      <c r="P155" s="4045">
        <f ca="1">IF(ISNUMBER([3]TransferFinA!P29),[3]TransferFinA!P29/1000,"n.a.")</f>
        <v>99.819000000000003</v>
      </c>
      <c r="Q155" s="4045">
        <f ca="1">IF(ISNUMBER([3]TransferFinA!Q29),[3]TransferFinA!Q29/1000,"n.a.")</f>
        <v>113.65600000000001</v>
      </c>
      <c r="R155" s="4045">
        <f ca="1">IF(ISNUMBER([3]TransferFinA!R29),[3]TransferFinA!R29/1000,"n.a.")</f>
        <v>125.634</v>
      </c>
      <c r="S155" s="4045">
        <f ca="1">IF(ISNUMBER([3]TransferFinA!S29),[3]TransferFinA!S29/1000,"n.a.")</f>
        <v>133.024</v>
      </c>
      <c r="T155" s="4045">
        <f ca="1">IF(ISNUMBER([3]TransferFinA!T29),[3]TransferFinA!T29/1000,"n.a.")</f>
        <v>108.53100000000001</v>
      </c>
      <c r="U155" s="4045">
        <f ca="1">IF(ISNUMBER([3]TransferFinA!U29),[3]TransferFinA!U29/1000,"n.a.")</f>
        <v>98.64</v>
      </c>
      <c r="V155" s="4045">
        <f ca="1">IF(ISNUMBER([3]TransferFinA!V29),[3]TransferFinA!V29/1000,"n.a.")</f>
        <v>104.191</v>
      </c>
      <c r="W155" s="4045">
        <f ca="1">IF(ISNUMBER([3]TransferFinA!W29),[3]TransferFinA!W29/1000,"n.a.")</f>
        <v>103.2</v>
      </c>
      <c r="X155" s="4045">
        <f ca="1">IF(ISNUMBER([3]TransferFinA!X29),[3]TransferFinA!X29/1000,"n.a.")</f>
        <v>107.905</v>
      </c>
      <c r="Y155" s="4045">
        <f ca="1">IF(ISNUMBER([3]TransferFinA!Y29),[3]TransferFinA!Y29/1000,"n.a.")</f>
        <v>116.36199999999999</v>
      </c>
      <c r="Z155" s="4045">
        <f ca="1">IF(ISNUMBER([3]TransferFinA!Z29),[3]TransferFinA!Z29/1000,"n.a.")</f>
        <v>134.994</v>
      </c>
      <c r="AA155" s="4045">
        <f ca="1">IF(ISNUMBER([3]TransferFinA!AA29),[3]TransferFinA!AA29/1000,"n.a.")</f>
        <v>149.636</v>
      </c>
      <c r="AB155" s="4045">
        <f ca="1">IF(ISNUMBER([3]TransferFinA!AB29),[3]TransferFinA!AB29/1000,"n.a.")</f>
        <v>161.47300000000001</v>
      </c>
      <c r="AC155" s="4045">
        <f ca="1">IF(ISNUMBER([3]TransferFinA!AC29),[3]TransferFinA!AC29/1000,"n.a.")</f>
        <v>169.30199999999999</v>
      </c>
      <c r="AD155" s="4045">
        <f ca="1">IF(ISNUMBER([3]TransferFinA!AD29),[3]TransferFinA!AD29/1000,"n.a.")</f>
        <v>177.78537297204218</v>
      </c>
      <c r="AE155" s="4045">
        <f ca="1">IF(ISNUMBER([3]TransferFinA!AE29),[3]TransferFinA!AE29/1000,"n.a.")</f>
        <v>186.73778691679749</v>
      </c>
    </row>
    <row r="156" spans="1:31" ht="14.4">
      <c r="A156" s="3997" t="s">
        <v>2662</v>
      </c>
      <c r="B156" s="3997" t="s">
        <v>2158</v>
      </c>
      <c r="C156" s="3997" t="s">
        <v>2166</v>
      </c>
      <c r="D156" s="4037" t="s">
        <v>2608</v>
      </c>
      <c r="E156" s="3997" t="s">
        <v>2168</v>
      </c>
      <c r="F156" s="4034" t="s">
        <v>2604</v>
      </c>
      <c r="G156" s="4034" t="s">
        <v>2609</v>
      </c>
      <c r="H156" s="4045" t="str">
        <f>IF(ISNUMBER([3]TransferFinA!H30),[3]TransferFinA!H30/1000,"n.a.")</f>
        <v>n.a.</v>
      </c>
      <c r="I156" s="4045" t="str">
        <f>IF(ISNUMBER([3]TransferFinA!I30),[3]TransferFinA!I30/1000,"n.a.")</f>
        <v>n.a.</v>
      </c>
      <c r="J156" s="4045">
        <f ca="1">IF(ISNUMBER([3]TransferFinA!J30),[3]TransferFinA!J30/1000,"n.a.")</f>
        <v>0</v>
      </c>
      <c r="K156" s="4045">
        <f ca="1">IF(ISNUMBER([3]TransferFinA!K30),[3]TransferFinA!K30/1000,"n.a.")</f>
        <v>0</v>
      </c>
      <c r="L156" s="4045">
        <f ca="1">IF(ISNUMBER([3]TransferFinA!L30),[3]TransferFinA!L30/1000,"n.a.")</f>
        <v>0</v>
      </c>
      <c r="M156" s="4045">
        <f ca="1">IF(ISNUMBER([3]TransferFinA!M30),[3]TransferFinA!M30/1000,"n.a.")</f>
        <v>0</v>
      </c>
      <c r="N156" s="4045">
        <f ca="1">IF(ISNUMBER([3]TransferFinA!N30),[3]TransferFinA!N30/1000,"n.a.")</f>
        <v>0</v>
      </c>
      <c r="O156" s="4045">
        <f ca="1">IF(ISNUMBER([3]TransferFinA!O30),[3]TransferFinA!O30/1000,"n.a.")</f>
        <v>81.795000000000002</v>
      </c>
      <c r="P156" s="4045">
        <f ca="1">IF(ISNUMBER([3]TransferFinA!P30),[3]TransferFinA!P30/1000,"n.a.")</f>
        <v>80.734999999999999</v>
      </c>
      <c r="Q156" s="4045">
        <f ca="1">IF(ISNUMBER([3]TransferFinA!Q30),[3]TransferFinA!Q30/1000,"n.a.")</f>
        <v>81.343999999999994</v>
      </c>
      <c r="R156" s="4045">
        <f ca="1">IF(ISNUMBER([3]TransferFinA!R30),[3]TransferFinA!R30/1000,"n.a.")</f>
        <v>85.331000000000003</v>
      </c>
      <c r="S156" s="4045">
        <f ca="1">IF(ISNUMBER([3]TransferFinA!S30),[3]TransferFinA!S30/1000,"n.a.")</f>
        <v>97.07</v>
      </c>
      <c r="T156" s="4045">
        <f ca="1">IF(ISNUMBER([3]TransferFinA!T30),[3]TransferFinA!T30/1000,"n.a.")</f>
        <v>106.447</v>
      </c>
      <c r="U156" s="4045">
        <f ca="1">IF(ISNUMBER([3]TransferFinA!U30),[3]TransferFinA!U30/1000,"n.a.")</f>
        <v>99.436000000000007</v>
      </c>
      <c r="V156" s="4045">
        <f ca="1">IF(ISNUMBER([3]TransferFinA!V30),[3]TransferFinA!V30/1000,"n.a.")</f>
        <v>100.063</v>
      </c>
      <c r="W156" s="4045">
        <f ca="1">IF(ISNUMBER([3]TransferFinA!W30),[3]TransferFinA!W30/1000,"n.a.")</f>
        <v>103.191</v>
      </c>
      <c r="X156" s="4045">
        <f ca="1">IF(ISNUMBER([3]TransferFinA!X30),[3]TransferFinA!X30/1000,"n.a.")</f>
        <v>100.816</v>
      </c>
      <c r="Y156" s="4045">
        <f ca="1">IF(ISNUMBER([3]TransferFinA!Y30),[3]TransferFinA!Y30/1000,"n.a.")</f>
        <v>102.85899999999999</v>
      </c>
      <c r="Z156" s="4045">
        <f ca="1">IF(ISNUMBER([3]TransferFinA!Z30),[3]TransferFinA!Z30/1000,"n.a.")</f>
        <v>95.596000000000004</v>
      </c>
      <c r="AA156" s="4045">
        <f ca="1">IF(ISNUMBER([3]TransferFinA!AA30),[3]TransferFinA!AA30/1000,"n.a.")</f>
        <v>100.149</v>
      </c>
      <c r="AB156" s="4045">
        <f ca="1">IF(ISNUMBER([3]TransferFinA!AB30),[3]TransferFinA!AB30/1000,"n.a.")</f>
        <v>106.32299999999999</v>
      </c>
      <c r="AC156" s="4045">
        <f ca="1">IF(ISNUMBER([3]TransferFinA!AC30),[3]TransferFinA!AC30/1000,"n.a.")</f>
        <v>112.063</v>
      </c>
      <c r="AD156" s="4045">
        <f ca="1">IF(ISNUMBER([3]TransferFinA!AD30),[3]TransferFinA!AD30/1000,"n.a.")</f>
        <v>120.86823783225314</v>
      </c>
      <c r="AE156" s="4045">
        <f ca="1">IF(ISNUMBER([3]TransferFinA!AE30),[3]TransferFinA!AE30/1000,"n.a.")</f>
        <v>132.01868052807183</v>
      </c>
    </row>
    <row r="157" spans="1:31" ht="14.4">
      <c r="A157" s="3997" t="s">
        <v>2662</v>
      </c>
      <c r="B157" s="3997" t="s">
        <v>2158</v>
      </c>
      <c r="C157" s="3997" t="s">
        <v>2166</v>
      </c>
      <c r="D157" s="4037" t="s">
        <v>2610</v>
      </c>
      <c r="E157" s="3997" t="s">
        <v>2168</v>
      </c>
      <c r="F157" s="4034" t="s">
        <v>2604</v>
      </c>
      <c r="G157" s="4034" t="s">
        <v>2611</v>
      </c>
      <c r="H157" s="4045" t="str">
        <f>IF(ISNUMBER([3]TransferFinA!H31),[3]TransferFinA!H31/1000,"n.a.")</f>
        <v>n.a.</v>
      </c>
      <c r="I157" s="4045" t="str">
        <f>IF(ISNUMBER([3]TransferFinA!I31),[3]TransferFinA!I31/1000,"n.a.")</f>
        <v>n.a.</v>
      </c>
      <c r="J157" s="4045">
        <f ca="1">IF(ISNUMBER([3]TransferFinA!J31),[3]TransferFinA!J31/1000,"n.a.")</f>
        <v>0</v>
      </c>
      <c r="K157" s="4045">
        <f ca="1">IF(ISNUMBER([3]TransferFinA!K31),[3]TransferFinA!K31/1000,"n.a.")</f>
        <v>0</v>
      </c>
      <c r="L157" s="4045">
        <f ca="1">IF(ISNUMBER([3]TransferFinA!L31),[3]TransferFinA!L31/1000,"n.a.")</f>
        <v>0</v>
      </c>
      <c r="M157" s="4045">
        <f ca="1">IF(ISNUMBER([3]TransferFinA!M31),[3]TransferFinA!M31/1000,"n.a.")</f>
        <v>0</v>
      </c>
      <c r="N157" s="4045">
        <f ca="1">IF(ISNUMBER([3]TransferFinA!N31),[3]TransferFinA!N31/1000,"n.a.")</f>
        <v>0</v>
      </c>
      <c r="O157" s="4045">
        <f ca="1">IF(ISNUMBER([3]TransferFinA!O31),[3]TransferFinA!O31/1000,"n.a.")</f>
        <v>30.658000000000001</v>
      </c>
      <c r="P157" s="4045">
        <f ca="1">IF(ISNUMBER([3]TransferFinA!P31),[3]TransferFinA!P31/1000,"n.a.")</f>
        <v>26.731000000000002</v>
      </c>
      <c r="Q157" s="4045">
        <f ca="1">IF(ISNUMBER([3]TransferFinA!Q31),[3]TransferFinA!Q31/1000,"n.a.")</f>
        <v>28.68</v>
      </c>
      <c r="R157" s="4045">
        <f ca="1">IF(ISNUMBER([3]TransferFinA!R31),[3]TransferFinA!R31/1000,"n.a.")</f>
        <v>50.524999999999999</v>
      </c>
      <c r="S157" s="4045">
        <f ca="1">IF(ISNUMBER([3]TransferFinA!S31),[3]TransferFinA!S31/1000,"n.a.")</f>
        <v>75.022000000000006</v>
      </c>
      <c r="T157" s="4045">
        <f ca="1">IF(ISNUMBER([3]TransferFinA!T31),[3]TransferFinA!T31/1000,"n.a.")</f>
        <v>110.217</v>
      </c>
      <c r="U157" s="4045">
        <f ca="1">IF(ISNUMBER([3]TransferFinA!U31),[3]TransferFinA!U31/1000,"n.a.")</f>
        <v>133.98400000000001</v>
      </c>
      <c r="V157" s="4045">
        <f ca="1">IF(ISNUMBER([3]TransferFinA!V31),[3]TransferFinA!V31/1000,"n.a.")</f>
        <v>131.90299999999999</v>
      </c>
      <c r="W157" s="4045">
        <f ca="1">IF(ISNUMBER([3]TransferFinA!W31),[3]TransferFinA!W31/1000,"n.a.")</f>
        <v>135.46600000000001</v>
      </c>
      <c r="X157" s="4045">
        <f ca="1">IF(ISNUMBER([3]TransferFinA!X31),[3]TransferFinA!X31/1000,"n.a.")</f>
        <v>137.99700000000001</v>
      </c>
      <c r="Y157" s="4045">
        <f ca="1">IF(ISNUMBER([3]TransferFinA!Y31),[3]TransferFinA!Y31/1000,"n.a.")</f>
        <v>134.042</v>
      </c>
      <c r="Z157" s="4045">
        <f ca="1">IF(ISNUMBER([3]TransferFinA!Z31),[3]TransferFinA!Z31/1000,"n.a.")</f>
        <v>133.13999999999999</v>
      </c>
      <c r="AA157" s="4045">
        <f ca="1">IF(ISNUMBER([3]TransferFinA!AA31),[3]TransferFinA!AA31/1000,"n.a.")</f>
        <v>127.15600000000001</v>
      </c>
      <c r="AB157" s="4045">
        <f ca="1">IF(ISNUMBER([3]TransferFinA!AB31),[3]TransferFinA!AB31/1000,"n.a.")</f>
        <v>129.22</v>
      </c>
      <c r="AC157" s="4045">
        <f ca="1">IF(ISNUMBER([3]TransferFinA!AC31),[3]TransferFinA!AC31/1000,"n.a.")</f>
        <v>133.041</v>
      </c>
      <c r="AD157" s="4045">
        <f ca="1">IF(ISNUMBER([3]TransferFinA!AD31),[3]TransferFinA!AD31/1000,"n.a.")</f>
        <v>137.44300000000001</v>
      </c>
      <c r="AE157" s="4045">
        <f ca="1">IF(ISNUMBER([3]TransferFinA!AE31),[3]TransferFinA!AE31/1000,"n.a.")</f>
        <v>141.845</v>
      </c>
    </row>
    <row r="158" spans="1:31" ht="14.4">
      <c r="A158" s="3997" t="s">
        <v>2662</v>
      </c>
      <c r="B158" s="3997" t="s">
        <v>2158</v>
      </c>
      <c r="C158" s="3997" t="s">
        <v>2166</v>
      </c>
      <c r="D158" s="4037" t="s">
        <v>2612</v>
      </c>
      <c r="E158" s="3997" t="s">
        <v>2168</v>
      </c>
      <c r="F158" s="4034" t="s">
        <v>2661</v>
      </c>
      <c r="G158" s="4034" t="s">
        <v>2613</v>
      </c>
      <c r="H158" s="4045" t="str">
        <f>IF(ISNUMBER([3]TransferFinA!H32),[3]TransferFinA!H32/1000,"n.a.")</f>
        <v>n.a.</v>
      </c>
      <c r="I158" s="4045" t="str">
        <f>IF(ISNUMBER([3]TransferFinA!I32),[3]TransferFinA!I32/1000,"n.a.")</f>
        <v>n.a.</v>
      </c>
      <c r="J158" s="4045" t="str">
        <f>IF(ISNUMBER([3]TransferFinA!J32),[3]TransferFinA!J32/1000,"n.a.")</f>
        <v>n.a.</v>
      </c>
      <c r="K158" s="4045">
        <f ca="1">IF(ISNUMBER([3]TransferFinA!K32),[3]TransferFinA!K32/1000,"n.a.")</f>
        <v>0</v>
      </c>
      <c r="L158" s="4045">
        <f ca="1">IF(ISNUMBER([3]TransferFinA!L32),[3]TransferFinA!L32/1000,"n.a.")</f>
        <v>0</v>
      </c>
      <c r="M158" s="4045">
        <f ca="1">IF(ISNUMBER([3]TransferFinA!M32),[3]TransferFinA!M32/1000,"n.a.")</f>
        <v>0</v>
      </c>
      <c r="N158" s="4045">
        <f ca="1">IF(ISNUMBER([3]TransferFinA!N32),[3]TransferFinA!N32/1000,"n.a.")</f>
        <v>0</v>
      </c>
      <c r="O158" s="4045">
        <f ca="1">IF(ISNUMBER([3]TransferFinA!O32),[3]TransferFinA!O32/1000,"n.a.")</f>
        <v>6.0279999999999996</v>
      </c>
      <c r="P158" s="4045">
        <f ca="1">IF(ISNUMBER([3]TransferFinA!P32),[3]TransferFinA!P32/1000,"n.a.")</f>
        <v>7.1420000000000003</v>
      </c>
      <c r="Q158" s="4045">
        <f ca="1">IF(ISNUMBER([3]TransferFinA!Q32),[3]TransferFinA!Q32/1000,"n.a.")</f>
        <v>14.131</v>
      </c>
      <c r="R158" s="4045">
        <f ca="1">IF(ISNUMBER([3]TransferFinA!R32),[3]TransferFinA!R32/1000,"n.a.")</f>
        <v>12.268000000000001</v>
      </c>
      <c r="S158" s="4045">
        <f ca="1">IF(ISNUMBER([3]TransferFinA!S32),[3]TransferFinA!S32/1000,"n.a.")</f>
        <v>7.7329999999999997</v>
      </c>
      <c r="T158" s="4045">
        <f ca="1">IF(ISNUMBER([3]TransferFinA!T32),[3]TransferFinA!T32/1000,"n.a.")</f>
        <v>-23.681000000000001</v>
      </c>
      <c r="U158" s="4045">
        <f ca="1">IF(ISNUMBER([3]TransferFinA!U32),[3]TransferFinA!U32/1000,"n.a.")</f>
        <v>-7.7359999999999998</v>
      </c>
      <c r="V158" s="4045">
        <f ca="1">IF(ISNUMBER([3]TransferFinA!V32),[3]TransferFinA!V32/1000,"n.a.")</f>
        <v>5.5</v>
      </c>
      <c r="W158" s="4045">
        <f ca="1">IF(ISNUMBER([3]TransferFinA!W32),[3]TransferFinA!W32/1000,"n.a.")</f>
        <v>-0.98399999999999999</v>
      </c>
      <c r="X158" s="4045">
        <f ca="1">IF(ISNUMBER([3]TransferFinA!X32),[3]TransferFinA!X32/1000,"n.a.")</f>
        <v>4.9580000000000002</v>
      </c>
      <c r="Y158" s="4045">
        <f ca="1">IF(ISNUMBER([3]TransferFinA!Y32),[3]TransferFinA!Y32/1000,"n.a.")</f>
        <v>9.2520000000000007</v>
      </c>
      <c r="Z158" s="4045">
        <f ca="1">IF(ISNUMBER([3]TransferFinA!Z32),[3]TransferFinA!Z32/1000,"n.a.")</f>
        <v>18.632000000000001</v>
      </c>
      <c r="AA158" s="4045">
        <f ca="1">IF(ISNUMBER([3]TransferFinA!AA32),[3]TransferFinA!AA32/1000,"n.a.")</f>
        <v>14.848000000000001</v>
      </c>
      <c r="AB158" s="4045">
        <f ca="1">IF(ISNUMBER([3]TransferFinA!AB32),[3]TransferFinA!AB32/1000,"n.a.")</f>
        <v>12.667999999999999</v>
      </c>
      <c r="AC158" s="4045">
        <f ca="1">IF(ISNUMBER([3]TransferFinA!AC32),[3]TransferFinA!AC32/1000,"n.a.")</f>
        <v>8.0299999999999994</v>
      </c>
      <c r="AD158" s="4045">
        <f ca="1">IF(ISNUMBER([3]TransferFinA!AD32),[3]TransferFinA!AD32/1000,"n.a.")</f>
        <v>8.48337297204219</v>
      </c>
      <c r="AE158" s="4045">
        <f ca="1">IF(ISNUMBER([3]TransferFinA!AE32),[3]TransferFinA!AE32/1000,"n.a.")</f>
        <v>8.9524139447553015</v>
      </c>
    </row>
    <row r="159" spans="1:31" ht="14.4">
      <c r="A159" s="3997" t="s">
        <v>2662</v>
      </c>
      <c r="B159" s="3997" t="s">
        <v>2158</v>
      </c>
      <c r="C159" s="3997" t="s">
        <v>2166</v>
      </c>
      <c r="D159" s="4037" t="s">
        <v>2614</v>
      </c>
      <c r="E159" s="3997" t="s">
        <v>2168</v>
      </c>
      <c r="F159" s="4034" t="s">
        <v>2661</v>
      </c>
      <c r="G159" s="4034" t="s">
        <v>2615</v>
      </c>
      <c r="H159" s="4045" t="str">
        <f>IF(ISNUMBER([3]TransferFinA!H33),[3]TransferFinA!H33/1000,"n.a.")</f>
        <v>n.a.</v>
      </c>
      <c r="I159" s="4045" t="str">
        <f>IF(ISNUMBER([3]TransferFinA!I33),[3]TransferFinA!I33/1000,"n.a.")</f>
        <v>n.a.</v>
      </c>
      <c r="J159" s="4045" t="str">
        <f>IF(ISNUMBER([3]TransferFinA!J33),[3]TransferFinA!J33/1000,"n.a.")</f>
        <v>n.a.</v>
      </c>
      <c r="K159" s="4045">
        <f ca="1">IF(ISNUMBER([3]TransferFinA!K33),[3]TransferFinA!K33/1000,"n.a.")</f>
        <v>0</v>
      </c>
      <c r="L159" s="4045">
        <f ca="1">IF(ISNUMBER([3]TransferFinA!L33),[3]TransferFinA!L33/1000,"n.a.")</f>
        <v>0</v>
      </c>
      <c r="M159" s="4045">
        <f ca="1">IF(ISNUMBER([3]TransferFinA!M33),[3]TransferFinA!M33/1000,"n.a.")</f>
        <v>0</v>
      </c>
      <c r="N159" s="4045">
        <f ca="1">IF(ISNUMBER([3]TransferFinA!N33),[3]TransferFinA!N33/1000,"n.a.")</f>
        <v>0</v>
      </c>
      <c r="O159" s="4045">
        <f ca="1">IF(ISNUMBER([3]TransferFinA!O33),[3]TransferFinA!O33/1000,"n.a.")</f>
        <v>-2.0169999999999999</v>
      </c>
      <c r="P159" s="4045">
        <f ca="1">IF(ISNUMBER([3]TransferFinA!P33),[3]TransferFinA!P33/1000,"n.a.")</f>
        <v>1.66</v>
      </c>
      <c r="Q159" s="4045">
        <f ca="1">IF(ISNUMBER([3]TransferFinA!Q33),[3]TransferFinA!Q33/1000,"n.a.")</f>
        <v>1.726</v>
      </c>
      <c r="R159" s="4045">
        <f ca="1">IF(ISNUMBER([3]TransferFinA!R33),[3]TransferFinA!R33/1000,"n.a.")</f>
        <v>5.21</v>
      </c>
      <c r="S159" s="4045">
        <f ca="1">IF(ISNUMBER([3]TransferFinA!S33),[3]TransferFinA!S33/1000,"n.a.")</f>
        <v>12.335000000000001</v>
      </c>
      <c r="T159" s="4045">
        <f ca="1">IF(ISNUMBER([3]TransferFinA!T33),[3]TransferFinA!T33/1000,"n.a.")</f>
        <v>8.6780000000000008</v>
      </c>
      <c r="U159" s="4045">
        <f ca="1">IF(ISNUMBER([3]TransferFinA!U33),[3]TransferFinA!U33/1000,"n.a.")</f>
        <v>-8.6980000000000004</v>
      </c>
      <c r="V159" s="4045">
        <f ca="1">IF(ISNUMBER([3]TransferFinA!V33),[3]TransferFinA!V33/1000,"n.a.")</f>
        <v>0.441</v>
      </c>
      <c r="W159" s="4045">
        <f ca="1">IF(ISNUMBER([3]TransferFinA!W33),[3]TransferFinA!W33/1000,"n.a.")</f>
        <v>2.9079999999999999</v>
      </c>
      <c r="X159" s="4045">
        <f ca="1">IF(ISNUMBER([3]TransferFinA!X33),[3]TransferFinA!X33/1000,"n.a.")</f>
        <v>-1.458</v>
      </c>
      <c r="Y159" s="4045">
        <f ca="1">IF(ISNUMBER([3]TransferFinA!Y33),[3]TransferFinA!Y33/1000,"n.a.")</f>
        <v>1.1910000000000001</v>
      </c>
      <c r="Z159" s="4045">
        <f ca="1">IF(ISNUMBER([3]TransferFinA!Z33),[3]TransferFinA!Z33/1000,"n.a.")</f>
        <v>-1.4590000000000001</v>
      </c>
      <c r="AA159" s="4045">
        <f ca="1">IF(ISNUMBER([3]TransferFinA!AA33),[3]TransferFinA!AA33/1000,"n.a.")</f>
        <v>3.2989999999999999</v>
      </c>
      <c r="AB159" s="4045">
        <f ca="1">IF(ISNUMBER([3]TransferFinA!AB33),[3]TransferFinA!AB33/1000,"n.a.")</f>
        <v>4.8899999999999997</v>
      </c>
      <c r="AC159" s="4045">
        <f ca="1">IF(ISNUMBER([3]TransferFinA!AC33),[3]TransferFinA!AC33/1000,"n.a.")</f>
        <v>6.085</v>
      </c>
      <c r="AD159" s="4045">
        <f ca="1">IF(ISNUMBER([3]TransferFinA!AD33),[3]TransferFinA!AD33/1000,"n.a.")</f>
        <v>8.8052378322531393</v>
      </c>
      <c r="AE159" s="4045">
        <f ca="1">IF(ISNUMBER([3]TransferFinA!AE33),[3]TransferFinA!AE33/1000,"n.a.")</f>
        <v>11.150442695818688</v>
      </c>
    </row>
    <row r="160" spans="1:31" ht="14.4">
      <c r="A160" s="3997" t="s">
        <v>2662</v>
      </c>
      <c r="B160" s="3997" t="s">
        <v>2158</v>
      </c>
      <c r="C160" s="3997" t="s">
        <v>2166</v>
      </c>
      <c r="D160" s="4037" t="s">
        <v>2616</v>
      </c>
      <c r="E160" s="3997" t="s">
        <v>2168</v>
      </c>
      <c r="F160" s="4034" t="s">
        <v>2661</v>
      </c>
      <c r="G160" s="4034" t="s">
        <v>2617</v>
      </c>
      <c r="H160" s="4045" t="str">
        <f>IF(ISNUMBER([3]TransferFinA!H34),[3]TransferFinA!H34/1000,"n.a.")</f>
        <v>n.a.</v>
      </c>
      <c r="I160" s="4045" t="str">
        <f>IF(ISNUMBER([3]TransferFinA!I34),[3]TransferFinA!I34/1000,"n.a.")</f>
        <v>n.a.</v>
      </c>
      <c r="J160" s="4045" t="str">
        <f>IF(ISNUMBER([3]TransferFinA!J34),[3]TransferFinA!J34/1000,"n.a.")</f>
        <v>n.a.</v>
      </c>
      <c r="K160" s="4045">
        <f ca="1">IF(ISNUMBER([3]TransferFinA!K34),[3]TransferFinA!K34/1000,"n.a.")</f>
        <v>0</v>
      </c>
      <c r="L160" s="4045">
        <f ca="1">IF(ISNUMBER([3]TransferFinA!L34),[3]TransferFinA!L34/1000,"n.a.")</f>
        <v>0</v>
      </c>
      <c r="M160" s="4045">
        <f ca="1">IF(ISNUMBER([3]TransferFinA!M34),[3]TransferFinA!M34/1000,"n.a.")</f>
        <v>0</v>
      </c>
      <c r="N160" s="4045">
        <f ca="1">IF(ISNUMBER([3]TransferFinA!N34),[3]TransferFinA!N34/1000,"n.a.")</f>
        <v>0</v>
      </c>
      <c r="O160" s="4045">
        <f ca="1">IF(ISNUMBER([3]TransferFinA!O34),[3]TransferFinA!O34/1000,"n.a.")</f>
        <v>2.6339999999999999</v>
      </c>
      <c r="P160" s="4045">
        <f ca="1">IF(ISNUMBER([3]TransferFinA!P34),[3]TransferFinA!P34/1000,"n.a.")</f>
        <v>-4.1150000000000002</v>
      </c>
      <c r="Q160" s="4045">
        <f ca="1">IF(ISNUMBER([3]TransferFinA!Q34),[3]TransferFinA!Q34/1000,"n.a.")</f>
        <v>0.41699999999999998</v>
      </c>
      <c r="R160" s="4045">
        <f ca="1">IF(ISNUMBER([3]TransferFinA!R34),[3]TransferFinA!R34/1000,"n.a.")</f>
        <v>21.728999999999999</v>
      </c>
      <c r="S160" s="4045">
        <f ca="1">IF(ISNUMBER([3]TransferFinA!S34),[3]TransferFinA!S34/1000,"n.a.")</f>
        <v>24.722000000000001</v>
      </c>
      <c r="T160" s="4045">
        <f ca="1">IF(ISNUMBER([3]TransferFinA!T34),[3]TransferFinA!T34/1000,"n.a.")</f>
        <v>37.091999999999999</v>
      </c>
      <c r="U160" s="4045">
        <f ca="1">IF(ISNUMBER([3]TransferFinA!U34),[3]TransferFinA!U34/1000,"n.a.")</f>
        <v>23.922999999999998</v>
      </c>
      <c r="V160" s="4045">
        <f ca="1">IF(ISNUMBER([3]TransferFinA!V34),[3]TransferFinA!V34/1000,"n.a.")</f>
        <v>-2.5760000000000001</v>
      </c>
      <c r="W160" s="4045">
        <f ca="1">IF(ISNUMBER([3]TransferFinA!W34),[3]TransferFinA!W34/1000,"n.a.")</f>
        <v>11.811</v>
      </c>
      <c r="X160" s="4045">
        <f ca="1">IF(ISNUMBER([3]TransferFinA!X34),[3]TransferFinA!X34/1000,"n.a.")</f>
        <v>2.343</v>
      </c>
      <c r="Y160" s="4045">
        <f ca="1">IF(ISNUMBER([3]TransferFinA!Y34),[3]TransferFinA!Y34/1000,"n.a.")</f>
        <v>-3.1429999999999998</v>
      </c>
      <c r="Z160" s="4045">
        <f ca="1">IF(ISNUMBER([3]TransferFinA!Z34),[3]TransferFinA!Z34/1000,"n.a.")</f>
        <v>1.476</v>
      </c>
      <c r="AA160" s="4045">
        <f ca="1">IF(ISNUMBER([3]TransferFinA!AA34),[3]TransferFinA!AA34/1000,"n.a.")</f>
        <v>-5.1890000000000001</v>
      </c>
      <c r="AB160" s="4045">
        <f ca="1">IF(ISNUMBER([3]TransferFinA!AB34),[3]TransferFinA!AB34/1000,"n.a.")</f>
        <v>2.2669999999999999</v>
      </c>
      <c r="AC160" s="4045">
        <f ca="1">IF(ISNUMBER([3]TransferFinA!AC34),[3]TransferFinA!AC34/1000,"n.a.")</f>
        <v>4.4020000000000001</v>
      </c>
      <c r="AD160" s="4045">
        <f ca="1">IF(ISNUMBER([3]TransferFinA!AD34),[3]TransferFinA!AD34/1000,"n.a.")</f>
        <v>4.4020000000000001</v>
      </c>
      <c r="AE160" s="4045">
        <f ca="1">IF(ISNUMBER([3]TransferFinA!AE34),[3]TransferFinA!AE34/1000,"n.a.")</f>
        <v>4.4020000000000001</v>
      </c>
    </row>
    <row r="164" spans="4:31">
      <c r="D164" s="4017" t="s">
        <v>2634</v>
      </c>
      <c r="E164" s="4018" t="s">
        <v>2168</v>
      </c>
      <c r="F164" s="4019"/>
      <c r="G164" s="4018" t="s">
        <v>2635</v>
      </c>
      <c r="H164" s="3768">
        <f>IF(Sector1!H873&lt;&gt;"",Sector1!H873,"n.a.")</f>
        <v>4.6982999999999926</v>
      </c>
      <c r="I164" s="3768">
        <f>IF(Sector1!I873&lt;&gt;"",Sector1!I873,"n.a.")</f>
        <v>5.6112000000000144</v>
      </c>
      <c r="J164" s="3768">
        <f>IF(Sector1!J873&lt;&gt;"",Sector1!J873,"n.a.")</f>
        <v>2.2989999999999995</v>
      </c>
      <c r="K164" s="3768">
        <f>IF(Sector1!K873&lt;&gt;"",Sector1!K873,"n.a.")</f>
        <v>2.2770999999999901</v>
      </c>
      <c r="L164" s="3768">
        <f>IF(Sector1!L873&lt;&gt;"",Sector1!L873,"n.a.")</f>
        <v>-0.33189999999999031</v>
      </c>
      <c r="M164" s="3768">
        <f>IF(Sector1!M873&lt;&gt;"",Sector1!M873,"n.a.")</f>
        <v>-4.0751999999999811</v>
      </c>
      <c r="N164" s="3768">
        <f>IF(Sector1!N873&lt;&gt;"",Sector1!N873,"n.a.")</f>
        <v>2.2708999999999833</v>
      </c>
      <c r="O164" s="3768">
        <f>IF(Sector1!O873&lt;&gt;"",Sector1!O873,"n.a.")</f>
        <v>8.0031999999999854</v>
      </c>
      <c r="P164" s="3768">
        <f>IF(Sector1!P873&lt;&gt;"",Sector1!P873,"n.a.")</f>
        <v>4.521499999999989</v>
      </c>
      <c r="Q164" s="3768">
        <f>IF(Sector1!Q873&lt;&gt;"",Sector1!Q873,"n.a.")</f>
        <v>11.83359999999999</v>
      </c>
      <c r="R164" s="3768">
        <f>IF(Sector1!R873&lt;&gt;"",Sector1!R873,"n.a.")</f>
        <v>3.6726999999999705</v>
      </c>
      <c r="S164" s="3768">
        <f>IF(Sector1!S873&lt;&gt;"",Sector1!S873,"n.a.")</f>
        <v>4.352499999999992</v>
      </c>
      <c r="T164" s="3768">
        <f>IF(Sector1!T873&lt;&gt;"",Sector1!T873,"n.a.")</f>
        <v>-3.0239000000000331</v>
      </c>
      <c r="U164" s="3768">
        <f>IF(Sector1!U873&lt;&gt;"",Sector1!U873,"n.a.")</f>
        <v>4.9727999999999994</v>
      </c>
      <c r="V164" s="3768">
        <f>IF(Sector1!V873&lt;&gt;"",Sector1!V873,"n.a.")</f>
        <v>18.195099999999982</v>
      </c>
      <c r="W164" s="3768">
        <f>IF(Sector1!W873&lt;&gt;"",Sector1!W873,"n.a.")</f>
        <v>8.3963999999999999</v>
      </c>
      <c r="X164" s="3768">
        <f>IF(Sector1!X873&lt;&gt;"",Sector1!X873,"n.a.")</f>
        <v>18.864799999999974</v>
      </c>
      <c r="Y164" s="3768">
        <f>IF(Sector1!Y873&lt;&gt;"",Sector1!Y873,"n.a.")</f>
        <v>11.289100000000019</v>
      </c>
      <c r="Z164" s="3768">
        <f>IF(Sector1!Z873&lt;&gt;"",Sector1!Z873,"n.a.")</f>
        <v>6.8164000000000016</v>
      </c>
      <c r="AA164" s="3768">
        <f>IF(Sector1!AA873&lt;&gt;"",Sector1!AA873,"n.a.")</f>
        <v>6.4679999999999751</v>
      </c>
      <c r="AB164" s="3768">
        <f>IF(Sector1!AB873&lt;&gt;"",Sector1!AB873,"n.a.")</f>
        <v>10.768699999999967</v>
      </c>
      <c r="AC164" s="3768">
        <f ca="1">IF(Sector1!AC873&lt;&gt;"",Sector1!AC873,"n.a.")</f>
        <v>6.9352859525528885</v>
      </c>
      <c r="AD164" s="3768">
        <f ca="1">IF(Sector1!AD873&lt;&gt;"",Sector1!AD873,"n.a.")</f>
        <v>8.3813771471202898</v>
      </c>
      <c r="AE164" s="3768">
        <f ca="1">IF(Sector1!AE873&lt;&gt;"",Sector1!AE873,"n.a.")</f>
        <v>8.994478754300971</v>
      </c>
    </row>
    <row r="165" spans="4:31">
      <c r="D165" s="4017" t="s">
        <v>2636</v>
      </c>
      <c r="E165" s="4018" t="s">
        <v>2168</v>
      </c>
      <c r="F165" s="4019"/>
      <c r="G165" s="4018" t="s">
        <v>2637</v>
      </c>
      <c r="H165" s="3768">
        <f>IF(Sector1!H872&lt;&gt;"",Sector1!H872,"n.a.")</f>
        <v>11.831200000000067</v>
      </c>
      <c r="I165" s="3768">
        <f>IF(Sector1!I872&lt;&gt;"",Sector1!I872,"n.a.")</f>
        <v>9.851900000000013</v>
      </c>
      <c r="J165" s="3768">
        <f>IF(Sector1!J872&lt;&gt;"",Sector1!J872,"n.a.")</f>
        <v>10.039800000000021</v>
      </c>
      <c r="K165" s="3768">
        <f>IF(Sector1!K872&lt;&gt;"",Sector1!K872,"n.a.")</f>
        <v>10.800000000000018</v>
      </c>
      <c r="L165" s="3768">
        <f>IF(Sector1!L872&lt;&gt;"",Sector1!L872,"n.a.")</f>
        <v>10.455200000000033</v>
      </c>
      <c r="M165" s="3768">
        <f>IF(Sector1!M872&lt;&gt;"",Sector1!M872,"n.a.")</f>
        <v>14.137100000000014</v>
      </c>
      <c r="N165" s="3768">
        <f>IF(Sector1!N872&lt;&gt;"",Sector1!N872,"n.a.")</f>
        <v>13.6837</v>
      </c>
      <c r="O165" s="3768">
        <f>IF(Sector1!O872&lt;&gt;"",Sector1!O872,"n.a.")</f>
        <v>12.773299999999997</v>
      </c>
      <c r="P165" s="3768">
        <f>IF(Sector1!P872&lt;&gt;"",Sector1!P872,"n.a.")</f>
        <v>9.3667000000000442</v>
      </c>
      <c r="Q165" s="3768">
        <f>IF(Sector1!Q872&lt;&gt;"",Sector1!Q872,"n.a.")</f>
        <v>7.0027000000000008</v>
      </c>
      <c r="R165" s="3768">
        <f>IF(Sector1!R872&lt;&gt;"",Sector1!R872,"n.a.")</f>
        <v>7.614499999999996</v>
      </c>
      <c r="S165" s="3768">
        <f>IF(Sector1!S872&lt;&gt;"",Sector1!S872,"n.a.")</f>
        <v>8.1683000000000234</v>
      </c>
      <c r="T165" s="3768">
        <f>IF(Sector1!T872&lt;&gt;"",Sector1!T872,"n.a.")</f>
        <v>10.419000000000025</v>
      </c>
      <c r="U165" s="3768">
        <f>IF(Sector1!U872&lt;&gt;"",Sector1!U872,"n.a.")</f>
        <v>16.344799999999964</v>
      </c>
      <c r="V165" s="3768">
        <f>IF(Sector1!V872&lt;&gt;"",Sector1!V872,"n.a.")</f>
        <v>9.6073000000000484</v>
      </c>
      <c r="W165" s="3768">
        <f>IF(Sector1!W872&lt;&gt;"",Sector1!W872,"n.a.")</f>
        <v>7.7493999999999694</v>
      </c>
      <c r="X165" s="3768">
        <f>IF(Sector1!X872&lt;&gt;"",Sector1!X872,"n.a.")</f>
        <v>6.0577999999999967</v>
      </c>
      <c r="Y165" s="3768">
        <f>IF(Sector1!Y872&lt;&gt;"",Sector1!Y872,"n.a.")</f>
        <v>5.3376999999999946</v>
      </c>
      <c r="Z165" s="3768">
        <f>IF(Sector1!Z872&lt;&gt;"",Sector1!Z872,"n.a.")</f>
        <v>3.4781000000000155</v>
      </c>
      <c r="AA165" s="3768">
        <f>IF(Sector1!AA872&lt;&gt;"",Sector1!AA872,"n.a.")</f>
        <v>2.0017999999999923</v>
      </c>
      <c r="AB165" s="3768">
        <f>IF(Sector1!AB872&lt;&gt;"",Sector1!AB872,"n.a.")</f>
        <v>0.640399999999957</v>
      </c>
      <c r="AC165" s="3768">
        <f ca="1">IF(Sector1!AC872&lt;&gt;"",Sector1!AC872,"n.a.")</f>
        <v>0.600573202480291</v>
      </c>
      <c r="AD165" s="3768">
        <f ca="1">IF(Sector1!AD872&lt;&gt;"",Sector1!AD872,"n.a.")</f>
        <v>-5.206025302800299E-2</v>
      </c>
      <c r="AE165" s="3768">
        <f ca="1">IF(Sector1!AE872&lt;&gt;"",Sector1!AE872,"n.a.")</f>
        <v>1.4736802867184551</v>
      </c>
    </row>
    <row r="166" spans="4:31">
      <c r="D166" s="4017" t="s">
        <v>2638</v>
      </c>
      <c r="E166" s="4018" t="s">
        <v>2168</v>
      </c>
      <c r="F166" s="4019"/>
      <c r="G166" s="4018" t="s">
        <v>2639</v>
      </c>
      <c r="H166" s="3768">
        <f>IF(Sector1!H874&lt;&gt;"",Sector1!H874,"n.a.")</f>
        <v>-8.4894000000000069</v>
      </c>
      <c r="I166" s="3768">
        <f>IF(Sector1!I874&lt;&gt;"",Sector1!I874,"n.a.")</f>
        <v>-4.8017000000000154</v>
      </c>
      <c r="J166" s="3768">
        <f>IF(Sector1!J874&lt;&gt;"",Sector1!J874,"n.a.")</f>
        <v>-2.2229000000000005</v>
      </c>
      <c r="K166" s="3768">
        <f>IF(Sector1!K874&lt;&gt;"",Sector1!K874,"n.a.")</f>
        <v>-1.3454000000000077</v>
      </c>
      <c r="L166" s="3768">
        <f>IF(Sector1!L874&lt;&gt;"",Sector1!L874,"n.a.")</f>
        <v>-0.18569999999999087</v>
      </c>
      <c r="M166" s="3768">
        <f>IF(Sector1!M874&lt;&gt;"",Sector1!M874,"n.a.")</f>
        <v>0.45690000000001518</v>
      </c>
      <c r="N166" s="3768">
        <f>IF(Sector1!N874&lt;&gt;"",Sector1!N874,"n.a.")</f>
        <v>0.12460000000001958</v>
      </c>
      <c r="O166" s="3768">
        <f>IF(Sector1!O874&lt;&gt;"",Sector1!O874,"n.a.")</f>
        <v>-4.9773000000000165</v>
      </c>
      <c r="P166" s="3768">
        <f>IF(Sector1!P874&lt;&gt;"",Sector1!P874,"n.a.")</f>
        <v>-0.46859999999999857</v>
      </c>
      <c r="Q166" s="3768">
        <f>IF(Sector1!Q874&lt;&gt;"",Sector1!Q874,"n.a.")</f>
        <v>-8.6006000000000213</v>
      </c>
      <c r="R166" s="3768">
        <f>IF(Sector1!R874&lt;&gt;"",Sector1!R874,"n.a.")</f>
        <v>0.71650000000001768</v>
      </c>
      <c r="S166" s="3768">
        <f>IF(Sector1!S874&lt;&gt;"",Sector1!S874,"n.a.")</f>
        <v>0.22570000000000956</v>
      </c>
      <c r="T166" s="3768">
        <f>IF(Sector1!T874&lt;&gt;"",Sector1!T874,"n.a.")</f>
        <v>-3.9062000000000103</v>
      </c>
      <c r="U166" s="3768">
        <f>IF(Sector1!U874&lt;&gt;"",Sector1!U874,"n.a.")</f>
        <v>-18.775100000000027</v>
      </c>
      <c r="V166" s="3768">
        <f>IF(Sector1!V874&lt;&gt;"",Sector1!V874,"n.a.")</f>
        <v>-14.609099999999977</v>
      </c>
      <c r="W166" s="3768">
        <f>IF(Sector1!W874&lt;&gt;"",Sector1!W874,"n.a.")</f>
        <v>-15.651799999999987</v>
      </c>
      <c r="X166" s="3768">
        <f>IF(Sector1!X874&lt;&gt;"",Sector1!X874,"n.a.")</f>
        <v>-16.409399999999998</v>
      </c>
      <c r="Y166" s="3768">
        <f>IF(Sector1!Y874&lt;&gt;"",Sector1!Y874,"n.a.")</f>
        <v>-12.310200000000004</v>
      </c>
      <c r="Z166" s="3768">
        <f>IF(Sector1!Z874&lt;&gt;"",Sector1!Z874,"n.a.")</f>
        <v>-12.324699999999979</v>
      </c>
      <c r="AA166" s="3768">
        <f>IF(Sector1!AA874&lt;&gt;"",Sector1!AA874,"n.a.")</f>
        <v>-10.179399999999992</v>
      </c>
      <c r="AB166" s="3768">
        <f>IF(Sector1!AB874&lt;&gt;"",Sector1!AB874,"n.a.")</f>
        <v>-10.492300000000027</v>
      </c>
      <c r="AC166" s="3768">
        <f>IF(Sector1!AC874&lt;&gt;"",Sector1!AC874,"n.a.")</f>
        <v>-4.5226000000000059</v>
      </c>
      <c r="AD166" s="3768">
        <f ca="1">IF(Sector1!AD874&lt;&gt;"",Sector1!AD874,"n.a.")</f>
        <v>-4.9425568757195668</v>
      </c>
      <c r="AE166" s="3768">
        <f ca="1">IF(Sector1!AE874&lt;&gt;"",Sector1!AE874,"n.a.")</f>
        <v>-6.281124823636886</v>
      </c>
    </row>
    <row r="167" spans="4:31">
      <c r="D167" s="4017" t="s">
        <v>2640</v>
      </c>
      <c r="E167" s="4018" t="s">
        <v>2168</v>
      </c>
      <c r="F167" s="4019"/>
      <c r="G167" s="4018" t="s">
        <v>2641</v>
      </c>
      <c r="H167" s="3768">
        <f>IF(Sector1!H765&lt;&gt;"",Sector1!H765,"n.a.")</f>
        <v>32.254899999999992</v>
      </c>
      <c r="I167" s="3768">
        <f>IF(Sector1!I765&lt;&gt;"",Sector1!I765,"n.a.")</f>
        <v>34.14980000000002</v>
      </c>
      <c r="J167" s="3768">
        <f>IF(Sector1!J765&lt;&gt;"",Sector1!J765,"n.a.")</f>
        <v>33.444899999999997</v>
      </c>
      <c r="K167" s="3768">
        <f>IF(Sector1!K765&lt;&gt;"",Sector1!K765,"n.a.")</f>
        <v>35.325399999999981</v>
      </c>
      <c r="L167" s="3768">
        <f>IF(Sector1!L765&lt;&gt;"",Sector1!L765,"n.a.")</f>
        <v>37.94830000000001</v>
      </c>
      <c r="M167" s="3768">
        <f>IF(Sector1!M765&lt;&gt;"",Sector1!M765,"n.a.")</f>
        <v>34.250800000000019</v>
      </c>
      <c r="N167" s="3768">
        <f>IF(Sector1!N765&lt;&gt;"",Sector1!N765,"n.a.")</f>
        <v>38.139199999999981</v>
      </c>
      <c r="O167" s="3768">
        <f>IF(Sector1!O765&lt;&gt;"",Sector1!O765,"n.a.")</f>
        <v>42.858499999999985</v>
      </c>
      <c r="P167" s="3768">
        <f>IF(Sector1!P765&lt;&gt;"",Sector1!P765,"n.a.")</f>
        <v>47.92049999999999</v>
      </c>
      <c r="Q167" s="3768">
        <f>IF(Sector1!Q765&lt;&gt;"",Sector1!Q765,"n.a.")</f>
        <v>50.093499999999992</v>
      </c>
      <c r="R167" s="3768">
        <f>IF(Sector1!R765&lt;&gt;"",Sector1!R765,"n.a.")</f>
        <v>51.733499999999971</v>
      </c>
      <c r="S167" s="3768">
        <f>IF(Sector1!S765&lt;&gt;"",Sector1!S765,"n.a.")</f>
        <v>56.570699999999995</v>
      </c>
      <c r="T167" s="3768">
        <f>IF(Sector1!T765&lt;&gt;"",Sector1!T765,"n.a.")</f>
        <v>54.465999999999966</v>
      </c>
      <c r="U167" s="3768">
        <f>IF(Sector1!U765&lt;&gt;"",Sector1!U765,"n.a.")</f>
        <v>47.259399999999999</v>
      </c>
      <c r="V167" s="3768">
        <f>IF(Sector1!V765&lt;&gt;"",Sector1!V765,"n.a.")</f>
        <v>66.667099999999976</v>
      </c>
      <c r="W167" s="3768">
        <f>IF(Sector1!W765&lt;&gt;"",Sector1!W765,"n.a.")</f>
        <v>62.676000000000002</v>
      </c>
      <c r="X167" s="3768">
        <f>IF(Sector1!X765&lt;&gt;"",Sector1!X765,"n.a.")</f>
        <v>66.572499999999962</v>
      </c>
      <c r="Y167" s="3768">
        <f>IF(Sector1!Y765&lt;&gt;"",Sector1!Y765,"n.a.")</f>
        <v>61.829100000000004</v>
      </c>
      <c r="Z167" s="3768">
        <f>IF(Sector1!Z765&lt;&gt;"",Sector1!Z765,"n.a.")</f>
        <v>62.994100000000017</v>
      </c>
      <c r="AA167" s="3768">
        <f>IF(Sector1!AA765&lt;&gt;"",Sector1!AA765,"n.a.")</f>
        <v>65.901299999999978</v>
      </c>
      <c r="AB167" s="3768">
        <f>IF(Sector1!AB765&lt;&gt;"",Sector1!AB765,"n.a.")</f>
        <v>74.84399999999998</v>
      </c>
      <c r="AC167" s="3768">
        <f>IF(Sector1!AC765&lt;&gt;"",Sector1!AC765,"n.a.")</f>
        <v>76.710231527284009</v>
      </c>
      <c r="AD167" s="3768">
        <f ca="1">IF(Sector1!AD765&lt;&gt;"",Sector1!AD765,"n.a.")</f>
        <v>81.741772883612057</v>
      </c>
      <c r="AE167" s="3768">
        <f ca="1">IF(Sector1!AE765&lt;&gt;"",Sector1!AE765,"n.a.")</f>
        <v>85.349870213628947</v>
      </c>
    </row>
    <row r="168" spans="4:31">
      <c r="D168" s="4017" t="s">
        <v>2642</v>
      </c>
      <c r="E168" s="4018" t="s">
        <v>2168</v>
      </c>
      <c r="F168" s="4019"/>
      <c r="G168" s="4018" t="s">
        <v>2643</v>
      </c>
      <c r="H168" s="3768">
        <f>IF(Sector1!H764&lt;&gt;"",Sector1!H764,"n.a.")</f>
        <v>24.992500000000064</v>
      </c>
      <c r="I168" s="3768">
        <f>IF(Sector1!I764&lt;&gt;"",Sector1!I764,"n.a.")</f>
        <v>24.532000000000011</v>
      </c>
      <c r="J168" s="3768">
        <f>IF(Sector1!J764&lt;&gt;"",Sector1!J764,"n.a.")</f>
        <v>24.448400000000021</v>
      </c>
      <c r="K168" s="3768">
        <f>IF(Sector1!K764&lt;&gt;"",Sector1!K764,"n.a.")</f>
        <v>25.655600000000021</v>
      </c>
      <c r="L168" s="3768">
        <f>IF(Sector1!L764&lt;&gt;"",Sector1!L764,"n.a.")</f>
        <v>25.650800000000032</v>
      </c>
      <c r="M168" s="3768">
        <f>IF(Sector1!M764&lt;&gt;"",Sector1!M764,"n.a.")</f>
        <v>29.259900000000016</v>
      </c>
      <c r="N168" s="3768">
        <f>IF(Sector1!N764&lt;&gt;"",Sector1!N764,"n.a.")</f>
        <v>28.3322</v>
      </c>
      <c r="O168" s="3768">
        <f>IF(Sector1!O764&lt;&gt;"",Sector1!O764,"n.a.")</f>
        <v>28.405799999999999</v>
      </c>
      <c r="P168" s="3768">
        <f>IF(Sector1!P764&lt;&gt;"",Sector1!P764,"n.a.")</f>
        <v>26.711900000000043</v>
      </c>
      <c r="Q168" s="3768">
        <f>IF(Sector1!Q764&lt;&gt;"",Sector1!Q764,"n.a.")</f>
        <v>27.315100000000001</v>
      </c>
      <c r="R168" s="3768">
        <f>IF(Sector1!R764&lt;&gt;"",Sector1!R764,"n.a.")</f>
        <v>30.096699999999998</v>
      </c>
      <c r="S168" s="3768">
        <f>IF(Sector1!S764&lt;&gt;"",Sector1!S764,"n.a.")</f>
        <v>32.260900000000021</v>
      </c>
      <c r="T168" s="3768">
        <f>IF(Sector1!T764&lt;&gt;"",Sector1!T764,"n.a.")</f>
        <v>35.65130000000002</v>
      </c>
      <c r="U168" s="3768">
        <f>IF(Sector1!U764&lt;&gt;"",Sector1!U764,"n.a.")</f>
        <v>39.04159999999996</v>
      </c>
      <c r="V168" s="3768">
        <f>IF(Sector1!V764&lt;&gt;"",Sector1!V764,"n.a.")</f>
        <v>33.126400000000046</v>
      </c>
      <c r="W168" s="3768">
        <f>IF(Sector1!W764&lt;&gt;"",Sector1!W764,"n.a.")</f>
        <v>30.656499999999966</v>
      </c>
      <c r="X168" s="3768">
        <f>IF(Sector1!X764&lt;&gt;"",Sector1!X764,"n.a.")</f>
        <v>29.8125</v>
      </c>
      <c r="Y168" s="3768">
        <f>IF(Sector1!Y764&lt;&gt;"",Sector1!Y764,"n.a.")</f>
        <v>29.22999999999999</v>
      </c>
      <c r="Z168" s="3768">
        <f>IF(Sector1!Z764&lt;&gt;"",Sector1!Z764,"n.a.")</f>
        <v>29.128200000000021</v>
      </c>
      <c r="AA168" s="3768">
        <f>IF(Sector1!AA764&lt;&gt;"",Sector1!AA764,"n.a.")</f>
        <v>28.248099999999994</v>
      </c>
      <c r="AB168" s="3768">
        <f>IF(Sector1!AB764&lt;&gt;"",Sector1!AB764,"n.a.")</f>
        <v>27.25049999999996</v>
      </c>
      <c r="AC168" s="3768">
        <f>IF(Sector1!AC764&lt;&gt;"",Sector1!AC764,"n.a.")</f>
        <v>27.79651462774919</v>
      </c>
      <c r="AD168" s="3768">
        <f ca="1">IF(Sector1!AD764&lt;&gt;"",Sector1!AD764,"n.a.")</f>
        <v>27.716997210620235</v>
      </c>
      <c r="AE168" s="3768">
        <f ca="1">IF(Sector1!AE764&lt;&gt;"",Sector1!AE764,"n.a.")</f>
        <v>29.881553850527951</v>
      </c>
    </row>
    <row r="169" spans="4:31">
      <c r="D169" s="4017" t="s">
        <v>2644</v>
      </c>
      <c r="E169" s="4018" t="s">
        <v>2168</v>
      </c>
      <c r="F169" s="4019"/>
      <c r="G169" s="4018" t="s">
        <v>2645</v>
      </c>
      <c r="H169" s="3768">
        <f>IF(Sector1!H766&lt;&gt;"",Sector1!H766,"n.a.")</f>
        <v>-2.2885000000000062</v>
      </c>
      <c r="I169" s="3768">
        <f>IF(Sector1!I766&lt;&gt;"",Sector1!I766,"n.a.")</f>
        <v>2.0189999999999841</v>
      </c>
      <c r="J169" s="3768">
        <f>IF(Sector1!J766&lt;&gt;"",Sector1!J766,"n.a.")</f>
        <v>4.9453999999999994</v>
      </c>
      <c r="K169" s="3768">
        <f>IF(Sector1!K766&lt;&gt;"",Sector1!K766,"n.a.")</f>
        <v>6.2289999999999921</v>
      </c>
      <c r="L169" s="3768">
        <f>IF(Sector1!L766&lt;&gt;"",Sector1!L766,"n.a.")</f>
        <v>8.0345000000000084</v>
      </c>
      <c r="M169" s="3768">
        <f>IF(Sector1!M766&lt;&gt;"",Sector1!M766,"n.a.")</f>
        <v>7.5118000000000151</v>
      </c>
      <c r="N169" s="3768">
        <f>IF(Sector1!N766&lt;&gt;"",Sector1!N766,"n.a.")</f>
        <v>6.8867000000000189</v>
      </c>
      <c r="O169" s="3768">
        <f>IF(Sector1!O766&lt;&gt;"",Sector1!O766,"n.a.")</f>
        <v>3.6214999999999833</v>
      </c>
      <c r="P169" s="3768">
        <f>IF(Sector1!P766&lt;&gt;"",Sector1!P766,"n.a.")</f>
        <v>6.0985000000000014</v>
      </c>
      <c r="Q169" s="3768">
        <f>IF(Sector1!Q766&lt;&gt;"",Sector1!Q766,"n.a.")</f>
        <v>6.6812999999999789</v>
      </c>
      <c r="R169" s="3768">
        <f>IF(Sector1!R766&lt;&gt;"",Sector1!R766,"n.a.")</f>
        <v>8.199600000000018</v>
      </c>
      <c r="S169" s="3768">
        <f>IF(Sector1!S766&lt;&gt;"",Sector1!S766,"n.a.")</f>
        <v>9.1698000000000093</v>
      </c>
      <c r="T169" s="3768">
        <f>IF(Sector1!T766&lt;&gt;"",Sector1!T766,"n.a.")</f>
        <v>5.7791999999999888</v>
      </c>
      <c r="U169" s="3768">
        <f>IF(Sector1!U766&lt;&gt;"",Sector1!U766,"n.a.")</f>
        <v>-7.7315000000000254</v>
      </c>
      <c r="V169" s="3768">
        <f>IF(Sector1!V766&lt;&gt;"",Sector1!V766,"n.a.")</f>
        <v>-3.442799999999977</v>
      </c>
      <c r="W169" s="3768">
        <f>IF(Sector1!W766&lt;&gt;"",Sector1!W766,"n.a.")</f>
        <v>-1.5149999999999864</v>
      </c>
      <c r="X169" s="3768">
        <f>IF(Sector1!X766&lt;&gt;"",Sector1!X766,"n.a.")</f>
        <v>-0.63819999999999766</v>
      </c>
      <c r="Y169" s="3768">
        <f>IF(Sector1!Y766&lt;&gt;"",Sector1!Y766,"n.a.")</f>
        <v>0.51399999999999579</v>
      </c>
      <c r="Z169" s="3768">
        <f>IF(Sector1!Z766&lt;&gt;"",Sector1!Z766,"n.a.")</f>
        <v>1.2200000000021305E-2</v>
      </c>
      <c r="AA169" s="3768">
        <f>IF(Sector1!AA766&lt;&gt;"",Sector1!AA766,"n.a.")</f>
        <v>0.66030000000000655</v>
      </c>
      <c r="AB169" s="3768">
        <f>IF(Sector1!AB766&lt;&gt;"",Sector1!AB766,"n.a.")</f>
        <v>-0.42590000000002703</v>
      </c>
      <c r="AC169" s="3768">
        <f>IF(Sector1!AC766&lt;&gt;"",Sector1!AC766,"n.a.")</f>
        <v>5.4364999999999952</v>
      </c>
      <c r="AD169" s="3768">
        <f ca="1">IF(Sector1!AD766&lt;&gt;"",Sector1!AD766,"n.a.")</f>
        <v>5.646497616136287</v>
      </c>
      <c r="AE169" s="3768">
        <f ca="1">IF(Sector1!AE766&lt;&gt;"",Sector1!AE766,"n.a.")</f>
        <v>4.833113946845927</v>
      </c>
    </row>
    <row r="170" spans="4:31">
      <c r="D170" s="4017" t="s">
        <v>2646</v>
      </c>
      <c r="E170" s="4018" t="s">
        <v>2168</v>
      </c>
      <c r="F170" s="4019"/>
      <c r="G170" s="4018" t="s">
        <v>2647</v>
      </c>
      <c r="H170" s="3768">
        <f>IF(Sector1!H644&lt;&gt;"",Sector1!H644,"n.a.")</f>
        <v>140.26940000000005</v>
      </c>
      <c r="I170" s="3768">
        <f>IF(Sector1!I644&lt;&gt;"",Sector1!I644,"n.a.")</f>
        <v>143.56049999999999</v>
      </c>
      <c r="J170" s="3768">
        <f>IF(Sector1!J644&lt;&gt;"",Sector1!J644,"n.a.")</f>
        <v>148.27020000000002</v>
      </c>
      <c r="K170" s="3768">
        <f>IF(Sector1!K644&lt;&gt;"",Sector1!K644,"n.a.")</f>
        <v>152.35679999999999</v>
      </c>
      <c r="L170" s="3768">
        <f>IF(Sector1!L644&lt;&gt;"",Sector1!L644,"n.a.")</f>
        <v>160.36210000000003</v>
      </c>
      <c r="M170" s="3768">
        <f>IF(Sector1!M644&lt;&gt;"",Sector1!M644,"n.a.")</f>
        <v>168.15260000000001</v>
      </c>
      <c r="N170" s="3768">
        <f>IF(Sector1!N644&lt;&gt;"",Sector1!N644,"n.a.")</f>
        <v>169.7302</v>
      </c>
      <c r="O170" s="3768">
        <f>IF(Sector1!O644&lt;&gt;"",Sector1!O644,"n.a.")</f>
        <v>172.62010000000001</v>
      </c>
      <c r="P170" s="3768">
        <f>IF(Sector1!P644&lt;&gt;"",Sector1!P644,"n.a.")</f>
        <v>176.65700000000004</v>
      </c>
      <c r="Q170" s="3768">
        <f>IF(Sector1!Q644&lt;&gt;"",Sector1!Q644,"n.a.")</f>
        <v>183.20820000000001</v>
      </c>
      <c r="R170" s="3768">
        <f>IF(Sector1!R644&lt;&gt;"",Sector1!R644,"n.a.")</f>
        <v>193.18559999999999</v>
      </c>
      <c r="S170" s="3768">
        <f>IF(Sector1!S644&lt;&gt;"",Sector1!S644,"n.a.")</f>
        <v>202.89520000000005</v>
      </c>
      <c r="T170" s="3768">
        <f>IF(Sector1!T644&lt;&gt;"",Sector1!T644,"n.a.")</f>
        <v>214.3554</v>
      </c>
      <c r="U170" s="3768">
        <f>IF(Sector1!U644&lt;&gt;"",Sector1!U644,"n.a.")</f>
        <v>217.91899999999998</v>
      </c>
      <c r="V170" s="3768">
        <f>IF(Sector1!V644&lt;&gt;"",Sector1!V644,"n.a.")</f>
        <v>219.43230000000003</v>
      </c>
      <c r="W170" s="3768">
        <f>IF(Sector1!W644&lt;&gt;"",Sector1!W644,"n.a.")</f>
        <v>223.8218</v>
      </c>
      <c r="X170" s="3768">
        <f>IF(Sector1!X644&lt;&gt;"",Sector1!X644,"n.a.")</f>
        <v>228.16290000000004</v>
      </c>
      <c r="Y170" s="3768">
        <f>IF(Sector1!Y644&lt;&gt;"",Sector1!Y644,"n.a.")</f>
        <v>230.79859999999996</v>
      </c>
      <c r="Z170" s="3768">
        <f>IF(Sector1!Z644&lt;&gt;"",Sector1!Z644,"n.a.")</f>
        <v>233.36100000000002</v>
      </c>
      <c r="AA170" s="3768">
        <f>IF(Sector1!AA644&lt;&gt;"",Sector1!AA644,"n.a.")</f>
        <v>235.38030000000001</v>
      </c>
      <c r="AB170" s="3768">
        <f>IF(Sector1!AB644&lt;&gt;"",Sector1!AB644,"n.a.")</f>
        <v>241.02379999999997</v>
      </c>
      <c r="AC170" s="3768">
        <f>IF(Sector1!AC644&lt;&gt;"",Sector1!AC644,"n.a.")</f>
        <v>247.57846462774921</v>
      </c>
      <c r="AD170" s="3768">
        <f>IF(Sector1!AD644&lt;&gt;"",Sector1!AD644,"n.a.")</f>
        <v>254.87558901212017</v>
      </c>
      <c r="AE170" s="3768">
        <f>IF(Sector1!AE644&lt;&gt;"",Sector1!AE644,"n.a.")</f>
        <v>263.98396981630998</v>
      </c>
    </row>
    <row r="171" spans="4:31">
      <c r="D171" s="4017" t="s">
        <v>2218</v>
      </c>
      <c r="E171" s="4018" t="s">
        <v>2168</v>
      </c>
      <c r="F171" s="4019"/>
      <c r="G171" s="4018" t="s">
        <v>2648</v>
      </c>
      <c r="H171" s="3768">
        <f>IF(Sector1!H198&lt;&gt;"",Sector1!H198,"n.a.")</f>
        <v>32.923400000000001</v>
      </c>
      <c r="I171" s="3768">
        <f>IF(Sector1!I198&lt;&gt;"",Sector1!I198,"n.a.")</f>
        <v>34.245799999999996</v>
      </c>
      <c r="J171" s="3768">
        <f>IF(Sector1!J198&lt;&gt;"",Sector1!J198,"n.a.")</f>
        <v>35.330199999999991</v>
      </c>
      <c r="K171" s="3768">
        <f>IF(Sector1!K198&lt;&gt;"",Sector1!K198,"n.a.")</f>
        <v>36.043500000000009</v>
      </c>
      <c r="L171" s="3768">
        <f>IF(Sector1!L198&lt;&gt;"",Sector1!L198,"n.a.")</f>
        <v>37.926000000000002</v>
      </c>
      <c r="M171" s="3768">
        <f>IF(Sector1!M198&lt;&gt;"",Sector1!M198,"n.a.")</f>
        <v>38.894799999999996</v>
      </c>
      <c r="N171" s="3768">
        <f>IF(Sector1!N198&lt;&gt;"",Sector1!N198,"n.a.")</f>
        <v>38.306799999999996</v>
      </c>
      <c r="O171" s="3768">
        <f>IF(Sector1!O198&lt;&gt;"",Sector1!O198,"n.a.")</f>
        <v>38.942299999999996</v>
      </c>
      <c r="P171" s="3768">
        <f>IF(Sector1!P198&lt;&gt;"",Sector1!P198,"n.a.")</f>
        <v>39.564999999999998</v>
      </c>
      <c r="Q171" s="3768">
        <f>IF(Sector1!Q198&lt;&gt;"",Sector1!Q198,"n.a.")</f>
        <v>41.386400000000002</v>
      </c>
      <c r="R171" s="3768">
        <f>IF(Sector1!R198&lt;&gt;"",Sector1!R198,"n.a.")</f>
        <v>43.739100000000001</v>
      </c>
      <c r="S171" s="3768">
        <f>IF(Sector1!S198&lt;&gt;"",Sector1!S198,"n.a.")</f>
        <v>45.7</v>
      </c>
      <c r="T171" s="3768">
        <f>IF(Sector1!T198&lt;&gt;"",Sector1!T198,"n.a.")</f>
        <v>46.819700000000005</v>
      </c>
      <c r="U171" s="3768">
        <f>IF(Sector1!U198&lt;&gt;"",Sector1!U198,"n.a.")</f>
        <v>45.276699999999991</v>
      </c>
      <c r="V171" s="3768">
        <f>IF(Sector1!V198&lt;&gt;"",Sector1!V198,"n.a.")</f>
        <v>45.916699999999999</v>
      </c>
      <c r="W171" s="3768">
        <f>IF(Sector1!W198&lt;&gt;"",Sector1!W198,"n.a.")</f>
        <v>46.823</v>
      </c>
      <c r="X171" s="3768">
        <f>IF(Sector1!X198&lt;&gt;"",Sector1!X198,"n.a.")</f>
        <v>47.414400000000001</v>
      </c>
      <c r="Y171" s="3768">
        <f>IF(Sector1!Y198&lt;&gt;"",Sector1!Y198,"n.a.")</f>
        <v>47.344499999999996</v>
      </c>
      <c r="Z171" s="3768">
        <f>IF(Sector1!Z198&lt;&gt;"",Sector1!Z198,"n.a.")</f>
        <v>48.919699999999999</v>
      </c>
      <c r="AA171" s="3768">
        <f>IF(Sector1!AA198&lt;&gt;"",Sector1!AA198,"n.a.")</f>
        <v>49.655200000000008</v>
      </c>
      <c r="AB171" s="3768">
        <f>IF(Sector1!AB198&lt;&gt;"",Sector1!AB198,"n.a.")</f>
        <v>50.114100000000008</v>
      </c>
      <c r="AC171" s="3768">
        <f>IF(Sector1!AC198&lt;&gt;"",Sector1!AC198,"n.a.")</f>
        <v>51.116382000000009</v>
      </c>
      <c r="AD171" s="3768">
        <f>IF(Sector1!AD198&lt;&gt;"",Sector1!AD198,"n.a.")</f>
        <v>52.138709640000009</v>
      </c>
      <c r="AE171" s="3768">
        <f>IF(Sector1!AE198&lt;&gt;"",Sector1!AE198,"n.a.")</f>
        <v>53.181483832800012</v>
      </c>
    </row>
    <row r="172" spans="4:31">
      <c r="D172" s="4017" t="s">
        <v>2649</v>
      </c>
      <c r="E172" s="4018" t="s">
        <v>2168</v>
      </c>
      <c r="F172" s="4019"/>
      <c r="G172" s="4018" t="s">
        <v>1385</v>
      </c>
      <c r="H172" s="3768">
        <f>IF(Sector1!H205&lt;&gt;"",Sector1!H205,"n.a.")</f>
        <v>84.211799999999997</v>
      </c>
      <c r="I172" s="3768">
        <f>IF(Sector1!I205&lt;&gt;"",Sector1!I205,"n.a.")</f>
        <v>87.818799999999996</v>
      </c>
      <c r="J172" s="3768">
        <f>IF(Sector1!J205&lt;&gt;"",Sector1!J205,"n.a.")</f>
        <v>91.509299999999996</v>
      </c>
      <c r="K172" s="3768">
        <f>IF(Sector1!K205&lt;&gt;"",Sector1!K205,"n.a.")</f>
        <v>93.356700000000004</v>
      </c>
      <c r="L172" s="3768">
        <f>IF(Sector1!L205&lt;&gt;"",Sector1!L205,"n.a.")</f>
        <v>100.17100000000001</v>
      </c>
      <c r="M172" s="3768">
        <f>IF(Sector1!M205&lt;&gt;"",Sector1!M205,"n.a.")</f>
        <v>101.06569999999999</v>
      </c>
      <c r="N172" s="3768">
        <f>IF(Sector1!N205&lt;&gt;"",Sector1!N205,"n.a.")</f>
        <v>103.8967</v>
      </c>
      <c r="O172" s="3768">
        <f>IF(Sector1!O205&lt;&gt;"",Sector1!O205,"n.a.")</f>
        <v>108.32539999999999</v>
      </c>
      <c r="P172" s="3768">
        <f>IF(Sector1!P205&lt;&gt;"",Sector1!P205,"n.a.")</f>
        <v>117.67610000000001</v>
      </c>
      <c r="Q172" s="3768">
        <f>IF(Sector1!Q205&lt;&gt;"",Sector1!Q205,"n.a.")</f>
        <v>125.02810000000001</v>
      </c>
      <c r="R172" s="3768">
        <f>IF(Sector1!R205&lt;&gt;"",Sector1!R205,"n.a.")</f>
        <v>132.07339999999999</v>
      </c>
      <c r="S172" s="3768">
        <f>IF(Sector1!S205&lt;&gt;"",Sector1!S205,"n.a.")</f>
        <v>140.5659</v>
      </c>
      <c r="T172" s="3768">
        <f>IF(Sector1!T205&lt;&gt;"",Sector1!T205,"n.a.")</f>
        <v>140.7978</v>
      </c>
      <c r="U172" s="3768">
        <f>IF(Sector1!U205&lt;&gt;"",Sector1!U205,"n.a.")</f>
        <v>135.74970000000002</v>
      </c>
      <c r="V172" s="3768">
        <f>IF(Sector1!V205&lt;&gt;"",Sector1!V205,"n.a.")</f>
        <v>147.00800000000001</v>
      </c>
      <c r="W172" s="3768">
        <f>IF(Sector1!W205&lt;&gt;"",Sector1!W205,"n.a.")</f>
        <v>151.95320000000001</v>
      </c>
      <c r="X172" s="3768">
        <f>IF(Sector1!X205&lt;&gt;"",Sector1!X205,"n.a.")</f>
        <v>151.20140000000001</v>
      </c>
      <c r="Y172" s="3768">
        <f>IF(Sector1!Y205&lt;&gt;"",Sector1!Y205,"n.a.")</f>
        <v>151.88679999999999</v>
      </c>
      <c r="Z172" s="3768">
        <f>IF(Sector1!Z205&lt;&gt;"",Sector1!Z205,"n.a.")</f>
        <v>156.5239</v>
      </c>
      <c r="AA172" s="3768">
        <f>IF(Sector1!AA205&lt;&gt;"",Sector1!AA205,"n.a.")</f>
        <v>164.21260000000001</v>
      </c>
      <c r="AB172" s="3768">
        <f>IF(Sector1!AB205&lt;&gt;"",Sector1!AB205,"n.a.")</f>
        <v>171.25920000000002</v>
      </c>
      <c r="AC172" s="3768">
        <f>IF(Sector1!AC205&lt;&gt;"",Sector1!AC205,"n.a.")</f>
        <v>178.21970000000002</v>
      </c>
      <c r="AD172" s="3768">
        <f ca="1">IF(Sector1!AD205&lt;&gt;"",Sector1!AD205,"n.a.")</f>
        <v>184.36695878619008</v>
      </c>
      <c r="AE172" s="3768">
        <f ca="1">IF(Sector1!AE205&lt;&gt;"",Sector1!AE205,"n.a.")</f>
        <v>191.18887763725527</v>
      </c>
    </row>
    <row r="173" spans="4:31">
      <c r="D173" s="4017" t="s">
        <v>2650</v>
      </c>
      <c r="E173" s="4018" t="s">
        <v>2168</v>
      </c>
      <c r="F173" s="4019"/>
      <c r="G173" s="4018" t="s">
        <v>2651</v>
      </c>
      <c r="H173" s="3768">
        <f>IF(Sector1!H875&lt;&gt;"",Sector1!H875,"n.a.")</f>
        <v>-8.0399999999999991</v>
      </c>
      <c r="I173" s="3768">
        <f>IF(Sector1!I875&lt;&gt;"",Sector1!I875,"n.a.")</f>
        <v>-10.6614</v>
      </c>
      <c r="J173" s="3768">
        <f>IF(Sector1!J875&lt;&gt;"",Sector1!J875,"n.a.")</f>
        <v>-10.1158</v>
      </c>
      <c r="K173" s="3768">
        <f>IF(Sector1!K875&lt;&gt;"",Sector1!K875,"n.a.")</f>
        <v>-11.7317</v>
      </c>
      <c r="L173" s="3768">
        <f>IF(Sector1!L875&lt;&gt;"",Sector1!L875,"n.a.")</f>
        <v>-9.9375999999999998</v>
      </c>
      <c r="M173" s="3768">
        <f>IF(Sector1!M875&lt;&gt;"",Sector1!M875,"n.a.")</f>
        <v>-10.518700000000001</v>
      </c>
      <c r="N173" s="3768">
        <f>IF(Sector1!N875&lt;&gt;"",Sector1!N875,"n.a.")</f>
        <v>-16.0792</v>
      </c>
      <c r="O173" s="3768">
        <f>IF(Sector1!O875&lt;&gt;"",Sector1!O875,"n.a.")</f>
        <v>-15.799200000000001</v>
      </c>
      <c r="P173" s="3768">
        <f>IF(Sector1!P875&lt;&gt;"",Sector1!P875,"n.a.")</f>
        <v>-13.415799999999999</v>
      </c>
      <c r="Q173" s="3768">
        <f>IF(Sector1!Q875&lt;&gt;"",Sector1!Q875,"n.a.")</f>
        <v>-10.246700000000001</v>
      </c>
      <c r="R173" s="3768">
        <f>IF(Sector1!R875&lt;&gt;"",Sector1!R875,"n.a.")</f>
        <v>-12.015700000000001</v>
      </c>
      <c r="S173" s="3768">
        <f>IF(Sector1!S875&lt;&gt;"",Sector1!S875,"n.a.")</f>
        <v>-12.758299999999998</v>
      </c>
      <c r="T173" s="3768">
        <f>IF(Sector1!T875&lt;&gt;"",Sector1!T875,"n.a.")</f>
        <v>-3.5005000000000002</v>
      </c>
      <c r="U173" s="3768">
        <f>IF(Sector1!U875&lt;&gt;"",Sector1!U875,"n.a.")</f>
        <v>-2.5541</v>
      </c>
      <c r="V173" s="3768">
        <f>IF(Sector1!V875&lt;&gt;"",Sector1!V875,"n.a.")</f>
        <v>-13.2081</v>
      </c>
      <c r="W173" s="3768">
        <f>IF(Sector1!W875&lt;&gt;"",Sector1!W875,"n.a.")</f>
        <v>-0.50490000000000002</v>
      </c>
      <c r="X173" s="3768">
        <f>IF(Sector1!X875&lt;&gt;"",Sector1!X875,"n.a.")</f>
        <v>-8.5449000000000002</v>
      </c>
      <c r="Y173" s="3768">
        <f>IF(Sector1!Y875&lt;&gt;"",Sector1!Y875,"n.a.")</f>
        <v>-4.3166000000000002</v>
      </c>
      <c r="Z173" s="3768">
        <f>IF(Sector1!Z875&lt;&gt;"",Sector1!Z875,"n.a.")</f>
        <v>1.9396</v>
      </c>
      <c r="AA173" s="3768">
        <f>IF(Sector1!AA875&lt;&gt;"",Sector1!AA875,"n.a.")</f>
        <v>1.6818</v>
      </c>
      <c r="AB173" s="3768">
        <f>IF(Sector1!AB875&lt;&gt;"",Sector1!AB875,"n.a.")</f>
        <v>-0.877</v>
      </c>
      <c r="AC173" s="3768">
        <f ca="1">IF(Sector1!AC875&lt;&gt;"",Sector1!AC875,"n.a.")</f>
        <v>-3.0132591550331735</v>
      </c>
      <c r="AD173" s="3768">
        <f ca="1">IF(Sector1!AD875&lt;&gt;"",Sector1!AD875,"n.a.")</f>
        <v>-3.38676001837272</v>
      </c>
      <c r="AE173" s="3768">
        <f ca="1">IF(Sector1!AE875&lt;&gt;"",Sector1!AE875,"n.a.")</f>
        <v>-4.1870342173825401</v>
      </c>
    </row>
  </sheetData>
  <protectedRanges>
    <protectedRange sqref="J5:J6" name="Range1"/>
  </protectedRanges>
  <dataValidations count="3">
    <dataValidation type="list" errorStyle="warning" allowBlank="1" showInputMessage="1" showErrorMessage="1" error="The value you have entered is not foreseen in the list." sqref="F7">
      <formula1>$H$2:$AK$2</formula1>
    </dataValidation>
    <dataValidation type="list" errorStyle="warning" allowBlank="1" showInputMessage="1" showErrorMessage="1" error="The value you have entered is not foreseen in the list." sqref="C138:C160">
      <formula1>$C$2:$C$9</formula1>
    </dataValidation>
    <dataValidation type="list" errorStyle="warning" allowBlank="1" showInputMessage="1" showErrorMessage="1" error="The value you have entered is not foreseen in the list." sqref="E138:E160">
      <formula1>$E$2:$E$9</formula1>
    </dataValidation>
  </dataValidations>
  <pageMargins left="0.31" right="0.25" top="0.59055118110236227" bottom="0.55000000000000004" header="0.51181102362204722" footer="0.31"/>
  <pageSetup paperSize="9" scale="37" fitToHeight="9" orientation="landscape" horizontalDpi="1200" verticalDpi="1200" r:id="rId1"/>
  <headerFooter alignWithMargins="0">
    <oddFooter>&amp;L&amp;F  &amp;A&amp;CPage &amp;P</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5" tint="0.39997558519241921"/>
    <pageSetUpPr autoPageBreaks="0" fitToPage="1"/>
  </sheetPr>
  <dimension ref="A2:CY28"/>
  <sheetViews>
    <sheetView showGridLines="0" zoomScale="70" zoomScaleNormal="70" workbookViewId="0">
      <selection activeCell="H12" sqref="H12"/>
    </sheetView>
  </sheetViews>
  <sheetFormatPr defaultColWidth="9.109375" defaultRowHeight="13.2"/>
  <cols>
    <col min="1" max="1" width="42.109375" style="3417" bestFit="1" customWidth="1"/>
    <col min="2" max="3" width="9.109375" style="3417"/>
    <col min="4" max="4" width="14.88671875" style="3417" customWidth="1"/>
    <col min="5" max="6" width="10" style="3417" customWidth="1"/>
    <col min="7" max="7" width="50.88671875" style="3417" customWidth="1"/>
    <col min="8" max="9" width="10" style="3417" customWidth="1"/>
    <col min="10" max="10" width="10.109375" style="3417" customWidth="1"/>
    <col min="11" max="13" width="10.109375" style="3420" customWidth="1"/>
    <col min="14" max="17" width="8.44140625" style="3417" customWidth="1"/>
    <col min="18" max="80" width="9.109375" style="3417"/>
    <col min="81" max="81" width="9.109375" style="3397"/>
    <col min="82" max="84" width="9.109375" style="3417"/>
    <col min="85" max="85" width="9.109375" style="3397"/>
    <col min="86" max="88" width="9.109375" style="3417"/>
    <col min="89" max="89" width="9.109375" style="3397"/>
    <col min="90" max="92" width="9.109375" style="3417"/>
    <col min="93" max="93" width="9.109375" style="3397"/>
    <col min="94" max="16384" width="9.109375" style="3417"/>
  </cols>
  <sheetData>
    <row r="2" spans="1:103" s="3397" customFormat="1" ht="15.75" customHeight="1">
      <c r="K2" s="3398"/>
      <c r="L2" s="3398"/>
      <c r="M2" s="3398"/>
    </row>
    <row r="3" spans="1:103" s="3397" customFormat="1" ht="15.6">
      <c r="D3" s="3399" t="s">
        <v>2093</v>
      </c>
      <c r="K3" s="3398"/>
      <c r="L3" s="3398"/>
      <c r="M3" s="3398"/>
    </row>
    <row r="4" spans="1:103" s="3400" customFormat="1" ht="15.6">
      <c r="D4" s="3401" t="s">
        <v>1226</v>
      </c>
      <c r="E4" s="3402" t="s">
        <v>2108</v>
      </c>
      <c r="F4" s="3403"/>
      <c r="G4" s="3404"/>
      <c r="H4" s="3403"/>
      <c r="I4" s="3403"/>
      <c r="J4" s="3405"/>
      <c r="K4" s="3406"/>
      <c r="L4" s="3406"/>
      <c r="M4" s="3406"/>
    </row>
    <row r="5" spans="1:103" s="3400" customFormat="1" ht="15.6">
      <c r="D5" s="3401" t="s">
        <v>732</v>
      </c>
      <c r="E5" s="3407" t="s">
        <v>2109</v>
      </c>
      <c r="F5" s="3408"/>
      <c r="G5" s="3409" t="str">
        <f>'Transfer FDMS+ A'!J5</f>
        <v>Belgium</v>
      </c>
      <c r="H5" s="3403"/>
      <c r="I5" s="3403"/>
      <c r="J5" s="3405"/>
      <c r="K5" s="3406"/>
      <c r="L5" s="3406"/>
      <c r="M5" s="3406"/>
    </row>
    <row r="6" spans="1:103" s="3400" customFormat="1" ht="15.6">
      <c r="D6" s="3401" t="s">
        <v>733</v>
      </c>
      <c r="E6" s="3410" t="s">
        <v>2081</v>
      </c>
      <c r="F6" s="3411"/>
      <c r="G6" s="3412" t="str">
        <f>'Transfer FDMS+ A'!J6</f>
        <v>BEL</v>
      </c>
      <c r="H6" s="3403"/>
      <c r="I6" s="3403"/>
      <c r="J6" s="3405"/>
      <c r="K6" s="3406"/>
      <c r="L6" s="3406"/>
      <c r="M6" s="3406"/>
    </row>
    <row r="7" spans="1:103" s="3397" customFormat="1">
      <c r="F7" s="3397" t="s">
        <v>2157</v>
      </c>
      <c r="G7" s="3397" t="str">
        <f>'Transfer FDMS+ A'!J7</f>
        <v>BE</v>
      </c>
      <c r="K7" s="3398"/>
      <c r="L7" s="3398"/>
      <c r="M7" s="3398"/>
      <c r="N7" s="3398"/>
      <c r="O7" s="3398"/>
      <c r="P7" s="3398"/>
      <c r="Q7" s="3398"/>
    </row>
    <row r="8" spans="1:103" s="3397" customFormat="1">
      <c r="I8" s="3413"/>
      <c r="K8" s="3398"/>
      <c r="L8" s="3398"/>
      <c r="M8" s="3398"/>
      <c r="N8" s="3398"/>
      <c r="O8" s="3398"/>
      <c r="P8" s="3398"/>
      <c r="Q8" s="3398"/>
    </row>
    <row r="9" spans="1:103" s="3414" customFormat="1">
      <c r="D9" s="3415"/>
      <c r="E9" s="3416">
        <v>1</v>
      </c>
      <c r="F9" s="3416">
        <f t="shared" ref="F9:Q9" si="0">E9+1</f>
        <v>2</v>
      </c>
      <c r="G9" s="3416">
        <f t="shared" si="0"/>
        <v>3</v>
      </c>
      <c r="H9" s="3416">
        <f t="shared" si="0"/>
        <v>4</v>
      </c>
      <c r="I9" s="3416">
        <f t="shared" si="0"/>
        <v>5</v>
      </c>
      <c r="J9" s="3416">
        <f t="shared" si="0"/>
        <v>6</v>
      </c>
      <c r="K9" s="3416">
        <f t="shared" si="0"/>
        <v>7</v>
      </c>
      <c r="L9" s="3416">
        <f t="shared" si="0"/>
        <v>8</v>
      </c>
      <c r="M9" s="3416">
        <f t="shared" si="0"/>
        <v>9</v>
      </c>
      <c r="N9" s="3416">
        <f t="shared" si="0"/>
        <v>10</v>
      </c>
      <c r="O9" s="3416">
        <f t="shared" si="0"/>
        <v>11</v>
      </c>
      <c r="P9" s="3416">
        <f t="shared" si="0"/>
        <v>12</v>
      </c>
      <c r="Q9" s="3416">
        <f t="shared" si="0"/>
        <v>13</v>
      </c>
    </row>
    <row r="10" spans="1:103">
      <c r="D10" s="3421" t="s">
        <v>2159</v>
      </c>
      <c r="E10" s="3418" t="s">
        <v>2160</v>
      </c>
      <c r="F10" s="3419"/>
      <c r="I10" s="3418" t="str">
        <f>Last_forecast_year-2 &amp; "Q1"</f>
        <v>2017Q1</v>
      </c>
      <c r="J10" s="3418" t="str">
        <f>Last_forecast_year-2 &amp; "Q2"</f>
        <v>2017Q2</v>
      </c>
      <c r="K10" s="3418" t="str">
        <f>Last_forecast_year-2 &amp; "Q3"</f>
        <v>2017Q3</v>
      </c>
      <c r="L10" s="3418" t="str">
        <f>Last_forecast_year-2 &amp; "Q4"</f>
        <v>2017Q4</v>
      </c>
      <c r="M10" s="3418" t="str">
        <f>Last_forecast_year-1 &amp; "Q1"</f>
        <v>2018Q1</v>
      </c>
      <c r="N10" s="3418" t="str">
        <f>Last_forecast_year-1 &amp; "Q2"</f>
        <v>2018Q2</v>
      </c>
      <c r="O10" s="3418" t="str">
        <f>Last_forecast_year-1 &amp; "Q3"</f>
        <v>2018Q3</v>
      </c>
      <c r="P10" s="3418" t="str">
        <f>Last_forecast_year-1 &amp; "Q4"</f>
        <v>2018Q4</v>
      </c>
      <c r="Q10" s="3418" t="str">
        <f>Last_forecast_year &amp; "Q1"</f>
        <v>2019Q1</v>
      </c>
      <c r="R10" s="3418" t="str">
        <f>Last_forecast_year &amp; "Q2"</f>
        <v>2019Q2</v>
      </c>
      <c r="S10" s="3418" t="str">
        <f>Last_forecast_year &amp; "Q3"</f>
        <v>2019Q3</v>
      </c>
      <c r="T10" s="3418" t="str">
        <f>Last_forecast_year &amp; "Q4"</f>
        <v>2019Q4</v>
      </c>
      <c r="CC10" s="3417"/>
      <c r="CG10" s="3417"/>
      <c r="CK10" s="3417"/>
      <c r="CO10" s="3417"/>
    </row>
    <row r="11" spans="1:103">
      <c r="A11" s="3768" t="s">
        <v>2162</v>
      </c>
      <c r="B11" s="3768" t="s">
        <v>2163</v>
      </c>
      <c r="C11" s="3768" t="s">
        <v>2164</v>
      </c>
      <c r="D11" s="3768" t="s">
        <v>2165</v>
      </c>
      <c r="E11" s="3768" t="s">
        <v>2491</v>
      </c>
      <c r="F11" s="3768"/>
      <c r="G11" s="3768"/>
      <c r="H11" s="3768" t="s">
        <v>2298</v>
      </c>
      <c r="I11" s="3768" t="s">
        <v>2299</v>
      </c>
      <c r="J11" s="3768" t="s">
        <v>2300</v>
      </c>
      <c r="K11" s="3768" t="s">
        <v>2301</v>
      </c>
      <c r="L11" s="3768" t="s">
        <v>2302</v>
      </c>
      <c r="M11" s="3768" t="s">
        <v>2303</v>
      </c>
      <c r="N11" s="3768" t="s">
        <v>2304</v>
      </c>
      <c r="O11" s="3768" t="s">
        <v>2305</v>
      </c>
      <c r="P11" s="3768" t="s">
        <v>2306</v>
      </c>
      <c r="Q11" s="3768" t="s">
        <v>2307</v>
      </c>
      <c r="R11" s="3768" t="s">
        <v>2308</v>
      </c>
      <c r="S11" s="3768" t="s">
        <v>2309</v>
      </c>
      <c r="T11" s="3768" t="s">
        <v>2310</v>
      </c>
      <c r="U11" s="3768" t="s">
        <v>2311</v>
      </c>
      <c r="V11" s="3768" t="s">
        <v>2312</v>
      </c>
      <c r="W11" s="3768" t="s">
        <v>2313</v>
      </c>
      <c r="X11" s="3768" t="s">
        <v>2314</v>
      </c>
      <c r="Y11" s="3768" t="s">
        <v>2315</v>
      </c>
      <c r="Z11" s="3768" t="s">
        <v>2316</v>
      </c>
      <c r="AA11" s="3768" t="s">
        <v>2317</v>
      </c>
      <c r="AB11" s="3768" t="s">
        <v>2318</v>
      </c>
      <c r="AC11" s="3768" t="s">
        <v>2319</v>
      </c>
      <c r="AD11" s="3768" t="s">
        <v>2320</v>
      </c>
      <c r="AE11" s="3768" t="s">
        <v>2321</v>
      </c>
      <c r="AF11" s="3768" t="s">
        <v>2322</v>
      </c>
      <c r="AG11" s="3768" t="s">
        <v>2323</v>
      </c>
      <c r="AH11" s="3768" t="s">
        <v>2324</v>
      </c>
      <c r="AI11" s="3768" t="s">
        <v>2325</v>
      </c>
      <c r="AJ11" s="3768" t="s">
        <v>2326</v>
      </c>
      <c r="AK11" s="3768" t="s">
        <v>2327</v>
      </c>
      <c r="AL11" s="3768" t="s">
        <v>2328</v>
      </c>
      <c r="AM11" s="3768" t="s">
        <v>2329</v>
      </c>
      <c r="AN11" s="3768" t="s">
        <v>2330</v>
      </c>
      <c r="AO11" s="3768" t="s">
        <v>2331</v>
      </c>
      <c r="AP11" s="3768" t="s">
        <v>2332</v>
      </c>
      <c r="AQ11" s="3768" t="s">
        <v>2333</v>
      </c>
      <c r="AR11" s="3768" t="s">
        <v>2334</v>
      </c>
      <c r="AS11" s="3768" t="s">
        <v>2335</v>
      </c>
      <c r="AT11" s="3768" t="s">
        <v>2336</v>
      </c>
      <c r="AU11" s="3768" t="s">
        <v>2337</v>
      </c>
      <c r="AV11" s="3768" t="s">
        <v>2013</v>
      </c>
      <c r="AW11" s="3768" t="s">
        <v>2014</v>
      </c>
      <c r="AX11" s="3768" t="s">
        <v>2015</v>
      </c>
      <c r="AY11" s="3768" t="s">
        <v>2016</v>
      </c>
      <c r="AZ11" s="3768" t="s">
        <v>2017</v>
      </c>
      <c r="BA11" s="3768" t="s">
        <v>2018</v>
      </c>
      <c r="BB11" s="3768" t="s">
        <v>2019</v>
      </c>
      <c r="BC11" s="3768" t="s">
        <v>2020</v>
      </c>
      <c r="BD11" s="3768" t="s">
        <v>2021</v>
      </c>
      <c r="BE11" s="3768" t="s">
        <v>2022</v>
      </c>
      <c r="BF11" s="3768" t="s">
        <v>939</v>
      </c>
      <c r="BG11" s="3768" t="s">
        <v>940</v>
      </c>
      <c r="BH11" s="3768" t="s">
        <v>2338</v>
      </c>
      <c r="BI11" s="3768" t="s">
        <v>2339</v>
      </c>
      <c r="BJ11" s="3768" t="s">
        <v>2340</v>
      </c>
      <c r="BK11" s="3768" t="s">
        <v>2341</v>
      </c>
      <c r="BL11" s="3768" t="s">
        <v>2342</v>
      </c>
      <c r="BM11" s="3768" t="s">
        <v>2343</v>
      </c>
      <c r="BN11" s="3768" t="s">
        <v>2344</v>
      </c>
      <c r="BO11" s="3768" t="s">
        <v>2345</v>
      </c>
      <c r="BP11" s="3768" t="s">
        <v>2346</v>
      </c>
      <c r="BQ11" s="3768" t="s">
        <v>2347</v>
      </c>
      <c r="BR11" s="3768" t="s">
        <v>2348</v>
      </c>
      <c r="BS11" s="3768" t="s">
        <v>2349</v>
      </c>
      <c r="BT11" s="3768" t="s">
        <v>2350</v>
      </c>
      <c r="BU11" s="3768" t="s">
        <v>2351</v>
      </c>
      <c r="BV11" s="3768" t="s">
        <v>2352</v>
      </c>
      <c r="BW11" s="3768" t="s">
        <v>2353</v>
      </c>
      <c r="BX11" s="3768" t="s">
        <v>2354</v>
      </c>
      <c r="BY11" s="3768" t="s">
        <v>2355</v>
      </c>
      <c r="BZ11" s="3768" t="s">
        <v>2356</v>
      </c>
      <c r="CA11" s="3768" t="s">
        <v>2357</v>
      </c>
      <c r="CB11" s="3768" t="s">
        <v>2358</v>
      </c>
      <c r="CC11" s="3768" t="s">
        <v>2359</v>
      </c>
      <c r="CD11" s="3768" t="s">
        <v>2360</v>
      </c>
      <c r="CE11" s="3768" t="s">
        <v>2361</v>
      </c>
      <c r="CF11" s="3768" t="s">
        <v>2412</v>
      </c>
      <c r="CG11" s="3768" t="s">
        <v>2413</v>
      </c>
      <c r="CH11" s="3768" t="s">
        <v>2414</v>
      </c>
      <c r="CI11" s="3768" t="s">
        <v>2415</v>
      </c>
      <c r="CJ11" s="3768" t="s">
        <v>2551</v>
      </c>
      <c r="CK11" s="3768" t="s">
        <v>2552</v>
      </c>
      <c r="CL11" s="3768" t="s">
        <v>2553</v>
      </c>
      <c r="CM11" s="3768" t="s">
        <v>2554</v>
      </c>
      <c r="CN11" s="3768" t="s">
        <v>2566</v>
      </c>
      <c r="CO11" s="3768" t="s">
        <v>2567</v>
      </c>
      <c r="CP11" s="3768" t="s">
        <v>2568</v>
      </c>
      <c r="CQ11" s="3768" t="s">
        <v>2569</v>
      </c>
      <c r="CR11" s="3931" t="s">
        <v>2600</v>
      </c>
      <c r="CS11" s="3931" t="s">
        <v>2601</v>
      </c>
      <c r="CT11" s="3931" t="s">
        <v>2602</v>
      </c>
      <c r="CU11" s="3931" t="s">
        <v>2603</v>
      </c>
      <c r="CV11" s="3931" t="s">
        <v>2630</v>
      </c>
      <c r="CW11" s="3931" t="s">
        <v>2631</v>
      </c>
      <c r="CX11" s="3931" t="s">
        <v>2632</v>
      </c>
      <c r="CY11" s="3931" t="s">
        <v>2633</v>
      </c>
    </row>
    <row r="12" spans="1:103">
      <c r="A12" s="3768" t="str">
        <f t="shared" ref="A12:A28" si="1">CONCATENATE($F$7, $G$7)</f>
        <v>\\DG ECFIN\Forecast\Country databases\Desk transfer databases\BE</v>
      </c>
      <c r="B12" s="3768" t="str">
        <f t="shared" ref="B12:B28" si="2">$G$7</f>
        <v>BE</v>
      </c>
      <c r="C12" s="3768" t="s">
        <v>2362</v>
      </c>
      <c r="D12" s="3768" t="s">
        <v>2167</v>
      </c>
      <c r="E12" s="3768" t="s">
        <v>2492</v>
      </c>
      <c r="F12" s="3768">
        <v>15</v>
      </c>
      <c r="G12" s="3768" t="s">
        <v>1317</v>
      </c>
      <c r="H12" s="3768">
        <f>IF('Q1'!K43&lt;&gt;"",'Q1'!K43,"n.a.")</f>
        <v>0.30413926116412693</v>
      </c>
      <c r="I12" s="3768">
        <f>IF('Q1'!L43&lt;&gt;"",'Q1'!L43,"n.a.")</f>
        <v>0.65573770491804684</v>
      </c>
      <c r="J12" s="3768">
        <f>IF('Q1'!M43&lt;&gt;"",'Q1'!M43,"n.a.")</f>
        <v>0.46288359334818452</v>
      </c>
      <c r="K12" s="3768">
        <f>IF('Q1'!N43&lt;&gt;"",'Q1'!N43,"n.a.")</f>
        <v>0.11214041930764918</v>
      </c>
      <c r="L12" s="3768">
        <f>IF('Q1'!O43&lt;&gt;"",'Q1'!O43,"n.a.")</f>
        <v>0.32386889397553187</v>
      </c>
      <c r="M12" s="3768">
        <f>IF('Q1'!P43&lt;&gt;"",'Q1'!P43,"n.a.")</f>
        <v>0.781572368261374</v>
      </c>
      <c r="N12" s="3768">
        <f>IF('Q1'!Q43&lt;&gt;"",'Q1'!Q43,"n.a.")</f>
        <v>0.61173863827941322</v>
      </c>
      <c r="O12" s="3768">
        <f>IF('Q1'!R43&lt;&gt;"",'Q1'!R43,"n.a.")</f>
        <v>0.33273488928786676</v>
      </c>
      <c r="P12" s="3768">
        <f>IF('Q1'!S43&lt;&gt;"",'Q1'!S43,"n.a.")</f>
        <v>0.75869637829841796</v>
      </c>
      <c r="Q12" s="3768">
        <f>IF('Q1'!T43&lt;&gt;"",'Q1'!T43,"n.a.")</f>
        <v>1.0371282439856078</v>
      </c>
      <c r="R12" s="3768">
        <f>IF('Q1'!U43&lt;&gt;"",'Q1'!U43,"n.a.")</f>
        <v>0.73353644246543226</v>
      </c>
      <c r="S12" s="3768">
        <f>IF('Q1'!V43&lt;&gt;"",'Q1'!V43,"n.a.")</f>
        <v>0.16052858106694323</v>
      </c>
      <c r="T12" s="3768">
        <f>IF('Q1'!W43&lt;&gt;"",'Q1'!W43,"n.a.")</f>
        <v>5.1100994146602297E-2</v>
      </c>
      <c r="U12" s="3768">
        <f>IF('Q1'!X43&lt;&gt;"",'Q1'!X43,"n.a.")</f>
        <v>0.50842735757068436</v>
      </c>
      <c r="V12" s="3768">
        <f>IF('Q1'!Y43&lt;&gt;"",'Q1'!Y43,"n.a.")</f>
        <v>0.73452983161248486</v>
      </c>
      <c r="W12" s="3768">
        <f>IF('Q1'!Z43&lt;&gt;"",'Q1'!Z43,"n.a.")</f>
        <v>0.48382288872075296</v>
      </c>
      <c r="X12" s="3768">
        <f>IF('Q1'!AA43&lt;&gt;"",'Q1'!AA43,"n.a.")</f>
        <v>0.87627219204966522</v>
      </c>
      <c r="Y12" s="3768">
        <f>IF('Q1'!AB43&lt;&gt;"",'Q1'!AB43,"n.a.")</f>
        <v>0.67637877211237374</v>
      </c>
      <c r="Z12" s="3768">
        <f>IF('Q1'!AC43&lt;&gt;"",'Q1'!AC43,"n.a.")</f>
        <v>0.86057746320638007</v>
      </c>
      <c r="AA12" s="3768">
        <f>IF('Q1'!AD43&lt;&gt;"",'Q1'!AD43,"n.a.")</f>
        <v>0.90447335590804201</v>
      </c>
      <c r="AB12" s="3768">
        <f>IF('Q1'!AE43&lt;&gt;"",'Q1'!AE43,"n.a.")</f>
        <v>0.17662383538659121</v>
      </c>
      <c r="AC12" s="3768">
        <f>IF('Q1'!AF43&lt;&gt;"",'Q1'!AF43,"n.a.")</f>
        <v>-0.14986556177547516</v>
      </c>
      <c r="AD12" s="3768">
        <f>IF('Q1'!AG43&lt;&gt;"",'Q1'!AG43,"n.a.")</f>
        <v>-0.48779411115524862</v>
      </c>
      <c r="AE12" s="3768">
        <f>IF('Q1'!AH43&lt;&gt;"",'Q1'!AH43,"n.a.")</f>
        <v>-0.41920816235998526</v>
      </c>
      <c r="AF12" s="3768">
        <f>IF('Q1'!AI43&lt;&gt;"",'Q1'!AI43,"n.a.")</f>
        <v>0.4009265858873734</v>
      </c>
      <c r="AG12" s="3768">
        <f>IF('Q1'!AJ43&lt;&gt;"",'Q1'!AJ43,"n.a.")</f>
        <v>0.35939302511314164</v>
      </c>
      <c r="AH12" s="3768">
        <f>IF('Q1'!AK43&lt;&gt;"",'Q1'!AK43,"n.a.")</f>
        <v>0.46863256554225963</v>
      </c>
      <c r="AI12" s="3768">
        <f>IF('Q1'!AL43&lt;&gt;"",'Q1'!AL43,"n.a.")</f>
        <v>0.36083608360835129</v>
      </c>
      <c r="AJ12" s="3768">
        <f>IF('Q1'!AM43&lt;&gt;"",'Q1'!AM43,"n.a.")</f>
        <v>-0.27842329109483144</v>
      </c>
      <c r="AK12" s="3768">
        <f>IF('Q1'!AN43&lt;&gt;"",'Q1'!AN43,"n.a.")</f>
        <v>-0.17587442566009415</v>
      </c>
      <c r="AL12" s="3768">
        <f>IF('Q1'!AO43&lt;&gt;"",'Q1'!AO43,"n.a.")</f>
        <v>0.22023036095757398</v>
      </c>
      <c r="AM12" s="3768">
        <f>IF('Q1'!AP43&lt;&gt;"",'Q1'!AP43,"n.a.")</f>
        <v>0.89656536357043404</v>
      </c>
      <c r="AN12" s="3768">
        <f>IF('Q1'!AQ43&lt;&gt;"",'Q1'!AQ43,"n.a.")</f>
        <v>0.54448437329848165</v>
      </c>
      <c r="AO12" s="3768">
        <f>IF('Q1'!AR43&lt;&gt;"",'Q1'!AR43,"n.a.")</f>
        <v>0.1386331636521243</v>
      </c>
      <c r="AP12" s="3768">
        <f>IF('Q1'!AS43&lt;&gt;"",'Q1'!AS43,"n.a.")</f>
        <v>8.4362629518275334E-2</v>
      </c>
      <c r="AQ12" s="3768">
        <f>IF('Q1'!AT43&lt;&gt;"",'Q1'!AT43,"n.a.")</f>
        <v>0.4841359038644244</v>
      </c>
      <c r="AR12" s="3768">
        <f>IF('Q1'!AU43&lt;&gt;"",'Q1'!AU43,"n.a.")</f>
        <v>8.6036307321690764E-2</v>
      </c>
      <c r="AS12" s="3768">
        <f>IF('Q1'!AV43&lt;&gt;"",'Q1'!AV43,"n.a.")</f>
        <v>0.26218516289866489</v>
      </c>
      <c r="AT12" s="3768">
        <f>IF('Q1'!AW43&lt;&gt;"",'Q1'!AW43,"n.a.")</f>
        <v>0.67303982509538951</v>
      </c>
      <c r="AU12" s="3768">
        <f>IF('Q1'!AX43&lt;&gt;"",'Q1'!AX43,"n.a.")</f>
        <v>0.72815533980581382</v>
      </c>
      <c r="AV12" s="3768">
        <f>IF('Q1'!AY43&lt;&gt;"",'Q1'!AY43,"n.a.")</f>
        <v>0.24941872754173922</v>
      </c>
      <c r="AW12" s="3768">
        <f>IF('Q1'!AZ43&lt;&gt;"",'Q1'!AZ43,"n.a.")</f>
        <v>0.12650754828371635</v>
      </c>
      <c r="AX12" s="3768">
        <f>IF('Q1'!BA43&lt;&gt;"",'Q1'!BA43,"n.a.")</f>
        <v>0.10950134770888464</v>
      </c>
      <c r="AY12" s="3768">
        <f>IF('Q1'!BB43&lt;&gt;"",'Q1'!BB43,"n.a.")</f>
        <v>0.47749263777872031</v>
      </c>
      <c r="AZ12" s="3768">
        <f>IF('Q1'!BC43&lt;&gt;"",'Q1'!BC43,"n.a.")</f>
        <v>0.64479661691125845</v>
      </c>
      <c r="BA12" s="3768">
        <f>IF('Q1'!BD43&lt;&gt;"",'Q1'!BD43,"n.a.")</f>
        <v>0.48049921996877742</v>
      </c>
      <c r="BB12" s="3768">
        <f>IF('Q1'!BE43&lt;&gt;"",'Q1'!BE43,"n.a.")</f>
        <v>0.5009729640210514</v>
      </c>
      <c r="BC12" s="3768">
        <f>IF('Q1'!BF43&lt;&gt;"",'Q1'!BF43,"n.a.")</f>
        <v>0.50877482079592085</v>
      </c>
      <c r="BD12" s="3768">
        <f>IF('Q1'!BG43&lt;&gt;"",'Q1'!BG43,"n.a.")</f>
        <v>1.0042012501280784</v>
      </c>
      <c r="BE12" s="3768">
        <f>IF('Q1'!BH43&lt;&gt;"",'Q1'!BH43,"n.a.")</f>
        <v>0.32667140103479486</v>
      </c>
      <c r="BF12" s="3768">
        <f>IF('Q1'!BI43&lt;&gt;"",'Q1'!BI43,"n.a.")</f>
        <v>-0.15774784613517001</v>
      </c>
      <c r="BG12" s="3768">
        <f>IF('Q1'!BJ43&lt;&gt;"",'Q1'!BJ43,"n.a.")</f>
        <v>-0.9520337060443973</v>
      </c>
      <c r="BH12" s="3768">
        <f>IF('Q1'!BK43&lt;&gt;"",'Q1'!BK43,"n.a.")</f>
        <v>-0.25563417726696125</v>
      </c>
      <c r="BI12" s="3768">
        <f>IF('Q1'!BL43&lt;&gt;"",'Q1'!BL43,"n.a.")</f>
        <v>0.787320853751039</v>
      </c>
      <c r="BJ12" s="3768">
        <f>IF('Q1'!BM43&lt;&gt;"",'Q1'!BM43,"n.a.")</f>
        <v>1.2653335232011953</v>
      </c>
      <c r="BK12" s="3768">
        <f>IF('Q1'!BN43&lt;&gt;"",'Q1'!BN43,"n.a.")</f>
        <v>0.99640410614916242</v>
      </c>
      <c r="BL12" s="3768">
        <f>IF('Q1'!BO43&lt;&gt;"",'Q1'!BO43,"n.a.")</f>
        <v>0.76578816509198511</v>
      </c>
      <c r="BM12" s="3768">
        <f>IF('Q1'!BP43&lt;&gt;"",'Q1'!BP43,"n.a.")</f>
        <v>0.29609159099883708</v>
      </c>
      <c r="BN12" s="3768">
        <f>IF('Q1'!BQ43&lt;&gt;"",'Q1'!BQ43,"n.a.")</f>
        <v>-3.9362330249959054E-2</v>
      </c>
      <c r="BO12" s="3768">
        <f>IF('Q1'!BR43&lt;&gt;"",'Q1'!BR43,"n.a.")</f>
        <v>0.57097853908250062</v>
      </c>
      <c r="BP12" s="3768">
        <f>IF('Q1'!BS43&lt;&gt;"",'Q1'!BS43,"n.a.")</f>
        <v>-0.36413469068128368</v>
      </c>
      <c r="BQ12" s="3768">
        <f>IF('Q1'!BT43&lt;&gt;"",'Q1'!BT43,"n.a.")</f>
        <v>-9.8243407867237842E-3</v>
      </c>
      <c r="BR12" s="3768">
        <f>IF('Q1'!BU43&lt;&gt;"",'Q1'!BU43,"n.a.")</f>
        <v>0.32030497750004105</v>
      </c>
      <c r="BS12" s="3768">
        <f>IF('Q1'!BV43&lt;&gt;"",'Q1'!BV43,"n.a.")</f>
        <v>0</v>
      </c>
      <c r="BT12" s="3768">
        <f>IF('Q1'!BW43&lt;&gt;"",'Q1'!BW43,"n.a.")</f>
        <v>0.3192823003995926</v>
      </c>
      <c r="BU12" s="3768">
        <f>IF('Q1'!BX43&lt;&gt;"",'Q1'!BX43,"n.a.")</f>
        <v>-3.5145953333981517E-2</v>
      </c>
      <c r="BV12" s="3768">
        <f>IF('Q1'!BY43&lt;&gt;"",'Q1'!BY43,"n.a.")</f>
        <v>0.26173408598160197</v>
      </c>
      <c r="BW12" s="3768">
        <f>IF('Q1'!BZ43&lt;&gt;"",'Q1'!BZ43,"n.a.")</f>
        <v>0.30780619898305162</v>
      </c>
      <c r="BX12" s="3768">
        <f>IF('Q1'!CA43&lt;&gt;"",'Q1'!CA43,"n.a.")</f>
        <v>6.4091359319462526E-2</v>
      </c>
      <c r="BY12" s="3768">
        <f>IF('Q1'!CB43&lt;&gt;"",'Q1'!CB43,"n.a.")</f>
        <v>0.23873296844068026</v>
      </c>
      <c r="BZ12" s="3768">
        <f>IF('Q1'!CC43&lt;&gt;"",'Q1'!CC43,"n.a.")</f>
        <v>0.35627843934553649</v>
      </c>
      <c r="CA12" s="3768">
        <f>IF('Q1'!CD43&lt;&gt;"",'Q1'!CD43,"n.a.")</f>
        <v>-0.11769472689034943</v>
      </c>
      <c r="CB12" s="3768">
        <f>IF('Q1'!CE43&lt;&gt;"",'Q1'!CE43,"n.a.")</f>
        <v>0.20669139236593193</v>
      </c>
      <c r="CC12" s="3768">
        <f>IF('Q1'!CF43&lt;&gt;"",'Q1'!CF43,"n.a.")</f>
        <v>2.8915662650597085E-2</v>
      </c>
      <c r="CD12" s="3768">
        <f>IF('Q1'!CG43&lt;&gt;"",'Q1'!CG43,"n.a.")</f>
        <v>0.22547697051453763</v>
      </c>
      <c r="CE12" s="3768">
        <f>IF('Q1'!CH43&lt;&gt;"",'Q1'!CH43,"n.a.")</f>
        <v>0.47685888438095958</v>
      </c>
      <c r="CF12" s="3768">
        <f>IF('Q1'!CI43&lt;&gt;"",'Q1'!CI43,"n.a.")</f>
        <v>5.1669696679734756E-2</v>
      </c>
      <c r="CG12" s="3768">
        <f>IF('Q1'!CJ43&lt;&gt;"",'Q1'!CJ43,"n.a.")</f>
        <v>0.22187368501589422</v>
      </c>
      <c r="CH12" s="3768">
        <f>IF('Q1'!CK43&lt;&gt;"",'Q1'!CK43,"n.a.")</f>
        <v>0.19084697889231172</v>
      </c>
      <c r="CI12" s="3768">
        <f>IF('Q1'!CL43&lt;&gt;"",'Q1'!CL43,"n.a.")</f>
        <v>0.40382490761552425</v>
      </c>
      <c r="CJ12" s="3768">
        <f>IF('Q1'!CM43&lt;&gt;"",'Q1'!CM43,"n.a.")</f>
        <v>0.55018023145512185</v>
      </c>
      <c r="CK12" s="3768">
        <f>IF('Q1'!CN43&lt;&gt;"",'Q1'!CN43,"n.a.")</f>
        <v>0.65660377358489619</v>
      </c>
      <c r="CL12" s="3768">
        <f>IF('Q1'!CO43&lt;&gt;"",'Q1'!CO43,"n.a.")</f>
        <v>0.30179200719802068</v>
      </c>
      <c r="CM12" s="3768">
        <f>IF('Q1'!CP43&lt;&gt;"",'Q1'!CP43,"n.a.")</f>
        <v>-1.8688444934467086E-3</v>
      </c>
      <c r="CN12" s="3768">
        <f>IF('Q1'!CQ43&lt;&gt;"",'Q1'!CQ43,"n.a.")</f>
        <v>0.35321821036107259</v>
      </c>
      <c r="CO12" s="3768">
        <f>IF('Q1'!CR43&lt;&gt;"",'Q1'!CR43,"n.a.")</f>
        <v>0.42460472652101622</v>
      </c>
      <c r="CP12" s="3768">
        <f>IF('Q1'!CS43&lt;&gt;"",'Q1'!CS43,"n.a.")</f>
        <v>0.20213259156236507</v>
      </c>
      <c r="CQ12" s="3768">
        <f>IF('Q1'!CT43&lt;&gt;"",'Q1'!CT43,"n.a.")</f>
        <v>0.14435355516897452</v>
      </c>
      <c r="CR12" s="3768">
        <f>IF('Q1'!CU43&lt;&gt;"",'Q1'!CU43,"n.a.")</f>
        <v>0.53</v>
      </c>
      <c r="CS12" s="3768">
        <f>IF('Q1'!CV43&lt;&gt;"",'Q1'!CV43,"n.a.")</f>
        <v>0.53</v>
      </c>
      <c r="CT12" s="3768">
        <f>IF('Q1'!CW43&lt;&gt;"",'Q1'!CW43,"n.a.")</f>
        <v>0.53</v>
      </c>
      <c r="CU12" s="3768">
        <f>IF('Q1'!CX43&lt;&gt;"",'Q1'!CX43,"n.a.")</f>
        <v>0.53</v>
      </c>
      <c r="CV12" s="3768">
        <f>IF('Q1'!CY43&lt;&gt;"",'Q1'!CY43,"n.a.")</f>
        <v>0.38500000000000001</v>
      </c>
      <c r="CW12" s="3768">
        <f>IF('Q1'!CZ43&lt;&gt;"",'Q1'!CZ43,"n.a.")</f>
        <v>0.38</v>
      </c>
      <c r="CX12" s="3768">
        <f>IF('Q1'!DA43&lt;&gt;"",'Q1'!DA43,"n.a.")</f>
        <v>0.38</v>
      </c>
      <c r="CY12" s="3768">
        <f>IF('Q1'!DB43&lt;&gt;"",'Q1'!DB43,"n.a.")</f>
        <v>0.38</v>
      </c>
    </row>
    <row r="13" spans="1:103">
      <c r="A13" s="3768" t="str">
        <f t="shared" si="1"/>
        <v>\\DG ECFIN\Forecast\Country databases\Desk transfer databases\BE</v>
      </c>
      <c r="B13" s="3768" t="str">
        <f t="shared" si="2"/>
        <v>BE</v>
      </c>
      <c r="C13" s="3768" t="s">
        <v>2362</v>
      </c>
      <c r="D13" s="3768" t="s">
        <v>2169</v>
      </c>
      <c r="E13" s="3768" t="s">
        <v>2492</v>
      </c>
      <c r="F13" s="3768">
        <v>16</v>
      </c>
      <c r="G13" s="3768" t="s">
        <v>1386</v>
      </c>
      <c r="H13" s="3768">
        <f>IF('Q1'!K62&lt;&gt;"",'Q1'!K62,"n.a.")</f>
        <v>0.28508418051744755</v>
      </c>
      <c r="I13" s="3768">
        <f>IF('Q1'!L62&lt;&gt;"",'Q1'!L62,"n.a.")</f>
        <v>0.34863763140957627</v>
      </c>
      <c r="J13" s="3768">
        <f>IF('Q1'!M62&lt;&gt;"",'Q1'!M62,"n.a.")</f>
        <v>0.20845582340049962</v>
      </c>
      <c r="K13" s="3768">
        <f>IF('Q1'!N62&lt;&gt;"",'Q1'!N62,"n.a.")</f>
        <v>0.22402389588220828</v>
      </c>
      <c r="L13" s="3768">
        <f>IF('Q1'!O62&lt;&gt;"",'Q1'!O62,"n.a.")</f>
        <v>-6.9185737094190625E-2</v>
      </c>
      <c r="M13" s="3768">
        <f>IF('Q1'!P62&lt;&gt;"",'Q1'!P62,"n.a.")</f>
        <v>0.17042126005220037</v>
      </c>
      <c r="N13" s="3768">
        <f>IF('Q1'!Q62&lt;&gt;"",'Q1'!Q62,"n.a.")</f>
        <v>0.26583018767611932</v>
      </c>
      <c r="O13" s="3768">
        <f>IF('Q1'!R62&lt;&gt;"",'Q1'!R62,"n.a.")</f>
        <v>0.36587305795641178</v>
      </c>
      <c r="P13" s="3768">
        <f>IF('Q1'!S62&lt;&gt;"",'Q1'!S62,"n.a.")</f>
        <v>0.56001690617073496</v>
      </c>
      <c r="Q13" s="3768">
        <f>IF('Q1'!T62&lt;&gt;"",'Q1'!T62,"n.a.")</f>
        <v>0.54639066932857805</v>
      </c>
      <c r="R13" s="3768">
        <f>IF('Q1'!U62&lt;&gt;"",'Q1'!U62,"n.a.")</f>
        <v>0.53297105235654563</v>
      </c>
      <c r="S13" s="3768">
        <f>IF('Q1'!V62&lt;&gt;"",'Q1'!V62,"n.a.")</f>
        <v>0.58731808731811164</v>
      </c>
      <c r="T13" s="3768">
        <f>IF('Q1'!W62&lt;&gt;"",'Q1'!W62,"n.a.")</f>
        <v>0.66139616596909701</v>
      </c>
      <c r="U13" s="3768">
        <f>IF('Q1'!X62&lt;&gt;"",'Q1'!X62,"n.a.")</f>
        <v>0.70324931985008554</v>
      </c>
      <c r="V13" s="3768">
        <f>IF('Q1'!Y62&lt;&gt;"",'Q1'!Y62,"n.a.")</f>
        <v>0.78499337343256315</v>
      </c>
      <c r="W13" s="3768">
        <f>IF('Q1'!Z62&lt;&gt;"",'Q1'!Z62,"n.a.")</f>
        <v>0.90532065547239693</v>
      </c>
      <c r="X13" s="3768">
        <f>IF('Q1'!AA62&lt;&gt;"",'Q1'!AA62,"n.a.")</f>
        <v>0.92225953586286824</v>
      </c>
      <c r="Y13" s="3768">
        <f>IF('Q1'!AB62&lt;&gt;"",'Q1'!AB62,"n.a.")</f>
        <v>0.63570896448970071</v>
      </c>
      <c r="Z13" s="3768">
        <f>IF('Q1'!AC62&lt;&gt;"",'Q1'!AC62,"n.a.")</f>
        <v>0.45402951191826357</v>
      </c>
      <c r="AA13" s="3768">
        <f>IF('Q1'!AD62&lt;&gt;"",'Q1'!AD62,"n.a.")</f>
        <v>0.32915745517072548</v>
      </c>
      <c r="AB13" s="3768">
        <f>IF('Q1'!AE62&lt;&gt;"",'Q1'!AE62,"n.a.")</f>
        <v>-0.12241700127314514</v>
      </c>
      <c r="AC13" s="3768">
        <f>IF('Q1'!AF62&lt;&gt;"",'Q1'!AF62,"n.a.")</f>
        <v>0.17649654360936129</v>
      </c>
      <c r="AD13" s="3768">
        <f>IF('Q1'!AG62&lt;&gt;"",'Q1'!AG62,"n.a.")</f>
        <v>0.41109969167523186</v>
      </c>
      <c r="AE13" s="3768">
        <f>IF('Q1'!AH62&lt;&gt;"",'Q1'!AH62,"n.a.")</f>
        <v>0.60437685821512765</v>
      </c>
      <c r="AF13" s="3768">
        <f>IF('Q1'!AI62&lt;&gt;"",'Q1'!AI62,"n.a.")</f>
        <v>0.94956639697689749</v>
      </c>
      <c r="AG13" s="3768">
        <f>IF('Q1'!AJ62&lt;&gt;"",'Q1'!AJ62,"n.a.")</f>
        <v>0.79186063252867367</v>
      </c>
      <c r="AH13" s="3768">
        <f>IF('Q1'!AK62&lt;&gt;"",'Q1'!AK62,"n.a.")</f>
        <v>0.63327302161699794</v>
      </c>
      <c r="AI13" s="3768">
        <f>IF('Q1'!AL62&lt;&gt;"",'Q1'!AL62,"n.a.")</f>
        <v>0.31227821149750756</v>
      </c>
      <c r="AJ13" s="3768">
        <f>IF('Q1'!AM62&lt;&gt;"",'Q1'!AM62,"n.a.")</f>
        <v>-5.6601103721520829E-2</v>
      </c>
      <c r="AK13" s="3768">
        <f>IF('Q1'!AN62&lt;&gt;"",'Q1'!AN62,"n.a.")</f>
        <v>0.37283496153663886</v>
      </c>
      <c r="AL13" s="3768">
        <f>IF('Q1'!AO62&lt;&gt;"",'Q1'!AO62,"n.a.")</f>
        <v>0.55482414895617893</v>
      </c>
      <c r="AM13" s="3768">
        <f>IF('Q1'!AP62&lt;&gt;"",'Q1'!AP62,"n.a.")</f>
        <v>0.56579070419902067</v>
      </c>
      <c r="AN13" s="3768">
        <f>IF('Q1'!AQ62&lt;&gt;"",'Q1'!AQ62,"n.a.")</f>
        <v>0.40916910773234338</v>
      </c>
      <c r="AO13" s="3768">
        <f>IF('Q1'!AR62&lt;&gt;"",'Q1'!AR62,"n.a.")</f>
        <v>0.25468858532067262</v>
      </c>
      <c r="AP13" s="3768">
        <f>IF('Q1'!AS62&lt;&gt;"",'Q1'!AS62,"n.a.")</f>
        <v>0.25866050808314167</v>
      </c>
      <c r="AQ13" s="3768">
        <f>IF('Q1'!AT62&lt;&gt;"",'Q1'!AT62,"n.a.")</f>
        <v>0.24877913940846152</v>
      </c>
      <c r="AR13" s="3768">
        <f>IF('Q1'!AU62&lt;&gt;"",'Q1'!AU62,"n.a.")</f>
        <v>0.16084558823530326</v>
      </c>
      <c r="AS13" s="3768">
        <f>IF('Q1'!AV62&lt;&gt;"",'Q1'!AV62,"n.a.")</f>
        <v>8.2587749483820083E-2</v>
      </c>
      <c r="AT13" s="3768">
        <f>IF('Q1'!AW62&lt;&gt;"",'Q1'!AW62,"n.a.")</f>
        <v>6.4181909870275611E-2</v>
      </c>
      <c r="AU13" s="3768">
        <f>IF('Q1'!AX62&lt;&gt;"",'Q1'!AX62,"n.a.")</f>
        <v>4.1233334860479864E-2</v>
      </c>
      <c r="AV13" s="3768">
        <f>IF('Q1'!AY62&lt;&gt;"",'Q1'!AY62,"n.a.")</f>
        <v>0.25645722659828341</v>
      </c>
      <c r="AW13" s="3768">
        <f>IF('Q1'!AZ62&lt;&gt;"",'Q1'!AZ62,"n.a.")</f>
        <v>0.42481271697423217</v>
      </c>
      <c r="AX13" s="3768">
        <f>IF('Q1'!BA62&lt;&gt;"",'Q1'!BA62,"n.a.")</f>
        <v>0.35933591084831296</v>
      </c>
      <c r="AY13" s="3768">
        <f>IF('Q1'!BB62&lt;&gt;"",'Q1'!BB62,"n.a.")</f>
        <v>0.4305656272661329</v>
      </c>
      <c r="AZ13" s="3768">
        <f>IF('Q1'!BC62&lt;&gt;"",'Q1'!BC62,"n.a.")</f>
        <v>0.38359131729772677</v>
      </c>
      <c r="BA13" s="3768">
        <f>IF('Q1'!BD62&lt;&gt;"",'Q1'!BD62,"n.a.")</f>
        <v>0.49001978061500306</v>
      </c>
      <c r="BB13" s="3768">
        <f>IF('Q1'!BE62&lt;&gt;"",'Q1'!BE62,"n.a.")</f>
        <v>0.71131391759495788</v>
      </c>
      <c r="BC13" s="3768">
        <f>IF('Q1'!BF62&lt;&gt;"",'Q1'!BF62,"n.a.")</f>
        <v>0.76403695806681604</v>
      </c>
      <c r="BD13" s="3768">
        <f>IF('Q1'!BG62&lt;&gt;"",'Q1'!BG62,"n.a.")</f>
        <v>0.72738494092752237</v>
      </c>
      <c r="BE13" s="3768">
        <f>IF('Q1'!BH62&lt;&gt;"",'Q1'!BH62,"n.a.")</f>
        <v>0.75714473281105477</v>
      </c>
      <c r="BF13" s="3768">
        <f>IF('Q1'!BI62&lt;&gt;"",'Q1'!BI62,"n.a.")</f>
        <v>0.660238033185645</v>
      </c>
      <c r="BG13" s="3768">
        <f>IF('Q1'!BJ62&lt;&gt;"",'Q1'!BJ62,"n.a.")</f>
        <v>0.62138603607491127</v>
      </c>
      <c r="BH13" s="3768">
        <f>IF('Q1'!BK62&lt;&gt;"",'Q1'!BK62,"n.a.")</f>
        <v>-0.19298396088859304</v>
      </c>
      <c r="BI13" s="3768">
        <f>IF('Q1'!BL62&lt;&gt;"",'Q1'!BL62,"n.a.")</f>
        <v>0.15898251192367763</v>
      </c>
      <c r="BJ13" s="3768">
        <f>IF('Q1'!BM62&lt;&gt;"",'Q1'!BM62,"n.a.")</f>
        <v>0.24453024453026106</v>
      </c>
      <c r="BK13" s="3768">
        <f>IF('Q1'!BN62&lt;&gt;"",'Q1'!BN62,"n.a.")</f>
        <v>0.33808362220224542</v>
      </c>
      <c r="BL13" s="3768">
        <f>IF('Q1'!BO62&lt;&gt;"",'Q1'!BO62,"n.a.")</f>
        <v>0.37106542693849942</v>
      </c>
      <c r="BM13" s="3768">
        <f>IF('Q1'!BP62&lt;&gt;"",'Q1'!BP62,"n.a.")</f>
        <v>8.9236391450286945E-2</v>
      </c>
      <c r="BN13" s="3768">
        <f>IF('Q1'!BQ62&lt;&gt;"",'Q1'!BQ62,"n.a.")</f>
        <v>5.5192324021402506E-2</v>
      </c>
      <c r="BO13" s="3768">
        <f>IF('Q1'!BR62&lt;&gt;"",'Q1'!BR62,"n.a.")</f>
        <v>0.29278228030720221</v>
      </c>
      <c r="BP13" s="3768">
        <f>IF('Q1'!BS62&lt;&gt;"",'Q1'!BS62,"n.a.")</f>
        <v>0.32577424268065425</v>
      </c>
      <c r="BQ13" s="3768">
        <f>IF('Q1'!BT62&lt;&gt;"",'Q1'!BT62,"n.a.")</f>
        <v>0.2445915742419702</v>
      </c>
      <c r="BR13" s="3768">
        <f>IF('Q1'!BU62&lt;&gt;"",'Q1'!BU62,"n.a.")</f>
        <v>0.76143199697109587</v>
      </c>
      <c r="BS13" s="3768">
        <f>IF('Q1'!BV62&lt;&gt;"",'Q1'!BV62,"n.a.")</f>
        <v>0.27555110220440771</v>
      </c>
      <c r="BT13" s="3768">
        <f>IF('Q1'!BW62&lt;&gt;"",'Q1'!BW62,"n.a.")</f>
        <v>0.29144808060621585</v>
      </c>
      <c r="BU13" s="3768">
        <f>IF('Q1'!BX62&lt;&gt;"",'Q1'!BX62,"n.a.")</f>
        <v>0.54383925606111827</v>
      </c>
      <c r="BV13" s="3768">
        <f>IF('Q1'!BY62&lt;&gt;"",'Q1'!BY62,"n.a.")</f>
        <v>-8.2579792724857271E-3</v>
      </c>
      <c r="BW13" s="3768">
        <f>IF('Q1'!BZ62&lt;&gt;"",'Q1'!BZ62,"n.a.")</f>
        <v>0.24363050749474091</v>
      </c>
      <c r="BX13" s="3768">
        <f>IF('Q1'!CA62&lt;&gt;"",'Q1'!CA62,"n.a.")</f>
        <v>0.32954358213874713</v>
      </c>
      <c r="BY13" s="3768">
        <f>IF('Q1'!CB62&lt;&gt;"",'Q1'!CB62,"n.a.")</f>
        <v>-0.41468221382822135</v>
      </c>
      <c r="BZ13" s="3768">
        <f>IF('Q1'!CC62&lt;&gt;"",'Q1'!CC62,"n.a.")</f>
        <v>8.658008658009031E-2</v>
      </c>
      <c r="CA13" s="3768">
        <f>IF('Q1'!CD62&lt;&gt;"",'Q1'!CD62,"n.a.")</f>
        <v>-0.23891909705058278</v>
      </c>
      <c r="CB13" s="3768">
        <f>IF('Q1'!CE62&lt;&gt;"",'Q1'!CE62,"n.a.")</f>
        <v>0.2725245685027522</v>
      </c>
      <c r="CC13" s="3768">
        <f>IF('Q1'!CF62&lt;&gt;"",'Q1'!CF62,"n.a.")</f>
        <v>0.2841377038379278</v>
      </c>
      <c r="CD13" s="3768">
        <f>IF('Q1'!CG62&lt;&gt;"",'Q1'!CG62,"n.a.")</f>
        <v>0.68985340615119739</v>
      </c>
      <c r="CE13" s="3768">
        <f>IF('Q1'!CH62&lt;&gt;"",'Q1'!CH62,"n.a.")</f>
        <v>0.27731332327392</v>
      </c>
      <c r="CF13" s="3768">
        <f>IF('Q1'!CI62&lt;&gt;"",'Q1'!CI62,"n.a.")</f>
        <v>-0.15860750742201501</v>
      </c>
      <c r="CG13" s="3768">
        <f>IF('Q1'!CJ62&lt;&gt;"",'Q1'!CJ62,"n.a.")</f>
        <v>0.13849287169043212</v>
      </c>
      <c r="CH13" s="3768">
        <f>IF('Q1'!CK62&lt;&gt;"",'Q1'!CK62,"n.a.")</f>
        <v>-0.35388870810283413</v>
      </c>
      <c r="CI13" s="3768">
        <f>IF('Q1'!CL62&lt;&gt;"",'Q1'!CL62,"n.a.")</f>
        <v>0.33473486549373543</v>
      </c>
      <c r="CJ13" s="3768">
        <f>IF('Q1'!CM62&lt;&gt;"",'Q1'!CM62,"n.a.")</f>
        <v>0.26852190894666172</v>
      </c>
      <c r="CK13" s="3768">
        <f>IF('Q1'!CN62&lt;&gt;"",'Q1'!CN62,"n.a.")</f>
        <v>-0.27591803611278776</v>
      </c>
      <c r="CL13" s="3768">
        <f>IF('Q1'!CO62&lt;&gt;"",'Q1'!CO62,"n.a.")</f>
        <v>0.32957643325060015</v>
      </c>
      <c r="CM13" s="3768">
        <f>IF('Q1'!CP62&lt;&gt;"",'Q1'!CP62,"n.a.")</f>
        <v>0.75837456403600179</v>
      </c>
      <c r="CN13" s="3768">
        <f>IF('Q1'!CQ62&lt;&gt;"",'Q1'!CQ62,"n.a.")</f>
        <v>-0.24552223787482896</v>
      </c>
      <c r="CO13" s="3768">
        <f>IF('Q1'!CR62&lt;&gt;"",'Q1'!CR62,"n.a.")</f>
        <v>0.32682375726273971</v>
      </c>
      <c r="CP13" s="3768">
        <f>IF('Q1'!CS62&lt;&gt;"",'Q1'!CS62,"n.a.")</f>
        <v>0.41423687914741159</v>
      </c>
      <c r="CQ13" s="3768">
        <f>IF('Q1'!CT62&lt;&gt;"",'Q1'!CT62,"n.a.")</f>
        <v>0.74495354053187857</v>
      </c>
      <c r="CR13" s="3768">
        <f>IF('Q1'!CU62&lt;&gt;"",'Q1'!CU62,"n.a.")</f>
        <v>-0.26</v>
      </c>
      <c r="CS13" s="3768">
        <f>IF('Q1'!CV62&lt;&gt;"",'Q1'!CV62,"n.a.")</f>
        <v>-0.26</v>
      </c>
      <c r="CT13" s="3768">
        <f>IF('Q1'!CW62&lt;&gt;"",'Q1'!CW62,"n.a.")</f>
        <v>-0.26</v>
      </c>
      <c r="CU13" s="3768">
        <f>IF('Q1'!CX62&lt;&gt;"",'Q1'!CX62,"n.a.")</f>
        <v>-0.26</v>
      </c>
      <c r="CV13" s="3768">
        <f>IF('Q1'!CY62&lt;&gt;"",'Q1'!CY62,"n.a.")</f>
        <v>0.6</v>
      </c>
      <c r="CW13" s="3768">
        <f>IF('Q1'!CZ62&lt;&gt;"",'Q1'!CZ62,"n.a.")</f>
        <v>0.6</v>
      </c>
      <c r="CX13" s="3768">
        <f>IF('Q1'!DA62&lt;&gt;"",'Q1'!DA62,"n.a.")</f>
        <v>0.6</v>
      </c>
      <c r="CY13" s="3768">
        <f>IF('Q1'!DB62&lt;&gt;"",'Q1'!DB62,"n.a.")</f>
        <v>0.6</v>
      </c>
    </row>
    <row r="14" spans="1:103">
      <c r="A14" s="3768" t="str">
        <f t="shared" si="1"/>
        <v>\\DG ECFIN\Forecast\Country databases\Desk transfer databases\BE</v>
      </c>
      <c r="B14" s="3768" t="str">
        <f t="shared" si="2"/>
        <v>BE</v>
      </c>
      <c r="C14" s="3768" t="s">
        <v>2362</v>
      </c>
      <c r="D14" s="3768" t="s">
        <v>2170</v>
      </c>
      <c r="E14" s="3768" t="s">
        <v>2492</v>
      </c>
      <c r="F14" s="3768">
        <v>17</v>
      </c>
      <c r="G14" s="3768" t="s">
        <v>1387</v>
      </c>
      <c r="H14" s="3768">
        <f>IF('Q1'!K88&lt;&gt;"",'Q1'!K88,"n.a.")</f>
        <v>-1.5821371610845403</v>
      </c>
      <c r="I14" s="3768">
        <f>IF('Q1'!L88&lt;&gt;"",'Q1'!L88,"n.a.")</f>
        <v>0.26576780968432523</v>
      </c>
      <c r="J14" s="3768">
        <f>IF('Q1'!M88&lt;&gt;"",'Q1'!M88,"n.a.")</f>
        <v>1.2994569433669501</v>
      </c>
      <c r="K14" s="3768">
        <f>IF('Q1'!N88&lt;&gt;"",'Q1'!N88,"n.a.")</f>
        <v>2.1379794498691762</v>
      </c>
      <c r="L14" s="3768">
        <f>IF('Q1'!O88&lt;&gt;"",'Q1'!O88,"n.a.")</f>
        <v>2.0244938765308529</v>
      </c>
      <c r="M14" s="3768">
        <f>IF('Q1'!P88&lt;&gt;"",'Q1'!P88,"n.a.")</f>
        <v>2.3640372366486861</v>
      </c>
      <c r="N14" s="3768">
        <f>IF('Q1'!Q88&lt;&gt;"",'Q1'!Q88,"n.a.")</f>
        <v>-0.38889553667582621</v>
      </c>
      <c r="O14" s="3768">
        <f>IF('Q1'!R88&lt;&gt;"",'Q1'!R88,"n.a.")</f>
        <v>2.312451198270149</v>
      </c>
      <c r="P14" s="3768">
        <f>IF('Q1'!S88&lt;&gt;"",'Q1'!S88,"n.a.")</f>
        <v>-1.2386990724433389</v>
      </c>
      <c r="Q14" s="3768">
        <f>IF('Q1'!T88&lt;&gt;"",'Q1'!T88,"n.a.")</f>
        <v>0.26154669202878011</v>
      </c>
      <c r="R14" s="3768">
        <f>IF('Q1'!U88&lt;&gt;"",'Q1'!U88,"n.a.")</f>
        <v>1.9624118100432852</v>
      </c>
      <c r="S14" s="3768">
        <f>IF('Q1'!V88&lt;&gt;"",'Q1'!V88,"n.a.")</f>
        <v>1.6106524014420254</v>
      </c>
      <c r="T14" s="3768">
        <f>IF('Q1'!W88&lt;&gt;"",'Q1'!W88,"n.a.")</f>
        <v>0.3147353361945715</v>
      </c>
      <c r="U14" s="3768">
        <f>IF('Q1'!X88&lt;&gt;"",'Q1'!X88,"n.a.")</f>
        <v>1.5059897318881799</v>
      </c>
      <c r="V14" s="3768">
        <f>IF('Q1'!Y88&lt;&gt;"",'Q1'!Y88,"n.a.")</f>
        <v>0.46082949308756671</v>
      </c>
      <c r="W14" s="3768">
        <f>IF('Q1'!Z88&lt;&gt;"",'Q1'!Z88,"n.a.")</f>
        <v>-0.74960841351533469</v>
      </c>
      <c r="X14" s="3768">
        <f>IF('Q1'!AA88&lt;&gt;"",'Q1'!AA88,"n.a.")</f>
        <v>2.8745350016908811</v>
      </c>
      <c r="Y14" s="3768">
        <f>IF('Q1'!AB88&lt;&gt;"",'Q1'!AB88,"n.a.")</f>
        <v>0.88209511286434505</v>
      </c>
      <c r="Z14" s="3768">
        <f>IF('Q1'!AC88&lt;&gt;"",'Q1'!AC88,"n.a.")</f>
        <v>1.1513604518546661</v>
      </c>
      <c r="AA14" s="3768">
        <f>IF('Q1'!AD88&lt;&gt;"",'Q1'!AD88,"n.a.")</f>
        <v>0.66040268456375451</v>
      </c>
      <c r="AB14" s="3768">
        <f>IF('Q1'!AE88&lt;&gt;"",'Q1'!AE88,"n.a.")</f>
        <v>1.7441860465116088</v>
      </c>
      <c r="AC14" s="3768">
        <f>IF('Q1'!AF88&lt;&gt;"",'Q1'!AF88,"n.a.")</f>
        <v>-1.1533420707732556</v>
      </c>
      <c r="AD14" s="3768">
        <f>IF('Q1'!AG88&lt;&gt;"",'Q1'!AG88,"n.a.")</f>
        <v>1.0978520286396121</v>
      </c>
      <c r="AE14" s="3768">
        <f>IF('Q1'!AH88&lt;&gt;"",'Q1'!AH88,"n.a.")</f>
        <v>-4.2440457454621772</v>
      </c>
      <c r="AF14" s="3768">
        <f>IF('Q1'!AI88&lt;&gt;"",'Q1'!AI88,"n.a.")</f>
        <v>-1.643565441297179E-2</v>
      </c>
      <c r="AG14" s="3768">
        <f>IF('Q1'!AJ88&lt;&gt;"",'Q1'!AJ88,"n.a.")</f>
        <v>-1.452054794520552</v>
      </c>
      <c r="AH14" s="3768">
        <f>IF('Q1'!AK88&lt;&gt;"",'Q1'!AK88,"n.a.")</f>
        <v>-1.523491798721166</v>
      </c>
      <c r="AI14" s="3768">
        <f>IF('Q1'!AL88&lt;&gt;"",'Q1'!AL88,"n.a.")</f>
        <v>1.9310033312630592</v>
      </c>
      <c r="AJ14" s="3768">
        <f>IF('Q1'!AM88&lt;&gt;"",'Q1'!AM88,"n.a.")</f>
        <v>-0.47637511770898255</v>
      </c>
      <c r="AK14" s="3768">
        <f>IF('Q1'!AN88&lt;&gt;"",'Q1'!AN88,"n.a.")</f>
        <v>0.21149885901932119</v>
      </c>
      <c r="AL14" s="3768">
        <f>IF('Q1'!AO88&lt;&gt;"",'Q1'!AO88,"n.a.")</f>
        <v>-5.5540127742281786E-2</v>
      </c>
      <c r="AM14" s="3768">
        <f>IF('Q1'!AP88&lt;&gt;"",'Q1'!AP88,"n.a.")</f>
        <v>-1.4059460961378112</v>
      </c>
      <c r="AN14" s="3768">
        <f>IF('Q1'!AQ88&lt;&gt;"",'Q1'!AQ88,"n.a.")</f>
        <v>6.5043399842182437</v>
      </c>
      <c r="AO14" s="3768">
        <f>IF('Q1'!AR88&lt;&gt;"",'Q1'!AR88,"n.a.")</f>
        <v>3.0429720575783303</v>
      </c>
      <c r="AP14" s="3768">
        <f>IF('Q1'!AS88&lt;&gt;"",'Q1'!AS88,"n.a.")</f>
        <v>3.0352832417441356</v>
      </c>
      <c r="AQ14" s="3768">
        <f>IF('Q1'!AT88&lt;&gt;"",'Q1'!AT88,"n.a.")</f>
        <v>-2.0586182833217004</v>
      </c>
      <c r="AR14" s="3768">
        <f>IF('Q1'!AU88&lt;&gt;"",'Q1'!AU88,"n.a.")</f>
        <v>3.8933279047279834</v>
      </c>
      <c r="AS14" s="3768">
        <f>IF('Q1'!AV88&lt;&gt;"",'Q1'!AV88,"n.a.")</f>
        <v>3.9286763985500128</v>
      </c>
      <c r="AT14" s="3768">
        <f>IF('Q1'!AW88&lt;&gt;"",'Q1'!AW88,"n.a.")</f>
        <v>-2.1540346907994001</v>
      </c>
      <c r="AU14" s="3768">
        <f>IF('Q1'!AX88&lt;&gt;"",'Q1'!AX88,"n.a.")</f>
        <v>-1.5896719495158806</v>
      </c>
      <c r="AV14" s="3768">
        <f>IF('Q1'!AY88&lt;&gt;"",'Q1'!AY88,"n.a.")</f>
        <v>2.7412012335405578</v>
      </c>
      <c r="AW14" s="3768">
        <f>IF('Q1'!AZ88&lt;&gt;"",'Q1'!AZ88,"n.a.")</f>
        <v>-0.41926723521845677</v>
      </c>
      <c r="AX14" s="3768">
        <f>IF('Q1'!BA88&lt;&gt;"",'Q1'!BA88,"n.a.")</f>
        <v>1.7128367063776961</v>
      </c>
      <c r="AY14" s="3768">
        <f>IF('Q1'!BB88&lt;&gt;"",'Q1'!BB88,"n.a.")</f>
        <v>0.14582059363092981</v>
      </c>
      <c r="AZ14" s="3768">
        <f>IF('Q1'!BC88&lt;&gt;"",'Q1'!BC88,"n.a.")</f>
        <v>3.2785345232503538</v>
      </c>
      <c r="BA14" s="3768">
        <f>IF('Q1'!BD88&lt;&gt;"",'Q1'!BD88,"n.a.")</f>
        <v>1.4371475350190899</v>
      </c>
      <c r="BB14" s="3768">
        <f>IF('Q1'!BE88&lt;&gt;"",'Q1'!BE88,"n.a.")</f>
        <v>1.9323888091822061</v>
      </c>
      <c r="BC14" s="3768">
        <f>IF('Q1'!BF88&lt;&gt;"",'Q1'!BF88,"n.a.")</f>
        <v>1.675830217725971</v>
      </c>
      <c r="BD14" s="3768">
        <f>IF('Q1'!BG88&lt;&gt;"",'Q1'!BG88,"n.a.")</f>
        <v>0.71811732133586492</v>
      </c>
      <c r="BE14" s="3768">
        <f>IF('Q1'!BH88&lt;&gt;"",'Q1'!BH88,"n.a.")</f>
        <v>9.8788763851898054E-2</v>
      </c>
      <c r="BF14" s="3768">
        <f>IF('Q1'!BI88&lt;&gt;"",'Q1'!BI88,"n.a.")</f>
        <v>-2.1025531001930831</v>
      </c>
      <c r="BG14" s="3768">
        <f>IF('Q1'!BJ88&lt;&gt;"",'Q1'!BJ88,"n.a.")</f>
        <v>-1.6129739206662386</v>
      </c>
      <c r="BH14" s="3768">
        <f>IF('Q1'!BK88&lt;&gt;"",'Q1'!BK88,"n.a.")</f>
        <v>-3.0605426114848178</v>
      </c>
      <c r="BI14" s="3768">
        <f>IF('Q1'!BL88&lt;&gt;"",'Q1'!BL88,"n.a.")</f>
        <v>-1.0018382352941169</v>
      </c>
      <c r="BJ14" s="3768">
        <f>IF('Q1'!BM88&lt;&gt;"",'Q1'!BM88,"n.a.")</f>
        <v>-2.0285953022003533</v>
      </c>
      <c r="BK14" s="3768">
        <f>IF('Q1'!BN88&lt;&gt;"",'Q1'!BN88,"n.a.")</f>
        <v>1.1750769959725238</v>
      </c>
      <c r="BL14" s="3768">
        <f>IF('Q1'!BO88&lt;&gt;"",'Q1'!BO88,"n.a.")</f>
        <v>-1.6437971245258365</v>
      </c>
      <c r="BM14" s="3768">
        <f>IF('Q1'!BP88&lt;&gt;"",'Q1'!BP88,"n.a.")</f>
        <v>0.18093514903343433</v>
      </c>
      <c r="BN14" s="3768">
        <f>IF('Q1'!BQ88&lt;&gt;"",'Q1'!BQ88,"n.a.")</f>
        <v>1.7870722433460218</v>
      </c>
      <c r="BO14" s="3768">
        <f>IF('Q1'!BR88&lt;&gt;"",'Q1'!BR88,"n.a.")</f>
        <v>0.80780724691817962</v>
      </c>
      <c r="BP14" s="3768">
        <f>IF('Q1'!BS88&lt;&gt;"",'Q1'!BS88,"n.a.")</f>
        <v>0.93566167955905222</v>
      </c>
      <c r="BQ14" s="3768">
        <f>IF('Q1'!BT88&lt;&gt;"",'Q1'!BT88,"n.a.")</f>
        <v>1.9182231196365418</v>
      </c>
      <c r="BR14" s="3768">
        <f>IF('Q1'!BU88&lt;&gt;"",'Q1'!BU88,"n.a.")</f>
        <v>-0.2026205592327357</v>
      </c>
      <c r="BS14" s="3768">
        <f>IF('Q1'!BV88&lt;&gt;"",'Q1'!BV88,"n.a.")</f>
        <v>1.3896408590507114</v>
      </c>
      <c r="BT14" s="3768">
        <f>IF('Q1'!BW88&lt;&gt;"",'Q1'!BW88,"n.a.")</f>
        <v>-0.80989676041296477</v>
      </c>
      <c r="BU14" s="3768">
        <f>IF('Q1'!BX88&lt;&gt;"",'Q1'!BX88,"n.a.")</f>
        <v>0.24226110363392284</v>
      </c>
      <c r="BV14" s="3768">
        <f>IF('Q1'!BY88&lt;&gt;"",'Q1'!BY88,"n.a.")</f>
        <v>-0.29090583601862896</v>
      </c>
      <c r="BW14" s="3768">
        <f>IF('Q1'!BZ88&lt;&gt;"",'Q1'!BZ88,"n.a.")</f>
        <v>-1.7101306162754182</v>
      </c>
      <c r="BX14" s="3768">
        <f>IF('Q1'!CA88&lt;&gt;"",'Q1'!CA88,"n.a.")</f>
        <v>-0.73066033427710009</v>
      </c>
      <c r="BY14" s="3768">
        <f>IF('Q1'!CB88&lt;&gt;"",'Q1'!CB88,"n.a.")</f>
        <v>0.62563253289171783</v>
      </c>
      <c r="BZ14" s="3768">
        <f>IF('Q1'!CC88&lt;&gt;"",'Q1'!CC88,"n.a.")</f>
        <v>0.25601170339215606</v>
      </c>
      <c r="CA14" s="3768">
        <f>IF('Q1'!CD88&lt;&gt;"",'Q1'!CD88,"n.a.")</f>
        <v>7.2959416324680504E-2</v>
      </c>
      <c r="CB14" s="3768">
        <f>IF('Q1'!CE88&lt;&gt;"",'Q1'!CE88,"n.a.")</f>
        <v>1.8135423311765209</v>
      </c>
      <c r="CC14" s="3768">
        <f>IF('Q1'!CF88&lt;&gt;"",'Q1'!CF88,"n.a.")</f>
        <v>1.6872538489079769</v>
      </c>
      <c r="CD14" s="3768">
        <f>IF('Q1'!CG88&lt;&gt;"",'Q1'!CG88,"n.a.")</f>
        <v>7.4732626204832453</v>
      </c>
      <c r="CE14" s="3768">
        <f>IF('Q1'!CH88&lt;&gt;"",'Q1'!CH88,"n.a.")</f>
        <v>-4.9060158073631177</v>
      </c>
      <c r="CF14" s="3768">
        <f>IF('Q1'!CI88&lt;&gt;"",'Q1'!CI88,"n.a.")</f>
        <v>9.6335213815081033</v>
      </c>
      <c r="CG14" s="3768">
        <f>IF('Q1'!CJ88&lt;&gt;"",'Q1'!CJ88,"n.a.")</f>
        <v>-10.574279204965043</v>
      </c>
      <c r="CH14" s="3768">
        <f>IF('Q1'!CK88&lt;&gt;"",'Q1'!CK88,"n.a.")</f>
        <v>2.6706492137397841</v>
      </c>
      <c r="CI14" s="3768">
        <f>IF('Q1'!CL88&lt;&gt;"",'Q1'!CL88,"n.a.")</f>
        <v>0.91554718918458455</v>
      </c>
      <c r="CJ14" s="3768">
        <f>IF('Q1'!CM88&lt;&gt;"",'Q1'!CM88,"n.a.")</f>
        <v>1.5389180939460623</v>
      </c>
      <c r="CK14" s="3768">
        <f>IF('Q1'!CN88&lt;&gt;"",'Q1'!CN88,"n.a.")</f>
        <v>0.709782472548115</v>
      </c>
      <c r="CL14" s="3768">
        <f>IF('Q1'!CO88&lt;&gt;"",'Q1'!CO88,"n.a.")</f>
        <v>7.7857468595829316</v>
      </c>
      <c r="CM14" s="3768">
        <f>IF('Q1'!CP88&lt;&gt;"",'Q1'!CP88,"n.a.")</f>
        <v>-5.5963690911188806</v>
      </c>
      <c r="CN14" s="3768">
        <f>IF('Q1'!CQ88&lt;&gt;"",'Q1'!CQ88,"n.a.")</f>
        <v>0.19964146023467855</v>
      </c>
      <c r="CO14" s="3768">
        <f>IF('Q1'!CR88&lt;&gt;"",'Q1'!CR88,"n.a.")</f>
        <v>0.87423250518439133</v>
      </c>
      <c r="CP14" s="3768">
        <f>IF('Q1'!CS88&lt;&gt;"",'Q1'!CS88,"n.a.")</f>
        <v>1.1528539180909458</v>
      </c>
      <c r="CQ14" s="3768">
        <f>IF('Q1'!CT88&lt;&gt;"",'Q1'!CT88,"n.a.")</f>
        <v>7.9700326771403596E-3</v>
      </c>
      <c r="CR14" s="3768">
        <f>IF('Q1'!CU88&lt;&gt;"",'Q1'!CU88,"n.a.")</f>
        <v>1.2118664328976569</v>
      </c>
      <c r="CS14" s="3768">
        <f>IF('Q1'!CV88&lt;&gt;"",'Q1'!CV88,"n.a.")</f>
        <v>1.2674108360862801</v>
      </c>
      <c r="CT14" s="3768">
        <f>IF('Q1'!CW88&lt;&gt;"",'Q1'!CW88,"n.a.")</f>
        <v>1.2693063030658314</v>
      </c>
      <c r="CU14" s="3768">
        <f>IF('Q1'!CX88&lt;&gt;"",'Q1'!CX88,"n.a.")</f>
        <v>1.271196260444496</v>
      </c>
      <c r="CV14" s="3768">
        <f>IF('Q1'!CY88&lt;&gt;"",'Q1'!CY88,"n.a.")</f>
        <v>0.35075487953128981</v>
      </c>
      <c r="CW14" s="3768">
        <f>IF('Q1'!CZ88&lt;&gt;"",'Q1'!CZ88,"n.a.")</f>
        <v>0.35125009969576571</v>
      </c>
      <c r="CX14" s="3768">
        <f>IF('Q1'!DA88&lt;&gt;"",'Q1'!DA88,"n.a.")</f>
        <v>0.26876027108759803</v>
      </c>
      <c r="CY14" s="3768">
        <f>IF('Q1'!DB88&lt;&gt;"",'Q1'!DB88,"n.a.")</f>
        <v>0.24804898476988857</v>
      </c>
    </row>
    <row r="15" spans="1:103">
      <c r="A15" s="3768" t="str">
        <f t="shared" si="1"/>
        <v>\\DG ECFIN\Forecast\Country databases\Desk transfer databases\BE</v>
      </c>
      <c r="B15" s="3768" t="str">
        <f t="shared" si="2"/>
        <v>BE</v>
      </c>
      <c r="C15" s="3768" t="s">
        <v>2362</v>
      </c>
      <c r="D15" s="3768" t="s">
        <v>2363</v>
      </c>
      <c r="E15" s="3768" t="s">
        <v>2492</v>
      </c>
      <c r="F15" s="3768">
        <v>18</v>
      </c>
      <c r="G15" s="3768" t="s">
        <v>1388</v>
      </c>
      <c r="H15" s="3768">
        <f>IF('Q1'!K111&lt;&gt;"",'Q1'!K111,"n.a.")</f>
        <v>-9.6375220859890032E-2</v>
      </c>
      <c r="I15" s="3768">
        <f>IF('Q1'!L111&lt;&gt;"",'Q1'!L111,"n.a.")</f>
        <v>0.49841899351519281</v>
      </c>
      <c r="J15" s="3768">
        <f>IF('Q1'!M111&lt;&gt;"",'Q1'!M111,"n.a.")</f>
        <v>0.57193899317407038</v>
      </c>
      <c r="K15" s="3768">
        <f>IF('Q1'!N111&lt;&gt;"",'Q1'!N111,"n.a.")</f>
        <v>0.56073279690338484</v>
      </c>
      <c r="L15" s="3768">
        <f>IF('Q1'!O111&lt;&gt;"",'Q1'!O111,"n.a.")</f>
        <v>0.58528868969154324</v>
      </c>
      <c r="M15" s="3768">
        <f>IF('Q1'!P111&lt;&gt;"",'Q1'!P111,"n.a.")</f>
        <v>0.96980499056404934</v>
      </c>
      <c r="N15" s="3768">
        <f>IF('Q1'!Q111&lt;&gt;"",'Q1'!Q111,"n.a.")</f>
        <v>0.31021234619179605</v>
      </c>
      <c r="O15" s="3768">
        <f>IF('Q1'!R111&lt;&gt;"",'Q1'!R111,"n.a.")</f>
        <v>0.76730975764398579</v>
      </c>
      <c r="P15" s="3768">
        <f>IF('Q1'!S111&lt;&gt;"",'Q1'!S111,"n.a.")</f>
        <v>0.27351173660690176</v>
      </c>
      <c r="Q15" s="3768">
        <f>IF('Q1'!T111&lt;&gt;"",'Q1'!T111,"n.a.")</f>
        <v>0.75042579620689942</v>
      </c>
      <c r="R15" s="3768">
        <f>IF('Q1'!U111&lt;&gt;"",'Q1'!U111,"n.a.")</f>
        <v>0.94820463933906751</v>
      </c>
      <c r="S15" s="3768">
        <f>IF('Q1'!V111&lt;&gt;"",'Q1'!V111,"n.a.")</f>
        <v>0.57793278855717833</v>
      </c>
      <c r="T15" s="3768">
        <f>IF('Q1'!W111&lt;&gt;"",'Q1'!W111,"n.a.")</f>
        <v>0.25663495242864709</v>
      </c>
      <c r="U15" s="3768">
        <f>IF('Q1'!X111&lt;&gt;"",'Q1'!X111,"n.a.")</f>
        <v>0.77417743647374415</v>
      </c>
      <c r="V15" s="3768">
        <f>IF('Q1'!Y111&lt;&gt;"",'Q1'!Y111,"n.a.")</f>
        <v>0.68645065361501167</v>
      </c>
      <c r="W15" s="3768">
        <f>IF('Q1'!Z111&lt;&gt;"",'Q1'!Z111,"n.a.")</f>
        <v>0.31504202611403187</v>
      </c>
      <c r="X15" s="3768">
        <f>IF('Q1'!AA111&lt;&gt;"",'Q1'!AA111,"n.a.")</f>
        <v>1.3224559896951593</v>
      </c>
      <c r="Y15" s="3768">
        <f>IF('Q1'!AB111&lt;&gt;"",'Q1'!AB111,"n.a.")</f>
        <v>0.71192473938468392</v>
      </c>
      <c r="Z15" s="3768">
        <f>IF('Q1'!AC111&lt;&gt;"",'Q1'!AC111,"n.a.")</f>
        <v>0.82590976304683927</v>
      </c>
      <c r="AA15" s="3768">
        <f>IF('Q1'!AD111&lt;&gt;"",'Q1'!AD111,"n.a.")</f>
        <v>0.71064053035723163</v>
      </c>
      <c r="AB15" s="3768">
        <f>IF('Q1'!AE111&lt;&gt;"",'Q1'!AE111,"n.a.")</f>
        <v>0.45226368630422176</v>
      </c>
      <c r="AC15" s="3768">
        <f>IF('Q1'!AF111&lt;&gt;"",'Q1'!AF111,"n.a.")</f>
        <v>-0.29700869811188912</v>
      </c>
      <c r="AD15" s="3768">
        <f>IF('Q1'!AG111&lt;&gt;"",'Q1'!AG111,"n.a.")</f>
        <v>8.2748185450509659E-2</v>
      </c>
      <c r="AE15" s="3768">
        <f>IF('Q1'!AH111&lt;&gt;"",'Q1'!AH111,"n.a.")</f>
        <v>-1.032315978456011</v>
      </c>
      <c r="AF15" s="3768">
        <f>IF('Q1'!AI111&lt;&gt;"",'Q1'!AI111,"n.a.")</f>
        <v>0.44516052034848652</v>
      </c>
      <c r="AG15" s="3768">
        <f>IF('Q1'!AJ111&lt;&gt;"",'Q1'!AJ111,"n.a.")</f>
        <v>7.3666575573594351E-2</v>
      </c>
      <c r="AH15" s="3768">
        <f>IF('Q1'!AK111&lt;&gt;"",'Q1'!AK111,"n.a.")</f>
        <v>8.4298011279315688E-2</v>
      </c>
      <c r="AI15" s="3768">
        <f>IF('Q1'!AL111&lt;&gt;"",'Q1'!AL111,"n.a.")</f>
        <v>0.67856126032075359</v>
      </c>
      <c r="AJ15" s="3768">
        <f>IF('Q1'!AM111&lt;&gt;"",'Q1'!AM111,"n.a.")</f>
        <v>-0.26511759438185845</v>
      </c>
      <c r="AK15" s="3768">
        <f>IF('Q1'!AN111&lt;&gt;"",'Q1'!AN111,"n.a.")</f>
        <v>4.3713006391565834E-2</v>
      </c>
      <c r="AL15" s="3768">
        <f>IF('Q1'!AO111&lt;&gt;"",'Q1'!AO111,"n.a.")</f>
        <v>0.24563060935285375</v>
      </c>
      <c r="AM15" s="3768">
        <f>IF('Q1'!AP111&lt;&gt;"",'Q1'!AP111,"n.a.")</f>
        <v>0.32513429459994914</v>
      </c>
      <c r="AN15" s="3768">
        <f>IF('Q1'!AQ111&lt;&gt;"",'Q1'!AQ111,"n.a.")</f>
        <v>1.7519139542529816</v>
      </c>
      <c r="AO15" s="3768">
        <f>IF('Q1'!AR111&lt;&gt;"",'Q1'!AR111,"n.a.")</f>
        <v>0.80086779911372474</v>
      </c>
      <c r="AP15" s="3768">
        <f>IF('Q1'!AS111&lt;&gt;"",'Q1'!AS111,"n.a.")</f>
        <v>0.78534630795650262</v>
      </c>
      <c r="AQ15" s="3768">
        <f>IF('Q1'!AT111&lt;&gt;"",'Q1'!AT111,"n.a.")</f>
        <v>-0.15334635830797083</v>
      </c>
      <c r="AR15" s="3768">
        <f>IF('Q1'!AU111&lt;&gt;"",'Q1'!AU111,"n.a.")</f>
        <v>0.95562052763904504</v>
      </c>
      <c r="AS15" s="3768">
        <f>IF('Q1'!AV111&lt;&gt;"",'Q1'!AV111,"n.a.")</f>
        <v>1.0615160974070781</v>
      </c>
      <c r="AT15" s="3768">
        <f>IF('Q1'!AW111&lt;&gt;"",'Q1'!AW111,"n.a.")</f>
        <v>-0.1438399696709558</v>
      </c>
      <c r="AU15" s="3768">
        <f>IF('Q1'!AX111&lt;&gt;"",'Q1'!AX111,"n.a.")</f>
        <v>2.3449538825737193E-2</v>
      </c>
      <c r="AV15" s="3768">
        <f>IF('Q1'!AY111&lt;&gt;"",'Q1'!AY111,"n.a.")</f>
        <v>0.81942506279653049</v>
      </c>
      <c r="AW15" s="3768">
        <f>IF('Q1'!AZ111&lt;&gt;"",'Q1'!AZ111,"n.a.")</f>
        <v>7.1975107685839923E-2</v>
      </c>
      <c r="AX15" s="3768">
        <f>IF('Q1'!BA111&lt;&gt;"",'Q1'!BA111,"n.a.")</f>
        <v>0.5410848252816125</v>
      </c>
      <c r="AY15" s="3768">
        <f>IF('Q1'!BB111&lt;&gt;"",'Q1'!BB111,"n.a.")</f>
        <v>0.38849696796274813</v>
      </c>
      <c r="AZ15" s="3768">
        <f>IF('Q1'!BC111&lt;&gt;"",'Q1'!BC111,"n.a.")</f>
        <v>1.1960620943694211</v>
      </c>
      <c r="BA15" s="3768">
        <f>IF('Q1'!BD111&lt;&gt;"",'Q1'!BD111,"n.a.")</f>
        <v>0.7106719967066244</v>
      </c>
      <c r="BB15" s="3768">
        <f>IF('Q1'!BE111&lt;&gt;"",'Q1'!BE111,"n.a.")</f>
        <v>0.89497972311565199</v>
      </c>
      <c r="BC15" s="3768">
        <f>IF('Q1'!BF111&lt;&gt;"",'Q1'!BF111,"n.a.")</f>
        <v>0.85292392984699372</v>
      </c>
      <c r="BD15" s="3768">
        <f>IF('Q1'!BG111&lt;&gt;"",'Q1'!BG111,"n.a.")</f>
        <v>0.86791056609756279</v>
      </c>
      <c r="BE15" s="3768">
        <f>IF('Q1'!BH111&lt;&gt;"",'Q1'!BH111,"n.a.")</f>
        <v>0.37415108577176781</v>
      </c>
      <c r="BF15" s="3768">
        <f>IF('Q1'!BI111&lt;&gt;"",'Q1'!BI111,"n.a.")</f>
        <v>-0.43436041473066123</v>
      </c>
      <c r="BG15" s="3768">
        <f>IF('Q1'!BJ111&lt;&gt;"",'Q1'!BJ111,"n.a.")</f>
        <v>-0.72779135249640969</v>
      </c>
      <c r="BH15" s="3768">
        <f>IF('Q1'!BK111&lt;&gt;"",'Q1'!BK111,"n.a.")</f>
        <v>-0.90531675522641519</v>
      </c>
      <c r="BI15" s="3768">
        <f>IF('Q1'!BL111&lt;&gt;"",'Q1'!BL111,"n.a.")</f>
        <v>0.21640406797005518</v>
      </c>
      <c r="BJ15" s="3768">
        <f>IF('Q1'!BM111&lt;&gt;"",'Q1'!BM111,"n.a.")</f>
        <v>0.25742216170792087</v>
      </c>
      <c r="BK15" s="3768">
        <f>IF('Q1'!BN111&lt;&gt;"",'Q1'!BN111,"n.a.")</f>
        <v>0.87320028434711983</v>
      </c>
      <c r="BL15" s="3768">
        <f>IF('Q1'!BO111&lt;&gt;"",'Q1'!BO111,"n.a.")</f>
        <v>0.12726928497799328</v>
      </c>
      <c r="BM15" s="3768">
        <f>IF('Q1'!BP111&lt;&gt;"",'Q1'!BP111,"n.a.")</f>
        <v>0.21954934607910648</v>
      </c>
      <c r="BN15" s="3768">
        <f>IF('Q1'!BQ111&lt;&gt;"",'Q1'!BQ111,"n.a.")</f>
        <v>0.38677623579723708</v>
      </c>
      <c r="BO15" s="3768">
        <f>IF('Q1'!BR111&lt;&gt;"",'Q1'!BR111,"n.a.")</f>
        <v>0.55548014576132232</v>
      </c>
      <c r="BP15" s="3768">
        <f>IF('Q1'!BS111&lt;&gt;"",'Q1'!BS111,"n.a.")</f>
        <v>9.6568194797774787E-2</v>
      </c>
      <c r="BQ15" s="3768">
        <f>IF('Q1'!BT111&lt;&gt;"",'Q1'!BT111,"n.a.")</f>
        <v>0.48859934853420217</v>
      </c>
      <c r="BR15" s="3768">
        <f>IF('Q1'!BU111&lt;&gt;"",'Q1'!BU111,"n.a.")</f>
        <v>0.30866427856177658</v>
      </c>
      <c r="BS15" s="3768">
        <f>IF('Q1'!BV111&lt;&gt;"",'Q1'!BV111,"n.a.")</f>
        <v>0.38490037872549454</v>
      </c>
      <c r="BT15" s="3768">
        <f>IF('Q1'!BW111&lt;&gt;"",'Q1'!BW111,"n.a.")</f>
        <v>5.2285169465449144E-2</v>
      </c>
      <c r="BU15" s="3768">
        <f>IF('Q1'!BX111&lt;&gt;"",'Q1'!BX111,"n.a.")</f>
        <v>0.1711188302439659</v>
      </c>
      <c r="BV15" s="3768">
        <f>IF('Q1'!BY111&lt;&gt;"",'Q1'!BY111,"n.a.")</f>
        <v>6.8535188216056753E-2</v>
      </c>
      <c r="BW15" s="3768">
        <f>IF('Q1'!BZ111&lt;&gt;"",'Q1'!BZ111,"n.a.")</f>
        <v>-0.16764287977756309</v>
      </c>
      <c r="BX15" s="3768">
        <f>IF('Q1'!CA111&lt;&gt;"",'Q1'!CA111,"n.a.")</f>
        <v>-4.8124673622551573E-2</v>
      </c>
      <c r="BY15" s="3768">
        <f>IF('Q1'!CB111&lt;&gt;"",'Q1'!CB111,"n.a.")</f>
        <v>0.16185871168661325</v>
      </c>
      <c r="BZ15" s="3768">
        <f>IF('Q1'!CC111&lt;&gt;"",'Q1'!CC111,"n.a.")</f>
        <v>0.26694213185509685</v>
      </c>
      <c r="CA15" s="3768">
        <f>IF('Q1'!CD111&lt;&gt;"",'Q1'!CD111,"n.a.")</f>
        <v>-0.10506451777425596</v>
      </c>
      <c r="CB15" s="3768">
        <f>IF('Q1'!CE111&lt;&gt;"",'Q1'!CE111,"n.a.")</f>
        <v>0.583057631826156</v>
      </c>
      <c r="CC15" s="3768">
        <f>IF('Q1'!CF111&lt;&gt;"",'Q1'!CF111,"n.a.")</f>
        <v>0.46800605057715217</v>
      </c>
      <c r="CD15" s="3768">
        <f>IF('Q1'!CG111&lt;&gt;"",'Q1'!CG111,"n.a.")</f>
        <v>2.0037589426457947</v>
      </c>
      <c r="CE15" s="3768">
        <f>IF('Q1'!CH111&lt;&gt;"",'Q1'!CH111,"n.a.")</f>
        <v>-0.87372581651756764</v>
      </c>
      <c r="CF15" s="3768">
        <f>IF('Q1'!CI111&lt;&gt;"",'Q1'!CI111,"n.a.")</f>
        <v>2.2235546894518565</v>
      </c>
      <c r="CG15" s="3768">
        <f>IF('Q1'!CJ111&lt;&gt;"",'Q1'!CJ111,"n.a.")</f>
        <v>-2.4850914067846341</v>
      </c>
      <c r="CH15" s="3768">
        <f>IF('Q1'!CK111&lt;&gt;"",'Q1'!CK111,"n.a.")</f>
        <v>0.62256887356137991</v>
      </c>
      <c r="CI15" s="3768">
        <f>IF('Q1'!CL111&lt;&gt;"",'Q1'!CL111,"n.a.")</f>
        <v>0.50613237154899515</v>
      </c>
      <c r="CJ15" s="3768">
        <f>IF('Q1'!CM111&lt;&gt;"",'Q1'!CM111,"n.a.")</f>
        <v>0.71274918960713141</v>
      </c>
      <c r="CK15" s="3768">
        <f>IF('Q1'!CN111&lt;&gt;"",'Q1'!CN111,"n.a.")</f>
        <v>0.44293082404818218</v>
      </c>
      <c r="CL15" s="3768">
        <f>IF('Q1'!CO111&lt;&gt;"",'Q1'!CO111,"n.a.")</f>
        <v>2.0774944632812709</v>
      </c>
      <c r="CM15" s="3768">
        <f>IF('Q1'!CP111&lt;&gt;"",'Q1'!CP111,"n.a.")</f>
        <v>-1.2182477967858873</v>
      </c>
      <c r="CN15" s="3768">
        <f>IF('Q1'!CQ111&lt;&gt;"",'Q1'!CQ111,"n.a.")</f>
        <v>0.17201667687103406</v>
      </c>
      <c r="CO15" s="3768">
        <f>IF('Q1'!CR111&lt;&gt;"",'Q1'!CR111,"n.a.")</f>
        <v>0.50837262549234818</v>
      </c>
      <c r="CP15" s="3768">
        <f>IF('Q1'!CS111&lt;&gt;"",'Q1'!CS111,"n.a.")</f>
        <v>0.4807042607000378</v>
      </c>
      <c r="CQ15" s="3768">
        <f>IF('Q1'!CT111&lt;&gt;"",'Q1'!CT111,"n.a.")</f>
        <v>0.25553335382724196</v>
      </c>
      <c r="CR15" s="3768">
        <f>IF('Q1'!CU111&lt;&gt;"",'Q1'!CU111,"n.a.")</f>
        <v>0.50355800003831774</v>
      </c>
      <c r="CS15" s="3768">
        <f>IF('Q1'!CV111&lt;&gt;"",'Q1'!CV111,"n.a.")</f>
        <v>0.51961113247069868</v>
      </c>
      <c r="CT15" s="3768">
        <f>IF('Q1'!CW111&lt;&gt;"",'Q1'!CW111,"n.a.")</f>
        <v>0.52286761830309114</v>
      </c>
      <c r="CU15" s="3768">
        <f>IF('Q1'!CX111&lt;&gt;"",'Q1'!CX111,"n.a.")</f>
        <v>0.52613168181772085</v>
      </c>
      <c r="CV15" s="3768">
        <f>IF('Q1'!CY111&lt;&gt;"",'Q1'!CY111,"n.a.")</f>
        <v>0.42675568179741941</v>
      </c>
      <c r="CW15" s="3768">
        <f>IF('Q1'!CZ111&lt;&gt;"",'Q1'!CZ111,"n.a.")</f>
        <v>0.42437861149153822</v>
      </c>
      <c r="CX15" s="3768">
        <f>IF('Q1'!DA111&lt;&gt;"",'Q1'!DA111,"n.a.")</f>
        <v>0.40407966192754774</v>
      </c>
      <c r="CY15" s="3768">
        <f>IF('Q1'!DB111&lt;&gt;"",'Q1'!DB111,"n.a.")</f>
        <v>0.39910377553002974</v>
      </c>
    </row>
    <row r="16" spans="1:103">
      <c r="A16" s="3768" t="str">
        <f t="shared" si="1"/>
        <v>\\DG ECFIN\Forecast\Country databases\Desk transfer databases\BE</v>
      </c>
      <c r="B16" s="3768" t="str">
        <f t="shared" si="2"/>
        <v>BE</v>
      </c>
      <c r="C16" s="3768" t="s">
        <v>2362</v>
      </c>
      <c r="D16" s="3768" t="s">
        <v>2174</v>
      </c>
      <c r="E16" s="3768" t="s">
        <v>2492</v>
      </c>
      <c r="F16" s="3768">
        <v>19</v>
      </c>
      <c r="G16" s="3768" t="s">
        <v>653</v>
      </c>
      <c r="H16" s="3768">
        <f>IF('Q1'!K125&lt;&gt;"",'Q1'!K125,"n.a.")</f>
        <v>0</v>
      </c>
      <c r="I16" s="3768">
        <f>IF('Q1'!L125&lt;&gt;"",'Q1'!L125,"n.a.")</f>
        <v>0</v>
      </c>
      <c r="J16" s="3768">
        <f>IF('Q1'!M125&lt;&gt;"",'Q1'!M125,"n.a.")</f>
        <v>0</v>
      </c>
      <c r="K16" s="3768">
        <f>IF('Q1'!N125&lt;&gt;"",'Q1'!N125,"n.a.")</f>
        <v>0</v>
      </c>
      <c r="L16" s="3768">
        <f>IF('Q1'!O125&lt;&gt;"",'Q1'!O125,"n.a.")</f>
        <v>0</v>
      </c>
      <c r="M16" s="3768">
        <f>IF('Q1'!P125&lt;&gt;"",'Q1'!P125,"n.a.")</f>
        <v>0</v>
      </c>
      <c r="N16" s="3768">
        <f>IF('Q1'!Q125&lt;&gt;"",'Q1'!Q125,"n.a.")</f>
        <v>0</v>
      </c>
      <c r="O16" s="3768">
        <f>IF('Q1'!R125&lt;&gt;"",'Q1'!R125,"n.a.")</f>
        <v>0</v>
      </c>
      <c r="P16" s="3768">
        <f>IF('Q1'!S125&lt;&gt;"",'Q1'!S125,"n.a.")</f>
        <v>0</v>
      </c>
      <c r="Q16" s="3768">
        <f>IF('Q1'!T125&lt;&gt;"",'Q1'!T125,"n.a.")</f>
        <v>0</v>
      </c>
      <c r="R16" s="3768">
        <f>IF('Q1'!U125&lt;&gt;"",'Q1'!U125,"n.a.")</f>
        <v>0</v>
      </c>
      <c r="S16" s="3768">
        <f>IF('Q1'!V125&lt;&gt;"",'Q1'!V125,"n.a.")</f>
        <v>0</v>
      </c>
      <c r="T16" s="3768">
        <f>IF('Q1'!W125&lt;&gt;"",'Q1'!W125,"n.a.")</f>
        <v>0</v>
      </c>
      <c r="U16" s="3768">
        <f>IF('Q1'!X125&lt;&gt;"",'Q1'!X125,"n.a.")</f>
        <v>0</v>
      </c>
      <c r="V16" s="3768">
        <f>IF('Q1'!Y125&lt;&gt;"",'Q1'!Y125,"n.a.")</f>
        <v>0</v>
      </c>
      <c r="W16" s="3768">
        <f>IF('Q1'!Z125&lt;&gt;"",'Q1'!Z125,"n.a.")</f>
        <v>0</v>
      </c>
      <c r="X16" s="3768">
        <f>IF('Q1'!AA125&lt;&gt;"",'Q1'!AA125,"n.a.")</f>
        <v>0</v>
      </c>
      <c r="Y16" s="3768">
        <f>IF('Q1'!AB125&lt;&gt;"",'Q1'!AB125,"n.a.")</f>
        <v>0</v>
      </c>
      <c r="Z16" s="3768">
        <f>IF('Q1'!AC125&lt;&gt;"",'Q1'!AC125,"n.a.")</f>
        <v>0</v>
      </c>
      <c r="AA16" s="3768">
        <f>IF('Q1'!AD125&lt;&gt;"",'Q1'!AD125,"n.a.")</f>
        <v>0</v>
      </c>
      <c r="AB16" s="3768">
        <f>IF('Q1'!AE125&lt;&gt;"",'Q1'!AE125,"n.a.")</f>
        <v>0</v>
      </c>
      <c r="AC16" s="3768">
        <f>IF('Q1'!AF125&lt;&gt;"",'Q1'!AF125,"n.a.")</f>
        <v>0</v>
      </c>
      <c r="AD16" s="3768">
        <f>IF('Q1'!AG125&lt;&gt;"",'Q1'!AG125,"n.a.")</f>
        <v>0</v>
      </c>
      <c r="AE16" s="3768">
        <f>IF('Q1'!AH125&lt;&gt;"",'Q1'!AH125,"n.a.")</f>
        <v>0</v>
      </c>
      <c r="AF16" s="3768">
        <f>IF('Q1'!AI125&lt;&gt;"",'Q1'!AI125,"n.a.")</f>
        <v>0</v>
      </c>
      <c r="AG16" s="3768">
        <f>IF('Q1'!AJ125&lt;&gt;"",'Q1'!AJ125,"n.a.")</f>
        <v>0</v>
      </c>
      <c r="AH16" s="3768">
        <f>IF('Q1'!AK125&lt;&gt;"",'Q1'!AK125,"n.a.")</f>
        <v>0</v>
      </c>
      <c r="AI16" s="3768">
        <f>IF('Q1'!AL125&lt;&gt;"",'Q1'!AL125,"n.a.")</f>
        <v>0</v>
      </c>
      <c r="AJ16" s="3768">
        <f>IF('Q1'!AM125&lt;&gt;"",'Q1'!AM125,"n.a.")</f>
        <v>0</v>
      </c>
      <c r="AK16" s="3768">
        <f>IF('Q1'!AN125&lt;&gt;"",'Q1'!AN125,"n.a.")</f>
        <v>0</v>
      </c>
      <c r="AL16" s="3768">
        <f>IF('Q1'!AO125&lt;&gt;"",'Q1'!AO125,"n.a.")</f>
        <v>0</v>
      </c>
      <c r="AM16" s="3768">
        <f>IF('Q1'!AP125&lt;&gt;"",'Q1'!AP125,"n.a.")</f>
        <v>0</v>
      </c>
      <c r="AN16" s="3768">
        <f>IF('Q1'!AQ125&lt;&gt;"",'Q1'!AQ125,"n.a.")</f>
        <v>0</v>
      </c>
      <c r="AO16" s="3768">
        <f>IF('Q1'!AR125&lt;&gt;"",'Q1'!AR125,"n.a.")</f>
        <v>0</v>
      </c>
      <c r="AP16" s="3768">
        <f>IF('Q1'!AS125&lt;&gt;"",'Q1'!AS125,"n.a.")</f>
        <v>0</v>
      </c>
      <c r="AQ16" s="3768">
        <f>IF('Q1'!AT125&lt;&gt;"",'Q1'!AT125,"n.a.")</f>
        <v>0</v>
      </c>
      <c r="AR16" s="3768">
        <f>IF('Q1'!AU125&lt;&gt;"",'Q1'!AU125,"n.a.")</f>
        <v>0</v>
      </c>
      <c r="AS16" s="3768">
        <f>IF('Q1'!AV125&lt;&gt;"",'Q1'!AV125,"n.a.")</f>
        <v>0</v>
      </c>
      <c r="AT16" s="3768">
        <f>IF('Q1'!AW125&lt;&gt;"",'Q1'!AW125,"n.a.")</f>
        <v>0</v>
      </c>
      <c r="AU16" s="3768">
        <f>IF('Q1'!AX125&lt;&gt;"",'Q1'!AX125,"n.a.")</f>
        <v>0</v>
      </c>
      <c r="AV16" s="3768">
        <f>IF('Q1'!AY125&lt;&gt;"",'Q1'!AY125,"n.a.")</f>
        <v>0</v>
      </c>
      <c r="AW16" s="3768">
        <f>IF('Q1'!AZ125&lt;&gt;"",'Q1'!AZ125,"n.a.")</f>
        <v>0</v>
      </c>
      <c r="AX16" s="3768">
        <f>IF('Q1'!BA125&lt;&gt;"",'Q1'!BA125,"n.a.")</f>
        <v>0</v>
      </c>
      <c r="AY16" s="3768">
        <f>IF('Q1'!BB125&lt;&gt;"",'Q1'!BB125,"n.a.")</f>
        <v>0</v>
      </c>
      <c r="AZ16" s="3768">
        <f>IF('Q1'!BC125&lt;&gt;"",'Q1'!BC125,"n.a.")</f>
        <v>0</v>
      </c>
      <c r="BA16" s="3768">
        <f>IF('Q1'!BD125&lt;&gt;"",'Q1'!BD125,"n.a.")</f>
        <v>0</v>
      </c>
      <c r="BB16" s="3768">
        <f>IF('Q1'!BE125&lt;&gt;"",'Q1'!BE125,"n.a.")</f>
        <v>0</v>
      </c>
      <c r="BC16" s="3768">
        <f>IF('Q1'!BF125&lt;&gt;"",'Q1'!BF125,"n.a.")</f>
        <v>0</v>
      </c>
      <c r="BD16" s="3768">
        <f>IF('Q1'!BG125&lt;&gt;"",'Q1'!BG125,"n.a.")</f>
        <v>0</v>
      </c>
      <c r="BE16" s="3768">
        <f>IF('Q1'!BH125&lt;&gt;"",'Q1'!BH125,"n.a.")</f>
        <v>0</v>
      </c>
      <c r="BF16" s="3768">
        <f>IF('Q1'!BI125&lt;&gt;"",'Q1'!BI125,"n.a.")</f>
        <v>0</v>
      </c>
      <c r="BG16" s="3768">
        <f>IF('Q1'!BJ125&lt;&gt;"",'Q1'!BJ125,"n.a.")</f>
        <v>0</v>
      </c>
      <c r="BH16" s="3768">
        <f>IF('Q1'!BK125&lt;&gt;"",'Q1'!BK125,"n.a.")</f>
        <v>0</v>
      </c>
      <c r="BI16" s="3768">
        <f>IF('Q1'!BL125&lt;&gt;"",'Q1'!BL125,"n.a.")</f>
        <v>0</v>
      </c>
      <c r="BJ16" s="3768">
        <f>IF('Q1'!BM125&lt;&gt;"",'Q1'!BM125,"n.a.")</f>
        <v>0</v>
      </c>
      <c r="BK16" s="3768">
        <f>IF('Q1'!BN125&lt;&gt;"",'Q1'!BN125,"n.a.")</f>
        <v>0</v>
      </c>
      <c r="BL16" s="3768">
        <f>IF('Q1'!BO125&lt;&gt;"",'Q1'!BO125,"n.a.")</f>
        <v>0</v>
      </c>
      <c r="BM16" s="3768">
        <f>IF('Q1'!BP125&lt;&gt;"",'Q1'!BP125,"n.a.")</f>
        <v>0</v>
      </c>
      <c r="BN16" s="3768">
        <f>IF('Q1'!BQ125&lt;&gt;"",'Q1'!BQ125,"n.a.")</f>
        <v>0</v>
      </c>
      <c r="BO16" s="3768">
        <f>IF('Q1'!BR125&lt;&gt;"",'Q1'!BR125,"n.a.")</f>
        <v>0</v>
      </c>
      <c r="BP16" s="3768">
        <f>IF('Q1'!BS125&lt;&gt;"",'Q1'!BS125,"n.a.")</f>
        <v>0</v>
      </c>
      <c r="BQ16" s="3768">
        <f>IF('Q1'!BT125&lt;&gt;"",'Q1'!BT125,"n.a.")</f>
        <v>0</v>
      </c>
      <c r="BR16" s="3768">
        <f>IF('Q1'!BU125&lt;&gt;"",'Q1'!BU125,"n.a.")</f>
        <v>0</v>
      </c>
      <c r="BS16" s="3768">
        <f>IF('Q1'!BV125&lt;&gt;"",'Q1'!BV125,"n.a.")</f>
        <v>0</v>
      </c>
      <c r="BT16" s="3768">
        <f>IF('Q1'!BW125&lt;&gt;"",'Q1'!BW125,"n.a.")</f>
        <v>0</v>
      </c>
      <c r="BU16" s="3768">
        <f>IF('Q1'!BX125&lt;&gt;"",'Q1'!BX125,"n.a.")</f>
        <v>0</v>
      </c>
      <c r="BV16" s="3768">
        <f>IF('Q1'!BY125&lt;&gt;"",'Q1'!BY125,"n.a.")</f>
        <v>0</v>
      </c>
      <c r="BW16" s="3768">
        <f>IF('Q1'!BZ125&lt;&gt;"",'Q1'!BZ125,"n.a.")</f>
        <v>0</v>
      </c>
      <c r="BX16" s="3768">
        <f>IF('Q1'!CA125&lt;&gt;"",'Q1'!CA125,"n.a.")</f>
        <v>0</v>
      </c>
      <c r="BY16" s="3768">
        <f>IF('Q1'!CB125&lt;&gt;"",'Q1'!CB125,"n.a.")</f>
        <v>0</v>
      </c>
      <c r="BZ16" s="3768">
        <f>IF('Q1'!CC125&lt;&gt;"",'Q1'!CC125,"n.a.")</f>
        <v>0</v>
      </c>
      <c r="CA16" s="3768">
        <f>IF('Q1'!CD125&lt;&gt;"",'Q1'!CD125,"n.a.")</f>
        <v>0</v>
      </c>
      <c r="CB16" s="3768">
        <f>IF('Q1'!CE125&lt;&gt;"",'Q1'!CE125,"n.a.")</f>
        <v>0</v>
      </c>
      <c r="CC16" s="3768">
        <f>IF('Q1'!CF125&lt;&gt;"",'Q1'!CF125,"n.a.")</f>
        <v>0</v>
      </c>
      <c r="CD16" s="3768">
        <f>IF('Q1'!CG125&lt;&gt;"",'Q1'!CG125,"n.a.")</f>
        <v>0</v>
      </c>
      <c r="CE16" s="3768">
        <f>IF('Q1'!CH125&lt;&gt;"",'Q1'!CH125,"n.a.")</f>
        <v>0</v>
      </c>
      <c r="CF16" s="3768">
        <f>IF('Q1'!CI125&lt;&gt;"",'Q1'!CI125,"n.a.")</f>
        <v>0</v>
      </c>
      <c r="CG16" s="3768">
        <f>IF('Q1'!CJ125&lt;&gt;"",'Q1'!CJ125,"n.a.")</f>
        <v>0</v>
      </c>
      <c r="CH16" s="3768">
        <f>IF('Q1'!CK125&lt;&gt;"",'Q1'!CK125,"n.a.")</f>
        <v>0</v>
      </c>
      <c r="CI16" s="3768">
        <f>IF('Q1'!CL125&lt;&gt;"",'Q1'!CL125,"n.a.")</f>
        <v>0</v>
      </c>
      <c r="CJ16" s="3768">
        <f>IF('Q1'!CM125&lt;&gt;"",'Q1'!CM125,"n.a.")</f>
        <v>0</v>
      </c>
      <c r="CK16" s="3768">
        <f>IF('Q1'!CN125&lt;&gt;"",'Q1'!CN125,"n.a.")</f>
        <v>0</v>
      </c>
      <c r="CL16" s="3768">
        <f>IF('Q1'!CO125&lt;&gt;"",'Q1'!CO125,"n.a.")</f>
        <v>0</v>
      </c>
      <c r="CM16" s="3768">
        <f>IF('Q1'!CP125&lt;&gt;"",'Q1'!CP125,"n.a.")</f>
        <v>0</v>
      </c>
      <c r="CN16" s="3768">
        <f>IF('Q1'!CQ125&lt;&gt;"",'Q1'!CQ125,"n.a.")</f>
        <v>0</v>
      </c>
      <c r="CO16" s="3768">
        <f>IF('Q1'!CR125&lt;&gt;"",'Q1'!CR125,"n.a.")</f>
        <v>0</v>
      </c>
      <c r="CP16" s="3768">
        <f>IF('Q1'!CS125&lt;&gt;"",'Q1'!CS125,"n.a.")</f>
        <v>0</v>
      </c>
      <c r="CQ16" s="3768">
        <f>IF('Q1'!CT125&lt;&gt;"",'Q1'!CT125,"n.a.")</f>
        <v>0</v>
      </c>
      <c r="CR16" s="3768">
        <f>IF('Q1'!CU125&lt;&gt;"",'Q1'!CU125,"n.a.")</f>
        <v>0</v>
      </c>
      <c r="CS16" s="3768">
        <f>IF('Q1'!CV125&lt;&gt;"",'Q1'!CV125,"n.a.")</f>
        <v>0</v>
      </c>
      <c r="CT16" s="3768">
        <f>IF('Q1'!CW125&lt;&gt;"",'Q1'!CW125,"n.a.")</f>
        <v>0</v>
      </c>
      <c r="CU16" s="3768">
        <f>IF('Q1'!CX125&lt;&gt;"",'Q1'!CX125,"n.a.")</f>
        <v>0</v>
      </c>
      <c r="CV16" s="3768">
        <f>IF('Q1'!CY125&lt;&gt;"",'Q1'!CY125,"n.a.")</f>
        <v>0</v>
      </c>
      <c r="CW16" s="3768">
        <f>IF('Q1'!CZ125&lt;&gt;"",'Q1'!CZ125,"n.a.")</f>
        <v>0</v>
      </c>
      <c r="CX16" s="3768">
        <f>IF('Q1'!DA125&lt;&gt;"",'Q1'!DA125,"n.a.")</f>
        <v>0</v>
      </c>
      <c r="CY16" s="3768">
        <f>IF('Q1'!DB125&lt;&gt;"",'Q1'!DB125,"n.a.")</f>
        <v>0</v>
      </c>
    </row>
    <row r="17" spans="1:103">
      <c r="A17" s="3768" t="str">
        <f t="shared" si="1"/>
        <v>\\DG ECFIN\Forecast\Country databases\Desk transfer databases\BE</v>
      </c>
      <c r="B17" s="3768" t="str">
        <f t="shared" si="2"/>
        <v>BE</v>
      </c>
      <c r="C17" s="3768" t="s">
        <v>2362</v>
      </c>
      <c r="D17" s="3768" t="s">
        <v>2364</v>
      </c>
      <c r="E17" s="3768" t="s">
        <v>2492</v>
      </c>
      <c r="F17" s="3768">
        <v>20</v>
      </c>
      <c r="G17" s="3768" t="s">
        <v>654</v>
      </c>
      <c r="H17" s="3768">
        <f>IF('Q1'!K150&lt;&gt;"",'Q1'!K150,"n.a.")</f>
        <v>-9.6375220859890032E-2</v>
      </c>
      <c r="I17" s="3768">
        <f>IF('Q1'!L150&lt;&gt;"",'Q1'!L150,"n.a.")</f>
        <v>0.49841899351519281</v>
      </c>
      <c r="J17" s="3768">
        <f>IF('Q1'!M150&lt;&gt;"",'Q1'!M150,"n.a.")</f>
        <v>0.57193899317407038</v>
      </c>
      <c r="K17" s="3768">
        <f>IF('Q1'!N150&lt;&gt;"",'Q1'!N150,"n.a.")</f>
        <v>0.56073279690338484</v>
      </c>
      <c r="L17" s="3768">
        <f>IF('Q1'!O150&lt;&gt;"",'Q1'!O150,"n.a.")</f>
        <v>0.58528868969154324</v>
      </c>
      <c r="M17" s="3768">
        <f>IF('Q1'!P150&lt;&gt;"",'Q1'!P150,"n.a.")</f>
        <v>0.96980499056404934</v>
      </c>
      <c r="N17" s="3768">
        <f>IF('Q1'!Q150&lt;&gt;"",'Q1'!Q150,"n.a.")</f>
        <v>0.31021234619179605</v>
      </c>
      <c r="O17" s="3768">
        <f>IF('Q1'!R150&lt;&gt;"",'Q1'!R150,"n.a.")</f>
        <v>0.76730975764398579</v>
      </c>
      <c r="P17" s="3768">
        <f>IF('Q1'!S150&lt;&gt;"",'Q1'!S150,"n.a.")</f>
        <v>0.27351173660690176</v>
      </c>
      <c r="Q17" s="3768">
        <f>IF('Q1'!T150&lt;&gt;"",'Q1'!T150,"n.a.")</f>
        <v>0.75042579620689942</v>
      </c>
      <c r="R17" s="3768">
        <f>IF('Q1'!U150&lt;&gt;"",'Q1'!U150,"n.a.")</f>
        <v>0.94820463933906751</v>
      </c>
      <c r="S17" s="3768">
        <f>IF('Q1'!V150&lt;&gt;"",'Q1'!V150,"n.a.")</f>
        <v>0.57793278855717833</v>
      </c>
      <c r="T17" s="3768">
        <f>IF('Q1'!W150&lt;&gt;"",'Q1'!W150,"n.a.")</f>
        <v>0.25663495242864709</v>
      </c>
      <c r="U17" s="3768">
        <f>IF('Q1'!X150&lt;&gt;"",'Q1'!X150,"n.a.")</f>
        <v>0.77417743647374415</v>
      </c>
      <c r="V17" s="3768">
        <f>IF('Q1'!Y150&lt;&gt;"",'Q1'!Y150,"n.a.")</f>
        <v>0.68645065361501167</v>
      </c>
      <c r="W17" s="3768">
        <f>IF('Q1'!Z150&lt;&gt;"",'Q1'!Z150,"n.a.")</f>
        <v>0.31504202611403187</v>
      </c>
      <c r="X17" s="3768">
        <f>IF('Q1'!AA150&lt;&gt;"",'Q1'!AA150,"n.a.")</f>
        <v>1.3224559896951593</v>
      </c>
      <c r="Y17" s="3768">
        <f>IF('Q1'!AB150&lt;&gt;"",'Q1'!AB150,"n.a.")</f>
        <v>0.71192473938468392</v>
      </c>
      <c r="Z17" s="3768">
        <f>IF('Q1'!AC150&lt;&gt;"",'Q1'!AC150,"n.a.")</f>
        <v>0.82590976304683927</v>
      </c>
      <c r="AA17" s="3768">
        <f>IF('Q1'!AD150&lt;&gt;"",'Q1'!AD150,"n.a.")</f>
        <v>0.71064053035723163</v>
      </c>
      <c r="AB17" s="3768">
        <f>IF('Q1'!AE150&lt;&gt;"",'Q1'!AE150,"n.a.")</f>
        <v>0.45226368630422176</v>
      </c>
      <c r="AC17" s="3768">
        <f>IF('Q1'!AF150&lt;&gt;"",'Q1'!AF150,"n.a.")</f>
        <v>-0.29700869811188912</v>
      </c>
      <c r="AD17" s="3768">
        <f>IF('Q1'!AG150&lt;&gt;"",'Q1'!AG150,"n.a.")</f>
        <v>8.2748185450509659E-2</v>
      </c>
      <c r="AE17" s="3768">
        <f>IF('Q1'!AH150&lt;&gt;"",'Q1'!AH150,"n.a.")</f>
        <v>-1.032315978456011</v>
      </c>
      <c r="AF17" s="3768">
        <f>IF('Q1'!AI150&lt;&gt;"",'Q1'!AI150,"n.a.")</f>
        <v>0.44516052034848652</v>
      </c>
      <c r="AG17" s="3768">
        <f>IF('Q1'!AJ150&lt;&gt;"",'Q1'!AJ150,"n.a.")</f>
        <v>7.3666575573594351E-2</v>
      </c>
      <c r="AH17" s="3768">
        <f>IF('Q1'!AK150&lt;&gt;"",'Q1'!AK150,"n.a.")</f>
        <v>8.4298011279315688E-2</v>
      </c>
      <c r="AI17" s="3768">
        <f>IF('Q1'!AL150&lt;&gt;"",'Q1'!AL150,"n.a.")</f>
        <v>0.67856126032075359</v>
      </c>
      <c r="AJ17" s="3768">
        <f>IF('Q1'!AM150&lt;&gt;"",'Q1'!AM150,"n.a.")</f>
        <v>-0.26511759438185845</v>
      </c>
      <c r="AK17" s="3768">
        <f>IF('Q1'!AN150&lt;&gt;"",'Q1'!AN150,"n.a.")</f>
        <v>4.3713006391565834E-2</v>
      </c>
      <c r="AL17" s="3768">
        <f>IF('Q1'!AO150&lt;&gt;"",'Q1'!AO150,"n.a.")</f>
        <v>0.24563060935285375</v>
      </c>
      <c r="AM17" s="3768">
        <f>IF('Q1'!AP150&lt;&gt;"",'Q1'!AP150,"n.a.")</f>
        <v>0.32513429459994914</v>
      </c>
      <c r="AN17" s="3768">
        <f>IF('Q1'!AQ150&lt;&gt;"",'Q1'!AQ150,"n.a.")</f>
        <v>1.7519139542529816</v>
      </c>
      <c r="AO17" s="3768">
        <f>IF('Q1'!AR150&lt;&gt;"",'Q1'!AR150,"n.a.")</f>
        <v>0.80086779911372474</v>
      </c>
      <c r="AP17" s="3768">
        <f>IF('Q1'!AS150&lt;&gt;"",'Q1'!AS150,"n.a.")</f>
        <v>0.78534630795650262</v>
      </c>
      <c r="AQ17" s="3768">
        <f>IF('Q1'!AT150&lt;&gt;"",'Q1'!AT150,"n.a.")</f>
        <v>-0.15334635830797083</v>
      </c>
      <c r="AR17" s="3768">
        <f>IF('Q1'!AU150&lt;&gt;"",'Q1'!AU150,"n.a.")</f>
        <v>0.95562052763904504</v>
      </c>
      <c r="AS17" s="3768">
        <f>IF('Q1'!AV150&lt;&gt;"",'Q1'!AV150,"n.a.")</f>
        <v>1.0615160974070781</v>
      </c>
      <c r="AT17" s="3768">
        <f>IF('Q1'!AW150&lt;&gt;"",'Q1'!AW150,"n.a.")</f>
        <v>-0.1438399696709558</v>
      </c>
      <c r="AU17" s="3768">
        <f>IF('Q1'!AX150&lt;&gt;"",'Q1'!AX150,"n.a.")</f>
        <v>2.3449538825737193E-2</v>
      </c>
      <c r="AV17" s="3768">
        <f>IF('Q1'!AY150&lt;&gt;"",'Q1'!AY150,"n.a.")</f>
        <v>0.81942506279653049</v>
      </c>
      <c r="AW17" s="3768">
        <f>IF('Q1'!AZ150&lt;&gt;"",'Q1'!AZ150,"n.a.")</f>
        <v>7.1975107685839923E-2</v>
      </c>
      <c r="AX17" s="3768">
        <f>IF('Q1'!BA150&lt;&gt;"",'Q1'!BA150,"n.a.")</f>
        <v>0.5410848252816125</v>
      </c>
      <c r="AY17" s="3768">
        <f>IF('Q1'!BB150&lt;&gt;"",'Q1'!BB150,"n.a.")</f>
        <v>0.38849696796274813</v>
      </c>
      <c r="AZ17" s="3768">
        <f>IF('Q1'!BC150&lt;&gt;"",'Q1'!BC150,"n.a.")</f>
        <v>1.1960620943694211</v>
      </c>
      <c r="BA17" s="3768">
        <f>IF('Q1'!BD150&lt;&gt;"",'Q1'!BD150,"n.a.")</f>
        <v>0.7106719967066244</v>
      </c>
      <c r="BB17" s="3768">
        <f>IF('Q1'!BE150&lt;&gt;"",'Q1'!BE150,"n.a.")</f>
        <v>0.89497972311565199</v>
      </c>
      <c r="BC17" s="3768">
        <f>IF('Q1'!BF150&lt;&gt;"",'Q1'!BF150,"n.a.")</f>
        <v>0.85292392984699372</v>
      </c>
      <c r="BD17" s="3768">
        <f>IF('Q1'!BG150&lt;&gt;"",'Q1'!BG150,"n.a.")</f>
        <v>0.86791056609756279</v>
      </c>
      <c r="BE17" s="3768">
        <f>IF('Q1'!BH150&lt;&gt;"",'Q1'!BH150,"n.a.")</f>
        <v>0.37415108577176781</v>
      </c>
      <c r="BF17" s="3768">
        <f>IF('Q1'!BI150&lt;&gt;"",'Q1'!BI150,"n.a.")</f>
        <v>-0.43436041473066123</v>
      </c>
      <c r="BG17" s="3768">
        <f>IF('Q1'!BJ150&lt;&gt;"",'Q1'!BJ150,"n.a.")</f>
        <v>-0.72779135249640969</v>
      </c>
      <c r="BH17" s="3768">
        <f>IF('Q1'!BK150&lt;&gt;"",'Q1'!BK150,"n.a.")</f>
        <v>-0.90531675522641519</v>
      </c>
      <c r="BI17" s="3768">
        <f>IF('Q1'!BL150&lt;&gt;"",'Q1'!BL150,"n.a.")</f>
        <v>0.21640406797005518</v>
      </c>
      <c r="BJ17" s="3768">
        <f>IF('Q1'!BM150&lt;&gt;"",'Q1'!BM150,"n.a.")</f>
        <v>0.25742216170792087</v>
      </c>
      <c r="BK17" s="3768">
        <f>IF('Q1'!BN150&lt;&gt;"",'Q1'!BN150,"n.a.")</f>
        <v>0.87320028434711983</v>
      </c>
      <c r="BL17" s="3768">
        <f>IF('Q1'!BO150&lt;&gt;"",'Q1'!BO150,"n.a.")</f>
        <v>0.12726928497799328</v>
      </c>
      <c r="BM17" s="3768">
        <f>IF('Q1'!BP150&lt;&gt;"",'Q1'!BP150,"n.a.")</f>
        <v>0.21954934607910648</v>
      </c>
      <c r="BN17" s="3768">
        <f>IF('Q1'!BQ150&lt;&gt;"",'Q1'!BQ150,"n.a.")</f>
        <v>0.38677623579723708</v>
      </c>
      <c r="BO17" s="3768">
        <f>IF('Q1'!BR150&lt;&gt;"",'Q1'!BR150,"n.a.")</f>
        <v>0.55548014576132232</v>
      </c>
      <c r="BP17" s="3768">
        <f>IF('Q1'!BS150&lt;&gt;"",'Q1'!BS150,"n.a.")</f>
        <v>9.6568194797774787E-2</v>
      </c>
      <c r="BQ17" s="3768">
        <f>IF('Q1'!BT150&lt;&gt;"",'Q1'!BT150,"n.a.")</f>
        <v>0.48859934853420217</v>
      </c>
      <c r="BR17" s="3768">
        <f>IF('Q1'!BU150&lt;&gt;"",'Q1'!BU150,"n.a.")</f>
        <v>0.30866427856177658</v>
      </c>
      <c r="BS17" s="3768">
        <f>IF('Q1'!BV150&lt;&gt;"",'Q1'!BV150,"n.a.")</f>
        <v>0.38490037872549454</v>
      </c>
      <c r="BT17" s="3768">
        <f>IF('Q1'!BW150&lt;&gt;"",'Q1'!BW150,"n.a.")</f>
        <v>5.2285169465449144E-2</v>
      </c>
      <c r="BU17" s="3768">
        <f>IF('Q1'!BX150&lt;&gt;"",'Q1'!BX150,"n.a.")</f>
        <v>0.1711188302439659</v>
      </c>
      <c r="BV17" s="3768">
        <f>IF('Q1'!BY150&lt;&gt;"",'Q1'!BY150,"n.a.")</f>
        <v>6.8535188216056753E-2</v>
      </c>
      <c r="BW17" s="3768">
        <f>IF('Q1'!BZ150&lt;&gt;"",'Q1'!BZ150,"n.a.")</f>
        <v>-0.16764287977756309</v>
      </c>
      <c r="BX17" s="3768">
        <f>IF('Q1'!CA150&lt;&gt;"",'Q1'!CA150,"n.a.")</f>
        <v>-4.8124673622551573E-2</v>
      </c>
      <c r="BY17" s="3768">
        <f>IF('Q1'!CB150&lt;&gt;"",'Q1'!CB150,"n.a.")</f>
        <v>0.16185871168661325</v>
      </c>
      <c r="BZ17" s="3768">
        <f>IF('Q1'!CC150&lt;&gt;"",'Q1'!CC150,"n.a.")</f>
        <v>0.26694213185509685</v>
      </c>
      <c r="CA17" s="3768">
        <f>IF('Q1'!CD150&lt;&gt;"",'Q1'!CD150,"n.a.")</f>
        <v>-0.10506451777425596</v>
      </c>
      <c r="CB17" s="3768">
        <f>IF('Q1'!CE150&lt;&gt;"",'Q1'!CE150,"n.a.")</f>
        <v>0.583057631826156</v>
      </c>
      <c r="CC17" s="3768">
        <f>IF('Q1'!CF150&lt;&gt;"",'Q1'!CF150,"n.a.")</f>
        <v>0.46800605057715217</v>
      </c>
      <c r="CD17" s="3768">
        <f>IF('Q1'!CG150&lt;&gt;"",'Q1'!CG150,"n.a.")</f>
        <v>2.0037589426457947</v>
      </c>
      <c r="CE17" s="3768">
        <f>IF('Q1'!CH150&lt;&gt;"",'Q1'!CH150,"n.a.")</f>
        <v>-0.87372581651756764</v>
      </c>
      <c r="CF17" s="3768">
        <f>IF('Q1'!CI150&lt;&gt;"",'Q1'!CI150,"n.a.")</f>
        <v>2.2235546894518565</v>
      </c>
      <c r="CG17" s="3768">
        <f>IF('Q1'!CJ150&lt;&gt;"",'Q1'!CJ150,"n.a.")</f>
        <v>-2.4850914067846341</v>
      </c>
      <c r="CH17" s="3768">
        <f>IF('Q1'!CK150&lt;&gt;"",'Q1'!CK150,"n.a.")</f>
        <v>0.62256887356137991</v>
      </c>
      <c r="CI17" s="3768">
        <f>IF('Q1'!CL150&lt;&gt;"",'Q1'!CL150,"n.a.")</f>
        <v>0.50613237154899515</v>
      </c>
      <c r="CJ17" s="3768">
        <f>IF('Q1'!CM150&lt;&gt;"",'Q1'!CM150,"n.a.")</f>
        <v>0.71274918960713141</v>
      </c>
      <c r="CK17" s="3768">
        <f>IF('Q1'!CN150&lt;&gt;"",'Q1'!CN150,"n.a.")</f>
        <v>0.44293082404818218</v>
      </c>
      <c r="CL17" s="3768">
        <f>IF('Q1'!CO150&lt;&gt;"",'Q1'!CO150,"n.a.")</f>
        <v>2.0774944632812709</v>
      </c>
      <c r="CM17" s="3768">
        <f>IF('Q1'!CP150&lt;&gt;"",'Q1'!CP150,"n.a.")</f>
        <v>-1.2182477967858873</v>
      </c>
      <c r="CN17" s="3768">
        <f>IF('Q1'!CQ150&lt;&gt;"",'Q1'!CQ150,"n.a.")</f>
        <v>0.17201667687103406</v>
      </c>
      <c r="CO17" s="3768">
        <f>IF('Q1'!CR150&lt;&gt;"",'Q1'!CR150,"n.a.")</f>
        <v>0.50837262549234818</v>
      </c>
      <c r="CP17" s="3768">
        <f>IF('Q1'!CS150&lt;&gt;"",'Q1'!CS150,"n.a.")</f>
        <v>0.4807042607000378</v>
      </c>
      <c r="CQ17" s="3768">
        <f>IF('Q1'!CT150&lt;&gt;"",'Q1'!CT150,"n.a.")</f>
        <v>0.25553335382724196</v>
      </c>
      <c r="CR17" s="3768">
        <f>IF('Q1'!CU150&lt;&gt;"",'Q1'!CU150,"n.a.")</f>
        <v>0.50355800003831774</v>
      </c>
      <c r="CS17" s="3768">
        <f>IF('Q1'!CV150&lt;&gt;"",'Q1'!CV150,"n.a.")</f>
        <v>0.51961113247069868</v>
      </c>
      <c r="CT17" s="3768">
        <f>IF('Q1'!CW150&lt;&gt;"",'Q1'!CW150,"n.a.")</f>
        <v>0.52286761830309114</v>
      </c>
      <c r="CU17" s="3768">
        <f>IF('Q1'!CX150&lt;&gt;"",'Q1'!CX150,"n.a.")</f>
        <v>0.52613168181772085</v>
      </c>
      <c r="CV17" s="3768">
        <f>IF('Q1'!CY150&lt;&gt;"",'Q1'!CY150,"n.a.")</f>
        <v>0.42675568179741941</v>
      </c>
      <c r="CW17" s="3768">
        <f>IF('Q1'!CZ150&lt;&gt;"",'Q1'!CZ150,"n.a.")</f>
        <v>0.42437861149153822</v>
      </c>
      <c r="CX17" s="3768">
        <f>IF('Q1'!DA150&lt;&gt;"",'Q1'!DA150,"n.a.")</f>
        <v>0.40407966192754774</v>
      </c>
      <c r="CY17" s="3768">
        <f>IF('Q1'!DB150&lt;&gt;"",'Q1'!DB150,"n.a.")</f>
        <v>0.39910377553002974</v>
      </c>
    </row>
    <row r="18" spans="1:103">
      <c r="A18" s="3768" t="str">
        <f t="shared" si="1"/>
        <v>\\DG ECFIN\Forecast\Country databases\Desk transfer databases\BE</v>
      </c>
      <c r="B18" s="3768" t="str">
        <f t="shared" si="2"/>
        <v>BE</v>
      </c>
      <c r="C18" s="3768" t="s">
        <v>2362</v>
      </c>
      <c r="D18" s="3768" t="s">
        <v>2365</v>
      </c>
      <c r="E18" s="3768" t="s">
        <v>2492</v>
      </c>
      <c r="F18" s="3768">
        <v>21</v>
      </c>
      <c r="G18" s="3768" t="s">
        <v>554</v>
      </c>
      <c r="H18" s="3768">
        <f>IF('Q1'!K169&lt;&gt;"",'Q1'!K169,"n.a.")</f>
        <v>2.2995251560582686</v>
      </c>
      <c r="I18" s="3768">
        <f>IF('Q1'!L169&lt;&gt;"",'Q1'!L169,"n.a.")</f>
        <v>2.1409199958276837</v>
      </c>
      <c r="J18" s="3768">
        <f>IF('Q1'!M169&lt;&gt;"",'Q1'!M169,"n.a.")</f>
        <v>0.83739692103450558</v>
      </c>
      <c r="K18" s="3768">
        <f>IF('Q1'!N169&lt;&gt;"",'Q1'!N169,"n.a.")</f>
        <v>2.2381446692153917</v>
      </c>
      <c r="L18" s="3768">
        <f>IF('Q1'!O169&lt;&gt;"",'Q1'!O169,"n.a.")</f>
        <v>3.4744062801812747</v>
      </c>
      <c r="M18" s="3768">
        <f>IF('Q1'!P169&lt;&gt;"",'Q1'!P169,"n.a.")</f>
        <v>2.4339460080413655</v>
      </c>
      <c r="N18" s="3768">
        <f>IF('Q1'!Q169&lt;&gt;"",'Q1'!Q169,"n.a.")</f>
        <v>1.689212868858192</v>
      </c>
      <c r="O18" s="3768">
        <f>IF('Q1'!R169&lt;&gt;"",'Q1'!R169,"n.a.")</f>
        <v>1.34178843856263</v>
      </c>
      <c r="P18" s="3768">
        <f>IF('Q1'!S169&lt;&gt;"",'Q1'!S169,"n.a.")</f>
        <v>0.85698739457695794</v>
      </c>
      <c r="Q18" s="3768">
        <f>IF('Q1'!T169&lt;&gt;"",'Q1'!T169,"n.a.")</f>
        <v>0.99581890931979</v>
      </c>
      <c r="R18" s="3768">
        <f>IF('Q1'!U169&lt;&gt;"",'Q1'!U169,"n.a.")</f>
        <v>1.0527721516169875</v>
      </c>
      <c r="S18" s="3768">
        <f>IF('Q1'!V169&lt;&gt;"",'Q1'!V169,"n.a.")</f>
        <v>-1.4008193471653274</v>
      </c>
      <c r="T18" s="3768">
        <f>IF('Q1'!W169&lt;&gt;"",'Q1'!W169,"n.a.")</f>
        <v>-2.6806058169148717E-2</v>
      </c>
      <c r="U18" s="3768">
        <f>IF('Q1'!X169&lt;&gt;"",'Q1'!X169,"n.a.")</f>
        <v>3.3047325378737114</v>
      </c>
      <c r="V18" s="3768">
        <f>IF('Q1'!Y169&lt;&gt;"",'Q1'!Y169,"n.a.")</f>
        <v>3.8976488655289465</v>
      </c>
      <c r="W18" s="3768">
        <f>IF('Q1'!Z169&lt;&gt;"",'Q1'!Z169,"n.a.")</f>
        <v>3.1331320911835103</v>
      </c>
      <c r="X18" s="3768">
        <f>IF('Q1'!AA169&lt;&gt;"",'Q1'!AA169,"n.a.")</f>
        <v>4.2006459426725984</v>
      </c>
      <c r="Y18" s="3768">
        <f>IF('Q1'!AB169&lt;&gt;"",'Q1'!AB169,"n.a.")</f>
        <v>2.0514906724007576</v>
      </c>
      <c r="Z18" s="3768">
        <f>IF('Q1'!AC169&lt;&gt;"",'Q1'!AC169,"n.a.")</f>
        <v>1.5850417615793422</v>
      </c>
      <c r="AA18" s="3768">
        <f>IF('Q1'!AD169&lt;&gt;"",'Q1'!AD169,"n.a.")</f>
        <v>1.096888722787992</v>
      </c>
      <c r="AB18" s="3768">
        <f>IF('Q1'!AE169&lt;&gt;"",'Q1'!AE169,"n.a.")</f>
        <v>-0.15156556134707788</v>
      </c>
      <c r="AC18" s="3768">
        <f>IF('Q1'!AF169&lt;&gt;"",'Q1'!AF169,"n.a.")</f>
        <v>-1.7863754165124091</v>
      </c>
      <c r="AD18" s="3768">
        <f>IF('Q1'!AG169&lt;&gt;"",'Q1'!AG169,"n.a.")</f>
        <v>-0.42597304683819059</v>
      </c>
      <c r="AE18" s="3768">
        <f>IF('Q1'!AH169&lt;&gt;"",'Q1'!AH169,"n.a.")</f>
        <v>-0.11357398398607055</v>
      </c>
      <c r="AF18" s="3768">
        <f>IF('Q1'!AI169&lt;&gt;"",'Q1'!AI169,"n.a.")</f>
        <v>2.7667759479997667</v>
      </c>
      <c r="AG18" s="3768">
        <f>IF('Q1'!AJ169&lt;&gt;"",'Q1'!AJ169,"n.a.")</f>
        <v>1.6577845802061564</v>
      </c>
      <c r="AH18" s="3768">
        <f>IF('Q1'!AK169&lt;&gt;"",'Q1'!AK169,"n.a.")</f>
        <v>0.73828181686257377</v>
      </c>
      <c r="AI18" s="3768">
        <f>IF('Q1'!AL169&lt;&gt;"",'Q1'!AL169,"n.a.")</f>
        <v>1.9807328711629602E-2</v>
      </c>
      <c r="AJ18" s="3768">
        <f>IF('Q1'!AM169&lt;&gt;"",'Q1'!AM169,"n.a.")</f>
        <v>-0.72012386130414496</v>
      </c>
      <c r="AK18" s="3768">
        <f>IF('Q1'!AN169&lt;&gt;"",'Q1'!AN169,"n.a.")</f>
        <v>0.78700177710078201</v>
      </c>
      <c r="AL18" s="3768">
        <f>IF('Q1'!AO169&lt;&gt;"",'Q1'!AO169,"n.a.")</f>
        <v>0.75746671464556048</v>
      </c>
      <c r="AM18" s="3768">
        <f>IF('Q1'!AP169&lt;&gt;"",'Q1'!AP169,"n.a.")</f>
        <v>2.0481777111123201</v>
      </c>
      <c r="AN18" s="3768">
        <f>IF('Q1'!AQ169&lt;&gt;"",'Q1'!AQ169,"n.a.")</f>
        <v>1.5923566878980777</v>
      </c>
      <c r="AO18" s="3768">
        <f>IF('Q1'!AR169&lt;&gt;"",'Q1'!AR169,"n.a.")</f>
        <v>1.7034689448482521</v>
      </c>
      <c r="AP18" s="3768">
        <f>IF('Q1'!AS169&lt;&gt;"",'Q1'!AS169,"n.a.")</f>
        <v>1.4090470303317781</v>
      </c>
      <c r="AQ18" s="3768">
        <f>IF('Q1'!AT169&lt;&gt;"",'Q1'!AT169,"n.a.")</f>
        <v>1.5130513201623286</v>
      </c>
      <c r="AR18" s="3768">
        <f>IF('Q1'!AU169&lt;&gt;"",'Q1'!AU169,"n.a.")</f>
        <v>1.0018919141235427</v>
      </c>
      <c r="AS18" s="3768">
        <f>IF('Q1'!AV169&lt;&gt;"",'Q1'!AV169,"n.a.")</f>
        <v>1.389386585008312</v>
      </c>
      <c r="AT18" s="3768">
        <f>IF('Q1'!AW169&lt;&gt;"",'Q1'!AW169,"n.a.")</f>
        <v>0.76951499670667722</v>
      </c>
      <c r="AU18" s="3768">
        <f>IF('Q1'!AX169&lt;&gt;"",'Q1'!AX169,"n.a.")</f>
        <v>1.0187163217804551</v>
      </c>
      <c r="AV18" s="3768">
        <f>IF('Q1'!AY169&lt;&gt;"",'Q1'!AY169,"n.a.")</f>
        <v>2.0342460348772962</v>
      </c>
      <c r="AW18" s="3768">
        <f>IF('Q1'!AZ169&lt;&gt;"",'Q1'!AZ169,"n.a.")</f>
        <v>1.1569276456213196</v>
      </c>
      <c r="AX18" s="3768">
        <f>IF('Q1'!BA169&lt;&gt;"",'Q1'!BA169,"n.a.")</f>
        <v>0.98926638329104311</v>
      </c>
      <c r="AY18" s="3768">
        <f>IF('Q1'!BB169&lt;&gt;"",'Q1'!BB169,"n.a.")</f>
        <v>1.1355205983436534</v>
      </c>
      <c r="AZ18" s="3768">
        <f>IF('Q1'!BC169&lt;&gt;"",'Q1'!BC169,"n.a.")</f>
        <v>2.8263896166110136</v>
      </c>
      <c r="BA18" s="3768">
        <f>IF('Q1'!BD169&lt;&gt;"",'Q1'!BD169,"n.a.")</f>
        <v>1.0991890750797095</v>
      </c>
      <c r="BB18" s="3768">
        <f>IF('Q1'!BE169&lt;&gt;"",'Q1'!BE169,"n.a.")</f>
        <v>0.5673799717750061</v>
      </c>
      <c r="BC18" s="3768">
        <f>IF('Q1'!BF169&lt;&gt;"",'Q1'!BF169,"n.a.")</f>
        <v>0.14748840139755526</v>
      </c>
      <c r="BD18" s="3768">
        <f>IF('Q1'!BG169&lt;&gt;"",'Q1'!BG169,"n.a.")</f>
        <v>1.7901314002201962</v>
      </c>
      <c r="BE18" s="3768">
        <f>IF('Q1'!BH169&lt;&gt;"",'Q1'!BH169,"n.a.")</f>
        <v>2.8894101782528825</v>
      </c>
      <c r="BF18" s="3768">
        <f>IF('Q1'!BI169&lt;&gt;"",'Q1'!BI169,"n.a.")</f>
        <v>-0.63756006989952319</v>
      </c>
      <c r="BG18" s="3768">
        <f>IF('Q1'!BJ169&lt;&gt;"",'Q1'!BJ169,"n.a.")</f>
        <v>-10.074057789807789</v>
      </c>
      <c r="BH18" s="3768">
        <f>IF('Q1'!BK169&lt;&gt;"",'Q1'!BK169,"n.a.")</f>
        <v>-5.5203288056349216</v>
      </c>
      <c r="BI18" s="3768">
        <f>IF('Q1'!BL169&lt;&gt;"",'Q1'!BL169,"n.a.")</f>
        <v>1.0220583478879774</v>
      </c>
      <c r="BJ18" s="3768">
        <f>IF('Q1'!BM169&lt;&gt;"",'Q1'!BM169,"n.a.")</f>
        <v>4.2373695332009742</v>
      </c>
      <c r="BK18" s="3768">
        <f>IF('Q1'!BN169&lt;&gt;"",'Q1'!BN169,"n.a.")</f>
        <v>2.2590800890731844</v>
      </c>
      <c r="BL18" s="3768">
        <f>IF('Q1'!BO169&lt;&gt;"",'Q1'!BO169,"n.a.")</f>
        <v>1.1413810710960259</v>
      </c>
      <c r="BM18" s="3768">
        <f>IF('Q1'!BP169&lt;&gt;"",'Q1'!BP169,"n.a.")</f>
        <v>5.2356487393460549</v>
      </c>
      <c r="BN18" s="3768">
        <f>IF('Q1'!BQ169&lt;&gt;"",'Q1'!BQ169,"n.a.")</f>
        <v>1.4970651315046934</v>
      </c>
      <c r="BO18" s="3768">
        <f>IF('Q1'!BR169&lt;&gt;"",'Q1'!BR169,"n.a.")</f>
        <v>0.5185380840504239</v>
      </c>
      <c r="BP18" s="3768">
        <f>IF('Q1'!BS169&lt;&gt;"",'Q1'!BS169,"n.a.")</f>
        <v>3.6304041158410127</v>
      </c>
      <c r="BQ18" s="3768">
        <f>IF('Q1'!BT169&lt;&gt;"",'Q1'!BT169,"n.a.")</f>
        <v>1.0649797813989004</v>
      </c>
      <c r="BR18" s="3768">
        <f>IF('Q1'!BU169&lt;&gt;"",'Q1'!BU169,"n.a.")</f>
        <v>1.1963712712435237</v>
      </c>
      <c r="BS18" s="3768">
        <f>IF('Q1'!BV169&lt;&gt;"",'Q1'!BV169,"n.a.")</f>
        <v>-3.2583023422718127</v>
      </c>
      <c r="BT18" s="3768">
        <f>IF('Q1'!BW169&lt;&gt;"",'Q1'!BW169,"n.a.")</f>
        <v>2.8851601068277999</v>
      </c>
      <c r="BU18" s="3768">
        <f>IF('Q1'!BX169&lt;&gt;"",'Q1'!BX169,"n.a.")</f>
        <v>-0.6922139045846154</v>
      </c>
      <c r="BV18" s="3768">
        <f>IF('Q1'!BY169&lt;&gt;"",'Q1'!BY169,"n.a.")</f>
        <v>-0.70760010033136256</v>
      </c>
      <c r="BW18" s="3768">
        <f>IF('Q1'!BZ169&lt;&gt;"",'Q1'!BZ169,"n.a.")</f>
        <v>0</v>
      </c>
      <c r="BX18" s="3768">
        <f>IF('Q1'!CA169&lt;&gt;"",'Q1'!CA169,"n.a.")</f>
        <v>-0.30845731455998449</v>
      </c>
      <c r="BY18" s="3768">
        <f>IF('Q1'!CB169&lt;&gt;"",'Q1'!CB169,"n.a.")</f>
        <v>0.60948773689335489</v>
      </c>
      <c r="BZ18" s="3768">
        <f>IF('Q1'!CC169&lt;&gt;"",'Q1'!CC169,"n.a.")</f>
        <v>1.7762931148757932</v>
      </c>
      <c r="CA18" s="3768">
        <f>IF('Q1'!CD169&lt;&gt;"",'Q1'!CD169,"n.a.")</f>
        <v>1.5186642006824735</v>
      </c>
      <c r="CB18" s="3768">
        <f>IF('Q1'!CE169&lt;&gt;"",'Q1'!CE169,"n.a.")</f>
        <v>1.0058503541003683</v>
      </c>
      <c r="CC18" s="3768">
        <f>IF('Q1'!CF169&lt;&gt;"",'Q1'!CF169,"n.a.")</f>
        <v>1.3133827863022196</v>
      </c>
      <c r="CD18" s="3768">
        <f>IF('Q1'!CG169&lt;&gt;"",'Q1'!CG169,"n.a.")</f>
        <v>1.5019683558586738</v>
      </c>
      <c r="CE18" s="3768">
        <f>IF('Q1'!CH169&lt;&gt;"",'Q1'!CH169,"n.a.")</f>
        <v>0.67934782608696231</v>
      </c>
      <c r="CF18" s="3768">
        <f>IF('Q1'!CI169&lt;&gt;"",'Q1'!CI169,"n.a.")</f>
        <v>-0.30180345969821332</v>
      </c>
      <c r="CG18" s="3768">
        <f>IF('Q1'!CJ169&lt;&gt;"",'Q1'!CJ169,"n.a.")</f>
        <v>2.0648749753888529</v>
      </c>
      <c r="CH18" s="3768">
        <f>IF('Q1'!CK169&lt;&gt;"",'Q1'!CK169,"n.a.")</f>
        <v>-0.91509729690625319</v>
      </c>
      <c r="CI18" s="3768">
        <f>IF('Q1'!CL169&lt;&gt;"",'Q1'!CL169,"n.a.")</f>
        <v>3.5518294537799644</v>
      </c>
      <c r="CJ18" s="3768">
        <f>IF('Q1'!CM169&lt;&gt;"",'Q1'!CM169,"n.a.")</f>
        <v>-0.83076778454090894</v>
      </c>
      <c r="CK18" s="3768">
        <f>IF('Q1'!CN169&lt;&gt;"",'Q1'!CN169,"n.a.")</f>
        <v>5.7835179809230475</v>
      </c>
      <c r="CL18" s="3768">
        <f>IF('Q1'!CO169&lt;&gt;"",'Q1'!CO169,"n.a.")</f>
        <v>0.90617859223083297</v>
      </c>
      <c r="CM18" s="3768">
        <f>IF('Q1'!CP169&lt;&gt;"",'Q1'!CP169,"n.a.")</f>
        <v>2.8517511239384952</v>
      </c>
      <c r="CN18" s="3768">
        <f>IF('Q1'!CQ169&lt;&gt;"",'Q1'!CQ169,"n.a.")</f>
        <v>-0.21693612795993245</v>
      </c>
      <c r="CO18" s="3768">
        <f>IF('Q1'!CR169&lt;&gt;"",'Q1'!CR169,"n.a.")</f>
        <v>0.69765177982326065</v>
      </c>
      <c r="CP18" s="3768">
        <f>IF('Q1'!CS169&lt;&gt;"",'Q1'!CS169,"n.a.")</f>
        <v>-0.57358912114117144</v>
      </c>
      <c r="CQ18" s="3768">
        <f>IF('Q1'!CT169&lt;&gt;"",'Q1'!CT169,"n.a.")</f>
        <v>1.9510824942742477</v>
      </c>
      <c r="CR18" s="3768">
        <f>IF('Q1'!CU169&lt;&gt;"",'Q1'!CU169,"n.a.")</f>
        <v>1.48</v>
      </c>
      <c r="CS18" s="3768">
        <f>IF('Q1'!CV169&lt;&gt;"",'Q1'!CV169,"n.a.")</f>
        <v>1.55</v>
      </c>
      <c r="CT18" s="3768">
        <f>IF('Q1'!CW169&lt;&gt;"",'Q1'!CW169,"n.a.")</f>
        <v>1.35</v>
      </c>
      <c r="CU18" s="3768">
        <f>IF('Q1'!CX169&lt;&gt;"",'Q1'!CX169,"n.a.")</f>
        <v>1.25</v>
      </c>
      <c r="CV18" s="3768">
        <f>IF('Q1'!CY169&lt;&gt;"",'Q1'!CY169,"n.a.")</f>
        <v>1.1100000000000001</v>
      </c>
      <c r="CW18" s="3768">
        <f>IF('Q1'!CZ169&lt;&gt;"",'Q1'!CZ169,"n.a.")</f>
        <v>0.92</v>
      </c>
      <c r="CX18" s="3768">
        <f>IF('Q1'!DA169&lt;&gt;"",'Q1'!DA169,"n.a.")</f>
        <v>0.77</v>
      </c>
      <c r="CY18" s="3768">
        <f>IF('Q1'!DB169&lt;&gt;"",'Q1'!DB169,"n.a.")</f>
        <v>0.7</v>
      </c>
    </row>
    <row r="19" spans="1:103">
      <c r="A19" s="3768" t="str">
        <f t="shared" si="1"/>
        <v>\\DG ECFIN\Forecast\Country databases\Desk transfer databases\BE</v>
      </c>
      <c r="B19" s="3768" t="str">
        <f t="shared" si="2"/>
        <v>BE</v>
      </c>
      <c r="C19" s="3768" t="s">
        <v>2362</v>
      </c>
      <c r="D19" s="3768" t="s">
        <v>2366</v>
      </c>
      <c r="E19" s="3768" t="s">
        <v>2492</v>
      </c>
      <c r="F19" s="3768">
        <v>22</v>
      </c>
      <c r="G19" s="3768" t="s">
        <v>555</v>
      </c>
      <c r="H19" s="3768">
        <f>IF('Q1'!K191&lt;&gt;"",'Q1'!K191,"n.a.")</f>
        <v>0.70413747615736266</v>
      </c>
      <c r="I19" s="3768">
        <f>IF('Q1'!L191&lt;&gt;"",'Q1'!L191,"n.a.")</f>
        <v>1.0559017205976184</v>
      </c>
      <c r="J19" s="3768">
        <f>IF('Q1'!M191&lt;&gt;"",'Q1'!M191,"n.a.")</f>
        <v>0.66300568415704753</v>
      </c>
      <c r="K19" s="3768">
        <f>IF('Q1'!N191&lt;&gt;"",'Q1'!N191,"n.a.")</f>
        <v>1.1371743783388677</v>
      </c>
      <c r="L19" s="3768">
        <f>IF('Q1'!O191&lt;&gt;"",'Q1'!O191,"n.a.")</f>
        <v>1.5889402190277124</v>
      </c>
      <c r="M19" s="3768">
        <f>IF('Q1'!P191&lt;&gt;"",'Q1'!P191,"n.a.")</f>
        <v>1.4878734503082525</v>
      </c>
      <c r="N19" s="3768">
        <f>IF('Q1'!Q191&lt;&gt;"",'Q1'!Q191,"n.a.")</f>
        <v>0.80270349201052582</v>
      </c>
      <c r="O19" s="3768">
        <f>IF('Q1'!R191&lt;&gt;"",'Q1'!R191,"n.a.")</f>
        <v>0.97428129164700561</v>
      </c>
      <c r="P19" s="3768">
        <f>IF('Q1'!S191&lt;&gt;"",'Q1'!S191,"n.a.")</f>
        <v>0.48448976915005382</v>
      </c>
      <c r="Q19" s="3768">
        <f>IF('Q1'!T191&lt;&gt;"",'Q1'!T191,"n.a.")</f>
        <v>0.83948602896186664</v>
      </c>
      <c r="R19" s="3768">
        <f>IF('Q1'!U191&lt;&gt;"",'Q1'!U191,"n.a.")</f>
        <v>0.98621403838063948</v>
      </c>
      <c r="S19" s="3768">
        <f>IF('Q1'!V191&lt;&gt;"",'Q1'!V191,"n.a.")</f>
        <v>-0.14180078991852252</v>
      </c>
      <c r="T19" s="3768">
        <f>IF('Q1'!W191&lt;&gt;"",'Q1'!W191,"n.a.")</f>
        <v>0.15483850263946497</v>
      </c>
      <c r="U19" s="3768">
        <f>IF('Q1'!X191&lt;&gt;"",'Q1'!X191,"n.a.")</f>
        <v>1.6813655988913823</v>
      </c>
      <c r="V19" s="3768">
        <f>IF('Q1'!Y191&lt;&gt;"",'Q1'!Y191,"n.a.")</f>
        <v>1.85602420079094</v>
      </c>
      <c r="W19" s="3768">
        <f>IF('Q1'!Z191&lt;&gt;"",'Q1'!Z191,"n.a.")</f>
        <v>1.3620121583368006</v>
      </c>
      <c r="X19" s="3768">
        <f>IF('Q1'!AA191&lt;&gt;"",'Q1'!AA191,"n.a.")</f>
        <v>2.4104383655717099</v>
      </c>
      <c r="Y19" s="3768">
        <f>IF('Q1'!AB191&lt;&gt;"",'Q1'!AB191,"n.a.")</f>
        <v>1.2271447091957599</v>
      </c>
      <c r="Z19" s="3768">
        <f>IF('Q1'!AC191&lt;&gt;"",'Q1'!AC191,"n.a.")</f>
        <v>1.1202626213556721</v>
      </c>
      <c r="AA19" s="3768">
        <f>IF('Q1'!AD191&lt;&gt;"",'Q1'!AD191,"n.a.")</f>
        <v>0.86109635107691762</v>
      </c>
      <c r="AB19" s="3768">
        <f>IF('Q1'!AE191&lt;&gt;"",'Q1'!AE191,"n.a.")</f>
        <v>0.21650332693445851</v>
      </c>
      <c r="AC19" s="3768">
        <f>IF('Q1'!AF191&lt;&gt;"",'Q1'!AF191,"n.a.")</f>
        <v>-0.87638442815376472</v>
      </c>
      <c r="AD19" s="3768">
        <f>IF('Q1'!AG191&lt;&gt;"",'Q1'!AG191,"n.a.")</f>
        <v>-0.11333173506528071</v>
      </c>
      <c r="AE19" s="3768">
        <f>IF('Q1'!AH191&lt;&gt;"",'Q1'!AH191,"n.a.")</f>
        <v>-0.67930731019033574</v>
      </c>
      <c r="AF19" s="3768">
        <f>IF('Q1'!AI191&lt;&gt;"",'Q1'!AI191,"n.a.")</f>
        <v>1.3422769645354826</v>
      </c>
      <c r="AG19" s="3768">
        <f>IF('Q1'!AJ191&lt;&gt;"",'Q1'!AJ191,"n.a.")</f>
        <v>0.6944043008266565</v>
      </c>
      <c r="AH19" s="3768">
        <f>IF('Q1'!AK191&lt;&gt;"",'Q1'!AK191,"n.a.")</f>
        <v>0.34301378513557079</v>
      </c>
      <c r="AI19" s="3768">
        <f>IF('Q1'!AL191&lt;&gt;"",'Q1'!AL191,"n.a.")</f>
        <v>0.41693186775464408</v>
      </c>
      <c r="AJ19" s="3768">
        <f>IF('Q1'!AM191&lt;&gt;"",'Q1'!AM191,"n.a.")</f>
        <v>-0.44511231073824931</v>
      </c>
      <c r="AK19" s="3768">
        <f>IF('Q1'!AN191&lt;&gt;"",'Q1'!AN191,"n.a.")</f>
        <v>0.33693638269105541</v>
      </c>
      <c r="AL19" s="3768">
        <f>IF('Q1'!AO191&lt;&gt;"",'Q1'!AO191,"n.a.")</f>
        <v>0.4484528732354276</v>
      </c>
      <c r="AM19" s="3768">
        <f>IF('Q1'!AP191&lt;&gt;"",'Q1'!AP191,"n.a.")</f>
        <v>1.0100149763288879</v>
      </c>
      <c r="AN19" s="3768">
        <f>IF('Q1'!AQ191&lt;&gt;"",'Q1'!AQ191,"n.a.")</f>
        <v>1.6878408004946888</v>
      </c>
      <c r="AO19" s="3768">
        <f>IF('Q1'!AR191&lt;&gt;"",'Q1'!AR191,"n.a.")</f>
        <v>1.1629835399477484</v>
      </c>
      <c r="AP19" s="3768">
        <f>IF('Q1'!AS191&lt;&gt;"",'Q1'!AS191,"n.a.")</f>
        <v>1.0369064939855344</v>
      </c>
      <c r="AQ19" s="3768">
        <f>IF('Q1'!AT191&lt;&gt;"",'Q1'!AT191,"n.a.")</f>
        <v>0.52124530980632855</v>
      </c>
      <c r="AR19" s="3768">
        <f>IF('Q1'!AU191&lt;&gt;"",'Q1'!AU191,"n.a.")</f>
        <v>0.97453694362614751</v>
      </c>
      <c r="AS19" s="3768">
        <f>IF('Q1'!AV191&lt;&gt;"",'Q1'!AV191,"n.a.")</f>
        <v>1.1955906350950896</v>
      </c>
      <c r="AT19" s="3768">
        <f>IF('Q1'!AW191&lt;&gt;"",'Q1'!AW191,"n.a.")</f>
        <v>0.23036924899624278</v>
      </c>
      <c r="AU19" s="3768">
        <f>IF('Q1'!AX191&lt;&gt;"",'Q1'!AX191,"n.a.")</f>
        <v>0.43341213553980129</v>
      </c>
      <c r="AV19" s="3768">
        <f>IF('Q1'!AY191&lt;&gt;"",'Q1'!AY191,"n.a.")</f>
        <v>1.322740944161116</v>
      </c>
      <c r="AW19" s="3768">
        <f>IF('Q1'!AZ191&lt;&gt;"",'Q1'!AZ191,"n.a.")</f>
        <v>0.52464136600349764</v>
      </c>
      <c r="AX19" s="3768">
        <f>IF('Q1'!BA191&lt;&gt;"",'Q1'!BA191,"n.a.")</f>
        <v>0.72925225965487783</v>
      </c>
      <c r="AY19" s="3768">
        <f>IF('Q1'!BB191&lt;&gt;"",'Q1'!BB191,"n.a.")</f>
        <v>0.70294177628222876</v>
      </c>
      <c r="AZ19" s="3768">
        <f>IF('Q1'!BC191&lt;&gt;"",'Q1'!BC191,"n.a.")</f>
        <v>1.8852640572097679</v>
      </c>
      <c r="BA19" s="3768">
        <f>IF('Q1'!BD191&lt;&gt;"",'Q1'!BD191,"n.a.")</f>
        <v>0.87643017752214725</v>
      </c>
      <c r="BB19" s="3768">
        <f>IF('Q1'!BE191&lt;&gt;"",'Q1'!BE191,"n.a.")</f>
        <v>0.75490286629105174</v>
      </c>
      <c r="BC19" s="3768">
        <f>IF('Q1'!BF191&lt;&gt;"",'Q1'!BF191,"n.a.")</f>
        <v>0.55185142179658975</v>
      </c>
      <c r="BD19" s="3768">
        <f>IF('Q1'!BG191&lt;&gt;"",'Q1'!BG191,"n.a.")</f>
        <v>1.2599219614183088</v>
      </c>
      <c r="BE19" s="3768">
        <f>IF('Q1'!BH191&lt;&gt;"",'Q1'!BH191,"n.a.")</f>
        <v>1.4489187128992054</v>
      </c>
      <c r="BF19" s="3768">
        <f>IF('Q1'!BI191&lt;&gt;"",'Q1'!BI191,"n.a.")</f>
        <v>-0.52242029096974951</v>
      </c>
      <c r="BG19" s="3768">
        <f>IF('Q1'!BJ191&lt;&gt;"",'Q1'!BJ191,"n.a.")</f>
        <v>-4.7734598960377799</v>
      </c>
      <c r="BH19" s="3768">
        <f>IF('Q1'!BK191&lt;&gt;"",'Q1'!BK191,"n.a.")</f>
        <v>-2.7917957429799189</v>
      </c>
      <c r="BI19" s="3768">
        <f>IF('Q1'!BL191&lt;&gt;"",'Q1'!BL191,"n.a.")</f>
        <v>0.53648758047313283</v>
      </c>
      <c r="BJ19" s="3768">
        <f>IF('Q1'!BM191&lt;&gt;"",'Q1'!BM191,"n.a.")</f>
        <v>1.8462777277171716</v>
      </c>
      <c r="BK19" s="3768">
        <f>IF('Q1'!BN191&lt;&gt;"",'Q1'!BN191,"n.a.")</f>
        <v>1.4394538358244446</v>
      </c>
      <c r="BL19" s="3768">
        <f>IF('Q1'!BO191&lt;&gt;"",'Q1'!BO191,"n.a.")</f>
        <v>0.54497092663614577</v>
      </c>
      <c r="BM19" s="3768">
        <f>IF('Q1'!BP191&lt;&gt;"",'Q1'!BP191,"n.a.")</f>
        <v>2.2978817652161698</v>
      </c>
      <c r="BN19" s="3768">
        <f>IF('Q1'!BQ191&lt;&gt;"",'Q1'!BQ191,"n.a.")</f>
        <v>0.86001587721618034</v>
      </c>
      <c r="BO19" s="3768">
        <f>IF('Q1'!BR191&lt;&gt;"",'Q1'!BR191,"n.a.")</f>
        <v>0.53963483715548932</v>
      </c>
      <c r="BP19" s="3768">
        <f>IF('Q1'!BS191&lt;&gt;"",'Q1'!BS191,"n.a.")</f>
        <v>1.611994472484013</v>
      </c>
      <c r="BQ19" s="3768">
        <f>IF('Q1'!BT191&lt;&gt;"",'Q1'!BT191,"n.a.")</f>
        <v>0.74068021175632826</v>
      </c>
      <c r="BR19" s="3768">
        <f>IF('Q1'!BU191&lt;&gt;"",'Q1'!BU191,"n.a.")</f>
        <v>0.69815409216791302</v>
      </c>
      <c r="BS19" s="3768">
        <f>IF('Q1'!BV191&lt;&gt;"",'Q1'!BV191,"n.a.")</f>
        <v>-1.2214979027979855</v>
      </c>
      <c r="BT19" s="3768">
        <f>IF('Q1'!BW191&lt;&gt;"",'Q1'!BW191,"n.a.")</f>
        <v>1.2756290773532131</v>
      </c>
      <c r="BU19" s="3768">
        <f>IF('Q1'!BX191&lt;&gt;"",'Q1'!BX191,"n.a.")</f>
        <v>-0.20762638753092366</v>
      </c>
      <c r="BV19" s="3768">
        <f>IF('Q1'!BY191&lt;&gt;"",'Q1'!BY191,"n.a.")</f>
        <v>-0.27030298140153786</v>
      </c>
      <c r="BW19" s="3768">
        <f>IF('Q1'!BZ191&lt;&gt;"",'Q1'!BZ191,"n.a.")</f>
        <v>-9.4775774387434453E-2</v>
      </c>
      <c r="BX19" s="3768">
        <f>IF('Q1'!CA191&lt;&gt;"",'Q1'!CA191,"n.a.")</f>
        <v>-0.16138735278464766</v>
      </c>
      <c r="BY19" s="3768">
        <f>IF('Q1'!CB191&lt;&gt;"",'Q1'!CB191,"n.a.")</f>
        <v>0.35632137290915189</v>
      </c>
      <c r="BZ19" s="3768">
        <f>IF('Q1'!CC191&lt;&gt;"",'Q1'!CC191,"n.a.")</f>
        <v>0.92430085675356821</v>
      </c>
      <c r="CA19" s="3768">
        <f>IF('Q1'!CD191&lt;&gt;"",'Q1'!CD191,"n.a.")</f>
        <v>0.60807834657605753</v>
      </c>
      <c r="CB19" s="3768">
        <f>IF('Q1'!CE191&lt;&gt;"",'Q1'!CE191,"n.a.")</f>
        <v>0.7704291660033169</v>
      </c>
      <c r="CC19" s="3768">
        <f>IF('Q1'!CF191&lt;&gt;"",'Q1'!CF191,"n.a.")</f>
        <v>0.84353188776229437</v>
      </c>
      <c r="CD19" s="3768">
        <f>IF('Q1'!CG191&lt;&gt;"",'Q1'!CG191,"n.a.")</f>
        <v>1.7798193883374447</v>
      </c>
      <c r="CE19" s="3768">
        <f>IF('Q1'!CH191&lt;&gt;"",'Q1'!CH191,"n.a.")</f>
        <v>-0.18251084345296542</v>
      </c>
      <c r="CF19" s="3768">
        <f>IF('Q1'!CI191&lt;&gt;"",'Q1'!CI191,"n.a.")</f>
        <v>1.0899077516177913</v>
      </c>
      <c r="CG19" s="3768">
        <f>IF('Q1'!CJ191&lt;&gt;"",'Q1'!CJ191,"n.a.")</f>
        <v>-0.47070616821206501</v>
      </c>
      <c r="CH19" s="3768">
        <f>IF('Q1'!CK191&lt;&gt;"",'Q1'!CK191,"n.a.")</f>
        <v>-7.5537796266889057E-2</v>
      </c>
      <c r="CI19" s="3768">
        <f>IF('Q1'!CL191&lt;&gt;"",'Q1'!CL191,"n.a.")</f>
        <v>1.8772733248608509</v>
      </c>
      <c r="CJ19" s="3768">
        <f>IF('Q1'!CM191&lt;&gt;"",'Q1'!CM191,"n.a.")</f>
        <v>6.4523413933592622E-3</v>
      </c>
      <c r="CK19" s="3768">
        <f>IF('Q1'!CN191&lt;&gt;"",'Q1'!CN191,"n.a.")</f>
        <v>2.8662677226317435</v>
      </c>
      <c r="CL19" s="3768">
        <f>IF('Q1'!CO191&lt;&gt;"",'Q1'!CO191,"n.a.")</f>
        <v>1.5309269190160846</v>
      </c>
      <c r="CM19" s="3768">
        <f>IF('Q1'!CP191&lt;&gt;"",'Q1'!CP191,"n.a.")</f>
        <v>0.66923722400400454</v>
      </c>
      <c r="CN19" s="3768">
        <f>IF('Q1'!CQ191&lt;&gt;"",'Q1'!CQ191,"n.a.")</f>
        <v>-1.2273013178143444E-2</v>
      </c>
      <c r="CO19" s="3768">
        <f>IF('Q1'!CR191&lt;&gt;"",'Q1'!CR191,"n.a.")</f>
        <v>0.59787139372056153</v>
      </c>
      <c r="CP19" s="3768">
        <f>IF('Q1'!CS191&lt;&gt;"",'Q1'!CS191,"n.a.")</f>
        <v>-1.8302354902988149E-2</v>
      </c>
      <c r="CQ19" s="3768">
        <f>IF('Q1'!CT191&lt;&gt;"",'Q1'!CT191,"n.a.")</f>
        <v>1.0535950371199254</v>
      </c>
      <c r="CR19" s="3768">
        <f>IF('Q1'!CU191&lt;&gt;"",'Q1'!CU191,"n.a.")</f>
        <v>0.96723184992852929</v>
      </c>
      <c r="CS19" s="3768">
        <f>IF('Q1'!CV191&lt;&gt;"",'Q1'!CV191,"n.a.")</f>
        <v>1.011387119338214</v>
      </c>
      <c r="CT19" s="3768">
        <f>IF('Q1'!CW191&lt;&gt;"",'Q1'!CW191,"n.a.")</f>
        <v>0.91973990815301665</v>
      </c>
      <c r="CU19" s="3768">
        <f>IF('Q1'!CX191&lt;&gt;"",'Q1'!CX191,"n.a.")</f>
        <v>0.87493688360302801</v>
      </c>
      <c r="CV19" s="3768">
        <f>IF('Q1'!CY191&lt;&gt;"",'Q1'!CY191,"n.a.")</f>
        <v>0.75720980006372951</v>
      </c>
      <c r="CW19" s="3768">
        <f>IF('Q1'!CZ191&lt;&gt;"",'Q1'!CZ191,"n.a.")</f>
        <v>0.66492739107049115</v>
      </c>
      <c r="CX19" s="3768">
        <f>IF('Q1'!DA191&lt;&gt;"",'Q1'!DA191,"n.a.")</f>
        <v>0.58212832767678968</v>
      </c>
      <c r="CY19" s="3768">
        <f>IF('Q1'!DB191&lt;&gt;"",'Q1'!DB191,"n.a.")</f>
        <v>0.54578662935826916</v>
      </c>
    </row>
    <row r="20" spans="1:103">
      <c r="A20" s="3768" t="str">
        <f t="shared" si="1"/>
        <v>\\DG ECFIN\Forecast\Country databases\Desk transfer databases\BE</v>
      </c>
      <c r="B20" s="3768" t="str">
        <f t="shared" si="2"/>
        <v>BE</v>
      </c>
      <c r="C20" s="3768" t="s">
        <v>2362</v>
      </c>
      <c r="D20" s="3768" t="s">
        <v>2367</v>
      </c>
      <c r="E20" s="3768" t="s">
        <v>2492</v>
      </c>
      <c r="F20" s="3768">
        <v>23</v>
      </c>
      <c r="G20" s="3768" t="s">
        <v>536</v>
      </c>
      <c r="H20" s="3768">
        <f>IF('Q1'!K210&lt;&gt;"",'Q1'!K210,"n.a.")</f>
        <v>2.1135994125976776</v>
      </c>
      <c r="I20" s="3768">
        <f>IF('Q1'!L210&lt;&gt;"",'Q1'!L210,"n.a.")</f>
        <v>1.2095531587057007</v>
      </c>
      <c r="J20" s="3768">
        <f>IF('Q1'!M210&lt;&gt;"",'Q1'!M210,"n.a.")</f>
        <v>0.42627692776129322</v>
      </c>
      <c r="K20" s="3768">
        <f>IF('Q1'!N210&lt;&gt;"",'Q1'!N210,"n.a.")</f>
        <v>1.7938805932439017</v>
      </c>
      <c r="L20" s="3768">
        <f>IF('Q1'!O210&lt;&gt;"",'Q1'!O210,"n.a.")</f>
        <v>3.1820099779095834</v>
      </c>
      <c r="M20" s="3768">
        <f>IF('Q1'!P210&lt;&gt;"",'Q1'!P210,"n.a.")</f>
        <v>2.8649779894638128</v>
      </c>
      <c r="N20" s="3768">
        <f>IF('Q1'!Q210&lt;&gt;"",'Q1'!Q210,"n.a.")</f>
        <v>1.2440952247322334</v>
      </c>
      <c r="O20" s="3768">
        <f>IF('Q1'!R210&lt;&gt;"",'Q1'!R210,"n.a.")</f>
        <v>0.83845336536241266</v>
      </c>
      <c r="P20" s="3768">
        <f>IF('Q1'!S210&lt;&gt;"",'Q1'!S210,"n.a.")</f>
        <v>0.74214902535676419</v>
      </c>
      <c r="Q20" s="3768">
        <f>IF('Q1'!T210&lt;&gt;"",'Q1'!T210,"n.a.")</f>
        <v>1.8348832450376218</v>
      </c>
      <c r="R20" s="3768">
        <f>IF('Q1'!U210&lt;&gt;"",'Q1'!U210,"n.a.")</f>
        <v>1.9692774850406547</v>
      </c>
      <c r="S20" s="3768">
        <f>IF('Q1'!V210&lt;&gt;"",'Q1'!V210,"n.a.")</f>
        <v>-0.61309393474928697</v>
      </c>
      <c r="T20" s="3768">
        <f>IF('Q1'!W210&lt;&gt;"",'Q1'!W210,"n.a.")</f>
        <v>-1.3439083498567927</v>
      </c>
      <c r="U20" s="3768">
        <f>IF('Q1'!X210&lt;&gt;"",'Q1'!X210,"n.a.")</f>
        <v>1.8244752121482799</v>
      </c>
      <c r="V20" s="3768">
        <f>IF('Q1'!Y210&lt;&gt;"",'Q1'!Y210,"n.a.")</f>
        <v>3.0045836348882471</v>
      </c>
      <c r="W20" s="3768">
        <f>IF('Q1'!Z210&lt;&gt;"",'Q1'!Z210,"n.a.")</f>
        <v>2.9233291459961341</v>
      </c>
      <c r="X20" s="3768">
        <f>IF('Q1'!AA210&lt;&gt;"",'Q1'!AA210,"n.a.")</f>
        <v>5.1985932974762061</v>
      </c>
      <c r="Y20" s="3768">
        <f>IF('Q1'!AB210&lt;&gt;"",'Q1'!AB210,"n.a.")</f>
        <v>2.6291467563368753</v>
      </c>
      <c r="Z20" s="3768">
        <f>IF('Q1'!AC210&lt;&gt;"",'Q1'!AC210,"n.a.")</f>
        <v>2.7840582487066445</v>
      </c>
      <c r="AA20" s="3768">
        <f>IF('Q1'!AD210&lt;&gt;"",'Q1'!AD210,"n.a.")</f>
        <v>0.84260760956695879</v>
      </c>
      <c r="AB20" s="3768">
        <f>IF('Q1'!AE210&lt;&gt;"",'Q1'!AE210,"n.a.")</f>
        <v>-0.86514465292539811</v>
      </c>
      <c r="AC20" s="3768">
        <f>IF('Q1'!AF210&lt;&gt;"",'Q1'!AF210,"n.a.")</f>
        <v>-2.4670408562850854</v>
      </c>
      <c r="AD20" s="3768">
        <f>IF('Q1'!AG210&lt;&gt;"",'Q1'!AG210,"n.a.")</f>
        <v>-1.4377485469562634</v>
      </c>
      <c r="AE20" s="3768">
        <f>IF('Q1'!AH210&lt;&gt;"",'Q1'!AH210,"n.a.")</f>
        <v>-0.80113283674735358</v>
      </c>
      <c r="AF20" s="3768">
        <f>IF('Q1'!AI210&lt;&gt;"",'Q1'!AI210,"n.a.")</f>
        <v>1.2319364868299987</v>
      </c>
      <c r="AG20" s="3768">
        <f>IF('Q1'!AJ210&lt;&gt;"",'Q1'!AJ210,"n.a.")</f>
        <v>1.1860379763951379</v>
      </c>
      <c r="AH20" s="3768">
        <f>IF('Q1'!AK210&lt;&gt;"",'Q1'!AK210,"n.a.")</f>
        <v>1.1053204283832496</v>
      </c>
      <c r="AI20" s="3768">
        <f>IF('Q1'!AL210&lt;&gt;"",'Q1'!AL210,"n.a.")</f>
        <v>0.87609984517200701</v>
      </c>
      <c r="AJ20" s="3768">
        <f>IF('Q1'!AM210&lt;&gt;"",'Q1'!AM210,"n.a.")</f>
        <v>-0.42675850709392726</v>
      </c>
      <c r="AK20" s="3768">
        <f>IF('Q1'!AN210&lt;&gt;"",'Q1'!AN210,"n.a.")</f>
        <v>-0.55453212526787032</v>
      </c>
      <c r="AL20" s="3768">
        <f>IF('Q1'!AO210&lt;&gt;"",'Q1'!AO210,"n.a.")</f>
        <v>0.51036803205868342</v>
      </c>
      <c r="AM20" s="3768">
        <f>IF('Q1'!AP210&lt;&gt;"",'Q1'!AP210,"n.a.")</f>
        <v>2.2906362251518653</v>
      </c>
      <c r="AN20" s="3768">
        <f>IF('Q1'!AQ210&lt;&gt;"",'Q1'!AQ210,"n.a.")</f>
        <v>1.4947325844349324</v>
      </c>
      <c r="AO20" s="3768">
        <f>IF('Q1'!AR210&lt;&gt;"",'Q1'!AR210,"n.a.")</f>
        <v>1.7498731975943871</v>
      </c>
      <c r="AP20" s="3768">
        <f>IF('Q1'!AS210&lt;&gt;"",'Q1'!AS210,"n.a.")</f>
        <v>1.7482641979704505</v>
      </c>
      <c r="AQ20" s="3768">
        <f>IF('Q1'!AT210&lt;&gt;"",'Q1'!AT210,"n.a.")</f>
        <v>2.2676371780515181</v>
      </c>
      <c r="AR20" s="3768">
        <f>IF('Q1'!AU210&lt;&gt;"",'Q1'!AU210,"n.a.")</f>
        <v>1.2062003832466361</v>
      </c>
      <c r="AS20" s="3768">
        <f>IF('Q1'!AV210&lt;&gt;"",'Q1'!AV210,"n.a.")</f>
        <v>2.0709008841478971</v>
      </c>
      <c r="AT20" s="3768">
        <f>IF('Q1'!AW210&lt;&gt;"",'Q1'!AW210,"n.a.")</f>
        <v>0.74530458113883924</v>
      </c>
      <c r="AU20" s="3768">
        <f>IF('Q1'!AX210&lt;&gt;"",'Q1'!AX210,"n.a.")</f>
        <v>0.71184323009141348</v>
      </c>
      <c r="AV20" s="3768">
        <f>IF('Q1'!AY210&lt;&gt;"",'Q1'!AY210,"n.a.")</f>
        <v>2.2200094676874338</v>
      </c>
      <c r="AW20" s="3768">
        <f>IF('Q1'!AZ210&lt;&gt;"",'Q1'!AZ210,"n.a.")</f>
        <v>0.83198926877565693</v>
      </c>
      <c r="AX20" s="3768">
        <f>IF('Q1'!BA210&lt;&gt;"",'Q1'!BA210,"n.a.")</f>
        <v>0.14253587152766034</v>
      </c>
      <c r="AY20" s="3768">
        <f>IF('Q1'!BB210&lt;&gt;"",'Q1'!BB210,"n.a.")</f>
        <v>0.80180921052630527</v>
      </c>
      <c r="AZ20" s="3768">
        <f>IF('Q1'!BC210&lt;&gt;"",'Q1'!BC210,"n.a.")</f>
        <v>2.9118749901943852</v>
      </c>
      <c r="BA20" s="3768">
        <f>IF('Q1'!BD210&lt;&gt;"",'Q1'!BD210,"n.a.")</f>
        <v>1.2104581141855197</v>
      </c>
      <c r="BB20" s="3768">
        <f>IF('Q1'!BE210&lt;&gt;"",'Q1'!BE210,"n.a.")</f>
        <v>1.2246004609197447</v>
      </c>
      <c r="BC20" s="3768">
        <f>IF('Q1'!BF210&lt;&gt;"",'Q1'!BF210,"n.a.")</f>
        <v>1.0267551560965371</v>
      </c>
      <c r="BD20" s="3768">
        <f>IF('Q1'!BG210&lt;&gt;"",'Q1'!BG210,"n.a.")</f>
        <v>2.0753549755494038</v>
      </c>
      <c r="BE20" s="3768">
        <f>IF('Q1'!BH210&lt;&gt;"",'Q1'!BH210,"n.a.")</f>
        <v>2.7719657724996738</v>
      </c>
      <c r="BF20" s="3768">
        <f>IF('Q1'!BI210&lt;&gt;"",'Q1'!BI210,"n.a.")</f>
        <v>-0.29766083513519392</v>
      </c>
      <c r="BG20" s="3768">
        <f>IF('Q1'!BJ210&lt;&gt;"",'Q1'!BJ210,"n.a.")</f>
        <v>-8.6804675397831321</v>
      </c>
      <c r="BH20" s="3768">
        <f>IF('Q1'!BK210&lt;&gt;"",'Q1'!BK210,"n.a.")</f>
        <v>-5.5068932547882703</v>
      </c>
      <c r="BI20" s="3768">
        <f>IF('Q1'!BL210&lt;&gt;"",'Q1'!BL210,"n.a.")</f>
        <v>0.51081191350470512</v>
      </c>
      <c r="BJ20" s="3768">
        <f>IF('Q1'!BM210&lt;&gt;"",'Q1'!BM210,"n.a.")</f>
        <v>3.5493927388452251</v>
      </c>
      <c r="BK20" s="3768">
        <f>IF('Q1'!BN210&lt;&gt;"",'Q1'!BN210,"n.a.")</f>
        <v>1.669959544642019</v>
      </c>
      <c r="BL20" s="3768">
        <f>IF('Q1'!BO210&lt;&gt;"",'Q1'!BO210,"n.a.")</f>
        <v>1.9617822606764479</v>
      </c>
      <c r="BM20" s="3768">
        <f>IF('Q1'!BP210&lt;&gt;"",'Q1'!BP210,"n.a.")</f>
        <v>4.7117726248279368</v>
      </c>
      <c r="BN20" s="3768">
        <f>IF('Q1'!BQ210&lt;&gt;"",'Q1'!BQ210,"n.a.")</f>
        <v>0.56770577528675314</v>
      </c>
      <c r="BO20" s="3768">
        <f>IF('Q1'!BR210&lt;&gt;"",'Q1'!BR210,"n.a.")</f>
        <v>1.5886467774601787</v>
      </c>
      <c r="BP20" s="3768">
        <f>IF('Q1'!BS210&lt;&gt;"",'Q1'!BS210,"n.a.")</f>
        <v>3.2930364086249719</v>
      </c>
      <c r="BQ20" s="3768">
        <f>IF('Q1'!BT210&lt;&gt;"",'Q1'!BT210,"n.a.")</f>
        <v>1.370219289840402</v>
      </c>
      <c r="BR20" s="3768">
        <f>IF('Q1'!BU210&lt;&gt;"",'Q1'!BU210,"n.a.")</f>
        <v>2.0579299169535936</v>
      </c>
      <c r="BS20" s="3768">
        <f>IF('Q1'!BV210&lt;&gt;"",'Q1'!BV210,"n.a.")</f>
        <v>-3.219148176080644</v>
      </c>
      <c r="BT20" s="3768">
        <f>IF('Q1'!BW210&lt;&gt;"",'Q1'!BW210,"n.a.")</f>
        <v>2.3227517567604439</v>
      </c>
      <c r="BU20" s="3768">
        <f>IF('Q1'!BX210&lt;&gt;"",'Q1'!BX210,"n.a.")</f>
        <v>-0.97134077092658755</v>
      </c>
      <c r="BV20" s="3768">
        <f>IF('Q1'!BY210&lt;&gt;"",'Q1'!BY210,"n.a.")</f>
        <v>-0.75690115761352095</v>
      </c>
      <c r="BW20" s="3768">
        <f>IF('Q1'!BZ210&lt;&gt;"",'Q1'!BZ210,"n.a.")</f>
        <v>5.5739086694672757E-2</v>
      </c>
      <c r="BX20" s="3768">
        <f>IF('Q1'!CA210&lt;&gt;"",'Q1'!CA210,"n.a.")</f>
        <v>-0.36414032990027545</v>
      </c>
      <c r="BY20" s="3768">
        <f>IF('Q1'!CB210&lt;&gt;"",'Q1'!CB210,"n.a.")</f>
        <v>0.30410473203328348</v>
      </c>
      <c r="BZ20" s="3768">
        <f>IF('Q1'!CC210&lt;&gt;"",'Q1'!CC210,"n.a.")</f>
        <v>1.1080445393117921</v>
      </c>
      <c r="CA20" s="3768">
        <f>IF('Q1'!CD210&lt;&gt;"",'Q1'!CD210,"n.a.")</f>
        <v>2.0331325301204739</v>
      </c>
      <c r="CB20" s="3768">
        <f>IF('Q1'!CE210&lt;&gt;"",'Q1'!CE210,"n.a.")</f>
        <v>1.1175540326831879</v>
      </c>
      <c r="CC20" s="3768">
        <f>IF('Q1'!CF210&lt;&gt;"",'Q1'!CF210,"n.a.")</f>
        <v>1.5835157960587987</v>
      </c>
      <c r="CD20" s="3768">
        <f>IF('Q1'!CG210&lt;&gt;"",'Q1'!CG210,"n.a.")</f>
        <v>3.7950810207459273</v>
      </c>
      <c r="CE20" s="3768">
        <f>IF('Q1'!CH210&lt;&gt;"",'Q1'!CH210,"n.a.")</f>
        <v>-1.1174151122977372</v>
      </c>
      <c r="CF20" s="3768">
        <f>IF('Q1'!CI210&lt;&gt;"",'Q1'!CI210,"n.a.")</f>
        <v>2.0475767841294124</v>
      </c>
      <c r="CG20" s="3768">
        <f>IF('Q1'!CJ210&lt;&gt;"",'Q1'!CJ210,"n.a.")</f>
        <v>-1.2617137257303845</v>
      </c>
      <c r="CH20" s="3768">
        <f>IF('Q1'!CK210&lt;&gt;"",'Q1'!CK210,"n.a.")</f>
        <v>-0.33000434216240437</v>
      </c>
      <c r="CI20" s="3768">
        <f>IF('Q1'!CL210&lt;&gt;"",'Q1'!CL210,"n.a.")</f>
        <v>3.7291975254857501</v>
      </c>
      <c r="CJ20" s="3768">
        <f>IF('Q1'!CM210&lt;&gt;"",'Q1'!CM210,"n.a.")</f>
        <v>-0.59878802423950495</v>
      </c>
      <c r="CK20" s="3768">
        <f>IF('Q1'!CN210&lt;&gt;"",'Q1'!CN210,"n.a.")</f>
        <v>6.1277705345502032</v>
      </c>
      <c r="CL20" s="3768">
        <f>IF('Q1'!CO210&lt;&gt;"",'Q1'!CO210,"n.a.")</f>
        <v>3.0564655564655485</v>
      </c>
      <c r="CM20" s="3768">
        <f>IF('Q1'!CP210&lt;&gt;"",'Q1'!CP210,"n.a.")</f>
        <v>1.3565271139857948</v>
      </c>
      <c r="CN20" s="3768">
        <f>IF('Q1'!CQ210&lt;&gt;"",'Q1'!CQ210,"n.a.")</f>
        <v>-0.51618242801759751</v>
      </c>
      <c r="CO20" s="3768">
        <f>IF('Q1'!CR210&lt;&gt;"",'Q1'!CR210,"n.a.")</f>
        <v>0.77719640081441721</v>
      </c>
      <c r="CP20" s="3768">
        <f>IF('Q1'!CS210&lt;&gt;"",'Q1'!CS210,"n.a.")</f>
        <v>-0.73861661452901961</v>
      </c>
      <c r="CQ20" s="3768">
        <f>IF('Q1'!CT210&lt;&gt;"",'Q1'!CT210,"n.a.")</f>
        <v>1.5702967696752168</v>
      </c>
      <c r="CR20" s="3768">
        <f>IF('Q1'!CU210&lt;&gt;"",'Q1'!CU210,"n.a.")</f>
        <v>1.6</v>
      </c>
      <c r="CS20" s="3768">
        <f>IF('Q1'!CV210&lt;&gt;"",'Q1'!CV210,"n.a.")</f>
        <v>1.55</v>
      </c>
      <c r="CT20" s="3768">
        <f>IF('Q1'!CW210&lt;&gt;"",'Q1'!CW210,"n.a.")</f>
        <v>1.4</v>
      </c>
      <c r="CU20" s="3768">
        <f>IF('Q1'!CX210&lt;&gt;"",'Q1'!CX210,"n.a.")</f>
        <v>1.3</v>
      </c>
      <c r="CV20" s="3768">
        <f>IF('Q1'!CY210&lt;&gt;"",'Q1'!CY210,"n.a.")</f>
        <v>1.1000000000000001</v>
      </c>
      <c r="CW20" s="3768">
        <f>IF('Q1'!CZ210&lt;&gt;"",'Q1'!CZ210,"n.a.")</f>
        <v>0.93</v>
      </c>
      <c r="CX20" s="3768">
        <f>IF('Q1'!DA210&lt;&gt;"",'Q1'!DA210,"n.a.")</f>
        <v>0.87</v>
      </c>
      <c r="CY20" s="3768">
        <f>IF('Q1'!DB210&lt;&gt;"",'Q1'!DB210,"n.a.")</f>
        <v>0.84</v>
      </c>
    </row>
    <row r="21" spans="1:103">
      <c r="A21" s="3768" t="str">
        <f t="shared" si="1"/>
        <v>\\DG ECFIN\Forecast\Country databases\Desk transfer databases\BE</v>
      </c>
      <c r="B21" s="3768" t="str">
        <f t="shared" si="2"/>
        <v>BE</v>
      </c>
      <c r="C21" s="3768" t="s">
        <v>2362</v>
      </c>
      <c r="D21" s="3768" t="s">
        <v>2179</v>
      </c>
      <c r="E21" s="3768" t="s">
        <v>2492</v>
      </c>
      <c r="F21" s="3768">
        <v>24</v>
      </c>
      <c r="G21" s="3768" t="s">
        <v>1945</v>
      </c>
      <c r="H21" s="3768">
        <f>IF('Q1'!K232&lt;&gt;"",'Q1'!K232,"n.a.")</f>
        <v>-0.20091927448875335</v>
      </c>
      <c r="I21" s="3768">
        <f>IF('Q1'!L232&lt;&gt;"",'Q1'!L232,"n.a.")</f>
        <v>0.76254826254826824</v>
      </c>
      <c r="J21" s="3768">
        <f>IF('Q1'!M232&lt;&gt;"",'Q1'!M232,"n.a.")</f>
        <v>0.50086899401968754</v>
      </c>
      <c r="K21" s="3768">
        <f>IF('Q1'!N232&lt;&gt;"",'Q1'!N232,"n.a.")</f>
        <v>0.78840942823297233</v>
      </c>
      <c r="L21" s="3768">
        <f>IF('Q1'!O232&lt;&gt;"",'Q1'!O232,"n.a.")</f>
        <v>0.93490772514792653</v>
      </c>
      <c r="M21" s="3768">
        <f>IF('Q1'!P232&lt;&gt;"",'Q1'!P232,"n.a.")</f>
        <v>1.4844063713023825</v>
      </c>
      <c r="N21" s="3768">
        <f>IF('Q1'!Q232&lt;&gt;"",'Q1'!Q232,"n.a.")</f>
        <v>0.86917527268888239</v>
      </c>
      <c r="O21" s="3768">
        <f>IF('Q1'!R232&lt;&gt;"",'Q1'!R232,"n.a.")</f>
        <v>0.57271372159313216</v>
      </c>
      <c r="P21" s="3768">
        <f>IF('Q1'!S232&lt;&gt;"",'Q1'!S232,"n.a.")</f>
        <v>0.26522440064487007</v>
      </c>
      <c r="Q21" s="3768">
        <f>IF('Q1'!T232&lt;&gt;"",'Q1'!T232,"n.a.")</f>
        <v>0.33324688796678714</v>
      </c>
      <c r="R21" s="3768">
        <f>IF('Q1'!U232&lt;&gt;"",'Q1'!U232,"n.a.")</f>
        <v>0.31404680977553667</v>
      </c>
      <c r="S21" s="3768">
        <f>IF('Q1'!V232&lt;&gt;"",'Q1'!V232,"n.a.")</f>
        <v>0.24735892811129645</v>
      </c>
      <c r="T21" s="3768">
        <f>IF('Q1'!W232&lt;&gt;"",'Q1'!W232,"n.a.")</f>
        <v>1.0589626278723063</v>
      </c>
      <c r="U21" s="3768">
        <f>IF('Q1'!X232&lt;&gt;"",'Q1'!X232,"n.a.")</f>
        <v>1.3467114298794325</v>
      </c>
      <c r="V21" s="3768">
        <f>IF('Q1'!Y232&lt;&gt;"",'Q1'!Y232,"n.a.")</f>
        <v>1.4404918752745077</v>
      </c>
      <c r="W21" s="3768">
        <f>IF('Q1'!Z232&lt;&gt;"",'Q1'!Z232,"n.a.")</f>
        <v>1.1800650643840394</v>
      </c>
      <c r="X21" s="3768">
        <f>IF('Q1'!AA232&lt;&gt;"",'Q1'!AA232,"n.a.")</f>
        <v>0.74697116031150479</v>
      </c>
      <c r="Y21" s="3768">
        <f>IF('Q1'!AB232&lt;&gt;"",'Q1'!AB232,"n.a.")</f>
        <v>0.65770313561790417</v>
      </c>
      <c r="Z21" s="3768">
        <f>IF('Q1'!AC232&lt;&gt;"",'Q1'!AC232,"n.a.")</f>
        <v>0.39783001808317842</v>
      </c>
      <c r="AA21" s="3768">
        <f>IF('Q1'!AD232&lt;&gt;"",'Q1'!AD232,"n.a.")</f>
        <v>0.88616714697407062</v>
      </c>
      <c r="AB21" s="3768">
        <f>IF('Q1'!AE232&lt;&gt;"",'Q1'!AE232,"n.a.")</f>
        <v>-5.8320836011338528E-2</v>
      </c>
      <c r="AC21" s="3768">
        <f>IF('Q1'!AF232&lt;&gt;"",'Q1'!AF232,"n.a.")</f>
        <v>-5.8354869058807601E-2</v>
      </c>
      <c r="AD21" s="3768">
        <f>IF('Q1'!AG232&lt;&gt;"",'Q1'!AG232,"n.a.")</f>
        <v>-0.20495710200190143</v>
      </c>
      <c r="AE21" s="3768">
        <f>IF('Q1'!AH232&lt;&gt;"",'Q1'!AH232,"n.a.")</f>
        <v>-5.8508859913075639E-2</v>
      </c>
      <c r="AF21" s="3768">
        <f>IF('Q1'!AI232&lt;&gt;"",'Q1'!AI232,"n.a.")</f>
        <v>0.93071601811252069</v>
      </c>
      <c r="AG21" s="3768">
        <f>IF('Q1'!AJ232&lt;&gt;"",'Q1'!AJ232,"n.a.")</f>
        <v>0.878335187859558</v>
      </c>
      <c r="AH21" s="3768">
        <f>IF('Q1'!AK232&lt;&gt;"",'Q1'!AK232,"n.a.")</f>
        <v>0.52804505984511696</v>
      </c>
      <c r="AI21" s="3768">
        <f>IF('Q1'!AL232&lt;&gt;"",'Q1'!AL232,"n.a.")</f>
        <v>0.31049375510681099</v>
      </c>
      <c r="AJ21" s="3768">
        <f>IF('Q1'!AM232&lt;&gt;"",'Q1'!AM232,"n.a.")</f>
        <v>-0.39447961273507692</v>
      </c>
      <c r="AK21" s="3768">
        <f>IF('Q1'!AN232&lt;&gt;"",'Q1'!AN232,"n.a.")</f>
        <v>0.10047081089292753</v>
      </c>
      <c r="AL21" s="3768">
        <f>IF('Q1'!AO232&lt;&gt;"",'Q1'!AO232,"n.a.")</f>
        <v>0.38514057631036103</v>
      </c>
      <c r="AM21" s="3768">
        <f>IF('Q1'!AP232&lt;&gt;"",'Q1'!AP232,"n.a.")</f>
        <v>0.74523618522779334</v>
      </c>
      <c r="AN21" s="3768">
        <f>IF('Q1'!AQ232&lt;&gt;"",'Q1'!AQ232,"n.a.")</f>
        <v>1.5579200036928587</v>
      </c>
      <c r="AO21" s="3768">
        <f>IF('Q1'!AR232&lt;&gt;"",'Q1'!AR232,"n.a.")</f>
        <v>0.98063724376165062</v>
      </c>
      <c r="AP21" s="3768">
        <f>IF('Q1'!AS232&lt;&gt;"",'Q1'!AS232,"n.a.")</f>
        <v>0.87434030630042514</v>
      </c>
      <c r="AQ21" s="3768">
        <f>IF('Q1'!AT232&lt;&gt;"",'Q1'!AT232,"n.a.")</f>
        <v>0.31903975726206291</v>
      </c>
      <c r="AR21" s="3768">
        <f>IF('Q1'!AU232&lt;&gt;"",'Q1'!AU232,"n.a.")</f>
        <v>0.39586344934949835</v>
      </c>
      <c r="AS21" s="3768">
        <f>IF('Q1'!AV232&lt;&gt;"",'Q1'!AV232,"n.a.")</f>
        <v>0.4995237356843818</v>
      </c>
      <c r="AT21" s="3768">
        <f>IF('Q1'!AW232&lt;&gt;"",'Q1'!AW232,"n.a.")</f>
        <v>0.38683227349372018</v>
      </c>
      <c r="AU21" s="3768">
        <f>IF('Q1'!AX232&lt;&gt;"",'Q1'!AX232,"n.a.")</f>
        <v>0.8003249604777718</v>
      </c>
      <c r="AV21" s="3768">
        <f>IF('Q1'!AY232&lt;&gt;"",'Q1'!AY232,"n.a.")</f>
        <v>0.62842393020901</v>
      </c>
      <c r="AW21" s="3768">
        <f>IF('Q1'!AZ232&lt;&gt;"",'Q1'!AZ232,"n.a.")</f>
        <v>0.32686105158343803</v>
      </c>
      <c r="AX21" s="3768">
        <f>IF('Q1'!BA232&lt;&gt;"",'Q1'!BA232,"n.a.")</f>
        <v>0.84253905238629301</v>
      </c>
      <c r="AY21" s="3768">
        <f>IF('Q1'!BB232&lt;&gt;"",'Q1'!BB232,"n.a.")</f>
        <v>1.0772703445767418</v>
      </c>
      <c r="AZ21" s="3768">
        <f>IF('Q1'!BC232&lt;&gt;"",'Q1'!BC232,"n.a.")</f>
        <v>1.2869903899072943</v>
      </c>
      <c r="BA21" s="3768">
        <f>IF('Q1'!BD232&lt;&gt;"",'Q1'!BD232,"n.a.")</f>
        <v>0.39289446185997168</v>
      </c>
      <c r="BB21" s="3768">
        <f>IF('Q1'!BE232&lt;&gt;"",'Q1'!BE232,"n.a.")</f>
        <v>0.77230525833715813</v>
      </c>
      <c r="BC21" s="3768">
        <f>IF('Q1'!BF232&lt;&gt;"",'Q1'!BF232,"n.a.")</f>
        <v>0.5050713710260446</v>
      </c>
      <c r="BD21" s="3768">
        <f>IF('Q1'!BG232&lt;&gt;"",'Q1'!BG232,"n.a.")</f>
        <v>0.57755351619102058</v>
      </c>
      <c r="BE21" s="3768">
        <f>IF('Q1'!BH232&lt;&gt;"",'Q1'!BH232,"n.a.")</f>
        <v>0.15939674462803755</v>
      </c>
      <c r="BF21" s="3768">
        <f>IF('Q1'!BI232&lt;&gt;"",'Q1'!BI232,"n.a.")</f>
        <v>-0.50293292527416877</v>
      </c>
      <c r="BG21" s="3768">
        <f>IF('Q1'!BJ232&lt;&gt;"",'Q1'!BJ232,"n.a.")</f>
        <v>-2.0936718205306959</v>
      </c>
      <c r="BH21" s="3768">
        <f>IF('Q1'!BK232&lt;&gt;"",'Q1'!BK232,"n.a.")</f>
        <v>-1.1498586239396813</v>
      </c>
      <c r="BI21" s="3768">
        <f>IF('Q1'!BL232&lt;&gt;"",'Q1'!BL232,"n.a.")</f>
        <v>-0.10911941689972782</v>
      </c>
      <c r="BJ21" s="3768">
        <f>IF('Q1'!BM232&lt;&gt;"",'Q1'!BM232,"n.a.")</f>
        <v>1.1135975564487977</v>
      </c>
      <c r="BK21" s="3768">
        <f>IF('Q1'!BN232&lt;&gt;"",'Q1'!BN232,"n.a.")</f>
        <v>0.84435540544793852</v>
      </c>
      <c r="BL21" s="3768">
        <f>IF('Q1'!BO232&lt;&gt;"",'Q1'!BO232,"n.a.")</f>
        <v>0.47532867365618348</v>
      </c>
      <c r="BM21" s="3768">
        <f>IF('Q1'!BP232&lt;&gt;"",'Q1'!BP232,"n.a.")</f>
        <v>1.0093063218807208</v>
      </c>
      <c r="BN21" s="3768">
        <f>IF('Q1'!BQ232&lt;&gt;"",'Q1'!BQ232,"n.a.")</f>
        <v>0.44170697712553331</v>
      </c>
      <c r="BO21" s="3768">
        <f>IF('Q1'!BR232&lt;&gt;"",'Q1'!BR232,"n.a.")</f>
        <v>0.41323578928036397</v>
      </c>
      <c r="BP21" s="3768">
        <f>IF('Q1'!BS232&lt;&gt;"",'Q1'!BS232,"n.a.")</f>
        <v>0.66150469454944183</v>
      </c>
      <c r="BQ21" s="3768">
        <f>IF('Q1'!BT232&lt;&gt;"",'Q1'!BT232,"n.a.")</f>
        <v>0.28870516741872354</v>
      </c>
      <c r="BR21" s="3768">
        <f>IF('Q1'!BU232&lt;&gt;"",'Q1'!BU232,"n.a.")</f>
        <v>0.22345469003210994</v>
      </c>
      <c r="BS21" s="3768">
        <f>IF('Q1'!BV232&lt;&gt;"",'Q1'!BV232,"n.a.")</f>
        <v>6.7288668387388562E-2</v>
      </c>
      <c r="BT21" s="3768">
        <f>IF('Q1'!BW232&lt;&gt;"",'Q1'!BW232,"n.a.")</f>
        <v>0.19470483148997797</v>
      </c>
      <c r="BU21" s="3768">
        <f>IF('Q1'!BX232&lt;&gt;"",'Q1'!BX232,"n.a.")</f>
        <v>-0.1933247856398701</v>
      </c>
      <c r="BV21" s="3768">
        <f>IF('Q1'!BY232&lt;&gt;"",'Q1'!BY232,"n.a.")</f>
        <v>-3.8137677014016269E-2</v>
      </c>
      <c r="BW21" s="3768">
        <f>IF('Q1'!BZ232&lt;&gt;"",'Q1'!BZ232,"n.a.")</f>
        <v>-0.12048071806508576</v>
      </c>
      <c r="BX21" s="3768">
        <f>IF('Q1'!CA232&lt;&gt;"",'Q1'!CA232,"n.a.")</f>
        <v>-0.31965903036760279</v>
      </c>
      <c r="BY21" s="3768">
        <f>IF('Q1'!CB232&lt;&gt;"",'Q1'!CB232,"n.a.")</f>
        <v>0.48102618920364826</v>
      </c>
      <c r="BZ21" s="3768">
        <f>IF('Q1'!CC232&lt;&gt;"",'Q1'!CC232,"n.a.")</f>
        <v>0.48875953432356845</v>
      </c>
      <c r="CA21" s="3768">
        <f>IF('Q1'!CD232&lt;&gt;"",'Q1'!CD232,"n.a.")</f>
        <v>0.29562455681284572</v>
      </c>
      <c r="CB21" s="3768">
        <f>IF('Q1'!CE232&lt;&gt;"",'Q1'!CE232,"n.a.")</f>
        <v>0.30271949652969088</v>
      </c>
      <c r="CC21" s="3768">
        <f>IF('Q1'!CF232&lt;&gt;"",'Q1'!CF232,"n.a.")</f>
        <v>0.24819561785816013</v>
      </c>
      <c r="CD21" s="3768">
        <f>IF('Q1'!CG232&lt;&gt;"",'Q1'!CG232,"n.a.")</f>
        <v>0.38721689097516165</v>
      </c>
      <c r="CE21" s="3768">
        <f>IF('Q1'!CH232&lt;&gt;"",'Q1'!CH232,"n.a.")</f>
        <v>0.30680293583775775</v>
      </c>
      <c r="CF21" s="3768">
        <f>IF('Q1'!CI232&lt;&gt;"",'Q1'!CI232,"n.a.")</f>
        <v>0.41306464461687842</v>
      </c>
      <c r="CG21" s="3768">
        <f>IF('Q1'!CJ232&lt;&gt;"",'Q1'!CJ232,"n.a.")</f>
        <v>0.46621416468328736</v>
      </c>
      <c r="CH21" s="3768">
        <f>IF('Q1'!CK232&lt;&gt;"",'Q1'!CK232,"n.a.")</f>
        <v>5.8493785035351742E-2</v>
      </c>
      <c r="CI21" s="3768">
        <f>IF('Q1'!CL232&lt;&gt;"",'Q1'!CL232,"n.a.")</f>
        <v>0.47839430993326104</v>
      </c>
      <c r="CJ21" s="3768">
        <f>IF('Q1'!CM232&lt;&gt;"",'Q1'!CM232,"n.a.")</f>
        <v>0.27830033163314116</v>
      </c>
      <c r="CK21" s="3768">
        <f>IF('Q1'!CN232&lt;&gt;"",'Q1'!CN232,"n.a.")</f>
        <v>0.74071925193157639</v>
      </c>
      <c r="CL21" s="3768">
        <f>IF('Q1'!CO232&lt;&gt;"",'Q1'!CO232,"n.a.")</f>
        <v>0.11038693018745604</v>
      </c>
      <c r="CM21" s="3768">
        <f>IF('Q1'!CP232&lt;&gt;"",'Q1'!CP232,"n.a.")</f>
        <v>0.26080119661726631</v>
      </c>
      <c r="CN21" s="3768">
        <f>IF('Q1'!CQ232&lt;&gt;"",'Q1'!CQ232,"n.a.")</f>
        <v>0.66943365912437436</v>
      </c>
      <c r="CO21" s="3768">
        <f>IF('Q1'!CR232&lt;&gt;"",'Q1'!CR232,"n.a.")</f>
        <v>0.45978758573517187</v>
      </c>
      <c r="CP21" s="3768">
        <f>IF('Q1'!CS232&lt;&gt;"",'Q1'!CS232,"n.a.")</f>
        <v>0.19196217494090728</v>
      </c>
      <c r="CQ21" s="3768">
        <f>IF('Q1'!CT232&lt;&gt;"",'Q1'!CT232,"n.a.")</f>
        <v>0.5228733495040272</v>
      </c>
      <c r="CR21" s="3768">
        <f>IF('Q1'!CU232&lt;&gt;"",'Q1'!CU232,"n.a.")</f>
        <v>0.41039105410907162</v>
      </c>
      <c r="CS21" s="3768">
        <f>IF('Q1'!CV232&lt;&gt;"",'Q1'!CV232,"n.a.")</f>
        <v>0.53081669638552764</v>
      </c>
      <c r="CT21" s="3768">
        <f>IF('Q1'!CW232&lt;&gt;"",'Q1'!CW232,"n.a.")</f>
        <v>0.48686800151156451</v>
      </c>
      <c r="CU21" s="3768">
        <f>IF('Q1'!CX232&lt;&gt;"",'Q1'!CX232,"n.a.")</f>
        <v>0.48806190490571222</v>
      </c>
      <c r="CV21" s="3768">
        <f>IF('Q1'!CY232&lt;&gt;"",'Q1'!CY232,"n.a.")</f>
        <v>0.44246310151412338</v>
      </c>
      <c r="CW21" s="3768">
        <f>IF('Q1'!CZ232&lt;&gt;"",'Q1'!CZ232,"n.a.")</f>
        <v>0.41954953692420194</v>
      </c>
      <c r="CX21" s="3768">
        <f>IF('Q1'!DA232&lt;&gt;"",'Q1'!DA232,"n.a.")</f>
        <v>0.3150866133281971</v>
      </c>
      <c r="CY21" s="3768">
        <f>IF('Q1'!DB232&lt;&gt;"",'Q1'!DB232,"n.a.")</f>
        <v>0.271646213633292</v>
      </c>
    </row>
    <row r="22" spans="1:103">
      <c r="A22" s="3768" t="str">
        <f t="shared" si="1"/>
        <v>\\DG ECFIN\Forecast\Country databases\Desk transfer databases\BE</v>
      </c>
      <c r="B22" s="3768" t="str">
        <f t="shared" si="2"/>
        <v>BE</v>
      </c>
      <c r="C22" s="3768" t="s">
        <v>2362</v>
      </c>
      <c r="D22" s="3768" t="s">
        <v>2197</v>
      </c>
      <c r="E22" s="3768" t="s">
        <v>2492</v>
      </c>
      <c r="F22" s="3768">
        <v>25</v>
      </c>
      <c r="G22" s="3768" t="s">
        <v>1946</v>
      </c>
      <c r="H22" s="3768">
        <f>IF('Q1'!K252&lt;&gt;"",'Q1'!K252,"n.a.")</f>
        <v>70.00333333333333</v>
      </c>
      <c r="I22" s="3768">
        <f>IF('Q1'!L252&lt;&gt;"",'Q1'!L252,"n.a.")</f>
        <v>70.516666666666666</v>
      </c>
      <c r="J22" s="3768">
        <f>IF('Q1'!M252&lt;&gt;"",'Q1'!M252,"n.a.")</f>
        <v>70.446666666666673</v>
      </c>
      <c r="K22" s="3768">
        <f>IF('Q1'!N252&lt;&gt;"",'Q1'!N252,"n.a.")</f>
        <v>70.936666666666667</v>
      </c>
      <c r="L22" s="3768">
        <f>IF('Q1'!O252&lt;&gt;"",'Q1'!O252,"n.a.")</f>
        <v>71.246666666666655</v>
      </c>
      <c r="M22" s="3768">
        <f>IF('Q1'!P252&lt;&gt;"",'Q1'!P252,"n.a.")</f>
        <v>71.483333333333334</v>
      </c>
      <c r="N22" s="3768">
        <f>IF('Q1'!Q252&lt;&gt;"",'Q1'!Q252,"n.a.")</f>
        <v>71.67</v>
      </c>
      <c r="O22" s="3768">
        <f>IF('Q1'!R252&lt;&gt;"",'Q1'!R252,"n.a.")</f>
        <v>71.740000000000009</v>
      </c>
      <c r="P22" s="3768">
        <f>IF('Q1'!S252&lt;&gt;"",'Q1'!S252,"n.a.")</f>
        <v>71.786666666666676</v>
      </c>
      <c r="Q22" s="3768">
        <f>IF('Q1'!T252&lt;&gt;"",'Q1'!T252,"n.a.")</f>
        <v>72.37</v>
      </c>
      <c r="R22" s="3768">
        <f>IF('Q1'!U252&lt;&gt;"",'Q1'!U252,"n.a.")</f>
        <v>72.373333333333335</v>
      </c>
      <c r="S22" s="3768">
        <f>IF('Q1'!V252&lt;&gt;"",'Q1'!V252,"n.a.")</f>
        <v>72.206666666666663</v>
      </c>
      <c r="T22" s="3768">
        <f ca="1">IF('Q1'!W252&lt;&gt;"",'Q1'!W252,"n.a.")</f>
        <v>72.563333333333333</v>
      </c>
      <c r="U22" s="3768">
        <f ca="1">IF('Q1'!X252&lt;&gt;"",'Q1'!X252,"n.a.")</f>
        <v>72.986666666666665</v>
      </c>
      <c r="V22" s="3768">
        <f ca="1">IF('Q1'!Y252&lt;&gt;"",'Q1'!Y252,"n.a.")</f>
        <v>73.056666666666658</v>
      </c>
      <c r="W22" s="3768">
        <f ca="1">IF('Q1'!Z252&lt;&gt;"",'Q1'!Z252,"n.a.")</f>
        <v>73.406666666666652</v>
      </c>
      <c r="X22" s="3768">
        <f ca="1">IF('Q1'!AA252&lt;&gt;"",'Q1'!AA252,"n.a.")</f>
        <v>73.763333333333335</v>
      </c>
      <c r="Y22" s="3768">
        <f ca="1">IF('Q1'!AB252&lt;&gt;"",'Q1'!AB252,"n.a.")</f>
        <v>74.86333333333333</v>
      </c>
      <c r="Z22" s="3768">
        <f ca="1">IF('Q1'!AC252&lt;&gt;"",'Q1'!AC252,"n.a.")</f>
        <v>75.286666666666676</v>
      </c>
      <c r="AA22" s="3768">
        <f ca="1">IF('Q1'!AD252&lt;&gt;"",'Q1'!AD252,"n.a.")</f>
        <v>75.923333333333332</v>
      </c>
      <c r="AB22" s="3768">
        <f ca="1">IF('Q1'!AE252&lt;&gt;"",'Q1'!AE252,"n.a.")</f>
        <v>75.58</v>
      </c>
      <c r="AC22" s="3768">
        <f ca="1">IF('Q1'!AF252&lt;&gt;"",'Q1'!AF252,"n.a.")</f>
        <v>77.11333333333333</v>
      </c>
      <c r="AD22" s="3768">
        <f ca="1">IF('Q1'!AG252&lt;&gt;"",'Q1'!AG252,"n.a.")</f>
        <v>77.08</v>
      </c>
      <c r="AE22" s="3768">
        <f ca="1">IF('Q1'!AH252&lt;&gt;"",'Q1'!AH252,"n.a.")</f>
        <v>77.363333333333344</v>
      </c>
      <c r="AF22" s="3768">
        <f ca="1">IF('Q1'!AI252&lt;&gt;"",'Q1'!AI252,"n.a.")</f>
        <v>77.50333333333333</v>
      </c>
      <c r="AG22" s="3768">
        <f ca="1">IF('Q1'!AJ252&lt;&gt;"",'Q1'!AJ252,"n.a.")</f>
        <v>78.093333333333348</v>
      </c>
      <c r="AH22" s="3768">
        <f ca="1">IF('Q1'!AK252&lt;&gt;"",'Q1'!AK252,"n.a.")</f>
        <v>77.996666666666655</v>
      </c>
      <c r="AI22" s="3768">
        <f ca="1">IF('Q1'!AL252&lt;&gt;"",'Q1'!AL252,"n.a.")</f>
        <v>78.296666666666667</v>
      </c>
      <c r="AJ22" s="3768">
        <f ca="1">IF('Q1'!AM252&lt;&gt;"",'Q1'!AM252,"n.a.")</f>
        <v>78.683333333333337</v>
      </c>
      <c r="AK22" s="3768">
        <f ca="1">IF('Q1'!AN252&lt;&gt;"",'Q1'!AN252,"n.a.")</f>
        <v>79.116666666666674</v>
      </c>
      <c r="AL22" s="3768">
        <f ca="1">IF('Q1'!AO252&lt;&gt;"",'Q1'!AO252,"n.a.")</f>
        <v>79.236666666666665</v>
      </c>
      <c r="AM22" s="3768">
        <f ca="1">IF('Q1'!AP252&lt;&gt;"",'Q1'!AP252,"n.a.")</f>
        <v>79.583333333333329</v>
      </c>
      <c r="AN22" s="3768">
        <f ca="1">IF('Q1'!AQ252&lt;&gt;"",'Q1'!AQ252,"n.a.")</f>
        <v>79.583333333333329</v>
      </c>
      <c r="AO22" s="3768">
        <f ca="1">IF('Q1'!AR252&lt;&gt;"",'Q1'!AR252,"n.a.")</f>
        <v>80.713333333333324</v>
      </c>
      <c r="AP22" s="3768">
        <f ca="1">IF('Q1'!AS252&lt;&gt;"",'Q1'!AS252,"n.a.")</f>
        <v>80.793333333333337</v>
      </c>
      <c r="AQ22" s="3768">
        <f ca="1">IF('Q1'!AT252&lt;&gt;"",'Q1'!AT252,"n.a.")</f>
        <v>81.410000000000011</v>
      </c>
      <c r="AR22" s="3768">
        <f ca="1">IF('Q1'!AU252&lt;&gt;"",'Q1'!AU252,"n.a.")</f>
        <v>81.463333333333324</v>
      </c>
      <c r="AS22" s="3768">
        <f ca="1">IF('Q1'!AV252&lt;&gt;"",'Q1'!AV252,"n.a.")</f>
        <v>82.71</v>
      </c>
      <c r="AT22" s="3768">
        <f ca="1">IF('Q1'!AW252&lt;&gt;"",'Q1'!AW252,"n.a.")</f>
        <v>83.083333333333329</v>
      </c>
      <c r="AU22" s="3768">
        <f ca="1">IF('Q1'!AX252&lt;&gt;"",'Q1'!AX252,"n.a.")</f>
        <v>83.426666666666662</v>
      </c>
      <c r="AV22" s="3768">
        <f ca="1">IF('Q1'!AY252&lt;&gt;"",'Q1'!AY252,"n.a.")</f>
        <v>83.570000000000007</v>
      </c>
      <c r="AW22" s="3768">
        <f ca="1">IF('Q1'!AZ252&lt;&gt;"",'Q1'!AZ252,"n.a.")</f>
        <v>84.853333333333339</v>
      </c>
      <c r="AX22" s="3768">
        <f ca="1">IF('Q1'!BA252&lt;&gt;"",'Q1'!BA252,"n.a.")</f>
        <v>84.92</v>
      </c>
      <c r="AY22" s="3768">
        <f ca="1">IF('Q1'!BB252&lt;&gt;"",'Q1'!BB252,"n.a.")</f>
        <v>85.036666666666676</v>
      </c>
      <c r="AZ22" s="3768">
        <f ca="1">IF('Q1'!BC252&lt;&gt;"",'Q1'!BC252,"n.a.")</f>
        <v>85.05</v>
      </c>
      <c r="BA22" s="3768">
        <f ca="1">IF('Q1'!BD252&lt;&gt;"",'Q1'!BD252,"n.a.")</f>
        <v>86.09333333333332</v>
      </c>
      <c r="BB22" s="3768">
        <f ca="1">IF('Q1'!BE252&lt;&gt;"",'Q1'!BE252,"n.a.")</f>
        <v>86.023333333333326</v>
      </c>
      <c r="BC22" s="3768">
        <f ca="1">IF('Q1'!BF252&lt;&gt;"",'Q1'!BF252,"n.a.")</f>
        <v>87.36</v>
      </c>
      <c r="BD22" s="3768">
        <f ca="1">IF('Q1'!BG252&lt;&gt;"",'Q1'!BG252,"n.a.")</f>
        <v>88.323333333333338</v>
      </c>
      <c r="BE22" s="3768">
        <f ca="1">IF('Q1'!BH252&lt;&gt;"",'Q1'!BH252,"n.a.")</f>
        <v>90.38</v>
      </c>
      <c r="BF22" s="3768">
        <f ca="1">IF('Q1'!BI252&lt;&gt;"",'Q1'!BI252,"n.a.")</f>
        <v>90.813333333333333</v>
      </c>
      <c r="BG22" s="3768">
        <f ca="1">IF('Q1'!BJ252&lt;&gt;"",'Q1'!BJ252,"n.a.")</f>
        <v>90.476666666666674</v>
      </c>
      <c r="BH22" s="3768">
        <f ca="1">IF('Q1'!BK252&lt;&gt;"",'Q1'!BK252,"n.a.")</f>
        <v>89.693333333333342</v>
      </c>
      <c r="BI22" s="3768">
        <f ca="1">IF('Q1'!BL252&lt;&gt;"",'Q1'!BL252,"n.a.")</f>
        <v>90.206666666666663</v>
      </c>
      <c r="BJ22" s="3768">
        <f ca="1">IF('Q1'!BM252&lt;&gt;"",'Q1'!BM252,"n.a.")</f>
        <v>89.766666666666666</v>
      </c>
      <c r="BK22" s="3768">
        <f ca="1">IF('Q1'!BN252&lt;&gt;"",'Q1'!BN252,"n.a.")</f>
        <v>90.303333333333342</v>
      </c>
      <c r="BL22" s="3768">
        <f ca="1">IF('Q1'!BO252&lt;&gt;"",'Q1'!BO252,"n.a.")</f>
        <v>90.743333333333339</v>
      </c>
      <c r="BM22" s="3768">
        <f ca="1">IF('Q1'!BP252&lt;&gt;"",'Q1'!BP252,"n.a.")</f>
        <v>92.38</v>
      </c>
      <c r="BN22" s="3768">
        <f ca="1">IF('Q1'!BQ252&lt;&gt;"",'Q1'!BQ252,"n.a.")</f>
        <v>92.086666666666659</v>
      </c>
      <c r="BO22" s="3768">
        <f ca="1">IF('Q1'!BR252&lt;&gt;"",'Q1'!BR252,"n.a.")</f>
        <v>93.176574275686846</v>
      </c>
      <c r="BP22" s="3768">
        <f ca="1">IF('Q1'!BS252&lt;&gt;"",'Q1'!BS252,"n.a.")</f>
        <v>93.902184363761293</v>
      </c>
      <c r="BQ22" s="3768">
        <f ca="1">IF('Q1'!BT252&lt;&gt;"",'Q1'!BT252,"n.a.")</f>
        <v>95.305715679117938</v>
      </c>
      <c r="BR22" s="3768">
        <f ca="1">IF('Q1'!BU252&lt;&gt;"",'Q1'!BU252,"n.a.")</f>
        <v>95.407753102670867</v>
      </c>
      <c r="BS22" s="3768">
        <f ca="1">IF('Q1'!BV252&lt;&gt;"",'Q1'!BV252,"n.a.")</f>
        <v>96.249447580716591</v>
      </c>
      <c r="BT22" s="3768">
        <f ca="1">IF('Q1'!BW252&lt;&gt;"",'Q1'!BW252,"n.a.")</f>
        <v>96.970696833094109</v>
      </c>
      <c r="BU22" s="3768">
        <f ca="1">IF('Q1'!BX252&lt;&gt;"",'Q1'!BX252,"n.a.")</f>
        <v>97.752534406297428</v>
      </c>
      <c r="BV22" s="3768">
        <f ca="1">IF('Q1'!BY252&lt;&gt;"",'Q1'!BY252,"n.a.")</f>
        <v>97.7019752146347</v>
      </c>
      <c r="BW22" s="3768">
        <f ca="1">IF('Q1'!BZ252&lt;&gt;"",'Q1'!BZ252,"n.a.")</f>
        <v>98.464597086918786</v>
      </c>
      <c r="BX22" s="3768">
        <f ca="1">IF('Q1'!CA252&lt;&gt;"",'Q1'!CA252,"n.a.")</f>
        <v>98.406717367824044</v>
      </c>
      <c r="BY22" s="3768">
        <f ca="1">IF('Q1'!CB252&lt;&gt;"",'Q1'!CB252,"n.a.")</f>
        <v>99.084413603157273</v>
      </c>
      <c r="BZ22" s="3768">
        <f ca="1">IF('Q1'!CC252&lt;&gt;"",'Q1'!CC252,"n.a.")</f>
        <v>98.926031580858606</v>
      </c>
      <c r="CA22" s="3768">
        <f ca="1">IF('Q1'!CD252&lt;&gt;"",'Q1'!CD252,"n.a.")</f>
        <v>99.390155997418546</v>
      </c>
      <c r="CB22" s="3768">
        <f ca="1">IF('Q1'!CE252&lt;&gt;"",'Q1'!CE252,"n.a.")</f>
        <v>99.313630163869476</v>
      </c>
      <c r="CC22" s="3768">
        <f ca="1">IF('Q1'!CF252&lt;&gt;"",'Q1'!CF252,"n.a.")</f>
        <v>99.755089904422704</v>
      </c>
      <c r="CD22" s="3768">
        <f ca="1">IF('Q1'!CG252&lt;&gt;"",'Q1'!CG252,"n.a.")</f>
        <v>99.3065364857231</v>
      </c>
      <c r="CE22" s="3768">
        <f ca="1">IF('Q1'!CH252&lt;&gt;"",'Q1'!CH252,"n.a.")</f>
        <v>99.386224615455617</v>
      </c>
      <c r="CF22" s="3768">
        <f ca="1">IF('Q1'!CI252&lt;&gt;"",'Q1'!CI252,"n.a.")</f>
        <v>98.910555878166974</v>
      </c>
      <c r="CG22" s="3768">
        <f ca="1">IF('Q1'!CJ252&lt;&gt;"",'Q1'!CJ252,"n.a.")</f>
        <v>100.42054404789998</v>
      </c>
      <c r="CH22" s="3768">
        <f ca="1">IF('Q1'!CK252&lt;&gt;"",'Q1'!CK252,"n.a.")</f>
        <v>100.11285799633517</v>
      </c>
      <c r="CI22" s="3768">
        <f ca="1">IF('Q1'!CL252&lt;&gt;"",'Q1'!CL252,"n.a.")</f>
        <v>100.69556891545899</v>
      </c>
      <c r="CJ22" s="3768">
        <f ca="1">IF('Q1'!CM252&lt;&gt;"",'Q1'!CM252,"n.a.")</f>
        <v>100.46320438099605</v>
      </c>
      <c r="CK22" s="3768">
        <f ca="1">IF('Q1'!CN252&lt;&gt;"",'Q1'!CN252,"n.a.")</f>
        <v>102.10835482664636</v>
      </c>
      <c r="CL22" s="3768">
        <f ca="1">IF('Q1'!CO252&lt;&gt;"",'Q1'!CO252,"n.a.")</f>
        <v>102.0865270447166</v>
      </c>
      <c r="CM22" s="3768">
        <f ca="1">IF('Q1'!CP252&lt;&gt;"",'Q1'!CP252,"n.a.")</f>
        <v>102.68780456154305</v>
      </c>
      <c r="CN22" s="3768">
        <f ca="1">IF('Q1'!CQ252&lt;&gt;"",'Q1'!CQ252,"n.a.")</f>
        <v>103.40880907158109</v>
      </c>
      <c r="CO22" s="3768">
        <f ca="1">IF('Q1'!CR252&lt;&gt;"",'Q1'!CR252,"n.a.")</f>
        <v>104.16525008650156</v>
      </c>
      <c r="CP22" s="3768">
        <f ca="1">IF('Q1'!CS252&lt;&gt;"",'Q1'!CS252,"n.a.")</f>
        <v>104.03091497211344</v>
      </c>
      <c r="CQ22" s="3768">
        <f ca="1">IF('Q1'!CT252&lt;&gt;"",'Q1'!CT252,"n.a.")</f>
        <v>104.72761605468581</v>
      </c>
      <c r="CR22" s="3768">
        <f ca="1">IF('Q1'!CU252&lt;&gt;"",'Q1'!CU252,"n.a.")</f>
        <v>105.0387937719387</v>
      </c>
      <c r="CS22" s="3768">
        <f ca="1">IF('Q1'!CV252&lt;&gt;"",'Q1'!CV252,"n.a.")</f>
        <v>105.8761015412715</v>
      </c>
      <c r="CT22" s="3768">
        <f ca="1">IF('Q1'!CW252&lt;&gt;"",'Q1'!CW252,"n.a.")</f>
        <v>105.82682869377679</v>
      </c>
      <c r="CU22" s="3768">
        <f ca="1">IF('Q1'!CX252&lt;&gt;"",'Q1'!CX252,"n.a.")</f>
        <v>106.12918661812478</v>
      </c>
      <c r="CV22" s="3768">
        <f ca="1">IF('Q1'!CY252&lt;&gt;"",'Q1'!CY252,"n.a.")</f>
        <v>106.33922071439632</v>
      </c>
      <c r="CW22" s="3768">
        <f ca="1">IF('Q1'!CZ252&lt;&gt;"",'Q1'!CZ252,"n.a.")</f>
        <v>107.61227695810827</v>
      </c>
      <c r="CX22" s="3768">
        <f ca="1">IF('Q1'!DA252&lt;&gt;"",'Q1'!DA252,"n.a.")</f>
        <v>108.0661668876472</v>
      </c>
      <c r="CY22" s="3768">
        <f ca="1">IF('Q1'!DB252&lt;&gt;"",'Q1'!DB252,"n.a.")</f>
        <v>107.76405933539172</v>
      </c>
    </row>
    <row r="23" spans="1:103">
      <c r="A23" s="3768" t="str">
        <f t="shared" si="1"/>
        <v>\\DG ECFIN\Forecast\Country databases\Desk transfer databases\BE</v>
      </c>
      <c r="B23" s="3768" t="str">
        <f t="shared" si="2"/>
        <v>BE</v>
      </c>
      <c r="C23" s="3768" t="s">
        <v>2362</v>
      </c>
      <c r="D23" s="3768" t="s">
        <v>2297</v>
      </c>
      <c r="E23" s="3768" t="s">
        <v>2492</v>
      </c>
      <c r="F23" s="3768">
        <v>166</v>
      </c>
      <c r="G23" s="3768" t="s">
        <v>752</v>
      </c>
      <c r="H23" s="3768" t="str">
        <f>IF('Q1'!K289&lt;&gt;"",'Q1'!K289,"n.a.")</f>
        <v>n.a.</v>
      </c>
      <c r="I23" s="3768" t="str">
        <f>IF('Q1'!L289&lt;&gt;"",'Q1'!L289,"n.a.")</f>
        <v>n.a.</v>
      </c>
      <c r="J23" s="3768" t="str">
        <f>IF('Q1'!M289&lt;&gt;"",'Q1'!M289,"n.a.")</f>
        <v>n.a.</v>
      </c>
      <c r="K23" s="3768" t="str">
        <f>IF('Q1'!N289&lt;&gt;"",'Q1'!N289,"n.a.")</f>
        <v>n.a.</v>
      </c>
      <c r="L23" s="3768">
        <f>IF('Q1'!O255&lt;&gt;"",'Q1'!O255,"n.a.")</f>
        <v>73.89</v>
      </c>
      <c r="M23" s="3768">
        <f>IF('Q1'!P255&lt;&gt;"",'Q1'!P255,"n.a.")</f>
        <v>74.066666666666677</v>
      </c>
      <c r="N23" s="3768">
        <f>IF('Q1'!Q255&lt;&gt;"",'Q1'!Q255,"n.a.")</f>
        <v>74.226666666666674</v>
      </c>
      <c r="O23" s="3768">
        <f>IF('Q1'!R255&lt;&gt;"",'Q1'!R255,"n.a.")</f>
        <v>74.37</v>
      </c>
      <c r="P23" s="3768">
        <f>IF('Q1'!S255&lt;&gt;"",'Q1'!S255,"n.a.")</f>
        <v>74.713333333333352</v>
      </c>
      <c r="Q23" s="3768">
        <f>IF('Q1'!T255&lt;&gt;"",'Q1'!T255,"n.a.")</f>
        <v>74.903333333333336</v>
      </c>
      <c r="R23" s="3768">
        <f>IF('Q1'!U255&lt;&gt;"",'Q1'!U255,"n.a.")</f>
        <v>75.23</v>
      </c>
      <c r="S23" s="3768">
        <f>IF('Q1'!V255&lt;&gt;"",'Q1'!V255,"n.a.")</f>
        <v>75.23</v>
      </c>
      <c r="T23" s="3768">
        <f ca="1">IF('Q1'!W255&lt;&gt;"",'Q1'!W255,"n.a.")</f>
        <v>75.55</v>
      </c>
      <c r="U23" s="3768">
        <f ca="1">IF('Q1'!X255&lt;&gt;"",'Q1'!X255,"n.a.")</f>
        <v>75.739999999999995</v>
      </c>
      <c r="V23" s="3768">
        <f ca="1">IF('Q1'!Y255&lt;&gt;"",'Q1'!Y255,"n.a.")</f>
        <v>75.89</v>
      </c>
      <c r="W23" s="3768">
        <f ca="1">IF('Q1'!Z255&lt;&gt;"",'Q1'!Z255,"n.a.")</f>
        <v>76.05</v>
      </c>
      <c r="X23" s="3768">
        <f ca="1">IF('Q1'!AA255&lt;&gt;"",'Q1'!AA255,"n.a.")</f>
        <v>76.026666666666671</v>
      </c>
      <c r="Y23" s="3768">
        <f ca="1">IF('Q1'!AB255&lt;&gt;"",'Q1'!AB255,"n.a.")</f>
        <v>76.783333333333331</v>
      </c>
      <c r="Z23" s="3768">
        <f ca="1">IF('Q1'!AC255&lt;&gt;"",'Q1'!AC255,"n.a.")</f>
        <v>76.696666666666673</v>
      </c>
      <c r="AA23" s="3768">
        <f ca="1">IF('Q1'!AD255&lt;&gt;"",'Q1'!AD255,"n.a.")</f>
        <v>77.173333333333332</v>
      </c>
      <c r="AB23" s="3768">
        <f ca="1">IF('Q1'!AE255&lt;&gt;"",'Q1'!AE255,"n.a.")</f>
        <v>77.203333333333333</v>
      </c>
      <c r="AC23" s="3768">
        <f ca="1">IF('Q1'!AF255&lt;&gt;"",'Q1'!AF255,"n.a.")</f>
        <v>78.183333333333337</v>
      </c>
      <c r="AD23" s="3768">
        <f ca="1">IF('Q1'!AG255&lt;&gt;"",'Q1'!AG255,"n.a.")</f>
        <v>78.416666666666671</v>
      </c>
      <c r="AE23" s="3768">
        <f ca="1">IF('Q1'!AH255&lt;&gt;"",'Q1'!AH255,"n.a.")</f>
        <v>79.236666666666665</v>
      </c>
      <c r="AF23" s="3768">
        <f ca="1">IF('Q1'!AI255&lt;&gt;"",'Q1'!AI255,"n.a.")</f>
        <v>79.34</v>
      </c>
      <c r="AG23" s="3768">
        <f ca="1">IF('Q1'!AJ255&lt;&gt;"",'Q1'!AJ255,"n.a.")</f>
        <v>79.893333333333331</v>
      </c>
      <c r="AH23" s="3768">
        <f ca="1">IF('Q1'!AK255&lt;&gt;"",'Q1'!AK255,"n.a.")</f>
        <v>79.913333333333341</v>
      </c>
      <c r="AI23" s="3768">
        <f ca="1">IF('Q1'!AL255&lt;&gt;"",'Q1'!AL255,"n.a.")</f>
        <v>80.343333333333348</v>
      </c>
      <c r="AJ23" s="3768">
        <f ca="1">IF('Q1'!AM255&lt;&gt;"",'Q1'!AM255,"n.a.")</f>
        <v>80.399999999999991</v>
      </c>
      <c r="AK23" s="3768">
        <f ca="1">IF('Q1'!AN255&lt;&gt;"",'Q1'!AN255,"n.a.")</f>
        <v>81.366666666666674</v>
      </c>
      <c r="AL23" s="3768">
        <f ca="1">IF('Q1'!AO255&lt;&gt;"",'Q1'!AO255,"n.a.")</f>
        <v>81.239999999999995</v>
      </c>
      <c r="AM23" s="3768">
        <f ca="1">IF('Q1'!AP255&lt;&gt;"",'Q1'!AP255,"n.a.")</f>
        <v>81.793333333333337</v>
      </c>
      <c r="AN23" s="3768">
        <f ca="1">IF('Q1'!AQ255&lt;&gt;"",'Q1'!AQ255,"n.a.")</f>
        <v>81.736666666666665</v>
      </c>
      <c r="AO23" s="3768">
        <f ca="1">IF('Q1'!AR255&lt;&gt;"",'Q1'!AR255,"n.a.")</f>
        <v>82.52</v>
      </c>
      <c r="AP23" s="3768">
        <f ca="1">IF('Q1'!AS255&lt;&gt;"",'Q1'!AS255,"n.a.")</f>
        <v>82.353333333333339</v>
      </c>
      <c r="AQ23" s="3768">
        <f ca="1">IF('Q1'!AT255&lt;&gt;"",'Q1'!AT255,"n.a.")</f>
        <v>82.78</v>
      </c>
      <c r="AR23" s="3768">
        <f ca="1">IF('Q1'!AU255&lt;&gt;"",'Q1'!AU255,"n.a.")</f>
        <v>82.84333333333332</v>
      </c>
      <c r="AS23" s="3768">
        <f ca="1">IF('Q1'!AV255&lt;&gt;"",'Q1'!AV255,"n.a.")</f>
        <v>83.583333333333329</v>
      </c>
      <c r="AT23" s="3768">
        <f ca="1">IF('Q1'!AW255&lt;&gt;"",'Q1'!AW255,"n.a.")</f>
        <v>83.396666666666661</v>
      </c>
      <c r="AU23" s="3768">
        <f ca="1">IF('Q1'!AX255&lt;&gt;"",'Q1'!AX255,"n.a.")</f>
        <v>84.100000000000009</v>
      </c>
      <c r="AV23" s="3768">
        <f ca="1">IF('Q1'!AY255&lt;&gt;"",'Q1'!AY255,"n.a.")</f>
        <v>83.966666666666669</v>
      </c>
      <c r="AW23" s="3768">
        <f ca="1">IF('Q1'!AZ255&lt;&gt;"",'Q1'!AZ255,"n.a.")</f>
        <v>84.956666666666663</v>
      </c>
      <c r="AX23" s="3768">
        <f ca="1">IF('Q1'!BA255&lt;&gt;"",'Q1'!BA255,"n.a.")</f>
        <v>84.95</v>
      </c>
      <c r="AY23" s="3768">
        <f ca="1">IF('Q1'!BB255&lt;&gt;"",'Q1'!BB255,"n.a.")</f>
        <v>85.436666666666667</v>
      </c>
      <c r="AZ23" s="3768">
        <f ca="1">IF('Q1'!BC255&lt;&gt;"",'Q1'!BC255,"n.a.")</f>
        <v>85.466666666666654</v>
      </c>
      <c r="BA23" s="3768">
        <f ca="1">IF('Q1'!BD255&lt;&gt;"",'Q1'!BD255,"n.a.")</f>
        <v>86.54</v>
      </c>
      <c r="BB23" s="3768">
        <f ca="1">IF('Q1'!BE255&lt;&gt;"",'Q1'!BE255,"n.a.")</f>
        <v>86.473333333333343</v>
      </c>
      <c r="BC23" s="3768">
        <f ca="1">IF('Q1'!BF255&lt;&gt;"",'Q1'!BF255,"n.a.")</f>
        <v>87.283333333333346</v>
      </c>
      <c r="BD23" s="3768">
        <f ca="1">IF('Q1'!BG255&lt;&gt;"",'Q1'!BG255,"n.a.")</f>
        <v>87.61333333333333</v>
      </c>
      <c r="BE23" s="3768">
        <f ca="1">IF('Q1'!BH255&lt;&gt;"",'Q1'!BH255,"n.a.")</f>
        <v>88.720000000000013</v>
      </c>
      <c r="BF23" s="3768">
        <f ca="1">IF('Q1'!BI255&lt;&gt;"",'Q1'!BI255,"n.a.")</f>
        <v>88.98</v>
      </c>
      <c r="BG23" s="3768">
        <f ca="1">IF('Q1'!BJ255&lt;&gt;"",'Q1'!BJ255,"n.a.")</f>
        <v>89.836666666666659</v>
      </c>
      <c r="BH23" s="3768">
        <f ca="1">IF('Q1'!BK255&lt;&gt;"",'Q1'!BK255,"n.a.")</f>
        <v>89.666666666666671</v>
      </c>
      <c r="BI23" s="3768">
        <f ca="1">IF('Q1'!BL255&lt;&gt;"",'Q1'!BL255,"n.a.")</f>
        <v>90.83</v>
      </c>
      <c r="BJ23" s="3768">
        <f ca="1">IF('Q1'!BM255&lt;&gt;"",'Q1'!BM255,"n.a.")</f>
        <v>90.649999999999991</v>
      </c>
      <c r="BK23" s="3768">
        <f ca="1">IF('Q1'!BN255&lt;&gt;"",'Q1'!BN255,"n.a.")</f>
        <v>91.2</v>
      </c>
      <c r="BL23" s="3768">
        <f ca="1">IF('Q1'!BO255&lt;&gt;"",'Q1'!BO255,"n.a.")</f>
        <v>90.693333333333328</v>
      </c>
      <c r="BM23" s="3768">
        <f ca="1">IF('Q1'!BP255&lt;&gt;"",'Q1'!BP255,"n.a.")</f>
        <v>91.786666666666676</v>
      </c>
      <c r="BN23" s="3768">
        <f ca="1">IF('Q1'!BQ255&lt;&gt;"",'Q1'!BQ255,"n.a.")</f>
        <v>91.56</v>
      </c>
      <c r="BO23" s="3768">
        <f ca="1">IF('Q1'!BR255&lt;&gt;"",'Q1'!BR255,"n.a.")</f>
        <v>92.42517866202428</v>
      </c>
      <c r="BP23" s="3768">
        <f ca="1">IF('Q1'!BS255&lt;&gt;"",'Q1'!BS255,"n.a.")</f>
        <v>92.278927448125174</v>
      </c>
      <c r="BQ23" s="3768">
        <f ca="1">IF('Q1'!BT255&lt;&gt;"",'Q1'!BT255,"n.a.")</f>
        <v>93.239580794337272</v>
      </c>
      <c r="BR23" s="3768">
        <f ca="1">IF('Q1'!BU255&lt;&gt;"",'Q1'!BU255,"n.a.")</f>
        <v>93.393659100519429</v>
      </c>
      <c r="BS23" s="3768">
        <f ca="1">IF('Q1'!BV255&lt;&gt;"",'Q1'!BV255,"n.a.")</f>
        <v>94.120052284125677</v>
      </c>
      <c r="BT23" s="3768">
        <f ca="1">IF('Q1'!BW255&lt;&gt;"",'Q1'!BW255,"n.a.")</f>
        <v>94.278436684569726</v>
      </c>
      <c r="BU23" s="3768">
        <f ca="1">IF('Q1'!BX255&lt;&gt;"",'Q1'!BX255,"n.a.")</f>
        <v>95.208527032928799</v>
      </c>
      <c r="BV23" s="3768">
        <f ca="1">IF('Q1'!BY255&lt;&gt;"",'Q1'!BY255,"n.a.")</f>
        <v>95.208745701734003</v>
      </c>
      <c r="BW23" s="3768">
        <f ca="1">IF('Q1'!BZ255&lt;&gt;"",'Q1'!BZ255,"n.a.")</f>
        <v>96.036337014309424</v>
      </c>
      <c r="BX23" s="3768">
        <f ca="1">IF('Q1'!CA255&lt;&gt;"",'Q1'!CA255,"n.a.")</f>
        <v>95.965405585721186</v>
      </c>
      <c r="BY23" s="3768">
        <f ca="1">IF('Q1'!CB255&lt;&gt;"",'Q1'!CB255,"n.a.")</f>
        <v>96.9122017071915</v>
      </c>
      <c r="BZ23" s="3768">
        <f ca="1">IF('Q1'!CC255&lt;&gt;"",'Q1'!CC255,"n.a.")</f>
        <v>96.923825513059825</v>
      </c>
      <c r="CA23" s="3768">
        <f ca="1">IF('Q1'!CD255&lt;&gt;"",'Q1'!CD255,"n.a.")</f>
        <v>97.739292285457381</v>
      </c>
      <c r="CB23" s="3768">
        <f ca="1">IF('Q1'!CE255&lt;&gt;"",'Q1'!CE255,"n.a.")</f>
        <v>97.48861040936437</v>
      </c>
      <c r="CC23" s="3768">
        <f ca="1">IF('Q1'!CF255&lt;&gt;"",'Q1'!CF255,"n.a.")</f>
        <v>98.626078342689027</v>
      </c>
      <c r="CD23" s="3768">
        <f ca="1">IF('Q1'!CG255&lt;&gt;"",'Q1'!CG255,"n.a.")</f>
        <v>98.484745174469296</v>
      </c>
      <c r="CE23" s="3768">
        <f ca="1">IF('Q1'!CH255&lt;&gt;"",'Q1'!CH255,"n.a.")</f>
        <v>99.028469643766087</v>
      </c>
      <c r="CF23" s="3768">
        <f ca="1">IF('Q1'!CI255&lt;&gt;"",'Q1'!CI255,"n.a.")</f>
        <v>99.021105180419795</v>
      </c>
      <c r="CG23" s="3768">
        <f ca="1">IF('Q1'!CJ255&lt;&gt;"",'Q1'!CJ255,"n.a.")</f>
        <v>100.05905547203444</v>
      </c>
      <c r="CH23" s="3768">
        <f ca="1">IF('Q1'!CK255&lt;&gt;"",'Q1'!CK255,"n.a.")</f>
        <v>100.03571775461764</v>
      </c>
      <c r="CI23" s="3768">
        <f ca="1">IF('Q1'!CL255&lt;&gt;"",'Q1'!CL255,"n.a.")</f>
        <v>100.91245222101509</v>
      </c>
      <c r="CJ23" s="3768">
        <f ca="1">IF('Q1'!CM255&lt;&gt;"",'Q1'!CM255,"n.a.")</f>
        <v>101.15596296473639</v>
      </c>
      <c r="CK23" s="3768">
        <f ca="1">IF('Q1'!CN255&lt;&gt;"",'Q1'!CN255,"n.a.")</f>
        <v>102.22386235176943</v>
      </c>
      <c r="CL23" s="3768">
        <f ca="1">IF('Q1'!CO255&lt;&gt;"",'Q1'!CO255,"n.a.")</f>
        <v>102.18812841021399</v>
      </c>
      <c r="CM23" s="3768">
        <f ca="1">IF('Q1'!CP255&lt;&gt;"",'Q1'!CP255,"n.a.")</f>
        <v>102.54805293431187</v>
      </c>
      <c r="CN23" s="3768">
        <f ca="1">IF('Q1'!CQ255&lt;&gt;"",'Q1'!CQ255,"n.a.")</f>
        <v>102.61210834736686</v>
      </c>
      <c r="CO23" s="3768">
        <f ca="1">IF('Q1'!CR255&lt;&gt;"",'Q1'!CR255,"n.a.")</f>
        <v>103.82016012969542</v>
      </c>
      <c r="CP23" s="3768">
        <f ca="1">IF('Q1'!CS255&lt;&gt;"",'Q1'!CS255,"n.a.")</f>
        <v>103.93396908995763</v>
      </c>
      <c r="CQ23" s="3768">
        <f ca="1">IF('Q1'!CT255&lt;&gt;"",'Q1'!CT255,"n.a.")</f>
        <v>104.23045853234211</v>
      </c>
      <c r="CR23" s="3768">
        <f ca="1">IF('Q1'!CU255&lt;&gt;"",'Q1'!CU255,"n.a.")</f>
        <v>104.34096363225723</v>
      </c>
      <c r="CS23" s="3768">
        <f ca="1">IF('Q1'!CV255&lt;&gt;"",'Q1'!CV255,"n.a.")</f>
        <v>105.59897311039556</v>
      </c>
      <c r="CT23" s="3768">
        <f ca="1">IF('Q1'!CW255&lt;&gt;"",'Q1'!CW255,"n.a.")</f>
        <v>105.97206969582781</v>
      </c>
      <c r="CU23" s="3768">
        <f ca="1">IF('Q1'!CX255&lt;&gt;"",'Q1'!CX255,"n.a.")</f>
        <v>106.17466391997546</v>
      </c>
      <c r="CV23" s="3768">
        <f ca="1">IF('Q1'!CY255&lt;&gt;"",'Q1'!CY255,"n.a.")</f>
        <v>105.94478372664308</v>
      </c>
      <c r="CW23" s="3768">
        <f ca="1">IF('Q1'!CZ255&lt;&gt;"",'Q1'!CZ255,"n.a.")</f>
        <v>107.53363708262248</v>
      </c>
      <c r="CX23" s="3768">
        <f ca="1">IF('Q1'!DA255&lt;&gt;"",'Q1'!DA255,"n.a.")</f>
        <v>108.36851995600145</v>
      </c>
      <c r="CY23" s="3768">
        <f ca="1">IF('Q1'!DB255&lt;&gt;"",'Q1'!DB255,"n.a.")</f>
        <v>108.13202917795068</v>
      </c>
    </row>
    <row r="24" spans="1:103">
      <c r="A24" s="3768" t="str">
        <f t="shared" si="1"/>
        <v>\\DG ECFIN\Forecast\Country databases\Desk transfer databases\BE</v>
      </c>
      <c r="B24" s="3768" t="str">
        <f t="shared" si="2"/>
        <v>BE</v>
      </c>
      <c r="C24" s="3768" t="s">
        <v>2362</v>
      </c>
      <c r="D24" s="3768" t="s">
        <v>2292</v>
      </c>
      <c r="E24" s="3768" t="s">
        <v>2492</v>
      </c>
      <c r="F24" s="3768">
        <v>167</v>
      </c>
      <c r="G24" s="3768" t="s">
        <v>753</v>
      </c>
      <c r="H24" s="3768" t="str">
        <f>IF('Q1'!K280&lt;&gt;"",'Q1'!K280,"n.a.")</f>
        <v>n.a.</v>
      </c>
      <c r="I24" s="3768" t="str">
        <f>IF('Q1'!L280&lt;&gt;"",'Q1'!L280,"n.a.")</f>
        <v>n.a.</v>
      </c>
      <c r="J24" s="3768" t="str">
        <f>IF('Q1'!M280&lt;&gt;"",'Q1'!M280,"n.a.")</f>
        <v>n.a.</v>
      </c>
      <c r="K24" s="3768" t="str">
        <f>IF('Q1'!N280&lt;&gt;"",'Q1'!N280,"n.a.")</f>
        <v>n.a.</v>
      </c>
      <c r="L24" s="3768">
        <f>IF('Q1'!O246&lt;&gt;"",'Q1'!O246,"n.a.")</f>
        <v>85.67</v>
      </c>
      <c r="M24" s="3768">
        <f>IF('Q1'!P246&lt;&gt;"",'Q1'!P246,"n.a.")</f>
        <v>85.57</v>
      </c>
      <c r="N24" s="3768">
        <f>IF('Q1'!Q246&lt;&gt;"",'Q1'!Q246,"n.a.")</f>
        <v>85.410000000000011</v>
      </c>
      <c r="O24" s="3768">
        <f>IF('Q1'!R246&lt;&gt;"",'Q1'!R246,"n.a.")</f>
        <v>85.603333333333339</v>
      </c>
      <c r="P24" s="3768">
        <f>IF('Q1'!S246&lt;&gt;"",'Q1'!S246,"n.a.")</f>
        <v>85.74</v>
      </c>
      <c r="Q24" s="3768">
        <f>IF('Q1'!T246&lt;&gt;"",'Q1'!T246,"n.a.")</f>
        <v>86.06</v>
      </c>
      <c r="R24" s="3768">
        <f>IF('Q1'!U246&lt;&gt;"",'Q1'!U246,"n.a.")</f>
        <v>86.259999999999991</v>
      </c>
      <c r="S24" s="3768">
        <f>IF('Q1'!V246&lt;&gt;"",'Q1'!V246,"n.a.")</f>
        <v>86.49666666666667</v>
      </c>
      <c r="T24" s="3768">
        <f ca="1">IF('Q1'!W246&lt;&gt;"",'Q1'!W246,"n.a.")</f>
        <v>86.720000000000013</v>
      </c>
      <c r="U24" s="3768">
        <f ca="1">IF('Q1'!X246&lt;&gt;"",'Q1'!X246,"n.a.")</f>
        <v>86.813333333333333</v>
      </c>
      <c r="V24" s="3768">
        <f ca="1">IF('Q1'!Y246&lt;&gt;"",'Q1'!Y246,"n.a.")</f>
        <v>86.8</v>
      </c>
      <c r="W24" s="3768">
        <f ca="1">IF('Q1'!Z246&lt;&gt;"",'Q1'!Z246,"n.a.")</f>
        <v>87.043333333333337</v>
      </c>
      <c r="X24" s="3768">
        <f ca="1">IF('Q1'!AA246&lt;&gt;"",'Q1'!AA246,"n.a.")</f>
        <v>86.009999999999991</v>
      </c>
      <c r="Y24" s="3768">
        <f ca="1">IF('Q1'!AB246&lt;&gt;"",'Q1'!AB246,"n.a.")</f>
        <v>87.27</v>
      </c>
      <c r="Z24" s="3768">
        <f ca="1">IF('Q1'!AC246&lt;&gt;"",'Q1'!AC246,"n.a.")</f>
        <v>86.223333333333343</v>
      </c>
      <c r="AA24" s="3768">
        <f ca="1">IF('Q1'!AD246&lt;&gt;"",'Q1'!AD246,"n.a.")</f>
        <v>87.966666666666654</v>
      </c>
      <c r="AB24" s="3768">
        <f ca="1">IF('Q1'!AE246&lt;&gt;"",'Q1'!AE246,"n.a.")</f>
        <v>87.293333333333337</v>
      </c>
      <c r="AC24" s="3768">
        <f ca="1">IF('Q1'!AF246&lt;&gt;"",'Q1'!AF246,"n.a.")</f>
        <v>88.990000000000009</v>
      </c>
      <c r="AD24" s="3768">
        <f ca="1">IF('Q1'!AG246&lt;&gt;"",'Q1'!AG246,"n.a.")</f>
        <v>88.076666666666668</v>
      </c>
      <c r="AE24" s="3768">
        <f ca="1">IF('Q1'!AH246&lt;&gt;"",'Q1'!AH246,"n.a.")</f>
        <v>89.99666666666667</v>
      </c>
      <c r="AF24" s="3768">
        <f ca="1">IF('Q1'!AI246&lt;&gt;"",'Q1'!AI246,"n.a.")</f>
        <v>89.196666666666673</v>
      </c>
      <c r="AG24" s="3768">
        <f ca="1">IF('Q1'!AJ246&lt;&gt;"",'Q1'!AJ246,"n.a.")</f>
        <v>90.646666666666661</v>
      </c>
      <c r="AH24" s="3768">
        <f ca="1">IF('Q1'!AK246&lt;&gt;"",'Q1'!AK246,"n.a.")</f>
        <v>89.33</v>
      </c>
      <c r="AI24" s="3768">
        <f ca="1">IF('Q1'!AL246&lt;&gt;"",'Q1'!AL246,"n.a.")</f>
        <v>91.066666666666677</v>
      </c>
      <c r="AJ24" s="3768">
        <f ca="1">IF('Q1'!AM246&lt;&gt;"",'Q1'!AM246,"n.a.")</f>
        <v>90.166666666666671</v>
      </c>
      <c r="AK24" s="3768">
        <f ca="1">IF('Q1'!AN246&lt;&gt;"",'Q1'!AN246,"n.a.")</f>
        <v>91.493333333333325</v>
      </c>
      <c r="AL24" s="3768">
        <f ca="1">IF('Q1'!AO246&lt;&gt;"",'Q1'!AO246,"n.a.")</f>
        <v>90.24666666666667</v>
      </c>
      <c r="AM24" s="3768">
        <f ca="1">IF('Q1'!AP246&lt;&gt;"",'Q1'!AP246,"n.a.")</f>
        <v>91.906666666666652</v>
      </c>
      <c r="AN24" s="3768">
        <f ca="1">IF('Q1'!AQ246&lt;&gt;"",'Q1'!AQ246,"n.a.")</f>
        <v>90.803333333333327</v>
      </c>
      <c r="AO24" s="3768">
        <f ca="1">IF('Q1'!AR246&lt;&gt;"",'Q1'!AR246,"n.a.")</f>
        <v>91.866666666666674</v>
      </c>
      <c r="AP24" s="3768">
        <f ca="1">IF('Q1'!AS246&lt;&gt;"",'Q1'!AS246,"n.a.")</f>
        <v>90.356666666666669</v>
      </c>
      <c r="AQ24" s="3768">
        <f ca="1">IF('Q1'!AT246&lt;&gt;"",'Q1'!AT246,"n.a.")</f>
        <v>91.90333333333335</v>
      </c>
      <c r="AR24" s="3768">
        <f ca="1">IF('Q1'!AU246&lt;&gt;"",'Q1'!AU246,"n.a.")</f>
        <v>90.68</v>
      </c>
      <c r="AS24" s="3768">
        <f ca="1">IF('Q1'!AV246&lt;&gt;"",'Q1'!AV246,"n.a.")</f>
        <v>92.143333333333331</v>
      </c>
      <c r="AT24" s="3768">
        <f ca="1">IF('Q1'!AW246&lt;&gt;"",'Q1'!AW246,"n.a.")</f>
        <v>90.5</v>
      </c>
      <c r="AU24" s="3768">
        <f ca="1">IF('Q1'!AX246&lt;&gt;"",'Q1'!AX246,"n.a.")</f>
        <v>92.586666666666659</v>
      </c>
      <c r="AV24" s="3768">
        <f ca="1">IF('Q1'!AY246&lt;&gt;"",'Q1'!AY246,"n.a.")</f>
        <v>91.306666666666658</v>
      </c>
      <c r="AW24" s="3768">
        <f ca="1">IF('Q1'!AZ246&lt;&gt;"",'Q1'!AZ246,"n.a.")</f>
        <v>93.100000000000009</v>
      </c>
      <c r="AX24" s="3768">
        <f ca="1">IF('Q1'!BA246&lt;&gt;"",'Q1'!BA246,"n.a.")</f>
        <v>91.52</v>
      </c>
      <c r="AY24" s="3768">
        <f ca="1">IF('Q1'!BB246&lt;&gt;"",'Q1'!BB246,"n.a.")</f>
        <v>93.336666666666659</v>
      </c>
      <c r="AZ24" s="3768">
        <f ca="1">IF('Q1'!BC246&lt;&gt;"",'Q1'!BC246,"n.a.")</f>
        <v>92.076666666666668</v>
      </c>
      <c r="BA24" s="3768">
        <f ca="1">IF('Q1'!BD246&lt;&gt;"",'Q1'!BD246,"n.a.")</f>
        <v>93.74666666666667</v>
      </c>
      <c r="BB24" s="3768">
        <f ca="1">IF('Q1'!BE246&lt;&gt;"",'Q1'!BE246,"n.a.")</f>
        <v>92.296666666666667</v>
      </c>
      <c r="BC24" s="3768">
        <f ca="1">IF('Q1'!BF246&lt;&gt;"",'Q1'!BF246,"n.a.")</f>
        <v>94.34666666666665</v>
      </c>
      <c r="BD24" s="3768">
        <f ca="1">IF('Q1'!BG246&lt;&gt;"",'Q1'!BG246,"n.a.")</f>
        <v>93.23</v>
      </c>
      <c r="BE24" s="3768">
        <f ca="1">IF('Q1'!BH246&lt;&gt;"",'Q1'!BH246,"n.a.")</f>
        <v>94.99666666666667</v>
      </c>
      <c r="BF24" s="3768">
        <f ca="1">IF('Q1'!BI246&lt;&gt;"",'Q1'!BI246,"n.a.")</f>
        <v>93.346666666666678</v>
      </c>
      <c r="BG24" s="3768">
        <f ca="1">IF('Q1'!BJ246&lt;&gt;"",'Q1'!BJ246,"n.a.")</f>
        <v>95.74666666666667</v>
      </c>
      <c r="BH24" s="3768">
        <f ca="1">IF('Q1'!BK246&lt;&gt;"",'Q1'!BK246,"n.a.")</f>
        <v>94.333333333333329</v>
      </c>
      <c r="BI24" s="3768">
        <f ca="1">IF('Q1'!BL246&lt;&gt;"",'Q1'!BL246,"n.a.")</f>
        <v>96.589999999999989</v>
      </c>
      <c r="BJ24" s="3768">
        <f ca="1">IF('Q1'!BM246&lt;&gt;"",'Q1'!BM246,"n.a.")</f>
        <v>94.733333333333334</v>
      </c>
      <c r="BK24" s="3768">
        <f ca="1">IF('Q1'!BN246&lt;&gt;"",'Q1'!BN246,"n.a.")</f>
        <v>97.09999999999998</v>
      </c>
      <c r="BL24" s="3768">
        <f ca="1">IF('Q1'!BO246&lt;&gt;"",'Q1'!BO246,"n.a.")</f>
        <v>95.336666666666659</v>
      </c>
      <c r="BM24" s="3768">
        <f ca="1">IF('Q1'!BP246&lt;&gt;"",'Q1'!BP246,"n.a.")</f>
        <v>97.40333333333335</v>
      </c>
      <c r="BN24" s="3768">
        <f ca="1">IF('Q1'!BQ246&lt;&gt;"",'Q1'!BQ246,"n.a.")</f>
        <v>95.236666666666665</v>
      </c>
      <c r="BO24" s="3768">
        <f ca="1">IF('Q1'!BR246&lt;&gt;"",'Q1'!BR246,"n.a.")</f>
        <v>97.823333333333338</v>
      </c>
      <c r="BP24" s="3768">
        <f ca="1">IF('Q1'!BS246&lt;&gt;"",'Q1'!BS246,"n.a.")</f>
        <v>96.146666666666661</v>
      </c>
      <c r="BQ24" s="3768">
        <f ca="1">IF('Q1'!BT246&lt;&gt;"",'Q1'!BT246,"n.a.")</f>
        <v>98.076666666666668</v>
      </c>
      <c r="BR24" s="3768">
        <f ca="1">IF('Q1'!BU246&lt;&gt;"",'Q1'!BU246,"n.a.")</f>
        <v>96.42</v>
      </c>
      <c r="BS24" s="3768">
        <f ca="1">IF('Q1'!BV246&lt;&gt;"",'Q1'!BV246,"n.a.")</f>
        <v>98.853333333333339</v>
      </c>
      <c r="BT24" s="3768">
        <f ca="1">IF('Q1'!BW246&lt;&gt;"",'Q1'!BW246,"n.a.")</f>
        <v>97.089999999999989</v>
      </c>
      <c r="BU24" s="3768">
        <f ca="1">IF('Q1'!BX246&lt;&gt;"",'Q1'!BX246,"n.a.")</f>
        <v>99.15666666666668</v>
      </c>
      <c r="BV24" s="3768">
        <f ca="1">IF('Q1'!BY246&lt;&gt;"",'Q1'!BY246,"n.a.")</f>
        <v>97.076666666666668</v>
      </c>
      <c r="BW24" s="3768">
        <f ca="1">IF('Q1'!BZ246&lt;&gt;"",'Q1'!BZ246,"n.a.")</f>
        <v>99.649999999999991</v>
      </c>
      <c r="BX24" s="3768">
        <f ca="1">IF('Q1'!CA246&lt;&gt;"",'Q1'!CA246,"n.a.")</f>
        <v>98.046666666666667</v>
      </c>
      <c r="BY24" s="3768">
        <f ca="1">IF('Q1'!CB246&lt;&gt;"",'Q1'!CB246,"n.a.")</f>
        <v>100.31666666666666</v>
      </c>
      <c r="BZ24" s="3768">
        <f ca="1">IF('Q1'!CC246&lt;&gt;"",'Q1'!CC246,"n.a.")</f>
        <v>98.04</v>
      </c>
      <c r="CA24" s="3768">
        <f ca="1">IF('Q1'!CD246&lt;&gt;"",'Q1'!CD246,"n.a.")</f>
        <v>100.42666666666668</v>
      </c>
      <c r="CB24" s="3768">
        <f ca="1">IF('Q1'!CE246&lt;&gt;"",'Q1'!CE246,"n.a.")</f>
        <v>98.5</v>
      </c>
      <c r="CC24" s="3768">
        <f ca="1">IF('Q1'!CF246&lt;&gt;"",'Q1'!CF246,"n.a.")</f>
        <v>100.60333333333334</v>
      </c>
      <c r="CD24" s="3768">
        <f ca="1">IF('Q1'!CG246&lt;&gt;"",'Q1'!CG246,"n.a.")</f>
        <v>98.393333333333331</v>
      </c>
      <c r="CE24" s="3768">
        <f ca="1">IF('Q1'!CH246&lt;&gt;"",'Q1'!CH246,"n.a.")</f>
        <v>100.66333333333334</v>
      </c>
      <c r="CF24" s="3768">
        <f ca="1">IF('Q1'!CI246&lt;&gt;"",'Q1'!CI246,"n.a.")</f>
        <v>98.98</v>
      </c>
      <c r="CG24" s="3768">
        <f ca="1">IF('Q1'!CJ246&lt;&gt;"",'Q1'!CJ246,"n.a.")</f>
        <v>100.84666666666668</v>
      </c>
      <c r="CH24" s="3768">
        <f ca="1">IF('Q1'!CK246&lt;&gt;"",'Q1'!CK246,"n.a.")</f>
        <v>98.893333333333331</v>
      </c>
      <c r="CI24" s="3768">
        <f ca="1">IF('Q1'!CL246&lt;&gt;"",'Q1'!CL246,"n.a.")</f>
        <v>101.27666666666666</v>
      </c>
      <c r="CJ24" s="3768">
        <f ca="1">IF('Q1'!CM246&lt;&gt;"",'Q1'!CM246,"n.a.")</f>
        <v>100.04</v>
      </c>
      <c r="CK24" s="3768">
        <f ca="1">IF('Q1'!CN246&lt;&gt;"",'Q1'!CN246,"n.a.")</f>
        <v>101.83333333333333</v>
      </c>
      <c r="CL24" s="3768">
        <f ca="1">IF('Q1'!CO246&lt;&gt;"",'Q1'!CO246,"n.a.")</f>
        <v>100.04</v>
      </c>
      <c r="CM24" s="3768">
        <f ca="1">IF('Q1'!CP246&lt;&gt;"",'Q1'!CP246,"n.a.")</f>
        <v>102.12</v>
      </c>
      <c r="CN24" s="3768">
        <f ca="1">IF('Q1'!CQ246&lt;&gt;"",'Q1'!CQ246,"n.a.")</f>
        <v>100.79666666666667</v>
      </c>
      <c r="CO24" s="3768">
        <f ca="1">IF('Q1'!CR246&lt;&gt;"",'Q1'!CR246,"n.a.")</f>
        <v>102.67</v>
      </c>
      <c r="CP24" s="3768">
        <f ca="1">IF('Q1'!CS246&lt;&gt;"",'Q1'!CS246,"n.a.")</f>
        <v>100.95</v>
      </c>
      <c r="CQ24" s="3768">
        <f ca="1">IF('Q1'!CT246&lt;&gt;"",'Q1'!CT246,"n.a.")</f>
        <v>102.88666666666666</v>
      </c>
      <c r="CR24" s="3768">
        <f ca="1">IF('Q1'!CU246&lt;&gt;"",'Q1'!CU246,"n.a.")</f>
        <v>101.77</v>
      </c>
      <c r="CS24" s="3768">
        <f ca="1">IF('Q1'!CV246&lt;&gt;"",'Q1'!CV246,"n.a.")</f>
        <v>103.45538550487436</v>
      </c>
      <c r="CT24" s="3768">
        <f ca="1">IF('Q1'!CW246&lt;&gt;"",'Q1'!CW246,"n.a.")</f>
        <v>102.13544032802237</v>
      </c>
      <c r="CU24" s="3768">
        <f ca="1">IF('Q1'!CX246&lt;&gt;"",'Q1'!CX246,"n.a.")</f>
        <v>104.04268602732489</v>
      </c>
      <c r="CV24" s="3768">
        <f ca="1">IF('Q1'!CY246&lt;&gt;"",'Q1'!CY246,"n.a.")</f>
        <v>102.37290779151036</v>
      </c>
      <c r="CW24" s="3768">
        <f ca="1">IF('Q1'!CZ246&lt;&gt;"",'Q1'!CZ246,"n.a.")</f>
        <v>105.38557518541033</v>
      </c>
      <c r="CX24" s="3768">
        <f ca="1">IF('Q1'!DA246&lt;&gt;"",'Q1'!DA246,"n.a.")</f>
        <v>103.64645670194206</v>
      </c>
      <c r="CY24" s="3768">
        <f ca="1">IF('Q1'!DB246&lt;&gt;"",'Q1'!DB246,"n.a.")</f>
        <v>104.34588928242353</v>
      </c>
    </row>
    <row r="25" spans="1:103">
      <c r="A25" s="3768" t="str">
        <f t="shared" si="1"/>
        <v>\\DG ECFIN\Forecast\Country databases\Desk transfer databases\BE</v>
      </c>
      <c r="B25" s="3768" t="str">
        <f t="shared" si="2"/>
        <v>BE</v>
      </c>
      <c r="C25" s="3768" t="s">
        <v>2362</v>
      </c>
      <c r="D25" s="3768" t="s">
        <v>2293</v>
      </c>
      <c r="E25" s="3768" t="s">
        <v>2492</v>
      </c>
      <c r="F25" s="3768">
        <v>168</v>
      </c>
      <c r="G25" s="3768" t="s">
        <v>313</v>
      </c>
      <c r="H25" s="3768" t="str">
        <f>IF('Q1'!K281&lt;&gt;"",'Q1'!K281,"n.a.")</f>
        <v>n.a.</v>
      </c>
      <c r="I25" s="3768" t="str">
        <f>IF('Q1'!L281&lt;&gt;"",'Q1'!L281,"n.a.")</f>
        <v>n.a.</v>
      </c>
      <c r="J25" s="3768" t="str">
        <f>IF('Q1'!M281&lt;&gt;"",'Q1'!M281,"n.a.")</f>
        <v>n.a.</v>
      </c>
      <c r="K25" s="3768" t="str">
        <f>IF('Q1'!N281&lt;&gt;"",'Q1'!N281,"n.a.")</f>
        <v>n.a.</v>
      </c>
      <c r="L25" s="3768">
        <f>IF('Q1'!O247&lt;&gt;"",'Q1'!O247,"n.a.")</f>
        <v>60.033333333333331</v>
      </c>
      <c r="M25" s="3768">
        <f>IF('Q1'!P247&lt;&gt;"",'Q1'!P247,"n.a.")</f>
        <v>59.126666666666665</v>
      </c>
      <c r="N25" s="3768">
        <f>IF('Q1'!Q247&lt;&gt;"",'Q1'!Q247,"n.a.")</f>
        <v>59.636666666666663</v>
      </c>
      <c r="O25" s="3768">
        <f>IF('Q1'!R247&lt;&gt;"",'Q1'!R247,"n.a.")</f>
        <v>59.766666666666673</v>
      </c>
      <c r="P25" s="3768">
        <f>IF('Q1'!S247&lt;&gt;"",'Q1'!S247,"n.a.")</f>
        <v>58.343333333333334</v>
      </c>
      <c r="Q25" s="3768">
        <f>IF('Q1'!T247&lt;&gt;"",'Q1'!T247,"n.a.")</f>
        <v>57.910000000000004</v>
      </c>
      <c r="R25" s="3768">
        <f>IF('Q1'!U247&lt;&gt;"",'Q1'!U247,"n.a.")</f>
        <v>57.196666666666665</v>
      </c>
      <c r="S25" s="3768">
        <f>IF('Q1'!V247&lt;&gt;"",'Q1'!V247,"n.a.")</f>
        <v>56.606666666666662</v>
      </c>
      <c r="T25" s="3768">
        <f ca="1">IF('Q1'!W247&lt;&gt;"",'Q1'!W247,"n.a.")</f>
        <v>55.949999999999996</v>
      </c>
      <c r="U25" s="3768">
        <f ca="1">IF('Q1'!X247&lt;&gt;"",'Q1'!X247,"n.a.")</f>
        <v>57.639999999999993</v>
      </c>
      <c r="V25" s="3768">
        <f ca="1">IF('Q1'!Y247&lt;&gt;"",'Q1'!Y247,"n.a.")</f>
        <v>59.580000000000005</v>
      </c>
      <c r="W25" s="3768">
        <f ca="1">IF('Q1'!Z247&lt;&gt;"",'Q1'!Z247,"n.a.")</f>
        <v>61.46</v>
      </c>
      <c r="X25" s="3768">
        <f ca="1">IF('Q1'!AA247&lt;&gt;"",'Q1'!AA247,"n.a.")</f>
        <v>64.306666666666672</v>
      </c>
      <c r="Y25" s="3768">
        <f ca="1">IF('Q1'!AB247&lt;&gt;"",'Q1'!AB247,"n.a.")</f>
        <v>66.453333333333333</v>
      </c>
      <c r="Z25" s="3768">
        <f ca="1">IF('Q1'!AC247&lt;&gt;"",'Q1'!AC247,"n.a.")</f>
        <v>70.040000000000006</v>
      </c>
      <c r="AA25" s="3768">
        <f ca="1">IF('Q1'!AD247&lt;&gt;"",'Q1'!AD247,"n.a.")</f>
        <v>72.123333333333335</v>
      </c>
      <c r="AB25" s="3768">
        <f ca="1">IF('Q1'!AE247&lt;&gt;"",'Q1'!AE247,"n.a.")</f>
        <v>68.526666666666657</v>
      </c>
      <c r="AC25" s="3768">
        <f ca="1">IF('Q1'!AF247&lt;&gt;"",'Q1'!AF247,"n.a.")</f>
        <v>71.23</v>
      </c>
      <c r="AD25" s="3768">
        <f ca="1">IF('Q1'!AG247&lt;&gt;"",'Q1'!AG247,"n.a.")</f>
        <v>70.029999999999987</v>
      </c>
      <c r="AE25" s="3768">
        <f ca="1">IF('Q1'!AH247&lt;&gt;"",'Q1'!AH247,"n.a.")</f>
        <v>66.893333333333331</v>
      </c>
      <c r="AF25" s="3768">
        <f ca="1">IF('Q1'!AI247&lt;&gt;"",'Q1'!AI247,"n.a.")</f>
        <v>65.793333333333337</v>
      </c>
      <c r="AG25" s="3768">
        <f ca="1">IF('Q1'!AJ247&lt;&gt;"",'Q1'!AJ247,"n.a.")</f>
        <v>66.956666666666663</v>
      </c>
      <c r="AH25" s="3768">
        <f ca="1">IF('Q1'!AK247&lt;&gt;"",'Q1'!AK247,"n.a.")</f>
        <v>66.926666666666662</v>
      </c>
      <c r="AI25" s="3768">
        <f ca="1">IF('Q1'!AL247&lt;&gt;"",'Q1'!AL247,"n.a.")</f>
        <v>66.949999999999989</v>
      </c>
      <c r="AJ25" s="3768">
        <f ca="1">IF('Q1'!AM247&lt;&gt;"",'Q1'!AM247,"n.a.")</f>
        <v>69.08</v>
      </c>
      <c r="AK25" s="3768">
        <f ca="1">IF('Q1'!AN247&lt;&gt;"",'Q1'!AN247,"n.a.")</f>
        <v>65.19</v>
      </c>
      <c r="AL25" s="3768">
        <f ca="1">IF('Q1'!AO247&lt;&gt;"",'Q1'!AO247,"n.a.")</f>
        <v>66.263333333333335</v>
      </c>
      <c r="AM25" s="3768">
        <f ca="1">IF('Q1'!AP247&lt;&gt;"",'Q1'!AP247,"n.a.")</f>
        <v>66.563333333333333</v>
      </c>
      <c r="AN25" s="3768">
        <f ca="1">IF('Q1'!AQ247&lt;&gt;"",'Q1'!AQ247,"n.a.")</f>
        <v>66.719999999999985</v>
      </c>
      <c r="AO25" s="3768">
        <f ca="1">IF('Q1'!AR247&lt;&gt;"",'Q1'!AR247,"n.a.")</f>
        <v>69.966666666666669</v>
      </c>
      <c r="AP25" s="3768">
        <f ca="1">IF('Q1'!AS247&lt;&gt;"",'Q1'!AS247,"n.a.")</f>
        <v>72.84</v>
      </c>
      <c r="AQ25" s="3768">
        <f ca="1">IF('Q1'!AT247&lt;&gt;"",'Q1'!AT247,"n.a.")</f>
        <v>75.193333333333328</v>
      </c>
      <c r="AR25" s="3768">
        <f ca="1">IF('Q1'!AU247&lt;&gt;"",'Q1'!AU247,"n.a.")</f>
        <v>74.536666666666676</v>
      </c>
      <c r="AS25" s="3768">
        <f ca="1">IF('Q1'!AV247&lt;&gt;"",'Q1'!AV247,"n.a.")</f>
        <v>78.793333333333337</v>
      </c>
      <c r="AT25" s="3768">
        <f ca="1">IF('Q1'!AW247&lt;&gt;"",'Q1'!AW247,"n.a.")</f>
        <v>84.77</v>
      </c>
      <c r="AU25" s="3768">
        <f ca="1">IF('Q1'!AX247&lt;&gt;"",'Q1'!AX247,"n.a.")</f>
        <v>82.78</v>
      </c>
      <c r="AV25" s="3768">
        <f ca="1">IF('Q1'!AY247&lt;&gt;"",'Q1'!AY247,"n.a.")</f>
        <v>84.360000000000014</v>
      </c>
      <c r="AW25" s="3768">
        <f ca="1">IF('Q1'!AZ247&lt;&gt;"",'Q1'!AZ247,"n.a.")</f>
        <v>87.563333333333333</v>
      </c>
      <c r="AX25" s="3768">
        <f ca="1">IF('Q1'!BA247&lt;&gt;"",'Q1'!BA247,"n.a.")</f>
        <v>87.850000000000009</v>
      </c>
      <c r="AY25" s="3768">
        <f ca="1">IF('Q1'!BB247&lt;&gt;"",'Q1'!BB247,"n.a.")</f>
        <v>84.443333333333328</v>
      </c>
      <c r="AZ25" s="3768">
        <f ca="1">IF('Q1'!BC247&lt;&gt;"",'Q1'!BC247,"n.a.")</f>
        <v>83.866666666666674</v>
      </c>
      <c r="BA25" s="3768">
        <f ca="1">IF('Q1'!BD247&lt;&gt;"",'Q1'!BD247,"n.a.")</f>
        <v>84.826666666666668</v>
      </c>
      <c r="BB25" s="3768">
        <f ca="1">IF('Q1'!BE247&lt;&gt;"",'Q1'!BE247,"n.a.")</f>
        <v>85.306666666666672</v>
      </c>
      <c r="BC25" s="3768">
        <f ca="1">IF('Q1'!BF247&lt;&gt;"",'Q1'!BF247,"n.a.")</f>
        <v>90.969999999999985</v>
      </c>
      <c r="BD25" s="3768">
        <f ca="1">IF('Q1'!BG247&lt;&gt;"",'Q1'!BG247,"n.a.")</f>
        <v>97.546666666666667</v>
      </c>
      <c r="BE25" s="3768">
        <f ca="1">IF('Q1'!BH247&lt;&gt;"",'Q1'!BH247,"n.a.")</f>
        <v>106.94666666666667</v>
      </c>
      <c r="BF25" s="3768">
        <f ca="1">IF('Q1'!BI247&lt;&gt;"",'Q1'!BI247,"n.a.")</f>
        <v>109.37333333333333</v>
      </c>
      <c r="BG25" s="3768">
        <f ca="1">IF('Q1'!BJ247&lt;&gt;"",'Q1'!BJ247,"n.a.")</f>
        <v>99.55</v>
      </c>
      <c r="BH25" s="3768">
        <f ca="1">IF('Q1'!BK247&lt;&gt;"",'Q1'!BK247,"n.a.")</f>
        <v>91.94</v>
      </c>
      <c r="BI25" s="3768">
        <f ca="1">IF('Q1'!BL247&lt;&gt;"",'Q1'!BL247,"n.a.")</f>
        <v>88.203333333333333</v>
      </c>
      <c r="BJ25" s="3768">
        <f ca="1">IF('Q1'!BM247&lt;&gt;"",'Q1'!BM247,"n.a.")</f>
        <v>87.526666666666657</v>
      </c>
      <c r="BK25" s="3768">
        <f ca="1">IF('Q1'!BN247&lt;&gt;"",'Q1'!BN247,"n.a.")</f>
        <v>87.953333333333333</v>
      </c>
      <c r="BL25" s="3768">
        <f ca="1">IF('Q1'!BO247&lt;&gt;"",'Q1'!BO247,"n.a.")</f>
        <v>92.50333333333333</v>
      </c>
      <c r="BM25" s="3768">
        <f ca="1">IF('Q1'!BP247&lt;&gt;"",'Q1'!BP247,"n.a.")</f>
        <v>98.766666666666666</v>
      </c>
      <c r="BN25" s="3768">
        <f ca="1">IF('Q1'!BQ247&lt;&gt;"",'Q1'!BQ247,"n.a.")</f>
        <v>98.429999999999993</v>
      </c>
      <c r="BO25" s="3768">
        <f ca="1">IF('Q1'!BR247&lt;&gt;"",'Q1'!BR247,"n.a.")</f>
        <v>101.39333333333333</v>
      </c>
      <c r="BP25" s="3768">
        <f ca="1">IF('Q1'!BS247&lt;&gt;"",'Q1'!BS247,"n.a.")</f>
        <v>108.57</v>
      </c>
      <c r="BQ25" s="3768">
        <f ca="1">IF('Q1'!BT247&lt;&gt;"",'Q1'!BT247,"n.a.")</f>
        <v>115.03666666666668</v>
      </c>
      <c r="BR25" s="3768">
        <f ca="1">IF('Q1'!BU247&lt;&gt;"",'Q1'!BU247,"n.a.")</f>
        <v>116.17</v>
      </c>
      <c r="BS25" s="3768">
        <f ca="1">IF('Q1'!BV247&lt;&gt;"",'Q1'!BV247,"n.a.")</f>
        <v>117.87333333333333</v>
      </c>
      <c r="BT25" s="3768">
        <f ca="1">IF('Q1'!BW247&lt;&gt;"",'Q1'!BW247,"n.a.")</f>
        <v>121.78333333333335</v>
      </c>
      <c r="BU25" s="3768">
        <f ca="1">IF('Q1'!BX247&lt;&gt;"",'Q1'!BX247,"n.a.")</f>
        <v>121.27333333333333</v>
      </c>
      <c r="BV25" s="3768">
        <f ca="1">IF('Q1'!BY247&lt;&gt;"",'Q1'!BY247,"n.a.")</f>
        <v>121.29333333333334</v>
      </c>
      <c r="BW25" s="3768">
        <f ca="1">IF('Q1'!BZ247&lt;&gt;"",'Q1'!BZ247,"n.a.")</f>
        <v>120.73333333333335</v>
      </c>
      <c r="BX25" s="3768">
        <f ca="1">IF('Q1'!CA247&lt;&gt;"",'Q1'!CA247,"n.a.")</f>
        <v>118.37</v>
      </c>
      <c r="BY25" s="3768">
        <f ca="1">IF('Q1'!CB247&lt;&gt;"",'Q1'!CB247,"n.a.")</f>
        <v>114.77</v>
      </c>
      <c r="BZ25" s="3768">
        <f ca="1">IF('Q1'!CC247&lt;&gt;"",'Q1'!CC247,"n.a.")</f>
        <v>115.57000000000001</v>
      </c>
      <c r="CA25" s="3768">
        <f ca="1">IF('Q1'!CD247&lt;&gt;"",'Q1'!CD247,"n.a.")</f>
        <v>114.05666666666667</v>
      </c>
      <c r="CB25" s="3768">
        <f ca="1">IF('Q1'!CE247&lt;&gt;"",'Q1'!CE247,"n.a.")</f>
        <v>114.08999999999999</v>
      </c>
      <c r="CC25" s="3768">
        <f ca="1">IF('Q1'!CF247&lt;&gt;"",'Q1'!CF247,"n.a.")</f>
        <v>108.45</v>
      </c>
      <c r="CD25" s="3768">
        <f ca="1">IF('Q1'!CG247&lt;&gt;"",'Q1'!CG247,"n.a.")</f>
        <v>107.58999999999999</v>
      </c>
      <c r="CE25" s="3768">
        <f ca="1">IF('Q1'!CH247&lt;&gt;"",'Q1'!CH247,"n.a.")</f>
        <v>104.65666666666665</v>
      </c>
      <c r="CF25" s="3768">
        <f ca="1">IF('Q1'!CI247&lt;&gt;"",'Q1'!CI247,"n.a.")</f>
        <v>98.14</v>
      </c>
      <c r="CG25" s="3768">
        <f ca="1">IF('Q1'!CJ247&lt;&gt;"",'Q1'!CJ247,"n.a.")</f>
        <v>101.64333333333333</v>
      </c>
      <c r="CH25" s="3768">
        <f ca="1">IF('Q1'!CK247&lt;&gt;"",'Q1'!CK247,"n.a.")</f>
        <v>100.79666666666667</v>
      </c>
      <c r="CI25" s="3768">
        <f ca="1">IF('Q1'!CL247&lt;&gt;"",'Q1'!CL247,"n.a.")</f>
        <v>99.416666666666671</v>
      </c>
      <c r="CJ25" s="3768">
        <f ca="1">IF('Q1'!CM247&lt;&gt;"",'Q1'!CM247,"n.a.")</f>
        <v>93.24666666666667</v>
      </c>
      <c r="CK25" s="3768">
        <f ca="1">IF('Q1'!CN247&lt;&gt;"",'Q1'!CN247,"n.a.")</f>
        <v>98.696666666666658</v>
      </c>
      <c r="CL25" s="3768">
        <f ca="1">IF('Q1'!CO247&lt;&gt;"",'Q1'!CO247,"n.a.")</f>
        <v>101.10666666666667</v>
      </c>
      <c r="CM25" s="3768">
        <f ca="1">IF('Q1'!CP247&lt;&gt;"",'Q1'!CP247,"n.a.")</f>
        <v>104.55333333333333</v>
      </c>
      <c r="CN25" s="3768">
        <f ca="1">IF('Q1'!CQ247&lt;&gt;"",'Q1'!CQ247,"n.a.")</f>
        <v>110.37666666666667</v>
      </c>
      <c r="CO25" s="3768">
        <f ca="1">IF('Q1'!CR247&lt;&gt;"",'Q1'!CR247,"n.a.")</f>
        <v>107.83999999999999</v>
      </c>
      <c r="CP25" s="3768">
        <f ca="1">IF('Q1'!CS247&lt;&gt;"",'Q1'!CS247,"n.a.")</f>
        <v>106.93333333333334</v>
      </c>
      <c r="CQ25" s="3768">
        <f ca="1">IF('Q1'!CT247&lt;&gt;"",'Q1'!CT247,"n.a.")</f>
        <v>111.62333333333333</v>
      </c>
      <c r="CR25" s="3768">
        <f ca="1">IF('Q1'!CU247&lt;&gt;"",'Q1'!CU247,"n.a.")</f>
        <v>112.28666666666668</v>
      </c>
      <c r="CS25" s="3768">
        <f ca="1">IF('Q1'!CV247&lt;&gt;"",'Q1'!CV247,"n.a.")</f>
        <v>107.98027677671408</v>
      </c>
      <c r="CT25" s="3768">
        <f ca="1">IF('Q1'!CW247&lt;&gt;"",'Q1'!CW247,"n.a.")</f>
        <v>104.87496365105044</v>
      </c>
      <c r="CU25" s="3768">
        <f ca="1">IF('Q1'!CX247&lt;&gt;"",'Q1'!CX247,"n.a.")</f>
        <v>105.5409126777313</v>
      </c>
      <c r="CV25" s="3768">
        <f ca="1">IF('Q1'!CY247&lt;&gt;"",'Q1'!CY247,"n.a.")</f>
        <v>107.56192013312064</v>
      </c>
      <c r="CW25" s="3768">
        <f ca="1">IF('Q1'!CZ247&lt;&gt;"",'Q1'!CZ247,"n.a.")</f>
        <v>107.0124009429623</v>
      </c>
      <c r="CX25" s="3768">
        <f ca="1">IF('Q1'!DA247&lt;&gt;"",'Q1'!DA247,"n.a.")</f>
        <v>106.05883753238386</v>
      </c>
      <c r="CY25" s="3768">
        <f ca="1">IF('Q1'!DB247&lt;&gt;"",'Q1'!DB247,"n.a.")</f>
        <v>104.2744357993674</v>
      </c>
    </row>
    <row r="26" spans="1:103">
      <c r="A26" s="3768" t="str">
        <f t="shared" si="1"/>
        <v>\\DG ECFIN\Forecast\Country databases\Desk transfer databases\BE</v>
      </c>
      <c r="B26" s="3768" t="str">
        <f t="shared" si="2"/>
        <v>BE</v>
      </c>
      <c r="C26" s="3768" t="s">
        <v>2362</v>
      </c>
      <c r="D26" s="3768" t="s">
        <v>2294</v>
      </c>
      <c r="E26" s="3768" t="s">
        <v>2492</v>
      </c>
      <c r="F26" s="3768">
        <v>169</v>
      </c>
      <c r="G26" s="3768" t="s">
        <v>314</v>
      </c>
      <c r="H26" s="3768" t="str">
        <f>IF('Q1'!K283&lt;&gt;"",'Q1'!K283,"n.a.")</f>
        <v>n.a.</v>
      </c>
      <c r="I26" s="3768" t="str">
        <f>IF('Q1'!L283&lt;&gt;"",'Q1'!L283,"n.a.")</f>
        <v>n.a.</v>
      </c>
      <c r="J26" s="3768" t="str">
        <f>IF('Q1'!M283&lt;&gt;"",'Q1'!M283,"n.a.")</f>
        <v>n.a.</v>
      </c>
      <c r="K26" s="3768" t="str">
        <f>IF('Q1'!N283&lt;&gt;"",'Q1'!N283,"n.a.")</f>
        <v>n.a.</v>
      </c>
      <c r="L26" s="3768">
        <f>IF('Q1'!O249&lt;&gt;"",'Q1'!O249,"n.a.")</f>
        <v>64.02</v>
      </c>
      <c r="M26" s="3768">
        <f>IF('Q1'!P249&lt;&gt;"",'Q1'!P249,"n.a.")</f>
        <v>64.413333333333341</v>
      </c>
      <c r="N26" s="3768">
        <f>IF('Q1'!Q249&lt;&gt;"",'Q1'!Q249,"n.a.")</f>
        <v>65.02</v>
      </c>
      <c r="O26" s="3768">
        <f>IF('Q1'!R249&lt;&gt;"",'Q1'!R249,"n.a.")</f>
        <v>65.36666666666666</v>
      </c>
      <c r="P26" s="3768">
        <f>IF('Q1'!S249&lt;&gt;"",'Q1'!S249,"n.a.")</f>
        <v>65.569999999999993</v>
      </c>
      <c r="Q26" s="3768">
        <f>IF('Q1'!T249&lt;&gt;"",'Q1'!T249,"n.a.")</f>
        <v>65.513333333333335</v>
      </c>
      <c r="R26" s="3768">
        <f>IF('Q1'!U249&lt;&gt;"",'Q1'!U249,"n.a.")</f>
        <v>65.693333333333342</v>
      </c>
      <c r="S26" s="3768">
        <f>IF('Q1'!V249&lt;&gt;"",'Q1'!V249,"n.a.")</f>
        <v>65.676666666666677</v>
      </c>
      <c r="T26" s="3768">
        <f ca="1">IF('Q1'!W249&lt;&gt;"",'Q1'!W249,"n.a.")</f>
        <v>65.86333333333333</v>
      </c>
      <c r="U26" s="3768">
        <f ca="1">IF('Q1'!X249&lt;&gt;"",'Q1'!X249,"n.a.")</f>
        <v>66.040000000000006</v>
      </c>
      <c r="V26" s="3768">
        <f ca="1">IF('Q1'!Y249&lt;&gt;"",'Q1'!Y249,"n.a.")</f>
        <v>66.096666666666664</v>
      </c>
      <c r="W26" s="3768">
        <f ca="1">IF('Q1'!Z249&lt;&gt;"",'Q1'!Z249,"n.a.")</f>
        <v>66.100000000000009</v>
      </c>
      <c r="X26" s="3768">
        <f ca="1">IF('Q1'!AA249&lt;&gt;"",'Q1'!AA249,"n.a.")</f>
        <v>66.510000000000005</v>
      </c>
      <c r="Y26" s="3768">
        <f ca="1">IF('Q1'!AB249&lt;&gt;"",'Q1'!AB249,"n.a.")</f>
        <v>66.876666666666665</v>
      </c>
      <c r="Z26" s="3768">
        <f ca="1">IF('Q1'!AC249&lt;&gt;"",'Q1'!AC249,"n.a.")</f>
        <v>66.963333333333324</v>
      </c>
      <c r="AA26" s="3768">
        <f ca="1">IF('Q1'!AD249&lt;&gt;"",'Q1'!AD249,"n.a.")</f>
        <v>67.173333333333332</v>
      </c>
      <c r="AB26" s="3768">
        <f ca="1">IF('Q1'!AE249&lt;&gt;"",'Q1'!AE249,"n.a.")</f>
        <v>67.566666666666663</v>
      </c>
      <c r="AC26" s="3768">
        <f ca="1">IF('Q1'!AF249&lt;&gt;"",'Q1'!AF249,"n.a.")</f>
        <v>68.030000000000015</v>
      </c>
      <c r="AD26" s="3768">
        <f ca="1">IF('Q1'!AG249&lt;&gt;"",'Q1'!AG249,"n.a.")</f>
        <v>68.720000000000013</v>
      </c>
      <c r="AE26" s="3768">
        <f ca="1">IF('Q1'!AH249&lt;&gt;"",'Q1'!AH249,"n.a.")</f>
        <v>69.010000000000005</v>
      </c>
      <c r="AF26" s="3768">
        <f ca="1">IF('Q1'!AI249&lt;&gt;"",'Q1'!AI249,"n.a.")</f>
        <v>68.993333333333325</v>
      </c>
      <c r="AG26" s="3768">
        <f ca="1">IF('Q1'!AJ249&lt;&gt;"",'Q1'!AJ249,"n.a.")</f>
        <v>69.053333333333327</v>
      </c>
      <c r="AH26" s="3768">
        <f ca="1">IF('Q1'!AK249&lt;&gt;"",'Q1'!AK249,"n.a.")</f>
        <v>69.456666666666663</v>
      </c>
      <c r="AI26" s="3768">
        <f ca="1">IF('Q1'!AL249&lt;&gt;"",'Q1'!AL249,"n.a.")</f>
        <v>69.88333333333334</v>
      </c>
      <c r="AJ26" s="3768">
        <f ca="1">IF('Q1'!AM249&lt;&gt;"",'Q1'!AM249,"n.a.")</f>
        <v>70.706666666666663</v>
      </c>
      <c r="AK26" s="3768">
        <f ca="1">IF('Q1'!AN249&lt;&gt;"",'Q1'!AN249,"n.a.")</f>
        <v>71.286666666666662</v>
      </c>
      <c r="AL26" s="3768">
        <f ca="1">IF('Q1'!AO249&lt;&gt;"",'Q1'!AO249,"n.a.")</f>
        <v>71.49666666666667</v>
      </c>
      <c r="AM26" s="3768">
        <f ca="1">IF('Q1'!AP249&lt;&gt;"",'Q1'!AP249,"n.a.")</f>
        <v>71.53</v>
      </c>
      <c r="AN26" s="3768">
        <f ca="1">IF('Q1'!AQ249&lt;&gt;"",'Q1'!AQ249,"n.a.")</f>
        <v>72.36</v>
      </c>
      <c r="AO26" s="3768">
        <f ca="1">IF('Q1'!AR249&lt;&gt;"",'Q1'!AR249,"n.a.")</f>
        <v>72.92</v>
      </c>
      <c r="AP26" s="3768">
        <f ca="1">IF('Q1'!AS249&lt;&gt;"",'Q1'!AS249,"n.a.")</f>
        <v>73.073333333333338</v>
      </c>
      <c r="AQ26" s="3768">
        <f ca="1">IF('Q1'!AT249&lt;&gt;"",'Q1'!AT249,"n.a.")</f>
        <v>72.993333333333339</v>
      </c>
      <c r="AR26" s="3768">
        <f ca="1">IF('Q1'!AU249&lt;&gt;"",'Q1'!AU249,"n.a.")</f>
        <v>74.036666666666676</v>
      </c>
      <c r="AS26" s="3768">
        <f ca="1">IF('Q1'!AV249&lt;&gt;"",'Q1'!AV249,"n.a.")</f>
        <v>74.550000000000011</v>
      </c>
      <c r="AT26" s="3768">
        <f ca="1">IF('Q1'!AW249&lt;&gt;"",'Q1'!AW249,"n.a.")</f>
        <v>74.323333333333338</v>
      </c>
      <c r="AU26" s="3768">
        <f ca="1">IF('Q1'!AX249&lt;&gt;"",'Q1'!AX249,"n.a.")</f>
        <v>74.350000000000009</v>
      </c>
      <c r="AV26" s="3768">
        <f ca="1">IF('Q1'!AY249&lt;&gt;"",'Q1'!AY249,"n.a.")</f>
        <v>74.87</v>
      </c>
      <c r="AW26" s="3768">
        <f ca="1">IF('Q1'!AZ249&lt;&gt;"",'Q1'!AZ249,"n.a.")</f>
        <v>75.61</v>
      </c>
      <c r="AX26" s="3768">
        <f ca="1">IF('Q1'!BA249&lt;&gt;"",'Q1'!BA249,"n.a.")</f>
        <v>76.216666666666669</v>
      </c>
      <c r="AY26" s="3768">
        <f ca="1">IF('Q1'!BB249&lt;&gt;"",'Q1'!BB249,"n.a.")</f>
        <v>76.663333333333341</v>
      </c>
      <c r="AZ26" s="3768">
        <f ca="1">IF('Q1'!BC249&lt;&gt;"",'Q1'!BC249,"n.a.")</f>
        <v>77.556666666666672</v>
      </c>
      <c r="BA26" s="3768">
        <f ca="1">IF('Q1'!BD249&lt;&gt;"",'Q1'!BD249,"n.a.")</f>
        <v>78.75</v>
      </c>
      <c r="BB26" s="3768">
        <f ca="1">IF('Q1'!BE249&lt;&gt;"",'Q1'!BE249,"n.a.")</f>
        <v>79.476666666666674</v>
      </c>
      <c r="BC26" s="3768">
        <f ca="1">IF('Q1'!BF249&lt;&gt;"",'Q1'!BF249,"n.a.")</f>
        <v>81.713333333333324</v>
      </c>
      <c r="BD26" s="3768">
        <f ca="1">IF('Q1'!BG249&lt;&gt;"",'Q1'!BG249,"n.a.")</f>
        <v>84.17</v>
      </c>
      <c r="BE26" s="3768">
        <f ca="1">IF('Q1'!BH249&lt;&gt;"",'Q1'!BH249,"n.a.")</f>
        <v>85.46</v>
      </c>
      <c r="BF26" s="3768">
        <f ca="1">IF('Q1'!BI249&lt;&gt;"",'Q1'!BI249,"n.a.")</f>
        <v>86.113333333333344</v>
      </c>
      <c r="BG26" s="3768">
        <f ca="1">IF('Q1'!BJ249&lt;&gt;"",'Q1'!BJ249,"n.a.")</f>
        <v>86.40666666666668</v>
      </c>
      <c r="BH26" s="3768">
        <f ca="1">IF('Q1'!BK249&lt;&gt;"",'Q1'!BK249,"n.a.")</f>
        <v>86.843333333333348</v>
      </c>
      <c r="BI26" s="3768">
        <f ca="1">IF('Q1'!BL249&lt;&gt;"",'Q1'!BL249,"n.a.")</f>
        <v>87.053333333333342</v>
      </c>
      <c r="BJ26" s="3768">
        <f ca="1">IF('Q1'!BM249&lt;&gt;"",'Q1'!BM249,"n.a.")</f>
        <v>86.993333333333339</v>
      </c>
      <c r="BK26" s="3768">
        <f ca="1">IF('Q1'!BN249&lt;&gt;"",'Q1'!BN249,"n.a.")</f>
        <v>86.963333333333324</v>
      </c>
      <c r="BL26" s="3768">
        <f ca="1">IF('Q1'!BO249&lt;&gt;"",'Q1'!BO249,"n.a.")</f>
        <v>87.263333333333321</v>
      </c>
      <c r="BM26" s="3768">
        <f ca="1">IF('Q1'!BP249&lt;&gt;"",'Q1'!BP249,"n.a.")</f>
        <v>87.646666666666661</v>
      </c>
      <c r="BN26" s="3768">
        <f ca="1">IF('Q1'!BQ249&lt;&gt;"",'Q1'!BQ249,"n.a.")</f>
        <v>88.096666666666678</v>
      </c>
      <c r="BO26" s="3768">
        <f ca="1">IF('Q1'!BR249&lt;&gt;"",'Q1'!BR249,"n.a.")</f>
        <v>88.476666666666674</v>
      </c>
      <c r="BP26" s="3768">
        <f ca="1">IF('Q1'!BS249&lt;&gt;"",'Q1'!BS249,"n.a.")</f>
        <v>89.24666666666667</v>
      </c>
      <c r="BQ26" s="3768">
        <f ca="1">IF('Q1'!BT249&lt;&gt;"",'Q1'!BT249,"n.a.")</f>
        <v>90.286666666666676</v>
      </c>
      <c r="BR26" s="3768">
        <f ca="1">IF('Q1'!BU249&lt;&gt;"",'Q1'!BU249,"n.a.")</f>
        <v>91.15666666666668</v>
      </c>
      <c r="BS26" s="3768">
        <f ca="1">IF('Q1'!BV249&lt;&gt;"",'Q1'!BV249,"n.a.")</f>
        <v>91.666666666666671</v>
      </c>
      <c r="BT26" s="3768">
        <f ca="1">IF('Q1'!BW249&lt;&gt;"",'Q1'!BW249,"n.a.")</f>
        <v>92.39</v>
      </c>
      <c r="BU26" s="3768">
        <f ca="1">IF('Q1'!BX249&lt;&gt;"",'Q1'!BX249,"n.a.")</f>
        <v>92.863333333333344</v>
      </c>
      <c r="BV26" s="3768">
        <f ca="1">IF('Q1'!BY249&lt;&gt;"",'Q1'!BY249,"n.a.")</f>
        <v>93.606666666666669</v>
      </c>
      <c r="BW26" s="3768">
        <f ca="1">IF('Q1'!BZ249&lt;&gt;"",'Q1'!BZ249,"n.a.")</f>
        <v>94.606666666666669</v>
      </c>
      <c r="BX26" s="3768">
        <f ca="1">IF('Q1'!CA249&lt;&gt;"",'Q1'!CA249,"n.a.")</f>
        <v>95.576666666666668</v>
      </c>
      <c r="BY26" s="3768">
        <f ca="1">IF('Q1'!CB249&lt;&gt;"",'Q1'!CB249,"n.a.")</f>
        <v>96.093333333333348</v>
      </c>
      <c r="BZ26" s="3768">
        <f ca="1">IF('Q1'!CC249&lt;&gt;"",'Q1'!CC249,"n.a.")</f>
        <v>96.52</v>
      </c>
      <c r="CA26" s="3768">
        <f ca="1">IF('Q1'!CD249&lt;&gt;"",'Q1'!CD249,"n.a.")</f>
        <v>97.280000000000015</v>
      </c>
      <c r="CB26" s="3768">
        <f ca="1">IF('Q1'!CE249&lt;&gt;"",'Q1'!CE249,"n.a.")</f>
        <v>97.7</v>
      </c>
      <c r="CC26" s="3768">
        <f ca="1">IF('Q1'!CF249&lt;&gt;"",'Q1'!CF249,"n.a.")</f>
        <v>98.766666666666666</v>
      </c>
      <c r="CD26" s="3768">
        <f ca="1">IF('Q1'!CG249&lt;&gt;"",'Q1'!CG249,"n.a.")</f>
        <v>98.776666666666657</v>
      </c>
      <c r="CE26" s="3768">
        <f ca="1">IF('Q1'!CH249&lt;&gt;"",'Q1'!CH249,"n.a.")</f>
        <v>98.483333333333334</v>
      </c>
      <c r="CF26" s="3768">
        <f ca="1">IF('Q1'!CI249&lt;&gt;"",'Q1'!CI249,"n.a.")</f>
        <v>98.95</v>
      </c>
      <c r="CG26" s="3768">
        <f ca="1">IF('Q1'!CJ249&lt;&gt;"",'Q1'!CJ249,"n.a.")</f>
        <v>99.963333333333324</v>
      </c>
      <c r="CH26" s="3768">
        <f ca="1">IF('Q1'!CK249&lt;&gt;"",'Q1'!CK249,"n.a.")</f>
        <v>100.15666666666668</v>
      </c>
      <c r="CI26" s="3768">
        <f ca="1">IF('Q1'!CL249&lt;&gt;"",'Q1'!CL249,"n.a.")</f>
        <v>100.92666666666666</v>
      </c>
      <c r="CJ26" s="3768">
        <f ca="1">IF('Q1'!CM249&lt;&gt;"",'Q1'!CM249,"n.a.")</f>
        <v>102.71</v>
      </c>
      <c r="CK26" s="3768">
        <f ca="1">IF('Q1'!CN249&lt;&gt;"",'Q1'!CN249,"n.a.")</f>
        <v>103.81</v>
      </c>
      <c r="CL26" s="3768">
        <f ca="1">IF('Q1'!CO249&lt;&gt;"",'Q1'!CO249,"n.a.")</f>
        <v>103.66000000000001</v>
      </c>
      <c r="CM26" s="3768">
        <f ca="1">IF('Q1'!CP249&lt;&gt;"",'Q1'!CP249,"n.a.")</f>
        <v>103.62666666666667</v>
      </c>
      <c r="CN26" s="3768">
        <f ca="1">IF('Q1'!CQ249&lt;&gt;"",'Q1'!CQ249,"n.a.")</f>
        <v>104.31</v>
      </c>
      <c r="CO26" s="3768">
        <f ca="1">IF('Q1'!CR249&lt;&gt;"",'Q1'!CR249,"n.a.")</f>
        <v>105.75666666666666</v>
      </c>
      <c r="CP26" s="3768">
        <f ca="1">IF('Q1'!CS249&lt;&gt;"",'Q1'!CS249,"n.a.")</f>
        <v>106.25333333333333</v>
      </c>
      <c r="CQ26" s="3768">
        <f ca="1">IF('Q1'!CT249&lt;&gt;"",'Q1'!CT249,"n.a.")</f>
        <v>106.35666666666667</v>
      </c>
      <c r="CR26" s="3768">
        <f ca="1">IF('Q1'!CU249&lt;&gt;"",'Q1'!CU249,"n.a.")</f>
        <v>108.07666666666667</v>
      </c>
      <c r="CS26" s="3768">
        <f ca="1">IF('Q1'!CV249&lt;&gt;"",'Q1'!CV249,"n.a.")</f>
        <v>109.0707071026706</v>
      </c>
      <c r="CT26" s="3768">
        <f ca="1">IF('Q1'!CW249&lt;&gt;"",'Q1'!CW249,"n.a.")</f>
        <v>109.44112178630569</v>
      </c>
      <c r="CU26" s="3768">
        <f ca="1">IF('Q1'!CX249&lt;&gt;"",'Q1'!CX249,"n.a.")</f>
        <v>108.52923158581966</v>
      </c>
      <c r="CV26" s="3768">
        <f ca="1">IF('Q1'!CY249&lt;&gt;"",'Q1'!CY249,"n.a.")</f>
        <v>109.1536714775845</v>
      </c>
      <c r="CW26" s="3768">
        <f ca="1">IF('Q1'!CZ249&lt;&gt;"",'Q1'!CZ249,"n.a.")</f>
        <v>110.31975409437754</v>
      </c>
      <c r="CX26" s="3768">
        <f ca="1">IF('Q1'!DA249&lt;&gt;"",'Q1'!DA249,"n.a.")</f>
        <v>112.80619209248793</v>
      </c>
      <c r="CY26" s="3768">
        <f ca="1">IF('Q1'!DB249&lt;&gt;"",'Q1'!DB249,"n.a.")</f>
        <v>113.66850107609547</v>
      </c>
    </row>
    <row r="27" spans="1:103">
      <c r="A27" s="3768" t="str">
        <f t="shared" si="1"/>
        <v>\\DG ECFIN\Forecast\Country databases\Desk transfer databases\BE</v>
      </c>
      <c r="B27" s="3768" t="str">
        <f t="shared" si="2"/>
        <v>BE</v>
      </c>
      <c r="C27" s="3768" t="s">
        <v>2362</v>
      </c>
      <c r="D27" s="3768" t="s">
        <v>2295</v>
      </c>
      <c r="E27" s="3768" t="s">
        <v>2492</v>
      </c>
      <c r="F27" s="3768">
        <v>170</v>
      </c>
      <c r="G27" s="3768" t="s">
        <v>754</v>
      </c>
      <c r="H27" s="3768" t="str">
        <f>IF('Q1'!K282&lt;&gt;"",'Q1'!K282,"n.a.")</f>
        <v>n.a.</v>
      </c>
      <c r="I27" s="3768" t="str">
        <f>IF('Q1'!L282&lt;&gt;"",'Q1'!L282,"n.a.")</f>
        <v>n.a.</v>
      </c>
      <c r="J27" s="3768" t="str">
        <f>IF('Q1'!M282&lt;&gt;"",'Q1'!M282,"n.a.")</f>
        <v>n.a.</v>
      </c>
      <c r="K27" s="3768" t="str">
        <f>IF('Q1'!N282&lt;&gt;"",'Q1'!N282,"n.a.")</f>
        <v>n.a.</v>
      </c>
      <c r="L27" s="3768">
        <f>IF('Q1'!O248&lt;&gt;"",'Q1'!O248,"n.a.")</f>
        <v>67.066666666666663</v>
      </c>
      <c r="M27" s="3768">
        <f>IF('Q1'!P248&lt;&gt;"",'Q1'!P248,"n.a.")</f>
        <v>69.24666666666667</v>
      </c>
      <c r="N27" s="3768">
        <f>IF('Q1'!Q248&lt;&gt;"",'Q1'!Q248,"n.a.")</f>
        <v>69.149999999999991</v>
      </c>
      <c r="O27" s="3768">
        <f>IF('Q1'!R248&lt;&gt;"",'Q1'!R248,"n.a.")</f>
        <v>68.443333333333328</v>
      </c>
      <c r="P27" s="3768">
        <f>IF('Q1'!S248&lt;&gt;"",'Q1'!S248,"n.a.")</f>
        <v>68.606666666666669</v>
      </c>
      <c r="Q27" s="3768">
        <f>IF('Q1'!T248&lt;&gt;"",'Q1'!T248,"n.a.")</f>
        <v>71.646666666666661</v>
      </c>
      <c r="R27" s="3768">
        <f>IF('Q1'!U248&lt;&gt;"",'Q1'!U248,"n.a.")</f>
        <v>70.223333333333343</v>
      </c>
      <c r="S27" s="3768">
        <f>IF('Q1'!V248&lt;&gt;"",'Q1'!V248,"n.a.")</f>
        <v>69.413333333333341</v>
      </c>
      <c r="T27" s="3768">
        <f ca="1">IF('Q1'!W248&lt;&gt;"",'Q1'!W248,"n.a.")</f>
        <v>70.793333333333337</v>
      </c>
      <c r="U27" s="3768">
        <f ca="1">IF('Q1'!X248&lt;&gt;"",'Q1'!X248,"n.a.")</f>
        <v>71.733333333333334</v>
      </c>
      <c r="V27" s="3768">
        <f ca="1">IF('Q1'!Y248&lt;&gt;"",'Q1'!Y248,"n.a.")</f>
        <v>68.709999999999994</v>
      </c>
      <c r="W27" s="3768">
        <f ca="1">IF('Q1'!Z248&lt;&gt;"",'Q1'!Z248,"n.a.")</f>
        <v>68.726666666666674</v>
      </c>
      <c r="X27" s="3768">
        <f ca="1">IF('Q1'!AA248&lt;&gt;"",'Q1'!AA248,"n.a.")</f>
        <v>68.663333333333341</v>
      </c>
      <c r="Y27" s="3768">
        <f ca="1">IF('Q1'!AB248&lt;&gt;"",'Q1'!AB248,"n.a.")</f>
        <v>70.756666666666661</v>
      </c>
      <c r="Z27" s="3768">
        <f ca="1">IF('Q1'!AC248&lt;&gt;"",'Q1'!AC248,"n.a.")</f>
        <v>70.723333333333343</v>
      </c>
      <c r="AA27" s="3768">
        <f ca="1">IF('Q1'!AD248&lt;&gt;"",'Q1'!AD248,"n.a.")</f>
        <v>70.483333333333334</v>
      </c>
      <c r="AB27" s="3768">
        <f ca="1">IF('Q1'!AE248&lt;&gt;"",'Q1'!AE248,"n.a.")</f>
        <v>71.64</v>
      </c>
      <c r="AC27" s="3768">
        <f ca="1">IF('Q1'!AF248&lt;&gt;"",'Q1'!AF248,"n.a.")</f>
        <v>76.733333333333334</v>
      </c>
      <c r="AD27" s="3768">
        <f ca="1">IF('Q1'!AG248&lt;&gt;"",'Q1'!AG248,"n.a.")</f>
        <v>75.783333333333346</v>
      </c>
      <c r="AE27" s="3768">
        <f ca="1">IF('Q1'!AH248&lt;&gt;"",'Q1'!AH248,"n.a.")</f>
        <v>75.913333333333341</v>
      </c>
      <c r="AF27" s="3768">
        <f ca="1">IF('Q1'!AI248&lt;&gt;"",'Q1'!AI248,"n.a.")</f>
        <v>78.089999999999989</v>
      </c>
      <c r="AG27" s="3768">
        <f ca="1">IF('Q1'!AJ248&lt;&gt;"",'Q1'!AJ248,"n.a.")</f>
        <v>78.206666666666663</v>
      </c>
      <c r="AH27" s="3768">
        <f ca="1">IF('Q1'!AK248&lt;&gt;"",'Q1'!AK248,"n.a.")</f>
        <v>76.986666666666679</v>
      </c>
      <c r="AI27" s="3768">
        <f ca="1">IF('Q1'!AL248&lt;&gt;"",'Q1'!AL248,"n.a.")</f>
        <v>76.416666666666671</v>
      </c>
      <c r="AJ27" s="3768">
        <f ca="1">IF('Q1'!AM248&lt;&gt;"",'Q1'!AM248,"n.a.")</f>
        <v>77.5</v>
      </c>
      <c r="AK27" s="3768">
        <f ca="1">IF('Q1'!AN248&lt;&gt;"",'Q1'!AN248,"n.a.")</f>
        <v>78.903333333333336</v>
      </c>
      <c r="AL27" s="3768">
        <f ca="1">IF('Q1'!AO248&lt;&gt;"",'Q1'!AO248,"n.a.")</f>
        <v>80.06</v>
      </c>
      <c r="AM27" s="3768">
        <f ca="1">IF('Q1'!AP248&lt;&gt;"",'Q1'!AP248,"n.a.")</f>
        <v>78.536666666666676</v>
      </c>
      <c r="AN27" s="3768">
        <f ca="1">IF('Q1'!AQ248&lt;&gt;"",'Q1'!AQ248,"n.a.")</f>
        <v>78.893333333333331</v>
      </c>
      <c r="AO27" s="3768">
        <f ca="1">IF('Q1'!AR248&lt;&gt;"",'Q1'!AR248,"n.a.")</f>
        <v>80.52</v>
      </c>
      <c r="AP27" s="3768">
        <f ca="1">IF('Q1'!AS248&lt;&gt;"",'Q1'!AS248,"n.a.")</f>
        <v>79.166666666666671</v>
      </c>
      <c r="AQ27" s="3768">
        <f ca="1">IF('Q1'!AT248&lt;&gt;"",'Q1'!AT248,"n.a.")</f>
        <v>79.303333333333342</v>
      </c>
      <c r="AR27" s="3768">
        <f ca="1">IF('Q1'!AU248&lt;&gt;"",'Q1'!AU248,"n.a.")</f>
        <v>80.213333333333324</v>
      </c>
      <c r="AS27" s="3768">
        <f ca="1">IF('Q1'!AV248&lt;&gt;"",'Q1'!AV248,"n.a.")</f>
        <v>82.193333333333328</v>
      </c>
      <c r="AT27" s="3768">
        <f ca="1">IF('Q1'!AW248&lt;&gt;"",'Q1'!AW248,"n.a.")</f>
        <v>80.393333333333331</v>
      </c>
      <c r="AU27" s="3768">
        <f ca="1">IF('Q1'!AX248&lt;&gt;"",'Q1'!AX248,"n.a.")</f>
        <v>80.446666666666673</v>
      </c>
      <c r="AV27" s="3768">
        <f ca="1">IF('Q1'!AY248&lt;&gt;"",'Q1'!AY248,"n.a.")</f>
        <v>81.64</v>
      </c>
      <c r="AW27" s="3768">
        <f ca="1">IF('Q1'!AZ248&lt;&gt;"",'Q1'!AZ248,"n.a.")</f>
        <v>83.373333333333335</v>
      </c>
      <c r="AX27" s="3768">
        <f ca="1">IF('Q1'!BA248&lt;&gt;"",'Q1'!BA248,"n.a.")</f>
        <v>83.876666666666665</v>
      </c>
      <c r="AY27" s="3768">
        <f ca="1">IF('Q1'!BB248&lt;&gt;"",'Q1'!BB248,"n.a.")</f>
        <v>84.836666666666659</v>
      </c>
      <c r="AZ27" s="3768">
        <f ca="1">IF('Q1'!BC248&lt;&gt;"",'Q1'!BC248,"n.a.")</f>
        <v>85.406666666666652</v>
      </c>
      <c r="BA27" s="3768">
        <f ca="1">IF('Q1'!BD248&lt;&gt;"",'Q1'!BD248,"n.a.")</f>
        <v>86.27</v>
      </c>
      <c r="BB27" s="3768">
        <f ca="1">IF('Q1'!BE248&lt;&gt;"",'Q1'!BE248,"n.a.")</f>
        <v>85.483333333333348</v>
      </c>
      <c r="BC27" s="3768">
        <f ca="1">IF('Q1'!BF248&lt;&gt;"",'Q1'!BF248,"n.a.")</f>
        <v>86.61666666666666</v>
      </c>
      <c r="BD27" s="3768">
        <f ca="1">IF('Q1'!BG248&lt;&gt;"",'Q1'!BG248,"n.a.")</f>
        <v>86.81</v>
      </c>
      <c r="BE27" s="3768">
        <f ca="1">IF('Q1'!BH248&lt;&gt;"",'Q1'!BH248,"n.a.")</f>
        <v>89.089999999999989</v>
      </c>
      <c r="BF27" s="3768">
        <f ca="1">IF('Q1'!BI248&lt;&gt;"",'Q1'!BI248,"n.a.")</f>
        <v>88.816666666666663</v>
      </c>
      <c r="BG27" s="3768">
        <f ca="1">IF('Q1'!BJ248&lt;&gt;"",'Q1'!BJ248,"n.a.")</f>
        <v>88.586666666666659</v>
      </c>
      <c r="BH27" s="3768">
        <f ca="1">IF('Q1'!BK248&lt;&gt;"",'Q1'!BK248,"n.a.")</f>
        <v>90.256666666666661</v>
      </c>
      <c r="BI27" s="3768">
        <f ca="1">IF('Q1'!BL248&lt;&gt;"",'Q1'!BL248,"n.a.")</f>
        <v>89.706666666666663</v>
      </c>
      <c r="BJ27" s="3768">
        <f ca="1">IF('Q1'!BM248&lt;&gt;"",'Q1'!BM248,"n.a.")</f>
        <v>87.029999999999987</v>
      </c>
      <c r="BK27" s="3768">
        <f ca="1">IF('Q1'!BN248&lt;&gt;"",'Q1'!BN248,"n.a.")</f>
        <v>87.573333333333338</v>
      </c>
      <c r="BL27" s="3768">
        <f ca="1">IF('Q1'!BO248&lt;&gt;"",'Q1'!BO248,"n.a.")</f>
        <v>91.719999999999985</v>
      </c>
      <c r="BM27" s="3768">
        <f ca="1">IF('Q1'!BP248&lt;&gt;"",'Q1'!BP248,"n.a.")</f>
        <v>92.213333333333324</v>
      </c>
      <c r="BN27" s="3768">
        <f ca="1">IF('Q1'!BQ248&lt;&gt;"",'Q1'!BQ248,"n.a.")</f>
        <v>91.339999999999989</v>
      </c>
      <c r="BO27" s="3768">
        <f ca="1">IF('Q1'!BR248&lt;&gt;"",'Q1'!BR248,"n.a.")</f>
        <v>91.796666666666667</v>
      </c>
      <c r="BP27" s="3768">
        <f ca="1">IF('Q1'!BS248&lt;&gt;"",'Q1'!BS248,"n.a.")</f>
        <v>92.663333333333341</v>
      </c>
      <c r="BQ27" s="3768">
        <f ca="1">IF('Q1'!BT248&lt;&gt;"",'Q1'!BT248,"n.a.")</f>
        <v>92.083333333333329</v>
      </c>
      <c r="BR27" s="3768">
        <f ca="1">IF('Q1'!BU248&lt;&gt;"",'Q1'!BU248,"n.a.")</f>
        <v>91.00333333333333</v>
      </c>
      <c r="BS27" s="3768">
        <f ca="1">IF('Q1'!BV248&lt;&gt;"",'Q1'!BV248,"n.a.")</f>
        <v>92.15333333333335</v>
      </c>
      <c r="BT27" s="3768">
        <f ca="1">IF('Q1'!BW248&lt;&gt;"",'Q1'!BW248,"n.a.")</f>
        <v>94.24666666666667</v>
      </c>
      <c r="BU27" s="3768">
        <f ca="1">IF('Q1'!BX248&lt;&gt;"",'Q1'!BX248,"n.a.")</f>
        <v>94.846666666666678</v>
      </c>
      <c r="BV27" s="3768">
        <f ca="1">IF('Q1'!BY248&lt;&gt;"",'Q1'!BY248,"n.a.")</f>
        <v>94.7</v>
      </c>
      <c r="BW27" s="3768">
        <f ca="1">IF('Q1'!BZ248&lt;&gt;"",'Q1'!BZ248,"n.a.")</f>
        <v>96.603333333333339</v>
      </c>
      <c r="BX27" s="3768">
        <f ca="1">IF('Q1'!CA248&lt;&gt;"",'Q1'!CA248,"n.a.")</f>
        <v>98.696666666666673</v>
      </c>
      <c r="BY27" s="3768">
        <f ca="1">IF('Q1'!CB248&lt;&gt;"",'Q1'!CB248,"n.a.")</f>
        <v>101.25</v>
      </c>
      <c r="BZ27" s="3768">
        <f ca="1">IF('Q1'!CC248&lt;&gt;"",'Q1'!CC248,"n.a.")</f>
        <v>98.836666666666659</v>
      </c>
      <c r="CA27" s="3768">
        <f ca="1">IF('Q1'!CD248&lt;&gt;"",'Q1'!CD248,"n.a.")</f>
        <v>98.203333333333333</v>
      </c>
      <c r="CB27" s="3768">
        <f ca="1">IF('Q1'!CE248&lt;&gt;"",'Q1'!CE248,"n.a.")</f>
        <v>99.160000000000011</v>
      </c>
      <c r="CC27" s="3768">
        <f ca="1">IF('Q1'!CF248&lt;&gt;"",'Q1'!CF248,"n.a.")</f>
        <v>99.466666666666683</v>
      </c>
      <c r="CD27" s="3768">
        <f ca="1">IF('Q1'!CG248&lt;&gt;"",'Q1'!CG248,"n.a.")</f>
        <v>96.96</v>
      </c>
      <c r="CE27" s="3768">
        <f ca="1">IF('Q1'!CH248&lt;&gt;"",'Q1'!CH248,"n.a.")</f>
        <v>96.143333333333331</v>
      </c>
      <c r="CF27" s="3768">
        <f ca="1">IF('Q1'!CI248&lt;&gt;"",'Q1'!CI248,"n.a.")</f>
        <v>98.25</v>
      </c>
      <c r="CG27" s="3768">
        <f ca="1">IF('Q1'!CJ248&lt;&gt;"",'Q1'!CJ248,"n.a.")</f>
        <v>101.77666666666666</v>
      </c>
      <c r="CH27" s="3768">
        <f ca="1">IF('Q1'!CK248&lt;&gt;"",'Q1'!CK248,"n.a.")</f>
        <v>99.79</v>
      </c>
      <c r="CI27" s="3768">
        <f ca="1">IF('Q1'!CL248&lt;&gt;"",'Q1'!CL248,"n.a.")</f>
        <v>100.18666666666667</v>
      </c>
      <c r="CJ27" s="3768">
        <f ca="1">IF('Q1'!CM248&lt;&gt;"",'Q1'!CM248,"n.a.")</f>
        <v>101.40333333333332</v>
      </c>
      <c r="CK27" s="3768">
        <f ca="1">IF('Q1'!CN248&lt;&gt;"",'Q1'!CN248,"n.a.")</f>
        <v>104.41333333333334</v>
      </c>
      <c r="CL27" s="3768">
        <f ca="1">IF('Q1'!CO248&lt;&gt;"",'Q1'!CO248,"n.a.")</f>
        <v>102.21333333333332</v>
      </c>
      <c r="CM27" s="3768">
        <f ca="1">IF('Q1'!CP248&lt;&gt;"",'Q1'!CP248,"n.a.")</f>
        <v>102.22333333333331</v>
      </c>
      <c r="CN27" s="3768">
        <f ca="1">IF('Q1'!CQ248&lt;&gt;"",'Q1'!CQ248,"n.a.")</f>
        <v>103.48666666666668</v>
      </c>
      <c r="CO27" s="3768">
        <f ca="1">IF('Q1'!CR248&lt;&gt;"",'Q1'!CR248,"n.a.")</f>
        <v>102.97333333333334</v>
      </c>
      <c r="CP27" s="3768">
        <f ca="1">IF('Q1'!CS248&lt;&gt;"",'Q1'!CS248,"n.a.")</f>
        <v>101.70333333333333</v>
      </c>
      <c r="CQ27" s="3768">
        <f ca="1">IF('Q1'!CT248&lt;&gt;"",'Q1'!CT248,"n.a.")</f>
        <v>102.37333333333333</v>
      </c>
      <c r="CR27" s="3768">
        <f ca="1">IF('Q1'!CU248&lt;&gt;"",'Q1'!CU248,"n.a.")</f>
        <v>103.75</v>
      </c>
      <c r="CS27" s="3768">
        <f ca="1">IF('Q1'!CV248&lt;&gt;"",'Q1'!CV248,"n.a.")</f>
        <v>105.40503508461541</v>
      </c>
      <c r="CT27" s="3768">
        <f ca="1">IF('Q1'!CW248&lt;&gt;"",'Q1'!CW248,"n.a.")</f>
        <v>104.88002234940066</v>
      </c>
      <c r="CU27" s="3768">
        <f ca="1">IF('Q1'!CX248&lt;&gt;"",'Q1'!CX248,"n.a.")</f>
        <v>105.99795981291277</v>
      </c>
      <c r="CV27" s="3768">
        <f ca="1">IF('Q1'!CY248&lt;&gt;"",'Q1'!CY248,"n.a.")</f>
        <v>108.08124389129937</v>
      </c>
      <c r="CW27" s="3768">
        <f ca="1">IF('Q1'!CZ248&lt;&gt;"",'Q1'!CZ248,"n.a.")</f>
        <v>107.89742954990083</v>
      </c>
      <c r="CX27" s="3768">
        <f ca="1">IF('Q1'!DA248&lt;&gt;"",'Q1'!DA248,"n.a.")</f>
        <v>106.67579735640787</v>
      </c>
      <c r="CY27" s="3768">
        <f ca="1">IF('Q1'!DB248&lt;&gt;"",'Q1'!DB248,"n.a.")</f>
        <v>107.56410963150704</v>
      </c>
    </row>
    <row r="28" spans="1:103">
      <c r="A28" s="3768" t="str">
        <f t="shared" si="1"/>
        <v>\\DG ECFIN\Forecast\Country databases\Desk transfer databases\BE</v>
      </c>
      <c r="B28" s="3768" t="str">
        <f t="shared" si="2"/>
        <v>BE</v>
      </c>
      <c r="C28" s="3768" t="s">
        <v>2362</v>
      </c>
      <c r="D28" s="3768" t="s">
        <v>2296</v>
      </c>
      <c r="E28" s="3768" t="s">
        <v>2492</v>
      </c>
      <c r="F28" s="3768">
        <v>171</v>
      </c>
      <c r="G28" s="3768" t="s">
        <v>755</v>
      </c>
      <c r="H28" s="3768" t="str">
        <f>IF('Q1'!K284&lt;&gt;"",'Q1'!K284,"n.a.")</f>
        <v>n.a.</v>
      </c>
      <c r="I28" s="3768" t="str">
        <f>IF('Q1'!L284&lt;&gt;"",'Q1'!L284,"n.a.")</f>
        <v>n.a.</v>
      </c>
      <c r="J28" s="3768" t="str">
        <f>IF('Q1'!M284&lt;&gt;"",'Q1'!M284,"n.a.")</f>
        <v>n.a.</v>
      </c>
      <c r="K28" s="3768" t="str">
        <f>IF('Q1'!N284&lt;&gt;"",'Q1'!N284,"n.a.")</f>
        <v>n.a.</v>
      </c>
      <c r="L28" s="3768">
        <f>IF('Q1'!O250&lt;&gt;"",'Q1'!O250,"n.a.")</f>
        <v>68.67</v>
      </c>
      <c r="M28" s="3768">
        <f>IF('Q1'!P250&lt;&gt;"",'Q1'!P250,"n.a.")</f>
        <v>68.990000000000009</v>
      </c>
      <c r="N28" s="3768">
        <f>IF('Q1'!Q250&lt;&gt;"",'Q1'!Q250,"n.a.")</f>
        <v>69.193333333333328</v>
      </c>
      <c r="O28" s="3768">
        <f>IF('Q1'!R250&lt;&gt;"",'Q1'!R250,"n.a.")</f>
        <v>69.186666666666667</v>
      </c>
      <c r="P28" s="3768">
        <f>IF('Q1'!S250&lt;&gt;"",'Q1'!S250,"n.a.")</f>
        <v>69.796666666666667</v>
      </c>
      <c r="Q28" s="3768">
        <f>IF('Q1'!T250&lt;&gt;"",'Q1'!T250,"n.a.")</f>
        <v>70</v>
      </c>
      <c r="R28" s="3768">
        <f>IF('Q1'!U250&lt;&gt;"",'Q1'!U250,"n.a.")</f>
        <v>70.493333333333339</v>
      </c>
      <c r="S28" s="3768">
        <f>IF('Q1'!V250&lt;&gt;"",'Q1'!V250,"n.a.")</f>
        <v>70.306666666666672</v>
      </c>
      <c r="T28" s="3768">
        <f ca="1">IF('Q1'!W250&lt;&gt;"",'Q1'!W250,"n.a.")</f>
        <v>70.789999999999992</v>
      </c>
      <c r="U28" s="3768">
        <f ca="1">IF('Q1'!X250&lt;&gt;"",'Q1'!X250,"n.a.")</f>
        <v>71.073333333333338</v>
      </c>
      <c r="V28" s="3768">
        <f ca="1">IF('Q1'!Y250&lt;&gt;"",'Q1'!Y250,"n.a.")</f>
        <v>71.423333333333332</v>
      </c>
      <c r="W28" s="3768">
        <f ca="1">IF('Q1'!Z250&lt;&gt;"",'Q1'!Z250,"n.a.")</f>
        <v>71.58</v>
      </c>
      <c r="X28" s="3768">
        <f ca="1">IF('Q1'!AA250&lt;&gt;"",'Q1'!AA250,"n.a.")</f>
        <v>72.25</v>
      </c>
      <c r="Y28" s="3768">
        <f ca="1">IF('Q1'!AB250&lt;&gt;"",'Q1'!AB250,"n.a.")</f>
        <v>72.750000000000014</v>
      </c>
      <c r="Z28" s="3768">
        <f ca="1">IF('Q1'!AC250&lt;&gt;"",'Q1'!AC250,"n.a.")</f>
        <v>73.416666666666671</v>
      </c>
      <c r="AA28" s="3768">
        <f ca="1">IF('Q1'!AD250&lt;&gt;"",'Q1'!AD250,"n.a.")</f>
        <v>72.906666666666652</v>
      </c>
      <c r="AB28" s="3768">
        <f ca="1">IF('Q1'!AE250&lt;&gt;"",'Q1'!AE250,"n.a.")</f>
        <v>73.333333333333329</v>
      </c>
      <c r="AC28" s="3768">
        <f ca="1">IF('Q1'!AF250&lt;&gt;"",'Q1'!AF250,"n.a.")</f>
        <v>73.98</v>
      </c>
      <c r="AD28" s="3768">
        <f ca="1">IF('Q1'!AG250&lt;&gt;"",'Q1'!AG250,"n.a.")</f>
        <v>74.88666666666667</v>
      </c>
      <c r="AE28" s="3768">
        <f ca="1">IF('Q1'!AH250&lt;&gt;"",'Q1'!AH250,"n.a.")</f>
        <v>75.093333333333334</v>
      </c>
      <c r="AF28" s="3768">
        <f ca="1">IF('Q1'!AI250&lt;&gt;"",'Q1'!AI250,"n.a.")</f>
        <v>75.893333333333331</v>
      </c>
      <c r="AG28" s="3768">
        <f ca="1">IF('Q1'!AJ250&lt;&gt;"",'Q1'!AJ250,"n.a.")</f>
        <v>75.970000000000013</v>
      </c>
      <c r="AH28" s="3768">
        <f ca="1">IF('Q1'!AK250&lt;&gt;"",'Q1'!AK250,"n.a.")</f>
        <v>76.826666666666668</v>
      </c>
      <c r="AI28" s="3768">
        <f ca="1">IF('Q1'!AL250&lt;&gt;"",'Q1'!AL250,"n.a.")</f>
        <v>76.303333333333327</v>
      </c>
      <c r="AJ28" s="3768">
        <f ca="1">IF('Q1'!AM250&lt;&gt;"",'Q1'!AM250,"n.a.")</f>
        <v>76.790000000000006</v>
      </c>
      <c r="AK28" s="3768">
        <f ca="1">IF('Q1'!AN250&lt;&gt;"",'Q1'!AN250,"n.a.")</f>
        <v>77.64</v>
      </c>
      <c r="AL28" s="3768">
        <f ca="1">IF('Q1'!AO250&lt;&gt;"",'Q1'!AO250,"n.a.")</f>
        <v>78.2</v>
      </c>
      <c r="AM28" s="3768">
        <f ca="1">IF('Q1'!AP250&lt;&gt;"",'Q1'!AP250,"n.a.")</f>
        <v>78.13666666666667</v>
      </c>
      <c r="AN28" s="3768">
        <f ca="1">IF('Q1'!AQ250&lt;&gt;"",'Q1'!AQ250,"n.a.")</f>
        <v>78.540000000000006</v>
      </c>
      <c r="AO28" s="3768">
        <f ca="1">IF('Q1'!AR250&lt;&gt;"",'Q1'!AR250,"n.a.")</f>
        <v>79.2</v>
      </c>
      <c r="AP28" s="3768">
        <f ca="1">IF('Q1'!AS250&lt;&gt;"",'Q1'!AS250,"n.a.")</f>
        <v>79.92</v>
      </c>
      <c r="AQ28" s="3768">
        <f ca="1">IF('Q1'!AT250&lt;&gt;"",'Q1'!AT250,"n.a.")</f>
        <v>79.69</v>
      </c>
      <c r="AR28" s="3768">
        <f ca="1">IF('Q1'!AU250&lt;&gt;"",'Q1'!AU250,"n.a.")</f>
        <v>80.37</v>
      </c>
      <c r="AS28" s="3768">
        <f ca="1">IF('Q1'!AV250&lt;&gt;"",'Q1'!AV250,"n.a.")</f>
        <v>80.660000000000011</v>
      </c>
      <c r="AT28" s="3768">
        <f ca="1">IF('Q1'!AW250&lt;&gt;"",'Q1'!AW250,"n.a.")</f>
        <v>81.563333333333333</v>
      </c>
      <c r="AU28" s="3768">
        <f ca="1">IF('Q1'!AX250&lt;&gt;"",'Q1'!AX250,"n.a.")</f>
        <v>81.48</v>
      </c>
      <c r="AV28" s="3768">
        <f ca="1">IF('Q1'!AY250&lt;&gt;"",'Q1'!AY250,"n.a.")</f>
        <v>81.976666666666674</v>
      </c>
      <c r="AW28" s="3768">
        <f ca="1">IF('Q1'!AZ250&lt;&gt;"",'Q1'!AZ250,"n.a.")</f>
        <v>82.463333333333324</v>
      </c>
      <c r="AX28" s="3768">
        <f ca="1">IF('Q1'!BA250&lt;&gt;"",'Q1'!BA250,"n.a.")</f>
        <v>83.42</v>
      </c>
      <c r="AY28" s="3768">
        <f ca="1">IF('Q1'!BB250&lt;&gt;"",'Q1'!BB250,"n.a.")</f>
        <v>82.923333333333346</v>
      </c>
      <c r="AZ28" s="3768">
        <f ca="1">IF('Q1'!BC250&lt;&gt;"",'Q1'!BC250,"n.a.")</f>
        <v>83.626666666666665</v>
      </c>
      <c r="BA28" s="3768">
        <f ca="1">IF('Q1'!BD250&lt;&gt;"",'Q1'!BD250,"n.a.")</f>
        <v>84.226666666666674</v>
      </c>
      <c r="BB28" s="3768">
        <f ca="1">IF('Q1'!BE250&lt;&gt;"",'Q1'!BE250,"n.a.")</f>
        <v>84.916666666666671</v>
      </c>
      <c r="BC28" s="3768">
        <f ca="1">IF('Q1'!BF250&lt;&gt;"",'Q1'!BF250,"n.a.")</f>
        <v>84.316666666666663</v>
      </c>
      <c r="BD28" s="3768">
        <f ca="1">IF('Q1'!BG250&lt;&gt;"",'Q1'!BG250,"n.a.")</f>
        <v>85.016666666666666</v>
      </c>
      <c r="BE28" s="3768">
        <f ca="1">IF('Q1'!BH250&lt;&gt;"",'Q1'!BH250,"n.a.")</f>
        <v>85.56</v>
      </c>
      <c r="BF28" s="3768">
        <f ca="1">IF('Q1'!BI250&lt;&gt;"",'Q1'!BI250,"n.a.")</f>
        <v>87.12</v>
      </c>
      <c r="BG28" s="3768">
        <f ca="1">IF('Q1'!BJ250&lt;&gt;"",'Q1'!BJ250,"n.a.")</f>
        <v>87.02</v>
      </c>
      <c r="BH28" s="3768">
        <f ca="1">IF('Q1'!BK250&lt;&gt;"",'Q1'!BK250,"n.a.")</f>
        <v>87.58</v>
      </c>
      <c r="BI28" s="3768">
        <f ca="1">IF('Q1'!BL250&lt;&gt;"",'Q1'!BL250,"n.a.")</f>
        <v>88.25</v>
      </c>
      <c r="BJ28" s="3768">
        <f ca="1">IF('Q1'!BM250&lt;&gt;"",'Q1'!BM250,"n.a.")</f>
        <v>89.296666666666667</v>
      </c>
      <c r="BK28" s="3768">
        <f ca="1">IF('Q1'!BN250&lt;&gt;"",'Q1'!BN250,"n.a.")</f>
        <v>88.673333333333332</v>
      </c>
      <c r="BL28" s="3768">
        <f ca="1">IF('Q1'!BO250&lt;&gt;"",'Q1'!BO250,"n.a.")</f>
        <v>88.783333333333346</v>
      </c>
      <c r="BM28" s="3768">
        <f ca="1">IF('Q1'!BP250&lt;&gt;"",'Q1'!BP250,"n.a.")</f>
        <v>89.429999999999993</v>
      </c>
      <c r="BN28" s="3768">
        <f ca="1">IF('Q1'!BQ250&lt;&gt;"",'Q1'!BQ250,"n.a.")</f>
        <v>90.366666666666674</v>
      </c>
      <c r="BO28" s="3768">
        <f ca="1">IF('Q1'!BR250&lt;&gt;"",'Q1'!BR250,"n.a.")</f>
        <v>90.163333333333341</v>
      </c>
      <c r="BP28" s="3768">
        <f ca="1">IF('Q1'!BS250&lt;&gt;"",'Q1'!BS250,"n.a.")</f>
        <v>90.740000000000009</v>
      </c>
      <c r="BQ28" s="3768">
        <f ca="1">IF('Q1'!BT250&lt;&gt;"",'Q1'!BT250,"n.a.")</f>
        <v>91.06</v>
      </c>
      <c r="BR28" s="3768">
        <f ca="1">IF('Q1'!BU250&lt;&gt;"",'Q1'!BU250,"n.a.")</f>
        <v>92.08</v>
      </c>
      <c r="BS28" s="3768">
        <f ca="1">IF('Q1'!BV250&lt;&gt;"",'Q1'!BV250,"n.a.")</f>
        <v>91.763333333333335</v>
      </c>
      <c r="BT28" s="3768">
        <f ca="1">IF('Q1'!BW250&lt;&gt;"",'Q1'!BW250,"n.a.")</f>
        <v>93.016666666666652</v>
      </c>
      <c r="BU28" s="3768">
        <f ca="1">IF('Q1'!BX250&lt;&gt;"",'Q1'!BX250,"n.a.")</f>
        <v>93.393333333333331</v>
      </c>
      <c r="BV28" s="3768">
        <f ca="1">IF('Q1'!BY250&lt;&gt;"",'Q1'!BY250,"n.a.")</f>
        <v>94.433333333333337</v>
      </c>
      <c r="BW28" s="3768">
        <f ca="1">IF('Q1'!BZ250&lt;&gt;"",'Q1'!BZ250,"n.a.")</f>
        <v>94.08</v>
      </c>
      <c r="BX28" s="3768">
        <f ca="1">IF('Q1'!CA250&lt;&gt;"",'Q1'!CA250,"n.a.")</f>
        <v>94.693333333333328</v>
      </c>
      <c r="BY28" s="3768">
        <f ca="1">IF('Q1'!CB250&lt;&gt;"",'Q1'!CB250,"n.a.")</f>
        <v>94.95</v>
      </c>
      <c r="BZ28" s="3768">
        <f ca="1">IF('Q1'!CC250&lt;&gt;"",'Q1'!CC250,"n.a.")</f>
        <v>96.25</v>
      </c>
      <c r="CA28" s="3768">
        <f ca="1">IF('Q1'!CD250&lt;&gt;"",'Q1'!CD250,"n.a.")</f>
        <v>96.08</v>
      </c>
      <c r="CB28" s="3768">
        <f ca="1">IF('Q1'!CE250&lt;&gt;"",'Q1'!CE250,"n.a.")</f>
        <v>96.743333333333339</v>
      </c>
      <c r="CC28" s="3768">
        <f ca="1">IF('Q1'!CF250&lt;&gt;"",'Q1'!CF250,"n.a.")</f>
        <v>97.303333333333342</v>
      </c>
      <c r="CD28" s="3768">
        <f ca="1">IF('Q1'!CG250&lt;&gt;"",'Q1'!CG250,"n.a.")</f>
        <v>98.410000000000011</v>
      </c>
      <c r="CE28" s="3768">
        <f ca="1">IF('Q1'!CH250&lt;&gt;"",'Q1'!CH250,"n.a.")</f>
        <v>98.11</v>
      </c>
      <c r="CF28" s="3768">
        <f ca="1">IF('Q1'!CI250&lt;&gt;"",'Q1'!CI250,"n.a.")</f>
        <v>99.056666666666672</v>
      </c>
      <c r="CG28" s="3768">
        <f ca="1">IF('Q1'!CJ250&lt;&gt;"",'Q1'!CJ250,"n.a.")</f>
        <v>99.61</v>
      </c>
      <c r="CH28" s="3768">
        <f ca="1">IF('Q1'!CK250&lt;&gt;"",'Q1'!CK250,"n.a.")</f>
        <v>100.68333333333332</v>
      </c>
      <c r="CI28" s="3768">
        <f ca="1">IF('Q1'!CL250&lt;&gt;"",'Q1'!CL250,"n.a.")</f>
        <v>100.64999999999999</v>
      </c>
      <c r="CJ28" s="3768">
        <f ca="1">IF('Q1'!CM250&lt;&gt;"",'Q1'!CM250,"n.a.")</f>
        <v>101.38333333333334</v>
      </c>
      <c r="CK28" s="3768">
        <f ca="1">IF('Q1'!CN250&lt;&gt;"",'Q1'!CN250,"n.a.")</f>
        <v>102.02333333333333</v>
      </c>
      <c r="CL28" s="3768">
        <f ca="1">IF('Q1'!CO250&lt;&gt;"",'Q1'!CO250,"n.a.")</f>
        <v>103.05333333333333</v>
      </c>
      <c r="CM28" s="3768">
        <f ca="1">IF('Q1'!CP250&lt;&gt;"",'Q1'!CP250,"n.a.")</f>
        <v>102.46666666666665</v>
      </c>
      <c r="CN28" s="3768">
        <f ca="1">IF('Q1'!CQ250&lt;&gt;"",'Q1'!CQ250,"n.a.")</f>
        <v>103.24333333333334</v>
      </c>
      <c r="CO28" s="3768">
        <f ca="1">IF('Q1'!CR250&lt;&gt;"",'Q1'!CR250,"n.a.")</f>
        <v>103.99666666666667</v>
      </c>
      <c r="CP28" s="3768">
        <f ca="1">IF('Q1'!CS250&lt;&gt;"",'Q1'!CS250,"n.a.")</f>
        <v>105.07333333333334</v>
      </c>
      <c r="CQ28" s="3768">
        <f ca="1">IF('Q1'!CT250&lt;&gt;"",'Q1'!CT250,"n.a.")</f>
        <v>104.41333333333334</v>
      </c>
      <c r="CR28" s="3768">
        <f ca="1">IF('Q1'!CU250&lt;&gt;"",'Q1'!CU250,"n.a.")</f>
        <v>104.83333333333331</v>
      </c>
      <c r="CS28" s="3768">
        <f ca="1">IF('Q1'!CV250&lt;&gt;"",'Q1'!CV250,"n.a.")</f>
        <v>105.94632432369256</v>
      </c>
      <c r="CT28" s="3768">
        <f ca="1">IF('Q1'!CW250&lt;&gt;"",'Q1'!CW250,"n.a.")</f>
        <v>107.30770139841439</v>
      </c>
      <c r="CU28" s="3768">
        <f ca="1">IF('Q1'!CX250&lt;&gt;"",'Q1'!CX250,"n.a.")</f>
        <v>106.80207526819206</v>
      </c>
      <c r="CV28" s="3768">
        <f ca="1">IF('Q1'!CY250&lt;&gt;"",'Q1'!CY250,"n.a.")</f>
        <v>107.26799651274074</v>
      </c>
      <c r="CW28" s="3768">
        <f ca="1">IF('Q1'!CZ250&lt;&gt;"",'Q1'!CZ250,"n.a.")</f>
        <v>108.09889788181663</v>
      </c>
      <c r="CX28" s="3768">
        <f ca="1">IF('Q1'!DA250&lt;&gt;"",'Q1'!DA250,"n.a.")</f>
        <v>109.99667514239458</v>
      </c>
      <c r="CY28" s="3768">
        <f ca="1">IF('Q1'!DB250&lt;&gt;"",'Q1'!DB250,"n.a.")</f>
        <v>108.85704495139341</v>
      </c>
    </row>
  </sheetData>
  <protectedRanges>
    <protectedRange sqref="G5" name="Range1"/>
    <protectedRange sqref="G6" name="Range1_1"/>
  </protectedRanges>
  <pageMargins left="0.31" right="0.25" top="0.59055118110236227" bottom="0.55000000000000004" header="0.51181102362204722" footer="0.31"/>
  <pageSetup paperSize="9" scale="14" fitToHeight="9" orientation="landscape" horizontalDpi="1200" verticalDpi="1200" r:id="rId1"/>
  <headerFooter alignWithMargins="0">
    <oddFooter>&amp;L&amp;F  &amp;A&amp;CPage &amp;P</oddFooter>
  </headerFooter>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AN78"/>
  <sheetViews>
    <sheetView topLeftCell="A2" zoomScale="70" zoomScaleNormal="70" workbookViewId="0">
      <selection activeCell="K27" sqref="K27"/>
    </sheetView>
  </sheetViews>
  <sheetFormatPr defaultRowHeight="13.2"/>
  <cols>
    <col min="1" max="1" width="14.33203125" customWidth="1"/>
  </cols>
  <sheetData>
    <row r="3" spans="1:40">
      <c r="B3" s="4117">
        <v>2015</v>
      </c>
      <c r="C3" s="4118"/>
      <c r="D3" s="4118"/>
      <c r="E3" s="4119"/>
      <c r="F3" s="4117">
        <v>2016</v>
      </c>
      <c r="G3" s="4118"/>
      <c r="H3" s="4118"/>
      <c r="I3" s="4119"/>
      <c r="J3" s="4117">
        <v>2017</v>
      </c>
      <c r="K3" s="4118"/>
      <c r="L3" s="4118"/>
      <c r="M3" s="4119"/>
      <c r="N3" s="4117">
        <v>2018</v>
      </c>
      <c r="O3" s="4118"/>
      <c r="P3" s="4118"/>
      <c r="Q3" s="4119"/>
      <c r="R3" s="4117">
        <v>2019</v>
      </c>
      <c r="S3" s="4118"/>
      <c r="T3" s="4118"/>
      <c r="U3" s="4119"/>
    </row>
    <row r="4" spans="1:40">
      <c r="B4" s="1485" t="s">
        <v>364</v>
      </c>
      <c r="C4" s="1485" t="s">
        <v>671</v>
      </c>
      <c r="D4" s="1485" t="s">
        <v>672</v>
      </c>
      <c r="E4" s="1485" t="s">
        <v>673</v>
      </c>
      <c r="F4" s="1485" t="s">
        <v>364</v>
      </c>
      <c r="G4" s="1485" t="s">
        <v>671</v>
      </c>
      <c r="H4" s="1485" t="s">
        <v>672</v>
      </c>
      <c r="I4" s="1485" t="s">
        <v>673</v>
      </c>
      <c r="J4" s="1485" t="s">
        <v>364</v>
      </c>
      <c r="K4" s="1485" t="s">
        <v>671</v>
      </c>
      <c r="L4" s="1485" t="s">
        <v>672</v>
      </c>
      <c r="M4" s="1485" t="s">
        <v>673</v>
      </c>
      <c r="N4" s="1485" t="s">
        <v>364</v>
      </c>
      <c r="O4" s="1485" t="s">
        <v>671</v>
      </c>
      <c r="P4" s="1485" t="s">
        <v>672</v>
      </c>
      <c r="Q4" s="1485" t="s">
        <v>673</v>
      </c>
      <c r="R4" s="1485" t="s">
        <v>364</v>
      </c>
      <c r="S4" s="1485" t="s">
        <v>671</v>
      </c>
      <c r="T4" s="1485" t="s">
        <v>672</v>
      </c>
      <c r="U4" s="1485" t="s">
        <v>673</v>
      </c>
    </row>
    <row r="5" spans="1:40">
      <c r="A5" t="s">
        <v>398</v>
      </c>
      <c r="B5" s="3734">
        <f>SUM(B6:B9)</f>
        <v>0.41306464461687842</v>
      </c>
      <c r="C5" s="3734">
        <f t="shared" ref="C5:U5" si="0">SUM(C6:C9)</f>
        <v>0.46621416468329446</v>
      </c>
      <c r="D5" s="3734">
        <f t="shared" si="0"/>
        <v>5.8493785035337975E-2</v>
      </c>
      <c r="E5" s="3734">
        <f t="shared" si="0"/>
        <v>0.47839430993325749</v>
      </c>
      <c r="F5" s="3734">
        <f t="shared" si="0"/>
        <v>0.2783003316331446</v>
      </c>
      <c r="G5" s="3734">
        <f t="shared" si="0"/>
        <v>0.74071925193158683</v>
      </c>
      <c r="H5" s="3734">
        <f t="shared" si="0"/>
        <v>0.11038693018745249</v>
      </c>
      <c r="I5" s="3734">
        <f t="shared" si="0"/>
        <v>0.26080119661725942</v>
      </c>
      <c r="J5" s="3734">
        <f t="shared" si="0"/>
        <v>0.67325899431937608</v>
      </c>
      <c r="K5" s="3734">
        <f t="shared" si="0"/>
        <v>0.46548239702217797</v>
      </c>
      <c r="L5" s="3734">
        <f t="shared" si="0"/>
        <v>0.48419261799063606</v>
      </c>
      <c r="M5" s="3734">
        <f t="shared" si="0"/>
        <v>0.6012099704586098</v>
      </c>
      <c r="N5" s="3734">
        <f t="shared" si="0"/>
        <v>0.41039105410910171</v>
      </c>
      <c r="O5" s="3734">
        <f t="shared" si="0"/>
        <v>0.53081669638550766</v>
      </c>
      <c r="P5" s="3734">
        <f t="shared" si="0"/>
        <v>0.48686800151156118</v>
      </c>
      <c r="Q5" s="3734">
        <f t="shared" si="0"/>
        <v>0.48806190490574819</v>
      </c>
      <c r="R5" s="3734">
        <f t="shared" si="0"/>
        <v>0.4424631015140873</v>
      </c>
      <c r="S5" s="3734">
        <f t="shared" si="0"/>
        <v>0.41954953692421171</v>
      </c>
      <c r="T5" s="3734">
        <f t="shared" si="0"/>
        <v>0.31508661332821009</v>
      </c>
      <c r="U5" s="3734">
        <f t="shared" si="0"/>
        <v>0.27164621363329206</v>
      </c>
    </row>
    <row r="6" spans="1:40">
      <c r="A6" t="s">
        <v>2722</v>
      </c>
      <c r="B6" s="3734">
        <f>'Q1'!CI18+'Q1'!CI19</f>
        <v>-1.1801846989057566E-2</v>
      </c>
      <c r="C6" s="3734">
        <f>'Q1'!CJ18+'Q1'!CJ19</f>
        <v>0.14691622836658799</v>
      </c>
      <c r="D6" s="3734">
        <f>'Q1'!CK18+'Q1'!CK19</f>
        <v>1.2673653424320433E-2</v>
      </c>
      <c r="E6" s="3734">
        <f>'Q1'!CL18+'Q1'!CL19</f>
        <v>0.28645199006187533</v>
      </c>
      <c r="F6" s="3734">
        <f>'Q1'!CM18+'Q1'!CM19</f>
        <v>0.34520877373310282</v>
      </c>
      <c r="G6" s="3734">
        <f>'Q1'!CN18+'Q1'!CN19</f>
        <v>0.27075899548412641</v>
      </c>
      <c r="H6" s="3734">
        <f>'Q1'!CO18+'Q1'!CO19</f>
        <v>0.23229249656839696</v>
      </c>
      <c r="I6" s="3734">
        <f>'Q1'!CP18+'Q1'!CP19</f>
        <v>0.17834199474562693</v>
      </c>
      <c r="J6" s="3734">
        <f>'Q1'!CQ18+'Q1'!CQ19</f>
        <v>0.12241072623988519</v>
      </c>
      <c r="K6" s="3734">
        <f>'Q1'!CR18+'Q1'!CR19</f>
        <v>0.29354207436398116</v>
      </c>
      <c r="L6" s="3734">
        <f>'Q1'!CS18+'Q1'!CS19</f>
        <v>0.20047281323878022</v>
      </c>
      <c r="M6" s="3734">
        <f>'Q1'!CT18+'Q1'!CT19</f>
        <v>0.24916708351816638</v>
      </c>
      <c r="N6" s="3734">
        <f>'Q1'!CU18+'Q1'!CU19</f>
        <v>0.20786727632925181</v>
      </c>
      <c r="O6" s="3734">
        <f>'Q1'!CV18+'Q1'!CV19</f>
        <v>0.20859800319298449</v>
      </c>
      <c r="P6" s="3734">
        <f>'Q1'!CW18+'Q1'!CW19</f>
        <v>0.20907562337534016</v>
      </c>
      <c r="Q6" s="3734">
        <f>'Q1'!CX18+'Q1'!CX19</f>
        <v>0.20964111724226703</v>
      </c>
      <c r="R6" s="3734">
        <f>'Q1'!CY18+'Q1'!CY19</f>
        <v>0.33358073700466456</v>
      </c>
      <c r="S6" s="3734">
        <f>'Q1'!CZ18+'Q1'!CZ19</f>
        <v>0.33114038482639141</v>
      </c>
      <c r="T6" s="3734">
        <f>'Q1'!DA18+'Q1'!DA19</f>
        <v>0.33131185213100783</v>
      </c>
      <c r="U6" s="3734">
        <f>'Q1'!DB18+'Q1'!DB19</f>
        <v>0.3318289843960035</v>
      </c>
      <c r="AC6" t="s">
        <v>1139</v>
      </c>
      <c r="AD6" t="s">
        <v>2727</v>
      </c>
      <c r="AE6" t="s">
        <v>2728</v>
      </c>
      <c r="AF6" t="s">
        <v>2729</v>
      </c>
      <c r="AK6" t="s">
        <v>2730</v>
      </c>
      <c r="AL6" t="s">
        <v>2729</v>
      </c>
      <c r="AN6">
        <v>24557.16</v>
      </c>
    </row>
    <row r="7" spans="1:40">
      <c r="A7" t="s">
        <v>2723</v>
      </c>
      <c r="B7" s="3734">
        <f>'Q1'!CI20</f>
        <v>2.2000609762094108</v>
      </c>
      <c r="C7" s="3734">
        <f>'Q1'!CJ20</f>
        <v>-2.6366565784189326</v>
      </c>
      <c r="D7" s="3734">
        <f>'Q1'!CK20</f>
        <v>0.59273702169154241</v>
      </c>
      <c r="E7" s="3734">
        <f>'Q1'!CL20</f>
        <v>0.2085058703171466</v>
      </c>
      <c r="F7" s="3734">
        <f>'Q1'!CM20</f>
        <v>0.35199658669976641</v>
      </c>
      <c r="G7" s="3734">
        <f>'Q1'!CN20</f>
        <v>0.16438939011535997</v>
      </c>
      <c r="H7" s="3734">
        <f>'Q1'!CO20</f>
        <v>1.8026665642787103</v>
      </c>
      <c r="I7" s="3734">
        <f>'Q1'!CP20</f>
        <v>-1.3950946363165966</v>
      </c>
      <c r="J7" s="3734">
        <f>'Q1'!CQ20</f>
        <v>4.6860356138705525E-2</v>
      </c>
      <c r="K7" s="3734">
        <f>'Q1'!CR20</f>
        <v>0.20424448539889045</v>
      </c>
      <c r="L7" s="3734">
        <f>'Q1'!CS20</f>
        <v>0.27044917257684209</v>
      </c>
      <c r="M7" s="3734">
        <f>'Q1'!CT20</f>
        <v>1.8876294205911028E-3</v>
      </c>
      <c r="N7" s="3734">
        <f>'Q1'!CU20</f>
        <v>0.285549306618335</v>
      </c>
      <c r="O7" s="3734">
        <f>'Q1'!CV20</f>
        <v>0.30102082718822853</v>
      </c>
      <c r="P7" s="3734">
        <f>'Q1'!CW20</f>
        <v>0.30367990934901523</v>
      </c>
      <c r="Q7" s="3734">
        <f>'Q1'!CX20</f>
        <v>0.30650019550913321</v>
      </c>
      <c r="R7" s="3734">
        <f>'Q1'!CY20</f>
        <v>8.5230167245027105E-2</v>
      </c>
      <c r="S7" s="3734">
        <f>'Q1'!CZ20</f>
        <v>8.5272572508678923E-2</v>
      </c>
      <c r="T7" s="3734">
        <f>'Q1'!DA20</f>
        <v>6.5202237202349383E-2</v>
      </c>
      <c r="U7" s="3734">
        <f>'Q1'!DB20</f>
        <v>6.0149811913190285E-2</v>
      </c>
      <c r="V7" s="4117">
        <v>2000</v>
      </c>
      <c r="W7" s="4117" t="str">
        <f>RIGHT(V7,2)</f>
        <v>00</v>
      </c>
      <c r="AC7" s="3734">
        <v>1.6537277780329873</v>
      </c>
      <c r="AD7" s="3734">
        <v>0.63092874476065219</v>
      </c>
      <c r="AE7" s="3734">
        <v>4.1186537364517939</v>
      </c>
      <c r="AF7">
        <v>82</v>
      </c>
      <c r="AI7">
        <v>2000</v>
      </c>
      <c r="AJ7" t="str">
        <f>RIGHT(AI7,2)</f>
        <v>00</v>
      </c>
      <c r="AK7" s="3734">
        <v>11.965471577332231</v>
      </c>
      <c r="AL7">
        <v>84.1</v>
      </c>
      <c r="AN7">
        <v>27495.54</v>
      </c>
    </row>
    <row r="8" spans="1:40">
      <c r="A8" t="s">
        <v>2724</v>
      </c>
      <c r="B8" s="3734">
        <v>7.7695492677958278E-2</v>
      </c>
      <c r="C8" s="3734">
        <v>0.30362687195760607</v>
      </c>
      <c r="D8" s="3734">
        <v>-6.6292956373421696E-2</v>
      </c>
      <c r="E8" s="3734">
        <v>5.8459589808533441E-2</v>
      </c>
      <c r="F8" s="3734">
        <v>-0.21721001493317926</v>
      </c>
      <c r="G8" s="3734">
        <v>0.49413516675855162</v>
      </c>
      <c r="H8" s="3734">
        <v>-0.1219055663809443</v>
      </c>
      <c r="I8" s="3734">
        <v>0.19272441367671989</v>
      </c>
      <c r="J8" s="3734">
        <v>0.24290878488227052</v>
      </c>
      <c r="K8" s="3734">
        <v>2.9444170054317653E-2</v>
      </c>
      <c r="L8" s="3734">
        <v>-0.12479083354601817</v>
      </c>
      <c r="M8" s="3734">
        <v>0</v>
      </c>
      <c r="N8" s="3734">
        <v>0</v>
      </c>
      <c r="O8" s="3734">
        <v>0</v>
      </c>
      <c r="P8" s="3734">
        <v>0</v>
      </c>
      <c r="Q8" s="3734">
        <v>0</v>
      </c>
      <c r="R8" s="3734">
        <v>0</v>
      </c>
      <c r="S8" s="3734">
        <v>0</v>
      </c>
      <c r="T8" s="3734">
        <v>0</v>
      </c>
      <c r="U8" s="3734">
        <v>0</v>
      </c>
      <c r="V8" s="4118"/>
      <c r="W8" s="4118"/>
      <c r="AC8" s="3734">
        <v>2.5712458896602044</v>
      </c>
      <c r="AD8" s="3734">
        <v>1.3775195845436201</v>
      </c>
      <c r="AE8" s="3734">
        <v>3.4787006856243696</v>
      </c>
      <c r="AF8">
        <v>84.5</v>
      </c>
      <c r="AH8" s="3734"/>
      <c r="AI8">
        <v>2001</v>
      </c>
      <c r="AJ8" t="str">
        <f t="shared" ref="AJ8:AJ24" si="1">RIGHT(AI8,2)</f>
        <v>01</v>
      </c>
      <c r="AK8" s="3734">
        <v>1.9422422691098173</v>
      </c>
      <c r="AL8">
        <v>82.025000000000006</v>
      </c>
      <c r="AN8">
        <v>28029.57</v>
      </c>
    </row>
    <row r="9" spans="1:40">
      <c r="A9" t="s">
        <v>1206</v>
      </c>
      <c r="B9" s="3734">
        <f>'Q1'!CI24-'Q1'!CI26</f>
        <v>-1.8528899772814329</v>
      </c>
      <c r="C9" s="3734">
        <f>'Q1'!CJ24-'Q1'!CJ26</f>
        <v>2.6523276427780331</v>
      </c>
      <c r="D9" s="3734">
        <f>'Q1'!CK24-'Q1'!CK26</f>
        <v>-0.48062393370710321</v>
      </c>
      <c r="E9" s="3734">
        <f>'Q1'!CL24-'Q1'!CL26</f>
        <v>-7.5023140254297793E-2</v>
      </c>
      <c r="F9" s="3734">
        <f>'Q1'!CM24-'Q1'!CM26</f>
        <v>-0.20169501386654531</v>
      </c>
      <c r="G9" s="3734">
        <f>'Q1'!CN24-'Q1'!CN26</f>
        <v>-0.18856430042645123</v>
      </c>
      <c r="H9" s="3734">
        <f>'Q1'!CO24-'Q1'!CO26</f>
        <v>-1.8026665642787103</v>
      </c>
      <c r="I9" s="3734">
        <f>'Q1'!CP24-'Q1'!CP26</f>
        <v>1.2848294245115093</v>
      </c>
      <c r="J9" s="3734">
        <f>'Q1'!CQ24-'Q1'!CQ26</f>
        <v>0.26107912705851483</v>
      </c>
      <c r="K9" s="3734">
        <f>'Q1'!CR24-'Q1'!CR26</f>
        <v>-6.174833279501124E-2</v>
      </c>
      <c r="L9" s="3734">
        <f>'Q1'!CS24-'Q1'!CS26</f>
        <v>0.13806146572103195</v>
      </c>
      <c r="M9" s="3734">
        <f>'Q1'!CT24-'Q1'!CT26</f>
        <v>0.35015525751985233</v>
      </c>
      <c r="N9" s="3734">
        <f>'Q1'!CU24-'Q1'!CU26</f>
        <v>-8.302552883848513E-2</v>
      </c>
      <c r="O9" s="3734">
        <f>'Q1'!CV24-'Q1'!CV26</f>
        <v>2.119786600429463E-2</v>
      </c>
      <c r="P9" s="3734">
        <f>'Q1'!CW24-'Q1'!CW26</f>
        <v>-2.588753121279419E-2</v>
      </c>
      <c r="Q9" s="3734">
        <f>'Q1'!CX24-'Q1'!CX26</f>
        <v>-2.8079407845652105E-2</v>
      </c>
      <c r="R9" s="3734">
        <f>'Q1'!CY24-'Q1'!CY26</f>
        <v>2.3652197264395602E-2</v>
      </c>
      <c r="S9" s="3734">
        <f>'Q1'!CZ24-'Q1'!CZ26</f>
        <v>3.136579589141375E-3</v>
      </c>
      <c r="T9" s="3734">
        <f>'Q1'!DA24-'Q1'!DA26</f>
        <v>-8.1427476005147104E-2</v>
      </c>
      <c r="U9" s="3734">
        <f>'Q1'!DB24-'Q1'!DB26</f>
        <v>-0.12033258267590174</v>
      </c>
      <c r="V9" s="4118"/>
      <c r="W9" s="4118"/>
      <c r="AC9" s="3734">
        <v>3.0524250581740517</v>
      </c>
      <c r="AD9" s="3734">
        <v>1.0629419774234634</v>
      </c>
      <c r="AE9" s="3734">
        <v>4.1899753859923949</v>
      </c>
      <c r="AF9">
        <v>85</v>
      </c>
      <c r="AH9" s="3734"/>
      <c r="AI9">
        <v>2002</v>
      </c>
      <c r="AJ9" t="str">
        <f t="shared" si="1"/>
        <v>02</v>
      </c>
      <c r="AK9" s="3734">
        <v>-5.5375804908887272</v>
      </c>
      <c r="AL9">
        <v>79.825000000000003</v>
      </c>
      <c r="AN9">
        <v>26477.41</v>
      </c>
    </row>
    <row r="10" spans="1:40">
      <c r="A10" t="s">
        <v>398</v>
      </c>
      <c r="B10" s="3734">
        <f>'Q1'!CI15</f>
        <v>0.41306464461687842</v>
      </c>
      <c r="C10" s="3734">
        <f>'Q1'!CJ15</f>
        <v>0.46621416468328736</v>
      </c>
      <c r="D10" s="3734">
        <f>'Q1'!CK15</f>
        <v>5.8493785035351742E-2</v>
      </c>
      <c r="E10" s="3734">
        <f>'Q1'!CL15</f>
        <v>0.47839430993326104</v>
      </c>
      <c r="F10" s="3734">
        <f>'Q1'!CM15</f>
        <v>0.27830033163314116</v>
      </c>
      <c r="G10" s="3734">
        <f>'Q1'!CN15</f>
        <v>0.74071925193157639</v>
      </c>
      <c r="H10" s="3734">
        <f>'Q1'!CO15</f>
        <v>0.11038693018745604</v>
      </c>
      <c r="I10" s="3734">
        <f>'Q1'!CP15</f>
        <v>0.26080119661726631</v>
      </c>
      <c r="J10" s="3734">
        <f>'Q1'!CQ15</f>
        <v>0.66943365912437436</v>
      </c>
      <c r="K10" s="3734">
        <f>'Q1'!CR15</f>
        <v>0.45978758573517187</v>
      </c>
      <c r="L10" s="3734">
        <f>'Q1'!CS15</f>
        <v>0.19196217494090728</v>
      </c>
      <c r="M10" s="3734">
        <f>'Q1'!CT15</f>
        <v>0.5228733495040272</v>
      </c>
      <c r="N10" s="3734">
        <f>'Q1'!CU15</f>
        <v>0.41039105410907162</v>
      </c>
      <c r="O10" s="3734">
        <f>'Q1'!CV15</f>
        <v>0.53081669638552764</v>
      </c>
      <c r="P10" s="3734">
        <f>'Q1'!CW15</f>
        <v>0.48686800151156451</v>
      </c>
      <c r="Q10" s="3734">
        <f>'Q1'!CX15</f>
        <v>0.48806190490571222</v>
      </c>
      <c r="R10" s="3734">
        <f>'Q1'!CY15</f>
        <v>0.44246310151412338</v>
      </c>
      <c r="S10" s="3734">
        <f>'Q1'!CZ15</f>
        <v>0.41954953692420194</v>
      </c>
      <c r="T10" s="3734">
        <f>'Q1'!DA15</f>
        <v>0.3150866133281971</v>
      </c>
      <c r="U10" s="3734">
        <f>'Q1'!DB15</f>
        <v>0.271646213633292</v>
      </c>
      <c r="V10" s="4119"/>
      <c r="W10" s="4119"/>
      <c r="AC10" s="3734">
        <v>3.4283897920261808</v>
      </c>
      <c r="AD10" s="3734">
        <v>1.4770984001753362</v>
      </c>
      <c r="AE10" s="3734">
        <v>5.6701611994138146</v>
      </c>
      <c r="AF10">
        <v>84.9</v>
      </c>
      <c r="AH10" s="3734"/>
      <c r="AI10">
        <v>2003</v>
      </c>
      <c r="AJ10" t="str">
        <f t="shared" si="1"/>
        <v>03</v>
      </c>
      <c r="AK10" s="3734">
        <v>-4.4187856742785581</v>
      </c>
      <c r="AL10">
        <v>78.7</v>
      </c>
      <c r="AN10">
        <v>25307.43</v>
      </c>
    </row>
    <row r="11" spans="1:40">
      <c r="B11" s="3734">
        <f>B10-B5</f>
        <v>0</v>
      </c>
      <c r="C11" s="3734">
        <f t="shared" ref="C11:L11" si="2">C10-C5</f>
        <v>-7.1054273576010019E-15</v>
      </c>
      <c r="D11" s="3734">
        <f t="shared" si="2"/>
        <v>1.3766765505351941E-14</v>
      </c>
      <c r="E11" s="3734">
        <f t="shared" si="2"/>
        <v>3.5527136788005009E-15</v>
      </c>
      <c r="F11" s="3734">
        <f t="shared" si="2"/>
        <v>-3.4416913763379853E-15</v>
      </c>
      <c r="G11" s="3734">
        <f t="shared" si="2"/>
        <v>-1.0436096431476471E-14</v>
      </c>
      <c r="H11" s="3734">
        <f t="shared" si="2"/>
        <v>3.5527136788005009E-15</v>
      </c>
      <c r="I11" s="3734">
        <f t="shared" si="2"/>
        <v>6.8833827526759706E-15</v>
      </c>
      <c r="J11" s="3734">
        <f t="shared" si="2"/>
        <v>-3.8253351950017223E-3</v>
      </c>
      <c r="K11" s="3734">
        <f t="shared" si="2"/>
        <v>-5.6948112870061074E-3</v>
      </c>
      <c r="L11" s="3734">
        <f t="shared" si="2"/>
        <v>-0.29223044304972878</v>
      </c>
      <c r="V11" s="4117">
        <v>2001</v>
      </c>
      <c r="W11" s="4117" t="str">
        <f>RIGHT(V11,2)</f>
        <v>01</v>
      </c>
      <c r="AC11" s="3734">
        <v>2.4628315784716932</v>
      </c>
      <c r="AD11" s="3734">
        <v>1.5477025605050727</v>
      </c>
      <c r="AE11" s="3734">
        <v>4.5090948937102748</v>
      </c>
      <c r="AF11">
        <v>83.4</v>
      </c>
      <c r="AH11" s="3734"/>
      <c r="AI11">
        <v>2004</v>
      </c>
      <c r="AJ11" t="str">
        <f t="shared" si="1"/>
        <v>04</v>
      </c>
      <c r="AK11" s="3734">
        <v>9.1883687912996272</v>
      </c>
      <c r="AL11">
        <v>80.375</v>
      </c>
      <c r="AN11">
        <v>27632.77</v>
      </c>
    </row>
    <row r="12" spans="1:40">
      <c r="V12" s="4118"/>
      <c r="W12" s="4118"/>
      <c r="AC12" s="3734">
        <v>3.0054766463333209</v>
      </c>
      <c r="AD12" s="3734">
        <v>1.8233123507705784</v>
      </c>
      <c r="AE12" s="3734">
        <v>2.4004779232064344</v>
      </c>
      <c r="AF12">
        <v>82.3</v>
      </c>
      <c r="AH12" s="3734"/>
      <c r="AI12">
        <v>2005</v>
      </c>
      <c r="AJ12" t="str">
        <f t="shared" si="1"/>
        <v>05</v>
      </c>
      <c r="AK12" s="3734">
        <v>7.4003438670824373</v>
      </c>
      <c r="AL12">
        <v>79.275000000000006</v>
      </c>
      <c r="AN12">
        <v>29677.69</v>
      </c>
    </row>
    <row r="13" spans="1:40">
      <c r="V13" s="4118"/>
      <c r="W13" s="4118"/>
      <c r="Y13" t="s">
        <v>2725</v>
      </c>
      <c r="Z13" t="s">
        <v>2726</v>
      </c>
      <c r="AB13">
        <v>5.8</v>
      </c>
      <c r="AC13" s="3734">
        <v>2.3820065527317809</v>
      </c>
      <c r="AD13" s="3734">
        <v>2.2426007214568102</v>
      </c>
      <c r="AE13" s="3734">
        <v>2.3463087248322134</v>
      </c>
      <c r="AF13">
        <v>81.900000000000006</v>
      </c>
      <c r="AH13" s="3734"/>
      <c r="AI13">
        <v>2006</v>
      </c>
      <c r="AJ13" t="str">
        <f t="shared" si="1"/>
        <v>06</v>
      </c>
      <c r="AK13" s="3734">
        <v>0.69095674225319037</v>
      </c>
      <c r="AL13">
        <v>82.775000000000006</v>
      </c>
      <c r="AN13">
        <v>29882.75</v>
      </c>
    </row>
    <row r="14" spans="1:40">
      <c r="V14" s="4119"/>
      <c r="W14" s="4119"/>
      <c r="X14" s="3757" t="s">
        <v>2734</v>
      </c>
      <c r="Y14" s="3757" t="s">
        <v>2735</v>
      </c>
      <c r="Z14" s="3757" t="s">
        <v>2736</v>
      </c>
      <c r="AB14" t="s">
        <v>2725</v>
      </c>
      <c r="AC14" s="3734">
        <v>1.8966501295166296</v>
      </c>
      <c r="AD14" s="3734">
        <v>2.673635107118173</v>
      </c>
      <c r="AE14" s="3734">
        <v>-2.6402816300405418</v>
      </c>
      <c r="AF14">
        <v>80.5</v>
      </c>
      <c r="AH14" s="3734"/>
      <c r="AI14">
        <v>2007</v>
      </c>
      <c r="AJ14" t="str">
        <f t="shared" si="1"/>
        <v>07</v>
      </c>
      <c r="AK14" s="3734">
        <v>9.9430942600664096</v>
      </c>
      <c r="AL14">
        <v>83.025000000000006</v>
      </c>
      <c r="AN14">
        <v>32854.019999999997</v>
      </c>
    </row>
    <row r="15" spans="1:40">
      <c r="V15" s="4117">
        <v>2002</v>
      </c>
      <c r="W15" s="4117" t="str">
        <f>RIGHT(V15,2)</f>
        <v>02</v>
      </c>
      <c r="X15" s="3734">
        <v>0.60617608879467433</v>
      </c>
      <c r="Y15" s="3734">
        <f t="shared" ref="Y15:Y46" si="3">AA15+$AB$13</f>
        <v>96.133333332999996</v>
      </c>
      <c r="Z15" s="3734">
        <v>94.833333330000002</v>
      </c>
      <c r="AA15" s="3734">
        <f t="shared" ref="AA15:AA46" si="4">AB15+100</f>
        <v>90.333333332999999</v>
      </c>
      <c r="AB15" s="3734">
        <v>-9.6666666669999994</v>
      </c>
      <c r="AC15" s="3734">
        <v>2.5447649289935583</v>
      </c>
      <c r="AD15" s="3734">
        <v>2.7675834376753983</v>
      </c>
      <c r="AE15" s="3734">
        <v>-4.3250327653997385</v>
      </c>
      <c r="AF15">
        <v>78</v>
      </c>
      <c r="AH15" s="3734"/>
      <c r="AI15">
        <v>2008</v>
      </c>
      <c r="AJ15" t="str">
        <f t="shared" si="1"/>
        <v>08</v>
      </c>
      <c r="AK15" s="3734">
        <v>1.4286836131468972</v>
      </c>
      <c r="AL15">
        <v>82.95</v>
      </c>
      <c r="AN15">
        <v>33323.4</v>
      </c>
    </row>
    <row r="16" spans="1:40">
      <c r="V16" s="4118"/>
      <c r="W16" s="4118"/>
      <c r="X16" s="3734">
        <v>1.5490943755958053</v>
      </c>
      <c r="Y16" s="3734">
        <f t="shared" si="3"/>
        <v>100.166666667</v>
      </c>
      <c r="Z16" s="3734">
        <v>99.8</v>
      </c>
      <c r="AA16" s="3734">
        <f t="shared" si="4"/>
        <v>94.366666667000004</v>
      </c>
      <c r="AB16" s="3734">
        <v>-5.6333333330000004</v>
      </c>
      <c r="AC16" s="3734">
        <v>1.2708567476441743</v>
      </c>
      <c r="AD16" s="3734">
        <v>2.1871669153698434</v>
      </c>
      <c r="AE16" s="3734">
        <v>-4.6141607000795615</v>
      </c>
      <c r="AF16">
        <v>79.900000000000006</v>
      </c>
      <c r="AH16" s="3734"/>
      <c r="AI16">
        <v>2009</v>
      </c>
      <c r="AJ16" t="str">
        <f t="shared" si="1"/>
        <v>09</v>
      </c>
      <c r="AK16" s="3734">
        <v>-16.698416128006144</v>
      </c>
      <c r="AL16">
        <v>72.575000000000003</v>
      </c>
      <c r="AN16">
        <v>27758.92</v>
      </c>
    </row>
    <row r="17" spans="22:40">
      <c r="V17" s="4118"/>
      <c r="W17" s="4118"/>
      <c r="X17" s="3734">
        <v>2.294980178631123</v>
      </c>
      <c r="Y17" s="3734">
        <f t="shared" si="3"/>
        <v>97.933333332999993</v>
      </c>
      <c r="Z17" s="3734">
        <v>97.933333329999996</v>
      </c>
      <c r="AA17" s="3734">
        <f t="shared" si="4"/>
        <v>92.133333332999996</v>
      </c>
      <c r="AB17" s="3734">
        <v>-7.8666666669999996</v>
      </c>
      <c r="AC17" s="3734">
        <v>1.1892406158104052</v>
      </c>
      <c r="AD17" s="3734">
        <v>1.9086078639745097</v>
      </c>
      <c r="AE17" s="3734">
        <v>-7.0873990137446334</v>
      </c>
      <c r="AF17">
        <v>81.2</v>
      </c>
      <c r="AH17" s="3734"/>
      <c r="AI17">
        <v>2010</v>
      </c>
      <c r="AJ17" t="str">
        <f t="shared" si="1"/>
        <v>10</v>
      </c>
      <c r="AK17" s="3734">
        <v>-1.6197316033909059</v>
      </c>
      <c r="AL17">
        <v>77.724999999999994</v>
      </c>
      <c r="AN17">
        <v>27309.3</v>
      </c>
    </row>
    <row r="18" spans="22:40">
      <c r="V18" s="4119"/>
      <c r="W18" s="4119"/>
      <c r="X18" s="3734">
        <v>2.6726723138866815</v>
      </c>
      <c r="Y18" s="3734">
        <f t="shared" si="3"/>
        <v>96.433333332999993</v>
      </c>
      <c r="Z18" s="3734">
        <v>96.633333329999999</v>
      </c>
      <c r="AA18" s="3734">
        <f t="shared" si="4"/>
        <v>90.633333332999996</v>
      </c>
      <c r="AB18" s="3734">
        <v>-9.3666666670000005</v>
      </c>
      <c r="AC18" s="3734">
        <v>1.2064285406523112</v>
      </c>
      <c r="AD18" s="3734">
        <v>1.3966597955492119</v>
      </c>
      <c r="AE18" s="3734">
        <v>-1.0957102941982155</v>
      </c>
      <c r="AF18">
        <v>80.2</v>
      </c>
      <c r="AH18" s="3734"/>
      <c r="AI18">
        <v>2011</v>
      </c>
      <c r="AJ18" t="str">
        <f t="shared" si="1"/>
        <v>11</v>
      </c>
      <c r="AK18" s="3734">
        <v>3.5357186013555753</v>
      </c>
      <c r="AL18">
        <v>79.775000000000006</v>
      </c>
      <c r="AN18">
        <v>28274.880000000001</v>
      </c>
    </row>
    <row r="19" spans="22:40">
      <c r="V19" s="4117">
        <f>V15+1</f>
        <v>2003</v>
      </c>
      <c r="W19" s="4117" t="str">
        <f t="shared" ref="W19" si="5">RIGHT(V19,2)</f>
        <v>03</v>
      </c>
      <c r="X19" s="3734">
        <v>1.3246052226615124</v>
      </c>
      <c r="Y19" s="3734">
        <f t="shared" si="3"/>
        <v>93.333333330000002</v>
      </c>
      <c r="Z19" s="3734">
        <v>92.066666670000004</v>
      </c>
      <c r="AA19" s="3734">
        <f t="shared" si="4"/>
        <v>87.533333330000005</v>
      </c>
      <c r="AB19" s="3734">
        <v>-12.46666667</v>
      </c>
      <c r="AC19" s="3734">
        <v>1.5225151606382639</v>
      </c>
      <c r="AD19" s="3734">
        <v>1.3360221830098169</v>
      </c>
      <c r="AE19" s="3734">
        <v>-1.5506849315068516</v>
      </c>
      <c r="AF19">
        <v>78.2</v>
      </c>
      <c r="AH19" s="3734"/>
      <c r="AI19">
        <v>2012</v>
      </c>
      <c r="AJ19" t="str">
        <f t="shared" si="1"/>
        <v>12</v>
      </c>
      <c r="AK19" s="3734">
        <v>-4.7975800427800248</v>
      </c>
      <c r="AL19">
        <v>77.349999999999994</v>
      </c>
      <c r="AN19">
        <v>26918.37</v>
      </c>
    </row>
    <row r="20" spans="22:40">
      <c r="V20" s="4118"/>
      <c r="W20" s="4118"/>
      <c r="X20" s="3734">
        <v>0.54329969490731767</v>
      </c>
      <c r="Y20" s="3734">
        <f t="shared" si="3"/>
        <v>89.833333330000002</v>
      </c>
      <c r="Z20" s="3734">
        <v>89.466666669999995</v>
      </c>
      <c r="AA20" s="3734">
        <f t="shared" si="4"/>
        <v>84.033333330000005</v>
      </c>
      <c r="AB20" s="3734">
        <v>-15.96666667</v>
      </c>
      <c r="AC20" s="3734">
        <v>1.3103978145808384</v>
      </c>
      <c r="AD20" s="3734">
        <v>1.8441255006675732</v>
      </c>
      <c r="AE20" s="3734">
        <v>0.11120378092854821</v>
      </c>
      <c r="AF20">
        <v>78.599999999999994</v>
      </c>
      <c r="AH20" s="3734"/>
      <c r="AI20">
        <v>2013</v>
      </c>
      <c r="AJ20" t="str">
        <f t="shared" si="1"/>
        <v>13</v>
      </c>
      <c r="AK20" s="3734">
        <v>-1.6097557170066445</v>
      </c>
      <c r="AL20">
        <v>76.075000000000003</v>
      </c>
      <c r="AN20">
        <v>26485.05</v>
      </c>
    </row>
    <row r="21" spans="22:40">
      <c r="V21" s="4118"/>
      <c r="W21" s="4118"/>
      <c r="X21" s="3734">
        <v>0.4003735263219399</v>
      </c>
      <c r="Y21" s="3734">
        <f t="shared" si="3"/>
        <v>93.233333329999994</v>
      </c>
      <c r="Z21" s="3734">
        <v>92.7</v>
      </c>
      <c r="AA21" s="3734">
        <f t="shared" si="4"/>
        <v>87.433333329999996</v>
      </c>
      <c r="AB21" s="3734">
        <v>-12.56666667</v>
      </c>
      <c r="AC21" s="3734">
        <v>1.5898115304072888</v>
      </c>
      <c r="AD21" s="3734">
        <v>1.6601318094602249</v>
      </c>
      <c r="AE21" s="3734">
        <v>1.6035232341482741</v>
      </c>
      <c r="AF21">
        <v>78.5</v>
      </c>
      <c r="AH21" s="3734"/>
      <c r="AI21">
        <v>2014</v>
      </c>
      <c r="AJ21" t="str">
        <f t="shared" si="1"/>
        <v>14</v>
      </c>
      <c r="AK21" s="3734">
        <v>7.9387805573333026</v>
      </c>
      <c r="AL21">
        <v>78.924999999999997</v>
      </c>
      <c r="AN21">
        <v>28587.64</v>
      </c>
    </row>
    <row r="22" spans="22:40">
      <c r="V22" s="4119"/>
      <c r="W22" s="4119"/>
      <c r="X22" s="3734">
        <v>0.83550549245949846</v>
      </c>
      <c r="Y22" s="3734">
        <f t="shared" si="3"/>
        <v>99.766666666999996</v>
      </c>
      <c r="Z22" s="3734">
        <v>98.9</v>
      </c>
      <c r="AA22" s="3734">
        <f t="shared" si="4"/>
        <v>93.966666666999998</v>
      </c>
      <c r="AB22" s="3734">
        <v>-6.0333333329999999</v>
      </c>
      <c r="AC22" s="3734">
        <v>1.6433224062326985</v>
      </c>
      <c r="AD22" s="3734">
        <v>1.8047545948636952</v>
      </c>
      <c r="AE22" s="3734">
        <v>-1.7227053675289428</v>
      </c>
      <c r="AF22">
        <v>79.5</v>
      </c>
      <c r="AH22" s="3734"/>
      <c r="AI22">
        <v>2015</v>
      </c>
      <c r="AJ22" t="str">
        <f t="shared" si="1"/>
        <v>15</v>
      </c>
      <c r="AK22" s="3734">
        <v>1.6194061489510858</v>
      </c>
      <c r="AL22">
        <v>79.525000000000006</v>
      </c>
      <c r="AN22">
        <v>29050.59</v>
      </c>
    </row>
    <row r="23" spans="22:40">
      <c r="V23" s="4117">
        <f t="shared" ref="V23" si="6">V19+1</f>
        <v>2004</v>
      </c>
      <c r="W23" s="4117" t="str">
        <f t="shared" ref="W23" si="7">RIGHT(V23,2)</f>
        <v>04</v>
      </c>
      <c r="X23" s="3734">
        <v>2.8120144397584257</v>
      </c>
      <c r="Y23" s="3734">
        <f t="shared" si="3"/>
        <v>101.8</v>
      </c>
      <c r="Z23" s="3734">
        <v>101.6333333</v>
      </c>
      <c r="AA23" s="3734">
        <f t="shared" si="4"/>
        <v>96</v>
      </c>
      <c r="AB23" s="3734">
        <v>-4</v>
      </c>
      <c r="AC23" s="3734">
        <v>1.1438254607074612</v>
      </c>
      <c r="AD23" s="3734">
        <v>1.662520729684914</v>
      </c>
      <c r="AE23" s="3734">
        <v>5.1705905270774233</v>
      </c>
      <c r="AF23">
        <v>78.400000000000006</v>
      </c>
      <c r="AH23" s="3734"/>
      <c r="AI23">
        <v>2016</v>
      </c>
      <c r="AJ23" t="str">
        <f t="shared" si="1"/>
        <v>16</v>
      </c>
      <c r="AK23" s="3734">
        <v>13.084760068556278</v>
      </c>
      <c r="AL23">
        <v>79.75</v>
      </c>
      <c r="AN23">
        <v>32851.79</v>
      </c>
    </row>
    <row r="24" spans="22:40">
      <c r="V24" s="4118"/>
      <c r="W24" s="4118"/>
      <c r="X24" s="3734">
        <v>3.7160230150671714</v>
      </c>
      <c r="Y24" s="3734">
        <f t="shared" si="3"/>
        <v>105.23333333299999</v>
      </c>
      <c r="Z24" s="3734">
        <v>105.5</v>
      </c>
      <c r="AA24" s="3734">
        <f t="shared" si="4"/>
        <v>99.433333332999993</v>
      </c>
      <c r="AB24" s="3734">
        <v>-0.56666666700000001</v>
      </c>
      <c r="AC24" s="3734">
        <v>2.0181167052875253</v>
      </c>
      <c r="AD24" s="3734">
        <v>1.4174518639901663</v>
      </c>
      <c r="AE24" s="3734">
        <v>8.1421827270202751</v>
      </c>
      <c r="AF24">
        <v>79.599999999999994</v>
      </c>
      <c r="AH24" s="3734"/>
      <c r="AI24">
        <v>2017</v>
      </c>
      <c r="AJ24" t="str">
        <f t="shared" si="1"/>
        <v>17</v>
      </c>
      <c r="AL24">
        <v>81.325000000000003</v>
      </c>
    </row>
    <row r="25" spans="22:40">
      <c r="V25" s="4118"/>
      <c r="W25" s="4118"/>
      <c r="X25" s="3734">
        <v>4.2214548963528831</v>
      </c>
      <c r="Y25" s="3734">
        <f t="shared" si="3"/>
        <v>107.333333333</v>
      </c>
      <c r="Z25" s="3734">
        <v>108.2333333</v>
      </c>
      <c r="AA25" s="3734">
        <f t="shared" si="4"/>
        <v>101.533333333</v>
      </c>
      <c r="AB25" s="3734">
        <v>1.5333333330000001</v>
      </c>
      <c r="AC25" s="3734">
        <v>1.964578688317701</v>
      </c>
      <c r="AD25" s="3734">
        <v>1.3704250779583305</v>
      </c>
      <c r="AE25" s="3734">
        <v>11.486524034454003</v>
      </c>
      <c r="AF25">
        <v>82.3</v>
      </c>
    </row>
    <row r="26" spans="22:40">
      <c r="V26" s="4119"/>
      <c r="W26" s="4119"/>
      <c r="X26" s="3734">
        <v>3.7805525422946573</v>
      </c>
      <c r="Y26" s="3734">
        <f t="shared" si="3"/>
        <v>104.5</v>
      </c>
      <c r="Z26" s="3734">
        <v>106.4</v>
      </c>
      <c r="AA26" s="3734">
        <f t="shared" si="4"/>
        <v>98.7</v>
      </c>
      <c r="AB26" s="3734">
        <v>-1.3</v>
      </c>
      <c r="AC26" s="3734">
        <v>2.2952879581151961</v>
      </c>
      <c r="AD26" s="3734">
        <v>1.2062922813595094</v>
      </c>
      <c r="AE26" s="3734">
        <v>10.748506369067744</v>
      </c>
      <c r="AF26">
        <v>81.2</v>
      </c>
    </row>
    <row r="27" spans="22:40">
      <c r="V27" s="4117">
        <f t="shared" ref="V27" si="8">V23+1</f>
        <v>2005</v>
      </c>
      <c r="W27" s="4117" t="str">
        <f t="shared" ref="W27" si="9">RIGHT(V27,2)</f>
        <v>05</v>
      </c>
      <c r="X27" s="3734">
        <v>2.5930639516385634</v>
      </c>
      <c r="Y27" s="3734">
        <f t="shared" si="3"/>
        <v>102.6</v>
      </c>
      <c r="Z27" s="3734">
        <v>105.4666667</v>
      </c>
      <c r="AA27" s="3734">
        <f t="shared" si="4"/>
        <v>96.8</v>
      </c>
      <c r="AB27" s="3734">
        <v>-3.2</v>
      </c>
      <c r="AC27" s="3734">
        <v>2.3623036649214555</v>
      </c>
      <c r="AD27" s="3734">
        <v>1.3539415195138673</v>
      </c>
      <c r="AE27" s="3734">
        <v>8.033446232006769</v>
      </c>
      <c r="AF27">
        <v>79.5</v>
      </c>
    </row>
    <row r="28" spans="22:40">
      <c r="V28" s="4118"/>
      <c r="W28" s="4118"/>
      <c r="X28" s="3734">
        <v>2.1042681760383486</v>
      </c>
      <c r="Y28" s="3734">
        <f t="shared" si="3"/>
        <v>98.333333332999999</v>
      </c>
      <c r="Z28" s="3734">
        <v>98.4</v>
      </c>
      <c r="AA28" s="3734">
        <f t="shared" si="4"/>
        <v>92.533333333000002</v>
      </c>
      <c r="AB28" s="3734">
        <v>-7.4666666670000001</v>
      </c>
      <c r="AC28" s="3734">
        <v>2.4737755017758332</v>
      </c>
      <c r="AD28" s="3734">
        <v>1.2885765067054393</v>
      </c>
      <c r="AE28" s="3734">
        <v>8.9620461198705925</v>
      </c>
      <c r="AF28">
        <v>78.900000000000006</v>
      </c>
    </row>
    <row r="29" spans="22:40">
      <c r="V29" s="4118"/>
      <c r="W29" s="4118"/>
      <c r="X29" s="3734">
        <v>1.6108161170853563</v>
      </c>
      <c r="Y29" s="3734">
        <f t="shared" si="3"/>
        <v>99.3</v>
      </c>
      <c r="Z29" s="3734">
        <v>97.533333330000005</v>
      </c>
      <c r="AA29" s="3734">
        <f t="shared" si="4"/>
        <v>93.5</v>
      </c>
      <c r="AB29" s="3734">
        <v>-6.5</v>
      </c>
      <c r="AC29" s="3734">
        <v>2.8343922765904637</v>
      </c>
      <c r="AD29" s="3734">
        <v>1.2668987290536506</v>
      </c>
      <c r="AE29" s="3734">
        <v>3.4742298873492228</v>
      </c>
      <c r="AF29">
        <v>78.900000000000006</v>
      </c>
    </row>
    <row r="30" spans="22:40">
      <c r="V30" s="4119"/>
      <c r="W30" s="4119"/>
      <c r="X30" s="3734">
        <v>2.0982986767485778</v>
      </c>
      <c r="Y30" s="3734">
        <f t="shared" si="3"/>
        <v>105.06666666699999</v>
      </c>
      <c r="Z30" s="3734">
        <v>104.0666667</v>
      </c>
      <c r="AA30" s="3734">
        <f t="shared" si="4"/>
        <v>99.266666666999996</v>
      </c>
      <c r="AB30" s="3734">
        <v>-0.73333333300000003</v>
      </c>
      <c r="AC30" s="3734">
        <v>2.4771731564508599</v>
      </c>
      <c r="AD30" s="3734">
        <v>1.5945880647499422</v>
      </c>
      <c r="AE30" s="3734">
        <v>3.9696676675657683</v>
      </c>
      <c r="AF30">
        <v>79.8</v>
      </c>
    </row>
    <row r="31" spans="22:40">
      <c r="V31" s="4117">
        <f t="shared" ref="V31" si="10">V27+1</f>
        <v>2006</v>
      </c>
      <c r="W31" s="4117" t="str">
        <f t="shared" ref="W31" si="11">RIGHT(V31,2)</f>
        <v>06</v>
      </c>
      <c r="X31" s="3734">
        <v>2.3348027379660241</v>
      </c>
      <c r="Y31" s="3734">
        <f t="shared" si="3"/>
        <v>107.833333333</v>
      </c>
      <c r="Z31" s="3734">
        <v>105.8</v>
      </c>
      <c r="AA31" s="3734">
        <f t="shared" si="4"/>
        <v>102.033333333</v>
      </c>
      <c r="AB31" s="3734">
        <v>2.0333333329999999</v>
      </c>
      <c r="AC31" s="3734">
        <v>2.5860305249805862</v>
      </c>
      <c r="AD31" s="3734">
        <v>1.3559731219571205</v>
      </c>
      <c r="AE31" s="3734">
        <v>2.8166944253943393</v>
      </c>
      <c r="AF31">
        <v>79.8</v>
      </c>
    </row>
    <row r="32" spans="22:40">
      <c r="V32" s="4118"/>
      <c r="W32" s="4118"/>
      <c r="X32" s="3734">
        <v>2.1589869623196645</v>
      </c>
      <c r="Y32" s="3734">
        <f t="shared" si="3"/>
        <v>111.5</v>
      </c>
      <c r="Z32" s="3734">
        <v>110.1333333</v>
      </c>
      <c r="AA32" s="3734">
        <f t="shared" si="4"/>
        <v>105.7</v>
      </c>
      <c r="AB32" s="3734">
        <v>5.7</v>
      </c>
      <c r="AC32" s="3734">
        <v>2.5913835489461263</v>
      </c>
      <c r="AD32" s="3734">
        <v>1.643070787637086</v>
      </c>
      <c r="AE32" s="3734">
        <v>-1.4847285067873361</v>
      </c>
      <c r="AF32">
        <v>82.8</v>
      </c>
    </row>
    <row r="33" spans="22:32">
      <c r="V33" s="4118"/>
      <c r="W33" s="4118"/>
      <c r="X33" s="3734">
        <v>2.6227384507289786</v>
      </c>
      <c r="Y33" s="3734">
        <f t="shared" si="3"/>
        <v>112.36666666699999</v>
      </c>
      <c r="Z33" s="3734">
        <v>112.3</v>
      </c>
      <c r="AA33" s="3734">
        <f t="shared" si="4"/>
        <v>106.56666666699999</v>
      </c>
      <c r="AB33" s="3734">
        <v>6.5666666669999998</v>
      </c>
      <c r="AC33" s="3734">
        <v>2.2106318956870723</v>
      </c>
      <c r="AD33" s="3734">
        <v>1.8625844358287793</v>
      </c>
      <c r="AE33" s="3734">
        <v>2.4085938629028414</v>
      </c>
      <c r="AF33">
        <v>84.7</v>
      </c>
    </row>
    <row r="34" spans="22:32">
      <c r="V34" s="4119"/>
      <c r="W34" s="4119"/>
      <c r="X34" s="3734">
        <v>2.9046908524565263</v>
      </c>
      <c r="Y34" s="3734">
        <f t="shared" si="3"/>
        <v>112.3</v>
      </c>
      <c r="Z34" s="3734">
        <v>113.3</v>
      </c>
      <c r="AA34" s="3734">
        <f t="shared" si="4"/>
        <v>106.5</v>
      </c>
      <c r="AB34" s="3734">
        <v>6.5</v>
      </c>
      <c r="AC34" s="3734">
        <v>1.9298385807895215</v>
      </c>
      <c r="AD34" s="3734">
        <v>1.589377724930614</v>
      </c>
      <c r="AE34" s="3734">
        <v>4.2145968965686009</v>
      </c>
      <c r="AF34">
        <v>83.8</v>
      </c>
    </row>
    <row r="35" spans="22:32">
      <c r="V35" s="4117">
        <f t="shared" ref="V35" si="12">V31+1</f>
        <v>2007</v>
      </c>
      <c r="W35" s="4117" t="str">
        <f t="shared" ref="W35" si="13">RIGHT(V35,2)</f>
        <v>07</v>
      </c>
      <c r="X35" s="3734">
        <v>3.5781544256120457</v>
      </c>
      <c r="Y35" s="3734">
        <f t="shared" si="3"/>
        <v>110.666666667</v>
      </c>
      <c r="Z35" s="3734">
        <v>112.2333333</v>
      </c>
      <c r="AA35" s="3734">
        <f t="shared" si="4"/>
        <v>104.866666667</v>
      </c>
      <c r="AB35" s="3734">
        <v>4.8666666669999996</v>
      </c>
      <c r="AC35" s="3734">
        <v>1.7709704439391913</v>
      </c>
      <c r="AD35" s="3734">
        <v>1.7864231838030946</v>
      </c>
      <c r="AE35" s="3734">
        <v>4.7596359998094195</v>
      </c>
      <c r="AF35">
        <v>82.2</v>
      </c>
    </row>
    <row r="36" spans="22:32">
      <c r="V36" s="4118"/>
      <c r="W36" s="4118"/>
      <c r="X36" s="3734">
        <v>3.6463277811340289</v>
      </c>
      <c r="Y36" s="3734">
        <f t="shared" si="3"/>
        <v>112.833333333</v>
      </c>
      <c r="Z36" s="3734">
        <v>116.2666667</v>
      </c>
      <c r="AA36" s="3734">
        <f t="shared" si="4"/>
        <v>107.033333333</v>
      </c>
      <c r="AB36" s="3734">
        <v>7.0333333329999999</v>
      </c>
      <c r="AC36" s="3734">
        <v>1.4613450659961984</v>
      </c>
      <c r="AD36" s="3734">
        <v>1.863695217169564</v>
      </c>
      <c r="AE36" s="3734">
        <v>6.7125974833740054</v>
      </c>
      <c r="AF36">
        <v>82.6</v>
      </c>
    </row>
    <row r="37" spans="22:32">
      <c r="V37" s="4118"/>
      <c r="W37" s="4118"/>
      <c r="X37" s="3734">
        <v>3.5741412326026678</v>
      </c>
      <c r="Y37" s="3734">
        <f t="shared" si="3"/>
        <v>111.43333333299999</v>
      </c>
      <c r="Z37" s="3734">
        <v>114.2333333</v>
      </c>
      <c r="AA37" s="3734">
        <f t="shared" si="4"/>
        <v>105.633333333</v>
      </c>
      <c r="AB37" s="3734">
        <v>5.6333333330000004</v>
      </c>
      <c r="AC37" s="3734">
        <v>1.299262050557374</v>
      </c>
      <c r="AD37" s="3734">
        <v>1.7932116931528554</v>
      </c>
      <c r="AE37" s="3734">
        <v>6.9429418128792442</v>
      </c>
      <c r="AF37">
        <v>83.4</v>
      </c>
    </row>
    <row r="38" spans="22:32">
      <c r="V38" s="4119"/>
      <c r="W38" s="4119"/>
      <c r="X38" s="3734">
        <v>2.9878074594640536</v>
      </c>
      <c r="Y38" s="3734">
        <f t="shared" si="3"/>
        <v>107.39999999999999</v>
      </c>
      <c r="Z38" s="3734">
        <v>108.3666667</v>
      </c>
      <c r="AA38" s="3734">
        <f t="shared" si="4"/>
        <v>101.6</v>
      </c>
      <c r="AB38" s="3734">
        <v>1.6</v>
      </c>
      <c r="AC38" s="3734">
        <v>2.7321547567715783</v>
      </c>
      <c r="AD38" s="3734">
        <v>2.1614451250438975</v>
      </c>
      <c r="AE38" s="3734">
        <v>8.5767966181305777</v>
      </c>
      <c r="AF38">
        <v>83.9</v>
      </c>
    </row>
    <row r="39" spans="22:32">
      <c r="V39" s="4117">
        <f t="shared" ref="V39" si="14">V35+1</f>
        <v>2008</v>
      </c>
      <c r="W39" s="4117" t="str">
        <f t="shared" ref="W39" si="15">RIGHT(V39,2)</f>
        <v>08</v>
      </c>
      <c r="X39" s="3734">
        <v>2.2664576802507774</v>
      </c>
      <c r="Y39" s="3734">
        <f t="shared" si="3"/>
        <v>107.666666667</v>
      </c>
      <c r="Z39" s="3734">
        <v>106.16666669999999</v>
      </c>
      <c r="AA39" s="3734">
        <f t="shared" si="4"/>
        <v>101.866666667</v>
      </c>
      <c r="AB39" s="3734">
        <v>1.8666666670000001</v>
      </c>
      <c r="AC39" s="3734">
        <v>3.8487164413090369</v>
      </c>
      <c r="AD39" s="3734">
        <v>2.5117004680187449</v>
      </c>
      <c r="AE39" s="3734">
        <v>5.8850281971984719</v>
      </c>
      <c r="AF39">
        <v>83</v>
      </c>
    </row>
    <row r="40" spans="22:32">
      <c r="V40" s="4118"/>
      <c r="W40" s="4118"/>
      <c r="X40" s="3734">
        <v>2.0286023564678013</v>
      </c>
      <c r="Y40" s="3734">
        <f t="shared" si="3"/>
        <v>104.89999999999999</v>
      </c>
      <c r="Z40" s="3734">
        <v>104.6333333</v>
      </c>
      <c r="AA40" s="3734">
        <f t="shared" si="4"/>
        <v>99.1</v>
      </c>
      <c r="AB40" s="3734">
        <v>-0.9</v>
      </c>
      <c r="AC40" s="3734">
        <v>4.9790924577977478</v>
      </c>
      <c r="AD40" s="3734">
        <v>2.5190663277097229</v>
      </c>
      <c r="AE40" s="3734">
        <v>4.4879842180774787</v>
      </c>
      <c r="AF40">
        <v>83.3</v>
      </c>
    </row>
    <row r="41" spans="22:32">
      <c r="V41" s="4118"/>
      <c r="W41" s="4118"/>
      <c r="X41" s="3734">
        <v>0.73746617364538469</v>
      </c>
      <c r="Y41" s="3734">
        <f t="shared" si="3"/>
        <v>101.1</v>
      </c>
      <c r="Z41" s="3734">
        <v>99.566666670000004</v>
      </c>
      <c r="AA41" s="3734">
        <f t="shared" si="4"/>
        <v>95.3</v>
      </c>
      <c r="AB41" s="3734">
        <v>-4.7</v>
      </c>
      <c r="AC41" s="3734">
        <v>5.5682566745456796</v>
      </c>
      <c r="AD41" s="3734">
        <v>2.8987741885745208</v>
      </c>
      <c r="AE41" s="3734">
        <v>0.35188036067737016</v>
      </c>
      <c r="AF41">
        <v>82.7</v>
      </c>
    </row>
    <row r="42" spans="22:32">
      <c r="V42" s="4119"/>
      <c r="W42" s="4119"/>
      <c r="X42" s="3734">
        <v>-1.8672860123115531</v>
      </c>
      <c r="Y42" s="3734">
        <f t="shared" si="3"/>
        <v>84.266666669999992</v>
      </c>
      <c r="Z42" s="3734">
        <v>81.533333330000005</v>
      </c>
      <c r="AA42" s="3734">
        <f t="shared" si="4"/>
        <v>78.466666669999995</v>
      </c>
      <c r="AB42" s="3734">
        <v>-21.533333330000001</v>
      </c>
      <c r="AC42" s="3734">
        <v>3.5676129426129393</v>
      </c>
      <c r="AD42" s="3734">
        <v>2.9253389345044667</v>
      </c>
      <c r="AE42" s="3734">
        <v>-2.8940993251427627</v>
      </c>
      <c r="AF42">
        <v>82.8</v>
      </c>
    </row>
    <row r="43" spans="22:32">
      <c r="V43" s="4117">
        <f t="shared" ref="V43" si="16">V39+1</f>
        <v>2009</v>
      </c>
      <c r="W43" s="4117" t="str">
        <f t="shared" ref="W43" si="17">RIGHT(V43,2)</f>
        <v>09</v>
      </c>
      <c r="X43" s="3734">
        <v>-3.5527082119976794</v>
      </c>
      <c r="Y43" s="3734">
        <f t="shared" si="3"/>
        <v>75.533333329999991</v>
      </c>
      <c r="Z43" s="3734">
        <v>71.5</v>
      </c>
      <c r="AA43" s="3734">
        <f t="shared" si="4"/>
        <v>69.733333329999994</v>
      </c>
      <c r="AB43" s="3734">
        <v>-30.266666669999999</v>
      </c>
      <c r="AC43" s="3734">
        <v>1.5511189946031578</v>
      </c>
      <c r="AD43" s="3734">
        <v>2.3436311063765203</v>
      </c>
      <c r="AE43" s="3734">
        <v>-6.5372390688085202</v>
      </c>
      <c r="AF43">
        <v>73.7</v>
      </c>
    </row>
    <row r="44" spans="22:32">
      <c r="V44" s="4118"/>
      <c r="W44" s="4118"/>
      <c r="X44" s="3734">
        <v>-3.8112726345320147</v>
      </c>
      <c r="Y44" s="3734">
        <f t="shared" si="3"/>
        <v>78.933333329999996</v>
      </c>
      <c r="Z44" s="3734">
        <v>74.099999999999994</v>
      </c>
      <c r="AA44" s="3734">
        <f t="shared" si="4"/>
        <v>73.133333329999999</v>
      </c>
      <c r="AB44" s="3734">
        <v>-26.866666670000001</v>
      </c>
      <c r="AC44" s="3734">
        <v>-0.19178284281183267</v>
      </c>
      <c r="AD44" s="3734">
        <v>2.3782687105500315</v>
      </c>
      <c r="AE44" s="3734">
        <v>-7.5649002360008488</v>
      </c>
      <c r="AF44">
        <v>69.7</v>
      </c>
    </row>
    <row r="45" spans="22:32">
      <c r="V45" s="4118"/>
      <c r="W45" s="4118"/>
      <c r="X45" s="3734">
        <v>-2.2484928023623008</v>
      </c>
      <c r="Y45" s="3734">
        <f t="shared" si="3"/>
        <v>86.2</v>
      </c>
      <c r="Z45" s="3734">
        <v>82.7</v>
      </c>
      <c r="AA45" s="3734">
        <f t="shared" si="4"/>
        <v>80.400000000000006</v>
      </c>
      <c r="AB45" s="3734">
        <v>-19.600000000000001</v>
      </c>
      <c r="AC45" s="3734">
        <v>-1.1525473498751921</v>
      </c>
      <c r="AD45" s="3734">
        <v>1.876826253090556</v>
      </c>
      <c r="AE45" s="3734">
        <v>-7.4950690335305765</v>
      </c>
      <c r="AF45">
        <v>72.8</v>
      </c>
    </row>
    <row r="46" spans="22:32">
      <c r="V46" s="4119"/>
      <c r="W46" s="4119"/>
      <c r="X46" s="3734">
        <v>0.68488846999688047</v>
      </c>
      <c r="Y46" s="3734">
        <f t="shared" si="3"/>
        <v>95.5</v>
      </c>
      <c r="Z46" s="3734">
        <v>92.466666669999995</v>
      </c>
      <c r="AA46" s="3734">
        <f t="shared" si="4"/>
        <v>89.7</v>
      </c>
      <c r="AB46" s="3734">
        <v>-10.3</v>
      </c>
      <c r="AC46" s="3734">
        <v>-0.1915779390634782</v>
      </c>
      <c r="AD46" s="3734">
        <v>1.5175689213758403</v>
      </c>
      <c r="AE46" s="3734">
        <v>-4.8737024992203786</v>
      </c>
      <c r="AF46">
        <v>74.099999999999994</v>
      </c>
    </row>
    <row r="47" spans="22:32">
      <c r="V47" s="4117">
        <f t="shared" ref="V47" si="18">V43+1</f>
        <v>2010</v>
      </c>
      <c r="W47" s="4117" t="str">
        <f t="shared" ref="W47" si="19">RIGHT(V47,2)</f>
        <v>10</v>
      </c>
      <c r="X47" s="3734">
        <v>2.340240698364271</v>
      </c>
      <c r="Y47" s="3734">
        <f t="shared" ref="Y47:Y78" si="20">AA47+$AB$13</f>
        <v>99.933333332999993</v>
      </c>
      <c r="Z47" s="3734">
        <v>99.066666670000004</v>
      </c>
      <c r="AA47" s="3734">
        <f t="shared" ref="AA47:AA78" si="21">AB47+100</f>
        <v>94.133333332999996</v>
      </c>
      <c r="AB47" s="3734">
        <v>-5.8666666669999996</v>
      </c>
      <c r="AC47" s="3734">
        <v>1.1706555671175778</v>
      </c>
      <c r="AD47" s="3734">
        <v>1.144981412639396</v>
      </c>
      <c r="AE47" s="3734">
        <v>-3.4834558823529482</v>
      </c>
      <c r="AF47">
        <v>73.3</v>
      </c>
    </row>
    <row r="48" spans="22:32">
      <c r="V48" s="4118"/>
      <c r="W48" s="4118"/>
      <c r="X48" s="3734">
        <v>3.4860906362353949</v>
      </c>
      <c r="Y48" s="3734">
        <f t="shared" si="20"/>
        <v>100.8</v>
      </c>
      <c r="Z48" s="3734">
        <v>102.5666667</v>
      </c>
      <c r="AA48" s="3734">
        <f t="shared" si="21"/>
        <v>95</v>
      </c>
      <c r="AB48" s="3734">
        <v>-5</v>
      </c>
      <c r="AC48" s="3734">
        <v>2.4092823885891761</v>
      </c>
      <c r="AD48" s="3734">
        <v>1.0532496605380146</v>
      </c>
      <c r="AE48" s="3734">
        <v>-2.3303314455482393</v>
      </c>
      <c r="AF48">
        <v>76.599999999999994</v>
      </c>
    </row>
    <row r="49" spans="22:32">
      <c r="V49" s="4118"/>
      <c r="W49" s="4118"/>
      <c r="X49" s="3734">
        <v>2.7984350580559925</v>
      </c>
      <c r="Y49" s="3734">
        <f t="shared" si="20"/>
        <v>100.8</v>
      </c>
      <c r="Z49" s="3734">
        <v>105.83333330000001</v>
      </c>
      <c r="AA49" s="3734">
        <f t="shared" si="21"/>
        <v>95</v>
      </c>
      <c r="AB49" s="3734">
        <v>-5</v>
      </c>
      <c r="AC49" s="3734">
        <v>2.584478277014469</v>
      </c>
      <c r="AD49" s="3734">
        <v>1.0038610038610045</v>
      </c>
      <c r="AE49" s="3734">
        <v>1.4735844586590829</v>
      </c>
      <c r="AF49">
        <v>79.900000000000006</v>
      </c>
    </row>
    <row r="50" spans="22:32">
      <c r="V50" s="4119"/>
      <c r="W50" s="4119"/>
      <c r="X50" s="3734">
        <v>2.3589615576635081</v>
      </c>
      <c r="Y50" s="3734">
        <f t="shared" si="20"/>
        <v>106.166666667</v>
      </c>
      <c r="Z50" s="3734">
        <v>111.9333333</v>
      </c>
      <c r="AA50" s="3734">
        <f t="shared" si="21"/>
        <v>100.366666667</v>
      </c>
      <c r="AB50" s="3734">
        <v>0.366666667</v>
      </c>
      <c r="AC50" s="3734">
        <v>3.1817662054042017</v>
      </c>
      <c r="AD50" s="3734">
        <v>1.3433976557283671</v>
      </c>
      <c r="AE50" s="3734">
        <v>1.1052311150657745</v>
      </c>
      <c r="AF50">
        <v>81.099999999999994</v>
      </c>
    </row>
    <row r="51" spans="22:32">
      <c r="V51" s="4117">
        <f t="shared" ref="V51" si="22">V47+1</f>
        <v>2011</v>
      </c>
      <c r="W51" s="4117" t="str">
        <f t="shared" ref="W51" si="23">RIGHT(V51,2)</f>
        <v>11</v>
      </c>
      <c r="X51" s="3734">
        <v>2.548627860995234</v>
      </c>
      <c r="Y51" s="3734">
        <f t="shared" si="20"/>
        <v>111.3</v>
      </c>
      <c r="Z51" s="3734">
        <v>115.3</v>
      </c>
      <c r="AA51" s="3734">
        <f t="shared" si="21"/>
        <v>105.5</v>
      </c>
      <c r="AB51" s="3734">
        <v>5.5</v>
      </c>
      <c r="AC51" s="3734">
        <v>3.4810833087036315</v>
      </c>
      <c r="AD51" s="3734">
        <v>1.7483028316581652</v>
      </c>
      <c r="AE51" s="3734">
        <v>3.7567850680887638</v>
      </c>
      <c r="AF51">
        <v>78.400000000000006</v>
      </c>
    </row>
    <row r="52" spans="22:32">
      <c r="V52" s="4118"/>
      <c r="W52" s="4118"/>
      <c r="X52" s="3734">
        <v>1.8170451750430638</v>
      </c>
      <c r="Y52" s="3734">
        <f t="shared" si="20"/>
        <v>106.2</v>
      </c>
      <c r="Z52" s="3734">
        <v>111.7333333</v>
      </c>
      <c r="AA52" s="3734">
        <f t="shared" si="21"/>
        <v>100.4</v>
      </c>
      <c r="AB52" s="3734">
        <v>0.4</v>
      </c>
      <c r="AC52" s="3734">
        <v>3.167044467544855</v>
      </c>
      <c r="AD52" s="3734">
        <v>1.5829250374098649</v>
      </c>
      <c r="AE52" s="3734">
        <v>5.5560836501901134</v>
      </c>
      <c r="AF52">
        <v>80.5</v>
      </c>
    </row>
    <row r="53" spans="22:32">
      <c r="V53" s="4118"/>
      <c r="W53" s="4118"/>
      <c r="X53" s="3734">
        <v>1.5958043813196987</v>
      </c>
      <c r="Y53" s="3734">
        <f t="shared" si="20"/>
        <v>99.233333333000004</v>
      </c>
      <c r="Z53" s="3734">
        <v>101.8</v>
      </c>
      <c r="AA53" s="3734">
        <f t="shared" si="21"/>
        <v>93.433333333000007</v>
      </c>
      <c r="AB53" s="3734">
        <v>-6.5666666669999998</v>
      </c>
      <c r="AC53" s="3734">
        <v>3.6064791529764051</v>
      </c>
      <c r="AD53" s="3734">
        <v>2.0026857803838283</v>
      </c>
      <c r="AE53" s="3734">
        <v>3.492715726559581</v>
      </c>
      <c r="AF53">
        <v>80.400000000000006</v>
      </c>
    </row>
    <row r="54" spans="22:32">
      <c r="V54" s="4119"/>
      <c r="W54" s="4119"/>
      <c r="X54" s="3734">
        <v>1.2457830345892873</v>
      </c>
      <c r="Y54" s="3734">
        <f t="shared" si="20"/>
        <v>94.733333329999994</v>
      </c>
      <c r="Z54" s="3734">
        <v>95.333333330000002</v>
      </c>
      <c r="AA54" s="3734">
        <f t="shared" si="21"/>
        <v>88.933333329999996</v>
      </c>
      <c r="AB54" s="3734">
        <v>-11.06666667</v>
      </c>
      <c r="AC54" s="3734">
        <v>3.2979032862249937</v>
      </c>
      <c r="AD54" s="3734">
        <v>1.8337791136970623</v>
      </c>
      <c r="AE54" s="3734">
        <v>4.0900458566862863</v>
      </c>
      <c r="AF54">
        <v>79.8</v>
      </c>
    </row>
    <row r="55" spans="22:32">
      <c r="V55" s="4117">
        <f t="shared" ref="V55" si="24">V51+1</f>
        <v>2012</v>
      </c>
      <c r="W55" s="4117" t="str">
        <f t="shared" ref="W55" si="25">RIGHT(V55,2)</f>
        <v>12</v>
      </c>
      <c r="X55" s="3734">
        <v>0.77627368442303446</v>
      </c>
      <c r="Y55" s="3734">
        <f t="shared" si="20"/>
        <v>96.86666666699999</v>
      </c>
      <c r="Z55" s="3734">
        <v>95.1</v>
      </c>
      <c r="AA55" s="3734">
        <f t="shared" si="21"/>
        <v>91.066666666999993</v>
      </c>
      <c r="AB55" s="3734">
        <v>-8.9333333330000002</v>
      </c>
      <c r="AC55" s="3734">
        <v>3.267775387892911</v>
      </c>
      <c r="AD55" s="3734">
        <v>2.1668102260600932</v>
      </c>
      <c r="AE55" s="3734">
        <v>2.2899362121976852</v>
      </c>
      <c r="AF55">
        <v>76.7</v>
      </c>
    </row>
    <row r="56" spans="22:32">
      <c r="V56" s="4118"/>
      <c r="W56" s="4118"/>
      <c r="X56" s="3734">
        <v>0.29190027076264613</v>
      </c>
      <c r="Y56" s="3734">
        <f t="shared" si="20"/>
        <v>94.1</v>
      </c>
      <c r="Z56" s="3734">
        <v>92.066666670000004</v>
      </c>
      <c r="AA56" s="3734">
        <f t="shared" si="21"/>
        <v>88.3</v>
      </c>
      <c r="AB56" s="3734">
        <v>-11.7</v>
      </c>
      <c r="AC56" s="3734">
        <v>2.5673368168364732</v>
      </c>
      <c r="AD56" s="3734">
        <v>2.1117064467873519</v>
      </c>
      <c r="AE56" s="3734">
        <v>0.6078616776982404</v>
      </c>
      <c r="AF56">
        <v>77.7</v>
      </c>
    </row>
    <row r="57" spans="22:32">
      <c r="V57" s="4118"/>
      <c r="W57" s="4118"/>
      <c r="X57" s="3734">
        <v>3.0129254501809477E-2</v>
      </c>
      <c r="Y57" s="3734">
        <f t="shared" si="20"/>
        <v>94.233333329999994</v>
      </c>
      <c r="Z57" s="3734">
        <v>91.366666670000001</v>
      </c>
      <c r="AA57" s="3734">
        <f t="shared" si="21"/>
        <v>88.433333329999996</v>
      </c>
      <c r="AB57" s="3734">
        <v>-11.56666667</v>
      </c>
      <c r="AC57" s="3734">
        <v>2.4046495566193187</v>
      </c>
      <c r="AD57" s="3734">
        <v>1.9434794810437808</v>
      </c>
      <c r="AE57" s="3734">
        <v>0.51885941165854543</v>
      </c>
      <c r="AF57">
        <v>78.099999999999994</v>
      </c>
    </row>
    <row r="58" spans="22:32">
      <c r="V58" s="4119"/>
      <c r="W58" s="4119"/>
      <c r="X58" s="3734">
        <v>-0.15757040486562568</v>
      </c>
      <c r="Y58" s="3734">
        <f t="shared" si="20"/>
        <v>92.899999999999991</v>
      </c>
      <c r="Z58" s="3734">
        <v>88.3</v>
      </c>
      <c r="AA58" s="3734">
        <f t="shared" si="21"/>
        <v>87.1</v>
      </c>
      <c r="AB58" s="3734">
        <v>-12.9</v>
      </c>
      <c r="AC58" s="3734">
        <v>2.3014672415075665</v>
      </c>
      <c r="AD58" s="3734">
        <v>2.036000494771244</v>
      </c>
      <c r="AE58" s="3734">
        <v>-2.5542897828408795</v>
      </c>
      <c r="AF58">
        <v>76.900000000000006</v>
      </c>
    </row>
    <row r="59" spans="22:32">
      <c r="V59" s="4117">
        <f t="shared" ref="V59" si="26">V55+1</f>
        <v>2013</v>
      </c>
      <c r="W59" s="4117" t="str">
        <f t="shared" ref="W59" si="27">RIGHT(V59,2)</f>
        <v>13</v>
      </c>
      <c r="X59" s="3734">
        <v>-0.67012581136308702</v>
      </c>
      <c r="Y59" s="3734">
        <f t="shared" si="20"/>
        <v>92.733333329999994</v>
      </c>
      <c r="Z59" s="3734">
        <v>91.1</v>
      </c>
      <c r="AA59" s="3734">
        <f t="shared" si="21"/>
        <v>86.933333329999996</v>
      </c>
      <c r="AB59" s="3734">
        <v>-13.06666667</v>
      </c>
      <c r="AC59" s="3734">
        <v>1.4808809069420334</v>
      </c>
      <c r="AD59" s="3734">
        <v>1.789347554410142</v>
      </c>
      <c r="AE59" s="3734">
        <v>-2.4764468371467063</v>
      </c>
      <c r="AF59">
        <v>74</v>
      </c>
    </row>
    <row r="60" spans="22:32">
      <c r="V60" s="4118"/>
      <c r="W60" s="4118"/>
      <c r="X60" s="3734">
        <v>1.0036230793319945E-3</v>
      </c>
      <c r="Y60" s="3734">
        <f t="shared" si="20"/>
        <v>92.5</v>
      </c>
      <c r="Z60" s="3734">
        <v>89</v>
      </c>
      <c r="AA60" s="3734">
        <f t="shared" si="21"/>
        <v>86.7</v>
      </c>
      <c r="AB60" s="3734">
        <v>-13.3</v>
      </c>
      <c r="AC60" s="3734">
        <v>1.3625009366243575</v>
      </c>
      <c r="AD60" s="3734">
        <v>1.7894139604464954</v>
      </c>
      <c r="AE60" s="3734">
        <v>-2.1034729681346342</v>
      </c>
      <c r="AF60">
        <v>75.2</v>
      </c>
    </row>
    <row r="61" spans="22:32">
      <c r="V61" s="4118"/>
      <c r="W61" s="4118"/>
      <c r="X61" s="3734">
        <v>0.52810714751858612</v>
      </c>
      <c r="Y61" s="3734">
        <f t="shared" si="20"/>
        <v>96.7</v>
      </c>
      <c r="Z61" s="3734">
        <v>95.733333329999994</v>
      </c>
      <c r="AA61" s="3734">
        <f t="shared" si="21"/>
        <v>90.9</v>
      </c>
      <c r="AB61" s="3734">
        <v>-9.1</v>
      </c>
      <c r="AC61" s="3734">
        <v>1.2528471031776576</v>
      </c>
      <c r="AD61" s="3734">
        <v>1.8013889361579771</v>
      </c>
      <c r="AE61" s="3734">
        <v>-1.5664975986354857</v>
      </c>
      <c r="AF61">
        <v>77.099999999999994</v>
      </c>
    </row>
    <row r="62" spans="22:32">
      <c r="V62" s="4119"/>
      <c r="W62" s="4119"/>
      <c r="X62" s="3734">
        <v>0.94691448618329233</v>
      </c>
      <c r="Y62" s="3734">
        <f t="shared" si="20"/>
        <v>99.666666667000001</v>
      </c>
      <c r="Z62" s="3734">
        <v>101.66666669999999</v>
      </c>
      <c r="AA62" s="3734">
        <f t="shared" si="21"/>
        <v>93.866666667000004</v>
      </c>
      <c r="AB62" s="3734">
        <v>-6.1333333330000004</v>
      </c>
      <c r="AC62" s="3734">
        <v>0.93999156842406251</v>
      </c>
      <c r="AD62" s="3734">
        <v>1.7732405504951885</v>
      </c>
      <c r="AE62" s="3734">
        <v>0.21919810028314668</v>
      </c>
      <c r="AF62">
        <v>78</v>
      </c>
    </row>
    <row r="63" spans="22:32">
      <c r="V63" s="4117">
        <f t="shared" ref="V63" si="28">V59+1</f>
        <v>2014</v>
      </c>
      <c r="W63" s="4117" t="str">
        <f t="shared" ref="W63" si="29">RIGHT(V63,2)</f>
        <v>14</v>
      </c>
      <c r="X63" s="3734">
        <v>1.5772011738249159</v>
      </c>
      <c r="Y63" s="3734">
        <f t="shared" si="20"/>
        <v>101.133333333</v>
      </c>
      <c r="Z63" s="3734">
        <v>105.0666667</v>
      </c>
      <c r="AA63" s="3734">
        <f t="shared" si="21"/>
        <v>95.333333332999999</v>
      </c>
      <c r="AB63" s="3734">
        <v>-4.6666666670000003</v>
      </c>
      <c r="AC63" s="3734">
        <v>0.92159643193419072</v>
      </c>
      <c r="AD63" s="3734">
        <v>1.5872436680138549</v>
      </c>
      <c r="AE63" s="3734">
        <v>2.7877449627380591</v>
      </c>
      <c r="AF63">
        <v>77.3</v>
      </c>
    </row>
    <row r="64" spans="22:32">
      <c r="V64" s="4118"/>
      <c r="W64" s="4118"/>
      <c r="X64" s="3734">
        <v>1.3418305901244487</v>
      </c>
      <c r="Y64" s="3734">
        <f t="shared" si="20"/>
        <v>99.933333332999993</v>
      </c>
      <c r="Z64" s="3734">
        <v>103.1</v>
      </c>
      <c r="AA64" s="3734">
        <f t="shared" si="21"/>
        <v>94.133333332999996</v>
      </c>
      <c r="AB64" s="3734">
        <v>-5.8666666669999996</v>
      </c>
      <c r="AC64" s="3734">
        <v>0.67687366446105557</v>
      </c>
      <c r="AD64" s="3734">
        <v>1.7684838496145261</v>
      </c>
      <c r="AE64" s="3734">
        <v>3.8721770138063549</v>
      </c>
      <c r="AF64">
        <v>78.8</v>
      </c>
    </row>
    <row r="65" spans="22:32">
      <c r="V65" s="4118"/>
      <c r="W65" s="4118"/>
      <c r="X65" s="3734">
        <v>1.2394259290700704</v>
      </c>
      <c r="Y65" s="3734">
        <f t="shared" si="20"/>
        <v>98.466666666999998</v>
      </c>
      <c r="Z65" s="3734">
        <v>100.8</v>
      </c>
      <c r="AA65" s="3734">
        <f t="shared" si="21"/>
        <v>92.666666667000001</v>
      </c>
      <c r="AB65" s="3734">
        <v>-7.3333333329999997</v>
      </c>
      <c r="AC65" s="3734">
        <v>0.38463577157999396</v>
      </c>
      <c r="AD65" s="3734">
        <v>1.610460228067609</v>
      </c>
      <c r="AE65" s="3734">
        <v>11.349749202006398</v>
      </c>
      <c r="AF65">
        <v>80</v>
      </c>
    </row>
    <row r="66" spans="22:32">
      <c r="V66" s="4119"/>
      <c r="W66" s="4119"/>
      <c r="X66" s="3734">
        <v>1.2507094988200018</v>
      </c>
      <c r="Y66" s="3734">
        <f t="shared" si="20"/>
        <v>99.2</v>
      </c>
      <c r="Z66" s="3734">
        <v>98.766666670000006</v>
      </c>
      <c r="AA66" s="3734">
        <f t="shared" si="21"/>
        <v>93.4</v>
      </c>
      <c r="AB66" s="3734">
        <v>-6.6</v>
      </c>
      <c r="AC66" s="3734">
        <v>-3.955504369088203E-3</v>
      </c>
      <c r="AD66" s="3734">
        <v>1.3189960026961671</v>
      </c>
      <c r="AE66" s="3734">
        <v>5.809714754397155</v>
      </c>
      <c r="AF66">
        <v>79.599999999999994</v>
      </c>
    </row>
    <row r="67" spans="22:32">
      <c r="V67" s="4117">
        <f t="shared" ref="V67" si="30">V63+1</f>
        <v>2015</v>
      </c>
      <c r="W67" s="4117" t="str">
        <f t="shared" ref="W67" si="31">RIGHT(V67,2)</f>
        <v>15</v>
      </c>
      <c r="X67" s="3734">
        <v>1.3620975508056521</v>
      </c>
      <c r="Y67" s="3734">
        <f t="shared" si="20"/>
        <v>98</v>
      </c>
      <c r="Z67" s="3734">
        <v>98.866666670000001</v>
      </c>
      <c r="AA67" s="3734">
        <f t="shared" si="21"/>
        <v>92.2</v>
      </c>
      <c r="AB67" s="3734">
        <v>-7.8</v>
      </c>
      <c r="AC67" s="3734">
        <v>-0.40585998622488262</v>
      </c>
      <c r="AD67" s="3734">
        <v>1.5719731408831592</v>
      </c>
      <c r="AE67" s="3734">
        <v>13.936627282491919</v>
      </c>
      <c r="AF67">
        <v>78.3</v>
      </c>
    </row>
    <row r="68" spans="22:32">
      <c r="V68" s="4118"/>
      <c r="W68" s="4118"/>
      <c r="X68" s="3734">
        <v>1.5825385978985196</v>
      </c>
      <c r="Y68" s="3734">
        <f t="shared" si="20"/>
        <v>100.8</v>
      </c>
      <c r="Z68" s="3734">
        <v>102.7</v>
      </c>
      <c r="AA68" s="3734">
        <f t="shared" si="21"/>
        <v>95</v>
      </c>
      <c r="AB68" s="3734">
        <v>-5</v>
      </c>
      <c r="AC68" s="3734">
        <v>0.66708790911307858</v>
      </c>
      <c r="AD68" s="3734">
        <v>1.4529393781291304</v>
      </c>
      <c r="AE68" s="3734">
        <v>0.19805466308699948</v>
      </c>
      <c r="AF68">
        <v>80.099999999999994</v>
      </c>
    </row>
    <row r="69" spans="22:32">
      <c r="V69" s="4118"/>
      <c r="W69" s="4118"/>
      <c r="X69" s="3734">
        <v>1.2499013495383293</v>
      </c>
      <c r="Y69" s="3734">
        <f t="shared" si="20"/>
        <v>100.466666667</v>
      </c>
      <c r="Z69" s="3734">
        <v>101.4333333</v>
      </c>
      <c r="AA69" s="3734">
        <f t="shared" si="21"/>
        <v>94.666666667000001</v>
      </c>
      <c r="AB69" s="3734">
        <v>-5.3333333329999997</v>
      </c>
      <c r="AC69" s="3734">
        <v>0.81195210219418357</v>
      </c>
      <c r="AD69" s="3734">
        <v>1.5748353487646511</v>
      </c>
      <c r="AE69" s="3734">
        <v>-4.2794545231172538</v>
      </c>
      <c r="AF69">
        <v>80.5</v>
      </c>
    </row>
    <row r="70" spans="22:32">
      <c r="V70" s="4119"/>
      <c r="W70" s="4119"/>
      <c r="X70" s="3734">
        <v>1.4231060494300785</v>
      </c>
      <c r="Y70" s="3734">
        <f t="shared" si="20"/>
        <v>102.7</v>
      </c>
      <c r="Z70" s="3734">
        <v>103.16666669999999</v>
      </c>
      <c r="AA70" s="3734">
        <f t="shared" si="21"/>
        <v>96.9</v>
      </c>
      <c r="AB70" s="3734">
        <v>-3.1</v>
      </c>
      <c r="AC70" s="3734">
        <v>1.3174303632817157</v>
      </c>
      <c r="AD70" s="3734">
        <v>1.9024656081490861</v>
      </c>
      <c r="AE70" s="3734">
        <v>1.5804659575384461</v>
      </c>
      <c r="AF70">
        <v>79.2</v>
      </c>
    </row>
    <row r="71" spans="22:32">
      <c r="V71" s="4117">
        <f t="shared" ref="V71" si="32">V67+1</f>
        <v>2016</v>
      </c>
      <c r="W71" s="4117" t="str">
        <f t="shared" ref="W71" si="33">RIGHT(V71,2)</f>
        <v>16</v>
      </c>
      <c r="X71" s="3734">
        <v>1.2869861604912769</v>
      </c>
      <c r="Y71" s="3734">
        <f t="shared" si="20"/>
        <v>101.2</v>
      </c>
      <c r="Z71" s="3734">
        <v>100.8</v>
      </c>
      <c r="AA71" s="3734">
        <f t="shared" si="21"/>
        <v>95.4</v>
      </c>
      <c r="AB71" s="3734">
        <v>-4.5999999999999996</v>
      </c>
      <c r="AC71" s="3734">
        <v>1.5697500525035508</v>
      </c>
      <c r="AD71" s="3734">
        <v>2.1559623884492112</v>
      </c>
      <c r="AE71" s="3734">
        <v>-5.9195537748448324</v>
      </c>
      <c r="AF71">
        <v>78.2</v>
      </c>
    </row>
    <row r="72" spans="22:32">
      <c r="V72" s="4118"/>
      <c r="W72" s="4118"/>
      <c r="X72" s="3734">
        <v>1.563733853278082</v>
      </c>
      <c r="Y72" s="3734">
        <f t="shared" si="20"/>
        <v>104.3</v>
      </c>
      <c r="Z72" s="3734">
        <v>104.9</v>
      </c>
      <c r="AA72" s="3734">
        <f t="shared" si="21"/>
        <v>98.5</v>
      </c>
      <c r="AB72" s="3734">
        <v>-1.5</v>
      </c>
      <c r="AC72" s="3734">
        <v>1.6807425161342593</v>
      </c>
      <c r="AD72" s="3734">
        <v>2.163529197354876</v>
      </c>
      <c r="AE72" s="3734">
        <v>5.9518580339102289</v>
      </c>
      <c r="AF72">
        <v>79.400000000000006</v>
      </c>
    </row>
    <row r="73" spans="22:32">
      <c r="V73" s="4118"/>
      <c r="W73" s="4118"/>
      <c r="X73" s="3734">
        <v>1.6164076582062537</v>
      </c>
      <c r="Y73" s="3734">
        <f t="shared" si="20"/>
        <v>104.366666667</v>
      </c>
      <c r="Z73" s="3734">
        <v>104.4</v>
      </c>
      <c r="AA73" s="3734">
        <f t="shared" si="21"/>
        <v>98.566666667000007</v>
      </c>
      <c r="AB73" s="3734">
        <v>-1.433333333</v>
      </c>
      <c r="AC73" s="3734">
        <v>1.9714441160531919</v>
      </c>
      <c r="AD73" s="3734">
        <v>2.1516421373374897</v>
      </c>
      <c r="AE73" s="3734">
        <v>11.230426970137763</v>
      </c>
      <c r="AF73">
        <v>80.5</v>
      </c>
    </row>
    <row r="74" spans="22:32">
      <c r="V74" s="4119"/>
      <c r="W74" s="4119"/>
      <c r="X74" s="3734">
        <v>1.3963500959990771</v>
      </c>
      <c r="Y74" s="3734">
        <f t="shared" si="20"/>
        <v>104.533333333</v>
      </c>
      <c r="Z74" s="3734">
        <v>103.9333333</v>
      </c>
      <c r="AA74" s="3734">
        <f t="shared" si="21"/>
        <v>98.733333333000004</v>
      </c>
      <c r="AB74" s="3734">
        <v>-1.266666667</v>
      </c>
      <c r="AC74" s="3734">
        <v>1.9784739959676614</v>
      </c>
      <c r="AD74" s="3734">
        <v>1.6208115820181916</v>
      </c>
      <c r="AE74" s="3734">
        <v>4.0529082584364939</v>
      </c>
      <c r="AF74">
        <v>80.900000000000006</v>
      </c>
    </row>
    <row r="75" spans="22:32">
      <c r="V75" s="4117">
        <f t="shared" ref="V75" si="34">V71+1</f>
        <v>2017</v>
      </c>
      <c r="W75" s="4117" t="str">
        <f t="shared" ref="W75" si="35">RIGHT(V75,2)</f>
        <v>17</v>
      </c>
      <c r="X75" s="3734">
        <v>1.8092502876814409</v>
      </c>
      <c r="Y75" s="3734">
        <f t="shared" si="20"/>
        <v>105.06666666699999</v>
      </c>
      <c r="Z75" s="3734">
        <v>104.9333333</v>
      </c>
      <c r="AA75" s="3734">
        <f t="shared" si="21"/>
        <v>99.266666666999996</v>
      </c>
      <c r="AB75" s="3734">
        <v>-0.73333333300000003</v>
      </c>
      <c r="AC75" s="3734">
        <v>2.932023429607284</v>
      </c>
      <c r="AD75" s="3734">
        <v>1.4395052352356998</v>
      </c>
      <c r="AE75" s="3734">
        <v>2.6804726316228988</v>
      </c>
      <c r="AF75">
        <v>79.400000000000006</v>
      </c>
    </row>
    <row r="76" spans="22:32">
      <c r="V76" s="4118"/>
      <c r="W76" s="4118"/>
      <c r="X76" s="3734">
        <v>1.533898386431054</v>
      </c>
      <c r="Y76" s="3734">
        <f t="shared" si="20"/>
        <v>104.5</v>
      </c>
      <c r="Z76" s="3734">
        <v>106.5666667</v>
      </c>
      <c r="AA76" s="3734">
        <f t="shared" si="21"/>
        <v>98.7</v>
      </c>
      <c r="AB76" s="3734">
        <v>-1.3</v>
      </c>
      <c r="AC76" s="3734">
        <v>2.0144240531024877</v>
      </c>
      <c r="AD76" s="3734">
        <v>1.5615705973159919</v>
      </c>
      <c r="AE76" s="3734">
        <v>2.8439948592512643</v>
      </c>
      <c r="AF76">
        <v>81.8</v>
      </c>
    </row>
    <row r="77" spans="22:32">
      <c r="V77" s="4118"/>
      <c r="W77" s="4118"/>
      <c r="X77" s="3734">
        <v>1.6769900473661004</v>
      </c>
      <c r="Y77" s="3734">
        <f t="shared" si="20"/>
        <v>103.43333333299999</v>
      </c>
      <c r="Z77" s="3734">
        <v>105.1333333</v>
      </c>
      <c r="AA77" s="3734">
        <f t="shared" si="21"/>
        <v>97.633333332999996</v>
      </c>
      <c r="AB77" s="3734">
        <v>-2.3666666670000001</v>
      </c>
      <c r="AC77" s="3734">
        <v>1.9046469536035318</v>
      </c>
      <c r="AD77" s="3734">
        <v>1.7084574371841939</v>
      </c>
      <c r="AE77" s="3734">
        <v>-3.6501403900149887</v>
      </c>
      <c r="AF77">
        <v>81.900000000000006</v>
      </c>
    </row>
    <row r="78" spans="22:32">
      <c r="V78" s="4119"/>
      <c r="W78" s="4119"/>
      <c r="X78" s="3734">
        <v>1.9</v>
      </c>
      <c r="Y78" s="3734">
        <f t="shared" si="20"/>
        <v>106.533333333</v>
      </c>
      <c r="Z78" s="3734">
        <v>106.4</v>
      </c>
      <c r="AA78" s="3734">
        <f t="shared" si="21"/>
        <v>100.733333333</v>
      </c>
      <c r="AB78" s="3734">
        <v>0.73333333300000003</v>
      </c>
      <c r="AF78">
        <v>82.2</v>
      </c>
    </row>
  </sheetData>
  <mergeCells count="41">
    <mergeCell ref="V75:V78"/>
    <mergeCell ref="V7:V10"/>
    <mergeCell ref="W7:W10"/>
    <mergeCell ref="V11:V14"/>
    <mergeCell ref="W11:W14"/>
    <mergeCell ref="V51:V54"/>
    <mergeCell ref="V55:V58"/>
    <mergeCell ref="V59:V62"/>
    <mergeCell ref="V63:V66"/>
    <mergeCell ref="V67:V70"/>
    <mergeCell ref="V71:V74"/>
    <mergeCell ref="W75:W78"/>
    <mergeCell ref="V15:V18"/>
    <mergeCell ref="V19:V22"/>
    <mergeCell ref="V23:V26"/>
    <mergeCell ref="V27:V30"/>
    <mergeCell ref="V31:V34"/>
    <mergeCell ref="V35:V38"/>
    <mergeCell ref="V39:V42"/>
    <mergeCell ref="V43:V46"/>
    <mergeCell ref="V47:V50"/>
    <mergeCell ref="W71:W74"/>
    <mergeCell ref="W27:W30"/>
    <mergeCell ref="W31:W34"/>
    <mergeCell ref="W35:W38"/>
    <mergeCell ref="W39:W42"/>
    <mergeCell ref="W43:W46"/>
    <mergeCell ref="W47:W50"/>
    <mergeCell ref="W51:W54"/>
    <mergeCell ref="W55:W58"/>
    <mergeCell ref="W59:W62"/>
    <mergeCell ref="W63:W66"/>
    <mergeCell ref="W67:W70"/>
    <mergeCell ref="W23:W26"/>
    <mergeCell ref="B3:E3"/>
    <mergeCell ref="F3:I3"/>
    <mergeCell ref="J3:M3"/>
    <mergeCell ref="W15:W18"/>
    <mergeCell ref="W19:W22"/>
    <mergeCell ref="N3:Q3"/>
    <mergeCell ref="R3:U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29</vt:i4>
      </vt:variant>
    </vt:vector>
  </HeadingPairs>
  <TitlesOfParts>
    <vt:vector size="49" baseType="lpstr">
      <vt:lpstr>T</vt:lpstr>
      <vt:lpstr>Manual</vt:lpstr>
      <vt:lpstr>InputQ</vt:lpstr>
      <vt:lpstr>InputY</vt:lpstr>
      <vt:lpstr>InputDFM</vt:lpstr>
      <vt:lpstr>VVP1</vt:lpstr>
      <vt:lpstr>Q1</vt:lpstr>
      <vt:lpstr>VVP2</vt:lpstr>
      <vt:lpstr>VVP3</vt:lpstr>
      <vt:lpstr>Q2</vt:lpstr>
      <vt:lpstr>Labour1</vt:lpstr>
      <vt:lpstr>Labour2</vt:lpstr>
      <vt:lpstr>Sector1</vt:lpstr>
      <vt:lpstr>Sector3</vt:lpstr>
      <vt:lpstr>Sector2</vt:lpstr>
      <vt:lpstr>Tables</vt:lpstr>
      <vt:lpstr>Transfer</vt:lpstr>
      <vt:lpstr>Transfer FDMS+ A</vt:lpstr>
      <vt:lpstr>Transfer FDMS+ Q</vt:lpstr>
      <vt:lpstr>Graphs</vt:lpstr>
      <vt:lpstr>'Transfer FDMS+ A'!Codes</vt:lpstr>
      <vt:lpstr>Country</vt:lpstr>
      <vt:lpstr>Currency</vt:lpstr>
      <vt:lpstr>'Transfer FDMS+ A'!Data</vt:lpstr>
      <vt:lpstr>'Transfer FDMS+ A'!Dates</vt:lpstr>
      <vt:lpstr>InputDFM!fdms_web_query.cfm?cty_BE</vt:lpstr>
      <vt:lpstr>Last_forecast_year</vt:lpstr>
      <vt:lpstr>Sector3!Print_Area</vt:lpstr>
      <vt:lpstr>Tables!Print_Area</vt:lpstr>
      <vt:lpstr>InputDFM!qy_additional_impact.cfm?cty_BE</vt:lpstr>
      <vt:lpstr>InputDFM!qy_additional_impact.cfm?cty_BE_1</vt:lpstr>
      <vt:lpstr>InputDFM!qy_transfer_matrix.cfm?cty_BE</vt:lpstr>
      <vt:lpstr>InputDFM!qy_transfer_matrix.cfm?cty_BE_1</vt:lpstr>
      <vt:lpstr>InputDFM!qy_transfer_matrix.cfm?cty_BE_2</vt:lpstr>
      <vt:lpstr>Table_0</vt:lpstr>
      <vt:lpstr>Table_1</vt:lpstr>
      <vt:lpstr>Table_10</vt:lpstr>
      <vt:lpstr>Table_10a</vt:lpstr>
      <vt:lpstr>Table_10b</vt:lpstr>
      <vt:lpstr>Table_11</vt:lpstr>
      <vt:lpstr>Table_12</vt:lpstr>
      <vt:lpstr>Table_2</vt:lpstr>
      <vt:lpstr>Table_3</vt:lpstr>
      <vt:lpstr>Table_4</vt:lpstr>
      <vt:lpstr>Table_5</vt:lpstr>
      <vt:lpstr>Table_6</vt:lpstr>
      <vt:lpstr>Table_7</vt:lpstr>
      <vt:lpstr>Table_8</vt:lpstr>
      <vt:lpstr>Table_9</vt:lpstr>
    </vt:vector>
  </TitlesOfParts>
  <Company>European Commission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DG ECFIN Forecast sheet</dc:title>
  <dc:creator>bethuge</dc:creator>
  <dc:description>Version 1, introduced Summer 2007</dc:description>
  <cp:lastModifiedBy>ECFIN (Lopes)</cp:lastModifiedBy>
  <cp:lastPrinted>2018-04-12T08:10:38Z</cp:lastPrinted>
  <dcterms:created xsi:type="dcterms:W3CDTF">2006-06-12T11:44:10Z</dcterms:created>
  <dcterms:modified xsi:type="dcterms:W3CDTF">2018-04-23T13:31:18Z</dcterms:modified>
</cp:coreProperties>
</file>